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8.xml" ContentType="application/vnd.openxmlformats-officedocument.spreadsheetml.table+xml"/>
  <Override PartName="/xl/tables/table2.xml" ContentType="application/vnd.openxmlformats-officedocument.spreadsheetml.table+xml"/>
  <Override PartName="/xl/tables/table11.xml" ContentType="application/vnd.openxmlformats-officedocument.spreadsheetml.table+xml"/>
  <Override PartName="/xl/tables/table4.xml" ContentType="application/vnd.openxmlformats-officedocument.spreadsheetml.table+xml"/>
  <Override PartName="/xl/tables/table3.xml" ContentType="application/vnd.openxmlformats-officedocument.spreadsheetml.table+xml"/>
  <Override PartName="/xl/tables/table10.xml" ContentType="application/vnd.openxmlformats-officedocument.spreadsheetml.table+xml"/>
  <Override PartName="/xl/tables/table6.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9.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Design_Selector" sheetId="2" state="visible" r:id="rId4"/>
    <sheet name="Tender_Pack" sheetId="3" state="visible" r:id="rId5"/>
    <sheet name="CAD_Export" sheetId="4" state="visible" r:id="rId6"/>
    <sheet name="Coverage" sheetId="5" state="visible" r:id="rId7"/>
    <sheet name="Data_Dictionary" sheetId="6" state="visible" r:id="rId8"/>
    <sheet name="Projects" sheetId="7" state="visible" r:id="rId9"/>
    <sheet name="Drain_Register" sheetId="8" state="visible" r:id="rId10"/>
    <sheet name="RW_Register" sheetId="9" state="visible" r:id="rId11"/>
    <sheet name="Embedded_Wall_Register" sheetId="10" state="visible" r:id="rId12"/>
    <sheet name="Manhole_Register" sheetId="11" state="visible" r:id="rId13"/>
    <sheet name="ERSS_Pit_Register" sheetId="12" state="visible" r:id="rId14"/>
    <sheet name="Linkway_Register" sheetId="13" state="visible" r:id="rId15"/>
    <sheet name="Other_Register" sheetId="14" state="visible" r:id="rId16"/>
    <sheet name="Rebar_Schedule" sheetId="15" state="visible" r:id="rId17"/>
    <sheet name="Revision_Log" sheetId="16" state="visible" r:id="rId18"/>
    <sheet name="SG_Criteria" sheetId="17" state="visible" r:id="rId19"/>
    <sheet name="CAD_Standard" sheetId="18" state="visible" r:id="rId20"/>
    <sheet name="Lists" sheetId="19" state="visible" r:id="rId2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<sst xmlns="http://schemas.openxmlformats.org/spreadsheetml/2006/main" count="6537" uniqueCount="1276">
  <si>
    <t xml:space="preserve">Standard Design Library: Register (Singapore)</t>
  </si>
  <si>
    <t xml:space="preserve">Purpose</t>
  </si>
  <si>
    <t xml:space="preserve">Call out approved standard designs that meet Singapore requirements (PUB, LTA, BCA) for tender drawings: pick the design, get its CAD, STAAD.Pro, Excel and PDF files, drop the details into the title block, and get preliminary quantities.</t>
  </si>
  <si>
    <t xml:space="preserve">WORKFLOW</t>
  </si>
  <si>
    <t xml:space="preserve">1. Select</t>
  </si>
  <si>
    <t xml:space="preserve">Design_Selector: drain / culvert / sump, RC wall, embedded wall, sewer manhole. Returns the nearest approved, SG-compliant design and its files.</t>
  </si>
  <si>
    <t xml:space="preserve">2. Tender pack</t>
  </si>
  <si>
    <t xml:space="preserve">Tender_Pack: Design IDs from any register, lengths / numbers, CAD sheet number. Preliminary quantities.</t>
  </si>
  <si>
    <t xml:space="preserve">3. Export</t>
  </si>
  <si>
    <t xml:space="preserve">CAD_Export: save that sheet as Text (Tab delimited).</t>
  </si>
  <si>
    <t xml:space="preserve">4. CAD</t>
  </si>
  <si>
    <t xml:space="preserve">AutoCAD: new drawing from the title-block template, APPLOAD TenderSheets.lsp, TPSHEETS, pick the .txt.</t>
  </si>
  <si>
    <t xml:space="preserve">REGISTERS (how each is tabulated)</t>
  </si>
  <si>
    <t xml:space="preserve">Drain_Register</t>
  </si>
  <si>
    <t xml:space="preserve">Drains, culverts, sumps, chambers. Key: type, internal W x D, cells, loading. Checks: PUB roadside / common drain minimums, railing depth, grade, cover. Flow capacity by Manning.</t>
  </si>
  <si>
    <t xml:space="preserve">RW_Register</t>
  </si>
  <si>
    <t xml:space="preserve">RC and gravity walls. Key: wall type (cantilever with toe &amp; heel / L-wall heel only / reverse L toe only / counterfort / gravity / block / gabion / MSE), retained height, surcharge, GWT. Checks: grade, cover, sliding, toe/heel vs type, LTA surcharge; BCA ERSS route.</t>
  </si>
  <si>
    <t xml:space="preserve">Embedded_Wall_Register</t>
  </si>
  <si>
    <t xml:space="preserve">CBP, secant, sheet pile, diaphragm wall, soldier pile, king post. Key: wall type, excavation depth, support system, soil profile (Kallang, FCBB, Jurong, Old Alluvium, Bukit Timah), temporary / permanent. Checks: deflection, CBP below GWT in marine clay, permanent sheet pile corrosion; BCA ERSS route.</t>
  </si>
  <si>
    <t xml:space="preserve">Manhole_Register</t>
  </si>
  <si>
    <t xml:space="preserve">Permanent sewer manholes per PUB COP SSW 3rd Ed and PUB/WRN/STD 001C / 003B / 004C / 006C. Key: type, internal size, depth range, max incoming pipe. Checks: min depth, 001C depth limit, 004C pipe size, uplift FOS. Links its typical temporary ERSS.</t>
  </si>
  <si>
    <t xml:space="preserve">ERSS_Pit_Register</t>
  </si>
  <si>
    <t xml:space="preserve">Temporary ERSS for manholes, jacking / receiving pits and trenches (sheet pile cofferdam, shoring box, caisson, secant / CBP shaft, open cut). Key: type, pit plan size, depth, soil. Checks: base stability, BCA route.</t>
  </si>
  <si>
    <t xml:space="preserve">Linkway_Register</t>
  </si>
  <si>
    <t xml:space="preserve">Covered linkways per LTA SDRE Rev I (Mar 2026) Ch.22 (CLW1-CLW5). Key: type, roof width, headroom, bay. Checks: headroom 2.4 / 5.7 m, width 2.4 / 3.6 m, wind 22 m/s, fixing pull-out 4.0 kN, C25/30.</t>
  </si>
  <si>
    <t xml:space="preserve">Other_Register</t>
  </si>
  <si>
    <t xml:space="preserve">Railing, staircase, POB, USD, bus shelter, others.</t>
  </si>
  <si>
    <t xml:space="preserve">Projects</t>
  </si>
  <si>
    <t xml:space="preserve">Past projects the designs come from (one row each). Registers pick the Project Ref.</t>
  </si>
  <si>
    <t xml:space="preserve">Rebar_Schedule</t>
  </si>
  <si>
    <t xml:space="preserve">Bar marks per design per unit; totals are checked against each register's rebar quantity.</t>
  </si>
  <si>
    <t xml:space="preserve">Revision_Log</t>
  </si>
  <si>
    <t xml:space="preserve">What changed between revisions.</t>
  </si>
  <si>
    <t xml:space="preserve">Data_Dictionary</t>
  </si>
  <si>
    <t xml:space="preserve">Every field: meaning, unit, required or not, and where to find it in past drawings and reports. Use it as the extraction guide.</t>
  </si>
  <si>
    <t xml:space="preserve">Data quality</t>
  </si>
  <si>
    <t xml:space="preserve">Each row shows Data Completeness (required fields filled), Data Check (rebar vs schedule) and Review Status (review due every few years).</t>
  </si>
  <si>
    <t xml:space="preserve">SG_Criteria</t>
  </si>
  <si>
    <t xml:space="preserve">All Singapore criteria and folder paths used by the checks. Rows marked VERIFY must be confirmed against the current documents before go-live.</t>
  </si>
  <si>
    <t xml:space="preserve">COLOUR LEGEND</t>
  </si>
  <si>
    <t xml:space="preserve">Yellow cell, blue text</t>
  </si>
  <si>
    <t xml:space="preserve">Input.</t>
  </si>
  <si>
    <t xml:space="preserve">Grey cell</t>
  </si>
  <si>
    <t xml:space="preserve">Formula: do not overwrite.</t>
  </si>
  <si>
    <t xml:space="preserve">Purple header</t>
  </si>
  <si>
    <t xml:space="preserve">File set for the design.</t>
  </si>
  <si>
    <t xml:space="preserve">Green header</t>
  </si>
  <si>
    <t xml:space="preserve">Tender quantity per unit.</t>
  </si>
  <si>
    <t xml:space="preserve">Green-shaded rows</t>
  </si>
  <si>
    <t xml:space="preserve">EXAMPLE data to show the format. Values are illustrative, not designs.</t>
  </si>
  <si>
    <t xml:space="preserve">Compliance cell</t>
  </si>
  <si>
    <t xml:space="preserve">Green OK, amber NOTE (allowed, check), red FAIL (hidden from the Selector).</t>
  </si>
  <si>
    <t xml:space="preserve">SHAREPOINT</t>
  </si>
  <si>
    <t xml:space="preserve">Tables</t>
  </si>
  <si>
    <t xml:space="preserve">Each register is an Excel Table (tblDrain, tblRW, tblEmbedded, tblManhole, tblERSSPit, tblLinkway, tblOther) for import to SharePoint Lists / Power Apps.</t>
  </si>
  <si>
    <t xml:space="preserve">Sync</t>
  </si>
  <si>
    <t xml:space="preserve">Sync the SharePoint library to each user's PC and set SG_Criteria 'Library root folder' to the synced path.</t>
  </si>
  <si>
    <t xml:space="preserve">DISCLAIMER</t>
  </si>
  <si>
    <t xml:space="preserve">Standard designs are valid only within their stated assumptions. The QP must verify site conditions, loading, soil and authority requirements for every project. ERSS and embedded walls always need site-specific design and BCA submission where required. SG criteria here must be checked against current PUB / LTA / BCA documents. Quantities are preliminary.</t>
  </si>
  <si>
    <t xml:space="preserve">Design Selector: nearest APPROVED, SG-compliant standard design</t>
  </si>
  <si>
    <t xml:space="preserve">Type into the yellow cells. Each block returns the smallest design at or above the requirement whose Status is Approved and whose SG compliance check has no FAIL. Linkways and others: filter the register directly (few variants).</t>
  </si>
  <si>
    <t xml:space="preserve">DRAIN / CULVERT / SUMP</t>
  </si>
  <si>
    <t xml:space="preserve">RC / GRAVITY RETAINING WALL</t>
  </si>
  <si>
    <t xml:space="preserve">EMBEDDED WALL (CBP / SECANT / SHEET PILE / D-WALL)</t>
  </si>
  <si>
    <t xml:space="preserve">SEWER MANHOLE</t>
  </si>
  <si>
    <t xml:space="preserve">Drain type</t>
  </si>
  <si>
    <t xml:space="preserve">Precast U-Drain</t>
  </si>
  <si>
    <t xml:space="preserve">Wall type</t>
  </si>
  <si>
    <t xml:space="preserve">Cantilever RC (toe &amp; heel)</t>
  </si>
  <si>
    <t xml:space="preserve">Contiguous Bored Pile (CBP)</t>
  </si>
  <si>
    <t xml:space="preserve">Manhole type</t>
  </si>
  <si>
    <t xml:space="preserve">Standard Manhole (PUB 001C)</t>
  </si>
  <si>
    <t xml:space="preserve">Min. internal width (mm)</t>
  </si>
  <si>
    <t xml:space="preserve">Retained height (m)</t>
  </si>
  <si>
    <t xml:space="preserve">Excavation depth (m)</t>
  </si>
  <si>
    <t xml:space="preserve">Depth to invert (m)</t>
  </si>
  <si>
    <t xml:space="preserve">Min. internal depth (mm)</t>
  </si>
  <si>
    <t xml:space="preserve">Surcharge (kPa)</t>
  </si>
  <si>
    <t xml:space="preserve">Support system</t>
  </si>
  <si>
    <t xml:space="preserve">1 level strut</t>
  </si>
  <si>
    <t xml:space="preserve">Largest incoming pipe dia (mm)</t>
  </si>
  <si>
    <t xml:space="preserve">Loading</t>
  </si>
  <si>
    <t xml:space="preserve">Drain surcharge 12 kPa (SDRE)</t>
  </si>
  <si>
    <t xml:space="preserve">GWT behind wall? (Y/N)</t>
  </si>
  <si>
    <t xml:space="preserve">N</t>
  </si>
  <si>
    <t xml:space="preserve">Soil profile</t>
  </si>
  <si>
    <t xml:space="preserve">Old Alluvium</t>
  </si>
  <si>
    <t xml:space="preserve">Design flow Q (m3/s), blank = ignore</t>
  </si>
  <si>
    <t xml:space="preserve">Temporary / Permanent</t>
  </si>
  <si>
    <t xml:space="preserve">Permanent</t>
  </si>
  <si>
    <t xml:space="preserve">Capacity uses Manning n and freeboard from SG_Criteria.</t>
  </si>
  <si>
    <t xml:space="preserve">Drain gradient 1 : S  (S =)</t>
  </si>
  <si>
    <t xml:space="preserve">Selected width (mm)</t>
  </si>
  <si>
    <t xml:space="preserve">Selected height (m)</t>
  </si>
  <si>
    <t xml:space="preserve">Selected depth (m)</t>
  </si>
  <si>
    <t xml:space="preserve">Selected max depth (m)</t>
  </si>
  <si>
    <t xml:space="preserve">Selected depth (mm)</t>
  </si>
  <si>
    <t xml:space="preserve">Selected surcharge (kPa)</t>
  </si>
  <si>
    <t xml:space="preserve">Selected internal length (mm)</t>
  </si>
  <si>
    <t xml:space="preserve">Row in register</t>
  </si>
  <si>
    <t xml:space="preserve">Selected GWT case</t>
  </si>
  <si>
    <t xml:space="preserve">Result</t>
  </si>
  <si>
    <t xml:space="preserve">Design ID</t>
  </si>
  <si>
    <t xml:space="preserve">Description</t>
  </si>
  <si>
    <t xml:space="preserve">Rev / Drawing No.</t>
  </si>
  <si>
    <t xml:space="preserve">Capacity Q / V at capacity</t>
  </si>
  <si>
    <t xml:space="preserve">Stem / base bars</t>
  </si>
  <si>
    <t xml:space="preserve">Pile / length / toe</t>
  </si>
  <si>
    <t xml:space="preserve">PUB standard drawing</t>
  </si>
  <si>
    <t xml:space="preserve">Velocity check</t>
  </si>
  <si>
    <t xml:space="preserve">BCA ERSS submission</t>
  </si>
  <si>
    <t xml:space="preserve">Typical temporary ERSS</t>
  </si>
  <si>
    <t xml:space="preserve">SG compliance</t>
  </si>
  <si>
    <t xml:space="preserve">Detail scale 1:</t>
  </si>
  <si>
    <t xml:space="preserve">Design folder</t>
  </si>
  <si>
    <t xml:space="preserve">CAD detail</t>
  </si>
  <si>
    <t xml:space="preserve">STAAD.Pro</t>
  </si>
  <si>
    <t xml:space="preserve">Calc sheet / report</t>
  </si>
  <si>
    <t xml:space="preserve">Concrete / Rebar per unit</t>
  </si>
  <si>
    <t xml:space="preserve">Limitations</t>
  </si>
  <si>
    <t xml:space="preserve">Loading matched exactly. A wall designed with groundwater is offered for a no-groundwater search, not the reverse. Velocity is at full capacity. BCA submission route is indicative only; the QP confirms. Copy the Design ID into Tender_Pack.</t>
  </si>
  <si>
    <t xml:space="preserve">Tender Pack: designs used in this tender, quantities, and CAD sheet layout</t>
  </si>
  <si>
    <t xml:space="preserve">Type Design IDs from any register, length / number, and the CAD sheet each detail goes on. Then save CAD_Export for AutoCAD. One copy of this workbook per tender.</t>
  </si>
  <si>
    <t xml:space="preserve">Tender / Project:</t>
  </si>
  <si>
    <t xml:space="preserve">EXAMPLE - Tender T-2026-01 Road and Sewer Upgrading at Jalan Contoh</t>
  </si>
  <si>
    <t xml:space="preserve">Item</t>
  </si>
  <si>
    <t xml:space="preserve">Location / Remarks</t>
  </si>
  <si>
    <t xml:space="preserve">Length / Qty</t>
  </si>
  <si>
    <t xml:space="preserve">CAD Sheet No.</t>
  </si>
  <si>
    <t xml:space="preserve">Unit</t>
  </si>
  <si>
    <t xml:space="preserve">Register</t>
  </si>
  <si>
    <t xml:space="preserve">Rev</t>
  </si>
  <si>
    <t xml:space="preserve">Status</t>
  </si>
  <si>
    <t xml:space="preserve">Drawing No.</t>
  </si>
  <si>
    <t xml:space="preserve">Detail Scale 1:</t>
  </si>
  <si>
    <t xml:space="preserve">CAD Detail File (full path)</t>
  </si>
  <si>
    <t xml:space="preserve">Concrete (m3)</t>
  </si>
  <si>
    <t xml:space="preserve">Rebar (t)</t>
  </si>
  <si>
    <t xml:space="preserve">Steel (t)</t>
  </si>
  <si>
    <t xml:space="preserve">Formwork (m2)</t>
  </si>
  <si>
    <t xml:space="preserve">Excavation (m3)</t>
  </si>
  <si>
    <t xml:space="preserve">Check</t>
  </si>
  <si>
    <t xml:space="preserve">DRN-PUD-0600x0600-S12-A</t>
  </si>
  <si>
    <t xml:space="preserve">Roadside drain, Ch 0-250 both sides</t>
  </si>
  <si>
    <t xml:space="preserve">DRN-SUD-0600x0750-FWY-A</t>
  </si>
  <si>
    <t xml:space="preserve">Under new footway</t>
  </si>
  <si>
    <t xml:space="preserve">DRN-BC-1500x1200-VEH-A</t>
  </si>
  <si>
    <t xml:space="preserve">Road crossing at Ch 180</t>
  </si>
  <si>
    <t xml:space="preserve">DRN-SP-0900x1200-S12-A</t>
  </si>
  <si>
    <t xml:space="preserve">Drain sumps</t>
  </si>
  <si>
    <t xml:space="preserve">RW-CANT-H3000-S25-A</t>
  </si>
  <si>
    <t xml:space="preserve">Slope at carpark, grid A-D</t>
  </si>
  <si>
    <t xml:space="preserve">EW-CBP-D5000-S1-OA-P-A</t>
  </si>
  <si>
    <t xml:space="preserve">Basement edge to adjacent road</t>
  </si>
  <si>
    <t xml:space="preserve">MH-SM-1500x1200-D6000-C-A</t>
  </si>
  <si>
    <t xml:space="preserve">Sewer MH1-MH4</t>
  </si>
  <si>
    <t xml:space="preserve">ERSS-SSP-4000x3500-D6000-KF-A</t>
  </si>
  <si>
    <t xml:space="preserve">Temporary ERSS for MH1-MH4</t>
  </si>
  <si>
    <t xml:space="preserve">LKW-LCL-W3600-H2400-B6000-A</t>
  </si>
  <si>
    <t xml:space="preserve">Linkway to MRT exit</t>
  </si>
  <si>
    <t xml:space="preserve">DRN-OD-2000x1800-S12-A</t>
  </si>
  <si>
    <t xml:space="preserve">Outlet drain to canal</t>
  </si>
  <si>
    <t xml:space="preserve">TOTAL</t>
  </si>
  <si>
    <t xml:space="preserve">Quantities are PRELIMINARY (standard section x length or per nr) for tender estimation only. QS to verify.</t>
  </si>
  <si>
    <t xml:space="preserve">PROJECT</t>
  </si>
  <si>
    <t xml:space="preserve">HOW TO USE: (1) fill Tender_Pack incl. CAD Sheet No.  (2) with THIS sheet active: File &gt; Save As &gt; Text (Tab delimited) (*.txt)</t>
  </si>
  <si>
    <t xml:space="preserve">DWGPREFIX</t>
  </si>
  <si>
    <t xml:space="preserve">T2026-01-STD</t>
  </si>
  <si>
    <t xml:space="preserve">(3) AutoCAD: new drawing from your title-block template, APPLOAD TenderSheets.lsp, run TPSHEETS, pick the .txt</t>
  </si>
  <si>
    <t xml:space="preserve">LIBROOT</t>
  </si>
  <si>
    <t xml:space="preserve">Only Approved rows are placed. Keep rows 1-5 and the column order: the AutoCAD routine reads them.</t>
  </si>
  <si>
    <t xml:space="preserve">SHEET</t>
  </si>
  <si>
    <t xml:space="preserve">DETAIL</t>
  </si>
  <si>
    <t xml:space="preserve">CADFILE</t>
  </si>
  <si>
    <t xml:space="preserve">SCALE</t>
  </si>
  <si>
    <t xml:space="preserve">TITLE</t>
  </si>
  <si>
    <t xml:space="preserve">DESIGNID</t>
  </si>
  <si>
    <t xml:space="preserve">REV</t>
  </si>
  <si>
    <t xml:space="preserve">STATUS</t>
  </si>
  <si>
    <t xml:space="preserve">Coverage Matrix: number of SELECTABLE designs (Approved, no FAIL). Red 0 = gap</t>
  </si>
  <si>
    <t xml:space="preserve">Drains &amp; culverts: type vs internal width (mm)</t>
  </si>
  <si>
    <t xml:space="preserve">Slabbed-over U-Drain</t>
  </si>
  <si>
    <t xml:space="preserve">Cast-in-situ Open Drain</t>
  </si>
  <si>
    <t xml:space="preserve">Box Culvert</t>
  </si>
  <si>
    <t xml:space="preserve">Precast Box Culvert</t>
  </si>
  <si>
    <t xml:space="preserve">Entrance Culvert</t>
  </si>
  <si>
    <t xml:space="preserve">Pipe Culvert</t>
  </si>
  <si>
    <t xml:space="preserve">Common Drain</t>
  </si>
  <si>
    <t xml:space="preserve">Drop Inlet Chamber</t>
  </si>
  <si>
    <t xml:space="preserve">Sump</t>
  </si>
  <si>
    <t xml:space="preserve">Silt Trap</t>
  </si>
  <si>
    <t xml:space="preserve">Subsoil Drain</t>
  </si>
  <si>
    <t xml:space="preserve">Cascade Drain</t>
  </si>
  <si>
    <t xml:space="preserve">RC / gravity retaining walls: type vs retained height band (m)</t>
  </si>
  <si>
    <t xml:space="preserve">0-1</t>
  </si>
  <si>
    <t xml:space="preserve">1-1.5</t>
  </si>
  <si>
    <t xml:space="preserve">1.5-2</t>
  </si>
  <si>
    <t xml:space="preserve">2-2.5</t>
  </si>
  <si>
    <t xml:space="preserve">2.5-3</t>
  </si>
  <si>
    <t xml:space="preserve">3-3.5</t>
  </si>
  <si>
    <t xml:space="preserve">3.5-4</t>
  </si>
  <si>
    <t xml:space="preserve">4-4.5</t>
  </si>
  <si>
    <t xml:space="preserve">4.5-5</t>
  </si>
  <si>
    <t xml:space="preserve">5-6</t>
  </si>
  <si>
    <t xml:space="preserve">6-8</t>
  </si>
  <si>
    <t xml:space="preserve">L-Wall (heel only)</t>
  </si>
  <si>
    <t xml:space="preserve">Reverse L-Wall (toe only, at boundary)</t>
  </si>
  <si>
    <t xml:space="preserve">Counterfort RC</t>
  </si>
  <si>
    <t xml:space="preserve">Gravity (mass concrete)</t>
  </si>
  <si>
    <t xml:space="preserve">Block / Segmental</t>
  </si>
  <si>
    <t xml:space="preserve">Gabion</t>
  </si>
  <si>
    <t xml:space="preserve">Reinforced Earth (MSE)</t>
  </si>
  <si>
    <t xml:space="preserve">Embedded walls: type vs excavation depth band (m)</t>
  </si>
  <si>
    <t xml:space="preserve">0-3</t>
  </si>
  <si>
    <t xml:space="preserve">3-4.5</t>
  </si>
  <si>
    <t xml:space="preserve">4.5-6</t>
  </si>
  <si>
    <t xml:space="preserve">6-9</t>
  </si>
  <si>
    <t xml:space="preserve">9-12</t>
  </si>
  <si>
    <t xml:space="preserve">12-15</t>
  </si>
  <si>
    <t xml:space="preserve">15-20</t>
  </si>
  <si>
    <t xml:space="preserve">20-30</t>
  </si>
  <si>
    <t xml:space="preserve">Secant Pile (hard-firm)</t>
  </si>
  <si>
    <t xml:space="preserve">Secant Pile (hard-soft)</t>
  </si>
  <si>
    <t xml:space="preserve">Steel Sheet Pile</t>
  </si>
  <si>
    <t xml:space="preserve">Diaphragm Wall</t>
  </si>
  <si>
    <t xml:space="preserve">Soldier Pile &amp; Timber Lagging</t>
  </si>
  <si>
    <t xml:space="preserve">King Post &amp; Lagging</t>
  </si>
  <si>
    <t xml:space="preserve">Pipe Pile Wall</t>
  </si>
  <si>
    <t xml:space="preserve">Sewer manholes: type vs max depth band (m)</t>
  </si>
  <si>
    <t xml:space="preserve">8-10</t>
  </si>
  <si>
    <t xml:space="preserve">10-15</t>
  </si>
  <si>
    <t xml:space="preserve">Rectangular Manhole, sewer &gt;= 1000 dia (PUB 004C)</t>
  </si>
  <si>
    <t xml:space="preserve">Precast Manhole &gt; 6 m (PUB 006C)</t>
  </si>
  <si>
    <t xml:space="preserve">Drop Manhole</t>
  </si>
  <si>
    <t xml:space="preserve">Inspection Chamber</t>
  </si>
  <si>
    <t xml:space="preserve">Valve / Pumping Main Chamber</t>
  </si>
  <si>
    <t xml:space="preserve">Temporary ERSS pits: type vs excavation depth band (m)</t>
  </si>
  <si>
    <t xml:space="preserve">ERSS type</t>
  </si>
  <si>
    <t xml:space="preserve">0-1.5</t>
  </si>
  <si>
    <t xml:space="preserve">1.5-3</t>
  </si>
  <si>
    <t xml:space="preserve">3-4</t>
  </si>
  <si>
    <t xml:space="preserve">4-6</t>
  </si>
  <si>
    <t xml:space="preserve">Steel Sheet Pile Cofferdam</t>
  </si>
  <si>
    <t xml:space="preserve">Trench Shoring Box</t>
  </si>
  <si>
    <t xml:space="preserve">Steel Caisson / Liner Plate</t>
  </si>
  <si>
    <t xml:space="preserve">Secant Pile Shaft</t>
  </si>
  <si>
    <t xml:space="preserve">CBP Shaft</t>
  </si>
  <si>
    <t xml:space="preserve">Open Cut (battered)</t>
  </si>
  <si>
    <t xml:space="preserve">Covered linkways: type vs roof width (m)</t>
  </si>
  <si>
    <t xml:space="preserve">Linkway type</t>
  </si>
  <si>
    <t xml:space="preserve">Low Covered Linkway</t>
  </si>
  <si>
    <t xml:space="preserve">High Covered Linkway</t>
  </si>
  <si>
    <t xml:space="preserve">Modular Covered Linkway (SDRE Rev I)</t>
  </si>
  <si>
    <t xml:space="preserve">Library status by register</t>
  </si>
  <si>
    <t xml:space="preserve">Approved</t>
  </si>
  <si>
    <t xml:space="preserve">Checked</t>
  </si>
  <si>
    <t xml:space="preserve">WIP</t>
  </si>
  <si>
    <t xml:space="preserve">Superseded</t>
  </si>
  <si>
    <t xml:space="preserve">Approved but FAIL</t>
  </si>
  <si>
    <t xml:space="preserve">Files not checked</t>
  </si>
  <si>
    <t xml:space="preserve">Drain</t>
  </si>
  <si>
    <t xml:space="preserve">Ret. Wall</t>
  </si>
  <si>
    <t xml:space="preserve">Embedded Wall</t>
  </si>
  <si>
    <t xml:space="preserve">Manhole</t>
  </si>
  <si>
    <t xml:space="preserve">ERSS Pit</t>
  </si>
  <si>
    <t xml:space="preserve">Linkway</t>
  </si>
  <si>
    <t xml:space="preserve">Others</t>
  </si>
  <si>
    <t xml:space="preserve">Data Dictionary: what every field means, its unit, and where to find it in past drawings and reports</t>
  </si>
  <si>
    <t xml:space="preserve">Use this as the extraction guide when entering past project designs (by hand or with Cowork). Required = needed for Data Completeness.</t>
  </si>
  <si>
    <t xml:space="preserve">Field</t>
  </si>
  <si>
    <t xml:space="preserve">Group</t>
  </si>
  <si>
    <t xml:space="preserve">Entry</t>
  </si>
  <si>
    <t xml:space="preserve">Required</t>
  </si>
  <si>
    <t xml:space="preserve">Where to Find in Source</t>
  </si>
  <si>
    <t xml:space="preserve">Identification</t>
  </si>
  <si>
    <t xml:space="preserve">Formula</t>
  </si>
  <si>
    <t xml:space="preserve">Unique ID built from the key parameters and revision. Used for file names and in the title block.</t>
  </si>
  <si>
    <t xml:space="preserve">Automatic</t>
  </si>
  <si>
    <t xml:space="preserve">Readable summary built from the key fields.</t>
  </si>
  <si>
    <t xml:space="preserve">Keywords / Tags</t>
  </si>
  <si>
    <t xml:space="preserve">Input</t>
  </si>
  <si>
    <t xml:space="preserve">Free words to help searching (e.g. 'MRT', 'industrial', 'Tuas').</t>
  </si>
  <si>
    <t xml:space="preserve">Drain Type</t>
  </si>
  <si>
    <t xml:space="preserve">Design Basis</t>
  </si>
  <si>
    <t xml:space="preserve">Y</t>
  </si>
  <si>
    <t xml:space="preserve">Design report: design basis, loads, soil parameters (SI report)</t>
  </si>
  <si>
    <t xml:space="preserve">Category</t>
  </si>
  <si>
    <t xml:space="preserve">Open / Covered</t>
  </si>
  <si>
    <t xml:space="preserve">Internal Width (mm)</t>
  </si>
  <si>
    <t xml:space="preserve">Geometry &amp; Members</t>
  </si>
  <si>
    <t xml:space="preserve">mm</t>
  </si>
  <si>
    <t xml:space="preserve">Drawing: typical section / plan dimensions</t>
  </si>
  <si>
    <t xml:space="preserve">Internal Depth / Clear Height (mm)</t>
  </si>
  <si>
    <t xml:space="preserve">No. of Cells</t>
  </si>
  <si>
    <t xml:space="preserve">Wall Thk (mm)</t>
  </si>
  <si>
    <t xml:space="preserve">Base Thk (mm)</t>
  </si>
  <si>
    <t xml:space="preserve">Top Slab Thk (mm)</t>
  </si>
  <si>
    <t xml:space="preserve">Fill over Top / Surcharge</t>
  </si>
  <si>
    <t xml:space="preserve">Concrete Grade</t>
  </si>
  <si>
    <t xml:space="preserve">Materials &amp; Durability</t>
  </si>
  <si>
    <t xml:space="preserve">Drawing general notes; design report design basis</t>
  </si>
  <si>
    <t xml:space="preserve">Cover (mm)</t>
  </si>
  <si>
    <t xml:space="preserve">Wall Main Bar</t>
  </si>
  <si>
    <t xml:space="preserve">Reinforcement</t>
  </si>
  <si>
    <t xml:space="preserve">Drawing: reinforcement detail / bar schedule</t>
  </si>
  <si>
    <t xml:space="preserve">Wall Outer Face Bar</t>
  </si>
  <si>
    <t xml:space="preserve">Base Main Bar</t>
  </si>
  <si>
    <t xml:space="preserve">Top Slab Bar</t>
  </si>
  <si>
    <t xml:space="preserve">Distribution Bar</t>
  </si>
  <si>
    <t xml:space="preserve">Grating / Cover Load Class (EN 124)</t>
  </si>
  <si>
    <t xml:space="preserve">Grating / Cover Size (mm)</t>
  </si>
  <si>
    <t xml:space="preserve">Precast Unit Length (mm)</t>
  </si>
  <si>
    <t xml:space="preserve">Movement Joint Spacing (m)</t>
  </si>
  <si>
    <t xml:space="preserve">m</t>
  </si>
  <si>
    <t xml:space="preserve">Gradient Range (1:S)</t>
  </si>
  <si>
    <t xml:space="preserve">1:S</t>
  </si>
  <si>
    <t xml:space="preserve">Bedding / Backfill</t>
  </si>
  <si>
    <t xml:space="preserve">Uplift FOS</t>
  </si>
  <si>
    <t xml:space="preserve">Design Results &amp; Checks</t>
  </si>
  <si>
    <t xml:space="preserve">Design report / calc: results summary</t>
  </si>
  <si>
    <t xml:space="preserve">Exposure Class</t>
  </si>
  <si>
    <t xml:space="preserve">SS EN 1992 / SS EN 206 exposure class used for cover and durability.</t>
  </si>
  <si>
    <t xml:space="preserve">Design Life (years)</t>
  </si>
  <si>
    <t xml:space="preserve">years</t>
  </si>
  <si>
    <t xml:space="preserve">Design working life assumed.</t>
  </si>
  <si>
    <t xml:space="preserve">Rebar Grade</t>
  </si>
  <si>
    <t xml:space="preserve">Reinforcement grade, normally B500B to SS 560.</t>
  </si>
  <si>
    <t xml:space="preserve">Crack Width Limit (mm)</t>
  </si>
  <si>
    <t xml:space="preserve">Crack width limit used in SLS check.</t>
  </si>
  <si>
    <t xml:space="preserve">Code Basis</t>
  </si>
  <si>
    <t xml:space="preserve">Source, Approval &amp; Review</t>
  </si>
  <si>
    <t xml:space="preserve">Codes and standards the design was done to.</t>
  </si>
  <si>
    <t xml:space="preserve">Title block, approval records, library review</t>
  </si>
  <si>
    <t xml:space="preserve">Criteria Edition Used</t>
  </si>
  <si>
    <t xml:space="preserve">Edition / revision of PUB, LTA, BCA documents used. Compare with SG_Criteria to see if a design is out of date.</t>
  </si>
  <si>
    <t xml:space="preserve">WIP / Checked / Approved / Superseded. Only Approved and SG-compliant designs are offered by the selector.</t>
  </si>
  <si>
    <t xml:space="preserve">Detail Scale (1:n)</t>
  </si>
  <si>
    <t xml:space="preserve">Files</t>
  </si>
  <si>
    <t xml:space="preserve">1:n</t>
  </si>
  <si>
    <t xml:space="preserve">Scale the tender detail is drawn for. TPSHEETS inserts it at 1/n on the sheet.</t>
  </si>
  <si>
    <t xml:space="preserve">Library design folder</t>
  </si>
  <si>
    <t xml:space="preserve">STAAD.Pro Model? (Y/N)</t>
  </si>
  <si>
    <t xml:space="preserve">Y if a STAAD.Pro model exists for this design.</t>
  </si>
  <si>
    <t xml:space="preserve">Design Folder</t>
  </si>
  <si>
    <t xml:space="preserve">CAD Detail (.dwg)</t>
  </si>
  <si>
    <t xml:space="preserve">Drawing (.pdf)</t>
  </si>
  <si>
    <t xml:space="preserve">STAAD.Pro (.std)</t>
  </si>
  <si>
    <t xml:space="preserve">Calc Sheet (.xlsx)</t>
  </si>
  <si>
    <t xml:space="preserve">Calc Report (.pdf)</t>
  </si>
  <si>
    <t xml:space="preserve">Files Checked in Folder (Y/N)</t>
  </si>
  <si>
    <t xml:space="preserve">Y once someone has confirmed all five files are in the design folder.</t>
  </si>
  <si>
    <t xml:space="preserve">Qty Unit</t>
  </si>
  <si>
    <t xml:space="preserve">Quantities</t>
  </si>
  <si>
    <t xml:space="preserve">Unit the quantities are per: m (per metre run), nr, bay, span or m2.</t>
  </si>
  <si>
    <t xml:space="preserve">Calc / BQ take-off per unit</t>
  </si>
  <si>
    <t xml:space="preserve">Concrete (m3/unit)</t>
  </si>
  <si>
    <t xml:space="preserve">m3/unit</t>
  </si>
  <si>
    <t xml:space="preserve">Rebar (kg/unit)</t>
  </si>
  <si>
    <t xml:space="preserve">kg/unit</t>
  </si>
  <si>
    <t xml:space="preserve">Steel (kg/unit)</t>
  </si>
  <si>
    <t xml:space="preserve">Formwork (m2/unit)</t>
  </si>
  <si>
    <t xml:space="preserve">m2/unit</t>
  </si>
  <si>
    <t xml:space="preserve">Excavation (m3/unit)</t>
  </si>
  <si>
    <t xml:space="preserve">Rebar from Schedule (kg/unit)</t>
  </si>
  <si>
    <t xml:space="preserve">Automatic total from Rebar_Schedule.</t>
  </si>
  <si>
    <t xml:space="preserve">Data Check (rebar vs schedule)</t>
  </si>
  <si>
    <t xml:space="preserve">Flags when register rebar and schedule total differ by more than the SG_Criteria tolerance.</t>
  </si>
  <si>
    <t xml:space="preserve">Flow Capacity Q (m3/s)</t>
  </si>
  <si>
    <t xml:space="preserve">m3/s</t>
  </si>
  <si>
    <t xml:space="preserve">Velocity at Capacity (m/s)</t>
  </si>
  <si>
    <t xml:space="preserve">m/s</t>
  </si>
  <si>
    <t xml:space="preserve">SG Compliance Check</t>
  </si>
  <si>
    <t xml:space="preserve">Automatic check against SG_Criteria. FAIL hides the design from the selector; NOTE is advisory.</t>
  </si>
  <si>
    <t xml:space="preserve">Limitations / Notes</t>
  </si>
  <si>
    <t xml:space="preserve">Projects / Tenders Used</t>
  </si>
  <si>
    <t xml:space="preserve">Source Project Ref</t>
  </si>
  <si>
    <t xml:space="preserve">Past project this design was taken from (pick from Projects sheet).</t>
  </si>
  <si>
    <t xml:space="preserve">Title block / report cover / authority approval letter or CORENET record</t>
  </si>
  <si>
    <t xml:space="preserve">Source Project Name</t>
  </si>
  <si>
    <t xml:space="preserve">Source Authority</t>
  </si>
  <si>
    <t xml:space="preserve">Source Drawing No(s).</t>
  </si>
  <si>
    <t xml:space="preserve">Drawing number(s) in the past project where this detail appears.</t>
  </si>
  <si>
    <t xml:space="preserve">Source Report &amp; Page</t>
  </si>
  <si>
    <t xml:space="preserve">Design report / calc and page where the design is justified.</t>
  </si>
  <si>
    <t xml:space="preserve">Extracted By</t>
  </si>
  <si>
    <t xml:space="preserve">Person (or 'Cowork' + person) who entered the data.</t>
  </si>
  <si>
    <t xml:space="preserve">Extraction Date</t>
  </si>
  <si>
    <t xml:space="preserve">Data Verified By</t>
  </si>
  <si>
    <t xml:space="preserve">Engineer who checked the row against the source documents.</t>
  </si>
  <si>
    <t xml:space="preserve">Data Verified Date</t>
  </si>
  <si>
    <t xml:space="preserve">Authority Approval Ref</t>
  </si>
  <si>
    <t xml:space="preserve">Approval / acceptance reference from PUB, LTA, BCA etc. for the source project.</t>
  </si>
  <si>
    <t xml:space="preserve">Authority Approval Date</t>
  </si>
  <si>
    <t xml:space="preserve">Designer</t>
  </si>
  <si>
    <t xml:space="preserve">Checker</t>
  </si>
  <si>
    <t xml:space="preserve">Approved By (QP)</t>
  </si>
  <si>
    <t xml:space="preserve">QP who approved this design as a library standard.</t>
  </si>
  <si>
    <t xml:space="preserve">Approval Date</t>
  </si>
  <si>
    <t xml:space="preserve">Last Reviewed</t>
  </si>
  <si>
    <t xml:space="preserve">Date the design was last checked against current codes.</t>
  </si>
  <si>
    <t xml:space="preserve">Next Review Due</t>
  </si>
  <si>
    <t xml:space="preserve">Last Reviewed + review interval (SG_Criteria).</t>
  </si>
  <si>
    <t xml:space="preserve">Review Status</t>
  </si>
  <si>
    <t xml:space="preserve">Flags designs never reviewed or overdue for review.</t>
  </si>
  <si>
    <t xml:space="preserve">Data Completeness</t>
  </si>
  <si>
    <t xml:space="preserve">Share of required fields filled. Should reach 100% before Status = Approved.</t>
  </si>
  <si>
    <t xml:space="preserve">Selectable</t>
  </si>
  <si>
    <t xml:space="preserve">Internal (selector)</t>
  </si>
  <si>
    <t xml:space="preserve">Y when Approved and no FAIL. Used by the selector.</t>
  </si>
  <si>
    <t xml:space="preserve">Selector Key</t>
  </si>
  <si>
    <t xml:space="preserve">Internal lookup key for the selector.</t>
  </si>
  <si>
    <t xml:space="preserve">Wall Type</t>
  </si>
  <si>
    <t xml:space="preserve">Retained Height (m)</t>
  </si>
  <si>
    <t xml:space="preserve">kPa</t>
  </si>
  <si>
    <t xml:space="preserve">GWT Behind Wall (Y/N)</t>
  </si>
  <si>
    <t xml:space="preserve">Backfill Slope (deg)</t>
  </si>
  <si>
    <t xml:space="preserve">deg</t>
  </si>
  <si>
    <t xml:space="preserve">Founding Soil</t>
  </si>
  <si>
    <t xml:space="preserve">Founding Soil Allowable Bearing (kPa)</t>
  </si>
  <si>
    <t xml:space="preserve">Retained Soil phi' (deg)</t>
  </si>
  <si>
    <t xml:space="preserve">Retained Soil c' (kPa)</t>
  </si>
  <si>
    <t xml:space="preserve">Retained Soil gamma (kN/m3)</t>
  </si>
  <si>
    <t xml:space="preserve">kN/m3</t>
  </si>
  <si>
    <t xml:space="preserve">Design Approach</t>
  </si>
  <si>
    <t xml:space="preserve">Stem Top Thk (mm)</t>
  </si>
  <si>
    <t xml:space="preserve">Stem Bottom Thk (mm)</t>
  </si>
  <si>
    <t xml:space="preserve">Base Width (mm)</t>
  </si>
  <si>
    <t xml:space="preserve">Toe (mm)</t>
  </si>
  <si>
    <t xml:space="preserve">Heel (mm)</t>
  </si>
  <si>
    <t xml:space="preserve">Shear Key (mm)</t>
  </si>
  <si>
    <t xml:space="preserve">Stem Main Bar</t>
  </si>
  <si>
    <t xml:space="preserve">Stem Front Face Bar</t>
  </si>
  <si>
    <t xml:space="preserve">Drainage (weepholes / filter)</t>
  </si>
  <si>
    <t xml:space="preserve">FOS Sliding</t>
  </si>
  <si>
    <t xml:space="preserve">FOS Overturning</t>
  </si>
  <si>
    <t xml:space="preserve">FOS Bearing</t>
  </si>
  <si>
    <t xml:space="preserve">Max Bearing (kPa)</t>
  </si>
  <si>
    <t xml:space="preserve">Max Settlement (mm)</t>
  </si>
  <si>
    <t xml:space="preserve">BCA ERSS Submission (indicative)</t>
  </si>
  <si>
    <t xml:space="preserve">Indicative BCA submission route from depth. The QP confirms per project.</t>
  </si>
  <si>
    <t xml:space="preserve">Excavation Depth (m)</t>
  </si>
  <si>
    <t xml:space="preserve">Support System</t>
  </si>
  <si>
    <t xml:space="preserve">Soil Profile</t>
  </si>
  <si>
    <t xml:space="preserve">GWT (m below ground)</t>
  </si>
  <si>
    <t xml:space="preserve">m below ground</t>
  </si>
  <si>
    <t xml:space="preserve">Pile Dia / Section</t>
  </si>
  <si>
    <t xml:space="preserve">Spacing / Overlap (mm)</t>
  </si>
  <si>
    <t xml:space="preserve">Toe Embedment (m)</t>
  </si>
  <si>
    <t xml:space="preserve">Pile / Wall Length (m)</t>
  </si>
  <si>
    <t xml:space="preserve">Main Bar / Cage</t>
  </si>
  <si>
    <t xml:space="preserve">Capping Beam (W x D mm)</t>
  </si>
  <si>
    <t xml:space="preserve">W x D mm</t>
  </si>
  <si>
    <t xml:space="preserve">Waler Section</t>
  </si>
  <si>
    <t xml:space="preserve">Strut Section &amp; Spacing</t>
  </si>
  <si>
    <t xml:space="preserve">Max Wall Deflection (mm)</t>
  </si>
  <si>
    <t xml:space="preserve">Allowable Deflection (mm)</t>
  </si>
  <si>
    <t xml:space="preserve">Max Bending Moment (kNm/m)</t>
  </si>
  <si>
    <t xml:space="preserve">kNm/m</t>
  </si>
  <si>
    <t xml:space="preserve">Max Shear (kN/m)</t>
  </si>
  <si>
    <t xml:space="preserve">kN/m</t>
  </si>
  <si>
    <t xml:space="preserve">Strut Force (kN/m)</t>
  </si>
  <si>
    <t xml:space="preserve">Strut Preload (% of design)</t>
  </si>
  <si>
    <t xml:space="preserve">% of design</t>
  </si>
  <si>
    <t xml:space="preserve">FOS Base Heave</t>
  </si>
  <si>
    <t xml:space="preserve">Installation Method</t>
  </si>
  <si>
    <t xml:space="preserve">Instrumentation</t>
  </si>
  <si>
    <t xml:space="preserve">Trigger Levels (Alert / WSL)</t>
  </si>
  <si>
    <t xml:space="preserve">Construction Sequence Ref</t>
  </si>
  <si>
    <t xml:space="preserve">Manhole Type</t>
  </si>
  <si>
    <t xml:space="preserve">Construction</t>
  </si>
  <si>
    <t xml:space="preserve">Shape</t>
  </si>
  <si>
    <t xml:space="preserve">Internal Length / Dia (mm)</t>
  </si>
  <si>
    <t xml:space="preserve">Min Depth (m)</t>
  </si>
  <si>
    <t xml:space="preserve">Max Depth (m)</t>
  </si>
  <si>
    <t xml:space="preserve">Max Incoming Pipe Dia (mm)</t>
  </si>
  <si>
    <t xml:space="preserve">Roof Slab Thk (mm)</t>
  </si>
  <si>
    <t xml:space="preserve">Cover &amp; Frame</t>
  </si>
  <si>
    <t xml:space="preserve">Cover Load Class (EN 124)</t>
  </si>
  <si>
    <t xml:space="preserve">Cover Opening Size (mm)</t>
  </si>
  <si>
    <t xml:space="preserve">Access (step irons / ladder)</t>
  </si>
  <si>
    <t xml:space="preserve">Ventilation</t>
  </si>
  <si>
    <t xml:space="preserve">Waterproofing / Lining</t>
  </si>
  <si>
    <t xml:space="preserve">Precast Joint Type</t>
  </si>
  <si>
    <t xml:space="preserve">Design GWT (m below ground)</t>
  </si>
  <si>
    <t xml:space="preserve">Benching / Channel</t>
  </si>
  <si>
    <t xml:space="preserve">Wall Bar</t>
  </si>
  <si>
    <t xml:space="preserve">Base Bar</t>
  </si>
  <si>
    <t xml:space="preserve">Roof Slab Bar</t>
  </si>
  <si>
    <t xml:space="preserve">PUB Std Drawing Ref</t>
  </si>
  <si>
    <t xml:space="preserve">Typical Temporary ERSS (Design ID)</t>
  </si>
  <si>
    <t xml:space="preserve">ERSS Type</t>
  </si>
  <si>
    <t xml:space="preserve">Pit Plan Length (mm)</t>
  </si>
  <si>
    <t xml:space="preserve">Pit Plan Width (mm)</t>
  </si>
  <si>
    <t xml:space="preserve">Sheet Pile / Wall Section</t>
  </si>
  <si>
    <t xml:space="preserve">Pile Length (m)</t>
  </si>
  <si>
    <t xml:space="preserve">Strut Levels</t>
  </si>
  <si>
    <t xml:space="preserve">Strut / Corner Brace</t>
  </si>
  <si>
    <t xml:space="preserve">Base Stability FOS</t>
  </si>
  <si>
    <t xml:space="preserve">FOS Hydraulic Uplift</t>
  </si>
  <si>
    <t xml:space="preserve">Max Strut Force (kN)</t>
  </si>
  <si>
    <t xml:space="preserve">kN</t>
  </si>
  <si>
    <t xml:space="preserve">Strut Preload (kN)</t>
  </si>
  <si>
    <t xml:space="preserve">Dewatering / Grouting</t>
  </si>
  <si>
    <t xml:space="preserve">Monitoring &amp; Trigger Levels</t>
  </si>
  <si>
    <t xml:space="preserve">Linkway Type</t>
  </si>
  <si>
    <t xml:space="preserve">SDRE Drawing Ref</t>
  </si>
  <si>
    <t xml:space="preserve">Roof Width, eave to eave (m)</t>
  </si>
  <si>
    <t xml:space="preserve">Clear Headroom (m)</t>
  </si>
  <si>
    <t xml:space="preserve">Bay / Column Spacing (m)</t>
  </si>
  <si>
    <t xml:space="preserve">Column Arrangement</t>
  </si>
  <si>
    <t xml:space="preserve">Column Section</t>
  </si>
  <si>
    <t xml:space="preserve">Roof Material</t>
  </si>
  <si>
    <t xml:space="preserve">Roof Profile / Fall</t>
  </si>
  <si>
    <t xml:space="preserve">Gutter &amp; Downpipe</t>
  </si>
  <si>
    <t xml:space="preserve">Footing Type</t>
  </si>
  <si>
    <t xml:space="preserve">Footing Size (L x B x D mm)</t>
  </si>
  <si>
    <t xml:space="preserve">L x B x D mm</t>
  </si>
  <si>
    <t xml:space="preserve">RC Stump (dia x H mm)</t>
  </si>
  <si>
    <t xml:space="preserve">dia x H mm</t>
  </si>
  <si>
    <t xml:space="preserve">Base Plate (mm)</t>
  </si>
  <si>
    <t xml:space="preserve">Holding-down Bolts</t>
  </si>
  <si>
    <t xml:space="preserve">Max Column Moment (kNm)</t>
  </si>
  <si>
    <t xml:space="preserve">kNm</t>
  </si>
  <si>
    <t xml:space="preserve">Roof Sheet Thk (mm)</t>
  </si>
  <si>
    <t xml:space="preserve">Ceiling / Soffit</t>
  </si>
  <si>
    <t xml:space="preserve">Deflection Limit</t>
  </si>
  <si>
    <t xml:space="preserve">Basic Wind Speed (m/s)</t>
  </si>
  <si>
    <t xml:space="preserve">Roof Fixing Pull-out (kN)</t>
  </si>
  <si>
    <t xml:space="preserve">Demountable / Bolted (Y/N)</t>
  </si>
  <si>
    <t xml:space="preserve">Lighting Provision</t>
  </si>
  <si>
    <t xml:space="preserve">Roof Sheeting (m2/unit)</t>
  </si>
  <si>
    <t xml:space="preserve">Family</t>
  </si>
  <si>
    <t xml:space="preserve">Type (short)</t>
  </si>
  <si>
    <t xml:space="preserve">Span / Length (m)</t>
  </si>
  <si>
    <t xml:space="preserve">Height / Rise (m)</t>
  </si>
  <si>
    <t xml:space="preserve">Width (m)</t>
  </si>
  <si>
    <t xml:space="preserve">Design Load</t>
  </si>
  <si>
    <t xml:space="preserve">Foundation</t>
  </si>
  <si>
    <t xml:space="preserve">Material</t>
  </si>
  <si>
    <t xml:space="preserve">Key Members / Reinforcement</t>
  </si>
  <si>
    <t xml:space="preserve">Project Ref</t>
  </si>
  <si>
    <t xml:space="preserve">Source project</t>
  </si>
  <si>
    <t xml:space="preserve">Project Name</t>
  </si>
  <si>
    <t xml:space="preserve">Client</t>
  </si>
  <si>
    <t xml:space="preserve">Approving Authority</t>
  </si>
  <si>
    <t xml:space="preserve">Contract / Tender No.</t>
  </si>
  <si>
    <t xml:space="preserve">Year Completed</t>
  </si>
  <si>
    <t xml:space="preserve">Location</t>
  </si>
  <si>
    <t xml:space="preserve">QP (Structural)</t>
  </si>
  <si>
    <t xml:space="preserve">QP (Geotechnical)</t>
  </si>
  <si>
    <t xml:space="preserve">Main Contractor</t>
  </si>
  <si>
    <t xml:space="preserve">Drawings Folder (past project)</t>
  </si>
  <si>
    <t xml:space="preserve">Remarks</t>
  </si>
  <si>
    <t xml:space="preserve">Bar Mark</t>
  </si>
  <si>
    <t xml:space="preserve">Bar Type</t>
  </si>
  <si>
    <t xml:space="preserve">Dia (mm)</t>
  </si>
  <si>
    <t xml:space="preserve">Spacing (mm)</t>
  </si>
  <si>
    <t xml:space="preserve">No. per Unit</t>
  </si>
  <si>
    <t xml:space="preserve">Bar Length incl. Laps (m)</t>
  </si>
  <si>
    <t xml:space="preserve">Shape Code (BS 8666)</t>
  </si>
  <si>
    <t xml:space="preserve">No. Used</t>
  </si>
  <si>
    <t xml:space="preserve">Weight (kg/unit)</t>
  </si>
  <si>
    <t xml:space="preserve">ID Check</t>
  </si>
  <si>
    <t xml:space="preserve">Design ID (new rev)</t>
  </si>
  <si>
    <t xml:space="preserve">Revision</t>
  </si>
  <si>
    <t xml:space="preserve">Superseded Design ID</t>
  </si>
  <si>
    <t xml:space="preserve">Date</t>
  </si>
  <si>
    <t xml:space="preserve">Change Description</t>
  </si>
  <si>
    <t xml:space="preserve">Reason</t>
  </si>
  <si>
    <t xml:space="preserve">Changed By</t>
  </si>
  <si>
    <t xml:space="preserve">Checked By</t>
  </si>
  <si>
    <t xml:space="preserve">Source Projects: past projects that library designs were taken from</t>
  </si>
  <si>
    <t xml:space="preserve">One row per past project. Registers pick the Project Ref from here, so name, client and authority are typed once.</t>
  </si>
  <si>
    <t xml:space="preserve">Green-shaded rows = EXAMPLE data.</t>
  </si>
  <si>
    <t xml:space="preserve">EX-P001</t>
  </si>
  <si>
    <t xml:space="preserve">EXAMPLE Road upgrading at Jalan Contoh</t>
  </si>
  <si>
    <t xml:space="preserve">EXAMPLE client</t>
  </si>
  <si>
    <t xml:space="preserve">LTA</t>
  </si>
  <si>
    <t xml:space="preserve">EX/2023/001</t>
  </si>
  <si>
    <t xml:space="preserve">Jalan Contoh</t>
  </si>
  <si>
    <t xml:space="preserve">EXAMPLE QP</t>
  </si>
  <si>
    <t xml:space="preserve">EXAMPLE Contractor</t>
  </si>
  <si>
    <t xml:space="preserve">P:\Projects\EX-P001\Drawings</t>
  </si>
  <si>
    <t xml:space="preserve">EX-P002</t>
  </si>
  <si>
    <t xml:space="preserve">EXAMPLE Sewer renewal, Sector 12</t>
  </si>
  <si>
    <t xml:space="preserve">PUB</t>
  </si>
  <si>
    <t xml:space="preserve">EX/2024/014</t>
  </si>
  <si>
    <t xml:space="preserve">Sector 12</t>
  </si>
  <si>
    <t xml:space="preserve">EXAMPLE QP (Geo)</t>
  </si>
  <si>
    <t xml:space="preserve">P:\Projects\EX-P002\Drawings</t>
  </si>
  <si>
    <t xml:space="preserve">EX-P003</t>
  </si>
  <si>
    <t xml:space="preserve">EXAMPLE Industrial development, Tuas</t>
  </si>
  <si>
    <t xml:space="preserve">Private</t>
  </si>
  <si>
    <t xml:space="preserve">EX/2022/007</t>
  </si>
  <si>
    <t xml:space="preserve">Tuas</t>
  </si>
  <si>
    <t xml:space="preserve">P:\Projects\EX-P003\Drawings</t>
  </si>
  <si>
    <t xml:space="preserve">Drainage Standard Design Register (Singapore)</t>
  </si>
  <si>
    <t xml:space="preserve">Drains, culverts, sumps, chambers. Compliance uses SG_Criteria (PUB COP SWD, LTA SDRE). Quantities per Qty Unit.</t>
  </si>
  <si>
    <t xml:space="preserve">Yellow = type / pick.  Grey = automatic.  Purple = the design's file set (built from the Design ID).  Green = tender quantities per unit.  Green-shaded rows = EXAMPLE data, values illustrative: delete or overwrite.</t>
  </si>
  <si>
    <t xml:space="preserve">drain</t>
  </si>
  <si>
    <t xml:space="preserve">Roadside drain</t>
  </si>
  <si>
    <t xml:space="preserve">Open</t>
  </si>
  <si>
    <t xml:space="preserve">12 kPa</t>
  </si>
  <si>
    <t xml:space="preserve">C32/40</t>
  </si>
  <si>
    <t xml:space="preserve">B10 mesh</t>
  </si>
  <si>
    <t xml:space="preserve">-</t>
  </si>
  <si>
    <t xml:space="preserve">1:200 - 1:1000</t>
  </si>
  <si>
    <t xml:space="preserve">75 lean conc. C12/15; granular backfill</t>
  </si>
  <si>
    <t xml:space="preserve">XC4</t>
  </si>
  <si>
    <t xml:space="preserve">B500B (SS 560)</t>
  </si>
  <si>
    <t xml:space="preserve">PUB COP SWD 7th Ed + Add.3; LTA SDRE Rev I Ch.2; SS EN 1992-1-1</t>
  </si>
  <si>
    <t xml:space="preserve">PUB COP SWD 7th Ed Add.3 (2025); LTA SDRE Rev I (2026)</t>
  </si>
  <si>
    <t xml:space="preserve">A</t>
  </si>
  <si>
    <t xml:space="preserve">STD-DR-001</t>
  </si>
  <si>
    <t xml:space="preserve">EXAMPLE. Per LTA SDRE precast U-drain; confirm supplier unit.</t>
  </si>
  <si>
    <t xml:space="preserve">EXAMPLE EX-P001-C-001</t>
  </si>
  <si>
    <t xml:space="preserve">EXAMPLE design report, p.12</t>
  </si>
  <si>
    <t xml:space="preserve">EXAMPLE</t>
  </si>
  <si>
    <t xml:space="preserve">EXAMPLE ref</t>
  </si>
  <si>
    <t xml:space="preserve">B12 mesh</t>
  </si>
  <si>
    <t xml:space="preserve">STD-DR-002</t>
  </si>
  <si>
    <t xml:space="preserve">EXAMPLE. </t>
  </si>
  <si>
    <t xml:space="preserve">EXAMPLE EX-P001-C-002</t>
  </si>
  <si>
    <t xml:space="preserve">Covered - RC slab</t>
  </si>
  <si>
    <t xml:space="preserve">Footway 5 kPa (SDRE)</t>
  </si>
  <si>
    <t xml:space="preserve">Footway 5 kPa</t>
  </si>
  <si>
    <t xml:space="preserve">T10@150</t>
  </si>
  <si>
    <t xml:space="preserve">T10@200</t>
  </si>
  <si>
    <t xml:space="preserve">STD-DR-003</t>
  </si>
  <si>
    <t xml:space="preserve">EXAMPLE. Under footway only.</t>
  </si>
  <si>
    <t xml:space="preserve">EXAMPLE EX-P001-C-003</t>
  </si>
  <si>
    <t xml:space="preserve">Outlet / main drain</t>
  </si>
  <si>
    <t xml:space="preserve">T13@150</t>
  </si>
  <si>
    <t xml:space="preserve">STD-DR-004</t>
  </si>
  <si>
    <t xml:space="preserve">EXAMPLE. D &gt; 1.0 m: add railing STD-RLG-001.</t>
  </si>
  <si>
    <t xml:space="preserve">EXAMPLE EX-P001-C-004</t>
  </si>
  <si>
    <t xml:space="preserve">T16@150</t>
  </si>
  <si>
    <t xml:space="preserve">T13@200</t>
  </si>
  <si>
    <t xml:space="preserve">STD-DR-005</t>
  </si>
  <si>
    <t xml:space="preserve">EXAMPLE. Awaiting QP approval.</t>
  </si>
  <si>
    <t xml:space="preserve">EXAMPLE EX-P001-C-005</t>
  </si>
  <si>
    <t xml:space="preserve">culvert crossing road vehicular</t>
  </si>
  <si>
    <t xml:space="preserve">Road crossing culvert</t>
  </si>
  <si>
    <t xml:space="preserve">Closed (culvert)</t>
  </si>
  <si>
    <t xml:space="preserve">Vehicular LM1 (SS EN 1991-2)</t>
  </si>
  <si>
    <t xml:space="preserve">0.5 - 2.0 m fill</t>
  </si>
  <si>
    <t xml:space="preserve">PUB COP SWD; LTA CDC C&amp;S A3; SS EN 1991-2 LM1; SS EN 1992-1-1</t>
  </si>
  <si>
    <t xml:space="preserve">STD-BC-001</t>
  </si>
  <si>
    <t xml:space="preserve">EXAMPLE. STAAD frame: LM1 + earth pressure.</t>
  </si>
  <si>
    <t xml:space="preserve">EXAMPLE Tender T-2026-01</t>
  </si>
  <si>
    <t xml:space="preserve">T20@150</t>
  </si>
  <si>
    <t xml:space="preserve">STD-BC-002</t>
  </si>
  <si>
    <t xml:space="preserve">EXAMPLE. Twin cell.</t>
  </si>
  <si>
    <t xml:space="preserve">Entrance culvert</t>
  </si>
  <si>
    <t xml:space="preserve">Covered - grating</t>
  </si>
  <si>
    <t xml:space="preserve">Heavy duty grating</t>
  </si>
  <si>
    <t xml:space="preserve">D400</t>
  </si>
  <si>
    <t xml:space="preserve">600 x 1000</t>
  </si>
  <si>
    <t xml:space="preserve">STD-EC-001</t>
  </si>
  <si>
    <t xml:space="preserve">EXAMPLE. Hinged heavy-duty grating.</t>
  </si>
  <si>
    <t xml:space="preserve">Common drain</t>
  </si>
  <si>
    <t xml:space="preserve">T10@250</t>
  </si>
  <si>
    <t xml:space="preserve">C250</t>
  </si>
  <si>
    <t xml:space="preserve">450 x 1000</t>
  </si>
  <si>
    <t xml:space="preserve">STD-CMD-001</t>
  </si>
  <si>
    <t xml:space="preserve">EXAMPLE. Within development only.</t>
  </si>
  <si>
    <t xml:space="preserve">C25/30</t>
  </si>
  <si>
    <t xml:space="preserve">STD-DR-099</t>
  </si>
  <si>
    <t xml:space="preserve">EXAMPLE. Shows a design the SG check rejects.</t>
  </si>
  <si>
    <t xml:space="preserve">EXAMPLE EX-P001-C-099</t>
  </si>
  <si>
    <t xml:space="preserve">DIC kerb inlet</t>
  </si>
  <si>
    <t xml:space="preserve">B125</t>
  </si>
  <si>
    <t xml:space="preserve">STD-DIC-001</t>
  </si>
  <si>
    <t xml:space="preserve">nr</t>
  </si>
  <si>
    <t xml:space="preserve">EXAMPLE. 250 dia uPVC outlet.</t>
  </si>
  <si>
    <t xml:space="preserve">sump chamber</t>
  </si>
  <si>
    <t xml:space="preserve">900 x 1000</t>
  </si>
  <si>
    <t xml:space="preserve">STD-SP-001</t>
  </si>
  <si>
    <t xml:space="preserve">RC &amp; Gravity Retaining Wall Register (Singapore)</t>
  </si>
  <si>
    <t xml:space="preserve">Cantilever (toe &amp; heel), L-wall (heel only), reverse L-wall (toe only), counterfort, gravity, block, gabion, MSE. Embedded walls (CBP, secant, sheet pile, D-wall) go in Embedded_Wall_Register.</t>
  </si>
  <si>
    <t xml:space="preserve">retaining wall slope platform</t>
  </si>
  <si>
    <t xml:space="preserve">Firm/stiff clay (general)</t>
  </si>
  <si>
    <t xml:space="preserve">DA1-C1 &amp; C2</t>
  </si>
  <si>
    <t xml:space="preserve">T13@250</t>
  </si>
  <si>
    <t xml:space="preserve">75 dia @ 1.5 m c/c + geotextile</t>
  </si>
  <si>
    <t xml:space="preserve">SS EN 1997-1 DA1 + NA; SS EN 1992-1-1; LTA CDC C&amp;S A3</t>
  </si>
  <si>
    <t xml:space="preserve">LTA CDC C&amp;S A3 (2025); BCA ERSS req (2024)</t>
  </si>
  <si>
    <t xml:space="preserve">STD-RW-001</t>
  </si>
  <si>
    <t xml:space="preserve">EXAMPLE EX-P003-C-001</t>
  </si>
  <si>
    <t xml:space="preserve">STD-RW-011</t>
  </si>
  <si>
    <t xml:space="preserve">EXAMPLE EX-P003-C-011</t>
  </si>
  <si>
    <t xml:space="preserve">STD-RW-012</t>
  </si>
  <si>
    <t xml:space="preserve">EXAMPLE. For walls on the site boundary (no heel).</t>
  </si>
  <si>
    <t xml:space="preserve">EXAMPLE EX-P003-C-012</t>
  </si>
  <si>
    <t xml:space="preserve">STD-RW-002</t>
  </si>
  <si>
    <t xml:space="preserve">EXAMPLE EX-P003-C-002</t>
  </si>
  <si>
    <t xml:space="preserve">STD-RW-003</t>
  </si>
  <si>
    <t xml:space="preserve">EXAMPLE EX-P003-C-003</t>
  </si>
  <si>
    <t xml:space="preserve">STD-RW-004</t>
  </si>
  <si>
    <t xml:space="preserve">EXAMPLE EX-P003-C-004</t>
  </si>
  <si>
    <t xml:space="preserve">T16@125</t>
  </si>
  <si>
    <t xml:space="preserve">STD-RW-005</t>
  </si>
  <si>
    <t xml:space="preserve">EXAMPLE EX-P003-C-005</t>
  </si>
  <si>
    <t xml:space="preserve">STD-RW-006</t>
  </si>
  <si>
    <t xml:space="preserve">EXAMPLE EX-P003-C-006</t>
  </si>
  <si>
    <t xml:space="preserve">STD-RW-007</t>
  </si>
  <si>
    <t xml:space="preserve">EXAMPLE. GWT at 1/2 H behind wall.</t>
  </si>
  <si>
    <t xml:space="preserve">EXAMPLE EX-P003-C-007</t>
  </si>
  <si>
    <t xml:space="preserve">T25@150</t>
  </si>
  <si>
    <t xml:space="preserve">T20@125</t>
  </si>
  <si>
    <t xml:space="preserve">STD-RW-008</t>
  </si>
  <si>
    <t xml:space="preserve">EXAMPLE EX-P003-C-008</t>
  </si>
  <si>
    <t xml:space="preserve">STD-RW-013</t>
  </si>
  <si>
    <t xml:space="preserve">EXAMPLE. Counterforts at 3.0 m c/c.</t>
  </si>
  <si>
    <t xml:space="preserve">EXAMPLE EX-P003-C-013</t>
  </si>
  <si>
    <t xml:space="preserve">STD-RW-009</t>
  </si>
  <si>
    <t xml:space="preserve">EXAMPLE. Mass concrete, no rebar.</t>
  </si>
  <si>
    <t xml:space="preserve">EXAMPLE EX-P003-C-009</t>
  </si>
  <si>
    <t xml:space="preserve">Embedded Retaining Wall / ERSS Register (Singapore)</t>
  </si>
  <si>
    <t xml:space="preserve">CBP, secant, sheet pile, diaphragm wall, soldier pile. Tabulated by excavation depth, support system and soil profile. Standard designs are tender-stage typicals for a soil profile class; site-specific design always required.</t>
  </si>
  <si>
    <t xml:space="preserve">ERSS basement excavation</t>
  </si>
  <si>
    <t xml:space="preserve">Cantilever (no support)</t>
  </si>
  <si>
    <t xml:space="preserve">600 dia</t>
  </si>
  <si>
    <t xml:space="preserve">750 c/c</t>
  </si>
  <si>
    <t xml:space="preserve">12T25, R10@200</t>
  </si>
  <si>
    <t xml:space="preserve">900 x 800</t>
  </si>
  <si>
    <t xml:space="preserve">Bored / RCD</t>
  </si>
  <si>
    <t xml:space="preserve">Inclinometer @ 20 m</t>
  </si>
  <si>
    <t xml:space="preserve">24 / 30 mm</t>
  </si>
  <si>
    <t xml:space="preserve">STD-EW-001-SEQ</t>
  </si>
  <si>
    <t xml:space="preserve">XC2</t>
  </si>
  <si>
    <t xml:space="preserve">SS EN 1997-1 DA1 + NA; SS EN 1992-1-1; BCA ERSS requirements</t>
  </si>
  <si>
    <t xml:space="preserve">STD-EW-001</t>
  </si>
  <si>
    <t xml:space="preserve">EXAMPLE. Plus lagging / shotcrete between piles.</t>
  </si>
  <si>
    <t xml:space="preserve">800 dia</t>
  </si>
  <si>
    <t xml:space="preserve">950 c/c</t>
  </si>
  <si>
    <t xml:space="preserve">16T32, R12@150</t>
  </si>
  <si>
    <t xml:space="preserve">1100 x 900</t>
  </si>
  <si>
    <t xml:space="preserve">UB 610x229</t>
  </si>
  <si>
    <t xml:space="preserve">CHS 508x12.5 @ 6 m</t>
  </si>
  <si>
    <t xml:space="preserve">50%</t>
  </si>
  <si>
    <t xml:space="preserve">Inclinometer, strain gauges</t>
  </si>
  <si>
    <t xml:space="preserve">28 / 34 mm</t>
  </si>
  <si>
    <t xml:space="preserve">STD-EW-002-SEQ</t>
  </si>
  <si>
    <t xml:space="preserve">STD-EW-002</t>
  </si>
  <si>
    <t xml:space="preserve">Kallang Formation (marine clay)</t>
  </si>
  <si>
    <t xml:space="preserve">1000 dia</t>
  </si>
  <si>
    <t xml:space="preserve">200 overlap</t>
  </si>
  <si>
    <t xml:space="preserve">Primary 20T32</t>
  </si>
  <si>
    <t xml:space="preserve">1300 x 1000</t>
  </si>
  <si>
    <t xml:space="preserve">UB 762x267</t>
  </si>
  <si>
    <t xml:space="preserve">CHS 610x16 @ 6 m</t>
  </si>
  <si>
    <t xml:space="preserve">Inclinometer, piezometer, settlement markers</t>
  </si>
  <si>
    <t xml:space="preserve">STD-EW-003-SEQ</t>
  </si>
  <si>
    <t xml:space="preserve">STD-EW-003</t>
  </si>
  <si>
    <t xml:space="preserve">EXAMPLE. Watertight; toe into Old Alluvium.</t>
  </si>
  <si>
    <t xml:space="preserve">Temporary</t>
  </si>
  <si>
    <t xml:space="preserve">FSP IV</t>
  </si>
  <si>
    <t xml:space="preserve">UB 457x191</t>
  </si>
  <si>
    <t xml:space="preserve">CHS 406x12.5 @ 5 m</t>
  </si>
  <si>
    <t xml:space="preserve">Silent piler (press-in)</t>
  </si>
  <si>
    <t xml:space="preserve">Inclinometer, piezometer</t>
  </si>
  <si>
    <t xml:space="preserve">35 / 42 mm</t>
  </si>
  <si>
    <t xml:space="preserve">STD-EW-004-SEQ</t>
  </si>
  <si>
    <t xml:space="preserve">STD-EW-004</t>
  </si>
  <si>
    <t xml:space="preserve">EXAMPLE. Per BCA sheet pile integrity guideline (Nov 2025).</t>
  </si>
  <si>
    <t xml:space="preserve">3 levels strut</t>
  </si>
  <si>
    <t xml:space="preserve">Panels 6 m</t>
  </si>
  <si>
    <t xml:space="preserve">T40@150 both faces</t>
  </si>
  <si>
    <t xml:space="preserve">1200 x 1200</t>
  </si>
  <si>
    <t xml:space="preserve">Twin UB 914</t>
  </si>
  <si>
    <t xml:space="preserve">Twin H400 @ 8 m</t>
  </si>
  <si>
    <t xml:space="preserve">Grab / hydrofraise</t>
  </si>
  <si>
    <t xml:space="preserve">Full instrumentation plan</t>
  </si>
  <si>
    <t xml:space="preserve">42 / 51 mm</t>
  </si>
  <si>
    <t xml:space="preserve">STD-EW-005-SEQ</t>
  </si>
  <si>
    <t xml:space="preserve">STD-EW-005</t>
  </si>
  <si>
    <t xml:space="preserve">EXAMPLE. Indicative only; project-specific design.</t>
  </si>
  <si>
    <t xml:space="preserve">Sewer Manhole Register (Singapore, permanent)</t>
  </si>
  <si>
    <t xml:space="preserve">Permanent manholes per PUB COP SSW 3rd Ed and PUB/WRN/STD drawings. One row per size and depth range. Link the typical temporary ERSS pit design.</t>
  </si>
  <si>
    <t xml:space="preserve">sewer manhole</t>
  </si>
  <si>
    <t xml:space="preserve">Cast-in-situ</t>
  </si>
  <si>
    <t xml:space="preserve">Rectangular</t>
  </si>
  <si>
    <t xml:space="preserve">Heavy duty DI, per PUB std</t>
  </si>
  <si>
    <t xml:space="preserve">600 dia clear</t>
  </si>
  <si>
    <t xml:space="preserve">Step irons @ 300</t>
  </si>
  <si>
    <t xml:space="preserve">Per PUB std</t>
  </si>
  <si>
    <t xml:space="preserve">Epoxy / HDPE lining (sewer gas)</t>
  </si>
  <si>
    <t xml:space="preserve">PUB/WRN/STD/001C</t>
  </si>
  <si>
    <t xml:space="preserve">ERSS-TSB-3000x2500-D3000-FSC-A</t>
  </si>
  <si>
    <t xml:space="preserve">XA1</t>
  </si>
  <si>
    <t xml:space="preserve">PUB COP SSW 3rd Ed (Mar 2025); PUB/WRN/STD drawings; SS EN 1992-1-1</t>
  </si>
  <si>
    <t xml:space="preserve">PUB COP SSW 3rd Ed (2025); PUB/WRN/STD drawings</t>
  </si>
  <si>
    <t xml:space="preserve">STD-MH-001</t>
  </si>
  <si>
    <t xml:space="preserve">EXAMPLE. Quantities at max depth.</t>
  </si>
  <si>
    <t xml:space="preserve">EXAMPLE EX-P002-C-001</t>
  </si>
  <si>
    <t xml:space="preserve">900 x 600</t>
  </si>
  <si>
    <t xml:space="preserve">T16@200</t>
  </si>
  <si>
    <t xml:space="preserve">STD-MH-002</t>
  </si>
  <si>
    <t xml:space="preserve">EXAMPLE EX-P002-C-002</t>
  </si>
  <si>
    <t xml:space="preserve">PUB/WRN/STD/004C</t>
  </si>
  <si>
    <t xml:space="preserve">STD-MH-003</t>
  </si>
  <si>
    <t xml:space="preserve">EXAMPLE EX-P002-C-003</t>
  </si>
  <si>
    <t xml:space="preserve">Precast</t>
  </si>
  <si>
    <t xml:space="preserve">Circular</t>
  </si>
  <si>
    <t xml:space="preserve">Rebated + sealant</t>
  </si>
  <si>
    <t xml:space="preserve">Precast rings</t>
  </si>
  <si>
    <t xml:space="preserve">PUB/WRN/STD/006C + 003B</t>
  </si>
  <si>
    <t xml:space="preserve">ERSS-SC-3000x3000-D10000-OA-A</t>
  </si>
  <si>
    <t xml:space="preserve">STD-MH-004</t>
  </si>
  <si>
    <t xml:space="preserve">EXAMPLE EX-P002-C-004</t>
  </si>
  <si>
    <t xml:space="preserve">STD-MH-099</t>
  </si>
  <si>
    <t xml:space="preserve">EXAMPLE. Shows the 001C depth check.</t>
  </si>
  <si>
    <t xml:space="preserve">EXAMPLE EX-P002-C-099</t>
  </si>
  <si>
    <t xml:space="preserve">Temporary ERSS Pit Register (manholes, jacking / receiving pits, trenches)</t>
  </si>
  <si>
    <t xml:space="preserve">Temporary works for sewer manholes and pits, per nr. BCA submission route shown is indicative: QP to confirm per project.</t>
  </si>
  <si>
    <t xml:space="preserve">temporary works sewer pit</t>
  </si>
  <si>
    <t xml:space="preserve">Steel shoring box</t>
  </si>
  <si>
    <t xml:space="preserve">Box frame</t>
  </si>
  <si>
    <t xml:space="preserve">Excavator placed</t>
  </si>
  <si>
    <t xml:space="preserve">Sump pump</t>
  </si>
  <si>
    <t xml:space="preserve">Inclinometer, piezometer; alert 7 mm</t>
  </si>
  <si>
    <t xml:space="preserve">SS EN 1997-1 DA1 + NA; BCA ERSS requirements (Mar 2024); BCA sheet pile guideline (Nov 2025)</t>
  </si>
  <si>
    <t xml:space="preserve">BCA ERSS req (2024); BCA sheet pile guideline (2025)</t>
  </si>
  <si>
    <t xml:space="preserve">STD-EP-001</t>
  </si>
  <si>
    <t xml:space="preserve">EXAMPLE. Hired box; quantities exclude hire.</t>
  </si>
  <si>
    <t xml:space="preserve">FSP III</t>
  </si>
  <si>
    <t xml:space="preserve">Corner brace UB 406</t>
  </si>
  <si>
    <t xml:space="preserve">Well points</t>
  </si>
  <si>
    <t xml:space="preserve">Inclinometer, piezometer; alert 21 mm</t>
  </si>
  <si>
    <t xml:space="preserve">STD-EP-002</t>
  </si>
  <si>
    <t xml:space="preserve">EXAMPLE. Steel = sheet piles + walers + struts.</t>
  </si>
  <si>
    <t xml:space="preserve">Jacking pit</t>
  </si>
  <si>
    <t xml:space="preserve">CHS 508 + thrust wall</t>
  </si>
  <si>
    <t xml:space="preserve">Well points + JGP base</t>
  </si>
  <si>
    <t xml:space="preserve">Inclinometer, piezometer; alert 24 mm</t>
  </si>
  <si>
    <t xml:space="preserve">STD-EP-003</t>
  </si>
  <si>
    <t xml:space="preserve">EXAMPLE. Includes RC thrust wall.</t>
  </si>
  <si>
    <t xml:space="preserve">Liner plate rings</t>
  </si>
  <si>
    <t xml:space="preserve">Ring stiffeners</t>
  </si>
  <si>
    <t xml:space="preserve">Grouting as needed</t>
  </si>
  <si>
    <t xml:space="preserve">Inclinometer, piezometer; alert 10 mm</t>
  </si>
  <si>
    <t xml:space="preserve">STD-EP-004</t>
  </si>
  <si>
    <t xml:space="preserve">Covered Linkway Register (LTA SDRE Ch.22)</t>
  </si>
  <si>
    <t xml:space="preserve">Follows LTA SDRE Rev I (Mar 2026) Chapter 22 Covered Linkway (CLW1 layout/elevations, CLW2 high linkway, CLW3-CLW5 modular). Quantities per bay.</t>
  </si>
  <si>
    <t xml:space="preserve">linkway shelter MRT bus stop</t>
  </si>
  <si>
    <t xml:space="preserve">LTA/SDRE25/22/CLW1</t>
  </si>
  <si>
    <t xml:space="preserve">Single column, central</t>
  </si>
  <si>
    <t xml:space="preserve">CHS 168.3x6.3</t>
  </si>
  <si>
    <t xml:space="preserve">Aluminium sheet</t>
  </si>
  <si>
    <t xml:space="preserve">Curved</t>
  </si>
  <si>
    <t xml:space="preserve">Aluminium gutter, 100 dia DP</t>
  </si>
  <si>
    <t xml:space="preserve">Pad footing</t>
  </si>
  <si>
    <t xml:space="preserve">1200 x 1200 x 600</t>
  </si>
  <si>
    <t xml:space="preserve">400 x 600</t>
  </si>
  <si>
    <t xml:space="preserve">300 x 300 x 20</t>
  </si>
  <si>
    <t xml:space="preserve">4 nos M20 Gr 8.8</t>
  </si>
  <si>
    <t xml:space="preserve">None (exposed)</t>
  </si>
  <si>
    <t xml:space="preserve">L/200</t>
  </si>
  <si>
    <t xml:space="preserve">Conduit only</t>
  </si>
  <si>
    <t xml:space="preserve">XC3</t>
  </si>
  <si>
    <t xml:space="preserve">LTA SDRE Rev I (Mar 2026) Ch.22; LTA ADC s4.8; SS EN 1991-1-4; SS EN 1993-1-1</t>
  </si>
  <si>
    <t xml:space="preserve">LTA SDRE Rev I (2026) Ch.22</t>
  </si>
  <si>
    <t xml:space="preserve">STD-LKW-001</t>
  </si>
  <si>
    <t xml:space="preserve">bay</t>
  </si>
  <si>
    <t xml:space="preserve">EXAMPLE. Per bay incl. 1 footing. Confirm against SDRE CLW sheets.</t>
  </si>
  <si>
    <t xml:space="preserve">Double column</t>
  </si>
  <si>
    <t xml:space="preserve">CHS 139.7x5.0</t>
  </si>
  <si>
    <t xml:space="preserve">Aluminium + polycarbonate</t>
  </si>
  <si>
    <t xml:space="preserve">1000 x 1000 x 600</t>
  </si>
  <si>
    <t xml:space="preserve">STD-LKW-002</t>
  </si>
  <si>
    <t xml:space="preserve">EXAMPLE. For MRT/LRT and high-traffic routes.</t>
  </si>
  <si>
    <t xml:space="preserve">LTA/SDRE25/22/CLW2</t>
  </si>
  <si>
    <t xml:space="preserve">CHS 219.1x8.0</t>
  </si>
  <si>
    <t xml:space="preserve">Metal deck</t>
  </si>
  <si>
    <t xml:space="preserve">Flat, 2% fall</t>
  </si>
  <si>
    <t xml:space="preserve">1500 x 1500 x 800</t>
  </si>
  <si>
    <t xml:space="preserve">500 x 600</t>
  </si>
  <si>
    <t xml:space="preserve">400 x 400 x 25</t>
  </si>
  <si>
    <t xml:space="preserve">4 nos M24 Gr 8.8</t>
  </si>
  <si>
    <t xml:space="preserve">STD-LKW-003</t>
  </si>
  <si>
    <t xml:space="preserve">EXAMPLE. Over vehicular access. Awaiting QP approval.</t>
  </si>
  <si>
    <t xml:space="preserve">LTA/SDRE25/22/CLW3</t>
  </si>
  <si>
    <t xml:space="preserve">Single column, side (cantilever)</t>
  </si>
  <si>
    <t xml:space="preserve">Per SDRE CLW3</t>
  </si>
  <si>
    <t xml:space="preserve">Per SDRE</t>
  </si>
  <si>
    <t xml:space="preserve">STD-LKW-004</t>
  </si>
  <si>
    <t xml:space="preserve">EXAMPLE. Populate from SDRE Rev I modular sheets (CLW3-CLW5).</t>
  </si>
  <si>
    <t xml:space="preserve">Other Structures Register</t>
  </si>
  <si>
    <t xml:space="preserve">Railing, staircase, POB, USD, bus shelter and others.</t>
  </si>
  <si>
    <t xml:space="preserve">railing</t>
  </si>
  <si>
    <t xml:space="preserve">Railing</t>
  </si>
  <si>
    <t xml:space="preserve">Drain Safety</t>
  </si>
  <si>
    <t xml:space="preserve">Line load per SS EN 1991-1-1</t>
  </si>
  <si>
    <t xml:space="preserve">Cast-in plate</t>
  </si>
  <si>
    <t xml:space="preserve">Galv. steel</t>
  </si>
  <si>
    <t xml:space="preserve">50x50 SHS posts @1.5 m</t>
  </si>
  <si>
    <t xml:space="preserve">LTA CDC C&amp;S A3; LTA SDRE Rev I; SS EN 1990/1991/1993</t>
  </si>
  <si>
    <t xml:space="preserve">LTA CDC C&amp;S A3 (2025)</t>
  </si>
  <si>
    <t xml:space="preserve">STD-RLG-001</t>
  </si>
  <si>
    <t xml:space="preserve">EXAMPLE. For open drains deeper than 1.0 m.</t>
  </si>
  <si>
    <t xml:space="preserve">Parapet</t>
  </si>
  <si>
    <t xml:space="preserve">Bolted to RC kerb</t>
  </si>
  <si>
    <t xml:space="preserve">100x50 RHS posts @1.2 m</t>
  </si>
  <si>
    <t xml:space="preserve">STD-RLG-002</t>
  </si>
  <si>
    <t xml:space="preserve">staircase</t>
  </si>
  <si>
    <t xml:space="preserve">Staircase</t>
  </si>
  <si>
    <t xml:space="preserve">RC Straight Flight</t>
  </si>
  <si>
    <t xml:space="preserve">Imposed per SS EN 1991-1-1</t>
  </si>
  <si>
    <t xml:space="preserve">Ground beam</t>
  </si>
  <si>
    <t xml:space="preserve">RC C32/40</t>
  </si>
  <si>
    <t xml:space="preserve">Waist 175, T13@150</t>
  </si>
  <si>
    <t xml:space="preserve">STD-STR-001</t>
  </si>
  <si>
    <t xml:space="preserve">EXAMPLE. Per flight.</t>
  </si>
  <si>
    <t xml:space="preserve">pob</t>
  </si>
  <si>
    <t xml:space="preserve">POB</t>
  </si>
  <si>
    <t xml:space="preserve">Steel Truss with Lift</t>
  </si>
  <si>
    <t xml:space="preserve">Crowd load; SS EN 1991-2</t>
  </si>
  <si>
    <t xml:space="preserve">Bored piles</t>
  </si>
  <si>
    <t xml:space="preserve">Steel truss</t>
  </si>
  <si>
    <t xml:space="preserve">Warren truss, CHS chords</t>
  </si>
  <si>
    <t xml:space="preserve">STD-POB-001</t>
  </si>
  <si>
    <t xml:space="preserve">EXAMPLE. Indicative only.</t>
  </si>
  <si>
    <t xml:space="preserve">Rebar Schedule: bars per design, per Qty Unit (per m run, per nr or per bay)</t>
  </si>
  <si>
    <t xml:space="preserve">One row per bar mark. Weight = 0.00617 x dia^2 x length x number. Leave 'No. per Unit' blank to use 1000 / spacing (bars per metre run). Each register compares its 'Rebar (kg/unit)' with the total here.</t>
  </si>
  <si>
    <t xml:space="preserve">B1</t>
  </si>
  <si>
    <t xml:space="preserve">Wall outer face</t>
  </si>
  <si>
    <t xml:space="preserve">T</t>
  </si>
  <si>
    <t xml:space="preserve">Loop (lapped)</t>
  </si>
  <si>
    <t xml:space="preserve">Outer face, walls + slabs</t>
  </si>
  <si>
    <t xml:space="preserve">B2</t>
  </si>
  <si>
    <t xml:space="preserve">Wall inner face</t>
  </si>
  <si>
    <t xml:space="preserve">Inner face, walls + slabs</t>
  </si>
  <si>
    <t xml:space="preserve">B3</t>
  </si>
  <si>
    <t xml:space="preserve">Distribution</t>
  </si>
  <si>
    <t xml:space="preserve">00</t>
  </si>
  <si>
    <t xml:space="preserve">Longitudinal, both faces</t>
  </si>
  <si>
    <t xml:space="preserve">R1</t>
  </si>
  <si>
    <t xml:space="preserve">Stem back face</t>
  </si>
  <si>
    <t xml:space="preserve">11</t>
  </si>
  <si>
    <t xml:space="preserve">Main tension bars</t>
  </si>
  <si>
    <t xml:space="preserve">R2</t>
  </si>
  <si>
    <t xml:space="preserve">Stem front face</t>
  </si>
  <si>
    <t xml:space="preserve">R3</t>
  </si>
  <si>
    <t xml:space="preserve">Base bottom</t>
  </si>
  <si>
    <t xml:space="preserve">21</t>
  </si>
  <si>
    <t xml:space="preserve">R4</t>
  </si>
  <si>
    <t xml:space="preserve">Base top</t>
  </si>
  <si>
    <t xml:space="preserve">R5</t>
  </si>
  <si>
    <t xml:space="preserve">Stem, both faces</t>
  </si>
  <si>
    <t xml:space="preserve">R6</t>
  </si>
  <si>
    <t xml:space="preserve">Base, both faces</t>
  </si>
  <si>
    <t xml:space="preserve">Revision Log: what changed between revisions of a standard design</t>
  </si>
  <si>
    <t xml:space="preserve">Add a row every time a design is revised. The old revision stays in its register with Status = Superseded.</t>
  </si>
  <si>
    <t xml:space="preserve">First issue to library (extracted from EX-P001).</t>
  </si>
  <si>
    <t xml:space="preserve">New standard design</t>
  </si>
  <si>
    <t xml:space="preserve">First issue to library.</t>
  </si>
  <si>
    <t xml:space="preserve">Singapore Design Criteria &amp; Library Settings</t>
  </si>
  <si>
    <t xml:space="preserve">Compliance checks in every register read these cells. Rows marked VERIFY came from older editions or secondary sources: confirm against the current document before go-live and fill 'Verified by'.</t>
  </si>
  <si>
    <t xml:space="preserve">Parameter</t>
  </si>
  <si>
    <t xml:space="preserve">Value</t>
  </si>
  <si>
    <t xml:space="preserve">Source / clause</t>
  </si>
  <si>
    <t xml:space="preserve">Verified by</t>
  </si>
  <si>
    <t xml:space="preserve">LIBRARY FOLDERS (SharePoint document library synced to PC)</t>
  </si>
  <si>
    <t xml:space="preserve">Library root folder</t>
  </si>
  <si>
    <t xml:space="preserve">C:\Users\yourname\YourCompany\Design Library - Documents</t>
  </si>
  <si>
    <t xml:space="preserve">Path of the synced SharePoint library on your PC</t>
  </si>
  <si>
    <t xml:space="preserve">SET</t>
  </si>
  <si>
    <t xml:space="preserve">Library root (normalised)</t>
  </si>
  <si>
    <t xml:space="preserve">calc</t>
  </si>
  <si>
    <t xml:space="preserve">Drainage folder</t>
  </si>
  <si>
    <t xml:space="preserve">01_Drainage</t>
  </si>
  <si>
    <t xml:space="preserve">Retaining wall folder</t>
  </si>
  <si>
    <t xml:space="preserve">02_Retaining_Wall</t>
  </si>
  <si>
    <t xml:space="preserve">Embedded wall / ERSS folder</t>
  </si>
  <si>
    <t xml:space="preserve">03_Embedded_Wall</t>
  </si>
  <si>
    <t xml:space="preserve">Sewer manhole folder</t>
  </si>
  <si>
    <t xml:space="preserve">04_Sewer_Manhole</t>
  </si>
  <si>
    <t xml:space="preserve">Temporary ERSS pit folder</t>
  </si>
  <si>
    <t xml:space="preserve">05_ERSS_Pit</t>
  </si>
  <si>
    <t xml:space="preserve">Linkway folder</t>
  </si>
  <si>
    <t xml:space="preserve">06_Linkway</t>
  </si>
  <si>
    <t xml:space="preserve">Other structures folder</t>
  </si>
  <si>
    <t xml:space="preserve">07_Other_Structures</t>
  </si>
  <si>
    <t xml:space="preserve">DRAINAGE: PUB COP on Surface Water Drainage / LTA SDRE Ch.2</t>
  </si>
  <si>
    <t xml:space="preserve">Roadside drain: min internal width</t>
  </si>
  <si>
    <t xml:space="preserve">PUB COP SWD (roadside drain incl. entrance culvert)</t>
  </si>
  <si>
    <t xml:space="preserve">VERIFY</t>
  </si>
  <si>
    <t xml:space="preserve">Roadside drain: min clear depth</t>
  </si>
  <si>
    <t xml:space="preserve">Common drain: min internal width</t>
  </si>
  <si>
    <t xml:space="preserve">PUB COP SWD cl. 4.5.1</t>
  </si>
  <si>
    <t xml:space="preserve">Open drain depth above which safety railing is required</t>
  </si>
  <si>
    <t xml:space="preserve">PUB COP SWD safety railings clause</t>
  </si>
  <si>
    <t xml:space="preserve">Min concrete grade, drains / walls (fck)</t>
  </si>
  <si>
    <t xml:space="preserve">MPa</t>
  </si>
  <si>
    <t xml:space="preserve">LTA SDRE Ch.2 general notes (C28/35)</t>
  </si>
  <si>
    <t xml:space="preserve">Min clear cover, drains / walls</t>
  </si>
  <si>
    <t xml:space="preserve">LTA SDRE Ch.2 general notes</t>
  </si>
  <si>
    <t xml:space="preserve">Design surcharge on drain walls</t>
  </si>
  <si>
    <t xml:space="preserve">LTA SDRE Ch.2 precast U-drain notes</t>
  </si>
  <si>
    <t xml:space="preserve">Load on top slab of slabbed-over drain (footway)</t>
  </si>
  <si>
    <t xml:space="preserve">LTA SDRE Ch.2</t>
  </si>
  <si>
    <t xml:space="preserve">Min self-cleansing velocity</t>
  </si>
  <si>
    <t xml:space="preserve">PUB COP SWD</t>
  </si>
  <si>
    <t xml:space="preserve">Max velocity, concrete-lined drain</t>
  </si>
  <si>
    <t xml:space="preserve">Freeboard used for capacity (fraction of depth)</t>
  </si>
  <si>
    <t xml:space="preserve">Company assumption. Check PUB COP SWD cl. 7.3.4</t>
  </si>
  <si>
    <t xml:space="preserve">Manning's n, concrete</t>
  </si>
  <si>
    <t xml:space="preserve">Company assumption</t>
  </si>
  <si>
    <t xml:space="preserve">Return period, catchment &lt; 100 ha</t>
  </si>
  <si>
    <t xml:space="preserve">Return period, catchment 100 - 1000 ha</t>
  </si>
  <si>
    <t xml:space="preserve">Return period, catchment &gt; 1000 ha</t>
  </si>
  <si>
    <t xml:space="preserve">RETAINING STRUCTURES &amp; ERSS: LTA CDC / BCA ERSS submission requirements (Mar 2024)</t>
  </si>
  <si>
    <t xml:space="preserve">Min surcharge, permanent earth-retaining structure (LTA works)</t>
  </si>
  <si>
    <t xml:space="preserve">Older LTA CDC value. Confirm vs CDC C&amp;S Rev A3 (Dec 2025)</t>
  </si>
  <si>
    <t xml:space="preserve">Design service life, permanent structures (LTA)</t>
  </si>
  <si>
    <t xml:space="preserve">LTA CDC durability clause</t>
  </si>
  <si>
    <t xml:space="preserve">ERSS: no BCA submission up to (RC / steel wall)</t>
  </si>
  <si>
    <t xml:space="preserve">BCA ERSS submission requirements, Mar 2024</t>
  </si>
  <si>
    <t xml:space="preserve">ERSS: no BCA submission up to (other wall types)</t>
  </si>
  <si>
    <t xml:space="preserve">ERSS: QP(ST) only up to</t>
  </si>
  <si>
    <t xml:space="preserve">BCA: 1.5-4 m QP(ST), no AC</t>
  </si>
  <si>
    <t xml:space="preserve">ERSS: QP(ST) + AC up to</t>
  </si>
  <si>
    <t xml:space="preserve">BCA: 4-6 m QP(ST) + AC; &gt; 6 m geotechnical building works</t>
  </si>
  <si>
    <t xml:space="preserve">Min base stability FOS used for library ERSS pits</t>
  </si>
  <si>
    <t xml:space="preserve">Company criterion</t>
  </si>
  <si>
    <t xml:space="preserve">SEWERAGE: PUB COP on Sewerage &amp; Sanitary Works 3rd Ed (Mar 2025) &amp; standard drawings</t>
  </si>
  <si>
    <t xml:space="preserve">Min depth of sewers and manholes</t>
  </si>
  <si>
    <t xml:space="preserve">PUB COP SSW (2nd Ed wording; confirm in 3rd Ed)</t>
  </si>
  <si>
    <t xml:space="preserve">Min public sewer diameter</t>
  </si>
  <si>
    <t xml:space="preserve">PUB COP SSW</t>
  </si>
  <si>
    <t xml:space="preserve">Max distance between manholes (project check)</t>
  </si>
  <si>
    <t xml:space="preserve">PUB COP SSW (2nd Ed; confirm in 3rd Ed)</t>
  </si>
  <si>
    <t xml:space="preserve">Max depth for standard manhole drawing PUB/WRN/STD/001C</t>
  </si>
  <si>
    <t xml:space="preserve">PUB standard drawings list (001C &lt;= 6 m; 006C precast &gt; 6 m)</t>
  </si>
  <si>
    <t xml:space="preserve">Pipe dia from which rectangular manhole 004C applies</t>
  </si>
  <si>
    <t xml:space="preserve">Min uplift (flotation) FOS for manholes</t>
  </si>
  <si>
    <t xml:space="preserve">Company criterion; check vs SS EN 1997-1 UPL</t>
  </si>
  <si>
    <t xml:space="preserve">COVERED LINKWAY: LTA SDRE Ch.22 (Rev I, Mar 2026) / LTA Architectural Design Criteria</t>
  </si>
  <si>
    <t xml:space="preserve">Low covered linkway: min clear headroom</t>
  </si>
  <si>
    <t xml:space="preserve">LTA covered linkway guide / ADC s4.8</t>
  </si>
  <si>
    <t xml:space="preserve">High covered linkway: min clear headroom</t>
  </si>
  <si>
    <t xml:space="preserve">LTA covered linkway guide</t>
  </si>
  <si>
    <t xml:space="preserve">Min roof width (eave to eave)</t>
  </si>
  <si>
    <t xml:space="preserve">LTA ADC s4.8</t>
  </si>
  <si>
    <t xml:space="preserve">Min roof width to MRT/LRT or high-traffic routes</t>
  </si>
  <si>
    <t xml:space="preserve">Basic wind speed for linkway and fixings</t>
  </si>
  <si>
    <t xml:space="preserve">LTA SDRE Ch.22 notes; SS EN 1991-1-4</t>
  </si>
  <si>
    <t xml:space="preserve">Roof fixing ultimate pull-out capacity</t>
  </si>
  <si>
    <t xml:space="preserve">LTA SDRE Ch.22 notes</t>
  </si>
  <si>
    <t xml:space="preserve">Min RC grade for linkway stumps / footings</t>
  </si>
  <si>
    <t xml:space="preserve">LTA SDRE Ch.22 notes (C25/30)</t>
  </si>
  <si>
    <t xml:space="preserve">LIBRARY DATA QUALITY</t>
  </si>
  <si>
    <t xml:space="preserve">Review interval for standard designs</t>
  </si>
  <si>
    <t xml:space="preserve">Company rule: re-check designs against current codes</t>
  </si>
  <si>
    <t xml:space="preserve">Allowed difference, register rebar vs rebar schedule</t>
  </si>
  <si>
    <t xml:space="preserve">Company rule</t>
  </si>
  <si>
    <t xml:space="preserve">Data completeness needed before Approved</t>
  </si>
  <si>
    <t xml:space="preserve">Company rule (1.0 = all required fields)</t>
  </si>
  <si>
    <t xml:space="preserve">REFERENCE DOCUMENTS (edition the library is built on)</t>
  </si>
  <si>
    <t xml:space="preserve">Document</t>
  </si>
  <si>
    <t xml:space="preserve">Edition / revision</t>
  </si>
  <si>
    <t xml:space="preserve">Applies to</t>
  </si>
  <si>
    <t xml:space="preserve">PUB Code of Practice on Surface Water Drainage</t>
  </si>
  <si>
    <t xml:space="preserve">7th Ed. Dec 2018, Addendum No. 3 (Apr 2025)</t>
  </si>
  <si>
    <t xml:space="preserve">Drains, culverts, sumps</t>
  </si>
  <si>
    <t xml:space="preserve">PUB Code of Practice on Sewerage and Sanitary Works</t>
  </si>
  <si>
    <t xml:space="preserve">3rd Ed. (Mar 2025)</t>
  </si>
  <si>
    <t xml:space="preserve">Sewers, manholes</t>
  </si>
  <si>
    <t xml:space="preserve">PUB Standard Drawings for Sewerage Works</t>
  </si>
  <si>
    <t xml:space="preserve">PUB/WRN/STD/001C, 003B, 004C, 006C</t>
  </si>
  <si>
    <t xml:space="preserve">Manholes &lt;= 6 m, precast parts, rectangular, &gt; 6 m</t>
  </si>
  <si>
    <t xml:space="preserve">LTA Standard Details of Road Elements (SDRE)</t>
  </si>
  <si>
    <t xml:space="preserve">Apr 2014 Ed., Revision I (Mar 2026)</t>
  </si>
  <si>
    <t xml:space="preserve">Ch.2 Drains &amp; Culverts; Ch.22 Covered Linkway (CLW1-CLW5)</t>
  </si>
  <si>
    <t xml:space="preserve">LTA Architectural Design Criteria s4.8 / Covered linkway guide</t>
  </si>
  <si>
    <t xml:space="preserve">Current</t>
  </si>
  <si>
    <t xml:space="preserve">Linkway headroom, width</t>
  </si>
  <si>
    <t xml:space="preserve">LTA Civil Design Criteria for Civil &amp; Structural Works</t>
  </si>
  <si>
    <t xml:space="preserve">Revision A3 (Dec 2025)</t>
  </si>
  <si>
    <t xml:space="preserve">Loads, surcharge, durability for LTA works</t>
  </si>
  <si>
    <t xml:space="preserve">BCA ERSS submission requirements</t>
  </si>
  <si>
    <t xml:space="preserve">Mar 2024</t>
  </si>
  <si>
    <t xml:space="preserve">Submission thresholds, QP / AC</t>
  </si>
  <si>
    <t xml:space="preserve">BCA guideline on integrity of sheet pile walls</t>
  </si>
  <si>
    <t xml:space="preserve">Nov 2025</t>
  </si>
  <si>
    <t xml:space="preserve">Sheet pile ERSS</t>
  </si>
  <si>
    <t xml:space="preserve">SS EN 1992-1-1, SS EN 1991-2, SS EN 1991-1-4, SS EN 1997-1 + Singapore NAs</t>
  </si>
  <si>
    <t xml:space="preserve">RC, traffic, wind, geotechnical</t>
  </si>
  <si>
    <t xml:space="preserve">CAD Detail Standard: rules every library detail DWG must follow</t>
  </si>
  <si>
    <t xml:space="preserve">The TPSHEETS AutoCAD routine relies on these rules to drop details into the title block without manual fixing.</t>
  </si>
  <si>
    <t xml:space="preserve">FILE SET PER DESIGN</t>
  </si>
  <si>
    <t xml:space="preserve">Folder</t>
  </si>
  <si>
    <t xml:space="preserve">&lt;Library root&gt;\&lt;register folder&gt;\&lt;Design ID&gt;\    e.g. ...\04_Sewer_Manhole\MH-SM-1500x1200-D6000-C-A\ </t>
  </si>
  <si>
    <t xml:space="preserve">&lt;ID&gt;_CAD.dwg (tender detail), &lt;ID&gt;_DWG.pdf (plotted detail), &lt;ID&gt;_STAAD.std (STAAD.Pro input, if used), &lt;ID&gt;_CALC.xlsx (live calc), &lt;ID&gt;_CALC.pdf (signed calc report)</t>
  </si>
  <si>
    <t xml:space="preserve">STAAD</t>
  </si>
  <si>
    <t xml:space="preserve">Keep the .std input. Put the STAAD output summary into the calc report PDF and state the STAAD.Pro version. Output files (.anl etc.) optional.</t>
  </si>
  <si>
    <t xml:space="preserve">Move old revisions to ...\99_Superseded\&lt;old ID&gt;\. Never delete.</t>
  </si>
  <si>
    <t xml:space="preserve">DRAWING THE DETAIL (&lt;ID&gt;_CAD.dwg)</t>
  </si>
  <si>
    <t xml:space="preserve">Units / scale</t>
  </si>
  <si>
    <t xml:space="preserve">Model space, 1 unit = 1 mm, drawn full size.</t>
  </si>
  <si>
    <t xml:space="preserve">Origin</t>
  </si>
  <si>
    <t xml:space="preserve">Bottom-left of the detail frame at 0,0. Nothing at negative coordinates.</t>
  </si>
  <si>
    <t xml:space="preserve">Detail frame</t>
  </si>
  <si>
    <t xml:space="preserve">Fit inside one SLOT of the tender sheet at the detail scale. Default A1 slot = 190 x 252 mm paper, minus 20 mm title band: at 1:20 the model frame is 3800 x 4640 mm; 1:25 = 4750 x 5800; 1:50 = 9500 x 11600; 1:100 = 19000 x 23200.</t>
  </si>
  <si>
    <t xml:space="preserve">Text &amp; dims</t>
  </si>
  <si>
    <t xml:space="preserve">Size text, dims and hatch for the detail's own scale (2.5 mm text at 1:20 = 50 mm high; DIMSCALE 20). The routine scales the block by 1/n.</t>
  </si>
  <si>
    <t xml:space="preserve">No title</t>
  </si>
  <si>
    <t xml:space="preserve">Do not draw the detail title, scale or ID in the DWG. The routine writes them from the register.</t>
  </si>
  <si>
    <t xml:space="preserve">Clean file</t>
  </si>
  <si>
    <t xml:space="preserve">Bind or remove xrefs (eTransmit), no images, PURGE and AUDIT before saving. Layers per company CAD standard.</t>
  </si>
  <si>
    <t xml:space="preserve">SDRE / PUB based details</t>
  </si>
  <si>
    <t xml:space="preserve">Where a detail follows an LTA SDRE or PUB standard drawing, note the standard drawing number in the detail notes and in the register.</t>
  </si>
  <si>
    <t xml:space="preserve">TITLE BLOCK TEMPLATE</t>
  </si>
  <si>
    <t xml:space="preserve">Template</t>
  </si>
  <si>
    <t xml:space="preserve">Company A1 title block DWT, title block as a block with attributes on a paper-space layout named TEMPLATE, inserted at 0,0.</t>
  </si>
  <si>
    <t xml:space="preserve">Attributes</t>
  </si>
  <si>
    <t xml:space="preserve">Default tags: PROJECT, DWG_TITLE, DWG_NO, SCALE, SHEET, DATE. Change the tag names at the top of TenderSheets.lsp to match yours.</t>
  </si>
  <si>
    <t xml:space="preserve">Drawing area</t>
  </si>
  <si>
    <t xml:space="preserve">Default x 25 to 645, y 25 to 569 mm (title block on the right). 3 columns x 2 rows = 6 details per A1 sheet. Change in TenderSheets.lsp.</t>
  </si>
  <si>
    <t xml:space="preserve">Dropdown lists. Add new items in the blank rows under a list; codes feed the Design IDs.</t>
  </si>
  <si>
    <t xml:space="preserve">DrainType</t>
  </si>
  <si>
    <t xml:space="preserve">Code</t>
  </si>
  <si>
    <t xml:space="preserve">Cover</t>
  </si>
  <si>
    <t xml:space="preserve">WallType</t>
  </si>
  <si>
    <t xml:space="preserve">EmbType</t>
  </si>
  <si>
    <t xml:space="preserve">Support</t>
  </si>
  <si>
    <t xml:space="preserve">TempPerm</t>
  </si>
  <si>
    <t xml:space="preserve">Soil</t>
  </si>
  <si>
    <t xml:space="preserve">MHType</t>
  </si>
  <si>
    <t xml:space="preserve">Construct</t>
  </si>
  <si>
    <t xml:space="preserve">ERSSType</t>
  </si>
  <si>
    <t xml:space="preserve">LkType</t>
  </si>
  <si>
    <t xml:space="preserve">LkDwg</t>
  </si>
  <si>
    <t xml:space="preserve">LkCols</t>
  </si>
  <si>
    <t xml:space="preserve">Roof</t>
  </si>
  <si>
    <t xml:space="preserve">YN</t>
  </si>
  <si>
    <t xml:space="preserve">Grade</t>
  </si>
  <si>
    <t xml:space="preserve">Scale</t>
  </si>
  <si>
    <t xml:space="preserve">Exposure</t>
  </si>
  <si>
    <t xml:space="preserve">RebarGrade</t>
  </si>
  <si>
    <t xml:space="preserve">Authority</t>
  </si>
  <si>
    <t xml:space="preserve">Approach</t>
  </si>
  <si>
    <t xml:space="preserve">EN124</t>
  </si>
  <si>
    <t xml:space="preserve">Install</t>
  </si>
  <si>
    <t xml:space="preserve">BarLoc</t>
  </si>
  <si>
    <t xml:space="preserve">BarType</t>
  </si>
  <si>
    <t xml:space="preserve">PUD</t>
  </si>
  <si>
    <t xml:space="preserve">Nil / landscape</t>
  </si>
  <si>
    <t xml:space="preserve">NIL</t>
  </si>
  <si>
    <t xml:space="preserve">CANT</t>
  </si>
  <si>
    <t xml:space="preserve">CBP</t>
  </si>
  <si>
    <t xml:space="preserve">CL</t>
  </si>
  <si>
    <t xml:space="preserve">KF</t>
  </si>
  <si>
    <t xml:space="preserve">SM</t>
  </si>
  <si>
    <t xml:space="preserve">C</t>
  </si>
  <si>
    <t xml:space="preserve">SSP</t>
  </si>
  <si>
    <t xml:space="preserve">LCL</t>
  </si>
  <si>
    <t xml:space="preserve">RLG</t>
  </si>
  <si>
    <t xml:space="preserve">XC1</t>
  </si>
  <si>
    <t xml:space="preserve">A15</t>
  </si>
  <si>
    <t xml:space="preserve">Vibro hammer</t>
  </si>
  <si>
    <t xml:space="preserve">SUD</t>
  </si>
  <si>
    <t xml:space="preserve">FWY</t>
  </si>
  <si>
    <t xml:space="preserve">LW</t>
  </si>
  <si>
    <t xml:space="preserve">SPW</t>
  </si>
  <si>
    <t xml:space="preserve">S1</t>
  </si>
  <si>
    <t xml:space="preserve">P</t>
  </si>
  <si>
    <t xml:space="preserve">Fort Canning Boulder Bed</t>
  </si>
  <si>
    <t xml:space="preserve">FCBB</t>
  </si>
  <si>
    <t xml:space="preserve">RM</t>
  </si>
  <si>
    <t xml:space="preserve">TSB</t>
  </si>
  <si>
    <t xml:space="preserve">HCL</t>
  </si>
  <si>
    <t xml:space="preserve">STR</t>
  </si>
  <si>
    <t xml:space="preserve">C28/35</t>
  </si>
  <si>
    <t xml:space="preserve">B500C (SS 560)</t>
  </si>
  <si>
    <t xml:space="preserve">DA1-C1</t>
  </si>
  <si>
    <t xml:space="preserve">R</t>
  </si>
  <si>
    <t xml:space="preserve">OD</t>
  </si>
  <si>
    <t xml:space="preserve">S12</t>
  </si>
  <si>
    <t xml:space="preserve">RLW</t>
  </si>
  <si>
    <t xml:space="preserve">SPS</t>
  </si>
  <si>
    <t xml:space="preserve">2 levels strut</t>
  </si>
  <si>
    <t xml:space="preserve">S2</t>
  </si>
  <si>
    <t xml:space="preserve">Jurong Formation</t>
  </si>
  <si>
    <t xml:space="preserve">JF</t>
  </si>
  <si>
    <t xml:space="preserve">PM</t>
  </si>
  <si>
    <t xml:space="preserve">SC</t>
  </si>
  <si>
    <t xml:space="preserve">Receiving pit</t>
  </si>
  <si>
    <t xml:space="preserve">MCL</t>
  </si>
  <si>
    <t xml:space="preserve">Polycarbonate</t>
  </si>
  <si>
    <t xml:space="preserve">C30/37</t>
  </si>
  <si>
    <t xml:space="preserve">B485 mesh (SS 561)</t>
  </si>
  <si>
    <t xml:space="preserve">BCA</t>
  </si>
  <si>
    <t xml:space="preserve">DA1-C2</t>
  </si>
  <si>
    <t xml:space="preserve">Mesh</t>
  </si>
  <si>
    <t xml:space="preserve">BC</t>
  </si>
  <si>
    <t xml:space="preserve">VEH</t>
  </si>
  <si>
    <t xml:space="preserve">CF</t>
  </si>
  <si>
    <t xml:space="preserve">S3</t>
  </si>
  <si>
    <t xml:space="preserve">OA</t>
  </si>
  <si>
    <t xml:space="preserve">DM</t>
  </si>
  <si>
    <t xml:space="preserve">SPL</t>
  </si>
  <si>
    <t xml:space="preserve">Sewer trench</t>
  </si>
  <si>
    <t xml:space="preserve">LTA/SDRE25/22/CLW4</t>
  </si>
  <si>
    <t xml:space="preserve">USD</t>
  </si>
  <si>
    <t xml:space="preserve">span</t>
  </si>
  <si>
    <t xml:space="preserve">Grade 250 mild steel</t>
  </si>
  <si>
    <t xml:space="preserve">HDB</t>
  </si>
  <si>
    <t xml:space="preserve">Allowable stress (legacy)</t>
  </si>
  <si>
    <t xml:space="preserve">PBC</t>
  </si>
  <si>
    <t xml:space="preserve">Fire engine access (SCDF)</t>
  </si>
  <si>
    <t xml:space="preserve">FEA</t>
  </si>
  <si>
    <t xml:space="preserve">GRAV</t>
  </si>
  <si>
    <t xml:space="preserve">DW</t>
  </si>
  <si>
    <t xml:space="preserve">Ground anchors</t>
  </si>
  <si>
    <t xml:space="preserve">GA</t>
  </si>
  <si>
    <t xml:space="preserve">Bukit Timah Granite</t>
  </si>
  <si>
    <t xml:space="preserve">BTG</t>
  </si>
  <si>
    <t xml:space="preserve">IC</t>
  </si>
  <si>
    <t xml:space="preserve">Sump / chamber</t>
  </si>
  <si>
    <t xml:space="preserve">LTA/SDRE25/22/CLW5</t>
  </si>
  <si>
    <t xml:space="preserve">Bus Shelter</t>
  </si>
  <si>
    <t xml:space="preserve">BS</t>
  </si>
  <si>
    <t xml:space="preserve">m2</t>
  </si>
  <si>
    <t xml:space="preserve">C35/45</t>
  </si>
  <si>
    <t xml:space="preserve">XD1</t>
  </si>
  <si>
    <t xml:space="preserve">JTC</t>
  </si>
  <si>
    <t xml:space="preserve">E600</t>
  </si>
  <si>
    <t xml:space="preserve">Top slab top</t>
  </si>
  <si>
    <t xml:space="preserve">EC</t>
  </si>
  <si>
    <t xml:space="preserve">Within development</t>
  </si>
  <si>
    <t xml:space="preserve">BLK</t>
  </si>
  <si>
    <t xml:space="preserve">Raking strut</t>
  </si>
  <si>
    <t xml:space="preserve">RS</t>
  </si>
  <si>
    <t xml:space="preserve">Fill / reclaimed</t>
  </si>
  <si>
    <t xml:space="preserve">FILL</t>
  </si>
  <si>
    <t xml:space="preserve">VC</t>
  </si>
  <si>
    <t xml:space="preserve">CBS</t>
  </si>
  <si>
    <t xml:space="preserve">Pile cap / footing</t>
  </si>
  <si>
    <t xml:space="preserve">Non-standard (project design)</t>
  </si>
  <si>
    <t xml:space="preserve">OTH</t>
  </si>
  <si>
    <t xml:space="preserve">C40/50</t>
  </si>
  <si>
    <t xml:space="preserve">XD2</t>
  </si>
  <si>
    <t xml:space="preserve">NParks</t>
  </si>
  <si>
    <t xml:space="preserve">F900</t>
  </si>
  <si>
    <t xml:space="preserve">Top slab bottom</t>
  </si>
  <si>
    <t xml:space="preserve">PC</t>
  </si>
  <si>
    <t xml:space="preserve">Expressway</t>
  </si>
  <si>
    <t xml:space="preserve">GAB</t>
  </si>
  <si>
    <t xml:space="preserve">KPL</t>
  </si>
  <si>
    <t xml:space="preserve">Permanent slabs (top-down)</t>
  </si>
  <si>
    <t xml:space="preserve">TD</t>
  </si>
  <si>
    <t xml:space="preserve">FSC</t>
  </si>
  <si>
    <t xml:space="preserve">OC</t>
  </si>
  <si>
    <t xml:space="preserve">XD3</t>
  </si>
  <si>
    <t xml:space="preserve">SLA</t>
  </si>
  <si>
    <t xml:space="preserve">CMD</t>
  </si>
  <si>
    <t xml:space="preserve">MSE</t>
  </si>
  <si>
    <t xml:space="preserve">PPW</t>
  </si>
  <si>
    <t xml:space="preserve">XS1</t>
  </si>
  <si>
    <t xml:space="preserve">DIC</t>
  </si>
  <si>
    <t xml:space="preserve">XS2</t>
  </si>
  <si>
    <t xml:space="preserve">Toe</t>
  </si>
  <si>
    <t xml:space="preserve">SP</t>
  </si>
  <si>
    <t xml:space="preserve">XS3</t>
  </si>
  <si>
    <t xml:space="preserve">Heel</t>
  </si>
  <si>
    <t xml:space="preserve">ST</t>
  </si>
  <si>
    <t xml:space="preserve">SSD</t>
  </si>
  <si>
    <t xml:space="preserve">XA2</t>
  </si>
  <si>
    <t xml:space="preserve">Pile cage main</t>
  </si>
  <si>
    <t xml:space="preserve">CSD</t>
  </si>
  <si>
    <t xml:space="preserve">XA3</t>
  </si>
  <si>
    <t xml:space="preserve">Pile links / spiral</t>
  </si>
  <si>
    <t xml:space="preserve">Capping beam</t>
  </si>
  <si>
    <t xml:space="preserve">Links</t>
  </si>
</sst>
</file>

<file path=xl/styles.xml><?xml version="1.0" encoding="utf-8"?>
<styleSheet xmlns="http://schemas.openxmlformats.org/spreadsheetml/2006/main">
  <numFmts count="10">
    <numFmt numFmtId="164" formatCode="General"/>
    <numFmt numFmtId="165" formatCode="General"/>
    <numFmt numFmtId="166" formatCode="0.00"/>
    <numFmt numFmtId="167" formatCode="0.0"/>
    <numFmt numFmtId="168" formatCode="#,##0.0"/>
    <numFmt numFmtId="169" formatCode="#,##0.00"/>
    <numFmt numFmtId="170" formatCode="0"/>
    <numFmt numFmtId="171" formatCode="0.000"/>
    <numFmt numFmtId="172" formatCode="dd\-mmm\-yy"/>
    <numFmt numFmtId="173" formatCode="0%"/>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0"/>
      <name val="Arial"/>
      <family val="0"/>
      <charset val="1"/>
    </font>
    <font>
      <sz val="10"/>
      <name val="Arial"/>
      <family val="0"/>
      <charset val="1"/>
    </font>
    <font>
      <b val="true"/>
      <sz val="11"/>
      <color rgb="FF1F3864"/>
      <name val="Arial"/>
      <family val="0"/>
      <charset val="1"/>
    </font>
    <font>
      <i val="true"/>
      <sz val="9"/>
      <color rgb="FF595959"/>
      <name val="Arial"/>
      <family val="0"/>
      <charset val="1"/>
    </font>
    <font>
      <b val="true"/>
      <sz val="9"/>
      <color rgb="FFFFFFFF"/>
      <name val="Arial"/>
      <family val="0"/>
      <charset val="1"/>
    </font>
    <font>
      <sz val="9"/>
      <color rgb="FF0000FF"/>
      <name val="Arial"/>
      <family val="0"/>
      <charset val="1"/>
    </font>
    <font>
      <sz val="9"/>
      <color rgb="FF000000"/>
      <name val="Arial"/>
      <family val="0"/>
      <charset val="1"/>
    </font>
  </fonts>
  <fills count="10">
    <fill>
      <patternFill patternType="none"/>
    </fill>
    <fill>
      <patternFill patternType="gray125"/>
    </fill>
    <fill>
      <patternFill patternType="solid">
        <fgColor rgb="FF1F3864"/>
        <bgColor rgb="FF2F5597"/>
      </patternFill>
    </fill>
    <fill>
      <patternFill patternType="solid">
        <fgColor rgb="FFFFF2CC"/>
        <bgColor rgb="FFF2F2F2"/>
      </patternFill>
    </fill>
    <fill>
      <patternFill patternType="solid">
        <fgColor rgb="FFF2F2F2"/>
        <bgColor rgb="FFE2EFDA"/>
      </patternFill>
    </fill>
    <fill>
      <patternFill patternType="solid">
        <fgColor rgb="FF7F7F7F"/>
        <bgColor rgb="FF969696"/>
      </patternFill>
    </fill>
    <fill>
      <patternFill patternType="solid">
        <fgColor rgb="FF375623"/>
        <bgColor rgb="FF595959"/>
      </patternFill>
    </fill>
    <fill>
      <patternFill patternType="solid">
        <fgColor rgb="FFE2EFDA"/>
        <bgColor rgb="FFF2F2F2"/>
      </patternFill>
    </fill>
    <fill>
      <patternFill patternType="solid">
        <fgColor rgb="FF7030A0"/>
        <bgColor rgb="FF993366"/>
      </patternFill>
    </fill>
    <fill>
      <patternFill patternType="solid">
        <fgColor rgb="FFFFE699"/>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66" fontId="11" fillId="4" borderId="1" xfId="0" applyFont="true" applyBorder="true" applyAlignment="false" applyProtection="false">
      <alignment horizontal="general" vertical="bottom" textRotation="0" wrapText="false" indent="0" shrinkToFit="false"/>
      <protection locked="true" hidden="false"/>
    </xf>
    <xf numFmtId="167" fontId="11" fillId="4"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center" vertical="center" textRotation="0" wrapText="true" indent="0" shrinkToFit="false"/>
      <protection locked="true" hidden="false"/>
    </xf>
    <xf numFmtId="164" fontId="9" fillId="6" borderId="1" xfId="0" applyFont="true" applyBorder="true" applyAlignment="true" applyProtection="false">
      <alignment horizontal="center" vertical="center" textRotation="0" wrapText="true" indent="0" shrinkToFit="false"/>
      <protection locked="true" hidden="false"/>
    </xf>
    <xf numFmtId="164" fontId="10" fillId="7"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68" fontId="5"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center"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9" fillId="8" borderId="1" xfId="0" applyFont="true" applyBorder="true" applyAlignment="true" applyProtection="false">
      <alignment horizontal="center" vertical="center" textRotation="0" wrapText="true" indent="0" shrinkToFit="false"/>
      <protection locked="true" hidden="false"/>
    </xf>
    <xf numFmtId="170" fontId="10" fillId="7" borderId="1" xfId="0" applyFont="true" applyBorder="true" applyAlignment="false" applyProtection="false">
      <alignment horizontal="general" vertical="bottom" textRotation="0" wrapText="false" indent="0" shrinkToFit="false"/>
      <protection locked="true" hidden="false"/>
    </xf>
    <xf numFmtId="166" fontId="10" fillId="7"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71" fontId="11" fillId="4" borderId="1" xfId="0" applyFont="true" applyBorder="true" applyAlignment="false" applyProtection="false">
      <alignment horizontal="general" vertical="bottom" textRotation="0" wrapText="false" indent="0" shrinkToFit="false"/>
      <protection locked="true" hidden="false"/>
    </xf>
    <xf numFmtId="172" fontId="10" fillId="7" borderId="1" xfId="0" applyFont="true" applyBorder="true" applyAlignment="false" applyProtection="false">
      <alignment horizontal="general" vertical="bottom" textRotation="0" wrapText="false" indent="0" shrinkToFit="false"/>
      <protection locked="true" hidden="false"/>
    </xf>
    <xf numFmtId="172" fontId="11" fillId="4" borderId="1" xfId="0" applyFont="true" applyBorder="true" applyAlignment="false" applyProtection="false">
      <alignment horizontal="general" vertical="bottom" textRotation="0" wrapText="false" indent="0" shrinkToFit="false"/>
      <protection locked="true" hidden="false"/>
    </xf>
    <xf numFmtId="173" fontId="11" fillId="4" borderId="1" xfId="0" applyFont="true" applyBorder="true" applyAlignment="false" applyProtection="false">
      <alignment horizontal="general" vertical="bottom" textRotation="0" wrapText="false" indent="0" shrinkToFit="false"/>
      <protection locked="true" hidden="false"/>
    </xf>
    <xf numFmtId="170" fontId="10"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2" fontId="10" fillId="3" borderId="1" xfId="0" applyFont="true" applyBorder="true" applyAlignment="false" applyProtection="false">
      <alignment horizontal="general" vertical="bottom" textRotation="0" wrapText="false" indent="0" shrinkToFit="false"/>
      <protection locked="true" hidden="false"/>
    </xf>
    <xf numFmtId="167" fontId="10" fillId="7"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9"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8CBAD"/>
        </patternFill>
      </fill>
    </dxf>
    <dxf>
      <fill>
        <patternFill>
          <bgColor rgb="FFC6EFCE"/>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7F7F7F"/>
          <bgColor rgb="FF000000"/>
        </patternFill>
      </fill>
    </dxf>
    <dxf>
      <fill>
        <patternFill patternType="solid">
          <fgColor rgb="FFF2F2F2"/>
          <bgColor rgb="FF000000"/>
        </patternFill>
      </fill>
    </dxf>
    <dxf>
      <fill>
        <patternFill patternType="solid">
          <fgColor rgb="FF000000"/>
          <bgColor rgb="FF000000"/>
        </patternFill>
      </fill>
    </dxf>
    <dxf>
      <fill>
        <patternFill patternType="solid">
          <fgColor rgb="FF7030A0"/>
          <bgColor rgb="FF000000"/>
        </patternFill>
      </fill>
    </dxf>
    <dxf>
      <fill>
        <patternFill patternType="solid">
          <fgColor rgb="FF375623"/>
          <bgColor rgb="FF000000"/>
        </patternFill>
      </fill>
    </dxf>
    <dxf>
      <fill>
        <patternFill patternType="solid">
          <fgColor rgb="FFC6EFCE"/>
          <bgColor rgb="FF000000"/>
        </patternFill>
      </fill>
    </dxf>
    <dxf>
      <fill>
        <patternFill patternType="solid">
          <fgColor rgb="FFF8CBAD"/>
          <bgColor rgb="FF000000"/>
        </patternFill>
      </fill>
    </dxf>
    <dxf>
      <fill>
        <patternFill patternType="solid">
          <fgColor rgb="FFFFE699"/>
          <bgColor rgb="FF000000"/>
        </patternFill>
      </fill>
    </dxf>
    <dxf>
      <fill>
        <patternFill>
          <bgColor rgb="FFFFE69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7030A0"/>
      <rgbColor rgb="FFFFF2CC"/>
      <rgbColor rgb="FFE2EFD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6EFCE"/>
      <rgbColor rgb="FFFFE699"/>
      <rgbColor rgb="FF99CCFF"/>
      <rgbColor rgb="FFFF99CC"/>
      <rgbColor rgb="FFCC99FF"/>
      <rgbColor rgb="FFF8CBAD"/>
      <rgbColor rgb="FF3366FF"/>
      <rgbColor rgb="FF33CCCC"/>
      <rgbColor rgb="FF99CC00"/>
      <rgbColor rgb="FFFFCC00"/>
      <rgbColor rgb="FFBF8F00"/>
      <rgbColor rgb="FFFF6600"/>
      <rgbColor rgb="FF595959"/>
      <rgbColor rgb="FF969696"/>
      <rgbColor rgb="FF1F3864"/>
      <rgbColor rgb="FF339966"/>
      <rgbColor rgb="FF003300"/>
      <rgbColor rgb="FF333300"/>
      <rgbColor rgb="FF993300"/>
      <rgbColor rgb="FF993366"/>
      <rgbColor rgb="FF2F5597"/>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ables/table1.xml><?xml version="1.0" encoding="utf-8"?>
<table xmlns="http://schemas.openxmlformats.org/spreadsheetml/2006/main" id="1" name="tblDictionary" displayName="tblDictionary" ref="A4:H584" headerRowCount="1" totalsRowCount="0" totalsRowShown="0">
  <autoFilter ref="A4:H584"/>
  <tableColumns count="8">
    <tableColumn id="1" name="Register"/>
    <tableColumn id="2" name="Field"/>
    <tableColumn id="3" name="Group"/>
    <tableColumn id="4" name="Entry"/>
    <tableColumn id="5" name="Unit"/>
    <tableColumn id="6" name="Required"/>
    <tableColumn id="7" name="Description"/>
    <tableColumn id="8" name="Where to Find in Source"/>
  </tableColumns>
</table>
</file>

<file path=xl/tables/table2.xml><?xml version="1.0" encoding="utf-8"?>
<table xmlns="http://schemas.openxmlformats.org/spreadsheetml/2006/main" id="2" name="tblDrain" displayName="tblDrain" ref="A4:CB304" headerRowCount="1" totalsRowCount="0" totalsRowShown="0">
  <autoFilter ref="A4:CB304"/>
  <tableColumns count="80">
    <tableColumn id="1" name="Design ID"/>
    <tableColumn id="2" name="Description"/>
    <tableColumn id="3" name="Keywords / Tags"/>
    <tableColumn id="4" name="Drain Type"/>
    <tableColumn id="5" name="Category"/>
    <tableColumn id="6" name="Open / Covered"/>
    <tableColumn id="7" name="Internal Width (mm)"/>
    <tableColumn id="8" name="Internal Depth / Clear Height (mm)"/>
    <tableColumn id="9" name="No. of Cells"/>
    <tableColumn id="10" name="Wall Thk (mm)"/>
    <tableColumn id="11" name="Base Thk (mm)"/>
    <tableColumn id="12" name="Top Slab Thk (mm)"/>
    <tableColumn id="13" name="Loading"/>
    <tableColumn id="14" name="Fill over Top / Surcharge"/>
    <tableColumn id="15" name="Concrete Grade"/>
    <tableColumn id="16" name="Cover (mm)"/>
    <tableColumn id="17" name="Wall Main Bar"/>
    <tableColumn id="18" name="Wall Outer Face Bar"/>
    <tableColumn id="19" name="Base Main Bar"/>
    <tableColumn id="20" name="Top Slab Bar"/>
    <tableColumn id="21" name="Distribution Bar"/>
    <tableColumn id="22" name="Grating / Cover Load Class (EN 124)"/>
    <tableColumn id="23" name="Grating / Cover Size (mm)"/>
    <tableColumn id="24" name="Precast Unit Length (mm)"/>
    <tableColumn id="25" name="Movement Joint Spacing (m)"/>
    <tableColumn id="26" name="Gradient Range (1:S)"/>
    <tableColumn id="27" name="Bedding / Backfill"/>
    <tableColumn id="28" name="Uplift FOS"/>
    <tableColumn id="29" name="Exposure Class"/>
    <tableColumn id="30" name="Design Life (years)"/>
    <tableColumn id="31" name="Rebar Grade"/>
    <tableColumn id="32" name="Crack Width Limit (mm)"/>
    <tableColumn id="33" name="Code Basis"/>
    <tableColumn id="34" name="Criteria Edition Used"/>
    <tableColumn id="35" name="Rev"/>
    <tableColumn id="36" name="Status"/>
    <tableColumn id="37" name="Drawing No."/>
    <tableColumn id="38" name="Detail Scale (1:n)"/>
    <tableColumn id="39" name="STAAD.Pro Model? (Y/N)"/>
    <tableColumn id="40" name="Design Folder"/>
    <tableColumn id="41" name="CAD Detail (.dwg)"/>
    <tableColumn id="42" name="Drawing (.pdf)"/>
    <tableColumn id="43" name="STAAD.Pro (.std)"/>
    <tableColumn id="44" name="Calc Sheet (.xlsx)"/>
    <tableColumn id="45" name="Calc Report (.pdf)"/>
    <tableColumn id="46" name="Files Checked in Folder (Y/N)"/>
    <tableColumn id="47" name="Qty Unit"/>
    <tableColumn id="48" name="Concrete (m3/unit)"/>
    <tableColumn id="49" name="Rebar (kg/unit)"/>
    <tableColumn id="50" name="Steel (kg/unit)"/>
    <tableColumn id="51" name="Formwork (m2/unit)"/>
    <tableColumn id="52" name="Excavation (m3/unit)"/>
    <tableColumn id="53" name="Rebar from Schedule (kg/unit)"/>
    <tableColumn id="54" name="Data Check (rebar vs schedule)"/>
    <tableColumn id="55" name="Flow Capacity Q (m3/s)"/>
    <tableColumn id="56" name="Velocity at Capacity (m/s)"/>
    <tableColumn id="57" name="SG Compliance Check"/>
    <tableColumn id="58" name="Limitations / Notes"/>
    <tableColumn id="59" name="Projects / Tenders Used"/>
    <tableColumn id="60" name="Source Project Ref"/>
    <tableColumn id="61" name="Source Project Name"/>
    <tableColumn id="62" name="Source Authority"/>
    <tableColumn id="63" name="Source Drawing No(s)."/>
    <tableColumn id="64" name="Source Report &amp; Page"/>
    <tableColumn id="65" name="Extracted By"/>
    <tableColumn id="66" name="Extraction Date"/>
    <tableColumn id="67" name="Data Verified By"/>
    <tableColumn id="68" name="Data Verified Date"/>
    <tableColumn id="69" name="Authority Approval Ref"/>
    <tableColumn id="70" name="Authority Approval Date"/>
    <tableColumn id="71" name="Designer"/>
    <tableColumn id="72" name="Checker"/>
    <tableColumn id="73" name="Approved By (QP)"/>
    <tableColumn id="74" name="Approval Date"/>
    <tableColumn id="75" name="Last Reviewed"/>
    <tableColumn id="76" name="Next Review Due"/>
    <tableColumn id="77" name="Review Status"/>
    <tableColumn id="78" name="Data Completeness"/>
    <tableColumn id="79" name="Selectable"/>
    <tableColumn id="80" name="Selector Key"/>
  </tableColumns>
</table>
</file>

<file path=xl/tables/table3.xml><?xml version="1.0" encoding="utf-8"?>
<table xmlns="http://schemas.openxmlformats.org/spreadsheetml/2006/main" id="3" name="tblEmbedded" displayName="tblEmbedded" ref="A4:CE304" headerRowCount="1" totalsRowCount="0" totalsRowShown="0">
  <autoFilter ref="A4:CE304"/>
  <tableColumns count="83">
    <tableColumn id="1" name="Design ID"/>
    <tableColumn id="2" name="Description"/>
    <tableColumn id="3" name="Keywords / Tags"/>
    <tableColumn id="4" name="Wall Type"/>
    <tableColumn id="5" name="Temporary / Permanent"/>
    <tableColumn id="6" name="Excavation Depth (m)"/>
    <tableColumn id="7" name="Support System"/>
    <tableColumn id="8" name="Soil Profile"/>
    <tableColumn id="9" name="GWT (m below ground)"/>
    <tableColumn id="10" name="Surcharge (kPa)"/>
    <tableColumn id="11" name="Pile Dia / Section"/>
    <tableColumn id="12" name="Spacing / Overlap (mm)"/>
    <tableColumn id="13" name="Wall Thk (mm)"/>
    <tableColumn id="14" name="Toe Embedment (m)"/>
    <tableColumn id="15" name="Pile / Wall Length (m)"/>
    <tableColumn id="16" name="Main Bar / Cage"/>
    <tableColumn id="17" name="Capping Beam (W x D mm)"/>
    <tableColumn id="18" name="Waler Section"/>
    <tableColumn id="19" name="Strut Section &amp; Spacing"/>
    <tableColumn id="20" name="Max Wall Deflection (mm)"/>
    <tableColumn id="21" name="Allowable Deflection (mm)"/>
    <tableColumn id="22" name="Max Bending Moment (kNm/m)"/>
    <tableColumn id="23" name="Max Shear (kN/m)"/>
    <tableColumn id="24" name="Strut Force (kN/m)"/>
    <tableColumn id="25" name="Strut Preload (% of design)"/>
    <tableColumn id="26" name="FOS Base Heave"/>
    <tableColumn id="27" name="Design Approach"/>
    <tableColumn id="28" name="Installation Method"/>
    <tableColumn id="29" name="Concrete Grade"/>
    <tableColumn id="30" name="Instrumentation"/>
    <tableColumn id="31" name="Trigger Levels (Alert / WSL)"/>
    <tableColumn id="32" name="Construction Sequence Ref"/>
    <tableColumn id="33" name="Exposure Class"/>
    <tableColumn id="34" name="Design Life (years)"/>
    <tableColumn id="35" name="Rebar Grade"/>
    <tableColumn id="36" name="Crack Width Limit (mm)"/>
    <tableColumn id="37" name="Code Basis"/>
    <tableColumn id="38" name="Criteria Edition Used"/>
    <tableColumn id="39" name="Rev"/>
    <tableColumn id="40" name="Status"/>
    <tableColumn id="41" name="Drawing No."/>
    <tableColumn id="42" name="Detail Scale (1:n)"/>
    <tableColumn id="43" name="STAAD.Pro Model? (Y/N)"/>
    <tableColumn id="44" name="Design Folder"/>
    <tableColumn id="45" name="CAD Detail (.dwg)"/>
    <tableColumn id="46" name="Drawing (.pdf)"/>
    <tableColumn id="47" name="STAAD.Pro (.std)"/>
    <tableColumn id="48" name="Calc Sheet (.xlsx)"/>
    <tableColumn id="49" name="Calc Report (.pdf)"/>
    <tableColumn id="50" name="Files Checked in Folder (Y/N)"/>
    <tableColumn id="51" name="Qty Unit"/>
    <tableColumn id="52" name="Concrete (m3/unit)"/>
    <tableColumn id="53" name="Rebar (kg/unit)"/>
    <tableColumn id="54" name="Steel (kg/unit)"/>
    <tableColumn id="55" name="Formwork (m2/unit)"/>
    <tableColumn id="56" name="Excavation (m3/unit)"/>
    <tableColumn id="57" name="Rebar from Schedule (kg/unit)"/>
    <tableColumn id="58" name="Data Check (rebar vs schedule)"/>
    <tableColumn id="59" name="BCA ERSS Submission (indicative)"/>
    <tableColumn id="60" name="SG Compliance Check"/>
    <tableColumn id="61" name="Limitations / Notes"/>
    <tableColumn id="62" name="Projects / Tenders Used"/>
    <tableColumn id="63" name="Source Project Ref"/>
    <tableColumn id="64" name="Source Project Name"/>
    <tableColumn id="65" name="Source Authority"/>
    <tableColumn id="66" name="Source Drawing No(s)."/>
    <tableColumn id="67" name="Source Report &amp; Page"/>
    <tableColumn id="68" name="Extracted By"/>
    <tableColumn id="69" name="Extraction Date"/>
    <tableColumn id="70" name="Data Verified By"/>
    <tableColumn id="71" name="Data Verified Date"/>
    <tableColumn id="72" name="Authority Approval Ref"/>
    <tableColumn id="73" name="Authority Approval Date"/>
    <tableColumn id="74" name="Designer"/>
    <tableColumn id="75" name="Checker"/>
    <tableColumn id="76" name="Approved By (QP)"/>
    <tableColumn id="77" name="Approval Date"/>
    <tableColumn id="78" name="Last Reviewed"/>
    <tableColumn id="79" name="Next Review Due"/>
    <tableColumn id="80" name="Review Status"/>
    <tableColumn id="81" name="Data Completeness"/>
    <tableColumn id="82" name="Selectable"/>
    <tableColumn id="83" name="Selector Key"/>
  </tableColumns>
</table>
</file>

<file path=xl/tables/table4.xml><?xml version="1.0" encoding="utf-8"?>
<table xmlns="http://schemas.openxmlformats.org/spreadsheetml/2006/main" id="4" name="tblERSSPit" displayName="tblERSSPit" ref="A4:BY304" headerRowCount="1" totalsRowCount="0" totalsRowShown="0">
  <autoFilter ref="A4:BY304"/>
  <tableColumns count="77">
    <tableColumn id="1" name="Design ID"/>
    <tableColumn id="2" name="Description"/>
    <tableColumn id="3" name="Keywords / Tags"/>
    <tableColumn id="4" name="ERSS Type"/>
    <tableColumn id="5" name="Purpose"/>
    <tableColumn id="6" name="Pit Plan Length (mm)"/>
    <tableColumn id="7" name="Pit Plan Width (mm)"/>
    <tableColumn id="8" name="Excavation Depth (m)"/>
    <tableColumn id="9" name="Soil Profile"/>
    <tableColumn id="10" name="GWT (m below ground)"/>
    <tableColumn id="11" name="Surcharge (kPa)"/>
    <tableColumn id="12" name="Sheet Pile / Wall Section"/>
    <tableColumn id="13" name="Pile Length (m)"/>
    <tableColumn id="14" name="Toe Embedment (m)"/>
    <tableColumn id="15" name="Strut Levels"/>
    <tableColumn id="16" name="Waler Section"/>
    <tableColumn id="17" name="Strut / Corner Brace"/>
    <tableColumn id="18" name="Base Stability FOS"/>
    <tableColumn id="19" name="FOS Hydraulic Uplift"/>
    <tableColumn id="20" name="Max Bending Moment (kNm/m)"/>
    <tableColumn id="21" name="Max Strut Force (kN)"/>
    <tableColumn id="22" name="Strut Preload (kN)"/>
    <tableColumn id="23" name="Installation Method"/>
    <tableColumn id="24" name="Dewatering / Grouting"/>
    <tableColumn id="25" name="Max Wall Deflection (mm)"/>
    <tableColumn id="26" name="Monitoring &amp; Trigger Levels"/>
    <tableColumn id="27" name="Exposure Class"/>
    <tableColumn id="28" name="Design Life (years)"/>
    <tableColumn id="29" name="Rebar Grade"/>
    <tableColumn id="30" name="Crack Width Limit (mm)"/>
    <tableColumn id="31" name="Code Basis"/>
    <tableColumn id="32" name="Criteria Edition Used"/>
    <tableColumn id="33" name="Rev"/>
    <tableColumn id="34" name="Status"/>
    <tableColumn id="35" name="Drawing No."/>
    <tableColumn id="36" name="Detail Scale (1:n)"/>
    <tableColumn id="37" name="STAAD.Pro Model? (Y/N)"/>
    <tableColumn id="38" name="Design Folder"/>
    <tableColumn id="39" name="CAD Detail (.dwg)"/>
    <tableColumn id="40" name="Drawing (.pdf)"/>
    <tableColumn id="41" name="STAAD.Pro (.std)"/>
    <tableColumn id="42" name="Calc Sheet (.xlsx)"/>
    <tableColumn id="43" name="Calc Report (.pdf)"/>
    <tableColumn id="44" name="Files Checked in Folder (Y/N)"/>
    <tableColumn id="45" name="Qty Unit"/>
    <tableColumn id="46" name="Concrete (m3/unit)"/>
    <tableColumn id="47" name="Rebar (kg/unit)"/>
    <tableColumn id="48" name="Steel (kg/unit)"/>
    <tableColumn id="49" name="Formwork (m2/unit)"/>
    <tableColumn id="50" name="Excavation (m3/unit)"/>
    <tableColumn id="51" name="Rebar from Schedule (kg/unit)"/>
    <tableColumn id="52" name="Data Check (rebar vs schedule)"/>
    <tableColumn id="53" name="BCA ERSS Submission (indicative)"/>
    <tableColumn id="54" name="SG Compliance Check"/>
    <tableColumn id="55" name="Limitations / Notes"/>
    <tableColumn id="56" name="Projects / Tenders Used"/>
    <tableColumn id="57" name="Source Project Ref"/>
    <tableColumn id="58" name="Source Project Name"/>
    <tableColumn id="59" name="Source Authority"/>
    <tableColumn id="60" name="Source Drawing No(s)."/>
    <tableColumn id="61" name="Source Report &amp; Page"/>
    <tableColumn id="62" name="Extracted By"/>
    <tableColumn id="63" name="Extraction Date"/>
    <tableColumn id="64" name="Data Verified By"/>
    <tableColumn id="65" name="Data Verified Date"/>
    <tableColumn id="66" name="Authority Approval Ref"/>
    <tableColumn id="67" name="Authority Approval Date"/>
    <tableColumn id="68" name="Designer"/>
    <tableColumn id="69" name="Checker"/>
    <tableColumn id="70" name="Approved By (QP)"/>
    <tableColumn id="71" name="Approval Date"/>
    <tableColumn id="72" name="Last Reviewed"/>
    <tableColumn id="73" name="Next Review Due"/>
    <tableColumn id="74" name="Review Status"/>
    <tableColumn id="75" name="Data Completeness"/>
    <tableColumn id="76" name="Selectable"/>
    <tableColumn id="77" name="Selector Key"/>
  </tableColumns>
</table>
</file>

<file path=xl/tables/table5.xml><?xml version="1.0" encoding="utf-8"?>
<table xmlns="http://schemas.openxmlformats.org/spreadsheetml/2006/main" id="5" name="tblLinkway" displayName="tblLinkway" ref="A4:BZ304" headerRowCount="1" totalsRowCount="0" totalsRowShown="0">
  <autoFilter ref="A4:BZ304"/>
  <tableColumns count="78">
    <tableColumn id="1" name="Design ID"/>
    <tableColumn id="2" name="Description"/>
    <tableColumn id="3" name="Keywords / Tags"/>
    <tableColumn id="4" name="Linkway Type"/>
    <tableColumn id="5" name="SDRE Drawing Ref"/>
    <tableColumn id="6" name="Roof Width, eave to eave (m)"/>
    <tableColumn id="7" name="Clear Headroom (m)"/>
    <tableColumn id="8" name="Bay / Column Spacing (m)"/>
    <tableColumn id="9" name="Column Arrangement"/>
    <tableColumn id="10" name="Column Section"/>
    <tableColumn id="11" name="Roof Material"/>
    <tableColumn id="12" name="Roof Profile / Fall"/>
    <tableColumn id="13" name="Gutter &amp; Downpipe"/>
    <tableColumn id="14" name="Footing Type"/>
    <tableColumn id="15" name="Footing Size (L x B x D mm)"/>
    <tableColumn id="16" name="RC Stump (dia x H mm)"/>
    <tableColumn id="17" name="Base Plate (mm)"/>
    <tableColumn id="18" name="Holding-down Bolts"/>
    <tableColumn id="19" name="Max Column Moment (kNm)"/>
    <tableColumn id="20" name="Roof Sheet Thk (mm)"/>
    <tableColumn id="21" name="Ceiling / Soffit"/>
    <tableColumn id="22" name="Deflection Limit"/>
    <tableColumn id="23" name="Basic Wind Speed (m/s)"/>
    <tableColumn id="24" name="Roof Fixing Pull-out (kN)"/>
    <tableColumn id="25" name="Concrete Grade"/>
    <tableColumn id="26" name="Demountable / Bolted (Y/N)"/>
    <tableColumn id="27" name="Lighting Provision"/>
    <tableColumn id="28" name="Roof Sheeting (m2/unit)"/>
    <tableColumn id="29" name="Exposure Class"/>
    <tableColumn id="30" name="Design Life (years)"/>
    <tableColumn id="31" name="Rebar Grade"/>
    <tableColumn id="32" name="Crack Width Limit (mm)"/>
    <tableColumn id="33" name="Code Basis"/>
    <tableColumn id="34" name="Criteria Edition Used"/>
    <tableColumn id="35" name="Rev"/>
    <tableColumn id="36" name="Status"/>
    <tableColumn id="37" name="Drawing No."/>
    <tableColumn id="38" name="Detail Scale (1:n)"/>
    <tableColumn id="39" name="STAAD.Pro Model? (Y/N)"/>
    <tableColumn id="40" name="Design Folder"/>
    <tableColumn id="41" name="CAD Detail (.dwg)"/>
    <tableColumn id="42" name="Drawing (.pdf)"/>
    <tableColumn id="43" name="STAAD.Pro (.std)"/>
    <tableColumn id="44" name="Calc Sheet (.xlsx)"/>
    <tableColumn id="45" name="Calc Report (.pdf)"/>
    <tableColumn id="46" name="Files Checked in Folder (Y/N)"/>
    <tableColumn id="47" name="Qty Unit"/>
    <tableColumn id="48" name="Concrete (m3/unit)"/>
    <tableColumn id="49" name="Rebar (kg/unit)"/>
    <tableColumn id="50" name="Steel (kg/unit)"/>
    <tableColumn id="51" name="Formwork (m2/unit)"/>
    <tableColumn id="52" name="Excavation (m3/unit)"/>
    <tableColumn id="53" name="Rebar from Schedule (kg/unit)"/>
    <tableColumn id="54" name="Data Check (rebar vs schedule)"/>
    <tableColumn id="55" name="SG Compliance Check"/>
    <tableColumn id="56" name="Limitations / Notes"/>
    <tableColumn id="57" name="Projects / Tenders Used"/>
    <tableColumn id="58" name="Source Project Ref"/>
    <tableColumn id="59" name="Source Project Name"/>
    <tableColumn id="60" name="Source Authority"/>
    <tableColumn id="61" name="Source Drawing No(s)."/>
    <tableColumn id="62" name="Source Report &amp; Page"/>
    <tableColumn id="63" name="Extracted By"/>
    <tableColumn id="64" name="Extraction Date"/>
    <tableColumn id="65" name="Data Verified By"/>
    <tableColumn id="66" name="Data Verified Date"/>
    <tableColumn id="67" name="Authority Approval Ref"/>
    <tableColumn id="68" name="Authority Approval Date"/>
    <tableColumn id="69" name="Designer"/>
    <tableColumn id="70" name="Checker"/>
    <tableColumn id="71" name="Approved By (QP)"/>
    <tableColumn id="72" name="Approval Date"/>
    <tableColumn id="73" name="Last Reviewed"/>
    <tableColumn id="74" name="Next Review Due"/>
    <tableColumn id="75" name="Review Status"/>
    <tableColumn id="76" name="Data Completeness"/>
    <tableColumn id="77" name="Selectable"/>
    <tableColumn id="78" name="Selector Key"/>
  </tableColumns>
</table>
</file>

<file path=xl/tables/table6.xml><?xml version="1.0" encoding="utf-8"?>
<table xmlns="http://schemas.openxmlformats.org/spreadsheetml/2006/main" id="6" name="tblManhole" displayName="tblManhole" ref="A4:CD304" headerRowCount="1" totalsRowCount="0" totalsRowShown="0">
  <autoFilter ref="A4:CD304"/>
  <tableColumns count="82">
    <tableColumn id="1" name="Design ID"/>
    <tableColumn id="2" name="Description"/>
    <tableColumn id="3" name="Keywords / Tags"/>
    <tableColumn id="4" name="Manhole Type"/>
    <tableColumn id="5" name="Construction"/>
    <tableColumn id="6" name="Shape"/>
    <tableColumn id="7" name="Internal Length / Dia (mm)"/>
    <tableColumn id="8" name="Internal Width (mm)"/>
    <tableColumn id="9" name="Min Depth (m)"/>
    <tableColumn id="10" name="Max Depth (m)"/>
    <tableColumn id="11" name="Max Incoming Pipe Dia (mm)"/>
    <tableColumn id="12" name="Wall Thk (mm)"/>
    <tableColumn id="13" name="Base Thk (mm)"/>
    <tableColumn id="14" name="Roof Slab Thk (mm)"/>
    <tableColumn id="15" name="Cover &amp; Frame"/>
    <tableColumn id="16" name="Cover Load Class (EN 124)"/>
    <tableColumn id="17" name="Cover Opening Size (mm)"/>
    <tableColumn id="18" name="Access (step irons / ladder)"/>
    <tableColumn id="19" name="Ventilation"/>
    <tableColumn id="20" name="Waterproofing / Lining"/>
    <tableColumn id="21" name="Precast Joint Type"/>
    <tableColumn id="22" name="Design GWT (m below ground)"/>
    <tableColumn id="23" name="Benching / Channel"/>
    <tableColumn id="24" name="Loading"/>
    <tableColumn id="25" name="Uplift FOS"/>
    <tableColumn id="26" name="Concrete Grade"/>
    <tableColumn id="27" name="Cover (mm)"/>
    <tableColumn id="28" name="Wall Bar"/>
    <tableColumn id="29" name="Base Bar"/>
    <tableColumn id="30" name="Roof Slab Bar"/>
    <tableColumn id="31" name="PUB Std Drawing Ref"/>
    <tableColumn id="32" name="Typical Temporary ERSS (Design ID)"/>
    <tableColumn id="33" name="Exposure Class"/>
    <tableColumn id="34" name="Design Life (years)"/>
    <tableColumn id="35" name="Rebar Grade"/>
    <tableColumn id="36" name="Crack Width Limit (mm)"/>
    <tableColumn id="37" name="Code Basis"/>
    <tableColumn id="38" name="Criteria Edition Used"/>
    <tableColumn id="39" name="Rev"/>
    <tableColumn id="40" name="Status"/>
    <tableColumn id="41" name="Drawing No."/>
    <tableColumn id="42" name="Detail Scale (1:n)"/>
    <tableColumn id="43" name="STAAD.Pro Model? (Y/N)"/>
    <tableColumn id="44" name="Design Folder"/>
    <tableColumn id="45" name="CAD Detail (.dwg)"/>
    <tableColumn id="46" name="Drawing (.pdf)"/>
    <tableColumn id="47" name="STAAD.Pro (.std)"/>
    <tableColumn id="48" name="Calc Sheet (.xlsx)"/>
    <tableColumn id="49" name="Calc Report (.pdf)"/>
    <tableColumn id="50" name="Files Checked in Folder (Y/N)"/>
    <tableColumn id="51" name="Qty Unit"/>
    <tableColumn id="52" name="Concrete (m3/unit)"/>
    <tableColumn id="53" name="Rebar (kg/unit)"/>
    <tableColumn id="54" name="Steel (kg/unit)"/>
    <tableColumn id="55" name="Formwork (m2/unit)"/>
    <tableColumn id="56" name="Excavation (m3/unit)"/>
    <tableColumn id="57" name="Rebar from Schedule (kg/unit)"/>
    <tableColumn id="58" name="Data Check (rebar vs schedule)"/>
    <tableColumn id="59" name="SG Compliance Check"/>
    <tableColumn id="60" name="Limitations / Notes"/>
    <tableColumn id="61" name="Projects / Tenders Used"/>
    <tableColumn id="62" name="Source Project Ref"/>
    <tableColumn id="63" name="Source Project Name"/>
    <tableColumn id="64" name="Source Authority"/>
    <tableColumn id="65" name="Source Drawing No(s)."/>
    <tableColumn id="66" name="Source Report &amp; Page"/>
    <tableColumn id="67" name="Extracted By"/>
    <tableColumn id="68" name="Extraction Date"/>
    <tableColumn id="69" name="Data Verified By"/>
    <tableColumn id="70" name="Data Verified Date"/>
    <tableColumn id="71" name="Authority Approval Ref"/>
    <tableColumn id="72" name="Authority Approval Date"/>
    <tableColumn id="73" name="Designer"/>
    <tableColumn id="74" name="Checker"/>
    <tableColumn id="75" name="Approved By (QP)"/>
    <tableColumn id="76" name="Approval Date"/>
    <tableColumn id="77" name="Last Reviewed"/>
    <tableColumn id="78" name="Next Review Due"/>
    <tableColumn id="79" name="Review Status"/>
    <tableColumn id="80" name="Data Completeness"/>
    <tableColumn id="81" name="Selectable"/>
    <tableColumn id="82" name="Selector Key"/>
  </tableColumns>
</table>
</file>

<file path=xl/tables/table7.xml><?xml version="1.0" encoding="utf-8"?>
<table xmlns="http://schemas.openxmlformats.org/spreadsheetml/2006/main" id="7" name="tblOther" displayName="tblOther" ref="A4:BI304" headerRowCount="1" totalsRowCount="0" totalsRowShown="0">
  <autoFilter ref="A4:BI304"/>
  <tableColumns count="61">
    <tableColumn id="1" name="Design ID"/>
    <tableColumn id="2" name="Description"/>
    <tableColumn id="3" name="Keywords / Tags"/>
    <tableColumn id="4" name="Family"/>
    <tableColumn id="5" name="Type (short)"/>
    <tableColumn id="6" name="Span / Length (m)"/>
    <tableColumn id="7" name="Height / Rise (m)"/>
    <tableColumn id="8" name="Width (m)"/>
    <tableColumn id="9" name="Design Load"/>
    <tableColumn id="10" name="Foundation"/>
    <tableColumn id="11" name="Material"/>
    <tableColumn id="12" name="Key Members / Reinforcement"/>
    <tableColumn id="13" name="Exposure Class"/>
    <tableColumn id="14" name="Design Life (years)"/>
    <tableColumn id="15" name="Rebar Grade"/>
    <tableColumn id="16" name="Crack Width Limit (mm)"/>
    <tableColumn id="17" name="Code Basis"/>
    <tableColumn id="18" name="Criteria Edition Used"/>
    <tableColumn id="19" name="Rev"/>
    <tableColumn id="20" name="Status"/>
    <tableColumn id="21" name="Drawing No."/>
    <tableColumn id="22" name="Detail Scale (1:n)"/>
    <tableColumn id="23" name="STAAD.Pro Model? (Y/N)"/>
    <tableColumn id="24" name="Design Folder"/>
    <tableColumn id="25" name="CAD Detail (.dwg)"/>
    <tableColumn id="26" name="Drawing (.pdf)"/>
    <tableColumn id="27" name="STAAD.Pro (.std)"/>
    <tableColumn id="28" name="Calc Sheet (.xlsx)"/>
    <tableColumn id="29" name="Calc Report (.pdf)"/>
    <tableColumn id="30" name="Files Checked in Folder (Y/N)"/>
    <tableColumn id="31" name="Qty Unit"/>
    <tableColumn id="32" name="Concrete (m3/unit)"/>
    <tableColumn id="33" name="Rebar (kg/unit)"/>
    <tableColumn id="34" name="Steel (kg/unit)"/>
    <tableColumn id="35" name="Formwork (m2/unit)"/>
    <tableColumn id="36" name="Excavation (m3/unit)"/>
    <tableColumn id="37" name="Rebar from Schedule (kg/unit)"/>
    <tableColumn id="38" name="Data Check (rebar vs schedule)"/>
    <tableColumn id="39" name="SG Compliance Check"/>
    <tableColumn id="40" name="Limitations / Notes"/>
    <tableColumn id="41" name="Projects / Tenders Used"/>
    <tableColumn id="42" name="Source Project Ref"/>
    <tableColumn id="43" name="Source Project Name"/>
    <tableColumn id="44" name="Source Authority"/>
    <tableColumn id="45" name="Source Drawing No(s)."/>
    <tableColumn id="46" name="Source Report &amp; Page"/>
    <tableColumn id="47" name="Extracted By"/>
    <tableColumn id="48" name="Extraction Date"/>
    <tableColumn id="49" name="Data Verified By"/>
    <tableColumn id="50" name="Data Verified Date"/>
    <tableColumn id="51" name="Authority Approval Ref"/>
    <tableColumn id="52" name="Authority Approval Date"/>
    <tableColumn id="53" name="Designer"/>
    <tableColumn id="54" name="Checker"/>
    <tableColumn id="55" name="Approved By (QP)"/>
    <tableColumn id="56" name="Approval Date"/>
    <tableColumn id="57" name="Last Reviewed"/>
    <tableColumn id="58" name="Next Review Due"/>
    <tableColumn id="59" name="Review Status"/>
    <tableColumn id="60" name="Data Completeness"/>
    <tableColumn id="61" name="Selectable"/>
  </tableColumns>
</table>
</file>

<file path=xl/tables/table8.xml><?xml version="1.0" encoding="utf-8"?>
<table xmlns="http://schemas.openxmlformats.org/spreadsheetml/2006/main" id="8" name="tblProjects" displayName="tblProjects" ref="A4:L504" headerRowCount="1" totalsRowCount="0" totalsRowShown="0">
  <autoFilter ref="A4:L504"/>
  <tableColumns count="12">
    <tableColumn id="1" name="Project Ref"/>
    <tableColumn id="2" name="Project Name"/>
    <tableColumn id="3" name="Client"/>
    <tableColumn id="4" name="Approving Authority"/>
    <tableColumn id="5" name="Contract / Tender No."/>
    <tableColumn id="6" name="Year Completed"/>
    <tableColumn id="7" name="Location"/>
    <tableColumn id="8" name="QP (Structural)"/>
    <tableColumn id="9" name="QP (Geotechnical)"/>
    <tableColumn id="10" name="Main Contractor"/>
    <tableColumn id="11" name="Drawings Folder (past project)"/>
    <tableColumn id="12" name="Remarks"/>
  </tableColumns>
</table>
</file>

<file path=xl/tables/table9.xml><?xml version="1.0" encoding="utf-8"?>
<table xmlns="http://schemas.openxmlformats.org/spreadsheetml/2006/main" id="9" name="tblRebar" displayName="tblRebar" ref="A4:M2004" headerRowCount="1" totalsRowCount="0" totalsRowShown="0">
  <autoFilter ref="A4:M2004"/>
  <tableColumns count="13">
    <tableColumn id="1" name="Design ID"/>
    <tableColumn id="2" name="Bar Mark"/>
    <tableColumn id="3" name="Location"/>
    <tableColumn id="4" name="Bar Type"/>
    <tableColumn id="5" name="Dia (mm)"/>
    <tableColumn id="6" name="Spacing (mm)"/>
    <tableColumn id="7" name="No. per Unit"/>
    <tableColumn id="8" name="Bar Length incl. Laps (m)"/>
    <tableColumn id="9" name="Shape Code (BS 8666)"/>
    <tableColumn id="10" name="No. Used"/>
    <tableColumn id="11" name="Weight (kg/unit)"/>
    <tableColumn id="12" name="Remarks"/>
    <tableColumn id="13" name="ID Check"/>
  </tableColumns>
</table>
</file>

<file path=xl/tables/table10.xml><?xml version="1.0" encoding="utf-8"?>
<table xmlns="http://schemas.openxmlformats.org/spreadsheetml/2006/main" id="10" name="tblRevisions" displayName="tblRevisions" ref="A4:I504" headerRowCount="1" totalsRowCount="0" totalsRowShown="0">
  <autoFilter ref="A4:I504"/>
  <tableColumns count="9">
    <tableColumn id="1" name="Design ID (new rev)"/>
    <tableColumn id="2" name="Superseded Design ID"/>
    <tableColumn id="3" name="Rev"/>
    <tableColumn id="4" name="Date"/>
    <tableColumn id="5" name="Change Description"/>
    <tableColumn id="6" name="Reason"/>
    <tableColumn id="7" name="Changed By"/>
    <tableColumn id="8" name="Checked By"/>
    <tableColumn id="9" name="Approved By (QP)"/>
  </tableColumns>
</table>
</file>

<file path=xl/tables/table11.xml><?xml version="1.0" encoding="utf-8"?>
<table xmlns="http://schemas.openxmlformats.org/spreadsheetml/2006/main" id="11" name="tblRW" displayName="tblRW" ref="A4:CG304" headerRowCount="1" totalsRowCount="0" totalsRowShown="0">
  <autoFilter ref="A4:CG304"/>
  <tableColumns count="85">
    <tableColumn id="1" name="Design ID"/>
    <tableColumn id="2" name="Description"/>
    <tableColumn id="3" name="Keywords / Tags"/>
    <tableColumn id="4" name="Wall Type"/>
    <tableColumn id="5" name="Retained Height (m)"/>
    <tableColumn id="6" name="Surcharge (kPa)"/>
    <tableColumn id="7" name="GWT Behind Wall (Y/N)"/>
    <tableColumn id="8" name="Backfill Slope (deg)"/>
    <tableColumn id="9" name="Founding Soil"/>
    <tableColumn id="10" name="Founding Soil Allowable Bearing (kPa)"/>
    <tableColumn id="11" name="Retained Soil phi' (deg)"/>
    <tableColumn id="12" name="Retained Soil c' (kPa)"/>
    <tableColumn id="13" name="Retained Soil gamma (kN/m3)"/>
    <tableColumn id="14" name="Design Approach"/>
    <tableColumn id="15" name="Stem Top Thk (mm)"/>
    <tableColumn id="16" name="Stem Bottom Thk (mm)"/>
    <tableColumn id="17" name="Base Width (mm)"/>
    <tableColumn id="18" name="Toe (mm)"/>
    <tableColumn id="19" name="Heel (mm)"/>
    <tableColumn id="20" name="Base Thk (mm)"/>
    <tableColumn id="21" name="Shear Key (mm)"/>
    <tableColumn id="22" name="Concrete Grade"/>
    <tableColumn id="23" name="Cover (mm)"/>
    <tableColumn id="24" name="Stem Main Bar"/>
    <tableColumn id="25" name="Stem Front Face Bar"/>
    <tableColumn id="26" name="Base Main Bar"/>
    <tableColumn id="27" name="Distribution Bar"/>
    <tableColumn id="28" name="Movement Joint Spacing (m)"/>
    <tableColumn id="29" name="Drainage (weepholes / filter)"/>
    <tableColumn id="30" name="FOS Sliding"/>
    <tableColumn id="31" name="FOS Overturning"/>
    <tableColumn id="32" name="FOS Bearing"/>
    <tableColumn id="33" name="Max Bearing (kPa)"/>
    <tableColumn id="34" name="Max Settlement (mm)"/>
    <tableColumn id="35" name="Exposure Class"/>
    <tableColumn id="36" name="Design Life (years)"/>
    <tableColumn id="37" name="Rebar Grade"/>
    <tableColumn id="38" name="Crack Width Limit (mm)"/>
    <tableColumn id="39" name="Code Basis"/>
    <tableColumn id="40" name="Criteria Edition Used"/>
    <tableColumn id="41" name="Rev"/>
    <tableColumn id="42" name="Status"/>
    <tableColumn id="43" name="Drawing No."/>
    <tableColumn id="44" name="Detail Scale (1:n)"/>
    <tableColumn id="45" name="STAAD.Pro Model? (Y/N)"/>
    <tableColumn id="46" name="Design Folder"/>
    <tableColumn id="47" name="CAD Detail (.dwg)"/>
    <tableColumn id="48" name="Drawing (.pdf)"/>
    <tableColumn id="49" name="STAAD.Pro (.std)"/>
    <tableColumn id="50" name="Calc Sheet (.xlsx)"/>
    <tableColumn id="51" name="Calc Report (.pdf)"/>
    <tableColumn id="52" name="Files Checked in Folder (Y/N)"/>
    <tableColumn id="53" name="Qty Unit"/>
    <tableColumn id="54" name="Concrete (m3/unit)"/>
    <tableColumn id="55" name="Rebar (kg/unit)"/>
    <tableColumn id="56" name="Steel (kg/unit)"/>
    <tableColumn id="57" name="Formwork (m2/unit)"/>
    <tableColumn id="58" name="Excavation (m3/unit)"/>
    <tableColumn id="59" name="Rebar from Schedule (kg/unit)"/>
    <tableColumn id="60" name="Data Check (rebar vs schedule)"/>
    <tableColumn id="61" name="BCA ERSS Submission (indicative)"/>
    <tableColumn id="62" name="SG Compliance Check"/>
    <tableColumn id="63" name="Limitations / Notes"/>
    <tableColumn id="64" name="Projects / Tenders Used"/>
    <tableColumn id="65" name="Source Project Ref"/>
    <tableColumn id="66" name="Source Project Name"/>
    <tableColumn id="67" name="Source Authority"/>
    <tableColumn id="68" name="Source Drawing No(s)."/>
    <tableColumn id="69" name="Source Report &amp; Page"/>
    <tableColumn id="70" name="Extracted By"/>
    <tableColumn id="71" name="Extraction Date"/>
    <tableColumn id="72" name="Data Verified By"/>
    <tableColumn id="73" name="Data Verified Date"/>
    <tableColumn id="74" name="Authority Approval Ref"/>
    <tableColumn id="75" name="Authority Approval Date"/>
    <tableColumn id="76" name="Designer"/>
    <tableColumn id="77" name="Checker"/>
    <tableColumn id="78" name="Approved By (QP)"/>
    <tableColumn id="79" name="Approval Date"/>
    <tableColumn id="80" name="Last Reviewed"/>
    <tableColumn id="81" name="Next Review Due"/>
    <tableColumn id="82" name="Review Status"/>
    <tableColumn id="83" name="Data Completeness"/>
    <tableColumn id="84" name="Selectable"/>
    <tableColumn id="85" name="Selector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table" Target="../tables/table8.xml"/>
</Relationships>
</file>

<file path=xl/worksheets/_rels/sheet8.xml.rels><?xml version="1.0" encoding="UTF-8"?>
<Relationships xmlns="http://schemas.openxmlformats.org/package/2006/relationships"><Relationship Id="rId1" Type="http://schemas.openxmlformats.org/officeDocument/2006/relationships/table" Target="../tables/table2.xml"/>
</Relationships>
</file>

<file path=xl/worksheets/_rels/sheet9.xml.rels><?xml version="1.0" encoding="UTF-8"?>
<Relationships xmlns="http://schemas.openxmlformats.org/package/2006/relationships"><Relationship Id="rId1" Type="http://schemas.openxmlformats.org/officeDocument/2006/relationships/table" Target="../tables/table11.xml"/>
</Relationships>
</file>

<file path=xl/worksheets/_rels/sheet10.xml.rels><?xml version="1.0" encoding="UTF-8"?>
<Relationships xmlns="http://schemas.openxmlformats.org/package/2006/relationships"><Relationship Id="rId1"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table" Target="../tables/table6.xml"/>
</Relationships>
</file>

<file path=xl/worksheets/_rels/sheet12.xml.rels><?xml version="1.0" encoding="UTF-8"?>
<Relationships xmlns="http://schemas.openxmlformats.org/package/2006/relationships"><Relationship Id="rId1" Type="http://schemas.openxmlformats.org/officeDocument/2006/relationships/table" Target="../tables/table4.xml"/>
</Relationships>
</file>

<file path=xl/worksheets/_rels/sheet13.xml.rels><?xml version="1.0" encoding="UTF-8"?>
<Relationships xmlns="http://schemas.openxmlformats.org/package/2006/relationships"><Relationship Id="rId1" Type="http://schemas.openxmlformats.org/officeDocument/2006/relationships/table" Target="../tables/table5.xml"/>
</Relationships>
</file>

<file path=xl/worksheets/_rels/sheet14.xml.rels><?xml version="1.0" encoding="UTF-8"?>
<Relationships xmlns="http://schemas.openxmlformats.org/package/2006/relationships"><Relationship Id="rId1" Type="http://schemas.openxmlformats.org/officeDocument/2006/relationships/table" Target="../tables/table7.xml"/>
</Relationships>
</file>

<file path=xl/worksheets/_rels/sheet15.xml.rels><?xml version="1.0" encoding="UTF-8"?>
<Relationships xmlns="http://schemas.openxmlformats.org/package/2006/relationships"><Relationship Id="rId1" Type="http://schemas.openxmlformats.org/officeDocument/2006/relationships/table" Target="../tables/table9.xml"/>
</Relationships>
</file>

<file path=xl/worksheets/_rels/sheet16.xml.rels><?xml version="1.0" encoding="UTF-8"?>
<Relationships xmlns="http://schemas.openxmlformats.org/package/2006/relationships"><Relationship Id="rId1" Type="http://schemas.openxmlformats.org/officeDocument/2006/relationships/table" Target="../tables/table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B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12"/>
  </cols>
  <sheetData>
    <row r="1" customFormat="false" ht="17.35" hidden="false" customHeight="false" outlineLevel="0" collapsed="false">
      <c r="A1" s="1" t="s">
        <v>0</v>
      </c>
    </row>
    <row r="2" customFormat="false" ht="23.85" hidden="false" customHeight="false" outlineLevel="0" collapsed="false">
      <c r="A2" s="2" t="s">
        <v>1</v>
      </c>
      <c r="B2" s="3" t="s">
        <v>2</v>
      </c>
    </row>
    <row r="3" customFormat="false" ht="15" hidden="false" customHeight="false" outlineLevel="0" collapsed="false">
      <c r="A3" s="2"/>
      <c r="B3" s="3"/>
    </row>
    <row r="4" customFormat="false" ht="15" hidden="false" customHeight="false" outlineLevel="0" collapsed="false">
      <c r="A4" s="4" t="s">
        <v>3</v>
      </c>
    </row>
    <row r="5" customFormat="false" ht="23.85" hidden="false" customHeight="false" outlineLevel="0" collapsed="false">
      <c r="A5" s="2" t="s">
        <v>4</v>
      </c>
      <c r="B5" s="3" t="s">
        <v>5</v>
      </c>
    </row>
    <row r="6" customFormat="false" ht="15" hidden="false" customHeight="false" outlineLevel="0" collapsed="false">
      <c r="A6" s="2" t="s">
        <v>6</v>
      </c>
      <c r="B6" s="3" t="s">
        <v>7</v>
      </c>
    </row>
    <row r="7" customFormat="false" ht="15" hidden="false" customHeight="false" outlineLevel="0" collapsed="false">
      <c r="A7" s="2" t="s">
        <v>8</v>
      </c>
      <c r="B7" s="3" t="s">
        <v>9</v>
      </c>
    </row>
    <row r="8" customFormat="false" ht="15" hidden="false" customHeight="false" outlineLevel="0" collapsed="false">
      <c r="A8" s="2" t="s">
        <v>10</v>
      </c>
      <c r="B8" s="3" t="s">
        <v>11</v>
      </c>
    </row>
    <row r="9" customFormat="false" ht="15" hidden="false" customHeight="false" outlineLevel="0" collapsed="false">
      <c r="A9" s="2"/>
      <c r="B9" s="3"/>
    </row>
    <row r="10" customFormat="false" ht="15" hidden="false" customHeight="false" outlineLevel="0" collapsed="false">
      <c r="A10" s="4" t="s">
        <v>12</v>
      </c>
    </row>
    <row r="11" customFormat="false" ht="23.85" hidden="false" customHeight="false" outlineLevel="0" collapsed="false">
      <c r="A11" s="2" t="s">
        <v>13</v>
      </c>
      <c r="B11" s="3" t="s">
        <v>14</v>
      </c>
    </row>
    <row r="12" customFormat="false" ht="23.85" hidden="false" customHeight="false" outlineLevel="0" collapsed="false">
      <c r="A12" s="2" t="s">
        <v>15</v>
      </c>
      <c r="B12" s="3" t="s">
        <v>16</v>
      </c>
    </row>
    <row r="13" customFormat="false" ht="35.05" hidden="false" customHeight="false" outlineLevel="0" collapsed="false">
      <c r="A13" s="2" t="s">
        <v>17</v>
      </c>
      <c r="B13" s="3" t="s">
        <v>18</v>
      </c>
    </row>
    <row r="14" customFormat="false" ht="23.85" hidden="false" customHeight="false" outlineLevel="0" collapsed="false">
      <c r="A14" s="2" t="s">
        <v>19</v>
      </c>
      <c r="B14" s="3" t="s">
        <v>20</v>
      </c>
    </row>
    <row r="15" customFormat="false" ht="23.85" hidden="false" customHeight="false" outlineLevel="0" collapsed="false">
      <c r="A15" s="2" t="s">
        <v>21</v>
      </c>
      <c r="B15" s="3" t="s">
        <v>22</v>
      </c>
    </row>
    <row r="16" customFormat="false" ht="23.85" hidden="false" customHeight="false" outlineLevel="0" collapsed="false">
      <c r="A16" s="2" t="s">
        <v>23</v>
      </c>
      <c r="B16" s="3" t="s">
        <v>24</v>
      </c>
    </row>
    <row r="17" customFormat="false" ht="15" hidden="false" customHeight="false" outlineLevel="0" collapsed="false">
      <c r="A17" s="2" t="s">
        <v>25</v>
      </c>
      <c r="B17" s="3" t="s">
        <v>26</v>
      </c>
    </row>
    <row r="18" customFormat="false" ht="15" hidden="false" customHeight="false" outlineLevel="0" collapsed="false">
      <c r="A18" s="2" t="s">
        <v>27</v>
      </c>
      <c r="B18" s="3" t="s">
        <v>28</v>
      </c>
    </row>
    <row r="19" customFormat="false" ht="15" hidden="false" customHeight="false" outlineLevel="0" collapsed="false">
      <c r="A19" s="2" t="s">
        <v>29</v>
      </c>
      <c r="B19" s="3" t="s">
        <v>30</v>
      </c>
    </row>
    <row r="20" customFormat="false" ht="15" hidden="false" customHeight="false" outlineLevel="0" collapsed="false">
      <c r="A20" s="2" t="s">
        <v>31</v>
      </c>
      <c r="B20" s="3" t="s">
        <v>32</v>
      </c>
    </row>
    <row r="21" customFormat="false" ht="15" hidden="false" customHeight="false" outlineLevel="0" collapsed="false">
      <c r="A21" s="2" t="s">
        <v>33</v>
      </c>
      <c r="B21" s="3" t="s">
        <v>34</v>
      </c>
    </row>
    <row r="22" customFormat="false" ht="23.85" hidden="false" customHeight="false" outlineLevel="0" collapsed="false">
      <c r="A22" s="2" t="s">
        <v>35</v>
      </c>
      <c r="B22" s="3" t="s">
        <v>36</v>
      </c>
    </row>
    <row r="23" customFormat="false" ht="23.85" hidden="false" customHeight="false" outlineLevel="0" collapsed="false">
      <c r="A23" s="2" t="s">
        <v>37</v>
      </c>
      <c r="B23" s="3" t="s">
        <v>38</v>
      </c>
    </row>
    <row r="24" customFormat="false" ht="15" hidden="false" customHeight="false" outlineLevel="0" collapsed="false">
      <c r="A24" s="2"/>
      <c r="B24" s="3"/>
    </row>
    <row r="25" customFormat="false" ht="15" hidden="false" customHeight="false" outlineLevel="0" collapsed="false">
      <c r="A25" s="4" t="s">
        <v>39</v>
      </c>
    </row>
    <row r="26" customFormat="false" ht="15" hidden="false" customHeight="false" outlineLevel="0" collapsed="false">
      <c r="A26" s="2" t="s">
        <v>40</v>
      </c>
      <c r="B26" s="3" t="s">
        <v>41</v>
      </c>
    </row>
    <row r="27" customFormat="false" ht="15" hidden="false" customHeight="false" outlineLevel="0" collapsed="false">
      <c r="A27" s="2" t="s">
        <v>42</v>
      </c>
      <c r="B27" s="3" t="s">
        <v>43</v>
      </c>
    </row>
    <row r="28" customFormat="false" ht="15" hidden="false" customHeight="false" outlineLevel="0" collapsed="false">
      <c r="A28" s="2" t="s">
        <v>44</v>
      </c>
      <c r="B28" s="3" t="s">
        <v>45</v>
      </c>
    </row>
    <row r="29" customFormat="false" ht="15" hidden="false" customHeight="false" outlineLevel="0" collapsed="false">
      <c r="A29" s="2" t="s">
        <v>46</v>
      </c>
      <c r="B29" s="3" t="s">
        <v>47</v>
      </c>
    </row>
    <row r="30" customFormat="false" ht="15" hidden="false" customHeight="false" outlineLevel="0" collapsed="false">
      <c r="A30" s="2" t="s">
        <v>48</v>
      </c>
      <c r="B30" s="3" t="s">
        <v>49</v>
      </c>
    </row>
    <row r="31" customFormat="false" ht="15" hidden="false" customHeight="false" outlineLevel="0" collapsed="false">
      <c r="A31" s="2" t="s">
        <v>50</v>
      </c>
      <c r="B31" s="3" t="s">
        <v>51</v>
      </c>
    </row>
    <row r="32" customFormat="false" ht="15" hidden="false" customHeight="false" outlineLevel="0" collapsed="false">
      <c r="A32" s="2"/>
      <c r="B32" s="3"/>
    </row>
    <row r="33" customFormat="false" ht="15" hidden="false" customHeight="false" outlineLevel="0" collapsed="false">
      <c r="A33" s="4" t="s">
        <v>52</v>
      </c>
    </row>
    <row r="34" customFormat="false" ht="23.85" hidden="false" customHeight="false" outlineLevel="0" collapsed="false">
      <c r="A34" s="2" t="s">
        <v>53</v>
      </c>
      <c r="B34" s="3" t="s">
        <v>54</v>
      </c>
    </row>
    <row r="35" customFormat="false" ht="15" hidden="false" customHeight="false" outlineLevel="0" collapsed="false">
      <c r="A35" s="2" t="s">
        <v>55</v>
      </c>
      <c r="B35" s="3" t="s">
        <v>56</v>
      </c>
    </row>
    <row r="36" customFormat="false" ht="15" hidden="false" customHeight="false" outlineLevel="0" collapsed="false">
      <c r="A36" s="2"/>
      <c r="B36" s="3"/>
    </row>
    <row r="37" customFormat="false" ht="35.05" hidden="false" customHeight="false" outlineLevel="0" collapsed="false">
      <c r="A37" s="2" t="s">
        <v>57</v>
      </c>
      <c r="B37" s="3" t="s">
        <v>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K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46"/>
    <col collapsed="false" customWidth="true" hidden="false" outlineLevel="0" max="3" min="3" style="0" width="2"/>
    <col collapsed="false" customWidth="true" hidden="false" outlineLevel="0" max="4" min="4" style="0" width="32"/>
    <col collapsed="false" customWidth="true" hidden="false" outlineLevel="0" max="5" min="5" style="0" width="46"/>
    <col collapsed="false" customWidth="true" hidden="false" outlineLevel="0" max="6" min="6" style="0" width="2"/>
    <col collapsed="false" customWidth="true" hidden="false" outlineLevel="0" max="7" min="7" style="0" width="32"/>
    <col collapsed="false" customWidth="true" hidden="false" outlineLevel="0" max="8" min="8" style="0" width="46"/>
    <col collapsed="false" customWidth="true" hidden="false" outlineLevel="0" max="9" min="9" style="0" width="2"/>
    <col collapsed="false" customWidth="true" hidden="false" outlineLevel="0" max="10" min="10" style="0" width="32"/>
    <col collapsed="false" customWidth="true" hidden="false" outlineLevel="0" max="11" min="11" style="0" width="46"/>
  </cols>
  <sheetData>
    <row r="1" customFormat="false" ht="17.35" hidden="false" customHeight="false" outlineLevel="0" collapsed="false">
      <c r="A1" s="5" t="s">
        <v>59</v>
      </c>
    </row>
    <row r="2" customFormat="false" ht="15" hidden="false" customHeight="false" outlineLevel="0" collapsed="false">
      <c r="A2" s="6" t="s">
        <v>60</v>
      </c>
    </row>
    <row r="4" customFormat="false" ht="15" hidden="false" customHeight="false" outlineLevel="0" collapsed="false">
      <c r="A4" s="7" t="s">
        <v>61</v>
      </c>
      <c r="B4" s="7"/>
      <c r="D4" s="7" t="s">
        <v>62</v>
      </c>
      <c r="E4" s="7"/>
      <c r="G4" s="7" t="s">
        <v>63</v>
      </c>
      <c r="H4" s="7"/>
      <c r="J4" s="7" t="s">
        <v>64</v>
      </c>
      <c r="K4" s="7"/>
    </row>
    <row r="5" customFormat="false" ht="15" hidden="false" customHeight="false" outlineLevel="0" collapsed="false">
      <c r="A5" s="8" t="s">
        <v>65</v>
      </c>
      <c r="B5" s="9" t="s">
        <v>66</v>
      </c>
      <c r="D5" s="8" t="s">
        <v>67</v>
      </c>
      <c r="E5" s="9" t="s">
        <v>68</v>
      </c>
      <c r="G5" s="8" t="s">
        <v>67</v>
      </c>
      <c r="H5" s="9" t="s">
        <v>69</v>
      </c>
      <c r="J5" s="8" t="s">
        <v>70</v>
      </c>
      <c r="K5" s="9" t="s">
        <v>71</v>
      </c>
    </row>
    <row r="6" customFormat="false" ht="15" hidden="false" customHeight="false" outlineLevel="0" collapsed="false">
      <c r="A6" s="8" t="s">
        <v>72</v>
      </c>
      <c r="B6" s="9" t="n">
        <v>600</v>
      </c>
      <c r="D6" s="8" t="s">
        <v>73</v>
      </c>
      <c r="E6" s="9" t="n">
        <v>2.8</v>
      </c>
      <c r="G6" s="8" t="s">
        <v>74</v>
      </c>
      <c r="H6" s="9" t="n">
        <v>4.5</v>
      </c>
      <c r="J6" s="8" t="s">
        <v>75</v>
      </c>
      <c r="K6" s="9" t="n">
        <v>4.2</v>
      </c>
    </row>
    <row r="7" customFormat="false" ht="15" hidden="false" customHeight="false" outlineLevel="0" collapsed="false">
      <c r="A7" s="8" t="s">
        <v>76</v>
      </c>
      <c r="B7" s="9" t="n">
        <v>600</v>
      </c>
      <c r="D7" s="8" t="s">
        <v>77</v>
      </c>
      <c r="E7" s="9" t="n">
        <v>25</v>
      </c>
      <c r="G7" s="8" t="s">
        <v>78</v>
      </c>
      <c r="H7" s="9" t="s">
        <v>79</v>
      </c>
      <c r="J7" s="8" t="s">
        <v>80</v>
      </c>
      <c r="K7" s="9" t="n">
        <v>450</v>
      </c>
    </row>
    <row r="8" customFormat="false" ht="15" hidden="false" customHeight="false" outlineLevel="0" collapsed="false">
      <c r="A8" s="8" t="s">
        <v>81</v>
      </c>
      <c r="B8" s="9" t="s">
        <v>82</v>
      </c>
      <c r="D8" s="8" t="s">
        <v>83</v>
      </c>
      <c r="E8" s="9" t="s">
        <v>84</v>
      </c>
      <c r="G8" s="8" t="s">
        <v>85</v>
      </c>
      <c r="H8" s="9" t="s">
        <v>86</v>
      </c>
    </row>
    <row r="9" customFormat="false" ht="15" hidden="false" customHeight="false" outlineLevel="0" collapsed="false">
      <c r="A9" s="8" t="s">
        <v>87</v>
      </c>
      <c r="B9" s="9" t="n">
        <v>0.35</v>
      </c>
      <c r="G9" s="8" t="s">
        <v>88</v>
      </c>
      <c r="H9" s="9" t="s">
        <v>89</v>
      </c>
    </row>
    <row r="10" customFormat="false" ht="15" hidden="false" customHeight="false" outlineLevel="0" collapsed="false">
      <c r="A10" s="6" t="s">
        <v>90</v>
      </c>
    </row>
    <row r="11" customFormat="false" ht="15" hidden="false" customHeight="false" outlineLevel="0" collapsed="false">
      <c r="A11" s="8" t="s">
        <v>91</v>
      </c>
      <c r="B11" s="9" t="n">
        <v>500</v>
      </c>
    </row>
    <row r="13" customFormat="false" ht="15" hidden="false" customHeight="false" outlineLevel="0" collapsed="false">
      <c r="A13" s="8" t="s">
        <v>92</v>
      </c>
      <c r="B13" s="10" t="n">
        <f aca="false">_xlfn.MINIFS(Drain_Register!$G$5:$G$304,Drain_Register!$D$5:$D$304,B5,Drain_Register!$M$5:$M$304,B8,Drain_Register!$CA$5:$CA$304,"Y",Drain_Register!$G$5:$G$304,"&gt;="&amp;B6,Drain_Register!$H$5:$H$304,"&gt;="&amp;B7,Drain_Register!$BC$5:$BC$304,IF(N(B9)&gt;0,"&gt;="&amp;B9,"&lt;&gt;#"))</f>
        <v>900</v>
      </c>
      <c r="D13" s="8" t="s">
        <v>93</v>
      </c>
      <c r="E13" s="11" t="n">
        <f aca="false">_xlfn.MINIFS(RW_Register!$E$5:$E$304,RW_Register!$D$5:$D$304,E5,RW_Register!$CF$5:$CF$304,"Y",RW_Register!$E$5:$E$304,"&gt;="&amp;E6,RW_Register!$F$5:$F$304,"&gt;="&amp;E7,RW_Register!$G$5:$G$304,IF(E8="Y","Y","&lt;&gt;#"))</f>
        <v>3</v>
      </c>
      <c r="G13" s="8" t="s">
        <v>94</v>
      </c>
      <c r="H13" s="12" t="n">
        <f aca="false">_xlfn.MINIFS(Embedded_Wall_Register!$F$5:$F$304,Embedded_Wall_Register!$D$5:$D$304,H5,Embedded_Wall_Register!$G$5:$G$304,H7,Embedded_Wall_Register!$H$5:$H$304,H8,Embedded_Wall_Register!$E$5:$E$304,H9,Embedded_Wall_Register!$CD$5:$CD$304,"Y",Embedded_Wall_Register!$F$5:$F$304,"&gt;="&amp;H6)</f>
        <v>5</v>
      </c>
      <c r="J13" s="8" t="s">
        <v>95</v>
      </c>
      <c r="K13" s="12" t="n">
        <f aca="false">_xlfn.MINIFS(Manhole_Register!$J$5:$J$304,Manhole_Register!$D$5:$D$304,K5,Manhole_Register!$CC$5:$CC$304,"Y",Manhole_Register!$J$5:$J$304,"&gt;="&amp;K6,Manhole_Register!$I$5:$I$304,"&lt;="&amp;K6,Manhole_Register!$K$5:$K$304,"&gt;="&amp;K7)</f>
        <v>6</v>
      </c>
    </row>
    <row r="14" customFormat="false" ht="15" hidden="false" customHeight="false" outlineLevel="0" collapsed="false">
      <c r="A14" s="8" t="s">
        <v>96</v>
      </c>
      <c r="B14" s="10" t="n">
        <f aca="false">IF(B13=0,0,_xlfn.MINIFS(Drain_Register!$H$5:$H$304,Drain_Register!$D$5:$D$304,B5,Drain_Register!$M$5:$M$304,B8,Drain_Register!$CA$5:$CA$304,"Y",Drain_Register!$G$5:$G$304,B13,Drain_Register!$H$5:$H$304,"&gt;="&amp;B7,Drain_Register!$BC$5:$BC$304,IF(N(B9)&gt;0,"&gt;="&amp;B9,"&lt;&gt;#")))</f>
        <v>900</v>
      </c>
      <c r="D14" s="8" t="s">
        <v>97</v>
      </c>
      <c r="E14" s="10" t="n">
        <f aca="false">IF(E13=0,0,_xlfn.MINIFS(RW_Register!$F$5:$F$304,RW_Register!$D$5:$D$304,E5,RW_Register!$CF$5:$CF$304,"Y",RW_Register!$E$5:$E$304,E13,RW_Register!$F$5:$F$304,"&gt;="&amp;E7,RW_Register!$G$5:$G$304,IF(E8="Y","Y","&lt;&gt;#")))</f>
        <v>25</v>
      </c>
      <c r="J14" s="8" t="s">
        <v>98</v>
      </c>
      <c r="K14" s="10" t="n">
        <f aca="false">IF(K13=0,0,_xlfn.MINIFS(Manhole_Register!$G$5:$G$304,Manhole_Register!$D$5:$D$304,K5,Manhole_Register!$CC$5:$CC$304,"Y",Manhole_Register!$J$5:$J$304,K13,Manhole_Register!$I$5:$I$304,"&lt;="&amp;K6,Manhole_Register!$K$5:$K$304,"&gt;="&amp;K7))</f>
        <v>1500</v>
      </c>
    </row>
    <row r="15" customFormat="false" ht="15" hidden="false" customHeight="false" outlineLevel="0" collapsed="false">
      <c r="A15" s="8" t="s">
        <v>99</v>
      </c>
      <c r="B15" s="10" t="n">
        <f aca="false">IFERROR(MATCH(B5&amp;"|"&amp;B13&amp;"|"&amp;B14&amp;"|"&amp;B8&amp;"|Y",Drain_Register!$CB$5:$CB$304,0),0)</f>
        <v>2</v>
      </c>
      <c r="D15" s="8" t="s">
        <v>100</v>
      </c>
      <c r="E15" s="10" t="str">
        <f aca="false">IF(E13=0,"",IF(E8="Y","Y",IF(COUNTIFS(RW_Register!$D$5:$D$304,E5,RW_Register!$CF$5:$CF$304,"Y",RW_Register!$E$5:$E$304,E13,RW_Register!$F$5:$F$304,E14,RW_Register!$G$5:$G$304,"N")&gt;0,"N","Y")))</f>
        <v>N</v>
      </c>
      <c r="G15" s="8" t="s">
        <v>99</v>
      </c>
      <c r="H15" s="10" t="n">
        <f aca="false">IFERROR(MATCH(H5&amp;"|"&amp;H13&amp;"|"&amp;H7&amp;"|"&amp;H8&amp;"|"&amp;H9&amp;"|Y",Embedded_Wall_Register!$CE$5:$CE$304,0),0)</f>
        <v>2</v>
      </c>
      <c r="J15" s="8" t="s">
        <v>99</v>
      </c>
      <c r="K15" s="10" t="n">
        <f aca="false">IFERROR(MATCH(K5&amp;"|"&amp;K13&amp;"|"&amp;K14&amp;"|Y",Manhole_Register!$CD$5:$CD$304,0),0)</f>
        <v>2</v>
      </c>
    </row>
    <row r="16" customFormat="false" ht="15" hidden="false" customHeight="false" outlineLevel="0" collapsed="false">
      <c r="D16" s="8" t="s">
        <v>99</v>
      </c>
      <c r="E16" s="10" t="n">
        <f aca="false">IFERROR(MATCH(E5&amp;"|"&amp;E13&amp;"|"&amp;E14&amp;"|"&amp;E15&amp;"|Y",RW_Register!$CG$5:$CG$304,0),0)</f>
        <v>7</v>
      </c>
    </row>
    <row r="18" customFormat="false" ht="15" hidden="false" customHeight="false" outlineLevel="0" collapsed="false">
      <c r="A18" s="8" t="s">
        <v>101</v>
      </c>
      <c r="B18" s="13" t="str">
        <f aca="false">IF(B15=0,"NO STANDARD DESIGN: bespoke design needed",IF(OR(B13&gt;B6,B14&gt;B7),"Match (conservative: larger than required)","Exact match"))</f>
        <v>Match (conservative: larger than required)</v>
      </c>
      <c r="D18" s="8" t="s">
        <v>101</v>
      </c>
      <c r="E18" s="13" t="str">
        <f aca="false">IF(E16=0,"NO STANDARD DESIGN: bespoke design needed",IF(OR(E13&gt;E6,E14&gt;E7,E15&lt;&gt;E8),"Match (conservative: covers a worse case)","Exact match"))</f>
        <v>Match (conservative: covers a worse case)</v>
      </c>
      <c r="G18" s="8" t="s">
        <v>101</v>
      </c>
      <c r="H18" s="13" t="str">
        <f aca="false">IF(H15=0,"NO STANDARD DESIGN: bespoke design needed",IF(H13&gt;H6,"Match (conservative: deeper than required)","Exact match"))</f>
        <v>Match (conservative: deeper than required)</v>
      </c>
      <c r="J18" s="8" t="s">
        <v>101</v>
      </c>
      <c r="K18" s="13" t="str">
        <f aca="false">IF(K15=0,"NO STANDARD DESIGN: bespoke design needed","Match: depth range "&amp;INDEX(Manhole_Register!$I$5:$I$304,K15)&amp;" - "&amp;INDEX(Manhole_Register!$J$5:$J$304,K15)&amp;" m")</f>
        <v>Match: depth range 3 - 6 m</v>
      </c>
    </row>
    <row r="19" customFormat="false" ht="15" hidden="false" customHeight="false" outlineLevel="0" collapsed="false">
      <c r="A19" s="8" t="s">
        <v>102</v>
      </c>
      <c r="B19" s="13" t="str">
        <f aca="false">IF($B$15=0,"",INDEX(Drain_Register!$A$5:$A$304,$B$15))</f>
        <v>DRN-PUD-0900x0900-S12-A</v>
      </c>
      <c r="D19" s="8" t="s">
        <v>102</v>
      </c>
      <c r="E19" s="13" t="str">
        <f aca="false">IF($E$16=0,"",INDEX(RW_Register!$A$5:$A$304,$E$16))</f>
        <v>RW-CANT-H3000-S25-A</v>
      </c>
      <c r="G19" s="8" t="s">
        <v>102</v>
      </c>
      <c r="H19" s="13" t="str">
        <f aca="false">IF($H$15=0,"",INDEX(Embedded_Wall_Register!$A$5:$A$304,$H$15))</f>
        <v>EW-CBP-D5000-S1-OA-P-A</v>
      </c>
      <c r="J19" s="8" t="s">
        <v>102</v>
      </c>
      <c r="K19" s="13" t="str">
        <f aca="false">IF($K$15=0,"",INDEX(Manhole_Register!$A$5:$A$304,$K$15))</f>
        <v>MH-SM-1500x1200-D6000-C-A</v>
      </c>
    </row>
    <row r="20" customFormat="false" ht="23.85" hidden="false" customHeight="false" outlineLevel="0" collapsed="false">
      <c r="A20" s="8" t="s">
        <v>103</v>
      </c>
      <c r="B20" s="14" t="str">
        <f aca="false">IF($B$15=0,"",INDEX(Drain_Register!$B$5:$B$304,$B$15))</f>
        <v>Precast U-Drain 900W x 900D, Roadside drain, Drain surcharge 12 kPa (SDRE), Open</v>
      </c>
      <c r="D20" s="8" t="s">
        <v>103</v>
      </c>
      <c r="E20" s="14" t="str">
        <f aca="false">IF($E$16=0,"",INDEX(RW_Register!$B$5:$B$304,$E$16))</f>
        <v>Cantilever RC (toe &amp; heel), H = 3.0 m, q = 25 kPa, Firm/stiff clay (general)</v>
      </c>
      <c r="G20" s="8" t="s">
        <v>103</v>
      </c>
      <c r="H20" s="14" t="str">
        <f aca="false">IF($H$15=0,"",INDEX(Embedded_Wall_Register!$B$5:$B$304,$H$15))</f>
        <v>Permanent Contiguous Bored Pile (CBP), excavation 5.0 m, 1 level strut, Old Alluvium, 800 dia</v>
      </c>
      <c r="J20" s="8" t="s">
        <v>103</v>
      </c>
      <c r="K20" s="14" t="str">
        <f aca="false">IF($K$15=0,"",INDEX(Manhole_Register!$B$5:$B$304,$K$15))</f>
        <v>Standard Manhole (PUB 001C), Cast-in-situ, 1500 x 1200, depth 3.0-6.0 m, pipe up to 600 dia</v>
      </c>
    </row>
    <row r="21" customFormat="false" ht="15" hidden="false" customHeight="false" outlineLevel="0" collapsed="false">
      <c r="A21" s="8" t="s">
        <v>104</v>
      </c>
      <c r="B21" s="14" t="str">
        <f aca="false">IF($B$15=0,"",INDEX(Drain_Register!$AI$5:$AI$304,$B$15)&amp;" / "&amp;INDEX(Drain_Register!$AK$5:$AK$304,$B$15))</f>
        <v>A / STD-DR-002</v>
      </c>
      <c r="D21" s="8" t="s">
        <v>104</v>
      </c>
      <c r="E21" s="14" t="str">
        <f aca="false">IF($E$16=0,"",INDEX(RW_Register!$AO$5:$AO$304,$E$16)&amp;" / "&amp;INDEX(RW_Register!$AQ$5:$AQ$304,$E$16))</f>
        <v>A / STD-RW-005</v>
      </c>
      <c r="G21" s="8" t="s">
        <v>104</v>
      </c>
      <c r="H21" s="14" t="str">
        <f aca="false">IF($H$15=0,"",INDEX(Embedded_Wall_Register!$AM$5:$AM$304,$H$15)&amp;" / "&amp;INDEX(Embedded_Wall_Register!$AO$5:$AO$304,$H$15))</f>
        <v>A / STD-EW-002</v>
      </c>
      <c r="J21" s="8" t="s">
        <v>104</v>
      </c>
      <c r="K21" s="14" t="str">
        <f aca="false">IF($K$15=0,"",INDEX(Manhole_Register!$AM$5:$AM$304,$K$15)&amp;" / "&amp;INDEX(Manhole_Register!$AO$5:$AO$304,$K$15))</f>
        <v>A / STD-MH-002</v>
      </c>
    </row>
    <row r="22" customFormat="false" ht="15" hidden="false" customHeight="false" outlineLevel="0" collapsed="false">
      <c r="A22" s="8" t="s">
        <v>105</v>
      </c>
      <c r="B22" s="14" t="str">
        <f aca="false">IF($B$15=0,"",INDEX(Drain_Register!$BC$5:$BC$304,$B$15)&amp;" m3/s / "&amp;INDEX(Drain_Register!$BD$5:$BD$304,$B$15)&amp;" m/s")</f>
        <v>0.886 m3/s / 1.29 m/s</v>
      </c>
      <c r="D22" s="8" t="s">
        <v>106</v>
      </c>
      <c r="E22" s="14" t="str">
        <f aca="false">IF($E$16=0,"",INDEX(RW_Register!$X$5:$X$304,$E$16)&amp;" / "&amp;INDEX(RW_Register!$Z$5:$Z$304,$E$16))</f>
        <v>T16@125 / T16@150</v>
      </c>
      <c r="G22" s="8" t="s">
        <v>107</v>
      </c>
      <c r="H22" s="14" t="str">
        <f aca="false">IF($H$15=0,"",INDEX(Embedded_Wall_Register!$K$5:$K$304,$H$15)&amp;", L = "&amp;INDEX(Embedded_Wall_Register!$O$5:$O$304,$H$15)&amp;" m, toe "&amp;INDEX(Embedded_Wall_Register!$N$5:$N$304,$H$15)&amp;" m")</f>
        <v>800 dia, L = 12 m, toe 7 m</v>
      </c>
      <c r="J22" s="8" t="s">
        <v>108</v>
      </c>
      <c r="K22" s="14" t="str">
        <f aca="false">IF($K$15=0,"",INDEX(Manhole_Register!$AE$5:$AE$304,$K$15))</f>
        <v>PUB/WRN/STD/001C</v>
      </c>
    </row>
    <row r="23" customFormat="false" ht="15" hidden="false" customHeight="false" outlineLevel="0" collapsed="false">
      <c r="A23" s="8" t="s">
        <v>109</v>
      </c>
      <c r="B23" s="14" t="str">
        <f aca="false">IF($B$15=0,"",IF(INDEX(Drain_Register!$BD$5:$BD$304,$B$15)="","n/a",IF(INDEX(Drain_Register!$BD$5:$BD$304,$B$15)&gt;SG_Criteria!$B$24,"NOTE: V &gt; "&amp;SG_Criteria!$B$24&amp;" m/s, check scour",IF(INDEX(Drain_Register!$BD$5:$BD$304,$B$15)&lt;SG_Criteria!$B$23,"NOTE: V &lt; "&amp;SG_Criteria!$B$23&amp;" m/s","OK"))))</f>
        <v>OK</v>
      </c>
      <c r="D23" s="8" t="s">
        <v>110</v>
      </c>
      <c r="E23" s="14" t="str">
        <f aca="false">IF($E$16=0,"",INDEX(RW_Register!$BI$5:$BI$304,$E$16))</f>
        <v>QP(ST)</v>
      </c>
      <c r="G23" s="8" t="s">
        <v>110</v>
      </c>
      <c r="H23" s="14" t="str">
        <f aca="false">IF($H$15=0,"",INDEX(Embedded_Wall_Register!$BG$5:$BG$304,$H$15))</f>
        <v>QP(ST) + AC</v>
      </c>
      <c r="J23" s="8" t="s">
        <v>111</v>
      </c>
      <c r="K23" s="14" t="str">
        <f aca="false">IF($K$15=0,"",INDEX(Manhole_Register!$AF$5:$AF$304,$K$15))</f>
        <v>ERSS-SSP-4000x3500-D6000-KF-A</v>
      </c>
    </row>
    <row r="24" customFormat="false" ht="15" hidden="false" customHeight="false" outlineLevel="0" collapsed="false">
      <c r="A24" s="8" t="s">
        <v>112</v>
      </c>
      <c r="B24" s="14" t="str">
        <f aca="false">IF($B$15=0,"",INDEX(Drain_Register!$BE$5:$BE$304,$B$15))</f>
        <v>OK</v>
      </c>
      <c r="D24" s="8" t="s">
        <v>112</v>
      </c>
      <c r="E24" s="14" t="str">
        <f aca="false">IF($E$16=0,"",INDEX(RW_Register!$BJ$5:$BJ$304,$E$16))</f>
        <v>OK</v>
      </c>
      <c r="G24" s="8" t="s">
        <v>112</v>
      </c>
      <c r="H24" s="14" t="str">
        <f aca="false">IF($H$15=0,"",INDEX(Embedded_Wall_Register!$BH$5:$BH$304,$H$15))</f>
        <v>OK</v>
      </c>
      <c r="J24" s="8" t="s">
        <v>112</v>
      </c>
      <c r="K24" s="14" t="str">
        <f aca="false">IF($K$15=0,"",INDEX(Manhole_Register!$BG$5:$BG$304,$K$15))</f>
        <v>OK</v>
      </c>
    </row>
    <row r="25" customFormat="false" ht="15" hidden="false" customHeight="false" outlineLevel="0" collapsed="false">
      <c r="A25" s="8" t="s">
        <v>113</v>
      </c>
      <c r="B25" s="14" t="n">
        <f aca="false">IF($B$15=0,"",INDEX(Drain_Register!$AL$5:$AL$304,$B$15))</f>
        <v>20</v>
      </c>
      <c r="D25" s="8" t="s">
        <v>113</v>
      </c>
      <c r="E25" s="14" t="n">
        <f aca="false">IF($E$16=0,"",INDEX(RW_Register!$AR$5:$AR$304,$E$16))</f>
        <v>25</v>
      </c>
      <c r="G25" s="8" t="s">
        <v>113</v>
      </c>
      <c r="H25" s="14" t="n">
        <f aca="false">IF($H$15=0,"",INDEX(Embedded_Wall_Register!$AP$5:$AP$304,$H$15))</f>
        <v>50</v>
      </c>
      <c r="J25" s="8" t="s">
        <v>113</v>
      </c>
      <c r="K25" s="14" t="n">
        <f aca="false">IF($K$15=0,"",INDEX(Manhole_Register!$AP$5:$AP$304,$K$15))</f>
        <v>25</v>
      </c>
    </row>
    <row r="26" customFormat="false" ht="35.05" hidden="false" customHeight="false" outlineLevel="0" collapsed="false">
      <c r="A26" s="8" t="s">
        <v>114</v>
      </c>
      <c r="B26" s="14" t="str">
        <f aca="false">IF($B$15=0,"",INDEX(Drain_Register!$AN$5:$AN$304,$B$15))</f>
        <v>C:\Users\yourname\YourCompany\Design Library - Documents\01_Drainage\DRN-PUD-0900x0900-S12-A\</v>
      </c>
      <c r="D26" s="8" t="s">
        <v>114</v>
      </c>
      <c r="E26" s="14" t="str">
        <f aca="false">IF($E$16=0,"",INDEX(RW_Register!$AT$5:$AT$304,$E$16))</f>
        <v>C:\Users\yourname\YourCompany\Design Library - Documents\02_Retaining_Wall\RW-CANT-H3000-S25-A\</v>
      </c>
      <c r="G26" s="8" t="s">
        <v>114</v>
      </c>
      <c r="H26" s="14" t="str">
        <f aca="false">IF($H$15=0,"",INDEX(Embedded_Wall_Register!$AR$5:$AR$304,$H$15))</f>
        <v>C:\Users\yourname\YourCompany\Design Library - Documents\03_Embedded_Wall\EW-CBP-D5000-S1-OA-P-A\</v>
      </c>
      <c r="J26" s="8" t="s">
        <v>114</v>
      </c>
      <c r="K26" s="14" t="str">
        <f aca="false">IF($K$15=0,"",INDEX(Manhole_Register!$AR$5:$AR$304,$K$15))</f>
        <v>C:\Users\yourname\YourCompany\Design Library - Documents\04_Sewer_Manhole\MH-SM-1500x1200-D6000-C-A\</v>
      </c>
    </row>
    <row r="27" customFormat="false" ht="35.05" hidden="false" customHeight="false" outlineLevel="0" collapsed="false">
      <c r="A27" s="8" t="s">
        <v>115</v>
      </c>
      <c r="B27" s="14" t="str">
        <f aca="false">IF($B$15=0,"",INDEX(Drain_Register!$AN$5:$AN$304,$B$15)&amp;INDEX(Drain_Register!$AO$5:$AO$304,$B$15))</f>
        <v>C:\Users\yourname\YourCompany\Design Library - Documents\01_Drainage\DRN-PUD-0900x0900-S12-A\DRN-PUD-0900x0900-S12-A_CAD.dwg</v>
      </c>
      <c r="D27" s="8" t="s">
        <v>115</v>
      </c>
      <c r="E27" s="14" t="str">
        <f aca="false">IF($E$16=0,"",INDEX(RW_Register!$AT$5:$AT$304,$E$16)&amp;INDEX(RW_Register!$AU$5:$AU$304,$E$16))</f>
        <v>C:\Users\yourname\YourCompany\Design Library - Documents\02_Retaining_Wall\RW-CANT-H3000-S25-A\RW-CANT-H3000-S25-A_CAD.dwg</v>
      </c>
      <c r="G27" s="8" t="s">
        <v>115</v>
      </c>
      <c r="H27" s="14" t="str">
        <f aca="false">IF($H$15=0,"",INDEX(Embedded_Wall_Register!$AR$5:$AR$304,$H$15)&amp;INDEX(Embedded_Wall_Register!$AS$5:$AS$304,$H$15))</f>
        <v>C:\Users\yourname\YourCompany\Design Library - Documents\03_Embedded_Wall\EW-CBP-D5000-S1-OA-P-A\EW-CBP-D5000-S1-OA-P-A_CAD.dwg</v>
      </c>
      <c r="J27" s="8" t="s">
        <v>115</v>
      </c>
      <c r="K27" s="14" t="str">
        <f aca="false">IF($K$15=0,"",INDEX(Manhole_Register!$AR$5:$AR$304,$K$15)&amp;INDEX(Manhole_Register!$AS$5:$AS$304,$K$15))</f>
        <v>C:\Users\yourname\YourCompany\Design Library - Documents\04_Sewer_Manhole\MH-SM-1500x1200-D6000-C-A\MH-SM-1500x1200-D6000-C-A_CAD.dwg</v>
      </c>
    </row>
    <row r="28" customFormat="false" ht="15" hidden="false" customHeight="false" outlineLevel="0" collapsed="false">
      <c r="A28" s="8" t="s">
        <v>116</v>
      </c>
      <c r="B28" s="14" t="str">
        <f aca="false">IF($B$15=0,"",INDEX(Drain_Register!$AQ$5:$AQ$304,$B$15))</f>
        <v>n/a</v>
      </c>
      <c r="D28" s="8" t="s">
        <v>116</v>
      </c>
      <c r="E28" s="14" t="str">
        <f aca="false">IF($E$16=0,"",INDEX(RW_Register!$AW$5:$AW$304,$E$16))</f>
        <v>n/a</v>
      </c>
      <c r="G28" s="8" t="s">
        <v>116</v>
      </c>
      <c r="H28" s="14" t="str">
        <f aca="false">IF($H$15=0,"",INDEX(Embedded_Wall_Register!$AU$5:$AU$304,$H$15))</f>
        <v>EW-CBP-D5000-S1-OA-P-A_STAAD.std</v>
      </c>
      <c r="J28" s="8" t="s">
        <v>116</v>
      </c>
      <c r="K28" s="14" t="str">
        <f aca="false">IF($K$15=0,"",INDEX(Manhole_Register!$AU$5:$AU$304,$K$15))</f>
        <v>MH-SM-1500x1200-D6000-C-A_STAAD.std</v>
      </c>
    </row>
    <row r="29" customFormat="false" ht="23.85" hidden="false" customHeight="false" outlineLevel="0" collapsed="false">
      <c r="A29" s="8" t="s">
        <v>117</v>
      </c>
      <c r="B29" s="14" t="str">
        <f aca="false">IF($B$15=0,"",INDEX(Drain_Register!$AR$5:$AR$304,$B$15)&amp;" / "&amp;INDEX(Drain_Register!$AS$5:$AS$304,$B$15))</f>
        <v>DRN-PUD-0900x0900-S12-A_CALC.xlsx / DRN-PUD-0900x0900-S12-A_CALC.pdf</v>
      </c>
      <c r="D29" s="8" t="s">
        <v>117</v>
      </c>
      <c r="E29" s="14" t="str">
        <f aca="false">IF($E$16=0,"",INDEX(RW_Register!$AX$5:$AX$304,$E$16)&amp;" / "&amp;INDEX(RW_Register!$AY$5:$AY$304,$E$16))</f>
        <v>RW-CANT-H3000-S25-A_CALC.xlsx / RW-CANT-H3000-S25-A_CALC.pdf</v>
      </c>
      <c r="G29" s="8" t="s">
        <v>117</v>
      </c>
      <c r="H29" s="14" t="str">
        <f aca="false">IF($H$15=0,"",INDEX(Embedded_Wall_Register!$AV$5:$AV$304,$H$15)&amp;" / "&amp;INDEX(Embedded_Wall_Register!$AW$5:$AW$304,$H$15))</f>
        <v>EW-CBP-D5000-S1-OA-P-A_CALC.xlsx / EW-CBP-D5000-S1-OA-P-A_CALC.pdf</v>
      </c>
      <c r="J29" s="8" t="s">
        <v>117</v>
      </c>
      <c r="K29" s="14" t="str">
        <f aca="false">IF($K$15=0,"",INDEX(Manhole_Register!$AV$5:$AV$304,$K$15)&amp;" / "&amp;INDEX(Manhole_Register!$AW$5:$AW$304,$K$15))</f>
        <v>MH-SM-1500x1200-D6000-C-A_CALC.xlsx / MH-SM-1500x1200-D6000-C-A_CALC.pdf</v>
      </c>
    </row>
    <row r="30" customFormat="false" ht="15" hidden="false" customHeight="false" outlineLevel="0" collapsed="false">
      <c r="A30" s="8" t="s">
        <v>118</v>
      </c>
      <c r="B30" s="14" t="str">
        <f aca="false">IF($B$15=0,"",INDEX(Drain_Register!$AV$5:$AV$304,$B$15)&amp;" / "&amp;INDEX(Drain_Register!$AW$5:$AW$304,$B$15))</f>
        <v>0.34 / 24</v>
      </c>
      <c r="D30" s="8" t="s">
        <v>118</v>
      </c>
      <c r="E30" s="14" t="str">
        <f aca="false">IF($E$16=0,"",INDEX(RW_Register!$BB$5:$BB$304,$E$16)&amp;" / "&amp;INDEX(RW_Register!$BC$5:$BC$304,$E$16))</f>
        <v>2.2 / 199</v>
      </c>
      <c r="G30" s="8" t="s">
        <v>118</v>
      </c>
      <c r="H30" s="14" t="str">
        <f aca="false">IF($H$15=0,"",INDEX(Embedded_Wall_Register!$AZ$5:$AZ$304,$H$15)&amp;" / "&amp;INDEX(Embedded_Wall_Register!$BA$5:$BA$304,$H$15))</f>
        <v>6.4 / 720</v>
      </c>
      <c r="J30" s="8" t="s">
        <v>118</v>
      </c>
      <c r="K30" s="14" t="str">
        <f aca="false">IF($K$15=0,"",INDEX(Manhole_Register!$AZ$5:$AZ$304,$K$15)&amp;" / "&amp;INDEX(Manhole_Register!$BA$5:$BA$304,$K$15))</f>
        <v>9.8 / 820</v>
      </c>
    </row>
    <row r="31" customFormat="false" ht="15" hidden="false" customHeight="false" outlineLevel="0" collapsed="false">
      <c r="A31" s="8" t="s">
        <v>119</v>
      </c>
      <c r="B31" s="14" t="str">
        <f aca="false">IF($B$15=0,"",INDEX(Drain_Register!$BF$5:$BF$304,$B$15))</f>
        <v>EXAMPLE. </v>
      </c>
      <c r="D31" s="8" t="s">
        <v>119</v>
      </c>
      <c r="E31" s="14" t="str">
        <f aca="false">IF($E$16=0,"",INDEX(RW_Register!$BK$5:$BK$304,$E$16))</f>
        <v>EXAMPLE. </v>
      </c>
      <c r="G31" s="8" t="s">
        <v>119</v>
      </c>
      <c r="H31" s="14" t="str">
        <f aca="false">IF($H$15=0,"",INDEX(Embedded_Wall_Register!$BI$5:$BI$304,$H$15))</f>
        <v>EXAMPLE. </v>
      </c>
      <c r="J31" s="8" t="s">
        <v>119</v>
      </c>
      <c r="K31" s="14" t="str">
        <f aca="false">IF($K$15=0,"",INDEX(Manhole_Register!$BH$5:$BH$304,$K$15))</f>
        <v>EXAMPLE. Quantities at max depth.</v>
      </c>
    </row>
    <row r="36" customFormat="false" ht="15" hidden="false" customHeight="false" outlineLevel="0" collapsed="false">
      <c r="A36" s="6" t="s">
        <v>120</v>
      </c>
    </row>
  </sheetData>
  <dataValidations count="9">
    <dataValidation allowBlank="true" error="Pick a value from the list (add new values on the Lists sheet)." errorStyle="stop" errorTitle="Not in list" operator="between" showDropDown="false" showErrorMessage="false" showInputMessage="false" sqref="B5" type="list">
      <formula1>Lists!$A$4:$A$27</formula1>
      <formula2>0</formula2>
    </dataValidation>
    <dataValidation allowBlank="true" error="Pick a value from the list (add new values on the Lists sheet)." errorStyle="stop" errorTitle="Not in list" operator="between" showDropDown="false" showErrorMessage="false" showInputMessage="false" sqref="B8" type="list">
      <formula1>Lists!$J$4:$J$19</formula1>
      <formula2>0</formula2>
    </dataValidation>
    <dataValidation allowBlank="true" error="Pick a value from the list (add new values on the Lists sheet)." errorStyle="stop" errorTitle="Not in list" operator="between" showDropDown="false" showErrorMessage="false" showInputMessage="false" sqref="E5" type="list">
      <formula1>Lists!$M$4:$M$22</formula1>
      <formula2>0</formula2>
    </dataValidation>
    <dataValidation allowBlank="true" error="Pick a value from the list (add new values on the Lists sheet)." errorStyle="stop" errorTitle="Not in list" operator="between" showDropDown="false" showErrorMessage="false" showInputMessage="false" sqref="E8"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H5" type="list">
      <formula1>Lists!$P$4:$P$22</formula1>
      <formula2>0</formula2>
    </dataValidation>
    <dataValidation allowBlank="true" error="Pick a value from the list (add new values on the Lists sheet)." errorStyle="stop" errorTitle="Not in list" operator="between" showDropDown="false" showErrorMessage="false" showInputMessage="false" sqref="H7" type="list">
      <formula1>Lists!$S$4:$S$21</formula1>
      <formula2>0</formula2>
    </dataValidation>
    <dataValidation allowBlank="true" error="Pick a value from the list (add new values on the Lists sheet)." errorStyle="stop" errorTitle="Not in list" operator="between" showDropDown="false" showErrorMessage="false" showInputMessage="false" sqref="H8" type="list">
      <formula1>Lists!$Y$4:$Y$21</formula1>
      <formula2>0</formula2>
    </dataValidation>
    <dataValidation allowBlank="true" error="Pick a value from the list (add new values on the Lists sheet)." errorStyle="stop" errorTitle="Not in list" operator="between" showDropDown="false" showErrorMessage="false" showInputMessage="false" sqref="H9" type="list">
      <formula1>Lists!$V$4:$V$16</formula1>
      <formula2>0</formula2>
    </dataValidation>
    <dataValidation allowBlank="true" error="Pick a value from the list (add new values on the Lists sheet)." errorStyle="stop" errorTitle="Not in list" operator="between" showDropDown="false" showErrorMessage="false" showInputMessage="false" sqref="K5" type="list">
      <formula1>Lists!$AB$4:$AB$20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S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3" min="3" style="0" width="24"/>
    <col collapsed="false" customWidth="true" hidden="false" outlineLevel="0" max="4" min="4" style="0" width="8"/>
    <col collapsed="false" customWidth="true" hidden="false" outlineLevel="0" max="5" min="5" style="0" width="7"/>
    <col collapsed="false" customWidth="true" hidden="false" outlineLevel="0" max="6" min="6" style="0" width="5"/>
    <col collapsed="false" customWidth="true" hidden="false" outlineLevel="0" max="7" min="7" style="0" width="11"/>
    <col collapsed="false" customWidth="true" hidden="false" outlineLevel="0" max="8" min="8" style="0" width="48"/>
    <col collapsed="false" customWidth="true" hidden="false" outlineLevel="0" max="9" min="9" style="0" width="5"/>
    <col collapsed="false" customWidth="true" hidden="false" outlineLevel="0" max="10" min="10" style="0" width="9"/>
    <col collapsed="false" customWidth="true" hidden="false" outlineLevel="0" max="11" min="11" style="0" width="12"/>
    <col collapsed="false" customWidth="true" hidden="false" outlineLevel="0" max="12" min="12" style="0" width="7"/>
    <col collapsed="false" customWidth="true" hidden="false" outlineLevel="0" max="13" min="13" style="0" width="60"/>
    <col collapsed="false" customWidth="true" hidden="false" outlineLevel="0" max="14" min="14" style="0" width="9"/>
    <col collapsed="false" customWidth="true" hidden="false" outlineLevel="0" max="16" min="15" style="0" width="8"/>
    <col collapsed="false" customWidth="true" hidden="false" outlineLevel="0" max="18" min="17" style="0" width="9"/>
    <col collapsed="false" customWidth="true" hidden="false" outlineLevel="0" max="19" min="19" style="0" width="34"/>
  </cols>
  <sheetData>
    <row r="1" customFormat="false" ht="17.35" hidden="false" customHeight="false" outlineLevel="0" collapsed="false">
      <c r="A1" s="5" t="s">
        <v>121</v>
      </c>
    </row>
    <row r="2" customFormat="false" ht="15" hidden="false" customHeight="false" outlineLevel="0" collapsed="false">
      <c r="A2" s="6" t="s">
        <v>122</v>
      </c>
    </row>
    <row r="3" customFormat="false" ht="15" hidden="false" customHeight="false" outlineLevel="0" collapsed="false">
      <c r="A3" s="8" t="s">
        <v>123</v>
      </c>
      <c r="B3" s="9" t="s">
        <v>124</v>
      </c>
      <c r="C3" s="9"/>
      <c r="D3" s="9"/>
    </row>
    <row r="5" customFormat="false" ht="39.75" hidden="false" customHeight="true" outlineLevel="0" collapsed="false">
      <c r="A5" s="15" t="s">
        <v>125</v>
      </c>
      <c r="B5" s="15" t="s">
        <v>102</v>
      </c>
      <c r="C5" s="15" t="s">
        <v>126</v>
      </c>
      <c r="D5" s="15" t="s">
        <v>127</v>
      </c>
      <c r="E5" s="15" t="s">
        <v>128</v>
      </c>
      <c r="F5" s="16" t="s">
        <v>129</v>
      </c>
      <c r="G5" s="16" t="s">
        <v>130</v>
      </c>
      <c r="H5" s="16" t="s">
        <v>103</v>
      </c>
      <c r="I5" s="16" t="s">
        <v>131</v>
      </c>
      <c r="J5" s="16" t="s">
        <v>132</v>
      </c>
      <c r="K5" s="16" t="s">
        <v>133</v>
      </c>
      <c r="L5" s="16" t="s">
        <v>134</v>
      </c>
      <c r="M5" s="16" t="s">
        <v>135</v>
      </c>
      <c r="N5" s="17" t="s">
        <v>136</v>
      </c>
      <c r="O5" s="17" t="s">
        <v>137</v>
      </c>
      <c r="P5" s="17" t="s">
        <v>138</v>
      </c>
      <c r="Q5" s="17" t="s">
        <v>139</v>
      </c>
      <c r="R5" s="17" t="s">
        <v>140</v>
      </c>
      <c r="S5" s="16" t="s">
        <v>141</v>
      </c>
    </row>
    <row r="6" customFormat="false" ht="15" hidden="false" customHeight="false" outlineLevel="0" collapsed="false">
      <c r="A6" s="18" t="n">
        <v>1</v>
      </c>
      <c r="B6" s="18" t="s">
        <v>142</v>
      </c>
      <c r="C6" s="18" t="s">
        <v>143</v>
      </c>
      <c r="D6" s="18" t="n">
        <v>500</v>
      </c>
      <c r="E6" s="18" t="n">
        <v>1</v>
      </c>
      <c r="F6" s="10" t="str">
        <f aca="false">IF($B6="","",IFERROR(INDEX(Drain_Register!$AU$5:$AU$304,MATCH($B6,Drain_Register!$A$5:$A$304,0)),IFERROR(INDEX(RW_Register!$BA$5:$BA$304,MATCH($B6,RW_Register!$A$5:$A$304,0)),IFERROR(INDEX(Embedded_Wall_Register!$AY$5:$AY$304,MATCH($B6,Embedded_Wall_Register!$A$5:$A$304,0)),IFERROR(INDEX(Manhole_Register!$AY$5:$AY$304,MATCH($B6,Manhole_Register!$A$5:$A$304,0)),IFERROR(INDEX(ERSS_Pit_Register!$AS$5:$AS$304,MATCH($B6,ERSS_Pit_Register!$A$5:$A$304,0)),IFERROR(INDEX(Linkway_Register!$AU$5:$AU$304,MATCH($B6,Linkway_Register!$A$5:$A$304,0)),IFERROR(INDEX(Other_Register!$AE$5:$AE$304,MATCH($B6,Other_Register!$A$5:$A$304,0)),""))))))))</f>
        <v>m</v>
      </c>
      <c r="G6" s="10" t="str">
        <f aca="false">IF($B6="","",IF(ISNUMBER(MATCH($B6,Drain_Register!$A$5:$A$304,0)),"Drain",IF(ISNUMBER(MATCH($B6,RW_Register!$A$5:$A$304,0)),"Ret. Wall",IF(ISNUMBER(MATCH($B6,Embedded_Wall_Register!$A$5:$A$304,0)),"Embedded Wall",IF(ISNUMBER(MATCH($B6,Manhole_Register!$A$5:$A$304,0)),"Manhole",IF(ISNUMBER(MATCH($B6,ERSS_Pit_Register!$A$5:$A$304,0)),"ERSS Pit",IF(ISNUMBER(MATCH($B6,Linkway_Register!$A$5:$A$304,0)),"Linkway",IF(ISNUMBER(MATCH($B6,Other_Register!$A$5:$A$304,0)),"Others",""))))))))</f>
        <v>Drain</v>
      </c>
      <c r="H6" s="10" t="str">
        <f aca="false">IF($B6="","",IFERROR(INDEX(Drain_Register!$B$5:$B$304,MATCH($B6,Drain_Register!$A$5:$A$304,0)),IFERROR(INDEX(RW_Register!$B$5:$B$304,MATCH($B6,RW_Register!$A$5:$A$304,0)),IFERROR(INDEX(Embedded_Wall_Register!$B$5:$B$304,MATCH($B6,Embedded_Wall_Register!$A$5:$A$304,0)),IFERROR(INDEX(Manhole_Register!$B$5:$B$304,MATCH($B6,Manhole_Register!$A$5:$A$304,0)),IFERROR(INDEX(ERSS_Pit_Register!$B$5:$B$304,MATCH($B6,ERSS_Pit_Register!$A$5:$A$304,0)),IFERROR(INDEX(Linkway_Register!$B$5:$B$304,MATCH($B6,Linkway_Register!$A$5:$A$304,0)),IFERROR(INDEX(Other_Register!$B$5:$B$304,MATCH($B6,Other_Register!$A$5:$A$304,0)),"ID not found - check spelling"))))))))</f>
        <v>Precast U-Drain 600W x 600D, Roadside drain, Drain surcharge 12 kPa (SDRE), Open</v>
      </c>
      <c r="I6" s="10" t="str">
        <f aca="false">IF($B6="","",IFERROR(INDEX(Drain_Register!$AI$5:$AI$304,MATCH($B6,Drain_Register!$A$5:$A$304,0)),IFERROR(INDEX(RW_Register!$AO$5:$AO$304,MATCH($B6,RW_Register!$A$5:$A$304,0)),IFERROR(INDEX(Embedded_Wall_Register!$AM$5:$AM$304,MATCH($B6,Embedded_Wall_Register!$A$5:$A$304,0)),IFERROR(INDEX(Manhole_Register!$AM$5:$AM$304,MATCH($B6,Manhole_Register!$A$5:$A$304,0)),IFERROR(INDEX(ERSS_Pit_Register!$AG$5:$AG$304,MATCH($B6,ERSS_Pit_Register!$A$5:$A$304,0)),IFERROR(INDEX(Linkway_Register!$AI$5:$AI$304,MATCH($B6,Linkway_Register!$A$5:$A$304,0)),IFERROR(INDEX(Other_Register!$S$5:$S$304,MATCH($B6,Other_Register!$A$5:$A$304,0)),""))))))))</f>
        <v>A</v>
      </c>
      <c r="J6" s="10" t="str">
        <f aca="false">IF($B6="","",IFERROR(INDEX(Drain_Register!$AJ$5:$AJ$304,MATCH($B6,Drain_Register!$A$5:$A$304,0)),IFERROR(INDEX(RW_Register!$AP$5:$AP$304,MATCH($B6,RW_Register!$A$5:$A$304,0)),IFERROR(INDEX(Embedded_Wall_Register!$AN$5:$AN$304,MATCH($B6,Embedded_Wall_Register!$A$5:$A$304,0)),IFERROR(INDEX(Manhole_Register!$AN$5:$AN$304,MATCH($B6,Manhole_Register!$A$5:$A$304,0)),IFERROR(INDEX(ERSS_Pit_Register!$AH$5:$AH$304,MATCH($B6,ERSS_Pit_Register!$A$5:$A$304,0)),IFERROR(INDEX(Linkway_Register!$AJ$5:$AJ$304,MATCH($B6,Linkway_Register!$A$5:$A$304,0)),IFERROR(INDEX(Other_Register!$T$5:$T$304,MATCH($B6,Other_Register!$A$5:$A$304,0)),""))))))))</f>
        <v>Approved</v>
      </c>
      <c r="K6" s="10" t="str">
        <f aca="false">IF($B6="","",IFERROR(INDEX(Drain_Register!$AK$5:$AK$304,MATCH($B6,Drain_Register!$A$5:$A$304,0)),IFERROR(INDEX(RW_Register!$AQ$5:$AQ$304,MATCH($B6,RW_Register!$A$5:$A$304,0)),IFERROR(INDEX(Embedded_Wall_Register!$AO$5:$AO$304,MATCH($B6,Embedded_Wall_Register!$A$5:$A$304,0)),IFERROR(INDEX(Manhole_Register!$AO$5:$AO$304,MATCH($B6,Manhole_Register!$A$5:$A$304,0)),IFERROR(INDEX(ERSS_Pit_Register!$AI$5:$AI$304,MATCH($B6,ERSS_Pit_Register!$A$5:$A$304,0)),IFERROR(INDEX(Linkway_Register!$AK$5:$AK$304,MATCH($B6,Linkway_Register!$A$5:$A$304,0)),IFERROR(INDEX(Other_Register!$U$5:$U$304,MATCH($B6,Other_Register!$A$5:$A$304,0)),""))))))))</f>
        <v>STD-DR-001</v>
      </c>
      <c r="L6" s="10" t="n">
        <f aca="false">IF($B6="","",IFERROR(INDEX(Drain_Register!$AL$5:$AL$304,MATCH($B6,Drain_Register!$A$5:$A$304,0)),IFERROR(INDEX(RW_Register!$AR$5:$AR$304,MATCH($B6,RW_Register!$A$5:$A$304,0)),IFERROR(INDEX(Embedded_Wall_Register!$AP$5:$AP$304,MATCH($B6,Embedded_Wall_Register!$A$5:$A$304,0)),IFERROR(INDEX(Manhole_Register!$AP$5:$AP$304,MATCH($B6,Manhole_Register!$A$5:$A$304,0)),IFERROR(INDEX(ERSS_Pit_Register!$AJ$5:$AJ$304,MATCH($B6,ERSS_Pit_Register!$A$5:$A$304,0)),IFERROR(INDEX(Linkway_Register!$AL$5:$AL$304,MATCH($B6,Linkway_Register!$A$5:$A$304,0)),IFERROR(INDEX(Other_Register!$V$5:$V$304,MATCH($B6,Other_Register!$A$5:$A$304,0)),""))))))))</f>
        <v>20</v>
      </c>
      <c r="M6" s="10" t="str">
        <f aca="false">IF($B6="","",IFERROR(INDEX(Drain_Register!$AN$5:$AN$304,MATCH($B6,Drain_Register!$A$5:$A$304,0)),IFERROR(INDEX(RW_Register!$AT$5:$AT$304,MATCH($B6,RW_Register!$A$5:$A$304,0)),IFERROR(INDEX(Embedded_Wall_Register!$AR$5:$AR$304,MATCH($B6,Embedded_Wall_Register!$A$5:$A$304,0)),IFERROR(INDEX(Manhole_Register!$AR$5:$AR$304,MATCH($B6,Manhole_Register!$A$5:$A$304,0)),IFERROR(INDEX(ERSS_Pit_Register!$AL$5:$AL$304,MATCH($B6,ERSS_Pit_Register!$A$5:$A$304,0)),IFERROR(INDEX(Linkway_Register!$AN$5:$AN$304,MATCH($B6,Linkway_Register!$A$5:$A$304,0)),IFERROR(INDEX(Other_Register!$X$5:$X$304,MATCH($B6,Other_Register!$A$5:$A$304,0)),"")))))))&amp;IFERROR(INDEX(Drain_Register!$AO$5:$AO$304,MATCH($B6,Drain_Register!$A$5:$A$304,0)),IFERROR(INDEX(RW_Register!$AU$5:$AU$304,MATCH($B6,RW_Register!$A$5:$A$304,0)),IFERROR(INDEX(Embedded_Wall_Register!$AS$5:$AS$304,MATCH($B6,Embedded_Wall_Register!$A$5:$A$304,0)),IFERROR(INDEX(Manhole_Register!$AS$5:$AS$304,MATCH($B6,Manhole_Register!$A$5:$A$304,0)),IFERROR(INDEX(ERSS_Pit_Register!$AM$5:$AM$304,MATCH($B6,ERSS_Pit_Register!$A$5:$A$304,0)),IFERROR(INDEX(Linkway_Register!$AO$5:$AO$304,MATCH($B6,Linkway_Register!$A$5:$A$304,0)),IFERROR(INDEX(Other_Register!$Y$5:$Y$304,MATCH($B6,Other_Register!$A$5:$A$304,0)),""))))))))</f>
        <v>C:\Users\yourname\YourCompany\Design Library - Documents\01_Drainage\DRN-PUD-0600x0600-S12-A\DRN-PUD-0600x0600-S12-A_CAD.dwg</v>
      </c>
      <c r="N6" s="19" t="n">
        <f aca="false">IF(OR($B6="",$D6=""),"",$D6*N(IFERROR(INDEX(Drain_Register!$AV$5:$AV$304,MATCH($B6,Drain_Register!$A$5:$A$304,0)),IFERROR(INDEX(RW_Register!$BB$5:$BB$304,MATCH($B6,RW_Register!$A$5:$A$304,0)),IFERROR(INDEX(Embedded_Wall_Register!$AZ$5:$AZ$304,MATCH($B6,Embedded_Wall_Register!$A$5:$A$304,0)),IFERROR(INDEX(Manhole_Register!$AZ$5:$AZ$304,MATCH($B6,Manhole_Register!$A$5:$A$304,0)),IFERROR(INDEX(ERSS_Pit_Register!$AT$5:$AT$304,MATCH($B6,ERSS_Pit_Register!$A$5:$A$304,0)),IFERROR(INDEX(Linkway_Register!$AV$5:$AV$304,MATCH($B6,Linkway_Register!$A$5:$A$304,0)),IFERROR(INDEX(Other_Register!$AF$5:$AF$304,MATCH($B6,Other_Register!$A$5:$A$304,0)),0)))))))))</f>
        <v>90</v>
      </c>
      <c r="O6" s="20" t="n">
        <f aca="false">IF(OR($B6="",$D6=""),"",$D6*N(IFERROR(INDEX(Drain_Register!$AW$5:$AW$304,MATCH($B6,Drain_Register!$A$5:$A$304,0)),IFERROR(INDEX(RW_Register!$BC$5:$BC$304,MATCH($B6,RW_Register!$A$5:$A$304,0)),IFERROR(INDEX(Embedded_Wall_Register!$BA$5:$BA$304,MATCH($B6,Embedded_Wall_Register!$A$5:$A$304,0)),IFERROR(INDEX(Manhole_Register!$BA$5:$BA$304,MATCH($B6,Manhole_Register!$A$5:$A$304,0)),IFERROR(INDEX(ERSS_Pit_Register!$AU$5:$AU$304,MATCH($B6,ERSS_Pit_Register!$A$5:$A$304,0)),IFERROR(INDEX(Linkway_Register!$AW$5:$AW$304,MATCH($B6,Linkway_Register!$A$5:$A$304,0)),IFERROR(INDEX(Other_Register!$AG$5:$AG$304,MATCH($B6,Other_Register!$A$5:$A$304,0)),0))))))))/1000)</f>
        <v>7</v>
      </c>
      <c r="P6" s="20" t="n">
        <f aca="false">IF(OR($B6="",$D6=""),"",$D6*N(IFERROR(INDEX(Drain_Register!$AX$5:$AX$304,MATCH($B6,Drain_Register!$A$5:$A$304,0)),IFERROR(INDEX(RW_Register!$BD$5:$BD$304,MATCH($B6,RW_Register!$A$5:$A$304,0)),IFERROR(INDEX(Embedded_Wall_Register!$BB$5:$BB$304,MATCH($B6,Embedded_Wall_Register!$A$5:$A$304,0)),IFERROR(INDEX(Manhole_Register!$BB$5:$BB$304,MATCH($B6,Manhole_Register!$A$5:$A$304,0)),IFERROR(INDEX(ERSS_Pit_Register!$AV$5:$AV$304,MATCH($B6,ERSS_Pit_Register!$A$5:$A$304,0)),IFERROR(INDEX(Linkway_Register!$AX$5:$AX$304,MATCH($B6,Linkway_Register!$A$5:$A$304,0)),IFERROR(INDEX(Other_Register!$AH$5:$AH$304,MATCH($B6,Other_Register!$A$5:$A$304,0)),0))))))))/1000)</f>
        <v>0</v>
      </c>
      <c r="Q6" s="19" t="n">
        <f aca="false">IF(OR($B6="",$D6=""),"",$D6*N(IFERROR(INDEX(Drain_Register!$AY$5:$AY$304,MATCH($B6,Drain_Register!$A$5:$A$304,0)),IFERROR(INDEX(RW_Register!$BE$5:$BE$304,MATCH($B6,RW_Register!$A$5:$A$304,0)),IFERROR(INDEX(Embedded_Wall_Register!$BC$5:$BC$304,MATCH($B6,Embedded_Wall_Register!$A$5:$A$304,0)),IFERROR(INDEX(Manhole_Register!$BC$5:$BC$304,MATCH($B6,Manhole_Register!$A$5:$A$304,0)),IFERROR(INDEX(ERSS_Pit_Register!$AW$5:$AW$304,MATCH($B6,ERSS_Pit_Register!$A$5:$A$304,0)),IFERROR(INDEX(Linkway_Register!$AY$5:$AY$304,MATCH($B6,Linkway_Register!$A$5:$A$304,0)),IFERROR(INDEX(Other_Register!$AI$5:$AI$304,MATCH($B6,Other_Register!$A$5:$A$304,0)),0)))))))))</f>
        <v>0</v>
      </c>
      <c r="R6" s="19" t="n">
        <f aca="false">IF(OR($B6="",$D6=""),"",$D6*N(IFERROR(INDEX(Drain_Register!$AZ$5:$AZ$304,MATCH($B6,Drain_Register!$A$5:$A$304,0)),IFERROR(INDEX(RW_Register!$BF$5:$BF$304,MATCH($B6,RW_Register!$A$5:$A$304,0)),IFERROR(INDEX(Embedded_Wall_Register!$BD$5:$BD$304,MATCH($B6,Embedded_Wall_Register!$A$5:$A$304,0)),IFERROR(INDEX(Manhole_Register!$BD$5:$BD$304,MATCH($B6,Manhole_Register!$A$5:$A$304,0)),IFERROR(INDEX(ERSS_Pit_Register!$AX$5:$AX$304,MATCH($B6,ERSS_Pit_Register!$A$5:$A$304,0)),IFERROR(INDEX(Linkway_Register!$AZ$5:$AZ$304,MATCH($B6,Linkway_Register!$A$5:$A$304,0)),IFERROR(INDEX(Other_Register!$AJ$5:$AJ$304,MATCH($B6,Other_Register!$A$5:$A$304,0)),0)))))))))</f>
        <v>650</v>
      </c>
      <c r="S6" s="10" t="str">
        <f aca="false">IF($B6="","",IF(G6="","ID not found",IF(J6&lt;&gt;"Approved","WARNING: status is "&amp;J6,IF(IFERROR(INDEX(Drain_Register!$CA$5:$CA$304,MATCH($B6,Drain_Register!$A$5:$A$304,0)),IFERROR(INDEX(RW_Register!$CF$5:$CF$304,MATCH($B6,RW_Register!$A$5:$A$304,0)),IFERROR(INDEX(Embedded_Wall_Register!$CD$5:$CD$304,MATCH($B6,Embedded_Wall_Register!$A$5:$A$304,0)),IFERROR(INDEX(Manhole_Register!$CC$5:$CC$304,MATCH($B6,Manhole_Register!$A$5:$A$304,0)),IFERROR(INDEX(ERSS_Pit_Register!$BX$5:$BX$304,MATCH($B6,ERSS_Pit_Register!$A$5:$A$304,0)),IFERROR(INDEX(Linkway_Register!$BY$5:$BY$304,MATCH($B6,Linkway_Register!$A$5:$A$304,0)),IFERROR(INDEX(Other_Register!$BI$5:$BI$304,MATCH($B6,Other_Register!$A$5:$A$304,0)),"")))))))="N","WARNING: fails SG compliance check",IF(D6="","Enter length / qty",IF(E6="","Enter CAD sheet no.","OK"))))))</f>
        <v>OK</v>
      </c>
    </row>
    <row r="7" customFormat="false" ht="15" hidden="false" customHeight="false" outlineLevel="0" collapsed="false">
      <c r="A7" s="18" t="n">
        <v>2</v>
      </c>
      <c r="B7" s="18" t="s">
        <v>144</v>
      </c>
      <c r="C7" s="18" t="s">
        <v>145</v>
      </c>
      <c r="D7" s="18" t="n">
        <v>120</v>
      </c>
      <c r="E7" s="18" t="n">
        <v>1</v>
      </c>
      <c r="F7" s="10" t="str">
        <f aca="false">IF($B7="","",IFERROR(INDEX(Drain_Register!$AU$5:$AU$304,MATCH($B7,Drain_Register!$A$5:$A$304,0)),IFERROR(INDEX(RW_Register!$BA$5:$BA$304,MATCH($B7,RW_Register!$A$5:$A$304,0)),IFERROR(INDEX(Embedded_Wall_Register!$AY$5:$AY$304,MATCH($B7,Embedded_Wall_Register!$A$5:$A$304,0)),IFERROR(INDEX(Manhole_Register!$AY$5:$AY$304,MATCH($B7,Manhole_Register!$A$5:$A$304,0)),IFERROR(INDEX(ERSS_Pit_Register!$AS$5:$AS$304,MATCH($B7,ERSS_Pit_Register!$A$5:$A$304,0)),IFERROR(INDEX(Linkway_Register!$AU$5:$AU$304,MATCH($B7,Linkway_Register!$A$5:$A$304,0)),IFERROR(INDEX(Other_Register!$AE$5:$AE$304,MATCH($B7,Other_Register!$A$5:$A$304,0)),""))))))))</f>
        <v>m</v>
      </c>
      <c r="G7" s="10" t="str">
        <f aca="false">IF($B7="","",IF(ISNUMBER(MATCH($B7,Drain_Register!$A$5:$A$304,0)),"Drain",IF(ISNUMBER(MATCH($B7,RW_Register!$A$5:$A$304,0)),"Ret. Wall",IF(ISNUMBER(MATCH($B7,Embedded_Wall_Register!$A$5:$A$304,0)),"Embedded Wall",IF(ISNUMBER(MATCH($B7,Manhole_Register!$A$5:$A$304,0)),"Manhole",IF(ISNUMBER(MATCH($B7,ERSS_Pit_Register!$A$5:$A$304,0)),"ERSS Pit",IF(ISNUMBER(MATCH($B7,Linkway_Register!$A$5:$A$304,0)),"Linkway",IF(ISNUMBER(MATCH($B7,Other_Register!$A$5:$A$304,0)),"Others",""))))))))</f>
        <v>Drain</v>
      </c>
      <c r="H7" s="10" t="str">
        <f aca="false">IF($B7="","",IFERROR(INDEX(Drain_Register!$B$5:$B$304,MATCH($B7,Drain_Register!$A$5:$A$304,0)),IFERROR(INDEX(RW_Register!$B$5:$B$304,MATCH($B7,RW_Register!$A$5:$A$304,0)),IFERROR(INDEX(Embedded_Wall_Register!$B$5:$B$304,MATCH($B7,Embedded_Wall_Register!$A$5:$A$304,0)),IFERROR(INDEX(Manhole_Register!$B$5:$B$304,MATCH($B7,Manhole_Register!$A$5:$A$304,0)),IFERROR(INDEX(ERSS_Pit_Register!$B$5:$B$304,MATCH($B7,ERSS_Pit_Register!$A$5:$A$304,0)),IFERROR(INDEX(Linkway_Register!$B$5:$B$304,MATCH($B7,Linkway_Register!$A$5:$A$304,0)),IFERROR(INDEX(Other_Register!$B$5:$B$304,MATCH($B7,Other_Register!$A$5:$A$304,0)),"ID not found - check spelling"))))))))</f>
        <v>Slabbed-over U-Drain 600W x 750D, Roadside drain, Footway 5 kPa (SDRE), Covered - RC slab</v>
      </c>
      <c r="I7" s="10" t="str">
        <f aca="false">IF($B7="","",IFERROR(INDEX(Drain_Register!$AI$5:$AI$304,MATCH($B7,Drain_Register!$A$5:$A$304,0)),IFERROR(INDEX(RW_Register!$AO$5:$AO$304,MATCH($B7,RW_Register!$A$5:$A$304,0)),IFERROR(INDEX(Embedded_Wall_Register!$AM$5:$AM$304,MATCH($B7,Embedded_Wall_Register!$A$5:$A$304,0)),IFERROR(INDEX(Manhole_Register!$AM$5:$AM$304,MATCH($B7,Manhole_Register!$A$5:$A$304,0)),IFERROR(INDEX(ERSS_Pit_Register!$AG$5:$AG$304,MATCH($B7,ERSS_Pit_Register!$A$5:$A$304,0)),IFERROR(INDEX(Linkway_Register!$AI$5:$AI$304,MATCH($B7,Linkway_Register!$A$5:$A$304,0)),IFERROR(INDEX(Other_Register!$S$5:$S$304,MATCH($B7,Other_Register!$A$5:$A$304,0)),""))))))))</f>
        <v>A</v>
      </c>
      <c r="J7" s="10" t="str">
        <f aca="false">IF($B7="","",IFERROR(INDEX(Drain_Register!$AJ$5:$AJ$304,MATCH($B7,Drain_Register!$A$5:$A$304,0)),IFERROR(INDEX(RW_Register!$AP$5:$AP$304,MATCH($B7,RW_Register!$A$5:$A$304,0)),IFERROR(INDEX(Embedded_Wall_Register!$AN$5:$AN$304,MATCH($B7,Embedded_Wall_Register!$A$5:$A$304,0)),IFERROR(INDEX(Manhole_Register!$AN$5:$AN$304,MATCH($B7,Manhole_Register!$A$5:$A$304,0)),IFERROR(INDEX(ERSS_Pit_Register!$AH$5:$AH$304,MATCH($B7,ERSS_Pit_Register!$A$5:$A$304,0)),IFERROR(INDEX(Linkway_Register!$AJ$5:$AJ$304,MATCH($B7,Linkway_Register!$A$5:$A$304,0)),IFERROR(INDEX(Other_Register!$T$5:$T$304,MATCH($B7,Other_Register!$A$5:$A$304,0)),""))))))))</f>
        <v>Approved</v>
      </c>
      <c r="K7" s="10" t="str">
        <f aca="false">IF($B7="","",IFERROR(INDEX(Drain_Register!$AK$5:$AK$304,MATCH($B7,Drain_Register!$A$5:$A$304,0)),IFERROR(INDEX(RW_Register!$AQ$5:$AQ$304,MATCH($B7,RW_Register!$A$5:$A$304,0)),IFERROR(INDEX(Embedded_Wall_Register!$AO$5:$AO$304,MATCH($B7,Embedded_Wall_Register!$A$5:$A$304,0)),IFERROR(INDEX(Manhole_Register!$AO$5:$AO$304,MATCH($B7,Manhole_Register!$A$5:$A$304,0)),IFERROR(INDEX(ERSS_Pit_Register!$AI$5:$AI$304,MATCH($B7,ERSS_Pit_Register!$A$5:$A$304,0)),IFERROR(INDEX(Linkway_Register!$AK$5:$AK$304,MATCH($B7,Linkway_Register!$A$5:$A$304,0)),IFERROR(INDEX(Other_Register!$U$5:$U$304,MATCH($B7,Other_Register!$A$5:$A$304,0)),""))))))))</f>
        <v>STD-DR-003</v>
      </c>
      <c r="L7" s="10" t="n">
        <f aca="false">IF($B7="","",IFERROR(INDEX(Drain_Register!$AL$5:$AL$304,MATCH($B7,Drain_Register!$A$5:$A$304,0)),IFERROR(INDEX(RW_Register!$AR$5:$AR$304,MATCH($B7,RW_Register!$A$5:$A$304,0)),IFERROR(INDEX(Embedded_Wall_Register!$AP$5:$AP$304,MATCH($B7,Embedded_Wall_Register!$A$5:$A$304,0)),IFERROR(INDEX(Manhole_Register!$AP$5:$AP$304,MATCH($B7,Manhole_Register!$A$5:$A$304,0)),IFERROR(INDEX(ERSS_Pit_Register!$AJ$5:$AJ$304,MATCH($B7,ERSS_Pit_Register!$A$5:$A$304,0)),IFERROR(INDEX(Linkway_Register!$AL$5:$AL$304,MATCH($B7,Linkway_Register!$A$5:$A$304,0)),IFERROR(INDEX(Other_Register!$V$5:$V$304,MATCH($B7,Other_Register!$A$5:$A$304,0)),""))))))))</f>
        <v>20</v>
      </c>
      <c r="M7" s="10" t="str">
        <f aca="false">IF($B7="","",IFERROR(INDEX(Drain_Register!$AN$5:$AN$304,MATCH($B7,Drain_Register!$A$5:$A$304,0)),IFERROR(INDEX(RW_Register!$AT$5:$AT$304,MATCH($B7,RW_Register!$A$5:$A$304,0)),IFERROR(INDEX(Embedded_Wall_Register!$AR$5:$AR$304,MATCH($B7,Embedded_Wall_Register!$A$5:$A$304,0)),IFERROR(INDEX(Manhole_Register!$AR$5:$AR$304,MATCH($B7,Manhole_Register!$A$5:$A$304,0)),IFERROR(INDEX(ERSS_Pit_Register!$AL$5:$AL$304,MATCH($B7,ERSS_Pit_Register!$A$5:$A$304,0)),IFERROR(INDEX(Linkway_Register!$AN$5:$AN$304,MATCH($B7,Linkway_Register!$A$5:$A$304,0)),IFERROR(INDEX(Other_Register!$X$5:$X$304,MATCH($B7,Other_Register!$A$5:$A$304,0)),"")))))))&amp;IFERROR(INDEX(Drain_Register!$AO$5:$AO$304,MATCH($B7,Drain_Register!$A$5:$A$304,0)),IFERROR(INDEX(RW_Register!$AU$5:$AU$304,MATCH($B7,RW_Register!$A$5:$A$304,0)),IFERROR(INDEX(Embedded_Wall_Register!$AS$5:$AS$304,MATCH($B7,Embedded_Wall_Register!$A$5:$A$304,0)),IFERROR(INDEX(Manhole_Register!$AS$5:$AS$304,MATCH($B7,Manhole_Register!$A$5:$A$304,0)),IFERROR(INDEX(ERSS_Pit_Register!$AM$5:$AM$304,MATCH($B7,ERSS_Pit_Register!$A$5:$A$304,0)),IFERROR(INDEX(Linkway_Register!$AO$5:$AO$304,MATCH($B7,Linkway_Register!$A$5:$A$304,0)),IFERROR(INDEX(Other_Register!$Y$5:$Y$304,MATCH($B7,Other_Register!$A$5:$A$304,0)),""))))))))</f>
        <v>C:\Users\yourname\YourCompany\Design Library - Documents\01_Drainage\DRN-SUD-0600x0750-FWY-A\DRN-SUD-0600x0750-FWY-A_CAD.dwg</v>
      </c>
      <c r="N7" s="19" t="n">
        <f aca="false">IF(OR($B7="",$D7=""),"",$D7*N(IFERROR(INDEX(Drain_Register!$AV$5:$AV$304,MATCH($B7,Drain_Register!$A$5:$A$304,0)),IFERROR(INDEX(RW_Register!$BB$5:$BB$304,MATCH($B7,RW_Register!$A$5:$A$304,0)),IFERROR(INDEX(Embedded_Wall_Register!$AZ$5:$AZ$304,MATCH($B7,Embedded_Wall_Register!$A$5:$A$304,0)),IFERROR(INDEX(Manhole_Register!$AZ$5:$AZ$304,MATCH($B7,Manhole_Register!$A$5:$A$304,0)),IFERROR(INDEX(ERSS_Pit_Register!$AT$5:$AT$304,MATCH($B7,ERSS_Pit_Register!$A$5:$A$304,0)),IFERROR(INDEX(Linkway_Register!$AV$5:$AV$304,MATCH($B7,Linkway_Register!$A$5:$A$304,0)),IFERROR(INDEX(Other_Register!$AF$5:$AF$304,MATCH($B7,Other_Register!$A$5:$A$304,0)),0)))))))))</f>
        <v>51.6</v>
      </c>
      <c r="O7" s="20" t="n">
        <f aca="false">IF(OR($B7="",$D7=""),"",$D7*N(IFERROR(INDEX(Drain_Register!$AW$5:$AW$304,MATCH($B7,Drain_Register!$A$5:$A$304,0)),IFERROR(INDEX(RW_Register!$BC$5:$BC$304,MATCH($B7,RW_Register!$A$5:$A$304,0)),IFERROR(INDEX(Embedded_Wall_Register!$BA$5:$BA$304,MATCH($B7,Embedded_Wall_Register!$A$5:$A$304,0)),IFERROR(INDEX(Manhole_Register!$BA$5:$BA$304,MATCH($B7,Manhole_Register!$A$5:$A$304,0)),IFERROR(INDEX(ERSS_Pit_Register!$AU$5:$AU$304,MATCH($B7,ERSS_Pit_Register!$A$5:$A$304,0)),IFERROR(INDEX(Linkway_Register!$AW$5:$AW$304,MATCH($B7,Linkway_Register!$A$5:$A$304,0)),IFERROR(INDEX(Other_Register!$AG$5:$AG$304,MATCH($B7,Other_Register!$A$5:$A$304,0)),0))))))))/1000)</f>
        <v>4.56</v>
      </c>
      <c r="P7" s="20" t="n">
        <f aca="false">IF(OR($B7="",$D7=""),"",$D7*N(IFERROR(INDEX(Drain_Register!$AX$5:$AX$304,MATCH($B7,Drain_Register!$A$5:$A$304,0)),IFERROR(INDEX(RW_Register!$BD$5:$BD$304,MATCH($B7,RW_Register!$A$5:$A$304,0)),IFERROR(INDEX(Embedded_Wall_Register!$BB$5:$BB$304,MATCH($B7,Embedded_Wall_Register!$A$5:$A$304,0)),IFERROR(INDEX(Manhole_Register!$BB$5:$BB$304,MATCH($B7,Manhole_Register!$A$5:$A$304,0)),IFERROR(INDEX(ERSS_Pit_Register!$AV$5:$AV$304,MATCH($B7,ERSS_Pit_Register!$A$5:$A$304,0)),IFERROR(INDEX(Linkway_Register!$AX$5:$AX$304,MATCH($B7,Linkway_Register!$A$5:$A$304,0)),IFERROR(INDEX(Other_Register!$AH$5:$AH$304,MATCH($B7,Other_Register!$A$5:$A$304,0)),0))))))))/1000)</f>
        <v>0</v>
      </c>
      <c r="Q7" s="19" t="n">
        <f aca="false">IF(OR($B7="",$D7=""),"",$D7*N(IFERROR(INDEX(Drain_Register!$AY$5:$AY$304,MATCH($B7,Drain_Register!$A$5:$A$304,0)),IFERROR(INDEX(RW_Register!$BE$5:$BE$304,MATCH($B7,RW_Register!$A$5:$A$304,0)),IFERROR(INDEX(Embedded_Wall_Register!$BC$5:$BC$304,MATCH($B7,Embedded_Wall_Register!$A$5:$A$304,0)),IFERROR(INDEX(Manhole_Register!$BC$5:$BC$304,MATCH($B7,Manhole_Register!$A$5:$A$304,0)),IFERROR(INDEX(ERSS_Pit_Register!$AW$5:$AW$304,MATCH($B7,ERSS_Pit_Register!$A$5:$A$304,0)),IFERROR(INDEX(Linkway_Register!$AY$5:$AY$304,MATCH($B7,Linkway_Register!$A$5:$A$304,0)),IFERROR(INDEX(Other_Register!$AI$5:$AI$304,MATCH($B7,Other_Register!$A$5:$A$304,0)),0)))))))))</f>
        <v>312</v>
      </c>
      <c r="R7" s="19" t="n">
        <f aca="false">IF(OR($B7="",$D7=""),"",$D7*N(IFERROR(INDEX(Drain_Register!$AZ$5:$AZ$304,MATCH($B7,Drain_Register!$A$5:$A$304,0)),IFERROR(INDEX(RW_Register!$BF$5:$BF$304,MATCH($B7,RW_Register!$A$5:$A$304,0)),IFERROR(INDEX(Embedded_Wall_Register!$BD$5:$BD$304,MATCH($B7,Embedded_Wall_Register!$A$5:$A$304,0)),IFERROR(INDEX(Manhole_Register!$BD$5:$BD$304,MATCH($B7,Manhole_Register!$A$5:$A$304,0)),IFERROR(INDEX(ERSS_Pit_Register!$AX$5:$AX$304,MATCH($B7,ERSS_Pit_Register!$A$5:$A$304,0)),IFERROR(INDEX(Linkway_Register!$AZ$5:$AZ$304,MATCH($B7,Linkway_Register!$A$5:$A$304,0)),IFERROR(INDEX(Other_Register!$AJ$5:$AJ$304,MATCH($B7,Other_Register!$A$5:$A$304,0)),0)))))))))</f>
        <v>216</v>
      </c>
      <c r="S7" s="10" t="str">
        <f aca="false">IF($B7="","",IF(G7="","ID not found",IF(J7&lt;&gt;"Approved","WARNING: status is "&amp;J7,IF(IFERROR(INDEX(Drain_Register!$CA$5:$CA$304,MATCH($B7,Drain_Register!$A$5:$A$304,0)),IFERROR(INDEX(RW_Register!$CF$5:$CF$304,MATCH($B7,RW_Register!$A$5:$A$304,0)),IFERROR(INDEX(Embedded_Wall_Register!$CD$5:$CD$304,MATCH($B7,Embedded_Wall_Register!$A$5:$A$304,0)),IFERROR(INDEX(Manhole_Register!$CC$5:$CC$304,MATCH($B7,Manhole_Register!$A$5:$A$304,0)),IFERROR(INDEX(ERSS_Pit_Register!$BX$5:$BX$304,MATCH($B7,ERSS_Pit_Register!$A$5:$A$304,0)),IFERROR(INDEX(Linkway_Register!$BY$5:$BY$304,MATCH($B7,Linkway_Register!$A$5:$A$304,0)),IFERROR(INDEX(Other_Register!$BI$5:$BI$304,MATCH($B7,Other_Register!$A$5:$A$304,0)),"")))))))="N","WARNING: fails SG compliance check",IF(D7="","Enter length / qty",IF(E7="","Enter CAD sheet no.","OK"))))))</f>
        <v>OK</v>
      </c>
    </row>
    <row r="8" customFormat="false" ht="15" hidden="false" customHeight="false" outlineLevel="0" collapsed="false">
      <c r="A8" s="18" t="n">
        <v>3</v>
      </c>
      <c r="B8" s="18" t="s">
        <v>146</v>
      </c>
      <c r="C8" s="18" t="s">
        <v>147</v>
      </c>
      <c r="D8" s="18" t="n">
        <v>18</v>
      </c>
      <c r="E8" s="18" t="n">
        <v>2</v>
      </c>
      <c r="F8" s="10" t="str">
        <f aca="false">IF($B8="","",IFERROR(INDEX(Drain_Register!$AU$5:$AU$304,MATCH($B8,Drain_Register!$A$5:$A$304,0)),IFERROR(INDEX(RW_Register!$BA$5:$BA$304,MATCH($B8,RW_Register!$A$5:$A$304,0)),IFERROR(INDEX(Embedded_Wall_Register!$AY$5:$AY$304,MATCH($B8,Embedded_Wall_Register!$A$5:$A$304,0)),IFERROR(INDEX(Manhole_Register!$AY$5:$AY$304,MATCH($B8,Manhole_Register!$A$5:$A$304,0)),IFERROR(INDEX(ERSS_Pit_Register!$AS$5:$AS$304,MATCH($B8,ERSS_Pit_Register!$A$5:$A$304,0)),IFERROR(INDEX(Linkway_Register!$AU$5:$AU$304,MATCH($B8,Linkway_Register!$A$5:$A$304,0)),IFERROR(INDEX(Other_Register!$AE$5:$AE$304,MATCH($B8,Other_Register!$A$5:$A$304,0)),""))))))))</f>
        <v>m</v>
      </c>
      <c r="G8" s="10" t="str">
        <f aca="false">IF($B8="","",IF(ISNUMBER(MATCH($B8,Drain_Register!$A$5:$A$304,0)),"Drain",IF(ISNUMBER(MATCH($B8,RW_Register!$A$5:$A$304,0)),"Ret. Wall",IF(ISNUMBER(MATCH($B8,Embedded_Wall_Register!$A$5:$A$304,0)),"Embedded Wall",IF(ISNUMBER(MATCH($B8,Manhole_Register!$A$5:$A$304,0)),"Manhole",IF(ISNUMBER(MATCH($B8,ERSS_Pit_Register!$A$5:$A$304,0)),"ERSS Pit",IF(ISNUMBER(MATCH($B8,Linkway_Register!$A$5:$A$304,0)),"Linkway",IF(ISNUMBER(MATCH($B8,Other_Register!$A$5:$A$304,0)),"Others",""))))))))</f>
        <v>Drain</v>
      </c>
      <c r="H8" s="10" t="str">
        <f aca="false">IF($B8="","",IFERROR(INDEX(Drain_Register!$B$5:$B$304,MATCH($B8,Drain_Register!$A$5:$A$304,0)),IFERROR(INDEX(RW_Register!$B$5:$B$304,MATCH($B8,RW_Register!$A$5:$A$304,0)),IFERROR(INDEX(Embedded_Wall_Register!$B$5:$B$304,MATCH($B8,Embedded_Wall_Register!$A$5:$A$304,0)),IFERROR(INDEX(Manhole_Register!$B$5:$B$304,MATCH($B8,Manhole_Register!$A$5:$A$304,0)),IFERROR(INDEX(ERSS_Pit_Register!$B$5:$B$304,MATCH($B8,ERSS_Pit_Register!$A$5:$A$304,0)),IFERROR(INDEX(Linkway_Register!$B$5:$B$304,MATCH($B8,Linkway_Register!$A$5:$A$304,0)),IFERROR(INDEX(Other_Register!$B$5:$B$304,MATCH($B8,Other_Register!$A$5:$A$304,0)),"ID not found - check spelling"))))))))</f>
        <v>Box Culvert 1500W x 1200D, Road crossing culvert, Vehicular LM1 (SS EN 1991-2), Closed (culvert)</v>
      </c>
      <c r="I8" s="10" t="str">
        <f aca="false">IF($B8="","",IFERROR(INDEX(Drain_Register!$AI$5:$AI$304,MATCH($B8,Drain_Register!$A$5:$A$304,0)),IFERROR(INDEX(RW_Register!$AO$5:$AO$304,MATCH($B8,RW_Register!$A$5:$A$304,0)),IFERROR(INDEX(Embedded_Wall_Register!$AM$5:$AM$304,MATCH($B8,Embedded_Wall_Register!$A$5:$A$304,0)),IFERROR(INDEX(Manhole_Register!$AM$5:$AM$304,MATCH($B8,Manhole_Register!$A$5:$A$304,0)),IFERROR(INDEX(ERSS_Pit_Register!$AG$5:$AG$304,MATCH($B8,ERSS_Pit_Register!$A$5:$A$304,0)),IFERROR(INDEX(Linkway_Register!$AI$5:$AI$304,MATCH($B8,Linkway_Register!$A$5:$A$304,0)),IFERROR(INDEX(Other_Register!$S$5:$S$304,MATCH($B8,Other_Register!$A$5:$A$304,0)),""))))))))</f>
        <v>A</v>
      </c>
      <c r="J8" s="10" t="str">
        <f aca="false">IF($B8="","",IFERROR(INDEX(Drain_Register!$AJ$5:$AJ$304,MATCH($B8,Drain_Register!$A$5:$A$304,0)),IFERROR(INDEX(RW_Register!$AP$5:$AP$304,MATCH($B8,RW_Register!$A$5:$A$304,0)),IFERROR(INDEX(Embedded_Wall_Register!$AN$5:$AN$304,MATCH($B8,Embedded_Wall_Register!$A$5:$A$304,0)),IFERROR(INDEX(Manhole_Register!$AN$5:$AN$304,MATCH($B8,Manhole_Register!$A$5:$A$304,0)),IFERROR(INDEX(ERSS_Pit_Register!$AH$5:$AH$304,MATCH($B8,ERSS_Pit_Register!$A$5:$A$304,0)),IFERROR(INDEX(Linkway_Register!$AJ$5:$AJ$304,MATCH($B8,Linkway_Register!$A$5:$A$304,0)),IFERROR(INDEX(Other_Register!$T$5:$T$304,MATCH($B8,Other_Register!$A$5:$A$304,0)),""))))))))</f>
        <v>Approved</v>
      </c>
      <c r="K8" s="10" t="str">
        <f aca="false">IF($B8="","",IFERROR(INDEX(Drain_Register!$AK$5:$AK$304,MATCH($B8,Drain_Register!$A$5:$A$304,0)),IFERROR(INDEX(RW_Register!$AQ$5:$AQ$304,MATCH($B8,RW_Register!$A$5:$A$304,0)),IFERROR(INDEX(Embedded_Wall_Register!$AO$5:$AO$304,MATCH($B8,Embedded_Wall_Register!$A$5:$A$304,0)),IFERROR(INDEX(Manhole_Register!$AO$5:$AO$304,MATCH($B8,Manhole_Register!$A$5:$A$304,0)),IFERROR(INDEX(ERSS_Pit_Register!$AI$5:$AI$304,MATCH($B8,ERSS_Pit_Register!$A$5:$A$304,0)),IFERROR(INDEX(Linkway_Register!$AK$5:$AK$304,MATCH($B8,Linkway_Register!$A$5:$A$304,0)),IFERROR(INDEX(Other_Register!$U$5:$U$304,MATCH($B8,Other_Register!$A$5:$A$304,0)),""))))))))</f>
        <v>STD-BC-001</v>
      </c>
      <c r="L8" s="10" t="n">
        <f aca="false">IF($B8="","",IFERROR(INDEX(Drain_Register!$AL$5:$AL$304,MATCH($B8,Drain_Register!$A$5:$A$304,0)),IFERROR(INDEX(RW_Register!$AR$5:$AR$304,MATCH($B8,RW_Register!$A$5:$A$304,0)),IFERROR(INDEX(Embedded_Wall_Register!$AP$5:$AP$304,MATCH($B8,Embedded_Wall_Register!$A$5:$A$304,0)),IFERROR(INDEX(Manhole_Register!$AP$5:$AP$304,MATCH($B8,Manhole_Register!$A$5:$A$304,0)),IFERROR(INDEX(ERSS_Pit_Register!$AJ$5:$AJ$304,MATCH($B8,ERSS_Pit_Register!$A$5:$A$304,0)),IFERROR(INDEX(Linkway_Register!$AL$5:$AL$304,MATCH($B8,Linkway_Register!$A$5:$A$304,0)),IFERROR(INDEX(Other_Register!$V$5:$V$304,MATCH($B8,Other_Register!$A$5:$A$304,0)),""))))))))</f>
        <v>25</v>
      </c>
      <c r="M8" s="10" t="str">
        <f aca="false">IF($B8="","",IFERROR(INDEX(Drain_Register!$AN$5:$AN$304,MATCH($B8,Drain_Register!$A$5:$A$304,0)),IFERROR(INDEX(RW_Register!$AT$5:$AT$304,MATCH($B8,RW_Register!$A$5:$A$304,0)),IFERROR(INDEX(Embedded_Wall_Register!$AR$5:$AR$304,MATCH($B8,Embedded_Wall_Register!$A$5:$A$304,0)),IFERROR(INDEX(Manhole_Register!$AR$5:$AR$304,MATCH($B8,Manhole_Register!$A$5:$A$304,0)),IFERROR(INDEX(ERSS_Pit_Register!$AL$5:$AL$304,MATCH($B8,ERSS_Pit_Register!$A$5:$A$304,0)),IFERROR(INDEX(Linkway_Register!$AN$5:$AN$304,MATCH($B8,Linkway_Register!$A$5:$A$304,0)),IFERROR(INDEX(Other_Register!$X$5:$X$304,MATCH($B8,Other_Register!$A$5:$A$304,0)),"")))))))&amp;IFERROR(INDEX(Drain_Register!$AO$5:$AO$304,MATCH($B8,Drain_Register!$A$5:$A$304,0)),IFERROR(INDEX(RW_Register!$AU$5:$AU$304,MATCH($B8,RW_Register!$A$5:$A$304,0)),IFERROR(INDEX(Embedded_Wall_Register!$AS$5:$AS$304,MATCH($B8,Embedded_Wall_Register!$A$5:$A$304,0)),IFERROR(INDEX(Manhole_Register!$AS$5:$AS$304,MATCH($B8,Manhole_Register!$A$5:$A$304,0)),IFERROR(INDEX(ERSS_Pit_Register!$AM$5:$AM$304,MATCH($B8,ERSS_Pit_Register!$A$5:$A$304,0)),IFERROR(INDEX(Linkway_Register!$AO$5:$AO$304,MATCH($B8,Linkway_Register!$A$5:$A$304,0)),IFERROR(INDEX(Other_Register!$Y$5:$Y$304,MATCH($B8,Other_Register!$A$5:$A$304,0)),""))))))))</f>
        <v>C:\Users\yourname\YourCompany\Design Library - Documents\01_Drainage\DRN-BC-1500x1200-VEH-A\DRN-BC-1500x1200-VEH-A_CAD.dwg</v>
      </c>
      <c r="N8" s="19" t="n">
        <f aca="false">IF(OR($B8="",$D8=""),"",$D8*N(IFERROR(INDEX(Drain_Register!$AV$5:$AV$304,MATCH($B8,Drain_Register!$A$5:$A$304,0)),IFERROR(INDEX(RW_Register!$BB$5:$BB$304,MATCH($B8,RW_Register!$A$5:$A$304,0)),IFERROR(INDEX(Embedded_Wall_Register!$AZ$5:$AZ$304,MATCH($B8,Embedded_Wall_Register!$A$5:$A$304,0)),IFERROR(INDEX(Manhole_Register!$AZ$5:$AZ$304,MATCH($B8,Manhole_Register!$A$5:$A$304,0)),IFERROR(INDEX(ERSS_Pit_Register!$AT$5:$AT$304,MATCH($B8,ERSS_Pit_Register!$A$5:$A$304,0)),IFERROR(INDEX(Linkway_Register!$AV$5:$AV$304,MATCH($B8,Linkway_Register!$A$5:$A$304,0)),IFERROR(INDEX(Other_Register!$AF$5:$AF$304,MATCH($B8,Other_Register!$A$5:$A$304,0)),0)))))))))</f>
        <v>33.84</v>
      </c>
      <c r="O8" s="20" t="n">
        <f aca="false">IF(OR($B8="",$D8=""),"",$D8*N(IFERROR(INDEX(Drain_Register!$AW$5:$AW$304,MATCH($B8,Drain_Register!$A$5:$A$304,0)),IFERROR(INDEX(RW_Register!$BC$5:$BC$304,MATCH($B8,RW_Register!$A$5:$A$304,0)),IFERROR(INDEX(Embedded_Wall_Register!$BA$5:$BA$304,MATCH($B8,Embedded_Wall_Register!$A$5:$A$304,0)),IFERROR(INDEX(Manhole_Register!$BA$5:$BA$304,MATCH($B8,Manhole_Register!$A$5:$A$304,0)),IFERROR(INDEX(ERSS_Pit_Register!$AU$5:$AU$304,MATCH($B8,ERSS_Pit_Register!$A$5:$A$304,0)),IFERROR(INDEX(Linkway_Register!$AW$5:$AW$304,MATCH($B8,Linkway_Register!$A$5:$A$304,0)),IFERROR(INDEX(Other_Register!$AG$5:$AG$304,MATCH($B8,Other_Register!$A$5:$A$304,0)),0))))))))/1000)</f>
        <v>3.834</v>
      </c>
      <c r="P8" s="20" t="n">
        <f aca="false">IF(OR($B8="",$D8=""),"",$D8*N(IFERROR(INDEX(Drain_Register!$AX$5:$AX$304,MATCH($B8,Drain_Register!$A$5:$A$304,0)),IFERROR(INDEX(RW_Register!$BD$5:$BD$304,MATCH($B8,RW_Register!$A$5:$A$304,0)),IFERROR(INDEX(Embedded_Wall_Register!$BB$5:$BB$304,MATCH($B8,Embedded_Wall_Register!$A$5:$A$304,0)),IFERROR(INDEX(Manhole_Register!$BB$5:$BB$304,MATCH($B8,Manhole_Register!$A$5:$A$304,0)),IFERROR(INDEX(ERSS_Pit_Register!$AV$5:$AV$304,MATCH($B8,ERSS_Pit_Register!$A$5:$A$304,0)),IFERROR(INDEX(Linkway_Register!$AX$5:$AX$304,MATCH($B8,Linkway_Register!$A$5:$A$304,0)),IFERROR(INDEX(Other_Register!$AH$5:$AH$304,MATCH($B8,Other_Register!$A$5:$A$304,0)),0))))))))/1000)</f>
        <v>0</v>
      </c>
      <c r="Q8" s="19" t="n">
        <f aca="false">IF(OR($B8="",$D8=""),"",$D8*N(IFERROR(INDEX(Drain_Register!$AY$5:$AY$304,MATCH($B8,Drain_Register!$A$5:$A$304,0)),IFERROR(INDEX(RW_Register!$BE$5:$BE$304,MATCH($B8,RW_Register!$A$5:$A$304,0)),IFERROR(INDEX(Embedded_Wall_Register!$BC$5:$BC$304,MATCH($B8,Embedded_Wall_Register!$A$5:$A$304,0)),IFERROR(INDEX(Manhole_Register!$BC$5:$BC$304,MATCH($B8,Manhole_Register!$A$5:$A$304,0)),IFERROR(INDEX(ERSS_Pit_Register!$AW$5:$AW$304,MATCH($B8,ERSS_Pit_Register!$A$5:$A$304,0)),IFERROR(INDEX(Linkway_Register!$AY$5:$AY$304,MATCH($B8,Linkway_Register!$A$5:$A$304,0)),IFERROR(INDEX(Other_Register!$AI$5:$AI$304,MATCH($B8,Other_Register!$A$5:$A$304,0)),0)))))))))</f>
        <v>133.2</v>
      </c>
      <c r="R8" s="19" t="n">
        <f aca="false">IF(OR($B8="",$D8=""),"",$D8*N(IFERROR(INDEX(Drain_Register!$AZ$5:$AZ$304,MATCH($B8,Drain_Register!$A$5:$A$304,0)),IFERROR(INDEX(RW_Register!$BF$5:$BF$304,MATCH($B8,RW_Register!$A$5:$A$304,0)),IFERROR(INDEX(Embedded_Wall_Register!$BD$5:$BD$304,MATCH($B8,Embedded_Wall_Register!$A$5:$A$304,0)),IFERROR(INDEX(Manhole_Register!$BD$5:$BD$304,MATCH($B8,Manhole_Register!$A$5:$A$304,0)),IFERROR(INDEX(ERSS_Pit_Register!$AX$5:$AX$304,MATCH($B8,ERSS_Pit_Register!$A$5:$A$304,0)),IFERROR(INDEX(Linkway_Register!$AZ$5:$AZ$304,MATCH($B8,Linkway_Register!$A$5:$A$304,0)),IFERROR(INDEX(Other_Register!$AJ$5:$AJ$304,MATCH($B8,Other_Register!$A$5:$A$304,0)),0)))))))))</f>
        <v>117</v>
      </c>
      <c r="S8" s="10" t="str">
        <f aca="false">IF($B8="","",IF(G8="","ID not found",IF(J8&lt;&gt;"Approved","WARNING: status is "&amp;J8,IF(IFERROR(INDEX(Drain_Register!$CA$5:$CA$304,MATCH($B8,Drain_Register!$A$5:$A$304,0)),IFERROR(INDEX(RW_Register!$CF$5:$CF$304,MATCH($B8,RW_Register!$A$5:$A$304,0)),IFERROR(INDEX(Embedded_Wall_Register!$CD$5:$CD$304,MATCH($B8,Embedded_Wall_Register!$A$5:$A$304,0)),IFERROR(INDEX(Manhole_Register!$CC$5:$CC$304,MATCH($B8,Manhole_Register!$A$5:$A$304,0)),IFERROR(INDEX(ERSS_Pit_Register!$BX$5:$BX$304,MATCH($B8,ERSS_Pit_Register!$A$5:$A$304,0)),IFERROR(INDEX(Linkway_Register!$BY$5:$BY$304,MATCH($B8,Linkway_Register!$A$5:$A$304,0)),IFERROR(INDEX(Other_Register!$BI$5:$BI$304,MATCH($B8,Other_Register!$A$5:$A$304,0)),"")))))))="N","WARNING: fails SG compliance check",IF(D8="","Enter length / qty",IF(E8="","Enter CAD sheet no.","OK"))))))</f>
        <v>OK</v>
      </c>
    </row>
    <row r="9" customFormat="false" ht="15" hidden="false" customHeight="false" outlineLevel="0" collapsed="false">
      <c r="A9" s="18" t="n">
        <v>4</v>
      </c>
      <c r="B9" s="18" t="s">
        <v>148</v>
      </c>
      <c r="C9" s="18" t="s">
        <v>149</v>
      </c>
      <c r="D9" s="18" t="n">
        <v>13</v>
      </c>
      <c r="E9" s="18" t="n">
        <v>2</v>
      </c>
      <c r="F9" s="10" t="str">
        <f aca="false">IF($B9="","",IFERROR(INDEX(Drain_Register!$AU$5:$AU$304,MATCH($B9,Drain_Register!$A$5:$A$304,0)),IFERROR(INDEX(RW_Register!$BA$5:$BA$304,MATCH($B9,RW_Register!$A$5:$A$304,0)),IFERROR(INDEX(Embedded_Wall_Register!$AY$5:$AY$304,MATCH($B9,Embedded_Wall_Register!$A$5:$A$304,0)),IFERROR(INDEX(Manhole_Register!$AY$5:$AY$304,MATCH($B9,Manhole_Register!$A$5:$A$304,0)),IFERROR(INDEX(ERSS_Pit_Register!$AS$5:$AS$304,MATCH($B9,ERSS_Pit_Register!$A$5:$A$304,0)),IFERROR(INDEX(Linkway_Register!$AU$5:$AU$304,MATCH($B9,Linkway_Register!$A$5:$A$304,0)),IFERROR(INDEX(Other_Register!$AE$5:$AE$304,MATCH($B9,Other_Register!$A$5:$A$304,0)),""))))))))</f>
        <v>nr</v>
      </c>
      <c r="G9" s="10" t="str">
        <f aca="false">IF($B9="","",IF(ISNUMBER(MATCH($B9,Drain_Register!$A$5:$A$304,0)),"Drain",IF(ISNUMBER(MATCH($B9,RW_Register!$A$5:$A$304,0)),"Ret. Wall",IF(ISNUMBER(MATCH($B9,Embedded_Wall_Register!$A$5:$A$304,0)),"Embedded Wall",IF(ISNUMBER(MATCH($B9,Manhole_Register!$A$5:$A$304,0)),"Manhole",IF(ISNUMBER(MATCH($B9,ERSS_Pit_Register!$A$5:$A$304,0)),"ERSS Pit",IF(ISNUMBER(MATCH($B9,Linkway_Register!$A$5:$A$304,0)),"Linkway",IF(ISNUMBER(MATCH($B9,Other_Register!$A$5:$A$304,0)),"Others",""))))))))</f>
        <v>Drain</v>
      </c>
      <c r="H9" s="10" t="str">
        <f aca="false">IF($B9="","",IFERROR(INDEX(Drain_Register!$B$5:$B$304,MATCH($B9,Drain_Register!$A$5:$A$304,0)),IFERROR(INDEX(RW_Register!$B$5:$B$304,MATCH($B9,RW_Register!$A$5:$A$304,0)),IFERROR(INDEX(Embedded_Wall_Register!$B$5:$B$304,MATCH($B9,Embedded_Wall_Register!$A$5:$A$304,0)),IFERROR(INDEX(Manhole_Register!$B$5:$B$304,MATCH($B9,Manhole_Register!$A$5:$A$304,0)),IFERROR(INDEX(ERSS_Pit_Register!$B$5:$B$304,MATCH($B9,ERSS_Pit_Register!$A$5:$A$304,0)),IFERROR(INDEX(Linkway_Register!$B$5:$B$304,MATCH($B9,Linkway_Register!$A$5:$A$304,0)),IFERROR(INDEX(Other_Register!$B$5:$B$304,MATCH($B9,Other_Register!$A$5:$A$304,0)),"ID not found - check spelling"))))))))</f>
        <v>Sump 900W x 1200D, Roadside drain, Drain surcharge 12 kPa (SDRE), Covered - grating</v>
      </c>
      <c r="I9" s="10" t="str">
        <f aca="false">IF($B9="","",IFERROR(INDEX(Drain_Register!$AI$5:$AI$304,MATCH($B9,Drain_Register!$A$5:$A$304,0)),IFERROR(INDEX(RW_Register!$AO$5:$AO$304,MATCH($B9,RW_Register!$A$5:$A$304,0)),IFERROR(INDEX(Embedded_Wall_Register!$AM$5:$AM$304,MATCH($B9,Embedded_Wall_Register!$A$5:$A$304,0)),IFERROR(INDEX(Manhole_Register!$AM$5:$AM$304,MATCH($B9,Manhole_Register!$A$5:$A$304,0)),IFERROR(INDEX(ERSS_Pit_Register!$AG$5:$AG$304,MATCH($B9,ERSS_Pit_Register!$A$5:$A$304,0)),IFERROR(INDEX(Linkway_Register!$AI$5:$AI$304,MATCH($B9,Linkway_Register!$A$5:$A$304,0)),IFERROR(INDEX(Other_Register!$S$5:$S$304,MATCH($B9,Other_Register!$A$5:$A$304,0)),""))))))))</f>
        <v>A</v>
      </c>
      <c r="J9" s="10" t="str">
        <f aca="false">IF($B9="","",IFERROR(INDEX(Drain_Register!$AJ$5:$AJ$304,MATCH($B9,Drain_Register!$A$5:$A$304,0)),IFERROR(INDEX(RW_Register!$AP$5:$AP$304,MATCH($B9,RW_Register!$A$5:$A$304,0)),IFERROR(INDEX(Embedded_Wall_Register!$AN$5:$AN$304,MATCH($B9,Embedded_Wall_Register!$A$5:$A$304,0)),IFERROR(INDEX(Manhole_Register!$AN$5:$AN$304,MATCH($B9,Manhole_Register!$A$5:$A$304,0)),IFERROR(INDEX(ERSS_Pit_Register!$AH$5:$AH$304,MATCH($B9,ERSS_Pit_Register!$A$5:$A$304,0)),IFERROR(INDEX(Linkway_Register!$AJ$5:$AJ$304,MATCH($B9,Linkway_Register!$A$5:$A$304,0)),IFERROR(INDEX(Other_Register!$T$5:$T$304,MATCH($B9,Other_Register!$A$5:$A$304,0)),""))))))))</f>
        <v>Approved</v>
      </c>
      <c r="K9" s="10" t="str">
        <f aca="false">IF($B9="","",IFERROR(INDEX(Drain_Register!$AK$5:$AK$304,MATCH($B9,Drain_Register!$A$5:$A$304,0)),IFERROR(INDEX(RW_Register!$AQ$5:$AQ$304,MATCH($B9,RW_Register!$A$5:$A$304,0)),IFERROR(INDEX(Embedded_Wall_Register!$AO$5:$AO$304,MATCH($B9,Embedded_Wall_Register!$A$5:$A$304,0)),IFERROR(INDEX(Manhole_Register!$AO$5:$AO$304,MATCH($B9,Manhole_Register!$A$5:$A$304,0)),IFERROR(INDEX(ERSS_Pit_Register!$AI$5:$AI$304,MATCH($B9,ERSS_Pit_Register!$A$5:$A$304,0)),IFERROR(INDEX(Linkway_Register!$AK$5:$AK$304,MATCH($B9,Linkway_Register!$A$5:$A$304,0)),IFERROR(INDEX(Other_Register!$U$5:$U$304,MATCH($B9,Other_Register!$A$5:$A$304,0)),""))))))))</f>
        <v>STD-SP-001</v>
      </c>
      <c r="L9" s="10" t="n">
        <f aca="false">IF($B9="","",IFERROR(INDEX(Drain_Register!$AL$5:$AL$304,MATCH($B9,Drain_Register!$A$5:$A$304,0)),IFERROR(INDEX(RW_Register!$AR$5:$AR$304,MATCH($B9,RW_Register!$A$5:$A$304,0)),IFERROR(INDEX(Embedded_Wall_Register!$AP$5:$AP$304,MATCH($B9,Embedded_Wall_Register!$A$5:$A$304,0)),IFERROR(INDEX(Manhole_Register!$AP$5:$AP$304,MATCH($B9,Manhole_Register!$A$5:$A$304,0)),IFERROR(INDEX(ERSS_Pit_Register!$AJ$5:$AJ$304,MATCH($B9,ERSS_Pit_Register!$A$5:$A$304,0)),IFERROR(INDEX(Linkway_Register!$AL$5:$AL$304,MATCH($B9,Linkway_Register!$A$5:$A$304,0)),IFERROR(INDEX(Other_Register!$V$5:$V$304,MATCH($B9,Other_Register!$A$5:$A$304,0)),""))))))))</f>
        <v>20</v>
      </c>
      <c r="M9" s="10" t="str">
        <f aca="false">IF($B9="","",IFERROR(INDEX(Drain_Register!$AN$5:$AN$304,MATCH($B9,Drain_Register!$A$5:$A$304,0)),IFERROR(INDEX(RW_Register!$AT$5:$AT$304,MATCH($B9,RW_Register!$A$5:$A$304,0)),IFERROR(INDEX(Embedded_Wall_Register!$AR$5:$AR$304,MATCH($B9,Embedded_Wall_Register!$A$5:$A$304,0)),IFERROR(INDEX(Manhole_Register!$AR$5:$AR$304,MATCH($B9,Manhole_Register!$A$5:$A$304,0)),IFERROR(INDEX(ERSS_Pit_Register!$AL$5:$AL$304,MATCH($B9,ERSS_Pit_Register!$A$5:$A$304,0)),IFERROR(INDEX(Linkway_Register!$AN$5:$AN$304,MATCH($B9,Linkway_Register!$A$5:$A$304,0)),IFERROR(INDEX(Other_Register!$X$5:$X$304,MATCH($B9,Other_Register!$A$5:$A$304,0)),"")))))))&amp;IFERROR(INDEX(Drain_Register!$AO$5:$AO$304,MATCH($B9,Drain_Register!$A$5:$A$304,0)),IFERROR(INDEX(RW_Register!$AU$5:$AU$304,MATCH($B9,RW_Register!$A$5:$A$304,0)),IFERROR(INDEX(Embedded_Wall_Register!$AS$5:$AS$304,MATCH($B9,Embedded_Wall_Register!$A$5:$A$304,0)),IFERROR(INDEX(Manhole_Register!$AS$5:$AS$304,MATCH($B9,Manhole_Register!$A$5:$A$304,0)),IFERROR(INDEX(ERSS_Pit_Register!$AM$5:$AM$304,MATCH($B9,ERSS_Pit_Register!$A$5:$A$304,0)),IFERROR(INDEX(Linkway_Register!$AO$5:$AO$304,MATCH($B9,Linkway_Register!$A$5:$A$304,0)),IFERROR(INDEX(Other_Register!$Y$5:$Y$304,MATCH($B9,Other_Register!$A$5:$A$304,0)),""))))))))</f>
        <v>C:\Users\yourname\YourCompany\Design Library - Documents\01_Drainage\DRN-SP-0900x1200-S12-A\DRN-SP-0900x1200-S12-A_CAD.dwg</v>
      </c>
      <c r="N9" s="19" t="n">
        <f aca="false">IF(OR($B9="",$D9=""),"",$D9*N(IFERROR(INDEX(Drain_Register!$AV$5:$AV$304,MATCH($B9,Drain_Register!$A$5:$A$304,0)),IFERROR(INDEX(RW_Register!$BB$5:$BB$304,MATCH($B9,RW_Register!$A$5:$A$304,0)),IFERROR(INDEX(Embedded_Wall_Register!$AZ$5:$AZ$304,MATCH($B9,Embedded_Wall_Register!$A$5:$A$304,0)),IFERROR(INDEX(Manhole_Register!$AZ$5:$AZ$304,MATCH($B9,Manhole_Register!$A$5:$A$304,0)),IFERROR(INDEX(ERSS_Pit_Register!$AT$5:$AT$304,MATCH($B9,ERSS_Pit_Register!$A$5:$A$304,0)),IFERROR(INDEX(Linkway_Register!$AV$5:$AV$304,MATCH($B9,Linkway_Register!$A$5:$A$304,0)),IFERROR(INDEX(Other_Register!$AF$5:$AF$304,MATCH($B9,Other_Register!$A$5:$A$304,0)),0)))))))))</f>
        <v>16.25</v>
      </c>
      <c r="O9" s="20" t="n">
        <f aca="false">IF(OR($B9="",$D9=""),"",$D9*N(IFERROR(INDEX(Drain_Register!$AW$5:$AW$304,MATCH($B9,Drain_Register!$A$5:$A$304,0)),IFERROR(INDEX(RW_Register!$BC$5:$BC$304,MATCH($B9,RW_Register!$A$5:$A$304,0)),IFERROR(INDEX(Embedded_Wall_Register!$BA$5:$BA$304,MATCH($B9,Embedded_Wall_Register!$A$5:$A$304,0)),IFERROR(INDEX(Manhole_Register!$BA$5:$BA$304,MATCH($B9,Manhole_Register!$A$5:$A$304,0)),IFERROR(INDEX(ERSS_Pit_Register!$AU$5:$AU$304,MATCH($B9,ERSS_Pit_Register!$A$5:$A$304,0)),IFERROR(INDEX(Linkway_Register!$AW$5:$AW$304,MATCH($B9,Linkway_Register!$A$5:$A$304,0)),IFERROR(INDEX(Other_Register!$AG$5:$AG$304,MATCH($B9,Other_Register!$A$5:$A$304,0)),0))))))))/1000)</f>
        <v>1.43</v>
      </c>
      <c r="P9" s="20" t="n">
        <f aca="false">IF(OR($B9="",$D9=""),"",$D9*N(IFERROR(INDEX(Drain_Register!$AX$5:$AX$304,MATCH($B9,Drain_Register!$A$5:$A$304,0)),IFERROR(INDEX(RW_Register!$BD$5:$BD$304,MATCH($B9,RW_Register!$A$5:$A$304,0)),IFERROR(INDEX(Embedded_Wall_Register!$BB$5:$BB$304,MATCH($B9,Embedded_Wall_Register!$A$5:$A$304,0)),IFERROR(INDEX(Manhole_Register!$BB$5:$BB$304,MATCH($B9,Manhole_Register!$A$5:$A$304,0)),IFERROR(INDEX(ERSS_Pit_Register!$AV$5:$AV$304,MATCH($B9,ERSS_Pit_Register!$A$5:$A$304,0)),IFERROR(INDEX(Linkway_Register!$AX$5:$AX$304,MATCH($B9,Linkway_Register!$A$5:$A$304,0)),IFERROR(INDEX(Other_Register!$AH$5:$AH$304,MATCH($B9,Other_Register!$A$5:$A$304,0)),0))))))))/1000)</f>
        <v>0</v>
      </c>
      <c r="Q9" s="19" t="n">
        <f aca="false">IF(OR($B9="",$D9=""),"",$D9*N(IFERROR(INDEX(Drain_Register!$AY$5:$AY$304,MATCH($B9,Drain_Register!$A$5:$A$304,0)),IFERROR(INDEX(RW_Register!$BE$5:$BE$304,MATCH($B9,RW_Register!$A$5:$A$304,0)),IFERROR(INDEX(Embedded_Wall_Register!$BC$5:$BC$304,MATCH($B9,Embedded_Wall_Register!$A$5:$A$304,0)),IFERROR(INDEX(Manhole_Register!$BC$5:$BC$304,MATCH($B9,Manhole_Register!$A$5:$A$304,0)),IFERROR(INDEX(ERSS_Pit_Register!$AW$5:$AW$304,MATCH($B9,ERSS_Pit_Register!$A$5:$A$304,0)),IFERROR(INDEX(Linkway_Register!$AY$5:$AY$304,MATCH($B9,Linkway_Register!$A$5:$A$304,0)),IFERROR(INDEX(Other_Register!$AI$5:$AI$304,MATCH($B9,Other_Register!$A$5:$A$304,0)),0)))))))))</f>
        <v>127.4</v>
      </c>
      <c r="R9" s="19" t="n">
        <f aca="false">IF(OR($B9="",$D9=""),"",$D9*N(IFERROR(INDEX(Drain_Register!$AZ$5:$AZ$304,MATCH($B9,Drain_Register!$A$5:$A$304,0)),IFERROR(INDEX(RW_Register!$BF$5:$BF$304,MATCH($B9,RW_Register!$A$5:$A$304,0)),IFERROR(INDEX(Embedded_Wall_Register!$BD$5:$BD$304,MATCH($B9,Embedded_Wall_Register!$A$5:$A$304,0)),IFERROR(INDEX(Manhole_Register!$BD$5:$BD$304,MATCH($B9,Manhole_Register!$A$5:$A$304,0)),IFERROR(INDEX(ERSS_Pit_Register!$AX$5:$AX$304,MATCH($B9,ERSS_Pit_Register!$A$5:$A$304,0)),IFERROR(INDEX(Linkway_Register!$AZ$5:$AZ$304,MATCH($B9,Linkway_Register!$A$5:$A$304,0)),IFERROR(INDEX(Other_Register!$AJ$5:$AJ$304,MATCH($B9,Other_Register!$A$5:$A$304,0)),0)))))))))</f>
        <v>41.6</v>
      </c>
      <c r="S9" s="10" t="str">
        <f aca="false">IF($B9="","",IF(G9="","ID not found",IF(J9&lt;&gt;"Approved","WARNING: status is "&amp;J9,IF(IFERROR(INDEX(Drain_Register!$CA$5:$CA$304,MATCH($B9,Drain_Register!$A$5:$A$304,0)),IFERROR(INDEX(RW_Register!$CF$5:$CF$304,MATCH($B9,RW_Register!$A$5:$A$304,0)),IFERROR(INDEX(Embedded_Wall_Register!$CD$5:$CD$304,MATCH($B9,Embedded_Wall_Register!$A$5:$A$304,0)),IFERROR(INDEX(Manhole_Register!$CC$5:$CC$304,MATCH($B9,Manhole_Register!$A$5:$A$304,0)),IFERROR(INDEX(ERSS_Pit_Register!$BX$5:$BX$304,MATCH($B9,ERSS_Pit_Register!$A$5:$A$304,0)),IFERROR(INDEX(Linkway_Register!$BY$5:$BY$304,MATCH($B9,Linkway_Register!$A$5:$A$304,0)),IFERROR(INDEX(Other_Register!$BI$5:$BI$304,MATCH($B9,Other_Register!$A$5:$A$304,0)),"")))))))="N","WARNING: fails SG compliance check",IF(D9="","Enter length / qty",IF(E9="","Enter CAD sheet no.","OK"))))))</f>
        <v>OK</v>
      </c>
    </row>
    <row r="10" customFormat="false" ht="15" hidden="false" customHeight="false" outlineLevel="0" collapsed="false">
      <c r="A10" s="18" t="n">
        <v>5</v>
      </c>
      <c r="B10" s="18" t="s">
        <v>150</v>
      </c>
      <c r="C10" s="18" t="s">
        <v>151</v>
      </c>
      <c r="D10" s="18" t="n">
        <v>42</v>
      </c>
      <c r="E10" s="18" t="n">
        <v>3</v>
      </c>
      <c r="F10" s="10" t="str">
        <f aca="false">IF($B10="","",IFERROR(INDEX(Drain_Register!$AU$5:$AU$304,MATCH($B10,Drain_Register!$A$5:$A$304,0)),IFERROR(INDEX(RW_Register!$BA$5:$BA$304,MATCH($B10,RW_Register!$A$5:$A$304,0)),IFERROR(INDEX(Embedded_Wall_Register!$AY$5:$AY$304,MATCH($B10,Embedded_Wall_Register!$A$5:$A$304,0)),IFERROR(INDEX(Manhole_Register!$AY$5:$AY$304,MATCH($B10,Manhole_Register!$A$5:$A$304,0)),IFERROR(INDEX(ERSS_Pit_Register!$AS$5:$AS$304,MATCH($B10,ERSS_Pit_Register!$A$5:$A$304,0)),IFERROR(INDEX(Linkway_Register!$AU$5:$AU$304,MATCH($B10,Linkway_Register!$A$5:$A$304,0)),IFERROR(INDEX(Other_Register!$AE$5:$AE$304,MATCH($B10,Other_Register!$A$5:$A$304,0)),""))))))))</f>
        <v>m</v>
      </c>
      <c r="G10" s="10" t="str">
        <f aca="false">IF($B10="","",IF(ISNUMBER(MATCH($B10,Drain_Register!$A$5:$A$304,0)),"Drain",IF(ISNUMBER(MATCH($B10,RW_Register!$A$5:$A$304,0)),"Ret. Wall",IF(ISNUMBER(MATCH($B10,Embedded_Wall_Register!$A$5:$A$304,0)),"Embedded Wall",IF(ISNUMBER(MATCH($B10,Manhole_Register!$A$5:$A$304,0)),"Manhole",IF(ISNUMBER(MATCH($B10,ERSS_Pit_Register!$A$5:$A$304,0)),"ERSS Pit",IF(ISNUMBER(MATCH($B10,Linkway_Register!$A$5:$A$304,0)),"Linkway",IF(ISNUMBER(MATCH($B10,Other_Register!$A$5:$A$304,0)),"Others",""))))))))</f>
        <v>Ret. Wall</v>
      </c>
      <c r="H10" s="10" t="str">
        <f aca="false">IF($B10="","",IFERROR(INDEX(Drain_Register!$B$5:$B$304,MATCH($B10,Drain_Register!$A$5:$A$304,0)),IFERROR(INDEX(RW_Register!$B$5:$B$304,MATCH($B10,RW_Register!$A$5:$A$304,0)),IFERROR(INDEX(Embedded_Wall_Register!$B$5:$B$304,MATCH($B10,Embedded_Wall_Register!$A$5:$A$304,0)),IFERROR(INDEX(Manhole_Register!$B$5:$B$304,MATCH($B10,Manhole_Register!$A$5:$A$304,0)),IFERROR(INDEX(ERSS_Pit_Register!$B$5:$B$304,MATCH($B10,ERSS_Pit_Register!$A$5:$A$304,0)),IFERROR(INDEX(Linkway_Register!$B$5:$B$304,MATCH($B10,Linkway_Register!$A$5:$A$304,0)),IFERROR(INDEX(Other_Register!$B$5:$B$304,MATCH($B10,Other_Register!$A$5:$A$304,0)),"ID not found - check spelling"))))))))</f>
        <v>Cantilever RC (toe &amp; heel), H = 3.0 m, q = 25 kPa, Firm/stiff clay (general)</v>
      </c>
      <c r="I10" s="10" t="str">
        <f aca="false">IF($B10="","",IFERROR(INDEX(Drain_Register!$AI$5:$AI$304,MATCH($B10,Drain_Register!$A$5:$A$304,0)),IFERROR(INDEX(RW_Register!$AO$5:$AO$304,MATCH($B10,RW_Register!$A$5:$A$304,0)),IFERROR(INDEX(Embedded_Wall_Register!$AM$5:$AM$304,MATCH($B10,Embedded_Wall_Register!$A$5:$A$304,0)),IFERROR(INDEX(Manhole_Register!$AM$5:$AM$304,MATCH($B10,Manhole_Register!$A$5:$A$304,0)),IFERROR(INDEX(ERSS_Pit_Register!$AG$5:$AG$304,MATCH($B10,ERSS_Pit_Register!$A$5:$A$304,0)),IFERROR(INDEX(Linkway_Register!$AI$5:$AI$304,MATCH($B10,Linkway_Register!$A$5:$A$304,0)),IFERROR(INDEX(Other_Register!$S$5:$S$304,MATCH($B10,Other_Register!$A$5:$A$304,0)),""))))))))</f>
        <v>A</v>
      </c>
      <c r="J10" s="10" t="str">
        <f aca="false">IF($B10="","",IFERROR(INDEX(Drain_Register!$AJ$5:$AJ$304,MATCH($B10,Drain_Register!$A$5:$A$304,0)),IFERROR(INDEX(RW_Register!$AP$5:$AP$304,MATCH($B10,RW_Register!$A$5:$A$304,0)),IFERROR(INDEX(Embedded_Wall_Register!$AN$5:$AN$304,MATCH($B10,Embedded_Wall_Register!$A$5:$A$304,0)),IFERROR(INDEX(Manhole_Register!$AN$5:$AN$304,MATCH($B10,Manhole_Register!$A$5:$A$304,0)),IFERROR(INDEX(ERSS_Pit_Register!$AH$5:$AH$304,MATCH($B10,ERSS_Pit_Register!$A$5:$A$304,0)),IFERROR(INDEX(Linkway_Register!$AJ$5:$AJ$304,MATCH($B10,Linkway_Register!$A$5:$A$304,0)),IFERROR(INDEX(Other_Register!$T$5:$T$304,MATCH($B10,Other_Register!$A$5:$A$304,0)),""))))))))</f>
        <v>Approved</v>
      </c>
      <c r="K10" s="10" t="str">
        <f aca="false">IF($B10="","",IFERROR(INDEX(Drain_Register!$AK$5:$AK$304,MATCH($B10,Drain_Register!$A$5:$A$304,0)),IFERROR(INDEX(RW_Register!$AQ$5:$AQ$304,MATCH($B10,RW_Register!$A$5:$A$304,0)),IFERROR(INDEX(Embedded_Wall_Register!$AO$5:$AO$304,MATCH($B10,Embedded_Wall_Register!$A$5:$A$304,0)),IFERROR(INDEX(Manhole_Register!$AO$5:$AO$304,MATCH($B10,Manhole_Register!$A$5:$A$304,0)),IFERROR(INDEX(ERSS_Pit_Register!$AI$5:$AI$304,MATCH($B10,ERSS_Pit_Register!$A$5:$A$304,0)),IFERROR(INDEX(Linkway_Register!$AK$5:$AK$304,MATCH($B10,Linkway_Register!$A$5:$A$304,0)),IFERROR(INDEX(Other_Register!$U$5:$U$304,MATCH($B10,Other_Register!$A$5:$A$304,0)),""))))))))</f>
        <v>STD-RW-005</v>
      </c>
      <c r="L10" s="10" t="n">
        <f aca="false">IF($B10="","",IFERROR(INDEX(Drain_Register!$AL$5:$AL$304,MATCH($B10,Drain_Register!$A$5:$A$304,0)),IFERROR(INDEX(RW_Register!$AR$5:$AR$304,MATCH($B10,RW_Register!$A$5:$A$304,0)),IFERROR(INDEX(Embedded_Wall_Register!$AP$5:$AP$304,MATCH($B10,Embedded_Wall_Register!$A$5:$A$304,0)),IFERROR(INDEX(Manhole_Register!$AP$5:$AP$304,MATCH($B10,Manhole_Register!$A$5:$A$304,0)),IFERROR(INDEX(ERSS_Pit_Register!$AJ$5:$AJ$304,MATCH($B10,ERSS_Pit_Register!$A$5:$A$304,0)),IFERROR(INDEX(Linkway_Register!$AL$5:$AL$304,MATCH($B10,Linkway_Register!$A$5:$A$304,0)),IFERROR(INDEX(Other_Register!$V$5:$V$304,MATCH($B10,Other_Register!$A$5:$A$304,0)),""))))))))</f>
        <v>25</v>
      </c>
      <c r="M10" s="10" t="str">
        <f aca="false">IF($B10="","",IFERROR(INDEX(Drain_Register!$AN$5:$AN$304,MATCH($B10,Drain_Register!$A$5:$A$304,0)),IFERROR(INDEX(RW_Register!$AT$5:$AT$304,MATCH($B10,RW_Register!$A$5:$A$304,0)),IFERROR(INDEX(Embedded_Wall_Register!$AR$5:$AR$304,MATCH($B10,Embedded_Wall_Register!$A$5:$A$304,0)),IFERROR(INDEX(Manhole_Register!$AR$5:$AR$304,MATCH($B10,Manhole_Register!$A$5:$A$304,0)),IFERROR(INDEX(ERSS_Pit_Register!$AL$5:$AL$304,MATCH($B10,ERSS_Pit_Register!$A$5:$A$304,0)),IFERROR(INDEX(Linkway_Register!$AN$5:$AN$304,MATCH($B10,Linkway_Register!$A$5:$A$304,0)),IFERROR(INDEX(Other_Register!$X$5:$X$304,MATCH($B10,Other_Register!$A$5:$A$304,0)),"")))))))&amp;IFERROR(INDEX(Drain_Register!$AO$5:$AO$304,MATCH($B10,Drain_Register!$A$5:$A$304,0)),IFERROR(INDEX(RW_Register!$AU$5:$AU$304,MATCH($B10,RW_Register!$A$5:$A$304,0)),IFERROR(INDEX(Embedded_Wall_Register!$AS$5:$AS$304,MATCH($B10,Embedded_Wall_Register!$A$5:$A$304,0)),IFERROR(INDEX(Manhole_Register!$AS$5:$AS$304,MATCH($B10,Manhole_Register!$A$5:$A$304,0)),IFERROR(INDEX(ERSS_Pit_Register!$AM$5:$AM$304,MATCH($B10,ERSS_Pit_Register!$A$5:$A$304,0)),IFERROR(INDEX(Linkway_Register!$AO$5:$AO$304,MATCH($B10,Linkway_Register!$A$5:$A$304,0)),IFERROR(INDEX(Other_Register!$Y$5:$Y$304,MATCH($B10,Other_Register!$A$5:$A$304,0)),""))))))))</f>
        <v>C:\Users\yourname\YourCompany\Design Library - Documents\02_Retaining_Wall\RW-CANT-H3000-S25-A\RW-CANT-H3000-S25-A_CAD.dwg</v>
      </c>
      <c r="N10" s="19" t="n">
        <f aca="false">IF(OR($B10="",$D10=""),"",$D10*N(IFERROR(INDEX(Drain_Register!$AV$5:$AV$304,MATCH($B10,Drain_Register!$A$5:$A$304,0)),IFERROR(INDEX(RW_Register!$BB$5:$BB$304,MATCH($B10,RW_Register!$A$5:$A$304,0)),IFERROR(INDEX(Embedded_Wall_Register!$AZ$5:$AZ$304,MATCH($B10,Embedded_Wall_Register!$A$5:$A$304,0)),IFERROR(INDEX(Manhole_Register!$AZ$5:$AZ$304,MATCH($B10,Manhole_Register!$A$5:$A$304,0)),IFERROR(INDEX(ERSS_Pit_Register!$AT$5:$AT$304,MATCH($B10,ERSS_Pit_Register!$A$5:$A$304,0)),IFERROR(INDEX(Linkway_Register!$AV$5:$AV$304,MATCH($B10,Linkway_Register!$A$5:$A$304,0)),IFERROR(INDEX(Other_Register!$AF$5:$AF$304,MATCH($B10,Other_Register!$A$5:$A$304,0)),0)))))))))</f>
        <v>92.4</v>
      </c>
      <c r="O10" s="20" t="n">
        <f aca="false">IF(OR($B10="",$D10=""),"",$D10*N(IFERROR(INDEX(Drain_Register!$AW$5:$AW$304,MATCH($B10,Drain_Register!$A$5:$A$304,0)),IFERROR(INDEX(RW_Register!$BC$5:$BC$304,MATCH($B10,RW_Register!$A$5:$A$304,0)),IFERROR(INDEX(Embedded_Wall_Register!$BA$5:$BA$304,MATCH($B10,Embedded_Wall_Register!$A$5:$A$304,0)),IFERROR(INDEX(Manhole_Register!$BA$5:$BA$304,MATCH($B10,Manhole_Register!$A$5:$A$304,0)),IFERROR(INDEX(ERSS_Pit_Register!$AU$5:$AU$304,MATCH($B10,ERSS_Pit_Register!$A$5:$A$304,0)),IFERROR(INDEX(Linkway_Register!$AW$5:$AW$304,MATCH($B10,Linkway_Register!$A$5:$A$304,0)),IFERROR(INDEX(Other_Register!$AG$5:$AG$304,MATCH($B10,Other_Register!$A$5:$A$304,0)),0))))))))/1000)</f>
        <v>8.358</v>
      </c>
      <c r="P10" s="20" t="n">
        <f aca="false">IF(OR($B10="",$D10=""),"",$D10*N(IFERROR(INDEX(Drain_Register!$AX$5:$AX$304,MATCH($B10,Drain_Register!$A$5:$A$304,0)),IFERROR(INDEX(RW_Register!$BD$5:$BD$304,MATCH($B10,RW_Register!$A$5:$A$304,0)),IFERROR(INDEX(Embedded_Wall_Register!$BB$5:$BB$304,MATCH($B10,Embedded_Wall_Register!$A$5:$A$304,0)),IFERROR(INDEX(Manhole_Register!$BB$5:$BB$304,MATCH($B10,Manhole_Register!$A$5:$A$304,0)),IFERROR(INDEX(ERSS_Pit_Register!$AV$5:$AV$304,MATCH($B10,ERSS_Pit_Register!$A$5:$A$304,0)),IFERROR(INDEX(Linkway_Register!$AX$5:$AX$304,MATCH($B10,Linkway_Register!$A$5:$A$304,0)),IFERROR(INDEX(Other_Register!$AH$5:$AH$304,MATCH($B10,Other_Register!$A$5:$A$304,0)),0))))))))/1000)</f>
        <v>0</v>
      </c>
      <c r="Q10" s="19" t="n">
        <f aca="false">IF(OR($B10="",$D10=""),"",$D10*N(IFERROR(INDEX(Drain_Register!$AY$5:$AY$304,MATCH($B10,Drain_Register!$A$5:$A$304,0)),IFERROR(INDEX(RW_Register!$BE$5:$BE$304,MATCH($B10,RW_Register!$A$5:$A$304,0)),IFERROR(INDEX(Embedded_Wall_Register!$BC$5:$BC$304,MATCH($B10,Embedded_Wall_Register!$A$5:$A$304,0)),IFERROR(INDEX(Manhole_Register!$BC$5:$BC$304,MATCH($B10,Manhole_Register!$A$5:$A$304,0)),IFERROR(INDEX(ERSS_Pit_Register!$AW$5:$AW$304,MATCH($B10,ERSS_Pit_Register!$A$5:$A$304,0)),IFERROR(INDEX(Linkway_Register!$AY$5:$AY$304,MATCH($B10,Linkway_Register!$A$5:$A$304,0)),IFERROR(INDEX(Other_Register!$AI$5:$AI$304,MATCH($B10,Other_Register!$A$5:$A$304,0)),0)))))))))</f>
        <v>289.8</v>
      </c>
      <c r="R10" s="19" t="n">
        <f aca="false">IF(OR($B10="",$D10=""),"",$D10*N(IFERROR(INDEX(Drain_Register!$AZ$5:$AZ$304,MATCH($B10,Drain_Register!$A$5:$A$304,0)),IFERROR(INDEX(RW_Register!$BF$5:$BF$304,MATCH($B10,RW_Register!$A$5:$A$304,0)),IFERROR(INDEX(Embedded_Wall_Register!$BD$5:$BD$304,MATCH($B10,Embedded_Wall_Register!$A$5:$A$304,0)),IFERROR(INDEX(Manhole_Register!$BD$5:$BD$304,MATCH($B10,Manhole_Register!$A$5:$A$304,0)),IFERROR(INDEX(ERSS_Pit_Register!$AX$5:$AX$304,MATCH($B10,ERSS_Pit_Register!$A$5:$A$304,0)),IFERROR(INDEX(Linkway_Register!$AZ$5:$AZ$304,MATCH($B10,Linkway_Register!$A$5:$A$304,0)),IFERROR(INDEX(Other_Register!$AJ$5:$AJ$304,MATCH($B10,Other_Register!$A$5:$A$304,0)),0)))))))))</f>
        <v>239.4</v>
      </c>
      <c r="S10" s="10" t="str">
        <f aca="false">IF($B10="","",IF(G10="","ID not found",IF(J10&lt;&gt;"Approved","WARNING: status is "&amp;J10,IF(IFERROR(INDEX(Drain_Register!$CA$5:$CA$304,MATCH($B10,Drain_Register!$A$5:$A$304,0)),IFERROR(INDEX(RW_Register!$CF$5:$CF$304,MATCH($B10,RW_Register!$A$5:$A$304,0)),IFERROR(INDEX(Embedded_Wall_Register!$CD$5:$CD$304,MATCH($B10,Embedded_Wall_Register!$A$5:$A$304,0)),IFERROR(INDEX(Manhole_Register!$CC$5:$CC$304,MATCH($B10,Manhole_Register!$A$5:$A$304,0)),IFERROR(INDEX(ERSS_Pit_Register!$BX$5:$BX$304,MATCH($B10,ERSS_Pit_Register!$A$5:$A$304,0)),IFERROR(INDEX(Linkway_Register!$BY$5:$BY$304,MATCH($B10,Linkway_Register!$A$5:$A$304,0)),IFERROR(INDEX(Other_Register!$BI$5:$BI$304,MATCH($B10,Other_Register!$A$5:$A$304,0)),"")))))))="N","WARNING: fails SG compliance check",IF(D10="","Enter length / qty",IF(E10="","Enter CAD sheet no.","OK"))))))</f>
        <v>OK</v>
      </c>
    </row>
    <row r="11" customFormat="false" ht="15" hidden="false" customHeight="false" outlineLevel="0" collapsed="false">
      <c r="A11" s="18" t="n">
        <v>6</v>
      </c>
      <c r="B11" s="18" t="s">
        <v>152</v>
      </c>
      <c r="C11" s="18" t="s">
        <v>153</v>
      </c>
      <c r="D11" s="18" t="n">
        <v>35</v>
      </c>
      <c r="E11" s="18" t="n">
        <v>3</v>
      </c>
      <c r="F11" s="10" t="str">
        <f aca="false">IF($B11="","",IFERROR(INDEX(Drain_Register!$AU$5:$AU$304,MATCH($B11,Drain_Register!$A$5:$A$304,0)),IFERROR(INDEX(RW_Register!$BA$5:$BA$304,MATCH($B11,RW_Register!$A$5:$A$304,0)),IFERROR(INDEX(Embedded_Wall_Register!$AY$5:$AY$304,MATCH($B11,Embedded_Wall_Register!$A$5:$A$304,0)),IFERROR(INDEX(Manhole_Register!$AY$5:$AY$304,MATCH($B11,Manhole_Register!$A$5:$A$304,0)),IFERROR(INDEX(ERSS_Pit_Register!$AS$5:$AS$304,MATCH($B11,ERSS_Pit_Register!$A$5:$A$304,0)),IFERROR(INDEX(Linkway_Register!$AU$5:$AU$304,MATCH($B11,Linkway_Register!$A$5:$A$304,0)),IFERROR(INDEX(Other_Register!$AE$5:$AE$304,MATCH($B11,Other_Register!$A$5:$A$304,0)),""))))))))</f>
        <v>m</v>
      </c>
      <c r="G11" s="10" t="str">
        <f aca="false">IF($B11="","",IF(ISNUMBER(MATCH($B11,Drain_Register!$A$5:$A$304,0)),"Drain",IF(ISNUMBER(MATCH($B11,RW_Register!$A$5:$A$304,0)),"Ret. Wall",IF(ISNUMBER(MATCH($B11,Embedded_Wall_Register!$A$5:$A$304,0)),"Embedded Wall",IF(ISNUMBER(MATCH($B11,Manhole_Register!$A$5:$A$304,0)),"Manhole",IF(ISNUMBER(MATCH($B11,ERSS_Pit_Register!$A$5:$A$304,0)),"ERSS Pit",IF(ISNUMBER(MATCH($B11,Linkway_Register!$A$5:$A$304,0)),"Linkway",IF(ISNUMBER(MATCH($B11,Other_Register!$A$5:$A$304,0)),"Others",""))))))))</f>
        <v>Embedded Wall</v>
      </c>
      <c r="H11" s="10" t="str">
        <f aca="false">IF($B11="","",IFERROR(INDEX(Drain_Register!$B$5:$B$304,MATCH($B11,Drain_Register!$A$5:$A$304,0)),IFERROR(INDEX(RW_Register!$B$5:$B$304,MATCH($B11,RW_Register!$A$5:$A$304,0)),IFERROR(INDEX(Embedded_Wall_Register!$B$5:$B$304,MATCH($B11,Embedded_Wall_Register!$A$5:$A$304,0)),IFERROR(INDEX(Manhole_Register!$B$5:$B$304,MATCH($B11,Manhole_Register!$A$5:$A$304,0)),IFERROR(INDEX(ERSS_Pit_Register!$B$5:$B$304,MATCH($B11,ERSS_Pit_Register!$A$5:$A$304,0)),IFERROR(INDEX(Linkway_Register!$B$5:$B$304,MATCH($B11,Linkway_Register!$A$5:$A$304,0)),IFERROR(INDEX(Other_Register!$B$5:$B$304,MATCH($B11,Other_Register!$A$5:$A$304,0)),"ID not found - check spelling"))))))))</f>
        <v>Permanent Contiguous Bored Pile (CBP), excavation 5.0 m, 1 level strut, Old Alluvium, 800 dia</v>
      </c>
      <c r="I11" s="10" t="str">
        <f aca="false">IF($B11="","",IFERROR(INDEX(Drain_Register!$AI$5:$AI$304,MATCH($B11,Drain_Register!$A$5:$A$304,0)),IFERROR(INDEX(RW_Register!$AO$5:$AO$304,MATCH($B11,RW_Register!$A$5:$A$304,0)),IFERROR(INDEX(Embedded_Wall_Register!$AM$5:$AM$304,MATCH($B11,Embedded_Wall_Register!$A$5:$A$304,0)),IFERROR(INDEX(Manhole_Register!$AM$5:$AM$304,MATCH($B11,Manhole_Register!$A$5:$A$304,0)),IFERROR(INDEX(ERSS_Pit_Register!$AG$5:$AG$304,MATCH($B11,ERSS_Pit_Register!$A$5:$A$304,0)),IFERROR(INDEX(Linkway_Register!$AI$5:$AI$304,MATCH($B11,Linkway_Register!$A$5:$A$304,0)),IFERROR(INDEX(Other_Register!$S$5:$S$304,MATCH($B11,Other_Register!$A$5:$A$304,0)),""))))))))</f>
        <v>A</v>
      </c>
      <c r="J11" s="10" t="str">
        <f aca="false">IF($B11="","",IFERROR(INDEX(Drain_Register!$AJ$5:$AJ$304,MATCH($B11,Drain_Register!$A$5:$A$304,0)),IFERROR(INDEX(RW_Register!$AP$5:$AP$304,MATCH($B11,RW_Register!$A$5:$A$304,0)),IFERROR(INDEX(Embedded_Wall_Register!$AN$5:$AN$304,MATCH($B11,Embedded_Wall_Register!$A$5:$A$304,0)),IFERROR(INDEX(Manhole_Register!$AN$5:$AN$304,MATCH($B11,Manhole_Register!$A$5:$A$304,0)),IFERROR(INDEX(ERSS_Pit_Register!$AH$5:$AH$304,MATCH($B11,ERSS_Pit_Register!$A$5:$A$304,0)),IFERROR(INDEX(Linkway_Register!$AJ$5:$AJ$304,MATCH($B11,Linkway_Register!$A$5:$A$304,0)),IFERROR(INDEX(Other_Register!$T$5:$T$304,MATCH($B11,Other_Register!$A$5:$A$304,0)),""))))))))</f>
        <v>Approved</v>
      </c>
      <c r="K11" s="10" t="str">
        <f aca="false">IF($B11="","",IFERROR(INDEX(Drain_Register!$AK$5:$AK$304,MATCH($B11,Drain_Register!$A$5:$A$304,0)),IFERROR(INDEX(RW_Register!$AQ$5:$AQ$304,MATCH($B11,RW_Register!$A$5:$A$304,0)),IFERROR(INDEX(Embedded_Wall_Register!$AO$5:$AO$304,MATCH($B11,Embedded_Wall_Register!$A$5:$A$304,0)),IFERROR(INDEX(Manhole_Register!$AO$5:$AO$304,MATCH($B11,Manhole_Register!$A$5:$A$304,0)),IFERROR(INDEX(ERSS_Pit_Register!$AI$5:$AI$304,MATCH($B11,ERSS_Pit_Register!$A$5:$A$304,0)),IFERROR(INDEX(Linkway_Register!$AK$5:$AK$304,MATCH($B11,Linkway_Register!$A$5:$A$304,0)),IFERROR(INDEX(Other_Register!$U$5:$U$304,MATCH($B11,Other_Register!$A$5:$A$304,0)),""))))))))</f>
        <v>STD-EW-002</v>
      </c>
      <c r="L11" s="10" t="n">
        <f aca="false">IF($B11="","",IFERROR(INDEX(Drain_Register!$AL$5:$AL$304,MATCH($B11,Drain_Register!$A$5:$A$304,0)),IFERROR(INDEX(RW_Register!$AR$5:$AR$304,MATCH($B11,RW_Register!$A$5:$A$304,0)),IFERROR(INDEX(Embedded_Wall_Register!$AP$5:$AP$304,MATCH($B11,Embedded_Wall_Register!$A$5:$A$304,0)),IFERROR(INDEX(Manhole_Register!$AP$5:$AP$304,MATCH($B11,Manhole_Register!$A$5:$A$304,0)),IFERROR(INDEX(ERSS_Pit_Register!$AJ$5:$AJ$304,MATCH($B11,ERSS_Pit_Register!$A$5:$A$304,0)),IFERROR(INDEX(Linkway_Register!$AL$5:$AL$304,MATCH($B11,Linkway_Register!$A$5:$A$304,0)),IFERROR(INDEX(Other_Register!$V$5:$V$304,MATCH($B11,Other_Register!$A$5:$A$304,0)),""))))))))</f>
        <v>50</v>
      </c>
      <c r="M11" s="10" t="str">
        <f aca="false">IF($B11="","",IFERROR(INDEX(Drain_Register!$AN$5:$AN$304,MATCH($B11,Drain_Register!$A$5:$A$304,0)),IFERROR(INDEX(RW_Register!$AT$5:$AT$304,MATCH($B11,RW_Register!$A$5:$A$304,0)),IFERROR(INDEX(Embedded_Wall_Register!$AR$5:$AR$304,MATCH($B11,Embedded_Wall_Register!$A$5:$A$304,0)),IFERROR(INDEX(Manhole_Register!$AR$5:$AR$304,MATCH($B11,Manhole_Register!$A$5:$A$304,0)),IFERROR(INDEX(ERSS_Pit_Register!$AL$5:$AL$304,MATCH($B11,ERSS_Pit_Register!$A$5:$A$304,0)),IFERROR(INDEX(Linkway_Register!$AN$5:$AN$304,MATCH($B11,Linkway_Register!$A$5:$A$304,0)),IFERROR(INDEX(Other_Register!$X$5:$X$304,MATCH($B11,Other_Register!$A$5:$A$304,0)),"")))))))&amp;IFERROR(INDEX(Drain_Register!$AO$5:$AO$304,MATCH($B11,Drain_Register!$A$5:$A$304,0)),IFERROR(INDEX(RW_Register!$AU$5:$AU$304,MATCH($B11,RW_Register!$A$5:$A$304,0)),IFERROR(INDEX(Embedded_Wall_Register!$AS$5:$AS$304,MATCH($B11,Embedded_Wall_Register!$A$5:$A$304,0)),IFERROR(INDEX(Manhole_Register!$AS$5:$AS$304,MATCH($B11,Manhole_Register!$A$5:$A$304,0)),IFERROR(INDEX(ERSS_Pit_Register!$AM$5:$AM$304,MATCH($B11,ERSS_Pit_Register!$A$5:$A$304,0)),IFERROR(INDEX(Linkway_Register!$AO$5:$AO$304,MATCH($B11,Linkway_Register!$A$5:$A$304,0)),IFERROR(INDEX(Other_Register!$Y$5:$Y$304,MATCH($B11,Other_Register!$A$5:$A$304,0)),""))))))))</f>
        <v>C:\Users\yourname\YourCompany\Design Library - Documents\03_Embedded_Wall\EW-CBP-D5000-S1-OA-P-A\EW-CBP-D5000-S1-OA-P-A_CAD.dwg</v>
      </c>
      <c r="N11" s="19" t="n">
        <f aca="false">IF(OR($B11="",$D11=""),"",$D11*N(IFERROR(INDEX(Drain_Register!$AV$5:$AV$304,MATCH($B11,Drain_Register!$A$5:$A$304,0)),IFERROR(INDEX(RW_Register!$BB$5:$BB$304,MATCH($B11,RW_Register!$A$5:$A$304,0)),IFERROR(INDEX(Embedded_Wall_Register!$AZ$5:$AZ$304,MATCH($B11,Embedded_Wall_Register!$A$5:$A$304,0)),IFERROR(INDEX(Manhole_Register!$AZ$5:$AZ$304,MATCH($B11,Manhole_Register!$A$5:$A$304,0)),IFERROR(INDEX(ERSS_Pit_Register!$AT$5:$AT$304,MATCH($B11,ERSS_Pit_Register!$A$5:$A$304,0)),IFERROR(INDEX(Linkway_Register!$AV$5:$AV$304,MATCH($B11,Linkway_Register!$A$5:$A$304,0)),IFERROR(INDEX(Other_Register!$AF$5:$AF$304,MATCH($B11,Other_Register!$A$5:$A$304,0)),0)))))))))</f>
        <v>224</v>
      </c>
      <c r="O11" s="20" t="n">
        <f aca="false">IF(OR($B11="",$D11=""),"",$D11*N(IFERROR(INDEX(Drain_Register!$AW$5:$AW$304,MATCH($B11,Drain_Register!$A$5:$A$304,0)),IFERROR(INDEX(RW_Register!$BC$5:$BC$304,MATCH($B11,RW_Register!$A$5:$A$304,0)),IFERROR(INDEX(Embedded_Wall_Register!$BA$5:$BA$304,MATCH($B11,Embedded_Wall_Register!$A$5:$A$304,0)),IFERROR(INDEX(Manhole_Register!$BA$5:$BA$304,MATCH($B11,Manhole_Register!$A$5:$A$304,0)),IFERROR(INDEX(ERSS_Pit_Register!$AU$5:$AU$304,MATCH($B11,ERSS_Pit_Register!$A$5:$A$304,0)),IFERROR(INDEX(Linkway_Register!$AW$5:$AW$304,MATCH($B11,Linkway_Register!$A$5:$A$304,0)),IFERROR(INDEX(Other_Register!$AG$5:$AG$304,MATCH($B11,Other_Register!$A$5:$A$304,0)),0))))))))/1000)</f>
        <v>25.2</v>
      </c>
      <c r="P11" s="20" t="n">
        <f aca="false">IF(OR($B11="",$D11=""),"",$D11*N(IFERROR(INDEX(Drain_Register!$AX$5:$AX$304,MATCH($B11,Drain_Register!$A$5:$A$304,0)),IFERROR(INDEX(RW_Register!$BD$5:$BD$304,MATCH($B11,RW_Register!$A$5:$A$304,0)),IFERROR(INDEX(Embedded_Wall_Register!$BB$5:$BB$304,MATCH($B11,Embedded_Wall_Register!$A$5:$A$304,0)),IFERROR(INDEX(Manhole_Register!$BB$5:$BB$304,MATCH($B11,Manhole_Register!$A$5:$A$304,0)),IFERROR(INDEX(ERSS_Pit_Register!$AV$5:$AV$304,MATCH($B11,ERSS_Pit_Register!$A$5:$A$304,0)),IFERROR(INDEX(Linkway_Register!$AX$5:$AX$304,MATCH($B11,Linkway_Register!$A$5:$A$304,0)),IFERROR(INDEX(Other_Register!$AH$5:$AH$304,MATCH($B11,Other_Register!$A$5:$A$304,0)),0))))))))/1000)</f>
        <v>6.3</v>
      </c>
      <c r="Q11" s="19" t="n">
        <f aca="false">IF(OR($B11="",$D11=""),"",$D11*N(IFERROR(INDEX(Drain_Register!$AY$5:$AY$304,MATCH($B11,Drain_Register!$A$5:$A$304,0)),IFERROR(INDEX(RW_Register!$BE$5:$BE$304,MATCH($B11,RW_Register!$A$5:$A$304,0)),IFERROR(INDEX(Embedded_Wall_Register!$BC$5:$BC$304,MATCH($B11,Embedded_Wall_Register!$A$5:$A$304,0)),IFERROR(INDEX(Manhole_Register!$BC$5:$BC$304,MATCH($B11,Manhole_Register!$A$5:$A$304,0)),IFERROR(INDEX(ERSS_Pit_Register!$AW$5:$AW$304,MATCH($B11,ERSS_Pit_Register!$A$5:$A$304,0)),IFERROR(INDEX(Linkway_Register!$AY$5:$AY$304,MATCH($B11,Linkway_Register!$A$5:$A$304,0)),IFERROR(INDEX(Other_Register!$AI$5:$AI$304,MATCH($B11,Other_Register!$A$5:$A$304,0)),0)))))))))</f>
        <v>63</v>
      </c>
      <c r="R11" s="19" t="n">
        <f aca="false">IF(OR($B11="",$D11=""),"",$D11*N(IFERROR(INDEX(Drain_Register!$AZ$5:$AZ$304,MATCH($B11,Drain_Register!$A$5:$A$304,0)),IFERROR(INDEX(RW_Register!$BF$5:$BF$304,MATCH($B11,RW_Register!$A$5:$A$304,0)),IFERROR(INDEX(Embedded_Wall_Register!$BD$5:$BD$304,MATCH($B11,Embedded_Wall_Register!$A$5:$A$304,0)),IFERROR(INDEX(Manhole_Register!$BD$5:$BD$304,MATCH($B11,Manhole_Register!$A$5:$A$304,0)),IFERROR(INDEX(ERSS_Pit_Register!$AX$5:$AX$304,MATCH($B11,ERSS_Pit_Register!$A$5:$A$304,0)),IFERROR(INDEX(Linkway_Register!$AZ$5:$AZ$304,MATCH($B11,Linkway_Register!$A$5:$A$304,0)),IFERROR(INDEX(Other_Register!$AJ$5:$AJ$304,MATCH($B11,Other_Register!$A$5:$A$304,0)),0)))))))))</f>
        <v>31.5</v>
      </c>
      <c r="S11" s="10" t="str">
        <f aca="false">IF($B11="","",IF(G11="","ID not found",IF(J11&lt;&gt;"Approved","WARNING: status is "&amp;J11,IF(IFERROR(INDEX(Drain_Register!$CA$5:$CA$304,MATCH($B11,Drain_Register!$A$5:$A$304,0)),IFERROR(INDEX(RW_Register!$CF$5:$CF$304,MATCH($B11,RW_Register!$A$5:$A$304,0)),IFERROR(INDEX(Embedded_Wall_Register!$CD$5:$CD$304,MATCH($B11,Embedded_Wall_Register!$A$5:$A$304,0)),IFERROR(INDEX(Manhole_Register!$CC$5:$CC$304,MATCH($B11,Manhole_Register!$A$5:$A$304,0)),IFERROR(INDEX(ERSS_Pit_Register!$BX$5:$BX$304,MATCH($B11,ERSS_Pit_Register!$A$5:$A$304,0)),IFERROR(INDEX(Linkway_Register!$BY$5:$BY$304,MATCH($B11,Linkway_Register!$A$5:$A$304,0)),IFERROR(INDEX(Other_Register!$BI$5:$BI$304,MATCH($B11,Other_Register!$A$5:$A$304,0)),"")))))))="N","WARNING: fails SG compliance check",IF(D11="","Enter length / qty",IF(E11="","Enter CAD sheet no.","OK"))))))</f>
        <v>OK</v>
      </c>
    </row>
    <row r="12" customFormat="false" ht="15" hidden="false" customHeight="false" outlineLevel="0" collapsed="false">
      <c r="A12" s="18" t="n">
        <v>7</v>
      </c>
      <c r="B12" s="18" t="s">
        <v>154</v>
      </c>
      <c r="C12" s="18" t="s">
        <v>155</v>
      </c>
      <c r="D12" s="18" t="n">
        <v>4</v>
      </c>
      <c r="E12" s="18" t="n">
        <v>4</v>
      </c>
      <c r="F12" s="10" t="str">
        <f aca="false">IF($B12="","",IFERROR(INDEX(Drain_Register!$AU$5:$AU$304,MATCH($B12,Drain_Register!$A$5:$A$304,0)),IFERROR(INDEX(RW_Register!$BA$5:$BA$304,MATCH($B12,RW_Register!$A$5:$A$304,0)),IFERROR(INDEX(Embedded_Wall_Register!$AY$5:$AY$304,MATCH($B12,Embedded_Wall_Register!$A$5:$A$304,0)),IFERROR(INDEX(Manhole_Register!$AY$5:$AY$304,MATCH($B12,Manhole_Register!$A$5:$A$304,0)),IFERROR(INDEX(ERSS_Pit_Register!$AS$5:$AS$304,MATCH($B12,ERSS_Pit_Register!$A$5:$A$304,0)),IFERROR(INDEX(Linkway_Register!$AU$5:$AU$304,MATCH($B12,Linkway_Register!$A$5:$A$304,0)),IFERROR(INDEX(Other_Register!$AE$5:$AE$304,MATCH($B12,Other_Register!$A$5:$A$304,0)),""))))))))</f>
        <v>nr</v>
      </c>
      <c r="G12" s="10" t="str">
        <f aca="false">IF($B12="","",IF(ISNUMBER(MATCH($B12,Drain_Register!$A$5:$A$304,0)),"Drain",IF(ISNUMBER(MATCH($B12,RW_Register!$A$5:$A$304,0)),"Ret. Wall",IF(ISNUMBER(MATCH($B12,Embedded_Wall_Register!$A$5:$A$304,0)),"Embedded Wall",IF(ISNUMBER(MATCH($B12,Manhole_Register!$A$5:$A$304,0)),"Manhole",IF(ISNUMBER(MATCH($B12,ERSS_Pit_Register!$A$5:$A$304,0)),"ERSS Pit",IF(ISNUMBER(MATCH($B12,Linkway_Register!$A$5:$A$304,0)),"Linkway",IF(ISNUMBER(MATCH($B12,Other_Register!$A$5:$A$304,0)),"Others",""))))))))</f>
        <v>Manhole</v>
      </c>
      <c r="H12" s="10" t="str">
        <f aca="false">IF($B12="","",IFERROR(INDEX(Drain_Register!$B$5:$B$304,MATCH($B12,Drain_Register!$A$5:$A$304,0)),IFERROR(INDEX(RW_Register!$B$5:$B$304,MATCH($B12,RW_Register!$A$5:$A$304,0)),IFERROR(INDEX(Embedded_Wall_Register!$B$5:$B$304,MATCH($B12,Embedded_Wall_Register!$A$5:$A$304,0)),IFERROR(INDEX(Manhole_Register!$B$5:$B$304,MATCH($B12,Manhole_Register!$A$5:$A$304,0)),IFERROR(INDEX(ERSS_Pit_Register!$B$5:$B$304,MATCH($B12,ERSS_Pit_Register!$A$5:$A$304,0)),IFERROR(INDEX(Linkway_Register!$B$5:$B$304,MATCH($B12,Linkway_Register!$A$5:$A$304,0)),IFERROR(INDEX(Other_Register!$B$5:$B$304,MATCH($B12,Other_Register!$A$5:$A$304,0)),"ID not found - check spelling"))))))))</f>
        <v>Standard Manhole (PUB 001C), Cast-in-situ, 1500 x 1200, depth 3.0-6.0 m, pipe up to 600 dia</v>
      </c>
      <c r="I12" s="10" t="str">
        <f aca="false">IF($B12="","",IFERROR(INDEX(Drain_Register!$AI$5:$AI$304,MATCH($B12,Drain_Register!$A$5:$A$304,0)),IFERROR(INDEX(RW_Register!$AO$5:$AO$304,MATCH($B12,RW_Register!$A$5:$A$304,0)),IFERROR(INDEX(Embedded_Wall_Register!$AM$5:$AM$304,MATCH($B12,Embedded_Wall_Register!$A$5:$A$304,0)),IFERROR(INDEX(Manhole_Register!$AM$5:$AM$304,MATCH($B12,Manhole_Register!$A$5:$A$304,0)),IFERROR(INDEX(ERSS_Pit_Register!$AG$5:$AG$304,MATCH($B12,ERSS_Pit_Register!$A$5:$A$304,0)),IFERROR(INDEX(Linkway_Register!$AI$5:$AI$304,MATCH($B12,Linkway_Register!$A$5:$A$304,0)),IFERROR(INDEX(Other_Register!$S$5:$S$304,MATCH($B12,Other_Register!$A$5:$A$304,0)),""))))))))</f>
        <v>A</v>
      </c>
      <c r="J12" s="10" t="str">
        <f aca="false">IF($B12="","",IFERROR(INDEX(Drain_Register!$AJ$5:$AJ$304,MATCH($B12,Drain_Register!$A$5:$A$304,0)),IFERROR(INDEX(RW_Register!$AP$5:$AP$304,MATCH($B12,RW_Register!$A$5:$A$304,0)),IFERROR(INDEX(Embedded_Wall_Register!$AN$5:$AN$304,MATCH($B12,Embedded_Wall_Register!$A$5:$A$304,0)),IFERROR(INDEX(Manhole_Register!$AN$5:$AN$304,MATCH($B12,Manhole_Register!$A$5:$A$304,0)),IFERROR(INDEX(ERSS_Pit_Register!$AH$5:$AH$304,MATCH($B12,ERSS_Pit_Register!$A$5:$A$304,0)),IFERROR(INDEX(Linkway_Register!$AJ$5:$AJ$304,MATCH($B12,Linkway_Register!$A$5:$A$304,0)),IFERROR(INDEX(Other_Register!$T$5:$T$304,MATCH($B12,Other_Register!$A$5:$A$304,0)),""))))))))</f>
        <v>Approved</v>
      </c>
      <c r="K12" s="10" t="str">
        <f aca="false">IF($B12="","",IFERROR(INDEX(Drain_Register!$AK$5:$AK$304,MATCH($B12,Drain_Register!$A$5:$A$304,0)),IFERROR(INDEX(RW_Register!$AQ$5:$AQ$304,MATCH($B12,RW_Register!$A$5:$A$304,0)),IFERROR(INDEX(Embedded_Wall_Register!$AO$5:$AO$304,MATCH($B12,Embedded_Wall_Register!$A$5:$A$304,0)),IFERROR(INDEX(Manhole_Register!$AO$5:$AO$304,MATCH($B12,Manhole_Register!$A$5:$A$304,0)),IFERROR(INDEX(ERSS_Pit_Register!$AI$5:$AI$304,MATCH($B12,ERSS_Pit_Register!$A$5:$A$304,0)),IFERROR(INDEX(Linkway_Register!$AK$5:$AK$304,MATCH($B12,Linkway_Register!$A$5:$A$304,0)),IFERROR(INDEX(Other_Register!$U$5:$U$304,MATCH($B12,Other_Register!$A$5:$A$304,0)),""))))))))</f>
        <v>STD-MH-002</v>
      </c>
      <c r="L12" s="10" t="n">
        <f aca="false">IF($B12="","",IFERROR(INDEX(Drain_Register!$AL$5:$AL$304,MATCH($B12,Drain_Register!$A$5:$A$304,0)),IFERROR(INDEX(RW_Register!$AR$5:$AR$304,MATCH($B12,RW_Register!$A$5:$A$304,0)),IFERROR(INDEX(Embedded_Wall_Register!$AP$5:$AP$304,MATCH($B12,Embedded_Wall_Register!$A$5:$A$304,0)),IFERROR(INDEX(Manhole_Register!$AP$5:$AP$304,MATCH($B12,Manhole_Register!$A$5:$A$304,0)),IFERROR(INDEX(ERSS_Pit_Register!$AJ$5:$AJ$304,MATCH($B12,ERSS_Pit_Register!$A$5:$A$304,0)),IFERROR(INDEX(Linkway_Register!$AL$5:$AL$304,MATCH($B12,Linkway_Register!$A$5:$A$304,0)),IFERROR(INDEX(Other_Register!$V$5:$V$304,MATCH($B12,Other_Register!$A$5:$A$304,0)),""))))))))</f>
        <v>25</v>
      </c>
      <c r="M12" s="10" t="str">
        <f aca="false">IF($B12="","",IFERROR(INDEX(Drain_Register!$AN$5:$AN$304,MATCH($B12,Drain_Register!$A$5:$A$304,0)),IFERROR(INDEX(RW_Register!$AT$5:$AT$304,MATCH($B12,RW_Register!$A$5:$A$304,0)),IFERROR(INDEX(Embedded_Wall_Register!$AR$5:$AR$304,MATCH($B12,Embedded_Wall_Register!$A$5:$A$304,0)),IFERROR(INDEX(Manhole_Register!$AR$5:$AR$304,MATCH($B12,Manhole_Register!$A$5:$A$304,0)),IFERROR(INDEX(ERSS_Pit_Register!$AL$5:$AL$304,MATCH($B12,ERSS_Pit_Register!$A$5:$A$304,0)),IFERROR(INDEX(Linkway_Register!$AN$5:$AN$304,MATCH($B12,Linkway_Register!$A$5:$A$304,0)),IFERROR(INDEX(Other_Register!$X$5:$X$304,MATCH($B12,Other_Register!$A$5:$A$304,0)),"")))))))&amp;IFERROR(INDEX(Drain_Register!$AO$5:$AO$304,MATCH($B12,Drain_Register!$A$5:$A$304,0)),IFERROR(INDEX(RW_Register!$AU$5:$AU$304,MATCH($B12,RW_Register!$A$5:$A$304,0)),IFERROR(INDEX(Embedded_Wall_Register!$AS$5:$AS$304,MATCH($B12,Embedded_Wall_Register!$A$5:$A$304,0)),IFERROR(INDEX(Manhole_Register!$AS$5:$AS$304,MATCH($B12,Manhole_Register!$A$5:$A$304,0)),IFERROR(INDEX(ERSS_Pit_Register!$AM$5:$AM$304,MATCH($B12,ERSS_Pit_Register!$A$5:$A$304,0)),IFERROR(INDEX(Linkway_Register!$AO$5:$AO$304,MATCH($B12,Linkway_Register!$A$5:$A$304,0)),IFERROR(INDEX(Other_Register!$Y$5:$Y$304,MATCH($B12,Other_Register!$A$5:$A$304,0)),""))))))))</f>
        <v>C:\Users\yourname\YourCompany\Design Library - Documents\04_Sewer_Manhole\MH-SM-1500x1200-D6000-C-A\MH-SM-1500x1200-D6000-C-A_CAD.dwg</v>
      </c>
      <c r="N12" s="19" t="n">
        <f aca="false">IF(OR($B12="",$D12=""),"",$D12*N(IFERROR(INDEX(Drain_Register!$AV$5:$AV$304,MATCH($B12,Drain_Register!$A$5:$A$304,0)),IFERROR(INDEX(RW_Register!$BB$5:$BB$304,MATCH($B12,RW_Register!$A$5:$A$304,0)),IFERROR(INDEX(Embedded_Wall_Register!$AZ$5:$AZ$304,MATCH($B12,Embedded_Wall_Register!$A$5:$A$304,0)),IFERROR(INDEX(Manhole_Register!$AZ$5:$AZ$304,MATCH($B12,Manhole_Register!$A$5:$A$304,0)),IFERROR(INDEX(ERSS_Pit_Register!$AT$5:$AT$304,MATCH($B12,ERSS_Pit_Register!$A$5:$A$304,0)),IFERROR(INDEX(Linkway_Register!$AV$5:$AV$304,MATCH($B12,Linkway_Register!$A$5:$A$304,0)),IFERROR(INDEX(Other_Register!$AF$5:$AF$304,MATCH($B12,Other_Register!$A$5:$A$304,0)),0)))))))))</f>
        <v>39.2</v>
      </c>
      <c r="O12" s="20" t="n">
        <f aca="false">IF(OR($B12="",$D12=""),"",$D12*N(IFERROR(INDEX(Drain_Register!$AW$5:$AW$304,MATCH($B12,Drain_Register!$A$5:$A$304,0)),IFERROR(INDEX(RW_Register!$BC$5:$BC$304,MATCH($B12,RW_Register!$A$5:$A$304,0)),IFERROR(INDEX(Embedded_Wall_Register!$BA$5:$BA$304,MATCH($B12,Embedded_Wall_Register!$A$5:$A$304,0)),IFERROR(INDEX(Manhole_Register!$BA$5:$BA$304,MATCH($B12,Manhole_Register!$A$5:$A$304,0)),IFERROR(INDEX(ERSS_Pit_Register!$AU$5:$AU$304,MATCH($B12,ERSS_Pit_Register!$A$5:$A$304,0)),IFERROR(INDEX(Linkway_Register!$AW$5:$AW$304,MATCH($B12,Linkway_Register!$A$5:$A$304,0)),IFERROR(INDEX(Other_Register!$AG$5:$AG$304,MATCH($B12,Other_Register!$A$5:$A$304,0)),0))))))))/1000)</f>
        <v>3.28</v>
      </c>
      <c r="P12" s="20" t="n">
        <f aca="false">IF(OR($B12="",$D12=""),"",$D12*N(IFERROR(INDEX(Drain_Register!$AX$5:$AX$304,MATCH($B12,Drain_Register!$A$5:$A$304,0)),IFERROR(INDEX(RW_Register!$BD$5:$BD$304,MATCH($B12,RW_Register!$A$5:$A$304,0)),IFERROR(INDEX(Embedded_Wall_Register!$BB$5:$BB$304,MATCH($B12,Embedded_Wall_Register!$A$5:$A$304,0)),IFERROR(INDEX(Manhole_Register!$BB$5:$BB$304,MATCH($B12,Manhole_Register!$A$5:$A$304,0)),IFERROR(INDEX(ERSS_Pit_Register!$AV$5:$AV$304,MATCH($B12,ERSS_Pit_Register!$A$5:$A$304,0)),IFERROR(INDEX(Linkway_Register!$AX$5:$AX$304,MATCH($B12,Linkway_Register!$A$5:$A$304,0)),IFERROR(INDEX(Other_Register!$AH$5:$AH$304,MATCH($B12,Other_Register!$A$5:$A$304,0)),0))))))))/1000)</f>
        <v>0</v>
      </c>
      <c r="Q12" s="19" t="n">
        <f aca="false">IF(OR($B12="",$D12=""),"",$D12*N(IFERROR(INDEX(Drain_Register!$AY$5:$AY$304,MATCH($B12,Drain_Register!$A$5:$A$304,0)),IFERROR(INDEX(RW_Register!$BE$5:$BE$304,MATCH($B12,RW_Register!$A$5:$A$304,0)),IFERROR(INDEX(Embedded_Wall_Register!$BC$5:$BC$304,MATCH($B12,Embedded_Wall_Register!$A$5:$A$304,0)),IFERROR(INDEX(Manhole_Register!$BC$5:$BC$304,MATCH($B12,Manhole_Register!$A$5:$A$304,0)),IFERROR(INDEX(ERSS_Pit_Register!$AW$5:$AW$304,MATCH($B12,ERSS_Pit_Register!$A$5:$A$304,0)),IFERROR(INDEX(Linkway_Register!$AY$5:$AY$304,MATCH($B12,Linkway_Register!$A$5:$A$304,0)),IFERROR(INDEX(Other_Register!$AI$5:$AI$304,MATCH($B12,Other_Register!$A$5:$A$304,0)),0)))))))))</f>
        <v>248</v>
      </c>
      <c r="R12" s="19" t="n">
        <f aca="false">IF(OR($B12="",$D12=""),"",$D12*N(IFERROR(INDEX(Drain_Register!$AZ$5:$AZ$304,MATCH($B12,Drain_Register!$A$5:$A$304,0)),IFERROR(INDEX(RW_Register!$BF$5:$BF$304,MATCH($B12,RW_Register!$A$5:$A$304,0)),IFERROR(INDEX(Embedded_Wall_Register!$BD$5:$BD$304,MATCH($B12,Embedded_Wall_Register!$A$5:$A$304,0)),IFERROR(INDEX(Manhole_Register!$BD$5:$BD$304,MATCH($B12,Manhole_Register!$A$5:$A$304,0)),IFERROR(INDEX(ERSS_Pit_Register!$AX$5:$AX$304,MATCH($B12,ERSS_Pit_Register!$A$5:$A$304,0)),IFERROR(INDEX(Linkway_Register!$AZ$5:$AZ$304,MATCH($B12,Linkway_Register!$A$5:$A$304,0)),IFERROR(INDEX(Other_Register!$AJ$5:$AJ$304,MATCH($B12,Other_Register!$A$5:$A$304,0)),0)))))))))</f>
        <v>368</v>
      </c>
      <c r="S12" s="10" t="str">
        <f aca="false">IF($B12="","",IF(G12="","ID not found",IF(J12&lt;&gt;"Approved","WARNING: status is "&amp;J12,IF(IFERROR(INDEX(Drain_Register!$CA$5:$CA$304,MATCH($B12,Drain_Register!$A$5:$A$304,0)),IFERROR(INDEX(RW_Register!$CF$5:$CF$304,MATCH($B12,RW_Register!$A$5:$A$304,0)),IFERROR(INDEX(Embedded_Wall_Register!$CD$5:$CD$304,MATCH($B12,Embedded_Wall_Register!$A$5:$A$304,0)),IFERROR(INDEX(Manhole_Register!$CC$5:$CC$304,MATCH($B12,Manhole_Register!$A$5:$A$304,0)),IFERROR(INDEX(ERSS_Pit_Register!$BX$5:$BX$304,MATCH($B12,ERSS_Pit_Register!$A$5:$A$304,0)),IFERROR(INDEX(Linkway_Register!$BY$5:$BY$304,MATCH($B12,Linkway_Register!$A$5:$A$304,0)),IFERROR(INDEX(Other_Register!$BI$5:$BI$304,MATCH($B12,Other_Register!$A$5:$A$304,0)),"")))))))="N","WARNING: fails SG compliance check",IF(D12="","Enter length / qty",IF(E12="","Enter CAD sheet no.","OK"))))))</f>
        <v>OK</v>
      </c>
    </row>
    <row r="13" customFormat="false" ht="15" hidden="false" customHeight="false" outlineLevel="0" collapsed="false">
      <c r="A13" s="18" t="n">
        <v>8</v>
      </c>
      <c r="B13" s="18" t="s">
        <v>156</v>
      </c>
      <c r="C13" s="18" t="s">
        <v>157</v>
      </c>
      <c r="D13" s="18" t="n">
        <v>4</v>
      </c>
      <c r="E13" s="18" t="n">
        <v>4</v>
      </c>
      <c r="F13" s="10" t="str">
        <f aca="false">IF($B13="","",IFERROR(INDEX(Drain_Register!$AU$5:$AU$304,MATCH($B13,Drain_Register!$A$5:$A$304,0)),IFERROR(INDEX(RW_Register!$BA$5:$BA$304,MATCH($B13,RW_Register!$A$5:$A$304,0)),IFERROR(INDEX(Embedded_Wall_Register!$AY$5:$AY$304,MATCH($B13,Embedded_Wall_Register!$A$5:$A$304,0)),IFERROR(INDEX(Manhole_Register!$AY$5:$AY$304,MATCH($B13,Manhole_Register!$A$5:$A$304,0)),IFERROR(INDEX(ERSS_Pit_Register!$AS$5:$AS$304,MATCH($B13,ERSS_Pit_Register!$A$5:$A$304,0)),IFERROR(INDEX(Linkway_Register!$AU$5:$AU$304,MATCH($B13,Linkway_Register!$A$5:$A$304,0)),IFERROR(INDEX(Other_Register!$AE$5:$AE$304,MATCH($B13,Other_Register!$A$5:$A$304,0)),""))))))))</f>
        <v>nr</v>
      </c>
      <c r="G13" s="10" t="str">
        <f aca="false">IF($B13="","",IF(ISNUMBER(MATCH($B13,Drain_Register!$A$5:$A$304,0)),"Drain",IF(ISNUMBER(MATCH($B13,RW_Register!$A$5:$A$304,0)),"Ret. Wall",IF(ISNUMBER(MATCH($B13,Embedded_Wall_Register!$A$5:$A$304,0)),"Embedded Wall",IF(ISNUMBER(MATCH($B13,Manhole_Register!$A$5:$A$304,0)),"Manhole",IF(ISNUMBER(MATCH($B13,ERSS_Pit_Register!$A$5:$A$304,0)),"ERSS Pit",IF(ISNUMBER(MATCH($B13,Linkway_Register!$A$5:$A$304,0)),"Linkway",IF(ISNUMBER(MATCH($B13,Other_Register!$A$5:$A$304,0)),"Others",""))))))))</f>
        <v>ERSS Pit</v>
      </c>
      <c r="H13" s="10" t="str">
        <f aca="false">IF($B13="","",IFERROR(INDEX(Drain_Register!$B$5:$B$304,MATCH($B13,Drain_Register!$A$5:$A$304,0)),IFERROR(INDEX(RW_Register!$B$5:$B$304,MATCH($B13,RW_Register!$A$5:$A$304,0)),IFERROR(INDEX(Embedded_Wall_Register!$B$5:$B$304,MATCH($B13,Embedded_Wall_Register!$A$5:$A$304,0)),IFERROR(INDEX(Manhole_Register!$B$5:$B$304,MATCH($B13,Manhole_Register!$A$5:$A$304,0)),IFERROR(INDEX(ERSS_Pit_Register!$B$5:$B$304,MATCH($B13,ERSS_Pit_Register!$A$5:$A$304,0)),IFERROR(INDEX(Linkway_Register!$B$5:$B$304,MATCH($B13,Linkway_Register!$A$5:$A$304,0)),IFERROR(INDEX(Other_Register!$B$5:$B$304,MATCH($B13,Other_Register!$A$5:$A$304,0)),"ID not found - check spelling"))))))))</f>
        <v>Steel Sheet Pile Cofferdam for Manhole, 4000 x 3500 pit, 6.0 m deep, Kallang Formation (marine clay)</v>
      </c>
      <c r="I13" s="10" t="str">
        <f aca="false">IF($B13="","",IFERROR(INDEX(Drain_Register!$AI$5:$AI$304,MATCH($B13,Drain_Register!$A$5:$A$304,0)),IFERROR(INDEX(RW_Register!$AO$5:$AO$304,MATCH($B13,RW_Register!$A$5:$A$304,0)),IFERROR(INDEX(Embedded_Wall_Register!$AM$5:$AM$304,MATCH($B13,Embedded_Wall_Register!$A$5:$A$304,0)),IFERROR(INDEX(Manhole_Register!$AM$5:$AM$304,MATCH($B13,Manhole_Register!$A$5:$A$304,0)),IFERROR(INDEX(ERSS_Pit_Register!$AG$5:$AG$304,MATCH($B13,ERSS_Pit_Register!$A$5:$A$304,0)),IFERROR(INDEX(Linkway_Register!$AI$5:$AI$304,MATCH($B13,Linkway_Register!$A$5:$A$304,0)),IFERROR(INDEX(Other_Register!$S$5:$S$304,MATCH($B13,Other_Register!$A$5:$A$304,0)),""))))))))</f>
        <v>A</v>
      </c>
      <c r="J13" s="10" t="str">
        <f aca="false">IF($B13="","",IFERROR(INDEX(Drain_Register!$AJ$5:$AJ$304,MATCH($B13,Drain_Register!$A$5:$A$304,0)),IFERROR(INDEX(RW_Register!$AP$5:$AP$304,MATCH($B13,RW_Register!$A$5:$A$304,0)),IFERROR(INDEX(Embedded_Wall_Register!$AN$5:$AN$304,MATCH($B13,Embedded_Wall_Register!$A$5:$A$304,0)),IFERROR(INDEX(Manhole_Register!$AN$5:$AN$304,MATCH($B13,Manhole_Register!$A$5:$A$304,0)),IFERROR(INDEX(ERSS_Pit_Register!$AH$5:$AH$304,MATCH($B13,ERSS_Pit_Register!$A$5:$A$304,0)),IFERROR(INDEX(Linkway_Register!$AJ$5:$AJ$304,MATCH($B13,Linkway_Register!$A$5:$A$304,0)),IFERROR(INDEX(Other_Register!$T$5:$T$304,MATCH($B13,Other_Register!$A$5:$A$304,0)),""))))))))</f>
        <v>Approved</v>
      </c>
      <c r="K13" s="10" t="str">
        <f aca="false">IF($B13="","",IFERROR(INDEX(Drain_Register!$AK$5:$AK$304,MATCH($B13,Drain_Register!$A$5:$A$304,0)),IFERROR(INDEX(RW_Register!$AQ$5:$AQ$304,MATCH($B13,RW_Register!$A$5:$A$304,0)),IFERROR(INDEX(Embedded_Wall_Register!$AO$5:$AO$304,MATCH($B13,Embedded_Wall_Register!$A$5:$A$304,0)),IFERROR(INDEX(Manhole_Register!$AO$5:$AO$304,MATCH($B13,Manhole_Register!$A$5:$A$304,0)),IFERROR(INDEX(ERSS_Pit_Register!$AI$5:$AI$304,MATCH($B13,ERSS_Pit_Register!$A$5:$A$304,0)),IFERROR(INDEX(Linkway_Register!$AK$5:$AK$304,MATCH($B13,Linkway_Register!$A$5:$A$304,0)),IFERROR(INDEX(Other_Register!$U$5:$U$304,MATCH($B13,Other_Register!$A$5:$A$304,0)),""))))))))</f>
        <v>STD-EP-002</v>
      </c>
      <c r="L13" s="10" t="n">
        <f aca="false">IF($B13="","",IFERROR(INDEX(Drain_Register!$AL$5:$AL$304,MATCH($B13,Drain_Register!$A$5:$A$304,0)),IFERROR(INDEX(RW_Register!$AR$5:$AR$304,MATCH($B13,RW_Register!$A$5:$A$304,0)),IFERROR(INDEX(Embedded_Wall_Register!$AP$5:$AP$304,MATCH($B13,Embedded_Wall_Register!$A$5:$A$304,0)),IFERROR(INDEX(Manhole_Register!$AP$5:$AP$304,MATCH($B13,Manhole_Register!$A$5:$A$304,0)),IFERROR(INDEX(ERSS_Pit_Register!$AJ$5:$AJ$304,MATCH($B13,ERSS_Pit_Register!$A$5:$A$304,0)),IFERROR(INDEX(Linkway_Register!$AL$5:$AL$304,MATCH($B13,Linkway_Register!$A$5:$A$304,0)),IFERROR(INDEX(Other_Register!$V$5:$V$304,MATCH($B13,Other_Register!$A$5:$A$304,0)),""))))))))</f>
        <v>50</v>
      </c>
      <c r="M13" s="10" t="str">
        <f aca="false">IF($B13="","",IFERROR(INDEX(Drain_Register!$AN$5:$AN$304,MATCH($B13,Drain_Register!$A$5:$A$304,0)),IFERROR(INDEX(RW_Register!$AT$5:$AT$304,MATCH($B13,RW_Register!$A$5:$A$304,0)),IFERROR(INDEX(Embedded_Wall_Register!$AR$5:$AR$304,MATCH($B13,Embedded_Wall_Register!$A$5:$A$304,0)),IFERROR(INDEX(Manhole_Register!$AR$5:$AR$304,MATCH($B13,Manhole_Register!$A$5:$A$304,0)),IFERROR(INDEX(ERSS_Pit_Register!$AL$5:$AL$304,MATCH($B13,ERSS_Pit_Register!$A$5:$A$304,0)),IFERROR(INDEX(Linkway_Register!$AN$5:$AN$304,MATCH($B13,Linkway_Register!$A$5:$A$304,0)),IFERROR(INDEX(Other_Register!$X$5:$X$304,MATCH($B13,Other_Register!$A$5:$A$304,0)),"")))))))&amp;IFERROR(INDEX(Drain_Register!$AO$5:$AO$304,MATCH($B13,Drain_Register!$A$5:$A$304,0)),IFERROR(INDEX(RW_Register!$AU$5:$AU$304,MATCH($B13,RW_Register!$A$5:$A$304,0)),IFERROR(INDEX(Embedded_Wall_Register!$AS$5:$AS$304,MATCH($B13,Embedded_Wall_Register!$A$5:$A$304,0)),IFERROR(INDEX(Manhole_Register!$AS$5:$AS$304,MATCH($B13,Manhole_Register!$A$5:$A$304,0)),IFERROR(INDEX(ERSS_Pit_Register!$AM$5:$AM$304,MATCH($B13,ERSS_Pit_Register!$A$5:$A$304,0)),IFERROR(INDEX(Linkway_Register!$AO$5:$AO$304,MATCH($B13,Linkway_Register!$A$5:$A$304,0)),IFERROR(INDEX(Other_Register!$Y$5:$Y$304,MATCH($B13,Other_Register!$A$5:$A$304,0)),""))))))))</f>
        <v>C:\Users\yourname\YourCompany\Design Library - Documents\05_ERSS_Pit\ERSS-SSP-4000x3500-D6000-KF-A\ERSS-SSP-4000x3500-D6000-KF-A_CAD.dwg</v>
      </c>
      <c r="N13" s="19" t="n">
        <f aca="false">IF(OR($B13="",$D13=""),"",$D13*N(IFERROR(INDEX(Drain_Register!$AV$5:$AV$304,MATCH($B13,Drain_Register!$A$5:$A$304,0)),IFERROR(INDEX(RW_Register!$BB$5:$BB$304,MATCH($B13,RW_Register!$A$5:$A$304,0)),IFERROR(INDEX(Embedded_Wall_Register!$AZ$5:$AZ$304,MATCH($B13,Embedded_Wall_Register!$A$5:$A$304,0)),IFERROR(INDEX(Manhole_Register!$AZ$5:$AZ$304,MATCH($B13,Manhole_Register!$A$5:$A$304,0)),IFERROR(INDEX(ERSS_Pit_Register!$AT$5:$AT$304,MATCH($B13,ERSS_Pit_Register!$A$5:$A$304,0)),IFERROR(INDEX(Linkway_Register!$AV$5:$AV$304,MATCH($B13,Linkway_Register!$A$5:$A$304,0)),IFERROR(INDEX(Other_Register!$AF$5:$AF$304,MATCH($B13,Other_Register!$A$5:$A$304,0)),0)))))))))</f>
        <v>6</v>
      </c>
      <c r="O13" s="20" t="n">
        <f aca="false">IF(OR($B13="",$D13=""),"",$D13*N(IFERROR(INDEX(Drain_Register!$AW$5:$AW$304,MATCH($B13,Drain_Register!$A$5:$A$304,0)),IFERROR(INDEX(RW_Register!$BC$5:$BC$304,MATCH($B13,RW_Register!$A$5:$A$304,0)),IFERROR(INDEX(Embedded_Wall_Register!$BA$5:$BA$304,MATCH($B13,Embedded_Wall_Register!$A$5:$A$304,0)),IFERROR(INDEX(Manhole_Register!$BA$5:$BA$304,MATCH($B13,Manhole_Register!$A$5:$A$304,0)),IFERROR(INDEX(ERSS_Pit_Register!$AU$5:$AU$304,MATCH($B13,ERSS_Pit_Register!$A$5:$A$304,0)),IFERROR(INDEX(Linkway_Register!$AW$5:$AW$304,MATCH($B13,Linkway_Register!$A$5:$A$304,0)),IFERROR(INDEX(Other_Register!$AG$5:$AG$304,MATCH($B13,Other_Register!$A$5:$A$304,0)),0))))))))/1000)</f>
        <v>0</v>
      </c>
      <c r="P13" s="20" t="n">
        <f aca="false">IF(OR($B13="",$D13=""),"",$D13*N(IFERROR(INDEX(Drain_Register!$AX$5:$AX$304,MATCH($B13,Drain_Register!$A$5:$A$304,0)),IFERROR(INDEX(RW_Register!$BD$5:$BD$304,MATCH($B13,RW_Register!$A$5:$A$304,0)),IFERROR(INDEX(Embedded_Wall_Register!$BB$5:$BB$304,MATCH($B13,Embedded_Wall_Register!$A$5:$A$304,0)),IFERROR(INDEX(Manhole_Register!$BB$5:$BB$304,MATCH($B13,Manhole_Register!$A$5:$A$304,0)),IFERROR(INDEX(ERSS_Pit_Register!$AV$5:$AV$304,MATCH($B13,ERSS_Pit_Register!$A$5:$A$304,0)),IFERROR(INDEX(Linkway_Register!$AX$5:$AX$304,MATCH($B13,Linkway_Register!$A$5:$A$304,0)),IFERROR(INDEX(Other_Register!$AH$5:$AH$304,MATCH($B13,Other_Register!$A$5:$A$304,0)),0))))))))/1000)</f>
        <v>39.2</v>
      </c>
      <c r="Q13" s="19" t="n">
        <f aca="false">IF(OR($B13="",$D13=""),"",$D13*N(IFERROR(INDEX(Drain_Register!$AY$5:$AY$304,MATCH($B13,Drain_Register!$A$5:$A$304,0)),IFERROR(INDEX(RW_Register!$BE$5:$BE$304,MATCH($B13,RW_Register!$A$5:$A$304,0)),IFERROR(INDEX(Embedded_Wall_Register!$BC$5:$BC$304,MATCH($B13,Embedded_Wall_Register!$A$5:$A$304,0)),IFERROR(INDEX(Manhole_Register!$BC$5:$BC$304,MATCH($B13,Manhole_Register!$A$5:$A$304,0)),IFERROR(INDEX(ERSS_Pit_Register!$AW$5:$AW$304,MATCH($B13,ERSS_Pit_Register!$A$5:$A$304,0)),IFERROR(INDEX(Linkway_Register!$AY$5:$AY$304,MATCH($B13,Linkway_Register!$A$5:$A$304,0)),IFERROR(INDEX(Other_Register!$AI$5:$AI$304,MATCH($B13,Other_Register!$A$5:$A$304,0)),0)))))))))</f>
        <v>0</v>
      </c>
      <c r="R13" s="19" t="n">
        <f aca="false">IF(OR($B13="",$D13=""),"",$D13*N(IFERROR(INDEX(Drain_Register!$AZ$5:$AZ$304,MATCH($B13,Drain_Register!$A$5:$A$304,0)),IFERROR(INDEX(RW_Register!$BF$5:$BF$304,MATCH($B13,RW_Register!$A$5:$A$304,0)),IFERROR(INDEX(Embedded_Wall_Register!$BD$5:$BD$304,MATCH($B13,Embedded_Wall_Register!$A$5:$A$304,0)),IFERROR(INDEX(Manhole_Register!$BD$5:$BD$304,MATCH($B13,Manhole_Register!$A$5:$A$304,0)),IFERROR(INDEX(ERSS_Pit_Register!$AX$5:$AX$304,MATCH($B13,ERSS_Pit_Register!$A$5:$A$304,0)),IFERROR(INDEX(Linkway_Register!$AZ$5:$AZ$304,MATCH($B13,Linkway_Register!$A$5:$A$304,0)),IFERROR(INDEX(Other_Register!$AJ$5:$AJ$304,MATCH($B13,Other_Register!$A$5:$A$304,0)),0)))))))))</f>
        <v>360</v>
      </c>
      <c r="S13" s="10" t="str">
        <f aca="false">IF($B13="","",IF(G13="","ID not found",IF(J13&lt;&gt;"Approved","WARNING: status is "&amp;J13,IF(IFERROR(INDEX(Drain_Register!$CA$5:$CA$304,MATCH($B13,Drain_Register!$A$5:$A$304,0)),IFERROR(INDEX(RW_Register!$CF$5:$CF$304,MATCH($B13,RW_Register!$A$5:$A$304,0)),IFERROR(INDEX(Embedded_Wall_Register!$CD$5:$CD$304,MATCH($B13,Embedded_Wall_Register!$A$5:$A$304,0)),IFERROR(INDEX(Manhole_Register!$CC$5:$CC$304,MATCH($B13,Manhole_Register!$A$5:$A$304,0)),IFERROR(INDEX(ERSS_Pit_Register!$BX$5:$BX$304,MATCH($B13,ERSS_Pit_Register!$A$5:$A$304,0)),IFERROR(INDEX(Linkway_Register!$BY$5:$BY$304,MATCH($B13,Linkway_Register!$A$5:$A$304,0)),IFERROR(INDEX(Other_Register!$BI$5:$BI$304,MATCH($B13,Other_Register!$A$5:$A$304,0)),"")))))))="N","WARNING: fails SG compliance check",IF(D13="","Enter length / qty",IF(E13="","Enter CAD sheet no.","OK"))))))</f>
        <v>OK</v>
      </c>
    </row>
    <row r="14" customFormat="false" ht="15" hidden="false" customHeight="false" outlineLevel="0" collapsed="false">
      <c r="A14" s="18" t="n">
        <v>9</v>
      </c>
      <c r="B14" s="18" t="s">
        <v>158</v>
      </c>
      <c r="C14" s="18" t="s">
        <v>159</v>
      </c>
      <c r="D14" s="18" t="n">
        <v>12</v>
      </c>
      <c r="E14" s="18" t="n">
        <v>5</v>
      </c>
      <c r="F14" s="10" t="str">
        <f aca="false">IF($B14="","",IFERROR(INDEX(Drain_Register!$AU$5:$AU$304,MATCH($B14,Drain_Register!$A$5:$A$304,0)),IFERROR(INDEX(RW_Register!$BA$5:$BA$304,MATCH($B14,RW_Register!$A$5:$A$304,0)),IFERROR(INDEX(Embedded_Wall_Register!$AY$5:$AY$304,MATCH($B14,Embedded_Wall_Register!$A$5:$A$304,0)),IFERROR(INDEX(Manhole_Register!$AY$5:$AY$304,MATCH($B14,Manhole_Register!$A$5:$A$304,0)),IFERROR(INDEX(ERSS_Pit_Register!$AS$5:$AS$304,MATCH($B14,ERSS_Pit_Register!$A$5:$A$304,0)),IFERROR(INDEX(Linkway_Register!$AU$5:$AU$304,MATCH($B14,Linkway_Register!$A$5:$A$304,0)),IFERROR(INDEX(Other_Register!$AE$5:$AE$304,MATCH($B14,Other_Register!$A$5:$A$304,0)),""))))))))</f>
        <v>bay</v>
      </c>
      <c r="G14" s="10" t="str">
        <f aca="false">IF($B14="","",IF(ISNUMBER(MATCH($B14,Drain_Register!$A$5:$A$304,0)),"Drain",IF(ISNUMBER(MATCH($B14,RW_Register!$A$5:$A$304,0)),"Ret. Wall",IF(ISNUMBER(MATCH($B14,Embedded_Wall_Register!$A$5:$A$304,0)),"Embedded Wall",IF(ISNUMBER(MATCH($B14,Manhole_Register!$A$5:$A$304,0)),"Manhole",IF(ISNUMBER(MATCH($B14,ERSS_Pit_Register!$A$5:$A$304,0)),"ERSS Pit",IF(ISNUMBER(MATCH($B14,Linkway_Register!$A$5:$A$304,0)),"Linkway",IF(ISNUMBER(MATCH($B14,Other_Register!$A$5:$A$304,0)),"Others",""))))))))</f>
        <v>Linkway</v>
      </c>
      <c r="H14" s="10" t="str">
        <f aca="false">IF($B14="","",IFERROR(INDEX(Drain_Register!$B$5:$B$304,MATCH($B14,Drain_Register!$A$5:$A$304,0)),IFERROR(INDEX(RW_Register!$B$5:$B$304,MATCH($B14,RW_Register!$A$5:$A$304,0)),IFERROR(INDEX(Embedded_Wall_Register!$B$5:$B$304,MATCH($B14,Embedded_Wall_Register!$A$5:$A$304,0)),IFERROR(INDEX(Manhole_Register!$B$5:$B$304,MATCH($B14,Manhole_Register!$A$5:$A$304,0)),IFERROR(INDEX(ERSS_Pit_Register!$B$5:$B$304,MATCH($B14,ERSS_Pit_Register!$A$5:$A$304,0)),IFERROR(INDEX(Linkway_Register!$B$5:$B$304,MATCH($B14,Linkway_Register!$A$5:$A$304,0)),IFERROR(INDEX(Other_Register!$B$5:$B$304,MATCH($B14,Other_Register!$A$5:$A$304,0)),"ID not found - check spelling"))))))))</f>
        <v>Low Covered Linkway, 3.6 m wide, 2.4 m headroom, 6 m bays, Double column (LTA/SDRE25/22/CLW1)</v>
      </c>
      <c r="I14" s="10" t="str">
        <f aca="false">IF($B14="","",IFERROR(INDEX(Drain_Register!$AI$5:$AI$304,MATCH($B14,Drain_Register!$A$5:$A$304,0)),IFERROR(INDEX(RW_Register!$AO$5:$AO$304,MATCH($B14,RW_Register!$A$5:$A$304,0)),IFERROR(INDEX(Embedded_Wall_Register!$AM$5:$AM$304,MATCH($B14,Embedded_Wall_Register!$A$5:$A$304,0)),IFERROR(INDEX(Manhole_Register!$AM$5:$AM$304,MATCH($B14,Manhole_Register!$A$5:$A$304,0)),IFERROR(INDEX(ERSS_Pit_Register!$AG$5:$AG$304,MATCH($B14,ERSS_Pit_Register!$A$5:$A$304,0)),IFERROR(INDEX(Linkway_Register!$AI$5:$AI$304,MATCH($B14,Linkway_Register!$A$5:$A$304,0)),IFERROR(INDEX(Other_Register!$S$5:$S$304,MATCH($B14,Other_Register!$A$5:$A$304,0)),""))))))))</f>
        <v>A</v>
      </c>
      <c r="J14" s="10" t="str">
        <f aca="false">IF($B14="","",IFERROR(INDEX(Drain_Register!$AJ$5:$AJ$304,MATCH($B14,Drain_Register!$A$5:$A$304,0)),IFERROR(INDEX(RW_Register!$AP$5:$AP$304,MATCH($B14,RW_Register!$A$5:$A$304,0)),IFERROR(INDEX(Embedded_Wall_Register!$AN$5:$AN$304,MATCH($B14,Embedded_Wall_Register!$A$5:$A$304,0)),IFERROR(INDEX(Manhole_Register!$AN$5:$AN$304,MATCH($B14,Manhole_Register!$A$5:$A$304,0)),IFERROR(INDEX(ERSS_Pit_Register!$AH$5:$AH$304,MATCH($B14,ERSS_Pit_Register!$A$5:$A$304,0)),IFERROR(INDEX(Linkway_Register!$AJ$5:$AJ$304,MATCH($B14,Linkway_Register!$A$5:$A$304,0)),IFERROR(INDEX(Other_Register!$T$5:$T$304,MATCH($B14,Other_Register!$A$5:$A$304,0)),""))))))))</f>
        <v>Approved</v>
      </c>
      <c r="K14" s="10" t="str">
        <f aca="false">IF($B14="","",IFERROR(INDEX(Drain_Register!$AK$5:$AK$304,MATCH($B14,Drain_Register!$A$5:$A$304,0)),IFERROR(INDEX(RW_Register!$AQ$5:$AQ$304,MATCH($B14,RW_Register!$A$5:$A$304,0)),IFERROR(INDEX(Embedded_Wall_Register!$AO$5:$AO$304,MATCH($B14,Embedded_Wall_Register!$A$5:$A$304,0)),IFERROR(INDEX(Manhole_Register!$AO$5:$AO$304,MATCH($B14,Manhole_Register!$A$5:$A$304,0)),IFERROR(INDEX(ERSS_Pit_Register!$AI$5:$AI$304,MATCH($B14,ERSS_Pit_Register!$A$5:$A$304,0)),IFERROR(INDEX(Linkway_Register!$AK$5:$AK$304,MATCH($B14,Linkway_Register!$A$5:$A$304,0)),IFERROR(INDEX(Other_Register!$U$5:$U$304,MATCH($B14,Other_Register!$A$5:$A$304,0)),""))))))))</f>
        <v>STD-LKW-002</v>
      </c>
      <c r="L14" s="10" t="n">
        <f aca="false">IF($B14="","",IFERROR(INDEX(Drain_Register!$AL$5:$AL$304,MATCH($B14,Drain_Register!$A$5:$A$304,0)),IFERROR(INDEX(RW_Register!$AR$5:$AR$304,MATCH($B14,RW_Register!$A$5:$A$304,0)),IFERROR(INDEX(Embedded_Wall_Register!$AP$5:$AP$304,MATCH($B14,Embedded_Wall_Register!$A$5:$A$304,0)),IFERROR(INDEX(Manhole_Register!$AP$5:$AP$304,MATCH($B14,Manhole_Register!$A$5:$A$304,0)),IFERROR(INDEX(ERSS_Pit_Register!$AJ$5:$AJ$304,MATCH($B14,ERSS_Pit_Register!$A$5:$A$304,0)),IFERROR(INDEX(Linkway_Register!$AL$5:$AL$304,MATCH($B14,Linkway_Register!$A$5:$A$304,0)),IFERROR(INDEX(Other_Register!$V$5:$V$304,MATCH($B14,Other_Register!$A$5:$A$304,0)),""))))))))</f>
        <v>50</v>
      </c>
      <c r="M14" s="10" t="str">
        <f aca="false">IF($B14="","",IFERROR(INDEX(Drain_Register!$AN$5:$AN$304,MATCH($B14,Drain_Register!$A$5:$A$304,0)),IFERROR(INDEX(RW_Register!$AT$5:$AT$304,MATCH($B14,RW_Register!$A$5:$A$304,0)),IFERROR(INDEX(Embedded_Wall_Register!$AR$5:$AR$304,MATCH($B14,Embedded_Wall_Register!$A$5:$A$304,0)),IFERROR(INDEX(Manhole_Register!$AR$5:$AR$304,MATCH($B14,Manhole_Register!$A$5:$A$304,0)),IFERROR(INDEX(ERSS_Pit_Register!$AL$5:$AL$304,MATCH($B14,ERSS_Pit_Register!$A$5:$A$304,0)),IFERROR(INDEX(Linkway_Register!$AN$5:$AN$304,MATCH($B14,Linkway_Register!$A$5:$A$304,0)),IFERROR(INDEX(Other_Register!$X$5:$X$304,MATCH($B14,Other_Register!$A$5:$A$304,0)),"")))))))&amp;IFERROR(INDEX(Drain_Register!$AO$5:$AO$304,MATCH($B14,Drain_Register!$A$5:$A$304,0)),IFERROR(INDEX(RW_Register!$AU$5:$AU$304,MATCH($B14,RW_Register!$A$5:$A$304,0)),IFERROR(INDEX(Embedded_Wall_Register!$AS$5:$AS$304,MATCH($B14,Embedded_Wall_Register!$A$5:$A$304,0)),IFERROR(INDEX(Manhole_Register!$AS$5:$AS$304,MATCH($B14,Manhole_Register!$A$5:$A$304,0)),IFERROR(INDEX(ERSS_Pit_Register!$AM$5:$AM$304,MATCH($B14,ERSS_Pit_Register!$A$5:$A$304,0)),IFERROR(INDEX(Linkway_Register!$AO$5:$AO$304,MATCH($B14,Linkway_Register!$A$5:$A$304,0)),IFERROR(INDEX(Other_Register!$Y$5:$Y$304,MATCH($B14,Other_Register!$A$5:$A$304,0)),""))))))))</f>
        <v>C:\Users\yourname\YourCompany\Design Library - Documents\06_Linkway\LKW-LCL-W3600-H2400-B6000-A\LKW-LCL-W3600-H2400-B6000-A_CAD.dwg</v>
      </c>
      <c r="N14" s="19" t="n">
        <f aca="false">IF(OR($B14="",$D14=""),"",$D14*N(IFERROR(INDEX(Drain_Register!$AV$5:$AV$304,MATCH($B14,Drain_Register!$A$5:$A$304,0)),IFERROR(INDEX(RW_Register!$BB$5:$BB$304,MATCH($B14,RW_Register!$A$5:$A$304,0)),IFERROR(INDEX(Embedded_Wall_Register!$AZ$5:$AZ$304,MATCH($B14,Embedded_Wall_Register!$A$5:$A$304,0)),IFERROR(INDEX(Manhole_Register!$AZ$5:$AZ$304,MATCH($B14,Manhole_Register!$A$5:$A$304,0)),IFERROR(INDEX(ERSS_Pit_Register!$AT$5:$AT$304,MATCH($B14,ERSS_Pit_Register!$A$5:$A$304,0)),IFERROR(INDEX(Linkway_Register!$AV$5:$AV$304,MATCH($B14,Linkway_Register!$A$5:$A$304,0)),IFERROR(INDEX(Other_Register!$AF$5:$AF$304,MATCH($B14,Other_Register!$A$5:$A$304,0)),0)))))))))</f>
        <v>16.8</v>
      </c>
      <c r="O14" s="20" t="n">
        <f aca="false">IF(OR($B14="",$D14=""),"",$D14*N(IFERROR(INDEX(Drain_Register!$AW$5:$AW$304,MATCH($B14,Drain_Register!$A$5:$A$304,0)),IFERROR(INDEX(RW_Register!$BC$5:$BC$304,MATCH($B14,RW_Register!$A$5:$A$304,0)),IFERROR(INDEX(Embedded_Wall_Register!$BA$5:$BA$304,MATCH($B14,Embedded_Wall_Register!$A$5:$A$304,0)),IFERROR(INDEX(Manhole_Register!$BA$5:$BA$304,MATCH($B14,Manhole_Register!$A$5:$A$304,0)),IFERROR(INDEX(ERSS_Pit_Register!$AU$5:$AU$304,MATCH($B14,ERSS_Pit_Register!$A$5:$A$304,0)),IFERROR(INDEX(Linkway_Register!$AW$5:$AW$304,MATCH($B14,Linkway_Register!$A$5:$A$304,0)),IFERROR(INDEX(Other_Register!$AG$5:$AG$304,MATCH($B14,Other_Register!$A$5:$A$304,0)),0))))))))/1000)</f>
        <v>0.72</v>
      </c>
      <c r="P14" s="20" t="n">
        <f aca="false">IF(OR($B14="",$D14=""),"",$D14*N(IFERROR(INDEX(Drain_Register!$AX$5:$AX$304,MATCH($B14,Drain_Register!$A$5:$A$304,0)),IFERROR(INDEX(RW_Register!$BD$5:$BD$304,MATCH($B14,RW_Register!$A$5:$A$304,0)),IFERROR(INDEX(Embedded_Wall_Register!$BB$5:$BB$304,MATCH($B14,Embedded_Wall_Register!$A$5:$A$304,0)),IFERROR(INDEX(Manhole_Register!$BB$5:$BB$304,MATCH($B14,Manhole_Register!$A$5:$A$304,0)),IFERROR(INDEX(ERSS_Pit_Register!$AV$5:$AV$304,MATCH($B14,ERSS_Pit_Register!$A$5:$A$304,0)),IFERROR(INDEX(Linkway_Register!$AX$5:$AX$304,MATCH($B14,Linkway_Register!$A$5:$A$304,0)),IFERROR(INDEX(Other_Register!$AH$5:$AH$304,MATCH($B14,Other_Register!$A$5:$A$304,0)),0))))))))/1000)</f>
        <v>6.24</v>
      </c>
      <c r="Q14" s="19" t="n">
        <f aca="false">IF(OR($B14="",$D14=""),"",$D14*N(IFERROR(INDEX(Drain_Register!$AY$5:$AY$304,MATCH($B14,Drain_Register!$A$5:$A$304,0)),IFERROR(INDEX(RW_Register!$BE$5:$BE$304,MATCH($B14,RW_Register!$A$5:$A$304,0)),IFERROR(INDEX(Embedded_Wall_Register!$BC$5:$BC$304,MATCH($B14,Embedded_Wall_Register!$A$5:$A$304,0)),IFERROR(INDEX(Manhole_Register!$BC$5:$BC$304,MATCH($B14,Manhole_Register!$A$5:$A$304,0)),IFERROR(INDEX(ERSS_Pit_Register!$AW$5:$AW$304,MATCH($B14,ERSS_Pit_Register!$A$5:$A$304,0)),IFERROR(INDEX(Linkway_Register!$AY$5:$AY$304,MATCH($B14,Linkway_Register!$A$5:$A$304,0)),IFERROR(INDEX(Other_Register!$AI$5:$AI$304,MATCH($B14,Other_Register!$A$5:$A$304,0)),0)))))))))</f>
        <v>48</v>
      </c>
      <c r="R14" s="19" t="n">
        <f aca="false">IF(OR($B14="",$D14=""),"",$D14*N(IFERROR(INDEX(Drain_Register!$AZ$5:$AZ$304,MATCH($B14,Drain_Register!$A$5:$A$304,0)),IFERROR(INDEX(RW_Register!$BF$5:$BF$304,MATCH($B14,RW_Register!$A$5:$A$304,0)),IFERROR(INDEX(Embedded_Wall_Register!$BD$5:$BD$304,MATCH($B14,Embedded_Wall_Register!$A$5:$A$304,0)),IFERROR(INDEX(Manhole_Register!$BD$5:$BD$304,MATCH($B14,Manhole_Register!$A$5:$A$304,0)),IFERROR(INDEX(ERSS_Pit_Register!$AX$5:$AX$304,MATCH($B14,ERSS_Pit_Register!$A$5:$A$304,0)),IFERROR(INDEX(Linkway_Register!$AZ$5:$AZ$304,MATCH($B14,Linkway_Register!$A$5:$A$304,0)),IFERROR(INDEX(Other_Register!$AJ$5:$AJ$304,MATCH($B14,Other_Register!$A$5:$A$304,0)),0)))))))))</f>
        <v>24</v>
      </c>
      <c r="S14" s="10" t="str">
        <f aca="false">IF($B14="","",IF(G14="","ID not found",IF(J14&lt;&gt;"Approved","WARNING: status is "&amp;J14,IF(IFERROR(INDEX(Drain_Register!$CA$5:$CA$304,MATCH($B14,Drain_Register!$A$5:$A$304,0)),IFERROR(INDEX(RW_Register!$CF$5:$CF$304,MATCH($B14,RW_Register!$A$5:$A$304,0)),IFERROR(INDEX(Embedded_Wall_Register!$CD$5:$CD$304,MATCH($B14,Embedded_Wall_Register!$A$5:$A$304,0)),IFERROR(INDEX(Manhole_Register!$CC$5:$CC$304,MATCH($B14,Manhole_Register!$A$5:$A$304,0)),IFERROR(INDEX(ERSS_Pit_Register!$BX$5:$BX$304,MATCH($B14,ERSS_Pit_Register!$A$5:$A$304,0)),IFERROR(INDEX(Linkway_Register!$BY$5:$BY$304,MATCH($B14,Linkway_Register!$A$5:$A$304,0)),IFERROR(INDEX(Other_Register!$BI$5:$BI$304,MATCH($B14,Other_Register!$A$5:$A$304,0)),"")))))))="N","WARNING: fails SG compliance check",IF(D14="","Enter length / qty",IF(E14="","Enter CAD sheet no.","OK"))))))</f>
        <v>OK</v>
      </c>
    </row>
    <row r="15" customFormat="false" ht="15" hidden="false" customHeight="false" outlineLevel="0" collapsed="false">
      <c r="A15" s="18" t="n">
        <v>10</v>
      </c>
      <c r="B15" s="18" t="s">
        <v>160</v>
      </c>
      <c r="C15" s="18" t="s">
        <v>161</v>
      </c>
      <c r="D15" s="18" t="n">
        <v>60</v>
      </c>
      <c r="E15" s="18" t="n">
        <v>2</v>
      </c>
      <c r="F15" s="10" t="str">
        <f aca="false">IF($B15="","",IFERROR(INDEX(Drain_Register!$AU$5:$AU$304,MATCH($B15,Drain_Register!$A$5:$A$304,0)),IFERROR(INDEX(RW_Register!$BA$5:$BA$304,MATCH($B15,RW_Register!$A$5:$A$304,0)),IFERROR(INDEX(Embedded_Wall_Register!$AY$5:$AY$304,MATCH($B15,Embedded_Wall_Register!$A$5:$A$304,0)),IFERROR(INDEX(Manhole_Register!$AY$5:$AY$304,MATCH($B15,Manhole_Register!$A$5:$A$304,0)),IFERROR(INDEX(ERSS_Pit_Register!$AS$5:$AS$304,MATCH($B15,ERSS_Pit_Register!$A$5:$A$304,0)),IFERROR(INDEX(Linkway_Register!$AU$5:$AU$304,MATCH($B15,Linkway_Register!$A$5:$A$304,0)),IFERROR(INDEX(Other_Register!$AE$5:$AE$304,MATCH($B15,Other_Register!$A$5:$A$304,0)),""))))))))</f>
        <v>m</v>
      </c>
      <c r="G15" s="10" t="str">
        <f aca="false">IF($B15="","",IF(ISNUMBER(MATCH($B15,Drain_Register!$A$5:$A$304,0)),"Drain",IF(ISNUMBER(MATCH($B15,RW_Register!$A$5:$A$304,0)),"Ret. Wall",IF(ISNUMBER(MATCH($B15,Embedded_Wall_Register!$A$5:$A$304,0)),"Embedded Wall",IF(ISNUMBER(MATCH($B15,Manhole_Register!$A$5:$A$304,0)),"Manhole",IF(ISNUMBER(MATCH($B15,ERSS_Pit_Register!$A$5:$A$304,0)),"ERSS Pit",IF(ISNUMBER(MATCH($B15,Linkway_Register!$A$5:$A$304,0)),"Linkway",IF(ISNUMBER(MATCH($B15,Other_Register!$A$5:$A$304,0)),"Others",""))))))))</f>
        <v>Drain</v>
      </c>
      <c r="H15" s="10" t="str">
        <f aca="false">IF($B15="","",IFERROR(INDEX(Drain_Register!$B$5:$B$304,MATCH($B15,Drain_Register!$A$5:$A$304,0)),IFERROR(INDEX(RW_Register!$B$5:$B$304,MATCH($B15,RW_Register!$A$5:$A$304,0)),IFERROR(INDEX(Embedded_Wall_Register!$B$5:$B$304,MATCH($B15,Embedded_Wall_Register!$A$5:$A$304,0)),IFERROR(INDEX(Manhole_Register!$B$5:$B$304,MATCH($B15,Manhole_Register!$A$5:$A$304,0)),IFERROR(INDEX(ERSS_Pit_Register!$B$5:$B$304,MATCH($B15,ERSS_Pit_Register!$A$5:$A$304,0)),IFERROR(INDEX(Linkway_Register!$B$5:$B$304,MATCH($B15,Linkway_Register!$A$5:$A$304,0)),IFERROR(INDEX(Other_Register!$B$5:$B$304,MATCH($B15,Other_Register!$A$5:$A$304,0)),"ID not found - check spelling"))))))))</f>
        <v>Cast-in-situ Open Drain 2000W x 1800D, Outlet / main drain, Drain surcharge 12 kPa (SDRE), Open</v>
      </c>
      <c r="I15" s="10" t="str">
        <f aca="false">IF($B15="","",IFERROR(INDEX(Drain_Register!$AI$5:$AI$304,MATCH($B15,Drain_Register!$A$5:$A$304,0)),IFERROR(INDEX(RW_Register!$AO$5:$AO$304,MATCH($B15,RW_Register!$A$5:$A$304,0)),IFERROR(INDEX(Embedded_Wall_Register!$AM$5:$AM$304,MATCH($B15,Embedded_Wall_Register!$A$5:$A$304,0)),IFERROR(INDEX(Manhole_Register!$AM$5:$AM$304,MATCH($B15,Manhole_Register!$A$5:$A$304,0)),IFERROR(INDEX(ERSS_Pit_Register!$AG$5:$AG$304,MATCH($B15,ERSS_Pit_Register!$A$5:$A$304,0)),IFERROR(INDEX(Linkway_Register!$AI$5:$AI$304,MATCH($B15,Linkway_Register!$A$5:$A$304,0)),IFERROR(INDEX(Other_Register!$S$5:$S$304,MATCH($B15,Other_Register!$A$5:$A$304,0)),""))))))))</f>
        <v>A</v>
      </c>
      <c r="J15" s="10" t="str">
        <f aca="false">IF($B15="","",IFERROR(INDEX(Drain_Register!$AJ$5:$AJ$304,MATCH($B15,Drain_Register!$A$5:$A$304,0)),IFERROR(INDEX(RW_Register!$AP$5:$AP$304,MATCH($B15,RW_Register!$A$5:$A$304,0)),IFERROR(INDEX(Embedded_Wall_Register!$AN$5:$AN$304,MATCH($B15,Embedded_Wall_Register!$A$5:$A$304,0)),IFERROR(INDEX(Manhole_Register!$AN$5:$AN$304,MATCH($B15,Manhole_Register!$A$5:$A$304,0)),IFERROR(INDEX(ERSS_Pit_Register!$AH$5:$AH$304,MATCH($B15,ERSS_Pit_Register!$A$5:$A$304,0)),IFERROR(INDEX(Linkway_Register!$AJ$5:$AJ$304,MATCH($B15,Linkway_Register!$A$5:$A$304,0)),IFERROR(INDEX(Other_Register!$T$5:$T$304,MATCH($B15,Other_Register!$A$5:$A$304,0)),""))))))))</f>
        <v>Checked</v>
      </c>
      <c r="K15" s="10" t="str">
        <f aca="false">IF($B15="","",IFERROR(INDEX(Drain_Register!$AK$5:$AK$304,MATCH($B15,Drain_Register!$A$5:$A$304,0)),IFERROR(INDEX(RW_Register!$AQ$5:$AQ$304,MATCH($B15,RW_Register!$A$5:$A$304,0)),IFERROR(INDEX(Embedded_Wall_Register!$AO$5:$AO$304,MATCH($B15,Embedded_Wall_Register!$A$5:$A$304,0)),IFERROR(INDEX(Manhole_Register!$AO$5:$AO$304,MATCH($B15,Manhole_Register!$A$5:$A$304,0)),IFERROR(INDEX(ERSS_Pit_Register!$AI$5:$AI$304,MATCH($B15,ERSS_Pit_Register!$A$5:$A$304,0)),IFERROR(INDEX(Linkway_Register!$AK$5:$AK$304,MATCH($B15,Linkway_Register!$A$5:$A$304,0)),IFERROR(INDEX(Other_Register!$U$5:$U$304,MATCH($B15,Other_Register!$A$5:$A$304,0)),""))))))))</f>
        <v>STD-DR-005</v>
      </c>
      <c r="L15" s="10" t="n">
        <f aca="false">IF($B15="","",IFERROR(INDEX(Drain_Register!$AL$5:$AL$304,MATCH($B15,Drain_Register!$A$5:$A$304,0)),IFERROR(INDEX(RW_Register!$AR$5:$AR$304,MATCH($B15,RW_Register!$A$5:$A$304,0)),IFERROR(INDEX(Embedded_Wall_Register!$AP$5:$AP$304,MATCH($B15,Embedded_Wall_Register!$A$5:$A$304,0)),IFERROR(INDEX(Manhole_Register!$AP$5:$AP$304,MATCH($B15,Manhole_Register!$A$5:$A$304,0)),IFERROR(INDEX(ERSS_Pit_Register!$AJ$5:$AJ$304,MATCH($B15,ERSS_Pit_Register!$A$5:$A$304,0)),IFERROR(INDEX(Linkway_Register!$AL$5:$AL$304,MATCH($B15,Linkway_Register!$A$5:$A$304,0)),IFERROR(INDEX(Other_Register!$V$5:$V$304,MATCH($B15,Other_Register!$A$5:$A$304,0)),""))))))))</f>
        <v>25</v>
      </c>
      <c r="M15" s="10" t="str">
        <f aca="false">IF($B15="","",IFERROR(INDEX(Drain_Register!$AN$5:$AN$304,MATCH($B15,Drain_Register!$A$5:$A$304,0)),IFERROR(INDEX(RW_Register!$AT$5:$AT$304,MATCH($B15,RW_Register!$A$5:$A$304,0)),IFERROR(INDEX(Embedded_Wall_Register!$AR$5:$AR$304,MATCH($B15,Embedded_Wall_Register!$A$5:$A$304,0)),IFERROR(INDEX(Manhole_Register!$AR$5:$AR$304,MATCH($B15,Manhole_Register!$A$5:$A$304,0)),IFERROR(INDEX(ERSS_Pit_Register!$AL$5:$AL$304,MATCH($B15,ERSS_Pit_Register!$A$5:$A$304,0)),IFERROR(INDEX(Linkway_Register!$AN$5:$AN$304,MATCH($B15,Linkway_Register!$A$5:$A$304,0)),IFERROR(INDEX(Other_Register!$X$5:$X$304,MATCH($B15,Other_Register!$A$5:$A$304,0)),"")))))))&amp;IFERROR(INDEX(Drain_Register!$AO$5:$AO$304,MATCH($B15,Drain_Register!$A$5:$A$304,0)),IFERROR(INDEX(RW_Register!$AU$5:$AU$304,MATCH($B15,RW_Register!$A$5:$A$304,0)),IFERROR(INDEX(Embedded_Wall_Register!$AS$5:$AS$304,MATCH($B15,Embedded_Wall_Register!$A$5:$A$304,0)),IFERROR(INDEX(Manhole_Register!$AS$5:$AS$304,MATCH($B15,Manhole_Register!$A$5:$A$304,0)),IFERROR(INDEX(ERSS_Pit_Register!$AM$5:$AM$304,MATCH($B15,ERSS_Pit_Register!$A$5:$A$304,0)),IFERROR(INDEX(Linkway_Register!$AO$5:$AO$304,MATCH($B15,Linkway_Register!$A$5:$A$304,0)),IFERROR(INDEX(Other_Register!$Y$5:$Y$304,MATCH($B15,Other_Register!$A$5:$A$304,0)),""))))))))</f>
        <v>C:\Users\yourname\YourCompany\Design Library - Documents\01_Drainage\DRN-OD-2000x1800-S12-A\DRN-OD-2000x1800-S12-A_CAD.dwg</v>
      </c>
      <c r="N15" s="19" t="n">
        <f aca="false">IF(OR($B15="",$D15=""),"",$D15*N(IFERROR(INDEX(Drain_Register!$AV$5:$AV$304,MATCH($B15,Drain_Register!$A$5:$A$304,0)),IFERROR(INDEX(RW_Register!$BB$5:$BB$304,MATCH($B15,RW_Register!$A$5:$A$304,0)),IFERROR(INDEX(Embedded_Wall_Register!$AZ$5:$AZ$304,MATCH($B15,Embedded_Wall_Register!$A$5:$A$304,0)),IFERROR(INDEX(Manhole_Register!$AZ$5:$AZ$304,MATCH($B15,Manhole_Register!$A$5:$A$304,0)),IFERROR(INDEX(ERSS_Pit_Register!$AT$5:$AT$304,MATCH($B15,ERSS_Pit_Register!$A$5:$A$304,0)),IFERROR(INDEX(Linkway_Register!$AV$5:$AV$304,MATCH($B15,Linkway_Register!$A$5:$A$304,0)),IFERROR(INDEX(Other_Register!$AF$5:$AF$304,MATCH($B15,Other_Register!$A$5:$A$304,0)),0)))))))))</f>
        <v>99</v>
      </c>
      <c r="O15" s="20" t="n">
        <f aca="false">IF(OR($B15="",$D15=""),"",$D15*N(IFERROR(INDEX(Drain_Register!$AW$5:$AW$304,MATCH($B15,Drain_Register!$A$5:$A$304,0)),IFERROR(INDEX(RW_Register!$BC$5:$BC$304,MATCH($B15,RW_Register!$A$5:$A$304,0)),IFERROR(INDEX(Embedded_Wall_Register!$BA$5:$BA$304,MATCH($B15,Embedded_Wall_Register!$A$5:$A$304,0)),IFERROR(INDEX(Manhole_Register!$BA$5:$BA$304,MATCH($B15,Manhole_Register!$A$5:$A$304,0)),IFERROR(INDEX(ERSS_Pit_Register!$AU$5:$AU$304,MATCH($B15,ERSS_Pit_Register!$A$5:$A$304,0)),IFERROR(INDEX(Linkway_Register!$AW$5:$AW$304,MATCH($B15,Linkway_Register!$A$5:$A$304,0)),IFERROR(INDEX(Other_Register!$AG$5:$AG$304,MATCH($B15,Other_Register!$A$5:$A$304,0)),0))))))))/1000)</f>
        <v>9</v>
      </c>
      <c r="P15" s="20" t="n">
        <f aca="false">IF(OR($B15="",$D15=""),"",$D15*N(IFERROR(INDEX(Drain_Register!$AX$5:$AX$304,MATCH($B15,Drain_Register!$A$5:$A$304,0)),IFERROR(INDEX(RW_Register!$BD$5:$BD$304,MATCH($B15,RW_Register!$A$5:$A$304,0)),IFERROR(INDEX(Embedded_Wall_Register!$BB$5:$BB$304,MATCH($B15,Embedded_Wall_Register!$A$5:$A$304,0)),IFERROR(INDEX(Manhole_Register!$BB$5:$BB$304,MATCH($B15,Manhole_Register!$A$5:$A$304,0)),IFERROR(INDEX(ERSS_Pit_Register!$AV$5:$AV$304,MATCH($B15,ERSS_Pit_Register!$A$5:$A$304,0)),IFERROR(INDEX(Linkway_Register!$AX$5:$AX$304,MATCH($B15,Linkway_Register!$A$5:$A$304,0)),IFERROR(INDEX(Other_Register!$AH$5:$AH$304,MATCH($B15,Other_Register!$A$5:$A$304,0)),0))))))))/1000)</f>
        <v>0</v>
      </c>
      <c r="Q15" s="19" t="n">
        <f aca="false">IF(OR($B15="",$D15=""),"",$D15*N(IFERROR(INDEX(Drain_Register!$AY$5:$AY$304,MATCH($B15,Drain_Register!$A$5:$A$304,0)),IFERROR(INDEX(RW_Register!$BE$5:$BE$304,MATCH($B15,RW_Register!$A$5:$A$304,0)),IFERROR(INDEX(Embedded_Wall_Register!$BC$5:$BC$304,MATCH($B15,Embedded_Wall_Register!$A$5:$A$304,0)),IFERROR(INDEX(Manhole_Register!$BC$5:$BC$304,MATCH($B15,Manhole_Register!$A$5:$A$304,0)),IFERROR(INDEX(ERSS_Pit_Register!$AW$5:$AW$304,MATCH($B15,ERSS_Pit_Register!$A$5:$A$304,0)),IFERROR(INDEX(Linkway_Register!$AY$5:$AY$304,MATCH($B15,Linkway_Register!$A$5:$A$304,0)),IFERROR(INDEX(Other_Register!$AI$5:$AI$304,MATCH($B15,Other_Register!$A$5:$A$304,0)),0)))))))))</f>
        <v>432</v>
      </c>
      <c r="R15" s="19" t="n">
        <f aca="false">IF(OR($B15="",$D15=""),"",$D15*N(IFERROR(INDEX(Drain_Register!$AZ$5:$AZ$304,MATCH($B15,Drain_Register!$A$5:$A$304,0)),IFERROR(INDEX(RW_Register!$BF$5:$BF$304,MATCH($B15,RW_Register!$A$5:$A$304,0)),IFERROR(INDEX(Embedded_Wall_Register!$BD$5:$BD$304,MATCH($B15,Embedded_Wall_Register!$A$5:$A$304,0)),IFERROR(INDEX(Manhole_Register!$BD$5:$BD$304,MATCH($B15,Manhole_Register!$A$5:$A$304,0)),IFERROR(INDEX(ERSS_Pit_Register!$AX$5:$AX$304,MATCH($B15,ERSS_Pit_Register!$A$5:$A$304,0)),IFERROR(INDEX(Linkway_Register!$AZ$5:$AZ$304,MATCH($B15,Linkway_Register!$A$5:$A$304,0)),IFERROR(INDEX(Other_Register!$AJ$5:$AJ$304,MATCH($B15,Other_Register!$A$5:$A$304,0)),0)))))))))</f>
        <v>420</v>
      </c>
      <c r="S15" s="10" t="str">
        <f aca="false">IF($B15="","",IF(G15="","ID not found",IF(J15&lt;&gt;"Approved","WARNING: status is "&amp;J15,IF(IFERROR(INDEX(Drain_Register!$CA$5:$CA$304,MATCH($B15,Drain_Register!$A$5:$A$304,0)),IFERROR(INDEX(RW_Register!$CF$5:$CF$304,MATCH($B15,RW_Register!$A$5:$A$304,0)),IFERROR(INDEX(Embedded_Wall_Register!$CD$5:$CD$304,MATCH($B15,Embedded_Wall_Register!$A$5:$A$304,0)),IFERROR(INDEX(Manhole_Register!$CC$5:$CC$304,MATCH($B15,Manhole_Register!$A$5:$A$304,0)),IFERROR(INDEX(ERSS_Pit_Register!$BX$5:$BX$304,MATCH($B15,ERSS_Pit_Register!$A$5:$A$304,0)),IFERROR(INDEX(Linkway_Register!$BY$5:$BY$304,MATCH($B15,Linkway_Register!$A$5:$A$304,0)),IFERROR(INDEX(Other_Register!$BI$5:$BI$304,MATCH($B15,Other_Register!$A$5:$A$304,0)),"")))))))="N","WARNING: fails SG compliance check",IF(D15="","Enter length / qty",IF(E15="","Enter CAD sheet no.","OK"))))))</f>
        <v>WARNING: status is Checked</v>
      </c>
    </row>
    <row r="16" customFormat="false" ht="15" hidden="false" customHeight="false" outlineLevel="0" collapsed="false">
      <c r="A16" s="9"/>
      <c r="B16" s="9"/>
      <c r="C16" s="9"/>
      <c r="D16" s="9"/>
      <c r="E16" s="9"/>
      <c r="F16" s="10" t="str">
        <f aca="false">IF($B16="","",IFERROR(INDEX(Drain_Register!$AU$5:$AU$304,MATCH($B16,Drain_Register!$A$5:$A$304,0)),IFERROR(INDEX(RW_Register!$BA$5:$BA$304,MATCH($B16,RW_Register!$A$5:$A$304,0)),IFERROR(INDEX(Embedded_Wall_Register!$AY$5:$AY$304,MATCH($B16,Embedded_Wall_Register!$A$5:$A$304,0)),IFERROR(INDEX(Manhole_Register!$AY$5:$AY$304,MATCH($B16,Manhole_Register!$A$5:$A$304,0)),IFERROR(INDEX(ERSS_Pit_Register!$AS$5:$AS$304,MATCH($B16,ERSS_Pit_Register!$A$5:$A$304,0)),IFERROR(INDEX(Linkway_Register!$AU$5:$AU$304,MATCH($B16,Linkway_Register!$A$5:$A$304,0)),IFERROR(INDEX(Other_Register!$AE$5:$AE$304,MATCH($B16,Other_Register!$A$5:$A$304,0)),""))))))))</f>
        <v/>
      </c>
      <c r="G16" s="10" t="str">
        <f aca="false">IF($B16="","",IF(ISNUMBER(MATCH($B16,Drain_Register!$A$5:$A$304,0)),"Drain",IF(ISNUMBER(MATCH($B16,RW_Register!$A$5:$A$304,0)),"Ret. Wall",IF(ISNUMBER(MATCH($B16,Embedded_Wall_Register!$A$5:$A$304,0)),"Embedded Wall",IF(ISNUMBER(MATCH($B16,Manhole_Register!$A$5:$A$304,0)),"Manhole",IF(ISNUMBER(MATCH($B16,ERSS_Pit_Register!$A$5:$A$304,0)),"ERSS Pit",IF(ISNUMBER(MATCH($B16,Linkway_Register!$A$5:$A$304,0)),"Linkway",IF(ISNUMBER(MATCH($B16,Other_Register!$A$5:$A$304,0)),"Others",""))))))))</f>
        <v/>
      </c>
      <c r="H16" s="10" t="str">
        <f aca="false">IF($B16="","",IFERROR(INDEX(Drain_Register!$B$5:$B$304,MATCH($B16,Drain_Register!$A$5:$A$304,0)),IFERROR(INDEX(RW_Register!$B$5:$B$304,MATCH($B16,RW_Register!$A$5:$A$304,0)),IFERROR(INDEX(Embedded_Wall_Register!$B$5:$B$304,MATCH($B16,Embedded_Wall_Register!$A$5:$A$304,0)),IFERROR(INDEX(Manhole_Register!$B$5:$B$304,MATCH($B16,Manhole_Register!$A$5:$A$304,0)),IFERROR(INDEX(ERSS_Pit_Register!$B$5:$B$304,MATCH($B16,ERSS_Pit_Register!$A$5:$A$304,0)),IFERROR(INDEX(Linkway_Register!$B$5:$B$304,MATCH($B16,Linkway_Register!$A$5:$A$304,0)),IFERROR(INDEX(Other_Register!$B$5:$B$304,MATCH($B16,Other_Register!$A$5:$A$304,0)),"ID not found - check spelling"))))))))</f>
        <v/>
      </c>
      <c r="I16" s="10" t="str">
        <f aca="false">IF($B16="","",IFERROR(INDEX(Drain_Register!$AI$5:$AI$304,MATCH($B16,Drain_Register!$A$5:$A$304,0)),IFERROR(INDEX(RW_Register!$AO$5:$AO$304,MATCH($B16,RW_Register!$A$5:$A$304,0)),IFERROR(INDEX(Embedded_Wall_Register!$AM$5:$AM$304,MATCH($B16,Embedded_Wall_Register!$A$5:$A$304,0)),IFERROR(INDEX(Manhole_Register!$AM$5:$AM$304,MATCH($B16,Manhole_Register!$A$5:$A$304,0)),IFERROR(INDEX(ERSS_Pit_Register!$AG$5:$AG$304,MATCH($B16,ERSS_Pit_Register!$A$5:$A$304,0)),IFERROR(INDEX(Linkway_Register!$AI$5:$AI$304,MATCH($B16,Linkway_Register!$A$5:$A$304,0)),IFERROR(INDEX(Other_Register!$S$5:$S$304,MATCH($B16,Other_Register!$A$5:$A$304,0)),""))))))))</f>
        <v/>
      </c>
      <c r="J16" s="10" t="str">
        <f aca="false">IF($B16="","",IFERROR(INDEX(Drain_Register!$AJ$5:$AJ$304,MATCH($B16,Drain_Register!$A$5:$A$304,0)),IFERROR(INDEX(RW_Register!$AP$5:$AP$304,MATCH($B16,RW_Register!$A$5:$A$304,0)),IFERROR(INDEX(Embedded_Wall_Register!$AN$5:$AN$304,MATCH($B16,Embedded_Wall_Register!$A$5:$A$304,0)),IFERROR(INDEX(Manhole_Register!$AN$5:$AN$304,MATCH($B16,Manhole_Register!$A$5:$A$304,0)),IFERROR(INDEX(ERSS_Pit_Register!$AH$5:$AH$304,MATCH($B16,ERSS_Pit_Register!$A$5:$A$304,0)),IFERROR(INDEX(Linkway_Register!$AJ$5:$AJ$304,MATCH($B16,Linkway_Register!$A$5:$A$304,0)),IFERROR(INDEX(Other_Register!$T$5:$T$304,MATCH($B16,Other_Register!$A$5:$A$304,0)),""))))))))</f>
        <v/>
      </c>
      <c r="K16" s="10" t="str">
        <f aca="false">IF($B16="","",IFERROR(INDEX(Drain_Register!$AK$5:$AK$304,MATCH($B16,Drain_Register!$A$5:$A$304,0)),IFERROR(INDEX(RW_Register!$AQ$5:$AQ$304,MATCH($B16,RW_Register!$A$5:$A$304,0)),IFERROR(INDEX(Embedded_Wall_Register!$AO$5:$AO$304,MATCH($B16,Embedded_Wall_Register!$A$5:$A$304,0)),IFERROR(INDEX(Manhole_Register!$AO$5:$AO$304,MATCH($B16,Manhole_Register!$A$5:$A$304,0)),IFERROR(INDEX(ERSS_Pit_Register!$AI$5:$AI$304,MATCH($B16,ERSS_Pit_Register!$A$5:$A$304,0)),IFERROR(INDEX(Linkway_Register!$AK$5:$AK$304,MATCH($B16,Linkway_Register!$A$5:$A$304,0)),IFERROR(INDEX(Other_Register!$U$5:$U$304,MATCH($B16,Other_Register!$A$5:$A$304,0)),""))))))))</f>
        <v/>
      </c>
      <c r="L16" s="10" t="str">
        <f aca="false">IF($B16="","",IFERROR(INDEX(Drain_Register!$AL$5:$AL$304,MATCH($B16,Drain_Register!$A$5:$A$304,0)),IFERROR(INDEX(RW_Register!$AR$5:$AR$304,MATCH($B16,RW_Register!$A$5:$A$304,0)),IFERROR(INDEX(Embedded_Wall_Register!$AP$5:$AP$304,MATCH($B16,Embedded_Wall_Register!$A$5:$A$304,0)),IFERROR(INDEX(Manhole_Register!$AP$5:$AP$304,MATCH($B16,Manhole_Register!$A$5:$A$304,0)),IFERROR(INDEX(ERSS_Pit_Register!$AJ$5:$AJ$304,MATCH($B16,ERSS_Pit_Register!$A$5:$A$304,0)),IFERROR(INDEX(Linkway_Register!$AL$5:$AL$304,MATCH($B16,Linkway_Register!$A$5:$A$304,0)),IFERROR(INDEX(Other_Register!$V$5:$V$304,MATCH($B16,Other_Register!$A$5:$A$304,0)),""))))))))</f>
        <v/>
      </c>
      <c r="M16" s="10" t="str">
        <f aca="false">IF($B16="","",IFERROR(INDEX(Drain_Register!$AN$5:$AN$304,MATCH($B16,Drain_Register!$A$5:$A$304,0)),IFERROR(INDEX(RW_Register!$AT$5:$AT$304,MATCH($B16,RW_Register!$A$5:$A$304,0)),IFERROR(INDEX(Embedded_Wall_Register!$AR$5:$AR$304,MATCH($B16,Embedded_Wall_Register!$A$5:$A$304,0)),IFERROR(INDEX(Manhole_Register!$AR$5:$AR$304,MATCH($B16,Manhole_Register!$A$5:$A$304,0)),IFERROR(INDEX(ERSS_Pit_Register!$AL$5:$AL$304,MATCH($B16,ERSS_Pit_Register!$A$5:$A$304,0)),IFERROR(INDEX(Linkway_Register!$AN$5:$AN$304,MATCH($B16,Linkway_Register!$A$5:$A$304,0)),IFERROR(INDEX(Other_Register!$X$5:$X$304,MATCH($B16,Other_Register!$A$5:$A$304,0)),"")))))))&amp;IFERROR(INDEX(Drain_Register!$AO$5:$AO$304,MATCH($B16,Drain_Register!$A$5:$A$304,0)),IFERROR(INDEX(RW_Register!$AU$5:$AU$304,MATCH($B16,RW_Register!$A$5:$A$304,0)),IFERROR(INDEX(Embedded_Wall_Register!$AS$5:$AS$304,MATCH($B16,Embedded_Wall_Register!$A$5:$A$304,0)),IFERROR(INDEX(Manhole_Register!$AS$5:$AS$304,MATCH($B16,Manhole_Register!$A$5:$A$304,0)),IFERROR(INDEX(ERSS_Pit_Register!$AM$5:$AM$304,MATCH($B16,ERSS_Pit_Register!$A$5:$A$304,0)),IFERROR(INDEX(Linkway_Register!$AO$5:$AO$304,MATCH($B16,Linkway_Register!$A$5:$A$304,0)),IFERROR(INDEX(Other_Register!$Y$5:$Y$304,MATCH($B16,Other_Register!$A$5:$A$304,0)),""))))))))</f>
        <v/>
      </c>
      <c r="N16" s="19" t="str">
        <f aca="false">IF(OR($B16="",$D16=""),"",$D16*N(IFERROR(INDEX(Drain_Register!$AV$5:$AV$304,MATCH($B16,Drain_Register!$A$5:$A$304,0)),IFERROR(INDEX(RW_Register!$BB$5:$BB$304,MATCH($B16,RW_Register!$A$5:$A$304,0)),IFERROR(INDEX(Embedded_Wall_Register!$AZ$5:$AZ$304,MATCH($B16,Embedded_Wall_Register!$A$5:$A$304,0)),IFERROR(INDEX(Manhole_Register!$AZ$5:$AZ$304,MATCH($B16,Manhole_Register!$A$5:$A$304,0)),IFERROR(INDEX(ERSS_Pit_Register!$AT$5:$AT$304,MATCH($B16,ERSS_Pit_Register!$A$5:$A$304,0)),IFERROR(INDEX(Linkway_Register!$AV$5:$AV$304,MATCH($B16,Linkway_Register!$A$5:$A$304,0)),IFERROR(INDEX(Other_Register!$AF$5:$AF$304,MATCH($B16,Other_Register!$A$5:$A$304,0)),0)))))))))</f>
        <v/>
      </c>
      <c r="O16" s="20" t="str">
        <f aca="false">IF(OR($B16="",$D16=""),"",$D16*N(IFERROR(INDEX(Drain_Register!$AW$5:$AW$304,MATCH($B16,Drain_Register!$A$5:$A$304,0)),IFERROR(INDEX(RW_Register!$BC$5:$BC$304,MATCH($B16,RW_Register!$A$5:$A$304,0)),IFERROR(INDEX(Embedded_Wall_Register!$BA$5:$BA$304,MATCH($B16,Embedded_Wall_Register!$A$5:$A$304,0)),IFERROR(INDEX(Manhole_Register!$BA$5:$BA$304,MATCH($B16,Manhole_Register!$A$5:$A$304,0)),IFERROR(INDEX(ERSS_Pit_Register!$AU$5:$AU$304,MATCH($B16,ERSS_Pit_Register!$A$5:$A$304,0)),IFERROR(INDEX(Linkway_Register!$AW$5:$AW$304,MATCH($B16,Linkway_Register!$A$5:$A$304,0)),IFERROR(INDEX(Other_Register!$AG$5:$AG$304,MATCH($B16,Other_Register!$A$5:$A$304,0)),0))))))))/1000)</f>
        <v/>
      </c>
      <c r="P16" s="20" t="str">
        <f aca="false">IF(OR($B16="",$D16=""),"",$D16*N(IFERROR(INDEX(Drain_Register!$AX$5:$AX$304,MATCH($B16,Drain_Register!$A$5:$A$304,0)),IFERROR(INDEX(RW_Register!$BD$5:$BD$304,MATCH($B16,RW_Register!$A$5:$A$304,0)),IFERROR(INDEX(Embedded_Wall_Register!$BB$5:$BB$304,MATCH($B16,Embedded_Wall_Register!$A$5:$A$304,0)),IFERROR(INDEX(Manhole_Register!$BB$5:$BB$304,MATCH($B16,Manhole_Register!$A$5:$A$304,0)),IFERROR(INDEX(ERSS_Pit_Register!$AV$5:$AV$304,MATCH($B16,ERSS_Pit_Register!$A$5:$A$304,0)),IFERROR(INDEX(Linkway_Register!$AX$5:$AX$304,MATCH($B16,Linkway_Register!$A$5:$A$304,0)),IFERROR(INDEX(Other_Register!$AH$5:$AH$304,MATCH($B16,Other_Register!$A$5:$A$304,0)),0))))))))/1000)</f>
        <v/>
      </c>
      <c r="Q16" s="19" t="str">
        <f aca="false">IF(OR($B16="",$D16=""),"",$D16*N(IFERROR(INDEX(Drain_Register!$AY$5:$AY$304,MATCH($B16,Drain_Register!$A$5:$A$304,0)),IFERROR(INDEX(RW_Register!$BE$5:$BE$304,MATCH($B16,RW_Register!$A$5:$A$304,0)),IFERROR(INDEX(Embedded_Wall_Register!$BC$5:$BC$304,MATCH($B16,Embedded_Wall_Register!$A$5:$A$304,0)),IFERROR(INDEX(Manhole_Register!$BC$5:$BC$304,MATCH($B16,Manhole_Register!$A$5:$A$304,0)),IFERROR(INDEX(ERSS_Pit_Register!$AW$5:$AW$304,MATCH($B16,ERSS_Pit_Register!$A$5:$A$304,0)),IFERROR(INDEX(Linkway_Register!$AY$5:$AY$304,MATCH($B16,Linkway_Register!$A$5:$A$304,0)),IFERROR(INDEX(Other_Register!$AI$5:$AI$304,MATCH($B16,Other_Register!$A$5:$A$304,0)),0)))))))))</f>
        <v/>
      </c>
      <c r="R16" s="19" t="str">
        <f aca="false">IF(OR($B16="",$D16=""),"",$D16*N(IFERROR(INDEX(Drain_Register!$AZ$5:$AZ$304,MATCH($B16,Drain_Register!$A$5:$A$304,0)),IFERROR(INDEX(RW_Register!$BF$5:$BF$304,MATCH($B16,RW_Register!$A$5:$A$304,0)),IFERROR(INDEX(Embedded_Wall_Register!$BD$5:$BD$304,MATCH($B16,Embedded_Wall_Register!$A$5:$A$304,0)),IFERROR(INDEX(Manhole_Register!$BD$5:$BD$304,MATCH($B16,Manhole_Register!$A$5:$A$304,0)),IFERROR(INDEX(ERSS_Pit_Register!$AX$5:$AX$304,MATCH($B16,ERSS_Pit_Register!$A$5:$A$304,0)),IFERROR(INDEX(Linkway_Register!$AZ$5:$AZ$304,MATCH($B16,Linkway_Register!$A$5:$A$304,0)),IFERROR(INDEX(Other_Register!$AJ$5:$AJ$304,MATCH($B16,Other_Register!$A$5:$A$304,0)),0)))))))))</f>
        <v/>
      </c>
      <c r="S16" s="10" t="str">
        <f aca="false">IF($B16="","",IF(G16="","ID not found",IF(J16&lt;&gt;"Approved","WARNING: status is "&amp;J16,IF(IFERROR(INDEX(Drain_Register!$CA$5:$CA$304,MATCH($B16,Drain_Register!$A$5:$A$304,0)),IFERROR(INDEX(RW_Register!$CF$5:$CF$304,MATCH($B16,RW_Register!$A$5:$A$304,0)),IFERROR(INDEX(Embedded_Wall_Register!$CD$5:$CD$304,MATCH($B16,Embedded_Wall_Register!$A$5:$A$304,0)),IFERROR(INDEX(Manhole_Register!$CC$5:$CC$304,MATCH($B16,Manhole_Register!$A$5:$A$304,0)),IFERROR(INDEX(ERSS_Pit_Register!$BX$5:$BX$304,MATCH($B16,ERSS_Pit_Register!$A$5:$A$304,0)),IFERROR(INDEX(Linkway_Register!$BY$5:$BY$304,MATCH($B16,Linkway_Register!$A$5:$A$304,0)),IFERROR(INDEX(Other_Register!$BI$5:$BI$304,MATCH($B16,Other_Register!$A$5:$A$304,0)),"")))))))="N","WARNING: fails SG compliance check",IF(D16="","Enter length / qty",IF(E16="","Enter CAD sheet no.","OK"))))))</f>
        <v/>
      </c>
    </row>
    <row r="17" customFormat="false" ht="15" hidden="false" customHeight="false" outlineLevel="0" collapsed="false">
      <c r="A17" s="9"/>
      <c r="B17" s="9"/>
      <c r="C17" s="9"/>
      <c r="D17" s="9"/>
      <c r="E17" s="9"/>
      <c r="F17" s="10" t="str">
        <f aca="false">IF($B17="","",IFERROR(INDEX(Drain_Register!$AU$5:$AU$304,MATCH($B17,Drain_Register!$A$5:$A$304,0)),IFERROR(INDEX(RW_Register!$BA$5:$BA$304,MATCH($B17,RW_Register!$A$5:$A$304,0)),IFERROR(INDEX(Embedded_Wall_Register!$AY$5:$AY$304,MATCH($B17,Embedded_Wall_Register!$A$5:$A$304,0)),IFERROR(INDEX(Manhole_Register!$AY$5:$AY$304,MATCH($B17,Manhole_Register!$A$5:$A$304,0)),IFERROR(INDEX(ERSS_Pit_Register!$AS$5:$AS$304,MATCH($B17,ERSS_Pit_Register!$A$5:$A$304,0)),IFERROR(INDEX(Linkway_Register!$AU$5:$AU$304,MATCH($B17,Linkway_Register!$A$5:$A$304,0)),IFERROR(INDEX(Other_Register!$AE$5:$AE$304,MATCH($B17,Other_Register!$A$5:$A$304,0)),""))))))))</f>
        <v/>
      </c>
      <c r="G17" s="10" t="str">
        <f aca="false">IF($B17="","",IF(ISNUMBER(MATCH($B17,Drain_Register!$A$5:$A$304,0)),"Drain",IF(ISNUMBER(MATCH($B17,RW_Register!$A$5:$A$304,0)),"Ret. Wall",IF(ISNUMBER(MATCH($B17,Embedded_Wall_Register!$A$5:$A$304,0)),"Embedded Wall",IF(ISNUMBER(MATCH($B17,Manhole_Register!$A$5:$A$304,0)),"Manhole",IF(ISNUMBER(MATCH($B17,ERSS_Pit_Register!$A$5:$A$304,0)),"ERSS Pit",IF(ISNUMBER(MATCH($B17,Linkway_Register!$A$5:$A$304,0)),"Linkway",IF(ISNUMBER(MATCH($B17,Other_Register!$A$5:$A$304,0)),"Others",""))))))))</f>
        <v/>
      </c>
      <c r="H17" s="10" t="str">
        <f aca="false">IF($B17="","",IFERROR(INDEX(Drain_Register!$B$5:$B$304,MATCH($B17,Drain_Register!$A$5:$A$304,0)),IFERROR(INDEX(RW_Register!$B$5:$B$304,MATCH($B17,RW_Register!$A$5:$A$304,0)),IFERROR(INDEX(Embedded_Wall_Register!$B$5:$B$304,MATCH($B17,Embedded_Wall_Register!$A$5:$A$304,0)),IFERROR(INDEX(Manhole_Register!$B$5:$B$304,MATCH($B17,Manhole_Register!$A$5:$A$304,0)),IFERROR(INDEX(ERSS_Pit_Register!$B$5:$B$304,MATCH($B17,ERSS_Pit_Register!$A$5:$A$304,0)),IFERROR(INDEX(Linkway_Register!$B$5:$B$304,MATCH($B17,Linkway_Register!$A$5:$A$304,0)),IFERROR(INDEX(Other_Register!$B$5:$B$304,MATCH($B17,Other_Register!$A$5:$A$304,0)),"ID not found - check spelling"))))))))</f>
        <v/>
      </c>
      <c r="I17" s="10" t="str">
        <f aca="false">IF($B17="","",IFERROR(INDEX(Drain_Register!$AI$5:$AI$304,MATCH($B17,Drain_Register!$A$5:$A$304,0)),IFERROR(INDEX(RW_Register!$AO$5:$AO$304,MATCH($B17,RW_Register!$A$5:$A$304,0)),IFERROR(INDEX(Embedded_Wall_Register!$AM$5:$AM$304,MATCH($B17,Embedded_Wall_Register!$A$5:$A$304,0)),IFERROR(INDEX(Manhole_Register!$AM$5:$AM$304,MATCH($B17,Manhole_Register!$A$5:$A$304,0)),IFERROR(INDEX(ERSS_Pit_Register!$AG$5:$AG$304,MATCH($B17,ERSS_Pit_Register!$A$5:$A$304,0)),IFERROR(INDEX(Linkway_Register!$AI$5:$AI$304,MATCH($B17,Linkway_Register!$A$5:$A$304,0)),IFERROR(INDEX(Other_Register!$S$5:$S$304,MATCH($B17,Other_Register!$A$5:$A$304,0)),""))))))))</f>
        <v/>
      </c>
      <c r="J17" s="10" t="str">
        <f aca="false">IF($B17="","",IFERROR(INDEX(Drain_Register!$AJ$5:$AJ$304,MATCH($B17,Drain_Register!$A$5:$A$304,0)),IFERROR(INDEX(RW_Register!$AP$5:$AP$304,MATCH($B17,RW_Register!$A$5:$A$304,0)),IFERROR(INDEX(Embedded_Wall_Register!$AN$5:$AN$304,MATCH($B17,Embedded_Wall_Register!$A$5:$A$304,0)),IFERROR(INDEX(Manhole_Register!$AN$5:$AN$304,MATCH($B17,Manhole_Register!$A$5:$A$304,0)),IFERROR(INDEX(ERSS_Pit_Register!$AH$5:$AH$304,MATCH($B17,ERSS_Pit_Register!$A$5:$A$304,0)),IFERROR(INDEX(Linkway_Register!$AJ$5:$AJ$304,MATCH($B17,Linkway_Register!$A$5:$A$304,0)),IFERROR(INDEX(Other_Register!$T$5:$T$304,MATCH($B17,Other_Register!$A$5:$A$304,0)),""))))))))</f>
        <v/>
      </c>
      <c r="K17" s="10" t="str">
        <f aca="false">IF($B17="","",IFERROR(INDEX(Drain_Register!$AK$5:$AK$304,MATCH($B17,Drain_Register!$A$5:$A$304,0)),IFERROR(INDEX(RW_Register!$AQ$5:$AQ$304,MATCH($B17,RW_Register!$A$5:$A$304,0)),IFERROR(INDEX(Embedded_Wall_Register!$AO$5:$AO$304,MATCH($B17,Embedded_Wall_Register!$A$5:$A$304,0)),IFERROR(INDEX(Manhole_Register!$AO$5:$AO$304,MATCH($B17,Manhole_Register!$A$5:$A$304,0)),IFERROR(INDEX(ERSS_Pit_Register!$AI$5:$AI$304,MATCH($B17,ERSS_Pit_Register!$A$5:$A$304,0)),IFERROR(INDEX(Linkway_Register!$AK$5:$AK$304,MATCH($B17,Linkway_Register!$A$5:$A$304,0)),IFERROR(INDEX(Other_Register!$U$5:$U$304,MATCH($B17,Other_Register!$A$5:$A$304,0)),""))))))))</f>
        <v/>
      </c>
      <c r="L17" s="10" t="str">
        <f aca="false">IF($B17="","",IFERROR(INDEX(Drain_Register!$AL$5:$AL$304,MATCH($B17,Drain_Register!$A$5:$A$304,0)),IFERROR(INDEX(RW_Register!$AR$5:$AR$304,MATCH($B17,RW_Register!$A$5:$A$304,0)),IFERROR(INDEX(Embedded_Wall_Register!$AP$5:$AP$304,MATCH($B17,Embedded_Wall_Register!$A$5:$A$304,0)),IFERROR(INDEX(Manhole_Register!$AP$5:$AP$304,MATCH($B17,Manhole_Register!$A$5:$A$304,0)),IFERROR(INDEX(ERSS_Pit_Register!$AJ$5:$AJ$304,MATCH($B17,ERSS_Pit_Register!$A$5:$A$304,0)),IFERROR(INDEX(Linkway_Register!$AL$5:$AL$304,MATCH($B17,Linkway_Register!$A$5:$A$304,0)),IFERROR(INDEX(Other_Register!$V$5:$V$304,MATCH($B17,Other_Register!$A$5:$A$304,0)),""))))))))</f>
        <v/>
      </c>
      <c r="M17" s="10" t="str">
        <f aca="false">IF($B17="","",IFERROR(INDEX(Drain_Register!$AN$5:$AN$304,MATCH($B17,Drain_Register!$A$5:$A$304,0)),IFERROR(INDEX(RW_Register!$AT$5:$AT$304,MATCH($B17,RW_Register!$A$5:$A$304,0)),IFERROR(INDEX(Embedded_Wall_Register!$AR$5:$AR$304,MATCH($B17,Embedded_Wall_Register!$A$5:$A$304,0)),IFERROR(INDEX(Manhole_Register!$AR$5:$AR$304,MATCH($B17,Manhole_Register!$A$5:$A$304,0)),IFERROR(INDEX(ERSS_Pit_Register!$AL$5:$AL$304,MATCH($B17,ERSS_Pit_Register!$A$5:$A$304,0)),IFERROR(INDEX(Linkway_Register!$AN$5:$AN$304,MATCH($B17,Linkway_Register!$A$5:$A$304,0)),IFERROR(INDEX(Other_Register!$X$5:$X$304,MATCH($B17,Other_Register!$A$5:$A$304,0)),"")))))))&amp;IFERROR(INDEX(Drain_Register!$AO$5:$AO$304,MATCH($B17,Drain_Register!$A$5:$A$304,0)),IFERROR(INDEX(RW_Register!$AU$5:$AU$304,MATCH($B17,RW_Register!$A$5:$A$304,0)),IFERROR(INDEX(Embedded_Wall_Register!$AS$5:$AS$304,MATCH($B17,Embedded_Wall_Register!$A$5:$A$304,0)),IFERROR(INDEX(Manhole_Register!$AS$5:$AS$304,MATCH($B17,Manhole_Register!$A$5:$A$304,0)),IFERROR(INDEX(ERSS_Pit_Register!$AM$5:$AM$304,MATCH($B17,ERSS_Pit_Register!$A$5:$A$304,0)),IFERROR(INDEX(Linkway_Register!$AO$5:$AO$304,MATCH($B17,Linkway_Register!$A$5:$A$304,0)),IFERROR(INDEX(Other_Register!$Y$5:$Y$304,MATCH($B17,Other_Register!$A$5:$A$304,0)),""))))))))</f>
        <v/>
      </c>
      <c r="N17" s="19" t="str">
        <f aca="false">IF(OR($B17="",$D17=""),"",$D17*N(IFERROR(INDEX(Drain_Register!$AV$5:$AV$304,MATCH($B17,Drain_Register!$A$5:$A$304,0)),IFERROR(INDEX(RW_Register!$BB$5:$BB$304,MATCH($B17,RW_Register!$A$5:$A$304,0)),IFERROR(INDEX(Embedded_Wall_Register!$AZ$5:$AZ$304,MATCH($B17,Embedded_Wall_Register!$A$5:$A$304,0)),IFERROR(INDEX(Manhole_Register!$AZ$5:$AZ$304,MATCH($B17,Manhole_Register!$A$5:$A$304,0)),IFERROR(INDEX(ERSS_Pit_Register!$AT$5:$AT$304,MATCH($B17,ERSS_Pit_Register!$A$5:$A$304,0)),IFERROR(INDEX(Linkway_Register!$AV$5:$AV$304,MATCH($B17,Linkway_Register!$A$5:$A$304,0)),IFERROR(INDEX(Other_Register!$AF$5:$AF$304,MATCH($B17,Other_Register!$A$5:$A$304,0)),0)))))))))</f>
        <v/>
      </c>
      <c r="O17" s="20" t="str">
        <f aca="false">IF(OR($B17="",$D17=""),"",$D17*N(IFERROR(INDEX(Drain_Register!$AW$5:$AW$304,MATCH($B17,Drain_Register!$A$5:$A$304,0)),IFERROR(INDEX(RW_Register!$BC$5:$BC$304,MATCH($B17,RW_Register!$A$5:$A$304,0)),IFERROR(INDEX(Embedded_Wall_Register!$BA$5:$BA$304,MATCH($B17,Embedded_Wall_Register!$A$5:$A$304,0)),IFERROR(INDEX(Manhole_Register!$BA$5:$BA$304,MATCH($B17,Manhole_Register!$A$5:$A$304,0)),IFERROR(INDEX(ERSS_Pit_Register!$AU$5:$AU$304,MATCH($B17,ERSS_Pit_Register!$A$5:$A$304,0)),IFERROR(INDEX(Linkway_Register!$AW$5:$AW$304,MATCH($B17,Linkway_Register!$A$5:$A$304,0)),IFERROR(INDEX(Other_Register!$AG$5:$AG$304,MATCH($B17,Other_Register!$A$5:$A$304,0)),0))))))))/1000)</f>
        <v/>
      </c>
      <c r="P17" s="20" t="str">
        <f aca="false">IF(OR($B17="",$D17=""),"",$D17*N(IFERROR(INDEX(Drain_Register!$AX$5:$AX$304,MATCH($B17,Drain_Register!$A$5:$A$304,0)),IFERROR(INDEX(RW_Register!$BD$5:$BD$304,MATCH($B17,RW_Register!$A$5:$A$304,0)),IFERROR(INDEX(Embedded_Wall_Register!$BB$5:$BB$304,MATCH($B17,Embedded_Wall_Register!$A$5:$A$304,0)),IFERROR(INDEX(Manhole_Register!$BB$5:$BB$304,MATCH($B17,Manhole_Register!$A$5:$A$304,0)),IFERROR(INDEX(ERSS_Pit_Register!$AV$5:$AV$304,MATCH($B17,ERSS_Pit_Register!$A$5:$A$304,0)),IFERROR(INDEX(Linkway_Register!$AX$5:$AX$304,MATCH($B17,Linkway_Register!$A$5:$A$304,0)),IFERROR(INDEX(Other_Register!$AH$5:$AH$304,MATCH($B17,Other_Register!$A$5:$A$304,0)),0))))))))/1000)</f>
        <v/>
      </c>
      <c r="Q17" s="19" t="str">
        <f aca="false">IF(OR($B17="",$D17=""),"",$D17*N(IFERROR(INDEX(Drain_Register!$AY$5:$AY$304,MATCH($B17,Drain_Register!$A$5:$A$304,0)),IFERROR(INDEX(RW_Register!$BE$5:$BE$304,MATCH($B17,RW_Register!$A$5:$A$304,0)),IFERROR(INDEX(Embedded_Wall_Register!$BC$5:$BC$304,MATCH($B17,Embedded_Wall_Register!$A$5:$A$304,0)),IFERROR(INDEX(Manhole_Register!$BC$5:$BC$304,MATCH($B17,Manhole_Register!$A$5:$A$304,0)),IFERROR(INDEX(ERSS_Pit_Register!$AW$5:$AW$304,MATCH($B17,ERSS_Pit_Register!$A$5:$A$304,0)),IFERROR(INDEX(Linkway_Register!$AY$5:$AY$304,MATCH($B17,Linkway_Register!$A$5:$A$304,0)),IFERROR(INDEX(Other_Register!$AI$5:$AI$304,MATCH($B17,Other_Register!$A$5:$A$304,0)),0)))))))))</f>
        <v/>
      </c>
      <c r="R17" s="19" t="str">
        <f aca="false">IF(OR($B17="",$D17=""),"",$D17*N(IFERROR(INDEX(Drain_Register!$AZ$5:$AZ$304,MATCH($B17,Drain_Register!$A$5:$A$304,0)),IFERROR(INDEX(RW_Register!$BF$5:$BF$304,MATCH($B17,RW_Register!$A$5:$A$304,0)),IFERROR(INDEX(Embedded_Wall_Register!$BD$5:$BD$304,MATCH($B17,Embedded_Wall_Register!$A$5:$A$304,0)),IFERROR(INDEX(Manhole_Register!$BD$5:$BD$304,MATCH($B17,Manhole_Register!$A$5:$A$304,0)),IFERROR(INDEX(ERSS_Pit_Register!$AX$5:$AX$304,MATCH($B17,ERSS_Pit_Register!$A$5:$A$304,0)),IFERROR(INDEX(Linkway_Register!$AZ$5:$AZ$304,MATCH($B17,Linkway_Register!$A$5:$A$304,0)),IFERROR(INDEX(Other_Register!$AJ$5:$AJ$304,MATCH($B17,Other_Register!$A$5:$A$304,0)),0)))))))))</f>
        <v/>
      </c>
      <c r="S17" s="10" t="str">
        <f aca="false">IF($B17="","",IF(G17="","ID not found",IF(J17&lt;&gt;"Approved","WARNING: status is "&amp;J17,IF(IFERROR(INDEX(Drain_Register!$CA$5:$CA$304,MATCH($B17,Drain_Register!$A$5:$A$304,0)),IFERROR(INDEX(RW_Register!$CF$5:$CF$304,MATCH($B17,RW_Register!$A$5:$A$304,0)),IFERROR(INDEX(Embedded_Wall_Register!$CD$5:$CD$304,MATCH($B17,Embedded_Wall_Register!$A$5:$A$304,0)),IFERROR(INDEX(Manhole_Register!$CC$5:$CC$304,MATCH($B17,Manhole_Register!$A$5:$A$304,0)),IFERROR(INDEX(ERSS_Pit_Register!$BX$5:$BX$304,MATCH($B17,ERSS_Pit_Register!$A$5:$A$304,0)),IFERROR(INDEX(Linkway_Register!$BY$5:$BY$304,MATCH($B17,Linkway_Register!$A$5:$A$304,0)),IFERROR(INDEX(Other_Register!$BI$5:$BI$304,MATCH($B17,Other_Register!$A$5:$A$304,0)),"")))))))="N","WARNING: fails SG compliance check",IF(D17="","Enter length / qty",IF(E17="","Enter CAD sheet no.","OK"))))))</f>
        <v/>
      </c>
    </row>
    <row r="18" customFormat="false" ht="15" hidden="false" customHeight="false" outlineLevel="0" collapsed="false">
      <c r="A18" s="9"/>
      <c r="B18" s="9"/>
      <c r="C18" s="9"/>
      <c r="D18" s="9"/>
      <c r="E18" s="9"/>
      <c r="F18" s="10" t="str">
        <f aca="false">IF($B18="","",IFERROR(INDEX(Drain_Register!$AU$5:$AU$304,MATCH($B18,Drain_Register!$A$5:$A$304,0)),IFERROR(INDEX(RW_Register!$BA$5:$BA$304,MATCH($B18,RW_Register!$A$5:$A$304,0)),IFERROR(INDEX(Embedded_Wall_Register!$AY$5:$AY$304,MATCH($B18,Embedded_Wall_Register!$A$5:$A$304,0)),IFERROR(INDEX(Manhole_Register!$AY$5:$AY$304,MATCH($B18,Manhole_Register!$A$5:$A$304,0)),IFERROR(INDEX(ERSS_Pit_Register!$AS$5:$AS$304,MATCH($B18,ERSS_Pit_Register!$A$5:$A$304,0)),IFERROR(INDEX(Linkway_Register!$AU$5:$AU$304,MATCH($B18,Linkway_Register!$A$5:$A$304,0)),IFERROR(INDEX(Other_Register!$AE$5:$AE$304,MATCH($B18,Other_Register!$A$5:$A$304,0)),""))))))))</f>
        <v/>
      </c>
      <c r="G18" s="10" t="str">
        <f aca="false">IF($B18="","",IF(ISNUMBER(MATCH($B18,Drain_Register!$A$5:$A$304,0)),"Drain",IF(ISNUMBER(MATCH($B18,RW_Register!$A$5:$A$304,0)),"Ret. Wall",IF(ISNUMBER(MATCH($B18,Embedded_Wall_Register!$A$5:$A$304,0)),"Embedded Wall",IF(ISNUMBER(MATCH($B18,Manhole_Register!$A$5:$A$304,0)),"Manhole",IF(ISNUMBER(MATCH($B18,ERSS_Pit_Register!$A$5:$A$304,0)),"ERSS Pit",IF(ISNUMBER(MATCH($B18,Linkway_Register!$A$5:$A$304,0)),"Linkway",IF(ISNUMBER(MATCH($B18,Other_Register!$A$5:$A$304,0)),"Others",""))))))))</f>
        <v/>
      </c>
      <c r="H18" s="10" t="str">
        <f aca="false">IF($B18="","",IFERROR(INDEX(Drain_Register!$B$5:$B$304,MATCH($B18,Drain_Register!$A$5:$A$304,0)),IFERROR(INDEX(RW_Register!$B$5:$B$304,MATCH($B18,RW_Register!$A$5:$A$304,0)),IFERROR(INDEX(Embedded_Wall_Register!$B$5:$B$304,MATCH($B18,Embedded_Wall_Register!$A$5:$A$304,0)),IFERROR(INDEX(Manhole_Register!$B$5:$B$304,MATCH($B18,Manhole_Register!$A$5:$A$304,0)),IFERROR(INDEX(ERSS_Pit_Register!$B$5:$B$304,MATCH($B18,ERSS_Pit_Register!$A$5:$A$304,0)),IFERROR(INDEX(Linkway_Register!$B$5:$B$304,MATCH($B18,Linkway_Register!$A$5:$A$304,0)),IFERROR(INDEX(Other_Register!$B$5:$B$304,MATCH($B18,Other_Register!$A$5:$A$304,0)),"ID not found - check spelling"))))))))</f>
        <v/>
      </c>
      <c r="I18" s="10" t="str">
        <f aca="false">IF($B18="","",IFERROR(INDEX(Drain_Register!$AI$5:$AI$304,MATCH($B18,Drain_Register!$A$5:$A$304,0)),IFERROR(INDEX(RW_Register!$AO$5:$AO$304,MATCH($B18,RW_Register!$A$5:$A$304,0)),IFERROR(INDEX(Embedded_Wall_Register!$AM$5:$AM$304,MATCH($B18,Embedded_Wall_Register!$A$5:$A$304,0)),IFERROR(INDEX(Manhole_Register!$AM$5:$AM$304,MATCH($B18,Manhole_Register!$A$5:$A$304,0)),IFERROR(INDEX(ERSS_Pit_Register!$AG$5:$AG$304,MATCH($B18,ERSS_Pit_Register!$A$5:$A$304,0)),IFERROR(INDEX(Linkway_Register!$AI$5:$AI$304,MATCH($B18,Linkway_Register!$A$5:$A$304,0)),IFERROR(INDEX(Other_Register!$S$5:$S$304,MATCH($B18,Other_Register!$A$5:$A$304,0)),""))))))))</f>
        <v/>
      </c>
      <c r="J18" s="10" t="str">
        <f aca="false">IF($B18="","",IFERROR(INDEX(Drain_Register!$AJ$5:$AJ$304,MATCH($B18,Drain_Register!$A$5:$A$304,0)),IFERROR(INDEX(RW_Register!$AP$5:$AP$304,MATCH($B18,RW_Register!$A$5:$A$304,0)),IFERROR(INDEX(Embedded_Wall_Register!$AN$5:$AN$304,MATCH($B18,Embedded_Wall_Register!$A$5:$A$304,0)),IFERROR(INDEX(Manhole_Register!$AN$5:$AN$304,MATCH($B18,Manhole_Register!$A$5:$A$304,0)),IFERROR(INDEX(ERSS_Pit_Register!$AH$5:$AH$304,MATCH($B18,ERSS_Pit_Register!$A$5:$A$304,0)),IFERROR(INDEX(Linkway_Register!$AJ$5:$AJ$304,MATCH($B18,Linkway_Register!$A$5:$A$304,0)),IFERROR(INDEX(Other_Register!$T$5:$T$304,MATCH($B18,Other_Register!$A$5:$A$304,0)),""))))))))</f>
        <v/>
      </c>
      <c r="K18" s="10" t="str">
        <f aca="false">IF($B18="","",IFERROR(INDEX(Drain_Register!$AK$5:$AK$304,MATCH($B18,Drain_Register!$A$5:$A$304,0)),IFERROR(INDEX(RW_Register!$AQ$5:$AQ$304,MATCH($B18,RW_Register!$A$5:$A$304,0)),IFERROR(INDEX(Embedded_Wall_Register!$AO$5:$AO$304,MATCH($B18,Embedded_Wall_Register!$A$5:$A$304,0)),IFERROR(INDEX(Manhole_Register!$AO$5:$AO$304,MATCH($B18,Manhole_Register!$A$5:$A$304,0)),IFERROR(INDEX(ERSS_Pit_Register!$AI$5:$AI$304,MATCH($B18,ERSS_Pit_Register!$A$5:$A$304,0)),IFERROR(INDEX(Linkway_Register!$AK$5:$AK$304,MATCH($B18,Linkway_Register!$A$5:$A$304,0)),IFERROR(INDEX(Other_Register!$U$5:$U$304,MATCH($B18,Other_Register!$A$5:$A$304,0)),""))))))))</f>
        <v/>
      </c>
      <c r="L18" s="10" t="str">
        <f aca="false">IF($B18="","",IFERROR(INDEX(Drain_Register!$AL$5:$AL$304,MATCH($B18,Drain_Register!$A$5:$A$304,0)),IFERROR(INDEX(RW_Register!$AR$5:$AR$304,MATCH($B18,RW_Register!$A$5:$A$304,0)),IFERROR(INDEX(Embedded_Wall_Register!$AP$5:$AP$304,MATCH($B18,Embedded_Wall_Register!$A$5:$A$304,0)),IFERROR(INDEX(Manhole_Register!$AP$5:$AP$304,MATCH($B18,Manhole_Register!$A$5:$A$304,0)),IFERROR(INDEX(ERSS_Pit_Register!$AJ$5:$AJ$304,MATCH($B18,ERSS_Pit_Register!$A$5:$A$304,0)),IFERROR(INDEX(Linkway_Register!$AL$5:$AL$304,MATCH($B18,Linkway_Register!$A$5:$A$304,0)),IFERROR(INDEX(Other_Register!$V$5:$V$304,MATCH($B18,Other_Register!$A$5:$A$304,0)),""))))))))</f>
        <v/>
      </c>
      <c r="M18" s="10" t="str">
        <f aca="false">IF($B18="","",IFERROR(INDEX(Drain_Register!$AN$5:$AN$304,MATCH($B18,Drain_Register!$A$5:$A$304,0)),IFERROR(INDEX(RW_Register!$AT$5:$AT$304,MATCH($B18,RW_Register!$A$5:$A$304,0)),IFERROR(INDEX(Embedded_Wall_Register!$AR$5:$AR$304,MATCH($B18,Embedded_Wall_Register!$A$5:$A$304,0)),IFERROR(INDEX(Manhole_Register!$AR$5:$AR$304,MATCH($B18,Manhole_Register!$A$5:$A$304,0)),IFERROR(INDEX(ERSS_Pit_Register!$AL$5:$AL$304,MATCH($B18,ERSS_Pit_Register!$A$5:$A$304,0)),IFERROR(INDEX(Linkway_Register!$AN$5:$AN$304,MATCH($B18,Linkway_Register!$A$5:$A$304,0)),IFERROR(INDEX(Other_Register!$X$5:$X$304,MATCH($B18,Other_Register!$A$5:$A$304,0)),"")))))))&amp;IFERROR(INDEX(Drain_Register!$AO$5:$AO$304,MATCH($B18,Drain_Register!$A$5:$A$304,0)),IFERROR(INDEX(RW_Register!$AU$5:$AU$304,MATCH($B18,RW_Register!$A$5:$A$304,0)),IFERROR(INDEX(Embedded_Wall_Register!$AS$5:$AS$304,MATCH($B18,Embedded_Wall_Register!$A$5:$A$304,0)),IFERROR(INDEX(Manhole_Register!$AS$5:$AS$304,MATCH($B18,Manhole_Register!$A$5:$A$304,0)),IFERROR(INDEX(ERSS_Pit_Register!$AM$5:$AM$304,MATCH($B18,ERSS_Pit_Register!$A$5:$A$304,0)),IFERROR(INDEX(Linkway_Register!$AO$5:$AO$304,MATCH($B18,Linkway_Register!$A$5:$A$304,0)),IFERROR(INDEX(Other_Register!$Y$5:$Y$304,MATCH($B18,Other_Register!$A$5:$A$304,0)),""))))))))</f>
        <v/>
      </c>
      <c r="N18" s="19" t="str">
        <f aca="false">IF(OR($B18="",$D18=""),"",$D18*N(IFERROR(INDEX(Drain_Register!$AV$5:$AV$304,MATCH($B18,Drain_Register!$A$5:$A$304,0)),IFERROR(INDEX(RW_Register!$BB$5:$BB$304,MATCH($B18,RW_Register!$A$5:$A$304,0)),IFERROR(INDEX(Embedded_Wall_Register!$AZ$5:$AZ$304,MATCH($B18,Embedded_Wall_Register!$A$5:$A$304,0)),IFERROR(INDEX(Manhole_Register!$AZ$5:$AZ$304,MATCH($B18,Manhole_Register!$A$5:$A$304,0)),IFERROR(INDEX(ERSS_Pit_Register!$AT$5:$AT$304,MATCH($B18,ERSS_Pit_Register!$A$5:$A$304,0)),IFERROR(INDEX(Linkway_Register!$AV$5:$AV$304,MATCH($B18,Linkway_Register!$A$5:$A$304,0)),IFERROR(INDEX(Other_Register!$AF$5:$AF$304,MATCH($B18,Other_Register!$A$5:$A$304,0)),0)))))))))</f>
        <v/>
      </c>
      <c r="O18" s="20" t="str">
        <f aca="false">IF(OR($B18="",$D18=""),"",$D18*N(IFERROR(INDEX(Drain_Register!$AW$5:$AW$304,MATCH($B18,Drain_Register!$A$5:$A$304,0)),IFERROR(INDEX(RW_Register!$BC$5:$BC$304,MATCH($B18,RW_Register!$A$5:$A$304,0)),IFERROR(INDEX(Embedded_Wall_Register!$BA$5:$BA$304,MATCH($B18,Embedded_Wall_Register!$A$5:$A$304,0)),IFERROR(INDEX(Manhole_Register!$BA$5:$BA$304,MATCH($B18,Manhole_Register!$A$5:$A$304,0)),IFERROR(INDEX(ERSS_Pit_Register!$AU$5:$AU$304,MATCH($B18,ERSS_Pit_Register!$A$5:$A$304,0)),IFERROR(INDEX(Linkway_Register!$AW$5:$AW$304,MATCH($B18,Linkway_Register!$A$5:$A$304,0)),IFERROR(INDEX(Other_Register!$AG$5:$AG$304,MATCH($B18,Other_Register!$A$5:$A$304,0)),0))))))))/1000)</f>
        <v/>
      </c>
      <c r="P18" s="20" t="str">
        <f aca="false">IF(OR($B18="",$D18=""),"",$D18*N(IFERROR(INDEX(Drain_Register!$AX$5:$AX$304,MATCH($B18,Drain_Register!$A$5:$A$304,0)),IFERROR(INDEX(RW_Register!$BD$5:$BD$304,MATCH($B18,RW_Register!$A$5:$A$304,0)),IFERROR(INDEX(Embedded_Wall_Register!$BB$5:$BB$304,MATCH($B18,Embedded_Wall_Register!$A$5:$A$304,0)),IFERROR(INDEX(Manhole_Register!$BB$5:$BB$304,MATCH($B18,Manhole_Register!$A$5:$A$304,0)),IFERROR(INDEX(ERSS_Pit_Register!$AV$5:$AV$304,MATCH($B18,ERSS_Pit_Register!$A$5:$A$304,0)),IFERROR(INDEX(Linkway_Register!$AX$5:$AX$304,MATCH($B18,Linkway_Register!$A$5:$A$304,0)),IFERROR(INDEX(Other_Register!$AH$5:$AH$304,MATCH($B18,Other_Register!$A$5:$A$304,0)),0))))))))/1000)</f>
        <v/>
      </c>
      <c r="Q18" s="19" t="str">
        <f aca="false">IF(OR($B18="",$D18=""),"",$D18*N(IFERROR(INDEX(Drain_Register!$AY$5:$AY$304,MATCH($B18,Drain_Register!$A$5:$A$304,0)),IFERROR(INDEX(RW_Register!$BE$5:$BE$304,MATCH($B18,RW_Register!$A$5:$A$304,0)),IFERROR(INDEX(Embedded_Wall_Register!$BC$5:$BC$304,MATCH($B18,Embedded_Wall_Register!$A$5:$A$304,0)),IFERROR(INDEX(Manhole_Register!$BC$5:$BC$304,MATCH($B18,Manhole_Register!$A$5:$A$304,0)),IFERROR(INDEX(ERSS_Pit_Register!$AW$5:$AW$304,MATCH($B18,ERSS_Pit_Register!$A$5:$A$304,0)),IFERROR(INDEX(Linkway_Register!$AY$5:$AY$304,MATCH($B18,Linkway_Register!$A$5:$A$304,0)),IFERROR(INDEX(Other_Register!$AI$5:$AI$304,MATCH($B18,Other_Register!$A$5:$A$304,0)),0)))))))))</f>
        <v/>
      </c>
      <c r="R18" s="19" t="str">
        <f aca="false">IF(OR($B18="",$D18=""),"",$D18*N(IFERROR(INDEX(Drain_Register!$AZ$5:$AZ$304,MATCH($B18,Drain_Register!$A$5:$A$304,0)),IFERROR(INDEX(RW_Register!$BF$5:$BF$304,MATCH($B18,RW_Register!$A$5:$A$304,0)),IFERROR(INDEX(Embedded_Wall_Register!$BD$5:$BD$304,MATCH($B18,Embedded_Wall_Register!$A$5:$A$304,0)),IFERROR(INDEX(Manhole_Register!$BD$5:$BD$304,MATCH($B18,Manhole_Register!$A$5:$A$304,0)),IFERROR(INDEX(ERSS_Pit_Register!$AX$5:$AX$304,MATCH($B18,ERSS_Pit_Register!$A$5:$A$304,0)),IFERROR(INDEX(Linkway_Register!$AZ$5:$AZ$304,MATCH($B18,Linkway_Register!$A$5:$A$304,0)),IFERROR(INDEX(Other_Register!$AJ$5:$AJ$304,MATCH($B18,Other_Register!$A$5:$A$304,0)),0)))))))))</f>
        <v/>
      </c>
      <c r="S18" s="10" t="str">
        <f aca="false">IF($B18="","",IF(G18="","ID not found",IF(J18&lt;&gt;"Approved","WARNING: status is "&amp;J18,IF(IFERROR(INDEX(Drain_Register!$CA$5:$CA$304,MATCH($B18,Drain_Register!$A$5:$A$304,0)),IFERROR(INDEX(RW_Register!$CF$5:$CF$304,MATCH($B18,RW_Register!$A$5:$A$304,0)),IFERROR(INDEX(Embedded_Wall_Register!$CD$5:$CD$304,MATCH($B18,Embedded_Wall_Register!$A$5:$A$304,0)),IFERROR(INDEX(Manhole_Register!$CC$5:$CC$304,MATCH($B18,Manhole_Register!$A$5:$A$304,0)),IFERROR(INDEX(ERSS_Pit_Register!$BX$5:$BX$304,MATCH($B18,ERSS_Pit_Register!$A$5:$A$304,0)),IFERROR(INDEX(Linkway_Register!$BY$5:$BY$304,MATCH($B18,Linkway_Register!$A$5:$A$304,0)),IFERROR(INDEX(Other_Register!$BI$5:$BI$304,MATCH($B18,Other_Register!$A$5:$A$304,0)),"")))))))="N","WARNING: fails SG compliance check",IF(D18="","Enter length / qty",IF(E18="","Enter CAD sheet no.","OK"))))))</f>
        <v/>
      </c>
    </row>
    <row r="19" customFormat="false" ht="15" hidden="false" customHeight="false" outlineLevel="0" collapsed="false">
      <c r="A19" s="9"/>
      <c r="B19" s="9"/>
      <c r="C19" s="9"/>
      <c r="D19" s="9"/>
      <c r="E19" s="9"/>
      <c r="F19" s="10" t="str">
        <f aca="false">IF($B19="","",IFERROR(INDEX(Drain_Register!$AU$5:$AU$304,MATCH($B19,Drain_Register!$A$5:$A$304,0)),IFERROR(INDEX(RW_Register!$BA$5:$BA$304,MATCH($B19,RW_Register!$A$5:$A$304,0)),IFERROR(INDEX(Embedded_Wall_Register!$AY$5:$AY$304,MATCH($B19,Embedded_Wall_Register!$A$5:$A$304,0)),IFERROR(INDEX(Manhole_Register!$AY$5:$AY$304,MATCH($B19,Manhole_Register!$A$5:$A$304,0)),IFERROR(INDEX(ERSS_Pit_Register!$AS$5:$AS$304,MATCH($B19,ERSS_Pit_Register!$A$5:$A$304,0)),IFERROR(INDEX(Linkway_Register!$AU$5:$AU$304,MATCH($B19,Linkway_Register!$A$5:$A$304,0)),IFERROR(INDEX(Other_Register!$AE$5:$AE$304,MATCH($B19,Other_Register!$A$5:$A$304,0)),""))))))))</f>
        <v/>
      </c>
      <c r="G19" s="10" t="str">
        <f aca="false">IF($B19="","",IF(ISNUMBER(MATCH($B19,Drain_Register!$A$5:$A$304,0)),"Drain",IF(ISNUMBER(MATCH($B19,RW_Register!$A$5:$A$304,0)),"Ret. Wall",IF(ISNUMBER(MATCH($B19,Embedded_Wall_Register!$A$5:$A$304,0)),"Embedded Wall",IF(ISNUMBER(MATCH($B19,Manhole_Register!$A$5:$A$304,0)),"Manhole",IF(ISNUMBER(MATCH($B19,ERSS_Pit_Register!$A$5:$A$304,0)),"ERSS Pit",IF(ISNUMBER(MATCH($B19,Linkway_Register!$A$5:$A$304,0)),"Linkway",IF(ISNUMBER(MATCH($B19,Other_Register!$A$5:$A$304,0)),"Others",""))))))))</f>
        <v/>
      </c>
      <c r="H19" s="10" t="str">
        <f aca="false">IF($B19="","",IFERROR(INDEX(Drain_Register!$B$5:$B$304,MATCH($B19,Drain_Register!$A$5:$A$304,0)),IFERROR(INDEX(RW_Register!$B$5:$B$304,MATCH($B19,RW_Register!$A$5:$A$304,0)),IFERROR(INDEX(Embedded_Wall_Register!$B$5:$B$304,MATCH($B19,Embedded_Wall_Register!$A$5:$A$304,0)),IFERROR(INDEX(Manhole_Register!$B$5:$B$304,MATCH($B19,Manhole_Register!$A$5:$A$304,0)),IFERROR(INDEX(ERSS_Pit_Register!$B$5:$B$304,MATCH($B19,ERSS_Pit_Register!$A$5:$A$304,0)),IFERROR(INDEX(Linkway_Register!$B$5:$B$304,MATCH($B19,Linkway_Register!$A$5:$A$304,0)),IFERROR(INDEX(Other_Register!$B$5:$B$304,MATCH($B19,Other_Register!$A$5:$A$304,0)),"ID not found - check spelling"))))))))</f>
        <v/>
      </c>
      <c r="I19" s="10" t="str">
        <f aca="false">IF($B19="","",IFERROR(INDEX(Drain_Register!$AI$5:$AI$304,MATCH($B19,Drain_Register!$A$5:$A$304,0)),IFERROR(INDEX(RW_Register!$AO$5:$AO$304,MATCH($B19,RW_Register!$A$5:$A$304,0)),IFERROR(INDEX(Embedded_Wall_Register!$AM$5:$AM$304,MATCH($B19,Embedded_Wall_Register!$A$5:$A$304,0)),IFERROR(INDEX(Manhole_Register!$AM$5:$AM$304,MATCH($B19,Manhole_Register!$A$5:$A$304,0)),IFERROR(INDEX(ERSS_Pit_Register!$AG$5:$AG$304,MATCH($B19,ERSS_Pit_Register!$A$5:$A$304,0)),IFERROR(INDEX(Linkway_Register!$AI$5:$AI$304,MATCH($B19,Linkway_Register!$A$5:$A$304,0)),IFERROR(INDEX(Other_Register!$S$5:$S$304,MATCH($B19,Other_Register!$A$5:$A$304,0)),""))))))))</f>
        <v/>
      </c>
      <c r="J19" s="10" t="str">
        <f aca="false">IF($B19="","",IFERROR(INDEX(Drain_Register!$AJ$5:$AJ$304,MATCH($B19,Drain_Register!$A$5:$A$304,0)),IFERROR(INDEX(RW_Register!$AP$5:$AP$304,MATCH($B19,RW_Register!$A$5:$A$304,0)),IFERROR(INDEX(Embedded_Wall_Register!$AN$5:$AN$304,MATCH($B19,Embedded_Wall_Register!$A$5:$A$304,0)),IFERROR(INDEX(Manhole_Register!$AN$5:$AN$304,MATCH($B19,Manhole_Register!$A$5:$A$304,0)),IFERROR(INDEX(ERSS_Pit_Register!$AH$5:$AH$304,MATCH($B19,ERSS_Pit_Register!$A$5:$A$304,0)),IFERROR(INDEX(Linkway_Register!$AJ$5:$AJ$304,MATCH($B19,Linkway_Register!$A$5:$A$304,0)),IFERROR(INDEX(Other_Register!$T$5:$T$304,MATCH($B19,Other_Register!$A$5:$A$304,0)),""))))))))</f>
        <v/>
      </c>
      <c r="K19" s="10" t="str">
        <f aca="false">IF($B19="","",IFERROR(INDEX(Drain_Register!$AK$5:$AK$304,MATCH($B19,Drain_Register!$A$5:$A$304,0)),IFERROR(INDEX(RW_Register!$AQ$5:$AQ$304,MATCH($B19,RW_Register!$A$5:$A$304,0)),IFERROR(INDEX(Embedded_Wall_Register!$AO$5:$AO$304,MATCH($B19,Embedded_Wall_Register!$A$5:$A$304,0)),IFERROR(INDEX(Manhole_Register!$AO$5:$AO$304,MATCH($B19,Manhole_Register!$A$5:$A$304,0)),IFERROR(INDEX(ERSS_Pit_Register!$AI$5:$AI$304,MATCH($B19,ERSS_Pit_Register!$A$5:$A$304,0)),IFERROR(INDEX(Linkway_Register!$AK$5:$AK$304,MATCH($B19,Linkway_Register!$A$5:$A$304,0)),IFERROR(INDEX(Other_Register!$U$5:$U$304,MATCH($B19,Other_Register!$A$5:$A$304,0)),""))))))))</f>
        <v/>
      </c>
      <c r="L19" s="10" t="str">
        <f aca="false">IF($B19="","",IFERROR(INDEX(Drain_Register!$AL$5:$AL$304,MATCH($B19,Drain_Register!$A$5:$A$304,0)),IFERROR(INDEX(RW_Register!$AR$5:$AR$304,MATCH($B19,RW_Register!$A$5:$A$304,0)),IFERROR(INDEX(Embedded_Wall_Register!$AP$5:$AP$304,MATCH($B19,Embedded_Wall_Register!$A$5:$A$304,0)),IFERROR(INDEX(Manhole_Register!$AP$5:$AP$304,MATCH($B19,Manhole_Register!$A$5:$A$304,0)),IFERROR(INDEX(ERSS_Pit_Register!$AJ$5:$AJ$304,MATCH($B19,ERSS_Pit_Register!$A$5:$A$304,0)),IFERROR(INDEX(Linkway_Register!$AL$5:$AL$304,MATCH($B19,Linkway_Register!$A$5:$A$304,0)),IFERROR(INDEX(Other_Register!$V$5:$V$304,MATCH($B19,Other_Register!$A$5:$A$304,0)),""))))))))</f>
        <v/>
      </c>
      <c r="M19" s="10" t="str">
        <f aca="false">IF($B19="","",IFERROR(INDEX(Drain_Register!$AN$5:$AN$304,MATCH($B19,Drain_Register!$A$5:$A$304,0)),IFERROR(INDEX(RW_Register!$AT$5:$AT$304,MATCH($B19,RW_Register!$A$5:$A$304,0)),IFERROR(INDEX(Embedded_Wall_Register!$AR$5:$AR$304,MATCH($B19,Embedded_Wall_Register!$A$5:$A$304,0)),IFERROR(INDEX(Manhole_Register!$AR$5:$AR$304,MATCH($B19,Manhole_Register!$A$5:$A$304,0)),IFERROR(INDEX(ERSS_Pit_Register!$AL$5:$AL$304,MATCH($B19,ERSS_Pit_Register!$A$5:$A$304,0)),IFERROR(INDEX(Linkway_Register!$AN$5:$AN$304,MATCH($B19,Linkway_Register!$A$5:$A$304,0)),IFERROR(INDEX(Other_Register!$X$5:$X$304,MATCH($B19,Other_Register!$A$5:$A$304,0)),"")))))))&amp;IFERROR(INDEX(Drain_Register!$AO$5:$AO$304,MATCH($B19,Drain_Register!$A$5:$A$304,0)),IFERROR(INDEX(RW_Register!$AU$5:$AU$304,MATCH($B19,RW_Register!$A$5:$A$304,0)),IFERROR(INDEX(Embedded_Wall_Register!$AS$5:$AS$304,MATCH($B19,Embedded_Wall_Register!$A$5:$A$304,0)),IFERROR(INDEX(Manhole_Register!$AS$5:$AS$304,MATCH($B19,Manhole_Register!$A$5:$A$304,0)),IFERROR(INDEX(ERSS_Pit_Register!$AM$5:$AM$304,MATCH($B19,ERSS_Pit_Register!$A$5:$A$304,0)),IFERROR(INDEX(Linkway_Register!$AO$5:$AO$304,MATCH($B19,Linkway_Register!$A$5:$A$304,0)),IFERROR(INDEX(Other_Register!$Y$5:$Y$304,MATCH($B19,Other_Register!$A$5:$A$304,0)),""))))))))</f>
        <v/>
      </c>
      <c r="N19" s="19" t="str">
        <f aca="false">IF(OR($B19="",$D19=""),"",$D19*N(IFERROR(INDEX(Drain_Register!$AV$5:$AV$304,MATCH($B19,Drain_Register!$A$5:$A$304,0)),IFERROR(INDEX(RW_Register!$BB$5:$BB$304,MATCH($B19,RW_Register!$A$5:$A$304,0)),IFERROR(INDEX(Embedded_Wall_Register!$AZ$5:$AZ$304,MATCH($B19,Embedded_Wall_Register!$A$5:$A$304,0)),IFERROR(INDEX(Manhole_Register!$AZ$5:$AZ$304,MATCH($B19,Manhole_Register!$A$5:$A$304,0)),IFERROR(INDEX(ERSS_Pit_Register!$AT$5:$AT$304,MATCH($B19,ERSS_Pit_Register!$A$5:$A$304,0)),IFERROR(INDEX(Linkway_Register!$AV$5:$AV$304,MATCH($B19,Linkway_Register!$A$5:$A$304,0)),IFERROR(INDEX(Other_Register!$AF$5:$AF$304,MATCH($B19,Other_Register!$A$5:$A$304,0)),0)))))))))</f>
        <v/>
      </c>
      <c r="O19" s="20" t="str">
        <f aca="false">IF(OR($B19="",$D19=""),"",$D19*N(IFERROR(INDEX(Drain_Register!$AW$5:$AW$304,MATCH($B19,Drain_Register!$A$5:$A$304,0)),IFERROR(INDEX(RW_Register!$BC$5:$BC$304,MATCH($B19,RW_Register!$A$5:$A$304,0)),IFERROR(INDEX(Embedded_Wall_Register!$BA$5:$BA$304,MATCH($B19,Embedded_Wall_Register!$A$5:$A$304,0)),IFERROR(INDEX(Manhole_Register!$BA$5:$BA$304,MATCH($B19,Manhole_Register!$A$5:$A$304,0)),IFERROR(INDEX(ERSS_Pit_Register!$AU$5:$AU$304,MATCH($B19,ERSS_Pit_Register!$A$5:$A$304,0)),IFERROR(INDEX(Linkway_Register!$AW$5:$AW$304,MATCH($B19,Linkway_Register!$A$5:$A$304,0)),IFERROR(INDEX(Other_Register!$AG$5:$AG$304,MATCH($B19,Other_Register!$A$5:$A$304,0)),0))))))))/1000)</f>
        <v/>
      </c>
      <c r="P19" s="20" t="str">
        <f aca="false">IF(OR($B19="",$D19=""),"",$D19*N(IFERROR(INDEX(Drain_Register!$AX$5:$AX$304,MATCH($B19,Drain_Register!$A$5:$A$304,0)),IFERROR(INDEX(RW_Register!$BD$5:$BD$304,MATCH($B19,RW_Register!$A$5:$A$304,0)),IFERROR(INDEX(Embedded_Wall_Register!$BB$5:$BB$304,MATCH($B19,Embedded_Wall_Register!$A$5:$A$304,0)),IFERROR(INDEX(Manhole_Register!$BB$5:$BB$304,MATCH($B19,Manhole_Register!$A$5:$A$304,0)),IFERROR(INDEX(ERSS_Pit_Register!$AV$5:$AV$304,MATCH($B19,ERSS_Pit_Register!$A$5:$A$304,0)),IFERROR(INDEX(Linkway_Register!$AX$5:$AX$304,MATCH($B19,Linkway_Register!$A$5:$A$304,0)),IFERROR(INDEX(Other_Register!$AH$5:$AH$304,MATCH($B19,Other_Register!$A$5:$A$304,0)),0))))))))/1000)</f>
        <v/>
      </c>
      <c r="Q19" s="19" t="str">
        <f aca="false">IF(OR($B19="",$D19=""),"",$D19*N(IFERROR(INDEX(Drain_Register!$AY$5:$AY$304,MATCH($B19,Drain_Register!$A$5:$A$304,0)),IFERROR(INDEX(RW_Register!$BE$5:$BE$304,MATCH($B19,RW_Register!$A$5:$A$304,0)),IFERROR(INDEX(Embedded_Wall_Register!$BC$5:$BC$304,MATCH($B19,Embedded_Wall_Register!$A$5:$A$304,0)),IFERROR(INDEX(Manhole_Register!$BC$5:$BC$304,MATCH($B19,Manhole_Register!$A$5:$A$304,0)),IFERROR(INDEX(ERSS_Pit_Register!$AW$5:$AW$304,MATCH($B19,ERSS_Pit_Register!$A$5:$A$304,0)),IFERROR(INDEX(Linkway_Register!$AY$5:$AY$304,MATCH($B19,Linkway_Register!$A$5:$A$304,0)),IFERROR(INDEX(Other_Register!$AI$5:$AI$304,MATCH($B19,Other_Register!$A$5:$A$304,0)),0)))))))))</f>
        <v/>
      </c>
      <c r="R19" s="19" t="str">
        <f aca="false">IF(OR($B19="",$D19=""),"",$D19*N(IFERROR(INDEX(Drain_Register!$AZ$5:$AZ$304,MATCH($B19,Drain_Register!$A$5:$A$304,0)),IFERROR(INDEX(RW_Register!$BF$5:$BF$304,MATCH($B19,RW_Register!$A$5:$A$304,0)),IFERROR(INDEX(Embedded_Wall_Register!$BD$5:$BD$304,MATCH($B19,Embedded_Wall_Register!$A$5:$A$304,0)),IFERROR(INDEX(Manhole_Register!$BD$5:$BD$304,MATCH($B19,Manhole_Register!$A$5:$A$304,0)),IFERROR(INDEX(ERSS_Pit_Register!$AX$5:$AX$304,MATCH($B19,ERSS_Pit_Register!$A$5:$A$304,0)),IFERROR(INDEX(Linkway_Register!$AZ$5:$AZ$304,MATCH($B19,Linkway_Register!$A$5:$A$304,0)),IFERROR(INDEX(Other_Register!$AJ$5:$AJ$304,MATCH($B19,Other_Register!$A$5:$A$304,0)),0)))))))))</f>
        <v/>
      </c>
      <c r="S19" s="10" t="str">
        <f aca="false">IF($B19="","",IF(G19="","ID not found",IF(J19&lt;&gt;"Approved","WARNING: status is "&amp;J19,IF(IFERROR(INDEX(Drain_Register!$CA$5:$CA$304,MATCH($B19,Drain_Register!$A$5:$A$304,0)),IFERROR(INDEX(RW_Register!$CF$5:$CF$304,MATCH($B19,RW_Register!$A$5:$A$304,0)),IFERROR(INDEX(Embedded_Wall_Register!$CD$5:$CD$304,MATCH($B19,Embedded_Wall_Register!$A$5:$A$304,0)),IFERROR(INDEX(Manhole_Register!$CC$5:$CC$304,MATCH($B19,Manhole_Register!$A$5:$A$304,0)),IFERROR(INDEX(ERSS_Pit_Register!$BX$5:$BX$304,MATCH($B19,ERSS_Pit_Register!$A$5:$A$304,0)),IFERROR(INDEX(Linkway_Register!$BY$5:$BY$304,MATCH($B19,Linkway_Register!$A$5:$A$304,0)),IFERROR(INDEX(Other_Register!$BI$5:$BI$304,MATCH($B19,Other_Register!$A$5:$A$304,0)),"")))))))="N","WARNING: fails SG compliance check",IF(D19="","Enter length / qty",IF(E19="","Enter CAD sheet no.","OK"))))))</f>
        <v/>
      </c>
    </row>
    <row r="20" customFormat="false" ht="15" hidden="false" customHeight="false" outlineLevel="0" collapsed="false">
      <c r="A20" s="9"/>
      <c r="B20" s="9"/>
      <c r="C20" s="9"/>
      <c r="D20" s="9"/>
      <c r="E20" s="9"/>
      <c r="F20" s="10" t="str">
        <f aca="false">IF($B20="","",IFERROR(INDEX(Drain_Register!$AU$5:$AU$304,MATCH($B20,Drain_Register!$A$5:$A$304,0)),IFERROR(INDEX(RW_Register!$BA$5:$BA$304,MATCH($B20,RW_Register!$A$5:$A$304,0)),IFERROR(INDEX(Embedded_Wall_Register!$AY$5:$AY$304,MATCH($B20,Embedded_Wall_Register!$A$5:$A$304,0)),IFERROR(INDEX(Manhole_Register!$AY$5:$AY$304,MATCH($B20,Manhole_Register!$A$5:$A$304,0)),IFERROR(INDEX(ERSS_Pit_Register!$AS$5:$AS$304,MATCH($B20,ERSS_Pit_Register!$A$5:$A$304,0)),IFERROR(INDEX(Linkway_Register!$AU$5:$AU$304,MATCH($B20,Linkway_Register!$A$5:$A$304,0)),IFERROR(INDEX(Other_Register!$AE$5:$AE$304,MATCH($B20,Other_Register!$A$5:$A$304,0)),""))))))))</f>
        <v/>
      </c>
      <c r="G20" s="10" t="str">
        <f aca="false">IF($B20="","",IF(ISNUMBER(MATCH($B20,Drain_Register!$A$5:$A$304,0)),"Drain",IF(ISNUMBER(MATCH($B20,RW_Register!$A$5:$A$304,0)),"Ret. Wall",IF(ISNUMBER(MATCH($B20,Embedded_Wall_Register!$A$5:$A$304,0)),"Embedded Wall",IF(ISNUMBER(MATCH($B20,Manhole_Register!$A$5:$A$304,0)),"Manhole",IF(ISNUMBER(MATCH($B20,ERSS_Pit_Register!$A$5:$A$304,0)),"ERSS Pit",IF(ISNUMBER(MATCH($B20,Linkway_Register!$A$5:$A$304,0)),"Linkway",IF(ISNUMBER(MATCH($B20,Other_Register!$A$5:$A$304,0)),"Others",""))))))))</f>
        <v/>
      </c>
      <c r="H20" s="10" t="str">
        <f aca="false">IF($B20="","",IFERROR(INDEX(Drain_Register!$B$5:$B$304,MATCH($B20,Drain_Register!$A$5:$A$304,0)),IFERROR(INDEX(RW_Register!$B$5:$B$304,MATCH($B20,RW_Register!$A$5:$A$304,0)),IFERROR(INDEX(Embedded_Wall_Register!$B$5:$B$304,MATCH($B20,Embedded_Wall_Register!$A$5:$A$304,0)),IFERROR(INDEX(Manhole_Register!$B$5:$B$304,MATCH($B20,Manhole_Register!$A$5:$A$304,0)),IFERROR(INDEX(ERSS_Pit_Register!$B$5:$B$304,MATCH($B20,ERSS_Pit_Register!$A$5:$A$304,0)),IFERROR(INDEX(Linkway_Register!$B$5:$B$304,MATCH($B20,Linkway_Register!$A$5:$A$304,0)),IFERROR(INDEX(Other_Register!$B$5:$B$304,MATCH($B20,Other_Register!$A$5:$A$304,0)),"ID not found - check spelling"))))))))</f>
        <v/>
      </c>
      <c r="I20" s="10" t="str">
        <f aca="false">IF($B20="","",IFERROR(INDEX(Drain_Register!$AI$5:$AI$304,MATCH($B20,Drain_Register!$A$5:$A$304,0)),IFERROR(INDEX(RW_Register!$AO$5:$AO$304,MATCH($B20,RW_Register!$A$5:$A$304,0)),IFERROR(INDEX(Embedded_Wall_Register!$AM$5:$AM$304,MATCH($B20,Embedded_Wall_Register!$A$5:$A$304,0)),IFERROR(INDEX(Manhole_Register!$AM$5:$AM$304,MATCH($B20,Manhole_Register!$A$5:$A$304,0)),IFERROR(INDEX(ERSS_Pit_Register!$AG$5:$AG$304,MATCH($B20,ERSS_Pit_Register!$A$5:$A$304,0)),IFERROR(INDEX(Linkway_Register!$AI$5:$AI$304,MATCH($B20,Linkway_Register!$A$5:$A$304,0)),IFERROR(INDEX(Other_Register!$S$5:$S$304,MATCH($B20,Other_Register!$A$5:$A$304,0)),""))))))))</f>
        <v/>
      </c>
      <c r="J20" s="10" t="str">
        <f aca="false">IF($B20="","",IFERROR(INDEX(Drain_Register!$AJ$5:$AJ$304,MATCH($B20,Drain_Register!$A$5:$A$304,0)),IFERROR(INDEX(RW_Register!$AP$5:$AP$304,MATCH($B20,RW_Register!$A$5:$A$304,0)),IFERROR(INDEX(Embedded_Wall_Register!$AN$5:$AN$304,MATCH($B20,Embedded_Wall_Register!$A$5:$A$304,0)),IFERROR(INDEX(Manhole_Register!$AN$5:$AN$304,MATCH($B20,Manhole_Register!$A$5:$A$304,0)),IFERROR(INDEX(ERSS_Pit_Register!$AH$5:$AH$304,MATCH($B20,ERSS_Pit_Register!$A$5:$A$304,0)),IFERROR(INDEX(Linkway_Register!$AJ$5:$AJ$304,MATCH($B20,Linkway_Register!$A$5:$A$304,0)),IFERROR(INDEX(Other_Register!$T$5:$T$304,MATCH($B20,Other_Register!$A$5:$A$304,0)),""))))))))</f>
        <v/>
      </c>
      <c r="K20" s="10" t="str">
        <f aca="false">IF($B20="","",IFERROR(INDEX(Drain_Register!$AK$5:$AK$304,MATCH($B20,Drain_Register!$A$5:$A$304,0)),IFERROR(INDEX(RW_Register!$AQ$5:$AQ$304,MATCH($B20,RW_Register!$A$5:$A$304,0)),IFERROR(INDEX(Embedded_Wall_Register!$AO$5:$AO$304,MATCH($B20,Embedded_Wall_Register!$A$5:$A$304,0)),IFERROR(INDEX(Manhole_Register!$AO$5:$AO$304,MATCH($B20,Manhole_Register!$A$5:$A$304,0)),IFERROR(INDEX(ERSS_Pit_Register!$AI$5:$AI$304,MATCH($B20,ERSS_Pit_Register!$A$5:$A$304,0)),IFERROR(INDEX(Linkway_Register!$AK$5:$AK$304,MATCH($B20,Linkway_Register!$A$5:$A$304,0)),IFERROR(INDEX(Other_Register!$U$5:$U$304,MATCH($B20,Other_Register!$A$5:$A$304,0)),""))))))))</f>
        <v/>
      </c>
      <c r="L20" s="10" t="str">
        <f aca="false">IF($B20="","",IFERROR(INDEX(Drain_Register!$AL$5:$AL$304,MATCH($B20,Drain_Register!$A$5:$A$304,0)),IFERROR(INDEX(RW_Register!$AR$5:$AR$304,MATCH($B20,RW_Register!$A$5:$A$304,0)),IFERROR(INDEX(Embedded_Wall_Register!$AP$5:$AP$304,MATCH($B20,Embedded_Wall_Register!$A$5:$A$304,0)),IFERROR(INDEX(Manhole_Register!$AP$5:$AP$304,MATCH($B20,Manhole_Register!$A$5:$A$304,0)),IFERROR(INDEX(ERSS_Pit_Register!$AJ$5:$AJ$304,MATCH($B20,ERSS_Pit_Register!$A$5:$A$304,0)),IFERROR(INDEX(Linkway_Register!$AL$5:$AL$304,MATCH($B20,Linkway_Register!$A$5:$A$304,0)),IFERROR(INDEX(Other_Register!$V$5:$V$304,MATCH($B20,Other_Register!$A$5:$A$304,0)),""))))))))</f>
        <v/>
      </c>
      <c r="M20" s="10" t="str">
        <f aca="false">IF($B20="","",IFERROR(INDEX(Drain_Register!$AN$5:$AN$304,MATCH($B20,Drain_Register!$A$5:$A$304,0)),IFERROR(INDEX(RW_Register!$AT$5:$AT$304,MATCH($B20,RW_Register!$A$5:$A$304,0)),IFERROR(INDEX(Embedded_Wall_Register!$AR$5:$AR$304,MATCH($B20,Embedded_Wall_Register!$A$5:$A$304,0)),IFERROR(INDEX(Manhole_Register!$AR$5:$AR$304,MATCH($B20,Manhole_Register!$A$5:$A$304,0)),IFERROR(INDEX(ERSS_Pit_Register!$AL$5:$AL$304,MATCH($B20,ERSS_Pit_Register!$A$5:$A$304,0)),IFERROR(INDEX(Linkway_Register!$AN$5:$AN$304,MATCH($B20,Linkway_Register!$A$5:$A$304,0)),IFERROR(INDEX(Other_Register!$X$5:$X$304,MATCH($B20,Other_Register!$A$5:$A$304,0)),"")))))))&amp;IFERROR(INDEX(Drain_Register!$AO$5:$AO$304,MATCH($B20,Drain_Register!$A$5:$A$304,0)),IFERROR(INDEX(RW_Register!$AU$5:$AU$304,MATCH($B20,RW_Register!$A$5:$A$304,0)),IFERROR(INDEX(Embedded_Wall_Register!$AS$5:$AS$304,MATCH($B20,Embedded_Wall_Register!$A$5:$A$304,0)),IFERROR(INDEX(Manhole_Register!$AS$5:$AS$304,MATCH($B20,Manhole_Register!$A$5:$A$304,0)),IFERROR(INDEX(ERSS_Pit_Register!$AM$5:$AM$304,MATCH($B20,ERSS_Pit_Register!$A$5:$A$304,0)),IFERROR(INDEX(Linkway_Register!$AO$5:$AO$304,MATCH($B20,Linkway_Register!$A$5:$A$304,0)),IFERROR(INDEX(Other_Register!$Y$5:$Y$304,MATCH($B20,Other_Register!$A$5:$A$304,0)),""))))))))</f>
        <v/>
      </c>
      <c r="N20" s="19" t="str">
        <f aca="false">IF(OR($B20="",$D20=""),"",$D20*N(IFERROR(INDEX(Drain_Register!$AV$5:$AV$304,MATCH($B20,Drain_Register!$A$5:$A$304,0)),IFERROR(INDEX(RW_Register!$BB$5:$BB$304,MATCH($B20,RW_Register!$A$5:$A$304,0)),IFERROR(INDEX(Embedded_Wall_Register!$AZ$5:$AZ$304,MATCH($B20,Embedded_Wall_Register!$A$5:$A$304,0)),IFERROR(INDEX(Manhole_Register!$AZ$5:$AZ$304,MATCH($B20,Manhole_Register!$A$5:$A$304,0)),IFERROR(INDEX(ERSS_Pit_Register!$AT$5:$AT$304,MATCH($B20,ERSS_Pit_Register!$A$5:$A$304,0)),IFERROR(INDEX(Linkway_Register!$AV$5:$AV$304,MATCH($B20,Linkway_Register!$A$5:$A$304,0)),IFERROR(INDEX(Other_Register!$AF$5:$AF$304,MATCH($B20,Other_Register!$A$5:$A$304,0)),0)))))))))</f>
        <v/>
      </c>
      <c r="O20" s="20" t="str">
        <f aca="false">IF(OR($B20="",$D20=""),"",$D20*N(IFERROR(INDEX(Drain_Register!$AW$5:$AW$304,MATCH($B20,Drain_Register!$A$5:$A$304,0)),IFERROR(INDEX(RW_Register!$BC$5:$BC$304,MATCH($B20,RW_Register!$A$5:$A$304,0)),IFERROR(INDEX(Embedded_Wall_Register!$BA$5:$BA$304,MATCH($B20,Embedded_Wall_Register!$A$5:$A$304,0)),IFERROR(INDEX(Manhole_Register!$BA$5:$BA$304,MATCH($B20,Manhole_Register!$A$5:$A$304,0)),IFERROR(INDEX(ERSS_Pit_Register!$AU$5:$AU$304,MATCH($B20,ERSS_Pit_Register!$A$5:$A$304,0)),IFERROR(INDEX(Linkway_Register!$AW$5:$AW$304,MATCH($B20,Linkway_Register!$A$5:$A$304,0)),IFERROR(INDEX(Other_Register!$AG$5:$AG$304,MATCH($B20,Other_Register!$A$5:$A$304,0)),0))))))))/1000)</f>
        <v/>
      </c>
      <c r="P20" s="20" t="str">
        <f aca="false">IF(OR($B20="",$D20=""),"",$D20*N(IFERROR(INDEX(Drain_Register!$AX$5:$AX$304,MATCH($B20,Drain_Register!$A$5:$A$304,0)),IFERROR(INDEX(RW_Register!$BD$5:$BD$304,MATCH($B20,RW_Register!$A$5:$A$304,0)),IFERROR(INDEX(Embedded_Wall_Register!$BB$5:$BB$304,MATCH($B20,Embedded_Wall_Register!$A$5:$A$304,0)),IFERROR(INDEX(Manhole_Register!$BB$5:$BB$304,MATCH($B20,Manhole_Register!$A$5:$A$304,0)),IFERROR(INDEX(ERSS_Pit_Register!$AV$5:$AV$304,MATCH($B20,ERSS_Pit_Register!$A$5:$A$304,0)),IFERROR(INDEX(Linkway_Register!$AX$5:$AX$304,MATCH($B20,Linkway_Register!$A$5:$A$304,0)),IFERROR(INDEX(Other_Register!$AH$5:$AH$304,MATCH($B20,Other_Register!$A$5:$A$304,0)),0))))))))/1000)</f>
        <v/>
      </c>
      <c r="Q20" s="19" t="str">
        <f aca="false">IF(OR($B20="",$D20=""),"",$D20*N(IFERROR(INDEX(Drain_Register!$AY$5:$AY$304,MATCH($B20,Drain_Register!$A$5:$A$304,0)),IFERROR(INDEX(RW_Register!$BE$5:$BE$304,MATCH($B20,RW_Register!$A$5:$A$304,0)),IFERROR(INDEX(Embedded_Wall_Register!$BC$5:$BC$304,MATCH($B20,Embedded_Wall_Register!$A$5:$A$304,0)),IFERROR(INDEX(Manhole_Register!$BC$5:$BC$304,MATCH($B20,Manhole_Register!$A$5:$A$304,0)),IFERROR(INDEX(ERSS_Pit_Register!$AW$5:$AW$304,MATCH($B20,ERSS_Pit_Register!$A$5:$A$304,0)),IFERROR(INDEX(Linkway_Register!$AY$5:$AY$304,MATCH($B20,Linkway_Register!$A$5:$A$304,0)),IFERROR(INDEX(Other_Register!$AI$5:$AI$304,MATCH($B20,Other_Register!$A$5:$A$304,0)),0)))))))))</f>
        <v/>
      </c>
      <c r="R20" s="19" t="str">
        <f aca="false">IF(OR($B20="",$D20=""),"",$D20*N(IFERROR(INDEX(Drain_Register!$AZ$5:$AZ$304,MATCH($B20,Drain_Register!$A$5:$A$304,0)),IFERROR(INDEX(RW_Register!$BF$5:$BF$304,MATCH($B20,RW_Register!$A$5:$A$304,0)),IFERROR(INDEX(Embedded_Wall_Register!$BD$5:$BD$304,MATCH($B20,Embedded_Wall_Register!$A$5:$A$304,0)),IFERROR(INDEX(Manhole_Register!$BD$5:$BD$304,MATCH($B20,Manhole_Register!$A$5:$A$304,0)),IFERROR(INDEX(ERSS_Pit_Register!$AX$5:$AX$304,MATCH($B20,ERSS_Pit_Register!$A$5:$A$304,0)),IFERROR(INDEX(Linkway_Register!$AZ$5:$AZ$304,MATCH($B20,Linkway_Register!$A$5:$A$304,0)),IFERROR(INDEX(Other_Register!$AJ$5:$AJ$304,MATCH($B20,Other_Register!$A$5:$A$304,0)),0)))))))))</f>
        <v/>
      </c>
      <c r="S20" s="10" t="str">
        <f aca="false">IF($B20="","",IF(G20="","ID not found",IF(J20&lt;&gt;"Approved","WARNING: status is "&amp;J20,IF(IFERROR(INDEX(Drain_Register!$CA$5:$CA$304,MATCH($B20,Drain_Register!$A$5:$A$304,0)),IFERROR(INDEX(RW_Register!$CF$5:$CF$304,MATCH($B20,RW_Register!$A$5:$A$304,0)),IFERROR(INDEX(Embedded_Wall_Register!$CD$5:$CD$304,MATCH($B20,Embedded_Wall_Register!$A$5:$A$304,0)),IFERROR(INDEX(Manhole_Register!$CC$5:$CC$304,MATCH($B20,Manhole_Register!$A$5:$A$304,0)),IFERROR(INDEX(ERSS_Pit_Register!$BX$5:$BX$304,MATCH($B20,ERSS_Pit_Register!$A$5:$A$304,0)),IFERROR(INDEX(Linkway_Register!$BY$5:$BY$304,MATCH($B20,Linkway_Register!$A$5:$A$304,0)),IFERROR(INDEX(Other_Register!$BI$5:$BI$304,MATCH($B20,Other_Register!$A$5:$A$304,0)),"")))))))="N","WARNING: fails SG compliance check",IF(D20="","Enter length / qty",IF(E20="","Enter CAD sheet no.","OK"))))))</f>
        <v/>
      </c>
    </row>
    <row r="21" customFormat="false" ht="15" hidden="false" customHeight="false" outlineLevel="0" collapsed="false">
      <c r="A21" s="9"/>
      <c r="B21" s="9"/>
      <c r="C21" s="9"/>
      <c r="D21" s="9"/>
      <c r="E21" s="9"/>
      <c r="F21" s="10" t="str">
        <f aca="false">IF($B21="","",IFERROR(INDEX(Drain_Register!$AU$5:$AU$304,MATCH($B21,Drain_Register!$A$5:$A$304,0)),IFERROR(INDEX(RW_Register!$BA$5:$BA$304,MATCH($B21,RW_Register!$A$5:$A$304,0)),IFERROR(INDEX(Embedded_Wall_Register!$AY$5:$AY$304,MATCH($B21,Embedded_Wall_Register!$A$5:$A$304,0)),IFERROR(INDEX(Manhole_Register!$AY$5:$AY$304,MATCH($B21,Manhole_Register!$A$5:$A$304,0)),IFERROR(INDEX(ERSS_Pit_Register!$AS$5:$AS$304,MATCH($B21,ERSS_Pit_Register!$A$5:$A$304,0)),IFERROR(INDEX(Linkway_Register!$AU$5:$AU$304,MATCH($B21,Linkway_Register!$A$5:$A$304,0)),IFERROR(INDEX(Other_Register!$AE$5:$AE$304,MATCH($B21,Other_Register!$A$5:$A$304,0)),""))))))))</f>
        <v/>
      </c>
      <c r="G21" s="10" t="str">
        <f aca="false">IF($B21="","",IF(ISNUMBER(MATCH($B21,Drain_Register!$A$5:$A$304,0)),"Drain",IF(ISNUMBER(MATCH($B21,RW_Register!$A$5:$A$304,0)),"Ret. Wall",IF(ISNUMBER(MATCH($B21,Embedded_Wall_Register!$A$5:$A$304,0)),"Embedded Wall",IF(ISNUMBER(MATCH($B21,Manhole_Register!$A$5:$A$304,0)),"Manhole",IF(ISNUMBER(MATCH($B21,ERSS_Pit_Register!$A$5:$A$304,0)),"ERSS Pit",IF(ISNUMBER(MATCH($B21,Linkway_Register!$A$5:$A$304,0)),"Linkway",IF(ISNUMBER(MATCH($B21,Other_Register!$A$5:$A$304,0)),"Others",""))))))))</f>
        <v/>
      </c>
      <c r="H21" s="10" t="str">
        <f aca="false">IF($B21="","",IFERROR(INDEX(Drain_Register!$B$5:$B$304,MATCH($B21,Drain_Register!$A$5:$A$304,0)),IFERROR(INDEX(RW_Register!$B$5:$B$304,MATCH($B21,RW_Register!$A$5:$A$304,0)),IFERROR(INDEX(Embedded_Wall_Register!$B$5:$B$304,MATCH($B21,Embedded_Wall_Register!$A$5:$A$304,0)),IFERROR(INDEX(Manhole_Register!$B$5:$B$304,MATCH($B21,Manhole_Register!$A$5:$A$304,0)),IFERROR(INDEX(ERSS_Pit_Register!$B$5:$B$304,MATCH($B21,ERSS_Pit_Register!$A$5:$A$304,0)),IFERROR(INDEX(Linkway_Register!$B$5:$B$304,MATCH($B21,Linkway_Register!$A$5:$A$304,0)),IFERROR(INDEX(Other_Register!$B$5:$B$304,MATCH($B21,Other_Register!$A$5:$A$304,0)),"ID not found - check spelling"))))))))</f>
        <v/>
      </c>
      <c r="I21" s="10" t="str">
        <f aca="false">IF($B21="","",IFERROR(INDEX(Drain_Register!$AI$5:$AI$304,MATCH($B21,Drain_Register!$A$5:$A$304,0)),IFERROR(INDEX(RW_Register!$AO$5:$AO$304,MATCH($B21,RW_Register!$A$5:$A$304,0)),IFERROR(INDEX(Embedded_Wall_Register!$AM$5:$AM$304,MATCH($B21,Embedded_Wall_Register!$A$5:$A$304,0)),IFERROR(INDEX(Manhole_Register!$AM$5:$AM$304,MATCH($B21,Manhole_Register!$A$5:$A$304,0)),IFERROR(INDEX(ERSS_Pit_Register!$AG$5:$AG$304,MATCH($B21,ERSS_Pit_Register!$A$5:$A$304,0)),IFERROR(INDEX(Linkway_Register!$AI$5:$AI$304,MATCH($B21,Linkway_Register!$A$5:$A$304,0)),IFERROR(INDEX(Other_Register!$S$5:$S$304,MATCH($B21,Other_Register!$A$5:$A$304,0)),""))))))))</f>
        <v/>
      </c>
      <c r="J21" s="10" t="str">
        <f aca="false">IF($B21="","",IFERROR(INDEX(Drain_Register!$AJ$5:$AJ$304,MATCH($B21,Drain_Register!$A$5:$A$304,0)),IFERROR(INDEX(RW_Register!$AP$5:$AP$304,MATCH($B21,RW_Register!$A$5:$A$304,0)),IFERROR(INDEX(Embedded_Wall_Register!$AN$5:$AN$304,MATCH($B21,Embedded_Wall_Register!$A$5:$A$304,0)),IFERROR(INDEX(Manhole_Register!$AN$5:$AN$304,MATCH($B21,Manhole_Register!$A$5:$A$304,0)),IFERROR(INDEX(ERSS_Pit_Register!$AH$5:$AH$304,MATCH($B21,ERSS_Pit_Register!$A$5:$A$304,0)),IFERROR(INDEX(Linkway_Register!$AJ$5:$AJ$304,MATCH($B21,Linkway_Register!$A$5:$A$304,0)),IFERROR(INDEX(Other_Register!$T$5:$T$304,MATCH($B21,Other_Register!$A$5:$A$304,0)),""))))))))</f>
        <v/>
      </c>
      <c r="K21" s="10" t="str">
        <f aca="false">IF($B21="","",IFERROR(INDEX(Drain_Register!$AK$5:$AK$304,MATCH($B21,Drain_Register!$A$5:$A$304,0)),IFERROR(INDEX(RW_Register!$AQ$5:$AQ$304,MATCH($B21,RW_Register!$A$5:$A$304,0)),IFERROR(INDEX(Embedded_Wall_Register!$AO$5:$AO$304,MATCH($B21,Embedded_Wall_Register!$A$5:$A$304,0)),IFERROR(INDEX(Manhole_Register!$AO$5:$AO$304,MATCH($B21,Manhole_Register!$A$5:$A$304,0)),IFERROR(INDEX(ERSS_Pit_Register!$AI$5:$AI$304,MATCH($B21,ERSS_Pit_Register!$A$5:$A$304,0)),IFERROR(INDEX(Linkway_Register!$AK$5:$AK$304,MATCH($B21,Linkway_Register!$A$5:$A$304,0)),IFERROR(INDEX(Other_Register!$U$5:$U$304,MATCH($B21,Other_Register!$A$5:$A$304,0)),""))))))))</f>
        <v/>
      </c>
      <c r="L21" s="10" t="str">
        <f aca="false">IF($B21="","",IFERROR(INDEX(Drain_Register!$AL$5:$AL$304,MATCH($B21,Drain_Register!$A$5:$A$304,0)),IFERROR(INDEX(RW_Register!$AR$5:$AR$304,MATCH($B21,RW_Register!$A$5:$A$304,0)),IFERROR(INDEX(Embedded_Wall_Register!$AP$5:$AP$304,MATCH($B21,Embedded_Wall_Register!$A$5:$A$304,0)),IFERROR(INDEX(Manhole_Register!$AP$5:$AP$304,MATCH($B21,Manhole_Register!$A$5:$A$304,0)),IFERROR(INDEX(ERSS_Pit_Register!$AJ$5:$AJ$304,MATCH($B21,ERSS_Pit_Register!$A$5:$A$304,0)),IFERROR(INDEX(Linkway_Register!$AL$5:$AL$304,MATCH($B21,Linkway_Register!$A$5:$A$304,0)),IFERROR(INDEX(Other_Register!$V$5:$V$304,MATCH($B21,Other_Register!$A$5:$A$304,0)),""))))))))</f>
        <v/>
      </c>
      <c r="M21" s="10" t="str">
        <f aca="false">IF($B21="","",IFERROR(INDEX(Drain_Register!$AN$5:$AN$304,MATCH($B21,Drain_Register!$A$5:$A$304,0)),IFERROR(INDEX(RW_Register!$AT$5:$AT$304,MATCH($B21,RW_Register!$A$5:$A$304,0)),IFERROR(INDEX(Embedded_Wall_Register!$AR$5:$AR$304,MATCH($B21,Embedded_Wall_Register!$A$5:$A$304,0)),IFERROR(INDEX(Manhole_Register!$AR$5:$AR$304,MATCH($B21,Manhole_Register!$A$5:$A$304,0)),IFERROR(INDEX(ERSS_Pit_Register!$AL$5:$AL$304,MATCH($B21,ERSS_Pit_Register!$A$5:$A$304,0)),IFERROR(INDEX(Linkway_Register!$AN$5:$AN$304,MATCH($B21,Linkway_Register!$A$5:$A$304,0)),IFERROR(INDEX(Other_Register!$X$5:$X$304,MATCH($B21,Other_Register!$A$5:$A$304,0)),"")))))))&amp;IFERROR(INDEX(Drain_Register!$AO$5:$AO$304,MATCH($B21,Drain_Register!$A$5:$A$304,0)),IFERROR(INDEX(RW_Register!$AU$5:$AU$304,MATCH($B21,RW_Register!$A$5:$A$304,0)),IFERROR(INDEX(Embedded_Wall_Register!$AS$5:$AS$304,MATCH($B21,Embedded_Wall_Register!$A$5:$A$304,0)),IFERROR(INDEX(Manhole_Register!$AS$5:$AS$304,MATCH($B21,Manhole_Register!$A$5:$A$304,0)),IFERROR(INDEX(ERSS_Pit_Register!$AM$5:$AM$304,MATCH($B21,ERSS_Pit_Register!$A$5:$A$304,0)),IFERROR(INDEX(Linkway_Register!$AO$5:$AO$304,MATCH($B21,Linkway_Register!$A$5:$A$304,0)),IFERROR(INDEX(Other_Register!$Y$5:$Y$304,MATCH($B21,Other_Register!$A$5:$A$304,0)),""))))))))</f>
        <v/>
      </c>
      <c r="N21" s="19" t="str">
        <f aca="false">IF(OR($B21="",$D21=""),"",$D21*N(IFERROR(INDEX(Drain_Register!$AV$5:$AV$304,MATCH($B21,Drain_Register!$A$5:$A$304,0)),IFERROR(INDEX(RW_Register!$BB$5:$BB$304,MATCH($B21,RW_Register!$A$5:$A$304,0)),IFERROR(INDEX(Embedded_Wall_Register!$AZ$5:$AZ$304,MATCH($B21,Embedded_Wall_Register!$A$5:$A$304,0)),IFERROR(INDEX(Manhole_Register!$AZ$5:$AZ$304,MATCH($B21,Manhole_Register!$A$5:$A$304,0)),IFERROR(INDEX(ERSS_Pit_Register!$AT$5:$AT$304,MATCH($B21,ERSS_Pit_Register!$A$5:$A$304,0)),IFERROR(INDEX(Linkway_Register!$AV$5:$AV$304,MATCH($B21,Linkway_Register!$A$5:$A$304,0)),IFERROR(INDEX(Other_Register!$AF$5:$AF$304,MATCH($B21,Other_Register!$A$5:$A$304,0)),0)))))))))</f>
        <v/>
      </c>
      <c r="O21" s="20" t="str">
        <f aca="false">IF(OR($B21="",$D21=""),"",$D21*N(IFERROR(INDEX(Drain_Register!$AW$5:$AW$304,MATCH($B21,Drain_Register!$A$5:$A$304,0)),IFERROR(INDEX(RW_Register!$BC$5:$BC$304,MATCH($B21,RW_Register!$A$5:$A$304,0)),IFERROR(INDEX(Embedded_Wall_Register!$BA$5:$BA$304,MATCH($B21,Embedded_Wall_Register!$A$5:$A$304,0)),IFERROR(INDEX(Manhole_Register!$BA$5:$BA$304,MATCH($B21,Manhole_Register!$A$5:$A$304,0)),IFERROR(INDEX(ERSS_Pit_Register!$AU$5:$AU$304,MATCH($B21,ERSS_Pit_Register!$A$5:$A$304,0)),IFERROR(INDEX(Linkway_Register!$AW$5:$AW$304,MATCH($B21,Linkway_Register!$A$5:$A$304,0)),IFERROR(INDEX(Other_Register!$AG$5:$AG$304,MATCH($B21,Other_Register!$A$5:$A$304,0)),0))))))))/1000)</f>
        <v/>
      </c>
      <c r="P21" s="20" t="str">
        <f aca="false">IF(OR($B21="",$D21=""),"",$D21*N(IFERROR(INDEX(Drain_Register!$AX$5:$AX$304,MATCH($B21,Drain_Register!$A$5:$A$304,0)),IFERROR(INDEX(RW_Register!$BD$5:$BD$304,MATCH($B21,RW_Register!$A$5:$A$304,0)),IFERROR(INDEX(Embedded_Wall_Register!$BB$5:$BB$304,MATCH($B21,Embedded_Wall_Register!$A$5:$A$304,0)),IFERROR(INDEX(Manhole_Register!$BB$5:$BB$304,MATCH($B21,Manhole_Register!$A$5:$A$304,0)),IFERROR(INDEX(ERSS_Pit_Register!$AV$5:$AV$304,MATCH($B21,ERSS_Pit_Register!$A$5:$A$304,0)),IFERROR(INDEX(Linkway_Register!$AX$5:$AX$304,MATCH($B21,Linkway_Register!$A$5:$A$304,0)),IFERROR(INDEX(Other_Register!$AH$5:$AH$304,MATCH($B21,Other_Register!$A$5:$A$304,0)),0))))))))/1000)</f>
        <v/>
      </c>
      <c r="Q21" s="19" t="str">
        <f aca="false">IF(OR($B21="",$D21=""),"",$D21*N(IFERROR(INDEX(Drain_Register!$AY$5:$AY$304,MATCH($B21,Drain_Register!$A$5:$A$304,0)),IFERROR(INDEX(RW_Register!$BE$5:$BE$304,MATCH($B21,RW_Register!$A$5:$A$304,0)),IFERROR(INDEX(Embedded_Wall_Register!$BC$5:$BC$304,MATCH($B21,Embedded_Wall_Register!$A$5:$A$304,0)),IFERROR(INDEX(Manhole_Register!$BC$5:$BC$304,MATCH($B21,Manhole_Register!$A$5:$A$304,0)),IFERROR(INDEX(ERSS_Pit_Register!$AW$5:$AW$304,MATCH($B21,ERSS_Pit_Register!$A$5:$A$304,0)),IFERROR(INDEX(Linkway_Register!$AY$5:$AY$304,MATCH($B21,Linkway_Register!$A$5:$A$304,0)),IFERROR(INDEX(Other_Register!$AI$5:$AI$304,MATCH($B21,Other_Register!$A$5:$A$304,0)),0)))))))))</f>
        <v/>
      </c>
      <c r="R21" s="19" t="str">
        <f aca="false">IF(OR($B21="",$D21=""),"",$D21*N(IFERROR(INDEX(Drain_Register!$AZ$5:$AZ$304,MATCH($B21,Drain_Register!$A$5:$A$304,0)),IFERROR(INDEX(RW_Register!$BF$5:$BF$304,MATCH($B21,RW_Register!$A$5:$A$304,0)),IFERROR(INDEX(Embedded_Wall_Register!$BD$5:$BD$304,MATCH($B21,Embedded_Wall_Register!$A$5:$A$304,0)),IFERROR(INDEX(Manhole_Register!$BD$5:$BD$304,MATCH($B21,Manhole_Register!$A$5:$A$304,0)),IFERROR(INDEX(ERSS_Pit_Register!$AX$5:$AX$304,MATCH($B21,ERSS_Pit_Register!$A$5:$A$304,0)),IFERROR(INDEX(Linkway_Register!$AZ$5:$AZ$304,MATCH($B21,Linkway_Register!$A$5:$A$304,0)),IFERROR(INDEX(Other_Register!$AJ$5:$AJ$304,MATCH($B21,Other_Register!$A$5:$A$304,0)),0)))))))))</f>
        <v/>
      </c>
      <c r="S21" s="10" t="str">
        <f aca="false">IF($B21="","",IF(G21="","ID not found",IF(J21&lt;&gt;"Approved","WARNING: status is "&amp;J21,IF(IFERROR(INDEX(Drain_Register!$CA$5:$CA$304,MATCH($B21,Drain_Register!$A$5:$A$304,0)),IFERROR(INDEX(RW_Register!$CF$5:$CF$304,MATCH($B21,RW_Register!$A$5:$A$304,0)),IFERROR(INDEX(Embedded_Wall_Register!$CD$5:$CD$304,MATCH($B21,Embedded_Wall_Register!$A$5:$A$304,0)),IFERROR(INDEX(Manhole_Register!$CC$5:$CC$304,MATCH($B21,Manhole_Register!$A$5:$A$304,0)),IFERROR(INDEX(ERSS_Pit_Register!$BX$5:$BX$304,MATCH($B21,ERSS_Pit_Register!$A$5:$A$304,0)),IFERROR(INDEX(Linkway_Register!$BY$5:$BY$304,MATCH($B21,Linkway_Register!$A$5:$A$304,0)),IFERROR(INDEX(Other_Register!$BI$5:$BI$304,MATCH($B21,Other_Register!$A$5:$A$304,0)),"")))))))="N","WARNING: fails SG compliance check",IF(D21="","Enter length / qty",IF(E21="","Enter CAD sheet no.","OK"))))))</f>
        <v/>
      </c>
    </row>
    <row r="22" customFormat="false" ht="15" hidden="false" customHeight="false" outlineLevel="0" collapsed="false">
      <c r="A22" s="9"/>
      <c r="B22" s="9"/>
      <c r="C22" s="9"/>
      <c r="D22" s="9"/>
      <c r="E22" s="9"/>
      <c r="F22" s="10" t="str">
        <f aca="false">IF($B22="","",IFERROR(INDEX(Drain_Register!$AU$5:$AU$304,MATCH($B22,Drain_Register!$A$5:$A$304,0)),IFERROR(INDEX(RW_Register!$BA$5:$BA$304,MATCH($B22,RW_Register!$A$5:$A$304,0)),IFERROR(INDEX(Embedded_Wall_Register!$AY$5:$AY$304,MATCH($B22,Embedded_Wall_Register!$A$5:$A$304,0)),IFERROR(INDEX(Manhole_Register!$AY$5:$AY$304,MATCH($B22,Manhole_Register!$A$5:$A$304,0)),IFERROR(INDEX(ERSS_Pit_Register!$AS$5:$AS$304,MATCH($B22,ERSS_Pit_Register!$A$5:$A$304,0)),IFERROR(INDEX(Linkway_Register!$AU$5:$AU$304,MATCH($B22,Linkway_Register!$A$5:$A$304,0)),IFERROR(INDEX(Other_Register!$AE$5:$AE$304,MATCH($B22,Other_Register!$A$5:$A$304,0)),""))))))))</f>
        <v/>
      </c>
      <c r="G22" s="10" t="str">
        <f aca="false">IF($B22="","",IF(ISNUMBER(MATCH($B22,Drain_Register!$A$5:$A$304,0)),"Drain",IF(ISNUMBER(MATCH($B22,RW_Register!$A$5:$A$304,0)),"Ret. Wall",IF(ISNUMBER(MATCH($B22,Embedded_Wall_Register!$A$5:$A$304,0)),"Embedded Wall",IF(ISNUMBER(MATCH($B22,Manhole_Register!$A$5:$A$304,0)),"Manhole",IF(ISNUMBER(MATCH($B22,ERSS_Pit_Register!$A$5:$A$304,0)),"ERSS Pit",IF(ISNUMBER(MATCH($B22,Linkway_Register!$A$5:$A$304,0)),"Linkway",IF(ISNUMBER(MATCH($B22,Other_Register!$A$5:$A$304,0)),"Others",""))))))))</f>
        <v/>
      </c>
      <c r="H22" s="10" t="str">
        <f aca="false">IF($B22="","",IFERROR(INDEX(Drain_Register!$B$5:$B$304,MATCH($B22,Drain_Register!$A$5:$A$304,0)),IFERROR(INDEX(RW_Register!$B$5:$B$304,MATCH($B22,RW_Register!$A$5:$A$304,0)),IFERROR(INDEX(Embedded_Wall_Register!$B$5:$B$304,MATCH($B22,Embedded_Wall_Register!$A$5:$A$304,0)),IFERROR(INDEX(Manhole_Register!$B$5:$B$304,MATCH($B22,Manhole_Register!$A$5:$A$304,0)),IFERROR(INDEX(ERSS_Pit_Register!$B$5:$B$304,MATCH($B22,ERSS_Pit_Register!$A$5:$A$304,0)),IFERROR(INDEX(Linkway_Register!$B$5:$B$304,MATCH($B22,Linkway_Register!$A$5:$A$304,0)),IFERROR(INDEX(Other_Register!$B$5:$B$304,MATCH($B22,Other_Register!$A$5:$A$304,0)),"ID not found - check spelling"))))))))</f>
        <v/>
      </c>
      <c r="I22" s="10" t="str">
        <f aca="false">IF($B22="","",IFERROR(INDEX(Drain_Register!$AI$5:$AI$304,MATCH($B22,Drain_Register!$A$5:$A$304,0)),IFERROR(INDEX(RW_Register!$AO$5:$AO$304,MATCH($B22,RW_Register!$A$5:$A$304,0)),IFERROR(INDEX(Embedded_Wall_Register!$AM$5:$AM$304,MATCH($B22,Embedded_Wall_Register!$A$5:$A$304,0)),IFERROR(INDEX(Manhole_Register!$AM$5:$AM$304,MATCH($B22,Manhole_Register!$A$5:$A$304,0)),IFERROR(INDEX(ERSS_Pit_Register!$AG$5:$AG$304,MATCH($B22,ERSS_Pit_Register!$A$5:$A$304,0)),IFERROR(INDEX(Linkway_Register!$AI$5:$AI$304,MATCH($B22,Linkway_Register!$A$5:$A$304,0)),IFERROR(INDEX(Other_Register!$S$5:$S$304,MATCH($B22,Other_Register!$A$5:$A$304,0)),""))))))))</f>
        <v/>
      </c>
      <c r="J22" s="10" t="str">
        <f aca="false">IF($B22="","",IFERROR(INDEX(Drain_Register!$AJ$5:$AJ$304,MATCH($B22,Drain_Register!$A$5:$A$304,0)),IFERROR(INDEX(RW_Register!$AP$5:$AP$304,MATCH($B22,RW_Register!$A$5:$A$304,0)),IFERROR(INDEX(Embedded_Wall_Register!$AN$5:$AN$304,MATCH($B22,Embedded_Wall_Register!$A$5:$A$304,0)),IFERROR(INDEX(Manhole_Register!$AN$5:$AN$304,MATCH($B22,Manhole_Register!$A$5:$A$304,0)),IFERROR(INDEX(ERSS_Pit_Register!$AH$5:$AH$304,MATCH($B22,ERSS_Pit_Register!$A$5:$A$304,0)),IFERROR(INDEX(Linkway_Register!$AJ$5:$AJ$304,MATCH($B22,Linkway_Register!$A$5:$A$304,0)),IFERROR(INDEX(Other_Register!$T$5:$T$304,MATCH($B22,Other_Register!$A$5:$A$304,0)),""))))))))</f>
        <v/>
      </c>
      <c r="K22" s="10" t="str">
        <f aca="false">IF($B22="","",IFERROR(INDEX(Drain_Register!$AK$5:$AK$304,MATCH($B22,Drain_Register!$A$5:$A$304,0)),IFERROR(INDEX(RW_Register!$AQ$5:$AQ$304,MATCH($B22,RW_Register!$A$5:$A$304,0)),IFERROR(INDEX(Embedded_Wall_Register!$AO$5:$AO$304,MATCH($B22,Embedded_Wall_Register!$A$5:$A$304,0)),IFERROR(INDEX(Manhole_Register!$AO$5:$AO$304,MATCH($B22,Manhole_Register!$A$5:$A$304,0)),IFERROR(INDEX(ERSS_Pit_Register!$AI$5:$AI$304,MATCH($B22,ERSS_Pit_Register!$A$5:$A$304,0)),IFERROR(INDEX(Linkway_Register!$AK$5:$AK$304,MATCH($B22,Linkway_Register!$A$5:$A$304,0)),IFERROR(INDEX(Other_Register!$U$5:$U$304,MATCH($B22,Other_Register!$A$5:$A$304,0)),""))))))))</f>
        <v/>
      </c>
      <c r="L22" s="10" t="str">
        <f aca="false">IF($B22="","",IFERROR(INDEX(Drain_Register!$AL$5:$AL$304,MATCH($B22,Drain_Register!$A$5:$A$304,0)),IFERROR(INDEX(RW_Register!$AR$5:$AR$304,MATCH($B22,RW_Register!$A$5:$A$304,0)),IFERROR(INDEX(Embedded_Wall_Register!$AP$5:$AP$304,MATCH($B22,Embedded_Wall_Register!$A$5:$A$304,0)),IFERROR(INDEX(Manhole_Register!$AP$5:$AP$304,MATCH($B22,Manhole_Register!$A$5:$A$304,0)),IFERROR(INDEX(ERSS_Pit_Register!$AJ$5:$AJ$304,MATCH($B22,ERSS_Pit_Register!$A$5:$A$304,0)),IFERROR(INDEX(Linkway_Register!$AL$5:$AL$304,MATCH($B22,Linkway_Register!$A$5:$A$304,0)),IFERROR(INDEX(Other_Register!$V$5:$V$304,MATCH($B22,Other_Register!$A$5:$A$304,0)),""))))))))</f>
        <v/>
      </c>
      <c r="M22" s="10" t="str">
        <f aca="false">IF($B22="","",IFERROR(INDEX(Drain_Register!$AN$5:$AN$304,MATCH($B22,Drain_Register!$A$5:$A$304,0)),IFERROR(INDEX(RW_Register!$AT$5:$AT$304,MATCH($B22,RW_Register!$A$5:$A$304,0)),IFERROR(INDEX(Embedded_Wall_Register!$AR$5:$AR$304,MATCH($B22,Embedded_Wall_Register!$A$5:$A$304,0)),IFERROR(INDEX(Manhole_Register!$AR$5:$AR$304,MATCH($B22,Manhole_Register!$A$5:$A$304,0)),IFERROR(INDEX(ERSS_Pit_Register!$AL$5:$AL$304,MATCH($B22,ERSS_Pit_Register!$A$5:$A$304,0)),IFERROR(INDEX(Linkway_Register!$AN$5:$AN$304,MATCH($B22,Linkway_Register!$A$5:$A$304,0)),IFERROR(INDEX(Other_Register!$X$5:$X$304,MATCH($B22,Other_Register!$A$5:$A$304,0)),"")))))))&amp;IFERROR(INDEX(Drain_Register!$AO$5:$AO$304,MATCH($B22,Drain_Register!$A$5:$A$304,0)),IFERROR(INDEX(RW_Register!$AU$5:$AU$304,MATCH($B22,RW_Register!$A$5:$A$304,0)),IFERROR(INDEX(Embedded_Wall_Register!$AS$5:$AS$304,MATCH($B22,Embedded_Wall_Register!$A$5:$A$304,0)),IFERROR(INDEX(Manhole_Register!$AS$5:$AS$304,MATCH($B22,Manhole_Register!$A$5:$A$304,0)),IFERROR(INDEX(ERSS_Pit_Register!$AM$5:$AM$304,MATCH($B22,ERSS_Pit_Register!$A$5:$A$304,0)),IFERROR(INDEX(Linkway_Register!$AO$5:$AO$304,MATCH($B22,Linkway_Register!$A$5:$A$304,0)),IFERROR(INDEX(Other_Register!$Y$5:$Y$304,MATCH($B22,Other_Register!$A$5:$A$304,0)),""))))))))</f>
        <v/>
      </c>
      <c r="N22" s="19" t="str">
        <f aca="false">IF(OR($B22="",$D22=""),"",$D22*N(IFERROR(INDEX(Drain_Register!$AV$5:$AV$304,MATCH($B22,Drain_Register!$A$5:$A$304,0)),IFERROR(INDEX(RW_Register!$BB$5:$BB$304,MATCH($B22,RW_Register!$A$5:$A$304,0)),IFERROR(INDEX(Embedded_Wall_Register!$AZ$5:$AZ$304,MATCH($B22,Embedded_Wall_Register!$A$5:$A$304,0)),IFERROR(INDEX(Manhole_Register!$AZ$5:$AZ$304,MATCH($B22,Manhole_Register!$A$5:$A$304,0)),IFERROR(INDEX(ERSS_Pit_Register!$AT$5:$AT$304,MATCH($B22,ERSS_Pit_Register!$A$5:$A$304,0)),IFERROR(INDEX(Linkway_Register!$AV$5:$AV$304,MATCH($B22,Linkway_Register!$A$5:$A$304,0)),IFERROR(INDEX(Other_Register!$AF$5:$AF$304,MATCH($B22,Other_Register!$A$5:$A$304,0)),0)))))))))</f>
        <v/>
      </c>
      <c r="O22" s="20" t="str">
        <f aca="false">IF(OR($B22="",$D22=""),"",$D22*N(IFERROR(INDEX(Drain_Register!$AW$5:$AW$304,MATCH($B22,Drain_Register!$A$5:$A$304,0)),IFERROR(INDEX(RW_Register!$BC$5:$BC$304,MATCH($B22,RW_Register!$A$5:$A$304,0)),IFERROR(INDEX(Embedded_Wall_Register!$BA$5:$BA$304,MATCH($B22,Embedded_Wall_Register!$A$5:$A$304,0)),IFERROR(INDEX(Manhole_Register!$BA$5:$BA$304,MATCH($B22,Manhole_Register!$A$5:$A$304,0)),IFERROR(INDEX(ERSS_Pit_Register!$AU$5:$AU$304,MATCH($B22,ERSS_Pit_Register!$A$5:$A$304,0)),IFERROR(INDEX(Linkway_Register!$AW$5:$AW$304,MATCH($B22,Linkway_Register!$A$5:$A$304,0)),IFERROR(INDEX(Other_Register!$AG$5:$AG$304,MATCH($B22,Other_Register!$A$5:$A$304,0)),0))))))))/1000)</f>
        <v/>
      </c>
      <c r="P22" s="20" t="str">
        <f aca="false">IF(OR($B22="",$D22=""),"",$D22*N(IFERROR(INDEX(Drain_Register!$AX$5:$AX$304,MATCH($B22,Drain_Register!$A$5:$A$304,0)),IFERROR(INDEX(RW_Register!$BD$5:$BD$304,MATCH($B22,RW_Register!$A$5:$A$304,0)),IFERROR(INDEX(Embedded_Wall_Register!$BB$5:$BB$304,MATCH($B22,Embedded_Wall_Register!$A$5:$A$304,0)),IFERROR(INDEX(Manhole_Register!$BB$5:$BB$304,MATCH($B22,Manhole_Register!$A$5:$A$304,0)),IFERROR(INDEX(ERSS_Pit_Register!$AV$5:$AV$304,MATCH($B22,ERSS_Pit_Register!$A$5:$A$304,0)),IFERROR(INDEX(Linkway_Register!$AX$5:$AX$304,MATCH($B22,Linkway_Register!$A$5:$A$304,0)),IFERROR(INDEX(Other_Register!$AH$5:$AH$304,MATCH($B22,Other_Register!$A$5:$A$304,0)),0))))))))/1000)</f>
        <v/>
      </c>
      <c r="Q22" s="19" t="str">
        <f aca="false">IF(OR($B22="",$D22=""),"",$D22*N(IFERROR(INDEX(Drain_Register!$AY$5:$AY$304,MATCH($B22,Drain_Register!$A$5:$A$304,0)),IFERROR(INDEX(RW_Register!$BE$5:$BE$304,MATCH($B22,RW_Register!$A$5:$A$304,0)),IFERROR(INDEX(Embedded_Wall_Register!$BC$5:$BC$304,MATCH($B22,Embedded_Wall_Register!$A$5:$A$304,0)),IFERROR(INDEX(Manhole_Register!$BC$5:$BC$304,MATCH($B22,Manhole_Register!$A$5:$A$304,0)),IFERROR(INDEX(ERSS_Pit_Register!$AW$5:$AW$304,MATCH($B22,ERSS_Pit_Register!$A$5:$A$304,0)),IFERROR(INDEX(Linkway_Register!$AY$5:$AY$304,MATCH($B22,Linkway_Register!$A$5:$A$304,0)),IFERROR(INDEX(Other_Register!$AI$5:$AI$304,MATCH($B22,Other_Register!$A$5:$A$304,0)),0)))))))))</f>
        <v/>
      </c>
      <c r="R22" s="19" t="str">
        <f aca="false">IF(OR($B22="",$D22=""),"",$D22*N(IFERROR(INDEX(Drain_Register!$AZ$5:$AZ$304,MATCH($B22,Drain_Register!$A$5:$A$304,0)),IFERROR(INDEX(RW_Register!$BF$5:$BF$304,MATCH($B22,RW_Register!$A$5:$A$304,0)),IFERROR(INDEX(Embedded_Wall_Register!$BD$5:$BD$304,MATCH($B22,Embedded_Wall_Register!$A$5:$A$304,0)),IFERROR(INDEX(Manhole_Register!$BD$5:$BD$304,MATCH($B22,Manhole_Register!$A$5:$A$304,0)),IFERROR(INDEX(ERSS_Pit_Register!$AX$5:$AX$304,MATCH($B22,ERSS_Pit_Register!$A$5:$A$304,0)),IFERROR(INDEX(Linkway_Register!$AZ$5:$AZ$304,MATCH($B22,Linkway_Register!$A$5:$A$304,0)),IFERROR(INDEX(Other_Register!$AJ$5:$AJ$304,MATCH($B22,Other_Register!$A$5:$A$304,0)),0)))))))))</f>
        <v/>
      </c>
      <c r="S22" s="10" t="str">
        <f aca="false">IF($B22="","",IF(G22="","ID not found",IF(J22&lt;&gt;"Approved","WARNING: status is "&amp;J22,IF(IFERROR(INDEX(Drain_Register!$CA$5:$CA$304,MATCH($B22,Drain_Register!$A$5:$A$304,0)),IFERROR(INDEX(RW_Register!$CF$5:$CF$304,MATCH($B22,RW_Register!$A$5:$A$304,0)),IFERROR(INDEX(Embedded_Wall_Register!$CD$5:$CD$304,MATCH($B22,Embedded_Wall_Register!$A$5:$A$304,0)),IFERROR(INDEX(Manhole_Register!$CC$5:$CC$304,MATCH($B22,Manhole_Register!$A$5:$A$304,0)),IFERROR(INDEX(ERSS_Pit_Register!$BX$5:$BX$304,MATCH($B22,ERSS_Pit_Register!$A$5:$A$304,0)),IFERROR(INDEX(Linkway_Register!$BY$5:$BY$304,MATCH($B22,Linkway_Register!$A$5:$A$304,0)),IFERROR(INDEX(Other_Register!$BI$5:$BI$304,MATCH($B22,Other_Register!$A$5:$A$304,0)),"")))))))="N","WARNING: fails SG compliance check",IF(D22="","Enter length / qty",IF(E22="","Enter CAD sheet no.","OK"))))))</f>
        <v/>
      </c>
    </row>
    <row r="23" customFormat="false" ht="15" hidden="false" customHeight="false" outlineLevel="0" collapsed="false">
      <c r="A23" s="9"/>
      <c r="B23" s="9"/>
      <c r="C23" s="9"/>
      <c r="D23" s="9"/>
      <c r="E23" s="9"/>
      <c r="F23" s="10" t="str">
        <f aca="false">IF($B23="","",IFERROR(INDEX(Drain_Register!$AU$5:$AU$304,MATCH($B23,Drain_Register!$A$5:$A$304,0)),IFERROR(INDEX(RW_Register!$BA$5:$BA$304,MATCH($B23,RW_Register!$A$5:$A$304,0)),IFERROR(INDEX(Embedded_Wall_Register!$AY$5:$AY$304,MATCH($B23,Embedded_Wall_Register!$A$5:$A$304,0)),IFERROR(INDEX(Manhole_Register!$AY$5:$AY$304,MATCH($B23,Manhole_Register!$A$5:$A$304,0)),IFERROR(INDEX(ERSS_Pit_Register!$AS$5:$AS$304,MATCH($B23,ERSS_Pit_Register!$A$5:$A$304,0)),IFERROR(INDEX(Linkway_Register!$AU$5:$AU$304,MATCH($B23,Linkway_Register!$A$5:$A$304,0)),IFERROR(INDEX(Other_Register!$AE$5:$AE$304,MATCH($B23,Other_Register!$A$5:$A$304,0)),""))))))))</f>
        <v/>
      </c>
      <c r="G23" s="10" t="str">
        <f aca="false">IF($B23="","",IF(ISNUMBER(MATCH($B23,Drain_Register!$A$5:$A$304,0)),"Drain",IF(ISNUMBER(MATCH($B23,RW_Register!$A$5:$A$304,0)),"Ret. Wall",IF(ISNUMBER(MATCH($B23,Embedded_Wall_Register!$A$5:$A$304,0)),"Embedded Wall",IF(ISNUMBER(MATCH($B23,Manhole_Register!$A$5:$A$304,0)),"Manhole",IF(ISNUMBER(MATCH($B23,ERSS_Pit_Register!$A$5:$A$304,0)),"ERSS Pit",IF(ISNUMBER(MATCH($B23,Linkway_Register!$A$5:$A$304,0)),"Linkway",IF(ISNUMBER(MATCH($B23,Other_Register!$A$5:$A$304,0)),"Others",""))))))))</f>
        <v/>
      </c>
      <c r="H23" s="10" t="str">
        <f aca="false">IF($B23="","",IFERROR(INDEX(Drain_Register!$B$5:$B$304,MATCH($B23,Drain_Register!$A$5:$A$304,0)),IFERROR(INDEX(RW_Register!$B$5:$B$304,MATCH($B23,RW_Register!$A$5:$A$304,0)),IFERROR(INDEX(Embedded_Wall_Register!$B$5:$B$304,MATCH($B23,Embedded_Wall_Register!$A$5:$A$304,0)),IFERROR(INDEX(Manhole_Register!$B$5:$B$304,MATCH($B23,Manhole_Register!$A$5:$A$304,0)),IFERROR(INDEX(ERSS_Pit_Register!$B$5:$B$304,MATCH($B23,ERSS_Pit_Register!$A$5:$A$304,0)),IFERROR(INDEX(Linkway_Register!$B$5:$B$304,MATCH($B23,Linkway_Register!$A$5:$A$304,0)),IFERROR(INDEX(Other_Register!$B$5:$B$304,MATCH($B23,Other_Register!$A$5:$A$304,0)),"ID not found - check spelling"))))))))</f>
        <v/>
      </c>
      <c r="I23" s="10" t="str">
        <f aca="false">IF($B23="","",IFERROR(INDEX(Drain_Register!$AI$5:$AI$304,MATCH($B23,Drain_Register!$A$5:$A$304,0)),IFERROR(INDEX(RW_Register!$AO$5:$AO$304,MATCH($B23,RW_Register!$A$5:$A$304,0)),IFERROR(INDEX(Embedded_Wall_Register!$AM$5:$AM$304,MATCH($B23,Embedded_Wall_Register!$A$5:$A$304,0)),IFERROR(INDEX(Manhole_Register!$AM$5:$AM$304,MATCH($B23,Manhole_Register!$A$5:$A$304,0)),IFERROR(INDEX(ERSS_Pit_Register!$AG$5:$AG$304,MATCH($B23,ERSS_Pit_Register!$A$5:$A$304,0)),IFERROR(INDEX(Linkway_Register!$AI$5:$AI$304,MATCH($B23,Linkway_Register!$A$5:$A$304,0)),IFERROR(INDEX(Other_Register!$S$5:$S$304,MATCH($B23,Other_Register!$A$5:$A$304,0)),""))))))))</f>
        <v/>
      </c>
      <c r="J23" s="10" t="str">
        <f aca="false">IF($B23="","",IFERROR(INDEX(Drain_Register!$AJ$5:$AJ$304,MATCH($B23,Drain_Register!$A$5:$A$304,0)),IFERROR(INDEX(RW_Register!$AP$5:$AP$304,MATCH($B23,RW_Register!$A$5:$A$304,0)),IFERROR(INDEX(Embedded_Wall_Register!$AN$5:$AN$304,MATCH($B23,Embedded_Wall_Register!$A$5:$A$304,0)),IFERROR(INDEX(Manhole_Register!$AN$5:$AN$304,MATCH($B23,Manhole_Register!$A$5:$A$304,0)),IFERROR(INDEX(ERSS_Pit_Register!$AH$5:$AH$304,MATCH($B23,ERSS_Pit_Register!$A$5:$A$304,0)),IFERROR(INDEX(Linkway_Register!$AJ$5:$AJ$304,MATCH($B23,Linkway_Register!$A$5:$A$304,0)),IFERROR(INDEX(Other_Register!$T$5:$T$304,MATCH($B23,Other_Register!$A$5:$A$304,0)),""))))))))</f>
        <v/>
      </c>
      <c r="K23" s="10" t="str">
        <f aca="false">IF($B23="","",IFERROR(INDEX(Drain_Register!$AK$5:$AK$304,MATCH($B23,Drain_Register!$A$5:$A$304,0)),IFERROR(INDEX(RW_Register!$AQ$5:$AQ$304,MATCH($B23,RW_Register!$A$5:$A$304,0)),IFERROR(INDEX(Embedded_Wall_Register!$AO$5:$AO$304,MATCH($B23,Embedded_Wall_Register!$A$5:$A$304,0)),IFERROR(INDEX(Manhole_Register!$AO$5:$AO$304,MATCH($B23,Manhole_Register!$A$5:$A$304,0)),IFERROR(INDEX(ERSS_Pit_Register!$AI$5:$AI$304,MATCH($B23,ERSS_Pit_Register!$A$5:$A$304,0)),IFERROR(INDEX(Linkway_Register!$AK$5:$AK$304,MATCH($B23,Linkway_Register!$A$5:$A$304,0)),IFERROR(INDEX(Other_Register!$U$5:$U$304,MATCH($B23,Other_Register!$A$5:$A$304,0)),""))))))))</f>
        <v/>
      </c>
      <c r="L23" s="10" t="str">
        <f aca="false">IF($B23="","",IFERROR(INDEX(Drain_Register!$AL$5:$AL$304,MATCH($B23,Drain_Register!$A$5:$A$304,0)),IFERROR(INDEX(RW_Register!$AR$5:$AR$304,MATCH($B23,RW_Register!$A$5:$A$304,0)),IFERROR(INDEX(Embedded_Wall_Register!$AP$5:$AP$304,MATCH($B23,Embedded_Wall_Register!$A$5:$A$304,0)),IFERROR(INDEX(Manhole_Register!$AP$5:$AP$304,MATCH($B23,Manhole_Register!$A$5:$A$304,0)),IFERROR(INDEX(ERSS_Pit_Register!$AJ$5:$AJ$304,MATCH($B23,ERSS_Pit_Register!$A$5:$A$304,0)),IFERROR(INDEX(Linkway_Register!$AL$5:$AL$304,MATCH($B23,Linkway_Register!$A$5:$A$304,0)),IFERROR(INDEX(Other_Register!$V$5:$V$304,MATCH($B23,Other_Register!$A$5:$A$304,0)),""))))))))</f>
        <v/>
      </c>
      <c r="M23" s="10" t="str">
        <f aca="false">IF($B23="","",IFERROR(INDEX(Drain_Register!$AN$5:$AN$304,MATCH($B23,Drain_Register!$A$5:$A$304,0)),IFERROR(INDEX(RW_Register!$AT$5:$AT$304,MATCH($B23,RW_Register!$A$5:$A$304,0)),IFERROR(INDEX(Embedded_Wall_Register!$AR$5:$AR$304,MATCH($B23,Embedded_Wall_Register!$A$5:$A$304,0)),IFERROR(INDEX(Manhole_Register!$AR$5:$AR$304,MATCH($B23,Manhole_Register!$A$5:$A$304,0)),IFERROR(INDEX(ERSS_Pit_Register!$AL$5:$AL$304,MATCH($B23,ERSS_Pit_Register!$A$5:$A$304,0)),IFERROR(INDEX(Linkway_Register!$AN$5:$AN$304,MATCH($B23,Linkway_Register!$A$5:$A$304,0)),IFERROR(INDEX(Other_Register!$X$5:$X$304,MATCH($B23,Other_Register!$A$5:$A$304,0)),"")))))))&amp;IFERROR(INDEX(Drain_Register!$AO$5:$AO$304,MATCH($B23,Drain_Register!$A$5:$A$304,0)),IFERROR(INDEX(RW_Register!$AU$5:$AU$304,MATCH($B23,RW_Register!$A$5:$A$304,0)),IFERROR(INDEX(Embedded_Wall_Register!$AS$5:$AS$304,MATCH($B23,Embedded_Wall_Register!$A$5:$A$304,0)),IFERROR(INDEX(Manhole_Register!$AS$5:$AS$304,MATCH($B23,Manhole_Register!$A$5:$A$304,0)),IFERROR(INDEX(ERSS_Pit_Register!$AM$5:$AM$304,MATCH($B23,ERSS_Pit_Register!$A$5:$A$304,0)),IFERROR(INDEX(Linkway_Register!$AO$5:$AO$304,MATCH($B23,Linkway_Register!$A$5:$A$304,0)),IFERROR(INDEX(Other_Register!$Y$5:$Y$304,MATCH($B23,Other_Register!$A$5:$A$304,0)),""))))))))</f>
        <v/>
      </c>
      <c r="N23" s="19" t="str">
        <f aca="false">IF(OR($B23="",$D23=""),"",$D23*N(IFERROR(INDEX(Drain_Register!$AV$5:$AV$304,MATCH($B23,Drain_Register!$A$5:$A$304,0)),IFERROR(INDEX(RW_Register!$BB$5:$BB$304,MATCH($B23,RW_Register!$A$5:$A$304,0)),IFERROR(INDEX(Embedded_Wall_Register!$AZ$5:$AZ$304,MATCH($B23,Embedded_Wall_Register!$A$5:$A$304,0)),IFERROR(INDEX(Manhole_Register!$AZ$5:$AZ$304,MATCH($B23,Manhole_Register!$A$5:$A$304,0)),IFERROR(INDEX(ERSS_Pit_Register!$AT$5:$AT$304,MATCH($B23,ERSS_Pit_Register!$A$5:$A$304,0)),IFERROR(INDEX(Linkway_Register!$AV$5:$AV$304,MATCH($B23,Linkway_Register!$A$5:$A$304,0)),IFERROR(INDEX(Other_Register!$AF$5:$AF$304,MATCH($B23,Other_Register!$A$5:$A$304,0)),0)))))))))</f>
        <v/>
      </c>
      <c r="O23" s="20" t="str">
        <f aca="false">IF(OR($B23="",$D23=""),"",$D23*N(IFERROR(INDEX(Drain_Register!$AW$5:$AW$304,MATCH($B23,Drain_Register!$A$5:$A$304,0)),IFERROR(INDEX(RW_Register!$BC$5:$BC$304,MATCH($B23,RW_Register!$A$5:$A$304,0)),IFERROR(INDEX(Embedded_Wall_Register!$BA$5:$BA$304,MATCH($B23,Embedded_Wall_Register!$A$5:$A$304,0)),IFERROR(INDEX(Manhole_Register!$BA$5:$BA$304,MATCH($B23,Manhole_Register!$A$5:$A$304,0)),IFERROR(INDEX(ERSS_Pit_Register!$AU$5:$AU$304,MATCH($B23,ERSS_Pit_Register!$A$5:$A$304,0)),IFERROR(INDEX(Linkway_Register!$AW$5:$AW$304,MATCH($B23,Linkway_Register!$A$5:$A$304,0)),IFERROR(INDEX(Other_Register!$AG$5:$AG$304,MATCH($B23,Other_Register!$A$5:$A$304,0)),0))))))))/1000)</f>
        <v/>
      </c>
      <c r="P23" s="20" t="str">
        <f aca="false">IF(OR($B23="",$D23=""),"",$D23*N(IFERROR(INDEX(Drain_Register!$AX$5:$AX$304,MATCH($B23,Drain_Register!$A$5:$A$304,0)),IFERROR(INDEX(RW_Register!$BD$5:$BD$304,MATCH($B23,RW_Register!$A$5:$A$304,0)),IFERROR(INDEX(Embedded_Wall_Register!$BB$5:$BB$304,MATCH($B23,Embedded_Wall_Register!$A$5:$A$304,0)),IFERROR(INDEX(Manhole_Register!$BB$5:$BB$304,MATCH($B23,Manhole_Register!$A$5:$A$304,0)),IFERROR(INDEX(ERSS_Pit_Register!$AV$5:$AV$304,MATCH($B23,ERSS_Pit_Register!$A$5:$A$304,0)),IFERROR(INDEX(Linkway_Register!$AX$5:$AX$304,MATCH($B23,Linkway_Register!$A$5:$A$304,0)),IFERROR(INDEX(Other_Register!$AH$5:$AH$304,MATCH($B23,Other_Register!$A$5:$A$304,0)),0))))))))/1000)</f>
        <v/>
      </c>
      <c r="Q23" s="19" t="str">
        <f aca="false">IF(OR($B23="",$D23=""),"",$D23*N(IFERROR(INDEX(Drain_Register!$AY$5:$AY$304,MATCH($B23,Drain_Register!$A$5:$A$304,0)),IFERROR(INDEX(RW_Register!$BE$5:$BE$304,MATCH($B23,RW_Register!$A$5:$A$304,0)),IFERROR(INDEX(Embedded_Wall_Register!$BC$5:$BC$304,MATCH($B23,Embedded_Wall_Register!$A$5:$A$304,0)),IFERROR(INDEX(Manhole_Register!$BC$5:$BC$304,MATCH($B23,Manhole_Register!$A$5:$A$304,0)),IFERROR(INDEX(ERSS_Pit_Register!$AW$5:$AW$304,MATCH($B23,ERSS_Pit_Register!$A$5:$A$304,0)),IFERROR(INDEX(Linkway_Register!$AY$5:$AY$304,MATCH($B23,Linkway_Register!$A$5:$A$304,0)),IFERROR(INDEX(Other_Register!$AI$5:$AI$304,MATCH($B23,Other_Register!$A$5:$A$304,0)),0)))))))))</f>
        <v/>
      </c>
      <c r="R23" s="19" t="str">
        <f aca="false">IF(OR($B23="",$D23=""),"",$D23*N(IFERROR(INDEX(Drain_Register!$AZ$5:$AZ$304,MATCH($B23,Drain_Register!$A$5:$A$304,0)),IFERROR(INDEX(RW_Register!$BF$5:$BF$304,MATCH($B23,RW_Register!$A$5:$A$304,0)),IFERROR(INDEX(Embedded_Wall_Register!$BD$5:$BD$304,MATCH($B23,Embedded_Wall_Register!$A$5:$A$304,0)),IFERROR(INDEX(Manhole_Register!$BD$5:$BD$304,MATCH($B23,Manhole_Register!$A$5:$A$304,0)),IFERROR(INDEX(ERSS_Pit_Register!$AX$5:$AX$304,MATCH($B23,ERSS_Pit_Register!$A$5:$A$304,0)),IFERROR(INDEX(Linkway_Register!$AZ$5:$AZ$304,MATCH($B23,Linkway_Register!$A$5:$A$304,0)),IFERROR(INDEX(Other_Register!$AJ$5:$AJ$304,MATCH($B23,Other_Register!$A$5:$A$304,0)),0)))))))))</f>
        <v/>
      </c>
      <c r="S23" s="10" t="str">
        <f aca="false">IF($B23="","",IF(G23="","ID not found",IF(J23&lt;&gt;"Approved","WARNING: status is "&amp;J23,IF(IFERROR(INDEX(Drain_Register!$CA$5:$CA$304,MATCH($B23,Drain_Register!$A$5:$A$304,0)),IFERROR(INDEX(RW_Register!$CF$5:$CF$304,MATCH($B23,RW_Register!$A$5:$A$304,0)),IFERROR(INDEX(Embedded_Wall_Register!$CD$5:$CD$304,MATCH($B23,Embedded_Wall_Register!$A$5:$A$304,0)),IFERROR(INDEX(Manhole_Register!$CC$5:$CC$304,MATCH($B23,Manhole_Register!$A$5:$A$304,0)),IFERROR(INDEX(ERSS_Pit_Register!$BX$5:$BX$304,MATCH($B23,ERSS_Pit_Register!$A$5:$A$304,0)),IFERROR(INDEX(Linkway_Register!$BY$5:$BY$304,MATCH($B23,Linkway_Register!$A$5:$A$304,0)),IFERROR(INDEX(Other_Register!$BI$5:$BI$304,MATCH($B23,Other_Register!$A$5:$A$304,0)),"")))))))="N","WARNING: fails SG compliance check",IF(D23="","Enter length / qty",IF(E23="","Enter CAD sheet no.","OK"))))))</f>
        <v/>
      </c>
    </row>
    <row r="24" customFormat="false" ht="15" hidden="false" customHeight="false" outlineLevel="0" collapsed="false">
      <c r="A24" s="9"/>
      <c r="B24" s="9"/>
      <c r="C24" s="9"/>
      <c r="D24" s="9"/>
      <c r="E24" s="9"/>
      <c r="F24" s="10" t="str">
        <f aca="false">IF($B24="","",IFERROR(INDEX(Drain_Register!$AU$5:$AU$304,MATCH($B24,Drain_Register!$A$5:$A$304,0)),IFERROR(INDEX(RW_Register!$BA$5:$BA$304,MATCH($B24,RW_Register!$A$5:$A$304,0)),IFERROR(INDEX(Embedded_Wall_Register!$AY$5:$AY$304,MATCH($B24,Embedded_Wall_Register!$A$5:$A$304,0)),IFERROR(INDEX(Manhole_Register!$AY$5:$AY$304,MATCH($B24,Manhole_Register!$A$5:$A$304,0)),IFERROR(INDEX(ERSS_Pit_Register!$AS$5:$AS$304,MATCH($B24,ERSS_Pit_Register!$A$5:$A$304,0)),IFERROR(INDEX(Linkway_Register!$AU$5:$AU$304,MATCH($B24,Linkway_Register!$A$5:$A$304,0)),IFERROR(INDEX(Other_Register!$AE$5:$AE$304,MATCH($B24,Other_Register!$A$5:$A$304,0)),""))))))))</f>
        <v/>
      </c>
      <c r="G24" s="10" t="str">
        <f aca="false">IF($B24="","",IF(ISNUMBER(MATCH($B24,Drain_Register!$A$5:$A$304,0)),"Drain",IF(ISNUMBER(MATCH($B24,RW_Register!$A$5:$A$304,0)),"Ret. Wall",IF(ISNUMBER(MATCH($B24,Embedded_Wall_Register!$A$5:$A$304,0)),"Embedded Wall",IF(ISNUMBER(MATCH($B24,Manhole_Register!$A$5:$A$304,0)),"Manhole",IF(ISNUMBER(MATCH($B24,ERSS_Pit_Register!$A$5:$A$304,0)),"ERSS Pit",IF(ISNUMBER(MATCH($B24,Linkway_Register!$A$5:$A$304,0)),"Linkway",IF(ISNUMBER(MATCH($B24,Other_Register!$A$5:$A$304,0)),"Others",""))))))))</f>
        <v/>
      </c>
      <c r="H24" s="10" t="str">
        <f aca="false">IF($B24="","",IFERROR(INDEX(Drain_Register!$B$5:$B$304,MATCH($B24,Drain_Register!$A$5:$A$304,0)),IFERROR(INDEX(RW_Register!$B$5:$B$304,MATCH($B24,RW_Register!$A$5:$A$304,0)),IFERROR(INDEX(Embedded_Wall_Register!$B$5:$B$304,MATCH($B24,Embedded_Wall_Register!$A$5:$A$304,0)),IFERROR(INDEX(Manhole_Register!$B$5:$B$304,MATCH($B24,Manhole_Register!$A$5:$A$304,0)),IFERROR(INDEX(ERSS_Pit_Register!$B$5:$B$304,MATCH($B24,ERSS_Pit_Register!$A$5:$A$304,0)),IFERROR(INDEX(Linkway_Register!$B$5:$B$304,MATCH($B24,Linkway_Register!$A$5:$A$304,0)),IFERROR(INDEX(Other_Register!$B$5:$B$304,MATCH($B24,Other_Register!$A$5:$A$304,0)),"ID not found - check spelling"))))))))</f>
        <v/>
      </c>
      <c r="I24" s="10" t="str">
        <f aca="false">IF($B24="","",IFERROR(INDEX(Drain_Register!$AI$5:$AI$304,MATCH($B24,Drain_Register!$A$5:$A$304,0)),IFERROR(INDEX(RW_Register!$AO$5:$AO$304,MATCH($B24,RW_Register!$A$5:$A$304,0)),IFERROR(INDEX(Embedded_Wall_Register!$AM$5:$AM$304,MATCH($B24,Embedded_Wall_Register!$A$5:$A$304,0)),IFERROR(INDEX(Manhole_Register!$AM$5:$AM$304,MATCH($B24,Manhole_Register!$A$5:$A$304,0)),IFERROR(INDEX(ERSS_Pit_Register!$AG$5:$AG$304,MATCH($B24,ERSS_Pit_Register!$A$5:$A$304,0)),IFERROR(INDEX(Linkway_Register!$AI$5:$AI$304,MATCH($B24,Linkway_Register!$A$5:$A$304,0)),IFERROR(INDEX(Other_Register!$S$5:$S$304,MATCH($B24,Other_Register!$A$5:$A$304,0)),""))))))))</f>
        <v/>
      </c>
      <c r="J24" s="10" t="str">
        <f aca="false">IF($B24="","",IFERROR(INDEX(Drain_Register!$AJ$5:$AJ$304,MATCH($B24,Drain_Register!$A$5:$A$304,0)),IFERROR(INDEX(RW_Register!$AP$5:$AP$304,MATCH($B24,RW_Register!$A$5:$A$304,0)),IFERROR(INDEX(Embedded_Wall_Register!$AN$5:$AN$304,MATCH($B24,Embedded_Wall_Register!$A$5:$A$304,0)),IFERROR(INDEX(Manhole_Register!$AN$5:$AN$304,MATCH($B24,Manhole_Register!$A$5:$A$304,0)),IFERROR(INDEX(ERSS_Pit_Register!$AH$5:$AH$304,MATCH($B24,ERSS_Pit_Register!$A$5:$A$304,0)),IFERROR(INDEX(Linkway_Register!$AJ$5:$AJ$304,MATCH($B24,Linkway_Register!$A$5:$A$304,0)),IFERROR(INDEX(Other_Register!$T$5:$T$304,MATCH($B24,Other_Register!$A$5:$A$304,0)),""))))))))</f>
        <v/>
      </c>
      <c r="K24" s="10" t="str">
        <f aca="false">IF($B24="","",IFERROR(INDEX(Drain_Register!$AK$5:$AK$304,MATCH($B24,Drain_Register!$A$5:$A$304,0)),IFERROR(INDEX(RW_Register!$AQ$5:$AQ$304,MATCH($B24,RW_Register!$A$5:$A$304,0)),IFERROR(INDEX(Embedded_Wall_Register!$AO$5:$AO$304,MATCH($B24,Embedded_Wall_Register!$A$5:$A$304,0)),IFERROR(INDEX(Manhole_Register!$AO$5:$AO$304,MATCH($B24,Manhole_Register!$A$5:$A$304,0)),IFERROR(INDEX(ERSS_Pit_Register!$AI$5:$AI$304,MATCH($B24,ERSS_Pit_Register!$A$5:$A$304,0)),IFERROR(INDEX(Linkway_Register!$AK$5:$AK$304,MATCH($B24,Linkway_Register!$A$5:$A$304,0)),IFERROR(INDEX(Other_Register!$U$5:$U$304,MATCH($B24,Other_Register!$A$5:$A$304,0)),""))))))))</f>
        <v/>
      </c>
      <c r="L24" s="10" t="str">
        <f aca="false">IF($B24="","",IFERROR(INDEX(Drain_Register!$AL$5:$AL$304,MATCH($B24,Drain_Register!$A$5:$A$304,0)),IFERROR(INDEX(RW_Register!$AR$5:$AR$304,MATCH($B24,RW_Register!$A$5:$A$304,0)),IFERROR(INDEX(Embedded_Wall_Register!$AP$5:$AP$304,MATCH($B24,Embedded_Wall_Register!$A$5:$A$304,0)),IFERROR(INDEX(Manhole_Register!$AP$5:$AP$304,MATCH($B24,Manhole_Register!$A$5:$A$304,0)),IFERROR(INDEX(ERSS_Pit_Register!$AJ$5:$AJ$304,MATCH($B24,ERSS_Pit_Register!$A$5:$A$304,0)),IFERROR(INDEX(Linkway_Register!$AL$5:$AL$304,MATCH($B24,Linkway_Register!$A$5:$A$304,0)),IFERROR(INDEX(Other_Register!$V$5:$V$304,MATCH($B24,Other_Register!$A$5:$A$304,0)),""))))))))</f>
        <v/>
      </c>
      <c r="M24" s="10" t="str">
        <f aca="false">IF($B24="","",IFERROR(INDEX(Drain_Register!$AN$5:$AN$304,MATCH($B24,Drain_Register!$A$5:$A$304,0)),IFERROR(INDEX(RW_Register!$AT$5:$AT$304,MATCH($B24,RW_Register!$A$5:$A$304,0)),IFERROR(INDEX(Embedded_Wall_Register!$AR$5:$AR$304,MATCH($B24,Embedded_Wall_Register!$A$5:$A$304,0)),IFERROR(INDEX(Manhole_Register!$AR$5:$AR$304,MATCH($B24,Manhole_Register!$A$5:$A$304,0)),IFERROR(INDEX(ERSS_Pit_Register!$AL$5:$AL$304,MATCH($B24,ERSS_Pit_Register!$A$5:$A$304,0)),IFERROR(INDEX(Linkway_Register!$AN$5:$AN$304,MATCH($B24,Linkway_Register!$A$5:$A$304,0)),IFERROR(INDEX(Other_Register!$X$5:$X$304,MATCH($B24,Other_Register!$A$5:$A$304,0)),"")))))))&amp;IFERROR(INDEX(Drain_Register!$AO$5:$AO$304,MATCH($B24,Drain_Register!$A$5:$A$304,0)),IFERROR(INDEX(RW_Register!$AU$5:$AU$304,MATCH($B24,RW_Register!$A$5:$A$304,0)),IFERROR(INDEX(Embedded_Wall_Register!$AS$5:$AS$304,MATCH($B24,Embedded_Wall_Register!$A$5:$A$304,0)),IFERROR(INDEX(Manhole_Register!$AS$5:$AS$304,MATCH($B24,Manhole_Register!$A$5:$A$304,0)),IFERROR(INDEX(ERSS_Pit_Register!$AM$5:$AM$304,MATCH($B24,ERSS_Pit_Register!$A$5:$A$304,0)),IFERROR(INDEX(Linkway_Register!$AO$5:$AO$304,MATCH($B24,Linkway_Register!$A$5:$A$304,0)),IFERROR(INDEX(Other_Register!$Y$5:$Y$304,MATCH($B24,Other_Register!$A$5:$A$304,0)),""))))))))</f>
        <v/>
      </c>
      <c r="N24" s="19" t="str">
        <f aca="false">IF(OR($B24="",$D24=""),"",$D24*N(IFERROR(INDEX(Drain_Register!$AV$5:$AV$304,MATCH($B24,Drain_Register!$A$5:$A$304,0)),IFERROR(INDEX(RW_Register!$BB$5:$BB$304,MATCH($B24,RW_Register!$A$5:$A$304,0)),IFERROR(INDEX(Embedded_Wall_Register!$AZ$5:$AZ$304,MATCH($B24,Embedded_Wall_Register!$A$5:$A$304,0)),IFERROR(INDEX(Manhole_Register!$AZ$5:$AZ$304,MATCH($B24,Manhole_Register!$A$5:$A$304,0)),IFERROR(INDEX(ERSS_Pit_Register!$AT$5:$AT$304,MATCH($B24,ERSS_Pit_Register!$A$5:$A$304,0)),IFERROR(INDEX(Linkway_Register!$AV$5:$AV$304,MATCH($B24,Linkway_Register!$A$5:$A$304,0)),IFERROR(INDEX(Other_Register!$AF$5:$AF$304,MATCH($B24,Other_Register!$A$5:$A$304,0)),0)))))))))</f>
        <v/>
      </c>
      <c r="O24" s="20" t="str">
        <f aca="false">IF(OR($B24="",$D24=""),"",$D24*N(IFERROR(INDEX(Drain_Register!$AW$5:$AW$304,MATCH($B24,Drain_Register!$A$5:$A$304,0)),IFERROR(INDEX(RW_Register!$BC$5:$BC$304,MATCH($B24,RW_Register!$A$5:$A$304,0)),IFERROR(INDEX(Embedded_Wall_Register!$BA$5:$BA$304,MATCH($B24,Embedded_Wall_Register!$A$5:$A$304,0)),IFERROR(INDEX(Manhole_Register!$BA$5:$BA$304,MATCH($B24,Manhole_Register!$A$5:$A$304,0)),IFERROR(INDEX(ERSS_Pit_Register!$AU$5:$AU$304,MATCH($B24,ERSS_Pit_Register!$A$5:$A$304,0)),IFERROR(INDEX(Linkway_Register!$AW$5:$AW$304,MATCH($B24,Linkway_Register!$A$5:$A$304,0)),IFERROR(INDEX(Other_Register!$AG$5:$AG$304,MATCH($B24,Other_Register!$A$5:$A$304,0)),0))))))))/1000)</f>
        <v/>
      </c>
      <c r="P24" s="20" t="str">
        <f aca="false">IF(OR($B24="",$D24=""),"",$D24*N(IFERROR(INDEX(Drain_Register!$AX$5:$AX$304,MATCH($B24,Drain_Register!$A$5:$A$304,0)),IFERROR(INDEX(RW_Register!$BD$5:$BD$304,MATCH($B24,RW_Register!$A$5:$A$304,0)),IFERROR(INDEX(Embedded_Wall_Register!$BB$5:$BB$304,MATCH($B24,Embedded_Wall_Register!$A$5:$A$304,0)),IFERROR(INDEX(Manhole_Register!$BB$5:$BB$304,MATCH($B24,Manhole_Register!$A$5:$A$304,0)),IFERROR(INDEX(ERSS_Pit_Register!$AV$5:$AV$304,MATCH($B24,ERSS_Pit_Register!$A$5:$A$304,0)),IFERROR(INDEX(Linkway_Register!$AX$5:$AX$304,MATCH($B24,Linkway_Register!$A$5:$A$304,0)),IFERROR(INDEX(Other_Register!$AH$5:$AH$304,MATCH($B24,Other_Register!$A$5:$A$304,0)),0))))))))/1000)</f>
        <v/>
      </c>
      <c r="Q24" s="19" t="str">
        <f aca="false">IF(OR($B24="",$D24=""),"",$D24*N(IFERROR(INDEX(Drain_Register!$AY$5:$AY$304,MATCH($B24,Drain_Register!$A$5:$A$304,0)),IFERROR(INDEX(RW_Register!$BE$5:$BE$304,MATCH($B24,RW_Register!$A$5:$A$304,0)),IFERROR(INDEX(Embedded_Wall_Register!$BC$5:$BC$304,MATCH($B24,Embedded_Wall_Register!$A$5:$A$304,0)),IFERROR(INDEX(Manhole_Register!$BC$5:$BC$304,MATCH($B24,Manhole_Register!$A$5:$A$304,0)),IFERROR(INDEX(ERSS_Pit_Register!$AW$5:$AW$304,MATCH($B24,ERSS_Pit_Register!$A$5:$A$304,0)),IFERROR(INDEX(Linkway_Register!$AY$5:$AY$304,MATCH($B24,Linkway_Register!$A$5:$A$304,0)),IFERROR(INDEX(Other_Register!$AI$5:$AI$304,MATCH($B24,Other_Register!$A$5:$A$304,0)),0)))))))))</f>
        <v/>
      </c>
      <c r="R24" s="19" t="str">
        <f aca="false">IF(OR($B24="",$D24=""),"",$D24*N(IFERROR(INDEX(Drain_Register!$AZ$5:$AZ$304,MATCH($B24,Drain_Register!$A$5:$A$304,0)),IFERROR(INDEX(RW_Register!$BF$5:$BF$304,MATCH($B24,RW_Register!$A$5:$A$304,0)),IFERROR(INDEX(Embedded_Wall_Register!$BD$5:$BD$304,MATCH($B24,Embedded_Wall_Register!$A$5:$A$304,0)),IFERROR(INDEX(Manhole_Register!$BD$5:$BD$304,MATCH($B24,Manhole_Register!$A$5:$A$304,0)),IFERROR(INDEX(ERSS_Pit_Register!$AX$5:$AX$304,MATCH($B24,ERSS_Pit_Register!$A$5:$A$304,0)),IFERROR(INDEX(Linkway_Register!$AZ$5:$AZ$304,MATCH($B24,Linkway_Register!$A$5:$A$304,0)),IFERROR(INDEX(Other_Register!$AJ$5:$AJ$304,MATCH($B24,Other_Register!$A$5:$A$304,0)),0)))))))))</f>
        <v/>
      </c>
      <c r="S24" s="10" t="str">
        <f aca="false">IF($B24="","",IF(G24="","ID not found",IF(J24&lt;&gt;"Approved","WARNING: status is "&amp;J24,IF(IFERROR(INDEX(Drain_Register!$CA$5:$CA$304,MATCH($B24,Drain_Register!$A$5:$A$304,0)),IFERROR(INDEX(RW_Register!$CF$5:$CF$304,MATCH($B24,RW_Register!$A$5:$A$304,0)),IFERROR(INDEX(Embedded_Wall_Register!$CD$5:$CD$304,MATCH($B24,Embedded_Wall_Register!$A$5:$A$304,0)),IFERROR(INDEX(Manhole_Register!$CC$5:$CC$304,MATCH($B24,Manhole_Register!$A$5:$A$304,0)),IFERROR(INDEX(ERSS_Pit_Register!$BX$5:$BX$304,MATCH($B24,ERSS_Pit_Register!$A$5:$A$304,0)),IFERROR(INDEX(Linkway_Register!$BY$5:$BY$304,MATCH($B24,Linkway_Register!$A$5:$A$304,0)),IFERROR(INDEX(Other_Register!$BI$5:$BI$304,MATCH($B24,Other_Register!$A$5:$A$304,0)),"")))))))="N","WARNING: fails SG compliance check",IF(D24="","Enter length / qty",IF(E24="","Enter CAD sheet no.","OK"))))))</f>
        <v/>
      </c>
    </row>
    <row r="25" customFormat="false" ht="15" hidden="false" customHeight="false" outlineLevel="0" collapsed="false">
      <c r="A25" s="9"/>
      <c r="B25" s="9"/>
      <c r="C25" s="9"/>
      <c r="D25" s="9"/>
      <c r="E25" s="9"/>
      <c r="F25" s="10" t="str">
        <f aca="false">IF($B25="","",IFERROR(INDEX(Drain_Register!$AU$5:$AU$304,MATCH($B25,Drain_Register!$A$5:$A$304,0)),IFERROR(INDEX(RW_Register!$BA$5:$BA$304,MATCH($B25,RW_Register!$A$5:$A$304,0)),IFERROR(INDEX(Embedded_Wall_Register!$AY$5:$AY$304,MATCH($B25,Embedded_Wall_Register!$A$5:$A$304,0)),IFERROR(INDEX(Manhole_Register!$AY$5:$AY$304,MATCH($B25,Manhole_Register!$A$5:$A$304,0)),IFERROR(INDEX(ERSS_Pit_Register!$AS$5:$AS$304,MATCH($B25,ERSS_Pit_Register!$A$5:$A$304,0)),IFERROR(INDEX(Linkway_Register!$AU$5:$AU$304,MATCH($B25,Linkway_Register!$A$5:$A$304,0)),IFERROR(INDEX(Other_Register!$AE$5:$AE$304,MATCH($B25,Other_Register!$A$5:$A$304,0)),""))))))))</f>
        <v/>
      </c>
      <c r="G25" s="10" t="str">
        <f aca="false">IF($B25="","",IF(ISNUMBER(MATCH($B25,Drain_Register!$A$5:$A$304,0)),"Drain",IF(ISNUMBER(MATCH($B25,RW_Register!$A$5:$A$304,0)),"Ret. Wall",IF(ISNUMBER(MATCH($B25,Embedded_Wall_Register!$A$5:$A$304,0)),"Embedded Wall",IF(ISNUMBER(MATCH($B25,Manhole_Register!$A$5:$A$304,0)),"Manhole",IF(ISNUMBER(MATCH($B25,ERSS_Pit_Register!$A$5:$A$304,0)),"ERSS Pit",IF(ISNUMBER(MATCH($B25,Linkway_Register!$A$5:$A$304,0)),"Linkway",IF(ISNUMBER(MATCH($B25,Other_Register!$A$5:$A$304,0)),"Others",""))))))))</f>
        <v/>
      </c>
      <c r="H25" s="10" t="str">
        <f aca="false">IF($B25="","",IFERROR(INDEX(Drain_Register!$B$5:$B$304,MATCH($B25,Drain_Register!$A$5:$A$304,0)),IFERROR(INDEX(RW_Register!$B$5:$B$304,MATCH($B25,RW_Register!$A$5:$A$304,0)),IFERROR(INDEX(Embedded_Wall_Register!$B$5:$B$304,MATCH($B25,Embedded_Wall_Register!$A$5:$A$304,0)),IFERROR(INDEX(Manhole_Register!$B$5:$B$304,MATCH($B25,Manhole_Register!$A$5:$A$304,0)),IFERROR(INDEX(ERSS_Pit_Register!$B$5:$B$304,MATCH($B25,ERSS_Pit_Register!$A$5:$A$304,0)),IFERROR(INDEX(Linkway_Register!$B$5:$B$304,MATCH($B25,Linkway_Register!$A$5:$A$304,0)),IFERROR(INDEX(Other_Register!$B$5:$B$304,MATCH($B25,Other_Register!$A$5:$A$304,0)),"ID not found - check spelling"))))))))</f>
        <v/>
      </c>
      <c r="I25" s="10" t="str">
        <f aca="false">IF($B25="","",IFERROR(INDEX(Drain_Register!$AI$5:$AI$304,MATCH($B25,Drain_Register!$A$5:$A$304,0)),IFERROR(INDEX(RW_Register!$AO$5:$AO$304,MATCH($B25,RW_Register!$A$5:$A$304,0)),IFERROR(INDEX(Embedded_Wall_Register!$AM$5:$AM$304,MATCH($B25,Embedded_Wall_Register!$A$5:$A$304,0)),IFERROR(INDEX(Manhole_Register!$AM$5:$AM$304,MATCH($B25,Manhole_Register!$A$5:$A$304,0)),IFERROR(INDEX(ERSS_Pit_Register!$AG$5:$AG$304,MATCH($B25,ERSS_Pit_Register!$A$5:$A$304,0)),IFERROR(INDEX(Linkway_Register!$AI$5:$AI$304,MATCH($B25,Linkway_Register!$A$5:$A$304,0)),IFERROR(INDEX(Other_Register!$S$5:$S$304,MATCH($B25,Other_Register!$A$5:$A$304,0)),""))))))))</f>
        <v/>
      </c>
      <c r="J25" s="10" t="str">
        <f aca="false">IF($B25="","",IFERROR(INDEX(Drain_Register!$AJ$5:$AJ$304,MATCH($B25,Drain_Register!$A$5:$A$304,0)),IFERROR(INDEX(RW_Register!$AP$5:$AP$304,MATCH($B25,RW_Register!$A$5:$A$304,0)),IFERROR(INDEX(Embedded_Wall_Register!$AN$5:$AN$304,MATCH($B25,Embedded_Wall_Register!$A$5:$A$304,0)),IFERROR(INDEX(Manhole_Register!$AN$5:$AN$304,MATCH($B25,Manhole_Register!$A$5:$A$304,0)),IFERROR(INDEX(ERSS_Pit_Register!$AH$5:$AH$304,MATCH($B25,ERSS_Pit_Register!$A$5:$A$304,0)),IFERROR(INDEX(Linkway_Register!$AJ$5:$AJ$304,MATCH($B25,Linkway_Register!$A$5:$A$304,0)),IFERROR(INDEX(Other_Register!$T$5:$T$304,MATCH($B25,Other_Register!$A$5:$A$304,0)),""))))))))</f>
        <v/>
      </c>
      <c r="K25" s="10" t="str">
        <f aca="false">IF($B25="","",IFERROR(INDEX(Drain_Register!$AK$5:$AK$304,MATCH($B25,Drain_Register!$A$5:$A$304,0)),IFERROR(INDEX(RW_Register!$AQ$5:$AQ$304,MATCH($B25,RW_Register!$A$5:$A$304,0)),IFERROR(INDEX(Embedded_Wall_Register!$AO$5:$AO$304,MATCH($B25,Embedded_Wall_Register!$A$5:$A$304,0)),IFERROR(INDEX(Manhole_Register!$AO$5:$AO$304,MATCH($B25,Manhole_Register!$A$5:$A$304,0)),IFERROR(INDEX(ERSS_Pit_Register!$AI$5:$AI$304,MATCH($B25,ERSS_Pit_Register!$A$5:$A$304,0)),IFERROR(INDEX(Linkway_Register!$AK$5:$AK$304,MATCH($B25,Linkway_Register!$A$5:$A$304,0)),IFERROR(INDEX(Other_Register!$U$5:$U$304,MATCH($B25,Other_Register!$A$5:$A$304,0)),""))))))))</f>
        <v/>
      </c>
      <c r="L25" s="10" t="str">
        <f aca="false">IF($B25="","",IFERROR(INDEX(Drain_Register!$AL$5:$AL$304,MATCH($B25,Drain_Register!$A$5:$A$304,0)),IFERROR(INDEX(RW_Register!$AR$5:$AR$304,MATCH($B25,RW_Register!$A$5:$A$304,0)),IFERROR(INDEX(Embedded_Wall_Register!$AP$5:$AP$304,MATCH($B25,Embedded_Wall_Register!$A$5:$A$304,0)),IFERROR(INDEX(Manhole_Register!$AP$5:$AP$304,MATCH($B25,Manhole_Register!$A$5:$A$304,0)),IFERROR(INDEX(ERSS_Pit_Register!$AJ$5:$AJ$304,MATCH($B25,ERSS_Pit_Register!$A$5:$A$304,0)),IFERROR(INDEX(Linkway_Register!$AL$5:$AL$304,MATCH($B25,Linkway_Register!$A$5:$A$304,0)),IFERROR(INDEX(Other_Register!$V$5:$V$304,MATCH($B25,Other_Register!$A$5:$A$304,0)),""))))))))</f>
        <v/>
      </c>
      <c r="M25" s="10" t="str">
        <f aca="false">IF($B25="","",IFERROR(INDEX(Drain_Register!$AN$5:$AN$304,MATCH($B25,Drain_Register!$A$5:$A$304,0)),IFERROR(INDEX(RW_Register!$AT$5:$AT$304,MATCH($B25,RW_Register!$A$5:$A$304,0)),IFERROR(INDEX(Embedded_Wall_Register!$AR$5:$AR$304,MATCH($B25,Embedded_Wall_Register!$A$5:$A$304,0)),IFERROR(INDEX(Manhole_Register!$AR$5:$AR$304,MATCH($B25,Manhole_Register!$A$5:$A$304,0)),IFERROR(INDEX(ERSS_Pit_Register!$AL$5:$AL$304,MATCH($B25,ERSS_Pit_Register!$A$5:$A$304,0)),IFERROR(INDEX(Linkway_Register!$AN$5:$AN$304,MATCH($B25,Linkway_Register!$A$5:$A$304,0)),IFERROR(INDEX(Other_Register!$X$5:$X$304,MATCH($B25,Other_Register!$A$5:$A$304,0)),"")))))))&amp;IFERROR(INDEX(Drain_Register!$AO$5:$AO$304,MATCH($B25,Drain_Register!$A$5:$A$304,0)),IFERROR(INDEX(RW_Register!$AU$5:$AU$304,MATCH($B25,RW_Register!$A$5:$A$304,0)),IFERROR(INDEX(Embedded_Wall_Register!$AS$5:$AS$304,MATCH($B25,Embedded_Wall_Register!$A$5:$A$304,0)),IFERROR(INDEX(Manhole_Register!$AS$5:$AS$304,MATCH($B25,Manhole_Register!$A$5:$A$304,0)),IFERROR(INDEX(ERSS_Pit_Register!$AM$5:$AM$304,MATCH($B25,ERSS_Pit_Register!$A$5:$A$304,0)),IFERROR(INDEX(Linkway_Register!$AO$5:$AO$304,MATCH($B25,Linkway_Register!$A$5:$A$304,0)),IFERROR(INDEX(Other_Register!$Y$5:$Y$304,MATCH($B25,Other_Register!$A$5:$A$304,0)),""))))))))</f>
        <v/>
      </c>
      <c r="N25" s="19" t="str">
        <f aca="false">IF(OR($B25="",$D25=""),"",$D25*N(IFERROR(INDEX(Drain_Register!$AV$5:$AV$304,MATCH($B25,Drain_Register!$A$5:$A$304,0)),IFERROR(INDEX(RW_Register!$BB$5:$BB$304,MATCH($B25,RW_Register!$A$5:$A$304,0)),IFERROR(INDEX(Embedded_Wall_Register!$AZ$5:$AZ$304,MATCH($B25,Embedded_Wall_Register!$A$5:$A$304,0)),IFERROR(INDEX(Manhole_Register!$AZ$5:$AZ$304,MATCH($B25,Manhole_Register!$A$5:$A$304,0)),IFERROR(INDEX(ERSS_Pit_Register!$AT$5:$AT$304,MATCH($B25,ERSS_Pit_Register!$A$5:$A$304,0)),IFERROR(INDEX(Linkway_Register!$AV$5:$AV$304,MATCH($B25,Linkway_Register!$A$5:$A$304,0)),IFERROR(INDEX(Other_Register!$AF$5:$AF$304,MATCH($B25,Other_Register!$A$5:$A$304,0)),0)))))))))</f>
        <v/>
      </c>
      <c r="O25" s="20" t="str">
        <f aca="false">IF(OR($B25="",$D25=""),"",$D25*N(IFERROR(INDEX(Drain_Register!$AW$5:$AW$304,MATCH($B25,Drain_Register!$A$5:$A$304,0)),IFERROR(INDEX(RW_Register!$BC$5:$BC$304,MATCH($B25,RW_Register!$A$5:$A$304,0)),IFERROR(INDEX(Embedded_Wall_Register!$BA$5:$BA$304,MATCH($B25,Embedded_Wall_Register!$A$5:$A$304,0)),IFERROR(INDEX(Manhole_Register!$BA$5:$BA$304,MATCH($B25,Manhole_Register!$A$5:$A$304,0)),IFERROR(INDEX(ERSS_Pit_Register!$AU$5:$AU$304,MATCH($B25,ERSS_Pit_Register!$A$5:$A$304,0)),IFERROR(INDEX(Linkway_Register!$AW$5:$AW$304,MATCH($B25,Linkway_Register!$A$5:$A$304,0)),IFERROR(INDEX(Other_Register!$AG$5:$AG$304,MATCH($B25,Other_Register!$A$5:$A$304,0)),0))))))))/1000)</f>
        <v/>
      </c>
      <c r="P25" s="20" t="str">
        <f aca="false">IF(OR($B25="",$D25=""),"",$D25*N(IFERROR(INDEX(Drain_Register!$AX$5:$AX$304,MATCH($B25,Drain_Register!$A$5:$A$304,0)),IFERROR(INDEX(RW_Register!$BD$5:$BD$304,MATCH($B25,RW_Register!$A$5:$A$304,0)),IFERROR(INDEX(Embedded_Wall_Register!$BB$5:$BB$304,MATCH($B25,Embedded_Wall_Register!$A$5:$A$304,0)),IFERROR(INDEX(Manhole_Register!$BB$5:$BB$304,MATCH($B25,Manhole_Register!$A$5:$A$304,0)),IFERROR(INDEX(ERSS_Pit_Register!$AV$5:$AV$304,MATCH($B25,ERSS_Pit_Register!$A$5:$A$304,0)),IFERROR(INDEX(Linkway_Register!$AX$5:$AX$304,MATCH($B25,Linkway_Register!$A$5:$A$304,0)),IFERROR(INDEX(Other_Register!$AH$5:$AH$304,MATCH($B25,Other_Register!$A$5:$A$304,0)),0))))))))/1000)</f>
        <v/>
      </c>
      <c r="Q25" s="19" t="str">
        <f aca="false">IF(OR($B25="",$D25=""),"",$D25*N(IFERROR(INDEX(Drain_Register!$AY$5:$AY$304,MATCH($B25,Drain_Register!$A$5:$A$304,0)),IFERROR(INDEX(RW_Register!$BE$5:$BE$304,MATCH($B25,RW_Register!$A$5:$A$304,0)),IFERROR(INDEX(Embedded_Wall_Register!$BC$5:$BC$304,MATCH($B25,Embedded_Wall_Register!$A$5:$A$304,0)),IFERROR(INDEX(Manhole_Register!$BC$5:$BC$304,MATCH($B25,Manhole_Register!$A$5:$A$304,0)),IFERROR(INDEX(ERSS_Pit_Register!$AW$5:$AW$304,MATCH($B25,ERSS_Pit_Register!$A$5:$A$304,0)),IFERROR(INDEX(Linkway_Register!$AY$5:$AY$304,MATCH($B25,Linkway_Register!$A$5:$A$304,0)),IFERROR(INDEX(Other_Register!$AI$5:$AI$304,MATCH($B25,Other_Register!$A$5:$A$304,0)),0)))))))))</f>
        <v/>
      </c>
      <c r="R25" s="19" t="str">
        <f aca="false">IF(OR($B25="",$D25=""),"",$D25*N(IFERROR(INDEX(Drain_Register!$AZ$5:$AZ$304,MATCH($B25,Drain_Register!$A$5:$A$304,0)),IFERROR(INDEX(RW_Register!$BF$5:$BF$304,MATCH($B25,RW_Register!$A$5:$A$304,0)),IFERROR(INDEX(Embedded_Wall_Register!$BD$5:$BD$304,MATCH($B25,Embedded_Wall_Register!$A$5:$A$304,0)),IFERROR(INDEX(Manhole_Register!$BD$5:$BD$304,MATCH($B25,Manhole_Register!$A$5:$A$304,0)),IFERROR(INDEX(ERSS_Pit_Register!$AX$5:$AX$304,MATCH($B25,ERSS_Pit_Register!$A$5:$A$304,0)),IFERROR(INDEX(Linkway_Register!$AZ$5:$AZ$304,MATCH($B25,Linkway_Register!$A$5:$A$304,0)),IFERROR(INDEX(Other_Register!$AJ$5:$AJ$304,MATCH($B25,Other_Register!$A$5:$A$304,0)),0)))))))))</f>
        <v/>
      </c>
      <c r="S25" s="10" t="str">
        <f aca="false">IF($B25="","",IF(G25="","ID not found",IF(J25&lt;&gt;"Approved","WARNING: status is "&amp;J25,IF(IFERROR(INDEX(Drain_Register!$CA$5:$CA$304,MATCH($B25,Drain_Register!$A$5:$A$304,0)),IFERROR(INDEX(RW_Register!$CF$5:$CF$304,MATCH($B25,RW_Register!$A$5:$A$304,0)),IFERROR(INDEX(Embedded_Wall_Register!$CD$5:$CD$304,MATCH($B25,Embedded_Wall_Register!$A$5:$A$304,0)),IFERROR(INDEX(Manhole_Register!$CC$5:$CC$304,MATCH($B25,Manhole_Register!$A$5:$A$304,0)),IFERROR(INDEX(ERSS_Pit_Register!$BX$5:$BX$304,MATCH($B25,ERSS_Pit_Register!$A$5:$A$304,0)),IFERROR(INDEX(Linkway_Register!$BY$5:$BY$304,MATCH($B25,Linkway_Register!$A$5:$A$304,0)),IFERROR(INDEX(Other_Register!$BI$5:$BI$304,MATCH($B25,Other_Register!$A$5:$A$304,0)),"")))))))="N","WARNING: fails SG compliance check",IF(D25="","Enter length / qty",IF(E25="","Enter CAD sheet no.","OK"))))))</f>
        <v/>
      </c>
    </row>
    <row r="26" customFormat="false" ht="15" hidden="false" customHeight="false" outlineLevel="0" collapsed="false">
      <c r="A26" s="9"/>
      <c r="B26" s="9"/>
      <c r="C26" s="9"/>
      <c r="D26" s="9"/>
      <c r="E26" s="9"/>
      <c r="F26" s="10" t="str">
        <f aca="false">IF($B26="","",IFERROR(INDEX(Drain_Register!$AU$5:$AU$304,MATCH($B26,Drain_Register!$A$5:$A$304,0)),IFERROR(INDEX(RW_Register!$BA$5:$BA$304,MATCH($B26,RW_Register!$A$5:$A$304,0)),IFERROR(INDEX(Embedded_Wall_Register!$AY$5:$AY$304,MATCH($B26,Embedded_Wall_Register!$A$5:$A$304,0)),IFERROR(INDEX(Manhole_Register!$AY$5:$AY$304,MATCH($B26,Manhole_Register!$A$5:$A$304,0)),IFERROR(INDEX(ERSS_Pit_Register!$AS$5:$AS$304,MATCH($B26,ERSS_Pit_Register!$A$5:$A$304,0)),IFERROR(INDEX(Linkway_Register!$AU$5:$AU$304,MATCH($B26,Linkway_Register!$A$5:$A$304,0)),IFERROR(INDEX(Other_Register!$AE$5:$AE$304,MATCH($B26,Other_Register!$A$5:$A$304,0)),""))))))))</f>
        <v/>
      </c>
      <c r="G26" s="10" t="str">
        <f aca="false">IF($B26="","",IF(ISNUMBER(MATCH($B26,Drain_Register!$A$5:$A$304,0)),"Drain",IF(ISNUMBER(MATCH($B26,RW_Register!$A$5:$A$304,0)),"Ret. Wall",IF(ISNUMBER(MATCH($B26,Embedded_Wall_Register!$A$5:$A$304,0)),"Embedded Wall",IF(ISNUMBER(MATCH($B26,Manhole_Register!$A$5:$A$304,0)),"Manhole",IF(ISNUMBER(MATCH($B26,ERSS_Pit_Register!$A$5:$A$304,0)),"ERSS Pit",IF(ISNUMBER(MATCH($B26,Linkway_Register!$A$5:$A$304,0)),"Linkway",IF(ISNUMBER(MATCH($B26,Other_Register!$A$5:$A$304,0)),"Others",""))))))))</f>
        <v/>
      </c>
      <c r="H26" s="10" t="str">
        <f aca="false">IF($B26="","",IFERROR(INDEX(Drain_Register!$B$5:$B$304,MATCH($B26,Drain_Register!$A$5:$A$304,0)),IFERROR(INDEX(RW_Register!$B$5:$B$304,MATCH($B26,RW_Register!$A$5:$A$304,0)),IFERROR(INDEX(Embedded_Wall_Register!$B$5:$B$304,MATCH($B26,Embedded_Wall_Register!$A$5:$A$304,0)),IFERROR(INDEX(Manhole_Register!$B$5:$B$304,MATCH($B26,Manhole_Register!$A$5:$A$304,0)),IFERROR(INDEX(ERSS_Pit_Register!$B$5:$B$304,MATCH($B26,ERSS_Pit_Register!$A$5:$A$304,0)),IFERROR(INDEX(Linkway_Register!$B$5:$B$304,MATCH($B26,Linkway_Register!$A$5:$A$304,0)),IFERROR(INDEX(Other_Register!$B$5:$B$304,MATCH($B26,Other_Register!$A$5:$A$304,0)),"ID not found - check spelling"))))))))</f>
        <v/>
      </c>
      <c r="I26" s="10" t="str">
        <f aca="false">IF($B26="","",IFERROR(INDEX(Drain_Register!$AI$5:$AI$304,MATCH($B26,Drain_Register!$A$5:$A$304,0)),IFERROR(INDEX(RW_Register!$AO$5:$AO$304,MATCH($B26,RW_Register!$A$5:$A$304,0)),IFERROR(INDEX(Embedded_Wall_Register!$AM$5:$AM$304,MATCH($B26,Embedded_Wall_Register!$A$5:$A$304,0)),IFERROR(INDEX(Manhole_Register!$AM$5:$AM$304,MATCH($B26,Manhole_Register!$A$5:$A$304,0)),IFERROR(INDEX(ERSS_Pit_Register!$AG$5:$AG$304,MATCH($B26,ERSS_Pit_Register!$A$5:$A$304,0)),IFERROR(INDEX(Linkway_Register!$AI$5:$AI$304,MATCH($B26,Linkway_Register!$A$5:$A$304,0)),IFERROR(INDEX(Other_Register!$S$5:$S$304,MATCH($B26,Other_Register!$A$5:$A$304,0)),""))))))))</f>
        <v/>
      </c>
      <c r="J26" s="10" t="str">
        <f aca="false">IF($B26="","",IFERROR(INDEX(Drain_Register!$AJ$5:$AJ$304,MATCH($B26,Drain_Register!$A$5:$A$304,0)),IFERROR(INDEX(RW_Register!$AP$5:$AP$304,MATCH($B26,RW_Register!$A$5:$A$304,0)),IFERROR(INDEX(Embedded_Wall_Register!$AN$5:$AN$304,MATCH($B26,Embedded_Wall_Register!$A$5:$A$304,0)),IFERROR(INDEX(Manhole_Register!$AN$5:$AN$304,MATCH($B26,Manhole_Register!$A$5:$A$304,0)),IFERROR(INDEX(ERSS_Pit_Register!$AH$5:$AH$304,MATCH($B26,ERSS_Pit_Register!$A$5:$A$304,0)),IFERROR(INDEX(Linkway_Register!$AJ$5:$AJ$304,MATCH($B26,Linkway_Register!$A$5:$A$304,0)),IFERROR(INDEX(Other_Register!$T$5:$T$304,MATCH($B26,Other_Register!$A$5:$A$304,0)),""))))))))</f>
        <v/>
      </c>
      <c r="K26" s="10" t="str">
        <f aca="false">IF($B26="","",IFERROR(INDEX(Drain_Register!$AK$5:$AK$304,MATCH($B26,Drain_Register!$A$5:$A$304,0)),IFERROR(INDEX(RW_Register!$AQ$5:$AQ$304,MATCH($B26,RW_Register!$A$5:$A$304,0)),IFERROR(INDEX(Embedded_Wall_Register!$AO$5:$AO$304,MATCH($B26,Embedded_Wall_Register!$A$5:$A$304,0)),IFERROR(INDEX(Manhole_Register!$AO$5:$AO$304,MATCH($B26,Manhole_Register!$A$5:$A$304,0)),IFERROR(INDEX(ERSS_Pit_Register!$AI$5:$AI$304,MATCH($B26,ERSS_Pit_Register!$A$5:$A$304,0)),IFERROR(INDEX(Linkway_Register!$AK$5:$AK$304,MATCH($B26,Linkway_Register!$A$5:$A$304,0)),IFERROR(INDEX(Other_Register!$U$5:$U$304,MATCH($B26,Other_Register!$A$5:$A$304,0)),""))))))))</f>
        <v/>
      </c>
      <c r="L26" s="10" t="str">
        <f aca="false">IF($B26="","",IFERROR(INDEX(Drain_Register!$AL$5:$AL$304,MATCH($B26,Drain_Register!$A$5:$A$304,0)),IFERROR(INDEX(RW_Register!$AR$5:$AR$304,MATCH($B26,RW_Register!$A$5:$A$304,0)),IFERROR(INDEX(Embedded_Wall_Register!$AP$5:$AP$304,MATCH($B26,Embedded_Wall_Register!$A$5:$A$304,0)),IFERROR(INDEX(Manhole_Register!$AP$5:$AP$304,MATCH($B26,Manhole_Register!$A$5:$A$304,0)),IFERROR(INDEX(ERSS_Pit_Register!$AJ$5:$AJ$304,MATCH($B26,ERSS_Pit_Register!$A$5:$A$304,0)),IFERROR(INDEX(Linkway_Register!$AL$5:$AL$304,MATCH($B26,Linkway_Register!$A$5:$A$304,0)),IFERROR(INDEX(Other_Register!$V$5:$V$304,MATCH($B26,Other_Register!$A$5:$A$304,0)),""))))))))</f>
        <v/>
      </c>
      <c r="M26" s="10" t="str">
        <f aca="false">IF($B26="","",IFERROR(INDEX(Drain_Register!$AN$5:$AN$304,MATCH($B26,Drain_Register!$A$5:$A$304,0)),IFERROR(INDEX(RW_Register!$AT$5:$AT$304,MATCH($B26,RW_Register!$A$5:$A$304,0)),IFERROR(INDEX(Embedded_Wall_Register!$AR$5:$AR$304,MATCH($B26,Embedded_Wall_Register!$A$5:$A$304,0)),IFERROR(INDEX(Manhole_Register!$AR$5:$AR$304,MATCH($B26,Manhole_Register!$A$5:$A$304,0)),IFERROR(INDEX(ERSS_Pit_Register!$AL$5:$AL$304,MATCH($B26,ERSS_Pit_Register!$A$5:$A$304,0)),IFERROR(INDEX(Linkway_Register!$AN$5:$AN$304,MATCH($B26,Linkway_Register!$A$5:$A$304,0)),IFERROR(INDEX(Other_Register!$X$5:$X$304,MATCH($B26,Other_Register!$A$5:$A$304,0)),"")))))))&amp;IFERROR(INDEX(Drain_Register!$AO$5:$AO$304,MATCH($B26,Drain_Register!$A$5:$A$304,0)),IFERROR(INDEX(RW_Register!$AU$5:$AU$304,MATCH($B26,RW_Register!$A$5:$A$304,0)),IFERROR(INDEX(Embedded_Wall_Register!$AS$5:$AS$304,MATCH($B26,Embedded_Wall_Register!$A$5:$A$304,0)),IFERROR(INDEX(Manhole_Register!$AS$5:$AS$304,MATCH($B26,Manhole_Register!$A$5:$A$304,0)),IFERROR(INDEX(ERSS_Pit_Register!$AM$5:$AM$304,MATCH($B26,ERSS_Pit_Register!$A$5:$A$304,0)),IFERROR(INDEX(Linkway_Register!$AO$5:$AO$304,MATCH($B26,Linkway_Register!$A$5:$A$304,0)),IFERROR(INDEX(Other_Register!$Y$5:$Y$304,MATCH($B26,Other_Register!$A$5:$A$304,0)),""))))))))</f>
        <v/>
      </c>
      <c r="N26" s="19" t="str">
        <f aca="false">IF(OR($B26="",$D26=""),"",$D26*N(IFERROR(INDEX(Drain_Register!$AV$5:$AV$304,MATCH($B26,Drain_Register!$A$5:$A$304,0)),IFERROR(INDEX(RW_Register!$BB$5:$BB$304,MATCH($B26,RW_Register!$A$5:$A$304,0)),IFERROR(INDEX(Embedded_Wall_Register!$AZ$5:$AZ$304,MATCH($B26,Embedded_Wall_Register!$A$5:$A$304,0)),IFERROR(INDEX(Manhole_Register!$AZ$5:$AZ$304,MATCH($B26,Manhole_Register!$A$5:$A$304,0)),IFERROR(INDEX(ERSS_Pit_Register!$AT$5:$AT$304,MATCH($B26,ERSS_Pit_Register!$A$5:$A$304,0)),IFERROR(INDEX(Linkway_Register!$AV$5:$AV$304,MATCH($B26,Linkway_Register!$A$5:$A$304,0)),IFERROR(INDEX(Other_Register!$AF$5:$AF$304,MATCH($B26,Other_Register!$A$5:$A$304,0)),0)))))))))</f>
        <v/>
      </c>
      <c r="O26" s="20" t="str">
        <f aca="false">IF(OR($B26="",$D26=""),"",$D26*N(IFERROR(INDEX(Drain_Register!$AW$5:$AW$304,MATCH($B26,Drain_Register!$A$5:$A$304,0)),IFERROR(INDEX(RW_Register!$BC$5:$BC$304,MATCH($B26,RW_Register!$A$5:$A$304,0)),IFERROR(INDEX(Embedded_Wall_Register!$BA$5:$BA$304,MATCH($B26,Embedded_Wall_Register!$A$5:$A$304,0)),IFERROR(INDEX(Manhole_Register!$BA$5:$BA$304,MATCH($B26,Manhole_Register!$A$5:$A$304,0)),IFERROR(INDEX(ERSS_Pit_Register!$AU$5:$AU$304,MATCH($B26,ERSS_Pit_Register!$A$5:$A$304,0)),IFERROR(INDEX(Linkway_Register!$AW$5:$AW$304,MATCH($B26,Linkway_Register!$A$5:$A$304,0)),IFERROR(INDEX(Other_Register!$AG$5:$AG$304,MATCH($B26,Other_Register!$A$5:$A$304,0)),0))))))))/1000)</f>
        <v/>
      </c>
      <c r="P26" s="20" t="str">
        <f aca="false">IF(OR($B26="",$D26=""),"",$D26*N(IFERROR(INDEX(Drain_Register!$AX$5:$AX$304,MATCH($B26,Drain_Register!$A$5:$A$304,0)),IFERROR(INDEX(RW_Register!$BD$5:$BD$304,MATCH($B26,RW_Register!$A$5:$A$304,0)),IFERROR(INDEX(Embedded_Wall_Register!$BB$5:$BB$304,MATCH($B26,Embedded_Wall_Register!$A$5:$A$304,0)),IFERROR(INDEX(Manhole_Register!$BB$5:$BB$304,MATCH($B26,Manhole_Register!$A$5:$A$304,0)),IFERROR(INDEX(ERSS_Pit_Register!$AV$5:$AV$304,MATCH($B26,ERSS_Pit_Register!$A$5:$A$304,0)),IFERROR(INDEX(Linkway_Register!$AX$5:$AX$304,MATCH($B26,Linkway_Register!$A$5:$A$304,0)),IFERROR(INDEX(Other_Register!$AH$5:$AH$304,MATCH($B26,Other_Register!$A$5:$A$304,0)),0))))))))/1000)</f>
        <v/>
      </c>
      <c r="Q26" s="19" t="str">
        <f aca="false">IF(OR($B26="",$D26=""),"",$D26*N(IFERROR(INDEX(Drain_Register!$AY$5:$AY$304,MATCH($B26,Drain_Register!$A$5:$A$304,0)),IFERROR(INDEX(RW_Register!$BE$5:$BE$304,MATCH($B26,RW_Register!$A$5:$A$304,0)),IFERROR(INDEX(Embedded_Wall_Register!$BC$5:$BC$304,MATCH($B26,Embedded_Wall_Register!$A$5:$A$304,0)),IFERROR(INDEX(Manhole_Register!$BC$5:$BC$304,MATCH($B26,Manhole_Register!$A$5:$A$304,0)),IFERROR(INDEX(ERSS_Pit_Register!$AW$5:$AW$304,MATCH($B26,ERSS_Pit_Register!$A$5:$A$304,0)),IFERROR(INDEX(Linkway_Register!$AY$5:$AY$304,MATCH($B26,Linkway_Register!$A$5:$A$304,0)),IFERROR(INDEX(Other_Register!$AI$5:$AI$304,MATCH($B26,Other_Register!$A$5:$A$304,0)),0)))))))))</f>
        <v/>
      </c>
      <c r="R26" s="19" t="str">
        <f aca="false">IF(OR($B26="",$D26=""),"",$D26*N(IFERROR(INDEX(Drain_Register!$AZ$5:$AZ$304,MATCH($B26,Drain_Register!$A$5:$A$304,0)),IFERROR(INDEX(RW_Register!$BF$5:$BF$304,MATCH($B26,RW_Register!$A$5:$A$304,0)),IFERROR(INDEX(Embedded_Wall_Register!$BD$5:$BD$304,MATCH($B26,Embedded_Wall_Register!$A$5:$A$304,0)),IFERROR(INDEX(Manhole_Register!$BD$5:$BD$304,MATCH($B26,Manhole_Register!$A$5:$A$304,0)),IFERROR(INDEX(ERSS_Pit_Register!$AX$5:$AX$304,MATCH($B26,ERSS_Pit_Register!$A$5:$A$304,0)),IFERROR(INDEX(Linkway_Register!$AZ$5:$AZ$304,MATCH($B26,Linkway_Register!$A$5:$A$304,0)),IFERROR(INDEX(Other_Register!$AJ$5:$AJ$304,MATCH($B26,Other_Register!$A$5:$A$304,0)),0)))))))))</f>
        <v/>
      </c>
      <c r="S26" s="10" t="str">
        <f aca="false">IF($B26="","",IF(G26="","ID not found",IF(J26&lt;&gt;"Approved","WARNING: status is "&amp;J26,IF(IFERROR(INDEX(Drain_Register!$CA$5:$CA$304,MATCH($B26,Drain_Register!$A$5:$A$304,0)),IFERROR(INDEX(RW_Register!$CF$5:$CF$304,MATCH($B26,RW_Register!$A$5:$A$304,0)),IFERROR(INDEX(Embedded_Wall_Register!$CD$5:$CD$304,MATCH($B26,Embedded_Wall_Register!$A$5:$A$304,0)),IFERROR(INDEX(Manhole_Register!$CC$5:$CC$304,MATCH($B26,Manhole_Register!$A$5:$A$304,0)),IFERROR(INDEX(ERSS_Pit_Register!$BX$5:$BX$304,MATCH($B26,ERSS_Pit_Register!$A$5:$A$304,0)),IFERROR(INDEX(Linkway_Register!$BY$5:$BY$304,MATCH($B26,Linkway_Register!$A$5:$A$304,0)),IFERROR(INDEX(Other_Register!$BI$5:$BI$304,MATCH($B26,Other_Register!$A$5:$A$304,0)),"")))))))="N","WARNING: fails SG compliance check",IF(D26="","Enter length / qty",IF(E26="","Enter CAD sheet no.","OK"))))))</f>
        <v/>
      </c>
    </row>
    <row r="27" customFormat="false" ht="15" hidden="false" customHeight="false" outlineLevel="0" collapsed="false">
      <c r="A27" s="9"/>
      <c r="B27" s="9"/>
      <c r="C27" s="9"/>
      <c r="D27" s="9"/>
      <c r="E27" s="9"/>
      <c r="F27" s="10" t="str">
        <f aca="false">IF($B27="","",IFERROR(INDEX(Drain_Register!$AU$5:$AU$304,MATCH($B27,Drain_Register!$A$5:$A$304,0)),IFERROR(INDEX(RW_Register!$BA$5:$BA$304,MATCH($B27,RW_Register!$A$5:$A$304,0)),IFERROR(INDEX(Embedded_Wall_Register!$AY$5:$AY$304,MATCH($B27,Embedded_Wall_Register!$A$5:$A$304,0)),IFERROR(INDEX(Manhole_Register!$AY$5:$AY$304,MATCH($B27,Manhole_Register!$A$5:$A$304,0)),IFERROR(INDEX(ERSS_Pit_Register!$AS$5:$AS$304,MATCH($B27,ERSS_Pit_Register!$A$5:$A$304,0)),IFERROR(INDEX(Linkway_Register!$AU$5:$AU$304,MATCH($B27,Linkway_Register!$A$5:$A$304,0)),IFERROR(INDEX(Other_Register!$AE$5:$AE$304,MATCH($B27,Other_Register!$A$5:$A$304,0)),""))))))))</f>
        <v/>
      </c>
      <c r="G27" s="10" t="str">
        <f aca="false">IF($B27="","",IF(ISNUMBER(MATCH($B27,Drain_Register!$A$5:$A$304,0)),"Drain",IF(ISNUMBER(MATCH($B27,RW_Register!$A$5:$A$304,0)),"Ret. Wall",IF(ISNUMBER(MATCH($B27,Embedded_Wall_Register!$A$5:$A$304,0)),"Embedded Wall",IF(ISNUMBER(MATCH($B27,Manhole_Register!$A$5:$A$304,0)),"Manhole",IF(ISNUMBER(MATCH($B27,ERSS_Pit_Register!$A$5:$A$304,0)),"ERSS Pit",IF(ISNUMBER(MATCH($B27,Linkway_Register!$A$5:$A$304,0)),"Linkway",IF(ISNUMBER(MATCH($B27,Other_Register!$A$5:$A$304,0)),"Others",""))))))))</f>
        <v/>
      </c>
      <c r="H27" s="10" t="str">
        <f aca="false">IF($B27="","",IFERROR(INDEX(Drain_Register!$B$5:$B$304,MATCH($B27,Drain_Register!$A$5:$A$304,0)),IFERROR(INDEX(RW_Register!$B$5:$B$304,MATCH($B27,RW_Register!$A$5:$A$304,0)),IFERROR(INDEX(Embedded_Wall_Register!$B$5:$B$304,MATCH($B27,Embedded_Wall_Register!$A$5:$A$304,0)),IFERROR(INDEX(Manhole_Register!$B$5:$B$304,MATCH($B27,Manhole_Register!$A$5:$A$304,0)),IFERROR(INDEX(ERSS_Pit_Register!$B$5:$B$304,MATCH($B27,ERSS_Pit_Register!$A$5:$A$304,0)),IFERROR(INDEX(Linkway_Register!$B$5:$B$304,MATCH($B27,Linkway_Register!$A$5:$A$304,0)),IFERROR(INDEX(Other_Register!$B$5:$B$304,MATCH($B27,Other_Register!$A$5:$A$304,0)),"ID not found - check spelling"))))))))</f>
        <v/>
      </c>
      <c r="I27" s="10" t="str">
        <f aca="false">IF($B27="","",IFERROR(INDEX(Drain_Register!$AI$5:$AI$304,MATCH($B27,Drain_Register!$A$5:$A$304,0)),IFERROR(INDEX(RW_Register!$AO$5:$AO$304,MATCH($B27,RW_Register!$A$5:$A$304,0)),IFERROR(INDEX(Embedded_Wall_Register!$AM$5:$AM$304,MATCH($B27,Embedded_Wall_Register!$A$5:$A$304,0)),IFERROR(INDEX(Manhole_Register!$AM$5:$AM$304,MATCH($B27,Manhole_Register!$A$5:$A$304,0)),IFERROR(INDEX(ERSS_Pit_Register!$AG$5:$AG$304,MATCH($B27,ERSS_Pit_Register!$A$5:$A$304,0)),IFERROR(INDEX(Linkway_Register!$AI$5:$AI$304,MATCH($B27,Linkway_Register!$A$5:$A$304,0)),IFERROR(INDEX(Other_Register!$S$5:$S$304,MATCH($B27,Other_Register!$A$5:$A$304,0)),""))))))))</f>
        <v/>
      </c>
      <c r="J27" s="10" t="str">
        <f aca="false">IF($B27="","",IFERROR(INDEX(Drain_Register!$AJ$5:$AJ$304,MATCH($B27,Drain_Register!$A$5:$A$304,0)),IFERROR(INDEX(RW_Register!$AP$5:$AP$304,MATCH($B27,RW_Register!$A$5:$A$304,0)),IFERROR(INDEX(Embedded_Wall_Register!$AN$5:$AN$304,MATCH($B27,Embedded_Wall_Register!$A$5:$A$304,0)),IFERROR(INDEX(Manhole_Register!$AN$5:$AN$304,MATCH($B27,Manhole_Register!$A$5:$A$304,0)),IFERROR(INDEX(ERSS_Pit_Register!$AH$5:$AH$304,MATCH($B27,ERSS_Pit_Register!$A$5:$A$304,0)),IFERROR(INDEX(Linkway_Register!$AJ$5:$AJ$304,MATCH($B27,Linkway_Register!$A$5:$A$304,0)),IFERROR(INDEX(Other_Register!$T$5:$T$304,MATCH($B27,Other_Register!$A$5:$A$304,0)),""))))))))</f>
        <v/>
      </c>
      <c r="K27" s="10" t="str">
        <f aca="false">IF($B27="","",IFERROR(INDEX(Drain_Register!$AK$5:$AK$304,MATCH($B27,Drain_Register!$A$5:$A$304,0)),IFERROR(INDEX(RW_Register!$AQ$5:$AQ$304,MATCH($B27,RW_Register!$A$5:$A$304,0)),IFERROR(INDEX(Embedded_Wall_Register!$AO$5:$AO$304,MATCH($B27,Embedded_Wall_Register!$A$5:$A$304,0)),IFERROR(INDEX(Manhole_Register!$AO$5:$AO$304,MATCH($B27,Manhole_Register!$A$5:$A$304,0)),IFERROR(INDEX(ERSS_Pit_Register!$AI$5:$AI$304,MATCH($B27,ERSS_Pit_Register!$A$5:$A$304,0)),IFERROR(INDEX(Linkway_Register!$AK$5:$AK$304,MATCH($B27,Linkway_Register!$A$5:$A$304,0)),IFERROR(INDEX(Other_Register!$U$5:$U$304,MATCH($B27,Other_Register!$A$5:$A$304,0)),""))))))))</f>
        <v/>
      </c>
      <c r="L27" s="10" t="str">
        <f aca="false">IF($B27="","",IFERROR(INDEX(Drain_Register!$AL$5:$AL$304,MATCH($B27,Drain_Register!$A$5:$A$304,0)),IFERROR(INDEX(RW_Register!$AR$5:$AR$304,MATCH($B27,RW_Register!$A$5:$A$304,0)),IFERROR(INDEX(Embedded_Wall_Register!$AP$5:$AP$304,MATCH($B27,Embedded_Wall_Register!$A$5:$A$304,0)),IFERROR(INDEX(Manhole_Register!$AP$5:$AP$304,MATCH($B27,Manhole_Register!$A$5:$A$304,0)),IFERROR(INDEX(ERSS_Pit_Register!$AJ$5:$AJ$304,MATCH($B27,ERSS_Pit_Register!$A$5:$A$304,0)),IFERROR(INDEX(Linkway_Register!$AL$5:$AL$304,MATCH($B27,Linkway_Register!$A$5:$A$304,0)),IFERROR(INDEX(Other_Register!$V$5:$V$304,MATCH($B27,Other_Register!$A$5:$A$304,0)),""))))))))</f>
        <v/>
      </c>
      <c r="M27" s="10" t="str">
        <f aca="false">IF($B27="","",IFERROR(INDEX(Drain_Register!$AN$5:$AN$304,MATCH($B27,Drain_Register!$A$5:$A$304,0)),IFERROR(INDEX(RW_Register!$AT$5:$AT$304,MATCH($B27,RW_Register!$A$5:$A$304,0)),IFERROR(INDEX(Embedded_Wall_Register!$AR$5:$AR$304,MATCH($B27,Embedded_Wall_Register!$A$5:$A$304,0)),IFERROR(INDEX(Manhole_Register!$AR$5:$AR$304,MATCH($B27,Manhole_Register!$A$5:$A$304,0)),IFERROR(INDEX(ERSS_Pit_Register!$AL$5:$AL$304,MATCH($B27,ERSS_Pit_Register!$A$5:$A$304,0)),IFERROR(INDEX(Linkway_Register!$AN$5:$AN$304,MATCH($B27,Linkway_Register!$A$5:$A$304,0)),IFERROR(INDEX(Other_Register!$X$5:$X$304,MATCH($B27,Other_Register!$A$5:$A$304,0)),"")))))))&amp;IFERROR(INDEX(Drain_Register!$AO$5:$AO$304,MATCH($B27,Drain_Register!$A$5:$A$304,0)),IFERROR(INDEX(RW_Register!$AU$5:$AU$304,MATCH($B27,RW_Register!$A$5:$A$304,0)),IFERROR(INDEX(Embedded_Wall_Register!$AS$5:$AS$304,MATCH($B27,Embedded_Wall_Register!$A$5:$A$304,0)),IFERROR(INDEX(Manhole_Register!$AS$5:$AS$304,MATCH($B27,Manhole_Register!$A$5:$A$304,0)),IFERROR(INDEX(ERSS_Pit_Register!$AM$5:$AM$304,MATCH($B27,ERSS_Pit_Register!$A$5:$A$304,0)),IFERROR(INDEX(Linkway_Register!$AO$5:$AO$304,MATCH($B27,Linkway_Register!$A$5:$A$304,0)),IFERROR(INDEX(Other_Register!$Y$5:$Y$304,MATCH($B27,Other_Register!$A$5:$A$304,0)),""))))))))</f>
        <v/>
      </c>
      <c r="N27" s="19" t="str">
        <f aca="false">IF(OR($B27="",$D27=""),"",$D27*N(IFERROR(INDEX(Drain_Register!$AV$5:$AV$304,MATCH($B27,Drain_Register!$A$5:$A$304,0)),IFERROR(INDEX(RW_Register!$BB$5:$BB$304,MATCH($B27,RW_Register!$A$5:$A$304,0)),IFERROR(INDEX(Embedded_Wall_Register!$AZ$5:$AZ$304,MATCH($B27,Embedded_Wall_Register!$A$5:$A$304,0)),IFERROR(INDEX(Manhole_Register!$AZ$5:$AZ$304,MATCH($B27,Manhole_Register!$A$5:$A$304,0)),IFERROR(INDEX(ERSS_Pit_Register!$AT$5:$AT$304,MATCH($B27,ERSS_Pit_Register!$A$5:$A$304,0)),IFERROR(INDEX(Linkway_Register!$AV$5:$AV$304,MATCH($B27,Linkway_Register!$A$5:$A$304,0)),IFERROR(INDEX(Other_Register!$AF$5:$AF$304,MATCH($B27,Other_Register!$A$5:$A$304,0)),0)))))))))</f>
        <v/>
      </c>
      <c r="O27" s="20" t="str">
        <f aca="false">IF(OR($B27="",$D27=""),"",$D27*N(IFERROR(INDEX(Drain_Register!$AW$5:$AW$304,MATCH($B27,Drain_Register!$A$5:$A$304,0)),IFERROR(INDEX(RW_Register!$BC$5:$BC$304,MATCH($B27,RW_Register!$A$5:$A$304,0)),IFERROR(INDEX(Embedded_Wall_Register!$BA$5:$BA$304,MATCH($B27,Embedded_Wall_Register!$A$5:$A$304,0)),IFERROR(INDEX(Manhole_Register!$BA$5:$BA$304,MATCH($B27,Manhole_Register!$A$5:$A$304,0)),IFERROR(INDEX(ERSS_Pit_Register!$AU$5:$AU$304,MATCH($B27,ERSS_Pit_Register!$A$5:$A$304,0)),IFERROR(INDEX(Linkway_Register!$AW$5:$AW$304,MATCH($B27,Linkway_Register!$A$5:$A$304,0)),IFERROR(INDEX(Other_Register!$AG$5:$AG$304,MATCH($B27,Other_Register!$A$5:$A$304,0)),0))))))))/1000)</f>
        <v/>
      </c>
      <c r="P27" s="20" t="str">
        <f aca="false">IF(OR($B27="",$D27=""),"",$D27*N(IFERROR(INDEX(Drain_Register!$AX$5:$AX$304,MATCH($B27,Drain_Register!$A$5:$A$304,0)),IFERROR(INDEX(RW_Register!$BD$5:$BD$304,MATCH($B27,RW_Register!$A$5:$A$304,0)),IFERROR(INDEX(Embedded_Wall_Register!$BB$5:$BB$304,MATCH($B27,Embedded_Wall_Register!$A$5:$A$304,0)),IFERROR(INDEX(Manhole_Register!$BB$5:$BB$304,MATCH($B27,Manhole_Register!$A$5:$A$304,0)),IFERROR(INDEX(ERSS_Pit_Register!$AV$5:$AV$304,MATCH($B27,ERSS_Pit_Register!$A$5:$A$304,0)),IFERROR(INDEX(Linkway_Register!$AX$5:$AX$304,MATCH($B27,Linkway_Register!$A$5:$A$304,0)),IFERROR(INDEX(Other_Register!$AH$5:$AH$304,MATCH($B27,Other_Register!$A$5:$A$304,0)),0))))))))/1000)</f>
        <v/>
      </c>
      <c r="Q27" s="19" t="str">
        <f aca="false">IF(OR($B27="",$D27=""),"",$D27*N(IFERROR(INDEX(Drain_Register!$AY$5:$AY$304,MATCH($B27,Drain_Register!$A$5:$A$304,0)),IFERROR(INDEX(RW_Register!$BE$5:$BE$304,MATCH($B27,RW_Register!$A$5:$A$304,0)),IFERROR(INDEX(Embedded_Wall_Register!$BC$5:$BC$304,MATCH($B27,Embedded_Wall_Register!$A$5:$A$304,0)),IFERROR(INDEX(Manhole_Register!$BC$5:$BC$304,MATCH($B27,Manhole_Register!$A$5:$A$304,0)),IFERROR(INDEX(ERSS_Pit_Register!$AW$5:$AW$304,MATCH($B27,ERSS_Pit_Register!$A$5:$A$304,0)),IFERROR(INDEX(Linkway_Register!$AY$5:$AY$304,MATCH($B27,Linkway_Register!$A$5:$A$304,0)),IFERROR(INDEX(Other_Register!$AI$5:$AI$304,MATCH($B27,Other_Register!$A$5:$A$304,0)),0)))))))))</f>
        <v/>
      </c>
      <c r="R27" s="19" t="str">
        <f aca="false">IF(OR($B27="",$D27=""),"",$D27*N(IFERROR(INDEX(Drain_Register!$AZ$5:$AZ$304,MATCH($B27,Drain_Register!$A$5:$A$304,0)),IFERROR(INDEX(RW_Register!$BF$5:$BF$304,MATCH($B27,RW_Register!$A$5:$A$304,0)),IFERROR(INDEX(Embedded_Wall_Register!$BD$5:$BD$304,MATCH($B27,Embedded_Wall_Register!$A$5:$A$304,0)),IFERROR(INDEX(Manhole_Register!$BD$5:$BD$304,MATCH($B27,Manhole_Register!$A$5:$A$304,0)),IFERROR(INDEX(ERSS_Pit_Register!$AX$5:$AX$304,MATCH($B27,ERSS_Pit_Register!$A$5:$A$304,0)),IFERROR(INDEX(Linkway_Register!$AZ$5:$AZ$304,MATCH($B27,Linkway_Register!$A$5:$A$304,0)),IFERROR(INDEX(Other_Register!$AJ$5:$AJ$304,MATCH($B27,Other_Register!$A$5:$A$304,0)),0)))))))))</f>
        <v/>
      </c>
      <c r="S27" s="10" t="str">
        <f aca="false">IF($B27="","",IF(G27="","ID not found",IF(J27&lt;&gt;"Approved","WARNING: status is "&amp;J27,IF(IFERROR(INDEX(Drain_Register!$CA$5:$CA$304,MATCH($B27,Drain_Register!$A$5:$A$304,0)),IFERROR(INDEX(RW_Register!$CF$5:$CF$304,MATCH($B27,RW_Register!$A$5:$A$304,0)),IFERROR(INDEX(Embedded_Wall_Register!$CD$5:$CD$304,MATCH($B27,Embedded_Wall_Register!$A$5:$A$304,0)),IFERROR(INDEX(Manhole_Register!$CC$5:$CC$304,MATCH($B27,Manhole_Register!$A$5:$A$304,0)),IFERROR(INDEX(ERSS_Pit_Register!$BX$5:$BX$304,MATCH($B27,ERSS_Pit_Register!$A$5:$A$304,0)),IFERROR(INDEX(Linkway_Register!$BY$5:$BY$304,MATCH($B27,Linkway_Register!$A$5:$A$304,0)),IFERROR(INDEX(Other_Register!$BI$5:$BI$304,MATCH($B27,Other_Register!$A$5:$A$304,0)),"")))))))="N","WARNING: fails SG compliance check",IF(D27="","Enter length / qty",IF(E27="","Enter CAD sheet no.","OK"))))))</f>
        <v/>
      </c>
    </row>
    <row r="28" customFormat="false" ht="15" hidden="false" customHeight="false" outlineLevel="0" collapsed="false">
      <c r="A28" s="9"/>
      <c r="B28" s="9"/>
      <c r="C28" s="9"/>
      <c r="D28" s="9"/>
      <c r="E28" s="9"/>
      <c r="F28" s="10" t="str">
        <f aca="false">IF($B28="","",IFERROR(INDEX(Drain_Register!$AU$5:$AU$304,MATCH($B28,Drain_Register!$A$5:$A$304,0)),IFERROR(INDEX(RW_Register!$BA$5:$BA$304,MATCH($B28,RW_Register!$A$5:$A$304,0)),IFERROR(INDEX(Embedded_Wall_Register!$AY$5:$AY$304,MATCH($B28,Embedded_Wall_Register!$A$5:$A$304,0)),IFERROR(INDEX(Manhole_Register!$AY$5:$AY$304,MATCH($B28,Manhole_Register!$A$5:$A$304,0)),IFERROR(INDEX(ERSS_Pit_Register!$AS$5:$AS$304,MATCH($B28,ERSS_Pit_Register!$A$5:$A$304,0)),IFERROR(INDEX(Linkway_Register!$AU$5:$AU$304,MATCH($B28,Linkway_Register!$A$5:$A$304,0)),IFERROR(INDEX(Other_Register!$AE$5:$AE$304,MATCH($B28,Other_Register!$A$5:$A$304,0)),""))))))))</f>
        <v/>
      </c>
      <c r="G28" s="10" t="str">
        <f aca="false">IF($B28="","",IF(ISNUMBER(MATCH($B28,Drain_Register!$A$5:$A$304,0)),"Drain",IF(ISNUMBER(MATCH($B28,RW_Register!$A$5:$A$304,0)),"Ret. Wall",IF(ISNUMBER(MATCH($B28,Embedded_Wall_Register!$A$5:$A$304,0)),"Embedded Wall",IF(ISNUMBER(MATCH($B28,Manhole_Register!$A$5:$A$304,0)),"Manhole",IF(ISNUMBER(MATCH($B28,ERSS_Pit_Register!$A$5:$A$304,0)),"ERSS Pit",IF(ISNUMBER(MATCH($B28,Linkway_Register!$A$5:$A$304,0)),"Linkway",IF(ISNUMBER(MATCH($B28,Other_Register!$A$5:$A$304,0)),"Others",""))))))))</f>
        <v/>
      </c>
      <c r="H28" s="10" t="str">
        <f aca="false">IF($B28="","",IFERROR(INDEX(Drain_Register!$B$5:$B$304,MATCH($B28,Drain_Register!$A$5:$A$304,0)),IFERROR(INDEX(RW_Register!$B$5:$B$304,MATCH($B28,RW_Register!$A$5:$A$304,0)),IFERROR(INDEX(Embedded_Wall_Register!$B$5:$B$304,MATCH($B28,Embedded_Wall_Register!$A$5:$A$304,0)),IFERROR(INDEX(Manhole_Register!$B$5:$B$304,MATCH($B28,Manhole_Register!$A$5:$A$304,0)),IFERROR(INDEX(ERSS_Pit_Register!$B$5:$B$304,MATCH($B28,ERSS_Pit_Register!$A$5:$A$304,0)),IFERROR(INDEX(Linkway_Register!$B$5:$B$304,MATCH($B28,Linkway_Register!$A$5:$A$304,0)),IFERROR(INDEX(Other_Register!$B$5:$B$304,MATCH($B28,Other_Register!$A$5:$A$304,0)),"ID not found - check spelling"))))))))</f>
        <v/>
      </c>
      <c r="I28" s="10" t="str">
        <f aca="false">IF($B28="","",IFERROR(INDEX(Drain_Register!$AI$5:$AI$304,MATCH($B28,Drain_Register!$A$5:$A$304,0)),IFERROR(INDEX(RW_Register!$AO$5:$AO$304,MATCH($B28,RW_Register!$A$5:$A$304,0)),IFERROR(INDEX(Embedded_Wall_Register!$AM$5:$AM$304,MATCH($B28,Embedded_Wall_Register!$A$5:$A$304,0)),IFERROR(INDEX(Manhole_Register!$AM$5:$AM$304,MATCH($B28,Manhole_Register!$A$5:$A$304,0)),IFERROR(INDEX(ERSS_Pit_Register!$AG$5:$AG$304,MATCH($B28,ERSS_Pit_Register!$A$5:$A$304,0)),IFERROR(INDEX(Linkway_Register!$AI$5:$AI$304,MATCH($B28,Linkway_Register!$A$5:$A$304,0)),IFERROR(INDEX(Other_Register!$S$5:$S$304,MATCH($B28,Other_Register!$A$5:$A$304,0)),""))))))))</f>
        <v/>
      </c>
      <c r="J28" s="10" t="str">
        <f aca="false">IF($B28="","",IFERROR(INDEX(Drain_Register!$AJ$5:$AJ$304,MATCH($B28,Drain_Register!$A$5:$A$304,0)),IFERROR(INDEX(RW_Register!$AP$5:$AP$304,MATCH($B28,RW_Register!$A$5:$A$304,0)),IFERROR(INDEX(Embedded_Wall_Register!$AN$5:$AN$304,MATCH($B28,Embedded_Wall_Register!$A$5:$A$304,0)),IFERROR(INDEX(Manhole_Register!$AN$5:$AN$304,MATCH($B28,Manhole_Register!$A$5:$A$304,0)),IFERROR(INDEX(ERSS_Pit_Register!$AH$5:$AH$304,MATCH($B28,ERSS_Pit_Register!$A$5:$A$304,0)),IFERROR(INDEX(Linkway_Register!$AJ$5:$AJ$304,MATCH($B28,Linkway_Register!$A$5:$A$304,0)),IFERROR(INDEX(Other_Register!$T$5:$T$304,MATCH($B28,Other_Register!$A$5:$A$304,0)),""))))))))</f>
        <v/>
      </c>
      <c r="K28" s="10" t="str">
        <f aca="false">IF($B28="","",IFERROR(INDEX(Drain_Register!$AK$5:$AK$304,MATCH($B28,Drain_Register!$A$5:$A$304,0)),IFERROR(INDEX(RW_Register!$AQ$5:$AQ$304,MATCH($B28,RW_Register!$A$5:$A$304,0)),IFERROR(INDEX(Embedded_Wall_Register!$AO$5:$AO$304,MATCH($B28,Embedded_Wall_Register!$A$5:$A$304,0)),IFERROR(INDEX(Manhole_Register!$AO$5:$AO$304,MATCH($B28,Manhole_Register!$A$5:$A$304,0)),IFERROR(INDEX(ERSS_Pit_Register!$AI$5:$AI$304,MATCH($B28,ERSS_Pit_Register!$A$5:$A$304,0)),IFERROR(INDEX(Linkway_Register!$AK$5:$AK$304,MATCH($B28,Linkway_Register!$A$5:$A$304,0)),IFERROR(INDEX(Other_Register!$U$5:$U$304,MATCH($B28,Other_Register!$A$5:$A$304,0)),""))))))))</f>
        <v/>
      </c>
      <c r="L28" s="10" t="str">
        <f aca="false">IF($B28="","",IFERROR(INDEX(Drain_Register!$AL$5:$AL$304,MATCH($B28,Drain_Register!$A$5:$A$304,0)),IFERROR(INDEX(RW_Register!$AR$5:$AR$304,MATCH($B28,RW_Register!$A$5:$A$304,0)),IFERROR(INDEX(Embedded_Wall_Register!$AP$5:$AP$304,MATCH($B28,Embedded_Wall_Register!$A$5:$A$304,0)),IFERROR(INDEX(Manhole_Register!$AP$5:$AP$304,MATCH($B28,Manhole_Register!$A$5:$A$304,0)),IFERROR(INDEX(ERSS_Pit_Register!$AJ$5:$AJ$304,MATCH($B28,ERSS_Pit_Register!$A$5:$A$304,0)),IFERROR(INDEX(Linkway_Register!$AL$5:$AL$304,MATCH($B28,Linkway_Register!$A$5:$A$304,0)),IFERROR(INDEX(Other_Register!$V$5:$V$304,MATCH($B28,Other_Register!$A$5:$A$304,0)),""))))))))</f>
        <v/>
      </c>
      <c r="M28" s="10" t="str">
        <f aca="false">IF($B28="","",IFERROR(INDEX(Drain_Register!$AN$5:$AN$304,MATCH($B28,Drain_Register!$A$5:$A$304,0)),IFERROR(INDEX(RW_Register!$AT$5:$AT$304,MATCH($B28,RW_Register!$A$5:$A$304,0)),IFERROR(INDEX(Embedded_Wall_Register!$AR$5:$AR$304,MATCH($B28,Embedded_Wall_Register!$A$5:$A$304,0)),IFERROR(INDEX(Manhole_Register!$AR$5:$AR$304,MATCH($B28,Manhole_Register!$A$5:$A$304,0)),IFERROR(INDEX(ERSS_Pit_Register!$AL$5:$AL$304,MATCH($B28,ERSS_Pit_Register!$A$5:$A$304,0)),IFERROR(INDEX(Linkway_Register!$AN$5:$AN$304,MATCH($B28,Linkway_Register!$A$5:$A$304,0)),IFERROR(INDEX(Other_Register!$X$5:$X$304,MATCH($B28,Other_Register!$A$5:$A$304,0)),"")))))))&amp;IFERROR(INDEX(Drain_Register!$AO$5:$AO$304,MATCH($B28,Drain_Register!$A$5:$A$304,0)),IFERROR(INDEX(RW_Register!$AU$5:$AU$304,MATCH($B28,RW_Register!$A$5:$A$304,0)),IFERROR(INDEX(Embedded_Wall_Register!$AS$5:$AS$304,MATCH($B28,Embedded_Wall_Register!$A$5:$A$304,0)),IFERROR(INDEX(Manhole_Register!$AS$5:$AS$304,MATCH($B28,Manhole_Register!$A$5:$A$304,0)),IFERROR(INDEX(ERSS_Pit_Register!$AM$5:$AM$304,MATCH($B28,ERSS_Pit_Register!$A$5:$A$304,0)),IFERROR(INDEX(Linkway_Register!$AO$5:$AO$304,MATCH($B28,Linkway_Register!$A$5:$A$304,0)),IFERROR(INDEX(Other_Register!$Y$5:$Y$304,MATCH($B28,Other_Register!$A$5:$A$304,0)),""))))))))</f>
        <v/>
      </c>
      <c r="N28" s="19" t="str">
        <f aca="false">IF(OR($B28="",$D28=""),"",$D28*N(IFERROR(INDEX(Drain_Register!$AV$5:$AV$304,MATCH($B28,Drain_Register!$A$5:$A$304,0)),IFERROR(INDEX(RW_Register!$BB$5:$BB$304,MATCH($B28,RW_Register!$A$5:$A$304,0)),IFERROR(INDEX(Embedded_Wall_Register!$AZ$5:$AZ$304,MATCH($B28,Embedded_Wall_Register!$A$5:$A$304,0)),IFERROR(INDEX(Manhole_Register!$AZ$5:$AZ$304,MATCH($B28,Manhole_Register!$A$5:$A$304,0)),IFERROR(INDEX(ERSS_Pit_Register!$AT$5:$AT$304,MATCH($B28,ERSS_Pit_Register!$A$5:$A$304,0)),IFERROR(INDEX(Linkway_Register!$AV$5:$AV$304,MATCH($B28,Linkway_Register!$A$5:$A$304,0)),IFERROR(INDEX(Other_Register!$AF$5:$AF$304,MATCH($B28,Other_Register!$A$5:$A$304,0)),0)))))))))</f>
        <v/>
      </c>
      <c r="O28" s="20" t="str">
        <f aca="false">IF(OR($B28="",$D28=""),"",$D28*N(IFERROR(INDEX(Drain_Register!$AW$5:$AW$304,MATCH($B28,Drain_Register!$A$5:$A$304,0)),IFERROR(INDEX(RW_Register!$BC$5:$BC$304,MATCH($B28,RW_Register!$A$5:$A$304,0)),IFERROR(INDEX(Embedded_Wall_Register!$BA$5:$BA$304,MATCH($B28,Embedded_Wall_Register!$A$5:$A$304,0)),IFERROR(INDEX(Manhole_Register!$BA$5:$BA$304,MATCH($B28,Manhole_Register!$A$5:$A$304,0)),IFERROR(INDEX(ERSS_Pit_Register!$AU$5:$AU$304,MATCH($B28,ERSS_Pit_Register!$A$5:$A$304,0)),IFERROR(INDEX(Linkway_Register!$AW$5:$AW$304,MATCH($B28,Linkway_Register!$A$5:$A$304,0)),IFERROR(INDEX(Other_Register!$AG$5:$AG$304,MATCH($B28,Other_Register!$A$5:$A$304,0)),0))))))))/1000)</f>
        <v/>
      </c>
      <c r="P28" s="20" t="str">
        <f aca="false">IF(OR($B28="",$D28=""),"",$D28*N(IFERROR(INDEX(Drain_Register!$AX$5:$AX$304,MATCH($B28,Drain_Register!$A$5:$A$304,0)),IFERROR(INDEX(RW_Register!$BD$5:$BD$304,MATCH($B28,RW_Register!$A$5:$A$304,0)),IFERROR(INDEX(Embedded_Wall_Register!$BB$5:$BB$304,MATCH($B28,Embedded_Wall_Register!$A$5:$A$304,0)),IFERROR(INDEX(Manhole_Register!$BB$5:$BB$304,MATCH($B28,Manhole_Register!$A$5:$A$304,0)),IFERROR(INDEX(ERSS_Pit_Register!$AV$5:$AV$304,MATCH($B28,ERSS_Pit_Register!$A$5:$A$304,0)),IFERROR(INDEX(Linkway_Register!$AX$5:$AX$304,MATCH($B28,Linkway_Register!$A$5:$A$304,0)),IFERROR(INDEX(Other_Register!$AH$5:$AH$304,MATCH($B28,Other_Register!$A$5:$A$304,0)),0))))))))/1000)</f>
        <v/>
      </c>
      <c r="Q28" s="19" t="str">
        <f aca="false">IF(OR($B28="",$D28=""),"",$D28*N(IFERROR(INDEX(Drain_Register!$AY$5:$AY$304,MATCH($B28,Drain_Register!$A$5:$A$304,0)),IFERROR(INDEX(RW_Register!$BE$5:$BE$304,MATCH($B28,RW_Register!$A$5:$A$304,0)),IFERROR(INDEX(Embedded_Wall_Register!$BC$5:$BC$304,MATCH($B28,Embedded_Wall_Register!$A$5:$A$304,0)),IFERROR(INDEX(Manhole_Register!$BC$5:$BC$304,MATCH($B28,Manhole_Register!$A$5:$A$304,0)),IFERROR(INDEX(ERSS_Pit_Register!$AW$5:$AW$304,MATCH($B28,ERSS_Pit_Register!$A$5:$A$304,0)),IFERROR(INDEX(Linkway_Register!$AY$5:$AY$304,MATCH($B28,Linkway_Register!$A$5:$A$304,0)),IFERROR(INDEX(Other_Register!$AI$5:$AI$304,MATCH($B28,Other_Register!$A$5:$A$304,0)),0)))))))))</f>
        <v/>
      </c>
      <c r="R28" s="19" t="str">
        <f aca="false">IF(OR($B28="",$D28=""),"",$D28*N(IFERROR(INDEX(Drain_Register!$AZ$5:$AZ$304,MATCH($B28,Drain_Register!$A$5:$A$304,0)),IFERROR(INDEX(RW_Register!$BF$5:$BF$304,MATCH($B28,RW_Register!$A$5:$A$304,0)),IFERROR(INDEX(Embedded_Wall_Register!$BD$5:$BD$304,MATCH($B28,Embedded_Wall_Register!$A$5:$A$304,0)),IFERROR(INDEX(Manhole_Register!$BD$5:$BD$304,MATCH($B28,Manhole_Register!$A$5:$A$304,0)),IFERROR(INDEX(ERSS_Pit_Register!$AX$5:$AX$304,MATCH($B28,ERSS_Pit_Register!$A$5:$A$304,0)),IFERROR(INDEX(Linkway_Register!$AZ$5:$AZ$304,MATCH($B28,Linkway_Register!$A$5:$A$304,0)),IFERROR(INDEX(Other_Register!$AJ$5:$AJ$304,MATCH($B28,Other_Register!$A$5:$A$304,0)),0)))))))))</f>
        <v/>
      </c>
      <c r="S28" s="10" t="str">
        <f aca="false">IF($B28="","",IF(G28="","ID not found",IF(J28&lt;&gt;"Approved","WARNING: status is "&amp;J28,IF(IFERROR(INDEX(Drain_Register!$CA$5:$CA$304,MATCH($B28,Drain_Register!$A$5:$A$304,0)),IFERROR(INDEX(RW_Register!$CF$5:$CF$304,MATCH($B28,RW_Register!$A$5:$A$304,0)),IFERROR(INDEX(Embedded_Wall_Register!$CD$5:$CD$304,MATCH($B28,Embedded_Wall_Register!$A$5:$A$304,0)),IFERROR(INDEX(Manhole_Register!$CC$5:$CC$304,MATCH($B28,Manhole_Register!$A$5:$A$304,0)),IFERROR(INDEX(ERSS_Pit_Register!$BX$5:$BX$304,MATCH($B28,ERSS_Pit_Register!$A$5:$A$304,0)),IFERROR(INDEX(Linkway_Register!$BY$5:$BY$304,MATCH($B28,Linkway_Register!$A$5:$A$304,0)),IFERROR(INDEX(Other_Register!$BI$5:$BI$304,MATCH($B28,Other_Register!$A$5:$A$304,0)),"")))))))="N","WARNING: fails SG compliance check",IF(D28="","Enter length / qty",IF(E28="","Enter CAD sheet no.","OK"))))))</f>
        <v/>
      </c>
    </row>
    <row r="29" customFormat="false" ht="15" hidden="false" customHeight="false" outlineLevel="0" collapsed="false">
      <c r="A29" s="9"/>
      <c r="B29" s="9"/>
      <c r="C29" s="9"/>
      <c r="D29" s="9"/>
      <c r="E29" s="9"/>
      <c r="F29" s="10" t="str">
        <f aca="false">IF($B29="","",IFERROR(INDEX(Drain_Register!$AU$5:$AU$304,MATCH($B29,Drain_Register!$A$5:$A$304,0)),IFERROR(INDEX(RW_Register!$BA$5:$BA$304,MATCH($B29,RW_Register!$A$5:$A$304,0)),IFERROR(INDEX(Embedded_Wall_Register!$AY$5:$AY$304,MATCH($B29,Embedded_Wall_Register!$A$5:$A$304,0)),IFERROR(INDEX(Manhole_Register!$AY$5:$AY$304,MATCH($B29,Manhole_Register!$A$5:$A$304,0)),IFERROR(INDEX(ERSS_Pit_Register!$AS$5:$AS$304,MATCH($B29,ERSS_Pit_Register!$A$5:$A$304,0)),IFERROR(INDEX(Linkway_Register!$AU$5:$AU$304,MATCH($B29,Linkway_Register!$A$5:$A$304,0)),IFERROR(INDEX(Other_Register!$AE$5:$AE$304,MATCH($B29,Other_Register!$A$5:$A$304,0)),""))))))))</f>
        <v/>
      </c>
      <c r="G29" s="10" t="str">
        <f aca="false">IF($B29="","",IF(ISNUMBER(MATCH($B29,Drain_Register!$A$5:$A$304,0)),"Drain",IF(ISNUMBER(MATCH($B29,RW_Register!$A$5:$A$304,0)),"Ret. Wall",IF(ISNUMBER(MATCH($B29,Embedded_Wall_Register!$A$5:$A$304,0)),"Embedded Wall",IF(ISNUMBER(MATCH($B29,Manhole_Register!$A$5:$A$304,0)),"Manhole",IF(ISNUMBER(MATCH($B29,ERSS_Pit_Register!$A$5:$A$304,0)),"ERSS Pit",IF(ISNUMBER(MATCH($B29,Linkway_Register!$A$5:$A$304,0)),"Linkway",IF(ISNUMBER(MATCH($B29,Other_Register!$A$5:$A$304,0)),"Others",""))))))))</f>
        <v/>
      </c>
      <c r="H29" s="10" t="str">
        <f aca="false">IF($B29="","",IFERROR(INDEX(Drain_Register!$B$5:$B$304,MATCH($B29,Drain_Register!$A$5:$A$304,0)),IFERROR(INDEX(RW_Register!$B$5:$B$304,MATCH($B29,RW_Register!$A$5:$A$304,0)),IFERROR(INDEX(Embedded_Wall_Register!$B$5:$B$304,MATCH($B29,Embedded_Wall_Register!$A$5:$A$304,0)),IFERROR(INDEX(Manhole_Register!$B$5:$B$304,MATCH($B29,Manhole_Register!$A$5:$A$304,0)),IFERROR(INDEX(ERSS_Pit_Register!$B$5:$B$304,MATCH($B29,ERSS_Pit_Register!$A$5:$A$304,0)),IFERROR(INDEX(Linkway_Register!$B$5:$B$304,MATCH($B29,Linkway_Register!$A$5:$A$304,0)),IFERROR(INDEX(Other_Register!$B$5:$B$304,MATCH($B29,Other_Register!$A$5:$A$304,0)),"ID not found - check spelling"))))))))</f>
        <v/>
      </c>
      <c r="I29" s="10" t="str">
        <f aca="false">IF($B29="","",IFERROR(INDEX(Drain_Register!$AI$5:$AI$304,MATCH($B29,Drain_Register!$A$5:$A$304,0)),IFERROR(INDEX(RW_Register!$AO$5:$AO$304,MATCH($B29,RW_Register!$A$5:$A$304,0)),IFERROR(INDEX(Embedded_Wall_Register!$AM$5:$AM$304,MATCH($B29,Embedded_Wall_Register!$A$5:$A$304,0)),IFERROR(INDEX(Manhole_Register!$AM$5:$AM$304,MATCH($B29,Manhole_Register!$A$5:$A$304,0)),IFERROR(INDEX(ERSS_Pit_Register!$AG$5:$AG$304,MATCH($B29,ERSS_Pit_Register!$A$5:$A$304,0)),IFERROR(INDEX(Linkway_Register!$AI$5:$AI$304,MATCH($B29,Linkway_Register!$A$5:$A$304,0)),IFERROR(INDEX(Other_Register!$S$5:$S$304,MATCH($B29,Other_Register!$A$5:$A$304,0)),""))))))))</f>
        <v/>
      </c>
      <c r="J29" s="10" t="str">
        <f aca="false">IF($B29="","",IFERROR(INDEX(Drain_Register!$AJ$5:$AJ$304,MATCH($B29,Drain_Register!$A$5:$A$304,0)),IFERROR(INDEX(RW_Register!$AP$5:$AP$304,MATCH($B29,RW_Register!$A$5:$A$304,0)),IFERROR(INDEX(Embedded_Wall_Register!$AN$5:$AN$304,MATCH($B29,Embedded_Wall_Register!$A$5:$A$304,0)),IFERROR(INDEX(Manhole_Register!$AN$5:$AN$304,MATCH($B29,Manhole_Register!$A$5:$A$304,0)),IFERROR(INDEX(ERSS_Pit_Register!$AH$5:$AH$304,MATCH($B29,ERSS_Pit_Register!$A$5:$A$304,0)),IFERROR(INDEX(Linkway_Register!$AJ$5:$AJ$304,MATCH($B29,Linkway_Register!$A$5:$A$304,0)),IFERROR(INDEX(Other_Register!$T$5:$T$304,MATCH($B29,Other_Register!$A$5:$A$304,0)),""))))))))</f>
        <v/>
      </c>
      <c r="K29" s="10" t="str">
        <f aca="false">IF($B29="","",IFERROR(INDEX(Drain_Register!$AK$5:$AK$304,MATCH($B29,Drain_Register!$A$5:$A$304,0)),IFERROR(INDEX(RW_Register!$AQ$5:$AQ$304,MATCH($B29,RW_Register!$A$5:$A$304,0)),IFERROR(INDEX(Embedded_Wall_Register!$AO$5:$AO$304,MATCH($B29,Embedded_Wall_Register!$A$5:$A$304,0)),IFERROR(INDEX(Manhole_Register!$AO$5:$AO$304,MATCH($B29,Manhole_Register!$A$5:$A$304,0)),IFERROR(INDEX(ERSS_Pit_Register!$AI$5:$AI$304,MATCH($B29,ERSS_Pit_Register!$A$5:$A$304,0)),IFERROR(INDEX(Linkway_Register!$AK$5:$AK$304,MATCH($B29,Linkway_Register!$A$5:$A$304,0)),IFERROR(INDEX(Other_Register!$U$5:$U$304,MATCH($B29,Other_Register!$A$5:$A$304,0)),""))))))))</f>
        <v/>
      </c>
      <c r="L29" s="10" t="str">
        <f aca="false">IF($B29="","",IFERROR(INDEX(Drain_Register!$AL$5:$AL$304,MATCH($B29,Drain_Register!$A$5:$A$304,0)),IFERROR(INDEX(RW_Register!$AR$5:$AR$304,MATCH($B29,RW_Register!$A$5:$A$304,0)),IFERROR(INDEX(Embedded_Wall_Register!$AP$5:$AP$304,MATCH($B29,Embedded_Wall_Register!$A$5:$A$304,0)),IFERROR(INDEX(Manhole_Register!$AP$5:$AP$304,MATCH($B29,Manhole_Register!$A$5:$A$304,0)),IFERROR(INDEX(ERSS_Pit_Register!$AJ$5:$AJ$304,MATCH($B29,ERSS_Pit_Register!$A$5:$A$304,0)),IFERROR(INDEX(Linkway_Register!$AL$5:$AL$304,MATCH($B29,Linkway_Register!$A$5:$A$304,0)),IFERROR(INDEX(Other_Register!$V$5:$V$304,MATCH($B29,Other_Register!$A$5:$A$304,0)),""))))))))</f>
        <v/>
      </c>
      <c r="M29" s="10" t="str">
        <f aca="false">IF($B29="","",IFERROR(INDEX(Drain_Register!$AN$5:$AN$304,MATCH($B29,Drain_Register!$A$5:$A$304,0)),IFERROR(INDEX(RW_Register!$AT$5:$AT$304,MATCH($B29,RW_Register!$A$5:$A$304,0)),IFERROR(INDEX(Embedded_Wall_Register!$AR$5:$AR$304,MATCH($B29,Embedded_Wall_Register!$A$5:$A$304,0)),IFERROR(INDEX(Manhole_Register!$AR$5:$AR$304,MATCH($B29,Manhole_Register!$A$5:$A$304,0)),IFERROR(INDEX(ERSS_Pit_Register!$AL$5:$AL$304,MATCH($B29,ERSS_Pit_Register!$A$5:$A$304,0)),IFERROR(INDEX(Linkway_Register!$AN$5:$AN$304,MATCH($B29,Linkway_Register!$A$5:$A$304,0)),IFERROR(INDEX(Other_Register!$X$5:$X$304,MATCH($B29,Other_Register!$A$5:$A$304,0)),"")))))))&amp;IFERROR(INDEX(Drain_Register!$AO$5:$AO$304,MATCH($B29,Drain_Register!$A$5:$A$304,0)),IFERROR(INDEX(RW_Register!$AU$5:$AU$304,MATCH($B29,RW_Register!$A$5:$A$304,0)),IFERROR(INDEX(Embedded_Wall_Register!$AS$5:$AS$304,MATCH($B29,Embedded_Wall_Register!$A$5:$A$304,0)),IFERROR(INDEX(Manhole_Register!$AS$5:$AS$304,MATCH($B29,Manhole_Register!$A$5:$A$304,0)),IFERROR(INDEX(ERSS_Pit_Register!$AM$5:$AM$304,MATCH($B29,ERSS_Pit_Register!$A$5:$A$304,0)),IFERROR(INDEX(Linkway_Register!$AO$5:$AO$304,MATCH($B29,Linkway_Register!$A$5:$A$304,0)),IFERROR(INDEX(Other_Register!$Y$5:$Y$304,MATCH($B29,Other_Register!$A$5:$A$304,0)),""))))))))</f>
        <v/>
      </c>
      <c r="N29" s="19" t="str">
        <f aca="false">IF(OR($B29="",$D29=""),"",$D29*N(IFERROR(INDEX(Drain_Register!$AV$5:$AV$304,MATCH($B29,Drain_Register!$A$5:$A$304,0)),IFERROR(INDEX(RW_Register!$BB$5:$BB$304,MATCH($B29,RW_Register!$A$5:$A$304,0)),IFERROR(INDEX(Embedded_Wall_Register!$AZ$5:$AZ$304,MATCH($B29,Embedded_Wall_Register!$A$5:$A$304,0)),IFERROR(INDEX(Manhole_Register!$AZ$5:$AZ$304,MATCH($B29,Manhole_Register!$A$5:$A$304,0)),IFERROR(INDEX(ERSS_Pit_Register!$AT$5:$AT$304,MATCH($B29,ERSS_Pit_Register!$A$5:$A$304,0)),IFERROR(INDEX(Linkway_Register!$AV$5:$AV$304,MATCH($B29,Linkway_Register!$A$5:$A$304,0)),IFERROR(INDEX(Other_Register!$AF$5:$AF$304,MATCH($B29,Other_Register!$A$5:$A$304,0)),0)))))))))</f>
        <v/>
      </c>
      <c r="O29" s="20" t="str">
        <f aca="false">IF(OR($B29="",$D29=""),"",$D29*N(IFERROR(INDEX(Drain_Register!$AW$5:$AW$304,MATCH($B29,Drain_Register!$A$5:$A$304,0)),IFERROR(INDEX(RW_Register!$BC$5:$BC$304,MATCH($B29,RW_Register!$A$5:$A$304,0)),IFERROR(INDEX(Embedded_Wall_Register!$BA$5:$BA$304,MATCH($B29,Embedded_Wall_Register!$A$5:$A$304,0)),IFERROR(INDEX(Manhole_Register!$BA$5:$BA$304,MATCH($B29,Manhole_Register!$A$5:$A$304,0)),IFERROR(INDEX(ERSS_Pit_Register!$AU$5:$AU$304,MATCH($B29,ERSS_Pit_Register!$A$5:$A$304,0)),IFERROR(INDEX(Linkway_Register!$AW$5:$AW$304,MATCH($B29,Linkway_Register!$A$5:$A$304,0)),IFERROR(INDEX(Other_Register!$AG$5:$AG$304,MATCH($B29,Other_Register!$A$5:$A$304,0)),0))))))))/1000)</f>
        <v/>
      </c>
      <c r="P29" s="20" t="str">
        <f aca="false">IF(OR($B29="",$D29=""),"",$D29*N(IFERROR(INDEX(Drain_Register!$AX$5:$AX$304,MATCH($B29,Drain_Register!$A$5:$A$304,0)),IFERROR(INDEX(RW_Register!$BD$5:$BD$304,MATCH($B29,RW_Register!$A$5:$A$304,0)),IFERROR(INDEX(Embedded_Wall_Register!$BB$5:$BB$304,MATCH($B29,Embedded_Wall_Register!$A$5:$A$304,0)),IFERROR(INDEX(Manhole_Register!$BB$5:$BB$304,MATCH($B29,Manhole_Register!$A$5:$A$304,0)),IFERROR(INDEX(ERSS_Pit_Register!$AV$5:$AV$304,MATCH($B29,ERSS_Pit_Register!$A$5:$A$304,0)),IFERROR(INDEX(Linkway_Register!$AX$5:$AX$304,MATCH($B29,Linkway_Register!$A$5:$A$304,0)),IFERROR(INDEX(Other_Register!$AH$5:$AH$304,MATCH($B29,Other_Register!$A$5:$A$304,0)),0))))))))/1000)</f>
        <v/>
      </c>
      <c r="Q29" s="19" t="str">
        <f aca="false">IF(OR($B29="",$D29=""),"",$D29*N(IFERROR(INDEX(Drain_Register!$AY$5:$AY$304,MATCH($B29,Drain_Register!$A$5:$A$304,0)),IFERROR(INDEX(RW_Register!$BE$5:$BE$304,MATCH($B29,RW_Register!$A$5:$A$304,0)),IFERROR(INDEX(Embedded_Wall_Register!$BC$5:$BC$304,MATCH($B29,Embedded_Wall_Register!$A$5:$A$304,0)),IFERROR(INDEX(Manhole_Register!$BC$5:$BC$304,MATCH($B29,Manhole_Register!$A$5:$A$304,0)),IFERROR(INDEX(ERSS_Pit_Register!$AW$5:$AW$304,MATCH($B29,ERSS_Pit_Register!$A$5:$A$304,0)),IFERROR(INDEX(Linkway_Register!$AY$5:$AY$304,MATCH($B29,Linkway_Register!$A$5:$A$304,0)),IFERROR(INDEX(Other_Register!$AI$5:$AI$304,MATCH($B29,Other_Register!$A$5:$A$304,0)),0)))))))))</f>
        <v/>
      </c>
      <c r="R29" s="19" t="str">
        <f aca="false">IF(OR($B29="",$D29=""),"",$D29*N(IFERROR(INDEX(Drain_Register!$AZ$5:$AZ$304,MATCH($B29,Drain_Register!$A$5:$A$304,0)),IFERROR(INDEX(RW_Register!$BF$5:$BF$304,MATCH($B29,RW_Register!$A$5:$A$304,0)),IFERROR(INDEX(Embedded_Wall_Register!$BD$5:$BD$304,MATCH($B29,Embedded_Wall_Register!$A$5:$A$304,0)),IFERROR(INDEX(Manhole_Register!$BD$5:$BD$304,MATCH($B29,Manhole_Register!$A$5:$A$304,0)),IFERROR(INDEX(ERSS_Pit_Register!$AX$5:$AX$304,MATCH($B29,ERSS_Pit_Register!$A$5:$A$304,0)),IFERROR(INDEX(Linkway_Register!$AZ$5:$AZ$304,MATCH($B29,Linkway_Register!$A$5:$A$304,0)),IFERROR(INDEX(Other_Register!$AJ$5:$AJ$304,MATCH($B29,Other_Register!$A$5:$A$304,0)),0)))))))))</f>
        <v/>
      </c>
      <c r="S29" s="10" t="str">
        <f aca="false">IF($B29="","",IF(G29="","ID not found",IF(J29&lt;&gt;"Approved","WARNING: status is "&amp;J29,IF(IFERROR(INDEX(Drain_Register!$CA$5:$CA$304,MATCH($B29,Drain_Register!$A$5:$A$304,0)),IFERROR(INDEX(RW_Register!$CF$5:$CF$304,MATCH($B29,RW_Register!$A$5:$A$304,0)),IFERROR(INDEX(Embedded_Wall_Register!$CD$5:$CD$304,MATCH($B29,Embedded_Wall_Register!$A$5:$A$304,0)),IFERROR(INDEX(Manhole_Register!$CC$5:$CC$304,MATCH($B29,Manhole_Register!$A$5:$A$304,0)),IFERROR(INDEX(ERSS_Pit_Register!$BX$5:$BX$304,MATCH($B29,ERSS_Pit_Register!$A$5:$A$304,0)),IFERROR(INDEX(Linkway_Register!$BY$5:$BY$304,MATCH($B29,Linkway_Register!$A$5:$A$304,0)),IFERROR(INDEX(Other_Register!$BI$5:$BI$304,MATCH($B29,Other_Register!$A$5:$A$304,0)),"")))))))="N","WARNING: fails SG compliance check",IF(D29="","Enter length / qty",IF(E29="","Enter CAD sheet no.","OK"))))))</f>
        <v/>
      </c>
    </row>
    <row r="30" customFormat="false" ht="15" hidden="false" customHeight="false" outlineLevel="0" collapsed="false">
      <c r="A30" s="9"/>
      <c r="B30" s="9"/>
      <c r="C30" s="9"/>
      <c r="D30" s="9"/>
      <c r="E30" s="9"/>
      <c r="F30" s="10" t="str">
        <f aca="false">IF($B30="","",IFERROR(INDEX(Drain_Register!$AU$5:$AU$304,MATCH($B30,Drain_Register!$A$5:$A$304,0)),IFERROR(INDEX(RW_Register!$BA$5:$BA$304,MATCH($B30,RW_Register!$A$5:$A$304,0)),IFERROR(INDEX(Embedded_Wall_Register!$AY$5:$AY$304,MATCH($B30,Embedded_Wall_Register!$A$5:$A$304,0)),IFERROR(INDEX(Manhole_Register!$AY$5:$AY$304,MATCH($B30,Manhole_Register!$A$5:$A$304,0)),IFERROR(INDEX(ERSS_Pit_Register!$AS$5:$AS$304,MATCH($B30,ERSS_Pit_Register!$A$5:$A$304,0)),IFERROR(INDEX(Linkway_Register!$AU$5:$AU$304,MATCH($B30,Linkway_Register!$A$5:$A$304,0)),IFERROR(INDEX(Other_Register!$AE$5:$AE$304,MATCH($B30,Other_Register!$A$5:$A$304,0)),""))))))))</f>
        <v/>
      </c>
      <c r="G30" s="10" t="str">
        <f aca="false">IF($B30="","",IF(ISNUMBER(MATCH($B30,Drain_Register!$A$5:$A$304,0)),"Drain",IF(ISNUMBER(MATCH($B30,RW_Register!$A$5:$A$304,0)),"Ret. Wall",IF(ISNUMBER(MATCH($B30,Embedded_Wall_Register!$A$5:$A$304,0)),"Embedded Wall",IF(ISNUMBER(MATCH($B30,Manhole_Register!$A$5:$A$304,0)),"Manhole",IF(ISNUMBER(MATCH($B30,ERSS_Pit_Register!$A$5:$A$304,0)),"ERSS Pit",IF(ISNUMBER(MATCH($B30,Linkway_Register!$A$5:$A$304,0)),"Linkway",IF(ISNUMBER(MATCH($B30,Other_Register!$A$5:$A$304,0)),"Others",""))))))))</f>
        <v/>
      </c>
      <c r="H30" s="10" t="str">
        <f aca="false">IF($B30="","",IFERROR(INDEX(Drain_Register!$B$5:$B$304,MATCH($B30,Drain_Register!$A$5:$A$304,0)),IFERROR(INDEX(RW_Register!$B$5:$B$304,MATCH($B30,RW_Register!$A$5:$A$304,0)),IFERROR(INDEX(Embedded_Wall_Register!$B$5:$B$304,MATCH($B30,Embedded_Wall_Register!$A$5:$A$304,0)),IFERROR(INDEX(Manhole_Register!$B$5:$B$304,MATCH($B30,Manhole_Register!$A$5:$A$304,0)),IFERROR(INDEX(ERSS_Pit_Register!$B$5:$B$304,MATCH($B30,ERSS_Pit_Register!$A$5:$A$304,0)),IFERROR(INDEX(Linkway_Register!$B$5:$B$304,MATCH($B30,Linkway_Register!$A$5:$A$304,0)),IFERROR(INDEX(Other_Register!$B$5:$B$304,MATCH($B30,Other_Register!$A$5:$A$304,0)),"ID not found - check spelling"))))))))</f>
        <v/>
      </c>
      <c r="I30" s="10" t="str">
        <f aca="false">IF($B30="","",IFERROR(INDEX(Drain_Register!$AI$5:$AI$304,MATCH($B30,Drain_Register!$A$5:$A$304,0)),IFERROR(INDEX(RW_Register!$AO$5:$AO$304,MATCH($B30,RW_Register!$A$5:$A$304,0)),IFERROR(INDEX(Embedded_Wall_Register!$AM$5:$AM$304,MATCH($B30,Embedded_Wall_Register!$A$5:$A$304,0)),IFERROR(INDEX(Manhole_Register!$AM$5:$AM$304,MATCH($B30,Manhole_Register!$A$5:$A$304,0)),IFERROR(INDEX(ERSS_Pit_Register!$AG$5:$AG$304,MATCH($B30,ERSS_Pit_Register!$A$5:$A$304,0)),IFERROR(INDEX(Linkway_Register!$AI$5:$AI$304,MATCH($B30,Linkway_Register!$A$5:$A$304,0)),IFERROR(INDEX(Other_Register!$S$5:$S$304,MATCH($B30,Other_Register!$A$5:$A$304,0)),""))))))))</f>
        <v/>
      </c>
      <c r="J30" s="10" t="str">
        <f aca="false">IF($B30="","",IFERROR(INDEX(Drain_Register!$AJ$5:$AJ$304,MATCH($B30,Drain_Register!$A$5:$A$304,0)),IFERROR(INDEX(RW_Register!$AP$5:$AP$304,MATCH($B30,RW_Register!$A$5:$A$304,0)),IFERROR(INDEX(Embedded_Wall_Register!$AN$5:$AN$304,MATCH($B30,Embedded_Wall_Register!$A$5:$A$304,0)),IFERROR(INDEX(Manhole_Register!$AN$5:$AN$304,MATCH($B30,Manhole_Register!$A$5:$A$304,0)),IFERROR(INDEX(ERSS_Pit_Register!$AH$5:$AH$304,MATCH($B30,ERSS_Pit_Register!$A$5:$A$304,0)),IFERROR(INDEX(Linkway_Register!$AJ$5:$AJ$304,MATCH($B30,Linkway_Register!$A$5:$A$304,0)),IFERROR(INDEX(Other_Register!$T$5:$T$304,MATCH($B30,Other_Register!$A$5:$A$304,0)),""))))))))</f>
        <v/>
      </c>
      <c r="K30" s="10" t="str">
        <f aca="false">IF($B30="","",IFERROR(INDEX(Drain_Register!$AK$5:$AK$304,MATCH($B30,Drain_Register!$A$5:$A$304,0)),IFERROR(INDEX(RW_Register!$AQ$5:$AQ$304,MATCH($B30,RW_Register!$A$5:$A$304,0)),IFERROR(INDEX(Embedded_Wall_Register!$AO$5:$AO$304,MATCH($B30,Embedded_Wall_Register!$A$5:$A$304,0)),IFERROR(INDEX(Manhole_Register!$AO$5:$AO$304,MATCH($B30,Manhole_Register!$A$5:$A$304,0)),IFERROR(INDEX(ERSS_Pit_Register!$AI$5:$AI$304,MATCH($B30,ERSS_Pit_Register!$A$5:$A$304,0)),IFERROR(INDEX(Linkway_Register!$AK$5:$AK$304,MATCH($B30,Linkway_Register!$A$5:$A$304,0)),IFERROR(INDEX(Other_Register!$U$5:$U$304,MATCH($B30,Other_Register!$A$5:$A$304,0)),""))))))))</f>
        <v/>
      </c>
      <c r="L30" s="10" t="str">
        <f aca="false">IF($B30="","",IFERROR(INDEX(Drain_Register!$AL$5:$AL$304,MATCH($B30,Drain_Register!$A$5:$A$304,0)),IFERROR(INDEX(RW_Register!$AR$5:$AR$304,MATCH($B30,RW_Register!$A$5:$A$304,0)),IFERROR(INDEX(Embedded_Wall_Register!$AP$5:$AP$304,MATCH($B30,Embedded_Wall_Register!$A$5:$A$304,0)),IFERROR(INDEX(Manhole_Register!$AP$5:$AP$304,MATCH($B30,Manhole_Register!$A$5:$A$304,0)),IFERROR(INDEX(ERSS_Pit_Register!$AJ$5:$AJ$304,MATCH($B30,ERSS_Pit_Register!$A$5:$A$304,0)),IFERROR(INDEX(Linkway_Register!$AL$5:$AL$304,MATCH($B30,Linkway_Register!$A$5:$A$304,0)),IFERROR(INDEX(Other_Register!$V$5:$V$304,MATCH($B30,Other_Register!$A$5:$A$304,0)),""))))))))</f>
        <v/>
      </c>
      <c r="M30" s="10" t="str">
        <f aca="false">IF($B30="","",IFERROR(INDEX(Drain_Register!$AN$5:$AN$304,MATCH($B30,Drain_Register!$A$5:$A$304,0)),IFERROR(INDEX(RW_Register!$AT$5:$AT$304,MATCH($B30,RW_Register!$A$5:$A$304,0)),IFERROR(INDEX(Embedded_Wall_Register!$AR$5:$AR$304,MATCH($B30,Embedded_Wall_Register!$A$5:$A$304,0)),IFERROR(INDEX(Manhole_Register!$AR$5:$AR$304,MATCH($B30,Manhole_Register!$A$5:$A$304,0)),IFERROR(INDEX(ERSS_Pit_Register!$AL$5:$AL$304,MATCH($B30,ERSS_Pit_Register!$A$5:$A$304,0)),IFERROR(INDEX(Linkway_Register!$AN$5:$AN$304,MATCH($B30,Linkway_Register!$A$5:$A$304,0)),IFERROR(INDEX(Other_Register!$X$5:$X$304,MATCH($B30,Other_Register!$A$5:$A$304,0)),"")))))))&amp;IFERROR(INDEX(Drain_Register!$AO$5:$AO$304,MATCH($B30,Drain_Register!$A$5:$A$304,0)),IFERROR(INDEX(RW_Register!$AU$5:$AU$304,MATCH($B30,RW_Register!$A$5:$A$304,0)),IFERROR(INDEX(Embedded_Wall_Register!$AS$5:$AS$304,MATCH($B30,Embedded_Wall_Register!$A$5:$A$304,0)),IFERROR(INDEX(Manhole_Register!$AS$5:$AS$304,MATCH($B30,Manhole_Register!$A$5:$A$304,0)),IFERROR(INDEX(ERSS_Pit_Register!$AM$5:$AM$304,MATCH($B30,ERSS_Pit_Register!$A$5:$A$304,0)),IFERROR(INDEX(Linkway_Register!$AO$5:$AO$304,MATCH($B30,Linkway_Register!$A$5:$A$304,0)),IFERROR(INDEX(Other_Register!$Y$5:$Y$304,MATCH($B30,Other_Register!$A$5:$A$304,0)),""))))))))</f>
        <v/>
      </c>
      <c r="N30" s="19" t="str">
        <f aca="false">IF(OR($B30="",$D30=""),"",$D30*N(IFERROR(INDEX(Drain_Register!$AV$5:$AV$304,MATCH($B30,Drain_Register!$A$5:$A$304,0)),IFERROR(INDEX(RW_Register!$BB$5:$BB$304,MATCH($B30,RW_Register!$A$5:$A$304,0)),IFERROR(INDEX(Embedded_Wall_Register!$AZ$5:$AZ$304,MATCH($B30,Embedded_Wall_Register!$A$5:$A$304,0)),IFERROR(INDEX(Manhole_Register!$AZ$5:$AZ$304,MATCH($B30,Manhole_Register!$A$5:$A$304,0)),IFERROR(INDEX(ERSS_Pit_Register!$AT$5:$AT$304,MATCH($B30,ERSS_Pit_Register!$A$5:$A$304,0)),IFERROR(INDEX(Linkway_Register!$AV$5:$AV$304,MATCH($B30,Linkway_Register!$A$5:$A$304,0)),IFERROR(INDEX(Other_Register!$AF$5:$AF$304,MATCH($B30,Other_Register!$A$5:$A$304,0)),0)))))))))</f>
        <v/>
      </c>
      <c r="O30" s="20" t="str">
        <f aca="false">IF(OR($B30="",$D30=""),"",$D30*N(IFERROR(INDEX(Drain_Register!$AW$5:$AW$304,MATCH($B30,Drain_Register!$A$5:$A$304,0)),IFERROR(INDEX(RW_Register!$BC$5:$BC$304,MATCH($B30,RW_Register!$A$5:$A$304,0)),IFERROR(INDEX(Embedded_Wall_Register!$BA$5:$BA$304,MATCH($B30,Embedded_Wall_Register!$A$5:$A$304,0)),IFERROR(INDEX(Manhole_Register!$BA$5:$BA$304,MATCH($B30,Manhole_Register!$A$5:$A$304,0)),IFERROR(INDEX(ERSS_Pit_Register!$AU$5:$AU$304,MATCH($B30,ERSS_Pit_Register!$A$5:$A$304,0)),IFERROR(INDEX(Linkway_Register!$AW$5:$AW$304,MATCH($B30,Linkway_Register!$A$5:$A$304,0)),IFERROR(INDEX(Other_Register!$AG$5:$AG$304,MATCH($B30,Other_Register!$A$5:$A$304,0)),0))))))))/1000)</f>
        <v/>
      </c>
      <c r="P30" s="20" t="str">
        <f aca="false">IF(OR($B30="",$D30=""),"",$D30*N(IFERROR(INDEX(Drain_Register!$AX$5:$AX$304,MATCH($B30,Drain_Register!$A$5:$A$304,0)),IFERROR(INDEX(RW_Register!$BD$5:$BD$304,MATCH($B30,RW_Register!$A$5:$A$304,0)),IFERROR(INDEX(Embedded_Wall_Register!$BB$5:$BB$304,MATCH($B30,Embedded_Wall_Register!$A$5:$A$304,0)),IFERROR(INDEX(Manhole_Register!$BB$5:$BB$304,MATCH($B30,Manhole_Register!$A$5:$A$304,0)),IFERROR(INDEX(ERSS_Pit_Register!$AV$5:$AV$304,MATCH($B30,ERSS_Pit_Register!$A$5:$A$304,0)),IFERROR(INDEX(Linkway_Register!$AX$5:$AX$304,MATCH($B30,Linkway_Register!$A$5:$A$304,0)),IFERROR(INDEX(Other_Register!$AH$5:$AH$304,MATCH($B30,Other_Register!$A$5:$A$304,0)),0))))))))/1000)</f>
        <v/>
      </c>
      <c r="Q30" s="19" t="str">
        <f aca="false">IF(OR($B30="",$D30=""),"",$D30*N(IFERROR(INDEX(Drain_Register!$AY$5:$AY$304,MATCH($B30,Drain_Register!$A$5:$A$304,0)),IFERROR(INDEX(RW_Register!$BE$5:$BE$304,MATCH($B30,RW_Register!$A$5:$A$304,0)),IFERROR(INDEX(Embedded_Wall_Register!$BC$5:$BC$304,MATCH($B30,Embedded_Wall_Register!$A$5:$A$304,0)),IFERROR(INDEX(Manhole_Register!$BC$5:$BC$304,MATCH($B30,Manhole_Register!$A$5:$A$304,0)),IFERROR(INDEX(ERSS_Pit_Register!$AW$5:$AW$304,MATCH($B30,ERSS_Pit_Register!$A$5:$A$304,0)),IFERROR(INDEX(Linkway_Register!$AY$5:$AY$304,MATCH($B30,Linkway_Register!$A$5:$A$304,0)),IFERROR(INDEX(Other_Register!$AI$5:$AI$304,MATCH($B30,Other_Register!$A$5:$A$304,0)),0)))))))))</f>
        <v/>
      </c>
      <c r="R30" s="19" t="str">
        <f aca="false">IF(OR($B30="",$D30=""),"",$D30*N(IFERROR(INDEX(Drain_Register!$AZ$5:$AZ$304,MATCH($B30,Drain_Register!$A$5:$A$304,0)),IFERROR(INDEX(RW_Register!$BF$5:$BF$304,MATCH($B30,RW_Register!$A$5:$A$304,0)),IFERROR(INDEX(Embedded_Wall_Register!$BD$5:$BD$304,MATCH($B30,Embedded_Wall_Register!$A$5:$A$304,0)),IFERROR(INDEX(Manhole_Register!$BD$5:$BD$304,MATCH($B30,Manhole_Register!$A$5:$A$304,0)),IFERROR(INDEX(ERSS_Pit_Register!$AX$5:$AX$304,MATCH($B30,ERSS_Pit_Register!$A$5:$A$304,0)),IFERROR(INDEX(Linkway_Register!$AZ$5:$AZ$304,MATCH($B30,Linkway_Register!$A$5:$A$304,0)),IFERROR(INDEX(Other_Register!$AJ$5:$AJ$304,MATCH($B30,Other_Register!$A$5:$A$304,0)),0)))))))))</f>
        <v/>
      </c>
      <c r="S30" s="10" t="str">
        <f aca="false">IF($B30="","",IF(G30="","ID not found",IF(J30&lt;&gt;"Approved","WARNING: status is "&amp;J30,IF(IFERROR(INDEX(Drain_Register!$CA$5:$CA$304,MATCH($B30,Drain_Register!$A$5:$A$304,0)),IFERROR(INDEX(RW_Register!$CF$5:$CF$304,MATCH($B30,RW_Register!$A$5:$A$304,0)),IFERROR(INDEX(Embedded_Wall_Register!$CD$5:$CD$304,MATCH($B30,Embedded_Wall_Register!$A$5:$A$304,0)),IFERROR(INDEX(Manhole_Register!$CC$5:$CC$304,MATCH($B30,Manhole_Register!$A$5:$A$304,0)),IFERROR(INDEX(ERSS_Pit_Register!$BX$5:$BX$304,MATCH($B30,ERSS_Pit_Register!$A$5:$A$304,0)),IFERROR(INDEX(Linkway_Register!$BY$5:$BY$304,MATCH($B30,Linkway_Register!$A$5:$A$304,0)),IFERROR(INDEX(Other_Register!$BI$5:$BI$304,MATCH($B30,Other_Register!$A$5:$A$304,0)),"")))))))="N","WARNING: fails SG compliance check",IF(D30="","Enter length / qty",IF(E30="","Enter CAD sheet no.","OK"))))))</f>
        <v/>
      </c>
    </row>
    <row r="31" customFormat="false" ht="15" hidden="false" customHeight="false" outlineLevel="0" collapsed="false">
      <c r="A31" s="9"/>
      <c r="B31" s="9"/>
      <c r="C31" s="9"/>
      <c r="D31" s="9"/>
      <c r="E31" s="9"/>
      <c r="F31" s="10" t="str">
        <f aca="false">IF($B31="","",IFERROR(INDEX(Drain_Register!$AU$5:$AU$304,MATCH($B31,Drain_Register!$A$5:$A$304,0)),IFERROR(INDEX(RW_Register!$BA$5:$BA$304,MATCH($B31,RW_Register!$A$5:$A$304,0)),IFERROR(INDEX(Embedded_Wall_Register!$AY$5:$AY$304,MATCH($B31,Embedded_Wall_Register!$A$5:$A$304,0)),IFERROR(INDEX(Manhole_Register!$AY$5:$AY$304,MATCH($B31,Manhole_Register!$A$5:$A$304,0)),IFERROR(INDEX(ERSS_Pit_Register!$AS$5:$AS$304,MATCH($B31,ERSS_Pit_Register!$A$5:$A$304,0)),IFERROR(INDEX(Linkway_Register!$AU$5:$AU$304,MATCH($B31,Linkway_Register!$A$5:$A$304,0)),IFERROR(INDEX(Other_Register!$AE$5:$AE$304,MATCH($B31,Other_Register!$A$5:$A$304,0)),""))))))))</f>
        <v/>
      </c>
      <c r="G31" s="10" t="str">
        <f aca="false">IF($B31="","",IF(ISNUMBER(MATCH($B31,Drain_Register!$A$5:$A$304,0)),"Drain",IF(ISNUMBER(MATCH($B31,RW_Register!$A$5:$A$304,0)),"Ret. Wall",IF(ISNUMBER(MATCH($B31,Embedded_Wall_Register!$A$5:$A$304,0)),"Embedded Wall",IF(ISNUMBER(MATCH($B31,Manhole_Register!$A$5:$A$304,0)),"Manhole",IF(ISNUMBER(MATCH($B31,ERSS_Pit_Register!$A$5:$A$304,0)),"ERSS Pit",IF(ISNUMBER(MATCH($B31,Linkway_Register!$A$5:$A$304,0)),"Linkway",IF(ISNUMBER(MATCH($B31,Other_Register!$A$5:$A$304,0)),"Others",""))))))))</f>
        <v/>
      </c>
      <c r="H31" s="10" t="str">
        <f aca="false">IF($B31="","",IFERROR(INDEX(Drain_Register!$B$5:$B$304,MATCH($B31,Drain_Register!$A$5:$A$304,0)),IFERROR(INDEX(RW_Register!$B$5:$B$304,MATCH($B31,RW_Register!$A$5:$A$304,0)),IFERROR(INDEX(Embedded_Wall_Register!$B$5:$B$304,MATCH($B31,Embedded_Wall_Register!$A$5:$A$304,0)),IFERROR(INDEX(Manhole_Register!$B$5:$B$304,MATCH($B31,Manhole_Register!$A$5:$A$304,0)),IFERROR(INDEX(ERSS_Pit_Register!$B$5:$B$304,MATCH($B31,ERSS_Pit_Register!$A$5:$A$304,0)),IFERROR(INDEX(Linkway_Register!$B$5:$B$304,MATCH($B31,Linkway_Register!$A$5:$A$304,0)),IFERROR(INDEX(Other_Register!$B$5:$B$304,MATCH($B31,Other_Register!$A$5:$A$304,0)),"ID not found - check spelling"))))))))</f>
        <v/>
      </c>
      <c r="I31" s="10" t="str">
        <f aca="false">IF($B31="","",IFERROR(INDEX(Drain_Register!$AI$5:$AI$304,MATCH($B31,Drain_Register!$A$5:$A$304,0)),IFERROR(INDEX(RW_Register!$AO$5:$AO$304,MATCH($B31,RW_Register!$A$5:$A$304,0)),IFERROR(INDEX(Embedded_Wall_Register!$AM$5:$AM$304,MATCH($B31,Embedded_Wall_Register!$A$5:$A$304,0)),IFERROR(INDEX(Manhole_Register!$AM$5:$AM$304,MATCH($B31,Manhole_Register!$A$5:$A$304,0)),IFERROR(INDEX(ERSS_Pit_Register!$AG$5:$AG$304,MATCH($B31,ERSS_Pit_Register!$A$5:$A$304,0)),IFERROR(INDEX(Linkway_Register!$AI$5:$AI$304,MATCH($B31,Linkway_Register!$A$5:$A$304,0)),IFERROR(INDEX(Other_Register!$S$5:$S$304,MATCH($B31,Other_Register!$A$5:$A$304,0)),""))))))))</f>
        <v/>
      </c>
      <c r="J31" s="10" t="str">
        <f aca="false">IF($B31="","",IFERROR(INDEX(Drain_Register!$AJ$5:$AJ$304,MATCH($B31,Drain_Register!$A$5:$A$304,0)),IFERROR(INDEX(RW_Register!$AP$5:$AP$304,MATCH($B31,RW_Register!$A$5:$A$304,0)),IFERROR(INDEX(Embedded_Wall_Register!$AN$5:$AN$304,MATCH($B31,Embedded_Wall_Register!$A$5:$A$304,0)),IFERROR(INDEX(Manhole_Register!$AN$5:$AN$304,MATCH($B31,Manhole_Register!$A$5:$A$304,0)),IFERROR(INDEX(ERSS_Pit_Register!$AH$5:$AH$304,MATCH($B31,ERSS_Pit_Register!$A$5:$A$304,0)),IFERROR(INDEX(Linkway_Register!$AJ$5:$AJ$304,MATCH($B31,Linkway_Register!$A$5:$A$304,0)),IFERROR(INDEX(Other_Register!$T$5:$T$304,MATCH($B31,Other_Register!$A$5:$A$304,0)),""))))))))</f>
        <v/>
      </c>
      <c r="K31" s="10" t="str">
        <f aca="false">IF($B31="","",IFERROR(INDEX(Drain_Register!$AK$5:$AK$304,MATCH($B31,Drain_Register!$A$5:$A$304,0)),IFERROR(INDEX(RW_Register!$AQ$5:$AQ$304,MATCH($B31,RW_Register!$A$5:$A$304,0)),IFERROR(INDEX(Embedded_Wall_Register!$AO$5:$AO$304,MATCH($B31,Embedded_Wall_Register!$A$5:$A$304,0)),IFERROR(INDEX(Manhole_Register!$AO$5:$AO$304,MATCH($B31,Manhole_Register!$A$5:$A$304,0)),IFERROR(INDEX(ERSS_Pit_Register!$AI$5:$AI$304,MATCH($B31,ERSS_Pit_Register!$A$5:$A$304,0)),IFERROR(INDEX(Linkway_Register!$AK$5:$AK$304,MATCH($B31,Linkway_Register!$A$5:$A$304,0)),IFERROR(INDEX(Other_Register!$U$5:$U$304,MATCH($B31,Other_Register!$A$5:$A$304,0)),""))))))))</f>
        <v/>
      </c>
      <c r="L31" s="10" t="str">
        <f aca="false">IF($B31="","",IFERROR(INDEX(Drain_Register!$AL$5:$AL$304,MATCH($B31,Drain_Register!$A$5:$A$304,0)),IFERROR(INDEX(RW_Register!$AR$5:$AR$304,MATCH($B31,RW_Register!$A$5:$A$304,0)),IFERROR(INDEX(Embedded_Wall_Register!$AP$5:$AP$304,MATCH($B31,Embedded_Wall_Register!$A$5:$A$304,0)),IFERROR(INDEX(Manhole_Register!$AP$5:$AP$304,MATCH($B31,Manhole_Register!$A$5:$A$304,0)),IFERROR(INDEX(ERSS_Pit_Register!$AJ$5:$AJ$304,MATCH($B31,ERSS_Pit_Register!$A$5:$A$304,0)),IFERROR(INDEX(Linkway_Register!$AL$5:$AL$304,MATCH($B31,Linkway_Register!$A$5:$A$304,0)),IFERROR(INDEX(Other_Register!$V$5:$V$304,MATCH($B31,Other_Register!$A$5:$A$304,0)),""))))))))</f>
        <v/>
      </c>
      <c r="M31" s="10" t="str">
        <f aca="false">IF($B31="","",IFERROR(INDEX(Drain_Register!$AN$5:$AN$304,MATCH($B31,Drain_Register!$A$5:$A$304,0)),IFERROR(INDEX(RW_Register!$AT$5:$AT$304,MATCH($B31,RW_Register!$A$5:$A$304,0)),IFERROR(INDEX(Embedded_Wall_Register!$AR$5:$AR$304,MATCH($B31,Embedded_Wall_Register!$A$5:$A$304,0)),IFERROR(INDEX(Manhole_Register!$AR$5:$AR$304,MATCH($B31,Manhole_Register!$A$5:$A$304,0)),IFERROR(INDEX(ERSS_Pit_Register!$AL$5:$AL$304,MATCH($B31,ERSS_Pit_Register!$A$5:$A$304,0)),IFERROR(INDEX(Linkway_Register!$AN$5:$AN$304,MATCH($B31,Linkway_Register!$A$5:$A$304,0)),IFERROR(INDEX(Other_Register!$X$5:$X$304,MATCH($B31,Other_Register!$A$5:$A$304,0)),"")))))))&amp;IFERROR(INDEX(Drain_Register!$AO$5:$AO$304,MATCH($B31,Drain_Register!$A$5:$A$304,0)),IFERROR(INDEX(RW_Register!$AU$5:$AU$304,MATCH($B31,RW_Register!$A$5:$A$304,0)),IFERROR(INDEX(Embedded_Wall_Register!$AS$5:$AS$304,MATCH($B31,Embedded_Wall_Register!$A$5:$A$304,0)),IFERROR(INDEX(Manhole_Register!$AS$5:$AS$304,MATCH($B31,Manhole_Register!$A$5:$A$304,0)),IFERROR(INDEX(ERSS_Pit_Register!$AM$5:$AM$304,MATCH($B31,ERSS_Pit_Register!$A$5:$A$304,0)),IFERROR(INDEX(Linkway_Register!$AO$5:$AO$304,MATCH($B31,Linkway_Register!$A$5:$A$304,0)),IFERROR(INDEX(Other_Register!$Y$5:$Y$304,MATCH($B31,Other_Register!$A$5:$A$304,0)),""))))))))</f>
        <v/>
      </c>
      <c r="N31" s="19" t="str">
        <f aca="false">IF(OR($B31="",$D31=""),"",$D31*N(IFERROR(INDEX(Drain_Register!$AV$5:$AV$304,MATCH($B31,Drain_Register!$A$5:$A$304,0)),IFERROR(INDEX(RW_Register!$BB$5:$BB$304,MATCH($B31,RW_Register!$A$5:$A$304,0)),IFERROR(INDEX(Embedded_Wall_Register!$AZ$5:$AZ$304,MATCH($B31,Embedded_Wall_Register!$A$5:$A$304,0)),IFERROR(INDEX(Manhole_Register!$AZ$5:$AZ$304,MATCH($B31,Manhole_Register!$A$5:$A$304,0)),IFERROR(INDEX(ERSS_Pit_Register!$AT$5:$AT$304,MATCH($B31,ERSS_Pit_Register!$A$5:$A$304,0)),IFERROR(INDEX(Linkway_Register!$AV$5:$AV$304,MATCH($B31,Linkway_Register!$A$5:$A$304,0)),IFERROR(INDEX(Other_Register!$AF$5:$AF$304,MATCH($B31,Other_Register!$A$5:$A$304,0)),0)))))))))</f>
        <v/>
      </c>
      <c r="O31" s="20" t="str">
        <f aca="false">IF(OR($B31="",$D31=""),"",$D31*N(IFERROR(INDEX(Drain_Register!$AW$5:$AW$304,MATCH($B31,Drain_Register!$A$5:$A$304,0)),IFERROR(INDEX(RW_Register!$BC$5:$BC$304,MATCH($B31,RW_Register!$A$5:$A$304,0)),IFERROR(INDEX(Embedded_Wall_Register!$BA$5:$BA$304,MATCH($B31,Embedded_Wall_Register!$A$5:$A$304,0)),IFERROR(INDEX(Manhole_Register!$BA$5:$BA$304,MATCH($B31,Manhole_Register!$A$5:$A$304,0)),IFERROR(INDEX(ERSS_Pit_Register!$AU$5:$AU$304,MATCH($B31,ERSS_Pit_Register!$A$5:$A$304,0)),IFERROR(INDEX(Linkway_Register!$AW$5:$AW$304,MATCH($B31,Linkway_Register!$A$5:$A$304,0)),IFERROR(INDEX(Other_Register!$AG$5:$AG$304,MATCH($B31,Other_Register!$A$5:$A$304,0)),0))))))))/1000)</f>
        <v/>
      </c>
      <c r="P31" s="20" t="str">
        <f aca="false">IF(OR($B31="",$D31=""),"",$D31*N(IFERROR(INDEX(Drain_Register!$AX$5:$AX$304,MATCH($B31,Drain_Register!$A$5:$A$304,0)),IFERROR(INDEX(RW_Register!$BD$5:$BD$304,MATCH($B31,RW_Register!$A$5:$A$304,0)),IFERROR(INDEX(Embedded_Wall_Register!$BB$5:$BB$304,MATCH($B31,Embedded_Wall_Register!$A$5:$A$304,0)),IFERROR(INDEX(Manhole_Register!$BB$5:$BB$304,MATCH($B31,Manhole_Register!$A$5:$A$304,0)),IFERROR(INDEX(ERSS_Pit_Register!$AV$5:$AV$304,MATCH($B31,ERSS_Pit_Register!$A$5:$A$304,0)),IFERROR(INDEX(Linkway_Register!$AX$5:$AX$304,MATCH($B31,Linkway_Register!$A$5:$A$304,0)),IFERROR(INDEX(Other_Register!$AH$5:$AH$304,MATCH($B31,Other_Register!$A$5:$A$304,0)),0))))))))/1000)</f>
        <v/>
      </c>
      <c r="Q31" s="19" t="str">
        <f aca="false">IF(OR($B31="",$D31=""),"",$D31*N(IFERROR(INDEX(Drain_Register!$AY$5:$AY$304,MATCH($B31,Drain_Register!$A$5:$A$304,0)),IFERROR(INDEX(RW_Register!$BE$5:$BE$304,MATCH($B31,RW_Register!$A$5:$A$304,0)),IFERROR(INDEX(Embedded_Wall_Register!$BC$5:$BC$304,MATCH($B31,Embedded_Wall_Register!$A$5:$A$304,0)),IFERROR(INDEX(Manhole_Register!$BC$5:$BC$304,MATCH($B31,Manhole_Register!$A$5:$A$304,0)),IFERROR(INDEX(ERSS_Pit_Register!$AW$5:$AW$304,MATCH($B31,ERSS_Pit_Register!$A$5:$A$304,0)),IFERROR(INDEX(Linkway_Register!$AY$5:$AY$304,MATCH($B31,Linkway_Register!$A$5:$A$304,0)),IFERROR(INDEX(Other_Register!$AI$5:$AI$304,MATCH($B31,Other_Register!$A$5:$A$304,0)),0)))))))))</f>
        <v/>
      </c>
      <c r="R31" s="19" t="str">
        <f aca="false">IF(OR($B31="",$D31=""),"",$D31*N(IFERROR(INDEX(Drain_Register!$AZ$5:$AZ$304,MATCH($B31,Drain_Register!$A$5:$A$304,0)),IFERROR(INDEX(RW_Register!$BF$5:$BF$304,MATCH($B31,RW_Register!$A$5:$A$304,0)),IFERROR(INDEX(Embedded_Wall_Register!$BD$5:$BD$304,MATCH($B31,Embedded_Wall_Register!$A$5:$A$304,0)),IFERROR(INDEX(Manhole_Register!$BD$5:$BD$304,MATCH($B31,Manhole_Register!$A$5:$A$304,0)),IFERROR(INDEX(ERSS_Pit_Register!$AX$5:$AX$304,MATCH($B31,ERSS_Pit_Register!$A$5:$A$304,0)),IFERROR(INDEX(Linkway_Register!$AZ$5:$AZ$304,MATCH($B31,Linkway_Register!$A$5:$A$304,0)),IFERROR(INDEX(Other_Register!$AJ$5:$AJ$304,MATCH($B31,Other_Register!$A$5:$A$304,0)),0)))))))))</f>
        <v/>
      </c>
      <c r="S31" s="10" t="str">
        <f aca="false">IF($B31="","",IF(G31="","ID not found",IF(J31&lt;&gt;"Approved","WARNING: status is "&amp;J31,IF(IFERROR(INDEX(Drain_Register!$CA$5:$CA$304,MATCH($B31,Drain_Register!$A$5:$A$304,0)),IFERROR(INDEX(RW_Register!$CF$5:$CF$304,MATCH($B31,RW_Register!$A$5:$A$304,0)),IFERROR(INDEX(Embedded_Wall_Register!$CD$5:$CD$304,MATCH($B31,Embedded_Wall_Register!$A$5:$A$304,0)),IFERROR(INDEX(Manhole_Register!$CC$5:$CC$304,MATCH($B31,Manhole_Register!$A$5:$A$304,0)),IFERROR(INDEX(ERSS_Pit_Register!$BX$5:$BX$304,MATCH($B31,ERSS_Pit_Register!$A$5:$A$304,0)),IFERROR(INDEX(Linkway_Register!$BY$5:$BY$304,MATCH($B31,Linkway_Register!$A$5:$A$304,0)),IFERROR(INDEX(Other_Register!$BI$5:$BI$304,MATCH($B31,Other_Register!$A$5:$A$304,0)),"")))))))="N","WARNING: fails SG compliance check",IF(D31="","Enter length / qty",IF(E31="","Enter CAD sheet no.","OK"))))))</f>
        <v/>
      </c>
    </row>
    <row r="32" customFormat="false" ht="15" hidden="false" customHeight="false" outlineLevel="0" collapsed="false">
      <c r="A32" s="9"/>
      <c r="B32" s="9"/>
      <c r="C32" s="9"/>
      <c r="D32" s="9"/>
      <c r="E32" s="9"/>
      <c r="F32" s="10" t="str">
        <f aca="false">IF($B32="","",IFERROR(INDEX(Drain_Register!$AU$5:$AU$304,MATCH($B32,Drain_Register!$A$5:$A$304,0)),IFERROR(INDEX(RW_Register!$BA$5:$BA$304,MATCH($B32,RW_Register!$A$5:$A$304,0)),IFERROR(INDEX(Embedded_Wall_Register!$AY$5:$AY$304,MATCH($B32,Embedded_Wall_Register!$A$5:$A$304,0)),IFERROR(INDEX(Manhole_Register!$AY$5:$AY$304,MATCH($B32,Manhole_Register!$A$5:$A$304,0)),IFERROR(INDEX(ERSS_Pit_Register!$AS$5:$AS$304,MATCH($B32,ERSS_Pit_Register!$A$5:$A$304,0)),IFERROR(INDEX(Linkway_Register!$AU$5:$AU$304,MATCH($B32,Linkway_Register!$A$5:$A$304,0)),IFERROR(INDEX(Other_Register!$AE$5:$AE$304,MATCH($B32,Other_Register!$A$5:$A$304,0)),""))))))))</f>
        <v/>
      </c>
      <c r="G32" s="10" t="str">
        <f aca="false">IF($B32="","",IF(ISNUMBER(MATCH($B32,Drain_Register!$A$5:$A$304,0)),"Drain",IF(ISNUMBER(MATCH($B32,RW_Register!$A$5:$A$304,0)),"Ret. Wall",IF(ISNUMBER(MATCH($B32,Embedded_Wall_Register!$A$5:$A$304,0)),"Embedded Wall",IF(ISNUMBER(MATCH($B32,Manhole_Register!$A$5:$A$304,0)),"Manhole",IF(ISNUMBER(MATCH($B32,ERSS_Pit_Register!$A$5:$A$304,0)),"ERSS Pit",IF(ISNUMBER(MATCH($B32,Linkway_Register!$A$5:$A$304,0)),"Linkway",IF(ISNUMBER(MATCH($B32,Other_Register!$A$5:$A$304,0)),"Others",""))))))))</f>
        <v/>
      </c>
      <c r="H32" s="10" t="str">
        <f aca="false">IF($B32="","",IFERROR(INDEX(Drain_Register!$B$5:$B$304,MATCH($B32,Drain_Register!$A$5:$A$304,0)),IFERROR(INDEX(RW_Register!$B$5:$B$304,MATCH($B32,RW_Register!$A$5:$A$304,0)),IFERROR(INDEX(Embedded_Wall_Register!$B$5:$B$304,MATCH($B32,Embedded_Wall_Register!$A$5:$A$304,0)),IFERROR(INDEX(Manhole_Register!$B$5:$B$304,MATCH($B32,Manhole_Register!$A$5:$A$304,0)),IFERROR(INDEX(ERSS_Pit_Register!$B$5:$B$304,MATCH($B32,ERSS_Pit_Register!$A$5:$A$304,0)),IFERROR(INDEX(Linkway_Register!$B$5:$B$304,MATCH($B32,Linkway_Register!$A$5:$A$304,0)),IFERROR(INDEX(Other_Register!$B$5:$B$304,MATCH($B32,Other_Register!$A$5:$A$304,0)),"ID not found - check spelling"))))))))</f>
        <v/>
      </c>
      <c r="I32" s="10" t="str">
        <f aca="false">IF($B32="","",IFERROR(INDEX(Drain_Register!$AI$5:$AI$304,MATCH($B32,Drain_Register!$A$5:$A$304,0)),IFERROR(INDEX(RW_Register!$AO$5:$AO$304,MATCH($B32,RW_Register!$A$5:$A$304,0)),IFERROR(INDEX(Embedded_Wall_Register!$AM$5:$AM$304,MATCH($B32,Embedded_Wall_Register!$A$5:$A$304,0)),IFERROR(INDEX(Manhole_Register!$AM$5:$AM$304,MATCH($B32,Manhole_Register!$A$5:$A$304,0)),IFERROR(INDEX(ERSS_Pit_Register!$AG$5:$AG$304,MATCH($B32,ERSS_Pit_Register!$A$5:$A$304,0)),IFERROR(INDEX(Linkway_Register!$AI$5:$AI$304,MATCH($B32,Linkway_Register!$A$5:$A$304,0)),IFERROR(INDEX(Other_Register!$S$5:$S$304,MATCH($B32,Other_Register!$A$5:$A$304,0)),""))))))))</f>
        <v/>
      </c>
      <c r="J32" s="10" t="str">
        <f aca="false">IF($B32="","",IFERROR(INDEX(Drain_Register!$AJ$5:$AJ$304,MATCH($B32,Drain_Register!$A$5:$A$304,0)),IFERROR(INDEX(RW_Register!$AP$5:$AP$304,MATCH($B32,RW_Register!$A$5:$A$304,0)),IFERROR(INDEX(Embedded_Wall_Register!$AN$5:$AN$304,MATCH($B32,Embedded_Wall_Register!$A$5:$A$304,0)),IFERROR(INDEX(Manhole_Register!$AN$5:$AN$304,MATCH($B32,Manhole_Register!$A$5:$A$304,0)),IFERROR(INDEX(ERSS_Pit_Register!$AH$5:$AH$304,MATCH($B32,ERSS_Pit_Register!$A$5:$A$304,0)),IFERROR(INDEX(Linkway_Register!$AJ$5:$AJ$304,MATCH($B32,Linkway_Register!$A$5:$A$304,0)),IFERROR(INDEX(Other_Register!$T$5:$T$304,MATCH($B32,Other_Register!$A$5:$A$304,0)),""))))))))</f>
        <v/>
      </c>
      <c r="K32" s="10" t="str">
        <f aca="false">IF($B32="","",IFERROR(INDEX(Drain_Register!$AK$5:$AK$304,MATCH($B32,Drain_Register!$A$5:$A$304,0)),IFERROR(INDEX(RW_Register!$AQ$5:$AQ$304,MATCH($B32,RW_Register!$A$5:$A$304,0)),IFERROR(INDEX(Embedded_Wall_Register!$AO$5:$AO$304,MATCH($B32,Embedded_Wall_Register!$A$5:$A$304,0)),IFERROR(INDEX(Manhole_Register!$AO$5:$AO$304,MATCH($B32,Manhole_Register!$A$5:$A$304,0)),IFERROR(INDEX(ERSS_Pit_Register!$AI$5:$AI$304,MATCH($B32,ERSS_Pit_Register!$A$5:$A$304,0)),IFERROR(INDEX(Linkway_Register!$AK$5:$AK$304,MATCH($B32,Linkway_Register!$A$5:$A$304,0)),IFERROR(INDEX(Other_Register!$U$5:$U$304,MATCH($B32,Other_Register!$A$5:$A$304,0)),""))))))))</f>
        <v/>
      </c>
      <c r="L32" s="10" t="str">
        <f aca="false">IF($B32="","",IFERROR(INDEX(Drain_Register!$AL$5:$AL$304,MATCH($B32,Drain_Register!$A$5:$A$304,0)),IFERROR(INDEX(RW_Register!$AR$5:$AR$304,MATCH($B32,RW_Register!$A$5:$A$304,0)),IFERROR(INDEX(Embedded_Wall_Register!$AP$5:$AP$304,MATCH($B32,Embedded_Wall_Register!$A$5:$A$304,0)),IFERROR(INDEX(Manhole_Register!$AP$5:$AP$304,MATCH($B32,Manhole_Register!$A$5:$A$304,0)),IFERROR(INDEX(ERSS_Pit_Register!$AJ$5:$AJ$304,MATCH($B32,ERSS_Pit_Register!$A$5:$A$304,0)),IFERROR(INDEX(Linkway_Register!$AL$5:$AL$304,MATCH($B32,Linkway_Register!$A$5:$A$304,0)),IFERROR(INDEX(Other_Register!$V$5:$V$304,MATCH($B32,Other_Register!$A$5:$A$304,0)),""))))))))</f>
        <v/>
      </c>
      <c r="M32" s="10" t="str">
        <f aca="false">IF($B32="","",IFERROR(INDEX(Drain_Register!$AN$5:$AN$304,MATCH($B32,Drain_Register!$A$5:$A$304,0)),IFERROR(INDEX(RW_Register!$AT$5:$AT$304,MATCH($B32,RW_Register!$A$5:$A$304,0)),IFERROR(INDEX(Embedded_Wall_Register!$AR$5:$AR$304,MATCH($B32,Embedded_Wall_Register!$A$5:$A$304,0)),IFERROR(INDEX(Manhole_Register!$AR$5:$AR$304,MATCH($B32,Manhole_Register!$A$5:$A$304,0)),IFERROR(INDEX(ERSS_Pit_Register!$AL$5:$AL$304,MATCH($B32,ERSS_Pit_Register!$A$5:$A$304,0)),IFERROR(INDEX(Linkway_Register!$AN$5:$AN$304,MATCH($B32,Linkway_Register!$A$5:$A$304,0)),IFERROR(INDEX(Other_Register!$X$5:$X$304,MATCH($B32,Other_Register!$A$5:$A$304,0)),"")))))))&amp;IFERROR(INDEX(Drain_Register!$AO$5:$AO$304,MATCH($B32,Drain_Register!$A$5:$A$304,0)),IFERROR(INDEX(RW_Register!$AU$5:$AU$304,MATCH($B32,RW_Register!$A$5:$A$304,0)),IFERROR(INDEX(Embedded_Wall_Register!$AS$5:$AS$304,MATCH($B32,Embedded_Wall_Register!$A$5:$A$304,0)),IFERROR(INDEX(Manhole_Register!$AS$5:$AS$304,MATCH($B32,Manhole_Register!$A$5:$A$304,0)),IFERROR(INDEX(ERSS_Pit_Register!$AM$5:$AM$304,MATCH($B32,ERSS_Pit_Register!$A$5:$A$304,0)),IFERROR(INDEX(Linkway_Register!$AO$5:$AO$304,MATCH($B32,Linkway_Register!$A$5:$A$304,0)),IFERROR(INDEX(Other_Register!$Y$5:$Y$304,MATCH($B32,Other_Register!$A$5:$A$304,0)),""))))))))</f>
        <v/>
      </c>
      <c r="N32" s="19" t="str">
        <f aca="false">IF(OR($B32="",$D32=""),"",$D32*N(IFERROR(INDEX(Drain_Register!$AV$5:$AV$304,MATCH($B32,Drain_Register!$A$5:$A$304,0)),IFERROR(INDEX(RW_Register!$BB$5:$BB$304,MATCH($B32,RW_Register!$A$5:$A$304,0)),IFERROR(INDEX(Embedded_Wall_Register!$AZ$5:$AZ$304,MATCH($B32,Embedded_Wall_Register!$A$5:$A$304,0)),IFERROR(INDEX(Manhole_Register!$AZ$5:$AZ$304,MATCH($B32,Manhole_Register!$A$5:$A$304,0)),IFERROR(INDEX(ERSS_Pit_Register!$AT$5:$AT$304,MATCH($B32,ERSS_Pit_Register!$A$5:$A$304,0)),IFERROR(INDEX(Linkway_Register!$AV$5:$AV$304,MATCH($B32,Linkway_Register!$A$5:$A$304,0)),IFERROR(INDEX(Other_Register!$AF$5:$AF$304,MATCH($B32,Other_Register!$A$5:$A$304,0)),0)))))))))</f>
        <v/>
      </c>
      <c r="O32" s="20" t="str">
        <f aca="false">IF(OR($B32="",$D32=""),"",$D32*N(IFERROR(INDEX(Drain_Register!$AW$5:$AW$304,MATCH($B32,Drain_Register!$A$5:$A$304,0)),IFERROR(INDEX(RW_Register!$BC$5:$BC$304,MATCH($B32,RW_Register!$A$5:$A$304,0)),IFERROR(INDEX(Embedded_Wall_Register!$BA$5:$BA$304,MATCH($B32,Embedded_Wall_Register!$A$5:$A$304,0)),IFERROR(INDEX(Manhole_Register!$BA$5:$BA$304,MATCH($B32,Manhole_Register!$A$5:$A$304,0)),IFERROR(INDEX(ERSS_Pit_Register!$AU$5:$AU$304,MATCH($B32,ERSS_Pit_Register!$A$5:$A$304,0)),IFERROR(INDEX(Linkway_Register!$AW$5:$AW$304,MATCH($B32,Linkway_Register!$A$5:$A$304,0)),IFERROR(INDEX(Other_Register!$AG$5:$AG$304,MATCH($B32,Other_Register!$A$5:$A$304,0)),0))))))))/1000)</f>
        <v/>
      </c>
      <c r="P32" s="20" t="str">
        <f aca="false">IF(OR($B32="",$D32=""),"",$D32*N(IFERROR(INDEX(Drain_Register!$AX$5:$AX$304,MATCH($B32,Drain_Register!$A$5:$A$304,0)),IFERROR(INDEX(RW_Register!$BD$5:$BD$304,MATCH($B32,RW_Register!$A$5:$A$304,0)),IFERROR(INDEX(Embedded_Wall_Register!$BB$5:$BB$304,MATCH($B32,Embedded_Wall_Register!$A$5:$A$304,0)),IFERROR(INDEX(Manhole_Register!$BB$5:$BB$304,MATCH($B32,Manhole_Register!$A$5:$A$304,0)),IFERROR(INDEX(ERSS_Pit_Register!$AV$5:$AV$304,MATCH($B32,ERSS_Pit_Register!$A$5:$A$304,0)),IFERROR(INDEX(Linkway_Register!$AX$5:$AX$304,MATCH($B32,Linkway_Register!$A$5:$A$304,0)),IFERROR(INDEX(Other_Register!$AH$5:$AH$304,MATCH($B32,Other_Register!$A$5:$A$304,0)),0))))))))/1000)</f>
        <v/>
      </c>
      <c r="Q32" s="19" t="str">
        <f aca="false">IF(OR($B32="",$D32=""),"",$D32*N(IFERROR(INDEX(Drain_Register!$AY$5:$AY$304,MATCH($B32,Drain_Register!$A$5:$A$304,0)),IFERROR(INDEX(RW_Register!$BE$5:$BE$304,MATCH($B32,RW_Register!$A$5:$A$304,0)),IFERROR(INDEX(Embedded_Wall_Register!$BC$5:$BC$304,MATCH($B32,Embedded_Wall_Register!$A$5:$A$304,0)),IFERROR(INDEX(Manhole_Register!$BC$5:$BC$304,MATCH($B32,Manhole_Register!$A$5:$A$304,0)),IFERROR(INDEX(ERSS_Pit_Register!$AW$5:$AW$304,MATCH($B32,ERSS_Pit_Register!$A$5:$A$304,0)),IFERROR(INDEX(Linkway_Register!$AY$5:$AY$304,MATCH($B32,Linkway_Register!$A$5:$A$304,0)),IFERROR(INDEX(Other_Register!$AI$5:$AI$304,MATCH($B32,Other_Register!$A$5:$A$304,0)),0)))))))))</f>
        <v/>
      </c>
      <c r="R32" s="19" t="str">
        <f aca="false">IF(OR($B32="",$D32=""),"",$D32*N(IFERROR(INDEX(Drain_Register!$AZ$5:$AZ$304,MATCH($B32,Drain_Register!$A$5:$A$304,0)),IFERROR(INDEX(RW_Register!$BF$5:$BF$304,MATCH($B32,RW_Register!$A$5:$A$304,0)),IFERROR(INDEX(Embedded_Wall_Register!$BD$5:$BD$304,MATCH($B32,Embedded_Wall_Register!$A$5:$A$304,0)),IFERROR(INDEX(Manhole_Register!$BD$5:$BD$304,MATCH($B32,Manhole_Register!$A$5:$A$304,0)),IFERROR(INDEX(ERSS_Pit_Register!$AX$5:$AX$304,MATCH($B32,ERSS_Pit_Register!$A$5:$A$304,0)),IFERROR(INDEX(Linkway_Register!$AZ$5:$AZ$304,MATCH($B32,Linkway_Register!$A$5:$A$304,0)),IFERROR(INDEX(Other_Register!$AJ$5:$AJ$304,MATCH($B32,Other_Register!$A$5:$A$304,0)),0)))))))))</f>
        <v/>
      </c>
      <c r="S32" s="10" t="str">
        <f aca="false">IF($B32="","",IF(G32="","ID not found",IF(J32&lt;&gt;"Approved","WARNING: status is "&amp;J32,IF(IFERROR(INDEX(Drain_Register!$CA$5:$CA$304,MATCH($B32,Drain_Register!$A$5:$A$304,0)),IFERROR(INDEX(RW_Register!$CF$5:$CF$304,MATCH($B32,RW_Register!$A$5:$A$304,0)),IFERROR(INDEX(Embedded_Wall_Register!$CD$5:$CD$304,MATCH($B32,Embedded_Wall_Register!$A$5:$A$304,0)),IFERROR(INDEX(Manhole_Register!$CC$5:$CC$304,MATCH($B32,Manhole_Register!$A$5:$A$304,0)),IFERROR(INDEX(ERSS_Pit_Register!$BX$5:$BX$304,MATCH($B32,ERSS_Pit_Register!$A$5:$A$304,0)),IFERROR(INDEX(Linkway_Register!$BY$5:$BY$304,MATCH($B32,Linkway_Register!$A$5:$A$304,0)),IFERROR(INDEX(Other_Register!$BI$5:$BI$304,MATCH($B32,Other_Register!$A$5:$A$304,0)),"")))))))="N","WARNING: fails SG compliance check",IF(D32="","Enter length / qty",IF(E32="","Enter CAD sheet no.","OK"))))))</f>
        <v/>
      </c>
    </row>
    <row r="33" customFormat="false" ht="15" hidden="false" customHeight="false" outlineLevel="0" collapsed="false">
      <c r="A33" s="9"/>
      <c r="B33" s="9"/>
      <c r="C33" s="9"/>
      <c r="D33" s="9"/>
      <c r="E33" s="9"/>
      <c r="F33" s="10" t="str">
        <f aca="false">IF($B33="","",IFERROR(INDEX(Drain_Register!$AU$5:$AU$304,MATCH($B33,Drain_Register!$A$5:$A$304,0)),IFERROR(INDEX(RW_Register!$BA$5:$BA$304,MATCH($B33,RW_Register!$A$5:$A$304,0)),IFERROR(INDEX(Embedded_Wall_Register!$AY$5:$AY$304,MATCH($B33,Embedded_Wall_Register!$A$5:$A$304,0)),IFERROR(INDEX(Manhole_Register!$AY$5:$AY$304,MATCH($B33,Manhole_Register!$A$5:$A$304,0)),IFERROR(INDEX(ERSS_Pit_Register!$AS$5:$AS$304,MATCH($B33,ERSS_Pit_Register!$A$5:$A$304,0)),IFERROR(INDEX(Linkway_Register!$AU$5:$AU$304,MATCH($B33,Linkway_Register!$A$5:$A$304,0)),IFERROR(INDEX(Other_Register!$AE$5:$AE$304,MATCH($B33,Other_Register!$A$5:$A$304,0)),""))))))))</f>
        <v/>
      </c>
      <c r="G33" s="10" t="str">
        <f aca="false">IF($B33="","",IF(ISNUMBER(MATCH($B33,Drain_Register!$A$5:$A$304,0)),"Drain",IF(ISNUMBER(MATCH($B33,RW_Register!$A$5:$A$304,0)),"Ret. Wall",IF(ISNUMBER(MATCH($B33,Embedded_Wall_Register!$A$5:$A$304,0)),"Embedded Wall",IF(ISNUMBER(MATCH($B33,Manhole_Register!$A$5:$A$304,0)),"Manhole",IF(ISNUMBER(MATCH($B33,ERSS_Pit_Register!$A$5:$A$304,0)),"ERSS Pit",IF(ISNUMBER(MATCH($B33,Linkway_Register!$A$5:$A$304,0)),"Linkway",IF(ISNUMBER(MATCH($B33,Other_Register!$A$5:$A$304,0)),"Others",""))))))))</f>
        <v/>
      </c>
      <c r="H33" s="10" t="str">
        <f aca="false">IF($B33="","",IFERROR(INDEX(Drain_Register!$B$5:$B$304,MATCH($B33,Drain_Register!$A$5:$A$304,0)),IFERROR(INDEX(RW_Register!$B$5:$B$304,MATCH($B33,RW_Register!$A$5:$A$304,0)),IFERROR(INDEX(Embedded_Wall_Register!$B$5:$B$304,MATCH($B33,Embedded_Wall_Register!$A$5:$A$304,0)),IFERROR(INDEX(Manhole_Register!$B$5:$B$304,MATCH($B33,Manhole_Register!$A$5:$A$304,0)),IFERROR(INDEX(ERSS_Pit_Register!$B$5:$B$304,MATCH($B33,ERSS_Pit_Register!$A$5:$A$304,0)),IFERROR(INDEX(Linkway_Register!$B$5:$B$304,MATCH($B33,Linkway_Register!$A$5:$A$304,0)),IFERROR(INDEX(Other_Register!$B$5:$B$304,MATCH($B33,Other_Register!$A$5:$A$304,0)),"ID not found - check spelling"))))))))</f>
        <v/>
      </c>
      <c r="I33" s="10" t="str">
        <f aca="false">IF($B33="","",IFERROR(INDEX(Drain_Register!$AI$5:$AI$304,MATCH($B33,Drain_Register!$A$5:$A$304,0)),IFERROR(INDEX(RW_Register!$AO$5:$AO$304,MATCH($B33,RW_Register!$A$5:$A$304,0)),IFERROR(INDEX(Embedded_Wall_Register!$AM$5:$AM$304,MATCH($B33,Embedded_Wall_Register!$A$5:$A$304,0)),IFERROR(INDEX(Manhole_Register!$AM$5:$AM$304,MATCH($B33,Manhole_Register!$A$5:$A$304,0)),IFERROR(INDEX(ERSS_Pit_Register!$AG$5:$AG$304,MATCH($B33,ERSS_Pit_Register!$A$5:$A$304,0)),IFERROR(INDEX(Linkway_Register!$AI$5:$AI$304,MATCH($B33,Linkway_Register!$A$5:$A$304,0)),IFERROR(INDEX(Other_Register!$S$5:$S$304,MATCH($B33,Other_Register!$A$5:$A$304,0)),""))))))))</f>
        <v/>
      </c>
      <c r="J33" s="10" t="str">
        <f aca="false">IF($B33="","",IFERROR(INDEX(Drain_Register!$AJ$5:$AJ$304,MATCH($B33,Drain_Register!$A$5:$A$304,0)),IFERROR(INDEX(RW_Register!$AP$5:$AP$304,MATCH($B33,RW_Register!$A$5:$A$304,0)),IFERROR(INDEX(Embedded_Wall_Register!$AN$5:$AN$304,MATCH($B33,Embedded_Wall_Register!$A$5:$A$304,0)),IFERROR(INDEX(Manhole_Register!$AN$5:$AN$304,MATCH($B33,Manhole_Register!$A$5:$A$304,0)),IFERROR(INDEX(ERSS_Pit_Register!$AH$5:$AH$304,MATCH($B33,ERSS_Pit_Register!$A$5:$A$304,0)),IFERROR(INDEX(Linkway_Register!$AJ$5:$AJ$304,MATCH($B33,Linkway_Register!$A$5:$A$304,0)),IFERROR(INDEX(Other_Register!$T$5:$T$304,MATCH($B33,Other_Register!$A$5:$A$304,0)),""))))))))</f>
        <v/>
      </c>
      <c r="K33" s="10" t="str">
        <f aca="false">IF($B33="","",IFERROR(INDEX(Drain_Register!$AK$5:$AK$304,MATCH($B33,Drain_Register!$A$5:$A$304,0)),IFERROR(INDEX(RW_Register!$AQ$5:$AQ$304,MATCH($B33,RW_Register!$A$5:$A$304,0)),IFERROR(INDEX(Embedded_Wall_Register!$AO$5:$AO$304,MATCH($B33,Embedded_Wall_Register!$A$5:$A$304,0)),IFERROR(INDEX(Manhole_Register!$AO$5:$AO$304,MATCH($B33,Manhole_Register!$A$5:$A$304,0)),IFERROR(INDEX(ERSS_Pit_Register!$AI$5:$AI$304,MATCH($B33,ERSS_Pit_Register!$A$5:$A$304,0)),IFERROR(INDEX(Linkway_Register!$AK$5:$AK$304,MATCH($B33,Linkway_Register!$A$5:$A$304,0)),IFERROR(INDEX(Other_Register!$U$5:$U$304,MATCH($B33,Other_Register!$A$5:$A$304,0)),""))))))))</f>
        <v/>
      </c>
      <c r="L33" s="10" t="str">
        <f aca="false">IF($B33="","",IFERROR(INDEX(Drain_Register!$AL$5:$AL$304,MATCH($B33,Drain_Register!$A$5:$A$304,0)),IFERROR(INDEX(RW_Register!$AR$5:$AR$304,MATCH($B33,RW_Register!$A$5:$A$304,0)),IFERROR(INDEX(Embedded_Wall_Register!$AP$5:$AP$304,MATCH($B33,Embedded_Wall_Register!$A$5:$A$304,0)),IFERROR(INDEX(Manhole_Register!$AP$5:$AP$304,MATCH($B33,Manhole_Register!$A$5:$A$304,0)),IFERROR(INDEX(ERSS_Pit_Register!$AJ$5:$AJ$304,MATCH($B33,ERSS_Pit_Register!$A$5:$A$304,0)),IFERROR(INDEX(Linkway_Register!$AL$5:$AL$304,MATCH($B33,Linkway_Register!$A$5:$A$304,0)),IFERROR(INDEX(Other_Register!$V$5:$V$304,MATCH($B33,Other_Register!$A$5:$A$304,0)),""))))))))</f>
        <v/>
      </c>
      <c r="M33" s="10" t="str">
        <f aca="false">IF($B33="","",IFERROR(INDEX(Drain_Register!$AN$5:$AN$304,MATCH($B33,Drain_Register!$A$5:$A$304,0)),IFERROR(INDEX(RW_Register!$AT$5:$AT$304,MATCH($B33,RW_Register!$A$5:$A$304,0)),IFERROR(INDEX(Embedded_Wall_Register!$AR$5:$AR$304,MATCH($B33,Embedded_Wall_Register!$A$5:$A$304,0)),IFERROR(INDEX(Manhole_Register!$AR$5:$AR$304,MATCH($B33,Manhole_Register!$A$5:$A$304,0)),IFERROR(INDEX(ERSS_Pit_Register!$AL$5:$AL$304,MATCH($B33,ERSS_Pit_Register!$A$5:$A$304,0)),IFERROR(INDEX(Linkway_Register!$AN$5:$AN$304,MATCH($B33,Linkway_Register!$A$5:$A$304,0)),IFERROR(INDEX(Other_Register!$X$5:$X$304,MATCH($B33,Other_Register!$A$5:$A$304,0)),"")))))))&amp;IFERROR(INDEX(Drain_Register!$AO$5:$AO$304,MATCH($B33,Drain_Register!$A$5:$A$304,0)),IFERROR(INDEX(RW_Register!$AU$5:$AU$304,MATCH($B33,RW_Register!$A$5:$A$304,0)),IFERROR(INDEX(Embedded_Wall_Register!$AS$5:$AS$304,MATCH($B33,Embedded_Wall_Register!$A$5:$A$304,0)),IFERROR(INDEX(Manhole_Register!$AS$5:$AS$304,MATCH($B33,Manhole_Register!$A$5:$A$304,0)),IFERROR(INDEX(ERSS_Pit_Register!$AM$5:$AM$304,MATCH($B33,ERSS_Pit_Register!$A$5:$A$304,0)),IFERROR(INDEX(Linkway_Register!$AO$5:$AO$304,MATCH($B33,Linkway_Register!$A$5:$A$304,0)),IFERROR(INDEX(Other_Register!$Y$5:$Y$304,MATCH($B33,Other_Register!$A$5:$A$304,0)),""))))))))</f>
        <v/>
      </c>
      <c r="N33" s="19" t="str">
        <f aca="false">IF(OR($B33="",$D33=""),"",$D33*N(IFERROR(INDEX(Drain_Register!$AV$5:$AV$304,MATCH($B33,Drain_Register!$A$5:$A$304,0)),IFERROR(INDEX(RW_Register!$BB$5:$BB$304,MATCH($B33,RW_Register!$A$5:$A$304,0)),IFERROR(INDEX(Embedded_Wall_Register!$AZ$5:$AZ$304,MATCH($B33,Embedded_Wall_Register!$A$5:$A$304,0)),IFERROR(INDEX(Manhole_Register!$AZ$5:$AZ$304,MATCH($B33,Manhole_Register!$A$5:$A$304,0)),IFERROR(INDEX(ERSS_Pit_Register!$AT$5:$AT$304,MATCH($B33,ERSS_Pit_Register!$A$5:$A$304,0)),IFERROR(INDEX(Linkway_Register!$AV$5:$AV$304,MATCH($B33,Linkway_Register!$A$5:$A$304,0)),IFERROR(INDEX(Other_Register!$AF$5:$AF$304,MATCH($B33,Other_Register!$A$5:$A$304,0)),0)))))))))</f>
        <v/>
      </c>
      <c r="O33" s="20" t="str">
        <f aca="false">IF(OR($B33="",$D33=""),"",$D33*N(IFERROR(INDEX(Drain_Register!$AW$5:$AW$304,MATCH($B33,Drain_Register!$A$5:$A$304,0)),IFERROR(INDEX(RW_Register!$BC$5:$BC$304,MATCH($B33,RW_Register!$A$5:$A$304,0)),IFERROR(INDEX(Embedded_Wall_Register!$BA$5:$BA$304,MATCH($B33,Embedded_Wall_Register!$A$5:$A$304,0)),IFERROR(INDEX(Manhole_Register!$BA$5:$BA$304,MATCH($B33,Manhole_Register!$A$5:$A$304,0)),IFERROR(INDEX(ERSS_Pit_Register!$AU$5:$AU$304,MATCH($B33,ERSS_Pit_Register!$A$5:$A$304,0)),IFERROR(INDEX(Linkway_Register!$AW$5:$AW$304,MATCH($B33,Linkway_Register!$A$5:$A$304,0)),IFERROR(INDEX(Other_Register!$AG$5:$AG$304,MATCH($B33,Other_Register!$A$5:$A$304,0)),0))))))))/1000)</f>
        <v/>
      </c>
      <c r="P33" s="20" t="str">
        <f aca="false">IF(OR($B33="",$D33=""),"",$D33*N(IFERROR(INDEX(Drain_Register!$AX$5:$AX$304,MATCH($B33,Drain_Register!$A$5:$A$304,0)),IFERROR(INDEX(RW_Register!$BD$5:$BD$304,MATCH($B33,RW_Register!$A$5:$A$304,0)),IFERROR(INDEX(Embedded_Wall_Register!$BB$5:$BB$304,MATCH($B33,Embedded_Wall_Register!$A$5:$A$304,0)),IFERROR(INDEX(Manhole_Register!$BB$5:$BB$304,MATCH($B33,Manhole_Register!$A$5:$A$304,0)),IFERROR(INDEX(ERSS_Pit_Register!$AV$5:$AV$304,MATCH($B33,ERSS_Pit_Register!$A$5:$A$304,0)),IFERROR(INDEX(Linkway_Register!$AX$5:$AX$304,MATCH($B33,Linkway_Register!$A$5:$A$304,0)),IFERROR(INDEX(Other_Register!$AH$5:$AH$304,MATCH($B33,Other_Register!$A$5:$A$304,0)),0))))))))/1000)</f>
        <v/>
      </c>
      <c r="Q33" s="19" t="str">
        <f aca="false">IF(OR($B33="",$D33=""),"",$D33*N(IFERROR(INDEX(Drain_Register!$AY$5:$AY$304,MATCH($B33,Drain_Register!$A$5:$A$304,0)),IFERROR(INDEX(RW_Register!$BE$5:$BE$304,MATCH($B33,RW_Register!$A$5:$A$304,0)),IFERROR(INDEX(Embedded_Wall_Register!$BC$5:$BC$304,MATCH($B33,Embedded_Wall_Register!$A$5:$A$304,0)),IFERROR(INDEX(Manhole_Register!$BC$5:$BC$304,MATCH($B33,Manhole_Register!$A$5:$A$304,0)),IFERROR(INDEX(ERSS_Pit_Register!$AW$5:$AW$304,MATCH($B33,ERSS_Pit_Register!$A$5:$A$304,0)),IFERROR(INDEX(Linkway_Register!$AY$5:$AY$304,MATCH($B33,Linkway_Register!$A$5:$A$304,0)),IFERROR(INDEX(Other_Register!$AI$5:$AI$304,MATCH($B33,Other_Register!$A$5:$A$304,0)),0)))))))))</f>
        <v/>
      </c>
      <c r="R33" s="19" t="str">
        <f aca="false">IF(OR($B33="",$D33=""),"",$D33*N(IFERROR(INDEX(Drain_Register!$AZ$5:$AZ$304,MATCH($B33,Drain_Register!$A$5:$A$304,0)),IFERROR(INDEX(RW_Register!$BF$5:$BF$304,MATCH($B33,RW_Register!$A$5:$A$304,0)),IFERROR(INDEX(Embedded_Wall_Register!$BD$5:$BD$304,MATCH($B33,Embedded_Wall_Register!$A$5:$A$304,0)),IFERROR(INDEX(Manhole_Register!$BD$5:$BD$304,MATCH($B33,Manhole_Register!$A$5:$A$304,0)),IFERROR(INDEX(ERSS_Pit_Register!$AX$5:$AX$304,MATCH($B33,ERSS_Pit_Register!$A$5:$A$304,0)),IFERROR(INDEX(Linkway_Register!$AZ$5:$AZ$304,MATCH($B33,Linkway_Register!$A$5:$A$304,0)),IFERROR(INDEX(Other_Register!$AJ$5:$AJ$304,MATCH($B33,Other_Register!$A$5:$A$304,0)),0)))))))))</f>
        <v/>
      </c>
      <c r="S33" s="10" t="str">
        <f aca="false">IF($B33="","",IF(G33="","ID not found",IF(J33&lt;&gt;"Approved","WARNING: status is "&amp;J33,IF(IFERROR(INDEX(Drain_Register!$CA$5:$CA$304,MATCH($B33,Drain_Register!$A$5:$A$304,0)),IFERROR(INDEX(RW_Register!$CF$5:$CF$304,MATCH($B33,RW_Register!$A$5:$A$304,0)),IFERROR(INDEX(Embedded_Wall_Register!$CD$5:$CD$304,MATCH($B33,Embedded_Wall_Register!$A$5:$A$304,0)),IFERROR(INDEX(Manhole_Register!$CC$5:$CC$304,MATCH($B33,Manhole_Register!$A$5:$A$304,0)),IFERROR(INDEX(ERSS_Pit_Register!$BX$5:$BX$304,MATCH($B33,ERSS_Pit_Register!$A$5:$A$304,0)),IFERROR(INDEX(Linkway_Register!$BY$5:$BY$304,MATCH($B33,Linkway_Register!$A$5:$A$304,0)),IFERROR(INDEX(Other_Register!$BI$5:$BI$304,MATCH($B33,Other_Register!$A$5:$A$304,0)),"")))))))="N","WARNING: fails SG compliance check",IF(D33="","Enter length / qty",IF(E33="","Enter CAD sheet no.","OK"))))))</f>
        <v/>
      </c>
    </row>
    <row r="34" customFormat="false" ht="15" hidden="false" customHeight="false" outlineLevel="0" collapsed="false">
      <c r="A34" s="9"/>
      <c r="B34" s="9"/>
      <c r="C34" s="9"/>
      <c r="D34" s="9"/>
      <c r="E34" s="9"/>
      <c r="F34" s="10" t="str">
        <f aca="false">IF($B34="","",IFERROR(INDEX(Drain_Register!$AU$5:$AU$304,MATCH($B34,Drain_Register!$A$5:$A$304,0)),IFERROR(INDEX(RW_Register!$BA$5:$BA$304,MATCH($B34,RW_Register!$A$5:$A$304,0)),IFERROR(INDEX(Embedded_Wall_Register!$AY$5:$AY$304,MATCH($B34,Embedded_Wall_Register!$A$5:$A$304,0)),IFERROR(INDEX(Manhole_Register!$AY$5:$AY$304,MATCH($B34,Manhole_Register!$A$5:$A$304,0)),IFERROR(INDEX(ERSS_Pit_Register!$AS$5:$AS$304,MATCH($B34,ERSS_Pit_Register!$A$5:$A$304,0)),IFERROR(INDEX(Linkway_Register!$AU$5:$AU$304,MATCH($B34,Linkway_Register!$A$5:$A$304,0)),IFERROR(INDEX(Other_Register!$AE$5:$AE$304,MATCH($B34,Other_Register!$A$5:$A$304,0)),""))))))))</f>
        <v/>
      </c>
      <c r="G34" s="10" t="str">
        <f aca="false">IF($B34="","",IF(ISNUMBER(MATCH($B34,Drain_Register!$A$5:$A$304,0)),"Drain",IF(ISNUMBER(MATCH($B34,RW_Register!$A$5:$A$304,0)),"Ret. Wall",IF(ISNUMBER(MATCH($B34,Embedded_Wall_Register!$A$5:$A$304,0)),"Embedded Wall",IF(ISNUMBER(MATCH($B34,Manhole_Register!$A$5:$A$304,0)),"Manhole",IF(ISNUMBER(MATCH($B34,ERSS_Pit_Register!$A$5:$A$304,0)),"ERSS Pit",IF(ISNUMBER(MATCH($B34,Linkway_Register!$A$5:$A$304,0)),"Linkway",IF(ISNUMBER(MATCH($B34,Other_Register!$A$5:$A$304,0)),"Others",""))))))))</f>
        <v/>
      </c>
      <c r="H34" s="10" t="str">
        <f aca="false">IF($B34="","",IFERROR(INDEX(Drain_Register!$B$5:$B$304,MATCH($B34,Drain_Register!$A$5:$A$304,0)),IFERROR(INDEX(RW_Register!$B$5:$B$304,MATCH($B34,RW_Register!$A$5:$A$304,0)),IFERROR(INDEX(Embedded_Wall_Register!$B$5:$B$304,MATCH($B34,Embedded_Wall_Register!$A$5:$A$304,0)),IFERROR(INDEX(Manhole_Register!$B$5:$B$304,MATCH($B34,Manhole_Register!$A$5:$A$304,0)),IFERROR(INDEX(ERSS_Pit_Register!$B$5:$B$304,MATCH($B34,ERSS_Pit_Register!$A$5:$A$304,0)),IFERROR(INDEX(Linkway_Register!$B$5:$B$304,MATCH($B34,Linkway_Register!$A$5:$A$304,0)),IFERROR(INDEX(Other_Register!$B$5:$B$304,MATCH($B34,Other_Register!$A$5:$A$304,0)),"ID not found - check spelling"))))))))</f>
        <v/>
      </c>
      <c r="I34" s="10" t="str">
        <f aca="false">IF($B34="","",IFERROR(INDEX(Drain_Register!$AI$5:$AI$304,MATCH($B34,Drain_Register!$A$5:$A$304,0)),IFERROR(INDEX(RW_Register!$AO$5:$AO$304,MATCH($B34,RW_Register!$A$5:$A$304,0)),IFERROR(INDEX(Embedded_Wall_Register!$AM$5:$AM$304,MATCH($B34,Embedded_Wall_Register!$A$5:$A$304,0)),IFERROR(INDEX(Manhole_Register!$AM$5:$AM$304,MATCH($B34,Manhole_Register!$A$5:$A$304,0)),IFERROR(INDEX(ERSS_Pit_Register!$AG$5:$AG$304,MATCH($B34,ERSS_Pit_Register!$A$5:$A$304,0)),IFERROR(INDEX(Linkway_Register!$AI$5:$AI$304,MATCH($B34,Linkway_Register!$A$5:$A$304,0)),IFERROR(INDEX(Other_Register!$S$5:$S$304,MATCH($B34,Other_Register!$A$5:$A$304,0)),""))))))))</f>
        <v/>
      </c>
      <c r="J34" s="10" t="str">
        <f aca="false">IF($B34="","",IFERROR(INDEX(Drain_Register!$AJ$5:$AJ$304,MATCH($B34,Drain_Register!$A$5:$A$304,0)),IFERROR(INDEX(RW_Register!$AP$5:$AP$304,MATCH($B34,RW_Register!$A$5:$A$304,0)),IFERROR(INDEX(Embedded_Wall_Register!$AN$5:$AN$304,MATCH($B34,Embedded_Wall_Register!$A$5:$A$304,0)),IFERROR(INDEX(Manhole_Register!$AN$5:$AN$304,MATCH($B34,Manhole_Register!$A$5:$A$304,0)),IFERROR(INDEX(ERSS_Pit_Register!$AH$5:$AH$304,MATCH($B34,ERSS_Pit_Register!$A$5:$A$304,0)),IFERROR(INDEX(Linkway_Register!$AJ$5:$AJ$304,MATCH($B34,Linkway_Register!$A$5:$A$304,0)),IFERROR(INDEX(Other_Register!$T$5:$T$304,MATCH($B34,Other_Register!$A$5:$A$304,0)),""))))))))</f>
        <v/>
      </c>
      <c r="K34" s="10" t="str">
        <f aca="false">IF($B34="","",IFERROR(INDEX(Drain_Register!$AK$5:$AK$304,MATCH($B34,Drain_Register!$A$5:$A$304,0)),IFERROR(INDEX(RW_Register!$AQ$5:$AQ$304,MATCH($B34,RW_Register!$A$5:$A$304,0)),IFERROR(INDEX(Embedded_Wall_Register!$AO$5:$AO$304,MATCH($B34,Embedded_Wall_Register!$A$5:$A$304,0)),IFERROR(INDEX(Manhole_Register!$AO$5:$AO$304,MATCH($B34,Manhole_Register!$A$5:$A$304,0)),IFERROR(INDEX(ERSS_Pit_Register!$AI$5:$AI$304,MATCH($B34,ERSS_Pit_Register!$A$5:$A$304,0)),IFERROR(INDEX(Linkway_Register!$AK$5:$AK$304,MATCH($B34,Linkway_Register!$A$5:$A$304,0)),IFERROR(INDEX(Other_Register!$U$5:$U$304,MATCH($B34,Other_Register!$A$5:$A$304,0)),""))))))))</f>
        <v/>
      </c>
      <c r="L34" s="10" t="str">
        <f aca="false">IF($B34="","",IFERROR(INDEX(Drain_Register!$AL$5:$AL$304,MATCH($B34,Drain_Register!$A$5:$A$304,0)),IFERROR(INDEX(RW_Register!$AR$5:$AR$304,MATCH($B34,RW_Register!$A$5:$A$304,0)),IFERROR(INDEX(Embedded_Wall_Register!$AP$5:$AP$304,MATCH($B34,Embedded_Wall_Register!$A$5:$A$304,0)),IFERROR(INDEX(Manhole_Register!$AP$5:$AP$304,MATCH($B34,Manhole_Register!$A$5:$A$304,0)),IFERROR(INDEX(ERSS_Pit_Register!$AJ$5:$AJ$304,MATCH($B34,ERSS_Pit_Register!$A$5:$A$304,0)),IFERROR(INDEX(Linkway_Register!$AL$5:$AL$304,MATCH($B34,Linkway_Register!$A$5:$A$304,0)),IFERROR(INDEX(Other_Register!$V$5:$V$304,MATCH($B34,Other_Register!$A$5:$A$304,0)),""))))))))</f>
        <v/>
      </c>
      <c r="M34" s="10" t="str">
        <f aca="false">IF($B34="","",IFERROR(INDEX(Drain_Register!$AN$5:$AN$304,MATCH($B34,Drain_Register!$A$5:$A$304,0)),IFERROR(INDEX(RW_Register!$AT$5:$AT$304,MATCH($B34,RW_Register!$A$5:$A$304,0)),IFERROR(INDEX(Embedded_Wall_Register!$AR$5:$AR$304,MATCH($B34,Embedded_Wall_Register!$A$5:$A$304,0)),IFERROR(INDEX(Manhole_Register!$AR$5:$AR$304,MATCH($B34,Manhole_Register!$A$5:$A$304,0)),IFERROR(INDEX(ERSS_Pit_Register!$AL$5:$AL$304,MATCH($B34,ERSS_Pit_Register!$A$5:$A$304,0)),IFERROR(INDEX(Linkway_Register!$AN$5:$AN$304,MATCH($B34,Linkway_Register!$A$5:$A$304,0)),IFERROR(INDEX(Other_Register!$X$5:$X$304,MATCH($B34,Other_Register!$A$5:$A$304,0)),"")))))))&amp;IFERROR(INDEX(Drain_Register!$AO$5:$AO$304,MATCH($B34,Drain_Register!$A$5:$A$304,0)),IFERROR(INDEX(RW_Register!$AU$5:$AU$304,MATCH($B34,RW_Register!$A$5:$A$304,0)),IFERROR(INDEX(Embedded_Wall_Register!$AS$5:$AS$304,MATCH($B34,Embedded_Wall_Register!$A$5:$A$304,0)),IFERROR(INDEX(Manhole_Register!$AS$5:$AS$304,MATCH($B34,Manhole_Register!$A$5:$A$304,0)),IFERROR(INDEX(ERSS_Pit_Register!$AM$5:$AM$304,MATCH($B34,ERSS_Pit_Register!$A$5:$A$304,0)),IFERROR(INDEX(Linkway_Register!$AO$5:$AO$304,MATCH($B34,Linkway_Register!$A$5:$A$304,0)),IFERROR(INDEX(Other_Register!$Y$5:$Y$304,MATCH($B34,Other_Register!$A$5:$A$304,0)),""))))))))</f>
        <v/>
      </c>
      <c r="N34" s="19" t="str">
        <f aca="false">IF(OR($B34="",$D34=""),"",$D34*N(IFERROR(INDEX(Drain_Register!$AV$5:$AV$304,MATCH($B34,Drain_Register!$A$5:$A$304,0)),IFERROR(INDEX(RW_Register!$BB$5:$BB$304,MATCH($B34,RW_Register!$A$5:$A$304,0)),IFERROR(INDEX(Embedded_Wall_Register!$AZ$5:$AZ$304,MATCH($B34,Embedded_Wall_Register!$A$5:$A$304,0)),IFERROR(INDEX(Manhole_Register!$AZ$5:$AZ$304,MATCH($B34,Manhole_Register!$A$5:$A$304,0)),IFERROR(INDEX(ERSS_Pit_Register!$AT$5:$AT$304,MATCH($B34,ERSS_Pit_Register!$A$5:$A$304,0)),IFERROR(INDEX(Linkway_Register!$AV$5:$AV$304,MATCH($B34,Linkway_Register!$A$5:$A$304,0)),IFERROR(INDEX(Other_Register!$AF$5:$AF$304,MATCH($B34,Other_Register!$A$5:$A$304,0)),0)))))))))</f>
        <v/>
      </c>
      <c r="O34" s="20" t="str">
        <f aca="false">IF(OR($B34="",$D34=""),"",$D34*N(IFERROR(INDEX(Drain_Register!$AW$5:$AW$304,MATCH($B34,Drain_Register!$A$5:$A$304,0)),IFERROR(INDEX(RW_Register!$BC$5:$BC$304,MATCH($B34,RW_Register!$A$5:$A$304,0)),IFERROR(INDEX(Embedded_Wall_Register!$BA$5:$BA$304,MATCH($B34,Embedded_Wall_Register!$A$5:$A$304,0)),IFERROR(INDEX(Manhole_Register!$BA$5:$BA$304,MATCH($B34,Manhole_Register!$A$5:$A$304,0)),IFERROR(INDEX(ERSS_Pit_Register!$AU$5:$AU$304,MATCH($B34,ERSS_Pit_Register!$A$5:$A$304,0)),IFERROR(INDEX(Linkway_Register!$AW$5:$AW$304,MATCH($B34,Linkway_Register!$A$5:$A$304,0)),IFERROR(INDEX(Other_Register!$AG$5:$AG$304,MATCH($B34,Other_Register!$A$5:$A$304,0)),0))))))))/1000)</f>
        <v/>
      </c>
      <c r="P34" s="20" t="str">
        <f aca="false">IF(OR($B34="",$D34=""),"",$D34*N(IFERROR(INDEX(Drain_Register!$AX$5:$AX$304,MATCH($B34,Drain_Register!$A$5:$A$304,0)),IFERROR(INDEX(RW_Register!$BD$5:$BD$304,MATCH($B34,RW_Register!$A$5:$A$304,0)),IFERROR(INDEX(Embedded_Wall_Register!$BB$5:$BB$304,MATCH($B34,Embedded_Wall_Register!$A$5:$A$304,0)),IFERROR(INDEX(Manhole_Register!$BB$5:$BB$304,MATCH($B34,Manhole_Register!$A$5:$A$304,0)),IFERROR(INDEX(ERSS_Pit_Register!$AV$5:$AV$304,MATCH($B34,ERSS_Pit_Register!$A$5:$A$304,0)),IFERROR(INDEX(Linkway_Register!$AX$5:$AX$304,MATCH($B34,Linkway_Register!$A$5:$A$304,0)),IFERROR(INDEX(Other_Register!$AH$5:$AH$304,MATCH($B34,Other_Register!$A$5:$A$304,0)),0))))))))/1000)</f>
        <v/>
      </c>
      <c r="Q34" s="19" t="str">
        <f aca="false">IF(OR($B34="",$D34=""),"",$D34*N(IFERROR(INDEX(Drain_Register!$AY$5:$AY$304,MATCH($B34,Drain_Register!$A$5:$A$304,0)),IFERROR(INDEX(RW_Register!$BE$5:$BE$304,MATCH($B34,RW_Register!$A$5:$A$304,0)),IFERROR(INDEX(Embedded_Wall_Register!$BC$5:$BC$304,MATCH($B34,Embedded_Wall_Register!$A$5:$A$304,0)),IFERROR(INDEX(Manhole_Register!$BC$5:$BC$304,MATCH($B34,Manhole_Register!$A$5:$A$304,0)),IFERROR(INDEX(ERSS_Pit_Register!$AW$5:$AW$304,MATCH($B34,ERSS_Pit_Register!$A$5:$A$304,0)),IFERROR(INDEX(Linkway_Register!$AY$5:$AY$304,MATCH($B34,Linkway_Register!$A$5:$A$304,0)),IFERROR(INDEX(Other_Register!$AI$5:$AI$304,MATCH($B34,Other_Register!$A$5:$A$304,0)),0)))))))))</f>
        <v/>
      </c>
      <c r="R34" s="19" t="str">
        <f aca="false">IF(OR($B34="",$D34=""),"",$D34*N(IFERROR(INDEX(Drain_Register!$AZ$5:$AZ$304,MATCH($B34,Drain_Register!$A$5:$A$304,0)),IFERROR(INDEX(RW_Register!$BF$5:$BF$304,MATCH($B34,RW_Register!$A$5:$A$304,0)),IFERROR(INDEX(Embedded_Wall_Register!$BD$5:$BD$304,MATCH($B34,Embedded_Wall_Register!$A$5:$A$304,0)),IFERROR(INDEX(Manhole_Register!$BD$5:$BD$304,MATCH($B34,Manhole_Register!$A$5:$A$304,0)),IFERROR(INDEX(ERSS_Pit_Register!$AX$5:$AX$304,MATCH($B34,ERSS_Pit_Register!$A$5:$A$304,0)),IFERROR(INDEX(Linkway_Register!$AZ$5:$AZ$304,MATCH($B34,Linkway_Register!$A$5:$A$304,0)),IFERROR(INDEX(Other_Register!$AJ$5:$AJ$304,MATCH($B34,Other_Register!$A$5:$A$304,0)),0)))))))))</f>
        <v/>
      </c>
      <c r="S34" s="10" t="str">
        <f aca="false">IF($B34="","",IF(G34="","ID not found",IF(J34&lt;&gt;"Approved","WARNING: status is "&amp;J34,IF(IFERROR(INDEX(Drain_Register!$CA$5:$CA$304,MATCH($B34,Drain_Register!$A$5:$A$304,0)),IFERROR(INDEX(RW_Register!$CF$5:$CF$304,MATCH($B34,RW_Register!$A$5:$A$304,0)),IFERROR(INDEX(Embedded_Wall_Register!$CD$5:$CD$304,MATCH($B34,Embedded_Wall_Register!$A$5:$A$304,0)),IFERROR(INDEX(Manhole_Register!$CC$5:$CC$304,MATCH($B34,Manhole_Register!$A$5:$A$304,0)),IFERROR(INDEX(ERSS_Pit_Register!$BX$5:$BX$304,MATCH($B34,ERSS_Pit_Register!$A$5:$A$304,0)),IFERROR(INDEX(Linkway_Register!$BY$5:$BY$304,MATCH($B34,Linkway_Register!$A$5:$A$304,0)),IFERROR(INDEX(Other_Register!$BI$5:$BI$304,MATCH($B34,Other_Register!$A$5:$A$304,0)),"")))))))="N","WARNING: fails SG compliance check",IF(D34="","Enter length / qty",IF(E34="","Enter CAD sheet no.","OK"))))))</f>
        <v/>
      </c>
    </row>
    <row r="35" customFormat="false" ht="15" hidden="false" customHeight="false" outlineLevel="0" collapsed="false">
      <c r="A35" s="9"/>
      <c r="B35" s="9"/>
      <c r="C35" s="9"/>
      <c r="D35" s="9"/>
      <c r="E35" s="9"/>
      <c r="F35" s="10" t="str">
        <f aca="false">IF($B35="","",IFERROR(INDEX(Drain_Register!$AU$5:$AU$304,MATCH($B35,Drain_Register!$A$5:$A$304,0)),IFERROR(INDEX(RW_Register!$BA$5:$BA$304,MATCH($B35,RW_Register!$A$5:$A$304,0)),IFERROR(INDEX(Embedded_Wall_Register!$AY$5:$AY$304,MATCH($B35,Embedded_Wall_Register!$A$5:$A$304,0)),IFERROR(INDEX(Manhole_Register!$AY$5:$AY$304,MATCH($B35,Manhole_Register!$A$5:$A$304,0)),IFERROR(INDEX(ERSS_Pit_Register!$AS$5:$AS$304,MATCH($B35,ERSS_Pit_Register!$A$5:$A$304,0)),IFERROR(INDEX(Linkway_Register!$AU$5:$AU$304,MATCH($B35,Linkway_Register!$A$5:$A$304,0)),IFERROR(INDEX(Other_Register!$AE$5:$AE$304,MATCH($B35,Other_Register!$A$5:$A$304,0)),""))))))))</f>
        <v/>
      </c>
      <c r="G35" s="10" t="str">
        <f aca="false">IF($B35="","",IF(ISNUMBER(MATCH($B35,Drain_Register!$A$5:$A$304,0)),"Drain",IF(ISNUMBER(MATCH($B35,RW_Register!$A$5:$A$304,0)),"Ret. Wall",IF(ISNUMBER(MATCH($B35,Embedded_Wall_Register!$A$5:$A$304,0)),"Embedded Wall",IF(ISNUMBER(MATCH($B35,Manhole_Register!$A$5:$A$304,0)),"Manhole",IF(ISNUMBER(MATCH($B35,ERSS_Pit_Register!$A$5:$A$304,0)),"ERSS Pit",IF(ISNUMBER(MATCH($B35,Linkway_Register!$A$5:$A$304,0)),"Linkway",IF(ISNUMBER(MATCH($B35,Other_Register!$A$5:$A$304,0)),"Others",""))))))))</f>
        <v/>
      </c>
      <c r="H35" s="10" t="str">
        <f aca="false">IF($B35="","",IFERROR(INDEX(Drain_Register!$B$5:$B$304,MATCH($B35,Drain_Register!$A$5:$A$304,0)),IFERROR(INDEX(RW_Register!$B$5:$B$304,MATCH($B35,RW_Register!$A$5:$A$304,0)),IFERROR(INDEX(Embedded_Wall_Register!$B$5:$B$304,MATCH($B35,Embedded_Wall_Register!$A$5:$A$304,0)),IFERROR(INDEX(Manhole_Register!$B$5:$B$304,MATCH($B35,Manhole_Register!$A$5:$A$304,0)),IFERROR(INDEX(ERSS_Pit_Register!$B$5:$B$304,MATCH($B35,ERSS_Pit_Register!$A$5:$A$304,0)),IFERROR(INDEX(Linkway_Register!$B$5:$B$304,MATCH($B35,Linkway_Register!$A$5:$A$304,0)),IFERROR(INDEX(Other_Register!$B$5:$B$304,MATCH($B35,Other_Register!$A$5:$A$304,0)),"ID not found - check spelling"))))))))</f>
        <v/>
      </c>
      <c r="I35" s="10" t="str">
        <f aca="false">IF($B35="","",IFERROR(INDEX(Drain_Register!$AI$5:$AI$304,MATCH($B35,Drain_Register!$A$5:$A$304,0)),IFERROR(INDEX(RW_Register!$AO$5:$AO$304,MATCH($B35,RW_Register!$A$5:$A$304,0)),IFERROR(INDEX(Embedded_Wall_Register!$AM$5:$AM$304,MATCH($B35,Embedded_Wall_Register!$A$5:$A$304,0)),IFERROR(INDEX(Manhole_Register!$AM$5:$AM$304,MATCH($B35,Manhole_Register!$A$5:$A$304,0)),IFERROR(INDEX(ERSS_Pit_Register!$AG$5:$AG$304,MATCH($B35,ERSS_Pit_Register!$A$5:$A$304,0)),IFERROR(INDEX(Linkway_Register!$AI$5:$AI$304,MATCH($B35,Linkway_Register!$A$5:$A$304,0)),IFERROR(INDEX(Other_Register!$S$5:$S$304,MATCH($B35,Other_Register!$A$5:$A$304,0)),""))))))))</f>
        <v/>
      </c>
      <c r="J35" s="10" t="str">
        <f aca="false">IF($B35="","",IFERROR(INDEX(Drain_Register!$AJ$5:$AJ$304,MATCH($B35,Drain_Register!$A$5:$A$304,0)),IFERROR(INDEX(RW_Register!$AP$5:$AP$304,MATCH($B35,RW_Register!$A$5:$A$304,0)),IFERROR(INDEX(Embedded_Wall_Register!$AN$5:$AN$304,MATCH($B35,Embedded_Wall_Register!$A$5:$A$304,0)),IFERROR(INDEX(Manhole_Register!$AN$5:$AN$304,MATCH($B35,Manhole_Register!$A$5:$A$304,0)),IFERROR(INDEX(ERSS_Pit_Register!$AH$5:$AH$304,MATCH($B35,ERSS_Pit_Register!$A$5:$A$304,0)),IFERROR(INDEX(Linkway_Register!$AJ$5:$AJ$304,MATCH($B35,Linkway_Register!$A$5:$A$304,0)),IFERROR(INDEX(Other_Register!$T$5:$T$304,MATCH($B35,Other_Register!$A$5:$A$304,0)),""))))))))</f>
        <v/>
      </c>
      <c r="K35" s="10" t="str">
        <f aca="false">IF($B35="","",IFERROR(INDEX(Drain_Register!$AK$5:$AK$304,MATCH($B35,Drain_Register!$A$5:$A$304,0)),IFERROR(INDEX(RW_Register!$AQ$5:$AQ$304,MATCH($B35,RW_Register!$A$5:$A$304,0)),IFERROR(INDEX(Embedded_Wall_Register!$AO$5:$AO$304,MATCH($B35,Embedded_Wall_Register!$A$5:$A$304,0)),IFERROR(INDEX(Manhole_Register!$AO$5:$AO$304,MATCH($B35,Manhole_Register!$A$5:$A$304,0)),IFERROR(INDEX(ERSS_Pit_Register!$AI$5:$AI$304,MATCH($B35,ERSS_Pit_Register!$A$5:$A$304,0)),IFERROR(INDEX(Linkway_Register!$AK$5:$AK$304,MATCH($B35,Linkway_Register!$A$5:$A$304,0)),IFERROR(INDEX(Other_Register!$U$5:$U$304,MATCH($B35,Other_Register!$A$5:$A$304,0)),""))))))))</f>
        <v/>
      </c>
      <c r="L35" s="10" t="str">
        <f aca="false">IF($B35="","",IFERROR(INDEX(Drain_Register!$AL$5:$AL$304,MATCH($B35,Drain_Register!$A$5:$A$304,0)),IFERROR(INDEX(RW_Register!$AR$5:$AR$304,MATCH($B35,RW_Register!$A$5:$A$304,0)),IFERROR(INDEX(Embedded_Wall_Register!$AP$5:$AP$304,MATCH($B35,Embedded_Wall_Register!$A$5:$A$304,0)),IFERROR(INDEX(Manhole_Register!$AP$5:$AP$304,MATCH($B35,Manhole_Register!$A$5:$A$304,0)),IFERROR(INDEX(ERSS_Pit_Register!$AJ$5:$AJ$304,MATCH($B35,ERSS_Pit_Register!$A$5:$A$304,0)),IFERROR(INDEX(Linkway_Register!$AL$5:$AL$304,MATCH($B35,Linkway_Register!$A$5:$A$304,0)),IFERROR(INDEX(Other_Register!$V$5:$V$304,MATCH($B35,Other_Register!$A$5:$A$304,0)),""))))))))</f>
        <v/>
      </c>
      <c r="M35" s="10" t="str">
        <f aca="false">IF($B35="","",IFERROR(INDEX(Drain_Register!$AN$5:$AN$304,MATCH($B35,Drain_Register!$A$5:$A$304,0)),IFERROR(INDEX(RW_Register!$AT$5:$AT$304,MATCH($B35,RW_Register!$A$5:$A$304,0)),IFERROR(INDEX(Embedded_Wall_Register!$AR$5:$AR$304,MATCH($B35,Embedded_Wall_Register!$A$5:$A$304,0)),IFERROR(INDEX(Manhole_Register!$AR$5:$AR$304,MATCH($B35,Manhole_Register!$A$5:$A$304,0)),IFERROR(INDEX(ERSS_Pit_Register!$AL$5:$AL$304,MATCH($B35,ERSS_Pit_Register!$A$5:$A$304,0)),IFERROR(INDEX(Linkway_Register!$AN$5:$AN$304,MATCH($B35,Linkway_Register!$A$5:$A$304,0)),IFERROR(INDEX(Other_Register!$X$5:$X$304,MATCH($B35,Other_Register!$A$5:$A$304,0)),"")))))))&amp;IFERROR(INDEX(Drain_Register!$AO$5:$AO$304,MATCH($B35,Drain_Register!$A$5:$A$304,0)),IFERROR(INDEX(RW_Register!$AU$5:$AU$304,MATCH($B35,RW_Register!$A$5:$A$304,0)),IFERROR(INDEX(Embedded_Wall_Register!$AS$5:$AS$304,MATCH($B35,Embedded_Wall_Register!$A$5:$A$304,0)),IFERROR(INDEX(Manhole_Register!$AS$5:$AS$304,MATCH($B35,Manhole_Register!$A$5:$A$304,0)),IFERROR(INDEX(ERSS_Pit_Register!$AM$5:$AM$304,MATCH($B35,ERSS_Pit_Register!$A$5:$A$304,0)),IFERROR(INDEX(Linkway_Register!$AO$5:$AO$304,MATCH($B35,Linkway_Register!$A$5:$A$304,0)),IFERROR(INDEX(Other_Register!$Y$5:$Y$304,MATCH($B35,Other_Register!$A$5:$A$304,0)),""))))))))</f>
        <v/>
      </c>
      <c r="N35" s="19" t="str">
        <f aca="false">IF(OR($B35="",$D35=""),"",$D35*N(IFERROR(INDEX(Drain_Register!$AV$5:$AV$304,MATCH($B35,Drain_Register!$A$5:$A$304,0)),IFERROR(INDEX(RW_Register!$BB$5:$BB$304,MATCH($B35,RW_Register!$A$5:$A$304,0)),IFERROR(INDEX(Embedded_Wall_Register!$AZ$5:$AZ$304,MATCH($B35,Embedded_Wall_Register!$A$5:$A$304,0)),IFERROR(INDEX(Manhole_Register!$AZ$5:$AZ$304,MATCH($B35,Manhole_Register!$A$5:$A$304,0)),IFERROR(INDEX(ERSS_Pit_Register!$AT$5:$AT$304,MATCH($B35,ERSS_Pit_Register!$A$5:$A$304,0)),IFERROR(INDEX(Linkway_Register!$AV$5:$AV$304,MATCH($B35,Linkway_Register!$A$5:$A$304,0)),IFERROR(INDEX(Other_Register!$AF$5:$AF$304,MATCH($B35,Other_Register!$A$5:$A$304,0)),0)))))))))</f>
        <v/>
      </c>
      <c r="O35" s="20" t="str">
        <f aca="false">IF(OR($B35="",$D35=""),"",$D35*N(IFERROR(INDEX(Drain_Register!$AW$5:$AW$304,MATCH($B35,Drain_Register!$A$5:$A$304,0)),IFERROR(INDEX(RW_Register!$BC$5:$BC$304,MATCH($B35,RW_Register!$A$5:$A$304,0)),IFERROR(INDEX(Embedded_Wall_Register!$BA$5:$BA$304,MATCH($B35,Embedded_Wall_Register!$A$5:$A$304,0)),IFERROR(INDEX(Manhole_Register!$BA$5:$BA$304,MATCH($B35,Manhole_Register!$A$5:$A$304,0)),IFERROR(INDEX(ERSS_Pit_Register!$AU$5:$AU$304,MATCH($B35,ERSS_Pit_Register!$A$5:$A$304,0)),IFERROR(INDEX(Linkway_Register!$AW$5:$AW$304,MATCH($B35,Linkway_Register!$A$5:$A$304,0)),IFERROR(INDEX(Other_Register!$AG$5:$AG$304,MATCH($B35,Other_Register!$A$5:$A$304,0)),0))))))))/1000)</f>
        <v/>
      </c>
      <c r="P35" s="20" t="str">
        <f aca="false">IF(OR($B35="",$D35=""),"",$D35*N(IFERROR(INDEX(Drain_Register!$AX$5:$AX$304,MATCH($B35,Drain_Register!$A$5:$A$304,0)),IFERROR(INDEX(RW_Register!$BD$5:$BD$304,MATCH($B35,RW_Register!$A$5:$A$304,0)),IFERROR(INDEX(Embedded_Wall_Register!$BB$5:$BB$304,MATCH($B35,Embedded_Wall_Register!$A$5:$A$304,0)),IFERROR(INDEX(Manhole_Register!$BB$5:$BB$304,MATCH($B35,Manhole_Register!$A$5:$A$304,0)),IFERROR(INDEX(ERSS_Pit_Register!$AV$5:$AV$304,MATCH($B35,ERSS_Pit_Register!$A$5:$A$304,0)),IFERROR(INDEX(Linkway_Register!$AX$5:$AX$304,MATCH($B35,Linkway_Register!$A$5:$A$304,0)),IFERROR(INDEX(Other_Register!$AH$5:$AH$304,MATCH($B35,Other_Register!$A$5:$A$304,0)),0))))))))/1000)</f>
        <v/>
      </c>
      <c r="Q35" s="19" t="str">
        <f aca="false">IF(OR($B35="",$D35=""),"",$D35*N(IFERROR(INDEX(Drain_Register!$AY$5:$AY$304,MATCH($B35,Drain_Register!$A$5:$A$304,0)),IFERROR(INDEX(RW_Register!$BE$5:$BE$304,MATCH($B35,RW_Register!$A$5:$A$304,0)),IFERROR(INDEX(Embedded_Wall_Register!$BC$5:$BC$304,MATCH($B35,Embedded_Wall_Register!$A$5:$A$304,0)),IFERROR(INDEX(Manhole_Register!$BC$5:$BC$304,MATCH($B35,Manhole_Register!$A$5:$A$304,0)),IFERROR(INDEX(ERSS_Pit_Register!$AW$5:$AW$304,MATCH($B35,ERSS_Pit_Register!$A$5:$A$304,0)),IFERROR(INDEX(Linkway_Register!$AY$5:$AY$304,MATCH($B35,Linkway_Register!$A$5:$A$304,0)),IFERROR(INDEX(Other_Register!$AI$5:$AI$304,MATCH($B35,Other_Register!$A$5:$A$304,0)),0)))))))))</f>
        <v/>
      </c>
      <c r="R35" s="19" t="str">
        <f aca="false">IF(OR($B35="",$D35=""),"",$D35*N(IFERROR(INDEX(Drain_Register!$AZ$5:$AZ$304,MATCH($B35,Drain_Register!$A$5:$A$304,0)),IFERROR(INDEX(RW_Register!$BF$5:$BF$304,MATCH($B35,RW_Register!$A$5:$A$304,0)),IFERROR(INDEX(Embedded_Wall_Register!$BD$5:$BD$304,MATCH($B35,Embedded_Wall_Register!$A$5:$A$304,0)),IFERROR(INDEX(Manhole_Register!$BD$5:$BD$304,MATCH($B35,Manhole_Register!$A$5:$A$304,0)),IFERROR(INDEX(ERSS_Pit_Register!$AX$5:$AX$304,MATCH($B35,ERSS_Pit_Register!$A$5:$A$304,0)),IFERROR(INDEX(Linkway_Register!$AZ$5:$AZ$304,MATCH($B35,Linkway_Register!$A$5:$A$304,0)),IFERROR(INDEX(Other_Register!$AJ$5:$AJ$304,MATCH($B35,Other_Register!$A$5:$A$304,0)),0)))))))))</f>
        <v/>
      </c>
      <c r="S35" s="10" t="str">
        <f aca="false">IF($B35="","",IF(G35="","ID not found",IF(J35&lt;&gt;"Approved","WARNING: status is "&amp;J35,IF(IFERROR(INDEX(Drain_Register!$CA$5:$CA$304,MATCH($B35,Drain_Register!$A$5:$A$304,0)),IFERROR(INDEX(RW_Register!$CF$5:$CF$304,MATCH($B35,RW_Register!$A$5:$A$304,0)),IFERROR(INDEX(Embedded_Wall_Register!$CD$5:$CD$304,MATCH($B35,Embedded_Wall_Register!$A$5:$A$304,0)),IFERROR(INDEX(Manhole_Register!$CC$5:$CC$304,MATCH($B35,Manhole_Register!$A$5:$A$304,0)),IFERROR(INDEX(ERSS_Pit_Register!$BX$5:$BX$304,MATCH($B35,ERSS_Pit_Register!$A$5:$A$304,0)),IFERROR(INDEX(Linkway_Register!$BY$5:$BY$304,MATCH($B35,Linkway_Register!$A$5:$A$304,0)),IFERROR(INDEX(Other_Register!$BI$5:$BI$304,MATCH($B35,Other_Register!$A$5:$A$304,0)),"")))))))="N","WARNING: fails SG compliance check",IF(D35="","Enter length / qty",IF(E35="","Enter CAD sheet no.","OK"))))))</f>
        <v/>
      </c>
    </row>
    <row r="36" customFormat="false" ht="15" hidden="false" customHeight="false" outlineLevel="0" collapsed="false">
      <c r="A36" s="9"/>
      <c r="B36" s="9"/>
      <c r="C36" s="9"/>
      <c r="D36" s="9"/>
      <c r="E36" s="9"/>
      <c r="F36" s="10" t="str">
        <f aca="false">IF($B36="","",IFERROR(INDEX(Drain_Register!$AU$5:$AU$304,MATCH($B36,Drain_Register!$A$5:$A$304,0)),IFERROR(INDEX(RW_Register!$BA$5:$BA$304,MATCH($B36,RW_Register!$A$5:$A$304,0)),IFERROR(INDEX(Embedded_Wall_Register!$AY$5:$AY$304,MATCH($B36,Embedded_Wall_Register!$A$5:$A$304,0)),IFERROR(INDEX(Manhole_Register!$AY$5:$AY$304,MATCH($B36,Manhole_Register!$A$5:$A$304,0)),IFERROR(INDEX(ERSS_Pit_Register!$AS$5:$AS$304,MATCH($B36,ERSS_Pit_Register!$A$5:$A$304,0)),IFERROR(INDEX(Linkway_Register!$AU$5:$AU$304,MATCH($B36,Linkway_Register!$A$5:$A$304,0)),IFERROR(INDEX(Other_Register!$AE$5:$AE$304,MATCH($B36,Other_Register!$A$5:$A$304,0)),""))))))))</f>
        <v/>
      </c>
      <c r="G36" s="10" t="str">
        <f aca="false">IF($B36="","",IF(ISNUMBER(MATCH($B36,Drain_Register!$A$5:$A$304,0)),"Drain",IF(ISNUMBER(MATCH($B36,RW_Register!$A$5:$A$304,0)),"Ret. Wall",IF(ISNUMBER(MATCH($B36,Embedded_Wall_Register!$A$5:$A$304,0)),"Embedded Wall",IF(ISNUMBER(MATCH($B36,Manhole_Register!$A$5:$A$304,0)),"Manhole",IF(ISNUMBER(MATCH($B36,ERSS_Pit_Register!$A$5:$A$304,0)),"ERSS Pit",IF(ISNUMBER(MATCH($B36,Linkway_Register!$A$5:$A$304,0)),"Linkway",IF(ISNUMBER(MATCH($B36,Other_Register!$A$5:$A$304,0)),"Others",""))))))))</f>
        <v/>
      </c>
      <c r="H36" s="10" t="str">
        <f aca="false">IF($B36="","",IFERROR(INDEX(Drain_Register!$B$5:$B$304,MATCH($B36,Drain_Register!$A$5:$A$304,0)),IFERROR(INDEX(RW_Register!$B$5:$B$304,MATCH($B36,RW_Register!$A$5:$A$304,0)),IFERROR(INDEX(Embedded_Wall_Register!$B$5:$B$304,MATCH($B36,Embedded_Wall_Register!$A$5:$A$304,0)),IFERROR(INDEX(Manhole_Register!$B$5:$B$304,MATCH($B36,Manhole_Register!$A$5:$A$304,0)),IFERROR(INDEX(ERSS_Pit_Register!$B$5:$B$304,MATCH($B36,ERSS_Pit_Register!$A$5:$A$304,0)),IFERROR(INDEX(Linkway_Register!$B$5:$B$304,MATCH($B36,Linkway_Register!$A$5:$A$304,0)),IFERROR(INDEX(Other_Register!$B$5:$B$304,MATCH($B36,Other_Register!$A$5:$A$304,0)),"ID not found - check spelling"))))))))</f>
        <v/>
      </c>
      <c r="I36" s="10" t="str">
        <f aca="false">IF($B36="","",IFERROR(INDEX(Drain_Register!$AI$5:$AI$304,MATCH($B36,Drain_Register!$A$5:$A$304,0)),IFERROR(INDEX(RW_Register!$AO$5:$AO$304,MATCH($B36,RW_Register!$A$5:$A$304,0)),IFERROR(INDEX(Embedded_Wall_Register!$AM$5:$AM$304,MATCH($B36,Embedded_Wall_Register!$A$5:$A$304,0)),IFERROR(INDEX(Manhole_Register!$AM$5:$AM$304,MATCH($B36,Manhole_Register!$A$5:$A$304,0)),IFERROR(INDEX(ERSS_Pit_Register!$AG$5:$AG$304,MATCH($B36,ERSS_Pit_Register!$A$5:$A$304,0)),IFERROR(INDEX(Linkway_Register!$AI$5:$AI$304,MATCH($B36,Linkway_Register!$A$5:$A$304,0)),IFERROR(INDEX(Other_Register!$S$5:$S$304,MATCH($B36,Other_Register!$A$5:$A$304,0)),""))))))))</f>
        <v/>
      </c>
      <c r="J36" s="10" t="str">
        <f aca="false">IF($B36="","",IFERROR(INDEX(Drain_Register!$AJ$5:$AJ$304,MATCH($B36,Drain_Register!$A$5:$A$304,0)),IFERROR(INDEX(RW_Register!$AP$5:$AP$304,MATCH($B36,RW_Register!$A$5:$A$304,0)),IFERROR(INDEX(Embedded_Wall_Register!$AN$5:$AN$304,MATCH($B36,Embedded_Wall_Register!$A$5:$A$304,0)),IFERROR(INDEX(Manhole_Register!$AN$5:$AN$304,MATCH($B36,Manhole_Register!$A$5:$A$304,0)),IFERROR(INDEX(ERSS_Pit_Register!$AH$5:$AH$304,MATCH($B36,ERSS_Pit_Register!$A$5:$A$304,0)),IFERROR(INDEX(Linkway_Register!$AJ$5:$AJ$304,MATCH($B36,Linkway_Register!$A$5:$A$304,0)),IFERROR(INDEX(Other_Register!$T$5:$T$304,MATCH($B36,Other_Register!$A$5:$A$304,0)),""))))))))</f>
        <v/>
      </c>
      <c r="K36" s="10" t="str">
        <f aca="false">IF($B36="","",IFERROR(INDEX(Drain_Register!$AK$5:$AK$304,MATCH($B36,Drain_Register!$A$5:$A$304,0)),IFERROR(INDEX(RW_Register!$AQ$5:$AQ$304,MATCH($B36,RW_Register!$A$5:$A$304,0)),IFERROR(INDEX(Embedded_Wall_Register!$AO$5:$AO$304,MATCH($B36,Embedded_Wall_Register!$A$5:$A$304,0)),IFERROR(INDEX(Manhole_Register!$AO$5:$AO$304,MATCH($B36,Manhole_Register!$A$5:$A$304,0)),IFERROR(INDEX(ERSS_Pit_Register!$AI$5:$AI$304,MATCH($B36,ERSS_Pit_Register!$A$5:$A$304,0)),IFERROR(INDEX(Linkway_Register!$AK$5:$AK$304,MATCH($B36,Linkway_Register!$A$5:$A$304,0)),IFERROR(INDEX(Other_Register!$U$5:$U$304,MATCH($B36,Other_Register!$A$5:$A$304,0)),""))))))))</f>
        <v/>
      </c>
      <c r="L36" s="10" t="str">
        <f aca="false">IF($B36="","",IFERROR(INDEX(Drain_Register!$AL$5:$AL$304,MATCH($B36,Drain_Register!$A$5:$A$304,0)),IFERROR(INDEX(RW_Register!$AR$5:$AR$304,MATCH($B36,RW_Register!$A$5:$A$304,0)),IFERROR(INDEX(Embedded_Wall_Register!$AP$5:$AP$304,MATCH($B36,Embedded_Wall_Register!$A$5:$A$304,0)),IFERROR(INDEX(Manhole_Register!$AP$5:$AP$304,MATCH($B36,Manhole_Register!$A$5:$A$304,0)),IFERROR(INDEX(ERSS_Pit_Register!$AJ$5:$AJ$304,MATCH($B36,ERSS_Pit_Register!$A$5:$A$304,0)),IFERROR(INDEX(Linkway_Register!$AL$5:$AL$304,MATCH($B36,Linkway_Register!$A$5:$A$304,0)),IFERROR(INDEX(Other_Register!$V$5:$V$304,MATCH($B36,Other_Register!$A$5:$A$304,0)),""))))))))</f>
        <v/>
      </c>
      <c r="M36" s="10" t="str">
        <f aca="false">IF($B36="","",IFERROR(INDEX(Drain_Register!$AN$5:$AN$304,MATCH($B36,Drain_Register!$A$5:$A$304,0)),IFERROR(INDEX(RW_Register!$AT$5:$AT$304,MATCH($B36,RW_Register!$A$5:$A$304,0)),IFERROR(INDEX(Embedded_Wall_Register!$AR$5:$AR$304,MATCH($B36,Embedded_Wall_Register!$A$5:$A$304,0)),IFERROR(INDEX(Manhole_Register!$AR$5:$AR$304,MATCH($B36,Manhole_Register!$A$5:$A$304,0)),IFERROR(INDEX(ERSS_Pit_Register!$AL$5:$AL$304,MATCH($B36,ERSS_Pit_Register!$A$5:$A$304,0)),IFERROR(INDEX(Linkway_Register!$AN$5:$AN$304,MATCH($B36,Linkway_Register!$A$5:$A$304,0)),IFERROR(INDEX(Other_Register!$X$5:$X$304,MATCH($B36,Other_Register!$A$5:$A$304,0)),"")))))))&amp;IFERROR(INDEX(Drain_Register!$AO$5:$AO$304,MATCH($B36,Drain_Register!$A$5:$A$304,0)),IFERROR(INDEX(RW_Register!$AU$5:$AU$304,MATCH($B36,RW_Register!$A$5:$A$304,0)),IFERROR(INDEX(Embedded_Wall_Register!$AS$5:$AS$304,MATCH($B36,Embedded_Wall_Register!$A$5:$A$304,0)),IFERROR(INDEX(Manhole_Register!$AS$5:$AS$304,MATCH($B36,Manhole_Register!$A$5:$A$304,0)),IFERROR(INDEX(ERSS_Pit_Register!$AM$5:$AM$304,MATCH($B36,ERSS_Pit_Register!$A$5:$A$304,0)),IFERROR(INDEX(Linkway_Register!$AO$5:$AO$304,MATCH($B36,Linkway_Register!$A$5:$A$304,0)),IFERROR(INDEX(Other_Register!$Y$5:$Y$304,MATCH($B36,Other_Register!$A$5:$A$304,0)),""))))))))</f>
        <v/>
      </c>
      <c r="N36" s="19" t="str">
        <f aca="false">IF(OR($B36="",$D36=""),"",$D36*N(IFERROR(INDEX(Drain_Register!$AV$5:$AV$304,MATCH($B36,Drain_Register!$A$5:$A$304,0)),IFERROR(INDEX(RW_Register!$BB$5:$BB$304,MATCH($B36,RW_Register!$A$5:$A$304,0)),IFERROR(INDEX(Embedded_Wall_Register!$AZ$5:$AZ$304,MATCH($B36,Embedded_Wall_Register!$A$5:$A$304,0)),IFERROR(INDEX(Manhole_Register!$AZ$5:$AZ$304,MATCH($B36,Manhole_Register!$A$5:$A$304,0)),IFERROR(INDEX(ERSS_Pit_Register!$AT$5:$AT$304,MATCH($B36,ERSS_Pit_Register!$A$5:$A$304,0)),IFERROR(INDEX(Linkway_Register!$AV$5:$AV$304,MATCH($B36,Linkway_Register!$A$5:$A$304,0)),IFERROR(INDEX(Other_Register!$AF$5:$AF$304,MATCH($B36,Other_Register!$A$5:$A$304,0)),0)))))))))</f>
        <v/>
      </c>
      <c r="O36" s="20" t="str">
        <f aca="false">IF(OR($B36="",$D36=""),"",$D36*N(IFERROR(INDEX(Drain_Register!$AW$5:$AW$304,MATCH($B36,Drain_Register!$A$5:$A$304,0)),IFERROR(INDEX(RW_Register!$BC$5:$BC$304,MATCH($B36,RW_Register!$A$5:$A$304,0)),IFERROR(INDEX(Embedded_Wall_Register!$BA$5:$BA$304,MATCH($B36,Embedded_Wall_Register!$A$5:$A$304,0)),IFERROR(INDEX(Manhole_Register!$BA$5:$BA$304,MATCH($B36,Manhole_Register!$A$5:$A$304,0)),IFERROR(INDEX(ERSS_Pit_Register!$AU$5:$AU$304,MATCH($B36,ERSS_Pit_Register!$A$5:$A$304,0)),IFERROR(INDEX(Linkway_Register!$AW$5:$AW$304,MATCH($B36,Linkway_Register!$A$5:$A$304,0)),IFERROR(INDEX(Other_Register!$AG$5:$AG$304,MATCH($B36,Other_Register!$A$5:$A$304,0)),0))))))))/1000)</f>
        <v/>
      </c>
      <c r="P36" s="20" t="str">
        <f aca="false">IF(OR($B36="",$D36=""),"",$D36*N(IFERROR(INDEX(Drain_Register!$AX$5:$AX$304,MATCH($B36,Drain_Register!$A$5:$A$304,0)),IFERROR(INDEX(RW_Register!$BD$5:$BD$304,MATCH($B36,RW_Register!$A$5:$A$304,0)),IFERROR(INDEX(Embedded_Wall_Register!$BB$5:$BB$304,MATCH($B36,Embedded_Wall_Register!$A$5:$A$304,0)),IFERROR(INDEX(Manhole_Register!$BB$5:$BB$304,MATCH($B36,Manhole_Register!$A$5:$A$304,0)),IFERROR(INDEX(ERSS_Pit_Register!$AV$5:$AV$304,MATCH($B36,ERSS_Pit_Register!$A$5:$A$304,0)),IFERROR(INDEX(Linkway_Register!$AX$5:$AX$304,MATCH($B36,Linkway_Register!$A$5:$A$304,0)),IFERROR(INDEX(Other_Register!$AH$5:$AH$304,MATCH($B36,Other_Register!$A$5:$A$304,0)),0))))))))/1000)</f>
        <v/>
      </c>
      <c r="Q36" s="19" t="str">
        <f aca="false">IF(OR($B36="",$D36=""),"",$D36*N(IFERROR(INDEX(Drain_Register!$AY$5:$AY$304,MATCH($B36,Drain_Register!$A$5:$A$304,0)),IFERROR(INDEX(RW_Register!$BE$5:$BE$304,MATCH($B36,RW_Register!$A$5:$A$304,0)),IFERROR(INDEX(Embedded_Wall_Register!$BC$5:$BC$304,MATCH($B36,Embedded_Wall_Register!$A$5:$A$304,0)),IFERROR(INDEX(Manhole_Register!$BC$5:$BC$304,MATCH($B36,Manhole_Register!$A$5:$A$304,0)),IFERROR(INDEX(ERSS_Pit_Register!$AW$5:$AW$304,MATCH($B36,ERSS_Pit_Register!$A$5:$A$304,0)),IFERROR(INDEX(Linkway_Register!$AY$5:$AY$304,MATCH($B36,Linkway_Register!$A$5:$A$304,0)),IFERROR(INDEX(Other_Register!$AI$5:$AI$304,MATCH($B36,Other_Register!$A$5:$A$304,0)),0)))))))))</f>
        <v/>
      </c>
      <c r="R36" s="19" t="str">
        <f aca="false">IF(OR($B36="",$D36=""),"",$D36*N(IFERROR(INDEX(Drain_Register!$AZ$5:$AZ$304,MATCH($B36,Drain_Register!$A$5:$A$304,0)),IFERROR(INDEX(RW_Register!$BF$5:$BF$304,MATCH($B36,RW_Register!$A$5:$A$304,0)),IFERROR(INDEX(Embedded_Wall_Register!$BD$5:$BD$304,MATCH($B36,Embedded_Wall_Register!$A$5:$A$304,0)),IFERROR(INDEX(Manhole_Register!$BD$5:$BD$304,MATCH($B36,Manhole_Register!$A$5:$A$304,0)),IFERROR(INDEX(ERSS_Pit_Register!$AX$5:$AX$304,MATCH($B36,ERSS_Pit_Register!$A$5:$A$304,0)),IFERROR(INDEX(Linkway_Register!$AZ$5:$AZ$304,MATCH($B36,Linkway_Register!$A$5:$A$304,0)),IFERROR(INDEX(Other_Register!$AJ$5:$AJ$304,MATCH($B36,Other_Register!$A$5:$A$304,0)),0)))))))))</f>
        <v/>
      </c>
      <c r="S36" s="10" t="str">
        <f aca="false">IF($B36="","",IF(G36="","ID not found",IF(J36&lt;&gt;"Approved","WARNING: status is "&amp;J36,IF(IFERROR(INDEX(Drain_Register!$CA$5:$CA$304,MATCH($B36,Drain_Register!$A$5:$A$304,0)),IFERROR(INDEX(RW_Register!$CF$5:$CF$304,MATCH($B36,RW_Register!$A$5:$A$304,0)),IFERROR(INDEX(Embedded_Wall_Register!$CD$5:$CD$304,MATCH($B36,Embedded_Wall_Register!$A$5:$A$304,0)),IFERROR(INDEX(Manhole_Register!$CC$5:$CC$304,MATCH($B36,Manhole_Register!$A$5:$A$304,0)),IFERROR(INDEX(ERSS_Pit_Register!$BX$5:$BX$304,MATCH($B36,ERSS_Pit_Register!$A$5:$A$304,0)),IFERROR(INDEX(Linkway_Register!$BY$5:$BY$304,MATCH($B36,Linkway_Register!$A$5:$A$304,0)),IFERROR(INDEX(Other_Register!$BI$5:$BI$304,MATCH($B36,Other_Register!$A$5:$A$304,0)),"")))))))="N","WARNING: fails SG compliance check",IF(D36="","Enter length / qty",IF(E36="","Enter CAD sheet no.","OK"))))))</f>
        <v/>
      </c>
    </row>
    <row r="37" customFormat="false" ht="15" hidden="false" customHeight="false" outlineLevel="0" collapsed="false">
      <c r="A37" s="9"/>
      <c r="B37" s="9"/>
      <c r="C37" s="9"/>
      <c r="D37" s="9"/>
      <c r="E37" s="9"/>
      <c r="F37" s="10" t="str">
        <f aca="false">IF($B37="","",IFERROR(INDEX(Drain_Register!$AU$5:$AU$304,MATCH($B37,Drain_Register!$A$5:$A$304,0)),IFERROR(INDEX(RW_Register!$BA$5:$BA$304,MATCH($B37,RW_Register!$A$5:$A$304,0)),IFERROR(INDEX(Embedded_Wall_Register!$AY$5:$AY$304,MATCH($B37,Embedded_Wall_Register!$A$5:$A$304,0)),IFERROR(INDEX(Manhole_Register!$AY$5:$AY$304,MATCH($B37,Manhole_Register!$A$5:$A$304,0)),IFERROR(INDEX(ERSS_Pit_Register!$AS$5:$AS$304,MATCH($B37,ERSS_Pit_Register!$A$5:$A$304,0)),IFERROR(INDEX(Linkway_Register!$AU$5:$AU$304,MATCH($B37,Linkway_Register!$A$5:$A$304,0)),IFERROR(INDEX(Other_Register!$AE$5:$AE$304,MATCH($B37,Other_Register!$A$5:$A$304,0)),""))))))))</f>
        <v/>
      </c>
      <c r="G37" s="10" t="str">
        <f aca="false">IF($B37="","",IF(ISNUMBER(MATCH($B37,Drain_Register!$A$5:$A$304,0)),"Drain",IF(ISNUMBER(MATCH($B37,RW_Register!$A$5:$A$304,0)),"Ret. Wall",IF(ISNUMBER(MATCH($B37,Embedded_Wall_Register!$A$5:$A$304,0)),"Embedded Wall",IF(ISNUMBER(MATCH($B37,Manhole_Register!$A$5:$A$304,0)),"Manhole",IF(ISNUMBER(MATCH($B37,ERSS_Pit_Register!$A$5:$A$304,0)),"ERSS Pit",IF(ISNUMBER(MATCH($B37,Linkway_Register!$A$5:$A$304,0)),"Linkway",IF(ISNUMBER(MATCH($B37,Other_Register!$A$5:$A$304,0)),"Others",""))))))))</f>
        <v/>
      </c>
      <c r="H37" s="10" t="str">
        <f aca="false">IF($B37="","",IFERROR(INDEX(Drain_Register!$B$5:$B$304,MATCH($B37,Drain_Register!$A$5:$A$304,0)),IFERROR(INDEX(RW_Register!$B$5:$B$304,MATCH($B37,RW_Register!$A$5:$A$304,0)),IFERROR(INDEX(Embedded_Wall_Register!$B$5:$B$304,MATCH($B37,Embedded_Wall_Register!$A$5:$A$304,0)),IFERROR(INDEX(Manhole_Register!$B$5:$B$304,MATCH($B37,Manhole_Register!$A$5:$A$304,0)),IFERROR(INDEX(ERSS_Pit_Register!$B$5:$B$304,MATCH($B37,ERSS_Pit_Register!$A$5:$A$304,0)),IFERROR(INDEX(Linkway_Register!$B$5:$B$304,MATCH($B37,Linkway_Register!$A$5:$A$304,0)),IFERROR(INDEX(Other_Register!$B$5:$B$304,MATCH($B37,Other_Register!$A$5:$A$304,0)),"ID not found - check spelling"))))))))</f>
        <v/>
      </c>
      <c r="I37" s="10" t="str">
        <f aca="false">IF($B37="","",IFERROR(INDEX(Drain_Register!$AI$5:$AI$304,MATCH($B37,Drain_Register!$A$5:$A$304,0)),IFERROR(INDEX(RW_Register!$AO$5:$AO$304,MATCH($B37,RW_Register!$A$5:$A$304,0)),IFERROR(INDEX(Embedded_Wall_Register!$AM$5:$AM$304,MATCH($B37,Embedded_Wall_Register!$A$5:$A$304,0)),IFERROR(INDEX(Manhole_Register!$AM$5:$AM$304,MATCH($B37,Manhole_Register!$A$5:$A$304,0)),IFERROR(INDEX(ERSS_Pit_Register!$AG$5:$AG$304,MATCH($B37,ERSS_Pit_Register!$A$5:$A$304,0)),IFERROR(INDEX(Linkway_Register!$AI$5:$AI$304,MATCH($B37,Linkway_Register!$A$5:$A$304,0)),IFERROR(INDEX(Other_Register!$S$5:$S$304,MATCH($B37,Other_Register!$A$5:$A$304,0)),""))))))))</f>
        <v/>
      </c>
      <c r="J37" s="10" t="str">
        <f aca="false">IF($B37="","",IFERROR(INDEX(Drain_Register!$AJ$5:$AJ$304,MATCH($B37,Drain_Register!$A$5:$A$304,0)),IFERROR(INDEX(RW_Register!$AP$5:$AP$304,MATCH($B37,RW_Register!$A$5:$A$304,0)),IFERROR(INDEX(Embedded_Wall_Register!$AN$5:$AN$304,MATCH($B37,Embedded_Wall_Register!$A$5:$A$304,0)),IFERROR(INDEX(Manhole_Register!$AN$5:$AN$304,MATCH($B37,Manhole_Register!$A$5:$A$304,0)),IFERROR(INDEX(ERSS_Pit_Register!$AH$5:$AH$304,MATCH($B37,ERSS_Pit_Register!$A$5:$A$304,0)),IFERROR(INDEX(Linkway_Register!$AJ$5:$AJ$304,MATCH($B37,Linkway_Register!$A$5:$A$304,0)),IFERROR(INDEX(Other_Register!$T$5:$T$304,MATCH($B37,Other_Register!$A$5:$A$304,0)),""))))))))</f>
        <v/>
      </c>
      <c r="K37" s="10" t="str">
        <f aca="false">IF($B37="","",IFERROR(INDEX(Drain_Register!$AK$5:$AK$304,MATCH($B37,Drain_Register!$A$5:$A$304,0)),IFERROR(INDEX(RW_Register!$AQ$5:$AQ$304,MATCH($B37,RW_Register!$A$5:$A$304,0)),IFERROR(INDEX(Embedded_Wall_Register!$AO$5:$AO$304,MATCH($B37,Embedded_Wall_Register!$A$5:$A$304,0)),IFERROR(INDEX(Manhole_Register!$AO$5:$AO$304,MATCH($B37,Manhole_Register!$A$5:$A$304,0)),IFERROR(INDEX(ERSS_Pit_Register!$AI$5:$AI$304,MATCH($B37,ERSS_Pit_Register!$A$5:$A$304,0)),IFERROR(INDEX(Linkway_Register!$AK$5:$AK$304,MATCH($B37,Linkway_Register!$A$5:$A$304,0)),IFERROR(INDEX(Other_Register!$U$5:$U$304,MATCH($B37,Other_Register!$A$5:$A$304,0)),""))))))))</f>
        <v/>
      </c>
      <c r="L37" s="10" t="str">
        <f aca="false">IF($B37="","",IFERROR(INDEX(Drain_Register!$AL$5:$AL$304,MATCH($B37,Drain_Register!$A$5:$A$304,0)),IFERROR(INDEX(RW_Register!$AR$5:$AR$304,MATCH($B37,RW_Register!$A$5:$A$304,0)),IFERROR(INDEX(Embedded_Wall_Register!$AP$5:$AP$304,MATCH($B37,Embedded_Wall_Register!$A$5:$A$304,0)),IFERROR(INDEX(Manhole_Register!$AP$5:$AP$304,MATCH($B37,Manhole_Register!$A$5:$A$304,0)),IFERROR(INDEX(ERSS_Pit_Register!$AJ$5:$AJ$304,MATCH($B37,ERSS_Pit_Register!$A$5:$A$304,0)),IFERROR(INDEX(Linkway_Register!$AL$5:$AL$304,MATCH($B37,Linkway_Register!$A$5:$A$304,0)),IFERROR(INDEX(Other_Register!$V$5:$V$304,MATCH($B37,Other_Register!$A$5:$A$304,0)),""))))))))</f>
        <v/>
      </c>
      <c r="M37" s="10" t="str">
        <f aca="false">IF($B37="","",IFERROR(INDEX(Drain_Register!$AN$5:$AN$304,MATCH($B37,Drain_Register!$A$5:$A$304,0)),IFERROR(INDEX(RW_Register!$AT$5:$AT$304,MATCH($B37,RW_Register!$A$5:$A$304,0)),IFERROR(INDEX(Embedded_Wall_Register!$AR$5:$AR$304,MATCH($B37,Embedded_Wall_Register!$A$5:$A$304,0)),IFERROR(INDEX(Manhole_Register!$AR$5:$AR$304,MATCH($B37,Manhole_Register!$A$5:$A$304,0)),IFERROR(INDEX(ERSS_Pit_Register!$AL$5:$AL$304,MATCH($B37,ERSS_Pit_Register!$A$5:$A$304,0)),IFERROR(INDEX(Linkway_Register!$AN$5:$AN$304,MATCH($B37,Linkway_Register!$A$5:$A$304,0)),IFERROR(INDEX(Other_Register!$X$5:$X$304,MATCH($B37,Other_Register!$A$5:$A$304,0)),"")))))))&amp;IFERROR(INDEX(Drain_Register!$AO$5:$AO$304,MATCH($B37,Drain_Register!$A$5:$A$304,0)),IFERROR(INDEX(RW_Register!$AU$5:$AU$304,MATCH($B37,RW_Register!$A$5:$A$304,0)),IFERROR(INDEX(Embedded_Wall_Register!$AS$5:$AS$304,MATCH($B37,Embedded_Wall_Register!$A$5:$A$304,0)),IFERROR(INDEX(Manhole_Register!$AS$5:$AS$304,MATCH($B37,Manhole_Register!$A$5:$A$304,0)),IFERROR(INDEX(ERSS_Pit_Register!$AM$5:$AM$304,MATCH($B37,ERSS_Pit_Register!$A$5:$A$304,0)),IFERROR(INDEX(Linkway_Register!$AO$5:$AO$304,MATCH($B37,Linkway_Register!$A$5:$A$304,0)),IFERROR(INDEX(Other_Register!$Y$5:$Y$304,MATCH($B37,Other_Register!$A$5:$A$304,0)),""))))))))</f>
        <v/>
      </c>
      <c r="N37" s="19" t="str">
        <f aca="false">IF(OR($B37="",$D37=""),"",$D37*N(IFERROR(INDEX(Drain_Register!$AV$5:$AV$304,MATCH($B37,Drain_Register!$A$5:$A$304,0)),IFERROR(INDEX(RW_Register!$BB$5:$BB$304,MATCH($B37,RW_Register!$A$5:$A$304,0)),IFERROR(INDEX(Embedded_Wall_Register!$AZ$5:$AZ$304,MATCH($B37,Embedded_Wall_Register!$A$5:$A$304,0)),IFERROR(INDEX(Manhole_Register!$AZ$5:$AZ$304,MATCH($B37,Manhole_Register!$A$5:$A$304,0)),IFERROR(INDEX(ERSS_Pit_Register!$AT$5:$AT$304,MATCH($B37,ERSS_Pit_Register!$A$5:$A$304,0)),IFERROR(INDEX(Linkway_Register!$AV$5:$AV$304,MATCH($B37,Linkway_Register!$A$5:$A$304,0)),IFERROR(INDEX(Other_Register!$AF$5:$AF$304,MATCH($B37,Other_Register!$A$5:$A$304,0)),0)))))))))</f>
        <v/>
      </c>
      <c r="O37" s="20" t="str">
        <f aca="false">IF(OR($B37="",$D37=""),"",$D37*N(IFERROR(INDEX(Drain_Register!$AW$5:$AW$304,MATCH($B37,Drain_Register!$A$5:$A$304,0)),IFERROR(INDEX(RW_Register!$BC$5:$BC$304,MATCH($B37,RW_Register!$A$5:$A$304,0)),IFERROR(INDEX(Embedded_Wall_Register!$BA$5:$BA$304,MATCH($B37,Embedded_Wall_Register!$A$5:$A$304,0)),IFERROR(INDEX(Manhole_Register!$BA$5:$BA$304,MATCH($B37,Manhole_Register!$A$5:$A$304,0)),IFERROR(INDEX(ERSS_Pit_Register!$AU$5:$AU$304,MATCH($B37,ERSS_Pit_Register!$A$5:$A$304,0)),IFERROR(INDEX(Linkway_Register!$AW$5:$AW$304,MATCH($B37,Linkway_Register!$A$5:$A$304,0)),IFERROR(INDEX(Other_Register!$AG$5:$AG$304,MATCH($B37,Other_Register!$A$5:$A$304,0)),0))))))))/1000)</f>
        <v/>
      </c>
      <c r="P37" s="20" t="str">
        <f aca="false">IF(OR($B37="",$D37=""),"",$D37*N(IFERROR(INDEX(Drain_Register!$AX$5:$AX$304,MATCH($B37,Drain_Register!$A$5:$A$304,0)),IFERROR(INDEX(RW_Register!$BD$5:$BD$304,MATCH($B37,RW_Register!$A$5:$A$304,0)),IFERROR(INDEX(Embedded_Wall_Register!$BB$5:$BB$304,MATCH($B37,Embedded_Wall_Register!$A$5:$A$304,0)),IFERROR(INDEX(Manhole_Register!$BB$5:$BB$304,MATCH($B37,Manhole_Register!$A$5:$A$304,0)),IFERROR(INDEX(ERSS_Pit_Register!$AV$5:$AV$304,MATCH($B37,ERSS_Pit_Register!$A$5:$A$304,0)),IFERROR(INDEX(Linkway_Register!$AX$5:$AX$304,MATCH($B37,Linkway_Register!$A$5:$A$304,0)),IFERROR(INDEX(Other_Register!$AH$5:$AH$304,MATCH($B37,Other_Register!$A$5:$A$304,0)),0))))))))/1000)</f>
        <v/>
      </c>
      <c r="Q37" s="19" t="str">
        <f aca="false">IF(OR($B37="",$D37=""),"",$D37*N(IFERROR(INDEX(Drain_Register!$AY$5:$AY$304,MATCH($B37,Drain_Register!$A$5:$A$304,0)),IFERROR(INDEX(RW_Register!$BE$5:$BE$304,MATCH($B37,RW_Register!$A$5:$A$304,0)),IFERROR(INDEX(Embedded_Wall_Register!$BC$5:$BC$304,MATCH($B37,Embedded_Wall_Register!$A$5:$A$304,0)),IFERROR(INDEX(Manhole_Register!$BC$5:$BC$304,MATCH($B37,Manhole_Register!$A$5:$A$304,0)),IFERROR(INDEX(ERSS_Pit_Register!$AW$5:$AW$304,MATCH($B37,ERSS_Pit_Register!$A$5:$A$304,0)),IFERROR(INDEX(Linkway_Register!$AY$5:$AY$304,MATCH($B37,Linkway_Register!$A$5:$A$304,0)),IFERROR(INDEX(Other_Register!$AI$5:$AI$304,MATCH($B37,Other_Register!$A$5:$A$304,0)),0)))))))))</f>
        <v/>
      </c>
      <c r="R37" s="19" t="str">
        <f aca="false">IF(OR($B37="",$D37=""),"",$D37*N(IFERROR(INDEX(Drain_Register!$AZ$5:$AZ$304,MATCH($B37,Drain_Register!$A$5:$A$304,0)),IFERROR(INDEX(RW_Register!$BF$5:$BF$304,MATCH($B37,RW_Register!$A$5:$A$304,0)),IFERROR(INDEX(Embedded_Wall_Register!$BD$5:$BD$304,MATCH($B37,Embedded_Wall_Register!$A$5:$A$304,0)),IFERROR(INDEX(Manhole_Register!$BD$5:$BD$304,MATCH($B37,Manhole_Register!$A$5:$A$304,0)),IFERROR(INDEX(ERSS_Pit_Register!$AX$5:$AX$304,MATCH($B37,ERSS_Pit_Register!$A$5:$A$304,0)),IFERROR(INDEX(Linkway_Register!$AZ$5:$AZ$304,MATCH($B37,Linkway_Register!$A$5:$A$304,0)),IFERROR(INDEX(Other_Register!$AJ$5:$AJ$304,MATCH($B37,Other_Register!$A$5:$A$304,0)),0)))))))))</f>
        <v/>
      </c>
      <c r="S37" s="10" t="str">
        <f aca="false">IF($B37="","",IF(G37="","ID not found",IF(J37&lt;&gt;"Approved","WARNING: status is "&amp;J37,IF(IFERROR(INDEX(Drain_Register!$CA$5:$CA$304,MATCH($B37,Drain_Register!$A$5:$A$304,0)),IFERROR(INDEX(RW_Register!$CF$5:$CF$304,MATCH($B37,RW_Register!$A$5:$A$304,0)),IFERROR(INDEX(Embedded_Wall_Register!$CD$5:$CD$304,MATCH($B37,Embedded_Wall_Register!$A$5:$A$304,0)),IFERROR(INDEX(Manhole_Register!$CC$5:$CC$304,MATCH($B37,Manhole_Register!$A$5:$A$304,0)),IFERROR(INDEX(ERSS_Pit_Register!$BX$5:$BX$304,MATCH($B37,ERSS_Pit_Register!$A$5:$A$304,0)),IFERROR(INDEX(Linkway_Register!$BY$5:$BY$304,MATCH($B37,Linkway_Register!$A$5:$A$304,0)),IFERROR(INDEX(Other_Register!$BI$5:$BI$304,MATCH($B37,Other_Register!$A$5:$A$304,0)),"")))))))="N","WARNING: fails SG compliance check",IF(D37="","Enter length / qty",IF(E37="","Enter CAD sheet no.","OK"))))))</f>
        <v/>
      </c>
    </row>
    <row r="38" customFormat="false" ht="15" hidden="false" customHeight="false" outlineLevel="0" collapsed="false">
      <c r="A38" s="9"/>
      <c r="B38" s="9"/>
      <c r="C38" s="9"/>
      <c r="D38" s="9"/>
      <c r="E38" s="9"/>
      <c r="F38" s="10" t="str">
        <f aca="false">IF($B38="","",IFERROR(INDEX(Drain_Register!$AU$5:$AU$304,MATCH($B38,Drain_Register!$A$5:$A$304,0)),IFERROR(INDEX(RW_Register!$BA$5:$BA$304,MATCH($B38,RW_Register!$A$5:$A$304,0)),IFERROR(INDEX(Embedded_Wall_Register!$AY$5:$AY$304,MATCH($B38,Embedded_Wall_Register!$A$5:$A$304,0)),IFERROR(INDEX(Manhole_Register!$AY$5:$AY$304,MATCH($B38,Manhole_Register!$A$5:$A$304,0)),IFERROR(INDEX(ERSS_Pit_Register!$AS$5:$AS$304,MATCH($B38,ERSS_Pit_Register!$A$5:$A$304,0)),IFERROR(INDEX(Linkway_Register!$AU$5:$AU$304,MATCH($B38,Linkway_Register!$A$5:$A$304,0)),IFERROR(INDEX(Other_Register!$AE$5:$AE$304,MATCH($B38,Other_Register!$A$5:$A$304,0)),""))))))))</f>
        <v/>
      </c>
      <c r="G38" s="10" t="str">
        <f aca="false">IF($B38="","",IF(ISNUMBER(MATCH($B38,Drain_Register!$A$5:$A$304,0)),"Drain",IF(ISNUMBER(MATCH($B38,RW_Register!$A$5:$A$304,0)),"Ret. Wall",IF(ISNUMBER(MATCH($B38,Embedded_Wall_Register!$A$5:$A$304,0)),"Embedded Wall",IF(ISNUMBER(MATCH($B38,Manhole_Register!$A$5:$A$304,0)),"Manhole",IF(ISNUMBER(MATCH($B38,ERSS_Pit_Register!$A$5:$A$304,0)),"ERSS Pit",IF(ISNUMBER(MATCH($B38,Linkway_Register!$A$5:$A$304,0)),"Linkway",IF(ISNUMBER(MATCH($B38,Other_Register!$A$5:$A$304,0)),"Others",""))))))))</f>
        <v/>
      </c>
      <c r="H38" s="10" t="str">
        <f aca="false">IF($B38="","",IFERROR(INDEX(Drain_Register!$B$5:$B$304,MATCH($B38,Drain_Register!$A$5:$A$304,0)),IFERROR(INDEX(RW_Register!$B$5:$B$304,MATCH($B38,RW_Register!$A$5:$A$304,0)),IFERROR(INDEX(Embedded_Wall_Register!$B$5:$B$304,MATCH($B38,Embedded_Wall_Register!$A$5:$A$304,0)),IFERROR(INDEX(Manhole_Register!$B$5:$B$304,MATCH($B38,Manhole_Register!$A$5:$A$304,0)),IFERROR(INDEX(ERSS_Pit_Register!$B$5:$B$304,MATCH($B38,ERSS_Pit_Register!$A$5:$A$304,0)),IFERROR(INDEX(Linkway_Register!$B$5:$B$304,MATCH($B38,Linkway_Register!$A$5:$A$304,0)),IFERROR(INDEX(Other_Register!$B$5:$B$304,MATCH($B38,Other_Register!$A$5:$A$304,0)),"ID not found - check spelling"))))))))</f>
        <v/>
      </c>
      <c r="I38" s="10" t="str">
        <f aca="false">IF($B38="","",IFERROR(INDEX(Drain_Register!$AI$5:$AI$304,MATCH($B38,Drain_Register!$A$5:$A$304,0)),IFERROR(INDEX(RW_Register!$AO$5:$AO$304,MATCH($B38,RW_Register!$A$5:$A$304,0)),IFERROR(INDEX(Embedded_Wall_Register!$AM$5:$AM$304,MATCH($B38,Embedded_Wall_Register!$A$5:$A$304,0)),IFERROR(INDEX(Manhole_Register!$AM$5:$AM$304,MATCH($B38,Manhole_Register!$A$5:$A$304,0)),IFERROR(INDEX(ERSS_Pit_Register!$AG$5:$AG$304,MATCH($B38,ERSS_Pit_Register!$A$5:$A$304,0)),IFERROR(INDEX(Linkway_Register!$AI$5:$AI$304,MATCH($B38,Linkway_Register!$A$5:$A$304,0)),IFERROR(INDEX(Other_Register!$S$5:$S$304,MATCH($B38,Other_Register!$A$5:$A$304,0)),""))))))))</f>
        <v/>
      </c>
      <c r="J38" s="10" t="str">
        <f aca="false">IF($B38="","",IFERROR(INDEX(Drain_Register!$AJ$5:$AJ$304,MATCH($B38,Drain_Register!$A$5:$A$304,0)),IFERROR(INDEX(RW_Register!$AP$5:$AP$304,MATCH($B38,RW_Register!$A$5:$A$304,0)),IFERROR(INDEX(Embedded_Wall_Register!$AN$5:$AN$304,MATCH($B38,Embedded_Wall_Register!$A$5:$A$304,0)),IFERROR(INDEX(Manhole_Register!$AN$5:$AN$304,MATCH($B38,Manhole_Register!$A$5:$A$304,0)),IFERROR(INDEX(ERSS_Pit_Register!$AH$5:$AH$304,MATCH($B38,ERSS_Pit_Register!$A$5:$A$304,0)),IFERROR(INDEX(Linkway_Register!$AJ$5:$AJ$304,MATCH($B38,Linkway_Register!$A$5:$A$304,0)),IFERROR(INDEX(Other_Register!$T$5:$T$304,MATCH($B38,Other_Register!$A$5:$A$304,0)),""))))))))</f>
        <v/>
      </c>
      <c r="K38" s="10" t="str">
        <f aca="false">IF($B38="","",IFERROR(INDEX(Drain_Register!$AK$5:$AK$304,MATCH($B38,Drain_Register!$A$5:$A$304,0)),IFERROR(INDEX(RW_Register!$AQ$5:$AQ$304,MATCH($B38,RW_Register!$A$5:$A$304,0)),IFERROR(INDEX(Embedded_Wall_Register!$AO$5:$AO$304,MATCH($B38,Embedded_Wall_Register!$A$5:$A$304,0)),IFERROR(INDEX(Manhole_Register!$AO$5:$AO$304,MATCH($B38,Manhole_Register!$A$5:$A$304,0)),IFERROR(INDEX(ERSS_Pit_Register!$AI$5:$AI$304,MATCH($B38,ERSS_Pit_Register!$A$5:$A$304,0)),IFERROR(INDEX(Linkway_Register!$AK$5:$AK$304,MATCH($B38,Linkway_Register!$A$5:$A$304,0)),IFERROR(INDEX(Other_Register!$U$5:$U$304,MATCH($B38,Other_Register!$A$5:$A$304,0)),""))))))))</f>
        <v/>
      </c>
      <c r="L38" s="10" t="str">
        <f aca="false">IF($B38="","",IFERROR(INDEX(Drain_Register!$AL$5:$AL$304,MATCH($B38,Drain_Register!$A$5:$A$304,0)),IFERROR(INDEX(RW_Register!$AR$5:$AR$304,MATCH($B38,RW_Register!$A$5:$A$304,0)),IFERROR(INDEX(Embedded_Wall_Register!$AP$5:$AP$304,MATCH($B38,Embedded_Wall_Register!$A$5:$A$304,0)),IFERROR(INDEX(Manhole_Register!$AP$5:$AP$304,MATCH($B38,Manhole_Register!$A$5:$A$304,0)),IFERROR(INDEX(ERSS_Pit_Register!$AJ$5:$AJ$304,MATCH($B38,ERSS_Pit_Register!$A$5:$A$304,0)),IFERROR(INDEX(Linkway_Register!$AL$5:$AL$304,MATCH($B38,Linkway_Register!$A$5:$A$304,0)),IFERROR(INDEX(Other_Register!$V$5:$V$304,MATCH($B38,Other_Register!$A$5:$A$304,0)),""))))))))</f>
        <v/>
      </c>
      <c r="M38" s="10" t="str">
        <f aca="false">IF($B38="","",IFERROR(INDEX(Drain_Register!$AN$5:$AN$304,MATCH($B38,Drain_Register!$A$5:$A$304,0)),IFERROR(INDEX(RW_Register!$AT$5:$AT$304,MATCH($B38,RW_Register!$A$5:$A$304,0)),IFERROR(INDEX(Embedded_Wall_Register!$AR$5:$AR$304,MATCH($B38,Embedded_Wall_Register!$A$5:$A$304,0)),IFERROR(INDEX(Manhole_Register!$AR$5:$AR$304,MATCH($B38,Manhole_Register!$A$5:$A$304,0)),IFERROR(INDEX(ERSS_Pit_Register!$AL$5:$AL$304,MATCH($B38,ERSS_Pit_Register!$A$5:$A$304,0)),IFERROR(INDEX(Linkway_Register!$AN$5:$AN$304,MATCH($B38,Linkway_Register!$A$5:$A$304,0)),IFERROR(INDEX(Other_Register!$X$5:$X$304,MATCH($B38,Other_Register!$A$5:$A$304,0)),"")))))))&amp;IFERROR(INDEX(Drain_Register!$AO$5:$AO$304,MATCH($B38,Drain_Register!$A$5:$A$304,0)),IFERROR(INDEX(RW_Register!$AU$5:$AU$304,MATCH($B38,RW_Register!$A$5:$A$304,0)),IFERROR(INDEX(Embedded_Wall_Register!$AS$5:$AS$304,MATCH($B38,Embedded_Wall_Register!$A$5:$A$304,0)),IFERROR(INDEX(Manhole_Register!$AS$5:$AS$304,MATCH($B38,Manhole_Register!$A$5:$A$304,0)),IFERROR(INDEX(ERSS_Pit_Register!$AM$5:$AM$304,MATCH($B38,ERSS_Pit_Register!$A$5:$A$304,0)),IFERROR(INDEX(Linkway_Register!$AO$5:$AO$304,MATCH($B38,Linkway_Register!$A$5:$A$304,0)),IFERROR(INDEX(Other_Register!$Y$5:$Y$304,MATCH($B38,Other_Register!$A$5:$A$304,0)),""))))))))</f>
        <v/>
      </c>
      <c r="N38" s="19" t="str">
        <f aca="false">IF(OR($B38="",$D38=""),"",$D38*N(IFERROR(INDEX(Drain_Register!$AV$5:$AV$304,MATCH($B38,Drain_Register!$A$5:$A$304,0)),IFERROR(INDEX(RW_Register!$BB$5:$BB$304,MATCH($B38,RW_Register!$A$5:$A$304,0)),IFERROR(INDEX(Embedded_Wall_Register!$AZ$5:$AZ$304,MATCH($B38,Embedded_Wall_Register!$A$5:$A$304,0)),IFERROR(INDEX(Manhole_Register!$AZ$5:$AZ$304,MATCH($B38,Manhole_Register!$A$5:$A$304,0)),IFERROR(INDEX(ERSS_Pit_Register!$AT$5:$AT$304,MATCH($B38,ERSS_Pit_Register!$A$5:$A$304,0)),IFERROR(INDEX(Linkway_Register!$AV$5:$AV$304,MATCH($B38,Linkway_Register!$A$5:$A$304,0)),IFERROR(INDEX(Other_Register!$AF$5:$AF$304,MATCH($B38,Other_Register!$A$5:$A$304,0)),0)))))))))</f>
        <v/>
      </c>
      <c r="O38" s="20" t="str">
        <f aca="false">IF(OR($B38="",$D38=""),"",$D38*N(IFERROR(INDEX(Drain_Register!$AW$5:$AW$304,MATCH($B38,Drain_Register!$A$5:$A$304,0)),IFERROR(INDEX(RW_Register!$BC$5:$BC$304,MATCH($B38,RW_Register!$A$5:$A$304,0)),IFERROR(INDEX(Embedded_Wall_Register!$BA$5:$BA$304,MATCH($B38,Embedded_Wall_Register!$A$5:$A$304,0)),IFERROR(INDEX(Manhole_Register!$BA$5:$BA$304,MATCH($B38,Manhole_Register!$A$5:$A$304,0)),IFERROR(INDEX(ERSS_Pit_Register!$AU$5:$AU$304,MATCH($B38,ERSS_Pit_Register!$A$5:$A$304,0)),IFERROR(INDEX(Linkway_Register!$AW$5:$AW$304,MATCH($B38,Linkway_Register!$A$5:$A$304,0)),IFERROR(INDEX(Other_Register!$AG$5:$AG$304,MATCH($B38,Other_Register!$A$5:$A$304,0)),0))))))))/1000)</f>
        <v/>
      </c>
      <c r="P38" s="20" t="str">
        <f aca="false">IF(OR($B38="",$D38=""),"",$D38*N(IFERROR(INDEX(Drain_Register!$AX$5:$AX$304,MATCH($B38,Drain_Register!$A$5:$A$304,0)),IFERROR(INDEX(RW_Register!$BD$5:$BD$304,MATCH($B38,RW_Register!$A$5:$A$304,0)),IFERROR(INDEX(Embedded_Wall_Register!$BB$5:$BB$304,MATCH($B38,Embedded_Wall_Register!$A$5:$A$304,0)),IFERROR(INDEX(Manhole_Register!$BB$5:$BB$304,MATCH($B38,Manhole_Register!$A$5:$A$304,0)),IFERROR(INDEX(ERSS_Pit_Register!$AV$5:$AV$304,MATCH($B38,ERSS_Pit_Register!$A$5:$A$304,0)),IFERROR(INDEX(Linkway_Register!$AX$5:$AX$304,MATCH($B38,Linkway_Register!$A$5:$A$304,0)),IFERROR(INDEX(Other_Register!$AH$5:$AH$304,MATCH($B38,Other_Register!$A$5:$A$304,0)),0))))))))/1000)</f>
        <v/>
      </c>
      <c r="Q38" s="19" t="str">
        <f aca="false">IF(OR($B38="",$D38=""),"",$D38*N(IFERROR(INDEX(Drain_Register!$AY$5:$AY$304,MATCH($B38,Drain_Register!$A$5:$A$304,0)),IFERROR(INDEX(RW_Register!$BE$5:$BE$304,MATCH($B38,RW_Register!$A$5:$A$304,0)),IFERROR(INDEX(Embedded_Wall_Register!$BC$5:$BC$304,MATCH($B38,Embedded_Wall_Register!$A$5:$A$304,0)),IFERROR(INDEX(Manhole_Register!$BC$5:$BC$304,MATCH($B38,Manhole_Register!$A$5:$A$304,0)),IFERROR(INDEX(ERSS_Pit_Register!$AW$5:$AW$304,MATCH($B38,ERSS_Pit_Register!$A$5:$A$304,0)),IFERROR(INDEX(Linkway_Register!$AY$5:$AY$304,MATCH($B38,Linkway_Register!$A$5:$A$304,0)),IFERROR(INDEX(Other_Register!$AI$5:$AI$304,MATCH($B38,Other_Register!$A$5:$A$304,0)),0)))))))))</f>
        <v/>
      </c>
      <c r="R38" s="19" t="str">
        <f aca="false">IF(OR($B38="",$D38=""),"",$D38*N(IFERROR(INDEX(Drain_Register!$AZ$5:$AZ$304,MATCH($B38,Drain_Register!$A$5:$A$304,0)),IFERROR(INDEX(RW_Register!$BF$5:$BF$304,MATCH($B38,RW_Register!$A$5:$A$304,0)),IFERROR(INDEX(Embedded_Wall_Register!$BD$5:$BD$304,MATCH($B38,Embedded_Wall_Register!$A$5:$A$304,0)),IFERROR(INDEX(Manhole_Register!$BD$5:$BD$304,MATCH($B38,Manhole_Register!$A$5:$A$304,0)),IFERROR(INDEX(ERSS_Pit_Register!$AX$5:$AX$304,MATCH($B38,ERSS_Pit_Register!$A$5:$A$304,0)),IFERROR(INDEX(Linkway_Register!$AZ$5:$AZ$304,MATCH($B38,Linkway_Register!$A$5:$A$304,0)),IFERROR(INDEX(Other_Register!$AJ$5:$AJ$304,MATCH($B38,Other_Register!$A$5:$A$304,0)),0)))))))))</f>
        <v/>
      </c>
      <c r="S38" s="10" t="str">
        <f aca="false">IF($B38="","",IF(G38="","ID not found",IF(J38&lt;&gt;"Approved","WARNING: status is "&amp;J38,IF(IFERROR(INDEX(Drain_Register!$CA$5:$CA$304,MATCH($B38,Drain_Register!$A$5:$A$304,0)),IFERROR(INDEX(RW_Register!$CF$5:$CF$304,MATCH($B38,RW_Register!$A$5:$A$304,0)),IFERROR(INDEX(Embedded_Wall_Register!$CD$5:$CD$304,MATCH($B38,Embedded_Wall_Register!$A$5:$A$304,0)),IFERROR(INDEX(Manhole_Register!$CC$5:$CC$304,MATCH($B38,Manhole_Register!$A$5:$A$304,0)),IFERROR(INDEX(ERSS_Pit_Register!$BX$5:$BX$304,MATCH($B38,ERSS_Pit_Register!$A$5:$A$304,0)),IFERROR(INDEX(Linkway_Register!$BY$5:$BY$304,MATCH($B38,Linkway_Register!$A$5:$A$304,0)),IFERROR(INDEX(Other_Register!$BI$5:$BI$304,MATCH($B38,Other_Register!$A$5:$A$304,0)),"")))))))="N","WARNING: fails SG compliance check",IF(D38="","Enter length / qty",IF(E38="","Enter CAD sheet no.","OK"))))))</f>
        <v/>
      </c>
    </row>
    <row r="39" customFormat="false" ht="15" hidden="false" customHeight="false" outlineLevel="0" collapsed="false">
      <c r="A39" s="9"/>
      <c r="B39" s="9"/>
      <c r="C39" s="9"/>
      <c r="D39" s="9"/>
      <c r="E39" s="9"/>
      <c r="F39" s="10" t="str">
        <f aca="false">IF($B39="","",IFERROR(INDEX(Drain_Register!$AU$5:$AU$304,MATCH($B39,Drain_Register!$A$5:$A$304,0)),IFERROR(INDEX(RW_Register!$BA$5:$BA$304,MATCH($B39,RW_Register!$A$5:$A$304,0)),IFERROR(INDEX(Embedded_Wall_Register!$AY$5:$AY$304,MATCH($B39,Embedded_Wall_Register!$A$5:$A$304,0)),IFERROR(INDEX(Manhole_Register!$AY$5:$AY$304,MATCH($B39,Manhole_Register!$A$5:$A$304,0)),IFERROR(INDEX(ERSS_Pit_Register!$AS$5:$AS$304,MATCH($B39,ERSS_Pit_Register!$A$5:$A$304,0)),IFERROR(INDEX(Linkway_Register!$AU$5:$AU$304,MATCH($B39,Linkway_Register!$A$5:$A$304,0)),IFERROR(INDEX(Other_Register!$AE$5:$AE$304,MATCH($B39,Other_Register!$A$5:$A$304,0)),""))))))))</f>
        <v/>
      </c>
      <c r="G39" s="10" t="str">
        <f aca="false">IF($B39="","",IF(ISNUMBER(MATCH($B39,Drain_Register!$A$5:$A$304,0)),"Drain",IF(ISNUMBER(MATCH($B39,RW_Register!$A$5:$A$304,0)),"Ret. Wall",IF(ISNUMBER(MATCH($B39,Embedded_Wall_Register!$A$5:$A$304,0)),"Embedded Wall",IF(ISNUMBER(MATCH($B39,Manhole_Register!$A$5:$A$304,0)),"Manhole",IF(ISNUMBER(MATCH($B39,ERSS_Pit_Register!$A$5:$A$304,0)),"ERSS Pit",IF(ISNUMBER(MATCH($B39,Linkway_Register!$A$5:$A$304,0)),"Linkway",IF(ISNUMBER(MATCH($B39,Other_Register!$A$5:$A$304,0)),"Others",""))))))))</f>
        <v/>
      </c>
      <c r="H39" s="10" t="str">
        <f aca="false">IF($B39="","",IFERROR(INDEX(Drain_Register!$B$5:$B$304,MATCH($B39,Drain_Register!$A$5:$A$304,0)),IFERROR(INDEX(RW_Register!$B$5:$B$304,MATCH($B39,RW_Register!$A$5:$A$304,0)),IFERROR(INDEX(Embedded_Wall_Register!$B$5:$B$304,MATCH($B39,Embedded_Wall_Register!$A$5:$A$304,0)),IFERROR(INDEX(Manhole_Register!$B$5:$B$304,MATCH($B39,Manhole_Register!$A$5:$A$304,0)),IFERROR(INDEX(ERSS_Pit_Register!$B$5:$B$304,MATCH($B39,ERSS_Pit_Register!$A$5:$A$304,0)),IFERROR(INDEX(Linkway_Register!$B$5:$B$304,MATCH($B39,Linkway_Register!$A$5:$A$304,0)),IFERROR(INDEX(Other_Register!$B$5:$B$304,MATCH($B39,Other_Register!$A$5:$A$304,0)),"ID not found - check spelling"))))))))</f>
        <v/>
      </c>
      <c r="I39" s="10" t="str">
        <f aca="false">IF($B39="","",IFERROR(INDEX(Drain_Register!$AI$5:$AI$304,MATCH($B39,Drain_Register!$A$5:$A$304,0)),IFERROR(INDEX(RW_Register!$AO$5:$AO$304,MATCH($B39,RW_Register!$A$5:$A$304,0)),IFERROR(INDEX(Embedded_Wall_Register!$AM$5:$AM$304,MATCH($B39,Embedded_Wall_Register!$A$5:$A$304,0)),IFERROR(INDEX(Manhole_Register!$AM$5:$AM$304,MATCH($B39,Manhole_Register!$A$5:$A$304,0)),IFERROR(INDEX(ERSS_Pit_Register!$AG$5:$AG$304,MATCH($B39,ERSS_Pit_Register!$A$5:$A$304,0)),IFERROR(INDEX(Linkway_Register!$AI$5:$AI$304,MATCH($B39,Linkway_Register!$A$5:$A$304,0)),IFERROR(INDEX(Other_Register!$S$5:$S$304,MATCH($B39,Other_Register!$A$5:$A$304,0)),""))))))))</f>
        <v/>
      </c>
      <c r="J39" s="10" t="str">
        <f aca="false">IF($B39="","",IFERROR(INDEX(Drain_Register!$AJ$5:$AJ$304,MATCH($B39,Drain_Register!$A$5:$A$304,0)),IFERROR(INDEX(RW_Register!$AP$5:$AP$304,MATCH($B39,RW_Register!$A$5:$A$304,0)),IFERROR(INDEX(Embedded_Wall_Register!$AN$5:$AN$304,MATCH($B39,Embedded_Wall_Register!$A$5:$A$304,0)),IFERROR(INDEX(Manhole_Register!$AN$5:$AN$304,MATCH($B39,Manhole_Register!$A$5:$A$304,0)),IFERROR(INDEX(ERSS_Pit_Register!$AH$5:$AH$304,MATCH($B39,ERSS_Pit_Register!$A$5:$A$304,0)),IFERROR(INDEX(Linkway_Register!$AJ$5:$AJ$304,MATCH($B39,Linkway_Register!$A$5:$A$304,0)),IFERROR(INDEX(Other_Register!$T$5:$T$304,MATCH($B39,Other_Register!$A$5:$A$304,0)),""))))))))</f>
        <v/>
      </c>
      <c r="K39" s="10" t="str">
        <f aca="false">IF($B39="","",IFERROR(INDEX(Drain_Register!$AK$5:$AK$304,MATCH($B39,Drain_Register!$A$5:$A$304,0)),IFERROR(INDEX(RW_Register!$AQ$5:$AQ$304,MATCH($B39,RW_Register!$A$5:$A$304,0)),IFERROR(INDEX(Embedded_Wall_Register!$AO$5:$AO$304,MATCH($B39,Embedded_Wall_Register!$A$5:$A$304,0)),IFERROR(INDEX(Manhole_Register!$AO$5:$AO$304,MATCH($B39,Manhole_Register!$A$5:$A$304,0)),IFERROR(INDEX(ERSS_Pit_Register!$AI$5:$AI$304,MATCH($B39,ERSS_Pit_Register!$A$5:$A$304,0)),IFERROR(INDEX(Linkway_Register!$AK$5:$AK$304,MATCH($B39,Linkway_Register!$A$5:$A$304,0)),IFERROR(INDEX(Other_Register!$U$5:$U$304,MATCH($B39,Other_Register!$A$5:$A$304,0)),""))))))))</f>
        <v/>
      </c>
      <c r="L39" s="10" t="str">
        <f aca="false">IF($B39="","",IFERROR(INDEX(Drain_Register!$AL$5:$AL$304,MATCH($B39,Drain_Register!$A$5:$A$304,0)),IFERROR(INDEX(RW_Register!$AR$5:$AR$304,MATCH($B39,RW_Register!$A$5:$A$304,0)),IFERROR(INDEX(Embedded_Wall_Register!$AP$5:$AP$304,MATCH($B39,Embedded_Wall_Register!$A$5:$A$304,0)),IFERROR(INDEX(Manhole_Register!$AP$5:$AP$304,MATCH($B39,Manhole_Register!$A$5:$A$304,0)),IFERROR(INDEX(ERSS_Pit_Register!$AJ$5:$AJ$304,MATCH($B39,ERSS_Pit_Register!$A$5:$A$304,0)),IFERROR(INDEX(Linkway_Register!$AL$5:$AL$304,MATCH($B39,Linkway_Register!$A$5:$A$304,0)),IFERROR(INDEX(Other_Register!$V$5:$V$304,MATCH($B39,Other_Register!$A$5:$A$304,0)),""))))))))</f>
        <v/>
      </c>
      <c r="M39" s="10" t="str">
        <f aca="false">IF($B39="","",IFERROR(INDEX(Drain_Register!$AN$5:$AN$304,MATCH($B39,Drain_Register!$A$5:$A$304,0)),IFERROR(INDEX(RW_Register!$AT$5:$AT$304,MATCH($B39,RW_Register!$A$5:$A$304,0)),IFERROR(INDEX(Embedded_Wall_Register!$AR$5:$AR$304,MATCH($B39,Embedded_Wall_Register!$A$5:$A$304,0)),IFERROR(INDEX(Manhole_Register!$AR$5:$AR$304,MATCH($B39,Manhole_Register!$A$5:$A$304,0)),IFERROR(INDEX(ERSS_Pit_Register!$AL$5:$AL$304,MATCH($B39,ERSS_Pit_Register!$A$5:$A$304,0)),IFERROR(INDEX(Linkway_Register!$AN$5:$AN$304,MATCH($B39,Linkway_Register!$A$5:$A$304,0)),IFERROR(INDEX(Other_Register!$X$5:$X$304,MATCH($B39,Other_Register!$A$5:$A$304,0)),"")))))))&amp;IFERROR(INDEX(Drain_Register!$AO$5:$AO$304,MATCH($B39,Drain_Register!$A$5:$A$304,0)),IFERROR(INDEX(RW_Register!$AU$5:$AU$304,MATCH($B39,RW_Register!$A$5:$A$304,0)),IFERROR(INDEX(Embedded_Wall_Register!$AS$5:$AS$304,MATCH($B39,Embedded_Wall_Register!$A$5:$A$304,0)),IFERROR(INDEX(Manhole_Register!$AS$5:$AS$304,MATCH($B39,Manhole_Register!$A$5:$A$304,0)),IFERROR(INDEX(ERSS_Pit_Register!$AM$5:$AM$304,MATCH($B39,ERSS_Pit_Register!$A$5:$A$304,0)),IFERROR(INDEX(Linkway_Register!$AO$5:$AO$304,MATCH($B39,Linkway_Register!$A$5:$A$304,0)),IFERROR(INDEX(Other_Register!$Y$5:$Y$304,MATCH($B39,Other_Register!$A$5:$A$304,0)),""))))))))</f>
        <v/>
      </c>
      <c r="N39" s="19" t="str">
        <f aca="false">IF(OR($B39="",$D39=""),"",$D39*N(IFERROR(INDEX(Drain_Register!$AV$5:$AV$304,MATCH($B39,Drain_Register!$A$5:$A$304,0)),IFERROR(INDEX(RW_Register!$BB$5:$BB$304,MATCH($B39,RW_Register!$A$5:$A$304,0)),IFERROR(INDEX(Embedded_Wall_Register!$AZ$5:$AZ$304,MATCH($B39,Embedded_Wall_Register!$A$5:$A$304,0)),IFERROR(INDEX(Manhole_Register!$AZ$5:$AZ$304,MATCH($B39,Manhole_Register!$A$5:$A$304,0)),IFERROR(INDEX(ERSS_Pit_Register!$AT$5:$AT$304,MATCH($B39,ERSS_Pit_Register!$A$5:$A$304,0)),IFERROR(INDEX(Linkway_Register!$AV$5:$AV$304,MATCH($B39,Linkway_Register!$A$5:$A$304,0)),IFERROR(INDEX(Other_Register!$AF$5:$AF$304,MATCH($B39,Other_Register!$A$5:$A$304,0)),0)))))))))</f>
        <v/>
      </c>
      <c r="O39" s="20" t="str">
        <f aca="false">IF(OR($B39="",$D39=""),"",$D39*N(IFERROR(INDEX(Drain_Register!$AW$5:$AW$304,MATCH($B39,Drain_Register!$A$5:$A$304,0)),IFERROR(INDEX(RW_Register!$BC$5:$BC$304,MATCH($B39,RW_Register!$A$5:$A$304,0)),IFERROR(INDEX(Embedded_Wall_Register!$BA$5:$BA$304,MATCH($B39,Embedded_Wall_Register!$A$5:$A$304,0)),IFERROR(INDEX(Manhole_Register!$BA$5:$BA$304,MATCH($B39,Manhole_Register!$A$5:$A$304,0)),IFERROR(INDEX(ERSS_Pit_Register!$AU$5:$AU$304,MATCH($B39,ERSS_Pit_Register!$A$5:$A$304,0)),IFERROR(INDEX(Linkway_Register!$AW$5:$AW$304,MATCH($B39,Linkway_Register!$A$5:$A$304,0)),IFERROR(INDEX(Other_Register!$AG$5:$AG$304,MATCH($B39,Other_Register!$A$5:$A$304,0)),0))))))))/1000)</f>
        <v/>
      </c>
      <c r="P39" s="20" t="str">
        <f aca="false">IF(OR($B39="",$D39=""),"",$D39*N(IFERROR(INDEX(Drain_Register!$AX$5:$AX$304,MATCH($B39,Drain_Register!$A$5:$A$304,0)),IFERROR(INDEX(RW_Register!$BD$5:$BD$304,MATCH($B39,RW_Register!$A$5:$A$304,0)),IFERROR(INDEX(Embedded_Wall_Register!$BB$5:$BB$304,MATCH($B39,Embedded_Wall_Register!$A$5:$A$304,0)),IFERROR(INDEX(Manhole_Register!$BB$5:$BB$304,MATCH($B39,Manhole_Register!$A$5:$A$304,0)),IFERROR(INDEX(ERSS_Pit_Register!$AV$5:$AV$304,MATCH($B39,ERSS_Pit_Register!$A$5:$A$304,0)),IFERROR(INDEX(Linkway_Register!$AX$5:$AX$304,MATCH($B39,Linkway_Register!$A$5:$A$304,0)),IFERROR(INDEX(Other_Register!$AH$5:$AH$304,MATCH($B39,Other_Register!$A$5:$A$304,0)),0))))))))/1000)</f>
        <v/>
      </c>
      <c r="Q39" s="19" t="str">
        <f aca="false">IF(OR($B39="",$D39=""),"",$D39*N(IFERROR(INDEX(Drain_Register!$AY$5:$AY$304,MATCH($B39,Drain_Register!$A$5:$A$304,0)),IFERROR(INDEX(RW_Register!$BE$5:$BE$304,MATCH($B39,RW_Register!$A$5:$A$304,0)),IFERROR(INDEX(Embedded_Wall_Register!$BC$5:$BC$304,MATCH($B39,Embedded_Wall_Register!$A$5:$A$304,0)),IFERROR(INDEX(Manhole_Register!$BC$5:$BC$304,MATCH($B39,Manhole_Register!$A$5:$A$304,0)),IFERROR(INDEX(ERSS_Pit_Register!$AW$5:$AW$304,MATCH($B39,ERSS_Pit_Register!$A$5:$A$304,0)),IFERROR(INDEX(Linkway_Register!$AY$5:$AY$304,MATCH($B39,Linkway_Register!$A$5:$A$304,0)),IFERROR(INDEX(Other_Register!$AI$5:$AI$304,MATCH($B39,Other_Register!$A$5:$A$304,0)),0)))))))))</f>
        <v/>
      </c>
      <c r="R39" s="19" t="str">
        <f aca="false">IF(OR($B39="",$D39=""),"",$D39*N(IFERROR(INDEX(Drain_Register!$AZ$5:$AZ$304,MATCH($B39,Drain_Register!$A$5:$A$304,0)),IFERROR(INDEX(RW_Register!$BF$5:$BF$304,MATCH($B39,RW_Register!$A$5:$A$304,0)),IFERROR(INDEX(Embedded_Wall_Register!$BD$5:$BD$304,MATCH($B39,Embedded_Wall_Register!$A$5:$A$304,0)),IFERROR(INDEX(Manhole_Register!$BD$5:$BD$304,MATCH($B39,Manhole_Register!$A$5:$A$304,0)),IFERROR(INDEX(ERSS_Pit_Register!$AX$5:$AX$304,MATCH($B39,ERSS_Pit_Register!$A$5:$A$304,0)),IFERROR(INDEX(Linkway_Register!$AZ$5:$AZ$304,MATCH($B39,Linkway_Register!$A$5:$A$304,0)),IFERROR(INDEX(Other_Register!$AJ$5:$AJ$304,MATCH($B39,Other_Register!$A$5:$A$304,0)),0)))))))))</f>
        <v/>
      </c>
      <c r="S39" s="10" t="str">
        <f aca="false">IF($B39="","",IF(G39="","ID not found",IF(J39&lt;&gt;"Approved","WARNING: status is "&amp;J39,IF(IFERROR(INDEX(Drain_Register!$CA$5:$CA$304,MATCH($B39,Drain_Register!$A$5:$A$304,0)),IFERROR(INDEX(RW_Register!$CF$5:$CF$304,MATCH($B39,RW_Register!$A$5:$A$304,0)),IFERROR(INDEX(Embedded_Wall_Register!$CD$5:$CD$304,MATCH($B39,Embedded_Wall_Register!$A$5:$A$304,0)),IFERROR(INDEX(Manhole_Register!$CC$5:$CC$304,MATCH($B39,Manhole_Register!$A$5:$A$304,0)),IFERROR(INDEX(ERSS_Pit_Register!$BX$5:$BX$304,MATCH($B39,ERSS_Pit_Register!$A$5:$A$304,0)),IFERROR(INDEX(Linkway_Register!$BY$5:$BY$304,MATCH($B39,Linkway_Register!$A$5:$A$304,0)),IFERROR(INDEX(Other_Register!$BI$5:$BI$304,MATCH($B39,Other_Register!$A$5:$A$304,0)),"")))))))="N","WARNING: fails SG compliance check",IF(D39="","Enter length / qty",IF(E39="","Enter CAD sheet no.","OK"))))))</f>
        <v/>
      </c>
    </row>
    <row r="40" customFormat="false" ht="15" hidden="false" customHeight="false" outlineLevel="0" collapsed="false">
      <c r="A40" s="9"/>
      <c r="B40" s="9"/>
      <c r="C40" s="9"/>
      <c r="D40" s="9"/>
      <c r="E40" s="9"/>
      <c r="F40" s="10" t="str">
        <f aca="false">IF($B40="","",IFERROR(INDEX(Drain_Register!$AU$5:$AU$304,MATCH($B40,Drain_Register!$A$5:$A$304,0)),IFERROR(INDEX(RW_Register!$BA$5:$BA$304,MATCH($B40,RW_Register!$A$5:$A$304,0)),IFERROR(INDEX(Embedded_Wall_Register!$AY$5:$AY$304,MATCH($B40,Embedded_Wall_Register!$A$5:$A$304,0)),IFERROR(INDEX(Manhole_Register!$AY$5:$AY$304,MATCH($B40,Manhole_Register!$A$5:$A$304,0)),IFERROR(INDEX(ERSS_Pit_Register!$AS$5:$AS$304,MATCH($B40,ERSS_Pit_Register!$A$5:$A$304,0)),IFERROR(INDEX(Linkway_Register!$AU$5:$AU$304,MATCH($B40,Linkway_Register!$A$5:$A$304,0)),IFERROR(INDEX(Other_Register!$AE$5:$AE$304,MATCH($B40,Other_Register!$A$5:$A$304,0)),""))))))))</f>
        <v/>
      </c>
      <c r="G40" s="10" t="str">
        <f aca="false">IF($B40="","",IF(ISNUMBER(MATCH($B40,Drain_Register!$A$5:$A$304,0)),"Drain",IF(ISNUMBER(MATCH($B40,RW_Register!$A$5:$A$304,0)),"Ret. Wall",IF(ISNUMBER(MATCH($B40,Embedded_Wall_Register!$A$5:$A$304,0)),"Embedded Wall",IF(ISNUMBER(MATCH($B40,Manhole_Register!$A$5:$A$304,0)),"Manhole",IF(ISNUMBER(MATCH($B40,ERSS_Pit_Register!$A$5:$A$304,0)),"ERSS Pit",IF(ISNUMBER(MATCH($B40,Linkway_Register!$A$5:$A$304,0)),"Linkway",IF(ISNUMBER(MATCH($B40,Other_Register!$A$5:$A$304,0)),"Others",""))))))))</f>
        <v/>
      </c>
      <c r="H40" s="10" t="str">
        <f aca="false">IF($B40="","",IFERROR(INDEX(Drain_Register!$B$5:$B$304,MATCH($B40,Drain_Register!$A$5:$A$304,0)),IFERROR(INDEX(RW_Register!$B$5:$B$304,MATCH($B40,RW_Register!$A$5:$A$304,0)),IFERROR(INDEX(Embedded_Wall_Register!$B$5:$B$304,MATCH($B40,Embedded_Wall_Register!$A$5:$A$304,0)),IFERROR(INDEX(Manhole_Register!$B$5:$B$304,MATCH($B40,Manhole_Register!$A$5:$A$304,0)),IFERROR(INDEX(ERSS_Pit_Register!$B$5:$B$304,MATCH($B40,ERSS_Pit_Register!$A$5:$A$304,0)),IFERROR(INDEX(Linkway_Register!$B$5:$B$304,MATCH($B40,Linkway_Register!$A$5:$A$304,0)),IFERROR(INDEX(Other_Register!$B$5:$B$304,MATCH($B40,Other_Register!$A$5:$A$304,0)),"ID not found - check spelling"))))))))</f>
        <v/>
      </c>
      <c r="I40" s="10" t="str">
        <f aca="false">IF($B40="","",IFERROR(INDEX(Drain_Register!$AI$5:$AI$304,MATCH($B40,Drain_Register!$A$5:$A$304,0)),IFERROR(INDEX(RW_Register!$AO$5:$AO$304,MATCH($B40,RW_Register!$A$5:$A$304,0)),IFERROR(INDEX(Embedded_Wall_Register!$AM$5:$AM$304,MATCH($B40,Embedded_Wall_Register!$A$5:$A$304,0)),IFERROR(INDEX(Manhole_Register!$AM$5:$AM$304,MATCH($B40,Manhole_Register!$A$5:$A$304,0)),IFERROR(INDEX(ERSS_Pit_Register!$AG$5:$AG$304,MATCH($B40,ERSS_Pit_Register!$A$5:$A$304,0)),IFERROR(INDEX(Linkway_Register!$AI$5:$AI$304,MATCH($B40,Linkway_Register!$A$5:$A$304,0)),IFERROR(INDEX(Other_Register!$S$5:$S$304,MATCH($B40,Other_Register!$A$5:$A$304,0)),""))))))))</f>
        <v/>
      </c>
      <c r="J40" s="10" t="str">
        <f aca="false">IF($B40="","",IFERROR(INDEX(Drain_Register!$AJ$5:$AJ$304,MATCH($B40,Drain_Register!$A$5:$A$304,0)),IFERROR(INDEX(RW_Register!$AP$5:$AP$304,MATCH($B40,RW_Register!$A$5:$A$304,0)),IFERROR(INDEX(Embedded_Wall_Register!$AN$5:$AN$304,MATCH($B40,Embedded_Wall_Register!$A$5:$A$304,0)),IFERROR(INDEX(Manhole_Register!$AN$5:$AN$304,MATCH($B40,Manhole_Register!$A$5:$A$304,0)),IFERROR(INDEX(ERSS_Pit_Register!$AH$5:$AH$304,MATCH($B40,ERSS_Pit_Register!$A$5:$A$304,0)),IFERROR(INDEX(Linkway_Register!$AJ$5:$AJ$304,MATCH($B40,Linkway_Register!$A$5:$A$304,0)),IFERROR(INDEX(Other_Register!$T$5:$T$304,MATCH($B40,Other_Register!$A$5:$A$304,0)),""))))))))</f>
        <v/>
      </c>
      <c r="K40" s="10" t="str">
        <f aca="false">IF($B40="","",IFERROR(INDEX(Drain_Register!$AK$5:$AK$304,MATCH($B40,Drain_Register!$A$5:$A$304,0)),IFERROR(INDEX(RW_Register!$AQ$5:$AQ$304,MATCH($B40,RW_Register!$A$5:$A$304,0)),IFERROR(INDEX(Embedded_Wall_Register!$AO$5:$AO$304,MATCH($B40,Embedded_Wall_Register!$A$5:$A$304,0)),IFERROR(INDEX(Manhole_Register!$AO$5:$AO$304,MATCH($B40,Manhole_Register!$A$5:$A$304,0)),IFERROR(INDEX(ERSS_Pit_Register!$AI$5:$AI$304,MATCH($B40,ERSS_Pit_Register!$A$5:$A$304,0)),IFERROR(INDEX(Linkway_Register!$AK$5:$AK$304,MATCH($B40,Linkway_Register!$A$5:$A$304,0)),IFERROR(INDEX(Other_Register!$U$5:$U$304,MATCH($B40,Other_Register!$A$5:$A$304,0)),""))))))))</f>
        <v/>
      </c>
      <c r="L40" s="10" t="str">
        <f aca="false">IF($B40="","",IFERROR(INDEX(Drain_Register!$AL$5:$AL$304,MATCH($B40,Drain_Register!$A$5:$A$304,0)),IFERROR(INDEX(RW_Register!$AR$5:$AR$304,MATCH($B40,RW_Register!$A$5:$A$304,0)),IFERROR(INDEX(Embedded_Wall_Register!$AP$5:$AP$304,MATCH($B40,Embedded_Wall_Register!$A$5:$A$304,0)),IFERROR(INDEX(Manhole_Register!$AP$5:$AP$304,MATCH($B40,Manhole_Register!$A$5:$A$304,0)),IFERROR(INDEX(ERSS_Pit_Register!$AJ$5:$AJ$304,MATCH($B40,ERSS_Pit_Register!$A$5:$A$304,0)),IFERROR(INDEX(Linkway_Register!$AL$5:$AL$304,MATCH($B40,Linkway_Register!$A$5:$A$304,0)),IFERROR(INDEX(Other_Register!$V$5:$V$304,MATCH($B40,Other_Register!$A$5:$A$304,0)),""))))))))</f>
        <v/>
      </c>
      <c r="M40" s="10" t="str">
        <f aca="false">IF($B40="","",IFERROR(INDEX(Drain_Register!$AN$5:$AN$304,MATCH($B40,Drain_Register!$A$5:$A$304,0)),IFERROR(INDEX(RW_Register!$AT$5:$AT$304,MATCH($B40,RW_Register!$A$5:$A$304,0)),IFERROR(INDEX(Embedded_Wall_Register!$AR$5:$AR$304,MATCH($B40,Embedded_Wall_Register!$A$5:$A$304,0)),IFERROR(INDEX(Manhole_Register!$AR$5:$AR$304,MATCH($B40,Manhole_Register!$A$5:$A$304,0)),IFERROR(INDEX(ERSS_Pit_Register!$AL$5:$AL$304,MATCH($B40,ERSS_Pit_Register!$A$5:$A$304,0)),IFERROR(INDEX(Linkway_Register!$AN$5:$AN$304,MATCH($B40,Linkway_Register!$A$5:$A$304,0)),IFERROR(INDEX(Other_Register!$X$5:$X$304,MATCH($B40,Other_Register!$A$5:$A$304,0)),"")))))))&amp;IFERROR(INDEX(Drain_Register!$AO$5:$AO$304,MATCH($B40,Drain_Register!$A$5:$A$304,0)),IFERROR(INDEX(RW_Register!$AU$5:$AU$304,MATCH($B40,RW_Register!$A$5:$A$304,0)),IFERROR(INDEX(Embedded_Wall_Register!$AS$5:$AS$304,MATCH($B40,Embedded_Wall_Register!$A$5:$A$304,0)),IFERROR(INDEX(Manhole_Register!$AS$5:$AS$304,MATCH($B40,Manhole_Register!$A$5:$A$304,0)),IFERROR(INDEX(ERSS_Pit_Register!$AM$5:$AM$304,MATCH($B40,ERSS_Pit_Register!$A$5:$A$304,0)),IFERROR(INDEX(Linkway_Register!$AO$5:$AO$304,MATCH($B40,Linkway_Register!$A$5:$A$304,0)),IFERROR(INDEX(Other_Register!$Y$5:$Y$304,MATCH($B40,Other_Register!$A$5:$A$304,0)),""))))))))</f>
        <v/>
      </c>
      <c r="N40" s="19" t="str">
        <f aca="false">IF(OR($B40="",$D40=""),"",$D40*N(IFERROR(INDEX(Drain_Register!$AV$5:$AV$304,MATCH($B40,Drain_Register!$A$5:$A$304,0)),IFERROR(INDEX(RW_Register!$BB$5:$BB$304,MATCH($B40,RW_Register!$A$5:$A$304,0)),IFERROR(INDEX(Embedded_Wall_Register!$AZ$5:$AZ$304,MATCH($B40,Embedded_Wall_Register!$A$5:$A$304,0)),IFERROR(INDEX(Manhole_Register!$AZ$5:$AZ$304,MATCH($B40,Manhole_Register!$A$5:$A$304,0)),IFERROR(INDEX(ERSS_Pit_Register!$AT$5:$AT$304,MATCH($B40,ERSS_Pit_Register!$A$5:$A$304,0)),IFERROR(INDEX(Linkway_Register!$AV$5:$AV$304,MATCH($B40,Linkway_Register!$A$5:$A$304,0)),IFERROR(INDEX(Other_Register!$AF$5:$AF$304,MATCH($B40,Other_Register!$A$5:$A$304,0)),0)))))))))</f>
        <v/>
      </c>
      <c r="O40" s="20" t="str">
        <f aca="false">IF(OR($B40="",$D40=""),"",$D40*N(IFERROR(INDEX(Drain_Register!$AW$5:$AW$304,MATCH($B40,Drain_Register!$A$5:$A$304,0)),IFERROR(INDEX(RW_Register!$BC$5:$BC$304,MATCH($B40,RW_Register!$A$5:$A$304,0)),IFERROR(INDEX(Embedded_Wall_Register!$BA$5:$BA$304,MATCH($B40,Embedded_Wall_Register!$A$5:$A$304,0)),IFERROR(INDEX(Manhole_Register!$BA$5:$BA$304,MATCH($B40,Manhole_Register!$A$5:$A$304,0)),IFERROR(INDEX(ERSS_Pit_Register!$AU$5:$AU$304,MATCH($B40,ERSS_Pit_Register!$A$5:$A$304,0)),IFERROR(INDEX(Linkway_Register!$AW$5:$AW$304,MATCH($B40,Linkway_Register!$A$5:$A$304,0)),IFERROR(INDEX(Other_Register!$AG$5:$AG$304,MATCH($B40,Other_Register!$A$5:$A$304,0)),0))))))))/1000)</f>
        <v/>
      </c>
      <c r="P40" s="20" t="str">
        <f aca="false">IF(OR($B40="",$D40=""),"",$D40*N(IFERROR(INDEX(Drain_Register!$AX$5:$AX$304,MATCH($B40,Drain_Register!$A$5:$A$304,0)),IFERROR(INDEX(RW_Register!$BD$5:$BD$304,MATCH($B40,RW_Register!$A$5:$A$304,0)),IFERROR(INDEX(Embedded_Wall_Register!$BB$5:$BB$304,MATCH($B40,Embedded_Wall_Register!$A$5:$A$304,0)),IFERROR(INDEX(Manhole_Register!$BB$5:$BB$304,MATCH($B40,Manhole_Register!$A$5:$A$304,0)),IFERROR(INDEX(ERSS_Pit_Register!$AV$5:$AV$304,MATCH($B40,ERSS_Pit_Register!$A$5:$A$304,0)),IFERROR(INDEX(Linkway_Register!$AX$5:$AX$304,MATCH($B40,Linkway_Register!$A$5:$A$304,0)),IFERROR(INDEX(Other_Register!$AH$5:$AH$304,MATCH($B40,Other_Register!$A$5:$A$304,0)),0))))))))/1000)</f>
        <v/>
      </c>
      <c r="Q40" s="19" t="str">
        <f aca="false">IF(OR($B40="",$D40=""),"",$D40*N(IFERROR(INDEX(Drain_Register!$AY$5:$AY$304,MATCH($B40,Drain_Register!$A$5:$A$304,0)),IFERROR(INDEX(RW_Register!$BE$5:$BE$304,MATCH($B40,RW_Register!$A$5:$A$304,0)),IFERROR(INDEX(Embedded_Wall_Register!$BC$5:$BC$304,MATCH($B40,Embedded_Wall_Register!$A$5:$A$304,0)),IFERROR(INDEX(Manhole_Register!$BC$5:$BC$304,MATCH($B40,Manhole_Register!$A$5:$A$304,0)),IFERROR(INDEX(ERSS_Pit_Register!$AW$5:$AW$304,MATCH($B40,ERSS_Pit_Register!$A$5:$A$304,0)),IFERROR(INDEX(Linkway_Register!$AY$5:$AY$304,MATCH($B40,Linkway_Register!$A$5:$A$304,0)),IFERROR(INDEX(Other_Register!$AI$5:$AI$304,MATCH($B40,Other_Register!$A$5:$A$304,0)),0)))))))))</f>
        <v/>
      </c>
      <c r="R40" s="19" t="str">
        <f aca="false">IF(OR($B40="",$D40=""),"",$D40*N(IFERROR(INDEX(Drain_Register!$AZ$5:$AZ$304,MATCH($B40,Drain_Register!$A$5:$A$304,0)),IFERROR(INDEX(RW_Register!$BF$5:$BF$304,MATCH($B40,RW_Register!$A$5:$A$304,0)),IFERROR(INDEX(Embedded_Wall_Register!$BD$5:$BD$304,MATCH($B40,Embedded_Wall_Register!$A$5:$A$304,0)),IFERROR(INDEX(Manhole_Register!$BD$5:$BD$304,MATCH($B40,Manhole_Register!$A$5:$A$304,0)),IFERROR(INDEX(ERSS_Pit_Register!$AX$5:$AX$304,MATCH($B40,ERSS_Pit_Register!$A$5:$A$304,0)),IFERROR(INDEX(Linkway_Register!$AZ$5:$AZ$304,MATCH($B40,Linkway_Register!$A$5:$A$304,0)),IFERROR(INDEX(Other_Register!$AJ$5:$AJ$304,MATCH($B40,Other_Register!$A$5:$A$304,0)),0)))))))))</f>
        <v/>
      </c>
      <c r="S40" s="10" t="str">
        <f aca="false">IF($B40="","",IF(G40="","ID not found",IF(J40&lt;&gt;"Approved","WARNING: status is "&amp;J40,IF(IFERROR(INDEX(Drain_Register!$CA$5:$CA$304,MATCH($B40,Drain_Register!$A$5:$A$304,0)),IFERROR(INDEX(RW_Register!$CF$5:$CF$304,MATCH($B40,RW_Register!$A$5:$A$304,0)),IFERROR(INDEX(Embedded_Wall_Register!$CD$5:$CD$304,MATCH($B40,Embedded_Wall_Register!$A$5:$A$304,0)),IFERROR(INDEX(Manhole_Register!$CC$5:$CC$304,MATCH($B40,Manhole_Register!$A$5:$A$304,0)),IFERROR(INDEX(ERSS_Pit_Register!$BX$5:$BX$304,MATCH($B40,ERSS_Pit_Register!$A$5:$A$304,0)),IFERROR(INDEX(Linkway_Register!$BY$5:$BY$304,MATCH($B40,Linkway_Register!$A$5:$A$304,0)),IFERROR(INDEX(Other_Register!$BI$5:$BI$304,MATCH($B40,Other_Register!$A$5:$A$304,0)),"")))))))="N","WARNING: fails SG compliance check",IF(D40="","Enter length / qty",IF(E40="","Enter CAD sheet no.","OK"))))))</f>
        <v/>
      </c>
    </row>
    <row r="41" customFormat="false" ht="15" hidden="false" customHeight="false" outlineLevel="0" collapsed="false">
      <c r="A41" s="9"/>
      <c r="B41" s="9"/>
      <c r="C41" s="9"/>
      <c r="D41" s="9"/>
      <c r="E41" s="9"/>
      <c r="F41" s="10" t="str">
        <f aca="false">IF($B41="","",IFERROR(INDEX(Drain_Register!$AU$5:$AU$304,MATCH($B41,Drain_Register!$A$5:$A$304,0)),IFERROR(INDEX(RW_Register!$BA$5:$BA$304,MATCH($B41,RW_Register!$A$5:$A$304,0)),IFERROR(INDEX(Embedded_Wall_Register!$AY$5:$AY$304,MATCH($B41,Embedded_Wall_Register!$A$5:$A$304,0)),IFERROR(INDEX(Manhole_Register!$AY$5:$AY$304,MATCH($B41,Manhole_Register!$A$5:$A$304,0)),IFERROR(INDEX(ERSS_Pit_Register!$AS$5:$AS$304,MATCH($B41,ERSS_Pit_Register!$A$5:$A$304,0)),IFERROR(INDEX(Linkway_Register!$AU$5:$AU$304,MATCH($B41,Linkway_Register!$A$5:$A$304,0)),IFERROR(INDEX(Other_Register!$AE$5:$AE$304,MATCH($B41,Other_Register!$A$5:$A$304,0)),""))))))))</f>
        <v/>
      </c>
      <c r="G41" s="10" t="str">
        <f aca="false">IF($B41="","",IF(ISNUMBER(MATCH($B41,Drain_Register!$A$5:$A$304,0)),"Drain",IF(ISNUMBER(MATCH($B41,RW_Register!$A$5:$A$304,0)),"Ret. Wall",IF(ISNUMBER(MATCH($B41,Embedded_Wall_Register!$A$5:$A$304,0)),"Embedded Wall",IF(ISNUMBER(MATCH($B41,Manhole_Register!$A$5:$A$304,0)),"Manhole",IF(ISNUMBER(MATCH($B41,ERSS_Pit_Register!$A$5:$A$304,0)),"ERSS Pit",IF(ISNUMBER(MATCH($B41,Linkway_Register!$A$5:$A$304,0)),"Linkway",IF(ISNUMBER(MATCH($B41,Other_Register!$A$5:$A$304,0)),"Others",""))))))))</f>
        <v/>
      </c>
      <c r="H41" s="10" t="str">
        <f aca="false">IF($B41="","",IFERROR(INDEX(Drain_Register!$B$5:$B$304,MATCH($B41,Drain_Register!$A$5:$A$304,0)),IFERROR(INDEX(RW_Register!$B$5:$B$304,MATCH($B41,RW_Register!$A$5:$A$304,0)),IFERROR(INDEX(Embedded_Wall_Register!$B$5:$B$304,MATCH($B41,Embedded_Wall_Register!$A$5:$A$304,0)),IFERROR(INDEX(Manhole_Register!$B$5:$B$304,MATCH($B41,Manhole_Register!$A$5:$A$304,0)),IFERROR(INDEX(ERSS_Pit_Register!$B$5:$B$304,MATCH($B41,ERSS_Pit_Register!$A$5:$A$304,0)),IFERROR(INDEX(Linkway_Register!$B$5:$B$304,MATCH($B41,Linkway_Register!$A$5:$A$304,0)),IFERROR(INDEX(Other_Register!$B$5:$B$304,MATCH($B41,Other_Register!$A$5:$A$304,0)),"ID not found - check spelling"))))))))</f>
        <v/>
      </c>
      <c r="I41" s="10" t="str">
        <f aca="false">IF($B41="","",IFERROR(INDEX(Drain_Register!$AI$5:$AI$304,MATCH($B41,Drain_Register!$A$5:$A$304,0)),IFERROR(INDEX(RW_Register!$AO$5:$AO$304,MATCH($B41,RW_Register!$A$5:$A$304,0)),IFERROR(INDEX(Embedded_Wall_Register!$AM$5:$AM$304,MATCH($B41,Embedded_Wall_Register!$A$5:$A$304,0)),IFERROR(INDEX(Manhole_Register!$AM$5:$AM$304,MATCH($B41,Manhole_Register!$A$5:$A$304,0)),IFERROR(INDEX(ERSS_Pit_Register!$AG$5:$AG$304,MATCH($B41,ERSS_Pit_Register!$A$5:$A$304,0)),IFERROR(INDEX(Linkway_Register!$AI$5:$AI$304,MATCH($B41,Linkway_Register!$A$5:$A$304,0)),IFERROR(INDEX(Other_Register!$S$5:$S$304,MATCH($B41,Other_Register!$A$5:$A$304,0)),""))))))))</f>
        <v/>
      </c>
      <c r="J41" s="10" t="str">
        <f aca="false">IF($B41="","",IFERROR(INDEX(Drain_Register!$AJ$5:$AJ$304,MATCH($B41,Drain_Register!$A$5:$A$304,0)),IFERROR(INDEX(RW_Register!$AP$5:$AP$304,MATCH($B41,RW_Register!$A$5:$A$304,0)),IFERROR(INDEX(Embedded_Wall_Register!$AN$5:$AN$304,MATCH($B41,Embedded_Wall_Register!$A$5:$A$304,0)),IFERROR(INDEX(Manhole_Register!$AN$5:$AN$304,MATCH($B41,Manhole_Register!$A$5:$A$304,0)),IFERROR(INDEX(ERSS_Pit_Register!$AH$5:$AH$304,MATCH($B41,ERSS_Pit_Register!$A$5:$A$304,0)),IFERROR(INDEX(Linkway_Register!$AJ$5:$AJ$304,MATCH($B41,Linkway_Register!$A$5:$A$304,0)),IFERROR(INDEX(Other_Register!$T$5:$T$304,MATCH($B41,Other_Register!$A$5:$A$304,0)),""))))))))</f>
        <v/>
      </c>
      <c r="K41" s="10" t="str">
        <f aca="false">IF($B41="","",IFERROR(INDEX(Drain_Register!$AK$5:$AK$304,MATCH($B41,Drain_Register!$A$5:$A$304,0)),IFERROR(INDEX(RW_Register!$AQ$5:$AQ$304,MATCH($B41,RW_Register!$A$5:$A$304,0)),IFERROR(INDEX(Embedded_Wall_Register!$AO$5:$AO$304,MATCH($B41,Embedded_Wall_Register!$A$5:$A$304,0)),IFERROR(INDEX(Manhole_Register!$AO$5:$AO$304,MATCH($B41,Manhole_Register!$A$5:$A$304,0)),IFERROR(INDEX(ERSS_Pit_Register!$AI$5:$AI$304,MATCH($B41,ERSS_Pit_Register!$A$5:$A$304,0)),IFERROR(INDEX(Linkway_Register!$AK$5:$AK$304,MATCH($B41,Linkway_Register!$A$5:$A$304,0)),IFERROR(INDEX(Other_Register!$U$5:$U$304,MATCH($B41,Other_Register!$A$5:$A$304,0)),""))))))))</f>
        <v/>
      </c>
      <c r="L41" s="10" t="str">
        <f aca="false">IF($B41="","",IFERROR(INDEX(Drain_Register!$AL$5:$AL$304,MATCH($B41,Drain_Register!$A$5:$A$304,0)),IFERROR(INDEX(RW_Register!$AR$5:$AR$304,MATCH($B41,RW_Register!$A$5:$A$304,0)),IFERROR(INDEX(Embedded_Wall_Register!$AP$5:$AP$304,MATCH($B41,Embedded_Wall_Register!$A$5:$A$304,0)),IFERROR(INDEX(Manhole_Register!$AP$5:$AP$304,MATCH($B41,Manhole_Register!$A$5:$A$304,0)),IFERROR(INDEX(ERSS_Pit_Register!$AJ$5:$AJ$304,MATCH($B41,ERSS_Pit_Register!$A$5:$A$304,0)),IFERROR(INDEX(Linkway_Register!$AL$5:$AL$304,MATCH($B41,Linkway_Register!$A$5:$A$304,0)),IFERROR(INDEX(Other_Register!$V$5:$V$304,MATCH($B41,Other_Register!$A$5:$A$304,0)),""))))))))</f>
        <v/>
      </c>
      <c r="M41" s="10" t="str">
        <f aca="false">IF($B41="","",IFERROR(INDEX(Drain_Register!$AN$5:$AN$304,MATCH($B41,Drain_Register!$A$5:$A$304,0)),IFERROR(INDEX(RW_Register!$AT$5:$AT$304,MATCH($B41,RW_Register!$A$5:$A$304,0)),IFERROR(INDEX(Embedded_Wall_Register!$AR$5:$AR$304,MATCH($B41,Embedded_Wall_Register!$A$5:$A$304,0)),IFERROR(INDEX(Manhole_Register!$AR$5:$AR$304,MATCH($B41,Manhole_Register!$A$5:$A$304,0)),IFERROR(INDEX(ERSS_Pit_Register!$AL$5:$AL$304,MATCH($B41,ERSS_Pit_Register!$A$5:$A$304,0)),IFERROR(INDEX(Linkway_Register!$AN$5:$AN$304,MATCH($B41,Linkway_Register!$A$5:$A$304,0)),IFERROR(INDEX(Other_Register!$X$5:$X$304,MATCH($B41,Other_Register!$A$5:$A$304,0)),"")))))))&amp;IFERROR(INDEX(Drain_Register!$AO$5:$AO$304,MATCH($B41,Drain_Register!$A$5:$A$304,0)),IFERROR(INDEX(RW_Register!$AU$5:$AU$304,MATCH($B41,RW_Register!$A$5:$A$304,0)),IFERROR(INDEX(Embedded_Wall_Register!$AS$5:$AS$304,MATCH($B41,Embedded_Wall_Register!$A$5:$A$304,0)),IFERROR(INDEX(Manhole_Register!$AS$5:$AS$304,MATCH($B41,Manhole_Register!$A$5:$A$304,0)),IFERROR(INDEX(ERSS_Pit_Register!$AM$5:$AM$304,MATCH($B41,ERSS_Pit_Register!$A$5:$A$304,0)),IFERROR(INDEX(Linkway_Register!$AO$5:$AO$304,MATCH($B41,Linkway_Register!$A$5:$A$304,0)),IFERROR(INDEX(Other_Register!$Y$5:$Y$304,MATCH($B41,Other_Register!$A$5:$A$304,0)),""))))))))</f>
        <v/>
      </c>
      <c r="N41" s="19" t="str">
        <f aca="false">IF(OR($B41="",$D41=""),"",$D41*N(IFERROR(INDEX(Drain_Register!$AV$5:$AV$304,MATCH($B41,Drain_Register!$A$5:$A$304,0)),IFERROR(INDEX(RW_Register!$BB$5:$BB$304,MATCH($B41,RW_Register!$A$5:$A$304,0)),IFERROR(INDEX(Embedded_Wall_Register!$AZ$5:$AZ$304,MATCH($B41,Embedded_Wall_Register!$A$5:$A$304,0)),IFERROR(INDEX(Manhole_Register!$AZ$5:$AZ$304,MATCH($B41,Manhole_Register!$A$5:$A$304,0)),IFERROR(INDEX(ERSS_Pit_Register!$AT$5:$AT$304,MATCH($B41,ERSS_Pit_Register!$A$5:$A$304,0)),IFERROR(INDEX(Linkway_Register!$AV$5:$AV$304,MATCH($B41,Linkway_Register!$A$5:$A$304,0)),IFERROR(INDEX(Other_Register!$AF$5:$AF$304,MATCH($B41,Other_Register!$A$5:$A$304,0)),0)))))))))</f>
        <v/>
      </c>
      <c r="O41" s="20" t="str">
        <f aca="false">IF(OR($B41="",$D41=""),"",$D41*N(IFERROR(INDEX(Drain_Register!$AW$5:$AW$304,MATCH($B41,Drain_Register!$A$5:$A$304,0)),IFERROR(INDEX(RW_Register!$BC$5:$BC$304,MATCH($B41,RW_Register!$A$5:$A$304,0)),IFERROR(INDEX(Embedded_Wall_Register!$BA$5:$BA$304,MATCH($B41,Embedded_Wall_Register!$A$5:$A$304,0)),IFERROR(INDEX(Manhole_Register!$BA$5:$BA$304,MATCH($B41,Manhole_Register!$A$5:$A$304,0)),IFERROR(INDEX(ERSS_Pit_Register!$AU$5:$AU$304,MATCH($B41,ERSS_Pit_Register!$A$5:$A$304,0)),IFERROR(INDEX(Linkway_Register!$AW$5:$AW$304,MATCH($B41,Linkway_Register!$A$5:$A$304,0)),IFERROR(INDEX(Other_Register!$AG$5:$AG$304,MATCH($B41,Other_Register!$A$5:$A$304,0)),0))))))))/1000)</f>
        <v/>
      </c>
      <c r="P41" s="20" t="str">
        <f aca="false">IF(OR($B41="",$D41=""),"",$D41*N(IFERROR(INDEX(Drain_Register!$AX$5:$AX$304,MATCH($B41,Drain_Register!$A$5:$A$304,0)),IFERROR(INDEX(RW_Register!$BD$5:$BD$304,MATCH($B41,RW_Register!$A$5:$A$304,0)),IFERROR(INDEX(Embedded_Wall_Register!$BB$5:$BB$304,MATCH($B41,Embedded_Wall_Register!$A$5:$A$304,0)),IFERROR(INDEX(Manhole_Register!$BB$5:$BB$304,MATCH($B41,Manhole_Register!$A$5:$A$304,0)),IFERROR(INDEX(ERSS_Pit_Register!$AV$5:$AV$304,MATCH($B41,ERSS_Pit_Register!$A$5:$A$304,0)),IFERROR(INDEX(Linkway_Register!$AX$5:$AX$304,MATCH($B41,Linkway_Register!$A$5:$A$304,0)),IFERROR(INDEX(Other_Register!$AH$5:$AH$304,MATCH($B41,Other_Register!$A$5:$A$304,0)),0))))))))/1000)</f>
        <v/>
      </c>
      <c r="Q41" s="19" t="str">
        <f aca="false">IF(OR($B41="",$D41=""),"",$D41*N(IFERROR(INDEX(Drain_Register!$AY$5:$AY$304,MATCH($B41,Drain_Register!$A$5:$A$304,0)),IFERROR(INDEX(RW_Register!$BE$5:$BE$304,MATCH($B41,RW_Register!$A$5:$A$304,0)),IFERROR(INDEX(Embedded_Wall_Register!$BC$5:$BC$304,MATCH($B41,Embedded_Wall_Register!$A$5:$A$304,0)),IFERROR(INDEX(Manhole_Register!$BC$5:$BC$304,MATCH($B41,Manhole_Register!$A$5:$A$304,0)),IFERROR(INDEX(ERSS_Pit_Register!$AW$5:$AW$304,MATCH($B41,ERSS_Pit_Register!$A$5:$A$304,0)),IFERROR(INDEX(Linkway_Register!$AY$5:$AY$304,MATCH($B41,Linkway_Register!$A$5:$A$304,0)),IFERROR(INDEX(Other_Register!$AI$5:$AI$304,MATCH($B41,Other_Register!$A$5:$A$304,0)),0)))))))))</f>
        <v/>
      </c>
      <c r="R41" s="19" t="str">
        <f aca="false">IF(OR($B41="",$D41=""),"",$D41*N(IFERROR(INDEX(Drain_Register!$AZ$5:$AZ$304,MATCH($B41,Drain_Register!$A$5:$A$304,0)),IFERROR(INDEX(RW_Register!$BF$5:$BF$304,MATCH($B41,RW_Register!$A$5:$A$304,0)),IFERROR(INDEX(Embedded_Wall_Register!$BD$5:$BD$304,MATCH($B41,Embedded_Wall_Register!$A$5:$A$304,0)),IFERROR(INDEX(Manhole_Register!$BD$5:$BD$304,MATCH($B41,Manhole_Register!$A$5:$A$304,0)),IFERROR(INDEX(ERSS_Pit_Register!$AX$5:$AX$304,MATCH($B41,ERSS_Pit_Register!$A$5:$A$304,0)),IFERROR(INDEX(Linkway_Register!$AZ$5:$AZ$304,MATCH($B41,Linkway_Register!$A$5:$A$304,0)),IFERROR(INDEX(Other_Register!$AJ$5:$AJ$304,MATCH($B41,Other_Register!$A$5:$A$304,0)),0)))))))))</f>
        <v/>
      </c>
      <c r="S41" s="10" t="str">
        <f aca="false">IF($B41="","",IF(G41="","ID not found",IF(J41&lt;&gt;"Approved","WARNING: status is "&amp;J41,IF(IFERROR(INDEX(Drain_Register!$CA$5:$CA$304,MATCH($B41,Drain_Register!$A$5:$A$304,0)),IFERROR(INDEX(RW_Register!$CF$5:$CF$304,MATCH($B41,RW_Register!$A$5:$A$304,0)),IFERROR(INDEX(Embedded_Wall_Register!$CD$5:$CD$304,MATCH($B41,Embedded_Wall_Register!$A$5:$A$304,0)),IFERROR(INDEX(Manhole_Register!$CC$5:$CC$304,MATCH($B41,Manhole_Register!$A$5:$A$304,0)),IFERROR(INDEX(ERSS_Pit_Register!$BX$5:$BX$304,MATCH($B41,ERSS_Pit_Register!$A$5:$A$304,0)),IFERROR(INDEX(Linkway_Register!$BY$5:$BY$304,MATCH($B41,Linkway_Register!$A$5:$A$304,0)),IFERROR(INDEX(Other_Register!$BI$5:$BI$304,MATCH($B41,Other_Register!$A$5:$A$304,0)),"")))))))="N","WARNING: fails SG compliance check",IF(D41="","Enter length / qty",IF(E41="","Enter CAD sheet no.","OK"))))))</f>
        <v/>
      </c>
    </row>
    <row r="42" customFormat="false" ht="15" hidden="false" customHeight="false" outlineLevel="0" collapsed="false">
      <c r="A42" s="9"/>
      <c r="B42" s="9"/>
      <c r="C42" s="9"/>
      <c r="D42" s="9"/>
      <c r="E42" s="9"/>
      <c r="F42" s="10" t="str">
        <f aca="false">IF($B42="","",IFERROR(INDEX(Drain_Register!$AU$5:$AU$304,MATCH($B42,Drain_Register!$A$5:$A$304,0)),IFERROR(INDEX(RW_Register!$BA$5:$BA$304,MATCH($B42,RW_Register!$A$5:$A$304,0)),IFERROR(INDEX(Embedded_Wall_Register!$AY$5:$AY$304,MATCH($B42,Embedded_Wall_Register!$A$5:$A$304,0)),IFERROR(INDEX(Manhole_Register!$AY$5:$AY$304,MATCH($B42,Manhole_Register!$A$5:$A$304,0)),IFERROR(INDEX(ERSS_Pit_Register!$AS$5:$AS$304,MATCH($B42,ERSS_Pit_Register!$A$5:$A$304,0)),IFERROR(INDEX(Linkway_Register!$AU$5:$AU$304,MATCH($B42,Linkway_Register!$A$5:$A$304,0)),IFERROR(INDEX(Other_Register!$AE$5:$AE$304,MATCH($B42,Other_Register!$A$5:$A$304,0)),""))))))))</f>
        <v/>
      </c>
      <c r="G42" s="10" t="str">
        <f aca="false">IF($B42="","",IF(ISNUMBER(MATCH($B42,Drain_Register!$A$5:$A$304,0)),"Drain",IF(ISNUMBER(MATCH($B42,RW_Register!$A$5:$A$304,0)),"Ret. Wall",IF(ISNUMBER(MATCH($B42,Embedded_Wall_Register!$A$5:$A$304,0)),"Embedded Wall",IF(ISNUMBER(MATCH($B42,Manhole_Register!$A$5:$A$304,0)),"Manhole",IF(ISNUMBER(MATCH($B42,ERSS_Pit_Register!$A$5:$A$304,0)),"ERSS Pit",IF(ISNUMBER(MATCH($B42,Linkway_Register!$A$5:$A$304,0)),"Linkway",IF(ISNUMBER(MATCH($B42,Other_Register!$A$5:$A$304,0)),"Others",""))))))))</f>
        <v/>
      </c>
      <c r="H42" s="10" t="str">
        <f aca="false">IF($B42="","",IFERROR(INDEX(Drain_Register!$B$5:$B$304,MATCH($B42,Drain_Register!$A$5:$A$304,0)),IFERROR(INDEX(RW_Register!$B$5:$B$304,MATCH($B42,RW_Register!$A$5:$A$304,0)),IFERROR(INDEX(Embedded_Wall_Register!$B$5:$B$304,MATCH($B42,Embedded_Wall_Register!$A$5:$A$304,0)),IFERROR(INDEX(Manhole_Register!$B$5:$B$304,MATCH($B42,Manhole_Register!$A$5:$A$304,0)),IFERROR(INDEX(ERSS_Pit_Register!$B$5:$B$304,MATCH($B42,ERSS_Pit_Register!$A$5:$A$304,0)),IFERROR(INDEX(Linkway_Register!$B$5:$B$304,MATCH($B42,Linkway_Register!$A$5:$A$304,0)),IFERROR(INDEX(Other_Register!$B$5:$B$304,MATCH($B42,Other_Register!$A$5:$A$304,0)),"ID not found - check spelling"))))))))</f>
        <v/>
      </c>
      <c r="I42" s="10" t="str">
        <f aca="false">IF($B42="","",IFERROR(INDEX(Drain_Register!$AI$5:$AI$304,MATCH($B42,Drain_Register!$A$5:$A$304,0)),IFERROR(INDEX(RW_Register!$AO$5:$AO$304,MATCH($B42,RW_Register!$A$5:$A$304,0)),IFERROR(INDEX(Embedded_Wall_Register!$AM$5:$AM$304,MATCH($B42,Embedded_Wall_Register!$A$5:$A$304,0)),IFERROR(INDEX(Manhole_Register!$AM$5:$AM$304,MATCH($B42,Manhole_Register!$A$5:$A$304,0)),IFERROR(INDEX(ERSS_Pit_Register!$AG$5:$AG$304,MATCH($B42,ERSS_Pit_Register!$A$5:$A$304,0)),IFERROR(INDEX(Linkway_Register!$AI$5:$AI$304,MATCH($B42,Linkway_Register!$A$5:$A$304,0)),IFERROR(INDEX(Other_Register!$S$5:$S$304,MATCH($B42,Other_Register!$A$5:$A$304,0)),""))))))))</f>
        <v/>
      </c>
      <c r="J42" s="10" t="str">
        <f aca="false">IF($B42="","",IFERROR(INDEX(Drain_Register!$AJ$5:$AJ$304,MATCH($B42,Drain_Register!$A$5:$A$304,0)),IFERROR(INDEX(RW_Register!$AP$5:$AP$304,MATCH($B42,RW_Register!$A$5:$A$304,0)),IFERROR(INDEX(Embedded_Wall_Register!$AN$5:$AN$304,MATCH($B42,Embedded_Wall_Register!$A$5:$A$304,0)),IFERROR(INDEX(Manhole_Register!$AN$5:$AN$304,MATCH($B42,Manhole_Register!$A$5:$A$304,0)),IFERROR(INDEX(ERSS_Pit_Register!$AH$5:$AH$304,MATCH($B42,ERSS_Pit_Register!$A$5:$A$304,0)),IFERROR(INDEX(Linkway_Register!$AJ$5:$AJ$304,MATCH($B42,Linkway_Register!$A$5:$A$304,0)),IFERROR(INDEX(Other_Register!$T$5:$T$304,MATCH($B42,Other_Register!$A$5:$A$304,0)),""))))))))</f>
        <v/>
      </c>
      <c r="K42" s="10" t="str">
        <f aca="false">IF($B42="","",IFERROR(INDEX(Drain_Register!$AK$5:$AK$304,MATCH($B42,Drain_Register!$A$5:$A$304,0)),IFERROR(INDEX(RW_Register!$AQ$5:$AQ$304,MATCH($B42,RW_Register!$A$5:$A$304,0)),IFERROR(INDEX(Embedded_Wall_Register!$AO$5:$AO$304,MATCH($B42,Embedded_Wall_Register!$A$5:$A$304,0)),IFERROR(INDEX(Manhole_Register!$AO$5:$AO$304,MATCH($B42,Manhole_Register!$A$5:$A$304,0)),IFERROR(INDEX(ERSS_Pit_Register!$AI$5:$AI$304,MATCH($B42,ERSS_Pit_Register!$A$5:$A$304,0)),IFERROR(INDEX(Linkway_Register!$AK$5:$AK$304,MATCH($B42,Linkway_Register!$A$5:$A$304,0)),IFERROR(INDEX(Other_Register!$U$5:$U$304,MATCH($B42,Other_Register!$A$5:$A$304,0)),""))))))))</f>
        <v/>
      </c>
      <c r="L42" s="10" t="str">
        <f aca="false">IF($B42="","",IFERROR(INDEX(Drain_Register!$AL$5:$AL$304,MATCH($B42,Drain_Register!$A$5:$A$304,0)),IFERROR(INDEX(RW_Register!$AR$5:$AR$304,MATCH($B42,RW_Register!$A$5:$A$304,0)),IFERROR(INDEX(Embedded_Wall_Register!$AP$5:$AP$304,MATCH($B42,Embedded_Wall_Register!$A$5:$A$304,0)),IFERROR(INDEX(Manhole_Register!$AP$5:$AP$304,MATCH($B42,Manhole_Register!$A$5:$A$304,0)),IFERROR(INDEX(ERSS_Pit_Register!$AJ$5:$AJ$304,MATCH($B42,ERSS_Pit_Register!$A$5:$A$304,0)),IFERROR(INDEX(Linkway_Register!$AL$5:$AL$304,MATCH($B42,Linkway_Register!$A$5:$A$304,0)),IFERROR(INDEX(Other_Register!$V$5:$V$304,MATCH($B42,Other_Register!$A$5:$A$304,0)),""))))))))</f>
        <v/>
      </c>
      <c r="M42" s="10" t="str">
        <f aca="false">IF($B42="","",IFERROR(INDEX(Drain_Register!$AN$5:$AN$304,MATCH($B42,Drain_Register!$A$5:$A$304,0)),IFERROR(INDEX(RW_Register!$AT$5:$AT$304,MATCH($B42,RW_Register!$A$5:$A$304,0)),IFERROR(INDEX(Embedded_Wall_Register!$AR$5:$AR$304,MATCH($B42,Embedded_Wall_Register!$A$5:$A$304,0)),IFERROR(INDEX(Manhole_Register!$AR$5:$AR$304,MATCH($B42,Manhole_Register!$A$5:$A$304,0)),IFERROR(INDEX(ERSS_Pit_Register!$AL$5:$AL$304,MATCH($B42,ERSS_Pit_Register!$A$5:$A$304,0)),IFERROR(INDEX(Linkway_Register!$AN$5:$AN$304,MATCH($B42,Linkway_Register!$A$5:$A$304,0)),IFERROR(INDEX(Other_Register!$X$5:$X$304,MATCH($B42,Other_Register!$A$5:$A$304,0)),"")))))))&amp;IFERROR(INDEX(Drain_Register!$AO$5:$AO$304,MATCH($B42,Drain_Register!$A$5:$A$304,0)),IFERROR(INDEX(RW_Register!$AU$5:$AU$304,MATCH($B42,RW_Register!$A$5:$A$304,0)),IFERROR(INDEX(Embedded_Wall_Register!$AS$5:$AS$304,MATCH($B42,Embedded_Wall_Register!$A$5:$A$304,0)),IFERROR(INDEX(Manhole_Register!$AS$5:$AS$304,MATCH($B42,Manhole_Register!$A$5:$A$304,0)),IFERROR(INDEX(ERSS_Pit_Register!$AM$5:$AM$304,MATCH($B42,ERSS_Pit_Register!$A$5:$A$304,0)),IFERROR(INDEX(Linkway_Register!$AO$5:$AO$304,MATCH($B42,Linkway_Register!$A$5:$A$304,0)),IFERROR(INDEX(Other_Register!$Y$5:$Y$304,MATCH($B42,Other_Register!$A$5:$A$304,0)),""))))))))</f>
        <v/>
      </c>
      <c r="N42" s="19" t="str">
        <f aca="false">IF(OR($B42="",$D42=""),"",$D42*N(IFERROR(INDEX(Drain_Register!$AV$5:$AV$304,MATCH($B42,Drain_Register!$A$5:$A$304,0)),IFERROR(INDEX(RW_Register!$BB$5:$BB$304,MATCH($B42,RW_Register!$A$5:$A$304,0)),IFERROR(INDEX(Embedded_Wall_Register!$AZ$5:$AZ$304,MATCH($B42,Embedded_Wall_Register!$A$5:$A$304,0)),IFERROR(INDEX(Manhole_Register!$AZ$5:$AZ$304,MATCH($B42,Manhole_Register!$A$5:$A$304,0)),IFERROR(INDEX(ERSS_Pit_Register!$AT$5:$AT$304,MATCH($B42,ERSS_Pit_Register!$A$5:$A$304,0)),IFERROR(INDEX(Linkway_Register!$AV$5:$AV$304,MATCH($B42,Linkway_Register!$A$5:$A$304,0)),IFERROR(INDEX(Other_Register!$AF$5:$AF$304,MATCH($B42,Other_Register!$A$5:$A$304,0)),0)))))))))</f>
        <v/>
      </c>
      <c r="O42" s="20" t="str">
        <f aca="false">IF(OR($B42="",$D42=""),"",$D42*N(IFERROR(INDEX(Drain_Register!$AW$5:$AW$304,MATCH($B42,Drain_Register!$A$5:$A$304,0)),IFERROR(INDEX(RW_Register!$BC$5:$BC$304,MATCH($B42,RW_Register!$A$5:$A$304,0)),IFERROR(INDEX(Embedded_Wall_Register!$BA$5:$BA$304,MATCH($B42,Embedded_Wall_Register!$A$5:$A$304,0)),IFERROR(INDEX(Manhole_Register!$BA$5:$BA$304,MATCH($B42,Manhole_Register!$A$5:$A$304,0)),IFERROR(INDEX(ERSS_Pit_Register!$AU$5:$AU$304,MATCH($B42,ERSS_Pit_Register!$A$5:$A$304,0)),IFERROR(INDEX(Linkway_Register!$AW$5:$AW$304,MATCH($B42,Linkway_Register!$A$5:$A$304,0)),IFERROR(INDEX(Other_Register!$AG$5:$AG$304,MATCH($B42,Other_Register!$A$5:$A$304,0)),0))))))))/1000)</f>
        <v/>
      </c>
      <c r="P42" s="20" t="str">
        <f aca="false">IF(OR($B42="",$D42=""),"",$D42*N(IFERROR(INDEX(Drain_Register!$AX$5:$AX$304,MATCH($B42,Drain_Register!$A$5:$A$304,0)),IFERROR(INDEX(RW_Register!$BD$5:$BD$304,MATCH($B42,RW_Register!$A$5:$A$304,0)),IFERROR(INDEX(Embedded_Wall_Register!$BB$5:$BB$304,MATCH($B42,Embedded_Wall_Register!$A$5:$A$304,0)),IFERROR(INDEX(Manhole_Register!$BB$5:$BB$304,MATCH($B42,Manhole_Register!$A$5:$A$304,0)),IFERROR(INDEX(ERSS_Pit_Register!$AV$5:$AV$304,MATCH($B42,ERSS_Pit_Register!$A$5:$A$304,0)),IFERROR(INDEX(Linkway_Register!$AX$5:$AX$304,MATCH($B42,Linkway_Register!$A$5:$A$304,0)),IFERROR(INDEX(Other_Register!$AH$5:$AH$304,MATCH($B42,Other_Register!$A$5:$A$304,0)),0))))))))/1000)</f>
        <v/>
      </c>
      <c r="Q42" s="19" t="str">
        <f aca="false">IF(OR($B42="",$D42=""),"",$D42*N(IFERROR(INDEX(Drain_Register!$AY$5:$AY$304,MATCH($B42,Drain_Register!$A$5:$A$304,0)),IFERROR(INDEX(RW_Register!$BE$5:$BE$304,MATCH($B42,RW_Register!$A$5:$A$304,0)),IFERROR(INDEX(Embedded_Wall_Register!$BC$5:$BC$304,MATCH($B42,Embedded_Wall_Register!$A$5:$A$304,0)),IFERROR(INDEX(Manhole_Register!$BC$5:$BC$304,MATCH($B42,Manhole_Register!$A$5:$A$304,0)),IFERROR(INDEX(ERSS_Pit_Register!$AW$5:$AW$304,MATCH($B42,ERSS_Pit_Register!$A$5:$A$304,0)),IFERROR(INDEX(Linkway_Register!$AY$5:$AY$304,MATCH($B42,Linkway_Register!$A$5:$A$304,0)),IFERROR(INDEX(Other_Register!$AI$5:$AI$304,MATCH($B42,Other_Register!$A$5:$A$304,0)),0)))))))))</f>
        <v/>
      </c>
      <c r="R42" s="19" t="str">
        <f aca="false">IF(OR($B42="",$D42=""),"",$D42*N(IFERROR(INDEX(Drain_Register!$AZ$5:$AZ$304,MATCH($B42,Drain_Register!$A$5:$A$304,0)),IFERROR(INDEX(RW_Register!$BF$5:$BF$304,MATCH($B42,RW_Register!$A$5:$A$304,0)),IFERROR(INDEX(Embedded_Wall_Register!$BD$5:$BD$304,MATCH($B42,Embedded_Wall_Register!$A$5:$A$304,0)),IFERROR(INDEX(Manhole_Register!$BD$5:$BD$304,MATCH($B42,Manhole_Register!$A$5:$A$304,0)),IFERROR(INDEX(ERSS_Pit_Register!$AX$5:$AX$304,MATCH($B42,ERSS_Pit_Register!$A$5:$A$304,0)),IFERROR(INDEX(Linkway_Register!$AZ$5:$AZ$304,MATCH($B42,Linkway_Register!$A$5:$A$304,0)),IFERROR(INDEX(Other_Register!$AJ$5:$AJ$304,MATCH($B42,Other_Register!$A$5:$A$304,0)),0)))))))))</f>
        <v/>
      </c>
      <c r="S42" s="10" t="str">
        <f aca="false">IF($B42="","",IF(G42="","ID not found",IF(J42&lt;&gt;"Approved","WARNING: status is "&amp;J42,IF(IFERROR(INDEX(Drain_Register!$CA$5:$CA$304,MATCH($B42,Drain_Register!$A$5:$A$304,0)),IFERROR(INDEX(RW_Register!$CF$5:$CF$304,MATCH($B42,RW_Register!$A$5:$A$304,0)),IFERROR(INDEX(Embedded_Wall_Register!$CD$5:$CD$304,MATCH($B42,Embedded_Wall_Register!$A$5:$A$304,0)),IFERROR(INDEX(Manhole_Register!$CC$5:$CC$304,MATCH($B42,Manhole_Register!$A$5:$A$304,0)),IFERROR(INDEX(ERSS_Pit_Register!$BX$5:$BX$304,MATCH($B42,ERSS_Pit_Register!$A$5:$A$304,0)),IFERROR(INDEX(Linkway_Register!$BY$5:$BY$304,MATCH($B42,Linkway_Register!$A$5:$A$304,0)),IFERROR(INDEX(Other_Register!$BI$5:$BI$304,MATCH($B42,Other_Register!$A$5:$A$304,0)),"")))))))="N","WARNING: fails SG compliance check",IF(D42="","Enter length / qty",IF(E42="","Enter CAD sheet no.","OK"))))))</f>
        <v/>
      </c>
    </row>
    <row r="43" customFormat="false" ht="15" hidden="false" customHeight="false" outlineLevel="0" collapsed="false">
      <c r="A43" s="9"/>
      <c r="B43" s="9"/>
      <c r="C43" s="9"/>
      <c r="D43" s="9"/>
      <c r="E43" s="9"/>
      <c r="F43" s="10" t="str">
        <f aca="false">IF($B43="","",IFERROR(INDEX(Drain_Register!$AU$5:$AU$304,MATCH($B43,Drain_Register!$A$5:$A$304,0)),IFERROR(INDEX(RW_Register!$BA$5:$BA$304,MATCH($B43,RW_Register!$A$5:$A$304,0)),IFERROR(INDEX(Embedded_Wall_Register!$AY$5:$AY$304,MATCH($B43,Embedded_Wall_Register!$A$5:$A$304,0)),IFERROR(INDEX(Manhole_Register!$AY$5:$AY$304,MATCH($B43,Manhole_Register!$A$5:$A$304,0)),IFERROR(INDEX(ERSS_Pit_Register!$AS$5:$AS$304,MATCH($B43,ERSS_Pit_Register!$A$5:$A$304,0)),IFERROR(INDEX(Linkway_Register!$AU$5:$AU$304,MATCH($B43,Linkway_Register!$A$5:$A$304,0)),IFERROR(INDEX(Other_Register!$AE$5:$AE$304,MATCH($B43,Other_Register!$A$5:$A$304,0)),""))))))))</f>
        <v/>
      </c>
      <c r="G43" s="10" t="str">
        <f aca="false">IF($B43="","",IF(ISNUMBER(MATCH($B43,Drain_Register!$A$5:$A$304,0)),"Drain",IF(ISNUMBER(MATCH($B43,RW_Register!$A$5:$A$304,0)),"Ret. Wall",IF(ISNUMBER(MATCH($B43,Embedded_Wall_Register!$A$5:$A$304,0)),"Embedded Wall",IF(ISNUMBER(MATCH($B43,Manhole_Register!$A$5:$A$304,0)),"Manhole",IF(ISNUMBER(MATCH($B43,ERSS_Pit_Register!$A$5:$A$304,0)),"ERSS Pit",IF(ISNUMBER(MATCH($B43,Linkway_Register!$A$5:$A$304,0)),"Linkway",IF(ISNUMBER(MATCH($B43,Other_Register!$A$5:$A$304,0)),"Others",""))))))))</f>
        <v/>
      </c>
      <c r="H43" s="10" t="str">
        <f aca="false">IF($B43="","",IFERROR(INDEX(Drain_Register!$B$5:$B$304,MATCH($B43,Drain_Register!$A$5:$A$304,0)),IFERROR(INDEX(RW_Register!$B$5:$B$304,MATCH($B43,RW_Register!$A$5:$A$304,0)),IFERROR(INDEX(Embedded_Wall_Register!$B$5:$B$304,MATCH($B43,Embedded_Wall_Register!$A$5:$A$304,0)),IFERROR(INDEX(Manhole_Register!$B$5:$B$304,MATCH($B43,Manhole_Register!$A$5:$A$304,0)),IFERROR(INDEX(ERSS_Pit_Register!$B$5:$B$304,MATCH($B43,ERSS_Pit_Register!$A$5:$A$304,0)),IFERROR(INDEX(Linkway_Register!$B$5:$B$304,MATCH($B43,Linkway_Register!$A$5:$A$304,0)),IFERROR(INDEX(Other_Register!$B$5:$B$304,MATCH($B43,Other_Register!$A$5:$A$304,0)),"ID not found - check spelling"))))))))</f>
        <v/>
      </c>
      <c r="I43" s="10" t="str">
        <f aca="false">IF($B43="","",IFERROR(INDEX(Drain_Register!$AI$5:$AI$304,MATCH($B43,Drain_Register!$A$5:$A$304,0)),IFERROR(INDEX(RW_Register!$AO$5:$AO$304,MATCH($B43,RW_Register!$A$5:$A$304,0)),IFERROR(INDEX(Embedded_Wall_Register!$AM$5:$AM$304,MATCH($B43,Embedded_Wall_Register!$A$5:$A$304,0)),IFERROR(INDEX(Manhole_Register!$AM$5:$AM$304,MATCH($B43,Manhole_Register!$A$5:$A$304,0)),IFERROR(INDEX(ERSS_Pit_Register!$AG$5:$AG$304,MATCH($B43,ERSS_Pit_Register!$A$5:$A$304,0)),IFERROR(INDEX(Linkway_Register!$AI$5:$AI$304,MATCH($B43,Linkway_Register!$A$5:$A$304,0)),IFERROR(INDEX(Other_Register!$S$5:$S$304,MATCH($B43,Other_Register!$A$5:$A$304,0)),""))))))))</f>
        <v/>
      </c>
      <c r="J43" s="10" t="str">
        <f aca="false">IF($B43="","",IFERROR(INDEX(Drain_Register!$AJ$5:$AJ$304,MATCH($B43,Drain_Register!$A$5:$A$304,0)),IFERROR(INDEX(RW_Register!$AP$5:$AP$304,MATCH($B43,RW_Register!$A$5:$A$304,0)),IFERROR(INDEX(Embedded_Wall_Register!$AN$5:$AN$304,MATCH($B43,Embedded_Wall_Register!$A$5:$A$304,0)),IFERROR(INDEX(Manhole_Register!$AN$5:$AN$304,MATCH($B43,Manhole_Register!$A$5:$A$304,0)),IFERROR(INDEX(ERSS_Pit_Register!$AH$5:$AH$304,MATCH($B43,ERSS_Pit_Register!$A$5:$A$304,0)),IFERROR(INDEX(Linkway_Register!$AJ$5:$AJ$304,MATCH($B43,Linkway_Register!$A$5:$A$304,0)),IFERROR(INDEX(Other_Register!$T$5:$T$304,MATCH($B43,Other_Register!$A$5:$A$304,0)),""))))))))</f>
        <v/>
      </c>
      <c r="K43" s="10" t="str">
        <f aca="false">IF($B43="","",IFERROR(INDEX(Drain_Register!$AK$5:$AK$304,MATCH($B43,Drain_Register!$A$5:$A$304,0)),IFERROR(INDEX(RW_Register!$AQ$5:$AQ$304,MATCH($B43,RW_Register!$A$5:$A$304,0)),IFERROR(INDEX(Embedded_Wall_Register!$AO$5:$AO$304,MATCH($B43,Embedded_Wall_Register!$A$5:$A$304,0)),IFERROR(INDEX(Manhole_Register!$AO$5:$AO$304,MATCH($B43,Manhole_Register!$A$5:$A$304,0)),IFERROR(INDEX(ERSS_Pit_Register!$AI$5:$AI$304,MATCH($B43,ERSS_Pit_Register!$A$5:$A$304,0)),IFERROR(INDEX(Linkway_Register!$AK$5:$AK$304,MATCH($B43,Linkway_Register!$A$5:$A$304,0)),IFERROR(INDEX(Other_Register!$U$5:$U$304,MATCH($B43,Other_Register!$A$5:$A$304,0)),""))))))))</f>
        <v/>
      </c>
      <c r="L43" s="10" t="str">
        <f aca="false">IF($B43="","",IFERROR(INDEX(Drain_Register!$AL$5:$AL$304,MATCH($B43,Drain_Register!$A$5:$A$304,0)),IFERROR(INDEX(RW_Register!$AR$5:$AR$304,MATCH($B43,RW_Register!$A$5:$A$304,0)),IFERROR(INDEX(Embedded_Wall_Register!$AP$5:$AP$304,MATCH($B43,Embedded_Wall_Register!$A$5:$A$304,0)),IFERROR(INDEX(Manhole_Register!$AP$5:$AP$304,MATCH($B43,Manhole_Register!$A$5:$A$304,0)),IFERROR(INDEX(ERSS_Pit_Register!$AJ$5:$AJ$304,MATCH($B43,ERSS_Pit_Register!$A$5:$A$304,0)),IFERROR(INDEX(Linkway_Register!$AL$5:$AL$304,MATCH($B43,Linkway_Register!$A$5:$A$304,0)),IFERROR(INDEX(Other_Register!$V$5:$V$304,MATCH($B43,Other_Register!$A$5:$A$304,0)),""))))))))</f>
        <v/>
      </c>
      <c r="M43" s="10" t="str">
        <f aca="false">IF($B43="","",IFERROR(INDEX(Drain_Register!$AN$5:$AN$304,MATCH($B43,Drain_Register!$A$5:$A$304,0)),IFERROR(INDEX(RW_Register!$AT$5:$AT$304,MATCH($B43,RW_Register!$A$5:$A$304,0)),IFERROR(INDEX(Embedded_Wall_Register!$AR$5:$AR$304,MATCH($B43,Embedded_Wall_Register!$A$5:$A$304,0)),IFERROR(INDEX(Manhole_Register!$AR$5:$AR$304,MATCH($B43,Manhole_Register!$A$5:$A$304,0)),IFERROR(INDEX(ERSS_Pit_Register!$AL$5:$AL$304,MATCH($B43,ERSS_Pit_Register!$A$5:$A$304,0)),IFERROR(INDEX(Linkway_Register!$AN$5:$AN$304,MATCH($B43,Linkway_Register!$A$5:$A$304,0)),IFERROR(INDEX(Other_Register!$X$5:$X$304,MATCH($B43,Other_Register!$A$5:$A$304,0)),"")))))))&amp;IFERROR(INDEX(Drain_Register!$AO$5:$AO$304,MATCH($B43,Drain_Register!$A$5:$A$304,0)),IFERROR(INDEX(RW_Register!$AU$5:$AU$304,MATCH($B43,RW_Register!$A$5:$A$304,0)),IFERROR(INDEX(Embedded_Wall_Register!$AS$5:$AS$304,MATCH($B43,Embedded_Wall_Register!$A$5:$A$304,0)),IFERROR(INDEX(Manhole_Register!$AS$5:$AS$304,MATCH($B43,Manhole_Register!$A$5:$A$304,0)),IFERROR(INDEX(ERSS_Pit_Register!$AM$5:$AM$304,MATCH($B43,ERSS_Pit_Register!$A$5:$A$304,0)),IFERROR(INDEX(Linkway_Register!$AO$5:$AO$304,MATCH($B43,Linkway_Register!$A$5:$A$304,0)),IFERROR(INDEX(Other_Register!$Y$5:$Y$304,MATCH($B43,Other_Register!$A$5:$A$304,0)),""))))))))</f>
        <v/>
      </c>
      <c r="N43" s="19" t="str">
        <f aca="false">IF(OR($B43="",$D43=""),"",$D43*N(IFERROR(INDEX(Drain_Register!$AV$5:$AV$304,MATCH($B43,Drain_Register!$A$5:$A$304,0)),IFERROR(INDEX(RW_Register!$BB$5:$BB$304,MATCH($B43,RW_Register!$A$5:$A$304,0)),IFERROR(INDEX(Embedded_Wall_Register!$AZ$5:$AZ$304,MATCH($B43,Embedded_Wall_Register!$A$5:$A$304,0)),IFERROR(INDEX(Manhole_Register!$AZ$5:$AZ$304,MATCH($B43,Manhole_Register!$A$5:$A$304,0)),IFERROR(INDEX(ERSS_Pit_Register!$AT$5:$AT$304,MATCH($B43,ERSS_Pit_Register!$A$5:$A$304,0)),IFERROR(INDEX(Linkway_Register!$AV$5:$AV$304,MATCH($B43,Linkway_Register!$A$5:$A$304,0)),IFERROR(INDEX(Other_Register!$AF$5:$AF$304,MATCH($B43,Other_Register!$A$5:$A$304,0)),0)))))))))</f>
        <v/>
      </c>
      <c r="O43" s="20" t="str">
        <f aca="false">IF(OR($B43="",$D43=""),"",$D43*N(IFERROR(INDEX(Drain_Register!$AW$5:$AW$304,MATCH($B43,Drain_Register!$A$5:$A$304,0)),IFERROR(INDEX(RW_Register!$BC$5:$BC$304,MATCH($B43,RW_Register!$A$5:$A$304,0)),IFERROR(INDEX(Embedded_Wall_Register!$BA$5:$BA$304,MATCH($B43,Embedded_Wall_Register!$A$5:$A$304,0)),IFERROR(INDEX(Manhole_Register!$BA$5:$BA$304,MATCH($B43,Manhole_Register!$A$5:$A$304,0)),IFERROR(INDEX(ERSS_Pit_Register!$AU$5:$AU$304,MATCH($B43,ERSS_Pit_Register!$A$5:$A$304,0)),IFERROR(INDEX(Linkway_Register!$AW$5:$AW$304,MATCH($B43,Linkway_Register!$A$5:$A$304,0)),IFERROR(INDEX(Other_Register!$AG$5:$AG$304,MATCH($B43,Other_Register!$A$5:$A$304,0)),0))))))))/1000)</f>
        <v/>
      </c>
      <c r="P43" s="20" t="str">
        <f aca="false">IF(OR($B43="",$D43=""),"",$D43*N(IFERROR(INDEX(Drain_Register!$AX$5:$AX$304,MATCH($B43,Drain_Register!$A$5:$A$304,0)),IFERROR(INDEX(RW_Register!$BD$5:$BD$304,MATCH($B43,RW_Register!$A$5:$A$304,0)),IFERROR(INDEX(Embedded_Wall_Register!$BB$5:$BB$304,MATCH($B43,Embedded_Wall_Register!$A$5:$A$304,0)),IFERROR(INDEX(Manhole_Register!$BB$5:$BB$304,MATCH($B43,Manhole_Register!$A$5:$A$304,0)),IFERROR(INDEX(ERSS_Pit_Register!$AV$5:$AV$304,MATCH($B43,ERSS_Pit_Register!$A$5:$A$304,0)),IFERROR(INDEX(Linkway_Register!$AX$5:$AX$304,MATCH($B43,Linkway_Register!$A$5:$A$304,0)),IFERROR(INDEX(Other_Register!$AH$5:$AH$304,MATCH($B43,Other_Register!$A$5:$A$304,0)),0))))))))/1000)</f>
        <v/>
      </c>
      <c r="Q43" s="19" t="str">
        <f aca="false">IF(OR($B43="",$D43=""),"",$D43*N(IFERROR(INDEX(Drain_Register!$AY$5:$AY$304,MATCH($B43,Drain_Register!$A$5:$A$304,0)),IFERROR(INDEX(RW_Register!$BE$5:$BE$304,MATCH($B43,RW_Register!$A$5:$A$304,0)),IFERROR(INDEX(Embedded_Wall_Register!$BC$5:$BC$304,MATCH($B43,Embedded_Wall_Register!$A$5:$A$304,0)),IFERROR(INDEX(Manhole_Register!$BC$5:$BC$304,MATCH($B43,Manhole_Register!$A$5:$A$304,0)),IFERROR(INDEX(ERSS_Pit_Register!$AW$5:$AW$304,MATCH($B43,ERSS_Pit_Register!$A$5:$A$304,0)),IFERROR(INDEX(Linkway_Register!$AY$5:$AY$304,MATCH($B43,Linkway_Register!$A$5:$A$304,0)),IFERROR(INDEX(Other_Register!$AI$5:$AI$304,MATCH($B43,Other_Register!$A$5:$A$304,0)),0)))))))))</f>
        <v/>
      </c>
      <c r="R43" s="19" t="str">
        <f aca="false">IF(OR($B43="",$D43=""),"",$D43*N(IFERROR(INDEX(Drain_Register!$AZ$5:$AZ$304,MATCH($B43,Drain_Register!$A$5:$A$304,0)),IFERROR(INDEX(RW_Register!$BF$5:$BF$304,MATCH($B43,RW_Register!$A$5:$A$304,0)),IFERROR(INDEX(Embedded_Wall_Register!$BD$5:$BD$304,MATCH($B43,Embedded_Wall_Register!$A$5:$A$304,0)),IFERROR(INDEX(Manhole_Register!$BD$5:$BD$304,MATCH($B43,Manhole_Register!$A$5:$A$304,0)),IFERROR(INDEX(ERSS_Pit_Register!$AX$5:$AX$304,MATCH($B43,ERSS_Pit_Register!$A$5:$A$304,0)),IFERROR(INDEX(Linkway_Register!$AZ$5:$AZ$304,MATCH($B43,Linkway_Register!$A$5:$A$304,0)),IFERROR(INDEX(Other_Register!$AJ$5:$AJ$304,MATCH($B43,Other_Register!$A$5:$A$304,0)),0)))))))))</f>
        <v/>
      </c>
      <c r="S43" s="10" t="str">
        <f aca="false">IF($B43="","",IF(G43="","ID not found",IF(J43&lt;&gt;"Approved","WARNING: status is "&amp;J43,IF(IFERROR(INDEX(Drain_Register!$CA$5:$CA$304,MATCH($B43,Drain_Register!$A$5:$A$304,0)),IFERROR(INDEX(RW_Register!$CF$5:$CF$304,MATCH($B43,RW_Register!$A$5:$A$304,0)),IFERROR(INDEX(Embedded_Wall_Register!$CD$5:$CD$304,MATCH($B43,Embedded_Wall_Register!$A$5:$A$304,0)),IFERROR(INDEX(Manhole_Register!$CC$5:$CC$304,MATCH($B43,Manhole_Register!$A$5:$A$304,0)),IFERROR(INDEX(ERSS_Pit_Register!$BX$5:$BX$304,MATCH($B43,ERSS_Pit_Register!$A$5:$A$304,0)),IFERROR(INDEX(Linkway_Register!$BY$5:$BY$304,MATCH($B43,Linkway_Register!$A$5:$A$304,0)),IFERROR(INDEX(Other_Register!$BI$5:$BI$304,MATCH($B43,Other_Register!$A$5:$A$304,0)),"")))))))="N","WARNING: fails SG compliance check",IF(D43="","Enter length / qty",IF(E43="","Enter CAD sheet no.","OK"))))))</f>
        <v/>
      </c>
    </row>
    <row r="44" customFormat="false" ht="15" hidden="false" customHeight="false" outlineLevel="0" collapsed="false">
      <c r="A44" s="9"/>
      <c r="B44" s="9"/>
      <c r="C44" s="9"/>
      <c r="D44" s="9"/>
      <c r="E44" s="9"/>
      <c r="F44" s="10" t="str">
        <f aca="false">IF($B44="","",IFERROR(INDEX(Drain_Register!$AU$5:$AU$304,MATCH($B44,Drain_Register!$A$5:$A$304,0)),IFERROR(INDEX(RW_Register!$BA$5:$BA$304,MATCH($B44,RW_Register!$A$5:$A$304,0)),IFERROR(INDEX(Embedded_Wall_Register!$AY$5:$AY$304,MATCH($B44,Embedded_Wall_Register!$A$5:$A$304,0)),IFERROR(INDEX(Manhole_Register!$AY$5:$AY$304,MATCH($B44,Manhole_Register!$A$5:$A$304,0)),IFERROR(INDEX(ERSS_Pit_Register!$AS$5:$AS$304,MATCH($B44,ERSS_Pit_Register!$A$5:$A$304,0)),IFERROR(INDEX(Linkway_Register!$AU$5:$AU$304,MATCH($B44,Linkway_Register!$A$5:$A$304,0)),IFERROR(INDEX(Other_Register!$AE$5:$AE$304,MATCH($B44,Other_Register!$A$5:$A$304,0)),""))))))))</f>
        <v/>
      </c>
      <c r="G44" s="10" t="str">
        <f aca="false">IF($B44="","",IF(ISNUMBER(MATCH($B44,Drain_Register!$A$5:$A$304,0)),"Drain",IF(ISNUMBER(MATCH($B44,RW_Register!$A$5:$A$304,0)),"Ret. Wall",IF(ISNUMBER(MATCH($B44,Embedded_Wall_Register!$A$5:$A$304,0)),"Embedded Wall",IF(ISNUMBER(MATCH($B44,Manhole_Register!$A$5:$A$304,0)),"Manhole",IF(ISNUMBER(MATCH($B44,ERSS_Pit_Register!$A$5:$A$304,0)),"ERSS Pit",IF(ISNUMBER(MATCH($B44,Linkway_Register!$A$5:$A$304,0)),"Linkway",IF(ISNUMBER(MATCH($B44,Other_Register!$A$5:$A$304,0)),"Others",""))))))))</f>
        <v/>
      </c>
      <c r="H44" s="10" t="str">
        <f aca="false">IF($B44="","",IFERROR(INDEX(Drain_Register!$B$5:$B$304,MATCH($B44,Drain_Register!$A$5:$A$304,0)),IFERROR(INDEX(RW_Register!$B$5:$B$304,MATCH($B44,RW_Register!$A$5:$A$304,0)),IFERROR(INDEX(Embedded_Wall_Register!$B$5:$B$304,MATCH($B44,Embedded_Wall_Register!$A$5:$A$304,0)),IFERROR(INDEX(Manhole_Register!$B$5:$B$304,MATCH($B44,Manhole_Register!$A$5:$A$304,0)),IFERROR(INDEX(ERSS_Pit_Register!$B$5:$B$304,MATCH($B44,ERSS_Pit_Register!$A$5:$A$304,0)),IFERROR(INDEX(Linkway_Register!$B$5:$B$304,MATCH($B44,Linkway_Register!$A$5:$A$304,0)),IFERROR(INDEX(Other_Register!$B$5:$B$304,MATCH($B44,Other_Register!$A$5:$A$304,0)),"ID not found - check spelling"))))))))</f>
        <v/>
      </c>
      <c r="I44" s="10" t="str">
        <f aca="false">IF($B44="","",IFERROR(INDEX(Drain_Register!$AI$5:$AI$304,MATCH($B44,Drain_Register!$A$5:$A$304,0)),IFERROR(INDEX(RW_Register!$AO$5:$AO$304,MATCH($B44,RW_Register!$A$5:$A$304,0)),IFERROR(INDEX(Embedded_Wall_Register!$AM$5:$AM$304,MATCH($B44,Embedded_Wall_Register!$A$5:$A$304,0)),IFERROR(INDEX(Manhole_Register!$AM$5:$AM$304,MATCH($B44,Manhole_Register!$A$5:$A$304,0)),IFERROR(INDEX(ERSS_Pit_Register!$AG$5:$AG$304,MATCH($B44,ERSS_Pit_Register!$A$5:$A$304,0)),IFERROR(INDEX(Linkway_Register!$AI$5:$AI$304,MATCH($B44,Linkway_Register!$A$5:$A$304,0)),IFERROR(INDEX(Other_Register!$S$5:$S$304,MATCH($B44,Other_Register!$A$5:$A$304,0)),""))))))))</f>
        <v/>
      </c>
      <c r="J44" s="10" t="str">
        <f aca="false">IF($B44="","",IFERROR(INDEX(Drain_Register!$AJ$5:$AJ$304,MATCH($B44,Drain_Register!$A$5:$A$304,0)),IFERROR(INDEX(RW_Register!$AP$5:$AP$304,MATCH($B44,RW_Register!$A$5:$A$304,0)),IFERROR(INDEX(Embedded_Wall_Register!$AN$5:$AN$304,MATCH($B44,Embedded_Wall_Register!$A$5:$A$304,0)),IFERROR(INDEX(Manhole_Register!$AN$5:$AN$304,MATCH($B44,Manhole_Register!$A$5:$A$304,0)),IFERROR(INDEX(ERSS_Pit_Register!$AH$5:$AH$304,MATCH($B44,ERSS_Pit_Register!$A$5:$A$304,0)),IFERROR(INDEX(Linkway_Register!$AJ$5:$AJ$304,MATCH($B44,Linkway_Register!$A$5:$A$304,0)),IFERROR(INDEX(Other_Register!$T$5:$T$304,MATCH($B44,Other_Register!$A$5:$A$304,0)),""))))))))</f>
        <v/>
      </c>
      <c r="K44" s="10" t="str">
        <f aca="false">IF($B44="","",IFERROR(INDEX(Drain_Register!$AK$5:$AK$304,MATCH($B44,Drain_Register!$A$5:$A$304,0)),IFERROR(INDEX(RW_Register!$AQ$5:$AQ$304,MATCH($B44,RW_Register!$A$5:$A$304,0)),IFERROR(INDEX(Embedded_Wall_Register!$AO$5:$AO$304,MATCH($B44,Embedded_Wall_Register!$A$5:$A$304,0)),IFERROR(INDEX(Manhole_Register!$AO$5:$AO$304,MATCH($B44,Manhole_Register!$A$5:$A$304,0)),IFERROR(INDEX(ERSS_Pit_Register!$AI$5:$AI$304,MATCH($B44,ERSS_Pit_Register!$A$5:$A$304,0)),IFERROR(INDEX(Linkway_Register!$AK$5:$AK$304,MATCH($B44,Linkway_Register!$A$5:$A$304,0)),IFERROR(INDEX(Other_Register!$U$5:$U$304,MATCH($B44,Other_Register!$A$5:$A$304,0)),""))))))))</f>
        <v/>
      </c>
      <c r="L44" s="10" t="str">
        <f aca="false">IF($B44="","",IFERROR(INDEX(Drain_Register!$AL$5:$AL$304,MATCH($B44,Drain_Register!$A$5:$A$304,0)),IFERROR(INDEX(RW_Register!$AR$5:$AR$304,MATCH($B44,RW_Register!$A$5:$A$304,0)),IFERROR(INDEX(Embedded_Wall_Register!$AP$5:$AP$304,MATCH($B44,Embedded_Wall_Register!$A$5:$A$304,0)),IFERROR(INDEX(Manhole_Register!$AP$5:$AP$304,MATCH($B44,Manhole_Register!$A$5:$A$304,0)),IFERROR(INDEX(ERSS_Pit_Register!$AJ$5:$AJ$304,MATCH($B44,ERSS_Pit_Register!$A$5:$A$304,0)),IFERROR(INDEX(Linkway_Register!$AL$5:$AL$304,MATCH($B44,Linkway_Register!$A$5:$A$304,0)),IFERROR(INDEX(Other_Register!$V$5:$V$304,MATCH($B44,Other_Register!$A$5:$A$304,0)),""))))))))</f>
        <v/>
      </c>
      <c r="M44" s="10" t="str">
        <f aca="false">IF($B44="","",IFERROR(INDEX(Drain_Register!$AN$5:$AN$304,MATCH($B44,Drain_Register!$A$5:$A$304,0)),IFERROR(INDEX(RW_Register!$AT$5:$AT$304,MATCH($B44,RW_Register!$A$5:$A$304,0)),IFERROR(INDEX(Embedded_Wall_Register!$AR$5:$AR$304,MATCH($B44,Embedded_Wall_Register!$A$5:$A$304,0)),IFERROR(INDEX(Manhole_Register!$AR$5:$AR$304,MATCH($B44,Manhole_Register!$A$5:$A$304,0)),IFERROR(INDEX(ERSS_Pit_Register!$AL$5:$AL$304,MATCH($B44,ERSS_Pit_Register!$A$5:$A$304,0)),IFERROR(INDEX(Linkway_Register!$AN$5:$AN$304,MATCH($B44,Linkway_Register!$A$5:$A$304,0)),IFERROR(INDEX(Other_Register!$X$5:$X$304,MATCH($B44,Other_Register!$A$5:$A$304,0)),"")))))))&amp;IFERROR(INDEX(Drain_Register!$AO$5:$AO$304,MATCH($B44,Drain_Register!$A$5:$A$304,0)),IFERROR(INDEX(RW_Register!$AU$5:$AU$304,MATCH($B44,RW_Register!$A$5:$A$304,0)),IFERROR(INDEX(Embedded_Wall_Register!$AS$5:$AS$304,MATCH($B44,Embedded_Wall_Register!$A$5:$A$304,0)),IFERROR(INDEX(Manhole_Register!$AS$5:$AS$304,MATCH($B44,Manhole_Register!$A$5:$A$304,0)),IFERROR(INDEX(ERSS_Pit_Register!$AM$5:$AM$304,MATCH($B44,ERSS_Pit_Register!$A$5:$A$304,0)),IFERROR(INDEX(Linkway_Register!$AO$5:$AO$304,MATCH($B44,Linkway_Register!$A$5:$A$304,0)),IFERROR(INDEX(Other_Register!$Y$5:$Y$304,MATCH($B44,Other_Register!$A$5:$A$304,0)),""))))))))</f>
        <v/>
      </c>
      <c r="N44" s="19" t="str">
        <f aca="false">IF(OR($B44="",$D44=""),"",$D44*N(IFERROR(INDEX(Drain_Register!$AV$5:$AV$304,MATCH($B44,Drain_Register!$A$5:$A$304,0)),IFERROR(INDEX(RW_Register!$BB$5:$BB$304,MATCH($B44,RW_Register!$A$5:$A$304,0)),IFERROR(INDEX(Embedded_Wall_Register!$AZ$5:$AZ$304,MATCH($B44,Embedded_Wall_Register!$A$5:$A$304,0)),IFERROR(INDEX(Manhole_Register!$AZ$5:$AZ$304,MATCH($B44,Manhole_Register!$A$5:$A$304,0)),IFERROR(INDEX(ERSS_Pit_Register!$AT$5:$AT$304,MATCH($B44,ERSS_Pit_Register!$A$5:$A$304,0)),IFERROR(INDEX(Linkway_Register!$AV$5:$AV$304,MATCH($B44,Linkway_Register!$A$5:$A$304,0)),IFERROR(INDEX(Other_Register!$AF$5:$AF$304,MATCH($B44,Other_Register!$A$5:$A$304,0)),0)))))))))</f>
        <v/>
      </c>
      <c r="O44" s="20" t="str">
        <f aca="false">IF(OR($B44="",$D44=""),"",$D44*N(IFERROR(INDEX(Drain_Register!$AW$5:$AW$304,MATCH($B44,Drain_Register!$A$5:$A$304,0)),IFERROR(INDEX(RW_Register!$BC$5:$BC$304,MATCH($B44,RW_Register!$A$5:$A$304,0)),IFERROR(INDEX(Embedded_Wall_Register!$BA$5:$BA$304,MATCH($B44,Embedded_Wall_Register!$A$5:$A$304,0)),IFERROR(INDEX(Manhole_Register!$BA$5:$BA$304,MATCH($B44,Manhole_Register!$A$5:$A$304,0)),IFERROR(INDEX(ERSS_Pit_Register!$AU$5:$AU$304,MATCH($B44,ERSS_Pit_Register!$A$5:$A$304,0)),IFERROR(INDEX(Linkway_Register!$AW$5:$AW$304,MATCH($B44,Linkway_Register!$A$5:$A$304,0)),IFERROR(INDEX(Other_Register!$AG$5:$AG$304,MATCH($B44,Other_Register!$A$5:$A$304,0)),0))))))))/1000)</f>
        <v/>
      </c>
      <c r="P44" s="20" t="str">
        <f aca="false">IF(OR($B44="",$D44=""),"",$D44*N(IFERROR(INDEX(Drain_Register!$AX$5:$AX$304,MATCH($B44,Drain_Register!$A$5:$A$304,0)),IFERROR(INDEX(RW_Register!$BD$5:$BD$304,MATCH($B44,RW_Register!$A$5:$A$304,0)),IFERROR(INDEX(Embedded_Wall_Register!$BB$5:$BB$304,MATCH($B44,Embedded_Wall_Register!$A$5:$A$304,0)),IFERROR(INDEX(Manhole_Register!$BB$5:$BB$304,MATCH($B44,Manhole_Register!$A$5:$A$304,0)),IFERROR(INDEX(ERSS_Pit_Register!$AV$5:$AV$304,MATCH($B44,ERSS_Pit_Register!$A$5:$A$304,0)),IFERROR(INDEX(Linkway_Register!$AX$5:$AX$304,MATCH($B44,Linkway_Register!$A$5:$A$304,0)),IFERROR(INDEX(Other_Register!$AH$5:$AH$304,MATCH($B44,Other_Register!$A$5:$A$304,0)),0))))))))/1000)</f>
        <v/>
      </c>
      <c r="Q44" s="19" t="str">
        <f aca="false">IF(OR($B44="",$D44=""),"",$D44*N(IFERROR(INDEX(Drain_Register!$AY$5:$AY$304,MATCH($B44,Drain_Register!$A$5:$A$304,0)),IFERROR(INDEX(RW_Register!$BE$5:$BE$304,MATCH($B44,RW_Register!$A$5:$A$304,0)),IFERROR(INDEX(Embedded_Wall_Register!$BC$5:$BC$304,MATCH($B44,Embedded_Wall_Register!$A$5:$A$304,0)),IFERROR(INDEX(Manhole_Register!$BC$5:$BC$304,MATCH($B44,Manhole_Register!$A$5:$A$304,0)),IFERROR(INDEX(ERSS_Pit_Register!$AW$5:$AW$304,MATCH($B44,ERSS_Pit_Register!$A$5:$A$304,0)),IFERROR(INDEX(Linkway_Register!$AY$5:$AY$304,MATCH($B44,Linkway_Register!$A$5:$A$304,0)),IFERROR(INDEX(Other_Register!$AI$5:$AI$304,MATCH($B44,Other_Register!$A$5:$A$304,0)),0)))))))))</f>
        <v/>
      </c>
      <c r="R44" s="19" t="str">
        <f aca="false">IF(OR($B44="",$D44=""),"",$D44*N(IFERROR(INDEX(Drain_Register!$AZ$5:$AZ$304,MATCH($B44,Drain_Register!$A$5:$A$304,0)),IFERROR(INDEX(RW_Register!$BF$5:$BF$304,MATCH($B44,RW_Register!$A$5:$A$304,0)),IFERROR(INDEX(Embedded_Wall_Register!$BD$5:$BD$304,MATCH($B44,Embedded_Wall_Register!$A$5:$A$304,0)),IFERROR(INDEX(Manhole_Register!$BD$5:$BD$304,MATCH($B44,Manhole_Register!$A$5:$A$304,0)),IFERROR(INDEX(ERSS_Pit_Register!$AX$5:$AX$304,MATCH($B44,ERSS_Pit_Register!$A$5:$A$304,0)),IFERROR(INDEX(Linkway_Register!$AZ$5:$AZ$304,MATCH($B44,Linkway_Register!$A$5:$A$304,0)),IFERROR(INDEX(Other_Register!$AJ$5:$AJ$304,MATCH($B44,Other_Register!$A$5:$A$304,0)),0)))))))))</f>
        <v/>
      </c>
      <c r="S44" s="10" t="str">
        <f aca="false">IF($B44="","",IF(G44="","ID not found",IF(J44&lt;&gt;"Approved","WARNING: status is "&amp;J44,IF(IFERROR(INDEX(Drain_Register!$CA$5:$CA$304,MATCH($B44,Drain_Register!$A$5:$A$304,0)),IFERROR(INDEX(RW_Register!$CF$5:$CF$304,MATCH($B44,RW_Register!$A$5:$A$304,0)),IFERROR(INDEX(Embedded_Wall_Register!$CD$5:$CD$304,MATCH($B44,Embedded_Wall_Register!$A$5:$A$304,0)),IFERROR(INDEX(Manhole_Register!$CC$5:$CC$304,MATCH($B44,Manhole_Register!$A$5:$A$304,0)),IFERROR(INDEX(ERSS_Pit_Register!$BX$5:$BX$304,MATCH($B44,ERSS_Pit_Register!$A$5:$A$304,0)),IFERROR(INDEX(Linkway_Register!$BY$5:$BY$304,MATCH($B44,Linkway_Register!$A$5:$A$304,0)),IFERROR(INDEX(Other_Register!$BI$5:$BI$304,MATCH($B44,Other_Register!$A$5:$A$304,0)),"")))))))="N","WARNING: fails SG compliance check",IF(D44="","Enter length / qty",IF(E44="","Enter CAD sheet no.","OK"))))))</f>
        <v/>
      </c>
    </row>
    <row r="45" customFormat="false" ht="15" hidden="false" customHeight="false" outlineLevel="0" collapsed="false">
      <c r="A45" s="9"/>
      <c r="B45" s="9"/>
      <c r="C45" s="9"/>
      <c r="D45" s="9"/>
      <c r="E45" s="9"/>
      <c r="F45" s="10" t="str">
        <f aca="false">IF($B45="","",IFERROR(INDEX(Drain_Register!$AU$5:$AU$304,MATCH($B45,Drain_Register!$A$5:$A$304,0)),IFERROR(INDEX(RW_Register!$BA$5:$BA$304,MATCH($B45,RW_Register!$A$5:$A$304,0)),IFERROR(INDEX(Embedded_Wall_Register!$AY$5:$AY$304,MATCH($B45,Embedded_Wall_Register!$A$5:$A$304,0)),IFERROR(INDEX(Manhole_Register!$AY$5:$AY$304,MATCH($B45,Manhole_Register!$A$5:$A$304,0)),IFERROR(INDEX(ERSS_Pit_Register!$AS$5:$AS$304,MATCH($B45,ERSS_Pit_Register!$A$5:$A$304,0)),IFERROR(INDEX(Linkway_Register!$AU$5:$AU$304,MATCH($B45,Linkway_Register!$A$5:$A$304,0)),IFERROR(INDEX(Other_Register!$AE$5:$AE$304,MATCH($B45,Other_Register!$A$5:$A$304,0)),""))))))))</f>
        <v/>
      </c>
      <c r="G45" s="10" t="str">
        <f aca="false">IF($B45="","",IF(ISNUMBER(MATCH($B45,Drain_Register!$A$5:$A$304,0)),"Drain",IF(ISNUMBER(MATCH($B45,RW_Register!$A$5:$A$304,0)),"Ret. Wall",IF(ISNUMBER(MATCH($B45,Embedded_Wall_Register!$A$5:$A$304,0)),"Embedded Wall",IF(ISNUMBER(MATCH($B45,Manhole_Register!$A$5:$A$304,0)),"Manhole",IF(ISNUMBER(MATCH($B45,ERSS_Pit_Register!$A$5:$A$304,0)),"ERSS Pit",IF(ISNUMBER(MATCH($B45,Linkway_Register!$A$5:$A$304,0)),"Linkway",IF(ISNUMBER(MATCH($B45,Other_Register!$A$5:$A$304,0)),"Others",""))))))))</f>
        <v/>
      </c>
      <c r="H45" s="10" t="str">
        <f aca="false">IF($B45="","",IFERROR(INDEX(Drain_Register!$B$5:$B$304,MATCH($B45,Drain_Register!$A$5:$A$304,0)),IFERROR(INDEX(RW_Register!$B$5:$B$304,MATCH($B45,RW_Register!$A$5:$A$304,0)),IFERROR(INDEX(Embedded_Wall_Register!$B$5:$B$304,MATCH($B45,Embedded_Wall_Register!$A$5:$A$304,0)),IFERROR(INDEX(Manhole_Register!$B$5:$B$304,MATCH($B45,Manhole_Register!$A$5:$A$304,0)),IFERROR(INDEX(ERSS_Pit_Register!$B$5:$B$304,MATCH($B45,ERSS_Pit_Register!$A$5:$A$304,0)),IFERROR(INDEX(Linkway_Register!$B$5:$B$304,MATCH($B45,Linkway_Register!$A$5:$A$304,0)),IFERROR(INDEX(Other_Register!$B$5:$B$304,MATCH($B45,Other_Register!$A$5:$A$304,0)),"ID not found - check spelling"))))))))</f>
        <v/>
      </c>
      <c r="I45" s="10" t="str">
        <f aca="false">IF($B45="","",IFERROR(INDEX(Drain_Register!$AI$5:$AI$304,MATCH($B45,Drain_Register!$A$5:$A$304,0)),IFERROR(INDEX(RW_Register!$AO$5:$AO$304,MATCH($B45,RW_Register!$A$5:$A$304,0)),IFERROR(INDEX(Embedded_Wall_Register!$AM$5:$AM$304,MATCH($B45,Embedded_Wall_Register!$A$5:$A$304,0)),IFERROR(INDEX(Manhole_Register!$AM$5:$AM$304,MATCH($B45,Manhole_Register!$A$5:$A$304,0)),IFERROR(INDEX(ERSS_Pit_Register!$AG$5:$AG$304,MATCH($B45,ERSS_Pit_Register!$A$5:$A$304,0)),IFERROR(INDEX(Linkway_Register!$AI$5:$AI$304,MATCH($B45,Linkway_Register!$A$5:$A$304,0)),IFERROR(INDEX(Other_Register!$S$5:$S$304,MATCH($B45,Other_Register!$A$5:$A$304,0)),""))))))))</f>
        <v/>
      </c>
      <c r="J45" s="10" t="str">
        <f aca="false">IF($B45="","",IFERROR(INDEX(Drain_Register!$AJ$5:$AJ$304,MATCH($B45,Drain_Register!$A$5:$A$304,0)),IFERROR(INDEX(RW_Register!$AP$5:$AP$304,MATCH($B45,RW_Register!$A$5:$A$304,0)),IFERROR(INDEX(Embedded_Wall_Register!$AN$5:$AN$304,MATCH($B45,Embedded_Wall_Register!$A$5:$A$304,0)),IFERROR(INDEX(Manhole_Register!$AN$5:$AN$304,MATCH($B45,Manhole_Register!$A$5:$A$304,0)),IFERROR(INDEX(ERSS_Pit_Register!$AH$5:$AH$304,MATCH($B45,ERSS_Pit_Register!$A$5:$A$304,0)),IFERROR(INDEX(Linkway_Register!$AJ$5:$AJ$304,MATCH($B45,Linkway_Register!$A$5:$A$304,0)),IFERROR(INDEX(Other_Register!$T$5:$T$304,MATCH($B45,Other_Register!$A$5:$A$304,0)),""))))))))</f>
        <v/>
      </c>
      <c r="K45" s="10" t="str">
        <f aca="false">IF($B45="","",IFERROR(INDEX(Drain_Register!$AK$5:$AK$304,MATCH($B45,Drain_Register!$A$5:$A$304,0)),IFERROR(INDEX(RW_Register!$AQ$5:$AQ$304,MATCH($B45,RW_Register!$A$5:$A$304,0)),IFERROR(INDEX(Embedded_Wall_Register!$AO$5:$AO$304,MATCH($B45,Embedded_Wall_Register!$A$5:$A$304,0)),IFERROR(INDEX(Manhole_Register!$AO$5:$AO$304,MATCH($B45,Manhole_Register!$A$5:$A$304,0)),IFERROR(INDEX(ERSS_Pit_Register!$AI$5:$AI$304,MATCH($B45,ERSS_Pit_Register!$A$5:$A$304,0)),IFERROR(INDEX(Linkway_Register!$AK$5:$AK$304,MATCH($B45,Linkway_Register!$A$5:$A$304,0)),IFERROR(INDEX(Other_Register!$U$5:$U$304,MATCH($B45,Other_Register!$A$5:$A$304,0)),""))))))))</f>
        <v/>
      </c>
      <c r="L45" s="10" t="str">
        <f aca="false">IF($B45="","",IFERROR(INDEX(Drain_Register!$AL$5:$AL$304,MATCH($B45,Drain_Register!$A$5:$A$304,0)),IFERROR(INDEX(RW_Register!$AR$5:$AR$304,MATCH($B45,RW_Register!$A$5:$A$304,0)),IFERROR(INDEX(Embedded_Wall_Register!$AP$5:$AP$304,MATCH($B45,Embedded_Wall_Register!$A$5:$A$304,0)),IFERROR(INDEX(Manhole_Register!$AP$5:$AP$304,MATCH($B45,Manhole_Register!$A$5:$A$304,0)),IFERROR(INDEX(ERSS_Pit_Register!$AJ$5:$AJ$304,MATCH($B45,ERSS_Pit_Register!$A$5:$A$304,0)),IFERROR(INDEX(Linkway_Register!$AL$5:$AL$304,MATCH($B45,Linkway_Register!$A$5:$A$304,0)),IFERROR(INDEX(Other_Register!$V$5:$V$304,MATCH($B45,Other_Register!$A$5:$A$304,0)),""))))))))</f>
        <v/>
      </c>
      <c r="M45" s="10" t="str">
        <f aca="false">IF($B45="","",IFERROR(INDEX(Drain_Register!$AN$5:$AN$304,MATCH($B45,Drain_Register!$A$5:$A$304,0)),IFERROR(INDEX(RW_Register!$AT$5:$AT$304,MATCH($B45,RW_Register!$A$5:$A$304,0)),IFERROR(INDEX(Embedded_Wall_Register!$AR$5:$AR$304,MATCH($B45,Embedded_Wall_Register!$A$5:$A$304,0)),IFERROR(INDEX(Manhole_Register!$AR$5:$AR$304,MATCH($B45,Manhole_Register!$A$5:$A$304,0)),IFERROR(INDEX(ERSS_Pit_Register!$AL$5:$AL$304,MATCH($B45,ERSS_Pit_Register!$A$5:$A$304,0)),IFERROR(INDEX(Linkway_Register!$AN$5:$AN$304,MATCH($B45,Linkway_Register!$A$5:$A$304,0)),IFERROR(INDEX(Other_Register!$X$5:$X$304,MATCH($B45,Other_Register!$A$5:$A$304,0)),"")))))))&amp;IFERROR(INDEX(Drain_Register!$AO$5:$AO$304,MATCH($B45,Drain_Register!$A$5:$A$304,0)),IFERROR(INDEX(RW_Register!$AU$5:$AU$304,MATCH($B45,RW_Register!$A$5:$A$304,0)),IFERROR(INDEX(Embedded_Wall_Register!$AS$5:$AS$304,MATCH($B45,Embedded_Wall_Register!$A$5:$A$304,0)),IFERROR(INDEX(Manhole_Register!$AS$5:$AS$304,MATCH($B45,Manhole_Register!$A$5:$A$304,0)),IFERROR(INDEX(ERSS_Pit_Register!$AM$5:$AM$304,MATCH($B45,ERSS_Pit_Register!$A$5:$A$304,0)),IFERROR(INDEX(Linkway_Register!$AO$5:$AO$304,MATCH($B45,Linkway_Register!$A$5:$A$304,0)),IFERROR(INDEX(Other_Register!$Y$5:$Y$304,MATCH($B45,Other_Register!$A$5:$A$304,0)),""))))))))</f>
        <v/>
      </c>
      <c r="N45" s="19" t="str">
        <f aca="false">IF(OR($B45="",$D45=""),"",$D45*N(IFERROR(INDEX(Drain_Register!$AV$5:$AV$304,MATCH($B45,Drain_Register!$A$5:$A$304,0)),IFERROR(INDEX(RW_Register!$BB$5:$BB$304,MATCH($B45,RW_Register!$A$5:$A$304,0)),IFERROR(INDEX(Embedded_Wall_Register!$AZ$5:$AZ$304,MATCH($B45,Embedded_Wall_Register!$A$5:$A$304,0)),IFERROR(INDEX(Manhole_Register!$AZ$5:$AZ$304,MATCH($B45,Manhole_Register!$A$5:$A$304,0)),IFERROR(INDEX(ERSS_Pit_Register!$AT$5:$AT$304,MATCH($B45,ERSS_Pit_Register!$A$5:$A$304,0)),IFERROR(INDEX(Linkway_Register!$AV$5:$AV$304,MATCH($B45,Linkway_Register!$A$5:$A$304,0)),IFERROR(INDEX(Other_Register!$AF$5:$AF$304,MATCH($B45,Other_Register!$A$5:$A$304,0)),0)))))))))</f>
        <v/>
      </c>
      <c r="O45" s="20" t="str">
        <f aca="false">IF(OR($B45="",$D45=""),"",$D45*N(IFERROR(INDEX(Drain_Register!$AW$5:$AW$304,MATCH($B45,Drain_Register!$A$5:$A$304,0)),IFERROR(INDEX(RW_Register!$BC$5:$BC$304,MATCH($B45,RW_Register!$A$5:$A$304,0)),IFERROR(INDEX(Embedded_Wall_Register!$BA$5:$BA$304,MATCH($B45,Embedded_Wall_Register!$A$5:$A$304,0)),IFERROR(INDEX(Manhole_Register!$BA$5:$BA$304,MATCH($B45,Manhole_Register!$A$5:$A$304,0)),IFERROR(INDEX(ERSS_Pit_Register!$AU$5:$AU$304,MATCH($B45,ERSS_Pit_Register!$A$5:$A$304,0)),IFERROR(INDEX(Linkway_Register!$AW$5:$AW$304,MATCH($B45,Linkway_Register!$A$5:$A$304,0)),IFERROR(INDEX(Other_Register!$AG$5:$AG$304,MATCH($B45,Other_Register!$A$5:$A$304,0)),0))))))))/1000)</f>
        <v/>
      </c>
      <c r="P45" s="20" t="str">
        <f aca="false">IF(OR($B45="",$D45=""),"",$D45*N(IFERROR(INDEX(Drain_Register!$AX$5:$AX$304,MATCH($B45,Drain_Register!$A$5:$A$304,0)),IFERROR(INDEX(RW_Register!$BD$5:$BD$304,MATCH($B45,RW_Register!$A$5:$A$304,0)),IFERROR(INDEX(Embedded_Wall_Register!$BB$5:$BB$304,MATCH($B45,Embedded_Wall_Register!$A$5:$A$304,0)),IFERROR(INDEX(Manhole_Register!$BB$5:$BB$304,MATCH($B45,Manhole_Register!$A$5:$A$304,0)),IFERROR(INDEX(ERSS_Pit_Register!$AV$5:$AV$304,MATCH($B45,ERSS_Pit_Register!$A$5:$A$304,0)),IFERROR(INDEX(Linkway_Register!$AX$5:$AX$304,MATCH($B45,Linkway_Register!$A$5:$A$304,0)),IFERROR(INDEX(Other_Register!$AH$5:$AH$304,MATCH($B45,Other_Register!$A$5:$A$304,0)),0))))))))/1000)</f>
        <v/>
      </c>
      <c r="Q45" s="19" t="str">
        <f aca="false">IF(OR($B45="",$D45=""),"",$D45*N(IFERROR(INDEX(Drain_Register!$AY$5:$AY$304,MATCH($B45,Drain_Register!$A$5:$A$304,0)),IFERROR(INDEX(RW_Register!$BE$5:$BE$304,MATCH($B45,RW_Register!$A$5:$A$304,0)),IFERROR(INDEX(Embedded_Wall_Register!$BC$5:$BC$304,MATCH($B45,Embedded_Wall_Register!$A$5:$A$304,0)),IFERROR(INDEX(Manhole_Register!$BC$5:$BC$304,MATCH($B45,Manhole_Register!$A$5:$A$304,0)),IFERROR(INDEX(ERSS_Pit_Register!$AW$5:$AW$304,MATCH($B45,ERSS_Pit_Register!$A$5:$A$304,0)),IFERROR(INDEX(Linkway_Register!$AY$5:$AY$304,MATCH($B45,Linkway_Register!$A$5:$A$304,0)),IFERROR(INDEX(Other_Register!$AI$5:$AI$304,MATCH($B45,Other_Register!$A$5:$A$304,0)),0)))))))))</f>
        <v/>
      </c>
      <c r="R45" s="19" t="str">
        <f aca="false">IF(OR($B45="",$D45=""),"",$D45*N(IFERROR(INDEX(Drain_Register!$AZ$5:$AZ$304,MATCH($B45,Drain_Register!$A$5:$A$304,0)),IFERROR(INDEX(RW_Register!$BF$5:$BF$304,MATCH($B45,RW_Register!$A$5:$A$304,0)),IFERROR(INDEX(Embedded_Wall_Register!$BD$5:$BD$304,MATCH($B45,Embedded_Wall_Register!$A$5:$A$304,0)),IFERROR(INDEX(Manhole_Register!$BD$5:$BD$304,MATCH($B45,Manhole_Register!$A$5:$A$304,0)),IFERROR(INDEX(ERSS_Pit_Register!$AX$5:$AX$304,MATCH($B45,ERSS_Pit_Register!$A$5:$A$304,0)),IFERROR(INDEX(Linkway_Register!$AZ$5:$AZ$304,MATCH($B45,Linkway_Register!$A$5:$A$304,0)),IFERROR(INDEX(Other_Register!$AJ$5:$AJ$304,MATCH($B45,Other_Register!$A$5:$A$304,0)),0)))))))))</f>
        <v/>
      </c>
      <c r="S45" s="10" t="str">
        <f aca="false">IF($B45="","",IF(G45="","ID not found",IF(J45&lt;&gt;"Approved","WARNING: status is "&amp;J45,IF(IFERROR(INDEX(Drain_Register!$CA$5:$CA$304,MATCH($B45,Drain_Register!$A$5:$A$304,0)),IFERROR(INDEX(RW_Register!$CF$5:$CF$304,MATCH($B45,RW_Register!$A$5:$A$304,0)),IFERROR(INDEX(Embedded_Wall_Register!$CD$5:$CD$304,MATCH($B45,Embedded_Wall_Register!$A$5:$A$304,0)),IFERROR(INDEX(Manhole_Register!$CC$5:$CC$304,MATCH($B45,Manhole_Register!$A$5:$A$304,0)),IFERROR(INDEX(ERSS_Pit_Register!$BX$5:$BX$304,MATCH($B45,ERSS_Pit_Register!$A$5:$A$304,0)),IFERROR(INDEX(Linkway_Register!$BY$5:$BY$304,MATCH($B45,Linkway_Register!$A$5:$A$304,0)),IFERROR(INDEX(Other_Register!$BI$5:$BI$304,MATCH($B45,Other_Register!$A$5:$A$304,0)),"")))))))="N","WARNING: fails SG compliance check",IF(D45="","Enter length / qty",IF(E45="","Enter CAD sheet no.","OK"))))))</f>
        <v/>
      </c>
    </row>
    <row r="46" customFormat="false" ht="15" hidden="false" customHeight="false" outlineLevel="0" collapsed="false">
      <c r="A46" s="9"/>
      <c r="B46" s="9"/>
      <c r="C46" s="9"/>
      <c r="D46" s="9"/>
      <c r="E46" s="9"/>
      <c r="F46" s="10" t="str">
        <f aca="false">IF($B46="","",IFERROR(INDEX(Drain_Register!$AU$5:$AU$304,MATCH($B46,Drain_Register!$A$5:$A$304,0)),IFERROR(INDEX(RW_Register!$BA$5:$BA$304,MATCH($B46,RW_Register!$A$5:$A$304,0)),IFERROR(INDEX(Embedded_Wall_Register!$AY$5:$AY$304,MATCH($B46,Embedded_Wall_Register!$A$5:$A$304,0)),IFERROR(INDEX(Manhole_Register!$AY$5:$AY$304,MATCH($B46,Manhole_Register!$A$5:$A$304,0)),IFERROR(INDEX(ERSS_Pit_Register!$AS$5:$AS$304,MATCH($B46,ERSS_Pit_Register!$A$5:$A$304,0)),IFERROR(INDEX(Linkway_Register!$AU$5:$AU$304,MATCH($B46,Linkway_Register!$A$5:$A$304,0)),IFERROR(INDEX(Other_Register!$AE$5:$AE$304,MATCH($B46,Other_Register!$A$5:$A$304,0)),""))))))))</f>
        <v/>
      </c>
      <c r="G46" s="10" t="str">
        <f aca="false">IF($B46="","",IF(ISNUMBER(MATCH($B46,Drain_Register!$A$5:$A$304,0)),"Drain",IF(ISNUMBER(MATCH($B46,RW_Register!$A$5:$A$304,0)),"Ret. Wall",IF(ISNUMBER(MATCH($B46,Embedded_Wall_Register!$A$5:$A$304,0)),"Embedded Wall",IF(ISNUMBER(MATCH($B46,Manhole_Register!$A$5:$A$304,0)),"Manhole",IF(ISNUMBER(MATCH($B46,ERSS_Pit_Register!$A$5:$A$304,0)),"ERSS Pit",IF(ISNUMBER(MATCH($B46,Linkway_Register!$A$5:$A$304,0)),"Linkway",IF(ISNUMBER(MATCH($B46,Other_Register!$A$5:$A$304,0)),"Others",""))))))))</f>
        <v/>
      </c>
      <c r="H46" s="10" t="str">
        <f aca="false">IF($B46="","",IFERROR(INDEX(Drain_Register!$B$5:$B$304,MATCH($B46,Drain_Register!$A$5:$A$304,0)),IFERROR(INDEX(RW_Register!$B$5:$B$304,MATCH($B46,RW_Register!$A$5:$A$304,0)),IFERROR(INDEX(Embedded_Wall_Register!$B$5:$B$304,MATCH($B46,Embedded_Wall_Register!$A$5:$A$304,0)),IFERROR(INDEX(Manhole_Register!$B$5:$B$304,MATCH($B46,Manhole_Register!$A$5:$A$304,0)),IFERROR(INDEX(ERSS_Pit_Register!$B$5:$B$304,MATCH($B46,ERSS_Pit_Register!$A$5:$A$304,0)),IFERROR(INDEX(Linkway_Register!$B$5:$B$304,MATCH($B46,Linkway_Register!$A$5:$A$304,0)),IFERROR(INDEX(Other_Register!$B$5:$B$304,MATCH($B46,Other_Register!$A$5:$A$304,0)),"ID not found - check spelling"))))))))</f>
        <v/>
      </c>
      <c r="I46" s="10" t="str">
        <f aca="false">IF($B46="","",IFERROR(INDEX(Drain_Register!$AI$5:$AI$304,MATCH($B46,Drain_Register!$A$5:$A$304,0)),IFERROR(INDEX(RW_Register!$AO$5:$AO$304,MATCH($B46,RW_Register!$A$5:$A$304,0)),IFERROR(INDEX(Embedded_Wall_Register!$AM$5:$AM$304,MATCH($B46,Embedded_Wall_Register!$A$5:$A$304,0)),IFERROR(INDEX(Manhole_Register!$AM$5:$AM$304,MATCH($B46,Manhole_Register!$A$5:$A$304,0)),IFERROR(INDEX(ERSS_Pit_Register!$AG$5:$AG$304,MATCH($B46,ERSS_Pit_Register!$A$5:$A$304,0)),IFERROR(INDEX(Linkway_Register!$AI$5:$AI$304,MATCH($B46,Linkway_Register!$A$5:$A$304,0)),IFERROR(INDEX(Other_Register!$S$5:$S$304,MATCH($B46,Other_Register!$A$5:$A$304,0)),""))))))))</f>
        <v/>
      </c>
      <c r="J46" s="10" t="str">
        <f aca="false">IF($B46="","",IFERROR(INDEX(Drain_Register!$AJ$5:$AJ$304,MATCH($B46,Drain_Register!$A$5:$A$304,0)),IFERROR(INDEX(RW_Register!$AP$5:$AP$304,MATCH($B46,RW_Register!$A$5:$A$304,0)),IFERROR(INDEX(Embedded_Wall_Register!$AN$5:$AN$304,MATCH($B46,Embedded_Wall_Register!$A$5:$A$304,0)),IFERROR(INDEX(Manhole_Register!$AN$5:$AN$304,MATCH($B46,Manhole_Register!$A$5:$A$304,0)),IFERROR(INDEX(ERSS_Pit_Register!$AH$5:$AH$304,MATCH($B46,ERSS_Pit_Register!$A$5:$A$304,0)),IFERROR(INDEX(Linkway_Register!$AJ$5:$AJ$304,MATCH($B46,Linkway_Register!$A$5:$A$304,0)),IFERROR(INDEX(Other_Register!$T$5:$T$304,MATCH($B46,Other_Register!$A$5:$A$304,0)),""))))))))</f>
        <v/>
      </c>
      <c r="K46" s="10" t="str">
        <f aca="false">IF($B46="","",IFERROR(INDEX(Drain_Register!$AK$5:$AK$304,MATCH($B46,Drain_Register!$A$5:$A$304,0)),IFERROR(INDEX(RW_Register!$AQ$5:$AQ$304,MATCH($B46,RW_Register!$A$5:$A$304,0)),IFERROR(INDEX(Embedded_Wall_Register!$AO$5:$AO$304,MATCH($B46,Embedded_Wall_Register!$A$5:$A$304,0)),IFERROR(INDEX(Manhole_Register!$AO$5:$AO$304,MATCH($B46,Manhole_Register!$A$5:$A$304,0)),IFERROR(INDEX(ERSS_Pit_Register!$AI$5:$AI$304,MATCH($B46,ERSS_Pit_Register!$A$5:$A$304,0)),IFERROR(INDEX(Linkway_Register!$AK$5:$AK$304,MATCH($B46,Linkway_Register!$A$5:$A$304,0)),IFERROR(INDEX(Other_Register!$U$5:$U$304,MATCH($B46,Other_Register!$A$5:$A$304,0)),""))))))))</f>
        <v/>
      </c>
      <c r="L46" s="10" t="str">
        <f aca="false">IF($B46="","",IFERROR(INDEX(Drain_Register!$AL$5:$AL$304,MATCH($B46,Drain_Register!$A$5:$A$304,0)),IFERROR(INDEX(RW_Register!$AR$5:$AR$304,MATCH($B46,RW_Register!$A$5:$A$304,0)),IFERROR(INDEX(Embedded_Wall_Register!$AP$5:$AP$304,MATCH($B46,Embedded_Wall_Register!$A$5:$A$304,0)),IFERROR(INDEX(Manhole_Register!$AP$5:$AP$304,MATCH($B46,Manhole_Register!$A$5:$A$304,0)),IFERROR(INDEX(ERSS_Pit_Register!$AJ$5:$AJ$304,MATCH($B46,ERSS_Pit_Register!$A$5:$A$304,0)),IFERROR(INDEX(Linkway_Register!$AL$5:$AL$304,MATCH($B46,Linkway_Register!$A$5:$A$304,0)),IFERROR(INDEX(Other_Register!$V$5:$V$304,MATCH($B46,Other_Register!$A$5:$A$304,0)),""))))))))</f>
        <v/>
      </c>
      <c r="M46" s="10" t="str">
        <f aca="false">IF($B46="","",IFERROR(INDEX(Drain_Register!$AN$5:$AN$304,MATCH($B46,Drain_Register!$A$5:$A$304,0)),IFERROR(INDEX(RW_Register!$AT$5:$AT$304,MATCH($B46,RW_Register!$A$5:$A$304,0)),IFERROR(INDEX(Embedded_Wall_Register!$AR$5:$AR$304,MATCH($B46,Embedded_Wall_Register!$A$5:$A$304,0)),IFERROR(INDEX(Manhole_Register!$AR$5:$AR$304,MATCH($B46,Manhole_Register!$A$5:$A$304,0)),IFERROR(INDEX(ERSS_Pit_Register!$AL$5:$AL$304,MATCH($B46,ERSS_Pit_Register!$A$5:$A$304,0)),IFERROR(INDEX(Linkway_Register!$AN$5:$AN$304,MATCH($B46,Linkway_Register!$A$5:$A$304,0)),IFERROR(INDEX(Other_Register!$X$5:$X$304,MATCH($B46,Other_Register!$A$5:$A$304,0)),"")))))))&amp;IFERROR(INDEX(Drain_Register!$AO$5:$AO$304,MATCH($B46,Drain_Register!$A$5:$A$304,0)),IFERROR(INDEX(RW_Register!$AU$5:$AU$304,MATCH($B46,RW_Register!$A$5:$A$304,0)),IFERROR(INDEX(Embedded_Wall_Register!$AS$5:$AS$304,MATCH($B46,Embedded_Wall_Register!$A$5:$A$304,0)),IFERROR(INDEX(Manhole_Register!$AS$5:$AS$304,MATCH($B46,Manhole_Register!$A$5:$A$304,0)),IFERROR(INDEX(ERSS_Pit_Register!$AM$5:$AM$304,MATCH($B46,ERSS_Pit_Register!$A$5:$A$304,0)),IFERROR(INDEX(Linkway_Register!$AO$5:$AO$304,MATCH($B46,Linkway_Register!$A$5:$A$304,0)),IFERROR(INDEX(Other_Register!$Y$5:$Y$304,MATCH($B46,Other_Register!$A$5:$A$304,0)),""))))))))</f>
        <v/>
      </c>
      <c r="N46" s="19" t="str">
        <f aca="false">IF(OR($B46="",$D46=""),"",$D46*N(IFERROR(INDEX(Drain_Register!$AV$5:$AV$304,MATCH($B46,Drain_Register!$A$5:$A$304,0)),IFERROR(INDEX(RW_Register!$BB$5:$BB$304,MATCH($B46,RW_Register!$A$5:$A$304,0)),IFERROR(INDEX(Embedded_Wall_Register!$AZ$5:$AZ$304,MATCH($B46,Embedded_Wall_Register!$A$5:$A$304,0)),IFERROR(INDEX(Manhole_Register!$AZ$5:$AZ$304,MATCH($B46,Manhole_Register!$A$5:$A$304,0)),IFERROR(INDEX(ERSS_Pit_Register!$AT$5:$AT$304,MATCH($B46,ERSS_Pit_Register!$A$5:$A$304,0)),IFERROR(INDEX(Linkway_Register!$AV$5:$AV$304,MATCH($B46,Linkway_Register!$A$5:$A$304,0)),IFERROR(INDEX(Other_Register!$AF$5:$AF$304,MATCH($B46,Other_Register!$A$5:$A$304,0)),0)))))))))</f>
        <v/>
      </c>
      <c r="O46" s="20" t="str">
        <f aca="false">IF(OR($B46="",$D46=""),"",$D46*N(IFERROR(INDEX(Drain_Register!$AW$5:$AW$304,MATCH($B46,Drain_Register!$A$5:$A$304,0)),IFERROR(INDEX(RW_Register!$BC$5:$BC$304,MATCH($B46,RW_Register!$A$5:$A$304,0)),IFERROR(INDEX(Embedded_Wall_Register!$BA$5:$BA$304,MATCH($B46,Embedded_Wall_Register!$A$5:$A$304,0)),IFERROR(INDEX(Manhole_Register!$BA$5:$BA$304,MATCH($B46,Manhole_Register!$A$5:$A$304,0)),IFERROR(INDEX(ERSS_Pit_Register!$AU$5:$AU$304,MATCH($B46,ERSS_Pit_Register!$A$5:$A$304,0)),IFERROR(INDEX(Linkway_Register!$AW$5:$AW$304,MATCH($B46,Linkway_Register!$A$5:$A$304,0)),IFERROR(INDEX(Other_Register!$AG$5:$AG$304,MATCH($B46,Other_Register!$A$5:$A$304,0)),0))))))))/1000)</f>
        <v/>
      </c>
      <c r="P46" s="20" t="str">
        <f aca="false">IF(OR($B46="",$D46=""),"",$D46*N(IFERROR(INDEX(Drain_Register!$AX$5:$AX$304,MATCH($B46,Drain_Register!$A$5:$A$304,0)),IFERROR(INDEX(RW_Register!$BD$5:$BD$304,MATCH($B46,RW_Register!$A$5:$A$304,0)),IFERROR(INDEX(Embedded_Wall_Register!$BB$5:$BB$304,MATCH($B46,Embedded_Wall_Register!$A$5:$A$304,0)),IFERROR(INDEX(Manhole_Register!$BB$5:$BB$304,MATCH($B46,Manhole_Register!$A$5:$A$304,0)),IFERROR(INDEX(ERSS_Pit_Register!$AV$5:$AV$304,MATCH($B46,ERSS_Pit_Register!$A$5:$A$304,0)),IFERROR(INDEX(Linkway_Register!$AX$5:$AX$304,MATCH($B46,Linkway_Register!$A$5:$A$304,0)),IFERROR(INDEX(Other_Register!$AH$5:$AH$304,MATCH($B46,Other_Register!$A$5:$A$304,0)),0))))))))/1000)</f>
        <v/>
      </c>
      <c r="Q46" s="19" t="str">
        <f aca="false">IF(OR($B46="",$D46=""),"",$D46*N(IFERROR(INDEX(Drain_Register!$AY$5:$AY$304,MATCH($B46,Drain_Register!$A$5:$A$304,0)),IFERROR(INDEX(RW_Register!$BE$5:$BE$304,MATCH($B46,RW_Register!$A$5:$A$304,0)),IFERROR(INDEX(Embedded_Wall_Register!$BC$5:$BC$304,MATCH($B46,Embedded_Wall_Register!$A$5:$A$304,0)),IFERROR(INDEX(Manhole_Register!$BC$5:$BC$304,MATCH($B46,Manhole_Register!$A$5:$A$304,0)),IFERROR(INDEX(ERSS_Pit_Register!$AW$5:$AW$304,MATCH($B46,ERSS_Pit_Register!$A$5:$A$304,0)),IFERROR(INDEX(Linkway_Register!$AY$5:$AY$304,MATCH($B46,Linkway_Register!$A$5:$A$304,0)),IFERROR(INDEX(Other_Register!$AI$5:$AI$304,MATCH($B46,Other_Register!$A$5:$A$304,0)),0)))))))))</f>
        <v/>
      </c>
      <c r="R46" s="19" t="str">
        <f aca="false">IF(OR($B46="",$D46=""),"",$D46*N(IFERROR(INDEX(Drain_Register!$AZ$5:$AZ$304,MATCH($B46,Drain_Register!$A$5:$A$304,0)),IFERROR(INDEX(RW_Register!$BF$5:$BF$304,MATCH($B46,RW_Register!$A$5:$A$304,0)),IFERROR(INDEX(Embedded_Wall_Register!$BD$5:$BD$304,MATCH($B46,Embedded_Wall_Register!$A$5:$A$304,0)),IFERROR(INDEX(Manhole_Register!$BD$5:$BD$304,MATCH($B46,Manhole_Register!$A$5:$A$304,0)),IFERROR(INDEX(ERSS_Pit_Register!$AX$5:$AX$304,MATCH($B46,ERSS_Pit_Register!$A$5:$A$304,0)),IFERROR(INDEX(Linkway_Register!$AZ$5:$AZ$304,MATCH($B46,Linkway_Register!$A$5:$A$304,0)),IFERROR(INDEX(Other_Register!$AJ$5:$AJ$304,MATCH($B46,Other_Register!$A$5:$A$304,0)),0)))))))))</f>
        <v/>
      </c>
      <c r="S46" s="10" t="str">
        <f aca="false">IF($B46="","",IF(G46="","ID not found",IF(J46&lt;&gt;"Approved","WARNING: status is "&amp;J46,IF(IFERROR(INDEX(Drain_Register!$CA$5:$CA$304,MATCH($B46,Drain_Register!$A$5:$A$304,0)),IFERROR(INDEX(RW_Register!$CF$5:$CF$304,MATCH($B46,RW_Register!$A$5:$A$304,0)),IFERROR(INDEX(Embedded_Wall_Register!$CD$5:$CD$304,MATCH($B46,Embedded_Wall_Register!$A$5:$A$304,0)),IFERROR(INDEX(Manhole_Register!$CC$5:$CC$304,MATCH($B46,Manhole_Register!$A$5:$A$304,0)),IFERROR(INDEX(ERSS_Pit_Register!$BX$5:$BX$304,MATCH($B46,ERSS_Pit_Register!$A$5:$A$304,0)),IFERROR(INDEX(Linkway_Register!$BY$5:$BY$304,MATCH($B46,Linkway_Register!$A$5:$A$304,0)),IFERROR(INDEX(Other_Register!$BI$5:$BI$304,MATCH($B46,Other_Register!$A$5:$A$304,0)),"")))))))="N","WARNING: fails SG compliance check",IF(D46="","Enter length / qty",IF(E46="","Enter CAD sheet no.","OK"))))))</f>
        <v/>
      </c>
    </row>
    <row r="47" customFormat="false" ht="15" hidden="false" customHeight="false" outlineLevel="0" collapsed="false">
      <c r="A47" s="9"/>
      <c r="B47" s="9"/>
      <c r="C47" s="9"/>
      <c r="D47" s="9"/>
      <c r="E47" s="9"/>
      <c r="F47" s="10" t="str">
        <f aca="false">IF($B47="","",IFERROR(INDEX(Drain_Register!$AU$5:$AU$304,MATCH($B47,Drain_Register!$A$5:$A$304,0)),IFERROR(INDEX(RW_Register!$BA$5:$BA$304,MATCH($B47,RW_Register!$A$5:$A$304,0)),IFERROR(INDEX(Embedded_Wall_Register!$AY$5:$AY$304,MATCH($B47,Embedded_Wall_Register!$A$5:$A$304,0)),IFERROR(INDEX(Manhole_Register!$AY$5:$AY$304,MATCH($B47,Manhole_Register!$A$5:$A$304,0)),IFERROR(INDEX(ERSS_Pit_Register!$AS$5:$AS$304,MATCH($B47,ERSS_Pit_Register!$A$5:$A$304,0)),IFERROR(INDEX(Linkway_Register!$AU$5:$AU$304,MATCH($B47,Linkway_Register!$A$5:$A$304,0)),IFERROR(INDEX(Other_Register!$AE$5:$AE$304,MATCH($B47,Other_Register!$A$5:$A$304,0)),""))))))))</f>
        <v/>
      </c>
      <c r="G47" s="10" t="str">
        <f aca="false">IF($B47="","",IF(ISNUMBER(MATCH($B47,Drain_Register!$A$5:$A$304,0)),"Drain",IF(ISNUMBER(MATCH($B47,RW_Register!$A$5:$A$304,0)),"Ret. Wall",IF(ISNUMBER(MATCH($B47,Embedded_Wall_Register!$A$5:$A$304,0)),"Embedded Wall",IF(ISNUMBER(MATCH($B47,Manhole_Register!$A$5:$A$304,0)),"Manhole",IF(ISNUMBER(MATCH($B47,ERSS_Pit_Register!$A$5:$A$304,0)),"ERSS Pit",IF(ISNUMBER(MATCH($B47,Linkway_Register!$A$5:$A$304,0)),"Linkway",IF(ISNUMBER(MATCH($B47,Other_Register!$A$5:$A$304,0)),"Others",""))))))))</f>
        <v/>
      </c>
      <c r="H47" s="10" t="str">
        <f aca="false">IF($B47="","",IFERROR(INDEX(Drain_Register!$B$5:$B$304,MATCH($B47,Drain_Register!$A$5:$A$304,0)),IFERROR(INDEX(RW_Register!$B$5:$B$304,MATCH($B47,RW_Register!$A$5:$A$304,0)),IFERROR(INDEX(Embedded_Wall_Register!$B$5:$B$304,MATCH($B47,Embedded_Wall_Register!$A$5:$A$304,0)),IFERROR(INDEX(Manhole_Register!$B$5:$B$304,MATCH($B47,Manhole_Register!$A$5:$A$304,0)),IFERROR(INDEX(ERSS_Pit_Register!$B$5:$B$304,MATCH($B47,ERSS_Pit_Register!$A$5:$A$304,0)),IFERROR(INDEX(Linkway_Register!$B$5:$B$304,MATCH($B47,Linkway_Register!$A$5:$A$304,0)),IFERROR(INDEX(Other_Register!$B$5:$B$304,MATCH($B47,Other_Register!$A$5:$A$304,0)),"ID not found - check spelling"))))))))</f>
        <v/>
      </c>
      <c r="I47" s="10" t="str">
        <f aca="false">IF($B47="","",IFERROR(INDEX(Drain_Register!$AI$5:$AI$304,MATCH($B47,Drain_Register!$A$5:$A$304,0)),IFERROR(INDEX(RW_Register!$AO$5:$AO$304,MATCH($B47,RW_Register!$A$5:$A$304,0)),IFERROR(INDEX(Embedded_Wall_Register!$AM$5:$AM$304,MATCH($B47,Embedded_Wall_Register!$A$5:$A$304,0)),IFERROR(INDEX(Manhole_Register!$AM$5:$AM$304,MATCH($B47,Manhole_Register!$A$5:$A$304,0)),IFERROR(INDEX(ERSS_Pit_Register!$AG$5:$AG$304,MATCH($B47,ERSS_Pit_Register!$A$5:$A$304,0)),IFERROR(INDEX(Linkway_Register!$AI$5:$AI$304,MATCH($B47,Linkway_Register!$A$5:$A$304,0)),IFERROR(INDEX(Other_Register!$S$5:$S$304,MATCH($B47,Other_Register!$A$5:$A$304,0)),""))))))))</f>
        <v/>
      </c>
      <c r="J47" s="10" t="str">
        <f aca="false">IF($B47="","",IFERROR(INDEX(Drain_Register!$AJ$5:$AJ$304,MATCH($B47,Drain_Register!$A$5:$A$304,0)),IFERROR(INDEX(RW_Register!$AP$5:$AP$304,MATCH($B47,RW_Register!$A$5:$A$304,0)),IFERROR(INDEX(Embedded_Wall_Register!$AN$5:$AN$304,MATCH($B47,Embedded_Wall_Register!$A$5:$A$304,0)),IFERROR(INDEX(Manhole_Register!$AN$5:$AN$304,MATCH($B47,Manhole_Register!$A$5:$A$304,0)),IFERROR(INDEX(ERSS_Pit_Register!$AH$5:$AH$304,MATCH($B47,ERSS_Pit_Register!$A$5:$A$304,0)),IFERROR(INDEX(Linkway_Register!$AJ$5:$AJ$304,MATCH($B47,Linkway_Register!$A$5:$A$304,0)),IFERROR(INDEX(Other_Register!$T$5:$T$304,MATCH($B47,Other_Register!$A$5:$A$304,0)),""))))))))</f>
        <v/>
      </c>
      <c r="K47" s="10" t="str">
        <f aca="false">IF($B47="","",IFERROR(INDEX(Drain_Register!$AK$5:$AK$304,MATCH($B47,Drain_Register!$A$5:$A$304,0)),IFERROR(INDEX(RW_Register!$AQ$5:$AQ$304,MATCH($B47,RW_Register!$A$5:$A$304,0)),IFERROR(INDEX(Embedded_Wall_Register!$AO$5:$AO$304,MATCH($B47,Embedded_Wall_Register!$A$5:$A$304,0)),IFERROR(INDEX(Manhole_Register!$AO$5:$AO$304,MATCH($B47,Manhole_Register!$A$5:$A$304,0)),IFERROR(INDEX(ERSS_Pit_Register!$AI$5:$AI$304,MATCH($B47,ERSS_Pit_Register!$A$5:$A$304,0)),IFERROR(INDEX(Linkway_Register!$AK$5:$AK$304,MATCH($B47,Linkway_Register!$A$5:$A$304,0)),IFERROR(INDEX(Other_Register!$U$5:$U$304,MATCH($B47,Other_Register!$A$5:$A$304,0)),""))))))))</f>
        <v/>
      </c>
      <c r="L47" s="10" t="str">
        <f aca="false">IF($B47="","",IFERROR(INDEX(Drain_Register!$AL$5:$AL$304,MATCH($B47,Drain_Register!$A$5:$A$304,0)),IFERROR(INDEX(RW_Register!$AR$5:$AR$304,MATCH($B47,RW_Register!$A$5:$A$304,0)),IFERROR(INDEX(Embedded_Wall_Register!$AP$5:$AP$304,MATCH($B47,Embedded_Wall_Register!$A$5:$A$304,0)),IFERROR(INDEX(Manhole_Register!$AP$5:$AP$304,MATCH($B47,Manhole_Register!$A$5:$A$304,0)),IFERROR(INDEX(ERSS_Pit_Register!$AJ$5:$AJ$304,MATCH($B47,ERSS_Pit_Register!$A$5:$A$304,0)),IFERROR(INDEX(Linkway_Register!$AL$5:$AL$304,MATCH($B47,Linkway_Register!$A$5:$A$304,0)),IFERROR(INDEX(Other_Register!$V$5:$V$304,MATCH($B47,Other_Register!$A$5:$A$304,0)),""))))))))</f>
        <v/>
      </c>
      <c r="M47" s="10" t="str">
        <f aca="false">IF($B47="","",IFERROR(INDEX(Drain_Register!$AN$5:$AN$304,MATCH($B47,Drain_Register!$A$5:$A$304,0)),IFERROR(INDEX(RW_Register!$AT$5:$AT$304,MATCH($B47,RW_Register!$A$5:$A$304,0)),IFERROR(INDEX(Embedded_Wall_Register!$AR$5:$AR$304,MATCH($B47,Embedded_Wall_Register!$A$5:$A$304,0)),IFERROR(INDEX(Manhole_Register!$AR$5:$AR$304,MATCH($B47,Manhole_Register!$A$5:$A$304,0)),IFERROR(INDEX(ERSS_Pit_Register!$AL$5:$AL$304,MATCH($B47,ERSS_Pit_Register!$A$5:$A$304,0)),IFERROR(INDEX(Linkway_Register!$AN$5:$AN$304,MATCH($B47,Linkway_Register!$A$5:$A$304,0)),IFERROR(INDEX(Other_Register!$X$5:$X$304,MATCH($B47,Other_Register!$A$5:$A$304,0)),"")))))))&amp;IFERROR(INDEX(Drain_Register!$AO$5:$AO$304,MATCH($B47,Drain_Register!$A$5:$A$304,0)),IFERROR(INDEX(RW_Register!$AU$5:$AU$304,MATCH($B47,RW_Register!$A$5:$A$304,0)),IFERROR(INDEX(Embedded_Wall_Register!$AS$5:$AS$304,MATCH($B47,Embedded_Wall_Register!$A$5:$A$304,0)),IFERROR(INDEX(Manhole_Register!$AS$5:$AS$304,MATCH($B47,Manhole_Register!$A$5:$A$304,0)),IFERROR(INDEX(ERSS_Pit_Register!$AM$5:$AM$304,MATCH($B47,ERSS_Pit_Register!$A$5:$A$304,0)),IFERROR(INDEX(Linkway_Register!$AO$5:$AO$304,MATCH($B47,Linkway_Register!$A$5:$A$304,0)),IFERROR(INDEX(Other_Register!$Y$5:$Y$304,MATCH($B47,Other_Register!$A$5:$A$304,0)),""))))))))</f>
        <v/>
      </c>
      <c r="N47" s="19" t="str">
        <f aca="false">IF(OR($B47="",$D47=""),"",$D47*N(IFERROR(INDEX(Drain_Register!$AV$5:$AV$304,MATCH($B47,Drain_Register!$A$5:$A$304,0)),IFERROR(INDEX(RW_Register!$BB$5:$BB$304,MATCH($B47,RW_Register!$A$5:$A$304,0)),IFERROR(INDEX(Embedded_Wall_Register!$AZ$5:$AZ$304,MATCH($B47,Embedded_Wall_Register!$A$5:$A$304,0)),IFERROR(INDEX(Manhole_Register!$AZ$5:$AZ$304,MATCH($B47,Manhole_Register!$A$5:$A$304,0)),IFERROR(INDEX(ERSS_Pit_Register!$AT$5:$AT$304,MATCH($B47,ERSS_Pit_Register!$A$5:$A$304,0)),IFERROR(INDEX(Linkway_Register!$AV$5:$AV$304,MATCH($B47,Linkway_Register!$A$5:$A$304,0)),IFERROR(INDEX(Other_Register!$AF$5:$AF$304,MATCH($B47,Other_Register!$A$5:$A$304,0)),0)))))))))</f>
        <v/>
      </c>
      <c r="O47" s="20" t="str">
        <f aca="false">IF(OR($B47="",$D47=""),"",$D47*N(IFERROR(INDEX(Drain_Register!$AW$5:$AW$304,MATCH($B47,Drain_Register!$A$5:$A$304,0)),IFERROR(INDEX(RW_Register!$BC$5:$BC$304,MATCH($B47,RW_Register!$A$5:$A$304,0)),IFERROR(INDEX(Embedded_Wall_Register!$BA$5:$BA$304,MATCH($B47,Embedded_Wall_Register!$A$5:$A$304,0)),IFERROR(INDEX(Manhole_Register!$BA$5:$BA$304,MATCH($B47,Manhole_Register!$A$5:$A$304,0)),IFERROR(INDEX(ERSS_Pit_Register!$AU$5:$AU$304,MATCH($B47,ERSS_Pit_Register!$A$5:$A$304,0)),IFERROR(INDEX(Linkway_Register!$AW$5:$AW$304,MATCH($B47,Linkway_Register!$A$5:$A$304,0)),IFERROR(INDEX(Other_Register!$AG$5:$AG$304,MATCH($B47,Other_Register!$A$5:$A$304,0)),0))))))))/1000)</f>
        <v/>
      </c>
      <c r="P47" s="20" t="str">
        <f aca="false">IF(OR($B47="",$D47=""),"",$D47*N(IFERROR(INDEX(Drain_Register!$AX$5:$AX$304,MATCH($B47,Drain_Register!$A$5:$A$304,0)),IFERROR(INDEX(RW_Register!$BD$5:$BD$304,MATCH($B47,RW_Register!$A$5:$A$304,0)),IFERROR(INDEX(Embedded_Wall_Register!$BB$5:$BB$304,MATCH($B47,Embedded_Wall_Register!$A$5:$A$304,0)),IFERROR(INDEX(Manhole_Register!$BB$5:$BB$304,MATCH($B47,Manhole_Register!$A$5:$A$304,0)),IFERROR(INDEX(ERSS_Pit_Register!$AV$5:$AV$304,MATCH($B47,ERSS_Pit_Register!$A$5:$A$304,0)),IFERROR(INDEX(Linkway_Register!$AX$5:$AX$304,MATCH($B47,Linkway_Register!$A$5:$A$304,0)),IFERROR(INDEX(Other_Register!$AH$5:$AH$304,MATCH($B47,Other_Register!$A$5:$A$304,0)),0))))))))/1000)</f>
        <v/>
      </c>
      <c r="Q47" s="19" t="str">
        <f aca="false">IF(OR($B47="",$D47=""),"",$D47*N(IFERROR(INDEX(Drain_Register!$AY$5:$AY$304,MATCH($B47,Drain_Register!$A$5:$A$304,0)),IFERROR(INDEX(RW_Register!$BE$5:$BE$304,MATCH($B47,RW_Register!$A$5:$A$304,0)),IFERROR(INDEX(Embedded_Wall_Register!$BC$5:$BC$304,MATCH($B47,Embedded_Wall_Register!$A$5:$A$304,0)),IFERROR(INDEX(Manhole_Register!$BC$5:$BC$304,MATCH($B47,Manhole_Register!$A$5:$A$304,0)),IFERROR(INDEX(ERSS_Pit_Register!$AW$5:$AW$304,MATCH($B47,ERSS_Pit_Register!$A$5:$A$304,0)),IFERROR(INDEX(Linkway_Register!$AY$5:$AY$304,MATCH($B47,Linkway_Register!$A$5:$A$304,0)),IFERROR(INDEX(Other_Register!$AI$5:$AI$304,MATCH($B47,Other_Register!$A$5:$A$304,0)),0)))))))))</f>
        <v/>
      </c>
      <c r="R47" s="19" t="str">
        <f aca="false">IF(OR($B47="",$D47=""),"",$D47*N(IFERROR(INDEX(Drain_Register!$AZ$5:$AZ$304,MATCH($B47,Drain_Register!$A$5:$A$304,0)),IFERROR(INDEX(RW_Register!$BF$5:$BF$304,MATCH($B47,RW_Register!$A$5:$A$304,0)),IFERROR(INDEX(Embedded_Wall_Register!$BD$5:$BD$304,MATCH($B47,Embedded_Wall_Register!$A$5:$A$304,0)),IFERROR(INDEX(Manhole_Register!$BD$5:$BD$304,MATCH($B47,Manhole_Register!$A$5:$A$304,0)),IFERROR(INDEX(ERSS_Pit_Register!$AX$5:$AX$304,MATCH($B47,ERSS_Pit_Register!$A$5:$A$304,0)),IFERROR(INDEX(Linkway_Register!$AZ$5:$AZ$304,MATCH($B47,Linkway_Register!$A$5:$A$304,0)),IFERROR(INDEX(Other_Register!$AJ$5:$AJ$304,MATCH($B47,Other_Register!$A$5:$A$304,0)),0)))))))))</f>
        <v/>
      </c>
      <c r="S47" s="10" t="str">
        <f aca="false">IF($B47="","",IF(G47="","ID not found",IF(J47&lt;&gt;"Approved","WARNING: status is "&amp;J47,IF(IFERROR(INDEX(Drain_Register!$CA$5:$CA$304,MATCH($B47,Drain_Register!$A$5:$A$304,0)),IFERROR(INDEX(RW_Register!$CF$5:$CF$304,MATCH($B47,RW_Register!$A$5:$A$304,0)),IFERROR(INDEX(Embedded_Wall_Register!$CD$5:$CD$304,MATCH($B47,Embedded_Wall_Register!$A$5:$A$304,0)),IFERROR(INDEX(Manhole_Register!$CC$5:$CC$304,MATCH($B47,Manhole_Register!$A$5:$A$304,0)),IFERROR(INDEX(ERSS_Pit_Register!$BX$5:$BX$304,MATCH($B47,ERSS_Pit_Register!$A$5:$A$304,0)),IFERROR(INDEX(Linkway_Register!$BY$5:$BY$304,MATCH($B47,Linkway_Register!$A$5:$A$304,0)),IFERROR(INDEX(Other_Register!$BI$5:$BI$304,MATCH($B47,Other_Register!$A$5:$A$304,0)),"")))))))="N","WARNING: fails SG compliance check",IF(D47="","Enter length / qty",IF(E47="","Enter CAD sheet no.","OK"))))))</f>
        <v/>
      </c>
    </row>
    <row r="48" customFormat="false" ht="15" hidden="false" customHeight="false" outlineLevel="0" collapsed="false">
      <c r="A48" s="9"/>
      <c r="B48" s="9"/>
      <c r="C48" s="9"/>
      <c r="D48" s="9"/>
      <c r="E48" s="9"/>
      <c r="F48" s="10" t="str">
        <f aca="false">IF($B48="","",IFERROR(INDEX(Drain_Register!$AU$5:$AU$304,MATCH($B48,Drain_Register!$A$5:$A$304,0)),IFERROR(INDEX(RW_Register!$BA$5:$BA$304,MATCH($B48,RW_Register!$A$5:$A$304,0)),IFERROR(INDEX(Embedded_Wall_Register!$AY$5:$AY$304,MATCH($B48,Embedded_Wall_Register!$A$5:$A$304,0)),IFERROR(INDEX(Manhole_Register!$AY$5:$AY$304,MATCH($B48,Manhole_Register!$A$5:$A$304,0)),IFERROR(INDEX(ERSS_Pit_Register!$AS$5:$AS$304,MATCH($B48,ERSS_Pit_Register!$A$5:$A$304,0)),IFERROR(INDEX(Linkway_Register!$AU$5:$AU$304,MATCH($B48,Linkway_Register!$A$5:$A$304,0)),IFERROR(INDEX(Other_Register!$AE$5:$AE$304,MATCH($B48,Other_Register!$A$5:$A$304,0)),""))))))))</f>
        <v/>
      </c>
      <c r="G48" s="10" t="str">
        <f aca="false">IF($B48="","",IF(ISNUMBER(MATCH($B48,Drain_Register!$A$5:$A$304,0)),"Drain",IF(ISNUMBER(MATCH($B48,RW_Register!$A$5:$A$304,0)),"Ret. Wall",IF(ISNUMBER(MATCH($B48,Embedded_Wall_Register!$A$5:$A$304,0)),"Embedded Wall",IF(ISNUMBER(MATCH($B48,Manhole_Register!$A$5:$A$304,0)),"Manhole",IF(ISNUMBER(MATCH($B48,ERSS_Pit_Register!$A$5:$A$304,0)),"ERSS Pit",IF(ISNUMBER(MATCH($B48,Linkway_Register!$A$5:$A$304,0)),"Linkway",IF(ISNUMBER(MATCH($B48,Other_Register!$A$5:$A$304,0)),"Others",""))))))))</f>
        <v/>
      </c>
      <c r="H48" s="10" t="str">
        <f aca="false">IF($B48="","",IFERROR(INDEX(Drain_Register!$B$5:$B$304,MATCH($B48,Drain_Register!$A$5:$A$304,0)),IFERROR(INDEX(RW_Register!$B$5:$B$304,MATCH($B48,RW_Register!$A$5:$A$304,0)),IFERROR(INDEX(Embedded_Wall_Register!$B$5:$B$304,MATCH($B48,Embedded_Wall_Register!$A$5:$A$304,0)),IFERROR(INDEX(Manhole_Register!$B$5:$B$304,MATCH($B48,Manhole_Register!$A$5:$A$304,0)),IFERROR(INDEX(ERSS_Pit_Register!$B$5:$B$304,MATCH($B48,ERSS_Pit_Register!$A$5:$A$304,0)),IFERROR(INDEX(Linkway_Register!$B$5:$B$304,MATCH($B48,Linkway_Register!$A$5:$A$304,0)),IFERROR(INDEX(Other_Register!$B$5:$B$304,MATCH($B48,Other_Register!$A$5:$A$304,0)),"ID not found - check spelling"))))))))</f>
        <v/>
      </c>
      <c r="I48" s="10" t="str">
        <f aca="false">IF($B48="","",IFERROR(INDEX(Drain_Register!$AI$5:$AI$304,MATCH($B48,Drain_Register!$A$5:$A$304,0)),IFERROR(INDEX(RW_Register!$AO$5:$AO$304,MATCH($B48,RW_Register!$A$5:$A$304,0)),IFERROR(INDEX(Embedded_Wall_Register!$AM$5:$AM$304,MATCH($B48,Embedded_Wall_Register!$A$5:$A$304,0)),IFERROR(INDEX(Manhole_Register!$AM$5:$AM$304,MATCH($B48,Manhole_Register!$A$5:$A$304,0)),IFERROR(INDEX(ERSS_Pit_Register!$AG$5:$AG$304,MATCH($B48,ERSS_Pit_Register!$A$5:$A$304,0)),IFERROR(INDEX(Linkway_Register!$AI$5:$AI$304,MATCH($B48,Linkway_Register!$A$5:$A$304,0)),IFERROR(INDEX(Other_Register!$S$5:$S$304,MATCH($B48,Other_Register!$A$5:$A$304,0)),""))))))))</f>
        <v/>
      </c>
      <c r="J48" s="10" t="str">
        <f aca="false">IF($B48="","",IFERROR(INDEX(Drain_Register!$AJ$5:$AJ$304,MATCH($B48,Drain_Register!$A$5:$A$304,0)),IFERROR(INDEX(RW_Register!$AP$5:$AP$304,MATCH($B48,RW_Register!$A$5:$A$304,0)),IFERROR(INDEX(Embedded_Wall_Register!$AN$5:$AN$304,MATCH($B48,Embedded_Wall_Register!$A$5:$A$304,0)),IFERROR(INDEX(Manhole_Register!$AN$5:$AN$304,MATCH($B48,Manhole_Register!$A$5:$A$304,0)),IFERROR(INDEX(ERSS_Pit_Register!$AH$5:$AH$304,MATCH($B48,ERSS_Pit_Register!$A$5:$A$304,0)),IFERROR(INDEX(Linkway_Register!$AJ$5:$AJ$304,MATCH($B48,Linkway_Register!$A$5:$A$304,0)),IFERROR(INDEX(Other_Register!$T$5:$T$304,MATCH($B48,Other_Register!$A$5:$A$304,0)),""))))))))</f>
        <v/>
      </c>
      <c r="K48" s="10" t="str">
        <f aca="false">IF($B48="","",IFERROR(INDEX(Drain_Register!$AK$5:$AK$304,MATCH($B48,Drain_Register!$A$5:$A$304,0)),IFERROR(INDEX(RW_Register!$AQ$5:$AQ$304,MATCH($B48,RW_Register!$A$5:$A$304,0)),IFERROR(INDEX(Embedded_Wall_Register!$AO$5:$AO$304,MATCH($B48,Embedded_Wall_Register!$A$5:$A$304,0)),IFERROR(INDEX(Manhole_Register!$AO$5:$AO$304,MATCH($B48,Manhole_Register!$A$5:$A$304,0)),IFERROR(INDEX(ERSS_Pit_Register!$AI$5:$AI$304,MATCH($B48,ERSS_Pit_Register!$A$5:$A$304,0)),IFERROR(INDEX(Linkway_Register!$AK$5:$AK$304,MATCH($B48,Linkway_Register!$A$5:$A$304,0)),IFERROR(INDEX(Other_Register!$U$5:$U$304,MATCH($B48,Other_Register!$A$5:$A$304,0)),""))))))))</f>
        <v/>
      </c>
      <c r="L48" s="10" t="str">
        <f aca="false">IF($B48="","",IFERROR(INDEX(Drain_Register!$AL$5:$AL$304,MATCH($B48,Drain_Register!$A$5:$A$304,0)),IFERROR(INDEX(RW_Register!$AR$5:$AR$304,MATCH($B48,RW_Register!$A$5:$A$304,0)),IFERROR(INDEX(Embedded_Wall_Register!$AP$5:$AP$304,MATCH($B48,Embedded_Wall_Register!$A$5:$A$304,0)),IFERROR(INDEX(Manhole_Register!$AP$5:$AP$304,MATCH($B48,Manhole_Register!$A$5:$A$304,0)),IFERROR(INDEX(ERSS_Pit_Register!$AJ$5:$AJ$304,MATCH($B48,ERSS_Pit_Register!$A$5:$A$304,0)),IFERROR(INDEX(Linkway_Register!$AL$5:$AL$304,MATCH($B48,Linkway_Register!$A$5:$A$304,0)),IFERROR(INDEX(Other_Register!$V$5:$V$304,MATCH($B48,Other_Register!$A$5:$A$304,0)),""))))))))</f>
        <v/>
      </c>
      <c r="M48" s="10" t="str">
        <f aca="false">IF($B48="","",IFERROR(INDEX(Drain_Register!$AN$5:$AN$304,MATCH($B48,Drain_Register!$A$5:$A$304,0)),IFERROR(INDEX(RW_Register!$AT$5:$AT$304,MATCH($B48,RW_Register!$A$5:$A$304,0)),IFERROR(INDEX(Embedded_Wall_Register!$AR$5:$AR$304,MATCH($B48,Embedded_Wall_Register!$A$5:$A$304,0)),IFERROR(INDEX(Manhole_Register!$AR$5:$AR$304,MATCH($B48,Manhole_Register!$A$5:$A$304,0)),IFERROR(INDEX(ERSS_Pit_Register!$AL$5:$AL$304,MATCH($B48,ERSS_Pit_Register!$A$5:$A$304,0)),IFERROR(INDEX(Linkway_Register!$AN$5:$AN$304,MATCH($B48,Linkway_Register!$A$5:$A$304,0)),IFERROR(INDEX(Other_Register!$X$5:$X$304,MATCH($B48,Other_Register!$A$5:$A$304,0)),"")))))))&amp;IFERROR(INDEX(Drain_Register!$AO$5:$AO$304,MATCH($B48,Drain_Register!$A$5:$A$304,0)),IFERROR(INDEX(RW_Register!$AU$5:$AU$304,MATCH($B48,RW_Register!$A$5:$A$304,0)),IFERROR(INDEX(Embedded_Wall_Register!$AS$5:$AS$304,MATCH($B48,Embedded_Wall_Register!$A$5:$A$304,0)),IFERROR(INDEX(Manhole_Register!$AS$5:$AS$304,MATCH($B48,Manhole_Register!$A$5:$A$304,0)),IFERROR(INDEX(ERSS_Pit_Register!$AM$5:$AM$304,MATCH($B48,ERSS_Pit_Register!$A$5:$A$304,0)),IFERROR(INDEX(Linkway_Register!$AO$5:$AO$304,MATCH($B48,Linkway_Register!$A$5:$A$304,0)),IFERROR(INDEX(Other_Register!$Y$5:$Y$304,MATCH($B48,Other_Register!$A$5:$A$304,0)),""))))))))</f>
        <v/>
      </c>
      <c r="N48" s="19" t="str">
        <f aca="false">IF(OR($B48="",$D48=""),"",$D48*N(IFERROR(INDEX(Drain_Register!$AV$5:$AV$304,MATCH($B48,Drain_Register!$A$5:$A$304,0)),IFERROR(INDEX(RW_Register!$BB$5:$BB$304,MATCH($B48,RW_Register!$A$5:$A$304,0)),IFERROR(INDEX(Embedded_Wall_Register!$AZ$5:$AZ$304,MATCH($B48,Embedded_Wall_Register!$A$5:$A$304,0)),IFERROR(INDEX(Manhole_Register!$AZ$5:$AZ$304,MATCH($B48,Manhole_Register!$A$5:$A$304,0)),IFERROR(INDEX(ERSS_Pit_Register!$AT$5:$AT$304,MATCH($B48,ERSS_Pit_Register!$A$5:$A$304,0)),IFERROR(INDEX(Linkway_Register!$AV$5:$AV$304,MATCH($B48,Linkway_Register!$A$5:$A$304,0)),IFERROR(INDEX(Other_Register!$AF$5:$AF$304,MATCH($B48,Other_Register!$A$5:$A$304,0)),0)))))))))</f>
        <v/>
      </c>
      <c r="O48" s="20" t="str">
        <f aca="false">IF(OR($B48="",$D48=""),"",$D48*N(IFERROR(INDEX(Drain_Register!$AW$5:$AW$304,MATCH($B48,Drain_Register!$A$5:$A$304,0)),IFERROR(INDEX(RW_Register!$BC$5:$BC$304,MATCH($B48,RW_Register!$A$5:$A$304,0)),IFERROR(INDEX(Embedded_Wall_Register!$BA$5:$BA$304,MATCH($B48,Embedded_Wall_Register!$A$5:$A$304,0)),IFERROR(INDEX(Manhole_Register!$BA$5:$BA$304,MATCH($B48,Manhole_Register!$A$5:$A$304,0)),IFERROR(INDEX(ERSS_Pit_Register!$AU$5:$AU$304,MATCH($B48,ERSS_Pit_Register!$A$5:$A$304,0)),IFERROR(INDEX(Linkway_Register!$AW$5:$AW$304,MATCH($B48,Linkway_Register!$A$5:$A$304,0)),IFERROR(INDEX(Other_Register!$AG$5:$AG$304,MATCH($B48,Other_Register!$A$5:$A$304,0)),0))))))))/1000)</f>
        <v/>
      </c>
      <c r="P48" s="20" t="str">
        <f aca="false">IF(OR($B48="",$D48=""),"",$D48*N(IFERROR(INDEX(Drain_Register!$AX$5:$AX$304,MATCH($B48,Drain_Register!$A$5:$A$304,0)),IFERROR(INDEX(RW_Register!$BD$5:$BD$304,MATCH($B48,RW_Register!$A$5:$A$304,0)),IFERROR(INDEX(Embedded_Wall_Register!$BB$5:$BB$304,MATCH($B48,Embedded_Wall_Register!$A$5:$A$304,0)),IFERROR(INDEX(Manhole_Register!$BB$5:$BB$304,MATCH($B48,Manhole_Register!$A$5:$A$304,0)),IFERROR(INDEX(ERSS_Pit_Register!$AV$5:$AV$304,MATCH($B48,ERSS_Pit_Register!$A$5:$A$304,0)),IFERROR(INDEX(Linkway_Register!$AX$5:$AX$304,MATCH($B48,Linkway_Register!$A$5:$A$304,0)),IFERROR(INDEX(Other_Register!$AH$5:$AH$304,MATCH($B48,Other_Register!$A$5:$A$304,0)),0))))))))/1000)</f>
        <v/>
      </c>
      <c r="Q48" s="19" t="str">
        <f aca="false">IF(OR($B48="",$D48=""),"",$D48*N(IFERROR(INDEX(Drain_Register!$AY$5:$AY$304,MATCH($B48,Drain_Register!$A$5:$A$304,0)),IFERROR(INDEX(RW_Register!$BE$5:$BE$304,MATCH($B48,RW_Register!$A$5:$A$304,0)),IFERROR(INDEX(Embedded_Wall_Register!$BC$5:$BC$304,MATCH($B48,Embedded_Wall_Register!$A$5:$A$304,0)),IFERROR(INDEX(Manhole_Register!$BC$5:$BC$304,MATCH($B48,Manhole_Register!$A$5:$A$304,0)),IFERROR(INDEX(ERSS_Pit_Register!$AW$5:$AW$304,MATCH($B48,ERSS_Pit_Register!$A$5:$A$304,0)),IFERROR(INDEX(Linkway_Register!$AY$5:$AY$304,MATCH($B48,Linkway_Register!$A$5:$A$304,0)),IFERROR(INDEX(Other_Register!$AI$5:$AI$304,MATCH($B48,Other_Register!$A$5:$A$304,0)),0)))))))))</f>
        <v/>
      </c>
      <c r="R48" s="19" t="str">
        <f aca="false">IF(OR($B48="",$D48=""),"",$D48*N(IFERROR(INDEX(Drain_Register!$AZ$5:$AZ$304,MATCH($B48,Drain_Register!$A$5:$A$304,0)),IFERROR(INDEX(RW_Register!$BF$5:$BF$304,MATCH($B48,RW_Register!$A$5:$A$304,0)),IFERROR(INDEX(Embedded_Wall_Register!$BD$5:$BD$304,MATCH($B48,Embedded_Wall_Register!$A$5:$A$304,0)),IFERROR(INDEX(Manhole_Register!$BD$5:$BD$304,MATCH($B48,Manhole_Register!$A$5:$A$304,0)),IFERROR(INDEX(ERSS_Pit_Register!$AX$5:$AX$304,MATCH($B48,ERSS_Pit_Register!$A$5:$A$304,0)),IFERROR(INDEX(Linkway_Register!$AZ$5:$AZ$304,MATCH($B48,Linkway_Register!$A$5:$A$304,0)),IFERROR(INDEX(Other_Register!$AJ$5:$AJ$304,MATCH($B48,Other_Register!$A$5:$A$304,0)),0)))))))))</f>
        <v/>
      </c>
      <c r="S48" s="10" t="str">
        <f aca="false">IF($B48="","",IF(G48="","ID not found",IF(J48&lt;&gt;"Approved","WARNING: status is "&amp;J48,IF(IFERROR(INDEX(Drain_Register!$CA$5:$CA$304,MATCH($B48,Drain_Register!$A$5:$A$304,0)),IFERROR(INDEX(RW_Register!$CF$5:$CF$304,MATCH($B48,RW_Register!$A$5:$A$304,0)),IFERROR(INDEX(Embedded_Wall_Register!$CD$5:$CD$304,MATCH($B48,Embedded_Wall_Register!$A$5:$A$304,0)),IFERROR(INDEX(Manhole_Register!$CC$5:$CC$304,MATCH($B48,Manhole_Register!$A$5:$A$304,0)),IFERROR(INDEX(ERSS_Pit_Register!$BX$5:$BX$304,MATCH($B48,ERSS_Pit_Register!$A$5:$A$304,0)),IFERROR(INDEX(Linkway_Register!$BY$5:$BY$304,MATCH($B48,Linkway_Register!$A$5:$A$304,0)),IFERROR(INDEX(Other_Register!$BI$5:$BI$304,MATCH($B48,Other_Register!$A$5:$A$304,0)),"")))))))="N","WARNING: fails SG compliance check",IF(D48="","Enter length / qty",IF(E48="","Enter CAD sheet no.","OK"))))))</f>
        <v/>
      </c>
    </row>
    <row r="49" customFormat="false" ht="15" hidden="false" customHeight="false" outlineLevel="0" collapsed="false">
      <c r="A49" s="9"/>
      <c r="B49" s="9"/>
      <c r="C49" s="9"/>
      <c r="D49" s="9"/>
      <c r="E49" s="9"/>
      <c r="F49" s="10" t="str">
        <f aca="false">IF($B49="","",IFERROR(INDEX(Drain_Register!$AU$5:$AU$304,MATCH($B49,Drain_Register!$A$5:$A$304,0)),IFERROR(INDEX(RW_Register!$BA$5:$BA$304,MATCH($B49,RW_Register!$A$5:$A$304,0)),IFERROR(INDEX(Embedded_Wall_Register!$AY$5:$AY$304,MATCH($B49,Embedded_Wall_Register!$A$5:$A$304,0)),IFERROR(INDEX(Manhole_Register!$AY$5:$AY$304,MATCH($B49,Manhole_Register!$A$5:$A$304,0)),IFERROR(INDEX(ERSS_Pit_Register!$AS$5:$AS$304,MATCH($B49,ERSS_Pit_Register!$A$5:$A$304,0)),IFERROR(INDEX(Linkway_Register!$AU$5:$AU$304,MATCH($B49,Linkway_Register!$A$5:$A$304,0)),IFERROR(INDEX(Other_Register!$AE$5:$AE$304,MATCH($B49,Other_Register!$A$5:$A$304,0)),""))))))))</f>
        <v/>
      </c>
      <c r="G49" s="10" t="str">
        <f aca="false">IF($B49="","",IF(ISNUMBER(MATCH($B49,Drain_Register!$A$5:$A$304,0)),"Drain",IF(ISNUMBER(MATCH($B49,RW_Register!$A$5:$A$304,0)),"Ret. Wall",IF(ISNUMBER(MATCH($B49,Embedded_Wall_Register!$A$5:$A$304,0)),"Embedded Wall",IF(ISNUMBER(MATCH($B49,Manhole_Register!$A$5:$A$304,0)),"Manhole",IF(ISNUMBER(MATCH($B49,ERSS_Pit_Register!$A$5:$A$304,0)),"ERSS Pit",IF(ISNUMBER(MATCH($B49,Linkway_Register!$A$5:$A$304,0)),"Linkway",IF(ISNUMBER(MATCH($B49,Other_Register!$A$5:$A$304,0)),"Others",""))))))))</f>
        <v/>
      </c>
      <c r="H49" s="10" t="str">
        <f aca="false">IF($B49="","",IFERROR(INDEX(Drain_Register!$B$5:$B$304,MATCH($B49,Drain_Register!$A$5:$A$304,0)),IFERROR(INDEX(RW_Register!$B$5:$B$304,MATCH($B49,RW_Register!$A$5:$A$304,0)),IFERROR(INDEX(Embedded_Wall_Register!$B$5:$B$304,MATCH($B49,Embedded_Wall_Register!$A$5:$A$304,0)),IFERROR(INDEX(Manhole_Register!$B$5:$B$304,MATCH($B49,Manhole_Register!$A$5:$A$304,0)),IFERROR(INDEX(ERSS_Pit_Register!$B$5:$B$304,MATCH($B49,ERSS_Pit_Register!$A$5:$A$304,0)),IFERROR(INDEX(Linkway_Register!$B$5:$B$304,MATCH($B49,Linkway_Register!$A$5:$A$304,0)),IFERROR(INDEX(Other_Register!$B$5:$B$304,MATCH($B49,Other_Register!$A$5:$A$304,0)),"ID not found - check spelling"))))))))</f>
        <v/>
      </c>
      <c r="I49" s="10" t="str">
        <f aca="false">IF($B49="","",IFERROR(INDEX(Drain_Register!$AI$5:$AI$304,MATCH($B49,Drain_Register!$A$5:$A$304,0)),IFERROR(INDEX(RW_Register!$AO$5:$AO$304,MATCH($B49,RW_Register!$A$5:$A$304,0)),IFERROR(INDEX(Embedded_Wall_Register!$AM$5:$AM$304,MATCH($B49,Embedded_Wall_Register!$A$5:$A$304,0)),IFERROR(INDEX(Manhole_Register!$AM$5:$AM$304,MATCH($B49,Manhole_Register!$A$5:$A$304,0)),IFERROR(INDEX(ERSS_Pit_Register!$AG$5:$AG$304,MATCH($B49,ERSS_Pit_Register!$A$5:$A$304,0)),IFERROR(INDEX(Linkway_Register!$AI$5:$AI$304,MATCH($B49,Linkway_Register!$A$5:$A$304,0)),IFERROR(INDEX(Other_Register!$S$5:$S$304,MATCH($B49,Other_Register!$A$5:$A$304,0)),""))))))))</f>
        <v/>
      </c>
      <c r="J49" s="10" t="str">
        <f aca="false">IF($B49="","",IFERROR(INDEX(Drain_Register!$AJ$5:$AJ$304,MATCH($B49,Drain_Register!$A$5:$A$304,0)),IFERROR(INDEX(RW_Register!$AP$5:$AP$304,MATCH($B49,RW_Register!$A$5:$A$304,0)),IFERROR(INDEX(Embedded_Wall_Register!$AN$5:$AN$304,MATCH($B49,Embedded_Wall_Register!$A$5:$A$304,0)),IFERROR(INDEX(Manhole_Register!$AN$5:$AN$304,MATCH($B49,Manhole_Register!$A$5:$A$304,0)),IFERROR(INDEX(ERSS_Pit_Register!$AH$5:$AH$304,MATCH($B49,ERSS_Pit_Register!$A$5:$A$304,0)),IFERROR(INDEX(Linkway_Register!$AJ$5:$AJ$304,MATCH($B49,Linkway_Register!$A$5:$A$304,0)),IFERROR(INDEX(Other_Register!$T$5:$T$304,MATCH($B49,Other_Register!$A$5:$A$304,0)),""))))))))</f>
        <v/>
      </c>
      <c r="K49" s="10" t="str">
        <f aca="false">IF($B49="","",IFERROR(INDEX(Drain_Register!$AK$5:$AK$304,MATCH($B49,Drain_Register!$A$5:$A$304,0)),IFERROR(INDEX(RW_Register!$AQ$5:$AQ$304,MATCH($B49,RW_Register!$A$5:$A$304,0)),IFERROR(INDEX(Embedded_Wall_Register!$AO$5:$AO$304,MATCH($B49,Embedded_Wall_Register!$A$5:$A$304,0)),IFERROR(INDEX(Manhole_Register!$AO$5:$AO$304,MATCH($B49,Manhole_Register!$A$5:$A$304,0)),IFERROR(INDEX(ERSS_Pit_Register!$AI$5:$AI$304,MATCH($B49,ERSS_Pit_Register!$A$5:$A$304,0)),IFERROR(INDEX(Linkway_Register!$AK$5:$AK$304,MATCH($B49,Linkway_Register!$A$5:$A$304,0)),IFERROR(INDEX(Other_Register!$U$5:$U$304,MATCH($B49,Other_Register!$A$5:$A$304,0)),""))))))))</f>
        <v/>
      </c>
      <c r="L49" s="10" t="str">
        <f aca="false">IF($B49="","",IFERROR(INDEX(Drain_Register!$AL$5:$AL$304,MATCH($B49,Drain_Register!$A$5:$A$304,0)),IFERROR(INDEX(RW_Register!$AR$5:$AR$304,MATCH($B49,RW_Register!$A$5:$A$304,0)),IFERROR(INDEX(Embedded_Wall_Register!$AP$5:$AP$304,MATCH($B49,Embedded_Wall_Register!$A$5:$A$304,0)),IFERROR(INDEX(Manhole_Register!$AP$5:$AP$304,MATCH($B49,Manhole_Register!$A$5:$A$304,0)),IFERROR(INDEX(ERSS_Pit_Register!$AJ$5:$AJ$304,MATCH($B49,ERSS_Pit_Register!$A$5:$A$304,0)),IFERROR(INDEX(Linkway_Register!$AL$5:$AL$304,MATCH($B49,Linkway_Register!$A$5:$A$304,0)),IFERROR(INDEX(Other_Register!$V$5:$V$304,MATCH($B49,Other_Register!$A$5:$A$304,0)),""))))))))</f>
        <v/>
      </c>
      <c r="M49" s="10" t="str">
        <f aca="false">IF($B49="","",IFERROR(INDEX(Drain_Register!$AN$5:$AN$304,MATCH($B49,Drain_Register!$A$5:$A$304,0)),IFERROR(INDEX(RW_Register!$AT$5:$AT$304,MATCH($B49,RW_Register!$A$5:$A$304,0)),IFERROR(INDEX(Embedded_Wall_Register!$AR$5:$AR$304,MATCH($B49,Embedded_Wall_Register!$A$5:$A$304,0)),IFERROR(INDEX(Manhole_Register!$AR$5:$AR$304,MATCH($B49,Manhole_Register!$A$5:$A$304,0)),IFERROR(INDEX(ERSS_Pit_Register!$AL$5:$AL$304,MATCH($B49,ERSS_Pit_Register!$A$5:$A$304,0)),IFERROR(INDEX(Linkway_Register!$AN$5:$AN$304,MATCH($B49,Linkway_Register!$A$5:$A$304,0)),IFERROR(INDEX(Other_Register!$X$5:$X$304,MATCH($B49,Other_Register!$A$5:$A$304,0)),"")))))))&amp;IFERROR(INDEX(Drain_Register!$AO$5:$AO$304,MATCH($B49,Drain_Register!$A$5:$A$304,0)),IFERROR(INDEX(RW_Register!$AU$5:$AU$304,MATCH($B49,RW_Register!$A$5:$A$304,0)),IFERROR(INDEX(Embedded_Wall_Register!$AS$5:$AS$304,MATCH($B49,Embedded_Wall_Register!$A$5:$A$304,0)),IFERROR(INDEX(Manhole_Register!$AS$5:$AS$304,MATCH($B49,Manhole_Register!$A$5:$A$304,0)),IFERROR(INDEX(ERSS_Pit_Register!$AM$5:$AM$304,MATCH($B49,ERSS_Pit_Register!$A$5:$A$304,0)),IFERROR(INDEX(Linkway_Register!$AO$5:$AO$304,MATCH($B49,Linkway_Register!$A$5:$A$304,0)),IFERROR(INDEX(Other_Register!$Y$5:$Y$304,MATCH($B49,Other_Register!$A$5:$A$304,0)),""))))))))</f>
        <v/>
      </c>
      <c r="N49" s="19" t="str">
        <f aca="false">IF(OR($B49="",$D49=""),"",$D49*N(IFERROR(INDEX(Drain_Register!$AV$5:$AV$304,MATCH($B49,Drain_Register!$A$5:$A$304,0)),IFERROR(INDEX(RW_Register!$BB$5:$BB$304,MATCH($B49,RW_Register!$A$5:$A$304,0)),IFERROR(INDEX(Embedded_Wall_Register!$AZ$5:$AZ$304,MATCH($B49,Embedded_Wall_Register!$A$5:$A$304,0)),IFERROR(INDEX(Manhole_Register!$AZ$5:$AZ$304,MATCH($B49,Manhole_Register!$A$5:$A$304,0)),IFERROR(INDEX(ERSS_Pit_Register!$AT$5:$AT$304,MATCH($B49,ERSS_Pit_Register!$A$5:$A$304,0)),IFERROR(INDEX(Linkway_Register!$AV$5:$AV$304,MATCH($B49,Linkway_Register!$A$5:$A$304,0)),IFERROR(INDEX(Other_Register!$AF$5:$AF$304,MATCH($B49,Other_Register!$A$5:$A$304,0)),0)))))))))</f>
        <v/>
      </c>
      <c r="O49" s="20" t="str">
        <f aca="false">IF(OR($B49="",$D49=""),"",$D49*N(IFERROR(INDEX(Drain_Register!$AW$5:$AW$304,MATCH($B49,Drain_Register!$A$5:$A$304,0)),IFERROR(INDEX(RW_Register!$BC$5:$BC$304,MATCH($B49,RW_Register!$A$5:$A$304,0)),IFERROR(INDEX(Embedded_Wall_Register!$BA$5:$BA$304,MATCH($B49,Embedded_Wall_Register!$A$5:$A$304,0)),IFERROR(INDEX(Manhole_Register!$BA$5:$BA$304,MATCH($B49,Manhole_Register!$A$5:$A$304,0)),IFERROR(INDEX(ERSS_Pit_Register!$AU$5:$AU$304,MATCH($B49,ERSS_Pit_Register!$A$5:$A$304,0)),IFERROR(INDEX(Linkway_Register!$AW$5:$AW$304,MATCH($B49,Linkway_Register!$A$5:$A$304,0)),IFERROR(INDEX(Other_Register!$AG$5:$AG$304,MATCH($B49,Other_Register!$A$5:$A$304,0)),0))))))))/1000)</f>
        <v/>
      </c>
      <c r="P49" s="20" t="str">
        <f aca="false">IF(OR($B49="",$D49=""),"",$D49*N(IFERROR(INDEX(Drain_Register!$AX$5:$AX$304,MATCH($B49,Drain_Register!$A$5:$A$304,0)),IFERROR(INDEX(RW_Register!$BD$5:$BD$304,MATCH($B49,RW_Register!$A$5:$A$304,0)),IFERROR(INDEX(Embedded_Wall_Register!$BB$5:$BB$304,MATCH($B49,Embedded_Wall_Register!$A$5:$A$304,0)),IFERROR(INDEX(Manhole_Register!$BB$5:$BB$304,MATCH($B49,Manhole_Register!$A$5:$A$304,0)),IFERROR(INDEX(ERSS_Pit_Register!$AV$5:$AV$304,MATCH($B49,ERSS_Pit_Register!$A$5:$A$304,0)),IFERROR(INDEX(Linkway_Register!$AX$5:$AX$304,MATCH($B49,Linkway_Register!$A$5:$A$304,0)),IFERROR(INDEX(Other_Register!$AH$5:$AH$304,MATCH($B49,Other_Register!$A$5:$A$304,0)),0))))))))/1000)</f>
        <v/>
      </c>
      <c r="Q49" s="19" t="str">
        <f aca="false">IF(OR($B49="",$D49=""),"",$D49*N(IFERROR(INDEX(Drain_Register!$AY$5:$AY$304,MATCH($B49,Drain_Register!$A$5:$A$304,0)),IFERROR(INDEX(RW_Register!$BE$5:$BE$304,MATCH($B49,RW_Register!$A$5:$A$304,0)),IFERROR(INDEX(Embedded_Wall_Register!$BC$5:$BC$304,MATCH($B49,Embedded_Wall_Register!$A$5:$A$304,0)),IFERROR(INDEX(Manhole_Register!$BC$5:$BC$304,MATCH($B49,Manhole_Register!$A$5:$A$304,0)),IFERROR(INDEX(ERSS_Pit_Register!$AW$5:$AW$304,MATCH($B49,ERSS_Pit_Register!$A$5:$A$304,0)),IFERROR(INDEX(Linkway_Register!$AY$5:$AY$304,MATCH($B49,Linkway_Register!$A$5:$A$304,0)),IFERROR(INDEX(Other_Register!$AI$5:$AI$304,MATCH($B49,Other_Register!$A$5:$A$304,0)),0)))))))))</f>
        <v/>
      </c>
      <c r="R49" s="19" t="str">
        <f aca="false">IF(OR($B49="",$D49=""),"",$D49*N(IFERROR(INDEX(Drain_Register!$AZ$5:$AZ$304,MATCH($B49,Drain_Register!$A$5:$A$304,0)),IFERROR(INDEX(RW_Register!$BF$5:$BF$304,MATCH($B49,RW_Register!$A$5:$A$304,0)),IFERROR(INDEX(Embedded_Wall_Register!$BD$5:$BD$304,MATCH($B49,Embedded_Wall_Register!$A$5:$A$304,0)),IFERROR(INDEX(Manhole_Register!$BD$5:$BD$304,MATCH($B49,Manhole_Register!$A$5:$A$304,0)),IFERROR(INDEX(ERSS_Pit_Register!$AX$5:$AX$304,MATCH($B49,ERSS_Pit_Register!$A$5:$A$304,0)),IFERROR(INDEX(Linkway_Register!$AZ$5:$AZ$304,MATCH($B49,Linkway_Register!$A$5:$A$304,0)),IFERROR(INDEX(Other_Register!$AJ$5:$AJ$304,MATCH($B49,Other_Register!$A$5:$A$304,0)),0)))))))))</f>
        <v/>
      </c>
      <c r="S49" s="10" t="str">
        <f aca="false">IF($B49="","",IF(G49="","ID not found",IF(J49&lt;&gt;"Approved","WARNING: status is "&amp;J49,IF(IFERROR(INDEX(Drain_Register!$CA$5:$CA$304,MATCH($B49,Drain_Register!$A$5:$A$304,0)),IFERROR(INDEX(RW_Register!$CF$5:$CF$304,MATCH($B49,RW_Register!$A$5:$A$304,0)),IFERROR(INDEX(Embedded_Wall_Register!$CD$5:$CD$304,MATCH($B49,Embedded_Wall_Register!$A$5:$A$304,0)),IFERROR(INDEX(Manhole_Register!$CC$5:$CC$304,MATCH($B49,Manhole_Register!$A$5:$A$304,0)),IFERROR(INDEX(ERSS_Pit_Register!$BX$5:$BX$304,MATCH($B49,ERSS_Pit_Register!$A$5:$A$304,0)),IFERROR(INDEX(Linkway_Register!$BY$5:$BY$304,MATCH($B49,Linkway_Register!$A$5:$A$304,0)),IFERROR(INDEX(Other_Register!$BI$5:$BI$304,MATCH($B49,Other_Register!$A$5:$A$304,0)),"")))))))="N","WARNING: fails SG compliance check",IF(D49="","Enter length / qty",IF(E49="","Enter CAD sheet no.","OK"))))))</f>
        <v/>
      </c>
    </row>
    <row r="50" customFormat="false" ht="15" hidden="false" customHeight="false" outlineLevel="0" collapsed="false">
      <c r="A50" s="9"/>
      <c r="B50" s="9"/>
      <c r="C50" s="9"/>
      <c r="D50" s="9"/>
      <c r="E50" s="9"/>
      <c r="F50" s="10" t="str">
        <f aca="false">IF($B50="","",IFERROR(INDEX(Drain_Register!$AU$5:$AU$304,MATCH($B50,Drain_Register!$A$5:$A$304,0)),IFERROR(INDEX(RW_Register!$BA$5:$BA$304,MATCH($B50,RW_Register!$A$5:$A$304,0)),IFERROR(INDEX(Embedded_Wall_Register!$AY$5:$AY$304,MATCH($B50,Embedded_Wall_Register!$A$5:$A$304,0)),IFERROR(INDEX(Manhole_Register!$AY$5:$AY$304,MATCH($B50,Manhole_Register!$A$5:$A$304,0)),IFERROR(INDEX(ERSS_Pit_Register!$AS$5:$AS$304,MATCH($B50,ERSS_Pit_Register!$A$5:$A$304,0)),IFERROR(INDEX(Linkway_Register!$AU$5:$AU$304,MATCH($B50,Linkway_Register!$A$5:$A$304,0)),IFERROR(INDEX(Other_Register!$AE$5:$AE$304,MATCH($B50,Other_Register!$A$5:$A$304,0)),""))))))))</f>
        <v/>
      </c>
      <c r="G50" s="10" t="str">
        <f aca="false">IF($B50="","",IF(ISNUMBER(MATCH($B50,Drain_Register!$A$5:$A$304,0)),"Drain",IF(ISNUMBER(MATCH($B50,RW_Register!$A$5:$A$304,0)),"Ret. Wall",IF(ISNUMBER(MATCH($B50,Embedded_Wall_Register!$A$5:$A$304,0)),"Embedded Wall",IF(ISNUMBER(MATCH($B50,Manhole_Register!$A$5:$A$304,0)),"Manhole",IF(ISNUMBER(MATCH($B50,ERSS_Pit_Register!$A$5:$A$304,0)),"ERSS Pit",IF(ISNUMBER(MATCH($B50,Linkway_Register!$A$5:$A$304,0)),"Linkway",IF(ISNUMBER(MATCH($B50,Other_Register!$A$5:$A$304,0)),"Others",""))))))))</f>
        <v/>
      </c>
      <c r="H50" s="10" t="str">
        <f aca="false">IF($B50="","",IFERROR(INDEX(Drain_Register!$B$5:$B$304,MATCH($B50,Drain_Register!$A$5:$A$304,0)),IFERROR(INDEX(RW_Register!$B$5:$B$304,MATCH($B50,RW_Register!$A$5:$A$304,0)),IFERROR(INDEX(Embedded_Wall_Register!$B$5:$B$304,MATCH($B50,Embedded_Wall_Register!$A$5:$A$304,0)),IFERROR(INDEX(Manhole_Register!$B$5:$B$304,MATCH($B50,Manhole_Register!$A$5:$A$304,0)),IFERROR(INDEX(ERSS_Pit_Register!$B$5:$B$304,MATCH($B50,ERSS_Pit_Register!$A$5:$A$304,0)),IFERROR(INDEX(Linkway_Register!$B$5:$B$304,MATCH($B50,Linkway_Register!$A$5:$A$304,0)),IFERROR(INDEX(Other_Register!$B$5:$B$304,MATCH($B50,Other_Register!$A$5:$A$304,0)),"ID not found - check spelling"))))))))</f>
        <v/>
      </c>
      <c r="I50" s="10" t="str">
        <f aca="false">IF($B50="","",IFERROR(INDEX(Drain_Register!$AI$5:$AI$304,MATCH($B50,Drain_Register!$A$5:$A$304,0)),IFERROR(INDEX(RW_Register!$AO$5:$AO$304,MATCH($B50,RW_Register!$A$5:$A$304,0)),IFERROR(INDEX(Embedded_Wall_Register!$AM$5:$AM$304,MATCH($B50,Embedded_Wall_Register!$A$5:$A$304,0)),IFERROR(INDEX(Manhole_Register!$AM$5:$AM$304,MATCH($B50,Manhole_Register!$A$5:$A$304,0)),IFERROR(INDEX(ERSS_Pit_Register!$AG$5:$AG$304,MATCH($B50,ERSS_Pit_Register!$A$5:$A$304,0)),IFERROR(INDEX(Linkway_Register!$AI$5:$AI$304,MATCH($B50,Linkway_Register!$A$5:$A$304,0)),IFERROR(INDEX(Other_Register!$S$5:$S$304,MATCH($B50,Other_Register!$A$5:$A$304,0)),""))))))))</f>
        <v/>
      </c>
      <c r="J50" s="10" t="str">
        <f aca="false">IF($B50="","",IFERROR(INDEX(Drain_Register!$AJ$5:$AJ$304,MATCH($B50,Drain_Register!$A$5:$A$304,0)),IFERROR(INDEX(RW_Register!$AP$5:$AP$304,MATCH($B50,RW_Register!$A$5:$A$304,0)),IFERROR(INDEX(Embedded_Wall_Register!$AN$5:$AN$304,MATCH($B50,Embedded_Wall_Register!$A$5:$A$304,0)),IFERROR(INDEX(Manhole_Register!$AN$5:$AN$304,MATCH($B50,Manhole_Register!$A$5:$A$304,0)),IFERROR(INDEX(ERSS_Pit_Register!$AH$5:$AH$304,MATCH($B50,ERSS_Pit_Register!$A$5:$A$304,0)),IFERROR(INDEX(Linkway_Register!$AJ$5:$AJ$304,MATCH($B50,Linkway_Register!$A$5:$A$304,0)),IFERROR(INDEX(Other_Register!$T$5:$T$304,MATCH($B50,Other_Register!$A$5:$A$304,0)),""))))))))</f>
        <v/>
      </c>
      <c r="K50" s="10" t="str">
        <f aca="false">IF($B50="","",IFERROR(INDEX(Drain_Register!$AK$5:$AK$304,MATCH($B50,Drain_Register!$A$5:$A$304,0)),IFERROR(INDEX(RW_Register!$AQ$5:$AQ$304,MATCH($B50,RW_Register!$A$5:$A$304,0)),IFERROR(INDEX(Embedded_Wall_Register!$AO$5:$AO$304,MATCH($B50,Embedded_Wall_Register!$A$5:$A$304,0)),IFERROR(INDEX(Manhole_Register!$AO$5:$AO$304,MATCH($B50,Manhole_Register!$A$5:$A$304,0)),IFERROR(INDEX(ERSS_Pit_Register!$AI$5:$AI$304,MATCH($B50,ERSS_Pit_Register!$A$5:$A$304,0)),IFERROR(INDEX(Linkway_Register!$AK$5:$AK$304,MATCH($B50,Linkway_Register!$A$5:$A$304,0)),IFERROR(INDEX(Other_Register!$U$5:$U$304,MATCH($B50,Other_Register!$A$5:$A$304,0)),""))))))))</f>
        <v/>
      </c>
      <c r="L50" s="10" t="str">
        <f aca="false">IF($B50="","",IFERROR(INDEX(Drain_Register!$AL$5:$AL$304,MATCH($B50,Drain_Register!$A$5:$A$304,0)),IFERROR(INDEX(RW_Register!$AR$5:$AR$304,MATCH($B50,RW_Register!$A$5:$A$304,0)),IFERROR(INDEX(Embedded_Wall_Register!$AP$5:$AP$304,MATCH($B50,Embedded_Wall_Register!$A$5:$A$304,0)),IFERROR(INDEX(Manhole_Register!$AP$5:$AP$304,MATCH($B50,Manhole_Register!$A$5:$A$304,0)),IFERROR(INDEX(ERSS_Pit_Register!$AJ$5:$AJ$304,MATCH($B50,ERSS_Pit_Register!$A$5:$A$304,0)),IFERROR(INDEX(Linkway_Register!$AL$5:$AL$304,MATCH($B50,Linkway_Register!$A$5:$A$304,0)),IFERROR(INDEX(Other_Register!$V$5:$V$304,MATCH($B50,Other_Register!$A$5:$A$304,0)),""))))))))</f>
        <v/>
      </c>
      <c r="M50" s="10" t="str">
        <f aca="false">IF($B50="","",IFERROR(INDEX(Drain_Register!$AN$5:$AN$304,MATCH($B50,Drain_Register!$A$5:$A$304,0)),IFERROR(INDEX(RW_Register!$AT$5:$AT$304,MATCH($B50,RW_Register!$A$5:$A$304,0)),IFERROR(INDEX(Embedded_Wall_Register!$AR$5:$AR$304,MATCH($B50,Embedded_Wall_Register!$A$5:$A$304,0)),IFERROR(INDEX(Manhole_Register!$AR$5:$AR$304,MATCH($B50,Manhole_Register!$A$5:$A$304,0)),IFERROR(INDEX(ERSS_Pit_Register!$AL$5:$AL$304,MATCH($B50,ERSS_Pit_Register!$A$5:$A$304,0)),IFERROR(INDEX(Linkway_Register!$AN$5:$AN$304,MATCH($B50,Linkway_Register!$A$5:$A$304,0)),IFERROR(INDEX(Other_Register!$X$5:$X$304,MATCH($B50,Other_Register!$A$5:$A$304,0)),"")))))))&amp;IFERROR(INDEX(Drain_Register!$AO$5:$AO$304,MATCH($B50,Drain_Register!$A$5:$A$304,0)),IFERROR(INDEX(RW_Register!$AU$5:$AU$304,MATCH($B50,RW_Register!$A$5:$A$304,0)),IFERROR(INDEX(Embedded_Wall_Register!$AS$5:$AS$304,MATCH($B50,Embedded_Wall_Register!$A$5:$A$304,0)),IFERROR(INDEX(Manhole_Register!$AS$5:$AS$304,MATCH($B50,Manhole_Register!$A$5:$A$304,0)),IFERROR(INDEX(ERSS_Pit_Register!$AM$5:$AM$304,MATCH($B50,ERSS_Pit_Register!$A$5:$A$304,0)),IFERROR(INDEX(Linkway_Register!$AO$5:$AO$304,MATCH($B50,Linkway_Register!$A$5:$A$304,0)),IFERROR(INDEX(Other_Register!$Y$5:$Y$304,MATCH($B50,Other_Register!$A$5:$A$304,0)),""))))))))</f>
        <v/>
      </c>
      <c r="N50" s="19" t="str">
        <f aca="false">IF(OR($B50="",$D50=""),"",$D50*N(IFERROR(INDEX(Drain_Register!$AV$5:$AV$304,MATCH($B50,Drain_Register!$A$5:$A$304,0)),IFERROR(INDEX(RW_Register!$BB$5:$BB$304,MATCH($B50,RW_Register!$A$5:$A$304,0)),IFERROR(INDEX(Embedded_Wall_Register!$AZ$5:$AZ$304,MATCH($B50,Embedded_Wall_Register!$A$5:$A$304,0)),IFERROR(INDEX(Manhole_Register!$AZ$5:$AZ$304,MATCH($B50,Manhole_Register!$A$5:$A$304,0)),IFERROR(INDEX(ERSS_Pit_Register!$AT$5:$AT$304,MATCH($B50,ERSS_Pit_Register!$A$5:$A$304,0)),IFERROR(INDEX(Linkway_Register!$AV$5:$AV$304,MATCH($B50,Linkway_Register!$A$5:$A$304,0)),IFERROR(INDEX(Other_Register!$AF$5:$AF$304,MATCH($B50,Other_Register!$A$5:$A$304,0)),0)))))))))</f>
        <v/>
      </c>
      <c r="O50" s="20" t="str">
        <f aca="false">IF(OR($B50="",$D50=""),"",$D50*N(IFERROR(INDEX(Drain_Register!$AW$5:$AW$304,MATCH($B50,Drain_Register!$A$5:$A$304,0)),IFERROR(INDEX(RW_Register!$BC$5:$BC$304,MATCH($B50,RW_Register!$A$5:$A$304,0)),IFERROR(INDEX(Embedded_Wall_Register!$BA$5:$BA$304,MATCH($B50,Embedded_Wall_Register!$A$5:$A$304,0)),IFERROR(INDEX(Manhole_Register!$BA$5:$BA$304,MATCH($B50,Manhole_Register!$A$5:$A$304,0)),IFERROR(INDEX(ERSS_Pit_Register!$AU$5:$AU$304,MATCH($B50,ERSS_Pit_Register!$A$5:$A$304,0)),IFERROR(INDEX(Linkway_Register!$AW$5:$AW$304,MATCH($B50,Linkway_Register!$A$5:$A$304,0)),IFERROR(INDEX(Other_Register!$AG$5:$AG$304,MATCH($B50,Other_Register!$A$5:$A$304,0)),0))))))))/1000)</f>
        <v/>
      </c>
      <c r="P50" s="20" t="str">
        <f aca="false">IF(OR($B50="",$D50=""),"",$D50*N(IFERROR(INDEX(Drain_Register!$AX$5:$AX$304,MATCH($B50,Drain_Register!$A$5:$A$304,0)),IFERROR(INDEX(RW_Register!$BD$5:$BD$304,MATCH($B50,RW_Register!$A$5:$A$304,0)),IFERROR(INDEX(Embedded_Wall_Register!$BB$5:$BB$304,MATCH($B50,Embedded_Wall_Register!$A$5:$A$304,0)),IFERROR(INDEX(Manhole_Register!$BB$5:$BB$304,MATCH($B50,Manhole_Register!$A$5:$A$304,0)),IFERROR(INDEX(ERSS_Pit_Register!$AV$5:$AV$304,MATCH($B50,ERSS_Pit_Register!$A$5:$A$304,0)),IFERROR(INDEX(Linkway_Register!$AX$5:$AX$304,MATCH($B50,Linkway_Register!$A$5:$A$304,0)),IFERROR(INDEX(Other_Register!$AH$5:$AH$304,MATCH($B50,Other_Register!$A$5:$A$304,0)),0))))))))/1000)</f>
        <v/>
      </c>
      <c r="Q50" s="19" t="str">
        <f aca="false">IF(OR($B50="",$D50=""),"",$D50*N(IFERROR(INDEX(Drain_Register!$AY$5:$AY$304,MATCH($B50,Drain_Register!$A$5:$A$304,0)),IFERROR(INDEX(RW_Register!$BE$5:$BE$304,MATCH($B50,RW_Register!$A$5:$A$304,0)),IFERROR(INDEX(Embedded_Wall_Register!$BC$5:$BC$304,MATCH($B50,Embedded_Wall_Register!$A$5:$A$304,0)),IFERROR(INDEX(Manhole_Register!$BC$5:$BC$304,MATCH($B50,Manhole_Register!$A$5:$A$304,0)),IFERROR(INDEX(ERSS_Pit_Register!$AW$5:$AW$304,MATCH($B50,ERSS_Pit_Register!$A$5:$A$304,0)),IFERROR(INDEX(Linkway_Register!$AY$5:$AY$304,MATCH($B50,Linkway_Register!$A$5:$A$304,0)),IFERROR(INDEX(Other_Register!$AI$5:$AI$304,MATCH($B50,Other_Register!$A$5:$A$304,0)),0)))))))))</f>
        <v/>
      </c>
      <c r="R50" s="19" t="str">
        <f aca="false">IF(OR($B50="",$D50=""),"",$D50*N(IFERROR(INDEX(Drain_Register!$AZ$5:$AZ$304,MATCH($B50,Drain_Register!$A$5:$A$304,0)),IFERROR(INDEX(RW_Register!$BF$5:$BF$304,MATCH($B50,RW_Register!$A$5:$A$304,0)),IFERROR(INDEX(Embedded_Wall_Register!$BD$5:$BD$304,MATCH($B50,Embedded_Wall_Register!$A$5:$A$304,0)),IFERROR(INDEX(Manhole_Register!$BD$5:$BD$304,MATCH($B50,Manhole_Register!$A$5:$A$304,0)),IFERROR(INDEX(ERSS_Pit_Register!$AX$5:$AX$304,MATCH($B50,ERSS_Pit_Register!$A$5:$A$304,0)),IFERROR(INDEX(Linkway_Register!$AZ$5:$AZ$304,MATCH($B50,Linkway_Register!$A$5:$A$304,0)),IFERROR(INDEX(Other_Register!$AJ$5:$AJ$304,MATCH($B50,Other_Register!$A$5:$A$304,0)),0)))))))))</f>
        <v/>
      </c>
      <c r="S50" s="10" t="str">
        <f aca="false">IF($B50="","",IF(G50="","ID not found",IF(J50&lt;&gt;"Approved","WARNING: status is "&amp;J50,IF(IFERROR(INDEX(Drain_Register!$CA$5:$CA$304,MATCH($B50,Drain_Register!$A$5:$A$304,0)),IFERROR(INDEX(RW_Register!$CF$5:$CF$304,MATCH($B50,RW_Register!$A$5:$A$304,0)),IFERROR(INDEX(Embedded_Wall_Register!$CD$5:$CD$304,MATCH($B50,Embedded_Wall_Register!$A$5:$A$304,0)),IFERROR(INDEX(Manhole_Register!$CC$5:$CC$304,MATCH($B50,Manhole_Register!$A$5:$A$304,0)),IFERROR(INDEX(ERSS_Pit_Register!$BX$5:$BX$304,MATCH($B50,ERSS_Pit_Register!$A$5:$A$304,0)),IFERROR(INDEX(Linkway_Register!$BY$5:$BY$304,MATCH($B50,Linkway_Register!$A$5:$A$304,0)),IFERROR(INDEX(Other_Register!$BI$5:$BI$304,MATCH($B50,Other_Register!$A$5:$A$304,0)),"")))))))="N","WARNING: fails SG compliance check",IF(D50="","Enter length / qty",IF(E50="","Enter CAD sheet no.","OK"))))))</f>
        <v/>
      </c>
    </row>
    <row r="51" customFormat="false" ht="15" hidden="false" customHeight="false" outlineLevel="0" collapsed="false">
      <c r="A51" s="9"/>
      <c r="B51" s="9"/>
      <c r="C51" s="9"/>
      <c r="D51" s="9"/>
      <c r="E51" s="9"/>
      <c r="F51" s="10" t="str">
        <f aca="false">IF($B51="","",IFERROR(INDEX(Drain_Register!$AU$5:$AU$304,MATCH($B51,Drain_Register!$A$5:$A$304,0)),IFERROR(INDEX(RW_Register!$BA$5:$BA$304,MATCH($B51,RW_Register!$A$5:$A$304,0)),IFERROR(INDEX(Embedded_Wall_Register!$AY$5:$AY$304,MATCH($B51,Embedded_Wall_Register!$A$5:$A$304,0)),IFERROR(INDEX(Manhole_Register!$AY$5:$AY$304,MATCH($B51,Manhole_Register!$A$5:$A$304,0)),IFERROR(INDEX(ERSS_Pit_Register!$AS$5:$AS$304,MATCH($B51,ERSS_Pit_Register!$A$5:$A$304,0)),IFERROR(INDEX(Linkway_Register!$AU$5:$AU$304,MATCH($B51,Linkway_Register!$A$5:$A$304,0)),IFERROR(INDEX(Other_Register!$AE$5:$AE$304,MATCH($B51,Other_Register!$A$5:$A$304,0)),""))))))))</f>
        <v/>
      </c>
      <c r="G51" s="10" t="str">
        <f aca="false">IF($B51="","",IF(ISNUMBER(MATCH($B51,Drain_Register!$A$5:$A$304,0)),"Drain",IF(ISNUMBER(MATCH($B51,RW_Register!$A$5:$A$304,0)),"Ret. Wall",IF(ISNUMBER(MATCH($B51,Embedded_Wall_Register!$A$5:$A$304,0)),"Embedded Wall",IF(ISNUMBER(MATCH($B51,Manhole_Register!$A$5:$A$304,0)),"Manhole",IF(ISNUMBER(MATCH($B51,ERSS_Pit_Register!$A$5:$A$304,0)),"ERSS Pit",IF(ISNUMBER(MATCH($B51,Linkway_Register!$A$5:$A$304,0)),"Linkway",IF(ISNUMBER(MATCH($B51,Other_Register!$A$5:$A$304,0)),"Others",""))))))))</f>
        <v/>
      </c>
      <c r="H51" s="10" t="str">
        <f aca="false">IF($B51="","",IFERROR(INDEX(Drain_Register!$B$5:$B$304,MATCH($B51,Drain_Register!$A$5:$A$304,0)),IFERROR(INDEX(RW_Register!$B$5:$B$304,MATCH($B51,RW_Register!$A$5:$A$304,0)),IFERROR(INDEX(Embedded_Wall_Register!$B$5:$B$304,MATCH($B51,Embedded_Wall_Register!$A$5:$A$304,0)),IFERROR(INDEX(Manhole_Register!$B$5:$B$304,MATCH($B51,Manhole_Register!$A$5:$A$304,0)),IFERROR(INDEX(ERSS_Pit_Register!$B$5:$B$304,MATCH($B51,ERSS_Pit_Register!$A$5:$A$304,0)),IFERROR(INDEX(Linkway_Register!$B$5:$B$304,MATCH($B51,Linkway_Register!$A$5:$A$304,0)),IFERROR(INDEX(Other_Register!$B$5:$B$304,MATCH($B51,Other_Register!$A$5:$A$304,0)),"ID not found - check spelling"))))))))</f>
        <v/>
      </c>
      <c r="I51" s="10" t="str">
        <f aca="false">IF($B51="","",IFERROR(INDEX(Drain_Register!$AI$5:$AI$304,MATCH($B51,Drain_Register!$A$5:$A$304,0)),IFERROR(INDEX(RW_Register!$AO$5:$AO$304,MATCH($B51,RW_Register!$A$5:$A$304,0)),IFERROR(INDEX(Embedded_Wall_Register!$AM$5:$AM$304,MATCH($B51,Embedded_Wall_Register!$A$5:$A$304,0)),IFERROR(INDEX(Manhole_Register!$AM$5:$AM$304,MATCH($B51,Manhole_Register!$A$5:$A$304,0)),IFERROR(INDEX(ERSS_Pit_Register!$AG$5:$AG$304,MATCH($B51,ERSS_Pit_Register!$A$5:$A$304,0)),IFERROR(INDEX(Linkway_Register!$AI$5:$AI$304,MATCH($B51,Linkway_Register!$A$5:$A$304,0)),IFERROR(INDEX(Other_Register!$S$5:$S$304,MATCH($B51,Other_Register!$A$5:$A$304,0)),""))))))))</f>
        <v/>
      </c>
      <c r="J51" s="10" t="str">
        <f aca="false">IF($B51="","",IFERROR(INDEX(Drain_Register!$AJ$5:$AJ$304,MATCH($B51,Drain_Register!$A$5:$A$304,0)),IFERROR(INDEX(RW_Register!$AP$5:$AP$304,MATCH($B51,RW_Register!$A$5:$A$304,0)),IFERROR(INDEX(Embedded_Wall_Register!$AN$5:$AN$304,MATCH($B51,Embedded_Wall_Register!$A$5:$A$304,0)),IFERROR(INDEX(Manhole_Register!$AN$5:$AN$304,MATCH($B51,Manhole_Register!$A$5:$A$304,0)),IFERROR(INDEX(ERSS_Pit_Register!$AH$5:$AH$304,MATCH($B51,ERSS_Pit_Register!$A$5:$A$304,0)),IFERROR(INDEX(Linkway_Register!$AJ$5:$AJ$304,MATCH($B51,Linkway_Register!$A$5:$A$304,0)),IFERROR(INDEX(Other_Register!$T$5:$T$304,MATCH($B51,Other_Register!$A$5:$A$304,0)),""))))))))</f>
        <v/>
      </c>
      <c r="K51" s="10" t="str">
        <f aca="false">IF($B51="","",IFERROR(INDEX(Drain_Register!$AK$5:$AK$304,MATCH($B51,Drain_Register!$A$5:$A$304,0)),IFERROR(INDEX(RW_Register!$AQ$5:$AQ$304,MATCH($B51,RW_Register!$A$5:$A$304,0)),IFERROR(INDEX(Embedded_Wall_Register!$AO$5:$AO$304,MATCH($B51,Embedded_Wall_Register!$A$5:$A$304,0)),IFERROR(INDEX(Manhole_Register!$AO$5:$AO$304,MATCH($B51,Manhole_Register!$A$5:$A$304,0)),IFERROR(INDEX(ERSS_Pit_Register!$AI$5:$AI$304,MATCH($B51,ERSS_Pit_Register!$A$5:$A$304,0)),IFERROR(INDEX(Linkway_Register!$AK$5:$AK$304,MATCH($B51,Linkway_Register!$A$5:$A$304,0)),IFERROR(INDEX(Other_Register!$U$5:$U$304,MATCH($B51,Other_Register!$A$5:$A$304,0)),""))))))))</f>
        <v/>
      </c>
      <c r="L51" s="10" t="str">
        <f aca="false">IF($B51="","",IFERROR(INDEX(Drain_Register!$AL$5:$AL$304,MATCH($B51,Drain_Register!$A$5:$A$304,0)),IFERROR(INDEX(RW_Register!$AR$5:$AR$304,MATCH($B51,RW_Register!$A$5:$A$304,0)),IFERROR(INDEX(Embedded_Wall_Register!$AP$5:$AP$304,MATCH($B51,Embedded_Wall_Register!$A$5:$A$304,0)),IFERROR(INDEX(Manhole_Register!$AP$5:$AP$304,MATCH($B51,Manhole_Register!$A$5:$A$304,0)),IFERROR(INDEX(ERSS_Pit_Register!$AJ$5:$AJ$304,MATCH($B51,ERSS_Pit_Register!$A$5:$A$304,0)),IFERROR(INDEX(Linkway_Register!$AL$5:$AL$304,MATCH($B51,Linkway_Register!$A$5:$A$304,0)),IFERROR(INDEX(Other_Register!$V$5:$V$304,MATCH($B51,Other_Register!$A$5:$A$304,0)),""))))))))</f>
        <v/>
      </c>
      <c r="M51" s="10" t="str">
        <f aca="false">IF($B51="","",IFERROR(INDEX(Drain_Register!$AN$5:$AN$304,MATCH($B51,Drain_Register!$A$5:$A$304,0)),IFERROR(INDEX(RW_Register!$AT$5:$AT$304,MATCH($B51,RW_Register!$A$5:$A$304,0)),IFERROR(INDEX(Embedded_Wall_Register!$AR$5:$AR$304,MATCH($B51,Embedded_Wall_Register!$A$5:$A$304,0)),IFERROR(INDEX(Manhole_Register!$AR$5:$AR$304,MATCH($B51,Manhole_Register!$A$5:$A$304,0)),IFERROR(INDEX(ERSS_Pit_Register!$AL$5:$AL$304,MATCH($B51,ERSS_Pit_Register!$A$5:$A$304,0)),IFERROR(INDEX(Linkway_Register!$AN$5:$AN$304,MATCH($B51,Linkway_Register!$A$5:$A$304,0)),IFERROR(INDEX(Other_Register!$X$5:$X$304,MATCH($B51,Other_Register!$A$5:$A$304,0)),"")))))))&amp;IFERROR(INDEX(Drain_Register!$AO$5:$AO$304,MATCH($B51,Drain_Register!$A$5:$A$304,0)),IFERROR(INDEX(RW_Register!$AU$5:$AU$304,MATCH($B51,RW_Register!$A$5:$A$304,0)),IFERROR(INDEX(Embedded_Wall_Register!$AS$5:$AS$304,MATCH($B51,Embedded_Wall_Register!$A$5:$A$304,0)),IFERROR(INDEX(Manhole_Register!$AS$5:$AS$304,MATCH($B51,Manhole_Register!$A$5:$A$304,0)),IFERROR(INDEX(ERSS_Pit_Register!$AM$5:$AM$304,MATCH($B51,ERSS_Pit_Register!$A$5:$A$304,0)),IFERROR(INDEX(Linkway_Register!$AO$5:$AO$304,MATCH($B51,Linkway_Register!$A$5:$A$304,0)),IFERROR(INDEX(Other_Register!$Y$5:$Y$304,MATCH($B51,Other_Register!$A$5:$A$304,0)),""))))))))</f>
        <v/>
      </c>
      <c r="N51" s="19" t="str">
        <f aca="false">IF(OR($B51="",$D51=""),"",$D51*N(IFERROR(INDEX(Drain_Register!$AV$5:$AV$304,MATCH($B51,Drain_Register!$A$5:$A$304,0)),IFERROR(INDEX(RW_Register!$BB$5:$BB$304,MATCH($B51,RW_Register!$A$5:$A$304,0)),IFERROR(INDEX(Embedded_Wall_Register!$AZ$5:$AZ$304,MATCH($B51,Embedded_Wall_Register!$A$5:$A$304,0)),IFERROR(INDEX(Manhole_Register!$AZ$5:$AZ$304,MATCH($B51,Manhole_Register!$A$5:$A$304,0)),IFERROR(INDEX(ERSS_Pit_Register!$AT$5:$AT$304,MATCH($B51,ERSS_Pit_Register!$A$5:$A$304,0)),IFERROR(INDEX(Linkway_Register!$AV$5:$AV$304,MATCH($B51,Linkway_Register!$A$5:$A$304,0)),IFERROR(INDEX(Other_Register!$AF$5:$AF$304,MATCH($B51,Other_Register!$A$5:$A$304,0)),0)))))))))</f>
        <v/>
      </c>
      <c r="O51" s="20" t="str">
        <f aca="false">IF(OR($B51="",$D51=""),"",$D51*N(IFERROR(INDEX(Drain_Register!$AW$5:$AW$304,MATCH($B51,Drain_Register!$A$5:$A$304,0)),IFERROR(INDEX(RW_Register!$BC$5:$BC$304,MATCH($B51,RW_Register!$A$5:$A$304,0)),IFERROR(INDEX(Embedded_Wall_Register!$BA$5:$BA$304,MATCH($B51,Embedded_Wall_Register!$A$5:$A$304,0)),IFERROR(INDEX(Manhole_Register!$BA$5:$BA$304,MATCH($B51,Manhole_Register!$A$5:$A$304,0)),IFERROR(INDEX(ERSS_Pit_Register!$AU$5:$AU$304,MATCH($B51,ERSS_Pit_Register!$A$5:$A$304,0)),IFERROR(INDEX(Linkway_Register!$AW$5:$AW$304,MATCH($B51,Linkway_Register!$A$5:$A$304,0)),IFERROR(INDEX(Other_Register!$AG$5:$AG$304,MATCH($B51,Other_Register!$A$5:$A$304,0)),0))))))))/1000)</f>
        <v/>
      </c>
      <c r="P51" s="20" t="str">
        <f aca="false">IF(OR($B51="",$D51=""),"",$D51*N(IFERROR(INDEX(Drain_Register!$AX$5:$AX$304,MATCH($B51,Drain_Register!$A$5:$A$304,0)),IFERROR(INDEX(RW_Register!$BD$5:$BD$304,MATCH($B51,RW_Register!$A$5:$A$304,0)),IFERROR(INDEX(Embedded_Wall_Register!$BB$5:$BB$304,MATCH($B51,Embedded_Wall_Register!$A$5:$A$304,0)),IFERROR(INDEX(Manhole_Register!$BB$5:$BB$304,MATCH($B51,Manhole_Register!$A$5:$A$304,0)),IFERROR(INDEX(ERSS_Pit_Register!$AV$5:$AV$304,MATCH($B51,ERSS_Pit_Register!$A$5:$A$304,0)),IFERROR(INDEX(Linkway_Register!$AX$5:$AX$304,MATCH($B51,Linkway_Register!$A$5:$A$304,0)),IFERROR(INDEX(Other_Register!$AH$5:$AH$304,MATCH($B51,Other_Register!$A$5:$A$304,0)),0))))))))/1000)</f>
        <v/>
      </c>
      <c r="Q51" s="19" t="str">
        <f aca="false">IF(OR($B51="",$D51=""),"",$D51*N(IFERROR(INDEX(Drain_Register!$AY$5:$AY$304,MATCH($B51,Drain_Register!$A$5:$A$304,0)),IFERROR(INDEX(RW_Register!$BE$5:$BE$304,MATCH($B51,RW_Register!$A$5:$A$304,0)),IFERROR(INDEX(Embedded_Wall_Register!$BC$5:$BC$304,MATCH($B51,Embedded_Wall_Register!$A$5:$A$304,0)),IFERROR(INDEX(Manhole_Register!$BC$5:$BC$304,MATCH($B51,Manhole_Register!$A$5:$A$304,0)),IFERROR(INDEX(ERSS_Pit_Register!$AW$5:$AW$304,MATCH($B51,ERSS_Pit_Register!$A$5:$A$304,0)),IFERROR(INDEX(Linkway_Register!$AY$5:$AY$304,MATCH($B51,Linkway_Register!$A$5:$A$304,0)),IFERROR(INDEX(Other_Register!$AI$5:$AI$304,MATCH($B51,Other_Register!$A$5:$A$304,0)),0)))))))))</f>
        <v/>
      </c>
      <c r="R51" s="19" t="str">
        <f aca="false">IF(OR($B51="",$D51=""),"",$D51*N(IFERROR(INDEX(Drain_Register!$AZ$5:$AZ$304,MATCH($B51,Drain_Register!$A$5:$A$304,0)),IFERROR(INDEX(RW_Register!$BF$5:$BF$304,MATCH($B51,RW_Register!$A$5:$A$304,0)),IFERROR(INDEX(Embedded_Wall_Register!$BD$5:$BD$304,MATCH($B51,Embedded_Wall_Register!$A$5:$A$304,0)),IFERROR(INDEX(Manhole_Register!$BD$5:$BD$304,MATCH($B51,Manhole_Register!$A$5:$A$304,0)),IFERROR(INDEX(ERSS_Pit_Register!$AX$5:$AX$304,MATCH($B51,ERSS_Pit_Register!$A$5:$A$304,0)),IFERROR(INDEX(Linkway_Register!$AZ$5:$AZ$304,MATCH($B51,Linkway_Register!$A$5:$A$304,0)),IFERROR(INDEX(Other_Register!$AJ$5:$AJ$304,MATCH($B51,Other_Register!$A$5:$A$304,0)),0)))))))))</f>
        <v/>
      </c>
      <c r="S51" s="10" t="str">
        <f aca="false">IF($B51="","",IF(G51="","ID not found",IF(J51&lt;&gt;"Approved","WARNING: status is "&amp;J51,IF(IFERROR(INDEX(Drain_Register!$CA$5:$CA$304,MATCH($B51,Drain_Register!$A$5:$A$304,0)),IFERROR(INDEX(RW_Register!$CF$5:$CF$304,MATCH($B51,RW_Register!$A$5:$A$304,0)),IFERROR(INDEX(Embedded_Wall_Register!$CD$5:$CD$304,MATCH($B51,Embedded_Wall_Register!$A$5:$A$304,0)),IFERROR(INDEX(Manhole_Register!$CC$5:$CC$304,MATCH($B51,Manhole_Register!$A$5:$A$304,0)),IFERROR(INDEX(ERSS_Pit_Register!$BX$5:$BX$304,MATCH($B51,ERSS_Pit_Register!$A$5:$A$304,0)),IFERROR(INDEX(Linkway_Register!$BY$5:$BY$304,MATCH($B51,Linkway_Register!$A$5:$A$304,0)),IFERROR(INDEX(Other_Register!$BI$5:$BI$304,MATCH($B51,Other_Register!$A$5:$A$304,0)),"")))))))="N","WARNING: fails SG compliance check",IF(D51="","Enter length / qty",IF(E51="","Enter CAD sheet no.","OK"))))))</f>
        <v/>
      </c>
    </row>
    <row r="52" customFormat="false" ht="15" hidden="false" customHeight="false" outlineLevel="0" collapsed="false">
      <c r="A52" s="9"/>
      <c r="B52" s="9"/>
      <c r="C52" s="9"/>
      <c r="D52" s="9"/>
      <c r="E52" s="9"/>
      <c r="F52" s="10" t="str">
        <f aca="false">IF($B52="","",IFERROR(INDEX(Drain_Register!$AU$5:$AU$304,MATCH($B52,Drain_Register!$A$5:$A$304,0)),IFERROR(INDEX(RW_Register!$BA$5:$BA$304,MATCH($B52,RW_Register!$A$5:$A$304,0)),IFERROR(INDEX(Embedded_Wall_Register!$AY$5:$AY$304,MATCH($B52,Embedded_Wall_Register!$A$5:$A$304,0)),IFERROR(INDEX(Manhole_Register!$AY$5:$AY$304,MATCH($B52,Manhole_Register!$A$5:$A$304,0)),IFERROR(INDEX(ERSS_Pit_Register!$AS$5:$AS$304,MATCH($B52,ERSS_Pit_Register!$A$5:$A$304,0)),IFERROR(INDEX(Linkway_Register!$AU$5:$AU$304,MATCH($B52,Linkway_Register!$A$5:$A$304,0)),IFERROR(INDEX(Other_Register!$AE$5:$AE$304,MATCH($B52,Other_Register!$A$5:$A$304,0)),""))))))))</f>
        <v/>
      </c>
      <c r="G52" s="10" t="str">
        <f aca="false">IF($B52="","",IF(ISNUMBER(MATCH($B52,Drain_Register!$A$5:$A$304,0)),"Drain",IF(ISNUMBER(MATCH($B52,RW_Register!$A$5:$A$304,0)),"Ret. Wall",IF(ISNUMBER(MATCH($B52,Embedded_Wall_Register!$A$5:$A$304,0)),"Embedded Wall",IF(ISNUMBER(MATCH($B52,Manhole_Register!$A$5:$A$304,0)),"Manhole",IF(ISNUMBER(MATCH($B52,ERSS_Pit_Register!$A$5:$A$304,0)),"ERSS Pit",IF(ISNUMBER(MATCH($B52,Linkway_Register!$A$5:$A$304,0)),"Linkway",IF(ISNUMBER(MATCH($B52,Other_Register!$A$5:$A$304,0)),"Others",""))))))))</f>
        <v/>
      </c>
      <c r="H52" s="10" t="str">
        <f aca="false">IF($B52="","",IFERROR(INDEX(Drain_Register!$B$5:$B$304,MATCH($B52,Drain_Register!$A$5:$A$304,0)),IFERROR(INDEX(RW_Register!$B$5:$B$304,MATCH($B52,RW_Register!$A$5:$A$304,0)),IFERROR(INDEX(Embedded_Wall_Register!$B$5:$B$304,MATCH($B52,Embedded_Wall_Register!$A$5:$A$304,0)),IFERROR(INDEX(Manhole_Register!$B$5:$B$304,MATCH($B52,Manhole_Register!$A$5:$A$304,0)),IFERROR(INDEX(ERSS_Pit_Register!$B$5:$B$304,MATCH($B52,ERSS_Pit_Register!$A$5:$A$304,0)),IFERROR(INDEX(Linkway_Register!$B$5:$B$304,MATCH($B52,Linkway_Register!$A$5:$A$304,0)),IFERROR(INDEX(Other_Register!$B$5:$B$304,MATCH($B52,Other_Register!$A$5:$A$304,0)),"ID not found - check spelling"))))))))</f>
        <v/>
      </c>
      <c r="I52" s="10" t="str">
        <f aca="false">IF($B52="","",IFERROR(INDEX(Drain_Register!$AI$5:$AI$304,MATCH($B52,Drain_Register!$A$5:$A$304,0)),IFERROR(INDEX(RW_Register!$AO$5:$AO$304,MATCH($B52,RW_Register!$A$5:$A$304,0)),IFERROR(INDEX(Embedded_Wall_Register!$AM$5:$AM$304,MATCH($B52,Embedded_Wall_Register!$A$5:$A$304,0)),IFERROR(INDEX(Manhole_Register!$AM$5:$AM$304,MATCH($B52,Manhole_Register!$A$5:$A$304,0)),IFERROR(INDEX(ERSS_Pit_Register!$AG$5:$AG$304,MATCH($B52,ERSS_Pit_Register!$A$5:$A$304,0)),IFERROR(INDEX(Linkway_Register!$AI$5:$AI$304,MATCH($B52,Linkway_Register!$A$5:$A$304,0)),IFERROR(INDEX(Other_Register!$S$5:$S$304,MATCH($B52,Other_Register!$A$5:$A$304,0)),""))))))))</f>
        <v/>
      </c>
      <c r="J52" s="10" t="str">
        <f aca="false">IF($B52="","",IFERROR(INDEX(Drain_Register!$AJ$5:$AJ$304,MATCH($B52,Drain_Register!$A$5:$A$304,0)),IFERROR(INDEX(RW_Register!$AP$5:$AP$304,MATCH($B52,RW_Register!$A$5:$A$304,0)),IFERROR(INDEX(Embedded_Wall_Register!$AN$5:$AN$304,MATCH($B52,Embedded_Wall_Register!$A$5:$A$304,0)),IFERROR(INDEX(Manhole_Register!$AN$5:$AN$304,MATCH($B52,Manhole_Register!$A$5:$A$304,0)),IFERROR(INDEX(ERSS_Pit_Register!$AH$5:$AH$304,MATCH($B52,ERSS_Pit_Register!$A$5:$A$304,0)),IFERROR(INDEX(Linkway_Register!$AJ$5:$AJ$304,MATCH($B52,Linkway_Register!$A$5:$A$304,0)),IFERROR(INDEX(Other_Register!$T$5:$T$304,MATCH($B52,Other_Register!$A$5:$A$304,0)),""))))))))</f>
        <v/>
      </c>
      <c r="K52" s="10" t="str">
        <f aca="false">IF($B52="","",IFERROR(INDEX(Drain_Register!$AK$5:$AK$304,MATCH($B52,Drain_Register!$A$5:$A$304,0)),IFERROR(INDEX(RW_Register!$AQ$5:$AQ$304,MATCH($B52,RW_Register!$A$5:$A$304,0)),IFERROR(INDEX(Embedded_Wall_Register!$AO$5:$AO$304,MATCH($B52,Embedded_Wall_Register!$A$5:$A$304,0)),IFERROR(INDEX(Manhole_Register!$AO$5:$AO$304,MATCH($B52,Manhole_Register!$A$5:$A$304,0)),IFERROR(INDEX(ERSS_Pit_Register!$AI$5:$AI$304,MATCH($B52,ERSS_Pit_Register!$A$5:$A$304,0)),IFERROR(INDEX(Linkway_Register!$AK$5:$AK$304,MATCH($B52,Linkway_Register!$A$5:$A$304,0)),IFERROR(INDEX(Other_Register!$U$5:$U$304,MATCH($B52,Other_Register!$A$5:$A$304,0)),""))))))))</f>
        <v/>
      </c>
      <c r="L52" s="10" t="str">
        <f aca="false">IF($B52="","",IFERROR(INDEX(Drain_Register!$AL$5:$AL$304,MATCH($B52,Drain_Register!$A$5:$A$304,0)),IFERROR(INDEX(RW_Register!$AR$5:$AR$304,MATCH($B52,RW_Register!$A$5:$A$304,0)),IFERROR(INDEX(Embedded_Wall_Register!$AP$5:$AP$304,MATCH($B52,Embedded_Wall_Register!$A$5:$A$304,0)),IFERROR(INDEX(Manhole_Register!$AP$5:$AP$304,MATCH($B52,Manhole_Register!$A$5:$A$304,0)),IFERROR(INDEX(ERSS_Pit_Register!$AJ$5:$AJ$304,MATCH($B52,ERSS_Pit_Register!$A$5:$A$304,0)),IFERROR(INDEX(Linkway_Register!$AL$5:$AL$304,MATCH($B52,Linkway_Register!$A$5:$A$304,0)),IFERROR(INDEX(Other_Register!$V$5:$V$304,MATCH($B52,Other_Register!$A$5:$A$304,0)),""))))))))</f>
        <v/>
      </c>
      <c r="M52" s="10" t="str">
        <f aca="false">IF($B52="","",IFERROR(INDEX(Drain_Register!$AN$5:$AN$304,MATCH($B52,Drain_Register!$A$5:$A$304,0)),IFERROR(INDEX(RW_Register!$AT$5:$AT$304,MATCH($B52,RW_Register!$A$5:$A$304,0)),IFERROR(INDEX(Embedded_Wall_Register!$AR$5:$AR$304,MATCH($B52,Embedded_Wall_Register!$A$5:$A$304,0)),IFERROR(INDEX(Manhole_Register!$AR$5:$AR$304,MATCH($B52,Manhole_Register!$A$5:$A$304,0)),IFERROR(INDEX(ERSS_Pit_Register!$AL$5:$AL$304,MATCH($B52,ERSS_Pit_Register!$A$5:$A$304,0)),IFERROR(INDEX(Linkway_Register!$AN$5:$AN$304,MATCH($B52,Linkway_Register!$A$5:$A$304,0)),IFERROR(INDEX(Other_Register!$X$5:$X$304,MATCH($B52,Other_Register!$A$5:$A$304,0)),"")))))))&amp;IFERROR(INDEX(Drain_Register!$AO$5:$AO$304,MATCH($B52,Drain_Register!$A$5:$A$304,0)),IFERROR(INDEX(RW_Register!$AU$5:$AU$304,MATCH($B52,RW_Register!$A$5:$A$304,0)),IFERROR(INDEX(Embedded_Wall_Register!$AS$5:$AS$304,MATCH($B52,Embedded_Wall_Register!$A$5:$A$304,0)),IFERROR(INDEX(Manhole_Register!$AS$5:$AS$304,MATCH($B52,Manhole_Register!$A$5:$A$304,0)),IFERROR(INDEX(ERSS_Pit_Register!$AM$5:$AM$304,MATCH($B52,ERSS_Pit_Register!$A$5:$A$304,0)),IFERROR(INDEX(Linkway_Register!$AO$5:$AO$304,MATCH($B52,Linkway_Register!$A$5:$A$304,0)),IFERROR(INDEX(Other_Register!$Y$5:$Y$304,MATCH($B52,Other_Register!$A$5:$A$304,0)),""))))))))</f>
        <v/>
      </c>
      <c r="N52" s="19" t="str">
        <f aca="false">IF(OR($B52="",$D52=""),"",$D52*N(IFERROR(INDEX(Drain_Register!$AV$5:$AV$304,MATCH($B52,Drain_Register!$A$5:$A$304,0)),IFERROR(INDEX(RW_Register!$BB$5:$BB$304,MATCH($B52,RW_Register!$A$5:$A$304,0)),IFERROR(INDEX(Embedded_Wall_Register!$AZ$5:$AZ$304,MATCH($B52,Embedded_Wall_Register!$A$5:$A$304,0)),IFERROR(INDEX(Manhole_Register!$AZ$5:$AZ$304,MATCH($B52,Manhole_Register!$A$5:$A$304,0)),IFERROR(INDEX(ERSS_Pit_Register!$AT$5:$AT$304,MATCH($B52,ERSS_Pit_Register!$A$5:$A$304,0)),IFERROR(INDEX(Linkway_Register!$AV$5:$AV$304,MATCH($B52,Linkway_Register!$A$5:$A$304,0)),IFERROR(INDEX(Other_Register!$AF$5:$AF$304,MATCH($B52,Other_Register!$A$5:$A$304,0)),0)))))))))</f>
        <v/>
      </c>
      <c r="O52" s="20" t="str">
        <f aca="false">IF(OR($B52="",$D52=""),"",$D52*N(IFERROR(INDEX(Drain_Register!$AW$5:$AW$304,MATCH($B52,Drain_Register!$A$5:$A$304,0)),IFERROR(INDEX(RW_Register!$BC$5:$BC$304,MATCH($B52,RW_Register!$A$5:$A$304,0)),IFERROR(INDEX(Embedded_Wall_Register!$BA$5:$BA$304,MATCH($B52,Embedded_Wall_Register!$A$5:$A$304,0)),IFERROR(INDEX(Manhole_Register!$BA$5:$BA$304,MATCH($B52,Manhole_Register!$A$5:$A$304,0)),IFERROR(INDEX(ERSS_Pit_Register!$AU$5:$AU$304,MATCH($B52,ERSS_Pit_Register!$A$5:$A$304,0)),IFERROR(INDEX(Linkway_Register!$AW$5:$AW$304,MATCH($B52,Linkway_Register!$A$5:$A$304,0)),IFERROR(INDEX(Other_Register!$AG$5:$AG$304,MATCH($B52,Other_Register!$A$5:$A$304,0)),0))))))))/1000)</f>
        <v/>
      </c>
      <c r="P52" s="20" t="str">
        <f aca="false">IF(OR($B52="",$D52=""),"",$D52*N(IFERROR(INDEX(Drain_Register!$AX$5:$AX$304,MATCH($B52,Drain_Register!$A$5:$A$304,0)),IFERROR(INDEX(RW_Register!$BD$5:$BD$304,MATCH($B52,RW_Register!$A$5:$A$304,0)),IFERROR(INDEX(Embedded_Wall_Register!$BB$5:$BB$304,MATCH($B52,Embedded_Wall_Register!$A$5:$A$304,0)),IFERROR(INDEX(Manhole_Register!$BB$5:$BB$304,MATCH($B52,Manhole_Register!$A$5:$A$304,0)),IFERROR(INDEX(ERSS_Pit_Register!$AV$5:$AV$304,MATCH($B52,ERSS_Pit_Register!$A$5:$A$304,0)),IFERROR(INDEX(Linkway_Register!$AX$5:$AX$304,MATCH($B52,Linkway_Register!$A$5:$A$304,0)),IFERROR(INDEX(Other_Register!$AH$5:$AH$304,MATCH($B52,Other_Register!$A$5:$A$304,0)),0))))))))/1000)</f>
        <v/>
      </c>
      <c r="Q52" s="19" t="str">
        <f aca="false">IF(OR($B52="",$D52=""),"",$D52*N(IFERROR(INDEX(Drain_Register!$AY$5:$AY$304,MATCH($B52,Drain_Register!$A$5:$A$304,0)),IFERROR(INDEX(RW_Register!$BE$5:$BE$304,MATCH($B52,RW_Register!$A$5:$A$304,0)),IFERROR(INDEX(Embedded_Wall_Register!$BC$5:$BC$304,MATCH($B52,Embedded_Wall_Register!$A$5:$A$304,0)),IFERROR(INDEX(Manhole_Register!$BC$5:$BC$304,MATCH($B52,Manhole_Register!$A$5:$A$304,0)),IFERROR(INDEX(ERSS_Pit_Register!$AW$5:$AW$304,MATCH($B52,ERSS_Pit_Register!$A$5:$A$304,0)),IFERROR(INDEX(Linkway_Register!$AY$5:$AY$304,MATCH($B52,Linkway_Register!$A$5:$A$304,0)),IFERROR(INDEX(Other_Register!$AI$5:$AI$304,MATCH($B52,Other_Register!$A$5:$A$304,0)),0)))))))))</f>
        <v/>
      </c>
      <c r="R52" s="19" t="str">
        <f aca="false">IF(OR($B52="",$D52=""),"",$D52*N(IFERROR(INDEX(Drain_Register!$AZ$5:$AZ$304,MATCH($B52,Drain_Register!$A$5:$A$304,0)),IFERROR(INDEX(RW_Register!$BF$5:$BF$304,MATCH($B52,RW_Register!$A$5:$A$304,0)),IFERROR(INDEX(Embedded_Wall_Register!$BD$5:$BD$304,MATCH($B52,Embedded_Wall_Register!$A$5:$A$304,0)),IFERROR(INDEX(Manhole_Register!$BD$5:$BD$304,MATCH($B52,Manhole_Register!$A$5:$A$304,0)),IFERROR(INDEX(ERSS_Pit_Register!$AX$5:$AX$304,MATCH($B52,ERSS_Pit_Register!$A$5:$A$304,0)),IFERROR(INDEX(Linkway_Register!$AZ$5:$AZ$304,MATCH($B52,Linkway_Register!$A$5:$A$304,0)),IFERROR(INDEX(Other_Register!$AJ$5:$AJ$304,MATCH($B52,Other_Register!$A$5:$A$304,0)),0)))))))))</f>
        <v/>
      </c>
      <c r="S52" s="10" t="str">
        <f aca="false">IF($B52="","",IF(G52="","ID not found",IF(J52&lt;&gt;"Approved","WARNING: status is "&amp;J52,IF(IFERROR(INDEX(Drain_Register!$CA$5:$CA$304,MATCH($B52,Drain_Register!$A$5:$A$304,0)),IFERROR(INDEX(RW_Register!$CF$5:$CF$304,MATCH($B52,RW_Register!$A$5:$A$304,0)),IFERROR(INDEX(Embedded_Wall_Register!$CD$5:$CD$304,MATCH($B52,Embedded_Wall_Register!$A$5:$A$304,0)),IFERROR(INDEX(Manhole_Register!$CC$5:$CC$304,MATCH($B52,Manhole_Register!$A$5:$A$304,0)),IFERROR(INDEX(ERSS_Pit_Register!$BX$5:$BX$304,MATCH($B52,ERSS_Pit_Register!$A$5:$A$304,0)),IFERROR(INDEX(Linkway_Register!$BY$5:$BY$304,MATCH($B52,Linkway_Register!$A$5:$A$304,0)),IFERROR(INDEX(Other_Register!$BI$5:$BI$304,MATCH($B52,Other_Register!$A$5:$A$304,0)),"")))))))="N","WARNING: fails SG compliance check",IF(D52="","Enter length / qty",IF(E52="","Enter CAD sheet no.","OK"))))))</f>
        <v/>
      </c>
    </row>
    <row r="53" customFormat="false" ht="15" hidden="false" customHeight="false" outlineLevel="0" collapsed="false">
      <c r="A53" s="9"/>
      <c r="B53" s="9"/>
      <c r="C53" s="9"/>
      <c r="D53" s="9"/>
      <c r="E53" s="9"/>
      <c r="F53" s="10" t="str">
        <f aca="false">IF($B53="","",IFERROR(INDEX(Drain_Register!$AU$5:$AU$304,MATCH($B53,Drain_Register!$A$5:$A$304,0)),IFERROR(INDEX(RW_Register!$BA$5:$BA$304,MATCH($B53,RW_Register!$A$5:$A$304,0)),IFERROR(INDEX(Embedded_Wall_Register!$AY$5:$AY$304,MATCH($B53,Embedded_Wall_Register!$A$5:$A$304,0)),IFERROR(INDEX(Manhole_Register!$AY$5:$AY$304,MATCH($B53,Manhole_Register!$A$5:$A$304,0)),IFERROR(INDEX(ERSS_Pit_Register!$AS$5:$AS$304,MATCH($B53,ERSS_Pit_Register!$A$5:$A$304,0)),IFERROR(INDEX(Linkway_Register!$AU$5:$AU$304,MATCH($B53,Linkway_Register!$A$5:$A$304,0)),IFERROR(INDEX(Other_Register!$AE$5:$AE$304,MATCH($B53,Other_Register!$A$5:$A$304,0)),""))))))))</f>
        <v/>
      </c>
      <c r="G53" s="10" t="str">
        <f aca="false">IF($B53="","",IF(ISNUMBER(MATCH($B53,Drain_Register!$A$5:$A$304,0)),"Drain",IF(ISNUMBER(MATCH($B53,RW_Register!$A$5:$A$304,0)),"Ret. Wall",IF(ISNUMBER(MATCH($B53,Embedded_Wall_Register!$A$5:$A$304,0)),"Embedded Wall",IF(ISNUMBER(MATCH($B53,Manhole_Register!$A$5:$A$304,0)),"Manhole",IF(ISNUMBER(MATCH($B53,ERSS_Pit_Register!$A$5:$A$304,0)),"ERSS Pit",IF(ISNUMBER(MATCH($B53,Linkway_Register!$A$5:$A$304,0)),"Linkway",IF(ISNUMBER(MATCH($B53,Other_Register!$A$5:$A$304,0)),"Others",""))))))))</f>
        <v/>
      </c>
      <c r="H53" s="10" t="str">
        <f aca="false">IF($B53="","",IFERROR(INDEX(Drain_Register!$B$5:$B$304,MATCH($B53,Drain_Register!$A$5:$A$304,0)),IFERROR(INDEX(RW_Register!$B$5:$B$304,MATCH($B53,RW_Register!$A$5:$A$304,0)),IFERROR(INDEX(Embedded_Wall_Register!$B$5:$B$304,MATCH($B53,Embedded_Wall_Register!$A$5:$A$304,0)),IFERROR(INDEX(Manhole_Register!$B$5:$B$304,MATCH($B53,Manhole_Register!$A$5:$A$304,0)),IFERROR(INDEX(ERSS_Pit_Register!$B$5:$B$304,MATCH($B53,ERSS_Pit_Register!$A$5:$A$304,0)),IFERROR(INDEX(Linkway_Register!$B$5:$B$304,MATCH($B53,Linkway_Register!$A$5:$A$304,0)),IFERROR(INDEX(Other_Register!$B$5:$B$304,MATCH($B53,Other_Register!$A$5:$A$304,0)),"ID not found - check spelling"))))))))</f>
        <v/>
      </c>
      <c r="I53" s="10" t="str">
        <f aca="false">IF($B53="","",IFERROR(INDEX(Drain_Register!$AI$5:$AI$304,MATCH($B53,Drain_Register!$A$5:$A$304,0)),IFERROR(INDEX(RW_Register!$AO$5:$AO$304,MATCH($B53,RW_Register!$A$5:$A$304,0)),IFERROR(INDEX(Embedded_Wall_Register!$AM$5:$AM$304,MATCH($B53,Embedded_Wall_Register!$A$5:$A$304,0)),IFERROR(INDEX(Manhole_Register!$AM$5:$AM$304,MATCH($B53,Manhole_Register!$A$5:$A$304,0)),IFERROR(INDEX(ERSS_Pit_Register!$AG$5:$AG$304,MATCH($B53,ERSS_Pit_Register!$A$5:$A$304,0)),IFERROR(INDEX(Linkway_Register!$AI$5:$AI$304,MATCH($B53,Linkway_Register!$A$5:$A$304,0)),IFERROR(INDEX(Other_Register!$S$5:$S$304,MATCH($B53,Other_Register!$A$5:$A$304,0)),""))))))))</f>
        <v/>
      </c>
      <c r="J53" s="10" t="str">
        <f aca="false">IF($B53="","",IFERROR(INDEX(Drain_Register!$AJ$5:$AJ$304,MATCH($B53,Drain_Register!$A$5:$A$304,0)),IFERROR(INDEX(RW_Register!$AP$5:$AP$304,MATCH($B53,RW_Register!$A$5:$A$304,0)),IFERROR(INDEX(Embedded_Wall_Register!$AN$5:$AN$304,MATCH($B53,Embedded_Wall_Register!$A$5:$A$304,0)),IFERROR(INDEX(Manhole_Register!$AN$5:$AN$304,MATCH($B53,Manhole_Register!$A$5:$A$304,0)),IFERROR(INDEX(ERSS_Pit_Register!$AH$5:$AH$304,MATCH($B53,ERSS_Pit_Register!$A$5:$A$304,0)),IFERROR(INDEX(Linkway_Register!$AJ$5:$AJ$304,MATCH($B53,Linkway_Register!$A$5:$A$304,0)),IFERROR(INDEX(Other_Register!$T$5:$T$304,MATCH($B53,Other_Register!$A$5:$A$304,0)),""))))))))</f>
        <v/>
      </c>
      <c r="K53" s="10" t="str">
        <f aca="false">IF($B53="","",IFERROR(INDEX(Drain_Register!$AK$5:$AK$304,MATCH($B53,Drain_Register!$A$5:$A$304,0)),IFERROR(INDEX(RW_Register!$AQ$5:$AQ$304,MATCH($B53,RW_Register!$A$5:$A$304,0)),IFERROR(INDEX(Embedded_Wall_Register!$AO$5:$AO$304,MATCH($B53,Embedded_Wall_Register!$A$5:$A$304,0)),IFERROR(INDEX(Manhole_Register!$AO$5:$AO$304,MATCH($B53,Manhole_Register!$A$5:$A$304,0)),IFERROR(INDEX(ERSS_Pit_Register!$AI$5:$AI$304,MATCH($B53,ERSS_Pit_Register!$A$5:$A$304,0)),IFERROR(INDEX(Linkway_Register!$AK$5:$AK$304,MATCH($B53,Linkway_Register!$A$5:$A$304,0)),IFERROR(INDEX(Other_Register!$U$5:$U$304,MATCH($B53,Other_Register!$A$5:$A$304,0)),""))))))))</f>
        <v/>
      </c>
      <c r="L53" s="10" t="str">
        <f aca="false">IF($B53="","",IFERROR(INDEX(Drain_Register!$AL$5:$AL$304,MATCH($B53,Drain_Register!$A$5:$A$304,0)),IFERROR(INDEX(RW_Register!$AR$5:$AR$304,MATCH($B53,RW_Register!$A$5:$A$304,0)),IFERROR(INDEX(Embedded_Wall_Register!$AP$5:$AP$304,MATCH($B53,Embedded_Wall_Register!$A$5:$A$304,0)),IFERROR(INDEX(Manhole_Register!$AP$5:$AP$304,MATCH($B53,Manhole_Register!$A$5:$A$304,0)),IFERROR(INDEX(ERSS_Pit_Register!$AJ$5:$AJ$304,MATCH($B53,ERSS_Pit_Register!$A$5:$A$304,0)),IFERROR(INDEX(Linkway_Register!$AL$5:$AL$304,MATCH($B53,Linkway_Register!$A$5:$A$304,0)),IFERROR(INDEX(Other_Register!$V$5:$V$304,MATCH($B53,Other_Register!$A$5:$A$304,0)),""))))))))</f>
        <v/>
      </c>
      <c r="M53" s="10" t="str">
        <f aca="false">IF($B53="","",IFERROR(INDEX(Drain_Register!$AN$5:$AN$304,MATCH($B53,Drain_Register!$A$5:$A$304,0)),IFERROR(INDEX(RW_Register!$AT$5:$AT$304,MATCH($B53,RW_Register!$A$5:$A$304,0)),IFERROR(INDEX(Embedded_Wall_Register!$AR$5:$AR$304,MATCH($B53,Embedded_Wall_Register!$A$5:$A$304,0)),IFERROR(INDEX(Manhole_Register!$AR$5:$AR$304,MATCH($B53,Manhole_Register!$A$5:$A$304,0)),IFERROR(INDEX(ERSS_Pit_Register!$AL$5:$AL$304,MATCH($B53,ERSS_Pit_Register!$A$5:$A$304,0)),IFERROR(INDEX(Linkway_Register!$AN$5:$AN$304,MATCH($B53,Linkway_Register!$A$5:$A$304,0)),IFERROR(INDEX(Other_Register!$X$5:$X$304,MATCH($B53,Other_Register!$A$5:$A$304,0)),"")))))))&amp;IFERROR(INDEX(Drain_Register!$AO$5:$AO$304,MATCH($B53,Drain_Register!$A$5:$A$304,0)),IFERROR(INDEX(RW_Register!$AU$5:$AU$304,MATCH($B53,RW_Register!$A$5:$A$304,0)),IFERROR(INDEX(Embedded_Wall_Register!$AS$5:$AS$304,MATCH($B53,Embedded_Wall_Register!$A$5:$A$304,0)),IFERROR(INDEX(Manhole_Register!$AS$5:$AS$304,MATCH($B53,Manhole_Register!$A$5:$A$304,0)),IFERROR(INDEX(ERSS_Pit_Register!$AM$5:$AM$304,MATCH($B53,ERSS_Pit_Register!$A$5:$A$304,0)),IFERROR(INDEX(Linkway_Register!$AO$5:$AO$304,MATCH($B53,Linkway_Register!$A$5:$A$304,0)),IFERROR(INDEX(Other_Register!$Y$5:$Y$304,MATCH($B53,Other_Register!$A$5:$A$304,0)),""))))))))</f>
        <v/>
      </c>
      <c r="N53" s="19" t="str">
        <f aca="false">IF(OR($B53="",$D53=""),"",$D53*N(IFERROR(INDEX(Drain_Register!$AV$5:$AV$304,MATCH($B53,Drain_Register!$A$5:$A$304,0)),IFERROR(INDEX(RW_Register!$BB$5:$BB$304,MATCH($B53,RW_Register!$A$5:$A$304,0)),IFERROR(INDEX(Embedded_Wall_Register!$AZ$5:$AZ$304,MATCH($B53,Embedded_Wall_Register!$A$5:$A$304,0)),IFERROR(INDEX(Manhole_Register!$AZ$5:$AZ$304,MATCH($B53,Manhole_Register!$A$5:$A$304,0)),IFERROR(INDEX(ERSS_Pit_Register!$AT$5:$AT$304,MATCH($B53,ERSS_Pit_Register!$A$5:$A$304,0)),IFERROR(INDEX(Linkway_Register!$AV$5:$AV$304,MATCH($B53,Linkway_Register!$A$5:$A$304,0)),IFERROR(INDEX(Other_Register!$AF$5:$AF$304,MATCH($B53,Other_Register!$A$5:$A$304,0)),0)))))))))</f>
        <v/>
      </c>
      <c r="O53" s="20" t="str">
        <f aca="false">IF(OR($B53="",$D53=""),"",$D53*N(IFERROR(INDEX(Drain_Register!$AW$5:$AW$304,MATCH($B53,Drain_Register!$A$5:$A$304,0)),IFERROR(INDEX(RW_Register!$BC$5:$BC$304,MATCH($B53,RW_Register!$A$5:$A$304,0)),IFERROR(INDEX(Embedded_Wall_Register!$BA$5:$BA$304,MATCH($B53,Embedded_Wall_Register!$A$5:$A$304,0)),IFERROR(INDEX(Manhole_Register!$BA$5:$BA$304,MATCH($B53,Manhole_Register!$A$5:$A$304,0)),IFERROR(INDEX(ERSS_Pit_Register!$AU$5:$AU$304,MATCH($B53,ERSS_Pit_Register!$A$5:$A$304,0)),IFERROR(INDEX(Linkway_Register!$AW$5:$AW$304,MATCH($B53,Linkway_Register!$A$5:$A$304,0)),IFERROR(INDEX(Other_Register!$AG$5:$AG$304,MATCH($B53,Other_Register!$A$5:$A$304,0)),0))))))))/1000)</f>
        <v/>
      </c>
      <c r="P53" s="20" t="str">
        <f aca="false">IF(OR($B53="",$D53=""),"",$D53*N(IFERROR(INDEX(Drain_Register!$AX$5:$AX$304,MATCH($B53,Drain_Register!$A$5:$A$304,0)),IFERROR(INDEX(RW_Register!$BD$5:$BD$304,MATCH($B53,RW_Register!$A$5:$A$304,0)),IFERROR(INDEX(Embedded_Wall_Register!$BB$5:$BB$304,MATCH($B53,Embedded_Wall_Register!$A$5:$A$304,0)),IFERROR(INDEX(Manhole_Register!$BB$5:$BB$304,MATCH($B53,Manhole_Register!$A$5:$A$304,0)),IFERROR(INDEX(ERSS_Pit_Register!$AV$5:$AV$304,MATCH($B53,ERSS_Pit_Register!$A$5:$A$304,0)),IFERROR(INDEX(Linkway_Register!$AX$5:$AX$304,MATCH($B53,Linkway_Register!$A$5:$A$304,0)),IFERROR(INDEX(Other_Register!$AH$5:$AH$304,MATCH($B53,Other_Register!$A$5:$A$304,0)),0))))))))/1000)</f>
        <v/>
      </c>
      <c r="Q53" s="19" t="str">
        <f aca="false">IF(OR($B53="",$D53=""),"",$D53*N(IFERROR(INDEX(Drain_Register!$AY$5:$AY$304,MATCH($B53,Drain_Register!$A$5:$A$304,0)),IFERROR(INDEX(RW_Register!$BE$5:$BE$304,MATCH($B53,RW_Register!$A$5:$A$304,0)),IFERROR(INDEX(Embedded_Wall_Register!$BC$5:$BC$304,MATCH($B53,Embedded_Wall_Register!$A$5:$A$304,0)),IFERROR(INDEX(Manhole_Register!$BC$5:$BC$304,MATCH($B53,Manhole_Register!$A$5:$A$304,0)),IFERROR(INDEX(ERSS_Pit_Register!$AW$5:$AW$304,MATCH($B53,ERSS_Pit_Register!$A$5:$A$304,0)),IFERROR(INDEX(Linkway_Register!$AY$5:$AY$304,MATCH($B53,Linkway_Register!$A$5:$A$304,0)),IFERROR(INDEX(Other_Register!$AI$5:$AI$304,MATCH($B53,Other_Register!$A$5:$A$304,0)),0)))))))))</f>
        <v/>
      </c>
      <c r="R53" s="19" t="str">
        <f aca="false">IF(OR($B53="",$D53=""),"",$D53*N(IFERROR(INDEX(Drain_Register!$AZ$5:$AZ$304,MATCH($B53,Drain_Register!$A$5:$A$304,0)),IFERROR(INDEX(RW_Register!$BF$5:$BF$304,MATCH($B53,RW_Register!$A$5:$A$304,0)),IFERROR(INDEX(Embedded_Wall_Register!$BD$5:$BD$304,MATCH($B53,Embedded_Wall_Register!$A$5:$A$304,0)),IFERROR(INDEX(Manhole_Register!$BD$5:$BD$304,MATCH($B53,Manhole_Register!$A$5:$A$304,0)),IFERROR(INDEX(ERSS_Pit_Register!$AX$5:$AX$304,MATCH($B53,ERSS_Pit_Register!$A$5:$A$304,0)),IFERROR(INDEX(Linkway_Register!$AZ$5:$AZ$304,MATCH($B53,Linkway_Register!$A$5:$A$304,0)),IFERROR(INDEX(Other_Register!$AJ$5:$AJ$304,MATCH($B53,Other_Register!$A$5:$A$304,0)),0)))))))))</f>
        <v/>
      </c>
      <c r="S53" s="10" t="str">
        <f aca="false">IF($B53="","",IF(G53="","ID not found",IF(J53&lt;&gt;"Approved","WARNING: status is "&amp;J53,IF(IFERROR(INDEX(Drain_Register!$CA$5:$CA$304,MATCH($B53,Drain_Register!$A$5:$A$304,0)),IFERROR(INDEX(RW_Register!$CF$5:$CF$304,MATCH($B53,RW_Register!$A$5:$A$304,0)),IFERROR(INDEX(Embedded_Wall_Register!$CD$5:$CD$304,MATCH($B53,Embedded_Wall_Register!$A$5:$A$304,0)),IFERROR(INDEX(Manhole_Register!$CC$5:$CC$304,MATCH($B53,Manhole_Register!$A$5:$A$304,0)),IFERROR(INDEX(ERSS_Pit_Register!$BX$5:$BX$304,MATCH($B53,ERSS_Pit_Register!$A$5:$A$304,0)),IFERROR(INDEX(Linkway_Register!$BY$5:$BY$304,MATCH($B53,Linkway_Register!$A$5:$A$304,0)),IFERROR(INDEX(Other_Register!$BI$5:$BI$304,MATCH($B53,Other_Register!$A$5:$A$304,0)),"")))))))="N","WARNING: fails SG compliance check",IF(D53="","Enter length / qty",IF(E53="","Enter CAD sheet no.","OK"))))))</f>
        <v/>
      </c>
    </row>
    <row r="54" customFormat="false" ht="15" hidden="false" customHeight="false" outlineLevel="0" collapsed="false">
      <c r="A54" s="9"/>
      <c r="B54" s="9"/>
      <c r="C54" s="9"/>
      <c r="D54" s="9"/>
      <c r="E54" s="9"/>
      <c r="F54" s="10" t="str">
        <f aca="false">IF($B54="","",IFERROR(INDEX(Drain_Register!$AU$5:$AU$304,MATCH($B54,Drain_Register!$A$5:$A$304,0)),IFERROR(INDEX(RW_Register!$BA$5:$BA$304,MATCH($B54,RW_Register!$A$5:$A$304,0)),IFERROR(INDEX(Embedded_Wall_Register!$AY$5:$AY$304,MATCH($B54,Embedded_Wall_Register!$A$5:$A$304,0)),IFERROR(INDEX(Manhole_Register!$AY$5:$AY$304,MATCH($B54,Manhole_Register!$A$5:$A$304,0)),IFERROR(INDEX(ERSS_Pit_Register!$AS$5:$AS$304,MATCH($B54,ERSS_Pit_Register!$A$5:$A$304,0)),IFERROR(INDEX(Linkway_Register!$AU$5:$AU$304,MATCH($B54,Linkway_Register!$A$5:$A$304,0)),IFERROR(INDEX(Other_Register!$AE$5:$AE$304,MATCH($B54,Other_Register!$A$5:$A$304,0)),""))))))))</f>
        <v/>
      </c>
      <c r="G54" s="10" t="str">
        <f aca="false">IF($B54="","",IF(ISNUMBER(MATCH($B54,Drain_Register!$A$5:$A$304,0)),"Drain",IF(ISNUMBER(MATCH($B54,RW_Register!$A$5:$A$304,0)),"Ret. Wall",IF(ISNUMBER(MATCH($B54,Embedded_Wall_Register!$A$5:$A$304,0)),"Embedded Wall",IF(ISNUMBER(MATCH($B54,Manhole_Register!$A$5:$A$304,0)),"Manhole",IF(ISNUMBER(MATCH($B54,ERSS_Pit_Register!$A$5:$A$304,0)),"ERSS Pit",IF(ISNUMBER(MATCH($B54,Linkway_Register!$A$5:$A$304,0)),"Linkway",IF(ISNUMBER(MATCH($B54,Other_Register!$A$5:$A$304,0)),"Others",""))))))))</f>
        <v/>
      </c>
      <c r="H54" s="10" t="str">
        <f aca="false">IF($B54="","",IFERROR(INDEX(Drain_Register!$B$5:$B$304,MATCH($B54,Drain_Register!$A$5:$A$304,0)),IFERROR(INDEX(RW_Register!$B$5:$B$304,MATCH($B54,RW_Register!$A$5:$A$304,0)),IFERROR(INDEX(Embedded_Wall_Register!$B$5:$B$304,MATCH($B54,Embedded_Wall_Register!$A$5:$A$304,0)),IFERROR(INDEX(Manhole_Register!$B$5:$B$304,MATCH($B54,Manhole_Register!$A$5:$A$304,0)),IFERROR(INDEX(ERSS_Pit_Register!$B$5:$B$304,MATCH($B54,ERSS_Pit_Register!$A$5:$A$304,0)),IFERROR(INDEX(Linkway_Register!$B$5:$B$304,MATCH($B54,Linkway_Register!$A$5:$A$304,0)),IFERROR(INDEX(Other_Register!$B$5:$B$304,MATCH($B54,Other_Register!$A$5:$A$304,0)),"ID not found - check spelling"))))))))</f>
        <v/>
      </c>
      <c r="I54" s="10" t="str">
        <f aca="false">IF($B54="","",IFERROR(INDEX(Drain_Register!$AI$5:$AI$304,MATCH($B54,Drain_Register!$A$5:$A$304,0)),IFERROR(INDEX(RW_Register!$AO$5:$AO$304,MATCH($B54,RW_Register!$A$5:$A$304,0)),IFERROR(INDEX(Embedded_Wall_Register!$AM$5:$AM$304,MATCH($B54,Embedded_Wall_Register!$A$5:$A$304,0)),IFERROR(INDEX(Manhole_Register!$AM$5:$AM$304,MATCH($B54,Manhole_Register!$A$5:$A$304,0)),IFERROR(INDEX(ERSS_Pit_Register!$AG$5:$AG$304,MATCH($B54,ERSS_Pit_Register!$A$5:$A$304,0)),IFERROR(INDEX(Linkway_Register!$AI$5:$AI$304,MATCH($B54,Linkway_Register!$A$5:$A$304,0)),IFERROR(INDEX(Other_Register!$S$5:$S$304,MATCH($B54,Other_Register!$A$5:$A$304,0)),""))))))))</f>
        <v/>
      </c>
      <c r="J54" s="10" t="str">
        <f aca="false">IF($B54="","",IFERROR(INDEX(Drain_Register!$AJ$5:$AJ$304,MATCH($B54,Drain_Register!$A$5:$A$304,0)),IFERROR(INDEX(RW_Register!$AP$5:$AP$304,MATCH($B54,RW_Register!$A$5:$A$304,0)),IFERROR(INDEX(Embedded_Wall_Register!$AN$5:$AN$304,MATCH($B54,Embedded_Wall_Register!$A$5:$A$304,0)),IFERROR(INDEX(Manhole_Register!$AN$5:$AN$304,MATCH($B54,Manhole_Register!$A$5:$A$304,0)),IFERROR(INDEX(ERSS_Pit_Register!$AH$5:$AH$304,MATCH($B54,ERSS_Pit_Register!$A$5:$A$304,0)),IFERROR(INDEX(Linkway_Register!$AJ$5:$AJ$304,MATCH($B54,Linkway_Register!$A$5:$A$304,0)),IFERROR(INDEX(Other_Register!$T$5:$T$304,MATCH($B54,Other_Register!$A$5:$A$304,0)),""))))))))</f>
        <v/>
      </c>
      <c r="K54" s="10" t="str">
        <f aca="false">IF($B54="","",IFERROR(INDEX(Drain_Register!$AK$5:$AK$304,MATCH($B54,Drain_Register!$A$5:$A$304,0)),IFERROR(INDEX(RW_Register!$AQ$5:$AQ$304,MATCH($B54,RW_Register!$A$5:$A$304,0)),IFERROR(INDEX(Embedded_Wall_Register!$AO$5:$AO$304,MATCH($B54,Embedded_Wall_Register!$A$5:$A$304,0)),IFERROR(INDEX(Manhole_Register!$AO$5:$AO$304,MATCH($B54,Manhole_Register!$A$5:$A$304,0)),IFERROR(INDEX(ERSS_Pit_Register!$AI$5:$AI$304,MATCH($B54,ERSS_Pit_Register!$A$5:$A$304,0)),IFERROR(INDEX(Linkway_Register!$AK$5:$AK$304,MATCH($B54,Linkway_Register!$A$5:$A$304,0)),IFERROR(INDEX(Other_Register!$U$5:$U$304,MATCH($B54,Other_Register!$A$5:$A$304,0)),""))))))))</f>
        <v/>
      </c>
      <c r="L54" s="10" t="str">
        <f aca="false">IF($B54="","",IFERROR(INDEX(Drain_Register!$AL$5:$AL$304,MATCH($B54,Drain_Register!$A$5:$A$304,0)),IFERROR(INDEX(RW_Register!$AR$5:$AR$304,MATCH($B54,RW_Register!$A$5:$A$304,0)),IFERROR(INDEX(Embedded_Wall_Register!$AP$5:$AP$304,MATCH($B54,Embedded_Wall_Register!$A$5:$A$304,0)),IFERROR(INDEX(Manhole_Register!$AP$5:$AP$304,MATCH($B54,Manhole_Register!$A$5:$A$304,0)),IFERROR(INDEX(ERSS_Pit_Register!$AJ$5:$AJ$304,MATCH($B54,ERSS_Pit_Register!$A$5:$A$304,0)),IFERROR(INDEX(Linkway_Register!$AL$5:$AL$304,MATCH($B54,Linkway_Register!$A$5:$A$304,0)),IFERROR(INDEX(Other_Register!$V$5:$V$304,MATCH($B54,Other_Register!$A$5:$A$304,0)),""))))))))</f>
        <v/>
      </c>
      <c r="M54" s="10" t="str">
        <f aca="false">IF($B54="","",IFERROR(INDEX(Drain_Register!$AN$5:$AN$304,MATCH($B54,Drain_Register!$A$5:$A$304,0)),IFERROR(INDEX(RW_Register!$AT$5:$AT$304,MATCH($B54,RW_Register!$A$5:$A$304,0)),IFERROR(INDEX(Embedded_Wall_Register!$AR$5:$AR$304,MATCH($B54,Embedded_Wall_Register!$A$5:$A$304,0)),IFERROR(INDEX(Manhole_Register!$AR$5:$AR$304,MATCH($B54,Manhole_Register!$A$5:$A$304,0)),IFERROR(INDEX(ERSS_Pit_Register!$AL$5:$AL$304,MATCH($B54,ERSS_Pit_Register!$A$5:$A$304,0)),IFERROR(INDEX(Linkway_Register!$AN$5:$AN$304,MATCH($B54,Linkway_Register!$A$5:$A$304,0)),IFERROR(INDEX(Other_Register!$X$5:$X$304,MATCH($B54,Other_Register!$A$5:$A$304,0)),"")))))))&amp;IFERROR(INDEX(Drain_Register!$AO$5:$AO$304,MATCH($B54,Drain_Register!$A$5:$A$304,0)),IFERROR(INDEX(RW_Register!$AU$5:$AU$304,MATCH($B54,RW_Register!$A$5:$A$304,0)),IFERROR(INDEX(Embedded_Wall_Register!$AS$5:$AS$304,MATCH($B54,Embedded_Wall_Register!$A$5:$A$304,0)),IFERROR(INDEX(Manhole_Register!$AS$5:$AS$304,MATCH($B54,Manhole_Register!$A$5:$A$304,0)),IFERROR(INDEX(ERSS_Pit_Register!$AM$5:$AM$304,MATCH($B54,ERSS_Pit_Register!$A$5:$A$304,0)),IFERROR(INDEX(Linkway_Register!$AO$5:$AO$304,MATCH($B54,Linkway_Register!$A$5:$A$304,0)),IFERROR(INDEX(Other_Register!$Y$5:$Y$304,MATCH($B54,Other_Register!$A$5:$A$304,0)),""))))))))</f>
        <v/>
      </c>
      <c r="N54" s="19" t="str">
        <f aca="false">IF(OR($B54="",$D54=""),"",$D54*N(IFERROR(INDEX(Drain_Register!$AV$5:$AV$304,MATCH($B54,Drain_Register!$A$5:$A$304,0)),IFERROR(INDEX(RW_Register!$BB$5:$BB$304,MATCH($B54,RW_Register!$A$5:$A$304,0)),IFERROR(INDEX(Embedded_Wall_Register!$AZ$5:$AZ$304,MATCH($B54,Embedded_Wall_Register!$A$5:$A$304,0)),IFERROR(INDEX(Manhole_Register!$AZ$5:$AZ$304,MATCH($B54,Manhole_Register!$A$5:$A$304,0)),IFERROR(INDEX(ERSS_Pit_Register!$AT$5:$AT$304,MATCH($B54,ERSS_Pit_Register!$A$5:$A$304,0)),IFERROR(INDEX(Linkway_Register!$AV$5:$AV$304,MATCH($B54,Linkway_Register!$A$5:$A$304,0)),IFERROR(INDEX(Other_Register!$AF$5:$AF$304,MATCH($B54,Other_Register!$A$5:$A$304,0)),0)))))))))</f>
        <v/>
      </c>
      <c r="O54" s="20" t="str">
        <f aca="false">IF(OR($B54="",$D54=""),"",$D54*N(IFERROR(INDEX(Drain_Register!$AW$5:$AW$304,MATCH($B54,Drain_Register!$A$5:$A$304,0)),IFERROR(INDEX(RW_Register!$BC$5:$BC$304,MATCH($B54,RW_Register!$A$5:$A$304,0)),IFERROR(INDEX(Embedded_Wall_Register!$BA$5:$BA$304,MATCH($B54,Embedded_Wall_Register!$A$5:$A$304,0)),IFERROR(INDEX(Manhole_Register!$BA$5:$BA$304,MATCH($B54,Manhole_Register!$A$5:$A$304,0)),IFERROR(INDEX(ERSS_Pit_Register!$AU$5:$AU$304,MATCH($B54,ERSS_Pit_Register!$A$5:$A$304,0)),IFERROR(INDEX(Linkway_Register!$AW$5:$AW$304,MATCH($B54,Linkway_Register!$A$5:$A$304,0)),IFERROR(INDEX(Other_Register!$AG$5:$AG$304,MATCH($B54,Other_Register!$A$5:$A$304,0)),0))))))))/1000)</f>
        <v/>
      </c>
      <c r="P54" s="20" t="str">
        <f aca="false">IF(OR($B54="",$D54=""),"",$D54*N(IFERROR(INDEX(Drain_Register!$AX$5:$AX$304,MATCH($B54,Drain_Register!$A$5:$A$304,0)),IFERROR(INDEX(RW_Register!$BD$5:$BD$304,MATCH($B54,RW_Register!$A$5:$A$304,0)),IFERROR(INDEX(Embedded_Wall_Register!$BB$5:$BB$304,MATCH($B54,Embedded_Wall_Register!$A$5:$A$304,0)),IFERROR(INDEX(Manhole_Register!$BB$5:$BB$304,MATCH($B54,Manhole_Register!$A$5:$A$304,0)),IFERROR(INDEX(ERSS_Pit_Register!$AV$5:$AV$304,MATCH($B54,ERSS_Pit_Register!$A$5:$A$304,0)),IFERROR(INDEX(Linkway_Register!$AX$5:$AX$304,MATCH($B54,Linkway_Register!$A$5:$A$304,0)),IFERROR(INDEX(Other_Register!$AH$5:$AH$304,MATCH($B54,Other_Register!$A$5:$A$304,0)),0))))))))/1000)</f>
        <v/>
      </c>
      <c r="Q54" s="19" t="str">
        <f aca="false">IF(OR($B54="",$D54=""),"",$D54*N(IFERROR(INDEX(Drain_Register!$AY$5:$AY$304,MATCH($B54,Drain_Register!$A$5:$A$304,0)),IFERROR(INDEX(RW_Register!$BE$5:$BE$304,MATCH($B54,RW_Register!$A$5:$A$304,0)),IFERROR(INDEX(Embedded_Wall_Register!$BC$5:$BC$304,MATCH($B54,Embedded_Wall_Register!$A$5:$A$304,0)),IFERROR(INDEX(Manhole_Register!$BC$5:$BC$304,MATCH($B54,Manhole_Register!$A$5:$A$304,0)),IFERROR(INDEX(ERSS_Pit_Register!$AW$5:$AW$304,MATCH($B54,ERSS_Pit_Register!$A$5:$A$304,0)),IFERROR(INDEX(Linkway_Register!$AY$5:$AY$304,MATCH($B54,Linkway_Register!$A$5:$A$304,0)),IFERROR(INDEX(Other_Register!$AI$5:$AI$304,MATCH($B54,Other_Register!$A$5:$A$304,0)),0)))))))))</f>
        <v/>
      </c>
      <c r="R54" s="19" t="str">
        <f aca="false">IF(OR($B54="",$D54=""),"",$D54*N(IFERROR(INDEX(Drain_Register!$AZ$5:$AZ$304,MATCH($B54,Drain_Register!$A$5:$A$304,0)),IFERROR(INDEX(RW_Register!$BF$5:$BF$304,MATCH($B54,RW_Register!$A$5:$A$304,0)),IFERROR(INDEX(Embedded_Wall_Register!$BD$5:$BD$304,MATCH($B54,Embedded_Wall_Register!$A$5:$A$304,0)),IFERROR(INDEX(Manhole_Register!$BD$5:$BD$304,MATCH($B54,Manhole_Register!$A$5:$A$304,0)),IFERROR(INDEX(ERSS_Pit_Register!$AX$5:$AX$304,MATCH($B54,ERSS_Pit_Register!$A$5:$A$304,0)),IFERROR(INDEX(Linkway_Register!$AZ$5:$AZ$304,MATCH($B54,Linkway_Register!$A$5:$A$304,0)),IFERROR(INDEX(Other_Register!$AJ$5:$AJ$304,MATCH($B54,Other_Register!$A$5:$A$304,0)),0)))))))))</f>
        <v/>
      </c>
      <c r="S54" s="10" t="str">
        <f aca="false">IF($B54="","",IF(G54="","ID not found",IF(J54&lt;&gt;"Approved","WARNING: status is "&amp;J54,IF(IFERROR(INDEX(Drain_Register!$CA$5:$CA$304,MATCH($B54,Drain_Register!$A$5:$A$304,0)),IFERROR(INDEX(RW_Register!$CF$5:$CF$304,MATCH($B54,RW_Register!$A$5:$A$304,0)),IFERROR(INDEX(Embedded_Wall_Register!$CD$5:$CD$304,MATCH($B54,Embedded_Wall_Register!$A$5:$A$304,0)),IFERROR(INDEX(Manhole_Register!$CC$5:$CC$304,MATCH($B54,Manhole_Register!$A$5:$A$304,0)),IFERROR(INDEX(ERSS_Pit_Register!$BX$5:$BX$304,MATCH($B54,ERSS_Pit_Register!$A$5:$A$304,0)),IFERROR(INDEX(Linkway_Register!$BY$5:$BY$304,MATCH($B54,Linkway_Register!$A$5:$A$304,0)),IFERROR(INDEX(Other_Register!$BI$5:$BI$304,MATCH($B54,Other_Register!$A$5:$A$304,0)),"")))))))="N","WARNING: fails SG compliance check",IF(D54="","Enter length / qty",IF(E54="","Enter CAD sheet no.","OK"))))))</f>
        <v/>
      </c>
    </row>
    <row r="55" customFormat="false" ht="15" hidden="false" customHeight="false" outlineLevel="0" collapsed="false">
      <c r="A55" s="9"/>
      <c r="B55" s="9"/>
      <c r="C55" s="9"/>
      <c r="D55" s="9"/>
      <c r="E55" s="9"/>
      <c r="F55" s="10" t="str">
        <f aca="false">IF($B55="","",IFERROR(INDEX(Drain_Register!$AU$5:$AU$304,MATCH($B55,Drain_Register!$A$5:$A$304,0)),IFERROR(INDEX(RW_Register!$BA$5:$BA$304,MATCH($B55,RW_Register!$A$5:$A$304,0)),IFERROR(INDEX(Embedded_Wall_Register!$AY$5:$AY$304,MATCH($B55,Embedded_Wall_Register!$A$5:$A$304,0)),IFERROR(INDEX(Manhole_Register!$AY$5:$AY$304,MATCH($B55,Manhole_Register!$A$5:$A$304,0)),IFERROR(INDEX(ERSS_Pit_Register!$AS$5:$AS$304,MATCH($B55,ERSS_Pit_Register!$A$5:$A$304,0)),IFERROR(INDEX(Linkway_Register!$AU$5:$AU$304,MATCH($B55,Linkway_Register!$A$5:$A$304,0)),IFERROR(INDEX(Other_Register!$AE$5:$AE$304,MATCH($B55,Other_Register!$A$5:$A$304,0)),""))))))))</f>
        <v/>
      </c>
      <c r="G55" s="10" t="str">
        <f aca="false">IF($B55="","",IF(ISNUMBER(MATCH($B55,Drain_Register!$A$5:$A$304,0)),"Drain",IF(ISNUMBER(MATCH($B55,RW_Register!$A$5:$A$304,0)),"Ret. Wall",IF(ISNUMBER(MATCH($B55,Embedded_Wall_Register!$A$5:$A$304,0)),"Embedded Wall",IF(ISNUMBER(MATCH($B55,Manhole_Register!$A$5:$A$304,0)),"Manhole",IF(ISNUMBER(MATCH($B55,ERSS_Pit_Register!$A$5:$A$304,0)),"ERSS Pit",IF(ISNUMBER(MATCH($B55,Linkway_Register!$A$5:$A$304,0)),"Linkway",IF(ISNUMBER(MATCH($B55,Other_Register!$A$5:$A$304,0)),"Others",""))))))))</f>
        <v/>
      </c>
      <c r="H55" s="10" t="str">
        <f aca="false">IF($B55="","",IFERROR(INDEX(Drain_Register!$B$5:$B$304,MATCH($B55,Drain_Register!$A$5:$A$304,0)),IFERROR(INDEX(RW_Register!$B$5:$B$304,MATCH($B55,RW_Register!$A$5:$A$304,0)),IFERROR(INDEX(Embedded_Wall_Register!$B$5:$B$304,MATCH($B55,Embedded_Wall_Register!$A$5:$A$304,0)),IFERROR(INDEX(Manhole_Register!$B$5:$B$304,MATCH($B55,Manhole_Register!$A$5:$A$304,0)),IFERROR(INDEX(ERSS_Pit_Register!$B$5:$B$304,MATCH($B55,ERSS_Pit_Register!$A$5:$A$304,0)),IFERROR(INDEX(Linkway_Register!$B$5:$B$304,MATCH($B55,Linkway_Register!$A$5:$A$304,0)),IFERROR(INDEX(Other_Register!$B$5:$B$304,MATCH($B55,Other_Register!$A$5:$A$304,0)),"ID not found - check spelling"))))))))</f>
        <v/>
      </c>
      <c r="I55" s="10" t="str">
        <f aca="false">IF($B55="","",IFERROR(INDEX(Drain_Register!$AI$5:$AI$304,MATCH($B55,Drain_Register!$A$5:$A$304,0)),IFERROR(INDEX(RW_Register!$AO$5:$AO$304,MATCH($B55,RW_Register!$A$5:$A$304,0)),IFERROR(INDEX(Embedded_Wall_Register!$AM$5:$AM$304,MATCH($B55,Embedded_Wall_Register!$A$5:$A$304,0)),IFERROR(INDEX(Manhole_Register!$AM$5:$AM$304,MATCH($B55,Manhole_Register!$A$5:$A$304,0)),IFERROR(INDEX(ERSS_Pit_Register!$AG$5:$AG$304,MATCH($B55,ERSS_Pit_Register!$A$5:$A$304,0)),IFERROR(INDEX(Linkway_Register!$AI$5:$AI$304,MATCH($B55,Linkway_Register!$A$5:$A$304,0)),IFERROR(INDEX(Other_Register!$S$5:$S$304,MATCH($B55,Other_Register!$A$5:$A$304,0)),""))))))))</f>
        <v/>
      </c>
      <c r="J55" s="10" t="str">
        <f aca="false">IF($B55="","",IFERROR(INDEX(Drain_Register!$AJ$5:$AJ$304,MATCH($B55,Drain_Register!$A$5:$A$304,0)),IFERROR(INDEX(RW_Register!$AP$5:$AP$304,MATCH($B55,RW_Register!$A$5:$A$304,0)),IFERROR(INDEX(Embedded_Wall_Register!$AN$5:$AN$304,MATCH($B55,Embedded_Wall_Register!$A$5:$A$304,0)),IFERROR(INDEX(Manhole_Register!$AN$5:$AN$304,MATCH($B55,Manhole_Register!$A$5:$A$304,0)),IFERROR(INDEX(ERSS_Pit_Register!$AH$5:$AH$304,MATCH($B55,ERSS_Pit_Register!$A$5:$A$304,0)),IFERROR(INDEX(Linkway_Register!$AJ$5:$AJ$304,MATCH($B55,Linkway_Register!$A$5:$A$304,0)),IFERROR(INDEX(Other_Register!$T$5:$T$304,MATCH($B55,Other_Register!$A$5:$A$304,0)),""))))))))</f>
        <v/>
      </c>
      <c r="K55" s="10" t="str">
        <f aca="false">IF($B55="","",IFERROR(INDEX(Drain_Register!$AK$5:$AK$304,MATCH($B55,Drain_Register!$A$5:$A$304,0)),IFERROR(INDEX(RW_Register!$AQ$5:$AQ$304,MATCH($B55,RW_Register!$A$5:$A$304,0)),IFERROR(INDEX(Embedded_Wall_Register!$AO$5:$AO$304,MATCH($B55,Embedded_Wall_Register!$A$5:$A$304,0)),IFERROR(INDEX(Manhole_Register!$AO$5:$AO$304,MATCH($B55,Manhole_Register!$A$5:$A$304,0)),IFERROR(INDEX(ERSS_Pit_Register!$AI$5:$AI$304,MATCH($B55,ERSS_Pit_Register!$A$5:$A$304,0)),IFERROR(INDEX(Linkway_Register!$AK$5:$AK$304,MATCH($B55,Linkway_Register!$A$5:$A$304,0)),IFERROR(INDEX(Other_Register!$U$5:$U$304,MATCH($B55,Other_Register!$A$5:$A$304,0)),""))))))))</f>
        <v/>
      </c>
      <c r="L55" s="10" t="str">
        <f aca="false">IF($B55="","",IFERROR(INDEX(Drain_Register!$AL$5:$AL$304,MATCH($B55,Drain_Register!$A$5:$A$304,0)),IFERROR(INDEX(RW_Register!$AR$5:$AR$304,MATCH($B55,RW_Register!$A$5:$A$304,0)),IFERROR(INDEX(Embedded_Wall_Register!$AP$5:$AP$304,MATCH($B55,Embedded_Wall_Register!$A$5:$A$304,0)),IFERROR(INDEX(Manhole_Register!$AP$5:$AP$304,MATCH($B55,Manhole_Register!$A$5:$A$304,0)),IFERROR(INDEX(ERSS_Pit_Register!$AJ$5:$AJ$304,MATCH($B55,ERSS_Pit_Register!$A$5:$A$304,0)),IFERROR(INDEX(Linkway_Register!$AL$5:$AL$304,MATCH($B55,Linkway_Register!$A$5:$A$304,0)),IFERROR(INDEX(Other_Register!$V$5:$V$304,MATCH($B55,Other_Register!$A$5:$A$304,0)),""))))))))</f>
        <v/>
      </c>
      <c r="M55" s="10" t="str">
        <f aca="false">IF($B55="","",IFERROR(INDEX(Drain_Register!$AN$5:$AN$304,MATCH($B55,Drain_Register!$A$5:$A$304,0)),IFERROR(INDEX(RW_Register!$AT$5:$AT$304,MATCH($B55,RW_Register!$A$5:$A$304,0)),IFERROR(INDEX(Embedded_Wall_Register!$AR$5:$AR$304,MATCH($B55,Embedded_Wall_Register!$A$5:$A$304,0)),IFERROR(INDEX(Manhole_Register!$AR$5:$AR$304,MATCH($B55,Manhole_Register!$A$5:$A$304,0)),IFERROR(INDEX(ERSS_Pit_Register!$AL$5:$AL$304,MATCH($B55,ERSS_Pit_Register!$A$5:$A$304,0)),IFERROR(INDEX(Linkway_Register!$AN$5:$AN$304,MATCH($B55,Linkway_Register!$A$5:$A$304,0)),IFERROR(INDEX(Other_Register!$X$5:$X$304,MATCH($B55,Other_Register!$A$5:$A$304,0)),"")))))))&amp;IFERROR(INDEX(Drain_Register!$AO$5:$AO$304,MATCH($B55,Drain_Register!$A$5:$A$304,0)),IFERROR(INDEX(RW_Register!$AU$5:$AU$304,MATCH($B55,RW_Register!$A$5:$A$304,0)),IFERROR(INDEX(Embedded_Wall_Register!$AS$5:$AS$304,MATCH($B55,Embedded_Wall_Register!$A$5:$A$304,0)),IFERROR(INDEX(Manhole_Register!$AS$5:$AS$304,MATCH($B55,Manhole_Register!$A$5:$A$304,0)),IFERROR(INDEX(ERSS_Pit_Register!$AM$5:$AM$304,MATCH($B55,ERSS_Pit_Register!$A$5:$A$304,0)),IFERROR(INDEX(Linkway_Register!$AO$5:$AO$304,MATCH($B55,Linkway_Register!$A$5:$A$304,0)),IFERROR(INDEX(Other_Register!$Y$5:$Y$304,MATCH($B55,Other_Register!$A$5:$A$304,0)),""))))))))</f>
        <v/>
      </c>
      <c r="N55" s="19" t="str">
        <f aca="false">IF(OR($B55="",$D55=""),"",$D55*N(IFERROR(INDEX(Drain_Register!$AV$5:$AV$304,MATCH($B55,Drain_Register!$A$5:$A$304,0)),IFERROR(INDEX(RW_Register!$BB$5:$BB$304,MATCH($B55,RW_Register!$A$5:$A$304,0)),IFERROR(INDEX(Embedded_Wall_Register!$AZ$5:$AZ$304,MATCH($B55,Embedded_Wall_Register!$A$5:$A$304,0)),IFERROR(INDEX(Manhole_Register!$AZ$5:$AZ$304,MATCH($B55,Manhole_Register!$A$5:$A$304,0)),IFERROR(INDEX(ERSS_Pit_Register!$AT$5:$AT$304,MATCH($B55,ERSS_Pit_Register!$A$5:$A$304,0)),IFERROR(INDEX(Linkway_Register!$AV$5:$AV$304,MATCH($B55,Linkway_Register!$A$5:$A$304,0)),IFERROR(INDEX(Other_Register!$AF$5:$AF$304,MATCH($B55,Other_Register!$A$5:$A$304,0)),0)))))))))</f>
        <v/>
      </c>
      <c r="O55" s="20" t="str">
        <f aca="false">IF(OR($B55="",$D55=""),"",$D55*N(IFERROR(INDEX(Drain_Register!$AW$5:$AW$304,MATCH($B55,Drain_Register!$A$5:$A$304,0)),IFERROR(INDEX(RW_Register!$BC$5:$BC$304,MATCH($B55,RW_Register!$A$5:$A$304,0)),IFERROR(INDEX(Embedded_Wall_Register!$BA$5:$BA$304,MATCH($B55,Embedded_Wall_Register!$A$5:$A$304,0)),IFERROR(INDEX(Manhole_Register!$BA$5:$BA$304,MATCH($B55,Manhole_Register!$A$5:$A$304,0)),IFERROR(INDEX(ERSS_Pit_Register!$AU$5:$AU$304,MATCH($B55,ERSS_Pit_Register!$A$5:$A$304,0)),IFERROR(INDEX(Linkway_Register!$AW$5:$AW$304,MATCH($B55,Linkway_Register!$A$5:$A$304,0)),IFERROR(INDEX(Other_Register!$AG$5:$AG$304,MATCH($B55,Other_Register!$A$5:$A$304,0)),0))))))))/1000)</f>
        <v/>
      </c>
      <c r="P55" s="20" t="str">
        <f aca="false">IF(OR($B55="",$D55=""),"",$D55*N(IFERROR(INDEX(Drain_Register!$AX$5:$AX$304,MATCH($B55,Drain_Register!$A$5:$A$304,0)),IFERROR(INDEX(RW_Register!$BD$5:$BD$304,MATCH($B55,RW_Register!$A$5:$A$304,0)),IFERROR(INDEX(Embedded_Wall_Register!$BB$5:$BB$304,MATCH($B55,Embedded_Wall_Register!$A$5:$A$304,0)),IFERROR(INDEX(Manhole_Register!$BB$5:$BB$304,MATCH($B55,Manhole_Register!$A$5:$A$304,0)),IFERROR(INDEX(ERSS_Pit_Register!$AV$5:$AV$304,MATCH($B55,ERSS_Pit_Register!$A$5:$A$304,0)),IFERROR(INDEX(Linkway_Register!$AX$5:$AX$304,MATCH($B55,Linkway_Register!$A$5:$A$304,0)),IFERROR(INDEX(Other_Register!$AH$5:$AH$304,MATCH($B55,Other_Register!$A$5:$A$304,0)),0))))))))/1000)</f>
        <v/>
      </c>
      <c r="Q55" s="19" t="str">
        <f aca="false">IF(OR($B55="",$D55=""),"",$D55*N(IFERROR(INDEX(Drain_Register!$AY$5:$AY$304,MATCH($B55,Drain_Register!$A$5:$A$304,0)),IFERROR(INDEX(RW_Register!$BE$5:$BE$304,MATCH($B55,RW_Register!$A$5:$A$304,0)),IFERROR(INDEX(Embedded_Wall_Register!$BC$5:$BC$304,MATCH($B55,Embedded_Wall_Register!$A$5:$A$304,0)),IFERROR(INDEX(Manhole_Register!$BC$5:$BC$304,MATCH($B55,Manhole_Register!$A$5:$A$304,0)),IFERROR(INDEX(ERSS_Pit_Register!$AW$5:$AW$304,MATCH($B55,ERSS_Pit_Register!$A$5:$A$304,0)),IFERROR(INDEX(Linkway_Register!$AY$5:$AY$304,MATCH($B55,Linkway_Register!$A$5:$A$304,0)),IFERROR(INDEX(Other_Register!$AI$5:$AI$304,MATCH($B55,Other_Register!$A$5:$A$304,0)),0)))))))))</f>
        <v/>
      </c>
      <c r="R55" s="19" t="str">
        <f aca="false">IF(OR($B55="",$D55=""),"",$D55*N(IFERROR(INDEX(Drain_Register!$AZ$5:$AZ$304,MATCH($B55,Drain_Register!$A$5:$A$304,0)),IFERROR(INDEX(RW_Register!$BF$5:$BF$304,MATCH($B55,RW_Register!$A$5:$A$304,0)),IFERROR(INDEX(Embedded_Wall_Register!$BD$5:$BD$304,MATCH($B55,Embedded_Wall_Register!$A$5:$A$304,0)),IFERROR(INDEX(Manhole_Register!$BD$5:$BD$304,MATCH($B55,Manhole_Register!$A$5:$A$304,0)),IFERROR(INDEX(ERSS_Pit_Register!$AX$5:$AX$304,MATCH($B55,ERSS_Pit_Register!$A$5:$A$304,0)),IFERROR(INDEX(Linkway_Register!$AZ$5:$AZ$304,MATCH($B55,Linkway_Register!$A$5:$A$304,0)),IFERROR(INDEX(Other_Register!$AJ$5:$AJ$304,MATCH($B55,Other_Register!$A$5:$A$304,0)),0)))))))))</f>
        <v/>
      </c>
      <c r="S55" s="10" t="str">
        <f aca="false">IF($B55="","",IF(G55="","ID not found",IF(J55&lt;&gt;"Approved","WARNING: status is "&amp;J55,IF(IFERROR(INDEX(Drain_Register!$CA$5:$CA$304,MATCH($B55,Drain_Register!$A$5:$A$304,0)),IFERROR(INDEX(RW_Register!$CF$5:$CF$304,MATCH($B55,RW_Register!$A$5:$A$304,0)),IFERROR(INDEX(Embedded_Wall_Register!$CD$5:$CD$304,MATCH($B55,Embedded_Wall_Register!$A$5:$A$304,0)),IFERROR(INDEX(Manhole_Register!$CC$5:$CC$304,MATCH($B55,Manhole_Register!$A$5:$A$304,0)),IFERROR(INDEX(ERSS_Pit_Register!$BX$5:$BX$304,MATCH($B55,ERSS_Pit_Register!$A$5:$A$304,0)),IFERROR(INDEX(Linkway_Register!$BY$5:$BY$304,MATCH($B55,Linkway_Register!$A$5:$A$304,0)),IFERROR(INDEX(Other_Register!$BI$5:$BI$304,MATCH($B55,Other_Register!$A$5:$A$304,0)),"")))))))="N","WARNING: fails SG compliance check",IF(D55="","Enter length / qty",IF(E55="","Enter CAD sheet no.","OK"))))))</f>
        <v/>
      </c>
    </row>
    <row r="56" customFormat="false" ht="15" hidden="false" customHeight="false" outlineLevel="0" collapsed="false">
      <c r="A56" s="9"/>
      <c r="B56" s="9"/>
      <c r="C56" s="9"/>
      <c r="D56" s="9"/>
      <c r="E56" s="9"/>
      <c r="F56" s="10" t="str">
        <f aca="false">IF($B56="","",IFERROR(INDEX(Drain_Register!$AU$5:$AU$304,MATCH($B56,Drain_Register!$A$5:$A$304,0)),IFERROR(INDEX(RW_Register!$BA$5:$BA$304,MATCH($B56,RW_Register!$A$5:$A$304,0)),IFERROR(INDEX(Embedded_Wall_Register!$AY$5:$AY$304,MATCH($B56,Embedded_Wall_Register!$A$5:$A$304,0)),IFERROR(INDEX(Manhole_Register!$AY$5:$AY$304,MATCH($B56,Manhole_Register!$A$5:$A$304,0)),IFERROR(INDEX(ERSS_Pit_Register!$AS$5:$AS$304,MATCH($B56,ERSS_Pit_Register!$A$5:$A$304,0)),IFERROR(INDEX(Linkway_Register!$AU$5:$AU$304,MATCH($B56,Linkway_Register!$A$5:$A$304,0)),IFERROR(INDEX(Other_Register!$AE$5:$AE$304,MATCH($B56,Other_Register!$A$5:$A$304,0)),""))))))))</f>
        <v/>
      </c>
      <c r="G56" s="10" t="str">
        <f aca="false">IF($B56="","",IF(ISNUMBER(MATCH($B56,Drain_Register!$A$5:$A$304,0)),"Drain",IF(ISNUMBER(MATCH($B56,RW_Register!$A$5:$A$304,0)),"Ret. Wall",IF(ISNUMBER(MATCH($B56,Embedded_Wall_Register!$A$5:$A$304,0)),"Embedded Wall",IF(ISNUMBER(MATCH($B56,Manhole_Register!$A$5:$A$304,0)),"Manhole",IF(ISNUMBER(MATCH($B56,ERSS_Pit_Register!$A$5:$A$304,0)),"ERSS Pit",IF(ISNUMBER(MATCH($B56,Linkway_Register!$A$5:$A$304,0)),"Linkway",IF(ISNUMBER(MATCH($B56,Other_Register!$A$5:$A$304,0)),"Others",""))))))))</f>
        <v/>
      </c>
      <c r="H56" s="10" t="str">
        <f aca="false">IF($B56="","",IFERROR(INDEX(Drain_Register!$B$5:$B$304,MATCH($B56,Drain_Register!$A$5:$A$304,0)),IFERROR(INDEX(RW_Register!$B$5:$B$304,MATCH($B56,RW_Register!$A$5:$A$304,0)),IFERROR(INDEX(Embedded_Wall_Register!$B$5:$B$304,MATCH($B56,Embedded_Wall_Register!$A$5:$A$304,0)),IFERROR(INDEX(Manhole_Register!$B$5:$B$304,MATCH($B56,Manhole_Register!$A$5:$A$304,0)),IFERROR(INDEX(ERSS_Pit_Register!$B$5:$B$304,MATCH($B56,ERSS_Pit_Register!$A$5:$A$304,0)),IFERROR(INDEX(Linkway_Register!$B$5:$B$304,MATCH($B56,Linkway_Register!$A$5:$A$304,0)),IFERROR(INDEX(Other_Register!$B$5:$B$304,MATCH($B56,Other_Register!$A$5:$A$304,0)),"ID not found - check spelling"))))))))</f>
        <v/>
      </c>
      <c r="I56" s="10" t="str">
        <f aca="false">IF($B56="","",IFERROR(INDEX(Drain_Register!$AI$5:$AI$304,MATCH($B56,Drain_Register!$A$5:$A$304,0)),IFERROR(INDEX(RW_Register!$AO$5:$AO$304,MATCH($B56,RW_Register!$A$5:$A$304,0)),IFERROR(INDEX(Embedded_Wall_Register!$AM$5:$AM$304,MATCH($B56,Embedded_Wall_Register!$A$5:$A$304,0)),IFERROR(INDEX(Manhole_Register!$AM$5:$AM$304,MATCH($B56,Manhole_Register!$A$5:$A$304,0)),IFERROR(INDEX(ERSS_Pit_Register!$AG$5:$AG$304,MATCH($B56,ERSS_Pit_Register!$A$5:$A$304,0)),IFERROR(INDEX(Linkway_Register!$AI$5:$AI$304,MATCH($B56,Linkway_Register!$A$5:$A$304,0)),IFERROR(INDEX(Other_Register!$S$5:$S$304,MATCH($B56,Other_Register!$A$5:$A$304,0)),""))))))))</f>
        <v/>
      </c>
      <c r="J56" s="10" t="str">
        <f aca="false">IF($B56="","",IFERROR(INDEX(Drain_Register!$AJ$5:$AJ$304,MATCH($B56,Drain_Register!$A$5:$A$304,0)),IFERROR(INDEX(RW_Register!$AP$5:$AP$304,MATCH($B56,RW_Register!$A$5:$A$304,0)),IFERROR(INDEX(Embedded_Wall_Register!$AN$5:$AN$304,MATCH($B56,Embedded_Wall_Register!$A$5:$A$304,0)),IFERROR(INDEX(Manhole_Register!$AN$5:$AN$304,MATCH($B56,Manhole_Register!$A$5:$A$304,0)),IFERROR(INDEX(ERSS_Pit_Register!$AH$5:$AH$304,MATCH($B56,ERSS_Pit_Register!$A$5:$A$304,0)),IFERROR(INDEX(Linkway_Register!$AJ$5:$AJ$304,MATCH($B56,Linkway_Register!$A$5:$A$304,0)),IFERROR(INDEX(Other_Register!$T$5:$T$304,MATCH($B56,Other_Register!$A$5:$A$304,0)),""))))))))</f>
        <v/>
      </c>
      <c r="K56" s="10" t="str">
        <f aca="false">IF($B56="","",IFERROR(INDEX(Drain_Register!$AK$5:$AK$304,MATCH($B56,Drain_Register!$A$5:$A$304,0)),IFERROR(INDEX(RW_Register!$AQ$5:$AQ$304,MATCH($B56,RW_Register!$A$5:$A$304,0)),IFERROR(INDEX(Embedded_Wall_Register!$AO$5:$AO$304,MATCH($B56,Embedded_Wall_Register!$A$5:$A$304,0)),IFERROR(INDEX(Manhole_Register!$AO$5:$AO$304,MATCH($B56,Manhole_Register!$A$5:$A$304,0)),IFERROR(INDEX(ERSS_Pit_Register!$AI$5:$AI$304,MATCH($B56,ERSS_Pit_Register!$A$5:$A$304,0)),IFERROR(INDEX(Linkway_Register!$AK$5:$AK$304,MATCH($B56,Linkway_Register!$A$5:$A$304,0)),IFERROR(INDEX(Other_Register!$U$5:$U$304,MATCH($B56,Other_Register!$A$5:$A$304,0)),""))))))))</f>
        <v/>
      </c>
      <c r="L56" s="10" t="str">
        <f aca="false">IF($B56="","",IFERROR(INDEX(Drain_Register!$AL$5:$AL$304,MATCH($B56,Drain_Register!$A$5:$A$304,0)),IFERROR(INDEX(RW_Register!$AR$5:$AR$304,MATCH($B56,RW_Register!$A$5:$A$304,0)),IFERROR(INDEX(Embedded_Wall_Register!$AP$5:$AP$304,MATCH($B56,Embedded_Wall_Register!$A$5:$A$304,0)),IFERROR(INDEX(Manhole_Register!$AP$5:$AP$304,MATCH($B56,Manhole_Register!$A$5:$A$304,0)),IFERROR(INDEX(ERSS_Pit_Register!$AJ$5:$AJ$304,MATCH($B56,ERSS_Pit_Register!$A$5:$A$304,0)),IFERROR(INDEX(Linkway_Register!$AL$5:$AL$304,MATCH($B56,Linkway_Register!$A$5:$A$304,0)),IFERROR(INDEX(Other_Register!$V$5:$V$304,MATCH($B56,Other_Register!$A$5:$A$304,0)),""))))))))</f>
        <v/>
      </c>
      <c r="M56" s="10" t="str">
        <f aca="false">IF($B56="","",IFERROR(INDEX(Drain_Register!$AN$5:$AN$304,MATCH($B56,Drain_Register!$A$5:$A$304,0)),IFERROR(INDEX(RW_Register!$AT$5:$AT$304,MATCH($B56,RW_Register!$A$5:$A$304,0)),IFERROR(INDEX(Embedded_Wall_Register!$AR$5:$AR$304,MATCH($B56,Embedded_Wall_Register!$A$5:$A$304,0)),IFERROR(INDEX(Manhole_Register!$AR$5:$AR$304,MATCH($B56,Manhole_Register!$A$5:$A$304,0)),IFERROR(INDEX(ERSS_Pit_Register!$AL$5:$AL$304,MATCH($B56,ERSS_Pit_Register!$A$5:$A$304,0)),IFERROR(INDEX(Linkway_Register!$AN$5:$AN$304,MATCH($B56,Linkway_Register!$A$5:$A$304,0)),IFERROR(INDEX(Other_Register!$X$5:$X$304,MATCH($B56,Other_Register!$A$5:$A$304,0)),"")))))))&amp;IFERROR(INDEX(Drain_Register!$AO$5:$AO$304,MATCH($B56,Drain_Register!$A$5:$A$304,0)),IFERROR(INDEX(RW_Register!$AU$5:$AU$304,MATCH($B56,RW_Register!$A$5:$A$304,0)),IFERROR(INDEX(Embedded_Wall_Register!$AS$5:$AS$304,MATCH($B56,Embedded_Wall_Register!$A$5:$A$304,0)),IFERROR(INDEX(Manhole_Register!$AS$5:$AS$304,MATCH($B56,Manhole_Register!$A$5:$A$304,0)),IFERROR(INDEX(ERSS_Pit_Register!$AM$5:$AM$304,MATCH($B56,ERSS_Pit_Register!$A$5:$A$304,0)),IFERROR(INDEX(Linkway_Register!$AO$5:$AO$304,MATCH($B56,Linkway_Register!$A$5:$A$304,0)),IFERROR(INDEX(Other_Register!$Y$5:$Y$304,MATCH($B56,Other_Register!$A$5:$A$304,0)),""))))))))</f>
        <v/>
      </c>
      <c r="N56" s="19" t="str">
        <f aca="false">IF(OR($B56="",$D56=""),"",$D56*N(IFERROR(INDEX(Drain_Register!$AV$5:$AV$304,MATCH($B56,Drain_Register!$A$5:$A$304,0)),IFERROR(INDEX(RW_Register!$BB$5:$BB$304,MATCH($B56,RW_Register!$A$5:$A$304,0)),IFERROR(INDEX(Embedded_Wall_Register!$AZ$5:$AZ$304,MATCH($B56,Embedded_Wall_Register!$A$5:$A$304,0)),IFERROR(INDEX(Manhole_Register!$AZ$5:$AZ$304,MATCH($B56,Manhole_Register!$A$5:$A$304,0)),IFERROR(INDEX(ERSS_Pit_Register!$AT$5:$AT$304,MATCH($B56,ERSS_Pit_Register!$A$5:$A$304,0)),IFERROR(INDEX(Linkway_Register!$AV$5:$AV$304,MATCH($B56,Linkway_Register!$A$5:$A$304,0)),IFERROR(INDEX(Other_Register!$AF$5:$AF$304,MATCH($B56,Other_Register!$A$5:$A$304,0)),0)))))))))</f>
        <v/>
      </c>
      <c r="O56" s="20" t="str">
        <f aca="false">IF(OR($B56="",$D56=""),"",$D56*N(IFERROR(INDEX(Drain_Register!$AW$5:$AW$304,MATCH($B56,Drain_Register!$A$5:$A$304,0)),IFERROR(INDEX(RW_Register!$BC$5:$BC$304,MATCH($B56,RW_Register!$A$5:$A$304,0)),IFERROR(INDEX(Embedded_Wall_Register!$BA$5:$BA$304,MATCH($B56,Embedded_Wall_Register!$A$5:$A$304,0)),IFERROR(INDEX(Manhole_Register!$BA$5:$BA$304,MATCH($B56,Manhole_Register!$A$5:$A$304,0)),IFERROR(INDEX(ERSS_Pit_Register!$AU$5:$AU$304,MATCH($B56,ERSS_Pit_Register!$A$5:$A$304,0)),IFERROR(INDEX(Linkway_Register!$AW$5:$AW$304,MATCH($B56,Linkway_Register!$A$5:$A$304,0)),IFERROR(INDEX(Other_Register!$AG$5:$AG$304,MATCH($B56,Other_Register!$A$5:$A$304,0)),0))))))))/1000)</f>
        <v/>
      </c>
      <c r="P56" s="20" t="str">
        <f aca="false">IF(OR($B56="",$D56=""),"",$D56*N(IFERROR(INDEX(Drain_Register!$AX$5:$AX$304,MATCH($B56,Drain_Register!$A$5:$A$304,0)),IFERROR(INDEX(RW_Register!$BD$5:$BD$304,MATCH($B56,RW_Register!$A$5:$A$304,0)),IFERROR(INDEX(Embedded_Wall_Register!$BB$5:$BB$304,MATCH($B56,Embedded_Wall_Register!$A$5:$A$304,0)),IFERROR(INDEX(Manhole_Register!$BB$5:$BB$304,MATCH($B56,Manhole_Register!$A$5:$A$304,0)),IFERROR(INDEX(ERSS_Pit_Register!$AV$5:$AV$304,MATCH($B56,ERSS_Pit_Register!$A$5:$A$304,0)),IFERROR(INDEX(Linkway_Register!$AX$5:$AX$304,MATCH($B56,Linkway_Register!$A$5:$A$304,0)),IFERROR(INDEX(Other_Register!$AH$5:$AH$304,MATCH($B56,Other_Register!$A$5:$A$304,0)),0))))))))/1000)</f>
        <v/>
      </c>
      <c r="Q56" s="19" t="str">
        <f aca="false">IF(OR($B56="",$D56=""),"",$D56*N(IFERROR(INDEX(Drain_Register!$AY$5:$AY$304,MATCH($B56,Drain_Register!$A$5:$A$304,0)),IFERROR(INDEX(RW_Register!$BE$5:$BE$304,MATCH($B56,RW_Register!$A$5:$A$304,0)),IFERROR(INDEX(Embedded_Wall_Register!$BC$5:$BC$304,MATCH($B56,Embedded_Wall_Register!$A$5:$A$304,0)),IFERROR(INDEX(Manhole_Register!$BC$5:$BC$304,MATCH($B56,Manhole_Register!$A$5:$A$304,0)),IFERROR(INDEX(ERSS_Pit_Register!$AW$5:$AW$304,MATCH($B56,ERSS_Pit_Register!$A$5:$A$304,0)),IFERROR(INDEX(Linkway_Register!$AY$5:$AY$304,MATCH($B56,Linkway_Register!$A$5:$A$304,0)),IFERROR(INDEX(Other_Register!$AI$5:$AI$304,MATCH($B56,Other_Register!$A$5:$A$304,0)),0)))))))))</f>
        <v/>
      </c>
      <c r="R56" s="19" t="str">
        <f aca="false">IF(OR($B56="",$D56=""),"",$D56*N(IFERROR(INDEX(Drain_Register!$AZ$5:$AZ$304,MATCH($B56,Drain_Register!$A$5:$A$304,0)),IFERROR(INDEX(RW_Register!$BF$5:$BF$304,MATCH($B56,RW_Register!$A$5:$A$304,0)),IFERROR(INDEX(Embedded_Wall_Register!$BD$5:$BD$304,MATCH($B56,Embedded_Wall_Register!$A$5:$A$304,0)),IFERROR(INDEX(Manhole_Register!$BD$5:$BD$304,MATCH($B56,Manhole_Register!$A$5:$A$304,0)),IFERROR(INDEX(ERSS_Pit_Register!$AX$5:$AX$304,MATCH($B56,ERSS_Pit_Register!$A$5:$A$304,0)),IFERROR(INDEX(Linkway_Register!$AZ$5:$AZ$304,MATCH($B56,Linkway_Register!$A$5:$A$304,0)),IFERROR(INDEX(Other_Register!$AJ$5:$AJ$304,MATCH($B56,Other_Register!$A$5:$A$304,0)),0)))))))))</f>
        <v/>
      </c>
      <c r="S56" s="10" t="str">
        <f aca="false">IF($B56="","",IF(G56="","ID not found",IF(J56&lt;&gt;"Approved","WARNING: status is "&amp;J56,IF(IFERROR(INDEX(Drain_Register!$CA$5:$CA$304,MATCH($B56,Drain_Register!$A$5:$A$304,0)),IFERROR(INDEX(RW_Register!$CF$5:$CF$304,MATCH($B56,RW_Register!$A$5:$A$304,0)),IFERROR(INDEX(Embedded_Wall_Register!$CD$5:$CD$304,MATCH($B56,Embedded_Wall_Register!$A$5:$A$304,0)),IFERROR(INDEX(Manhole_Register!$CC$5:$CC$304,MATCH($B56,Manhole_Register!$A$5:$A$304,0)),IFERROR(INDEX(ERSS_Pit_Register!$BX$5:$BX$304,MATCH($B56,ERSS_Pit_Register!$A$5:$A$304,0)),IFERROR(INDEX(Linkway_Register!$BY$5:$BY$304,MATCH($B56,Linkway_Register!$A$5:$A$304,0)),IFERROR(INDEX(Other_Register!$BI$5:$BI$304,MATCH($B56,Other_Register!$A$5:$A$304,0)),"")))))))="N","WARNING: fails SG compliance check",IF(D56="","Enter length / qty",IF(E56="","Enter CAD sheet no.","OK"))))))</f>
        <v/>
      </c>
    </row>
    <row r="57" customFormat="false" ht="15" hidden="false" customHeight="false" outlineLevel="0" collapsed="false">
      <c r="A57" s="9"/>
      <c r="B57" s="9"/>
      <c r="C57" s="9"/>
      <c r="D57" s="9"/>
      <c r="E57" s="9"/>
      <c r="F57" s="10" t="str">
        <f aca="false">IF($B57="","",IFERROR(INDEX(Drain_Register!$AU$5:$AU$304,MATCH($B57,Drain_Register!$A$5:$A$304,0)),IFERROR(INDEX(RW_Register!$BA$5:$BA$304,MATCH($B57,RW_Register!$A$5:$A$304,0)),IFERROR(INDEX(Embedded_Wall_Register!$AY$5:$AY$304,MATCH($B57,Embedded_Wall_Register!$A$5:$A$304,0)),IFERROR(INDEX(Manhole_Register!$AY$5:$AY$304,MATCH($B57,Manhole_Register!$A$5:$A$304,0)),IFERROR(INDEX(ERSS_Pit_Register!$AS$5:$AS$304,MATCH($B57,ERSS_Pit_Register!$A$5:$A$304,0)),IFERROR(INDEX(Linkway_Register!$AU$5:$AU$304,MATCH($B57,Linkway_Register!$A$5:$A$304,0)),IFERROR(INDEX(Other_Register!$AE$5:$AE$304,MATCH($B57,Other_Register!$A$5:$A$304,0)),""))))))))</f>
        <v/>
      </c>
      <c r="G57" s="10" t="str">
        <f aca="false">IF($B57="","",IF(ISNUMBER(MATCH($B57,Drain_Register!$A$5:$A$304,0)),"Drain",IF(ISNUMBER(MATCH($B57,RW_Register!$A$5:$A$304,0)),"Ret. Wall",IF(ISNUMBER(MATCH($B57,Embedded_Wall_Register!$A$5:$A$304,0)),"Embedded Wall",IF(ISNUMBER(MATCH($B57,Manhole_Register!$A$5:$A$304,0)),"Manhole",IF(ISNUMBER(MATCH($B57,ERSS_Pit_Register!$A$5:$A$304,0)),"ERSS Pit",IF(ISNUMBER(MATCH($B57,Linkway_Register!$A$5:$A$304,0)),"Linkway",IF(ISNUMBER(MATCH($B57,Other_Register!$A$5:$A$304,0)),"Others",""))))))))</f>
        <v/>
      </c>
      <c r="H57" s="10" t="str">
        <f aca="false">IF($B57="","",IFERROR(INDEX(Drain_Register!$B$5:$B$304,MATCH($B57,Drain_Register!$A$5:$A$304,0)),IFERROR(INDEX(RW_Register!$B$5:$B$304,MATCH($B57,RW_Register!$A$5:$A$304,0)),IFERROR(INDEX(Embedded_Wall_Register!$B$5:$B$304,MATCH($B57,Embedded_Wall_Register!$A$5:$A$304,0)),IFERROR(INDEX(Manhole_Register!$B$5:$B$304,MATCH($B57,Manhole_Register!$A$5:$A$304,0)),IFERROR(INDEX(ERSS_Pit_Register!$B$5:$B$304,MATCH($B57,ERSS_Pit_Register!$A$5:$A$304,0)),IFERROR(INDEX(Linkway_Register!$B$5:$B$304,MATCH($B57,Linkway_Register!$A$5:$A$304,0)),IFERROR(INDEX(Other_Register!$B$5:$B$304,MATCH($B57,Other_Register!$A$5:$A$304,0)),"ID not found - check spelling"))))))))</f>
        <v/>
      </c>
      <c r="I57" s="10" t="str">
        <f aca="false">IF($B57="","",IFERROR(INDEX(Drain_Register!$AI$5:$AI$304,MATCH($B57,Drain_Register!$A$5:$A$304,0)),IFERROR(INDEX(RW_Register!$AO$5:$AO$304,MATCH($B57,RW_Register!$A$5:$A$304,0)),IFERROR(INDEX(Embedded_Wall_Register!$AM$5:$AM$304,MATCH($B57,Embedded_Wall_Register!$A$5:$A$304,0)),IFERROR(INDEX(Manhole_Register!$AM$5:$AM$304,MATCH($B57,Manhole_Register!$A$5:$A$304,0)),IFERROR(INDEX(ERSS_Pit_Register!$AG$5:$AG$304,MATCH($B57,ERSS_Pit_Register!$A$5:$A$304,0)),IFERROR(INDEX(Linkway_Register!$AI$5:$AI$304,MATCH($B57,Linkway_Register!$A$5:$A$304,0)),IFERROR(INDEX(Other_Register!$S$5:$S$304,MATCH($B57,Other_Register!$A$5:$A$304,0)),""))))))))</f>
        <v/>
      </c>
      <c r="J57" s="10" t="str">
        <f aca="false">IF($B57="","",IFERROR(INDEX(Drain_Register!$AJ$5:$AJ$304,MATCH($B57,Drain_Register!$A$5:$A$304,0)),IFERROR(INDEX(RW_Register!$AP$5:$AP$304,MATCH($B57,RW_Register!$A$5:$A$304,0)),IFERROR(INDEX(Embedded_Wall_Register!$AN$5:$AN$304,MATCH($B57,Embedded_Wall_Register!$A$5:$A$304,0)),IFERROR(INDEX(Manhole_Register!$AN$5:$AN$304,MATCH($B57,Manhole_Register!$A$5:$A$304,0)),IFERROR(INDEX(ERSS_Pit_Register!$AH$5:$AH$304,MATCH($B57,ERSS_Pit_Register!$A$5:$A$304,0)),IFERROR(INDEX(Linkway_Register!$AJ$5:$AJ$304,MATCH($B57,Linkway_Register!$A$5:$A$304,0)),IFERROR(INDEX(Other_Register!$T$5:$T$304,MATCH($B57,Other_Register!$A$5:$A$304,0)),""))))))))</f>
        <v/>
      </c>
      <c r="K57" s="10" t="str">
        <f aca="false">IF($B57="","",IFERROR(INDEX(Drain_Register!$AK$5:$AK$304,MATCH($B57,Drain_Register!$A$5:$A$304,0)),IFERROR(INDEX(RW_Register!$AQ$5:$AQ$304,MATCH($B57,RW_Register!$A$5:$A$304,0)),IFERROR(INDEX(Embedded_Wall_Register!$AO$5:$AO$304,MATCH($B57,Embedded_Wall_Register!$A$5:$A$304,0)),IFERROR(INDEX(Manhole_Register!$AO$5:$AO$304,MATCH($B57,Manhole_Register!$A$5:$A$304,0)),IFERROR(INDEX(ERSS_Pit_Register!$AI$5:$AI$304,MATCH($B57,ERSS_Pit_Register!$A$5:$A$304,0)),IFERROR(INDEX(Linkway_Register!$AK$5:$AK$304,MATCH($B57,Linkway_Register!$A$5:$A$304,0)),IFERROR(INDEX(Other_Register!$U$5:$U$304,MATCH($B57,Other_Register!$A$5:$A$304,0)),""))))))))</f>
        <v/>
      </c>
      <c r="L57" s="10" t="str">
        <f aca="false">IF($B57="","",IFERROR(INDEX(Drain_Register!$AL$5:$AL$304,MATCH($B57,Drain_Register!$A$5:$A$304,0)),IFERROR(INDEX(RW_Register!$AR$5:$AR$304,MATCH($B57,RW_Register!$A$5:$A$304,0)),IFERROR(INDEX(Embedded_Wall_Register!$AP$5:$AP$304,MATCH($B57,Embedded_Wall_Register!$A$5:$A$304,0)),IFERROR(INDEX(Manhole_Register!$AP$5:$AP$304,MATCH($B57,Manhole_Register!$A$5:$A$304,0)),IFERROR(INDEX(ERSS_Pit_Register!$AJ$5:$AJ$304,MATCH($B57,ERSS_Pit_Register!$A$5:$A$304,0)),IFERROR(INDEX(Linkway_Register!$AL$5:$AL$304,MATCH($B57,Linkway_Register!$A$5:$A$304,0)),IFERROR(INDEX(Other_Register!$V$5:$V$304,MATCH($B57,Other_Register!$A$5:$A$304,0)),""))))))))</f>
        <v/>
      </c>
      <c r="M57" s="10" t="str">
        <f aca="false">IF($B57="","",IFERROR(INDEX(Drain_Register!$AN$5:$AN$304,MATCH($B57,Drain_Register!$A$5:$A$304,0)),IFERROR(INDEX(RW_Register!$AT$5:$AT$304,MATCH($B57,RW_Register!$A$5:$A$304,0)),IFERROR(INDEX(Embedded_Wall_Register!$AR$5:$AR$304,MATCH($B57,Embedded_Wall_Register!$A$5:$A$304,0)),IFERROR(INDEX(Manhole_Register!$AR$5:$AR$304,MATCH($B57,Manhole_Register!$A$5:$A$304,0)),IFERROR(INDEX(ERSS_Pit_Register!$AL$5:$AL$304,MATCH($B57,ERSS_Pit_Register!$A$5:$A$304,0)),IFERROR(INDEX(Linkway_Register!$AN$5:$AN$304,MATCH($B57,Linkway_Register!$A$5:$A$304,0)),IFERROR(INDEX(Other_Register!$X$5:$X$304,MATCH($B57,Other_Register!$A$5:$A$304,0)),"")))))))&amp;IFERROR(INDEX(Drain_Register!$AO$5:$AO$304,MATCH($B57,Drain_Register!$A$5:$A$304,0)),IFERROR(INDEX(RW_Register!$AU$5:$AU$304,MATCH($B57,RW_Register!$A$5:$A$304,0)),IFERROR(INDEX(Embedded_Wall_Register!$AS$5:$AS$304,MATCH($B57,Embedded_Wall_Register!$A$5:$A$304,0)),IFERROR(INDEX(Manhole_Register!$AS$5:$AS$304,MATCH($B57,Manhole_Register!$A$5:$A$304,0)),IFERROR(INDEX(ERSS_Pit_Register!$AM$5:$AM$304,MATCH($B57,ERSS_Pit_Register!$A$5:$A$304,0)),IFERROR(INDEX(Linkway_Register!$AO$5:$AO$304,MATCH($B57,Linkway_Register!$A$5:$A$304,0)),IFERROR(INDEX(Other_Register!$Y$5:$Y$304,MATCH($B57,Other_Register!$A$5:$A$304,0)),""))))))))</f>
        <v/>
      </c>
      <c r="N57" s="19" t="str">
        <f aca="false">IF(OR($B57="",$D57=""),"",$D57*N(IFERROR(INDEX(Drain_Register!$AV$5:$AV$304,MATCH($B57,Drain_Register!$A$5:$A$304,0)),IFERROR(INDEX(RW_Register!$BB$5:$BB$304,MATCH($B57,RW_Register!$A$5:$A$304,0)),IFERROR(INDEX(Embedded_Wall_Register!$AZ$5:$AZ$304,MATCH($B57,Embedded_Wall_Register!$A$5:$A$304,0)),IFERROR(INDEX(Manhole_Register!$AZ$5:$AZ$304,MATCH($B57,Manhole_Register!$A$5:$A$304,0)),IFERROR(INDEX(ERSS_Pit_Register!$AT$5:$AT$304,MATCH($B57,ERSS_Pit_Register!$A$5:$A$304,0)),IFERROR(INDEX(Linkway_Register!$AV$5:$AV$304,MATCH($B57,Linkway_Register!$A$5:$A$304,0)),IFERROR(INDEX(Other_Register!$AF$5:$AF$304,MATCH($B57,Other_Register!$A$5:$A$304,0)),0)))))))))</f>
        <v/>
      </c>
      <c r="O57" s="20" t="str">
        <f aca="false">IF(OR($B57="",$D57=""),"",$D57*N(IFERROR(INDEX(Drain_Register!$AW$5:$AW$304,MATCH($B57,Drain_Register!$A$5:$A$304,0)),IFERROR(INDEX(RW_Register!$BC$5:$BC$304,MATCH($B57,RW_Register!$A$5:$A$304,0)),IFERROR(INDEX(Embedded_Wall_Register!$BA$5:$BA$304,MATCH($B57,Embedded_Wall_Register!$A$5:$A$304,0)),IFERROR(INDEX(Manhole_Register!$BA$5:$BA$304,MATCH($B57,Manhole_Register!$A$5:$A$304,0)),IFERROR(INDEX(ERSS_Pit_Register!$AU$5:$AU$304,MATCH($B57,ERSS_Pit_Register!$A$5:$A$304,0)),IFERROR(INDEX(Linkway_Register!$AW$5:$AW$304,MATCH($B57,Linkway_Register!$A$5:$A$304,0)),IFERROR(INDEX(Other_Register!$AG$5:$AG$304,MATCH($B57,Other_Register!$A$5:$A$304,0)),0))))))))/1000)</f>
        <v/>
      </c>
      <c r="P57" s="20" t="str">
        <f aca="false">IF(OR($B57="",$D57=""),"",$D57*N(IFERROR(INDEX(Drain_Register!$AX$5:$AX$304,MATCH($B57,Drain_Register!$A$5:$A$304,0)),IFERROR(INDEX(RW_Register!$BD$5:$BD$304,MATCH($B57,RW_Register!$A$5:$A$304,0)),IFERROR(INDEX(Embedded_Wall_Register!$BB$5:$BB$304,MATCH($B57,Embedded_Wall_Register!$A$5:$A$304,0)),IFERROR(INDEX(Manhole_Register!$BB$5:$BB$304,MATCH($B57,Manhole_Register!$A$5:$A$304,0)),IFERROR(INDEX(ERSS_Pit_Register!$AV$5:$AV$304,MATCH($B57,ERSS_Pit_Register!$A$5:$A$304,0)),IFERROR(INDEX(Linkway_Register!$AX$5:$AX$304,MATCH($B57,Linkway_Register!$A$5:$A$304,0)),IFERROR(INDEX(Other_Register!$AH$5:$AH$304,MATCH($B57,Other_Register!$A$5:$A$304,0)),0))))))))/1000)</f>
        <v/>
      </c>
      <c r="Q57" s="19" t="str">
        <f aca="false">IF(OR($B57="",$D57=""),"",$D57*N(IFERROR(INDEX(Drain_Register!$AY$5:$AY$304,MATCH($B57,Drain_Register!$A$5:$A$304,0)),IFERROR(INDEX(RW_Register!$BE$5:$BE$304,MATCH($B57,RW_Register!$A$5:$A$304,0)),IFERROR(INDEX(Embedded_Wall_Register!$BC$5:$BC$304,MATCH($B57,Embedded_Wall_Register!$A$5:$A$304,0)),IFERROR(INDEX(Manhole_Register!$BC$5:$BC$304,MATCH($B57,Manhole_Register!$A$5:$A$304,0)),IFERROR(INDEX(ERSS_Pit_Register!$AW$5:$AW$304,MATCH($B57,ERSS_Pit_Register!$A$5:$A$304,0)),IFERROR(INDEX(Linkway_Register!$AY$5:$AY$304,MATCH($B57,Linkway_Register!$A$5:$A$304,0)),IFERROR(INDEX(Other_Register!$AI$5:$AI$304,MATCH($B57,Other_Register!$A$5:$A$304,0)),0)))))))))</f>
        <v/>
      </c>
      <c r="R57" s="19" t="str">
        <f aca="false">IF(OR($B57="",$D57=""),"",$D57*N(IFERROR(INDEX(Drain_Register!$AZ$5:$AZ$304,MATCH($B57,Drain_Register!$A$5:$A$304,0)),IFERROR(INDEX(RW_Register!$BF$5:$BF$304,MATCH($B57,RW_Register!$A$5:$A$304,0)),IFERROR(INDEX(Embedded_Wall_Register!$BD$5:$BD$304,MATCH($B57,Embedded_Wall_Register!$A$5:$A$304,0)),IFERROR(INDEX(Manhole_Register!$BD$5:$BD$304,MATCH($B57,Manhole_Register!$A$5:$A$304,0)),IFERROR(INDEX(ERSS_Pit_Register!$AX$5:$AX$304,MATCH($B57,ERSS_Pit_Register!$A$5:$A$304,0)),IFERROR(INDEX(Linkway_Register!$AZ$5:$AZ$304,MATCH($B57,Linkway_Register!$A$5:$A$304,0)),IFERROR(INDEX(Other_Register!$AJ$5:$AJ$304,MATCH($B57,Other_Register!$A$5:$A$304,0)),0)))))))))</f>
        <v/>
      </c>
      <c r="S57" s="10" t="str">
        <f aca="false">IF($B57="","",IF(G57="","ID not found",IF(J57&lt;&gt;"Approved","WARNING: status is "&amp;J57,IF(IFERROR(INDEX(Drain_Register!$CA$5:$CA$304,MATCH($B57,Drain_Register!$A$5:$A$304,0)),IFERROR(INDEX(RW_Register!$CF$5:$CF$304,MATCH($B57,RW_Register!$A$5:$A$304,0)),IFERROR(INDEX(Embedded_Wall_Register!$CD$5:$CD$304,MATCH($B57,Embedded_Wall_Register!$A$5:$A$304,0)),IFERROR(INDEX(Manhole_Register!$CC$5:$CC$304,MATCH($B57,Manhole_Register!$A$5:$A$304,0)),IFERROR(INDEX(ERSS_Pit_Register!$BX$5:$BX$304,MATCH($B57,ERSS_Pit_Register!$A$5:$A$304,0)),IFERROR(INDEX(Linkway_Register!$BY$5:$BY$304,MATCH($B57,Linkway_Register!$A$5:$A$304,0)),IFERROR(INDEX(Other_Register!$BI$5:$BI$304,MATCH($B57,Other_Register!$A$5:$A$304,0)),"")))))))="N","WARNING: fails SG compliance check",IF(D57="","Enter length / qty",IF(E57="","Enter CAD sheet no.","OK"))))))</f>
        <v/>
      </c>
    </row>
    <row r="58" customFormat="false" ht="15" hidden="false" customHeight="false" outlineLevel="0" collapsed="false">
      <c r="A58" s="9"/>
      <c r="B58" s="9"/>
      <c r="C58" s="9"/>
      <c r="D58" s="9"/>
      <c r="E58" s="9"/>
      <c r="F58" s="10" t="str">
        <f aca="false">IF($B58="","",IFERROR(INDEX(Drain_Register!$AU$5:$AU$304,MATCH($B58,Drain_Register!$A$5:$A$304,0)),IFERROR(INDEX(RW_Register!$BA$5:$BA$304,MATCH($B58,RW_Register!$A$5:$A$304,0)),IFERROR(INDEX(Embedded_Wall_Register!$AY$5:$AY$304,MATCH($B58,Embedded_Wall_Register!$A$5:$A$304,0)),IFERROR(INDEX(Manhole_Register!$AY$5:$AY$304,MATCH($B58,Manhole_Register!$A$5:$A$304,0)),IFERROR(INDEX(ERSS_Pit_Register!$AS$5:$AS$304,MATCH($B58,ERSS_Pit_Register!$A$5:$A$304,0)),IFERROR(INDEX(Linkway_Register!$AU$5:$AU$304,MATCH($B58,Linkway_Register!$A$5:$A$304,0)),IFERROR(INDEX(Other_Register!$AE$5:$AE$304,MATCH($B58,Other_Register!$A$5:$A$304,0)),""))))))))</f>
        <v/>
      </c>
      <c r="G58" s="10" t="str">
        <f aca="false">IF($B58="","",IF(ISNUMBER(MATCH($B58,Drain_Register!$A$5:$A$304,0)),"Drain",IF(ISNUMBER(MATCH($B58,RW_Register!$A$5:$A$304,0)),"Ret. Wall",IF(ISNUMBER(MATCH($B58,Embedded_Wall_Register!$A$5:$A$304,0)),"Embedded Wall",IF(ISNUMBER(MATCH($B58,Manhole_Register!$A$5:$A$304,0)),"Manhole",IF(ISNUMBER(MATCH($B58,ERSS_Pit_Register!$A$5:$A$304,0)),"ERSS Pit",IF(ISNUMBER(MATCH($B58,Linkway_Register!$A$5:$A$304,0)),"Linkway",IF(ISNUMBER(MATCH($B58,Other_Register!$A$5:$A$304,0)),"Others",""))))))))</f>
        <v/>
      </c>
      <c r="H58" s="10" t="str">
        <f aca="false">IF($B58="","",IFERROR(INDEX(Drain_Register!$B$5:$B$304,MATCH($B58,Drain_Register!$A$5:$A$304,0)),IFERROR(INDEX(RW_Register!$B$5:$B$304,MATCH($B58,RW_Register!$A$5:$A$304,0)),IFERROR(INDEX(Embedded_Wall_Register!$B$5:$B$304,MATCH($B58,Embedded_Wall_Register!$A$5:$A$304,0)),IFERROR(INDEX(Manhole_Register!$B$5:$B$304,MATCH($B58,Manhole_Register!$A$5:$A$304,0)),IFERROR(INDEX(ERSS_Pit_Register!$B$5:$B$304,MATCH($B58,ERSS_Pit_Register!$A$5:$A$304,0)),IFERROR(INDEX(Linkway_Register!$B$5:$B$304,MATCH($B58,Linkway_Register!$A$5:$A$304,0)),IFERROR(INDEX(Other_Register!$B$5:$B$304,MATCH($B58,Other_Register!$A$5:$A$304,0)),"ID not found - check spelling"))))))))</f>
        <v/>
      </c>
      <c r="I58" s="10" t="str">
        <f aca="false">IF($B58="","",IFERROR(INDEX(Drain_Register!$AI$5:$AI$304,MATCH($B58,Drain_Register!$A$5:$A$304,0)),IFERROR(INDEX(RW_Register!$AO$5:$AO$304,MATCH($B58,RW_Register!$A$5:$A$304,0)),IFERROR(INDEX(Embedded_Wall_Register!$AM$5:$AM$304,MATCH($B58,Embedded_Wall_Register!$A$5:$A$304,0)),IFERROR(INDEX(Manhole_Register!$AM$5:$AM$304,MATCH($B58,Manhole_Register!$A$5:$A$304,0)),IFERROR(INDEX(ERSS_Pit_Register!$AG$5:$AG$304,MATCH($B58,ERSS_Pit_Register!$A$5:$A$304,0)),IFERROR(INDEX(Linkway_Register!$AI$5:$AI$304,MATCH($B58,Linkway_Register!$A$5:$A$304,0)),IFERROR(INDEX(Other_Register!$S$5:$S$304,MATCH($B58,Other_Register!$A$5:$A$304,0)),""))))))))</f>
        <v/>
      </c>
      <c r="J58" s="10" t="str">
        <f aca="false">IF($B58="","",IFERROR(INDEX(Drain_Register!$AJ$5:$AJ$304,MATCH($B58,Drain_Register!$A$5:$A$304,0)),IFERROR(INDEX(RW_Register!$AP$5:$AP$304,MATCH($B58,RW_Register!$A$5:$A$304,0)),IFERROR(INDEX(Embedded_Wall_Register!$AN$5:$AN$304,MATCH($B58,Embedded_Wall_Register!$A$5:$A$304,0)),IFERROR(INDEX(Manhole_Register!$AN$5:$AN$304,MATCH($B58,Manhole_Register!$A$5:$A$304,0)),IFERROR(INDEX(ERSS_Pit_Register!$AH$5:$AH$304,MATCH($B58,ERSS_Pit_Register!$A$5:$A$304,0)),IFERROR(INDEX(Linkway_Register!$AJ$5:$AJ$304,MATCH($B58,Linkway_Register!$A$5:$A$304,0)),IFERROR(INDEX(Other_Register!$T$5:$T$304,MATCH($B58,Other_Register!$A$5:$A$304,0)),""))))))))</f>
        <v/>
      </c>
      <c r="K58" s="10" t="str">
        <f aca="false">IF($B58="","",IFERROR(INDEX(Drain_Register!$AK$5:$AK$304,MATCH($B58,Drain_Register!$A$5:$A$304,0)),IFERROR(INDEX(RW_Register!$AQ$5:$AQ$304,MATCH($B58,RW_Register!$A$5:$A$304,0)),IFERROR(INDEX(Embedded_Wall_Register!$AO$5:$AO$304,MATCH($B58,Embedded_Wall_Register!$A$5:$A$304,0)),IFERROR(INDEX(Manhole_Register!$AO$5:$AO$304,MATCH($B58,Manhole_Register!$A$5:$A$304,0)),IFERROR(INDEX(ERSS_Pit_Register!$AI$5:$AI$304,MATCH($B58,ERSS_Pit_Register!$A$5:$A$304,0)),IFERROR(INDEX(Linkway_Register!$AK$5:$AK$304,MATCH($B58,Linkway_Register!$A$5:$A$304,0)),IFERROR(INDEX(Other_Register!$U$5:$U$304,MATCH($B58,Other_Register!$A$5:$A$304,0)),""))))))))</f>
        <v/>
      </c>
      <c r="L58" s="10" t="str">
        <f aca="false">IF($B58="","",IFERROR(INDEX(Drain_Register!$AL$5:$AL$304,MATCH($B58,Drain_Register!$A$5:$A$304,0)),IFERROR(INDEX(RW_Register!$AR$5:$AR$304,MATCH($B58,RW_Register!$A$5:$A$304,0)),IFERROR(INDEX(Embedded_Wall_Register!$AP$5:$AP$304,MATCH($B58,Embedded_Wall_Register!$A$5:$A$304,0)),IFERROR(INDEX(Manhole_Register!$AP$5:$AP$304,MATCH($B58,Manhole_Register!$A$5:$A$304,0)),IFERROR(INDEX(ERSS_Pit_Register!$AJ$5:$AJ$304,MATCH($B58,ERSS_Pit_Register!$A$5:$A$304,0)),IFERROR(INDEX(Linkway_Register!$AL$5:$AL$304,MATCH($B58,Linkway_Register!$A$5:$A$304,0)),IFERROR(INDEX(Other_Register!$V$5:$V$304,MATCH($B58,Other_Register!$A$5:$A$304,0)),""))))))))</f>
        <v/>
      </c>
      <c r="M58" s="10" t="str">
        <f aca="false">IF($B58="","",IFERROR(INDEX(Drain_Register!$AN$5:$AN$304,MATCH($B58,Drain_Register!$A$5:$A$304,0)),IFERROR(INDEX(RW_Register!$AT$5:$AT$304,MATCH($B58,RW_Register!$A$5:$A$304,0)),IFERROR(INDEX(Embedded_Wall_Register!$AR$5:$AR$304,MATCH($B58,Embedded_Wall_Register!$A$5:$A$304,0)),IFERROR(INDEX(Manhole_Register!$AR$5:$AR$304,MATCH($B58,Manhole_Register!$A$5:$A$304,0)),IFERROR(INDEX(ERSS_Pit_Register!$AL$5:$AL$304,MATCH($B58,ERSS_Pit_Register!$A$5:$A$304,0)),IFERROR(INDEX(Linkway_Register!$AN$5:$AN$304,MATCH($B58,Linkway_Register!$A$5:$A$304,0)),IFERROR(INDEX(Other_Register!$X$5:$X$304,MATCH($B58,Other_Register!$A$5:$A$304,0)),"")))))))&amp;IFERROR(INDEX(Drain_Register!$AO$5:$AO$304,MATCH($B58,Drain_Register!$A$5:$A$304,0)),IFERROR(INDEX(RW_Register!$AU$5:$AU$304,MATCH($B58,RW_Register!$A$5:$A$304,0)),IFERROR(INDEX(Embedded_Wall_Register!$AS$5:$AS$304,MATCH($B58,Embedded_Wall_Register!$A$5:$A$304,0)),IFERROR(INDEX(Manhole_Register!$AS$5:$AS$304,MATCH($B58,Manhole_Register!$A$5:$A$304,0)),IFERROR(INDEX(ERSS_Pit_Register!$AM$5:$AM$304,MATCH($B58,ERSS_Pit_Register!$A$5:$A$304,0)),IFERROR(INDEX(Linkway_Register!$AO$5:$AO$304,MATCH($B58,Linkway_Register!$A$5:$A$304,0)),IFERROR(INDEX(Other_Register!$Y$5:$Y$304,MATCH($B58,Other_Register!$A$5:$A$304,0)),""))))))))</f>
        <v/>
      </c>
      <c r="N58" s="19" t="str">
        <f aca="false">IF(OR($B58="",$D58=""),"",$D58*N(IFERROR(INDEX(Drain_Register!$AV$5:$AV$304,MATCH($B58,Drain_Register!$A$5:$A$304,0)),IFERROR(INDEX(RW_Register!$BB$5:$BB$304,MATCH($B58,RW_Register!$A$5:$A$304,0)),IFERROR(INDEX(Embedded_Wall_Register!$AZ$5:$AZ$304,MATCH($B58,Embedded_Wall_Register!$A$5:$A$304,0)),IFERROR(INDEX(Manhole_Register!$AZ$5:$AZ$304,MATCH($B58,Manhole_Register!$A$5:$A$304,0)),IFERROR(INDEX(ERSS_Pit_Register!$AT$5:$AT$304,MATCH($B58,ERSS_Pit_Register!$A$5:$A$304,0)),IFERROR(INDEX(Linkway_Register!$AV$5:$AV$304,MATCH($B58,Linkway_Register!$A$5:$A$304,0)),IFERROR(INDEX(Other_Register!$AF$5:$AF$304,MATCH($B58,Other_Register!$A$5:$A$304,0)),0)))))))))</f>
        <v/>
      </c>
      <c r="O58" s="20" t="str">
        <f aca="false">IF(OR($B58="",$D58=""),"",$D58*N(IFERROR(INDEX(Drain_Register!$AW$5:$AW$304,MATCH($B58,Drain_Register!$A$5:$A$304,0)),IFERROR(INDEX(RW_Register!$BC$5:$BC$304,MATCH($B58,RW_Register!$A$5:$A$304,0)),IFERROR(INDEX(Embedded_Wall_Register!$BA$5:$BA$304,MATCH($B58,Embedded_Wall_Register!$A$5:$A$304,0)),IFERROR(INDEX(Manhole_Register!$BA$5:$BA$304,MATCH($B58,Manhole_Register!$A$5:$A$304,0)),IFERROR(INDEX(ERSS_Pit_Register!$AU$5:$AU$304,MATCH($B58,ERSS_Pit_Register!$A$5:$A$304,0)),IFERROR(INDEX(Linkway_Register!$AW$5:$AW$304,MATCH($B58,Linkway_Register!$A$5:$A$304,0)),IFERROR(INDEX(Other_Register!$AG$5:$AG$304,MATCH($B58,Other_Register!$A$5:$A$304,0)),0))))))))/1000)</f>
        <v/>
      </c>
      <c r="P58" s="20" t="str">
        <f aca="false">IF(OR($B58="",$D58=""),"",$D58*N(IFERROR(INDEX(Drain_Register!$AX$5:$AX$304,MATCH($B58,Drain_Register!$A$5:$A$304,0)),IFERROR(INDEX(RW_Register!$BD$5:$BD$304,MATCH($B58,RW_Register!$A$5:$A$304,0)),IFERROR(INDEX(Embedded_Wall_Register!$BB$5:$BB$304,MATCH($B58,Embedded_Wall_Register!$A$5:$A$304,0)),IFERROR(INDEX(Manhole_Register!$BB$5:$BB$304,MATCH($B58,Manhole_Register!$A$5:$A$304,0)),IFERROR(INDEX(ERSS_Pit_Register!$AV$5:$AV$304,MATCH($B58,ERSS_Pit_Register!$A$5:$A$304,0)),IFERROR(INDEX(Linkway_Register!$AX$5:$AX$304,MATCH($B58,Linkway_Register!$A$5:$A$304,0)),IFERROR(INDEX(Other_Register!$AH$5:$AH$304,MATCH($B58,Other_Register!$A$5:$A$304,0)),0))))))))/1000)</f>
        <v/>
      </c>
      <c r="Q58" s="19" t="str">
        <f aca="false">IF(OR($B58="",$D58=""),"",$D58*N(IFERROR(INDEX(Drain_Register!$AY$5:$AY$304,MATCH($B58,Drain_Register!$A$5:$A$304,0)),IFERROR(INDEX(RW_Register!$BE$5:$BE$304,MATCH($B58,RW_Register!$A$5:$A$304,0)),IFERROR(INDEX(Embedded_Wall_Register!$BC$5:$BC$304,MATCH($B58,Embedded_Wall_Register!$A$5:$A$304,0)),IFERROR(INDEX(Manhole_Register!$BC$5:$BC$304,MATCH($B58,Manhole_Register!$A$5:$A$304,0)),IFERROR(INDEX(ERSS_Pit_Register!$AW$5:$AW$304,MATCH($B58,ERSS_Pit_Register!$A$5:$A$304,0)),IFERROR(INDEX(Linkway_Register!$AY$5:$AY$304,MATCH($B58,Linkway_Register!$A$5:$A$304,0)),IFERROR(INDEX(Other_Register!$AI$5:$AI$304,MATCH($B58,Other_Register!$A$5:$A$304,0)),0)))))))))</f>
        <v/>
      </c>
      <c r="R58" s="19" t="str">
        <f aca="false">IF(OR($B58="",$D58=""),"",$D58*N(IFERROR(INDEX(Drain_Register!$AZ$5:$AZ$304,MATCH($B58,Drain_Register!$A$5:$A$304,0)),IFERROR(INDEX(RW_Register!$BF$5:$BF$304,MATCH($B58,RW_Register!$A$5:$A$304,0)),IFERROR(INDEX(Embedded_Wall_Register!$BD$5:$BD$304,MATCH($B58,Embedded_Wall_Register!$A$5:$A$304,0)),IFERROR(INDEX(Manhole_Register!$BD$5:$BD$304,MATCH($B58,Manhole_Register!$A$5:$A$304,0)),IFERROR(INDEX(ERSS_Pit_Register!$AX$5:$AX$304,MATCH($B58,ERSS_Pit_Register!$A$5:$A$304,0)),IFERROR(INDEX(Linkway_Register!$AZ$5:$AZ$304,MATCH($B58,Linkway_Register!$A$5:$A$304,0)),IFERROR(INDEX(Other_Register!$AJ$5:$AJ$304,MATCH($B58,Other_Register!$A$5:$A$304,0)),0)))))))))</f>
        <v/>
      </c>
      <c r="S58" s="10" t="str">
        <f aca="false">IF($B58="","",IF(G58="","ID not found",IF(J58&lt;&gt;"Approved","WARNING: status is "&amp;J58,IF(IFERROR(INDEX(Drain_Register!$CA$5:$CA$304,MATCH($B58,Drain_Register!$A$5:$A$304,0)),IFERROR(INDEX(RW_Register!$CF$5:$CF$304,MATCH($B58,RW_Register!$A$5:$A$304,0)),IFERROR(INDEX(Embedded_Wall_Register!$CD$5:$CD$304,MATCH($B58,Embedded_Wall_Register!$A$5:$A$304,0)),IFERROR(INDEX(Manhole_Register!$CC$5:$CC$304,MATCH($B58,Manhole_Register!$A$5:$A$304,0)),IFERROR(INDEX(ERSS_Pit_Register!$BX$5:$BX$304,MATCH($B58,ERSS_Pit_Register!$A$5:$A$304,0)),IFERROR(INDEX(Linkway_Register!$BY$5:$BY$304,MATCH($B58,Linkway_Register!$A$5:$A$304,0)),IFERROR(INDEX(Other_Register!$BI$5:$BI$304,MATCH($B58,Other_Register!$A$5:$A$304,0)),"")))))))="N","WARNING: fails SG compliance check",IF(D58="","Enter length / qty",IF(E58="","Enter CAD sheet no.","OK"))))))</f>
        <v/>
      </c>
    </row>
    <row r="59" customFormat="false" ht="15" hidden="false" customHeight="false" outlineLevel="0" collapsed="false">
      <c r="A59" s="9"/>
      <c r="B59" s="9"/>
      <c r="C59" s="9"/>
      <c r="D59" s="9"/>
      <c r="E59" s="9"/>
      <c r="F59" s="10" t="str">
        <f aca="false">IF($B59="","",IFERROR(INDEX(Drain_Register!$AU$5:$AU$304,MATCH($B59,Drain_Register!$A$5:$A$304,0)),IFERROR(INDEX(RW_Register!$BA$5:$BA$304,MATCH($B59,RW_Register!$A$5:$A$304,0)),IFERROR(INDEX(Embedded_Wall_Register!$AY$5:$AY$304,MATCH($B59,Embedded_Wall_Register!$A$5:$A$304,0)),IFERROR(INDEX(Manhole_Register!$AY$5:$AY$304,MATCH($B59,Manhole_Register!$A$5:$A$304,0)),IFERROR(INDEX(ERSS_Pit_Register!$AS$5:$AS$304,MATCH($B59,ERSS_Pit_Register!$A$5:$A$304,0)),IFERROR(INDEX(Linkway_Register!$AU$5:$AU$304,MATCH($B59,Linkway_Register!$A$5:$A$304,0)),IFERROR(INDEX(Other_Register!$AE$5:$AE$304,MATCH($B59,Other_Register!$A$5:$A$304,0)),""))))))))</f>
        <v/>
      </c>
      <c r="G59" s="10" t="str">
        <f aca="false">IF($B59="","",IF(ISNUMBER(MATCH($B59,Drain_Register!$A$5:$A$304,0)),"Drain",IF(ISNUMBER(MATCH($B59,RW_Register!$A$5:$A$304,0)),"Ret. Wall",IF(ISNUMBER(MATCH($B59,Embedded_Wall_Register!$A$5:$A$304,0)),"Embedded Wall",IF(ISNUMBER(MATCH($B59,Manhole_Register!$A$5:$A$304,0)),"Manhole",IF(ISNUMBER(MATCH($B59,ERSS_Pit_Register!$A$5:$A$304,0)),"ERSS Pit",IF(ISNUMBER(MATCH($B59,Linkway_Register!$A$5:$A$304,0)),"Linkway",IF(ISNUMBER(MATCH($B59,Other_Register!$A$5:$A$304,0)),"Others",""))))))))</f>
        <v/>
      </c>
      <c r="H59" s="10" t="str">
        <f aca="false">IF($B59="","",IFERROR(INDEX(Drain_Register!$B$5:$B$304,MATCH($B59,Drain_Register!$A$5:$A$304,0)),IFERROR(INDEX(RW_Register!$B$5:$B$304,MATCH($B59,RW_Register!$A$5:$A$304,0)),IFERROR(INDEX(Embedded_Wall_Register!$B$5:$B$304,MATCH($B59,Embedded_Wall_Register!$A$5:$A$304,0)),IFERROR(INDEX(Manhole_Register!$B$5:$B$304,MATCH($B59,Manhole_Register!$A$5:$A$304,0)),IFERROR(INDEX(ERSS_Pit_Register!$B$5:$B$304,MATCH($B59,ERSS_Pit_Register!$A$5:$A$304,0)),IFERROR(INDEX(Linkway_Register!$B$5:$B$304,MATCH($B59,Linkway_Register!$A$5:$A$304,0)),IFERROR(INDEX(Other_Register!$B$5:$B$304,MATCH($B59,Other_Register!$A$5:$A$304,0)),"ID not found - check spelling"))))))))</f>
        <v/>
      </c>
      <c r="I59" s="10" t="str">
        <f aca="false">IF($B59="","",IFERROR(INDEX(Drain_Register!$AI$5:$AI$304,MATCH($B59,Drain_Register!$A$5:$A$304,0)),IFERROR(INDEX(RW_Register!$AO$5:$AO$304,MATCH($B59,RW_Register!$A$5:$A$304,0)),IFERROR(INDEX(Embedded_Wall_Register!$AM$5:$AM$304,MATCH($B59,Embedded_Wall_Register!$A$5:$A$304,0)),IFERROR(INDEX(Manhole_Register!$AM$5:$AM$304,MATCH($B59,Manhole_Register!$A$5:$A$304,0)),IFERROR(INDEX(ERSS_Pit_Register!$AG$5:$AG$304,MATCH($B59,ERSS_Pit_Register!$A$5:$A$304,0)),IFERROR(INDEX(Linkway_Register!$AI$5:$AI$304,MATCH($B59,Linkway_Register!$A$5:$A$304,0)),IFERROR(INDEX(Other_Register!$S$5:$S$304,MATCH($B59,Other_Register!$A$5:$A$304,0)),""))))))))</f>
        <v/>
      </c>
      <c r="J59" s="10" t="str">
        <f aca="false">IF($B59="","",IFERROR(INDEX(Drain_Register!$AJ$5:$AJ$304,MATCH($B59,Drain_Register!$A$5:$A$304,0)),IFERROR(INDEX(RW_Register!$AP$5:$AP$304,MATCH($B59,RW_Register!$A$5:$A$304,0)),IFERROR(INDEX(Embedded_Wall_Register!$AN$5:$AN$304,MATCH($B59,Embedded_Wall_Register!$A$5:$A$304,0)),IFERROR(INDEX(Manhole_Register!$AN$5:$AN$304,MATCH($B59,Manhole_Register!$A$5:$A$304,0)),IFERROR(INDEX(ERSS_Pit_Register!$AH$5:$AH$304,MATCH($B59,ERSS_Pit_Register!$A$5:$A$304,0)),IFERROR(INDEX(Linkway_Register!$AJ$5:$AJ$304,MATCH($B59,Linkway_Register!$A$5:$A$304,0)),IFERROR(INDEX(Other_Register!$T$5:$T$304,MATCH($B59,Other_Register!$A$5:$A$304,0)),""))))))))</f>
        <v/>
      </c>
      <c r="K59" s="10" t="str">
        <f aca="false">IF($B59="","",IFERROR(INDEX(Drain_Register!$AK$5:$AK$304,MATCH($B59,Drain_Register!$A$5:$A$304,0)),IFERROR(INDEX(RW_Register!$AQ$5:$AQ$304,MATCH($B59,RW_Register!$A$5:$A$304,0)),IFERROR(INDEX(Embedded_Wall_Register!$AO$5:$AO$304,MATCH($B59,Embedded_Wall_Register!$A$5:$A$304,0)),IFERROR(INDEX(Manhole_Register!$AO$5:$AO$304,MATCH($B59,Manhole_Register!$A$5:$A$304,0)),IFERROR(INDEX(ERSS_Pit_Register!$AI$5:$AI$304,MATCH($B59,ERSS_Pit_Register!$A$5:$A$304,0)),IFERROR(INDEX(Linkway_Register!$AK$5:$AK$304,MATCH($B59,Linkway_Register!$A$5:$A$304,0)),IFERROR(INDEX(Other_Register!$U$5:$U$304,MATCH($B59,Other_Register!$A$5:$A$304,0)),""))))))))</f>
        <v/>
      </c>
      <c r="L59" s="10" t="str">
        <f aca="false">IF($B59="","",IFERROR(INDEX(Drain_Register!$AL$5:$AL$304,MATCH($B59,Drain_Register!$A$5:$A$304,0)),IFERROR(INDEX(RW_Register!$AR$5:$AR$304,MATCH($B59,RW_Register!$A$5:$A$304,0)),IFERROR(INDEX(Embedded_Wall_Register!$AP$5:$AP$304,MATCH($B59,Embedded_Wall_Register!$A$5:$A$304,0)),IFERROR(INDEX(Manhole_Register!$AP$5:$AP$304,MATCH($B59,Manhole_Register!$A$5:$A$304,0)),IFERROR(INDEX(ERSS_Pit_Register!$AJ$5:$AJ$304,MATCH($B59,ERSS_Pit_Register!$A$5:$A$304,0)),IFERROR(INDEX(Linkway_Register!$AL$5:$AL$304,MATCH($B59,Linkway_Register!$A$5:$A$304,0)),IFERROR(INDEX(Other_Register!$V$5:$V$304,MATCH($B59,Other_Register!$A$5:$A$304,0)),""))))))))</f>
        <v/>
      </c>
      <c r="M59" s="10" t="str">
        <f aca="false">IF($B59="","",IFERROR(INDEX(Drain_Register!$AN$5:$AN$304,MATCH($B59,Drain_Register!$A$5:$A$304,0)),IFERROR(INDEX(RW_Register!$AT$5:$AT$304,MATCH($B59,RW_Register!$A$5:$A$304,0)),IFERROR(INDEX(Embedded_Wall_Register!$AR$5:$AR$304,MATCH($B59,Embedded_Wall_Register!$A$5:$A$304,0)),IFERROR(INDEX(Manhole_Register!$AR$5:$AR$304,MATCH($B59,Manhole_Register!$A$5:$A$304,0)),IFERROR(INDEX(ERSS_Pit_Register!$AL$5:$AL$304,MATCH($B59,ERSS_Pit_Register!$A$5:$A$304,0)),IFERROR(INDEX(Linkway_Register!$AN$5:$AN$304,MATCH($B59,Linkway_Register!$A$5:$A$304,0)),IFERROR(INDEX(Other_Register!$X$5:$X$304,MATCH($B59,Other_Register!$A$5:$A$304,0)),"")))))))&amp;IFERROR(INDEX(Drain_Register!$AO$5:$AO$304,MATCH($B59,Drain_Register!$A$5:$A$304,0)),IFERROR(INDEX(RW_Register!$AU$5:$AU$304,MATCH($B59,RW_Register!$A$5:$A$304,0)),IFERROR(INDEX(Embedded_Wall_Register!$AS$5:$AS$304,MATCH($B59,Embedded_Wall_Register!$A$5:$A$304,0)),IFERROR(INDEX(Manhole_Register!$AS$5:$AS$304,MATCH($B59,Manhole_Register!$A$5:$A$304,0)),IFERROR(INDEX(ERSS_Pit_Register!$AM$5:$AM$304,MATCH($B59,ERSS_Pit_Register!$A$5:$A$304,0)),IFERROR(INDEX(Linkway_Register!$AO$5:$AO$304,MATCH($B59,Linkway_Register!$A$5:$A$304,0)),IFERROR(INDEX(Other_Register!$Y$5:$Y$304,MATCH($B59,Other_Register!$A$5:$A$304,0)),""))))))))</f>
        <v/>
      </c>
      <c r="N59" s="19" t="str">
        <f aca="false">IF(OR($B59="",$D59=""),"",$D59*N(IFERROR(INDEX(Drain_Register!$AV$5:$AV$304,MATCH($B59,Drain_Register!$A$5:$A$304,0)),IFERROR(INDEX(RW_Register!$BB$5:$BB$304,MATCH($B59,RW_Register!$A$5:$A$304,0)),IFERROR(INDEX(Embedded_Wall_Register!$AZ$5:$AZ$304,MATCH($B59,Embedded_Wall_Register!$A$5:$A$304,0)),IFERROR(INDEX(Manhole_Register!$AZ$5:$AZ$304,MATCH($B59,Manhole_Register!$A$5:$A$304,0)),IFERROR(INDEX(ERSS_Pit_Register!$AT$5:$AT$304,MATCH($B59,ERSS_Pit_Register!$A$5:$A$304,0)),IFERROR(INDEX(Linkway_Register!$AV$5:$AV$304,MATCH($B59,Linkway_Register!$A$5:$A$304,0)),IFERROR(INDEX(Other_Register!$AF$5:$AF$304,MATCH($B59,Other_Register!$A$5:$A$304,0)),0)))))))))</f>
        <v/>
      </c>
      <c r="O59" s="20" t="str">
        <f aca="false">IF(OR($B59="",$D59=""),"",$D59*N(IFERROR(INDEX(Drain_Register!$AW$5:$AW$304,MATCH($B59,Drain_Register!$A$5:$A$304,0)),IFERROR(INDEX(RW_Register!$BC$5:$BC$304,MATCH($B59,RW_Register!$A$5:$A$304,0)),IFERROR(INDEX(Embedded_Wall_Register!$BA$5:$BA$304,MATCH($B59,Embedded_Wall_Register!$A$5:$A$304,0)),IFERROR(INDEX(Manhole_Register!$BA$5:$BA$304,MATCH($B59,Manhole_Register!$A$5:$A$304,0)),IFERROR(INDEX(ERSS_Pit_Register!$AU$5:$AU$304,MATCH($B59,ERSS_Pit_Register!$A$5:$A$304,0)),IFERROR(INDEX(Linkway_Register!$AW$5:$AW$304,MATCH($B59,Linkway_Register!$A$5:$A$304,0)),IFERROR(INDEX(Other_Register!$AG$5:$AG$304,MATCH($B59,Other_Register!$A$5:$A$304,0)),0))))))))/1000)</f>
        <v/>
      </c>
      <c r="P59" s="20" t="str">
        <f aca="false">IF(OR($B59="",$D59=""),"",$D59*N(IFERROR(INDEX(Drain_Register!$AX$5:$AX$304,MATCH($B59,Drain_Register!$A$5:$A$304,0)),IFERROR(INDEX(RW_Register!$BD$5:$BD$304,MATCH($B59,RW_Register!$A$5:$A$304,0)),IFERROR(INDEX(Embedded_Wall_Register!$BB$5:$BB$304,MATCH($B59,Embedded_Wall_Register!$A$5:$A$304,0)),IFERROR(INDEX(Manhole_Register!$BB$5:$BB$304,MATCH($B59,Manhole_Register!$A$5:$A$304,0)),IFERROR(INDEX(ERSS_Pit_Register!$AV$5:$AV$304,MATCH($B59,ERSS_Pit_Register!$A$5:$A$304,0)),IFERROR(INDEX(Linkway_Register!$AX$5:$AX$304,MATCH($B59,Linkway_Register!$A$5:$A$304,0)),IFERROR(INDEX(Other_Register!$AH$5:$AH$304,MATCH($B59,Other_Register!$A$5:$A$304,0)),0))))))))/1000)</f>
        <v/>
      </c>
      <c r="Q59" s="19" t="str">
        <f aca="false">IF(OR($B59="",$D59=""),"",$D59*N(IFERROR(INDEX(Drain_Register!$AY$5:$AY$304,MATCH($B59,Drain_Register!$A$5:$A$304,0)),IFERROR(INDEX(RW_Register!$BE$5:$BE$304,MATCH($B59,RW_Register!$A$5:$A$304,0)),IFERROR(INDEX(Embedded_Wall_Register!$BC$5:$BC$304,MATCH($B59,Embedded_Wall_Register!$A$5:$A$304,0)),IFERROR(INDEX(Manhole_Register!$BC$5:$BC$304,MATCH($B59,Manhole_Register!$A$5:$A$304,0)),IFERROR(INDEX(ERSS_Pit_Register!$AW$5:$AW$304,MATCH($B59,ERSS_Pit_Register!$A$5:$A$304,0)),IFERROR(INDEX(Linkway_Register!$AY$5:$AY$304,MATCH($B59,Linkway_Register!$A$5:$A$304,0)),IFERROR(INDEX(Other_Register!$AI$5:$AI$304,MATCH($B59,Other_Register!$A$5:$A$304,0)),0)))))))))</f>
        <v/>
      </c>
      <c r="R59" s="19" t="str">
        <f aca="false">IF(OR($B59="",$D59=""),"",$D59*N(IFERROR(INDEX(Drain_Register!$AZ$5:$AZ$304,MATCH($B59,Drain_Register!$A$5:$A$304,0)),IFERROR(INDEX(RW_Register!$BF$5:$BF$304,MATCH($B59,RW_Register!$A$5:$A$304,0)),IFERROR(INDEX(Embedded_Wall_Register!$BD$5:$BD$304,MATCH($B59,Embedded_Wall_Register!$A$5:$A$304,0)),IFERROR(INDEX(Manhole_Register!$BD$5:$BD$304,MATCH($B59,Manhole_Register!$A$5:$A$304,0)),IFERROR(INDEX(ERSS_Pit_Register!$AX$5:$AX$304,MATCH($B59,ERSS_Pit_Register!$A$5:$A$304,0)),IFERROR(INDEX(Linkway_Register!$AZ$5:$AZ$304,MATCH($B59,Linkway_Register!$A$5:$A$304,0)),IFERROR(INDEX(Other_Register!$AJ$5:$AJ$304,MATCH($B59,Other_Register!$A$5:$A$304,0)),0)))))))))</f>
        <v/>
      </c>
      <c r="S59" s="10" t="str">
        <f aca="false">IF($B59="","",IF(G59="","ID not found",IF(J59&lt;&gt;"Approved","WARNING: status is "&amp;J59,IF(IFERROR(INDEX(Drain_Register!$CA$5:$CA$304,MATCH($B59,Drain_Register!$A$5:$A$304,0)),IFERROR(INDEX(RW_Register!$CF$5:$CF$304,MATCH($B59,RW_Register!$A$5:$A$304,0)),IFERROR(INDEX(Embedded_Wall_Register!$CD$5:$CD$304,MATCH($B59,Embedded_Wall_Register!$A$5:$A$304,0)),IFERROR(INDEX(Manhole_Register!$CC$5:$CC$304,MATCH($B59,Manhole_Register!$A$5:$A$304,0)),IFERROR(INDEX(ERSS_Pit_Register!$BX$5:$BX$304,MATCH($B59,ERSS_Pit_Register!$A$5:$A$304,0)),IFERROR(INDEX(Linkway_Register!$BY$5:$BY$304,MATCH($B59,Linkway_Register!$A$5:$A$304,0)),IFERROR(INDEX(Other_Register!$BI$5:$BI$304,MATCH($B59,Other_Register!$A$5:$A$304,0)),"")))))))="N","WARNING: fails SG compliance check",IF(D59="","Enter length / qty",IF(E59="","Enter CAD sheet no.","OK"))))))</f>
        <v/>
      </c>
    </row>
    <row r="60" customFormat="false" ht="15" hidden="false" customHeight="false" outlineLevel="0" collapsed="false">
      <c r="A60" s="9"/>
      <c r="B60" s="9"/>
      <c r="C60" s="9"/>
      <c r="D60" s="9"/>
      <c r="E60" s="9"/>
      <c r="F60" s="10" t="str">
        <f aca="false">IF($B60="","",IFERROR(INDEX(Drain_Register!$AU$5:$AU$304,MATCH($B60,Drain_Register!$A$5:$A$304,0)),IFERROR(INDEX(RW_Register!$BA$5:$BA$304,MATCH($B60,RW_Register!$A$5:$A$304,0)),IFERROR(INDEX(Embedded_Wall_Register!$AY$5:$AY$304,MATCH($B60,Embedded_Wall_Register!$A$5:$A$304,0)),IFERROR(INDEX(Manhole_Register!$AY$5:$AY$304,MATCH($B60,Manhole_Register!$A$5:$A$304,0)),IFERROR(INDEX(ERSS_Pit_Register!$AS$5:$AS$304,MATCH($B60,ERSS_Pit_Register!$A$5:$A$304,0)),IFERROR(INDEX(Linkway_Register!$AU$5:$AU$304,MATCH($B60,Linkway_Register!$A$5:$A$304,0)),IFERROR(INDEX(Other_Register!$AE$5:$AE$304,MATCH($B60,Other_Register!$A$5:$A$304,0)),""))))))))</f>
        <v/>
      </c>
      <c r="G60" s="10" t="str">
        <f aca="false">IF($B60="","",IF(ISNUMBER(MATCH($B60,Drain_Register!$A$5:$A$304,0)),"Drain",IF(ISNUMBER(MATCH($B60,RW_Register!$A$5:$A$304,0)),"Ret. Wall",IF(ISNUMBER(MATCH($B60,Embedded_Wall_Register!$A$5:$A$304,0)),"Embedded Wall",IF(ISNUMBER(MATCH($B60,Manhole_Register!$A$5:$A$304,0)),"Manhole",IF(ISNUMBER(MATCH($B60,ERSS_Pit_Register!$A$5:$A$304,0)),"ERSS Pit",IF(ISNUMBER(MATCH($B60,Linkway_Register!$A$5:$A$304,0)),"Linkway",IF(ISNUMBER(MATCH($B60,Other_Register!$A$5:$A$304,0)),"Others",""))))))))</f>
        <v/>
      </c>
      <c r="H60" s="10" t="str">
        <f aca="false">IF($B60="","",IFERROR(INDEX(Drain_Register!$B$5:$B$304,MATCH($B60,Drain_Register!$A$5:$A$304,0)),IFERROR(INDEX(RW_Register!$B$5:$B$304,MATCH($B60,RW_Register!$A$5:$A$304,0)),IFERROR(INDEX(Embedded_Wall_Register!$B$5:$B$304,MATCH($B60,Embedded_Wall_Register!$A$5:$A$304,0)),IFERROR(INDEX(Manhole_Register!$B$5:$B$304,MATCH($B60,Manhole_Register!$A$5:$A$304,0)),IFERROR(INDEX(ERSS_Pit_Register!$B$5:$B$304,MATCH($B60,ERSS_Pit_Register!$A$5:$A$304,0)),IFERROR(INDEX(Linkway_Register!$B$5:$B$304,MATCH($B60,Linkway_Register!$A$5:$A$304,0)),IFERROR(INDEX(Other_Register!$B$5:$B$304,MATCH($B60,Other_Register!$A$5:$A$304,0)),"ID not found - check spelling"))))))))</f>
        <v/>
      </c>
      <c r="I60" s="10" t="str">
        <f aca="false">IF($B60="","",IFERROR(INDEX(Drain_Register!$AI$5:$AI$304,MATCH($B60,Drain_Register!$A$5:$A$304,0)),IFERROR(INDEX(RW_Register!$AO$5:$AO$304,MATCH($B60,RW_Register!$A$5:$A$304,0)),IFERROR(INDEX(Embedded_Wall_Register!$AM$5:$AM$304,MATCH($B60,Embedded_Wall_Register!$A$5:$A$304,0)),IFERROR(INDEX(Manhole_Register!$AM$5:$AM$304,MATCH($B60,Manhole_Register!$A$5:$A$304,0)),IFERROR(INDEX(ERSS_Pit_Register!$AG$5:$AG$304,MATCH($B60,ERSS_Pit_Register!$A$5:$A$304,0)),IFERROR(INDEX(Linkway_Register!$AI$5:$AI$304,MATCH($B60,Linkway_Register!$A$5:$A$304,0)),IFERROR(INDEX(Other_Register!$S$5:$S$304,MATCH($B60,Other_Register!$A$5:$A$304,0)),""))))))))</f>
        <v/>
      </c>
      <c r="J60" s="10" t="str">
        <f aca="false">IF($B60="","",IFERROR(INDEX(Drain_Register!$AJ$5:$AJ$304,MATCH($B60,Drain_Register!$A$5:$A$304,0)),IFERROR(INDEX(RW_Register!$AP$5:$AP$304,MATCH($B60,RW_Register!$A$5:$A$304,0)),IFERROR(INDEX(Embedded_Wall_Register!$AN$5:$AN$304,MATCH($B60,Embedded_Wall_Register!$A$5:$A$304,0)),IFERROR(INDEX(Manhole_Register!$AN$5:$AN$304,MATCH($B60,Manhole_Register!$A$5:$A$304,0)),IFERROR(INDEX(ERSS_Pit_Register!$AH$5:$AH$304,MATCH($B60,ERSS_Pit_Register!$A$5:$A$304,0)),IFERROR(INDEX(Linkway_Register!$AJ$5:$AJ$304,MATCH($B60,Linkway_Register!$A$5:$A$304,0)),IFERROR(INDEX(Other_Register!$T$5:$T$304,MATCH($B60,Other_Register!$A$5:$A$304,0)),""))))))))</f>
        <v/>
      </c>
      <c r="K60" s="10" t="str">
        <f aca="false">IF($B60="","",IFERROR(INDEX(Drain_Register!$AK$5:$AK$304,MATCH($B60,Drain_Register!$A$5:$A$304,0)),IFERROR(INDEX(RW_Register!$AQ$5:$AQ$304,MATCH($B60,RW_Register!$A$5:$A$304,0)),IFERROR(INDEX(Embedded_Wall_Register!$AO$5:$AO$304,MATCH($B60,Embedded_Wall_Register!$A$5:$A$304,0)),IFERROR(INDEX(Manhole_Register!$AO$5:$AO$304,MATCH($B60,Manhole_Register!$A$5:$A$304,0)),IFERROR(INDEX(ERSS_Pit_Register!$AI$5:$AI$304,MATCH($B60,ERSS_Pit_Register!$A$5:$A$304,0)),IFERROR(INDEX(Linkway_Register!$AK$5:$AK$304,MATCH($B60,Linkway_Register!$A$5:$A$304,0)),IFERROR(INDEX(Other_Register!$U$5:$U$304,MATCH($B60,Other_Register!$A$5:$A$304,0)),""))))))))</f>
        <v/>
      </c>
      <c r="L60" s="10" t="str">
        <f aca="false">IF($B60="","",IFERROR(INDEX(Drain_Register!$AL$5:$AL$304,MATCH($B60,Drain_Register!$A$5:$A$304,0)),IFERROR(INDEX(RW_Register!$AR$5:$AR$304,MATCH($B60,RW_Register!$A$5:$A$304,0)),IFERROR(INDEX(Embedded_Wall_Register!$AP$5:$AP$304,MATCH($B60,Embedded_Wall_Register!$A$5:$A$304,0)),IFERROR(INDEX(Manhole_Register!$AP$5:$AP$304,MATCH($B60,Manhole_Register!$A$5:$A$304,0)),IFERROR(INDEX(ERSS_Pit_Register!$AJ$5:$AJ$304,MATCH($B60,ERSS_Pit_Register!$A$5:$A$304,0)),IFERROR(INDEX(Linkway_Register!$AL$5:$AL$304,MATCH($B60,Linkway_Register!$A$5:$A$304,0)),IFERROR(INDEX(Other_Register!$V$5:$V$304,MATCH($B60,Other_Register!$A$5:$A$304,0)),""))))))))</f>
        <v/>
      </c>
      <c r="M60" s="10" t="str">
        <f aca="false">IF($B60="","",IFERROR(INDEX(Drain_Register!$AN$5:$AN$304,MATCH($B60,Drain_Register!$A$5:$A$304,0)),IFERROR(INDEX(RW_Register!$AT$5:$AT$304,MATCH($B60,RW_Register!$A$5:$A$304,0)),IFERROR(INDEX(Embedded_Wall_Register!$AR$5:$AR$304,MATCH($B60,Embedded_Wall_Register!$A$5:$A$304,0)),IFERROR(INDEX(Manhole_Register!$AR$5:$AR$304,MATCH($B60,Manhole_Register!$A$5:$A$304,0)),IFERROR(INDEX(ERSS_Pit_Register!$AL$5:$AL$304,MATCH($B60,ERSS_Pit_Register!$A$5:$A$304,0)),IFERROR(INDEX(Linkway_Register!$AN$5:$AN$304,MATCH($B60,Linkway_Register!$A$5:$A$304,0)),IFERROR(INDEX(Other_Register!$X$5:$X$304,MATCH($B60,Other_Register!$A$5:$A$304,0)),"")))))))&amp;IFERROR(INDEX(Drain_Register!$AO$5:$AO$304,MATCH($B60,Drain_Register!$A$5:$A$304,0)),IFERROR(INDEX(RW_Register!$AU$5:$AU$304,MATCH($B60,RW_Register!$A$5:$A$304,0)),IFERROR(INDEX(Embedded_Wall_Register!$AS$5:$AS$304,MATCH($B60,Embedded_Wall_Register!$A$5:$A$304,0)),IFERROR(INDEX(Manhole_Register!$AS$5:$AS$304,MATCH($B60,Manhole_Register!$A$5:$A$304,0)),IFERROR(INDEX(ERSS_Pit_Register!$AM$5:$AM$304,MATCH($B60,ERSS_Pit_Register!$A$5:$A$304,0)),IFERROR(INDEX(Linkway_Register!$AO$5:$AO$304,MATCH($B60,Linkway_Register!$A$5:$A$304,0)),IFERROR(INDEX(Other_Register!$Y$5:$Y$304,MATCH($B60,Other_Register!$A$5:$A$304,0)),""))))))))</f>
        <v/>
      </c>
      <c r="N60" s="19" t="str">
        <f aca="false">IF(OR($B60="",$D60=""),"",$D60*N(IFERROR(INDEX(Drain_Register!$AV$5:$AV$304,MATCH($B60,Drain_Register!$A$5:$A$304,0)),IFERROR(INDEX(RW_Register!$BB$5:$BB$304,MATCH($B60,RW_Register!$A$5:$A$304,0)),IFERROR(INDEX(Embedded_Wall_Register!$AZ$5:$AZ$304,MATCH($B60,Embedded_Wall_Register!$A$5:$A$304,0)),IFERROR(INDEX(Manhole_Register!$AZ$5:$AZ$304,MATCH($B60,Manhole_Register!$A$5:$A$304,0)),IFERROR(INDEX(ERSS_Pit_Register!$AT$5:$AT$304,MATCH($B60,ERSS_Pit_Register!$A$5:$A$304,0)),IFERROR(INDEX(Linkway_Register!$AV$5:$AV$304,MATCH($B60,Linkway_Register!$A$5:$A$304,0)),IFERROR(INDEX(Other_Register!$AF$5:$AF$304,MATCH($B60,Other_Register!$A$5:$A$304,0)),0)))))))))</f>
        <v/>
      </c>
      <c r="O60" s="20" t="str">
        <f aca="false">IF(OR($B60="",$D60=""),"",$D60*N(IFERROR(INDEX(Drain_Register!$AW$5:$AW$304,MATCH($B60,Drain_Register!$A$5:$A$304,0)),IFERROR(INDEX(RW_Register!$BC$5:$BC$304,MATCH($B60,RW_Register!$A$5:$A$304,0)),IFERROR(INDEX(Embedded_Wall_Register!$BA$5:$BA$304,MATCH($B60,Embedded_Wall_Register!$A$5:$A$304,0)),IFERROR(INDEX(Manhole_Register!$BA$5:$BA$304,MATCH($B60,Manhole_Register!$A$5:$A$304,0)),IFERROR(INDEX(ERSS_Pit_Register!$AU$5:$AU$304,MATCH($B60,ERSS_Pit_Register!$A$5:$A$304,0)),IFERROR(INDEX(Linkway_Register!$AW$5:$AW$304,MATCH($B60,Linkway_Register!$A$5:$A$304,0)),IFERROR(INDEX(Other_Register!$AG$5:$AG$304,MATCH($B60,Other_Register!$A$5:$A$304,0)),0))))))))/1000)</f>
        <v/>
      </c>
      <c r="P60" s="20" t="str">
        <f aca="false">IF(OR($B60="",$D60=""),"",$D60*N(IFERROR(INDEX(Drain_Register!$AX$5:$AX$304,MATCH($B60,Drain_Register!$A$5:$A$304,0)),IFERROR(INDEX(RW_Register!$BD$5:$BD$304,MATCH($B60,RW_Register!$A$5:$A$304,0)),IFERROR(INDEX(Embedded_Wall_Register!$BB$5:$BB$304,MATCH($B60,Embedded_Wall_Register!$A$5:$A$304,0)),IFERROR(INDEX(Manhole_Register!$BB$5:$BB$304,MATCH($B60,Manhole_Register!$A$5:$A$304,0)),IFERROR(INDEX(ERSS_Pit_Register!$AV$5:$AV$304,MATCH($B60,ERSS_Pit_Register!$A$5:$A$304,0)),IFERROR(INDEX(Linkway_Register!$AX$5:$AX$304,MATCH($B60,Linkway_Register!$A$5:$A$304,0)),IFERROR(INDEX(Other_Register!$AH$5:$AH$304,MATCH($B60,Other_Register!$A$5:$A$304,0)),0))))))))/1000)</f>
        <v/>
      </c>
      <c r="Q60" s="19" t="str">
        <f aca="false">IF(OR($B60="",$D60=""),"",$D60*N(IFERROR(INDEX(Drain_Register!$AY$5:$AY$304,MATCH($B60,Drain_Register!$A$5:$A$304,0)),IFERROR(INDEX(RW_Register!$BE$5:$BE$304,MATCH($B60,RW_Register!$A$5:$A$304,0)),IFERROR(INDEX(Embedded_Wall_Register!$BC$5:$BC$304,MATCH($B60,Embedded_Wall_Register!$A$5:$A$304,0)),IFERROR(INDEX(Manhole_Register!$BC$5:$BC$304,MATCH($B60,Manhole_Register!$A$5:$A$304,0)),IFERROR(INDEX(ERSS_Pit_Register!$AW$5:$AW$304,MATCH($B60,ERSS_Pit_Register!$A$5:$A$304,0)),IFERROR(INDEX(Linkway_Register!$AY$5:$AY$304,MATCH($B60,Linkway_Register!$A$5:$A$304,0)),IFERROR(INDEX(Other_Register!$AI$5:$AI$304,MATCH($B60,Other_Register!$A$5:$A$304,0)),0)))))))))</f>
        <v/>
      </c>
      <c r="R60" s="19" t="str">
        <f aca="false">IF(OR($B60="",$D60=""),"",$D60*N(IFERROR(INDEX(Drain_Register!$AZ$5:$AZ$304,MATCH($B60,Drain_Register!$A$5:$A$304,0)),IFERROR(INDEX(RW_Register!$BF$5:$BF$304,MATCH($B60,RW_Register!$A$5:$A$304,0)),IFERROR(INDEX(Embedded_Wall_Register!$BD$5:$BD$304,MATCH($B60,Embedded_Wall_Register!$A$5:$A$304,0)),IFERROR(INDEX(Manhole_Register!$BD$5:$BD$304,MATCH($B60,Manhole_Register!$A$5:$A$304,0)),IFERROR(INDEX(ERSS_Pit_Register!$AX$5:$AX$304,MATCH($B60,ERSS_Pit_Register!$A$5:$A$304,0)),IFERROR(INDEX(Linkway_Register!$AZ$5:$AZ$304,MATCH($B60,Linkway_Register!$A$5:$A$304,0)),IFERROR(INDEX(Other_Register!$AJ$5:$AJ$304,MATCH($B60,Other_Register!$A$5:$A$304,0)),0)))))))))</f>
        <v/>
      </c>
      <c r="S60" s="10" t="str">
        <f aca="false">IF($B60="","",IF(G60="","ID not found",IF(J60&lt;&gt;"Approved","WARNING: status is "&amp;J60,IF(IFERROR(INDEX(Drain_Register!$CA$5:$CA$304,MATCH($B60,Drain_Register!$A$5:$A$304,0)),IFERROR(INDEX(RW_Register!$CF$5:$CF$304,MATCH($B60,RW_Register!$A$5:$A$304,0)),IFERROR(INDEX(Embedded_Wall_Register!$CD$5:$CD$304,MATCH($B60,Embedded_Wall_Register!$A$5:$A$304,0)),IFERROR(INDEX(Manhole_Register!$CC$5:$CC$304,MATCH($B60,Manhole_Register!$A$5:$A$304,0)),IFERROR(INDEX(ERSS_Pit_Register!$BX$5:$BX$304,MATCH($B60,ERSS_Pit_Register!$A$5:$A$304,0)),IFERROR(INDEX(Linkway_Register!$BY$5:$BY$304,MATCH($B60,Linkway_Register!$A$5:$A$304,0)),IFERROR(INDEX(Other_Register!$BI$5:$BI$304,MATCH($B60,Other_Register!$A$5:$A$304,0)),"")))))))="N","WARNING: fails SG compliance check",IF(D60="","Enter length / qty",IF(E60="","Enter CAD sheet no.","OK"))))))</f>
        <v/>
      </c>
    </row>
    <row r="61" customFormat="false" ht="15" hidden="false" customHeight="false" outlineLevel="0" collapsed="false">
      <c r="M61" s="8" t="s">
        <v>162</v>
      </c>
      <c r="N61" s="21" t="n">
        <f aca="false">SUM(N6:N60)</f>
        <v>669.09</v>
      </c>
      <c r="O61" s="21" t="n">
        <f aca="false">SUM(O6:O60)</f>
        <v>63.382</v>
      </c>
      <c r="P61" s="21" t="n">
        <f aca="false">SUM(P6:P60)</f>
        <v>51.74</v>
      </c>
      <c r="Q61" s="21" t="n">
        <f aca="false">SUM(Q6:Q60)</f>
        <v>1653.4</v>
      </c>
      <c r="R61" s="21" t="n">
        <f aca="false">SUM(R6:R60)</f>
        <v>2467.5</v>
      </c>
    </row>
    <row r="63" customFormat="false" ht="15" hidden="false" customHeight="false" outlineLevel="0" collapsed="false">
      <c r="A63" s="6" t="s">
        <v>163</v>
      </c>
    </row>
  </sheetData>
  <mergeCells count="1">
    <mergeCell ref="B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H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70"/>
    <col collapsed="false" customWidth="true" hidden="false" outlineLevel="0" max="4" min="4" style="0" width="7"/>
    <col collapsed="false" customWidth="true" hidden="false" outlineLevel="0" max="5" min="5" style="0" width="60"/>
    <col collapsed="false" customWidth="true" hidden="false" outlineLevel="0" max="6" min="6" style="0" width="34"/>
    <col collapsed="false" customWidth="true" hidden="false" outlineLevel="0" max="7" min="7" style="0" width="5"/>
    <col collapsed="false" customWidth="true" hidden="false" outlineLevel="0" max="8" min="8" style="0" width="10"/>
  </cols>
  <sheetData>
    <row r="1" customFormat="false" ht="15" hidden="false" customHeight="false" outlineLevel="0" collapsed="false">
      <c r="A1" s="22" t="s">
        <v>164</v>
      </c>
      <c r="B1" s="23" t="str">
        <f aca="false">Tender_Pack!B3</f>
        <v>EXAMPLE - Tender T-2026-01 Road and Sewer Upgrading at Jalan Contoh</v>
      </c>
      <c r="D1" s="6" t="s">
        <v>165</v>
      </c>
    </row>
    <row r="2" customFormat="false" ht="15" hidden="false" customHeight="false" outlineLevel="0" collapsed="false">
      <c r="A2" s="22" t="s">
        <v>166</v>
      </c>
      <c r="B2" s="24" t="s">
        <v>167</v>
      </c>
      <c r="D2" s="6" t="s">
        <v>168</v>
      </c>
    </row>
    <row r="3" customFormat="false" ht="15" hidden="false" customHeight="false" outlineLevel="0" collapsed="false">
      <c r="A3" s="22" t="s">
        <v>169</v>
      </c>
      <c r="B3" s="23" t="str">
        <f aca="false">SG_Criteria!$B$6</f>
        <v>C:\Users\yourname\YourCompany\Design Library - Documents\</v>
      </c>
      <c r="D3" s="6" t="s">
        <v>170</v>
      </c>
    </row>
    <row r="5" customFormat="false" ht="15" hidden="false" customHeight="false" outlineLevel="0" collapsed="false">
      <c r="A5" s="25" t="s">
        <v>171</v>
      </c>
      <c r="B5" s="25" t="s">
        <v>172</v>
      </c>
      <c r="C5" s="25" t="s">
        <v>173</v>
      </c>
      <c r="D5" s="25" t="s">
        <v>174</v>
      </c>
      <c r="E5" s="25" t="s">
        <v>175</v>
      </c>
      <c r="F5" s="25" t="s">
        <v>176</v>
      </c>
      <c r="G5" s="25" t="s">
        <v>177</v>
      </c>
      <c r="H5" s="25" t="s">
        <v>178</v>
      </c>
    </row>
    <row r="6" customFormat="false" ht="15" hidden="false" customHeight="false" outlineLevel="0" collapsed="false">
      <c r="A6" s="23" t="n">
        <f aca="false">IF(Tender_Pack!$B$6="","",IF(Tender_Pack!$E$6="",1,Tender_Pack!$E$6))</f>
        <v>1</v>
      </c>
      <c r="B6" s="23" t="n">
        <f aca="false">IF(OR(A6="",H6&lt;&gt;"Approved"),"",COUNTIFS($A$6:A6,A6,$H$6:H6,"Approved"))</f>
        <v>1</v>
      </c>
      <c r="C6" s="23" t="str">
        <f aca="false">IF(A6="","",Tender_Pack!$M$6)</f>
        <v>C:\Users\yourname\YourCompany\Design Library - Documents\01_Drainage\DRN-PUD-0600x0600-S12-A\DRN-PUD-0600x0600-S12-A_CAD.dwg</v>
      </c>
      <c r="D6" s="23" t="n">
        <f aca="false">IF(A6="","",Tender_Pack!$L$6)</f>
        <v>20</v>
      </c>
      <c r="E6" s="23" t="str">
        <f aca="false">IF(A6="","",UPPER(Tender_Pack!$H$6))</f>
        <v>PRECAST U-DRAIN 600W X 600D, ROADSIDE DRAIN, DRAIN SURCHARGE 12 KPA (SDRE), OPEN</v>
      </c>
      <c r="F6" s="23" t="str">
        <f aca="false">IF(A6="","",Tender_Pack!$B$6)</f>
        <v>DRN-PUD-0600x0600-S12-A</v>
      </c>
      <c r="G6" s="23" t="str">
        <f aca="false">IF(A6="","",Tender_Pack!$I$6)</f>
        <v>A</v>
      </c>
      <c r="H6" s="23" t="str">
        <f aca="false">IF(A6="","",Tender_Pack!$J$6)</f>
        <v>Approved</v>
      </c>
    </row>
    <row r="7" customFormat="false" ht="15" hidden="false" customHeight="false" outlineLevel="0" collapsed="false">
      <c r="A7" s="23" t="n">
        <f aca="false">IF(Tender_Pack!$B$7="","",IF(Tender_Pack!$E$7="",1,Tender_Pack!$E$7))</f>
        <v>1</v>
      </c>
      <c r="B7" s="23" t="n">
        <f aca="false">IF(OR(A7="",H7&lt;&gt;"Approved"),"",COUNTIFS($A$6:A7,A7,$H$6:H7,"Approved"))</f>
        <v>2</v>
      </c>
      <c r="C7" s="23" t="str">
        <f aca="false">IF(A7="","",Tender_Pack!$M$7)</f>
        <v>C:\Users\yourname\YourCompany\Design Library - Documents\01_Drainage\DRN-SUD-0600x0750-FWY-A\DRN-SUD-0600x0750-FWY-A_CAD.dwg</v>
      </c>
      <c r="D7" s="23" t="n">
        <f aca="false">IF(A7="","",Tender_Pack!$L$7)</f>
        <v>20</v>
      </c>
      <c r="E7" s="23" t="str">
        <f aca="false">IF(A7="","",UPPER(Tender_Pack!$H$7))</f>
        <v>SLABBED-OVER U-DRAIN 600W X 750D, ROADSIDE DRAIN, FOOTWAY 5 KPA (SDRE), COVERED - RC SLAB</v>
      </c>
      <c r="F7" s="23" t="str">
        <f aca="false">IF(A7="","",Tender_Pack!$B$7)</f>
        <v>DRN-SUD-0600x0750-FWY-A</v>
      </c>
      <c r="G7" s="23" t="str">
        <f aca="false">IF(A7="","",Tender_Pack!$I$7)</f>
        <v>A</v>
      </c>
      <c r="H7" s="23" t="str">
        <f aca="false">IF(A7="","",Tender_Pack!$J$7)</f>
        <v>Approved</v>
      </c>
    </row>
    <row r="8" customFormat="false" ht="15" hidden="false" customHeight="false" outlineLevel="0" collapsed="false">
      <c r="A8" s="23" t="n">
        <f aca="false">IF(Tender_Pack!$B$8="","",IF(Tender_Pack!$E$8="",1,Tender_Pack!$E$8))</f>
        <v>2</v>
      </c>
      <c r="B8" s="23" t="n">
        <f aca="false">IF(OR(A8="",H8&lt;&gt;"Approved"),"",COUNTIFS($A$6:A8,A8,$H$6:H8,"Approved"))</f>
        <v>1</v>
      </c>
      <c r="C8" s="23" t="str">
        <f aca="false">IF(A8="","",Tender_Pack!$M$8)</f>
        <v>C:\Users\yourname\YourCompany\Design Library - Documents\01_Drainage\DRN-BC-1500x1200-VEH-A\DRN-BC-1500x1200-VEH-A_CAD.dwg</v>
      </c>
      <c r="D8" s="23" t="n">
        <f aca="false">IF(A8="","",Tender_Pack!$L$8)</f>
        <v>25</v>
      </c>
      <c r="E8" s="23" t="str">
        <f aca="false">IF(A8="","",UPPER(Tender_Pack!$H$8))</f>
        <v>BOX CULVERT 1500W X 1200D, ROAD CROSSING CULVERT, VEHICULAR LM1 (SS EN 1991-2), CLOSED (CULVERT)</v>
      </c>
      <c r="F8" s="23" t="str">
        <f aca="false">IF(A8="","",Tender_Pack!$B$8)</f>
        <v>DRN-BC-1500x1200-VEH-A</v>
      </c>
      <c r="G8" s="23" t="str">
        <f aca="false">IF(A8="","",Tender_Pack!$I$8)</f>
        <v>A</v>
      </c>
      <c r="H8" s="23" t="str">
        <f aca="false">IF(A8="","",Tender_Pack!$J$8)</f>
        <v>Approved</v>
      </c>
    </row>
    <row r="9" customFormat="false" ht="15" hidden="false" customHeight="false" outlineLevel="0" collapsed="false">
      <c r="A9" s="23" t="n">
        <f aca="false">IF(Tender_Pack!$B$9="","",IF(Tender_Pack!$E$9="",1,Tender_Pack!$E$9))</f>
        <v>2</v>
      </c>
      <c r="B9" s="23" t="n">
        <f aca="false">IF(OR(A9="",H9&lt;&gt;"Approved"),"",COUNTIFS($A$6:A9,A9,$H$6:H9,"Approved"))</f>
        <v>2</v>
      </c>
      <c r="C9" s="23" t="str">
        <f aca="false">IF(A9="","",Tender_Pack!$M$9)</f>
        <v>C:\Users\yourname\YourCompany\Design Library - Documents\01_Drainage\DRN-SP-0900x1200-S12-A\DRN-SP-0900x1200-S12-A_CAD.dwg</v>
      </c>
      <c r="D9" s="23" t="n">
        <f aca="false">IF(A9="","",Tender_Pack!$L$9)</f>
        <v>20</v>
      </c>
      <c r="E9" s="23" t="str">
        <f aca="false">IF(A9="","",UPPER(Tender_Pack!$H$9))</f>
        <v>SUMP 900W X 1200D, ROADSIDE DRAIN, DRAIN SURCHARGE 12 KPA (SDRE), COVERED - GRATING</v>
      </c>
      <c r="F9" s="23" t="str">
        <f aca="false">IF(A9="","",Tender_Pack!$B$9)</f>
        <v>DRN-SP-0900x1200-S12-A</v>
      </c>
      <c r="G9" s="23" t="str">
        <f aca="false">IF(A9="","",Tender_Pack!$I$9)</f>
        <v>A</v>
      </c>
      <c r="H9" s="23" t="str">
        <f aca="false">IF(A9="","",Tender_Pack!$J$9)</f>
        <v>Approved</v>
      </c>
    </row>
    <row r="10" customFormat="false" ht="15" hidden="false" customHeight="false" outlineLevel="0" collapsed="false">
      <c r="A10" s="23" t="n">
        <f aca="false">IF(Tender_Pack!$B$10="","",IF(Tender_Pack!$E$10="",1,Tender_Pack!$E$10))</f>
        <v>3</v>
      </c>
      <c r="B10" s="23" t="n">
        <f aca="false">IF(OR(A10="",H10&lt;&gt;"Approved"),"",COUNTIFS($A$6:A10,A10,$H$6:H10,"Approved"))</f>
        <v>1</v>
      </c>
      <c r="C10" s="23" t="str">
        <f aca="false">IF(A10="","",Tender_Pack!$M$10)</f>
        <v>C:\Users\yourname\YourCompany\Design Library - Documents\02_Retaining_Wall\RW-CANT-H3000-S25-A\RW-CANT-H3000-S25-A_CAD.dwg</v>
      </c>
      <c r="D10" s="23" t="n">
        <f aca="false">IF(A10="","",Tender_Pack!$L$10)</f>
        <v>25</v>
      </c>
      <c r="E10" s="23" t="str">
        <f aca="false">IF(A10="","",UPPER(Tender_Pack!$H$10))</f>
        <v>CANTILEVER RC (TOE &amp; HEEL), H = 3.0 M, Q = 25 KPA, FIRM/STIFF CLAY (GENERAL)</v>
      </c>
      <c r="F10" s="23" t="str">
        <f aca="false">IF(A10="","",Tender_Pack!$B$10)</f>
        <v>RW-CANT-H3000-S25-A</v>
      </c>
      <c r="G10" s="23" t="str">
        <f aca="false">IF(A10="","",Tender_Pack!$I$10)</f>
        <v>A</v>
      </c>
      <c r="H10" s="23" t="str">
        <f aca="false">IF(A10="","",Tender_Pack!$J$10)</f>
        <v>Approved</v>
      </c>
    </row>
    <row r="11" customFormat="false" ht="15" hidden="false" customHeight="false" outlineLevel="0" collapsed="false">
      <c r="A11" s="23" t="n">
        <f aca="false">IF(Tender_Pack!$B$11="","",IF(Tender_Pack!$E$11="",1,Tender_Pack!$E$11))</f>
        <v>3</v>
      </c>
      <c r="B11" s="23" t="n">
        <f aca="false">IF(OR(A11="",H11&lt;&gt;"Approved"),"",COUNTIFS($A$6:A11,A11,$H$6:H11,"Approved"))</f>
        <v>2</v>
      </c>
      <c r="C11" s="23" t="str">
        <f aca="false">IF(A11="","",Tender_Pack!$M$11)</f>
        <v>C:\Users\yourname\YourCompany\Design Library - Documents\03_Embedded_Wall\EW-CBP-D5000-S1-OA-P-A\EW-CBP-D5000-S1-OA-P-A_CAD.dwg</v>
      </c>
      <c r="D11" s="23" t="n">
        <f aca="false">IF(A11="","",Tender_Pack!$L$11)</f>
        <v>50</v>
      </c>
      <c r="E11" s="23" t="str">
        <f aca="false">IF(A11="","",UPPER(Tender_Pack!$H$11))</f>
        <v>PERMANENT CONTIGUOUS BORED PILE (CBP), EXCAVATION 5.0 M, 1 LEVEL STRUT, OLD ALLUVIUM, 800 DIA</v>
      </c>
      <c r="F11" s="23" t="str">
        <f aca="false">IF(A11="","",Tender_Pack!$B$11)</f>
        <v>EW-CBP-D5000-S1-OA-P-A</v>
      </c>
      <c r="G11" s="23" t="str">
        <f aca="false">IF(A11="","",Tender_Pack!$I$11)</f>
        <v>A</v>
      </c>
      <c r="H11" s="23" t="str">
        <f aca="false">IF(A11="","",Tender_Pack!$J$11)</f>
        <v>Approved</v>
      </c>
    </row>
    <row r="12" customFormat="false" ht="15" hidden="false" customHeight="false" outlineLevel="0" collapsed="false">
      <c r="A12" s="23" t="n">
        <f aca="false">IF(Tender_Pack!$B$12="","",IF(Tender_Pack!$E$12="",1,Tender_Pack!$E$12))</f>
        <v>4</v>
      </c>
      <c r="B12" s="23" t="n">
        <f aca="false">IF(OR(A12="",H12&lt;&gt;"Approved"),"",COUNTIFS($A$6:A12,A12,$H$6:H12,"Approved"))</f>
        <v>1</v>
      </c>
      <c r="C12" s="23" t="str">
        <f aca="false">IF(A12="","",Tender_Pack!$M$12)</f>
        <v>C:\Users\yourname\YourCompany\Design Library - Documents\04_Sewer_Manhole\MH-SM-1500x1200-D6000-C-A\MH-SM-1500x1200-D6000-C-A_CAD.dwg</v>
      </c>
      <c r="D12" s="23" t="n">
        <f aca="false">IF(A12="","",Tender_Pack!$L$12)</f>
        <v>25</v>
      </c>
      <c r="E12" s="23" t="str">
        <f aca="false">IF(A12="","",UPPER(Tender_Pack!$H$12))</f>
        <v>STANDARD MANHOLE (PUB 001C), CAST-IN-SITU, 1500 X 1200, DEPTH 3.0-6.0 M, PIPE UP TO 600 DIA</v>
      </c>
      <c r="F12" s="23" t="str">
        <f aca="false">IF(A12="","",Tender_Pack!$B$12)</f>
        <v>MH-SM-1500x1200-D6000-C-A</v>
      </c>
      <c r="G12" s="23" t="str">
        <f aca="false">IF(A12="","",Tender_Pack!$I$12)</f>
        <v>A</v>
      </c>
      <c r="H12" s="23" t="str">
        <f aca="false">IF(A12="","",Tender_Pack!$J$12)</f>
        <v>Approved</v>
      </c>
    </row>
    <row r="13" customFormat="false" ht="15" hidden="false" customHeight="false" outlineLevel="0" collapsed="false">
      <c r="A13" s="23" t="n">
        <f aca="false">IF(Tender_Pack!$B$13="","",IF(Tender_Pack!$E$13="",1,Tender_Pack!$E$13))</f>
        <v>4</v>
      </c>
      <c r="B13" s="23" t="n">
        <f aca="false">IF(OR(A13="",H13&lt;&gt;"Approved"),"",COUNTIFS($A$6:A13,A13,$H$6:H13,"Approved"))</f>
        <v>2</v>
      </c>
      <c r="C13" s="23" t="str">
        <f aca="false">IF(A13="","",Tender_Pack!$M$13)</f>
        <v>C:\Users\yourname\YourCompany\Design Library - Documents\05_ERSS_Pit\ERSS-SSP-4000x3500-D6000-KF-A\ERSS-SSP-4000x3500-D6000-KF-A_CAD.dwg</v>
      </c>
      <c r="D13" s="23" t="n">
        <f aca="false">IF(A13="","",Tender_Pack!$L$13)</f>
        <v>50</v>
      </c>
      <c r="E13" s="23" t="str">
        <f aca="false">IF(A13="","",UPPER(Tender_Pack!$H$13))</f>
        <v>STEEL SHEET PILE COFFERDAM FOR MANHOLE, 4000 X 3500 PIT, 6.0 M DEEP, KALLANG FORMATION (MARINE CLAY)</v>
      </c>
      <c r="F13" s="23" t="str">
        <f aca="false">IF(A13="","",Tender_Pack!$B$13)</f>
        <v>ERSS-SSP-4000x3500-D6000-KF-A</v>
      </c>
      <c r="G13" s="23" t="str">
        <f aca="false">IF(A13="","",Tender_Pack!$I$13)</f>
        <v>A</v>
      </c>
      <c r="H13" s="23" t="str">
        <f aca="false">IF(A13="","",Tender_Pack!$J$13)</f>
        <v>Approved</v>
      </c>
    </row>
    <row r="14" customFormat="false" ht="15" hidden="false" customHeight="false" outlineLevel="0" collapsed="false">
      <c r="A14" s="23" t="n">
        <f aca="false">IF(Tender_Pack!$B$14="","",IF(Tender_Pack!$E$14="",1,Tender_Pack!$E$14))</f>
        <v>5</v>
      </c>
      <c r="B14" s="23" t="n">
        <f aca="false">IF(OR(A14="",H14&lt;&gt;"Approved"),"",COUNTIFS($A$6:A14,A14,$H$6:H14,"Approved"))</f>
        <v>1</v>
      </c>
      <c r="C14" s="23" t="str">
        <f aca="false">IF(A14="","",Tender_Pack!$M$14)</f>
        <v>C:\Users\yourname\YourCompany\Design Library - Documents\06_Linkway\LKW-LCL-W3600-H2400-B6000-A\LKW-LCL-W3600-H2400-B6000-A_CAD.dwg</v>
      </c>
      <c r="D14" s="23" t="n">
        <f aca="false">IF(A14="","",Tender_Pack!$L$14)</f>
        <v>50</v>
      </c>
      <c r="E14" s="23" t="str">
        <f aca="false">IF(A14="","",UPPER(Tender_Pack!$H$14))</f>
        <v>LOW COVERED LINKWAY, 3.6 M WIDE, 2.4 M HEADROOM, 6 M BAYS, DOUBLE COLUMN (LTA/SDRE25/22/CLW1)</v>
      </c>
      <c r="F14" s="23" t="str">
        <f aca="false">IF(A14="","",Tender_Pack!$B$14)</f>
        <v>LKW-LCL-W3600-H2400-B6000-A</v>
      </c>
      <c r="G14" s="23" t="str">
        <f aca="false">IF(A14="","",Tender_Pack!$I$14)</f>
        <v>A</v>
      </c>
      <c r="H14" s="23" t="str">
        <f aca="false">IF(A14="","",Tender_Pack!$J$14)</f>
        <v>Approved</v>
      </c>
    </row>
    <row r="15" customFormat="false" ht="15" hidden="false" customHeight="false" outlineLevel="0" collapsed="false">
      <c r="A15" s="23" t="n">
        <f aca="false">IF(Tender_Pack!$B$15="","",IF(Tender_Pack!$E$15="",1,Tender_Pack!$E$15))</f>
        <v>2</v>
      </c>
      <c r="B15" s="23" t="str">
        <f aca="false">IF(OR(A15="",H15&lt;&gt;"Approved"),"",COUNTIFS($A$6:A15,A15,$H$6:H15,"Approved"))</f>
        <v/>
      </c>
      <c r="C15" s="23" t="str">
        <f aca="false">IF(A15="","",Tender_Pack!$M$15)</f>
        <v>C:\Users\yourname\YourCompany\Design Library - Documents\01_Drainage\DRN-OD-2000x1800-S12-A\DRN-OD-2000x1800-S12-A_CAD.dwg</v>
      </c>
      <c r="D15" s="23" t="n">
        <f aca="false">IF(A15="","",Tender_Pack!$L$15)</f>
        <v>25</v>
      </c>
      <c r="E15" s="23" t="str">
        <f aca="false">IF(A15="","",UPPER(Tender_Pack!$H$15))</f>
        <v>CAST-IN-SITU OPEN DRAIN 2000W X 1800D, OUTLET / MAIN DRAIN, DRAIN SURCHARGE 12 KPA (SDRE), OPEN</v>
      </c>
      <c r="F15" s="23" t="str">
        <f aca="false">IF(A15="","",Tender_Pack!$B$15)</f>
        <v>DRN-OD-2000x1800-S12-A</v>
      </c>
      <c r="G15" s="23" t="str">
        <f aca="false">IF(A15="","",Tender_Pack!$I$15)</f>
        <v>A</v>
      </c>
      <c r="H15" s="23" t="str">
        <f aca="false">IF(A15="","",Tender_Pack!$J$15)</f>
        <v>Checked</v>
      </c>
    </row>
    <row r="16" customFormat="false" ht="15" hidden="false" customHeight="false" outlineLevel="0" collapsed="false">
      <c r="A16" s="23" t="str">
        <f aca="false">IF(Tender_Pack!$B$16="","",IF(Tender_Pack!$E$16="",1,Tender_Pack!$E$16))</f>
        <v/>
      </c>
      <c r="B16" s="23" t="str">
        <f aca="false">IF(OR(A16="",H16&lt;&gt;"Approved"),"",COUNTIFS($A$6:A16,A16,$H$6:H16,"Approved"))</f>
        <v/>
      </c>
      <c r="C16" s="23" t="str">
        <f aca="false">IF(A16="","",Tender_Pack!$M$16)</f>
        <v/>
      </c>
      <c r="D16" s="23" t="str">
        <f aca="false">IF(A16="","",Tender_Pack!$L$16)</f>
        <v/>
      </c>
      <c r="E16" s="23" t="str">
        <f aca="false">IF(A16="","",UPPER(Tender_Pack!$H$16))</f>
        <v/>
      </c>
      <c r="F16" s="23" t="str">
        <f aca="false">IF(A16="","",Tender_Pack!$B$16)</f>
        <v/>
      </c>
      <c r="G16" s="23" t="str">
        <f aca="false">IF(A16="","",Tender_Pack!$I$16)</f>
        <v/>
      </c>
      <c r="H16" s="23" t="str">
        <f aca="false">IF(A16="","",Tender_Pack!$J$16)</f>
        <v/>
      </c>
    </row>
    <row r="17" customFormat="false" ht="15" hidden="false" customHeight="false" outlineLevel="0" collapsed="false">
      <c r="A17" s="23" t="str">
        <f aca="false">IF(Tender_Pack!$B$17="","",IF(Tender_Pack!$E$17="",1,Tender_Pack!$E$17))</f>
        <v/>
      </c>
      <c r="B17" s="23" t="str">
        <f aca="false">IF(OR(A17="",H17&lt;&gt;"Approved"),"",COUNTIFS($A$6:A17,A17,$H$6:H17,"Approved"))</f>
        <v/>
      </c>
      <c r="C17" s="23" t="str">
        <f aca="false">IF(A17="","",Tender_Pack!$M$17)</f>
        <v/>
      </c>
      <c r="D17" s="23" t="str">
        <f aca="false">IF(A17="","",Tender_Pack!$L$17)</f>
        <v/>
      </c>
      <c r="E17" s="23" t="str">
        <f aca="false">IF(A17="","",UPPER(Tender_Pack!$H$17))</f>
        <v/>
      </c>
      <c r="F17" s="23" t="str">
        <f aca="false">IF(A17="","",Tender_Pack!$B$17)</f>
        <v/>
      </c>
      <c r="G17" s="23" t="str">
        <f aca="false">IF(A17="","",Tender_Pack!$I$17)</f>
        <v/>
      </c>
      <c r="H17" s="23" t="str">
        <f aca="false">IF(A17="","",Tender_Pack!$J$17)</f>
        <v/>
      </c>
    </row>
    <row r="18" customFormat="false" ht="15" hidden="false" customHeight="false" outlineLevel="0" collapsed="false">
      <c r="A18" s="23" t="str">
        <f aca="false">IF(Tender_Pack!$B$18="","",IF(Tender_Pack!$E$18="",1,Tender_Pack!$E$18))</f>
        <v/>
      </c>
      <c r="B18" s="23" t="str">
        <f aca="false">IF(OR(A18="",H18&lt;&gt;"Approved"),"",COUNTIFS($A$6:A18,A18,$H$6:H18,"Approved"))</f>
        <v/>
      </c>
      <c r="C18" s="23" t="str">
        <f aca="false">IF(A18="","",Tender_Pack!$M$18)</f>
        <v/>
      </c>
      <c r="D18" s="23" t="str">
        <f aca="false">IF(A18="","",Tender_Pack!$L$18)</f>
        <v/>
      </c>
      <c r="E18" s="23" t="str">
        <f aca="false">IF(A18="","",UPPER(Tender_Pack!$H$18))</f>
        <v/>
      </c>
      <c r="F18" s="23" t="str">
        <f aca="false">IF(A18="","",Tender_Pack!$B$18)</f>
        <v/>
      </c>
      <c r="G18" s="23" t="str">
        <f aca="false">IF(A18="","",Tender_Pack!$I$18)</f>
        <v/>
      </c>
      <c r="H18" s="23" t="str">
        <f aca="false">IF(A18="","",Tender_Pack!$J$18)</f>
        <v/>
      </c>
    </row>
    <row r="19" customFormat="false" ht="15" hidden="false" customHeight="false" outlineLevel="0" collapsed="false">
      <c r="A19" s="23" t="str">
        <f aca="false">IF(Tender_Pack!$B$19="","",IF(Tender_Pack!$E$19="",1,Tender_Pack!$E$19))</f>
        <v/>
      </c>
      <c r="B19" s="23" t="str">
        <f aca="false">IF(OR(A19="",H19&lt;&gt;"Approved"),"",COUNTIFS($A$6:A19,A19,$H$6:H19,"Approved"))</f>
        <v/>
      </c>
      <c r="C19" s="23" t="str">
        <f aca="false">IF(A19="","",Tender_Pack!$M$19)</f>
        <v/>
      </c>
      <c r="D19" s="23" t="str">
        <f aca="false">IF(A19="","",Tender_Pack!$L$19)</f>
        <v/>
      </c>
      <c r="E19" s="23" t="str">
        <f aca="false">IF(A19="","",UPPER(Tender_Pack!$H$19))</f>
        <v/>
      </c>
      <c r="F19" s="23" t="str">
        <f aca="false">IF(A19="","",Tender_Pack!$B$19)</f>
        <v/>
      </c>
      <c r="G19" s="23" t="str">
        <f aca="false">IF(A19="","",Tender_Pack!$I$19)</f>
        <v/>
      </c>
      <c r="H19" s="23" t="str">
        <f aca="false">IF(A19="","",Tender_Pack!$J$19)</f>
        <v/>
      </c>
    </row>
    <row r="20" customFormat="false" ht="15" hidden="false" customHeight="false" outlineLevel="0" collapsed="false">
      <c r="A20" s="23" t="str">
        <f aca="false">IF(Tender_Pack!$B$20="","",IF(Tender_Pack!$E$20="",1,Tender_Pack!$E$20))</f>
        <v/>
      </c>
      <c r="B20" s="23" t="str">
        <f aca="false">IF(OR(A20="",H20&lt;&gt;"Approved"),"",COUNTIFS($A$6:A20,A20,$H$6:H20,"Approved"))</f>
        <v/>
      </c>
      <c r="C20" s="23" t="str">
        <f aca="false">IF(A20="","",Tender_Pack!$M$20)</f>
        <v/>
      </c>
      <c r="D20" s="23" t="str">
        <f aca="false">IF(A20="","",Tender_Pack!$L$20)</f>
        <v/>
      </c>
      <c r="E20" s="23" t="str">
        <f aca="false">IF(A20="","",UPPER(Tender_Pack!$H$20))</f>
        <v/>
      </c>
      <c r="F20" s="23" t="str">
        <f aca="false">IF(A20="","",Tender_Pack!$B$20)</f>
        <v/>
      </c>
      <c r="G20" s="23" t="str">
        <f aca="false">IF(A20="","",Tender_Pack!$I$20)</f>
        <v/>
      </c>
      <c r="H20" s="23" t="str">
        <f aca="false">IF(A20="","",Tender_Pack!$J$20)</f>
        <v/>
      </c>
    </row>
    <row r="21" customFormat="false" ht="15" hidden="false" customHeight="false" outlineLevel="0" collapsed="false">
      <c r="A21" s="23" t="str">
        <f aca="false">IF(Tender_Pack!$B$21="","",IF(Tender_Pack!$E$21="",1,Tender_Pack!$E$21))</f>
        <v/>
      </c>
      <c r="B21" s="23" t="str">
        <f aca="false">IF(OR(A21="",H21&lt;&gt;"Approved"),"",COUNTIFS($A$6:A21,A21,$H$6:H21,"Approved"))</f>
        <v/>
      </c>
      <c r="C21" s="23" t="str">
        <f aca="false">IF(A21="","",Tender_Pack!$M$21)</f>
        <v/>
      </c>
      <c r="D21" s="23" t="str">
        <f aca="false">IF(A21="","",Tender_Pack!$L$21)</f>
        <v/>
      </c>
      <c r="E21" s="23" t="str">
        <f aca="false">IF(A21="","",UPPER(Tender_Pack!$H$21))</f>
        <v/>
      </c>
      <c r="F21" s="23" t="str">
        <f aca="false">IF(A21="","",Tender_Pack!$B$21)</f>
        <v/>
      </c>
      <c r="G21" s="23" t="str">
        <f aca="false">IF(A21="","",Tender_Pack!$I$21)</f>
        <v/>
      </c>
      <c r="H21" s="23" t="str">
        <f aca="false">IF(A21="","",Tender_Pack!$J$21)</f>
        <v/>
      </c>
    </row>
    <row r="22" customFormat="false" ht="15" hidden="false" customHeight="false" outlineLevel="0" collapsed="false">
      <c r="A22" s="23" t="str">
        <f aca="false">IF(Tender_Pack!$B$22="","",IF(Tender_Pack!$E$22="",1,Tender_Pack!$E$22))</f>
        <v/>
      </c>
      <c r="B22" s="23" t="str">
        <f aca="false">IF(OR(A22="",H22&lt;&gt;"Approved"),"",COUNTIFS($A$6:A22,A22,$H$6:H22,"Approved"))</f>
        <v/>
      </c>
      <c r="C22" s="23" t="str">
        <f aca="false">IF(A22="","",Tender_Pack!$M$22)</f>
        <v/>
      </c>
      <c r="D22" s="23" t="str">
        <f aca="false">IF(A22="","",Tender_Pack!$L$22)</f>
        <v/>
      </c>
      <c r="E22" s="23" t="str">
        <f aca="false">IF(A22="","",UPPER(Tender_Pack!$H$22))</f>
        <v/>
      </c>
      <c r="F22" s="23" t="str">
        <f aca="false">IF(A22="","",Tender_Pack!$B$22)</f>
        <v/>
      </c>
      <c r="G22" s="23" t="str">
        <f aca="false">IF(A22="","",Tender_Pack!$I$22)</f>
        <v/>
      </c>
      <c r="H22" s="23" t="str">
        <f aca="false">IF(A22="","",Tender_Pack!$J$22)</f>
        <v/>
      </c>
    </row>
    <row r="23" customFormat="false" ht="15" hidden="false" customHeight="false" outlineLevel="0" collapsed="false">
      <c r="A23" s="23" t="str">
        <f aca="false">IF(Tender_Pack!$B$23="","",IF(Tender_Pack!$E$23="",1,Tender_Pack!$E$23))</f>
        <v/>
      </c>
      <c r="B23" s="23" t="str">
        <f aca="false">IF(OR(A23="",H23&lt;&gt;"Approved"),"",COUNTIFS($A$6:A23,A23,$H$6:H23,"Approved"))</f>
        <v/>
      </c>
      <c r="C23" s="23" t="str">
        <f aca="false">IF(A23="","",Tender_Pack!$M$23)</f>
        <v/>
      </c>
      <c r="D23" s="23" t="str">
        <f aca="false">IF(A23="","",Tender_Pack!$L$23)</f>
        <v/>
      </c>
      <c r="E23" s="23" t="str">
        <f aca="false">IF(A23="","",UPPER(Tender_Pack!$H$23))</f>
        <v/>
      </c>
      <c r="F23" s="23" t="str">
        <f aca="false">IF(A23="","",Tender_Pack!$B$23)</f>
        <v/>
      </c>
      <c r="G23" s="23" t="str">
        <f aca="false">IF(A23="","",Tender_Pack!$I$23)</f>
        <v/>
      </c>
      <c r="H23" s="23" t="str">
        <f aca="false">IF(A23="","",Tender_Pack!$J$23)</f>
        <v/>
      </c>
    </row>
    <row r="24" customFormat="false" ht="15" hidden="false" customHeight="false" outlineLevel="0" collapsed="false">
      <c r="A24" s="23" t="str">
        <f aca="false">IF(Tender_Pack!$B$24="","",IF(Tender_Pack!$E$24="",1,Tender_Pack!$E$24))</f>
        <v/>
      </c>
      <c r="B24" s="23" t="str">
        <f aca="false">IF(OR(A24="",H24&lt;&gt;"Approved"),"",COUNTIFS($A$6:A24,A24,$H$6:H24,"Approved"))</f>
        <v/>
      </c>
      <c r="C24" s="23" t="str">
        <f aca="false">IF(A24="","",Tender_Pack!$M$24)</f>
        <v/>
      </c>
      <c r="D24" s="23" t="str">
        <f aca="false">IF(A24="","",Tender_Pack!$L$24)</f>
        <v/>
      </c>
      <c r="E24" s="23" t="str">
        <f aca="false">IF(A24="","",UPPER(Tender_Pack!$H$24))</f>
        <v/>
      </c>
      <c r="F24" s="23" t="str">
        <f aca="false">IF(A24="","",Tender_Pack!$B$24)</f>
        <v/>
      </c>
      <c r="G24" s="23" t="str">
        <f aca="false">IF(A24="","",Tender_Pack!$I$24)</f>
        <v/>
      </c>
      <c r="H24" s="23" t="str">
        <f aca="false">IF(A24="","",Tender_Pack!$J$24)</f>
        <v/>
      </c>
    </row>
    <row r="25" customFormat="false" ht="15" hidden="false" customHeight="false" outlineLevel="0" collapsed="false">
      <c r="A25" s="23" t="str">
        <f aca="false">IF(Tender_Pack!$B$25="","",IF(Tender_Pack!$E$25="",1,Tender_Pack!$E$25))</f>
        <v/>
      </c>
      <c r="B25" s="23" t="str">
        <f aca="false">IF(OR(A25="",H25&lt;&gt;"Approved"),"",COUNTIFS($A$6:A25,A25,$H$6:H25,"Approved"))</f>
        <v/>
      </c>
      <c r="C25" s="23" t="str">
        <f aca="false">IF(A25="","",Tender_Pack!$M$25)</f>
        <v/>
      </c>
      <c r="D25" s="23" t="str">
        <f aca="false">IF(A25="","",Tender_Pack!$L$25)</f>
        <v/>
      </c>
      <c r="E25" s="23" t="str">
        <f aca="false">IF(A25="","",UPPER(Tender_Pack!$H$25))</f>
        <v/>
      </c>
      <c r="F25" s="23" t="str">
        <f aca="false">IF(A25="","",Tender_Pack!$B$25)</f>
        <v/>
      </c>
      <c r="G25" s="23" t="str">
        <f aca="false">IF(A25="","",Tender_Pack!$I$25)</f>
        <v/>
      </c>
      <c r="H25" s="23" t="str">
        <f aca="false">IF(A25="","",Tender_Pack!$J$25)</f>
        <v/>
      </c>
    </row>
    <row r="26" customFormat="false" ht="15" hidden="false" customHeight="false" outlineLevel="0" collapsed="false">
      <c r="A26" s="23" t="str">
        <f aca="false">IF(Tender_Pack!$B$26="","",IF(Tender_Pack!$E$26="",1,Tender_Pack!$E$26))</f>
        <v/>
      </c>
      <c r="B26" s="23" t="str">
        <f aca="false">IF(OR(A26="",H26&lt;&gt;"Approved"),"",COUNTIFS($A$6:A26,A26,$H$6:H26,"Approved"))</f>
        <v/>
      </c>
      <c r="C26" s="23" t="str">
        <f aca="false">IF(A26="","",Tender_Pack!$M$26)</f>
        <v/>
      </c>
      <c r="D26" s="23" t="str">
        <f aca="false">IF(A26="","",Tender_Pack!$L$26)</f>
        <v/>
      </c>
      <c r="E26" s="23" t="str">
        <f aca="false">IF(A26="","",UPPER(Tender_Pack!$H$26))</f>
        <v/>
      </c>
      <c r="F26" s="23" t="str">
        <f aca="false">IF(A26="","",Tender_Pack!$B$26)</f>
        <v/>
      </c>
      <c r="G26" s="23" t="str">
        <f aca="false">IF(A26="","",Tender_Pack!$I$26)</f>
        <v/>
      </c>
      <c r="H26" s="23" t="str">
        <f aca="false">IF(A26="","",Tender_Pack!$J$26)</f>
        <v/>
      </c>
    </row>
    <row r="27" customFormat="false" ht="15" hidden="false" customHeight="false" outlineLevel="0" collapsed="false">
      <c r="A27" s="23" t="str">
        <f aca="false">IF(Tender_Pack!$B$27="","",IF(Tender_Pack!$E$27="",1,Tender_Pack!$E$27))</f>
        <v/>
      </c>
      <c r="B27" s="23" t="str">
        <f aca="false">IF(OR(A27="",H27&lt;&gt;"Approved"),"",COUNTIFS($A$6:A27,A27,$H$6:H27,"Approved"))</f>
        <v/>
      </c>
      <c r="C27" s="23" t="str">
        <f aca="false">IF(A27="","",Tender_Pack!$M$27)</f>
        <v/>
      </c>
      <c r="D27" s="23" t="str">
        <f aca="false">IF(A27="","",Tender_Pack!$L$27)</f>
        <v/>
      </c>
      <c r="E27" s="23" t="str">
        <f aca="false">IF(A27="","",UPPER(Tender_Pack!$H$27))</f>
        <v/>
      </c>
      <c r="F27" s="23" t="str">
        <f aca="false">IF(A27="","",Tender_Pack!$B$27)</f>
        <v/>
      </c>
      <c r="G27" s="23" t="str">
        <f aca="false">IF(A27="","",Tender_Pack!$I$27)</f>
        <v/>
      </c>
      <c r="H27" s="23" t="str">
        <f aca="false">IF(A27="","",Tender_Pack!$J$27)</f>
        <v/>
      </c>
    </row>
    <row r="28" customFormat="false" ht="15" hidden="false" customHeight="false" outlineLevel="0" collapsed="false">
      <c r="A28" s="23" t="str">
        <f aca="false">IF(Tender_Pack!$B$28="","",IF(Tender_Pack!$E$28="",1,Tender_Pack!$E$28))</f>
        <v/>
      </c>
      <c r="B28" s="23" t="str">
        <f aca="false">IF(OR(A28="",H28&lt;&gt;"Approved"),"",COUNTIFS($A$6:A28,A28,$H$6:H28,"Approved"))</f>
        <v/>
      </c>
      <c r="C28" s="23" t="str">
        <f aca="false">IF(A28="","",Tender_Pack!$M$28)</f>
        <v/>
      </c>
      <c r="D28" s="23" t="str">
        <f aca="false">IF(A28="","",Tender_Pack!$L$28)</f>
        <v/>
      </c>
      <c r="E28" s="23" t="str">
        <f aca="false">IF(A28="","",UPPER(Tender_Pack!$H$28))</f>
        <v/>
      </c>
      <c r="F28" s="23" t="str">
        <f aca="false">IF(A28="","",Tender_Pack!$B$28)</f>
        <v/>
      </c>
      <c r="G28" s="23" t="str">
        <f aca="false">IF(A28="","",Tender_Pack!$I$28)</f>
        <v/>
      </c>
      <c r="H28" s="23" t="str">
        <f aca="false">IF(A28="","",Tender_Pack!$J$28)</f>
        <v/>
      </c>
    </row>
    <row r="29" customFormat="false" ht="15" hidden="false" customHeight="false" outlineLevel="0" collapsed="false">
      <c r="A29" s="23" t="str">
        <f aca="false">IF(Tender_Pack!$B$29="","",IF(Tender_Pack!$E$29="",1,Tender_Pack!$E$29))</f>
        <v/>
      </c>
      <c r="B29" s="23" t="str">
        <f aca="false">IF(OR(A29="",H29&lt;&gt;"Approved"),"",COUNTIFS($A$6:A29,A29,$H$6:H29,"Approved"))</f>
        <v/>
      </c>
      <c r="C29" s="23" t="str">
        <f aca="false">IF(A29="","",Tender_Pack!$M$29)</f>
        <v/>
      </c>
      <c r="D29" s="23" t="str">
        <f aca="false">IF(A29="","",Tender_Pack!$L$29)</f>
        <v/>
      </c>
      <c r="E29" s="23" t="str">
        <f aca="false">IF(A29="","",UPPER(Tender_Pack!$H$29))</f>
        <v/>
      </c>
      <c r="F29" s="23" t="str">
        <f aca="false">IF(A29="","",Tender_Pack!$B$29)</f>
        <v/>
      </c>
      <c r="G29" s="23" t="str">
        <f aca="false">IF(A29="","",Tender_Pack!$I$29)</f>
        <v/>
      </c>
      <c r="H29" s="23" t="str">
        <f aca="false">IF(A29="","",Tender_Pack!$J$29)</f>
        <v/>
      </c>
    </row>
    <row r="30" customFormat="false" ht="15" hidden="false" customHeight="false" outlineLevel="0" collapsed="false">
      <c r="A30" s="23" t="str">
        <f aca="false">IF(Tender_Pack!$B$30="","",IF(Tender_Pack!$E$30="",1,Tender_Pack!$E$30))</f>
        <v/>
      </c>
      <c r="B30" s="23" t="str">
        <f aca="false">IF(OR(A30="",H30&lt;&gt;"Approved"),"",COUNTIFS($A$6:A30,A30,$H$6:H30,"Approved"))</f>
        <v/>
      </c>
      <c r="C30" s="23" t="str">
        <f aca="false">IF(A30="","",Tender_Pack!$M$30)</f>
        <v/>
      </c>
      <c r="D30" s="23" t="str">
        <f aca="false">IF(A30="","",Tender_Pack!$L$30)</f>
        <v/>
      </c>
      <c r="E30" s="23" t="str">
        <f aca="false">IF(A30="","",UPPER(Tender_Pack!$H$30))</f>
        <v/>
      </c>
      <c r="F30" s="23" t="str">
        <f aca="false">IF(A30="","",Tender_Pack!$B$30)</f>
        <v/>
      </c>
      <c r="G30" s="23" t="str">
        <f aca="false">IF(A30="","",Tender_Pack!$I$30)</f>
        <v/>
      </c>
      <c r="H30" s="23" t="str">
        <f aca="false">IF(A30="","",Tender_Pack!$J$30)</f>
        <v/>
      </c>
    </row>
    <row r="31" customFormat="false" ht="15" hidden="false" customHeight="false" outlineLevel="0" collapsed="false">
      <c r="A31" s="23" t="str">
        <f aca="false">IF(Tender_Pack!$B$31="","",IF(Tender_Pack!$E$31="",1,Tender_Pack!$E$31))</f>
        <v/>
      </c>
      <c r="B31" s="23" t="str">
        <f aca="false">IF(OR(A31="",H31&lt;&gt;"Approved"),"",COUNTIFS($A$6:A31,A31,$H$6:H31,"Approved"))</f>
        <v/>
      </c>
      <c r="C31" s="23" t="str">
        <f aca="false">IF(A31="","",Tender_Pack!$M$31)</f>
        <v/>
      </c>
      <c r="D31" s="23" t="str">
        <f aca="false">IF(A31="","",Tender_Pack!$L$31)</f>
        <v/>
      </c>
      <c r="E31" s="23" t="str">
        <f aca="false">IF(A31="","",UPPER(Tender_Pack!$H$31))</f>
        <v/>
      </c>
      <c r="F31" s="23" t="str">
        <f aca="false">IF(A31="","",Tender_Pack!$B$31)</f>
        <v/>
      </c>
      <c r="G31" s="23" t="str">
        <f aca="false">IF(A31="","",Tender_Pack!$I$31)</f>
        <v/>
      </c>
      <c r="H31" s="23" t="str">
        <f aca="false">IF(A31="","",Tender_Pack!$J$31)</f>
        <v/>
      </c>
    </row>
    <row r="32" customFormat="false" ht="15" hidden="false" customHeight="false" outlineLevel="0" collapsed="false">
      <c r="A32" s="23" t="str">
        <f aca="false">IF(Tender_Pack!$B$32="","",IF(Tender_Pack!$E$32="",1,Tender_Pack!$E$32))</f>
        <v/>
      </c>
      <c r="B32" s="23" t="str">
        <f aca="false">IF(OR(A32="",H32&lt;&gt;"Approved"),"",COUNTIFS($A$6:A32,A32,$H$6:H32,"Approved"))</f>
        <v/>
      </c>
      <c r="C32" s="23" t="str">
        <f aca="false">IF(A32="","",Tender_Pack!$M$32)</f>
        <v/>
      </c>
      <c r="D32" s="23" t="str">
        <f aca="false">IF(A32="","",Tender_Pack!$L$32)</f>
        <v/>
      </c>
      <c r="E32" s="23" t="str">
        <f aca="false">IF(A32="","",UPPER(Tender_Pack!$H$32))</f>
        <v/>
      </c>
      <c r="F32" s="23" t="str">
        <f aca="false">IF(A32="","",Tender_Pack!$B$32)</f>
        <v/>
      </c>
      <c r="G32" s="23" t="str">
        <f aca="false">IF(A32="","",Tender_Pack!$I$32)</f>
        <v/>
      </c>
      <c r="H32" s="23" t="str">
        <f aca="false">IF(A32="","",Tender_Pack!$J$32)</f>
        <v/>
      </c>
    </row>
    <row r="33" customFormat="false" ht="15" hidden="false" customHeight="false" outlineLevel="0" collapsed="false">
      <c r="A33" s="23" t="str">
        <f aca="false">IF(Tender_Pack!$B$33="","",IF(Tender_Pack!$E$33="",1,Tender_Pack!$E$33))</f>
        <v/>
      </c>
      <c r="B33" s="23" t="str">
        <f aca="false">IF(OR(A33="",H33&lt;&gt;"Approved"),"",COUNTIFS($A$6:A33,A33,$H$6:H33,"Approved"))</f>
        <v/>
      </c>
      <c r="C33" s="23" t="str">
        <f aca="false">IF(A33="","",Tender_Pack!$M$33)</f>
        <v/>
      </c>
      <c r="D33" s="23" t="str">
        <f aca="false">IF(A33="","",Tender_Pack!$L$33)</f>
        <v/>
      </c>
      <c r="E33" s="23" t="str">
        <f aca="false">IF(A33="","",UPPER(Tender_Pack!$H$33))</f>
        <v/>
      </c>
      <c r="F33" s="23" t="str">
        <f aca="false">IF(A33="","",Tender_Pack!$B$33)</f>
        <v/>
      </c>
      <c r="G33" s="23" t="str">
        <f aca="false">IF(A33="","",Tender_Pack!$I$33)</f>
        <v/>
      </c>
      <c r="H33" s="23" t="str">
        <f aca="false">IF(A33="","",Tender_Pack!$J$33)</f>
        <v/>
      </c>
    </row>
    <row r="34" customFormat="false" ht="15" hidden="false" customHeight="false" outlineLevel="0" collapsed="false">
      <c r="A34" s="23" t="str">
        <f aca="false">IF(Tender_Pack!$B$34="","",IF(Tender_Pack!$E$34="",1,Tender_Pack!$E$34))</f>
        <v/>
      </c>
      <c r="B34" s="23" t="str">
        <f aca="false">IF(OR(A34="",H34&lt;&gt;"Approved"),"",COUNTIFS($A$6:A34,A34,$H$6:H34,"Approved"))</f>
        <v/>
      </c>
      <c r="C34" s="23" t="str">
        <f aca="false">IF(A34="","",Tender_Pack!$M$34)</f>
        <v/>
      </c>
      <c r="D34" s="23" t="str">
        <f aca="false">IF(A34="","",Tender_Pack!$L$34)</f>
        <v/>
      </c>
      <c r="E34" s="23" t="str">
        <f aca="false">IF(A34="","",UPPER(Tender_Pack!$H$34))</f>
        <v/>
      </c>
      <c r="F34" s="23" t="str">
        <f aca="false">IF(A34="","",Tender_Pack!$B$34)</f>
        <v/>
      </c>
      <c r="G34" s="23" t="str">
        <f aca="false">IF(A34="","",Tender_Pack!$I$34)</f>
        <v/>
      </c>
      <c r="H34" s="23" t="str">
        <f aca="false">IF(A34="","",Tender_Pack!$J$34)</f>
        <v/>
      </c>
    </row>
    <row r="35" customFormat="false" ht="15" hidden="false" customHeight="false" outlineLevel="0" collapsed="false">
      <c r="A35" s="23" t="str">
        <f aca="false">IF(Tender_Pack!$B$35="","",IF(Tender_Pack!$E$35="",1,Tender_Pack!$E$35))</f>
        <v/>
      </c>
      <c r="B35" s="23" t="str">
        <f aca="false">IF(OR(A35="",H35&lt;&gt;"Approved"),"",COUNTIFS($A$6:A35,A35,$H$6:H35,"Approved"))</f>
        <v/>
      </c>
      <c r="C35" s="23" t="str">
        <f aca="false">IF(A35="","",Tender_Pack!$M$35)</f>
        <v/>
      </c>
      <c r="D35" s="23" t="str">
        <f aca="false">IF(A35="","",Tender_Pack!$L$35)</f>
        <v/>
      </c>
      <c r="E35" s="23" t="str">
        <f aca="false">IF(A35="","",UPPER(Tender_Pack!$H$35))</f>
        <v/>
      </c>
      <c r="F35" s="23" t="str">
        <f aca="false">IF(A35="","",Tender_Pack!$B$35)</f>
        <v/>
      </c>
      <c r="G35" s="23" t="str">
        <f aca="false">IF(A35="","",Tender_Pack!$I$35)</f>
        <v/>
      </c>
      <c r="H35" s="23" t="str">
        <f aca="false">IF(A35="","",Tender_Pack!$J$35)</f>
        <v/>
      </c>
    </row>
    <row r="36" customFormat="false" ht="15" hidden="false" customHeight="false" outlineLevel="0" collapsed="false">
      <c r="A36" s="23" t="str">
        <f aca="false">IF(Tender_Pack!$B$36="","",IF(Tender_Pack!$E$36="",1,Tender_Pack!$E$36))</f>
        <v/>
      </c>
      <c r="B36" s="23" t="str">
        <f aca="false">IF(OR(A36="",H36&lt;&gt;"Approved"),"",COUNTIFS($A$6:A36,A36,$H$6:H36,"Approved"))</f>
        <v/>
      </c>
      <c r="C36" s="23" t="str">
        <f aca="false">IF(A36="","",Tender_Pack!$M$36)</f>
        <v/>
      </c>
      <c r="D36" s="23" t="str">
        <f aca="false">IF(A36="","",Tender_Pack!$L$36)</f>
        <v/>
      </c>
      <c r="E36" s="23" t="str">
        <f aca="false">IF(A36="","",UPPER(Tender_Pack!$H$36))</f>
        <v/>
      </c>
      <c r="F36" s="23" t="str">
        <f aca="false">IF(A36="","",Tender_Pack!$B$36)</f>
        <v/>
      </c>
      <c r="G36" s="23" t="str">
        <f aca="false">IF(A36="","",Tender_Pack!$I$36)</f>
        <v/>
      </c>
      <c r="H36" s="23" t="str">
        <f aca="false">IF(A36="","",Tender_Pack!$J$36)</f>
        <v/>
      </c>
    </row>
    <row r="37" customFormat="false" ht="15" hidden="false" customHeight="false" outlineLevel="0" collapsed="false">
      <c r="A37" s="23" t="str">
        <f aca="false">IF(Tender_Pack!$B$37="","",IF(Tender_Pack!$E$37="",1,Tender_Pack!$E$37))</f>
        <v/>
      </c>
      <c r="B37" s="23" t="str">
        <f aca="false">IF(OR(A37="",H37&lt;&gt;"Approved"),"",COUNTIFS($A$6:A37,A37,$H$6:H37,"Approved"))</f>
        <v/>
      </c>
      <c r="C37" s="23" t="str">
        <f aca="false">IF(A37="","",Tender_Pack!$M$37)</f>
        <v/>
      </c>
      <c r="D37" s="23" t="str">
        <f aca="false">IF(A37="","",Tender_Pack!$L$37)</f>
        <v/>
      </c>
      <c r="E37" s="23" t="str">
        <f aca="false">IF(A37="","",UPPER(Tender_Pack!$H$37))</f>
        <v/>
      </c>
      <c r="F37" s="23" t="str">
        <f aca="false">IF(A37="","",Tender_Pack!$B$37)</f>
        <v/>
      </c>
      <c r="G37" s="23" t="str">
        <f aca="false">IF(A37="","",Tender_Pack!$I$37)</f>
        <v/>
      </c>
      <c r="H37" s="23" t="str">
        <f aca="false">IF(A37="","",Tender_Pack!$J$37)</f>
        <v/>
      </c>
    </row>
    <row r="38" customFormat="false" ht="15" hidden="false" customHeight="false" outlineLevel="0" collapsed="false">
      <c r="A38" s="23" t="str">
        <f aca="false">IF(Tender_Pack!$B$38="","",IF(Tender_Pack!$E$38="",1,Tender_Pack!$E$38))</f>
        <v/>
      </c>
      <c r="B38" s="23" t="str">
        <f aca="false">IF(OR(A38="",H38&lt;&gt;"Approved"),"",COUNTIFS($A$6:A38,A38,$H$6:H38,"Approved"))</f>
        <v/>
      </c>
      <c r="C38" s="23" t="str">
        <f aca="false">IF(A38="","",Tender_Pack!$M$38)</f>
        <v/>
      </c>
      <c r="D38" s="23" t="str">
        <f aca="false">IF(A38="","",Tender_Pack!$L$38)</f>
        <v/>
      </c>
      <c r="E38" s="23" t="str">
        <f aca="false">IF(A38="","",UPPER(Tender_Pack!$H$38))</f>
        <v/>
      </c>
      <c r="F38" s="23" t="str">
        <f aca="false">IF(A38="","",Tender_Pack!$B$38)</f>
        <v/>
      </c>
      <c r="G38" s="23" t="str">
        <f aca="false">IF(A38="","",Tender_Pack!$I$38)</f>
        <v/>
      </c>
      <c r="H38" s="23" t="str">
        <f aca="false">IF(A38="","",Tender_Pack!$J$38)</f>
        <v/>
      </c>
    </row>
    <row r="39" customFormat="false" ht="15" hidden="false" customHeight="false" outlineLevel="0" collapsed="false">
      <c r="A39" s="23" t="str">
        <f aca="false">IF(Tender_Pack!$B$39="","",IF(Tender_Pack!$E$39="",1,Tender_Pack!$E$39))</f>
        <v/>
      </c>
      <c r="B39" s="23" t="str">
        <f aca="false">IF(OR(A39="",H39&lt;&gt;"Approved"),"",COUNTIFS($A$6:A39,A39,$H$6:H39,"Approved"))</f>
        <v/>
      </c>
      <c r="C39" s="23" t="str">
        <f aca="false">IF(A39="","",Tender_Pack!$M$39)</f>
        <v/>
      </c>
      <c r="D39" s="23" t="str">
        <f aca="false">IF(A39="","",Tender_Pack!$L$39)</f>
        <v/>
      </c>
      <c r="E39" s="23" t="str">
        <f aca="false">IF(A39="","",UPPER(Tender_Pack!$H$39))</f>
        <v/>
      </c>
      <c r="F39" s="23" t="str">
        <f aca="false">IF(A39="","",Tender_Pack!$B$39)</f>
        <v/>
      </c>
      <c r="G39" s="23" t="str">
        <f aca="false">IF(A39="","",Tender_Pack!$I$39)</f>
        <v/>
      </c>
      <c r="H39" s="23" t="str">
        <f aca="false">IF(A39="","",Tender_Pack!$J$39)</f>
        <v/>
      </c>
    </row>
    <row r="40" customFormat="false" ht="15" hidden="false" customHeight="false" outlineLevel="0" collapsed="false">
      <c r="A40" s="23" t="str">
        <f aca="false">IF(Tender_Pack!$B$40="","",IF(Tender_Pack!$E$40="",1,Tender_Pack!$E$40))</f>
        <v/>
      </c>
      <c r="B40" s="23" t="str">
        <f aca="false">IF(OR(A40="",H40&lt;&gt;"Approved"),"",COUNTIFS($A$6:A40,A40,$H$6:H40,"Approved"))</f>
        <v/>
      </c>
      <c r="C40" s="23" t="str">
        <f aca="false">IF(A40="","",Tender_Pack!$M$40)</f>
        <v/>
      </c>
      <c r="D40" s="23" t="str">
        <f aca="false">IF(A40="","",Tender_Pack!$L$40)</f>
        <v/>
      </c>
      <c r="E40" s="23" t="str">
        <f aca="false">IF(A40="","",UPPER(Tender_Pack!$H$40))</f>
        <v/>
      </c>
      <c r="F40" s="23" t="str">
        <f aca="false">IF(A40="","",Tender_Pack!$B$40)</f>
        <v/>
      </c>
      <c r="G40" s="23" t="str">
        <f aca="false">IF(A40="","",Tender_Pack!$I$40)</f>
        <v/>
      </c>
      <c r="H40" s="23" t="str">
        <f aca="false">IF(A40="","",Tender_Pack!$J$40)</f>
        <v/>
      </c>
    </row>
    <row r="41" customFormat="false" ht="15" hidden="false" customHeight="false" outlineLevel="0" collapsed="false">
      <c r="A41" s="23" t="str">
        <f aca="false">IF(Tender_Pack!$B$41="","",IF(Tender_Pack!$E$41="",1,Tender_Pack!$E$41))</f>
        <v/>
      </c>
      <c r="B41" s="23" t="str">
        <f aca="false">IF(OR(A41="",H41&lt;&gt;"Approved"),"",COUNTIFS($A$6:A41,A41,$H$6:H41,"Approved"))</f>
        <v/>
      </c>
      <c r="C41" s="23" t="str">
        <f aca="false">IF(A41="","",Tender_Pack!$M$41)</f>
        <v/>
      </c>
      <c r="D41" s="23" t="str">
        <f aca="false">IF(A41="","",Tender_Pack!$L$41)</f>
        <v/>
      </c>
      <c r="E41" s="23" t="str">
        <f aca="false">IF(A41="","",UPPER(Tender_Pack!$H$41))</f>
        <v/>
      </c>
      <c r="F41" s="23" t="str">
        <f aca="false">IF(A41="","",Tender_Pack!$B$41)</f>
        <v/>
      </c>
      <c r="G41" s="23" t="str">
        <f aca="false">IF(A41="","",Tender_Pack!$I$41)</f>
        <v/>
      </c>
      <c r="H41" s="23" t="str">
        <f aca="false">IF(A41="","",Tender_Pack!$J$41)</f>
        <v/>
      </c>
    </row>
    <row r="42" customFormat="false" ht="15" hidden="false" customHeight="false" outlineLevel="0" collapsed="false">
      <c r="A42" s="23" t="str">
        <f aca="false">IF(Tender_Pack!$B$42="","",IF(Tender_Pack!$E$42="",1,Tender_Pack!$E$42))</f>
        <v/>
      </c>
      <c r="B42" s="23" t="str">
        <f aca="false">IF(OR(A42="",H42&lt;&gt;"Approved"),"",COUNTIFS($A$6:A42,A42,$H$6:H42,"Approved"))</f>
        <v/>
      </c>
      <c r="C42" s="23" t="str">
        <f aca="false">IF(A42="","",Tender_Pack!$M$42)</f>
        <v/>
      </c>
      <c r="D42" s="23" t="str">
        <f aca="false">IF(A42="","",Tender_Pack!$L$42)</f>
        <v/>
      </c>
      <c r="E42" s="23" t="str">
        <f aca="false">IF(A42="","",UPPER(Tender_Pack!$H$42))</f>
        <v/>
      </c>
      <c r="F42" s="23" t="str">
        <f aca="false">IF(A42="","",Tender_Pack!$B$42)</f>
        <v/>
      </c>
      <c r="G42" s="23" t="str">
        <f aca="false">IF(A42="","",Tender_Pack!$I$42)</f>
        <v/>
      </c>
      <c r="H42" s="23" t="str">
        <f aca="false">IF(A42="","",Tender_Pack!$J$42)</f>
        <v/>
      </c>
    </row>
    <row r="43" customFormat="false" ht="15" hidden="false" customHeight="false" outlineLevel="0" collapsed="false">
      <c r="A43" s="23" t="str">
        <f aca="false">IF(Tender_Pack!$B$43="","",IF(Tender_Pack!$E$43="",1,Tender_Pack!$E$43))</f>
        <v/>
      </c>
      <c r="B43" s="23" t="str">
        <f aca="false">IF(OR(A43="",H43&lt;&gt;"Approved"),"",COUNTIFS($A$6:A43,A43,$H$6:H43,"Approved"))</f>
        <v/>
      </c>
      <c r="C43" s="23" t="str">
        <f aca="false">IF(A43="","",Tender_Pack!$M$43)</f>
        <v/>
      </c>
      <c r="D43" s="23" t="str">
        <f aca="false">IF(A43="","",Tender_Pack!$L$43)</f>
        <v/>
      </c>
      <c r="E43" s="23" t="str">
        <f aca="false">IF(A43="","",UPPER(Tender_Pack!$H$43))</f>
        <v/>
      </c>
      <c r="F43" s="23" t="str">
        <f aca="false">IF(A43="","",Tender_Pack!$B$43)</f>
        <v/>
      </c>
      <c r="G43" s="23" t="str">
        <f aca="false">IF(A43="","",Tender_Pack!$I$43)</f>
        <v/>
      </c>
      <c r="H43" s="23" t="str">
        <f aca="false">IF(A43="","",Tender_Pack!$J$43)</f>
        <v/>
      </c>
    </row>
    <row r="44" customFormat="false" ht="15" hidden="false" customHeight="false" outlineLevel="0" collapsed="false">
      <c r="A44" s="23" t="str">
        <f aca="false">IF(Tender_Pack!$B$44="","",IF(Tender_Pack!$E$44="",1,Tender_Pack!$E$44))</f>
        <v/>
      </c>
      <c r="B44" s="23" t="str">
        <f aca="false">IF(OR(A44="",H44&lt;&gt;"Approved"),"",COUNTIFS($A$6:A44,A44,$H$6:H44,"Approved"))</f>
        <v/>
      </c>
      <c r="C44" s="23" t="str">
        <f aca="false">IF(A44="","",Tender_Pack!$M$44)</f>
        <v/>
      </c>
      <c r="D44" s="23" t="str">
        <f aca="false">IF(A44="","",Tender_Pack!$L$44)</f>
        <v/>
      </c>
      <c r="E44" s="23" t="str">
        <f aca="false">IF(A44="","",UPPER(Tender_Pack!$H$44))</f>
        <v/>
      </c>
      <c r="F44" s="23" t="str">
        <f aca="false">IF(A44="","",Tender_Pack!$B$44)</f>
        <v/>
      </c>
      <c r="G44" s="23" t="str">
        <f aca="false">IF(A44="","",Tender_Pack!$I$44)</f>
        <v/>
      </c>
      <c r="H44" s="23" t="str">
        <f aca="false">IF(A44="","",Tender_Pack!$J$44)</f>
        <v/>
      </c>
    </row>
    <row r="45" customFormat="false" ht="15" hidden="false" customHeight="false" outlineLevel="0" collapsed="false">
      <c r="A45" s="23" t="str">
        <f aca="false">IF(Tender_Pack!$B$45="","",IF(Tender_Pack!$E$45="",1,Tender_Pack!$E$45))</f>
        <v/>
      </c>
      <c r="B45" s="23" t="str">
        <f aca="false">IF(OR(A45="",H45&lt;&gt;"Approved"),"",COUNTIFS($A$6:A45,A45,$H$6:H45,"Approved"))</f>
        <v/>
      </c>
      <c r="C45" s="23" t="str">
        <f aca="false">IF(A45="","",Tender_Pack!$M$45)</f>
        <v/>
      </c>
      <c r="D45" s="23" t="str">
        <f aca="false">IF(A45="","",Tender_Pack!$L$45)</f>
        <v/>
      </c>
      <c r="E45" s="23" t="str">
        <f aca="false">IF(A45="","",UPPER(Tender_Pack!$H$45))</f>
        <v/>
      </c>
      <c r="F45" s="23" t="str">
        <f aca="false">IF(A45="","",Tender_Pack!$B$45)</f>
        <v/>
      </c>
      <c r="G45" s="23" t="str">
        <f aca="false">IF(A45="","",Tender_Pack!$I$45)</f>
        <v/>
      </c>
      <c r="H45" s="23" t="str">
        <f aca="false">IF(A45="","",Tender_Pack!$J$45)</f>
        <v/>
      </c>
    </row>
    <row r="46" customFormat="false" ht="15" hidden="false" customHeight="false" outlineLevel="0" collapsed="false">
      <c r="A46" s="23" t="str">
        <f aca="false">IF(Tender_Pack!$B$46="","",IF(Tender_Pack!$E$46="",1,Tender_Pack!$E$46))</f>
        <v/>
      </c>
      <c r="B46" s="23" t="str">
        <f aca="false">IF(OR(A46="",H46&lt;&gt;"Approved"),"",COUNTIFS($A$6:A46,A46,$H$6:H46,"Approved"))</f>
        <v/>
      </c>
      <c r="C46" s="23" t="str">
        <f aca="false">IF(A46="","",Tender_Pack!$M$46)</f>
        <v/>
      </c>
      <c r="D46" s="23" t="str">
        <f aca="false">IF(A46="","",Tender_Pack!$L$46)</f>
        <v/>
      </c>
      <c r="E46" s="23" t="str">
        <f aca="false">IF(A46="","",UPPER(Tender_Pack!$H$46))</f>
        <v/>
      </c>
      <c r="F46" s="23" t="str">
        <f aca="false">IF(A46="","",Tender_Pack!$B$46)</f>
        <v/>
      </c>
      <c r="G46" s="23" t="str">
        <f aca="false">IF(A46="","",Tender_Pack!$I$46)</f>
        <v/>
      </c>
      <c r="H46" s="23" t="str">
        <f aca="false">IF(A46="","",Tender_Pack!$J$46)</f>
        <v/>
      </c>
    </row>
    <row r="47" customFormat="false" ht="15" hidden="false" customHeight="false" outlineLevel="0" collapsed="false">
      <c r="A47" s="23" t="str">
        <f aca="false">IF(Tender_Pack!$B$47="","",IF(Tender_Pack!$E$47="",1,Tender_Pack!$E$47))</f>
        <v/>
      </c>
      <c r="B47" s="23" t="str">
        <f aca="false">IF(OR(A47="",H47&lt;&gt;"Approved"),"",COUNTIFS($A$6:A47,A47,$H$6:H47,"Approved"))</f>
        <v/>
      </c>
      <c r="C47" s="23" t="str">
        <f aca="false">IF(A47="","",Tender_Pack!$M$47)</f>
        <v/>
      </c>
      <c r="D47" s="23" t="str">
        <f aca="false">IF(A47="","",Tender_Pack!$L$47)</f>
        <v/>
      </c>
      <c r="E47" s="23" t="str">
        <f aca="false">IF(A47="","",UPPER(Tender_Pack!$H$47))</f>
        <v/>
      </c>
      <c r="F47" s="23" t="str">
        <f aca="false">IF(A47="","",Tender_Pack!$B$47)</f>
        <v/>
      </c>
      <c r="G47" s="23" t="str">
        <f aca="false">IF(A47="","",Tender_Pack!$I$47)</f>
        <v/>
      </c>
      <c r="H47" s="23" t="str">
        <f aca="false">IF(A47="","",Tender_Pack!$J$47)</f>
        <v/>
      </c>
    </row>
    <row r="48" customFormat="false" ht="15" hidden="false" customHeight="false" outlineLevel="0" collapsed="false">
      <c r="A48" s="23" t="str">
        <f aca="false">IF(Tender_Pack!$B$48="","",IF(Tender_Pack!$E$48="",1,Tender_Pack!$E$48))</f>
        <v/>
      </c>
      <c r="B48" s="23" t="str">
        <f aca="false">IF(OR(A48="",H48&lt;&gt;"Approved"),"",COUNTIFS($A$6:A48,A48,$H$6:H48,"Approved"))</f>
        <v/>
      </c>
      <c r="C48" s="23" t="str">
        <f aca="false">IF(A48="","",Tender_Pack!$M$48)</f>
        <v/>
      </c>
      <c r="D48" s="23" t="str">
        <f aca="false">IF(A48="","",Tender_Pack!$L$48)</f>
        <v/>
      </c>
      <c r="E48" s="23" t="str">
        <f aca="false">IF(A48="","",UPPER(Tender_Pack!$H$48))</f>
        <v/>
      </c>
      <c r="F48" s="23" t="str">
        <f aca="false">IF(A48="","",Tender_Pack!$B$48)</f>
        <v/>
      </c>
      <c r="G48" s="23" t="str">
        <f aca="false">IF(A48="","",Tender_Pack!$I$48)</f>
        <v/>
      </c>
      <c r="H48" s="23" t="str">
        <f aca="false">IF(A48="","",Tender_Pack!$J$48)</f>
        <v/>
      </c>
    </row>
    <row r="49" customFormat="false" ht="15" hidden="false" customHeight="false" outlineLevel="0" collapsed="false">
      <c r="A49" s="23" t="str">
        <f aca="false">IF(Tender_Pack!$B$49="","",IF(Tender_Pack!$E$49="",1,Tender_Pack!$E$49))</f>
        <v/>
      </c>
      <c r="B49" s="23" t="str">
        <f aca="false">IF(OR(A49="",H49&lt;&gt;"Approved"),"",COUNTIFS($A$6:A49,A49,$H$6:H49,"Approved"))</f>
        <v/>
      </c>
      <c r="C49" s="23" t="str">
        <f aca="false">IF(A49="","",Tender_Pack!$M$49)</f>
        <v/>
      </c>
      <c r="D49" s="23" t="str">
        <f aca="false">IF(A49="","",Tender_Pack!$L$49)</f>
        <v/>
      </c>
      <c r="E49" s="23" t="str">
        <f aca="false">IF(A49="","",UPPER(Tender_Pack!$H$49))</f>
        <v/>
      </c>
      <c r="F49" s="23" t="str">
        <f aca="false">IF(A49="","",Tender_Pack!$B$49)</f>
        <v/>
      </c>
      <c r="G49" s="23" t="str">
        <f aca="false">IF(A49="","",Tender_Pack!$I$49)</f>
        <v/>
      </c>
      <c r="H49" s="23" t="str">
        <f aca="false">IF(A49="","",Tender_Pack!$J$49)</f>
        <v/>
      </c>
    </row>
    <row r="50" customFormat="false" ht="15" hidden="false" customHeight="false" outlineLevel="0" collapsed="false">
      <c r="A50" s="23" t="str">
        <f aca="false">IF(Tender_Pack!$B$50="","",IF(Tender_Pack!$E$50="",1,Tender_Pack!$E$50))</f>
        <v/>
      </c>
      <c r="B50" s="23" t="str">
        <f aca="false">IF(OR(A50="",H50&lt;&gt;"Approved"),"",COUNTIFS($A$6:A50,A50,$H$6:H50,"Approved"))</f>
        <v/>
      </c>
      <c r="C50" s="23" t="str">
        <f aca="false">IF(A50="","",Tender_Pack!$M$50)</f>
        <v/>
      </c>
      <c r="D50" s="23" t="str">
        <f aca="false">IF(A50="","",Tender_Pack!$L$50)</f>
        <v/>
      </c>
      <c r="E50" s="23" t="str">
        <f aca="false">IF(A50="","",UPPER(Tender_Pack!$H$50))</f>
        <v/>
      </c>
      <c r="F50" s="23" t="str">
        <f aca="false">IF(A50="","",Tender_Pack!$B$50)</f>
        <v/>
      </c>
      <c r="G50" s="23" t="str">
        <f aca="false">IF(A50="","",Tender_Pack!$I$50)</f>
        <v/>
      </c>
      <c r="H50" s="23" t="str">
        <f aca="false">IF(A50="","",Tender_Pack!$J$50)</f>
        <v/>
      </c>
    </row>
    <row r="51" customFormat="false" ht="15" hidden="false" customHeight="false" outlineLevel="0" collapsed="false">
      <c r="A51" s="23" t="str">
        <f aca="false">IF(Tender_Pack!$B$51="","",IF(Tender_Pack!$E$51="",1,Tender_Pack!$E$51))</f>
        <v/>
      </c>
      <c r="B51" s="23" t="str">
        <f aca="false">IF(OR(A51="",H51&lt;&gt;"Approved"),"",COUNTIFS($A$6:A51,A51,$H$6:H51,"Approved"))</f>
        <v/>
      </c>
      <c r="C51" s="23" t="str">
        <f aca="false">IF(A51="","",Tender_Pack!$M$51)</f>
        <v/>
      </c>
      <c r="D51" s="23" t="str">
        <f aca="false">IF(A51="","",Tender_Pack!$L$51)</f>
        <v/>
      </c>
      <c r="E51" s="23" t="str">
        <f aca="false">IF(A51="","",UPPER(Tender_Pack!$H$51))</f>
        <v/>
      </c>
      <c r="F51" s="23" t="str">
        <f aca="false">IF(A51="","",Tender_Pack!$B$51)</f>
        <v/>
      </c>
      <c r="G51" s="23" t="str">
        <f aca="false">IF(A51="","",Tender_Pack!$I$51)</f>
        <v/>
      </c>
      <c r="H51" s="23" t="str">
        <f aca="false">IF(A51="","",Tender_Pack!$J$51)</f>
        <v/>
      </c>
    </row>
    <row r="52" customFormat="false" ht="15" hidden="false" customHeight="false" outlineLevel="0" collapsed="false">
      <c r="A52" s="23" t="str">
        <f aca="false">IF(Tender_Pack!$B$52="","",IF(Tender_Pack!$E$52="",1,Tender_Pack!$E$52))</f>
        <v/>
      </c>
      <c r="B52" s="23" t="str">
        <f aca="false">IF(OR(A52="",H52&lt;&gt;"Approved"),"",COUNTIFS($A$6:A52,A52,$H$6:H52,"Approved"))</f>
        <v/>
      </c>
      <c r="C52" s="23" t="str">
        <f aca="false">IF(A52="","",Tender_Pack!$M$52)</f>
        <v/>
      </c>
      <c r="D52" s="23" t="str">
        <f aca="false">IF(A52="","",Tender_Pack!$L$52)</f>
        <v/>
      </c>
      <c r="E52" s="23" t="str">
        <f aca="false">IF(A52="","",UPPER(Tender_Pack!$H$52))</f>
        <v/>
      </c>
      <c r="F52" s="23" t="str">
        <f aca="false">IF(A52="","",Tender_Pack!$B$52)</f>
        <v/>
      </c>
      <c r="G52" s="23" t="str">
        <f aca="false">IF(A52="","",Tender_Pack!$I$52)</f>
        <v/>
      </c>
      <c r="H52" s="23" t="str">
        <f aca="false">IF(A52="","",Tender_Pack!$J$52)</f>
        <v/>
      </c>
    </row>
    <row r="53" customFormat="false" ht="15" hidden="false" customHeight="false" outlineLevel="0" collapsed="false">
      <c r="A53" s="23" t="str">
        <f aca="false">IF(Tender_Pack!$B$53="","",IF(Tender_Pack!$E$53="",1,Tender_Pack!$E$53))</f>
        <v/>
      </c>
      <c r="B53" s="23" t="str">
        <f aca="false">IF(OR(A53="",H53&lt;&gt;"Approved"),"",COUNTIFS($A$6:A53,A53,$H$6:H53,"Approved"))</f>
        <v/>
      </c>
      <c r="C53" s="23" t="str">
        <f aca="false">IF(A53="","",Tender_Pack!$M$53)</f>
        <v/>
      </c>
      <c r="D53" s="23" t="str">
        <f aca="false">IF(A53="","",Tender_Pack!$L$53)</f>
        <v/>
      </c>
      <c r="E53" s="23" t="str">
        <f aca="false">IF(A53="","",UPPER(Tender_Pack!$H$53))</f>
        <v/>
      </c>
      <c r="F53" s="23" t="str">
        <f aca="false">IF(A53="","",Tender_Pack!$B$53)</f>
        <v/>
      </c>
      <c r="G53" s="23" t="str">
        <f aca="false">IF(A53="","",Tender_Pack!$I$53)</f>
        <v/>
      </c>
      <c r="H53" s="23" t="str">
        <f aca="false">IF(A53="","",Tender_Pack!$J$53)</f>
        <v/>
      </c>
    </row>
    <row r="54" customFormat="false" ht="15" hidden="false" customHeight="false" outlineLevel="0" collapsed="false">
      <c r="A54" s="23" t="str">
        <f aca="false">IF(Tender_Pack!$B$54="","",IF(Tender_Pack!$E$54="",1,Tender_Pack!$E$54))</f>
        <v/>
      </c>
      <c r="B54" s="23" t="str">
        <f aca="false">IF(OR(A54="",H54&lt;&gt;"Approved"),"",COUNTIFS($A$6:A54,A54,$H$6:H54,"Approved"))</f>
        <v/>
      </c>
      <c r="C54" s="23" t="str">
        <f aca="false">IF(A54="","",Tender_Pack!$M$54)</f>
        <v/>
      </c>
      <c r="D54" s="23" t="str">
        <f aca="false">IF(A54="","",Tender_Pack!$L$54)</f>
        <v/>
      </c>
      <c r="E54" s="23" t="str">
        <f aca="false">IF(A54="","",UPPER(Tender_Pack!$H$54))</f>
        <v/>
      </c>
      <c r="F54" s="23" t="str">
        <f aca="false">IF(A54="","",Tender_Pack!$B$54)</f>
        <v/>
      </c>
      <c r="G54" s="23" t="str">
        <f aca="false">IF(A54="","",Tender_Pack!$I$54)</f>
        <v/>
      </c>
      <c r="H54" s="23" t="str">
        <f aca="false">IF(A54="","",Tender_Pack!$J$54)</f>
        <v/>
      </c>
    </row>
    <row r="55" customFormat="false" ht="15" hidden="false" customHeight="false" outlineLevel="0" collapsed="false">
      <c r="A55" s="23" t="str">
        <f aca="false">IF(Tender_Pack!$B$55="","",IF(Tender_Pack!$E$55="",1,Tender_Pack!$E$55))</f>
        <v/>
      </c>
      <c r="B55" s="23" t="str">
        <f aca="false">IF(OR(A55="",H55&lt;&gt;"Approved"),"",COUNTIFS($A$6:A55,A55,$H$6:H55,"Approved"))</f>
        <v/>
      </c>
      <c r="C55" s="23" t="str">
        <f aca="false">IF(A55="","",Tender_Pack!$M$55)</f>
        <v/>
      </c>
      <c r="D55" s="23" t="str">
        <f aca="false">IF(A55="","",Tender_Pack!$L$55)</f>
        <v/>
      </c>
      <c r="E55" s="23" t="str">
        <f aca="false">IF(A55="","",UPPER(Tender_Pack!$H$55))</f>
        <v/>
      </c>
      <c r="F55" s="23" t="str">
        <f aca="false">IF(A55="","",Tender_Pack!$B$55)</f>
        <v/>
      </c>
      <c r="G55" s="23" t="str">
        <f aca="false">IF(A55="","",Tender_Pack!$I$55)</f>
        <v/>
      </c>
      <c r="H55" s="23" t="str">
        <f aca="false">IF(A55="","",Tender_Pack!$J$55)</f>
        <v/>
      </c>
    </row>
    <row r="56" customFormat="false" ht="15" hidden="false" customHeight="false" outlineLevel="0" collapsed="false">
      <c r="A56" s="23" t="str">
        <f aca="false">IF(Tender_Pack!$B$56="","",IF(Tender_Pack!$E$56="",1,Tender_Pack!$E$56))</f>
        <v/>
      </c>
      <c r="B56" s="23" t="str">
        <f aca="false">IF(OR(A56="",H56&lt;&gt;"Approved"),"",COUNTIFS($A$6:A56,A56,$H$6:H56,"Approved"))</f>
        <v/>
      </c>
      <c r="C56" s="23" t="str">
        <f aca="false">IF(A56="","",Tender_Pack!$M$56)</f>
        <v/>
      </c>
      <c r="D56" s="23" t="str">
        <f aca="false">IF(A56="","",Tender_Pack!$L$56)</f>
        <v/>
      </c>
      <c r="E56" s="23" t="str">
        <f aca="false">IF(A56="","",UPPER(Tender_Pack!$H$56))</f>
        <v/>
      </c>
      <c r="F56" s="23" t="str">
        <f aca="false">IF(A56="","",Tender_Pack!$B$56)</f>
        <v/>
      </c>
      <c r="G56" s="23" t="str">
        <f aca="false">IF(A56="","",Tender_Pack!$I$56)</f>
        <v/>
      </c>
      <c r="H56" s="23" t="str">
        <f aca="false">IF(A56="","",Tender_Pack!$J$56)</f>
        <v/>
      </c>
    </row>
    <row r="57" customFormat="false" ht="15" hidden="false" customHeight="false" outlineLevel="0" collapsed="false">
      <c r="A57" s="23" t="str">
        <f aca="false">IF(Tender_Pack!$B$57="","",IF(Tender_Pack!$E$57="",1,Tender_Pack!$E$57))</f>
        <v/>
      </c>
      <c r="B57" s="23" t="str">
        <f aca="false">IF(OR(A57="",H57&lt;&gt;"Approved"),"",COUNTIFS($A$6:A57,A57,$H$6:H57,"Approved"))</f>
        <v/>
      </c>
      <c r="C57" s="23" t="str">
        <f aca="false">IF(A57="","",Tender_Pack!$M$57)</f>
        <v/>
      </c>
      <c r="D57" s="23" t="str">
        <f aca="false">IF(A57="","",Tender_Pack!$L$57)</f>
        <v/>
      </c>
      <c r="E57" s="23" t="str">
        <f aca="false">IF(A57="","",UPPER(Tender_Pack!$H$57))</f>
        <v/>
      </c>
      <c r="F57" s="23" t="str">
        <f aca="false">IF(A57="","",Tender_Pack!$B$57)</f>
        <v/>
      </c>
      <c r="G57" s="23" t="str">
        <f aca="false">IF(A57="","",Tender_Pack!$I$57)</f>
        <v/>
      </c>
      <c r="H57" s="23" t="str">
        <f aca="false">IF(A57="","",Tender_Pack!$J$57)</f>
        <v/>
      </c>
    </row>
    <row r="58" customFormat="false" ht="15" hidden="false" customHeight="false" outlineLevel="0" collapsed="false">
      <c r="A58" s="23" t="str">
        <f aca="false">IF(Tender_Pack!$B$58="","",IF(Tender_Pack!$E$58="",1,Tender_Pack!$E$58))</f>
        <v/>
      </c>
      <c r="B58" s="23" t="str">
        <f aca="false">IF(OR(A58="",H58&lt;&gt;"Approved"),"",COUNTIFS($A$6:A58,A58,$H$6:H58,"Approved"))</f>
        <v/>
      </c>
      <c r="C58" s="23" t="str">
        <f aca="false">IF(A58="","",Tender_Pack!$M$58)</f>
        <v/>
      </c>
      <c r="D58" s="23" t="str">
        <f aca="false">IF(A58="","",Tender_Pack!$L$58)</f>
        <v/>
      </c>
      <c r="E58" s="23" t="str">
        <f aca="false">IF(A58="","",UPPER(Tender_Pack!$H$58))</f>
        <v/>
      </c>
      <c r="F58" s="23" t="str">
        <f aca="false">IF(A58="","",Tender_Pack!$B$58)</f>
        <v/>
      </c>
      <c r="G58" s="23" t="str">
        <f aca="false">IF(A58="","",Tender_Pack!$I$58)</f>
        <v/>
      </c>
      <c r="H58" s="23" t="str">
        <f aca="false">IF(A58="","",Tender_Pack!$J$58)</f>
        <v/>
      </c>
    </row>
    <row r="59" customFormat="false" ht="15" hidden="false" customHeight="false" outlineLevel="0" collapsed="false">
      <c r="A59" s="23" t="str">
        <f aca="false">IF(Tender_Pack!$B$59="","",IF(Tender_Pack!$E$59="",1,Tender_Pack!$E$59))</f>
        <v/>
      </c>
      <c r="B59" s="23" t="str">
        <f aca="false">IF(OR(A59="",H59&lt;&gt;"Approved"),"",COUNTIFS($A$6:A59,A59,$H$6:H59,"Approved"))</f>
        <v/>
      </c>
      <c r="C59" s="23" t="str">
        <f aca="false">IF(A59="","",Tender_Pack!$M$59)</f>
        <v/>
      </c>
      <c r="D59" s="23" t="str">
        <f aca="false">IF(A59="","",Tender_Pack!$L$59)</f>
        <v/>
      </c>
      <c r="E59" s="23" t="str">
        <f aca="false">IF(A59="","",UPPER(Tender_Pack!$H$59))</f>
        <v/>
      </c>
      <c r="F59" s="23" t="str">
        <f aca="false">IF(A59="","",Tender_Pack!$B$59)</f>
        <v/>
      </c>
      <c r="G59" s="23" t="str">
        <f aca="false">IF(A59="","",Tender_Pack!$I$59)</f>
        <v/>
      </c>
      <c r="H59" s="23" t="str">
        <f aca="false">IF(A59="","",Tender_Pack!$J$59)</f>
        <v/>
      </c>
    </row>
    <row r="60" customFormat="false" ht="15" hidden="false" customHeight="false" outlineLevel="0" collapsed="false">
      <c r="A60" s="23" t="str">
        <f aca="false">IF(Tender_Pack!$B$60="","",IF(Tender_Pack!$E$60="",1,Tender_Pack!$E$60))</f>
        <v/>
      </c>
      <c r="B60" s="23" t="str">
        <f aca="false">IF(OR(A60="",H60&lt;&gt;"Approved"),"",COUNTIFS($A$6:A60,A60,$H$6:H60,"Approved"))</f>
        <v/>
      </c>
      <c r="C60" s="23" t="str">
        <f aca="false">IF(A60="","",Tender_Pack!$M$60)</f>
        <v/>
      </c>
      <c r="D60" s="23" t="str">
        <f aca="false">IF(A60="","",Tender_Pack!$L$60)</f>
        <v/>
      </c>
      <c r="E60" s="23" t="str">
        <f aca="false">IF(A60="","",UPPER(Tender_Pack!$H$60))</f>
        <v/>
      </c>
      <c r="F60" s="23" t="str">
        <f aca="false">IF(A60="","",Tender_Pack!$B$60)</f>
        <v/>
      </c>
      <c r="G60" s="23" t="str">
        <f aca="false">IF(A60="","",Tender_Pack!$I$60)</f>
        <v/>
      </c>
      <c r="H60" s="23" t="str">
        <f aca="false">IF(A60="","",Tender_Pack!$J$60)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L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12" min="2" style="0" width="9"/>
  </cols>
  <sheetData>
    <row r="1" customFormat="false" ht="17.35" hidden="false" customHeight="false" outlineLevel="0" collapsed="false">
      <c r="A1" s="5" t="s">
        <v>179</v>
      </c>
    </row>
    <row r="3" customFormat="false" ht="15" hidden="false" customHeight="false" outlineLevel="0" collapsed="false">
      <c r="A3" s="22" t="s">
        <v>180</v>
      </c>
    </row>
    <row r="4" customFormat="false" ht="15" hidden="false" customHeight="false" outlineLevel="0" collapsed="false">
      <c r="A4" s="7" t="s">
        <v>65</v>
      </c>
      <c r="B4" s="15" t="n">
        <v>450</v>
      </c>
      <c r="C4" s="15" t="n">
        <v>600</v>
      </c>
      <c r="D4" s="15" t="n">
        <v>750</v>
      </c>
      <c r="E4" s="15" t="n">
        <v>900</v>
      </c>
      <c r="F4" s="15" t="n">
        <v>1050</v>
      </c>
      <c r="G4" s="15" t="n">
        <v>1200</v>
      </c>
      <c r="H4" s="15" t="n">
        <v>1500</v>
      </c>
      <c r="I4" s="15" t="n">
        <v>1800</v>
      </c>
      <c r="J4" s="15" t="n">
        <v>2000</v>
      </c>
      <c r="K4" s="15" t="n">
        <v>2400</v>
      </c>
      <c r="L4" s="15" t="n">
        <v>3000</v>
      </c>
    </row>
    <row r="5" customFormat="false" ht="15" hidden="false" customHeight="false" outlineLevel="0" collapsed="false">
      <c r="A5" s="26" t="s">
        <v>66</v>
      </c>
      <c r="B5" s="27" t="n">
        <f aca="false">COUNTIFS(Drain_Register!$D$5:$D$304,$A5,Drain_Register!$CA$5:$CA$304,"Y",Drain_Register!$G$5:$G$304,B$4)</f>
        <v>0</v>
      </c>
      <c r="C5" s="27" t="n">
        <f aca="false">COUNTIFS(Drain_Register!$D$5:$D$304,$A5,Drain_Register!$CA$5:$CA$304,"Y",Drain_Register!$G$5:$G$304,C$4)</f>
        <v>1</v>
      </c>
      <c r="D5" s="27" t="n">
        <f aca="false">COUNTIFS(Drain_Register!$D$5:$D$304,$A5,Drain_Register!$CA$5:$CA$304,"Y",Drain_Register!$G$5:$G$304,D$4)</f>
        <v>0</v>
      </c>
      <c r="E5" s="27" t="n">
        <f aca="false">COUNTIFS(Drain_Register!$D$5:$D$304,$A5,Drain_Register!$CA$5:$CA$304,"Y",Drain_Register!$G$5:$G$304,E$4)</f>
        <v>1</v>
      </c>
      <c r="F5" s="27" t="n">
        <f aca="false">COUNTIFS(Drain_Register!$D$5:$D$304,$A5,Drain_Register!$CA$5:$CA$304,"Y",Drain_Register!$G$5:$G$304,F$4)</f>
        <v>0</v>
      </c>
      <c r="G5" s="27" t="n">
        <f aca="false">COUNTIFS(Drain_Register!$D$5:$D$304,$A5,Drain_Register!$CA$5:$CA$304,"Y",Drain_Register!$G$5:$G$304,G$4)</f>
        <v>0</v>
      </c>
      <c r="H5" s="27" t="n">
        <f aca="false">COUNTIFS(Drain_Register!$D$5:$D$304,$A5,Drain_Register!$CA$5:$CA$304,"Y",Drain_Register!$G$5:$G$304,H$4)</f>
        <v>0</v>
      </c>
      <c r="I5" s="27" t="n">
        <f aca="false">COUNTIFS(Drain_Register!$D$5:$D$304,$A5,Drain_Register!$CA$5:$CA$304,"Y",Drain_Register!$G$5:$G$304,I$4)</f>
        <v>0</v>
      </c>
      <c r="J5" s="27" t="n">
        <f aca="false">COUNTIFS(Drain_Register!$D$5:$D$304,$A5,Drain_Register!$CA$5:$CA$304,"Y",Drain_Register!$G$5:$G$304,J$4)</f>
        <v>0</v>
      </c>
      <c r="K5" s="27" t="n">
        <f aca="false">COUNTIFS(Drain_Register!$D$5:$D$304,$A5,Drain_Register!$CA$5:$CA$304,"Y",Drain_Register!$G$5:$G$304,K$4)</f>
        <v>0</v>
      </c>
      <c r="L5" s="27" t="n">
        <f aca="false">COUNTIFS(Drain_Register!$D$5:$D$304,$A5,Drain_Register!$CA$5:$CA$304,"Y",Drain_Register!$G$5:$G$304,L$4)</f>
        <v>0</v>
      </c>
    </row>
    <row r="6" customFormat="false" ht="15" hidden="false" customHeight="false" outlineLevel="0" collapsed="false">
      <c r="A6" s="26" t="s">
        <v>181</v>
      </c>
      <c r="B6" s="27" t="n">
        <f aca="false">COUNTIFS(Drain_Register!$D$5:$D$304,$A6,Drain_Register!$CA$5:$CA$304,"Y",Drain_Register!$G$5:$G$304,B$4)</f>
        <v>0</v>
      </c>
      <c r="C6" s="27" t="n">
        <f aca="false">COUNTIFS(Drain_Register!$D$5:$D$304,$A6,Drain_Register!$CA$5:$CA$304,"Y",Drain_Register!$G$5:$G$304,C$4)</f>
        <v>1</v>
      </c>
      <c r="D6" s="27" t="n">
        <f aca="false">COUNTIFS(Drain_Register!$D$5:$D$304,$A6,Drain_Register!$CA$5:$CA$304,"Y",Drain_Register!$G$5:$G$304,D$4)</f>
        <v>0</v>
      </c>
      <c r="E6" s="27" t="n">
        <f aca="false">COUNTIFS(Drain_Register!$D$5:$D$304,$A6,Drain_Register!$CA$5:$CA$304,"Y",Drain_Register!$G$5:$G$304,E$4)</f>
        <v>0</v>
      </c>
      <c r="F6" s="27" t="n">
        <f aca="false">COUNTIFS(Drain_Register!$D$5:$D$304,$A6,Drain_Register!$CA$5:$CA$304,"Y",Drain_Register!$G$5:$G$304,F$4)</f>
        <v>0</v>
      </c>
      <c r="G6" s="27" t="n">
        <f aca="false">COUNTIFS(Drain_Register!$D$5:$D$304,$A6,Drain_Register!$CA$5:$CA$304,"Y",Drain_Register!$G$5:$G$304,G$4)</f>
        <v>0</v>
      </c>
      <c r="H6" s="27" t="n">
        <f aca="false">COUNTIFS(Drain_Register!$D$5:$D$304,$A6,Drain_Register!$CA$5:$CA$304,"Y",Drain_Register!$G$5:$G$304,H$4)</f>
        <v>0</v>
      </c>
      <c r="I6" s="27" t="n">
        <f aca="false">COUNTIFS(Drain_Register!$D$5:$D$304,$A6,Drain_Register!$CA$5:$CA$304,"Y",Drain_Register!$G$5:$G$304,I$4)</f>
        <v>0</v>
      </c>
      <c r="J6" s="27" t="n">
        <f aca="false">COUNTIFS(Drain_Register!$D$5:$D$304,$A6,Drain_Register!$CA$5:$CA$304,"Y",Drain_Register!$G$5:$G$304,J$4)</f>
        <v>0</v>
      </c>
      <c r="K6" s="27" t="n">
        <f aca="false">COUNTIFS(Drain_Register!$D$5:$D$304,$A6,Drain_Register!$CA$5:$CA$304,"Y",Drain_Register!$G$5:$G$304,K$4)</f>
        <v>0</v>
      </c>
      <c r="L6" s="27" t="n">
        <f aca="false">COUNTIFS(Drain_Register!$D$5:$D$304,$A6,Drain_Register!$CA$5:$CA$304,"Y",Drain_Register!$G$5:$G$304,L$4)</f>
        <v>0</v>
      </c>
    </row>
    <row r="7" customFormat="false" ht="15" hidden="false" customHeight="false" outlineLevel="0" collapsed="false">
      <c r="A7" s="26" t="s">
        <v>182</v>
      </c>
      <c r="B7" s="27" t="n">
        <f aca="false">COUNTIFS(Drain_Register!$D$5:$D$304,$A7,Drain_Register!$CA$5:$CA$304,"Y",Drain_Register!$G$5:$G$304,B$4)</f>
        <v>0</v>
      </c>
      <c r="C7" s="27" t="n">
        <f aca="false">COUNTIFS(Drain_Register!$D$5:$D$304,$A7,Drain_Register!$CA$5:$CA$304,"Y",Drain_Register!$G$5:$G$304,C$4)</f>
        <v>0</v>
      </c>
      <c r="D7" s="27" t="n">
        <f aca="false">COUNTIFS(Drain_Register!$D$5:$D$304,$A7,Drain_Register!$CA$5:$CA$304,"Y",Drain_Register!$G$5:$G$304,D$4)</f>
        <v>0</v>
      </c>
      <c r="E7" s="27" t="n">
        <f aca="false">COUNTIFS(Drain_Register!$D$5:$D$304,$A7,Drain_Register!$CA$5:$CA$304,"Y",Drain_Register!$G$5:$G$304,E$4)</f>
        <v>0</v>
      </c>
      <c r="F7" s="27" t="n">
        <f aca="false">COUNTIFS(Drain_Register!$D$5:$D$304,$A7,Drain_Register!$CA$5:$CA$304,"Y",Drain_Register!$G$5:$G$304,F$4)</f>
        <v>0</v>
      </c>
      <c r="G7" s="27" t="n">
        <f aca="false">COUNTIFS(Drain_Register!$D$5:$D$304,$A7,Drain_Register!$CA$5:$CA$304,"Y",Drain_Register!$G$5:$G$304,G$4)</f>
        <v>1</v>
      </c>
      <c r="H7" s="27" t="n">
        <f aca="false">COUNTIFS(Drain_Register!$D$5:$D$304,$A7,Drain_Register!$CA$5:$CA$304,"Y",Drain_Register!$G$5:$G$304,H$4)</f>
        <v>0</v>
      </c>
      <c r="I7" s="27" t="n">
        <f aca="false">COUNTIFS(Drain_Register!$D$5:$D$304,$A7,Drain_Register!$CA$5:$CA$304,"Y",Drain_Register!$G$5:$G$304,I$4)</f>
        <v>0</v>
      </c>
      <c r="J7" s="27" t="n">
        <f aca="false">COUNTIFS(Drain_Register!$D$5:$D$304,$A7,Drain_Register!$CA$5:$CA$304,"Y",Drain_Register!$G$5:$G$304,J$4)</f>
        <v>0</v>
      </c>
      <c r="K7" s="27" t="n">
        <f aca="false">COUNTIFS(Drain_Register!$D$5:$D$304,$A7,Drain_Register!$CA$5:$CA$304,"Y",Drain_Register!$G$5:$G$304,K$4)</f>
        <v>0</v>
      </c>
      <c r="L7" s="27" t="n">
        <f aca="false">COUNTIFS(Drain_Register!$D$5:$D$304,$A7,Drain_Register!$CA$5:$CA$304,"Y",Drain_Register!$G$5:$G$304,L$4)</f>
        <v>0</v>
      </c>
    </row>
    <row r="8" customFormat="false" ht="15" hidden="false" customHeight="false" outlineLevel="0" collapsed="false">
      <c r="A8" s="26" t="s">
        <v>183</v>
      </c>
      <c r="B8" s="27" t="n">
        <f aca="false">COUNTIFS(Drain_Register!$D$5:$D$304,$A8,Drain_Register!$CA$5:$CA$304,"Y",Drain_Register!$G$5:$G$304,B$4)</f>
        <v>0</v>
      </c>
      <c r="C8" s="27" t="n">
        <f aca="false">COUNTIFS(Drain_Register!$D$5:$D$304,$A8,Drain_Register!$CA$5:$CA$304,"Y",Drain_Register!$G$5:$G$304,C$4)</f>
        <v>0</v>
      </c>
      <c r="D8" s="27" t="n">
        <f aca="false">COUNTIFS(Drain_Register!$D$5:$D$304,$A8,Drain_Register!$CA$5:$CA$304,"Y",Drain_Register!$G$5:$G$304,D$4)</f>
        <v>0</v>
      </c>
      <c r="E8" s="27" t="n">
        <f aca="false">COUNTIFS(Drain_Register!$D$5:$D$304,$A8,Drain_Register!$CA$5:$CA$304,"Y",Drain_Register!$G$5:$G$304,E$4)</f>
        <v>0</v>
      </c>
      <c r="F8" s="27" t="n">
        <f aca="false">COUNTIFS(Drain_Register!$D$5:$D$304,$A8,Drain_Register!$CA$5:$CA$304,"Y",Drain_Register!$G$5:$G$304,F$4)</f>
        <v>0</v>
      </c>
      <c r="G8" s="27" t="n">
        <f aca="false">COUNTIFS(Drain_Register!$D$5:$D$304,$A8,Drain_Register!$CA$5:$CA$304,"Y",Drain_Register!$G$5:$G$304,G$4)</f>
        <v>0</v>
      </c>
      <c r="H8" s="27" t="n">
        <f aca="false">COUNTIFS(Drain_Register!$D$5:$D$304,$A8,Drain_Register!$CA$5:$CA$304,"Y",Drain_Register!$G$5:$G$304,H$4)</f>
        <v>1</v>
      </c>
      <c r="I8" s="27" t="n">
        <f aca="false">COUNTIFS(Drain_Register!$D$5:$D$304,$A8,Drain_Register!$CA$5:$CA$304,"Y",Drain_Register!$G$5:$G$304,I$4)</f>
        <v>0</v>
      </c>
      <c r="J8" s="27" t="n">
        <f aca="false">COUNTIFS(Drain_Register!$D$5:$D$304,$A8,Drain_Register!$CA$5:$CA$304,"Y",Drain_Register!$G$5:$G$304,J$4)</f>
        <v>0</v>
      </c>
      <c r="K8" s="27" t="n">
        <f aca="false">COUNTIFS(Drain_Register!$D$5:$D$304,$A8,Drain_Register!$CA$5:$CA$304,"Y",Drain_Register!$G$5:$G$304,K$4)</f>
        <v>1</v>
      </c>
      <c r="L8" s="27" t="n">
        <f aca="false">COUNTIFS(Drain_Register!$D$5:$D$304,$A8,Drain_Register!$CA$5:$CA$304,"Y",Drain_Register!$G$5:$G$304,L$4)</f>
        <v>0</v>
      </c>
    </row>
    <row r="9" customFormat="false" ht="15" hidden="false" customHeight="false" outlineLevel="0" collapsed="false">
      <c r="A9" s="26" t="s">
        <v>184</v>
      </c>
      <c r="B9" s="27" t="n">
        <f aca="false">COUNTIFS(Drain_Register!$D$5:$D$304,$A9,Drain_Register!$CA$5:$CA$304,"Y",Drain_Register!$G$5:$G$304,B$4)</f>
        <v>0</v>
      </c>
      <c r="C9" s="27" t="n">
        <f aca="false">COUNTIFS(Drain_Register!$D$5:$D$304,$A9,Drain_Register!$CA$5:$CA$304,"Y",Drain_Register!$G$5:$G$304,C$4)</f>
        <v>0</v>
      </c>
      <c r="D9" s="27" t="n">
        <f aca="false">COUNTIFS(Drain_Register!$D$5:$D$304,$A9,Drain_Register!$CA$5:$CA$304,"Y",Drain_Register!$G$5:$G$304,D$4)</f>
        <v>0</v>
      </c>
      <c r="E9" s="27" t="n">
        <f aca="false">COUNTIFS(Drain_Register!$D$5:$D$304,$A9,Drain_Register!$CA$5:$CA$304,"Y",Drain_Register!$G$5:$G$304,E$4)</f>
        <v>0</v>
      </c>
      <c r="F9" s="27" t="n">
        <f aca="false">COUNTIFS(Drain_Register!$D$5:$D$304,$A9,Drain_Register!$CA$5:$CA$304,"Y",Drain_Register!$G$5:$G$304,F$4)</f>
        <v>0</v>
      </c>
      <c r="G9" s="27" t="n">
        <f aca="false">COUNTIFS(Drain_Register!$D$5:$D$304,$A9,Drain_Register!$CA$5:$CA$304,"Y",Drain_Register!$G$5:$G$304,G$4)</f>
        <v>0</v>
      </c>
      <c r="H9" s="27" t="n">
        <f aca="false">COUNTIFS(Drain_Register!$D$5:$D$304,$A9,Drain_Register!$CA$5:$CA$304,"Y",Drain_Register!$G$5:$G$304,H$4)</f>
        <v>0</v>
      </c>
      <c r="I9" s="27" t="n">
        <f aca="false">COUNTIFS(Drain_Register!$D$5:$D$304,$A9,Drain_Register!$CA$5:$CA$304,"Y",Drain_Register!$G$5:$G$304,I$4)</f>
        <v>0</v>
      </c>
      <c r="J9" s="27" t="n">
        <f aca="false">COUNTIFS(Drain_Register!$D$5:$D$304,$A9,Drain_Register!$CA$5:$CA$304,"Y",Drain_Register!$G$5:$G$304,J$4)</f>
        <v>0</v>
      </c>
      <c r="K9" s="27" t="n">
        <f aca="false">COUNTIFS(Drain_Register!$D$5:$D$304,$A9,Drain_Register!$CA$5:$CA$304,"Y",Drain_Register!$G$5:$G$304,K$4)</f>
        <v>0</v>
      </c>
      <c r="L9" s="27" t="n">
        <f aca="false">COUNTIFS(Drain_Register!$D$5:$D$304,$A9,Drain_Register!$CA$5:$CA$304,"Y",Drain_Register!$G$5:$G$304,L$4)</f>
        <v>0</v>
      </c>
    </row>
    <row r="10" customFormat="false" ht="15" hidden="false" customHeight="false" outlineLevel="0" collapsed="false">
      <c r="A10" s="26" t="s">
        <v>185</v>
      </c>
      <c r="B10" s="27" t="n">
        <f aca="false">COUNTIFS(Drain_Register!$D$5:$D$304,$A10,Drain_Register!$CA$5:$CA$304,"Y",Drain_Register!$G$5:$G$304,B$4)</f>
        <v>0</v>
      </c>
      <c r="C10" s="27" t="n">
        <f aca="false">COUNTIFS(Drain_Register!$D$5:$D$304,$A10,Drain_Register!$CA$5:$CA$304,"Y",Drain_Register!$G$5:$G$304,C$4)</f>
        <v>1</v>
      </c>
      <c r="D10" s="27" t="n">
        <f aca="false">COUNTIFS(Drain_Register!$D$5:$D$304,$A10,Drain_Register!$CA$5:$CA$304,"Y",Drain_Register!$G$5:$G$304,D$4)</f>
        <v>0</v>
      </c>
      <c r="E10" s="27" t="n">
        <f aca="false">COUNTIFS(Drain_Register!$D$5:$D$304,$A10,Drain_Register!$CA$5:$CA$304,"Y",Drain_Register!$G$5:$G$304,E$4)</f>
        <v>0</v>
      </c>
      <c r="F10" s="27" t="n">
        <f aca="false">COUNTIFS(Drain_Register!$D$5:$D$304,$A10,Drain_Register!$CA$5:$CA$304,"Y",Drain_Register!$G$5:$G$304,F$4)</f>
        <v>0</v>
      </c>
      <c r="G10" s="27" t="n">
        <f aca="false">COUNTIFS(Drain_Register!$D$5:$D$304,$A10,Drain_Register!$CA$5:$CA$304,"Y",Drain_Register!$G$5:$G$304,G$4)</f>
        <v>0</v>
      </c>
      <c r="H10" s="27" t="n">
        <f aca="false">COUNTIFS(Drain_Register!$D$5:$D$304,$A10,Drain_Register!$CA$5:$CA$304,"Y",Drain_Register!$G$5:$G$304,H$4)</f>
        <v>0</v>
      </c>
      <c r="I10" s="27" t="n">
        <f aca="false">COUNTIFS(Drain_Register!$D$5:$D$304,$A10,Drain_Register!$CA$5:$CA$304,"Y",Drain_Register!$G$5:$G$304,I$4)</f>
        <v>0</v>
      </c>
      <c r="J10" s="27" t="n">
        <f aca="false">COUNTIFS(Drain_Register!$D$5:$D$304,$A10,Drain_Register!$CA$5:$CA$304,"Y",Drain_Register!$G$5:$G$304,J$4)</f>
        <v>0</v>
      </c>
      <c r="K10" s="27" t="n">
        <f aca="false">COUNTIFS(Drain_Register!$D$5:$D$304,$A10,Drain_Register!$CA$5:$CA$304,"Y",Drain_Register!$G$5:$G$304,K$4)</f>
        <v>0</v>
      </c>
      <c r="L10" s="27" t="n">
        <f aca="false">COUNTIFS(Drain_Register!$D$5:$D$304,$A10,Drain_Register!$CA$5:$CA$304,"Y",Drain_Register!$G$5:$G$304,L$4)</f>
        <v>0</v>
      </c>
    </row>
    <row r="11" customFormat="false" ht="15" hidden="false" customHeight="false" outlineLevel="0" collapsed="false">
      <c r="A11" s="26" t="s">
        <v>186</v>
      </c>
      <c r="B11" s="27" t="n">
        <f aca="false">COUNTIFS(Drain_Register!$D$5:$D$304,$A11,Drain_Register!$CA$5:$CA$304,"Y",Drain_Register!$G$5:$G$304,B$4)</f>
        <v>0</v>
      </c>
      <c r="C11" s="27" t="n">
        <f aca="false">COUNTIFS(Drain_Register!$D$5:$D$304,$A11,Drain_Register!$CA$5:$CA$304,"Y",Drain_Register!$G$5:$G$304,C$4)</f>
        <v>0</v>
      </c>
      <c r="D11" s="27" t="n">
        <f aca="false">COUNTIFS(Drain_Register!$D$5:$D$304,$A11,Drain_Register!$CA$5:$CA$304,"Y",Drain_Register!$G$5:$G$304,D$4)</f>
        <v>0</v>
      </c>
      <c r="E11" s="27" t="n">
        <f aca="false">COUNTIFS(Drain_Register!$D$5:$D$304,$A11,Drain_Register!$CA$5:$CA$304,"Y",Drain_Register!$G$5:$G$304,E$4)</f>
        <v>0</v>
      </c>
      <c r="F11" s="27" t="n">
        <f aca="false">COUNTIFS(Drain_Register!$D$5:$D$304,$A11,Drain_Register!$CA$5:$CA$304,"Y",Drain_Register!$G$5:$G$304,F$4)</f>
        <v>0</v>
      </c>
      <c r="G11" s="27" t="n">
        <f aca="false">COUNTIFS(Drain_Register!$D$5:$D$304,$A11,Drain_Register!$CA$5:$CA$304,"Y",Drain_Register!$G$5:$G$304,G$4)</f>
        <v>0</v>
      </c>
      <c r="H11" s="27" t="n">
        <f aca="false">COUNTIFS(Drain_Register!$D$5:$D$304,$A11,Drain_Register!$CA$5:$CA$304,"Y",Drain_Register!$G$5:$G$304,H$4)</f>
        <v>0</v>
      </c>
      <c r="I11" s="27" t="n">
        <f aca="false">COUNTIFS(Drain_Register!$D$5:$D$304,$A11,Drain_Register!$CA$5:$CA$304,"Y",Drain_Register!$G$5:$G$304,I$4)</f>
        <v>0</v>
      </c>
      <c r="J11" s="27" t="n">
        <f aca="false">COUNTIFS(Drain_Register!$D$5:$D$304,$A11,Drain_Register!$CA$5:$CA$304,"Y",Drain_Register!$G$5:$G$304,J$4)</f>
        <v>0</v>
      </c>
      <c r="K11" s="27" t="n">
        <f aca="false">COUNTIFS(Drain_Register!$D$5:$D$304,$A11,Drain_Register!$CA$5:$CA$304,"Y",Drain_Register!$G$5:$G$304,K$4)</f>
        <v>0</v>
      </c>
      <c r="L11" s="27" t="n">
        <f aca="false">COUNTIFS(Drain_Register!$D$5:$D$304,$A11,Drain_Register!$CA$5:$CA$304,"Y",Drain_Register!$G$5:$G$304,L$4)</f>
        <v>0</v>
      </c>
    </row>
    <row r="12" customFormat="false" ht="15" hidden="false" customHeight="false" outlineLevel="0" collapsed="false">
      <c r="A12" s="26" t="s">
        <v>187</v>
      </c>
      <c r="B12" s="27" t="n">
        <f aca="false">COUNTIFS(Drain_Register!$D$5:$D$304,$A12,Drain_Register!$CA$5:$CA$304,"Y",Drain_Register!$G$5:$G$304,B$4)</f>
        <v>1</v>
      </c>
      <c r="C12" s="27" t="n">
        <f aca="false">COUNTIFS(Drain_Register!$D$5:$D$304,$A12,Drain_Register!$CA$5:$CA$304,"Y",Drain_Register!$G$5:$G$304,C$4)</f>
        <v>0</v>
      </c>
      <c r="D12" s="27" t="n">
        <f aca="false">COUNTIFS(Drain_Register!$D$5:$D$304,$A12,Drain_Register!$CA$5:$CA$304,"Y",Drain_Register!$G$5:$G$304,D$4)</f>
        <v>0</v>
      </c>
      <c r="E12" s="27" t="n">
        <f aca="false">COUNTIFS(Drain_Register!$D$5:$D$304,$A12,Drain_Register!$CA$5:$CA$304,"Y",Drain_Register!$G$5:$G$304,E$4)</f>
        <v>0</v>
      </c>
      <c r="F12" s="27" t="n">
        <f aca="false">COUNTIFS(Drain_Register!$D$5:$D$304,$A12,Drain_Register!$CA$5:$CA$304,"Y",Drain_Register!$G$5:$G$304,F$4)</f>
        <v>0</v>
      </c>
      <c r="G12" s="27" t="n">
        <f aca="false">COUNTIFS(Drain_Register!$D$5:$D$304,$A12,Drain_Register!$CA$5:$CA$304,"Y",Drain_Register!$G$5:$G$304,G$4)</f>
        <v>0</v>
      </c>
      <c r="H12" s="27" t="n">
        <f aca="false">COUNTIFS(Drain_Register!$D$5:$D$304,$A12,Drain_Register!$CA$5:$CA$304,"Y",Drain_Register!$G$5:$G$304,H$4)</f>
        <v>0</v>
      </c>
      <c r="I12" s="27" t="n">
        <f aca="false">COUNTIFS(Drain_Register!$D$5:$D$304,$A12,Drain_Register!$CA$5:$CA$304,"Y",Drain_Register!$G$5:$G$304,I$4)</f>
        <v>0</v>
      </c>
      <c r="J12" s="27" t="n">
        <f aca="false">COUNTIFS(Drain_Register!$D$5:$D$304,$A12,Drain_Register!$CA$5:$CA$304,"Y",Drain_Register!$G$5:$G$304,J$4)</f>
        <v>0</v>
      </c>
      <c r="K12" s="27" t="n">
        <f aca="false">COUNTIFS(Drain_Register!$D$5:$D$304,$A12,Drain_Register!$CA$5:$CA$304,"Y",Drain_Register!$G$5:$G$304,K$4)</f>
        <v>0</v>
      </c>
      <c r="L12" s="27" t="n">
        <f aca="false">COUNTIFS(Drain_Register!$D$5:$D$304,$A12,Drain_Register!$CA$5:$CA$304,"Y",Drain_Register!$G$5:$G$304,L$4)</f>
        <v>0</v>
      </c>
    </row>
    <row r="13" customFormat="false" ht="15" hidden="false" customHeight="false" outlineLevel="0" collapsed="false">
      <c r="A13" s="26" t="s">
        <v>188</v>
      </c>
      <c r="B13" s="27" t="n">
        <f aca="false">COUNTIFS(Drain_Register!$D$5:$D$304,$A13,Drain_Register!$CA$5:$CA$304,"Y",Drain_Register!$G$5:$G$304,B$4)</f>
        <v>0</v>
      </c>
      <c r="C13" s="27" t="n">
        <f aca="false">COUNTIFS(Drain_Register!$D$5:$D$304,$A13,Drain_Register!$CA$5:$CA$304,"Y",Drain_Register!$G$5:$G$304,C$4)</f>
        <v>1</v>
      </c>
      <c r="D13" s="27" t="n">
        <f aca="false">COUNTIFS(Drain_Register!$D$5:$D$304,$A13,Drain_Register!$CA$5:$CA$304,"Y",Drain_Register!$G$5:$G$304,D$4)</f>
        <v>0</v>
      </c>
      <c r="E13" s="27" t="n">
        <f aca="false">COUNTIFS(Drain_Register!$D$5:$D$304,$A13,Drain_Register!$CA$5:$CA$304,"Y",Drain_Register!$G$5:$G$304,E$4)</f>
        <v>0</v>
      </c>
      <c r="F13" s="27" t="n">
        <f aca="false">COUNTIFS(Drain_Register!$D$5:$D$304,$A13,Drain_Register!$CA$5:$CA$304,"Y",Drain_Register!$G$5:$G$304,F$4)</f>
        <v>0</v>
      </c>
      <c r="G13" s="27" t="n">
        <f aca="false">COUNTIFS(Drain_Register!$D$5:$D$304,$A13,Drain_Register!$CA$5:$CA$304,"Y",Drain_Register!$G$5:$G$304,G$4)</f>
        <v>0</v>
      </c>
      <c r="H13" s="27" t="n">
        <f aca="false">COUNTIFS(Drain_Register!$D$5:$D$304,$A13,Drain_Register!$CA$5:$CA$304,"Y",Drain_Register!$G$5:$G$304,H$4)</f>
        <v>0</v>
      </c>
      <c r="I13" s="27" t="n">
        <f aca="false">COUNTIFS(Drain_Register!$D$5:$D$304,$A13,Drain_Register!$CA$5:$CA$304,"Y",Drain_Register!$G$5:$G$304,I$4)</f>
        <v>0</v>
      </c>
      <c r="J13" s="27" t="n">
        <f aca="false">COUNTIFS(Drain_Register!$D$5:$D$304,$A13,Drain_Register!$CA$5:$CA$304,"Y",Drain_Register!$G$5:$G$304,J$4)</f>
        <v>0</v>
      </c>
      <c r="K13" s="27" t="n">
        <f aca="false">COUNTIFS(Drain_Register!$D$5:$D$304,$A13,Drain_Register!$CA$5:$CA$304,"Y",Drain_Register!$G$5:$G$304,K$4)</f>
        <v>0</v>
      </c>
      <c r="L13" s="27" t="n">
        <f aca="false">COUNTIFS(Drain_Register!$D$5:$D$304,$A13,Drain_Register!$CA$5:$CA$304,"Y",Drain_Register!$G$5:$G$304,L$4)</f>
        <v>0</v>
      </c>
    </row>
    <row r="14" customFormat="false" ht="15" hidden="false" customHeight="false" outlineLevel="0" collapsed="false">
      <c r="A14" s="26" t="s">
        <v>189</v>
      </c>
      <c r="B14" s="27" t="n">
        <f aca="false">COUNTIFS(Drain_Register!$D$5:$D$304,$A14,Drain_Register!$CA$5:$CA$304,"Y",Drain_Register!$G$5:$G$304,B$4)</f>
        <v>0</v>
      </c>
      <c r="C14" s="27" t="n">
        <f aca="false">COUNTIFS(Drain_Register!$D$5:$D$304,$A14,Drain_Register!$CA$5:$CA$304,"Y",Drain_Register!$G$5:$G$304,C$4)</f>
        <v>0</v>
      </c>
      <c r="D14" s="27" t="n">
        <f aca="false">COUNTIFS(Drain_Register!$D$5:$D$304,$A14,Drain_Register!$CA$5:$CA$304,"Y",Drain_Register!$G$5:$G$304,D$4)</f>
        <v>0</v>
      </c>
      <c r="E14" s="27" t="n">
        <f aca="false">COUNTIFS(Drain_Register!$D$5:$D$304,$A14,Drain_Register!$CA$5:$CA$304,"Y",Drain_Register!$G$5:$G$304,E$4)</f>
        <v>1</v>
      </c>
      <c r="F14" s="27" t="n">
        <f aca="false">COUNTIFS(Drain_Register!$D$5:$D$304,$A14,Drain_Register!$CA$5:$CA$304,"Y",Drain_Register!$G$5:$G$304,F$4)</f>
        <v>0</v>
      </c>
      <c r="G14" s="27" t="n">
        <f aca="false">COUNTIFS(Drain_Register!$D$5:$D$304,$A14,Drain_Register!$CA$5:$CA$304,"Y",Drain_Register!$G$5:$G$304,G$4)</f>
        <v>0</v>
      </c>
      <c r="H14" s="27" t="n">
        <f aca="false">COUNTIFS(Drain_Register!$D$5:$D$304,$A14,Drain_Register!$CA$5:$CA$304,"Y",Drain_Register!$G$5:$G$304,H$4)</f>
        <v>0</v>
      </c>
      <c r="I14" s="27" t="n">
        <f aca="false">COUNTIFS(Drain_Register!$D$5:$D$304,$A14,Drain_Register!$CA$5:$CA$304,"Y",Drain_Register!$G$5:$G$304,I$4)</f>
        <v>0</v>
      </c>
      <c r="J14" s="27" t="n">
        <f aca="false">COUNTIFS(Drain_Register!$D$5:$D$304,$A14,Drain_Register!$CA$5:$CA$304,"Y",Drain_Register!$G$5:$G$304,J$4)</f>
        <v>0</v>
      </c>
      <c r="K14" s="27" t="n">
        <f aca="false">COUNTIFS(Drain_Register!$D$5:$D$304,$A14,Drain_Register!$CA$5:$CA$304,"Y",Drain_Register!$G$5:$G$304,K$4)</f>
        <v>0</v>
      </c>
      <c r="L14" s="27" t="n">
        <f aca="false">COUNTIFS(Drain_Register!$D$5:$D$304,$A14,Drain_Register!$CA$5:$CA$304,"Y",Drain_Register!$G$5:$G$304,L$4)</f>
        <v>0</v>
      </c>
    </row>
    <row r="15" customFormat="false" ht="15" hidden="false" customHeight="false" outlineLevel="0" collapsed="false">
      <c r="A15" s="26" t="s">
        <v>190</v>
      </c>
      <c r="B15" s="27" t="n">
        <f aca="false">COUNTIFS(Drain_Register!$D$5:$D$304,$A15,Drain_Register!$CA$5:$CA$304,"Y",Drain_Register!$G$5:$G$304,B$4)</f>
        <v>0</v>
      </c>
      <c r="C15" s="27" t="n">
        <f aca="false">COUNTIFS(Drain_Register!$D$5:$D$304,$A15,Drain_Register!$CA$5:$CA$304,"Y",Drain_Register!$G$5:$G$304,C$4)</f>
        <v>0</v>
      </c>
      <c r="D15" s="27" t="n">
        <f aca="false">COUNTIFS(Drain_Register!$D$5:$D$304,$A15,Drain_Register!$CA$5:$CA$304,"Y",Drain_Register!$G$5:$G$304,D$4)</f>
        <v>0</v>
      </c>
      <c r="E15" s="27" t="n">
        <f aca="false">COUNTIFS(Drain_Register!$D$5:$D$304,$A15,Drain_Register!$CA$5:$CA$304,"Y",Drain_Register!$G$5:$G$304,E$4)</f>
        <v>0</v>
      </c>
      <c r="F15" s="27" t="n">
        <f aca="false">COUNTIFS(Drain_Register!$D$5:$D$304,$A15,Drain_Register!$CA$5:$CA$304,"Y",Drain_Register!$G$5:$G$304,F$4)</f>
        <v>0</v>
      </c>
      <c r="G15" s="27" t="n">
        <f aca="false">COUNTIFS(Drain_Register!$D$5:$D$304,$A15,Drain_Register!$CA$5:$CA$304,"Y",Drain_Register!$G$5:$G$304,G$4)</f>
        <v>0</v>
      </c>
      <c r="H15" s="27" t="n">
        <f aca="false">COUNTIFS(Drain_Register!$D$5:$D$304,$A15,Drain_Register!$CA$5:$CA$304,"Y",Drain_Register!$G$5:$G$304,H$4)</f>
        <v>0</v>
      </c>
      <c r="I15" s="27" t="n">
        <f aca="false">COUNTIFS(Drain_Register!$D$5:$D$304,$A15,Drain_Register!$CA$5:$CA$304,"Y",Drain_Register!$G$5:$G$304,I$4)</f>
        <v>0</v>
      </c>
      <c r="J15" s="27" t="n">
        <f aca="false">COUNTIFS(Drain_Register!$D$5:$D$304,$A15,Drain_Register!$CA$5:$CA$304,"Y",Drain_Register!$G$5:$G$304,J$4)</f>
        <v>0</v>
      </c>
      <c r="K15" s="27" t="n">
        <f aca="false">COUNTIFS(Drain_Register!$D$5:$D$304,$A15,Drain_Register!$CA$5:$CA$304,"Y",Drain_Register!$G$5:$G$304,K$4)</f>
        <v>0</v>
      </c>
      <c r="L15" s="27" t="n">
        <f aca="false">COUNTIFS(Drain_Register!$D$5:$D$304,$A15,Drain_Register!$CA$5:$CA$304,"Y",Drain_Register!$G$5:$G$304,L$4)</f>
        <v>0</v>
      </c>
    </row>
    <row r="16" customFormat="false" ht="15" hidden="false" customHeight="false" outlineLevel="0" collapsed="false">
      <c r="A16" s="26" t="s">
        <v>191</v>
      </c>
      <c r="B16" s="27" t="n">
        <f aca="false">COUNTIFS(Drain_Register!$D$5:$D$304,$A16,Drain_Register!$CA$5:$CA$304,"Y",Drain_Register!$G$5:$G$304,B$4)</f>
        <v>0</v>
      </c>
      <c r="C16" s="27" t="n">
        <f aca="false">COUNTIFS(Drain_Register!$D$5:$D$304,$A16,Drain_Register!$CA$5:$CA$304,"Y",Drain_Register!$G$5:$G$304,C$4)</f>
        <v>0</v>
      </c>
      <c r="D16" s="27" t="n">
        <f aca="false">COUNTIFS(Drain_Register!$D$5:$D$304,$A16,Drain_Register!$CA$5:$CA$304,"Y",Drain_Register!$G$5:$G$304,D$4)</f>
        <v>0</v>
      </c>
      <c r="E16" s="27" t="n">
        <f aca="false">COUNTIFS(Drain_Register!$D$5:$D$304,$A16,Drain_Register!$CA$5:$CA$304,"Y",Drain_Register!$G$5:$G$304,E$4)</f>
        <v>0</v>
      </c>
      <c r="F16" s="27" t="n">
        <f aca="false">COUNTIFS(Drain_Register!$D$5:$D$304,$A16,Drain_Register!$CA$5:$CA$304,"Y",Drain_Register!$G$5:$G$304,F$4)</f>
        <v>0</v>
      </c>
      <c r="G16" s="27" t="n">
        <f aca="false">COUNTIFS(Drain_Register!$D$5:$D$304,$A16,Drain_Register!$CA$5:$CA$304,"Y",Drain_Register!$G$5:$G$304,G$4)</f>
        <v>0</v>
      </c>
      <c r="H16" s="27" t="n">
        <f aca="false">COUNTIFS(Drain_Register!$D$5:$D$304,$A16,Drain_Register!$CA$5:$CA$304,"Y",Drain_Register!$G$5:$G$304,H$4)</f>
        <v>0</v>
      </c>
      <c r="I16" s="27" t="n">
        <f aca="false">COUNTIFS(Drain_Register!$D$5:$D$304,$A16,Drain_Register!$CA$5:$CA$304,"Y",Drain_Register!$G$5:$G$304,I$4)</f>
        <v>0</v>
      </c>
      <c r="J16" s="27" t="n">
        <f aca="false">COUNTIFS(Drain_Register!$D$5:$D$304,$A16,Drain_Register!$CA$5:$CA$304,"Y",Drain_Register!$G$5:$G$304,J$4)</f>
        <v>0</v>
      </c>
      <c r="K16" s="27" t="n">
        <f aca="false">COUNTIFS(Drain_Register!$D$5:$D$304,$A16,Drain_Register!$CA$5:$CA$304,"Y",Drain_Register!$G$5:$G$304,K$4)</f>
        <v>0</v>
      </c>
      <c r="L16" s="27" t="n">
        <f aca="false">COUNTIFS(Drain_Register!$D$5:$D$304,$A16,Drain_Register!$CA$5:$CA$304,"Y",Drain_Register!$G$5:$G$304,L$4)</f>
        <v>0</v>
      </c>
    </row>
    <row r="17" customFormat="false" ht="15" hidden="false" customHeight="false" outlineLevel="0" collapsed="false">
      <c r="A17" s="26" t="s">
        <v>192</v>
      </c>
      <c r="B17" s="27" t="n">
        <f aca="false">COUNTIFS(Drain_Register!$D$5:$D$304,$A17,Drain_Register!$CA$5:$CA$304,"Y",Drain_Register!$G$5:$G$304,B$4)</f>
        <v>0</v>
      </c>
      <c r="C17" s="27" t="n">
        <f aca="false">COUNTIFS(Drain_Register!$D$5:$D$304,$A17,Drain_Register!$CA$5:$CA$304,"Y",Drain_Register!$G$5:$G$304,C$4)</f>
        <v>0</v>
      </c>
      <c r="D17" s="27" t="n">
        <f aca="false">COUNTIFS(Drain_Register!$D$5:$D$304,$A17,Drain_Register!$CA$5:$CA$304,"Y",Drain_Register!$G$5:$G$304,D$4)</f>
        <v>0</v>
      </c>
      <c r="E17" s="27" t="n">
        <f aca="false">COUNTIFS(Drain_Register!$D$5:$D$304,$A17,Drain_Register!$CA$5:$CA$304,"Y",Drain_Register!$G$5:$G$304,E$4)</f>
        <v>0</v>
      </c>
      <c r="F17" s="27" t="n">
        <f aca="false">COUNTIFS(Drain_Register!$D$5:$D$304,$A17,Drain_Register!$CA$5:$CA$304,"Y",Drain_Register!$G$5:$G$304,F$4)</f>
        <v>0</v>
      </c>
      <c r="G17" s="27" t="n">
        <f aca="false">COUNTIFS(Drain_Register!$D$5:$D$304,$A17,Drain_Register!$CA$5:$CA$304,"Y",Drain_Register!$G$5:$G$304,G$4)</f>
        <v>0</v>
      </c>
      <c r="H17" s="27" t="n">
        <f aca="false">COUNTIFS(Drain_Register!$D$5:$D$304,$A17,Drain_Register!$CA$5:$CA$304,"Y",Drain_Register!$G$5:$G$304,H$4)</f>
        <v>0</v>
      </c>
      <c r="I17" s="27" t="n">
        <f aca="false">COUNTIFS(Drain_Register!$D$5:$D$304,$A17,Drain_Register!$CA$5:$CA$304,"Y",Drain_Register!$G$5:$G$304,I$4)</f>
        <v>0</v>
      </c>
      <c r="J17" s="27" t="n">
        <f aca="false">COUNTIFS(Drain_Register!$D$5:$D$304,$A17,Drain_Register!$CA$5:$CA$304,"Y",Drain_Register!$G$5:$G$304,J$4)</f>
        <v>0</v>
      </c>
      <c r="K17" s="27" t="n">
        <f aca="false">COUNTIFS(Drain_Register!$D$5:$D$304,$A17,Drain_Register!$CA$5:$CA$304,"Y",Drain_Register!$G$5:$G$304,K$4)</f>
        <v>0</v>
      </c>
      <c r="L17" s="27" t="n">
        <f aca="false">COUNTIFS(Drain_Register!$D$5:$D$304,$A17,Drain_Register!$CA$5:$CA$304,"Y",Drain_Register!$G$5:$G$304,L$4)</f>
        <v>0</v>
      </c>
    </row>
    <row r="19" customFormat="false" ht="15" hidden="false" customHeight="false" outlineLevel="0" collapsed="false">
      <c r="A19" s="22" t="s">
        <v>193</v>
      </c>
    </row>
    <row r="20" customFormat="false" ht="15" hidden="false" customHeight="false" outlineLevel="0" collapsed="false">
      <c r="A20" s="7" t="s">
        <v>67</v>
      </c>
      <c r="B20" s="15" t="s">
        <v>194</v>
      </c>
      <c r="C20" s="15" t="s">
        <v>195</v>
      </c>
      <c r="D20" s="15" t="s">
        <v>196</v>
      </c>
      <c r="E20" s="15" t="s">
        <v>197</v>
      </c>
      <c r="F20" s="15" t="s">
        <v>198</v>
      </c>
      <c r="G20" s="15" t="s">
        <v>199</v>
      </c>
      <c r="H20" s="15" t="s">
        <v>200</v>
      </c>
      <c r="I20" s="15" t="s">
        <v>201</v>
      </c>
      <c r="J20" s="15" t="s">
        <v>202</v>
      </c>
      <c r="K20" s="15" t="s">
        <v>203</v>
      </c>
      <c r="L20" s="15" t="s">
        <v>204</v>
      </c>
    </row>
    <row r="21" customFormat="false" ht="15" hidden="false" customHeight="false" outlineLevel="0" collapsed="false">
      <c r="A21" s="26" t="s">
        <v>68</v>
      </c>
      <c r="B21" s="27" t="n">
        <f aca="false">COUNTIFS(RW_Register!$D$5:$D$304,$A21,RW_Register!$CF$5:$CF$304,"Y",RW_Register!$E$5:$E$304,"&gt;0",RW_Register!$E$5:$E$304,"&lt;=1")</f>
        <v>0</v>
      </c>
      <c r="C21" s="27" t="n">
        <f aca="false">COUNTIFS(RW_Register!$D$5:$D$304,$A21,RW_Register!$CF$5:$CF$304,"Y",RW_Register!$E$5:$E$304,"&gt;1",RW_Register!$E$5:$E$304,"&lt;=1.5")</f>
        <v>1</v>
      </c>
      <c r="D21" s="27" t="n">
        <f aca="false">COUNTIFS(RW_Register!$D$5:$D$304,$A21,RW_Register!$CF$5:$CF$304,"Y",RW_Register!$E$5:$E$304,"&gt;1.5",RW_Register!$E$5:$E$304,"&lt;=2")</f>
        <v>1</v>
      </c>
      <c r="E21" s="27" t="n">
        <f aca="false">COUNTIFS(RW_Register!$D$5:$D$304,$A21,RW_Register!$CF$5:$CF$304,"Y",RW_Register!$E$5:$E$304,"&gt;2",RW_Register!$E$5:$E$304,"&lt;=2.5")</f>
        <v>1</v>
      </c>
      <c r="F21" s="27" t="n">
        <f aca="false">COUNTIFS(RW_Register!$D$5:$D$304,$A21,RW_Register!$CF$5:$CF$304,"Y",RW_Register!$E$5:$E$304,"&gt;2.5",RW_Register!$E$5:$E$304,"&lt;=3")</f>
        <v>2</v>
      </c>
      <c r="G21" s="27" t="n">
        <f aca="false">COUNTIFS(RW_Register!$D$5:$D$304,$A21,RW_Register!$CF$5:$CF$304,"Y",RW_Register!$E$5:$E$304,"&gt;3",RW_Register!$E$5:$E$304,"&lt;=3.5")</f>
        <v>1</v>
      </c>
      <c r="H21" s="27" t="n">
        <f aca="false">COUNTIFS(RW_Register!$D$5:$D$304,$A21,RW_Register!$CF$5:$CF$304,"Y",RW_Register!$E$5:$E$304,"&gt;3.5",RW_Register!$E$5:$E$304,"&lt;=4")</f>
        <v>0</v>
      </c>
      <c r="I21" s="27" t="n">
        <f aca="false">COUNTIFS(RW_Register!$D$5:$D$304,$A21,RW_Register!$CF$5:$CF$304,"Y",RW_Register!$E$5:$E$304,"&gt;4",RW_Register!$E$5:$E$304,"&lt;=4.5")</f>
        <v>0</v>
      </c>
      <c r="J21" s="27" t="n">
        <f aca="false">COUNTIFS(RW_Register!$D$5:$D$304,$A21,RW_Register!$CF$5:$CF$304,"Y",RW_Register!$E$5:$E$304,"&gt;4.5",RW_Register!$E$5:$E$304,"&lt;=5")</f>
        <v>0</v>
      </c>
      <c r="K21" s="27" t="n">
        <f aca="false">COUNTIFS(RW_Register!$D$5:$D$304,$A21,RW_Register!$CF$5:$CF$304,"Y",RW_Register!$E$5:$E$304,"&gt;5",RW_Register!$E$5:$E$304,"&lt;=6")</f>
        <v>0</v>
      </c>
      <c r="L21" s="27" t="n">
        <f aca="false">COUNTIFS(RW_Register!$D$5:$D$304,$A21,RW_Register!$CF$5:$CF$304,"Y",RW_Register!$E$5:$E$304,"&gt;6",RW_Register!$E$5:$E$304,"&lt;=8")</f>
        <v>0</v>
      </c>
    </row>
    <row r="22" customFormat="false" ht="15" hidden="false" customHeight="false" outlineLevel="0" collapsed="false">
      <c r="A22" s="26" t="s">
        <v>205</v>
      </c>
      <c r="B22" s="27" t="n">
        <f aca="false">COUNTIFS(RW_Register!$D$5:$D$304,$A22,RW_Register!$CF$5:$CF$304,"Y",RW_Register!$E$5:$E$304,"&gt;0",RW_Register!$E$5:$E$304,"&lt;=1")</f>
        <v>1</v>
      </c>
      <c r="C22" s="27" t="n">
        <f aca="false">COUNTIFS(RW_Register!$D$5:$D$304,$A22,RW_Register!$CF$5:$CF$304,"Y",RW_Register!$E$5:$E$304,"&gt;1",RW_Register!$E$5:$E$304,"&lt;=1.5")</f>
        <v>0</v>
      </c>
      <c r="D22" s="27" t="n">
        <f aca="false">COUNTIFS(RW_Register!$D$5:$D$304,$A22,RW_Register!$CF$5:$CF$304,"Y",RW_Register!$E$5:$E$304,"&gt;1.5",RW_Register!$E$5:$E$304,"&lt;=2")</f>
        <v>1</v>
      </c>
      <c r="E22" s="27" t="n">
        <f aca="false">COUNTIFS(RW_Register!$D$5:$D$304,$A22,RW_Register!$CF$5:$CF$304,"Y",RW_Register!$E$5:$E$304,"&gt;2",RW_Register!$E$5:$E$304,"&lt;=2.5")</f>
        <v>0</v>
      </c>
      <c r="F22" s="27" t="n">
        <f aca="false">COUNTIFS(RW_Register!$D$5:$D$304,$A22,RW_Register!$CF$5:$CF$304,"Y",RW_Register!$E$5:$E$304,"&gt;2.5",RW_Register!$E$5:$E$304,"&lt;=3")</f>
        <v>0</v>
      </c>
      <c r="G22" s="27" t="n">
        <f aca="false">COUNTIFS(RW_Register!$D$5:$D$304,$A22,RW_Register!$CF$5:$CF$304,"Y",RW_Register!$E$5:$E$304,"&gt;3",RW_Register!$E$5:$E$304,"&lt;=3.5")</f>
        <v>0</v>
      </c>
      <c r="H22" s="27" t="n">
        <f aca="false">COUNTIFS(RW_Register!$D$5:$D$304,$A22,RW_Register!$CF$5:$CF$304,"Y",RW_Register!$E$5:$E$304,"&gt;3.5",RW_Register!$E$5:$E$304,"&lt;=4")</f>
        <v>0</v>
      </c>
      <c r="I22" s="27" t="n">
        <f aca="false">COUNTIFS(RW_Register!$D$5:$D$304,$A22,RW_Register!$CF$5:$CF$304,"Y",RW_Register!$E$5:$E$304,"&gt;4",RW_Register!$E$5:$E$304,"&lt;=4.5")</f>
        <v>0</v>
      </c>
      <c r="J22" s="27" t="n">
        <f aca="false">COUNTIFS(RW_Register!$D$5:$D$304,$A22,RW_Register!$CF$5:$CF$304,"Y",RW_Register!$E$5:$E$304,"&gt;4.5",RW_Register!$E$5:$E$304,"&lt;=5")</f>
        <v>0</v>
      </c>
      <c r="K22" s="27" t="n">
        <f aca="false">COUNTIFS(RW_Register!$D$5:$D$304,$A22,RW_Register!$CF$5:$CF$304,"Y",RW_Register!$E$5:$E$304,"&gt;5",RW_Register!$E$5:$E$304,"&lt;=6")</f>
        <v>0</v>
      </c>
      <c r="L22" s="27" t="n">
        <f aca="false">COUNTIFS(RW_Register!$D$5:$D$304,$A22,RW_Register!$CF$5:$CF$304,"Y",RW_Register!$E$5:$E$304,"&gt;6",RW_Register!$E$5:$E$304,"&lt;=8")</f>
        <v>0</v>
      </c>
    </row>
    <row r="23" customFormat="false" ht="15" hidden="false" customHeight="false" outlineLevel="0" collapsed="false">
      <c r="A23" s="26" t="s">
        <v>206</v>
      </c>
      <c r="B23" s="27" t="n">
        <f aca="false">COUNTIFS(RW_Register!$D$5:$D$304,$A23,RW_Register!$CF$5:$CF$304,"Y",RW_Register!$E$5:$E$304,"&gt;0",RW_Register!$E$5:$E$304,"&lt;=1")</f>
        <v>0</v>
      </c>
      <c r="C23" s="27" t="n">
        <f aca="false">COUNTIFS(RW_Register!$D$5:$D$304,$A23,RW_Register!$CF$5:$CF$304,"Y",RW_Register!$E$5:$E$304,"&gt;1",RW_Register!$E$5:$E$304,"&lt;=1.5")</f>
        <v>1</v>
      </c>
      <c r="D23" s="27" t="n">
        <f aca="false">COUNTIFS(RW_Register!$D$5:$D$304,$A23,RW_Register!$CF$5:$CF$304,"Y",RW_Register!$E$5:$E$304,"&gt;1.5",RW_Register!$E$5:$E$304,"&lt;=2")</f>
        <v>0</v>
      </c>
      <c r="E23" s="27" t="n">
        <f aca="false">COUNTIFS(RW_Register!$D$5:$D$304,$A23,RW_Register!$CF$5:$CF$304,"Y",RW_Register!$E$5:$E$304,"&gt;2",RW_Register!$E$5:$E$304,"&lt;=2.5")</f>
        <v>0</v>
      </c>
      <c r="F23" s="27" t="n">
        <f aca="false">COUNTIFS(RW_Register!$D$5:$D$304,$A23,RW_Register!$CF$5:$CF$304,"Y",RW_Register!$E$5:$E$304,"&gt;2.5",RW_Register!$E$5:$E$304,"&lt;=3")</f>
        <v>0</v>
      </c>
      <c r="G23" s="27" t="n">
        <f aca="false">COUNTIFS(RW_Register!$D$5:$D$304,$A23,RW_Register!$CF$5:$CF$304,"Y",RW_Register!$E$5:$E$304,"&gt;3",RW_Register!$E$5:$E$304,"&lt;=3.5")</f>
        <v>0</v>
      </c>
      <c r="H23" s="27" t="n">
        <f aca="false">COUNTIFS(RW_Register!$D$5:$D$304,$A23,RW_Register!$CF$5:$CF$304,"Y",RW_Register!$E$5:$E$304,"&gt;3.5",RW_Register!$E$5:$E$304,"&lt;=4")</f>
        <v>0</v>
      </c>
      <c r="I23" s="27" t="n">
        <f aca="false">COUNTIFS(RW_Register!$D$5:$D$304,$A23,RW_Register!$CF$5:$CF$304,"Y",RW_Register!$E$5:$E$304,"&gt;4",RW_Register!$E$5:$E$304,"&lt;=4.5")</f>
        <v>0</v>
      </c>
      <c r="J23" s="27" t="n">
        <f aca="false">COUNTIFS(RW_Register!$D$5:$D$304,$A23,RW_Register!$CF$5:$CF$304,"Y",RW_Register!$E$5:$E$304,"&gt;4.5",RW_Register!$E$5:$E$304,"&lt;=5")</f>
        <v>0</v>
      </c>
      <c r="K23" s="27" t="n">
        <f aca="false">COUNTIFS(RW_Register!$D$5:$D$304,$A23,RW_Register!$CF$5:$CF$304,"Y",RW_Register!$E$5:$E$304,"&gt;5",RW_Register!$E$5:$E$304,"&lt;=6")</f>
        <v>0</v>
      </c>
      <c r="L23" s="27" t="n">
        <f aca="false">COUNTIFS(RW_Register!$D$5:$D$304,$A23,RW_Register!$CF$5:$CF$304,"Y",RW_Register!$E$5:$E$304,"&gt;6",RW_Register!$E$5:$E$304,"&lt;=8")</f>
        <v>0</v>
      </c>
    </row>
    <row r="24" customFormat="false" ht="15" hidden="false" customHeight="false" outlineLevel="0" collapsed="false">
      <c r="A24" s="26" t="s">
        <v>207</v>
      </c>
      <c r="B24" s="27" t="n">
        <f aca="false">COUNTIFS(RW_Register!$D$5:$D$304,$A24,RW_Register!$CF$5:$CF$304,"Y",RW_Register!$E$5:$E$304,"&gt;0",RW_Register!$E$5:$E$304,"&lt;=1")</f>
        <v>0</v>
      </c>
      <c r="C24" s="27" t="n">
        <f aca="false">COUNTIFS(RW_Register!$D$5:$D$304,$A24,RW_Register!$CF$5:$CF$304,"Y",RW_Register!$E$5:$E$304,"&gt;1",RW_Register!$E$5:$E$304,"&lt;=1.5")</f>
        <v>0</v>
      </c>
      <c r="D24" s="27" t="n">
        <f aca="false">COUNTIFS(RW_Register!$D$5:$D$304,$A24,RW_Register!$CF$5:$CF$304,"Y",RW_Register!$E$5:$E$304,"&gt;1.5",RW_Register!$E$5:$E$304,"&lt;=2")</f>
        <v>0</v>
      </c>
      <c r="E24" s="27" t="n">
        <f aca="false">COUNTIFS(RW_Register!$D$5:$D$304,$A24,RW_Register!$CF$5:$CF$304,"Y",RW_Register!$E$5:$E$304,"&gt;2",RW_Register!$E$5:$E$304,"&lt;=2.5")</f>
        <v>0</v>
      </c>
      <c r="F24" s="27" t="n">
        <f aca="false">COUNTIFS(RW_Register!$D$5:$D$304,$A24,RW_Register!$CF$5:$CF$304,"Y",RW_Register!$E$5:$E$304,"&gt;2.5",RW_Register!$E$5:$E$304,"&lt;=3")</f>
        <v>0</v>
      </c>
      <c r="G24" s="27" t="n">
        <f aca="false">COUNTIFS(RW_Register!$D$5:$D$304,$A24,RW_Register!$CF$5:$CF$304,"Y",RW_Register!$E$5:$E$304,"&gt;3",RW_Register!$E$5:$E$304,"&lt;=3.5")</f>
        <v>0</v>
      </c>
      <c r="H24" s="27" t="n">
        <f aca="false">COUNTIFS(RW_Register!$D$5:$D$304,$A24,RW_Register!$CF$5:$CF$304,"Y",RW_Register!$E$5:$E$304,"&gt;3.5",RW_Register!$E$5:$E$304,"&lt;=4")</f>
        <v>0</v>
      </c>
      <c r="I24" s="27" t="n">
        <f aca="false">COUNTIFS(RW_Register!$D$5:$D$304,$A24,RW_Register!$CF$5:$CF$304,"Y",RW_Register!$E$5:$E$304,"&gt;4",RW_Register!$E$5:$E$304,"&lt;=4.5")</f>
        <v>0</v>
      </c>
      <c r="J24" s="27" t="n">
        <f aca="false">COUNTIFS(RW_Register!$D$5:$D$304,$A24,RW_Register!$CF$5:$CF$304,"Y",RW_Register!$E$5:$E$304,"&gt;4.5",RW_Register!$E$5:$E$304,"&lt;=5")</f>
        <v>0</v>
      </c>
      <c r="K24" s="27" t="n">
        <f aca="false">COUNTIFS(RW_Register!$D$5:$D$304,$A24,RW_Register!$CF$5:$CF$304,"Y",RW_Register!$E$5:$E$304,"&gt;5",RW_Register!$E$5:$E$304,"&lt;=6")</f>
        <v>0</v>
      </c>
      <c r="L24" s="27" t="n">
        <f aca="false">COUNTIFS(RW_Register!$D$5:$D$304,$A24,RW_Register!$CF$5:$CF$304,"Y",RW_Register!$E$5:$E$304,"&gt;6",RW_Register!$E$5:$E$304,"&lt;=8")</f>
        <v>0</v>
      </c>
    </row>
    <row r="25" customFormat="false" ht="15" hidden="false" customHeight="false" outlineLevel="0" collapsed="false">
      <c r="A25" s="26" t="s">
        <v>208</v>
      </c>
      <c r="B25" s="27" t="n">
        <f aca="false">COUNTIFS(RW_Register!$D$5:$D$304,$A25,RW_Register!$CF$5:$CF$304,"Y",RW_Register!$E$5:$E$304,"&gt;0",RW_Register!$E$5:$E$304,"&lt;=1")</f>
        <v>0</v>
      </c>
      <c r="C25" s="27" t="n">
        <f aca="false">COUNTIFS(RW_Register!$D$5:$D$304,$A25,RW_Register!$CF$5:$CF$304,"Y",RW_Register!$E$5:$E$304,"&gt;1",RW_Register!$E$5:$E$304,"&lt;=1.5")</f>
        <v>1</v>
      </c>
      <c r="D25" s="27" t="n">
        <f aca="false">COUNTIFS(RW_Register!$D$5:$D$304,$A25,RW_Register!$CF$5:$CF$304,"Y",RW_Register!$E$5:$E$304,"&gt;1.5",RW_Register!$E$5:$E$304,"&lt;=2")</f>
        <v>0</v>
      </c>
      <c r="E25" s="27" t="n">
        <f aca="false">COUNTIFS(RW_Register!$D$5:$D$304,$A25,RW_Register!$CF$5:$CF$304,"Y",RW_Register!$E$5:$E$304,"&gt;2",RW_Register!$E$5:$E$304,"&lt;=2.5")</f>
        <v>0</v>
      </c>
      <c r="F25" s="27" t="n">
        <f aca="false">COUNTIFS(RW_Register!$D$5:$D$304,$A25,RW_Register!$CF$5:$CF$304,"Y",RW_Register!$E$5:$E$304,"&gt;2.5",RW_Register!$E$5:$E$304,"&lt;=3")</f>
        <v>0</v>
      </c>
      <c r="G25" s="27" t="n">
        <f aca="false">COUNTIFS(RW_Register!$D$5:$D$304,$A25,RW_Register!$CF$5:$CF$304,"Y",RW_Register!$E$5:$E$304,"&gt;3",RW_Register!$E$5:$E$304,"&lt;=3.5")</f>
        <v>0</v>
      </c>
      <c r="H25" s="27" t="n">
        <f aca="false">COUNTIFS(RW_Register!$D$5:$D$304,$A25,RW_Register!$CF$5:$CF$304,"Y",RW_Register!$E$5:$E$304,"&gt;3.5",RW_Register!$E$5:$E$304,"&lt;=4")</f>
        <v>0</v>
      </c>
      <c r="I25" s="27" t="n">
        <f aca="false">COUNTIFS(RW_Register!$D$5:$D$304,$A25,RW_Register!$CF$5:$CF$304,"Y",RW_Register!$E$5:$E$304,"&gt;4",RW_Register!$E$5:$E$304,"&lt;=4.5")</f>
        <v>0</v>
      </c>
      <c r="J25" s="27" t="n">
        <f aca="false">COUNTIFS(RW_Register!$D$5:$D$304,$A25,RW_Register!$CF$5:$CF$304,"Y",RW_Register!$E$5:$E$304,"&gt;4.5",RW_Register!$E$5:$E$304,"&lt;=5")</f>
        <v>0</v>
      </c>
      <c r="K25" s="27" t="n">
        <f aca="false">COUNTIFS(RW_Register!$D$5:$D$304,$A25,RW_Register!$CF$5:$CF$304,"Y",RW_Register!$E$5:$E$304,"&gt;5",RW_Register!$E$5:$E$304,"&lt;=6")</f>
        <v>0</v>
      </c>
      <c r="L25" s="27" t="n">
        <f aca="false">COUNTIFS(RW_Register!$D$5:$D$304,$A25,RW_Register!$CF$5:$CF$304,"Y",RW_Register!$E$5:$E$304,"&gt;6",RW_Register!$E$5:$E$304,"&lt;=8")</f>
        <v>0</v>
      </c>
    </row>
    <row r="26" customFormat="false" ht="15" hidden="false" customHeight="false" outlineLevel="0" collapsed="false">
      <c r="A26" s="26" t="s">
        <v>209</v>
      </c>
      <c r="B26" s="27" t="n">
        <f aca="false">COUNTIFS(RW_Register!$D$5:$D$304,$A26,RW_Register!$CF$5:$CF$304,"Y",RW_Register!$E$5:$E$304,"&gt;0",RW_Register!$E$5:$E$304,"&lt;=1")</f>
        <v>0</v>
      </c>
      <c r="C26" s="27" t="n">
        <f aca="false">COUNTIFS(RW_Register!$D$5:$D$304,$A26,RW_Register!$CF$5:$CF$304,"Y",RW_Register!$E$5:$E$304,"&gt;1",RW_Register!$E$5:$E$304,"&lt;=1.5")</f>
        <v>0</v>
      </c>
      <c r="D26" s="27" t="n">
        <f aca="false">COUNTIFS(RW_Register!$D$5:$D$304,$A26,RW_Register!$CF$5:$CF$304,"Y",RW_Register!$E$5:$E$304,"&gt;1.5",RW_Register!$E$5:$E$304,"&lt;=2")</f>
        <v>0</v>
      </c>
      <c r="E26" s="27" t="n">
        <f aca="false">COUNTIFS(RW_Register!$D$5:$D$304,$A26,RW_Register!$CF$5:$CF$304,"Y",RW_Register!$E$5:$E$304,"&gt;2",RW_Register!$E$5:$E$304,"&lt;=2.5")</f>
        <v>0</v>
      </c>
      <c r="F26" s="27" t="n">
        <f aca="false">COUNTIFS(RW_Register!$D$5:$D$304,$A26,RW_Register!$CF$5:$CF$304,"Y",RW_Register!$E$5:$E$304,"&gt;2.5",RW_Register!$E$5:$E$304,"&lt;=3")</f>
        <v>0</v>
      </c>
      <c r="G26" s="27" t="n">
        <f aca="false">COUNTIFS(RW_Register!$D$5:$D$304,$A26,RW_Register!$CF$5:$CF$304,"Y",RW_Register!$E$5:$E$304,"&gt;3",RW_Register!$E$5:$E$304,"&lt;=3.5")</f>
        <v>0</v>
      </c>
      <c r="H26" s="27" t="n">
        <f aca="false">COUNTIFS(RW_Register!$D$5:$D$304,$A26,RW_Register!$CF$5:$CF$304,"Y",RW_Register!$E$5:$E$304,"&gt;3.5",RW_Register!$E$5:$E$304,"&lt;=4")</f>
        <v>0</v>
      </c>
      <c r="I26" s="27" t="n">
        <f aca="false">COUNTIFS(RW_Register!$D$5:$D$304,$A26,RW_Register!$CF$5:$CF$304,"Y",RW_Register!$E$5:$E$304,"&gt;4",RW_Register!$E$5:$E$304,"&lt;=4.5")</f>
        <v>0</v>
      </c>
      <c r="J26" s="27" t="n">
        <f aca="false">COUNTIFS(RW_Register!$D$5:$D$304,$A26,RW_Register!$CF$5:$CF$304,"Y",RW_Register!$E$5:$E$304,"&gt;4.5",RW_Register!$E$5:$E$304,"&lt;=5")</f>
        <v>0</v>
      </c>
      <c r="K26" s="27" t="n">
        <f aca="false">COUNTIFS(RW_Register!$D$5:$D$304,$A26,RW_Register!$CF$5:$CF$304,"Y",RW_Register!$E$5:$E$304,"&gt;5",RW_Register!$E$5:$E$304,"&lt;=6")</f>
        <v>0</v>
      </c>
      <c r="L26" s="27" t="n">
        <f aca="false">COUNTIFS(RW_Register!$D$5:$D$304,$A26,RW_Register!$CF$5:$CF$304,"Y",RW_Register!$E$5:$E$304,"&gt;6",RW_Register!$E$5:$E$304,"&lt;=8")</f>
        <v>0</v>
      </c>
    </row>
    <row r="27" customFormat="false" ht="15" hidden="false" customHeight="false" outlineLevel="0" collapsed="false">
      <c r="A27" s="26" t="s">
        <v>210</v>
      </c>
      <c r="B27" s="27" t="n">
        <f aca="false">COUNTIFS(RW_Register!$D$5:$D$304,$A27,RW_Register!$CF$5:$CF$304,"Y",RW_Register!$E$5:$E$304,"&gt;0",RW_Register!$E$5:$E$304,"&lt;=1")</f>
        <v>0</v>
      </c>
      <c r="C27" s="27" t="n">
        <f aca="false">COUNTIFS(RW_Register!$D$5:$D$304,$A27,RW_Register!$CF$5:$CF$304,"Y",RW_Register!$E$5:$E$304,"&gt;1",RW_Register!$E$5:$E$304,"&lt;=1.5")</f>
        <v>0</v>
      </c>
      <c r="D27" s="27" t="n">
        <f aca="false">COUNTIFS(RW_Register!$D$5:$D$304,$A27,RW_Register!$CF$5:$CF$304,"Y",RW_Register!$E$5:$E$304,"&gt;1.5",RW_Register!$E$5:$E$304,"&lt;=2")</f>
        <v>0</v>
      </c>
      <c r="E27" s="27" t="n">
        <f aca="false">COUNTIFS(RW_Register!$D$5:$D$304,$A27,RW_Register!$CF$5:$CF$304,"Y",RW_Register!$E$5:$E$304,"&gt;2",RW_Register!$E$5:$E$304,"&lt;=2.5")</f>
        <v>0</v>
      </c>
      <c r="F27" s="27" t="n">
        <f aca="false">COUNTIFS(RW_Register!$D$5:$D$304,$A27,RW_Register!$CF$5:$CF$304,"Y",RW_Register!$E$5:$E$304,"&gt;2.5",RW_Register!$E$5:$E$304,"&lt;=3")</f>
        <v>0</v>
      </c>
      <c r="G27" s="27" t="n">
        <f aca="false">COUNTIFS(RW_Register!$D$5:$D$304,$A27,RW_Register!$CF$5:$CF$304,"Y",RW_Register!$E$5:$E$304,"&gt;3",RW_Register!$E$5:$E$304,"&lt;=3.5")</f>
        <v>0</v>
      </c>
      <c r="H27" s="27" t="n">
        <f aca="false">COUNTIFS(RW_Register!$D$5:$D$304,$A27,RW_Register!$CF$5:$CF$304,"Y",RW_Register!$E$5:$E$304,"&gt;3.5",RW_Register!$E$5:$E$304,"&lt;=4")</f>
        <v>0</v>
      </c>
      <c r="I27" s="27" t="n">
        <f aca="false">COUNTIFS(RW_Register!$D$5:$D$304,$A27,RW_Register!$CF$5:$CF$304,"Y",RW_Register!$E$5:$E$304,"&gt;4",RW_Register!$E$5:$E$304,"&lt;=4.5")</f>
        <v>0</v>
      </c>
      <c r="J27" s="27" t="n">
        <f aca="false">COUNTIFS(RW_Register!$D$5:$D$304,$A27,RW_Register!$CF$5:$CF$304,"Y",RW_Register!$E$5:$E$304,"&gt;4.5",RW_Register!$E$5:$E$304,"&lt;=5")</f>
        <v>0</v>
      </c>
      <c r="K27" s="27" t="n">
        <f aca="false">COUNTIFS(RW_Register!$D$5:$D$304,$A27,RW_Register!$CF$5:$CF$304,"Y",RW_Register!$E$5:$E$304,"&gt;5",RW_Register!$E$5:$E$304,"&lt;=6")</f>
        <v>0</v>
      </c>
      <c r="L27" s="27" t="n">
        <f aca="false">COUNTIFS(RW_Register!$D$5:$D$304,$A27,RW_Register!$CF$5:$CF$304,"Y",RW_Register!$E$5:$E$304,"&gt;6",RW_Register!$E$5:$E$304,"&lt;=8")</f>
        <v>0</v>
      </c>
    </row>
    <row r="28" customFormat="false" ht="15" hidden="false" customHeight="false" outlineLevel="0" collapsed="false">
      <c r="A28" s="26" t="s">
        <v>211</v>
      </c>
      <c r="B28" s="27" t="n">
        <f aca="false">COUNTIFS(RW_Register!$D$5:$D$304,$A28,RW_Register!$CF$5:$CF$304,"Y",RW_Register!$E$5:$E$304,"&gt;0",RW_Register!$E$5:$E$304,"&lt;=1")</f>
        <v>0</v>
      </c>
      <c r="C28" s="27" t="n">
        <f aca="false">COUNTIFS(RW_Register!$D$5:$D$304,$A28,RW_Register!$CF$5:$CF$304,"Y",RW_Register!$E$5:$E$304,"&gt;1",RW_Register!$E$5:$E$304,"&lt;=1.5")</f>
        <v>0</v>
      </c>
      <c r="D28" s="27" t="n">
        <f aca="false">COUNTIFS(RW_Register!$D$5:$D$304,$A28,RW_Register!$CF$5:$CF$304,"Y",RW_Register!$E$5:$E$304,"&gt;1.5",RW_Register!$E$5:$E$304,"&lt;=2")</f>
        <v>0</v>
      </c>
      <c r="E28" s="27" t="n">
        <f aca="false">COUNTIFS(RW_Register!$D$5:$D$304,$A28,RW_Register!$CF$5:$CF$304,"Y",RW_Register!$E$5:$E$304,"&gt;2",RW_Register!$E$5:$E$304,"&lt;=2.5")</f>
        <v>0</v>
      </c>
      <c r="F28" s="27" t="n">
        <f aca="false">COUNTIFS(RW_Register!$D$5:$D$304,$A28,RW_Register!$CF$5:$CF$304,"Y",RW_Register!$E$5:$E$304,"&gt;2.5",RW_Register!$E$5:$E$304,"&lt;=3")</f>
        <v>0</v>
      </c>
      <c r="G28" s="27" t="n">
        <f aca="false">COUNTIFS(RW_Register!$D$5:$D$304,$A28,RW_Register!$CF$5:$CF$304,"Y",RW_Register!$E$5:$E$304,"&gt;3",RW_Register!$E$5:$E$304,"&lt;=3.5")</f>
        <v>0</v>
      </c>
      <c r="H28" s="27" t="n">
        <f aca="false">COUNTIFS(RW_Register!$D$5:$D$304,$A28,RW_Register!$CF$5:$CF$304,"Y",RW_Register!$E$5:$E$304,"&gt;3.5",RW_Register!$E$5:$E$304,"&lt;=4")</f>
        <v>0</v>
      </c>
      <c r="I28" s="27" t="n">
        <f aca="false">COUNTIFS(RW_Register!$D$5:$D$304,$A28,RW_Register!$CF$5:$CF$304,"Y",RW_Register!$E$5:$E$304,"&gt;4",RW_Register!$E$5:$E$304,"&lt;=4.5")</f>
        <v>0</v>
      </c>
      <c r="J28" s="27" t="n">
        <f aca="false">COUNTIFS(RW_Register!$D$5:$D$304,$A28,RW_Register!$CF$5:$CF$304,"Y",RW_Register!$E$5:$E$304,"&gt;4.5",RW_Register!$E$5:$E$304,"&lt;=5")</f>
        <v>0</v>
      </c>
      <c r="K28" s="27" t="n">
        <f aca="false">COUNTIFS(RW_Register!$D$5:$D$304,$A28,RW_Register!$CF$5:$CF$304,"Y",RW_Register!$E$5:$E$304,"&gt;5",RW_Register!$E$5:$E$304,"&lt;=6")</f>
        <v>0</v>
      </c>
      <c r="L28" s="27" t="n">
        <f aca="false">COUNTIFS(RW_Register!$D$5:$D$304,$A28,RW_Register!$CF$5:$CF$304,"Y",RW_Register!$E$5:$E$304,"&gt;6",RW_Register!$E$5:$E$304,"&lt;=8")</f>
        <v>0</v>
      </c>
    </row>
    <row r="30" customFormat="false" ht="15" hidden="false" customHeight="false" outlineLevel="0" collapsed="false">
      <c r="A30" s="22" t="s">
        <v>212</v>
      </c>
    </row>
    <row r="31" customFormat="false" ht="15" hidden="false" customHeight="false" outlineLevel="0" collapsed="false">
      <c r="A31" s="7" t="s">
        <v>67</v>
      </c>
      <c r="B31" s="15" t="s">
        <v>213</v>
      </c>
      <c r="C31" s="15" t="s">
        <v>214</v>
      </c>
      <c r="D31" s="15" t="s">
        <v>215</v>
      </c>
      <c r="E31" s="15" t="s">
        <v>216</v>
      </c>
      <c r="F31" s="15" t="s">
        <v>217</v>
      </c>
      <c r="G31" s="15" t="s">
        <v>218</v>
      </c>
      <c r="H31" s="15" t="s">
        <v>219</v>
      </c>
      <c r="I31" s="15" t="s">
        <v>220</v>
      </c>
    </row>
    <row r="32" customFormat="false" ht="15" hidden="false" customHeight="false" outlineLevel="0" collapsed="false">
      <c r="A32" s="26" t="s">
        <v>69</v>
      </c>
      <c r="B32" s="27" t="n">
        <f aca="false">COUNTIFS(Embedded_Wall_Register!$D$5:$D$304,$A32,Embedded_Wall_Register!$CD$5:$CD$304,"Y",Embedded_Wall_Register!$F$5:$F$304,"&gt;0",Embedded_Wall_Register!$F$5:$F$304,"&lt;=3")</f>
        <v>1</v>
      </c>
      <c r="C32" s="27" t="n">
        <f aca="false">COUNTIFS(Embedded_Wall_Register!$D$5:$D$304,$A32,Embedded_Wall_Register!$CD$5:$CD$304,"Y",Embedded_Wall_Register!$F$5:$F$304,"&gt;3",Embedded_Wall_Register!$F$5:$F$304,"&lt;=4.5")</f>
        <v>0</v>
      </c>
      <c r="D32" s="27" t="n">
        <f aca="false">COUNTIFS(Embedded_Wall_Register!$D$5:$D$304,$A32,Embedded_Wall_Register!$CD$5:$CD$304,"Y",Embedded_Wall_Register!$F$5:$F$304,"&gt;4.5",Embedded_Wall_Register!$F$5:$F$304,"&lt;=6")</f>
        <v>1</v>
      </c>
      <c r="E32" s="27" t="n">
        <f aca="false">COUNTIFS(Embedded_Wall_Register!$D$5:$D$304,$A32,Embedded_Wall_Register!$CD$5:$CD$304,"Y",Embedded_Wall_Register!$F$5:$F$304,"&gt;6",Embedded_Wall_Register!$F$5:$F$304,"&lt;=9")</f>
        <v>0</v>
      </c>
      <c r="F32" s="27" t="n">
        <f aca="false">COUNTIFS(Embedded_Wall_Register!$D$5:$D$304,$A32,Embedded_Wall_Register!$CD$5:$CD$304,"Y",Embedded_Wall_Register!$F$5:$F$304,"&gt;9",Embedded_Wall_Register!$F$5:$F$304,"&lt;=12")</f>
        <v>0</v>
      </c>
      <c r="G32" s="27" t="n">
        <f aca="false">COUNTIFS(Embedded_Wall_Register!$D$5:$D$304,$A32,Embedded_Wall_Register!$CD$5:$CD$304,"Y",Embedded_Wall_Register!$F$5:$F$304,"&gt;12",Embedded_Wall_Register!$F$5:$F$304,"&lt;=15")</f>
        <v>0</v>
      </c>
      <c r="H32" s="27" t="n">
        <f aca="false">COUNTIFS(Embedded_Wall_Register!$D$5:$D$304,$A32,Embedded_Wall_Register!$CD$5:$CD$304,"Y",Embedded_Wall_Register!$F$5:$F$304,"&gt;15",Embedded_Wall_Register!$F$5:$F$304,"&lt;=20")</f>
        <v>0</v>
      </c>
      <c r="I32" s="27" t="n">
        <f aca="false">COUNTIFS(Embedded_Wall_Register!$D$5:$D$304,$A32,Embedded_Wall_Register!$CD$5:$CD$304,"Y",Embedded_Wall_Register!$F$5:$F$304,"&gt;20",Embedded_Wall_Register!$F$5:$F$304,"&lt;=30")</f>
        <v>0</v>
      </c>
    </row>
    <row r="33" customFormat="false" ht="15" hidden="false" customHeight="false" outlineLevel="0" collapsed="false">
      <c r="A33" s="26" t="s">
        <v>221</v>
      </c>
      <c r="B33" s="27" t="n">
        <f aca="false">COUNTIFS(Embedded_Wall_Register!$D$5:$D$304,$A33,Embedded_Wall_Register!$CD$5:$CD$304,"Y",Embedded_Wall_Register!$F$5:$F$304,"&gt;0",Embedded_Wall_Register!$F$5:$F$304,"&lt;=3")</f>
        <v>0</v>
      </c>
      <c r="C33" s="27" t="n">
        <f aca="false">COUNTIFS(Embedded_Wall_Register!$D$5:$D$304,$A33,Embedded_Wall_Register!$CD$5:$CD$304,"Y",Embedded_Wall_Register!$F$5:$F$304,"&gt;3",Embedded_Wall_Register!$F$5:$F$304,"&lt;=4.5")</f>
        <v>0</v>
      </c>
      <c r="D33" s="27" t="n">
        <f aca="false">COUNTIFS(Embedded_Wall_Register!$D$5:$D$304,$A33,Embedded_Wall_Register!$CD$5:$CD$304,"Y",Embedded_Wall_Register!$F$5:$F$304,"&gt;4.5",Embedded_Wall_Register!$F$5:$F$304,"&lt;=6")</f>
        <v>1</v>
      </c>
      <c r="E33" s="27" t="n">
        <f aca="false">COUNTIFS(Embedded_Wall_Register!$D$5:$D$304,$A33,Embedded_Wall_Register!$CD$5:$CD$304,"Y",Embedded_Wall_Register!$F$5:$F$304,"&gt;6",Embedded_Wall_Register!$F$5:$F$304,"&lt;=9")</f>
        <v>0</v>
      </c>
      <c r="F33" s="27" t="n">
        <f aca="false">COUNTIFS(Embedded_Wall_Register!$D$5:$D$304,$A33,Embedded_Wall_Register!$CD$5:$CD$304,"Y",Embedded_Wall_Register!$F$5:$F$304,"&gt;9",Embedded_Wall_Register!$F$5:$F$304,"&lt;=12")</f>
        <v>0</v>
      </c>
      <c r="G33" s="27" t="n">
        <f aca="false">COUNTIFS(Embedded_Wall_Register!$D$5:$D$304,$A33,Embedded_Wall_Register!$CD$5:$CD$304,"Y",Embedded_Wall_Register!$F$5:$F$304,"&gt;12",Embedded_Wall_Register!$F$5:$F$304,"&lt;=15")</f>
        <v>0</v>
      </c>
      <c r="H33" s="27" t="n">
        <f aca="false">COUNTIFS(Embedded_Wall_Register!$D$5:$D$304,$A33,Embedded_Wall_Register!$CD$5:$CD$304,"Y",Embedded_Wall_Register!$F$5:$F$304,"&gt;15",Embedded_Wall_Register!$F$5:$F$304,"&lt;=20")</f>
        <v>0</v>
      </c>
      <c r="I33" s="27" t="n">
        <f aca="false">COUNTIFS(Embedded_Wall_Register!$D$5:$D$304,$A33,Embedded_Wall_Register!$CD$5:$CD$304,"Y",Embedded_Wall_Register!$F$5:$F$304,"&gt;20",Embedded_Wall_Register!$F$5:$F$304,"&lt;=30")</f>
        <v>0</v>
      </c>
    </row>
    <row r="34" customFormat="false" ht="15" hidden="false" customHeight="false" outlineLevel="0" collapsed="false">
      <c r="A34" s="26" t="s">
        <v>222</v>
      </c>
      <c r="B34" s="27" t="n">
        <f aca="false">COUNTIFS(Embedded_Wall_Register!$D$5:$D$304,$A34,Embedded_Wall_Register!$CD$5:$CD$304,"Y",Embedded_Wall_Register!$F$5:$F$304,"&gt;0",Embedded_Wall_Register!$F$5:$F$304,"&lt;=3")</f>
        <v>0</v>
      </c>
      <c r="C34" s="27" t="n">
        <f aca="false">COUNTIFS(Embedded_Wall_Register!$D$5:$D$304,$A34,Embedded_Wall_Register!$CD$5:$CD$304,"Y",Embedded_Wall_Register!$F$5:$F$304,"&gt;3",Embedded_Wall_Register!$F$5:$F$304,"&lt;=4.5")</f>
        <v>0</v>
      </c>
      <c r="D34" s="27" t="n">
        <f aca="false">COUNTIFS(Embedded_Wall_Register!$D$5:$D$304,$A34,Embedded_Wall_Register!$CD$5:$CD$304,"Y",Embedded_Wall_Register!$F$5:$F$304,"&gt;4.5",Embedded_Wall_Register!$F$5:$F$304,"&lt;=6")</f>
        <v>0</v>
      </c>
      <c r="E34" s="27" t="n">
        <f aca="false">COUNTIFS(Embedded_Wall_Register!$D$5:$D$304,$A34,Embedded_Wall_Register!$CD$5:$CD$304,"Y",Embedded_Wall_Register!$F$5:$F$304,"&gt;6",Embedded_Wall_Register!$F$5:$F$304,"&lt;=9")</f>
        <v>0</v>
      </c>
      <c r="F34" s="27" t="n">
        <f aca="false">COUNTIFS(Embedded_Wall_Register!$D$5:$D$304,$A34,Embedded_Wall_Register!$CD$5:$CD$304,"Y",Embedded_Wall_Register!$F$5:$F$304,"&gt;9",Embedded_Wall_Register!$F$5:$F$304,"&lt;=12")</f>
        <v>0</v>
      </c>
      <c r="G34" s="27" t="n">
        <f aca="false">COUNTIFS(Embedded_Wall_Register!$D$5:$D$304,$A34,Embedded_Wall_Register!$CD$5:$CD$304,"Y",Embedded_Wall_Register!$F$5:$F$304,"&gt;12",Embedded_Wall_Register!$F$5:$F$304,"&lt;=15")</f>
        <v>0</v>
      </c>
      <c r="H34" s="27" t="n">
        <f aca="false">COUNTIFS(Embedded_Wall_Register!$D$5:$D$304,$A34,Embedded_Wall_Register!$CD$5:$CD$304,"Y",Embedded_Wall_Register!$F$5:$F$304,"&gt;15",Embedded_Wall_Register!$F$5:$F$304,"&lt;=20")</f>
        <v>0</v>
      </c>
      <c r="I34" s="27" t="n">
        <f aca="false">COUNTIFS(Embedded_Wall_Register!$D$5:$D$304,$A34,Embedded_Wall_Register!$CD$5:$CD$304,"Y",Embedded_Wall_Register!$F$5:$F$304,"&gt;20",Embedded_Wall_Register!$F$5:$F$304,"&lt;=30")</f>
        <v>0</v>
      </c>
    </row>
    <row r="35" customFormat="false" ht="15" hidden="false" customHeight="false" outlineLevel="0" collapsed="false">
      <c r="A35" s="26" t="s">
        <v>223</v>
      </c>
      <c r="B35" s="27" t="n">
        <f aca="false">COUNTIFS(Embedded_Wall_Register!$D$5:$D$304,$A35,Embedded_Wall_Register!$CD$5:$CD$304,"Y",Embedded_Wall_Register!$F$5:$F$304,"&gt;0",Embedded_Wall_Register!$F$5:$F$304,"&lt;=3")</f>
        <v>0</v>
      </c>
      <c r="C35" s="27" t="n">
        <f aca="false">COUNTIFS(Embedded_Wall_Register!$D$5:$D$304,$A35,Embedded_Wall_Register!$CD$5:$CD$304,"Y",Embedded_Wall_Register!$F$5:$F$304,"&gt;3",Embedded_Wall_Register!$F$5:$F$304,"&lt;=4.5")</f>
        <v>1</v>
      </c>
      <c r="D35" s="27" t="n">
        <f aca="false">COUNTIFS(Embedded_Wall_Register!$D$5:$D$304,$A35,Embedded_Wall_Register!$CD$5:$CD$304,"Y",Embedded_Wall_Register!$F$5:$F$304,"&gt;4.5",Embedded_Wall_Register!$F$5:$F$304,"&lt;=6")</f>
        <v>0</v>
      </c>
      <c r="E35" s="27" t="n">
        <f aca="false">COUNTIFS(Embedded_Wall_Register!$D$5:$D$304,$A35,Embedded_Wall_Register!$CD$5:$CD$304,"Y",Embedded_Wall_Register!$F$5:$F$304,"&gt;6",Embedded_Wall_Register!$F$5:$F$304,"&lt;=9")</f>
        <v>0</v>
      </c>
      <c r="F35" s="27" t="n">
        <f aca="false">COUNTIFS(Embedded_Wall_Register!$D$5:$D$304,$A35,Embedded_Wall_Register!$CD$5:$CD$304,"Y",Embedded_Wall_Register!$F$5:$F$304,"&gt;9",Embedded_Wall_Register!$F$5:$F$304,"&lt;=12")</f>
        <v>0</v>
      </c>
      <c r="G35" s="27" t="n">
        <f aca="false">COUNTIFS(Embedded_Wall_Register!$D$5:$D$304,$A35,Embedded_Wall_Register!$CD$5:$CD$304,"Y",Embedded_Wall_Register!$F$5:$F$304,"&gt;12",Embedded_Wall_Register!$F$5:$F$304,"&lt;=15")</f>
        <v>0</v>
      </c>
      <c r="H35" s="27" t="n">
        <f aca="false">COUNTIFS(Embedded_Wall_Register!$D$5:$D$304,$A35,Embedded_Wall_Register!$CD$5:$CD$304,"Y",Embedded_Wall_Register!$F$5:$F$304,"&gt;15",Embedded_Wall_Register!$F$5:$F$304,"&lt;=20")</f>
        <v>0</v>
      </c>
      <c r="I35" s="27" t="n">
        <f aca="false">COUNTIFS(Embedded_Wall_Register!$D$5:$D$304,$A35,Embedded_Wall_Register!$CD$5:$CD$304,"Y",Embedded_Wall_Register!$F$5:$F$304,"&gt;20",Embedded_Wall_Register!$F$5:$F$304,"&lt;=30")</f>
        <v>0</v>
      </c>
    </row>
    <row r="36" customFormat="false" ht="15" hidden="false" customHeight="false" outlineLevel="0" collapsed="false">
      <c r="A36" s="26" t="s">
        <v>224</v>
      </c>
      <c r="B36" s="27" t="n">
        <f aca="false">COUNTIFS(Embedded_Wall_Register!$D$5:$D$304,$A36,Embedded_Wall_Register!$CD$5:$CD$304,"Y",Embedded_Wall_Register!$F$5:$F$304,"&gt;0",Embedded_Wall_Register!$F$5:$F$304,"&lt;=3")</f>
        <v>0</v>
      </c>
      <c r="C36" s="27" t="n">
        <f aca="false">COUNTIFS(Embedded_Wall_Register!$D$5:$D$304,$A36,Embedded_Wall_Register!$CD$5:$CD$304,"Y",Embedded_Wall_Register!$F$5:$F$304,"&gt;3",Embedded_Wall_Register!$F$5:$F$304,"&lt;=4.5")</f>
        <v>0</v>
      </c>
      <c r="D36" s="27" t="n">
        <f aca="false">COUNTIFS(Embedded_Wall_Register!$D$5:$D$304,$A36,Embedded_Wall_Register!$CD$5:$CD$304,"Y",Embedded_Wall_Register!$F$5:$F$304,"&gt;4.5",Embedded_Wall_Register!$F$5:$F$304,"&lt;=6")</f>
        <v>0</v>
      </c>
      <c r="E36" s="27" t="n">
        <f aca="false">COUNTIFS(Embedded_Wall_Register!$D$5:$D$304,$A36,Embedded_Wall_Register!$CD$5:$CD$304,"Y",Embedded_Wall_Register!$F$5:$F$304,"&gt;6",Embedded_Wall_Register!$F$5:$F$304,"&lt;=9")</f>
        <v>0</v>
      </c>
      <c r="F36" s="27" t="n">
        <f aca="false">COUNTIFS(Embedded_Wall_Register!$D$5:$D$304,$A36,Embedded_Wall_Register!$CD$5:$CD$304,"Y",Embedded_Wall_Register!$F$5:$F$304,"&gt;9",Embedded_Wall_Register!$F$5:$F$304,"&lt;=12")</f>
        <v>0</v>
      </c>
      <c r="G36" s="27" t="n">
        <f aca="false">COUNTIFS(Embedded_Wall_Register!$D$5:$D$304,$A36,Embedded_Wall_Register!$CD$5:$CD$304,"Y",Embedded_Wall_Register!$F$5:$F$304,"&gt;12",Embedded_Wall_Register!$F$5:$F$304,"&lt;=15")</f>
        <v>0</v>
      </c>
      <c r="H36" s="27" t="n">
        <f aca="false">COUNTIFS(Embedded_Wall_Register!$D$5:$D$304,$A36,Embedded_Wall_Register!$CD$5:$CD$304,"Y",Embedded_Wall_Register!$F$5:$F$304,"&gt;15",Embedded_Wall_Register!$F$5:$F$304,"&lt;=20")</f>
        <v>0</v>
      </c>
      <c r="I36" s="27" t="n">
        <f aca="false">COUNTIFS(Embedded_Wall_Register!$D$5:$D$304,$A36,Embedded_Wall_Register!$CD$5:$CD$304,"Y",Embedded_Wall_Register!$F$5:$F$304,"&gt;20",Embedded_Wall_Register!$F$5:$F$304,"&lt;=30")</f>
        <v>0</v>
      </c>
    </row>
    <row r="37" customFormat="false" ht="15" hidden="false" customHeight="false" outlineLevel="0" collapsed="false">
      <c r="A37" s="26" t="s">
        <v>225</v>
      </c>
      <c r="B37" s="27" t="n">
        <f aca="false">COUNTIFS(Embedded_Wall_Register!$D$5:$D$304,$A37,Embedded_Wall_Register!$CD$5:$CD$304,"Y",Embedded_Wall_Register!$F$5:$F$304,"&gt;0",Embedded_Wall_Register!$F$5:$F$304,"&lt;=3")</f>
        <v>0</v>
      </c>
      <c r="C37" s="27" t="n">
        <f aca="false">COUNTIFS(Embedded_Wall_Register!$D$5:$D$304,$A37,Embedded_Wall_Register!$CD$5:$CD$304,"Y",Embedded_Wall_Register!$F$5:$F$304,"&gt;3",Embedded_Wall_Register!$F$5:$F$304,"&lt;=4.5")</f>
        <v>0</v>
      </c>
      <c r="D37" s="27" t="n">
        <f aca="false">COUNTIFS(Embedded_Wall_Register!$D$5:$D$304,$A37,Embedded_Wall_Register!$CD$5:$CD$304,"Y",Embedded_Wall_Register!$F$5:$F$304,"&gt;4.5",Embedded_Wall_Register!$F$5:$F$304,"&lt;=6")</f>
        <v>0</v>
      </c>
      <c r="E37" s="27" t="n">
        <f aca="false">COUNTIFS(Embedded_Wall_Register!$D$5:$D$304,$A37,Embedded_Wall_Register!$CD$5:$CD$304,"Y",Embedded_Wall_Register!$F$5:$F$304,"&gt;6",Embedded_Wall_Register!$F$5:$F$304,"&lt;=9")</f>
        <v>0</v>
      </c>
      <c r="F37" s="27" t="n">
        <f aca="false">COUNTIFS(Embedded_Wall_Register!$D$5:$D$304,$A37,Embedded_Wall_Register!$CD$5:$CD$304,"Y",Embedded_Wall_Register!$F$5:$F$304,"&gt;9",Embedded_Wall_Register!$F$5:$F$304,"&lt;=12")</f>
        <v>0</v>
      </c>
      <c r="G37" s="27" t="n">
        <f aca="false">COUNTIFS(Embedded_Wall_Register!$D$5:$D$304,$A37,Embedded_Wall_Register!$CD$5:$CD$304,"Y",Embedded_Wall_Register!$F$5:$F$304,"&gt;12",Embedded_Wall_Register!$F$5:$F$304,"&lt;=15")</f>
        <v>0</v>
      </c>
      <c r="H37" s="27" t="n">
        <f aca="false">COUNTIFS(Embedded_Wall_Register!$D$5:$D$304,$A37,Embedded_Wall_Register!$CD$5:$CD$304,"Y",Embedded_Wall_Register!$F$5:$F$304,"&gt;15",Embedded_Wall_Register!$F$5:$F$304,"&lt;=20")</f>
        <v>0</v>
      </c>
      <c r="I37" s="27" t="n">
        <f aca="false">COUNTIFS(Embedded_Wall_Register!$D$5:$D$304,$A37,Embedded_Wall_Register!$CD$5:$CD$304,"Y",Embedded_Wall_Register!$F$5:$F$304,"&gt;20",Embedded_Wall_Register!$F$5:$F$304,"&lt;=30")</f>
        <v>0</v>
      </c>
    </row>
    <row r="38" customFormat="false" ht="15" hidden="false" customHeight="false" outlineLevel="0" collapsed="false">
      <c r="A38" s="26" t="s">
        <v>226</v>
      </c>
      <c r="B38" s="27" t="n">
        <f aca="false">COUNTIFS(Embedded_Wall_Register!$D$5:$D$304,$A38,Embedded_Wall_Register!$CD$5:$CD$304,"Y",Embedded_Wall_Register!$F$5:$F$304,"&gt;0",Embedded_Wall_Register!$F$5:$F$304,"&lt;=3")</f>
        <v>0</v>
      </c>
      <c r="C38" s="27" t="n">
        <f aca="false">COUNTIFS(Embedded_Wall_Register!$D$5:$D$304,$A38,Embedded_Wall_Register!$CD$5:$CD$304,"Y",Embedded_Wall_Register!$F$5:$F$304,"&gt;3",Embedded_Wall_Register!$F$5:$F$304,"&lt;=4.5")</f>
        <v>0</v>
      </c>
      <c r="D38" s="27" t="n">
        <f aca="false">COUNTIFS(Embedded_Wall_Register!$D$5:$D$304,$A38,Embedded_Wall_Register!$CD$5:$CD$304,"Y",Embedded_Wall_Register!$F$5:$F$304,"&gt;4.5",Embedded_Wall_Register!$F$5:$F$304,"&lt;=6")</f>
        <v>0</v>
      </c>
      <c r="E38" s="27" t="n">
        <f aca="false">COUNTIFS(Embedded_Wall_Register!$D$5:$D$304,$A38,Embedded_Wall_Register!$CD$5:$CD$304,"Y",Embedded_Wall_Register!$F$5:$F$304,"&gt;6",Embedded_Wall_Register!$F$5:$F$304,"&lt;=9")</f>
        <v>0</v>
      </c>
      <c r="F38" s="27" t="n">
        <f aca="false">COUNTIFS(Embedded_Wall_Register!$D$5:$D$304,$A38,Embedded_Wall_Register!$CD$5:$CD$304,"Y",Embedded_Wall_Register!$F$5:$F$304,"&gt;9",Embedded_Wall_Register!$F$5:$F$304,"&lt;=12")</f>
        <v>0</v>
      </c>
      <c r="G38" s="27" t="n">
        <f aca="false">COUNTIFS(Embedded_Wall_Register!$D$5:$D$304,$A38,Embedded_Wall_Register!$CD$5:$CD$304,"Y",Embedded_Wall_Register!$F$5:$F$304,"&gt;12",Embedded_Wall_Register!$F$5:$F$304,"&lt;=15")</f>
        <v>0</v>
      </c>
      <c r="H38" s="27" t="n">
        <f aca="false">COUNTIFS(Embedded_Wall_Register!$D$5:$D$304,$A38,Embedded_Wall_Register!$CD$5:$CD$304,"Y",Embedded_Wall_Register!$F$5:$F$304,"&gt;15",Embedded_Wall_Register!$F$5:$F$304,"&lt;=20")</f>
        <v>0</v>
      </c>
      <c r="I38" s="27" t="n">
        <f aca="false">COUNTIFS(Embedded_Wall_Register!$D$5:$D$304,$A38,Embedded_Wall_Register!$CD$5:$CD$304,"Y",Embedded_Wall_Register!$F$5:$F$304,"&gt;20",Embedded_Wall_Register!$F$5:$F$304,"&lt;=30")</f>
        <v>0</v>
      </c>
    </row>
    <row r="39" customFormat="false" ht="15" hidden="false" customHeight="false" outlineLevel="0" collapsed="false">
      <c r="A39" s="26" t="s">
        <v>227</v>
      </c>
      <c r="B39" s="27" t="n">
        <f aca="false">COUNTIFS(Embedded_Wall_Register!$D$5:$D$304,$A39,Embedded_Wall_Register!$CD$5:$CD$304,"Y",Embedded_Wall_Register!$F$5:$F$304,"&gt;0",Embedded_Wall_Register!$F$5:$F$304,"&lt;=3")</f>
        <v>0</v>
      </c>
      <c r="C39" s="27" t="n">
        <f aca="false">COUNTIFS(Embedded_Wall_Register!$D$5:$D$304,$A39,Embedded_Wall_Register!$CD$5:$CD$304,"Y",Embedded_Wall_Register!$F$5:$F$304,"&gt;3",Embedded_Wall_Register!$F$5:$F$304,"&lt;=4.5")</f>
        <v>0</v>
      </c>
      <c r="D39" s="27" t="n">
        <f aca="false">COUNTIFS(Embedded_Wall_Register!$D$5:$D$304,$A39,Embedded_Wall_Register!$CD$5:$CD$304,"Y",Embedded_Wall_Register!$F$5:$F$304,"&gt;4.5",Embedded_Wall_Register!$F$5:$F$304,"&lt;=6")</f>
        <v>0</v>
      </c>
      <c r="E39" s="27" t="n">
        <f aca="false">COUNTIFS(Embedded_Wall_Register!$D$5:$D$304,$A39,Embedded_Wall_Register!$CD$5:$CD$304,"Y",Embedded_Wall_Register!$F$5:$F$304,"&gt;6",Embedded_Wall_Register!$F$5:$F$304,"&lt;=9")</f>
        <v>0</v>
      </c>
      <c r="F39" s="27" t="n">
        <f aca="false">COUNTIFS(Embedded_Wall_Register!$D$5:$D$304,$A39,Embedded_Wall_Register!$CD$5:$CD$304,"Y",Embedded_Wall_Register!$F$5:$F$304,"&gt;9",Embedded_Wall_Register!$F$5:$F$304,"&lt;=12")</f>
        <v>0</v>
      </c>
      <c r="G39" s="27" t="n">
        <f aca="false">COUNTIFS(Embedded_Wall_Register!$D$5:$D$304,$A39,Embedded_Wall_Register!$CD$5:$CD$304,"Y",Embedded_Wall_Register!$F$5:$F$304,"&gt;12",Embedded_Wall_Register!$F$5:$F$304,"&lt;=15")</f>
        <v>0</v>
      </c>
      <c r="H39" s="27" t="n">
        <f aca="false">COUNTIFS(Embedded_Wall_Register!$D$5:$D$304,$A39,Embedded_Wall_Register!$CD$5:$CD$304,"Y",Embedded_Wall_Register!$F$5:$F$304,"&gt;15",Embedded_Wall_Register!$F$5:$F$304,"&lt;=20")</f>
        <v>0</v>
      </c>
      <c r="I39" s="27" t="n">
        <f aca="false">COUNTIFS(Embedded_Wall_Register!$D$5:$D$304,$A39,Embedded_Wall_Register!$CD$5:$CD$304,"Y",Embedded_Wall_Register!$F$5:$F$304,"&gt;20",Embedded_Wall_Register!$F$5:$F$304,"&lt;=30")</f>
        <v>0</v>
      </c>
    </row>
    <row r="41" customFormat="false" ht="15" hidden="false" customHeight="false" outlineLevel="0" collapsed="false">
      <c r="A41" s="22" t="s">
        <v>228</v>
      </c>
    </row>
    <row r="42" customFormat="false" ht="15" hidden="false" customHeight="false" outlineLevel="0" collapsed="false">
      <c r="A42" s="7" t="s">
        <v>70</v>
      </c>
      <c r="B42" s="15" t="s">
        <v>213</v>
      </c>
      <c r="C42" s="15" t="s">
        <v>214</v>
      </c>
      <c r="D42" s="15" t="s">
        <v>215</v>
      </c>
      <c r="E42" s="15" t="s">
        <v>204</v>
      </c>
      <c r="F42" s="15" t="s">
        <v>229</v>
      </c>
      <c r="G42" s="15" t="s">
        <v>230</v>
      </c>
    </row>
    <row r="43" customFormat="false" ht="15" hidden="false" customHeight="false" outlineLevel="0" collapsed="false">
      <c r="A43" s="26" t="s">
        <v>71</v>
      </c>
      <c r="B43" s="27" t="n">
        <f aca="false">COUNTIFS(Manhole_Register!$D$5:$D$304,$A43,Manhole_Register!$CC$5:$CC$304,"Y",Manhole_Register!$J$5:$J$304,"&gt;0",Manhole_Register!$J$5:$J$304,"&lt;=3")</f>
        <v>1</v>
      </c>
      <c r="C43" s="27" t="n">
        <f aca="false">COUNTIFS(Manhole_Register!$D$5:$D$304,$A43,Manhole_Register!$CC$5:$CC$304,"Y",Manhole_Register!$J$5:$J$304,"&gt;3",Manhole_Register!$J$5:$J$304,"&lt;=4.5")</f>
        <v>0</v>
      </c>
      <c r="D43" s="27" t="n">
        <f aca="false">COUNTIFS(Manhole_Register!$D$5:$D$304,$A43,Manhole_Register!$CC$5:$CC$304,"Y",Manhole_Register!$J$5:$J$304,"&gt;4.5",Manhole_Register!$J$5:$J$304,"&lt;=6")</f>
        <v>1</v>
      </c>
      <c r="E43" s="27" t="n">
        <f aca="false">COUNTIFS(Manhole_Register!$D$5:$D$304,$A43,Manhole_Register!$CC$5:$CC$304,"Y",Manhole_Register!$J$5:$J$304,"&gt;6",Manhole_Register!$J$5:$J$304,"&lt;=8")</f>
        <v>0</v>
      </c>
      <c r="F43" s="27" t="n">
        <f aca="false">COUNTIFS(Manhole_Register!$D$5:$D$304,$A43,Manhole_Register!$CC$5:$CC$304,"Y",Manhole_Register!$J$5:$J$304,"&gt;8",Manhole_Register!$J$5:$J$304,"&lt;=10")</f>
        <v>0</v>
      </c>
      <c r="G43" s="27" t="n">
        <f aca="false">COUNTIFS(Manhole_Register!$D$5:$D$304,$A43,Manhole_Register!$CC$5:$CC$304,"Y",Manhole_Register!$J$5:$J$304,"&gt;10",Manhole_Register!$J$5:$J$304,"&lt;=15")</f>
        <v>0</v>
      </c>
    </row>
    <row r="44" customFormat="false" ht="15" hidden="false" customHeight="false" outlineLevel="0" collapsed="false">
      <c r="A44" s="26" t="s">
        <v>231</v>
      </c>
      <c r="B44" s="27" t="n">
        <f aca="false">COUNTIFS(Manhole_Register!$D$5:$D$304,$A44,Manhole_Register!$CC$5:$CC$304,"Y",Manhole_Register!$J$5:$J$304,"&gt;0",Manhole_Register!$J$5:$J$304,"&lt;=3")</f>
        <v>0</v>
      </c>
      <c r="C44" s="27" t="n">
        <f aca="false">COUNTIFS(Manhole_Register!$D$5:$D$304,$A44,Manhole_Register!$CC$5:$CC$304,"Y",Manhole_Register!$J$5:$J$304,"&gt;3",Manhole_Register!$J$5:$J$304,"&lt;=4.5")</f>
        <v>0</v>
      </c>
      <c r="D44" s="27" t="n">
        <f aca="false">COUNTIFS(Manhole_Register!$D$5:$D$304,$A44,Manhole_Register!$CC$5:$CC$304,"Y",Manhole_Register!$J$5:$J$304,"&gt;4.5",Manhole_Register!$J$5:$J$304,"&lt;=6")</f>
        <v>1</v>
      </c>
      <c r="E44" s="27" t="n">
        <f aca="false">COUNTIFS(Manhole_Register!$D$5:$D$304,$A44,Manhole_Register!$CC$5:$CC$304,"Y",Manhole_Register!$J$5:$J$304,"&gt;6",Manhole_Register!$J$5:$J$304,"&lt;=8")</f>
        <v>0</v>
      </c>
      <c r="F44" s="27" t="n">
        <f aca="false">COUNTIFS(Manhole_Register!$D$5:$D$304,$A44,Manhole_Register!$CC$5:$CC$304,"Y",Manhole_Register!$J$5:$J$304,"&gt;8",Manhole_Register!$J$5:$J$304,"&lt;=10")</f>
        <v>0</v>
      </c>
      <c r="G44" s="27" t="n">
        <f aca="false">COUNTIFS(Manhole_Register!$D$5:$D$304,$A44,Manhole_Register!$CC$5:$CC$304,"Y",Manhole_Register!$J$5:$J$304,"&gt;10",Manhole_Register!$J$5:$J$304,"&lt;=15")</f>
        <v>0</v>
      </c>
    </row>
    <row r="45" customFormat="false" ht="15" hidden="false" customHeight="false" outlineLevel="0" collapsed="false">
      <c r="A45" s="26" t="s">
        <v>232</v>
      </c>
      <c r="B45" s="27" t="n">
        <f aca="false">COUNTIFS(Manhole_Register!$D$5:$D$304,$A45,Manhole_Register!$CC$5:$CC$304,"Y",Manhole_Register!$J$5:$J$304,"&gt;0",Manhole_Register!$J$5:$J$304,"&lt;=3")</f>
        <v>0</v>
      </c>
      <c r="C45" s="27" t="n">
        <f aca="false">COUNTIFS(Manhole_Register!$D$5:$D$304,$A45,Manhole_Register!$CC$5:$CC$304,"Y",Manhole_Register!$J$5:$J$304,"&gt;3",Manhole_Register!$J$5:$J$304,"&lt;=4.5")</f>
        <v>0</v>
      </c>
      <c r="D45" s="27" t="n">
        <f aca="false">COUNTIFS(Manhole_Register!$D$5:$D$304,$A45,Manhole_Register!$CC$5:$CC$304,"Y",Manhole_Register!$J$5:$J$304,"&gt;4.5",Manhole_Register!$J$5:$J$304,"&lt;=6")</f>
        <v>0</v>
      </c>
      <c r="E45" s="27" t="n">
        <f aca="false">COUNTIFS(Manhole_Register!$D$5:$D$304,$A45,Manhole_Register!$CC$5:$CC$304,"Y",Manhole_Register!$J$5:$J$304,"&gt;6",Manhole_Register!$J$5:$J$304,"&lt;=8")</f>
        <v>0</v>
      </c>
      <c r="F45" s="27" t="n">
        <f aca="false">COUNTIFS(Manhole_Register!$D$5:$D$304,$A45,Manhole_Register!$CC$5:$CC$304,"Y",Manhole_Register!$J$5:$J$304,"&gt;8",Manhole_Register!$J$5:$J$304,"&lt;=10")</f>
        <v>0</v>
      </c>
      <c r="G45" s="27" t="n">
        <f aca="false">COUNTIFS(Manhole_Register!$D$5:$D$304,$A45,Manhole_Register!$CC$5:$CC$304,"Y",Manhole_Register!$J$5:$J$304,"&gt;10",Manhole_Register!$J$5:$J$304,"&lt;=15")</f>
        <v>0</v>
      </c>
    </row>
    <row r="46" customFormat="false" ht="15" hidden="false" customHeight="false" outlineLevel="0" collapsed="false">
      <c r="A46" s="26" t="s">
        <v>233</v>
      </c>
      <c r="B46" s="27" t="n">
        <f aca="false">COUNTIFS(Manhole_Register!$D$5:$D$304,$A46,Manhole_Register!$CC$5:$CC$304,"Y",Manhole_Register!$J$5:$J$304,"&gt;0",Manhole_Register!$J$5:$J$304,"&lt;=3")</f>
        <v>0</v>
      </c>
      <c r="C46" s="27" t="n">
        <f aca="false">COUNTIFS(Manhole_Register!$D$5:$D$304,$A46,Manhole_Register!$CC$5:$CC$304,"Y",Manhole_Register!$J$5:$J$304,"&gt;3",Manhole_Register!$J$5:$J$304,"&lt;=4.5")</f>
        <v>0</v>
      </c>
      <c r="D46" s="27" t="n">
        <f aca="false">COUNTIFS(Manhole_Register!$D$5:$D$304,$A46,Manhole_Register!$CC$5:$CC$304,"Y",Manhole_Register!$J$5:$J$304,"&gt;4.5",Manhole_Register!$J$5:$J$304,"&lt;=6")</f>
        <v>0</v>
      </c>
      <c r="E46" s="27" t="n">
        <f aca="false">COUNTIFS(Manhole_Register!$D$5:$D$304,$A46,Manhole_Register!$CC$5:$CC$304,"Y",Manhole_Register!$J$5:$J$304,"&gt;6",Manhole_Register!$J$5:$J$304,"&lt;=8")</f>
        <v>0</v>
      </c>
      <c r="F46" s="27" t="n">
        <f aca="false">COUNTIFS(Manhole_Register!$D$5:$D$304,$A46,Manhole_Register!$CC$5:$CC$304,"Y",Manhole_Register!$J$5:$J$304,"&gt;8",Manhole_Register!$J$5:$J$304,"&lt;=10")</f>
        <v>0</v>
      </c>
      <c r="G46" s="27" t="n">
        <f aca="false">COUNTIFS(Manhole_Register!$D$5:$D$304,$A46,Manhole_Register!$CC$5:$CC$304,"Y",Manhole_Register!$J$5:$J$304,"&gt;10",Manhole_Register!$J$5:$J$304,"&lt;=15")</f>
        <v>0</v>
      </c>
    </row>
    <row r="47" customFormat="false" ht="15" hidden="false" customHeight="false" outlineLevel="0" collapsed="false">
      <c r="A47" s="26" t="s">
        <v>234</v>
      </c>
      <c r="B47" s="27" t="n">
        <f aca="false">COUNTIFS(Manhole_Register!$D$5:$D$304,$A47,Manhole_Register!$CC$5:$CC$304,"Y",Manhole_Register!$J$5:$J$304,"&gt;0",Manhole_Register!$J$5:$J$304,"&lt;=3")</f>
        <v>0</v>
      </c>
      <c r="C47" s="27" t="n">
        <f aca="false">COUNTIFS(Manhole_Register!$D$5:$D$304,$A47,Manhole_Register!$CC$5:$CC$304,"Y",Manhole_Register!$J$5:$J$304,"&gt;3",Manhole_Register!$J$5:$J$304,"&lt;=4.5")</f>
        <v>0</v>
      </c>
      <c r="D47" s="27" t="n">
        <f aca="false">COUNTIFS(Manhole_Register!$D$5:$D$304,$A47,Manhole_Register!$CC$5:$CC$304,"Y",Manhole_Register!$J$5:$J$304,"&gt;4.5",Manhole_Register!$J$5:$J$304,"&lt;=6")</f>
        <v>0</v>
      </c>
      <c r="E47" s="27" t="n">
        <f aca="false">COUNTIFS(Manhole_Register!$D$5:$D$304,$A47,Manhole_Register!$CC$5:$CC$304,"Y",Manhole_Register!$J$5:$J$304,"&gt;6",Manhole_Register!$J$5:$J$304,"&lt;=8")</f>
        <v>0</v>
      </c>
      <c r="F47" s="27" t="n">
        <f aca="false">COUNTIFS(Manhole_Register!$D$5:$D$304,$A47,Manhole_Register!$CC$5:$CC$304,"Y",Manhole_Register!$J$5:$J$304,"&gt;8",Manhole_Register!$J$5:$J$304,"&lt;=10")</f>
        <v>0</v>
      </c>
      <c r="G47" s="27" t="n">
        <f aca="false">COUNTIFS(Manhole_Register!$D$5:$D$304,$A47,Manhole_Register!$CC$5:$CC$304,"Y",Manhole_Register!$J$5:$J$304,"&gt;10",Manhole_Register!$J$5:$J$304,"&lt;=15")</f>
        <v>0</v>
      </c>
    </row>
    <row r="48" customFormat="false" ht="15" hidden="false" customHeight="false" outlineLevel="0" collapsed="false">
      <c r="A48" s="26" t="s">
        <v>235</v>
      </c>
      <c r="B48" s="27" t="n">
        <f aca="false">COUNTIFS(Manhole_Register!$D$5:$D$304,$A48,Manhole_Register!$CC$5:$CC$304,"Y",Manhole_Register!$J$5:$J$304,"&gt;0",Manhole_Register!$J$5:$J$304,"&lt;=3")</f>
        <v>0</v>
      </c>
      <c r="C48" s="27" t="n">
        <f aca="false">COUNTIFS(Manhole_Register!$D$5:$D$304,$A48,Manhole_Register!$CC$5:$CC$304,"Y",Manhole_Register!$J$5:$J$304,"&gt;3",Manhole_Register!$J$5:$J$304,"&lt;=4.5")</f>
        <v>0</v>
      </c>
      <c r="D48" s="27" t="n">
        <f aca="false">COUNTIFS(Manhole_Register!$D$5:$D$304,$A48,Manhole_Register!$CC$5:$CC$304,"Y",Manhole_Register!$J$5:$J$304,"&gt;4.5",Manhole_Register!$J$5:$J$304,"&lt;=6")</f>
        <v>0</v>
      </c>
      <c r="E48" s="27" t="n">
        <f aca="false">COUNTIFS(Manhole_Register!$D$5:$D$304,$A48,Manhole_Register!$CC$5:$CC$304,"Y",Manhole_Register!$J$5:$J$304,"&gt;6",Manhole_Register!$J$5:$J$304,"&lt;=8")</f>
        <v>0</v>
      </c>
      <c r="F48" s="27" t="n">
        <f aca="false">COUNTIFS(Manhole_Register!$D$5:$D$304,$A48,Manhole_Register!$CC$5:$CC$304,"Y",Manhole_Register!$J$5:$J$304,"&gt;8",Manhole_Register!$J$5:$J$304,"&lt;=10")</f>
        <v>0</v>
      </c>
      <c r="G48" s="27" t="n">
        <f aca="false">COUNTIFS(Manhole_Register!$D$5:$D$304,$A48,Manhole_Register!$CC$5:$CC$304,"Y",Manhole_Register!$J$5:$J$304,"&gt;10",Manhole_Register!$J$5:$J$304,"&lt;=15")</f>
        <v>0</v>
      </c>
    </row>
    <row r="50" customFormat="false" ht="15" hidden="false" customHeight="false" outlineLevel="0" collapsed="false">
      <c r="A50" s="22" t="s">
        <v>236</v>
      </c>
    </row>
    <row r="51" customFormat="false" ht="15" hidden="false" customHeight="false" outlineLevel="0" collapsed="false">
      <c r="A51" s="7" t="s">
        <v>237</v>
      </c>
      <c r="B51" s="15" t="s">
        <v>238</v>
      </c>
      <c r="C51" s="15" t="s">
        <v>239</v>
      </c>
      <c r="D51" s="15" t="s">
        <v>240</v>
      </c>
      <c r="E51" s="15" t="s">
        <v>241</v>
      </c>
      <c r="F51" s="15" t="s">
        <v>204</v>
      </c>
      <c r="G51" s="15" t="s">
        <v>229</v>
      </c>
      <c r="H51" s="15" t="s">
        <v>230</v>
      </c>
    </row>
    <row r="52" customFormat="false" ht="15" hidden="false" customHeight="false" outlineLevel="0" collapsed="false">
      <c r="A52" s="26" t="s">
        <v>242</v>
      </c>
      <c r="B52" s="27" t="n">
        <f aca="false">COUNTIFS(ERSS_Pit_Register!$D$5:$D$304,$A52,ERSS_Pit_Register!$BX$5:$BX$304,"Y",ERSS_Pit_Register!$H$5:$H$304,"&gt;0",ERSS_Pit_Register!$H$5:$H$304,"&lt;=1.5")</f>
        <v>0</v>
      </c>
      <c r="C52" s="27" t="n">
        <f aca="false">COUNTIFS(ERSS_Pit_Register!$D$5:$D$304,$A52,ERSS_Pit_Register!$BX$5:$BX$304,"Y",ERSS_Pit_Register!$H$5:$H$304,"&gt;1.5",ERSS_Pit_Register!$H$5:$H$304,"&lt;=3")</f>
        <v>0</v>
      </c>
      <c r="D52" s="27" t="n">
        <f aca="false">COUNTIFS(ERSS_Pit_Register!$D$5:$D$304,$A52,ERSS_Pit_Register!$BX$5:$BX$304,"Y",ERSS_Pit_Register!$H$5:$H$304,"&gt;3",ERSS_Pit_Register!$H$5:$H$304,"&lt;=4")</f>
        <v>0</v>
      </c>
      <c r="E52" s="27" t="n">
        <f aca="false">COUNTIFS(ERSS_Pit_Register!$D$5:$D$304,$A52,ERSS_Pit_Register!$BX$5:$BX$304,"Y",ERSS_Pit_Register!$H$5:$H$304,"&gt;4",ERSS_Pit_Register!$H$5:$H$304,"&lt;=6")</f>
        <v>1</v>
      </c>
      <c r="F52" s="27" t="n">
        <f aca="false">COUNTIFS(ERSS_Pit_Register!$D$5:$D$304,$A52,ERSS_Pit_Register!$BX$5:$BX$304,"Y",ERSS_Pit_Register!$H$5:$H$304,"&gt;6",ERSS_Pit_Register!$H$5:$H$304,"&lt;=8")</f>
        <v>1</v>
      </c>
      <c r="G52" s="27" t="n">
        <f aca="false">COUNTIFS(ERSS_Pit_Register!$D$5:$D$304,$A52,ERSS_Pit_Register!$BX$5:$BX$304,"Y",ERSS_Pit_Register!$H$5:$H$304,"&gt;8",ERSS_Pit_Register!$H$5:$H$304,"&lt;=10")</f>
        <v>0</v>
      </c>
      <c r="H52" s="27" t="n">
        <f aca="false">COUNTIFS(ERSS_Pit_Register!$D$5:$D$304,$A52,ERSS_Pit_Register!$BX$5:$BX$304,"Y",ERSS_Pit_Register!$H$5:$H$304,"&gt;10",ERSS_Pit_Register!$H$5:$H$304,"&lt;=15")</f>
        <v>0</v>
      </c>
    </row>
    <row r="53" customFormat="false" ht="15" hidden="false" customHeight="false" outlineLevel="0" collapsed="false">
      <c r="A53" s="26" t="s">
        <v>243</v>
      </c>
      <c r="B53" s="27" t="n">
        <f aca="false">COUNTIFS(ERSS_Pit_Register!$D$5:$D$304,$A53,ERSS_Pit_Register!$BX$5:$BX$304,"Y",ERSS_Pit_Register!$H$5:$H$304,"&gt;0",ERSS_Pit_Register!$H$5:$H$304,"&lt;=1.5")</f>
        <v>0</v>
      </c>
      <c r="C53" s="27" t="n">
        <f aca="false">COUNTIFS(ERSS_Pit_Register!$D$5:$D$304,$A53,ERSS_Pit_Register!$BX$5:$BX$304,"Y",ERSS_Pit_Register!$H$5:$H$304,"&gt;1.5",ERSS_Pit_Register!$H$5:$H$304,"&lt;=3")</f>
        <v>1</v>
      </c>
      <c r="D53" s="27" t="n">
        <f aca="false">COUNTIFS(ERSS_Pit_Register!$D$5:$D$304,$A53,ERSS_Pit_Register!$BX$5:$BX$304,"Y",ERSS_Pit_Register!$H$5:$H$304,"&gt;3",ERSS_Pit_Register!$H$5:$H$304,"&lt;=4")</f>
        <v>0</v>
      </c>
      <c r="E53" s="27" t="n">
        <f aca="false">COUNTIFS(ERSS_Pit_Register!$D$5:$D$304,$A53,ERSS_Pit_Register!$BX$5:$BX$304,"Y",ERSS_Pit_Register!$H$5:$H$304,"&gt;4",ERSS_Pit_Register!$H$5:$H$304,"&lt;=6")</f>
        <v>0</v>
      </c>
      <c r="F53" s="27" t="n">
        <f aca="false">COUNTIFS(ERSS_Pit_Register!$D$5:$D$304,$A53,ERSS_Pit_Register!$BX$5:$BX$304,"Y",ERSS_Pit_Register!$H$5:$H$304,"&gt;6",ERSS_Pit_Register!$H$5:$H$304,"&lt;=8")</f>
        <v>0</v>
      </c>
      <c r="G53" s="27" t="n">
        <f aca="false">COUNTIFS(ERSS_Pit_Register!$D$5:$D$304,$A53,ERSS_Pit_Register!$BX$5:$BX$304,"Y",ERSS_Pit_Register!$H$5:$H$304,"&gt;8",ERSS_Pit_Register!$H$5:$H$304,"&lt;=10")</f>
        <v>0</v>
      </c>
      <c r="H53" s="27" t="n">
        <f aca="false">COUNTIFS(ERSS_Pit_Register!$D$5:$D$304,$A53,ERSS_Pit_Register!$BX$5:$BX$304,"Y",ERSS_Pit_Register!$H$5:$H$304,"&gt;10",ERSS_Pit_Register!$H$5:$H$304,"&lt;=15")</f>
        <v>0</v>
      </c>
    </row>
    <row r="54" customFormat="false" ht="15" hidden="false" customHeight="false" outlineLevel="0" collapsed="false">
      <c r="A54" s="26" t="s">
        <v>244</v>
      </c>
      <c r="B54" s="27" t="n">
        <f aca="false">COUNTIFS(ERSS_Pit_Register!$D$5:$D$304,$A54,ERSS_Pit_Register!$BX$5:$BX$304,"Y",ERSS_Pit_Register!$H$5:$H$304,"&gt;0",ERSS_Pit_Register!$H$5:$H$304,"&lt;=1.5")</f>
        <v>0</v>
      </c>
      <c r="C54" s="27" t="n">
        <f aca="false">COUNTIFS(ERSS_Pit_Register!$D$5:$D$304,$A54,ERSS_Pit_Register!$BX$5:$BX$304,"Y",ERSS_Pit_Register!$H$5:$H$304,"&gt;1.5",ERSS_Pit_Register!$H$5:$H$304,"&lt;=3")</f>
        <v>0</v>
      </c>
      <c r="D54" s="27" t="n">
        <f aca="false">COUNTIFS(ERSS_Pit_Register!$D$5:$D$304,$A54,ERSS_Pit_Register!$BX$5:$BX$304,"Y",ERSS_Pit_Register!$H$5:$H$304,"&gt;3",ERSS_Pit_Register!$H$5:$H$304,"&lt;=4")</f>
        <v>0</v>
      </c>
      <c r="E54" s="27" t="n">
        <f aca="false">COUNTIFS(ERSS_Pit_Register!$D$5:$D$304,$A54,ERSS_Pit_Register!$BX$5:$BX$304,"Y",ERSS_Pit_Register!$H$5:$H$304,"&gt;4",ERSS_Pit_Register!$H$5:$H$304,"&lt;=6")</f>
        <v>0</v>
      </c>
      <c r="F54" s="27" t="n">
        <f aca="false">COUNTIFS(ERSS_Pit_Register!$D$5:$D$304,$A54,ERSS_Pit_Register!$BX$5:$BX$304,"Y",ERSS_Pit_Register!$H$5:$H$304,"&gt;6",ERSS_Pit_Register!$H$5:$H$304,"&lt;=8")</f>
        <v>0</v>
      </c>
      <c r="G54" s="27" t="n">
        <f aca="false">COUNTIFS(ERSS_Pit_Register!$D$5:$D$304,$A54,ERSS_Pit_Register!$BX$5:$BX$304,"Y",ERSS_Pit_Register!$H$5:$H$304,"&gt;8",ERSS_Pit_Register!$H$5:$H$304,"&lt;=10")</f>
        <v>0</v>
      </c>
      <c r="H54" s="27" t="n">
        <f aca="false">COUNTIFS(ERSS_Pit_Register!$D$5:$D$304,$A54,ERSS_Pit_Register!$BX$5:$BX$304,"Y",ERSS_Pit_Register!$H$5:$H$304,"&gt;10",ERSS_Pit_Register!$H$5:$H$304,"&lt;=15")</f>
        <v>0</v>
      </c>
    </row>
    <row r="55" customFormat="false" ht="15" hidden="false" customHeight="false" outlineLevel="0" collapsed="false">
      <c r="A55" s="26" t="s">
        <v>225</v>
      </c>
      <c r="B55" s="27" t="n">
        <f aca="false">COUNTIFS(ERSS_Pit_Register!$D$5:$D$304,$A55,ERSS_Pit_Register!$BX$5:$BX$304,"Y",ERSS_Pit_Register!$H$5:$H$304,"&gt;0",ERSS_Pit_Register!$H$5:$H$304,"&lt;=1.5")</f>
        <v>0</v>
      </c>
      <c r="C55" s="27" t="n">
        <f aca="false">COUNTIFS(ERSS_Pit_Register!$D$5:$D$304,$A55,ERSS_Pit_Register!$BX$5:$BX$304,"Y",ERSS_Pit_Register!$H$5:$H$304,"&gt;1.5",ERSS_Pit_Register!$H$5:$H$304,"&lt;=3")</f>
        <v>0</v>
      </c>
      <c r="D55" s="27" t="n">
        <f aca="false">COUNTIFS(ERSS_Pit_Register!$D$5:$D$304,$A55,ERSS_Pit_Register!$BX$5:$BX$304,"Y",ERSS_Pit_Register!$H$5:$H$304,"&gt;3",ERSS_Pit_Register!$H$5:$H$304,"&lt;=4")</f>
        <v>0</v>
      </c>
      <c r="E55" s="27" t="n">
        <f aca="false">COUNTIFS(ERSS_Pit_Register!$D$5:$D$304,$A55,ERSS_Pit_Register!$BX$5:$BX$304,"Y",ERSS_Pit_Register!$H$5:$H$304,"&gt;4",ERSS_Pit_Register!$H$5:$H$304,"&lt;=6")</f>
        <v>0</v>
      </c>
      <c r="F55" s="27" t="n">
        <f aca="false">COUNTIFS(ERSS_Pit_Register!$D$5:$D$304,$A55,ERSS_Pit_Register!$BX$5:$BX$304,"Y",ERSS_Pit_Register!$H$5:$H$304,"&gt;6",ERSS_Pit_Register!$H$5:$H$304,"&lt;=8")</f>
        <v>0</v>
      </c>
      <c r="G55" s="27" t="n">
        <f aca="false">COUNTIFS(ERSS_Pit_Register!$D$5:$D$304,$A55,ERSS_Pit_Register!$BX$5:$BX$304,"Y",ERSS_Pit_Register!$H$5:$H$304,"&gt;8",ERSS_Pit_Register!$H$5:$H$304,"&lt;=10")</f>
        <v>0</v>
      </c>
      <c r="H55" s="27" t="n">
        <f aca="false">COUNTIFS(ERSS_Pit_Register!$D$5:$D$304,$A55,ERSS_Pit_Register!$BX$5:$BX$304,"Y",ERSS_Pit_Register!$H$5:$H$304,"&gt;10",ERSS_Pit_Register!$H$5:$H$304,"&lt;=15")</f>
        <v>0</v>
      </c>
    </row>
    <row r="56" customFormat="false" ht="15" hidden="false" customHeight="false" outlineLevel="0" collapsed="false">
      <c r="A56" s="26" t="s">
        <v>245</v>
      </c>
      <c r="B56" s="27" t="n">
        <f aca="false">COUNTIFS(ERSS_Pit_Register!$D$5:$D$304,$A56,ERSS_Pit_Register!$BX$5:$BX$304,"Y",ERSS_Pit_Register!$H$5:$H$304,"&gt;0",ERSS_Pit_Register!$H$5:$H$304,"&lt;=1.5")</f>
        <v>0</v>
      </c>
      <c r="C56" s="27" t="n">
        <f aca="false">COUNTIFS(ERSS_Pit_Register!$D$5:$D$304,$A56,ERSS_Pit_Register!$BX$5:$BX$304,"Y",ERSS_Pit_Register!$H$5:$H$304,"&gt;1.5",ERSS_Pit_Register!$H$5:$H$304,"&lt;=3")</f>
        <v>0</v>
      </c>
      <c r="D56" s="27" t="n">
        <f aca="false">COUNTIFS(ERSS_Pit_Register!$D$5:$D$304,$A56,ERSS_Pit_Register!$BX$5:$BX$304,"Y",ERSS_Pit_Register!$H$5:$H$304,"&gt;3",ERSS_Pit_Register!$H$5:$H$304,"&lt;=4")</f>
        <v>0</v>
      </c>
      <c r="E56" s="27" t="n">
        <f aca="false">COUNTIFS(ERSS_Pit_Register!$D$5:$D$304,$A56,ERSS_Pit_Register!$BX$5:$BX$304,"Y",ERSS_Pit_Register!$H$5:$H$304,"&gt;4",ERSS_Pit_Register!$H$5:$H$304,"&lt;=6")</f>
        <v>0</v>
      </c>
      <c r="F56" s="27" t="n">
        <f aca="false">COUNTIFS(ERSS_Pit_Register!$D$5:$D$304,$A56,ERSS_Pit_Register!$BX$5:$BX$304,"Y",ERSS_Pit_Register!$H$5:$H$304,"&gt;6",ERSS_Pit_Register!$H$5:$H$304,"&lt;=8")</f>
        <v>0</v>
      </c>
      <c r="G56" s="27" t="n">
        <f aca="false">COUNTIFS(ERSS_Pit_Register!$D$5:$D$304,$A56,ERSS_Pit_Register!$BX$5:$BX$304,"Y",ERSS_Pit_Register!$H$5:$H$304,"&gt;8",ERSS_Pit_Register!$H$5:$H$304,"&lt;=10")</f>
        <v>0</v>
      </c>
      <c r="H56" s="27" t="n">
        <f aca="false">COUNTIFS(ERSS_Pit_Register!$D$5:$D$304,$A56,ERSS_Pit_Register!$BX$5:$BX$304,"Y",ERSS_Pit_Register!$H$5:$H$304,"&gt;10",ERSS_Pit_Register!$H$5:$H$304,"&lt;=15")</f>
        <v>0</v>
      </c>
    </row>
    <row r="57" customFormat="false" ht="15" hidden="false" customHeight="false" outlineLevel="0" collapsed="false">
      <c r="A57" s="26" t="s">
        <v>246</v>
      </c>
      <c r="B57" s="27" t="n">
        <f aca="false">COUNTIFS(ERSS_Pit_Register!$D$5:$D$304,$A57,ERSS_Pit_Register!$BX$5:$BX$304,"Y",ERSS_Pit_Register!$H$5:$H$304,"&gt;0",ERSS_Pit_Register!$H$5:$H$304,"&lt;=1.5")</f>
        <v>0</v>
      </c>
      <c r="C57" s="27" t="n">
        <f aca="false">COUNTIFS(ERSS_Pit_Register!$D$5:$D$304,$A57,ERSS_Pit_Register!$BX$5:$BX$304,"Y",ERSS_Pit_Register!$H$5:$H$304,"&gt;1.5",ERSS_Pit_Register!$H$5:$H$304,"&lt;=3")</f>
        <v>0</v>
      </c>
      <c r="D57" s="27" t="n">
        <f aca="false">COUNTIFS(ERSS_Pit_Register!$D$5:$D$304,$A57,ERSS_Pit_Register!$BX$5:$BX$304,"Y",ERSS_Pit_Register!$H$5:$H$304,"&gt;3",ERSS_Pit_Register!$H$5:$H$304,"&lt;=4")</f>
        <v>0</v>
      </c>
      <c r="E57" s="27" t="n">
        <f aca="false">COUNTIFS(ERSS_Pit_Register!$D$5:$D$304,$A57,ERSS_Pit_Register!$BX$5:$BX$304,"Y",ERSS_Pit_Register!$H$5:$H$304,"&gt;4",ERSS_Pit_Register!$H$5:$H$304,"&lt;=6")</f>
        <v>0</v>
      </c>
      <c r="F57" s="27" t="n">
        <f aca="false">COUNTIFS(ERSS_Pit_Register!$D$5:$D$304,$A57,ERSS_Pit_Register!$BX$5:$BX$304,"Y",ERSS_Pit_Register!$H$5:$H$304,"&gt;6",ERSS_Pit_Register!$H$5:$H$304,"&lt;=8")</f>
        <v>0</v>
      </c>
      <c r="G57" s="27" t="n">
        <f aca="false">COUNTIFS(ERSS_Pit_Register!$D$5:$D$304,$A57,ERSS_Pit_Register!$BX$5:$BX$304,"Y",ERSS_Pit_Register!$H$5:$H$304,"&gt;8",ERSS_Pit_Register!$H$5:$H$304,"&lt;=10")</f>
        <v>0</v>
      </c>
      <c r="H57" s="27" t="n">
        <f aca="false">COUNTIFS(ERSS_Pit_Register!$D$5:$D$304,$A57,ERSS_Pit_Register!$BX$5:$BX$304,"Y",ERSS_Pit_Register!$H$5:$H$304,"&gt;10",ERSS_Pit_Register!$H$5:$H$304,"&lt;=15")</f>
        <v>0</v>
      </c>
    </row>
    <row r="58" customFormat="false" ht="15" hidden="false" customHeight="false" outlineLevel="0" collapsed="false">
      <c r="A58" s="26" t="s">
        <v>247</v>
      </c>
      <c r="B58" s="27" t="n">
        <f aca="false">COUNTIFS(ERSS_Pit_Register!$D$5:$D$304,$A58,ERSS_Pit_Register!$BX$5:$BX$304,"Y",ERSS_Pit_Register!$H$5:$H$304,"&gt;0",ERSS_Pit_Register!$H$5:$H$304,"&lt;=1.5")</f>
        <v>0</v>
      </c>
      <c r="C58" s="27" t="n">
        <f aca="false">COUNTIFS(ERSS_Pit_Register!$D$5:$D$304,$A58,ERSS_Pit_Register!$BX$5:$BX$304,"Y",ERSS_Pit_Register!$H$5:$H$304,"&gt;1.5",ERSS_Pit_Register!$H$5:$H$304,"&lt;=3")</f>
        <v>0</v>
      </c>
      <c r="D58" s="27" t="n">
        <f aca="false">COUNTIFS(ERSS_Pit_Register!$D$5:$D$304,$A58,ERSS_Pit_Register!$BX$5:$BX$304,"Y",ERSS_Pit_Register!$H$5:$H$304,"&gt;3",ERSS_Pit_Register!$H$5:$H$304,"&lt;=4")</f>
        <v>0</v>
      </c>
      <c r="E58" s="27" t="n">
        <f aca="false">COUNTIFS(ERSS_Pit_Register!$D$5:$D$304,$A58,ERSS_Pit_Register!$BX$5:$BX$304,"Y",ERSS_Pit_Register!$H$5:$H$304,"&gt;4",ERSS_Pit_Register!$H$5:$H$304,"&lt;=6")</f>
        <v>0</v>
      </c>
      <c r="F58" s="27" t="n">
        <f aca="false">COUNTIFS(ERSS_Pit_Register!$D$5:$D$304,$A58,ERSS_Pit_Register!$BX$5:$BX$304,"Y",ERSS_Pit_Register!$H$5:$H$304,"&gt;6",ERSS_Pit_Register!$H$5:$H$304,"&lt;=8")</f>
        <v>0</v>
      </c>
      <c r="G58" s="27" t="n">
        <f aca="false">COUNTIFS(ERSS_Pit_Register!$D$5:$D$304,$A58,ERSS_Pit_Register!$BX$5:$BX$304,"Y",ERSS_Pit_Register!$H$5:$H$304,"&gt;8",ERSS_Pit_Register!$H$5:$H$304,"&lt;=10")</f>
        <v>0</v>
      </c>
      <c r="H58" s="27" t="n">
        <f aca="false">COUNTIFS(ERSS_Pit_Register!$D$5:$D$304,$A58,ERSS_Pit_Register!$BX$5:$BX$304,"Y",ERSS_Pit_Register!$H$5:$H$304,"&gt;10",ERSS_Pit_Register!$H$5:$H$304,"&lt;=15")</f>
        <v>0</v>
      </c>
    </row>
    <row r="60" customFormat="false" ht="15" hidden="false" customHeight="false" outlineLevel="0" collapsed="false">
      <c r="A60" s="22" t="s">
        <v>248</v>
      </c>
    </row>
    <row r="61" customFormat="false" ht="15" hidden="false" customHeight="false" outlineLevel="0" collapsed="false">
      <c r="A61" s="7" t="s">
        <v>249</v>
      </c>
      <c r="B61" s="15" t="n">
        <v>2.4</v>
      </c>
      <c r="C61" s="15" t="n">
        <v>3</v>
      </c>
      <c r="D61" s="15" t="n">
        <v>3.6</v>
      </c>
      <c r="E61" s="15" t="n">
        <v>4.8</v>
      </c>
    </row>
    <row r="62" customFormat="false" ht="15" hidden="false" customHeight="false" outlineLevel="0" collapsed="false">
      <c r="A62" s="26" t="s">
        <v>250</v>
      </c>
      <c r="B62" s="27" t="n">
        <f aca="false">COUNTIFS(Linkway_Register!$D$5:$D$304,$A62,Linkway_Register!$BY$5:$BY$304,"Y",Linkway_Register!$F$5:$F$304,B$61)</f>
        <v>1</v>
      </c>
      <c r="C62" s="27" t="n">
        <f aca="false">COUNTIFS(Linkway_Register!$D$5:$D$304,$A62,Linkway_Register!$BY$5:$BY$304,"Y",Linkway_Register!$F$5:$F$304,C$61)</f>
        <v>0</v>
      </c>
      <c r="D62" s="27" t="n">
        <f aca="false">COUNTIFS(Linkway_Register!$D$5:$D$304,$A62,Linkway_Register!$BY$5:$BY$304,"Y",Linkway_Register!$F$5:$F$304,D$61)</f>
        <v>1</v>
      </c>
      <c r="E62" s="27" t="n">
        <f aca="false">COUNTIFS(Linkway_Register!$D$5:$D$304,$A62,Linkway_Register!$BY$5:$BY$304,"Y",Linkway_Register!$F$5:$F$304,E$61)</f>
        <v>0</v>
      </c>
    </row>
    <row r="63" customFormat="false" ht="15" hidden="false" customHeight="false" outlineLevel="0" collapsed="false">
      <c r="A63" s="26" t="s">
        <v>251</v>
      </c>
      <c r="B63" s="27" t="n">
        <f aca="false">COUNTIFS(Linkway_Register!$D$5:$D$304,$A63,Linkway_Register!$BY$5:$BY$304,"Y",Linkway_Register!$F$5:$F$304,B$61)</f>
        <v>0</v>
      </c>
      <c r="C63" s="27" t="n">
        <f aca="false">COUNTIFS(Linkway_Register!$D$5:$D$304,$A63,Linkway_Register!$BY$5:$BY$304,"Y",Linkway_Register!$F$5:$F$304,C$61)</f>
        <v>0</v>
      </c>
      <c r="D63" s="27" t="n">
        <f aca="false">COUNTIFS(Linkway_Register!$D$5:$D$304,$A63,Linkway_Register!$BY$5:$BY$304,"Y",Linkway_Register!$F$5:$F$304,D$61)</f>
        <v>0</v>
      </c>
      <c r="E63" s="27" t="n">
        <f aca="false">COUNTIFS(Linkway_Register!$D$5:$D$304,$A63,Linkway_Register!$BY$5:$BY$304,"Y",Linkway_Register!$F$5:$F$304,E$61)</f>
        <v>0</v>
      </c>
    </row>
    <row r="64" customFormat="false" ht="15" hidden="false" customHeight="false" outlineLevel="0" collapsed="false">
      <c r="A64" s="26" t="s">
        <v>252</v>
      </c>
      <c r="B64" s="27" t="n">
        <f aca="false">COUNTIFS(Linkway_Register!$D$5:$D$304,$A64,Linkway_Register!$BY$5:$BY$304,"Y",Linkway_Register!$F$5:$F$304,B$61)</f>
        <v>0</v>
      </c>
      <c r="C64" s="27" t="n">
        <f aca="false">COUNTIFS(Linkway_Register!$D$5:$D$304,$A64,Linkway_Register!$BY$5:$BY$304,"Y",Linkway_Register!$F$5:$F$304,C$61)</f>
        <v>0</v>
      </c>
      <c r="D64" s="27" t="n">
        <f aca="false">COUNTIFS(Linkway_Register!$D$5:$D$304,$A64,Linkway_Register!$BY$5:$BY$304,"Y",Linkway_Register!$F$5:$F$304,D$61)</f>
        <v>0</v>
      </c>
      <c r="E64" s="27" t="n">
        <f aca="false">COUNTIFS(Linkway_Register!$D$5:$D$304,$A64,Linkway_Register!$BY$5:$BY$304,"Y",Linkway_Register!$F$5:$F$304,E$61)</f>
        <v>0</v>
      </c>
    </row>
    <row r="66" customFormat="false" ht="15" hidden="false" customHeight="false" outlineLevel="0" collapsed="false">
      <c r="A66" s="22" t="s">
        <v>253</v>
      </c>
    </row>
    <row r="67" customFormat="false" ht="22.35" hidden="false" customHeight="false" outlineLevel="0" collapsed="false">
      <c r="A67" s="7" t="s">
        <v>130</v>
      </c>
      <c r="B67" s="15" t="s">
        <v>254</v>
      </c>
      <c r="C67" s="15" t="s">
        <v>255</v>
      </c>
      <c r="D67" s="15" t="s">
        <v>256</v>
      </c>
      <c r="E67" s="15" t="s">
        <v>257</v>
      </c>
      <c r="F67" s="15" t="s">
        <v>258</v>
      </c>
      <c r="G67" s="15" t="s">
        <v>259</v>
      </c>
    </row>
    <row r="68" customFormat="false" ht="15" hidden="false" customHeight="false" outlineLevel="0" collapsed="false">
      <c r="A68" s="26" t="s">
        <v>260</v>
      </c>
      <c r="B68" s="28" t="n">
        <f aca="false">COUNTIF(Drain_Register!$AJ$5:$AJ$304,"Approved")</f>
        <v>10</v>
      </c>
      <c r="C68" s="28" t="n">
        <f aca="false">COUNTIF(Drain_Register!$AJ$5:$AJ$304,"Checked")</f>
        <v>1</v>
      </c>
      <c r="D68" s="28" t="n">
        <f aca="false">COUNTIF(Drain_Register!$AJ$5:$AJ$304,"WIP")</f>
        <v>1</v>
      </c>
      <c r="E68" s="28" t="n">
        <f aca="false">COUNTIF(Drain_Register!$AJ$5:$AJ$304,"Superseded")</f>
        <v>0</v>
      </c>
      <c r="F68" s="28" t="n">
        <f aca="false">COUNTIFS(Drain_Register!$AJ$5:$AJ$304,"Approved",Drain_Register!$CA$5:$CA$304,"N")</f>
        <v>0</v>
      </c>
      <c r="G68" s="28" t="n">
        <f aca="false">COUNTIFS(Drain_Register!$A$5:$A$304,"?*",Drain_Register!$AT$5:$AT$304,"&lt;&gt;Y")</f>
        <v>12</v>
      </c>
    </row>
    <row r="69" customFormat="false" ht="15" hidden="false" customHeight="false" outlineLevel="0" collapsed="false">
      <c r="A69" s="26" t="s">
        <v>261</v>
      </c>
      <c r="B69" s="28" t="n">
        <f aca="false">COUNTIF(RW_Register!$AP$5:$AP$304,"Approved")</f>
        <v>10</v>
      </c>
      <c r="C69" s="28" t="n">
        <f aca="false">COUNTIF(RW_Register!$AP$5:$AP$304,"Checked")</f>
        <v>1</v>
      </c>
      <c r="D69" s="28" t="n">
        <f aca="false">COUNTIF(RW_Register!$AP$5:$AP$304,"WIP")</f>
        <v>1</v>
      </c>
      <c r="E69" s="28" t="n">
        <f aca="false">COUNTIF(RW_Register!$AP$5:$AP$304,"Superseded")</f>
        <v>0</v>
      </c>
      <c r="F69" s="28" t="n">
        <f aca="false">COUNTIFS(RW_Register!$AP$5:$AP$304,"Approved",RW_Register!$CF$5:$CF$304,"N")</f>
        <v>0</v>
      </c>
      <c r="G69" s="28" t="n">
        <f aca="false">COUNTIFS(RW_Register!$A$5:$A$304,"?*",RW_Register!$AZ$5:$AZ$304,"&lt;&gt;Y")</f>
        <v>12</v>
      </c>
    </row>
    <row r="70" customFormat="false" ht="15" hidden="false" customHeight="false" outlineLevel="0" collapsed="false">
      <c r="A70" s="26" t="s">
        <v>262</v>
      </c>
      <c r="B70" s="28" t="n">
        <f aca="false">COUNTIF(Embedded_Wall_Register!$AN$5:$AN$304,"Approved")</f>
        <v>4</v>
      </c>
      <c r="C70" s="28" t="n">
        <f aca="false">COUNTIF(Embedded_Wall_Register!$AN$5:$AN$304,"Checked")</f>
        <v>0</v>
      </c>
      <c r="D70" s="28" t="n">
        <f aca="false">COUNTIF(Embedded_Wall_Register!$AN$5:$AN$304,"WIP")</f>
        <v>1</v>
      </c>
      <c r="E70" s="28" t="n">
        <f aca="false">COUNTIF(Embedded_Wall_Register!$AN$5:$AN$304,"Superseded")</f>
        <v>0</v>
      </c>
      <c r="F70" s="28" t="n">
        <f aca="false">COUNTIFS(Embedded_Wall_Register!$AN$5:$AN$304,"Approved",Embedded_Wall_Register!$CD$5:$CD$304,"N")</f>
        <v>0</v>
      </c>
      <c r="G70" s="28" t="n">
        <f aca="false">COUNTIFS(Embedded_Wall_Register!$A$5:$A$304,"?*",Embedded_Wall_Register!$AX$5:$AX$304,"&lt;&gt;Y")</f>
        <v>5</v>
      </c>
    </row>
    <row r="71" customFormat="false" ht="15" hidden="false" customHeight="false" outlineLevel="0" collapsed="false">
      <c r="A71" s="26" t="s">
        <v>263</v>
      </c>
      <c r="B71" s="28" t="n">
        <f aca="false">COUNTIF(Manhole_Register!$AN$5:$AN$304,"Approved")</f>
        <v>3</v>
      </c>
      <c r="C71" s="28" t="n">
        <f aca="false">COUNTIF(Manhole_Register!$AN$5:$AN$304,"Checked")</f>
        <v>1</v>
      </c>
      <c r="D71" s="28" t="n">
        <f aca="false">COUNTIF(Manhole_Register!$AN$5:$AN$304,"WIP")</f>
        <v>1</v>
      </c>
      <c r="E71" s="28" t="n">
        <f aca="false">COUNTIF(Manhole_Register!$AN$5:$AN$304,"Superseded")</f>
        <v>0</v>
      </c>
      <c r="F71" s="28" t="n">
        <f aca="false">COUNTIFS(Manhole_Register!$AN$5:$AN$304,"Approved",Manhole_Register!$CC$5:$CC$304,"N")</f>
        <v>0</v>
      </c>
      <c r="G71" s="28" t="n">
        <f aca="false">COUNTIFS(Manhole_Register!$A$5:$A$304,"?*",Manhole_Register!$AX$5:$AX$304,"&lt;&gt;Y")</f>
        <v>5</v>
      </c>
    </row>
    <row r="72" customFormat="false" ht="15" hidden="false" customHeight="false" outlineLevel="0" collapsed="false">
      <c r="A72" s="26" t="s">
        <v>264</v>
      </c>
      <c r="B72" s="28" t="n">
        <f aca="false">COUNTIF(ERSS_Pit_Register!$AH$5:$AH$304,"Approved")</f>
        <v>3</v>
      </c>
      <c r="C72" s="28" t="n">
        <f aca="false">COUNTIF(ERSS_Pit_Register!$AH$5:$AH$304,"Checked")</f>
        <v>1</v>
      </c>
      <c r="D72" s="28" t="n">
        <f aca="false">COUNTIF(ERSS_Pit_Register!$AH$5:$AH$304,"WIP")</f>
        <v>0</v>
      </c>
      <c r="E72" s="28" t="n">
        <f aca="false">COUNTIF(ERSS_Pit_Register!$AH$5:$AH$304,"Superseded")</f>
        <v>0</v>
      </c>
      <c r="F72" s="28" t="n">
        <f aca="false">COUNTIFS(ERSS_Pit_Register!$AH$5:$AH$304,"Approved",ERSS_Pit_Register!$BX$5:$BX$304,"N")</f>
        <v>0</v>
      </c>
      <c r="G72" s="28" t="n">
        <f aca="false">COUNTIFS(ERSS_Pit_Register!$A$5:$A$304,"?*",ERSS_Pit_Register!$AR$5:$AR$304,"&lt;&gt;Y")</f>
        <v>4</v>
      </c>
    </row>
    <row r="73" customFormat="false" ht="15" hidden="false" customHeight="false" outlineLevel="0" collapsed="false">
      <c r="A73" s="26" t="s">
        <v>265</v>
      </c>
      <c r="B73" s="28" t="n">
        <f aca="false">COUNTIF(Linkway_Register!$AJ$5:$AJ$304,"Approved")</f>
        <v>2</v>
      </c>
      <c r="C73" s="28" t="n">
        <f aca="false">COUNTIF(Linkway_Register!$AJ$5:$AJ$304,"Checked")</f>
        <v>1</v>
      </c>
      <c r="D73" s="28" t="n">
        <f aca="false">COUNTIF(Linkway_Register!$AJ$5:$AJ$304,"WIP")</f>
        <v>1</v>
      </c>
      <c r="E73" s="28" t="n">
        <f aca="false">COUNTIF(Linkway_Register!$AJ$5:$AJ$304,"Superseded")</f>
        <v>0</v>
      </c>
      <c r="F73" s="28" t="n">
        <f aca="false">COUNTIFS(Linkway_Register!$AJ$5:$AJ$304,"Approved",Linkway_Register!$BY$5:$BY$304,"N")</f>
        <v>0</v>
      </c>
      <c r="G73" s="28" t="n">
        <f aca="false">COUNTIFS(Linkway_Register!$A$5:$A$304,"?*",Linkway_Register!$AT$5:$AT$304,"&lt;&gt;Y")</f>
        <v>4</v>
      </c>
    </row>
    <row r="74" customFormat="false" ht="15" hidden="false" customHeight="false" outlineLevel="0" collapsed="false">
      <c r="A74" s="26" t="s">
        <v>266</v>
      </c>
      <c r="B74" s="28" t="n">
        <f aca="false">COUNTIF(Other_Register!$T$5:$T$304,"Approved")</f>
        <v>2</v>
      </c>
      <c r="C74" s="28" t="n">
        <f aca="false">COUNTIF(Other_Register!$T$5:$T$304,"Checked")</f>
        <v>1</v>
      </c>
      <c r="D74" s="28" t="n">
        <f aca="false">COUNTIF(Other_Register!$T$5:$T$304,"WIP")</f>
        <v>1</v>
      </c>
      <c r="E74" s="28" t="n">
        <f aca="false">COUNTIF(Other_Register!$T$5:$T$304,"Superseded")</f>
        <v>0</v>
      </c>
      <c r="F74" s="28" t="n">
        <f aca="false">COUNTIFS(Other_Register!$T$5:$T$304,"Approved",Other_Register!$BI$5:$BI$304,"N")</f>
        <v>0</v>
      </c>
      <c r="G74" s="28" t="n">
        <f aca="false">COUNTIFS(Other_Register!$A$5:$A$304,"?*",Other_Register!$AD$5:$AD$304,"&lt;&gt;Y")</f>
        <v>4</v>
      </c>
    </row>
  </sheetData>
  <conditionalFormatting sqref="B5:L17">
    <cfRule type="cellIs" priority="2" operator="equal" aboveAverage="0" equalAverage="0" bottom="0" percent="0" rank="0" text="" dxfId="0">
      <formula>0</formula>
    </cfRule>
    <cfRule type="cellIs" priority="3" operator="greaterThan" aboveAverage="0" equalAverage="0" bottom="0" percent="0" rank="0" text="" dxfId="1">
      <formula>0</formula>
    </cfRule>
  </conditionalFormatting>
  <conditionalFormatting sqref="B21:L28">
    <cfRule type="cellIs" priority="4" operator="equal" aboveAverage="0" equalAverage="0" bottom="0" percent="0" rank="0" text="" dxfId="0">
      <formula>0</formula>
    </cfRule>
    <cfRule type="cellIs" priority="5" operator="greaterThan" aboveAverage="0" equalAverage="0" bottom="0" percent="0" rank="0" text="" dxfId="1">
      <formula>0</formula>
    </cfRule>
  </conditionalFormatting>
  <conditionalFormatting sqref="B32:I39">
    <cfRule type="cellIs" priority="6" operator="equal" aboveAverage="0" equalAverage="0" bottom="0" percent="0" rank="0" text="" dxfId="0">
      <formula>0</formula>
    </cfRule>
    <cfRule type="cellIs" priority="7" operator="greaterThan" aboveAverage="0" equalAverage="0" bottom="0" percent="0" rank="0" text="" dxfId="1">
      <formula>0</formula>
    </cfRule>
  </conditionalFormatting>
  <conditionalFormatting sqref="B43:G48">
    <cfRule type="cellIs" priority="8" operator="equal" aboveAverage="0" equalAverage="0" bottom="0" percent="0" rank="0" text="" dxfId="0">
      <formula>0</formula>
    </cfRule>
    <cfRule type="cellIs" priority="9" operator="greaterThan" aboveAverage="0" equalAverage="0" bottom="0" percent="0" rank="0" text="" dxfId="1">
      <formula>0</formula>
    </cfRule>
  </conditionalFormatting>
  <conditionalFormatting sqref="B52:H58">
    <cfRule type="cellIs" priority="10" operator="equal" aboveAverage="0" equalAverage="0" bottom="0" percent="0" rank="0" text="" dxfId="0">
      <formula>0</formula>
    </cfRule>
    <cfRule type="cellIs" priority="11" operator="greaterThan" aboveAverage="0" equalAverage="0" bottom="0" percent="0" rank="0" text="" dxfId="1">
      <formula>0</formula>
    </cfRule>
  </conditionalFormatting>
  <conditionalFormatting sqref="B62:E64">
    <cfRule type="cellIs" priority="12" operator="equal" aboveAverage="0" equalAverage="0" bottom="0" percent="0" rank="0" text="" dxfId="0">
      <formula>0</formula>
    </cfRule>
    <cfRule type="cellIs" priority="13"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H5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6"/>
    <col collapsed="false" customWidth="true" hidden="false" outlineLevel="0" max="3" min="3" style="0" width="22"/>
    <col collapsed="false" customWidth="true" hidden="false" outlineLevel="0" max="5" min="4" style="0" width="9"/>
    <col collapsed="false" customWidth="true" hidden="false" outlineLevel="0" max="6" min="6" style="0" width="8"/>
    <col collapsed="false" customWidth="true" hidden="false" outlineLevel="0" max="7" min="7" style="0" width="70"/>
    <col collapsed="false" customWidth="true" hidden="false" outlineLevel="0" max="8" min="8" style="0" width="50"/>
  </cols>
  <sheetData>
    <row r="1" customFormat="false" ht="17.35" hidden="false" customHeight="false" outlineLevel="0" collapsed="false">
      <c r="A1" s="5" t="s">
        <v>267</v>
      </c>
    </row>
    <row r="2" customFormat="false" ht="15" hidden="false" customHeight="false" outlineLevel="0" collapsed="false">
      <c r="A2" s="6" t="s">
        <v>268</v>
      </c>
    </row>
    <row r="4" customFormat="false" ht="22.35" hidden="false" customHeight="false" outlineLevel="0" collapsed="false">
      <c r="A4" s="15" t="s">
        <v>130</v>
      </c>
      <c r="B4" s="15" t="s">
        <v>269</v>
      </c>
      <c r="C4" s="15" t="s">
        <v>270</v>
      </c>
      <c r="D4" s="15" t="s">
        <v>271</v>
      </c>
      <c r="E4" s="15" t="s">
        <v>129</v>
      </c>
      <c r="F4" s="15" t="s">
        <v>272</v>
      </c>
      <c r="G4" s="15" t="s">
        <v>103</v>
      </c>
      <c r="H4" s="15" t="s">
        <v>273</v>
      </c>
    </row>
    <row r="5" customFormat="false" ht="23.85" hidden="false" customHeight="false" outlineLevel="0" collapsed="false">
      <c r="A5" s="26" t="s">
        <v>13</v>
      </c>
      <c r="B5" s="26" t="s">
        <v>102</v>
      </c>
      <c r="C5" s="26" t="s">
        <v>274</v>
      </c>
      <c r="D5" s="26" t="s">
        <v>275</v>
      </c>
      <c r="E5" s="26"/>
      <c r="F5" s="26"/>
      <c r="G5" s="29" t="s">
        <v>276</v>
      </c>
      <c r="H5" s="29" t="s">
        <v>277</v>
      </c>
    </row>
    <row r="6" customFormat="false" ht="15" hidden="false" customHeight="false" outlineLevel="0" collapsed="false">
      <c r="A6" s="26" t="s">
        <v>13</v>
      </c>
      <c r="B6" s="26" t="s">
        <v>103</v>
      </c>
      <c r="C6" s="26" t="s">
        <v>274</v>
      </c>
      <c r="D6" s="26" t="s">
        <v>275</v>
      </c>
      <c r="E6" s="26"/>
      <c r="F6" s="26"/>
      <c r="G6" s="29" t="s">
        <v>278</v>
      </c>
      <c r="H6" s="29" t="s">
        <v>277</v>
      </c>
    </row>
    <row r="7" customFormat="false" ht="15" hidden="false" customHeight="false" outlineLevel="0" collapsed="false">
      <c r="A7" s="26" t="s">
        <v>13</v>
      </c>
      <c r="B7" s="26" t="s">
        <v>279</v>
      </c>
      <c r="C7" s="26" t="s">
        <v>274</v>
      </c>
      <c r="D7" s="26" t="s">
        <v>280</v>
      </c>
      <c r="E7" s="26"/>
      <c r="F7" s="26"/>
      <c r="G7" s="29" t="s">
        <v>281</v>
      </c>
      <c r="H7" s="29" t="s">
        <v>277</v>
      </c>
    </row>
    <row r="8" customFormat="false" ht="15" hidden="false" customHeight="false" outlineLevel="0" collapsed="false">
      <c r="A8" s="26" t="s">
        <v>13</v>
      </c>
      <c r="B8" s="26" t="s">
        <v>282</v>
      </c>
      <c r="C8" s="26" t="s">
        <v>283</v>
      </c>
      <c r="D8" s="26" t="s">
        <v>280</v>
      </c>
      <c r="E8" s="26"/>
      <c r="F8" s="26" t="s">
        <v>284</v>
      </c>
      <c r="G8" s="29"/>
      <c r="H8" s="29" t="s">
        <v>285</v>
      </c>
    </row>
    <row r="9" customFormat="false" ht="15" hidden="false" customHeight="false" outlineLevel="0" collapsed="false">
      <c r="A9" s="26" t="s">
        <v>13</v>
      </c>
      <c r="B9" s="26" t="s">
        <v>286</v>
      </c>
      <c r="C9" s="26" t="s">
        <v>283</v>
      </c>
      <c r="D9" s="26" t="s">
        <v>280</v>
      </c>
      <c r="E9" s="26"/>
      <c r="F9" s="26" t="s">
        <v>284</v>
      </c>
      <c r="G9" s="29"/>
      <c r="H9" s="29" t="s">
        <v>285</v>
      </c>
    </row>
    <row r="10" customFormat="false" ht="15" hidden="false" customHeight="false" outlineLevel="0" collapsed="false">
      <c r="A10" s="26" t="s">
        <v>13</v>
      </c>
      <c r="B10" s="26" t="s">
        <v>287</v>
      </c>
      <c r="C10" s="26" t="s">
        <v>283</v>
      </c>
      <c r="D10" s="26" t="s">
        <v>280</v>
      </c>
      <c r="E10" s="26"/>
      <c r="F10" s="26" t="s">
        <v>284</v>
      </c>
      <c r="G10" s="29"/>
      <c r="H10" s="29" t="s">
        <v>285</v>
      </c>
    </row>
    <row r="11" customFormat="false" ht="15" hidden="false" customHeight="false" outlineLevel="0" collapsed="false">
      <c r="A11" s="26" t="s">
        <v>13</v>
      </c>
      <c r="B11" s="26" t="s">
        <v>288</v>
      </c>
      <c r="C11" s="26" t="s">
        <v>289</v>
      </c>
      <c r="D11" s="26" t="s">
        <v>280</v>
      </c>
      <c r="E11" s="26" t="s">
        <v>290</v>
      </c>
      <c r="F11" s="26" t="s">
        <v>284</v>
      </c>
      <c r="G11" s="29"/>
      <c r="H11" s="29" t="s">
        <v>291</v>
      </c>
    </row>
    <row r="12" customFormat="false" ht="15" hidden="false" customHeight="false" outlineLevel="0" collapsed="false">
      <c r="A12" s="26" t="s">
        <v>13</v>
      </c>
      <c r="B12" s="26" t="s">
        <v>292</v>
      </c>
      <c r="C12" s="26" t="s">
        <v>289</v>
      </c>
      <c r="D12" s="26" t="s">
        <v>280</v>
      </c>
      <c r="E12" s="26" t="s">
        <v>290</v>
      </c>
      <c r="F12" s="26" t="s">
        <v>284</v>
      </c>
      <c r="G12" s="29"/>
      <c r="H12" s="29" t="s">
        <v>291</v>
      </c>
    </row>
    <row r="13" customFormat="false" ht="15" hidden="false" customHeight="false" outlineLevel="0" collapsed="false">
      <c r="A13" s="26" t="s">
        <v>13</v>
      </c>
      <c r="B13" s="26" t="s">
        <v>293</v>
      </c>
      <c r="C13" s="26" t="s">
        <v>289</v>
      </c>
      <c r="D13" s="26" t="s">
        <v>280</v>
      </c>
      <c r="E13" s="26"/>
      <c r="F13" s="26"/>
      <c r="G13" s="29"/>
      <c r="H13" s="29" t="s">
        <v>291</v>
      </c>
    </row>
    <row r="14" customFormat="false" ht="15" hidden="false" customHeight="false" outlineLevel="0" collapsed="false">
      <c r="A14" s="26" t="s">
        <v>13</v>
      </c>
      <c r="B14" s="26" t="s">
        <v>294</v>
      </c>
      <c r="C14" s="26" t="s">
        <v>289</v>
      </c>
      <c r="D14" s="26" t="s">
        <v>280</v>
      </c>
      <c r="E14" s="26" t="s">
        <v>290</v>
      </c>
      <c r="F14" s="26" t="s">
        <v>284</v>
      </c>
      <c r="G14" s="29"/>
      <c r="H14" s="29" t="s">
        <v>291</v>
      </c>
    </row>
    <row r="15" customFormat="false" ht="15" hidden="false" customHeight="false" outlineLevel="0" collapsed="false">
      <c r="A15" s="26" t="s">
        <v>13</v>
      </c>
      <c r="B15" s="26" t="s">
        <v>295</v>
      </c>
      <c r="C15" s="26" t="s">
        <v>289</v>
      </c>
      <c r="D15" s="26" t="s">
        <v>280</v>
      </c>
      <c r="E15" s="26" t="s">
        <v>290</v>
      </c>
      <c r="F15" s="26" t="s">
        <v>284</v>
      </c>
      <c r="G15" s="29"/>
      <c r="H15" s="29" t="s">
        <v>291</v>
      </c>
    </row>
    <row r="16" customFormat="false" ht="15" hidden="false" customHeight="false" outlineLevel="0" collapsed="false">
      <c r="A16" s="26" t="s">
        <v>13</v>
      </c>
      <c r="B16" s="26" t="s">
        <v>296</v>
      </c>
      <c r="C16" s="26" t="s">
        <v>289</v>
      </c>
      <c r="D16" s="26" t="s">
        <v>280</v>
      </c>
      <c r="E16" s="26" t="s">
        <v>290</v>
      </c>
      <c r="F16" s="26"/>
      <c r="G16" s="29"/>
      <c r="H16" s="29" t="s">
        <v>291</v>
      </c>
    </row>
    <row r="17" customFormat="false" ht="15" hidden="false" customHeight="false" outlineLevel="0" collapsed="false">
      <c r="A17" s="26" t="s">
        <v>13</v>
      </c>
      <c r="B17" s="26" t="s">
        <v>81</v>
      </c>
      <c r="C17" s="26" t="s">
        <v>283</v>
      </c>
      <c r="D17" s="26" t="s">
        <v>280</v>
      </c>
      <c r="E17" s="26"/>
      <c r="F17" s="26" t="s">
        <v>284</v>
      </c>
      <c r="G17" s="29"/>
      <c r="H17" s="29" t="s">
        <v>285</v>
      </c>
    </row>
    <row r="18" customFormat="false" ht="15" hidden="false" customHeight="false" outlineLevel="0" collapsed="false">
      <c r="A18" s="26" t="s">
        <v>13</v>
      </c>
      <c r="B18" s="26" t="s">
        <v>297</v>
      </c>
      <c r="C18" s="26" t="s">
        <v>283</v>
      </c>
      <c r="D18" s="26" t="s">
        <v>280</v>
      </c>
      <c r="E18" s="26"/>
      <c r="F18" s="26"/>
      <c r="G18" s="29"/>
      <c r="H18" s="29" t="s">
        <v>285</v>
      </c>
    </row>
    <row r="19" customFormat="false" ht="15" hidden="false" customHeight="false" outlineLevel="0" collapsed="false">
      <c r="A19" s="26" t="s">
        <v>13</v>
      </c>
      <c r="B19" s="26" t="s">
        <v>298</v>
      </c>
      <c r="C19" s="26" t="s">
        <v>299</v>
      </c>
      <c r="D19" s="26" t="s">
        <v>280</v>
      </c>
      <c r="E19" s="26"/>
      <c r="F19" s="26" t="s">
        <v>284</v>
      </c>
      <c r="G19" s="29"/>
      <c r="H19" s="29" t="s">
        <v>300</v>
      </c>
    </row>
    <row r="20" customFormat="false" ht="15" hidden="false" customHeight="false" outlineLevel="0" collapsed="false">
      <c r="A20" s="26" t="s">
        <v>13</v>
      </c>
      <c r="B20" s="26" t="s">
        <v>301</v>
      </c>
      <c r="C20" s="26" t="s">
        <v>299</v>
      </c>
      <c r="D20" s="26" t="s">
        <v>280</v>
      </c>
      <c r="E20" s="26" t="s">
        <v>290</v>
      </c>
      <c r="F20" s="26" t="s">
        <v>284</v>
      </c>
      <c r="G20" s="29"/>
      <c r="H20" s="29" t="s">
        <v>300</v>
      </c>
    </row>
    <row r="21" customFormat="false" ht="15" hidden="false" customHeight="false" outlineLevel="0" collapsed="false">
      <c r="A21" s="26" t="s">
        <v>13</v>
      </c>
      <c r="B21" s="26" t="s">
        <v>302</v>
      </c>
      <c r="C21" s="26" t="s">
        <v>303</v>
      </c>
      <c r="D21" s="26" t="s">
        <v>280</v>
      </c>
      <c r="E21" s="26"/>
      <c r="F21" s="26" t="s">
        <v>284</v>
      </c>
      <c r="G21" s="29"/>
      <c r="H21" s="29" t="s">
        <v>304</v>
      </c>
    </row>
    <row r="22" customFormat="false" ht="15" hidden="false" customHeight="false" outlineLevel="0" collapsed="false">
      <c r="A22" s="26" t="s">
        <v>13</v>
      </c>
      <c r="B22" s="26" t="s">
        <v>305</v>
      </c>
      <c r="C22" s="26" t="s">
        <v>303</v>
      </c>
      <c r="D22" s="26" t="s">
        <v>280</v>
      </c>
      <c r="E22" s="26"/>
      <c r="F22" s="26"/>
      <c r="G22" s="29"/>
      <c r="H22" s="29" t="s">
        <v>304</v>
      </c>
    </row>
    <row r="23" customFormat="false" ht="15" hidden="false" customHeight="false" outlineLevel="0" collapsed="false">
      <c r="A23" s="26" t="s">
        <v>13</v>
      </c>
      <c r="B23" s="26" t="s">
        <v>306</v>
      </c>
      <c r="C23" s="26" t="s">
        <v>303</v>
      </c>
      <c r="D23" s="26" t="s">
        <v>280</v>
      </c>
      <c r="E23" s="26"/>
      <c r="F23" s="26" t="s">
        <v>284</v>
      </c>
      <c r="G23" s="29"/>
      <c r="H23" s="29" t="s">
        <v>304</v>
      </c>
    </row>
    <row r="24" customFormat="false" ht="15" hidden="false" customHeight="false" outlineLevel="0" collapsed="false">
      <c r="A24" s="26" t="s">
        <v>13</v>
      </c>
      <c r="B24" s="26" t="s">
        <v>307</v>
      </c>
      <c r="C24" s="26" t="s">
        <v>303</v>
      </c>
      <c r="D24" s="26" t="s">
        <v>280</v>
      </c>
      <c r="E24" s="26"/>
      <c r="F24" s="26"/>
      <c r="G24" s="29"/>
      <c r="H24" s="29" t="s">
        <v>304</v>
      </c>
    </row>
    <row r="25" customFormat="false" ht="15" hidden="false" customHeight="false" outlineLevel="0" collapsed="false">
      <c r="A25" s="26" t="s">
        <v>13</v>
      </c>
      <c r="B25" s="26" t="s">
        <v>308</v>
      </c>
      <c r="C25" s="26" t="s">
        <v>303</v>
      </c>
      <c r="D25" s="26" t="s">
        <v>280</v>
      </c>
      <c r="E25" s="26"/>
      <c r="F25" s="26"/>
      <c r="G25" s="29"/>
      <c r="H25" s="29" t="s">
        <v>304</v>
      </c>
    </row>
    <row r="26" customFormat="false" ht="15" hidden="false" customHeight="false" outlineLevel="0" collapsed="false">
      <c r="A26" s="26" t="s">
        <v>13</v>
      </c>
      <c r="B26" s="26" t="s">
        <v>309</v>
      </c>
      <c r="C26" s="26" t="s">
        <v>283</v>
      </c>
      <c r="D26" s="26" t="s">
        <v>280</v>
      </c>
      <c r="E26" s="26"/>
      <c r="F26" s="26"/>
      <c r="G26" s="29"/>
      <c r="H26" s="29" t="s">
        <v>285</v>
      </c>
    </row>
    <row r="27" customFormat="false" ht="15" hidden="false" customHeight="false" outlineLevel="0" collapsed="false">
      <c r="A27" s="26" t="s">
        <v>13</v>
      </c>
      <c r="B27" s="26" t="s">
        <v>310</v>
      </c>
      <c r="C27" s="26" t="s">
        <v>289</v>
      </c>
      <c r="D27" s="26" t="s">
        <v>280</v>
      </c>
      <c r="E27" s="26" t="s">
        <v>290</v>
      </c>
      <c r="F27" s="26"/>
      <c r="G27" s="29"/>
      <c r="H27" s="29" t="s">
        <v>291</v>
      </c>
    </row>
    <row r="28" customFormat="false" ht="15" hidden="false" customHeight="false" outlineLevel="0" collapsed="false">
      <c r="A28" s="26" t="s">
        <v>13</v>
      </c>
      <c r="B28" s="26" t="s">
        <v>311</v>
      </c>
      <c r="C28" s="26" t="s">
        <v>289</v>
      </c>
      <c r="D28" s="26" t="s">
        <v>280</v>
      </c>
      <c r="E28" s="26" t="s">
        <v>290</v>
      </c>
      <c r="F28" s="26"/>
      <c r="G28" s="29"/>
      <c r="H28" s="29" t="s">
        <v>291</v>
      </c>
    </row>
    <row r="29" customFormat="false" ht="15" hidden="false" customHeight="false" outlineLevel="0" collapsed="false">
      <c r="A29" s="26" t="s">
        <v>13</v>
      </c>
      <c r="B29" s="26" t="s">
        <v>312</v>
      </c>
      <c r="C29" s="26" t="s">
        <v>289</v>
      </c>
      <c r="D29" s="26" t="s">
        <v>280</v>
      </c>
      <c r="E29" s="26" t="s">
        <v>313</v>
      </c>
      <c r="F29" s="26"/>
      <c r="G29" s="29"/>
      <c r="H29" s="29" t="s">
        <v>291</v>
      </c>
    </row>
    <row r="30" customFormat="false" ht="15" hidden="false" customHeight="false" outlineLevel="0" collapsed="false">
      <c r="A30" s="26" t="s">
        <v>13</v>
      </c>
      <c r="B30" s="26" t="s">
        <v>314</v>
      </c>
      <c r="C30" s="26" t="s">
        <v>283</v>
      </c>
      <c r="D30" s="26" t="s">
        <v>280</v>
      </c>
      <c r="E30" s="26" t="s">
        <v>315</v>
      </c>
      <c r="F30" s="26"/>
      <c r="G30" s="29"/>
      <c r="H30" s="29" t="s">
        <v>285</v>
      </c>
    </row>
    <row r="31" customFormat="false" ht="15" hidden="false" customHeight="false" outlineLevel="0" collapsed="false">
      <c r="A31" s="26" t="s">
        <v>13</v>
      </c>
      <c r="B31" s="26" t="s">
        <v>316</v>
      </c>
      <c r="C31" s="26" t="s">
        <v>283</v>
      </c>
      <c r="D31" s="26" t="s">
        <v>280</v>
      </c>
      <c r="E31" s="26"/>
      <c r="F31" s="26"/>
      <c r="G31" s="29"/>
      <c r="H31" s="29" t="s">
        <v>285</v>
      </c>
    </row>
    <row r="32" customFormat="false" ht="15" hidden="false" customHeight="false" outlineLevel="0" collapsed="false">
      <c r="A32" s="26" t="s">
        <v>13</v>
      </c>
      <c r="B32" s="26" t="s">
        <v>317</v>
      </c>
      <c r="C32" s="26" t="s">
        <v>318</v>
      </c>
      <c r="D32" s="26" t="s">
        <v>280</v>
      </c>
      <c r="E32" s="26"/>
      <c r="F32" s="26"/>
      <c r="G32" s="29"/>
      <c r="H32" s="29" t="s">
        <v>319</v>
      </c>
    </row>
    <row r="33" customFormat="false" ht="15" hidden="false" customHeight="false" outlineLevel="0" collapsed="false">
      <c r="A33" s="26" t="s">
        <v>13</v>
      </c>
      <c r="B33" s="26" t="s">
        <v>320</v>
      </c>
      <c r="C33" s="26" t="s">
        <v>299</v>
      </c>
      <c r="D33" s="26" t="s">
        <v>280</v>
      </c>
      <c r="E33" s="26"/>
      <c r="F33" s="26" t="s">
        <v>284</v>
      </c>
      <c r="G33" s="29" t="s">
        <v>321</v>
      </c>
      <c r="H33" s="29" t="s">
        <v>300</v>
      </c>
    </row>
    <row r="34" customFormat="false" ht="15" hidden="false" customHeight="false" outlineLevel="0" collapsed="false">
      <c r="A34" s="26" t="s">
        <v>13</v>
      </c>
      <c r="B34" s="26" t="s">
        <v>322</v>
      </c>
      <c r="C34" s="26" t="s">
        <v>299</v>
      </c>
      <c r="D34" s="26" t="s">
        <v>280</v>
      </c>
      <c r="E34" s="26" t="s">
        <v>323</v>
      </c>
      <c r="F34" s="26"/>
      <c r="G34" s="29" t="s">
        <v>324</v>
      </c>
      <c r="H34" s="29" t="s">
        <v>300</v>
      </c>
    </row>
    <row r="35" customFormat="false" ht="15" hidden="false" customHeight="false" outlineLevel="0" collapsed="false">
      <c r="A35" s="26" t="s">
        <v>13</v>
      </c>
      <c r="B35" s="26" t="s">
        <v>325</v>
      </c>
      <c r="C35" s="26" t="s">
        <v>299</v>
      </c>
      <c r="D35" s="26" t="s">
        <v>280</v>
      </c>
      <c r="E35" s="26"/>
      <c r="F35" s="26"/>
      <c r="G35" s="29" t="s">
        <v>326</v>
      </c>
      <c r="H35" s="29" t="s">
        <v>300</v>
      </c>
    </row>
    <row r="36" customFormat="false" ht="15" hidden="false" customHeight="false" outlineLevel="0" collapsed="false">
      <c r="A36" s="26" t="s">
        <v>13</v>
      </c>
      <c r="B36" s="26" t="s">
        <v>327</v>
      </c>
      <c r="C36" s="26" t="s">
        <v>299</v>
      </c>
      <c r="D36" s="26" t="s">
        <v>280</v>
      </c>
      <c r="E36" s="26" t="s">
        <v>290</v>
      </c>
      <c r="F36" s="26"/>
      <c r="G36" s="29" t="s">
        <v>328</v>
      </c>
      <c r="H36" s="29" t="s">
        <v>300</v>
      </c>
    </row>
    <row r="37" customFormat="false" ht="15" hidden="false" customHeight="false" outlineLevel="0" collapsed="false">
      <c r="A37" s="26" t="s">
        <v>13</v>
      </c>
      <c r="B37" s="26" t="s">
        <v>329</v>
      </c>
      <c r="C37" s="26" t="s">
        <v>330</v>
      </c>
      <c r="D37" s="26" t="s">
        <v>280</v>
      </c>
      <c r="E37" s="26"/>
      <c r="F37" s="26" t="s">
        <v>284</v>
      </c>
      <c r="G37" s="29" t="s">
        <v>331</v>
      </c>
      <c r="H37" s="29" t="s">
        <v>332</v>
      </c>
    </row>
    <row r="38" customFormat="false" ht="23.85" hidden="false" customHeight="false" outlineLevel="0" collapsed="false">
      <c r="A38" s="26" t="s">
        <v>13</v>
      </c>
      <c r="B38" s="26" t="s">
        <v>333</v>
      </c>
      <c r="C38" s="26" t="s">
        <v>330</v>
      </c>
      <c r="D38" s="26" t="s">
        <v>280</v>
      </c>
      <c r="E38" s="26"/>
      <c r="F38" s="26"/>
      <c r="G38" s="29" t="s">
        <v>334</v>
      </c>
      <c r="H38" s="29" t="s">
        <v>332</v>
      </c>
    </row>
    <row r="39" customFormat="false" ht="15" hidden="false" customHeight="false" outlineLevel="0" collapsed="false">
      <c r="A39" s="26" t="s">
        <v>13</v>
      </c>
      <c r="B39" s="26" t="s">
        <v>131</v>
      </c>
      <c r="C39" s="26" t="s">
        <v>330</v>
      </c>
      <c r="D39" s="26" t="s">
        <v>280</v>
      </c>
      <c r="E39" s="26"/>
      <c r="F39" s="26" t="s">
        <v>284</v>
      </c>
      <c r="G39" s="29"/>
      <c r="H39" s="29" t="s">
        <v>332</v>
      </c>
    </row>
    <row r="40" customFormat="false" ht="23.85" hidden="false" customHeight="false" outlineLevel="0" collapsed="false">
      <c r="A40" s="26" t="s">
        <v>13</v>
      </c>
      <c r="B40" s="26" t="s">
        <v>132</v>
      </c>
      <c r="C40" s="26" t="s">
        <v>330</v>
      </c>
      <c r="D40" s="26" t="s">
        <v>280</v>
      </c>
      <c r="E40" s="26"/>
      <c r="F40" s="26" t="s">
        <v>284</v>
      </c>
      <c r="G40" s="29" t="s">
        <v>335</v>
      </c>
      <c r="H40" s="29" t="s">
        <v>332</v>
      </c>
    </row>
    <row r="41" customFormat="false" ht="15" hidden="false" customHeight="false" outlineLevel="0" collapsed="false">
      <c r="A41" s="26" t="s">
        <v>13</v>
      </c>
      <c r="B41" s="26" t="s">
        <v>133</v>
      </c>
      <c r="C41" s="26" t="s">
        <v>330</v>
      </c>
      <c r="D41" s="26" t="s">
        <v>280</v>
      </c>
      <c r="E41" s="26"/>
      <c r="F41" s="26" t="s">
        <v>284</v>
      </c>
      <c r="G41" s="29"/>
      <c r="H41" s="29" t="s">
        <v>332</v>
      </c>
    </row>
    <row r="42" customFormat="false" ht="15" hidden="false" customHeight="false" outlineLevel="0" collapsed="false">
      <c r="A42" s="26" t="s">
        <v>13</v>
      </c>
      <c r="B42" s="26" t="s">
        <v>336</v>
      </c>
      <c r="C42" s="26" t="s">
        <v>337</v>
      </c>
      <c r="D42" s="26" t="s">
        <v>280</v>
      </c>
      <c r="E42" s="26" t="s">
        <v>338</v>
      </c>
      <c r="F42" s="26" t="s">
        <v>284</v>
      </c>
      <c r="G42" s="29" t="s">
        <v>339</v>
      </c>
      <c r="H42" s="29" t="s">
        <v>340</v>
      </c>
    </row>
    <row r="43" customFormat="false" ht="15" hidden="false" customHeight="false" outlineLevel="0" collapsed="false">
      <c r="A43" s="26" t="s">
        <v>13</v>
      </c>
      <c r="B43" s="26" t="s">
        <v>341</v>
      </c>
      <c r="C43" s="26" t="s">
        <v>337</v>
      </c>
      <c r="D43" s="26" t="s">
        <v>280</v>
      </c>
      <c r="E43" s="26"/>
      <c r="F43" s="26"/>
      <c r="G43" s="29" t="s">
        <v>342</v>
      </c>
      <c r="H43" s="29" t="s">
        <v>340</v>
      </c>
    </row>
    <row r="44" customFormat="false" ht="15" hidden="false" customHeight="false" outlineLevel="0" collapsed="false">
      <c r="A44" s="26" t="s">
        <v>13</v>
      </c>
      <c r="B44" s="26" t="s">
        <v>343</v>
      </c>
      <c r="C44" s="26" t="s">
        <v>337</v>
      </c>
      <c r="D44" s="26" t="s">
        <v>275</v>
      </c>
      <c r="E44" s="26"/>
      <c r="F44" s="26"/>
      <c r="G44" s="29"/>
      <c r="H44" s="29" t="s">
        <v>340</v>
      </c>
    </row>
    <row r="45" customFormat="false" ht="15" hidden="false" customHeight="false" outlineLevel="0" collapsed="false">
      <c r="A45" s="26" t="s">
        <v>13</v>
      </c>
      <c r="B45" s="26" t="s">
        <v>344</v>
      </c>
      <c r="C45" s="26" t="s">
        <v>337</v>
      </c>
      <c r="D45" s="26" t="s">
        <v>275</v>
      </c>
      <c r="E45" s="26"/>
      <c r="F45" s="26"/>
      <c r="G45" s="29"/>
      <c r="H45" s="29" t="s">
        <v>340</v>
      </c>
    </row>
    <row r="46" customFormat="false" ht="15" hidden="false" customHeight="false" outlineLevel="0" collapsed="false">
      <c r="A46" s="26" t="s">
        <v>13</v>
      </c>
      <c r="B46" s="26" t="s">
        <v>345</v>
      </c>
      <c r="C46" s="26" t="s">
        <v>337</v>
      </c>
      <c r="D46" s="26" t="s">
        <v>275</v>
      </c>
      <c r="E46" s="26"/>
      <c r="F46" s="26"/>
      <c r="G46" s="29"/>
      <c r="H46" s="29" t="s">
        <v>340</v>
      </c>
    </row>
    <row r="47" customFormat="false" ht="15" hidden="false" customHeight="false" outlineLevel="0" collapsed="false">
      <c r="A47" s="26" t="s">
        <v>13</v>
      </c>
      <c r="B47" s="26" t="s">
        <v>346</v>
      </c>
      <c r="C47" s="26" t="s">
        <v>337</v>
      </c>
      <c r="D47" s="26" t="s">
        <v>275</v>
      </c>
      <c r="E47" s="26"/>
      <c r="F47" s="26"/>
      <c r="G47" s="29"/>
      <c r="H47" s="29" t="s">
        <v>340</v>
      </c>
    </row>
    <row r="48" customFormat="false" ht="15" hidden="false" customHeight="false" outlineLevel="0" collapsed="false">
      <c r="A48" s="26" t="s">
        <v>13</v>
      </c>
      <c r="B48" s="26" t="s">
        <v>347</v>
      </c>
      <c r="C48" s="26" t="s">
        <v>337</v>
      </c>
      <c r="D48" s="26" t="s">
        <v>275</v>
      </c>
      <c r="E48" s="26"/>
      <c r="F48" s="26"/>
      <c r="G48" s="29"/>
      <c r="H48" s="29" t="s">
        <v>340</v>
      </c>
    </row>
    <row r="49" customFormat="false" ht="15" hidden="false" customHeight="false" outlineLevel="0" collapsed="false">
      <c r="A49" s="26" t="s">
        <v>13</v>
      </c>
      <c r="B49" s="26" t="s">
        <v>348</v>
      </c>
      <c r="C49" s="26" t="s">
        <v>337</v>
      </c>
      <c r="D49" s="26" t="s">
        <v>275</v>
      </c>
      <c r="E49" s="26"/>
      <c r="F49" s="26"/>
      <c r="G49" s="29"/>
      <c r="H49" s="29" t="s">
        <v>340</v>
      </c>
    </row>
    <row r="50" customFormat="false" ht="15" hidden="false" customHeight="false" outlineLevel="0" collapsed="false">
      <c r="A50" s="26" t="s">
        <v>13</v>
      </c>
      <c r="B50" s="26" t="s">
        <v>349</v>
      </c>
      <c r="C50" s="26" t="s">
        <v>337</v>
      </c>
      <c r="D50" s="26" t="s">
        <v>280</v>
      </c>
      <c r="E50" s="26"/>
      <c r="F50" s="26"/>
      <c r="G50" s="29" t="s">
        <v>350</v>
      </c>
      <c r="H50" s="29" t="s">
        <v>340</v>
      </c>
    </row>
    <row r="51" customFormat="false" ht="15" hidden="false" customHeight="false" outlineLevel="0" collapsed="false">
      <c r="A51" s="26" t="s">
        <v>13</v>
      </c>
      <c r="B51" s="26" t="s">
        <v>351</v>
      </c>
      <c r="C51" s="26" t="s">
        <v>352</v>
      </c>
      <c r="D51" s="26" t="s">
        <v>280</v>
      </c>
      <c r="E51" s="26"/>
      <c r="F51" s="26" t="s">
        <v>284</v>
      </c>
      <c r="G51" s="29" t="s">
        <v>353</v>
      </c>
      <c r="H51" s="29" t="s">
        <v>354</v>
      </c>
    </row>
    <row r="52" customFormat="false" ht="15" hidden="false" customHeight="false" outlineLevel="0" collapsed="false">
      <c r="A52" s="26" t="s">
        <v>13</v>
      </c>
      <c r="B52" s="26" t="s">
        <v>355</v>
      </c>
      <c r="C52" s="26" t="s">
        <v>352</v>
      </c>
      <c r="D52" s="26" t="s">
        <v>280</v>
      </c>
      <c r="E52" s="26" t="s">
        <v>356</v>
      </c>
      <c r="F52" s="26" t="s">
        <v>284</v>
      </c>
      <c r="G52" s="29"/>
      <c r="H52" s="29" t="s">
        <v>354</v>
      </c>
    </row>
    <row r="53" customFormat="false" ht="15" hidden="false" customHeight="false" outlineLevel="0" collapsed="false">
      <c r="A53" s="26" t="s">
        <v>13</v>
      </c>
      <c r="B53" s="26" t="s">
        <v>357</v>
      </c>
      <c r="C53" s="26" t="s">
        <v>352</v>
      </c>
      <c r="D53" s="26" t="s">
        <v>280</v>
      </c>
      <c r="E53" s="26" t="s">
        <v>358</v>
      </c>
      <c r="F53" s="26" t="s">
        <v>284</v>
      </c>
      <c r="G53" s="29"/>
      <c r="H53" s="29" t="s">
        <v>354</v>
      </c>
    </row>
    <row r="54" customFormat="false" ht="15" hidden="false" customHeight="false" outlineLevel="0" collapsed="false">
      <c r="A54" s="26" t="s">
        <v>13</v>
      </c>
      <c r="B54" s="26" t="s">
        <v>359</v>
      </c>
      <c r="C54" s="26" t="s">
        <v>352</v>
      </c>
      <c r="D54" s="26" t="s">
        <v>280</v>
      </c>
      <c r="E54" s="26" t="s">
        <v>358</v>
      </c>
      <c r="F54" s="26"/>
      <c r="G54" s="29"/>
      <c r="H54" s="29" t="s">
        <v>354</v>
      </c>
    </row>
    <row r="55" customFormat="false" ht="15" hidden="false" customHeight="false" outlineLevel="0" collapsed="false">
      <c r="A55" s="26" t="s">
        <v>13</v>
      </c>
      <c r="B55" s="26" t="s">
        <v>360</v>
      </c>
      <c r="C55" s="26" t="s">
        <v>352</v>
      </c>
      <c r="D55" s="26" t="s">
        <v>280</v>
      </c>
      <c r="E55" s="26" t="s">
        <v>361</v>
      </c>
      <c r="F55" s="26"/>
      <c r="G55" s="29"/>
      <c r="H55" s="29" t="s">
        <v>354</v>
      </c>
    </row>
    <row r="56" customFormat="false" ht="15" hidden="false" customHeight="false" outlineLevel="0" collapsed="false">
      <c r="A56" s="26" t="s">
        <v>13</v>
      </c>
      <c r="B56" s="26" t="s">
        <v>362</v>
      </c>
      <c r="C56" s="26" t="s">
        <v>352</v>
      </c>
      <c r="D56" s="26" t="s">
        <v>280</v>
      </c>
      <c r="E56" s="26" t="s">
        <v>356</v>
      </c>
      <c r="F56" s="26"/>
      <c r="G56" s="29"/>
      <c r="H56" s="29" t="s">
        <v>354</v>
      </c>
    </row>
    <row r="57" customFormat="false" ht="15" hidden="false" customHeight="false" outlineLevel="0" collapsed="false">
      <c r="A57" s="26" t="s">
        <v>13</v>
      </c>
      <c r="B57" s="26" t="s">
        <v>363</v>
      </c>
      <c r="C57" s="26" t="s">
        <v>352</v>
      </c>
      <c r="D57" s="26" t="s">
        <v>275</v>
      </c>
      <c r="E57" s="26" t="s">
        <v>358</v>
      </c>
      <c r="F57" s="26"/>
      <c r="G57" s="29" t="s">
        <v>364</v>
      </c>
      <c r="H57" s="29" t="s">
        <v>354</v>
      </c>
    </row>
    <row r="58" customFormat="false" ht="23.85" hidden="false" customHeight="false" outlineLevel="0" collapsed="false">
      <c r="A58" s="26" t="s">
        <v>13</v>
      </c>
      <c r="B58" s="26" t="s">
        <v>365</v>
      </c>
      <c r="C58" s="26" t="s">
        <v>352</v>
      </c>
      <c r="D58" s="26" t="s">
        <v>275</v>
      </c>
      <c r="E58" s="26"/>
      <c r="F58" s="26"/>
      <c r="G58" s="29" t="s">
        <v>366</v>
      </c>
      <c r="H58" s="29" t="s">
        <v>354</v>
      </c>
    </row>
    <row r="59" customFormat="false" ht="15" hidden="false" customHeight="false" outlineLevel="0" collapsed="false">
      <c r="A59" s="26" t="s">
        <v>13</v>
      </c>
      <c r="B59" s="26" t="s">
        <v>367</v>
      </c>
      <c r="C59" s="26" t="s">
        <v>318</v>
      </c>
      <c r="D59" s="26" t="s">
        <v>275</v>
      </c>
      <c r="E59" s="26" t="s">
        <v>368</v>
      </c>
      <c r="F59" s="26"/>
      <c r="G59" s="29"/>
      <c r="H59" s="29" t="s">
        <v>319</v>
      </c>
    </row>
    <row r="60" customFormat="false" ht="15" hidden="false" customHeight="false" outlineLevel="0" collapsed="false">
      <c r="A60" s="26" t="s">
        <v>13</v>
      </c>
      <c r="B60" s="26" t="s">
        <v>369</v>
      </c>
      <c r="C60" s="26" t="s">
        <v>318</v>
      </c>
      <c r="D60" s="26" t="s">
        <v>275</v>
      </c>
      <c r="E60" s="26" t="s">
        <v>370</v>
      </c>
      <c r="F60" s="26"/>
      <c r="G60" s="29"/>
      <c r="H60" s="29" t="s">
        <v>319</v>
      </c>
    </row>
    <row r="61" customFormat="false" ht="23.85" hidden="false" customHeight="false" outlineLevel="0" collapsed="false">
      <c r="A61" s="26" t="s">
        <v>13</v>
      </c>
      <c r="B61" s="26" t="s">
        <v>371</v>
      </c>
      <c r="C61" s="26" t="s">
        <v>318</v>
      </c>
      <c r="D61" s="26" t="s">
        <v>275</v>
      </c>
      <c r="E61" s="26"/>
      <c r="F61" s="26"/>
      <c r="G61" s="29" t="s">
        <v>372</v>
      </c>
      <c r="H61" s="29" t="s">
        <v>319</v>
      </c>
    </row>
    <row r="62" customFormat="false" ht="15" hidden="false" customHeight="false" outlineLevel="0" collapsed="false">
      <c r="A62" s="26" t="s">
        <v>13</v>
      </c>
      <c r="B62" s="26" t="s">
        <v>373</v>
      </c>
      <c r="C62" s="26" t="s">
        <v>330</v>
      </c>
      <c r="D62" s="26" t="s">
        <v>280</v>
      </c>
      <c r="E62" s="26"/>
      <c r="F62" s="26"/>
      <c r="G62" s="29"/>
      <c r="H62" s="29" t="s">
        <v>332</v>
      </c>
    </row>
    <row r="63" customFormat="false" ht="15" hidden="false" customHeight="false" outlineLevel="0" collapsed="false">
      <c r="A63" s="26" t="s">
        <v>13</v>
      </c>
      <c r="B63" s="26" t="s">
        <v>374</v>
      </c>
      <c r="C63" s="26" t="s">
        <v>330</v>
      </c>
      <c r="D63" s="26" t="s">
        <v>280</v>
      </c>
      <c r="E63" s="26"/>
      <c r="F63" s="26"/>
      <c r="G63" s="29"/>
      <c r="H63" s="29" t="s">
        <v>332</v>
      </c>
    </row>
    <row r="64" customFormat="false" ht="23.85" hidden="false" customHeight="false" outlineLevel="0" collapsed="false">
      <c r="A64" s="26" t="s">
        <v>13</v>
      </c>
      <c r="B64" s="26" t="s">
        <v>375</v>
      </c>
      <c r="C64" s="26" t="s">
        <v>330</v>
      </c>
      <c r="D64" s="26" t="s">
        <v>280</v>
      </c>
      <c r="E64" s="26"/>
      <c r="F64" s="26" t="s">
        <v>284</v>
      </c>
      <c r="G64" s="29" t="s">
        <v>376</v>
      </c>
      <c r="H64" s="29" t="s">
        <v>377</v>
      </c>
    </row>
    <row r="65" customFormat="false" ht="23.85" hidden="false" customHeight="false" outlineLevel="0" collapsed="false">
      <c r="A65" s="26" t="s">
        <v>13</v>
      </c>
      <c r="B65" s="26" t="s">
        <v>378</v>
      </c>
      <c r="C65" s="26" t="s">
        <v>330</v>
      </c>
      <c r="D65" s="26" t="s">
        <v>275</v>
      </c>
      <c r="E65" s="26"/>
      <c r="F65" s="26"/>
      <c r="G65" s="29"/>
      <c r="H65" s="29" t="s">
        <v>377</v>
      </c>
    </row>
    <row r="66" customFormat="false" ht="23.85" hidden="false" customHeight="false" outlineLevel="0" collapsed="false">
      <c r="A66" s="26" t="s">
        <v>13</v>
      </c>
      <c r="B66" s="26" t="s">
        <v>379</v>
      </c>
      <c r="C66" s="26" t="s">
        <v>330</v>
      </c>
      <c r="D66" s="26" t="s">
        <v>275</v>
      </c>
      <c r="E66" s="26"/>
      <c r="F66" s="26"/>
      <c r="G66" s="29"/>
      <c r="H66" s="29" t="s">
        <v>377</v>
      </c>
    </row>
    <row r="67" customFormat="false" ht="23.85" hidden="false" customHeight="false" outlineLevel="0" collapsed="false">
      <c r="A67" s="26" t="s">
        <v>13</v>
      </c>
      <c r="B67" s="26" t="s">
        <v>380</v>
      </c>
      <c r="C67" s="26" t="s">
        <v>330</v>
      </c>
      <c r="D67" s="26" t="s">
        <v>280</v>
      </c>
      <c r="E67" s="26"/>
      <c r="F67" s="26"/>
      <c r="G67" s="29" t="s">
        <v>381</v>
      </c>
      <c r="H67" s="29" t="s">
        <v>377</v>
      </c>
    </row>
    <row r="68" customFormat="false" ht="23.85" hidden="false" customHeight="false" outlineLevel="0" collapsed="false">
      <c r="A68" s="26" t="s">
        <v>13</v>
      </c>
      <c r="B68" s="26" t="s">
        <v>382</v>
      </c>
      <c r="C68" s="26" t="s">
        <v>330</v>
      </c>
      <c r="D68" s="26" t="s">
        <v>280</v>
      </c>
      <c r="E68" s="26"/>
      <c r="F68" s="26"/>
      <c r="G68" s="29" t="s">
        <v>383</v>
      </c>
      <c r="H68" s="29" t="s">
        <v>377</v>
      </c>
    </row>
    <row r="69" customFormat="false" ht="15" hidden="false" customHeight="false" outlineLevel="0" collapsed="false">
      <c r="A69" s="26" t="s">
        <v>13</v>
      </c>
      <c r="B69" s="26" t="s">
        <v>384</v>
      </c>
      <c r="C69" s="26" t="s">
        <v>330</v>
      </c>
      <c r="D69" s="26" t="s">
        <v>280</v>
      </c>
      <c r="E69" s="26"/>
      <c r="F69" s="26"/>
      <c r="G69" s="29" t="s">
        <v>385</v>
      </c>
      <c r="H69" s="29" t="s">
        <v>332</v>
      </c>
    </row>
    <row r="70" customFormat="false" ht="15" hidden="false" customHeight="false" outlineLevel="0" collapsed="false">
      <c r="A70" s="26" t="s">
        <v>13</v>
      </c>
      <c r="B70" s="26" t="s">
        <v>386</v>
      </c>
      <c r="C70" s="26" t="s">
        <v>330</v>
      </c>
      <c r="D70" s="26" t="s">
        <v>280</v>
      </c>
      <c r="E70" s="26"/>
      <c r="F70" s="26"/>
      <c r="G70" s="29"/>
      <c r="H70" s="29" t="s">
        <v>332</v>
      </c>
    </row>
    <row r="71" customFormat="false" ht="15" hidden="false" customHeight="false" outlineLevel="0" collapsed="false">
      <c r="A71" s="26" t="s">
        <v>13</v>
      </c>
      <c r="B71" s="26" t="s">
        <v>387</v>
      </c>
      <c r="C71" s="26" t="s">
        <v>330</v>
      </c>
      <c r="D71" s="26" t="s">
        <v>280</v>
      </c>
      <c r="E71" s="26"/>
      <c r="F71" s="26"/>
      <c r="G71" s="29" t="s">
        <v>388</v>
      </c>
      <c r="H71" s="29" t="s">
        <v>332</v>
      </c>
    </row>
    <row r="72" customFormat="false" ht="15" hidden="false" customHeight="false" outlineLevel="0" collapsed="false">
      <c r="A72" s="26" t="s">
        <v>13</v>
      </c>
      <c r="B72" s="26" t="s">
        <v>389</v>
      </c>
      <c r="C72" s="26" t="s">
        <v>330</v>
      </c>
      <c r="D72" s="26" t="s">
        <v>280</v>
      </c>
      <c r="E72" s="26"/>
      <c r="F72" s="26"/>
      <c r="G72" s="29"/>
      <c r="H72" s="29" t="s">
        <v>332</v>
      </c>
    </row>
    <row r="73" customFormat="false" ht="23.85" hidden="false" customHeight="false" outlineLevel="0" collapsed="false">
      <c r="A73" s="26" t="s">
        <v>13</v>
      </c>
      <c r="B73" s="26" t="s">
        <v>390</v>
      </c>
      <c r="C73" s="26" t="s">
        <v>330</v>
      </c>
      <c r="D73" s="26" t="s">
        <v>280</v>
      </c>
      <c r="E73" s="26"/>
      <c r="F73" s="26"/>
      <c r="G73" s="29" t="s">
        <v>391</v>
      </c>
      <c r="H73" s="29" t="s">
        <v>377</v>
      </c>
    </row>
    <row r="74" customFormat="false" ht="23.85" hidden="false" customHeight="false" outlineLevel="0" collapsed="false">
      <c r="A74" s="26" t="s">
        <v>13</v>
      </c>
      <c r="B74" s="26" t="s">
        <v>392</v>
      </c>
      <c r="C74" s="26" t="s">
        <v>330</v>
      </c>
      <c r="D74" s="26" t="s">
        <v>280</v>
      </c>
      <c r="E74" s="26"/>
      <c r="F74" s="26"/>
      <c r="G74" s="29"/>
      <c r="H74" s="29" t="s">
        <v>377</v>
      </c>
    </row>
    <row r="75" customFormat="false" ht="15" hidden="false" customHeight="false" outlineLevel="0" collapsed="false">
      <c r="A75" s="26" t="s">
        <v>13</v>
      </c>
      <c r="B75" s="26" t="s">
        <v>393</v>
      </c>
      <c r="C75" s="26" t="s">
        <v>330</v>
      </c>
      <c r="D75" s="26" t="s">
        <v>280</v>
      </c>
      <c r="E75" s="26"/>
      <c r="F75" s="26"/>
      <c r="G75" s="29"/>
      <c r="H75" s="29" t="s">
        <v>332</v>
      </c>
    </row>
    <row r="76" customFormat="false" ht="15" hidden="false" customHeight="false" outlineLevel="0" collapsed="false">
      <c r="A76" s="26" t="s">
        <v>13</v>
      </c>
      <c r="B76" s="26" t="s">
        <v>394</v>
      </c>
      <c r="C76" s="26" t="s">
        <v>330</v>
      </c>
      <c r="D76" s="26" t="s">
        <v>280</v>
      </c>
      <c r="E76" s="26"/>
      <c r="F76" s="26"/>
      <c r="G76" s="29"/>
      <c r="H76" s="29" t="s">
        <v>332</v>
      </c>
    </row>
    <row r="77" customFormat="false" ht="15" hidden="false" customHeight="false" outlineLevel="0" collapsed="false">
      <c r="A77" s="26" t="s">
        <v>13</v>
      </c>
      <c r="B77" s="26" t="s">
        <v>395</v>
      </c>
      <c r="C77" s="26" t="s">
        <v>330</v>
      </c>
      <c r="D77" s="26" t="s">
        <v>280</v>
      </c>
      <c r="E77" s="26"/>
      <c r="F77" s="26" t="s">
        <v>284</v>
      </c>
      <c r="G77" s="29" t="s">
        <v>396</v>
      </c>
      <c r="H77" s="29" t="s">
        <v>332</v>
      </c>
    </row>
    <row r="78" customFormat="false" ht="15" hidden="false" customHeight="false" outlineLevel="0" collapsed="false">
      <c r="A78" s="26" t="s">
        <v>13</v>
      </c>
      <c r="B78" s="26" t="s">
        <v>397</v>
      </c>
      <c r="C78" s="26" t="s">
        <v>330</v>
      </c>
      <c r="D78" s="26" t="s">
        <v>280</v>
      </c>
      <c r="E78" s="26"/>
      <c r="F78" s="26"/>
      <c r="G78" s="29"/>
      <c r="H78" s="29" t="s">
        <v>332</v>
      </c>
    </row>
    <row r="79" customFormat="false" ht="15" hidden="false" customHeight="false" outlineLevel="0" collapsed="false">
      <c r="A79" s="26" t="s">
        <v>13</v>
      </c>
      <c r="B79" s="26" t="s">
        <v>398</v>
      </c>
      <c r="C79" s="26" t="s">
        <v>330</v>
      </c>
      <c r="D79" s="26" t="s">
        <v>280</v>
      </c>
      <c r="E79" s="26"/>
      <c r="F79" s="26"/>
      <c r="G79" s="29" t="s">
        <v>399</v>
      </c>
      <c r="H79" s="29" t="s">
        <v>332</v>
      </c>
    </row>
    <row r="80" customFormat="false" ht="15" hidden="false" customHeight="false" outlineLevel="0" collapsed="false">
      <c r="A80" s="26" t="s">
        <v>13</v>
      </c>
      <c r="B80" s="26" t="s">
        <v>400</v>
      </c>
      <c r="C80" s="26" t="s">
        <v>330</v>
      </c>
      <c r="D80" s="26" t="s">
        <v>275</v>
      </c>
      <c r="E80" s="26"/>
      <c r="F80" s="26"/>
      <c r="G80" s="29" t="s">
        <v>401</v>
      </c>
      <c r="H80" s="29" t="s">
        <v>332</v>
      </c>
    </row>
    <row r="81" customFormat="false" ht="15" hidden="false" customHeight="false" outlineLevel="0" collapsed="false">
      <c r="A81" s="26" t="s">
        <v>13</v>
      </c>
      <c r="B81" s="26" t="s">
        <v>402</v>
      </c>
      <c r="C81" s="26" t="s">
        <v>330</v>
      </c>
      <c r="D81" s="26" t="s">
        <v>275</v>
      </c>
      <c r="E81" s="26"/>
      <c r="F81" s="26"/>
      <c r="G81" s="29" t="s">
        <v>403</v>
      </c>
      <c r="H81" s="29" t="s">
        <v>332</v>
      </c>
    </row>
    <row r="82" customFormat="false" ht="15" hidden="false" customHeight="false" outlineLevel="0" collapsed="false">
      <c r="A82" s="26" t="s">
        <v>13</v>
      </c>
      <c r="B82" s="26" t="s">
        <v>404</v>
      </c>
      <c r="C82" s="26" t="s">
        <v>330</v>
      </c>
      <c r="D82" s="26" t="s">
        <v>275</v>
      </c>
      <c r="E82" s="26"/>
      <c r="F82" s="26"/>
      <c r="G82" s="29" t="s">
        <v>405</v>
      </c>
      <c r="H82" s="29" t="s">
        <v>332</v>
      </c>
    </row>
    <row r="83" customFormat="false" ht="15" hidden="false" customHeight="false" outlineLevel="0" collapsed="false">
      <c r="A83" s="26" t="s">
        <v>13</v>
      </c>
      <c r="B83" s="26" t="s">
        <v>406</v>
      </c>
      <c r="C83" s="26" t="s">
        <v>407</v>
      </c>
      <c r="D83" s="26" t="s">
        <v>275</v>
      </c>
      <c r="E83" s="26"/>
      <c r="F83" s="26"/>
      <c r="G83" s="29" t="s">
        <v>408</v>
      </c>
      <c r="H83" s="29" t="s">
        <v>277</v>
      </c>
    </row>
    <row r="84" customFormat="false" ht="15" hidden="false" customHeight="false" outlineLevel="0" collapsed="false">
      <c r="A84" s="26" t="s">
        <v>13</v>
      </c>
      <c r="B84" s="26" t="s">
        <v>409</v>
      </c>
      <c r="C84" s="26" t="s">
        <v>407</v>
      </c>
      <c r="D84" s="26" t="s">
        <v>275</v>
      </c>
      <c r="E84" s="26"/>
      <c r="F84" s="26"/>
      <c r="G84" s="29" t="s">
        <v>410</v>
      </c>
      <c r="H84" s="29" t="s">
        <v>277</v>
      </c>
    </row>
    <row r="85" customFormat="false" ht="23.85" hidden="false" customHeight="false" outlineLevel="0" collapsed="false">
      <c r="A85" s="26" t="s">
        <v>15</v>
      </c>
      <c r="B85" s="26" t="s">
        <v>102</v>
      </c>
      <c r="C85" s="26" t="s">
        <v>274</v>
      </c>
      <c r="D85" s="26" t="s">
        <v>275</v>
      </c>
      <c r="E85" s="26"/>
      <c r="F85" s="26"/>
      <c r="G85" s="29" t="s">
        <v>276</v>
      </c>
      <c r="H85" s="29" t="s">
        <v>277</v>
      </c>
    </row>
    <row r="86" customFormat="false" ht="15" hidden="false" customHeight="false" outlineLevel="0" collapsed="false">
      <c r="A86" s="26" t="s">
        <v>15</v>
      </c>
      <c r="B86" s="26" t="s">
        <v>103</v>
      </c>
      <c r="C86" s="26" t="s">
        <v>274</v>
      </c>
      <c r="D86" s="26" t="s">
        <v>275</v>
      </c>
      <c r="E86" s="26"/>
      <c r="F86" s="26"/>
      <c r="G86" s="29" t="s">
        <v>278</v>
      </c>
      <c r="H86" s="29" t="s">
        <v>277</v>
      </c>
    </row>
    <row r="87" customFormat="false" ht="15" hidden="false" customHeight="false" outlineLevel="0" collapsed="false">
      <c r="A87" s="26" t="s">
        <v>15</v>
      </c>
      <c r="B87" s="26" t="s">
        <v>279</v>
      </c>
      <c r="C87" s="26" t="s">
        <v>274</v>
      </c>
      <c r="D87" s="26" t="s">
        <v>280</v>
      </c>
      <c r="E87" s="26"/>
      <c r="F87" s="26"/>
      <c r="G87" s="29" t="s">
        <v>281</v>
      </c>
      <c r="H87" s="29" t="s">
        <v>277</v>
      </c>
    </row>
    <row r="88" customFormat="false" ht="15" hidden="false" customHeight="false" outlineLevel="0" collapsed="false">
      <c r="A88" s="26" t="s">
        <v>15</v>
      </c>
      <c r="B88" s="26" t="s">
        <v>411</v>
      </c>
      <c r="C88" s="26" t="s">
        <v>283</v>
      </c>
      <c r="D88" s="26" t="s">
        <v>280</v>
      </c>
      <c r="E88" s="26"/>
      <c r="F88" s="26" t="s">
        <v>284</v>
      </c>
      <c r="G88" s="29"/>
      <c r="H88" s="29" t="s">
        <v>285</v>
      </c>
    </row>
    <row r="89" customFormat="false" ht="15" hidden="false" customHeight="false" outlineLevel="0" collapsed="false">
      <c r="A89" s="26" t="s">
        <v>15</v>
      </c>
      <c r="B89" s="26" t="s">
        <v>412</v>
      </c>
      <c r="C89" s="26" t="s">
        <v>289</v>
      </c>
      <c r="D89" s="26" t="s">
        <v>280</v>
      </c>
      <c r="E89" s="26" t="s">
        <v>313</v>
      </c>
      <c r="F89" s="26" t="s">
        <v>284</v>
      </c>
      <c r="G89" s="29"/>
      <c r="H89" s="29" t="s">
        <v>291</v>
      </c>
    </row>
    <row r="90" customFormat="false" ht="15" hidden="false" customHeight="false" outlineLevel="0" collapsed="false">
      <c r="A90" s="26" t="s">
        <v>15</v>
      </c>
      <c r="B90" s="26" t="s">
        <v>77</v>
      </c>
      <c r="C90" s="26" t="s">
        <v>283</v>
      </c>
      <c r="D90" s="26" t="s">
        <v>280</v>
      </c>
      <c r="E90" s="26" t="s">
        <v>413</v>
      </c>
      <c r="F90" s="26" t="s">
        <v>284</v>
      </c>
      <c r="G90" s="29"/>
      <c r="H90" s="29" t="s">
        <v>285</v>
      </c>
    </row>
    <row r="91" customFormat="false" ht="15" hidden="false" customHeight="false" outlineLevel="0" collapsed="false">
      <c r="A91" s="26" t="s">
        <v>15</v>
      </c>
      <c r="B91" s="26" t="s">
        <v>414</v>
      </c>
      <c r="C91" s="26" t="s">
        <v>283</v>
      </c>
      <c r="D91" s="26" t="s">
        <v>280</v>
      </c>
      <c r="E91" s="26"/>
      <c r="F91" s="26" t="s">
        <v>284</v>
      </c>
      <c r="G91" s="29"/>
      <c r="H91" s="29" t="s">
        <v>285</v>
      </c>
    </row>
    <row r="92" customFormat="false" ht="15" hidden="false" customHeight="false" outlineLevel="0" collapsed="false">
      <c r="A92" s="26" t="s">
        <v>15</v>
      </c>
      <c r="B92" s="26" t="s">
        <v>415</v>
      </c>
      <c r="C92" s="26" t="s">
        <v>289</v>
      </c>
      <c r="D92" s="26" t="s">
        <v>280</v>
      </c>
      <c r="E92" s="26" t="s">
        <v>416</v>
      </c>
      <c r="F92" s="26"/>
      <c r="G92" s="29"/>
      <c r="H92" s="29" t="s">
        <v>291</v>
      </c>
    </row>
    <row r="93" customFormat="false" ht="15" hidden="false" customHeight="false" outlineLevel="0" collapsed="false">
      <c r="A93" s="26" t="s">
        <v>15</v>
      </c>
      <c r="B93" s="26" t="s">
        <v>417</v>
      </c>
      <c r="C93" s="26" t="s">
        <v>283</v>
      </c>
      <c r="D93" s="26" t="s">
        <v>280</v>
      </c>
      <c r="E93" s="26"/>
      <c r="F93" s="26" t="s">
        <v>284</v>
      </c>
      <c r="G93" s="29"/>
      <c r="H93" s="29" t="s">
        <v>285</v>
      </c>
    </row>
    <row r="94" customFormat="false" ht="15" hidden="false" customHeight="false" outlineLevel="0" collapsed="false">
      <c r="A94" s="26" t="s">
        <v>15</v>
      </c>
      <c r="B94" s="26" t="s">
        <v>418</v>
      </c>
      <c r="C94" s="26" t="s">
        <v>283</v>
      </c>
      <c r="D94" s="26" t="s">
        <v>280</v>
      </c>
      <c r="E94" s="26" t="s">
        <v>413</v>
      </c>
      <c r="F94" s="26"/>
      <c r="G94" s="29"/>
      <c r="H94" s="29" t="s">
        <v>285</v>
      </c>
    </row>
    <row r="95" customFormat="false" ht="15" hidden="false" customHeight="false" outlineLevel="0" collapsed="false">
      <c r="A95" s="26" t="s">
        <v>15</v>
      </c>
      <c r="B95" s="26" t="s">
        <v>419</v>
      </c>
      <c r="C95" s="26" t="s">
        <v>283</v>
      </c>
      <c r="D95" s="26" t="s">
        <v>280</v>
      </c>
      <c r="E95" s="26" t="s">
        <v>416</v>
      </c>
      <c r="F95" s="26" t="s">
        <v>284</v>
      </c>
      <c r="G95" s="29"/>
      <c r="H95" s="29" t="s">
        <v>285</v>
      </c>
    </row>
    <row r="96" customFormat="false" ht="15" hidden="false" customHeight="false" outlineLevel="0" collapsed="false">
      <c r="A96" s="26" t="s">
        <v>15</v>
      </c>
      <c r="B96" s="26" t="s">
        <v>420</v>
      </c>
      <c r="C96" s="26" t="s">
        <v>283</v>
      </c>
      <c r="D96" s="26" t="s">
        <v>280</v>
      </c>
      <c r="E96" s="26" t="s">
        <v>413</v>
      </c>
      <c r="F96" s="26"/>
      <c r="G96" s="29"/>
      <c r="H96" s="29" t="s">
        <v>285</v>
      </c>
    </row>
    <row r="97" customFormat="false" ht="15" hidden="false" customHeight="false" outlineLevel="0" collapsed="false">
      <c r="A97" s="26" t="s">
        <v>15</v>
      </c>
      <c r="B97" s="26" t="s">
        <v>421</v>
      </c>
      <c r="C97" s="26" t="s">
        <v>283</v>
      </c>
      <c r="D97" s="26" t="s">
        <v>280</v>
      </c>
      <c r="E97" s="26" t="s">
        <v>422</v>
      </c>
      <c r="F97" s="26"/>
      <c r="G97" s="29"/>
      <c r="H97" s="29" t="s">
        <v>285</v>
      </c>
    </row>
    <row r="98" customFormat="false" ht="15" hidden="false" customHeight="false" outlineLevel="0" collapsed="false">
      <c r="A98" s="26" t="s">
        <v>15</v>
      </c>
      <c r="B98" s="26" t="s">
        <v>423</v>
      </c>
      <c r="C98" s="26" t="s">
        <v>283</v>
      </c>
      <c r="D98" s="26" t="s">
        <v>280</v>
      </c>
      <c r="E98" s="26"/>
      <c r="F98" s="26"/>
      <c r="G98" s="29"/>
      <c r="H98" s="29" t="s">
        <v>285</v>
      </c>
    </row>
    <row r="99" customFormat="false" ht="15" hidden="false" customHeight="false" outlineLevel="0" collapsed="false">
      <c r="A99" s="26" t="s">
        <v>15</v>
      </c>
      <c r="B99" s="26" t="s">
        <v>424</v>
      </c>
      <c r="C99" s="26" t="s">
        <v>289</v>
      </c>
      <c r="D99" s="26" t="s">
        <v>280</v>
      </c>
      <c r="E99" s="26" t="s">
        <v>290</v>
      </c>
      <c r="F99" s="26"/>
      <c r="G99" s="29"/>
      <c r="H99" s="29" t="s">
        <v>291</v>
      </c>
    </row>
    <row r="100" customFormat="false" ht="15" hidden="false" customHeight="false" outlineLevel="0" collapsed="false">
      <c r="A100" s="26" t="s">
        <v>15</v>
      </c>
      <c r="B100" s="26" t="s">
        <v>425</v>
      </c>
      <c r="C100" s="26" t="s">
        <v>289</v>
      </c>
      <c r="D100" s="26" t="s">
        <v>280</v>
      </c>
      <c r="E100" s="26" t="s">
        <v>290</v>
      </c>
      <c r="F100" s="26" t="s">
        <v>284</v>
      </c>
      <c r="G100" s="29"/>
      <c r="H100" s="29" t="s">
        <v>291</v>
      </c>
    </row>
    <row r="101" customFormat="false" ht="15" hidden="false" customHeight="false" outlineLevel="0" collapsed="false">
      <c r="A101" s="26" t="s">
        <v>15</v>
      </c>
      <c r="B101" s="26" t="s">
        <v>426</v>
      </c>
      <c r="C101" s="26" t="s">
        <v>289</v>
      </c>
      <c r="D101" s="26" t="s">
        <v>280</v>
      </c>
      <c r="E101" s="26" t="s">
        <v>290</v>
      </c>
      <c r="F101" s="26" t="s">
        <v>284</v>
      </c>
      <c r="G101" s="29"/>
      <c r="H101" s="29" t="s">
        <v>291</v>
      </c>
    </row>
    <row r="102" customFormat="false" ht="15" hidden="false" customHeight="false" outlineLevel="0" collapsed="false">
      <c r="A102" s="26" t="s">
        <v>15</v>
      </c>
      <c r="B102" s="26" t="s">
        <v>427</v>
      </c>
      <c r="C102" s="26" t="s">
        <v>289</v>
      </c>
      <c r="D102" s="26" t="s">
        <v>280</v>
      </c>
      <c r="E102" s="26" t="s">
        <v>290</v>
      </c>
      <c r="F102" s="26"/>
      <c r="G102" s="29"/>
      <c r="H102" s="29" t="s">
        <v>291</v>
      </c>
    </row>
    <row r="103" customFormat="false" ht="15" hidden="false" customHeight="false" outlineLevel="0" collapsed="false">
      <c r="A103" s="26" t="s">
        <v>15</v>
      </c>
      <c r="B103" s="26" t="s">
        <v>428</v>
      </c>
      <c r="C103" s="26" t="s">
        <v>289</v>
      </c>
      <c r="D103" s="26" t="s">
        <v>280</v>
      </c>
      <c r="E103" s="26" t="s">
        <v>290</v>
      </c>
      <c r="F103" s="26"/>
      <c r="G103" s="29"/>
      <c r="H103" s="29" t="s">
        <v>291</v>
      </c>
    </row>
    <row r="104" customFormat="false" ht="15" hidden="false" customHeight="false" outlineLevel="0" collapsed="false">
      <c r="A104" s="26" t="s">
        <v>15</v>
      </c>
      <c r="B104" s="26" t="s">
        <v>295</v>
      </c>
      <c r="C104" s="26" t="s">
        <v>289</v>
      </c>
      <c r="D104" s="26" t="s">
        <v>280</v>
      </c>
      <c r="E104" s="26" t="s">
        <v>290</v>
      </c>
      <c r="F104" s="26" t="s">
        <v>284</v>
      </c>
      <c r="G104" s="29"/>
      <c r="H104" s="29" t="s">
        <v>291</v>
      </c>
    </row>
    <row r="105" customFormat="false" ht="15" hidden="false" customHeight="false" outlineLevel="0" collapsed="false">
      <c r="A105" s="26" t="s">
        <v>15</v>
      </c>
      <c r="B105" s="26" t="s">
        <v>429</v>
      </c>
      <c r="C105" s="26" t="s">
        <v>318</v>
      </c>
      <c r="D105" s="26" t="s">
        <v>280</v>
      </c>
      <c r="E105" s="26" t="s">
        <v>290</v>
      </c>
      <c r="F105" s="26"/>
      <c r="G105" s="29"/>
      <c r="H105" s="29" t="s">
        <v>319</v>
      </c>
    </row>
    <row r="106" customFormat="false" ht="15" hidden="false" customHeight="false" outlineLevel="0" collapsed="false">
      <c r="A106" s="26" t="s">
        <v>15</v>
      </c>
      <c r="B106" s="26" t="s">
        <v>298</v>
      </c>
      <c r="C106" s="26" t="s">
        <v>299</v>
      </c>
      <c r="D106" s="26" t="s">
        <v>280</v>
      </c>
      <c r="E106" s="26"/>
      <c r="F106" s="26" t="s">
        <v>284</v>
      </c>
      <c r="G106" s="29"/>
      <c r="H106" s="29" t="s">
        <v>300</v>
      </c>
    </row>
    <row r="107" customFormat="false" ht="15" hidden="false" customHeight="false" outlineLevel="0" collapsed="false">
      <c r="A107" s="26" t="s">
        <v>15</v>
      </c>
      <c r="B107" s="26" t="s">
        <v>301</v>
      </c>
      <c r="C107" s="26" t="s">
        <v>299</v>
      </c>
      <c r="D107" s="26" t="s">
        <v>280</v>
      </c>
      <c r="E107" s="26" t="s">
        <v>290</v>
      </c>
      <c r="F107" s="26" t="s">
        <v>284</v>
      </c>
      <c r="G107" s="29"/>
      <c r="H107" s="29" t="s">
        <v>300</v>
      </c>
    </row>
    <row r="108" customFormat="false" ht="15" hidden="false" customHeight="false" outlineLevel="0" collapsed="false">
      <c r="A108" s="26" t="s">
        <v>15</v>
      </c>
      <c r="B108" s="26" t="s">
        <v>430</v>
      </c>
      <c r="C108" s="26" t="s">
        <v>303</v>
      </c>
      <c r="D108" s="26" t="s">
        <v>280</v>
      </c>
      <c r="E108" s="26"/>
      <c r="F108" s="26" t="s">
        <v>284</v>
      </c>
      <c r="G108" s="29"/>
      <c r="H108" s="29" t="s">
        <v>304</v>
      </c>
    </row>
    <row r="109" customFormat="false" ht="15" hidden="false" customHeight="false" outlineLevel="0" collapsed="false">
      <c r="A109" s="26" t="s">
        <v>15</v>
      </c>
      <c r="B109" s="26" t="s">
        <v>431</v>
      </c>
      <c r="C109" s="26" t="s">
        <v>303</v>
      </c>
      <c r="D109" s="26" t="s">
        <v>280</v>
      </c>
      <c r="E109" s="26"/>
      <c r="F109" s="26"/>
      <c r="G109" s="29"/>
      <c r="H109" s="29" t="s">
        <v>304</v>
      </c>
    </row>
    <row r="110" customFormat="false" ht="15" hidden="false" customHeight="false" outlineLevel="0" collapsed="false">
      <c r="A110" s="26" t="s">
        <v>15</v>
      </c>
      <c r="B110" s="26" t="s">
        <v>306</v>
      </c>
      <c r="C110" s="26" t="s">
        <v>303</v>
      </c>
      <c r="D110" s="26" t="s">
        <v>280</v>
      </c>
      <c r="E110" s="26"/>
      <c r="F110" s="26" t="s">
        <v>284</v>
      </c>
      <c r="G110" s="29"/>
      <c r="H110" s="29" t="s">
        <v>304</v>
      </c>
    </row>
    <row r="111" customFormat="false" ht="15" hidden="false" customHeight="false" outlineLevel="0" collapsed="false">
      <c r="A111" s="26" t="s">
        <v>15</v>
      </c>
      <c r="B111" s="26" t="s">
        <v>308</v>
      </c>
      <c r="C111" s="26" t="s">
        <v>303</v>
      </c>
      <c r="D111" s="26" t="s">
        <v>280</v>
      </c>
      <c r="E111" s="26"/>
      <c r="F111" s="26"/>
      <c r="G111" s="29"/>
      <c r="H111" s="29" t="s">
        <v>304</v>
      </c>
    </row>
    <row r="112" customFormat="false" ht="15" hidden="false" customHeight="false" outlineLevel="0" collapsed="false">
      <c r="A112" s="26" t="s">
        <v>15</v>
      </c>
      <c r="B112" s="26" t="s">
        <v>312</v>
      </c>
      <c r="C112" s="26" t="s">
        <v>289</v>
      </c>
      <c r="D112" s="26" t="s">
        <v>280</v>
      </c>
      <c r="E112" s="26" t="s">
        <v>313</v>
      </c>
      <c r="F112" s="26"/>
      <c r="G112" s="29"/>
      <c r="H112" s="29" t="s">
        <v>291</v>
      </c>
    </row>
    <row r="113" customFormat="false" ht="15" hidden="false" customHeight="false" outlineLevel="0" collapsed="false">
      <c r="A113" s="26" t="s">
        <v>15</v>
      </c>
      <c r="B113" s="26" t="s">
        <v>432</v>
      </c>
      <c r="C113" s="26" t="s">
        <v>283</v>
      </c>
      <c r="D113" s="26" t="s">
        <v>280</v>
      </c>
      <c r="E113" s="26"/>
      <c r="F113" s="26"/>
      <c r="G113" s="29"/>
      <c r="H113" s="29" t="s">
        <v>285</v>
      </c>
    </row>
    <row r="114" customFormat="false" ht="15" hidden="false" customHeight="false" outlineLevel="0" collapsed="false">
      <c r="A114" s="26" t="s">
        <v>15</v>
      </c>
      <c r="B114" s="26" t="s">
        <v>433</v>
      </c>
      <c r="C114" s="26" t="s">
        <v>318</v>
      </c>
      <c r="D114" s="26" t="s">
        <v>280</v>
      </c>
      <c r="E114" s="26"/>
      <c r="F114" s="26" t="s">
        <v>284</v>
      </c>
      <c r="G114" s="29"/>
      <c r="H114" s="29" t="s">
        <v>319</v>
      </c>
    </row>
    <row r="115" customFormat="false" ht="15" hidden="false" customHeight="false" outlineLevel="0" collapsed="false">
      <c r="A115" s="26" t="s">
        <v>15</v>
      </c>
      <c r="B115" s="26" t="s">
        <v>434</v>
      </c>
      <c r="C115" s="26" t="s">
        <v>318</v>
      </c>
      <c r="D115" s="26" t="s">
        <v>280</v>
      </c>
      <c r="E115" s="26"/>
      <c r="F115" s="26" t="s">
        <v>284</v>
      </c>
      <c r="G115" s="29"/>
      <c r="H115" s="29" t="s">
        <v>319</v>
      </c>
    </row>
    <row r="116" customFormat="false" ht="15" hidden="false" customHeight="false" outlineLevel="0" collapsed="false">
      <c r="A116" s="26" t="s">
        <v>15</v>
      </c>
      <c r="B116" s="26" t="s">
        <v>435</v>
      </c>
      <c r="C116" s="26" t="s">
        <v>318</v>
      </c>
      <c r="D116" s="26" t="s">
        <v>280</v>
      </c>
      <c r="E116" s="26"/>
      <c r="F116" s="26"/>
      <c r="G116" s="29"/>
      <c r="H116" s="29" t="s">
        <v>319</v>
      </c>
    </row>
    <row r="117" customFormat="false" ht="15" hidden="false" customHeight="false" outlineLevel="0" collapsed="false">
      <c r="A117" s="26" t="s">
        <v>15</v>
      </c>
      <c r="B117" s="26" t="s">
        <v>436</v>
      </c>
      <c r="C117" s="26" t="s">
        <v>318</v>
      </c>
      <c r="D117" s="26" t="s">
        <v>280</v>
      </c>
      <c r="E117" s="26" t="s">
        <v>413</v>
      </c>
      <c r="F117" s="26" t="s">
        <v>284</v>
      </c>
      <c r="G117" s="29"/>
      <c r="H117" s="29" t="s">
        <v>319</v>
      </c>
    </row>
    <row r="118" customFormat="false" ht="15" hidden="false" customHeight="false" outlineLevel="0" collapsed="false">
      <c r="A118" s="26" t="s">
        <v>15</v>
      </c>
      <c r="B118" s="26" t="s">
        <v>437</v>
      </c>
      <c r="C118" s="26" t="s">
        <v>318</v>
      </c>
      <c r="D118" s="26" t="s">
        <v>280</v>
      </c>
      <c r="E118" s="26" t="s">
        <v>290</v>
      </c>
      <c r="F118" s="26"/>
      <c r="G118" s="29"/>
      <c r="H118" s="29" t="s">
        <v>319</v>
      </c>
    </row>
    <row r="119" customFormat="false" ht="15" hidden="false" customHeight="false" outlineLevel="0" collapsed="false">
      <c r="A119" s="26" t="s">
        <v>15</v>
      </c>
      <c r="B119" s="26" t="s">
        <v>320</v>
      </c>
      <c r="C119" s="26" t="s">
        <v>299</v>
      </c>
      <c r="D119" s="26" t="s">
        <v>280</v>
      </c>
      <c r="E119" s="26"/>
      <c r="F119" s="26" t="s">
        <v>284</v>
      </c>
      <c r="G119" s="29" t="s">
        <v>321</v>
      </c>
      <c r="H119" s="29" t="s">
        <v>300</v>
      </c>
    </row>
    <row r="120" customFormat="false" ht="15" hidden="false" customHeight="false" outlineLevel="0" collapsed="false">
      <c r="A120" s="26" t="s">
        <v>15</v>
      </c>
      <c r="B120" s="26" t="s">
        <v>322</v>
      </c>
      <c r="C120" s="26" t="s">
        <v>299</v>
      </c>
      <c r="D120" s="26" t="s">
        <v>280</v>
      </c>
      <c r="E120" s="26" t="s">
        <v>323</v>
      </c>
      <c r="F120" s="26"/>
      <c r="G120" s="29" t="s">
        <v>324</v>
      </c>
      <c r="H120" s="29" t="s">
        <v>300</v>
      </c>
    </row>
    <row r="121" customFormat="false" ht="15" hidden="false" customHeight="false" outlineLevel="0" collapsed="false">
      <c r="A121" s="26" t="s">
        <v>15</v>
      </c>
      <c r="B121" s="26" t="s">
        <v>325</v>
      </c>
      <c r="C121" s="26" t="s">
        <v>299</v>
      </c>
      <c r="D121" s="26" t="s">
        <v>280</v>
      </c>
      <c r="E121" s="26"/>
      <c r="F121" s="26"/>
      <c r="G121" s="29" t="s">
        <v>326</v>
      </c>
      <c r="H121" s="29" t="s">
        <v>300</v>
      </c>
    </row>
    <row r="122" customFormat="false" ht="15" hidden="false" customHeight="false" outlineLevel="0" collapsed="false">
      <c r="A122" s="26" t="s">
        <v>15</v>
      </c>
      <c r="B122" s="26" t="s">
        <v>327</v>
      </c>
      <c r="C122" s="26" t="s">
        <v>299</v>
      </c>
      <c r="D122" s="26" t="s">
        <v>280</v>
      </c>
      <c r="E122" s="26" t="s">
        <v>290</v>
      </c>
      <c r="F122" s="26"/>
      <c r="G122" s="29" t="s">
        <v>328</v>
      </c>
      <c r="H122" s="29" t="s">
        <v>300</v>
      </c>
    </row>
    <row r="123" customFormat="false" ht="15" hidden="false" customHeight="false" outlineLevel="0" collapsed="false">
      <c r="A123" s="26" t="s">
        <v>15</v>
      </c>
      <c r="B123" s="26" t="s">
        <v>329</v>
      </c>
      <c r="C123" s="26" t="s">
        <v>330</v>
      </c>
      <c r="D123" s="26" t="s">
        <v>280</v>
      </c>
      <c r="E123" s="26"/>
      <c r="F123" s="26" t="s">
        <v>284</v>
      </c>
      <c r="G123" s="29" t="s">
        <v>331</v>
      </c>
      <c r="H123" s="29" t="s">
        <v>332</v>
      </c>
    </row>
    <row r="124" customFormat="false" ht="23.85" hidden="false" customHeight="false" outlineLevel="0" collapsed="false">
      <c r="A124" s="26" t="s">
        <v>15</v>
      </c>
      <c r="B124" s="26" t="s">
        <v>333</v>
      </c>
      <c r="C124" s="26" t="s">
        <v>330</v>
      </c>
      <c r="D124" s="26" t="s">
        <v>280</v>
      </c>
      <c r="E124" s="26"/>
      <c r="F124" s="26"/>
      <c r="G124" s="29" t="s">
        <v>334</v>
      </c>
      <c r="H124" s="29" t="s">
        <v>332</v>
      </c>
    </row>
    <row r="125" customFormat="false" ht="15" hidden="false" customHeight="false" outlineLevel="0" collapsed="false">
      <c r="A125" s="26" t="s">
        <v>15</v>
      </c>
      <c r="B125" s="26" t="s">
        <v>131</v>
      </c>
      <c r="C125" s="26" t="s">
        <v>330</v>
      </c>
      <c r="D125" s="26" t="s">
        <v>280</v>
      </c>
      <c r="E125" s="26"/>
      <c r="F125" s="26" t="s">
        <v>284</v>
      </c>
      <c r="G125" s="29"/>
      <c r="H125" s="29" t="s">
        <v>332</v>
      </c>
    </row>
    <row r="126" customFormat="false" ht="23.85" hidden="false" customHeight="false" outlineLevel="0" collapsed="false">
      <c r="A126" s="26" t="s">
        <v>15</v>
      </c>
      <c r="B126" s="26" t="s">
        <v>132</v>
      </c>
      <c r="C126" s="26" t="s">
        <v>330</v>
      </c>
      <c r="D126" s="26" t="s">
        <v>280</v>
      </c>
      <c r="E126" s="26"/>
      <c r="F126" s="26" t="s">
        <v>284</v>
      </c>
      <c r="G126" s="29" t="s">
        <v>335</v>
      </c>
      <c r="H126" s="29" t="s">
        <v>332</v>
      </c>
    </row>
    <row r="127" customFormat="false" ht="15" hidden="false" customHeight="false" outlineLevel="0" collapsed="false">
      <c r="A127" s="26" t="s">
        <v>15</v>
      </c>
      <c r="B127" s="26" t="s">
        <v>133</v>
      </c>
      <c r="C127" s="26" t="s">
        <v>330</v>
      </c>
      <c r="D127" s="26" t="s">
        <v>280</v>
      </c>
      <c r="E127" s="26"/>
      <c r="F127" s="26" t="s">
        <v>284</v>
      </c>
      <c r="G127" s="29"/>
      <c r="H127" s="29" t="s">
        <v>332</v>
      </c>
    </row>
    <row r="128" customFormat="false" ht="15" hidden="false" customHeight="false" outlineLevel="0" collapsed="false">
      <c r="A128" s="26" t="s">
        <v>15</v>
      </c>
      <c r="B128" s="26" t="s">
        <v>336</v>
      </c>
      <c r="C128" s="26" t="s">
        <v>337</v>
      </c>
      <c r="D128" s="26" t="s">
        <v>280</v>
      </c>
      <c r="E128" s="26" t="s">
        <v>338</v>
      </c>
      <c r="F128" s="26" t="s">
        <v>284</v>
      </c>
      <c r="G128" s="29" t="s">
        <v>339</v>
      </c>
      <c r="H128" s="29" t="s">
        <v>340</v>
      </c>
    </row>
    <row r="129" customFormat="false" ht="15" hidden="false" customHeight="false" outlineLevel="0" collapsed="false">
      <c r="A129" s="26" t="s">
        <v>15</v>
      </c>
      <c r="B129" s="26" t="s">
        <v>341</v>
      </c>
      <c r="C129" s="26" t="s">
        <v>337</v>
      </c>
      <c r="D129" s="26" t="s">
        <v>280</v>
      </c>
      <c r="E129" s="26"/>
      <c r="F129" s="26"/>
      <c r="G129" s="29" t="s">
        <v>342</v>
      </c>
      <c r="H129" s="29" t="s">
        <v>340</v>
      </c>
    </row>
    <row r="130" customFormat="false" ht="15" hidden="false" customHeight="false" outlineLevel="0" collapsed="false">
      <c r="A130" s="26" t="s">
        <v>15</v>
      </c>
      <c r="B130" s="26" t="s">
        <v>343</v>
      </c>
      <c r="C130" s="26" t="s">
        <v>337</v>
      </c>
      <c r="D130" s="26" t="s">
        <v>275</v>
      </c>
      <c r="E130" s="26"/>
      <c r="F130" s="26"/>
      <c r="G130" s="29"/>
      <c r="H130" s="29" t="s">
        <v>340</v>
      </c>
    </row>
    <row r="131" customFormat="false" ht="15" hidden="false" customHeight="false" outlineLevel="0" collapsed="false">
      <c r="A131" s="26" t="s">
        <v>15</v>
      </c>
      <c r="B131" s="26" t="s">
        <v>344</v>
      </c>
      <c r="C131" s="26" t="s">
        <v>337</v>
      </c>
      <c r="D131" s="26" t="s">
        <v>275</v>
      </c>
      <c r="E131" s="26"/>
      <c r="F131" s="26"/>
      <c r="G131" s="29"/>
      <c r="H131" s="29" t="s">
        <v>340</v>
      </c>
    </row>
    <row r="132" customFormat="false" ht="15" hidden="false" customHeight="false" outlineLevel="0" collapsed="false">
      <c r="A132" s="26" t="s">
        <v>15</v>
      </c>
      <c r="B132" s="26" t="s">
        <v>345</v>
      </c>
      <c r="C132" s="26" t="s">
        <v>337</v>
      </c>
      <c r="D132" s="26" t="s">
        <v>275</v>
      </c>
      <c r="E132" s="26"/>
      <c r="F132" s="26"/>
      <c r="G132" s="29"/>
      <c r="H132" s="29" t="s">
        <v>340</v>
      </c>
    </row>
    <row r="133" customFormat="false" ht="15" hidden="false" customHeight="false" outlineLevel="0" collapsed="false">
      <c r="A133" s="26" t="s">
        <v>15</v>
      </c>
      <c r="B133" s="26" t="s">
        <v>346</v>
      </c>
      <c r="C133" s="26" t="s">
        <v>337</v>
      </c>
      <c r="D133" s="26" t="s">
        <v>275</v>
      </c>
      <c r="E133" s="26"/>
      <c r="F133" s="26"/>
      <c r="G133" s="29"/>
      <c r="H133" s="29" t="s">
        <v>340</v>
      </c>
    </row>
    <row r="134" customFormat="false" ht="15" hidden="false" customHeight="false" outlineLevel="0" collapsed="false">
      <c r="A134" s="26" t="s">
        <v>15</v>
      </c>
      <c r="B134" s="26" t="s">
        <v>347</v>
      </c>
      <c r="C134" s="26" t="s">
        <v>337</v>
      </c>
      <c r="D134" s="26" t="s">
        <v>275</v>
      </c>
      <c r="E134" s="26"/>
      <c r="F134" s="26"/>
      <c r="G134" s="29"/>
      <c r="H134" s="29" t="s">
        <v>340</v>
      </c>
    </row>
    <row r="135" customFormat="false" ht="15" hidden="false" customHeight="false" outlineLevel="0" collapsed="false">
      <c r="A135" s="26" t="s">
        <v>15</v>
      </c>
      <c r="B135" s="26" t="s">
        <v>348</v>
      </c>
      <c r="C135" s="26" t="s">
        <v>337</v>
      </c>
      <c r="D135" s="26" t="s">
        <v>275</v>
      </c>
      <c r="E135" s="26"/>
      <c r="F135" s="26"/>
      <c r="G135" s="29"/>
      <c r="H135" s="29" t="s">
        <v>340</v>
      </c>
    </row>
    <row r="136" customFormat="false" ht="15" hidden="false" customHeight="false" outlineLevel="0" collapsed="false">
      <c r="A136" s="26" t="s">
        <v>15</v>
      </c>
      <c r="B136" s="26" t="s">
        <v>349</v>
      </c>
      <c r="C136" s="26" t="s">
        <v>337</v>
      </c>
      <c r="D136" s="26" t="s">
        <v>280</v>
      </c>
      <c r="E136" s="26"/>
      <c r="F136" s="26"/>
      <c r="G136" s="29" t="s">
        <v>350</v>
      </c>
      <c r="H136" s="29" t="s">
        <v>340</v>
      </c>
    </row>
    <row r="137" customFormat="false" ht="15" hidden="false" customHeight="false" outlineLevel="0" collapsed="false">
      <c r="A137" s="26" t="s">
        <v>15</v>
      </c>
      <c r="B137" s="26" t="s">
        <v>351</v>
      </c>
      <c r="C137" s="26" t="s">
        <v>352</v>
      </c>
      <c r="D137" s="26" t="s">
        <v>280</v>
      </c>
      <c r="E137" s="26"/>
      <c r="F137" s="26" t="s">
        <v>284</v>
      </c>
      <c r="G137" s="29" t="s">
        <v>353</v>
      </c>
      <c r="H137" s="29" t="s">
        <v>354</v>
      </c>
    </row>
    <row r="138" customFormat="false" ht="15" hidden="false" customHeight="false" outlineLevel="0" collapsed="false">
      <c r="A138" s="26" t="s">
        <v>15</v>
      </c>
      <c r="B138" s="26" t="s">
        <v>355</v>
      </c>
      <c r="C138" s="26" t="s">
        <v>352</v>
      </c>
      <c r="D138" s="26" t="s">
        <v>280</v>
      </c>
      <c r="E138" s="26" t="s">
        <v>356</v>
      </c>
      <c r="F138" s="26" t="s">
        <v>284</v>
      </c>
      <c r="G138" s="29"/>
      <c r="H138" s="29" t="s">
        <v>354</v>
      </c>
    </row>
    <row r="139" customFormat="false" ht="15" hidden="false" customHeight="false" outlineLevel="0" collapsed="false">
      <c r="A139" s="26" t="s">
        <v>15</v>
      </c>
      <c r="B139" s="26" t="s">
        <v>357</v>
      </c>
      <c r="C139" s="26" t="s">
        <v>352</v>
      </c>
      <c r="D139" s="26" t="s">
        <v>280</v>
      </c>
      <c r="E139" s="26" t="s">
        <v>358</v>
      </c>
      <c r="F139" s="26" t="s">
        <v>284</v>
      </c>
      <c r="G139" s="29"/>
      <c r="H139" s="29" t="s">
        <v>354</v>
      </c>
    </row>
    <row r="140" customFormat="false" ht="15" hidden="false" customHeight="false" outlineLevel="0" collapsed="false">
      <c r="A140" s="26" t="s">
        <v>15</v>
      </c>
      <c r="B140" s="26" t="s">
        <v>359</v>
      </c>
      <c r="C140" s="26" t="s">
        <v>352</v>
      </c>
      <c r="D140" s="26" t="s">
        <v>280</v>
      </c>
      <c r="E140" s="26" t="s">
        <v>358</v>
      </c>
      <c r="F140" s="26"/>
      <c r="G140" s="29"/>
      <c r="H140" s="29" t="s">
        <v>354</v>
      </c>
    </row>
    <row r="141" customFormat="false" ht="15" hidden="false" customHeight="false" outlineLevel="0" collapsed="false">
      <c r="A141" s="26" t="s">
        <v>15</v>
      </c>
      <c r="B141" s="26" t="s">
        <v>360</v>
      </c>
      <c r="C141" s="26" t="s">
        <v>352</v>
      </c>
      <c r="D141" s="26" t="s">
        <v>280</v>
      </c>
      <c r="E141" s="26" t="s">
        <v>361</v>
      </c>
      <c r="F141" s="26"/>
      <c r="G141" s="29"/>
      <c r="H141" s="29" t="s">
        <v>354</v>
      </c>
    </row>
    <row r="142" customFormat="false" ht="15" hidden="false" customHeight="false" outlineLevel="0" collapsed="false">
      <c r="A142" s="26" t="s">
        <v>15</v>
      </c>
      <c r="B142" s="26" t="s">
        <v>362</v>
      </c>
      <c r="C142" s="26" t="s">
        <v>352</v>
      </c>
      <c r="D142" s="26" t="s">
        <v>280</v>
      </c>
      <c r="E142" s="26" t="s">
        <v>356</v>
      </c>
      <c r="F142" s="26"/>
      <c r="G142" s="29"/>
      <c r="H142" s="29" t="s">
        <v>354</v>
      </c>
    </row>
    <row r="143" customFormat="false" ht="15" hidden="false" customHeight="false" outlineLevel="0" collapsed="false">
      <c r="A143" s="26" t="s">
        <v>15</v>
      </c>
      <c r="B143" s="26" t="s">
        <v>363</v>
      </c>
      <c r="C143" s="26" t="s">
        <v>352</v>
      </c>
      <c r="D143" s="26" t="s">
        <v>275</v>
      </c>
      <c r="E143" s="26" t="s">
        <v>358</v>
      </c>
      <c r="F143" s="26"/>
      <c r="G143" s="29" t="s">
        <v>364</v>
      </c>
      <c r="H143" s="29" t="s">
        <v>354</v>
      </c>
    </row>
    <row r="144" customFormat="false" ht="23.85" hidden="false" customHeight="false" outlineLevel="0" collapsed="false">
      <c r="A144" s="26" t="s">
        <v>15</v>
      </c>
      <c r="B144" s="26" t="s">
        <v>365</v>
      </c>
      <c r="C144" s="26" t="s">
        <v>352</v>
      </c>
      <c r="D144" s="26" t="s">
        <v>275</v>
      </c>
      <c r="E144" s="26"/>
      <c r="F144" s="26"/>
      <c r="G144" s="29" t="s">
        <v>366</v>
      </c>
      <c r="H144" s="29" t="s">
        <v>354</v>
      </c>
    </row>
    <row r="145" customFormat="false" ht="15" hidden="false" customHeight="false" outlineLevel="0" collapsed="false">
      <c r="A145" s="26" t="s">
        <v>15</v>
      </c>
      <c r="B145" s="26" t="s">
        <v>438</v>
      </c>
      <c r="C145" s="26" t="s">
        <v>318</v>
      </c>
      <c r="D145" s="26" t="s">
        <v>275</v>
      </c>
      <c r="E145" s="26"/>
      <c r="F145" s="26"/>
      <c r="G145" s="29" t="s">
        <v>439</v>
      </c>
      <c r="H145" s="29" t="s">
        <v>319</v>
      </c>
    </row>
    <row r="146" customFormat="false" ht="23.85" hidden="false" customHeight="false" outlineLevel="0" collapsed="false">
      <c r="A146" s="26" t="s">
        <v>15</v>
      </c>
      <c r="B146" s="26" t="s">
        <v>371</v>
      </c>
      <c r="C146" s="26" t="s">
        <v>318</v>
      </c>
      <c r="D146" s="26" t="s">
        <v>275</v>
      </c>
      <c r="E146" s="26"/>
      <c r="F146" s="26"/>
      <c r="G146" s="29" t="s">
        <v>372</v>
      </c>
      <c r="H146" s="29" t="s">
        <v>319</v>
      </c>
    </row>
    <row r="147" customFormat="false" ht="15" hidden="false" customHeight="false" outlineLevel="0" collapsed="false">
      <c r="A147" s="26" t="s">
        <v>15</v>
      </c>
      <c r="B147" s="26" t="s">
        <v>373</v>
      </c>
      <c r="C147" s="26" t="s">
        <v>330</v>
      </c>
      <c r="D147" s="26" t="s">
        <v>280</v>
      </c>
      <c r="E147" s="26"/>
      <c r="F147" s="26"/>
      <c r="G147" s="29"/>
      <c r="H147" s="29" t="s">
        <v>332</v>
      </c>
    </row>
    <row r="148" customFormat="false" ht="15" hidden="false" customHeight="false" outlineLevel="0" collapsed="false">
      <c r="A148" s="26" t="s">
        <v>15</v>
      </c>
      <c r="B148" s="26" t="s">
        <v>374</v>
      </c>
      <c r="C148" s="26" t="s">
        <v>330</v>
      </c>
      <c r="D148" s="26" t="s">
        <v>280</v>
      </c>
      <c r="E148" s="26"/>
      <c r="F148" s="26"/>
      <c r="G148" s="29"/>
      <c r="H148" s="29" t="s">
        <v>332</v>
      </c>
    </row>
    <row r="149" customFormat="false" ht="23.85" hidden="false" customHeight="false" outlineLevel="0" collapsed="false">
      <c r="A149" s="26" t="s">
        <v>15</v>
      </c>
      <c r="B149" s="26" t="s">
        <v>375</v>
      </c>
      <c r="C149" s="26" t="s">
        <v>330</v>
      </c>
      <c r="D149" s="26" t="s">
        <v>280</v>
      </c>
      <c r="E149" s="26"/>
      <c r="F149" s="26" t="s">
        <v>284</v>
      </c>
      <c r="G149" s="29" t="s">
        <v>376</v>
      </c>
      <c r="H149" s="29" t="s">
        <v>377</v>
      </c>
    </row>
    <row r="150" customFormat="false" ht="23.85" hidden="false" customHeight="false" outlineLevel="0" collapsed="false">
      <c r="A150" s="26" t="s">
        <v>15</v>
      </c>
      <c r="B150" s="26" t="s">
        <v>378</v>
      </c>
      <c r="C150" s="26" t="s">
        <v>330</v>
      </c>
      <c r="D150" s="26" t="s">
        <v>275</v>
      </c>
      <c r="E150" s="26"/>
      <c r="F150" s="26"/>
      <c r="G150" s="29"/>
      <c r="H150" s="29" t="s">
        <v>377</v>
      </c>
    </row>
    <row r="151" customFormat="false" ht="23.85" hidden="false" customHeight="false" outlineLevel="0" collapsed="false">
      <c r="A151" s="26" t="s">
        <v>15</v>
      </c>
      <c r="B151" s="26" t="s">
        <v>379</v>
      </c>
      <c r="C151" s="26" t="s">
        <v>330</v>
      </c>
      <c r="D151" s="26" t="s">
        <v>275</v>
      </c>
      <c r="E151" s="26"/>
      <c r="F151" s="26"/>
      <c r="G151" s="29"/>
      <c r="H151" s="29" t="s">
        <v>377</v>
      </c>
    </row>
    <row r="152" customFormat="false" ht="23.85" hidden="false" customHeight="false" outlineLevel="0" collapsed="false">
      <c r="A152" s="26" t="s">
        <v>15</v>
      </c>
      <c r="B152" s="26" t="s">
        <v>380</v>
      </c>
      <c r="C152" s="26" t="s">
        <v>330</v>
      </c>
      <c r="D152" s="26" t="s">
        <v>280</v>
      </c>
      <c r="E152" s="26"/>
      <c r="F152" s="26"/>
      <c r="G152" s="29" t="s">
        <v>381</v>
      </c>
      <c r="H152" s="29" t="s">
        <v>377</v>
      </c>
    </row>
    <row r="153" customFormat="false" ht="23.85" hidden="false" customHeight="false" outlineLevel="0" collapsed="false">
      <c r="A153" s="26" t="s">
        <v>15</v>
      </c>
      <c r="B153" s="26" t="s">
        <v>382</v>
      </c>
      <c r="C153" s="26" t="s">
        <v>330</v>
      </c>
      <c r="D153" s="26" t="s">
        <v>280</v>
      </c>
      <c r="E153" s="26"/>
      <c r="F153" s="26"/>
      <c r="G153" s="29" t="s">
        <v>383</v>
      </c>
      <c r="H153" s="29" t="s">
        <v>377</v>
      </c>
    </row>
    <row r="154" customFormat="false" ht="15" hidden="false" customHeight="false" outlineLevel="0" collapsed="false">
      <c r="A154" s="26" t="s">
        <v>15</v>
      </c>
      <c r="B154" s="26" t="s">
        <v>384</v>
      </c>
      <c r="C154" s="26" t="s">
        <v>330</v>
      </c>
      <c r="D154" s="26" t="s">
        <v>280</v>
      </c>
      <c r="E154" s="26"/>
      <c r="F154" s="26"/>
      <c r="G154" s="29" t="s">
        <v>385</v>
      </c>
      <c r="H154" s="29" t="s">
        <v>332</v>
      </c>
    </row>
    <row r="155" customFormat="false" ht="15" hidden="false" customHeight="false" outlineLevel="0" collapsed="false">
      <c r="A155" s="26" t="s">
        <v>15</v>
      </c>
      <c r="B155" s="26" t="s">
        <v>386</v>
      </c>
      <c r="C155" s="26" t="s">
        <v>330</v>
      </c>
      <c r="D155" s="26" t="s">
        <v>280</v>
      </c>
      <c r="E155" s="26"/>
      <c r="F155" s="26"/>
      <c r="G155" s="29"/>
      <c r="H155" s="29" t="s">
        <v>332</v>
      </c>
    </row>
    <row r="156" customFormat="false" ht="15" hidden="false" customHeight="false" outlineLevel="0" collapsed="false">
      <c r="A156" s="26" t="s">
        <v>15</v>
      </c>
      <c r="B156" s="26" t="s">
        <v>387</v>
      </c>
      <c r="C156" s="26" t="s">
        <v>330</v>
      </c>
      <c r="D156" s="26" t="s">
        <v>280</v>
      </c>
      <c r="E156" s="26"/>
      <c r="F156" s="26"/>
      <c r="G156" s="29" t="s">
        <v>388</v>
      </c>
      <c r="H156" s="29" t="s">
        <v>332</v>
      </c>
    </row>
    <row r="157" customFormat="false" ht="15" hidden="false" customHeight="false" outlineLevel="0" collapsed="false">
      <c r="A157" s="26" t="s">
        <v>15</v>
      </c>
      <c r="B157" s="26" t="s">
        <v>389</v>
      </c>
      <c r="C157" s="26" t="s">
        <v>330</v>
      </c>
      <c r="D157" s="26" t="s">
        <v>280</v>
      </c>
      <c r="E157" s="26"/>
      <c r="F157" s="26"/>
      <c r="G157" s="29"/>
      <c r="H157" s="29" t="s">
        <v>332</v>
      </c>
    </row>
    <row r="158" customFormat="false" ht="23.85" hidden="false" customHeight="false" outlineLevel="0" collapsed="false">
      <c r="A158" s="26" t="s">
        <v>15</v>
      </c>
      <c r="B158" s="26" t="s">
        <v>390</v>
      </c>
      <c r="C158" s="26" t="s">
        <v>330</v>
      </c>
      <c r="D158" s="26" t="s">
        <v>280</v>
      </c>
      <c r="E158" s="26"/>
      <c r="F158" s="26"/>
      <c r="G158" s="29" t="s">
        <v>391</v>
      </c>
      <c r="H158" s="29" t="s">
        <v>377</v>
      </c>
    </row>
    <row r="159" customFormat="false" ht="23.85" hidden="false" customHeight="false" outlineLevel="0" collapsed="false">
      <c r="A159" s="26" t="s">
        <v>15</v>
      </c>
      <c r="B159" s="26" t="s">
        <v>392</v>
      </c>
      <c r="C159" s="26" t="s">
        <v>330</v>
      </c>
      <c r="D159" s="26" t="s">
        <v>280</v>
      </c>
      <c r="E159" s="26"/>
      <c r="F159" s="26"/>
      <c r="G159" s="29"/>
      <c r="H159" s="29" t="s">
        <v>377</v>
      </c>
    </row>
    <row r="160" customFormat="false" ht="15" hidden="false" customHeight="false" outlineLevel="0" collapsed="false">
      <c r="A160" s="26" t="s">
        <v>15</v>
      </c>
      <c r="B160" s="26" t="s">
        <v>393</v>
      </c>
      <c r="C160" s="26" t="s">
        <v>330</v>
      </c>
      <c r="D160" s="26" t="s">
        <v>280</v>
      </c>
      <c r="E160" s="26"/>
      <c r="F160" s="26"/>
      <c r="G160" s="29"/>
      <c r="H160" s="29" t="s">
        <v>332</v>
      </c>
    </row>
    <row r="161" customFormat="false" ht="15" hidden="false" customHeight="false" outlineLevel="0" collapsed="false">
      <c r="A161" s="26" t="s">
        <v>15</v>
      </c>
      <c r="B161" s="26" t="s">
        <v>394</v>
      </c>
      <c r="C161" s="26" t="s">
        <v>330</v>
      </c>
      <c r="D161" s="26" t="s">
        <v>280</v>
      </c>
      <c r="E161" s="26"/>
      <c r="F161" s="26"/>
      <c r="G161" s="29"/>
      <c r="H161" s="29" t="s">
        <v>332</v>
      </c>
    </row>
    <row r="162" customFormat="false" ht="15" hidden="false" customHeight="false" outlineLevel="0" collapsed="false">
      <c r="A162" s="26" t="s">
        <v>15</v>
      </c>
      <c r="B162" s="26" t="s">
        <v>395</v>
      </c>
      <c r="C162" s="26" t="s">
        <v>330</v>
      </c>
      <c r="D162" s="26" t="s">
        <v>280</v>
      </c>
      <c r="E162" s="26"/>
      <c r="F162" s="26" t="s">
        <v>284</v>
      </c>
      <c r="G162" s="29" t="s">
        <v>396</v>
      </c>
      <c r="H162" s="29" t="s">
        <v>332</v>
      </c>
    </row>
    <row r="163" customFormat="false" ht="15" hidden="false" customHeight="false" outlineLevel="0" collapsed="false">
      <c r="A163" s="26" t="s">
        <v>15</v>
      </c>
      <c r="B163" s="26" t="s">
        <v>397</v>
      </c>
      <c r="C163" s="26" t="s">
        <v>330</v>
      </c>
      <c r="D163" s="26" t="s">
        <v>280</v>
      </c>
      <c r="E163" s="26"/>
      <c r="F163" s="26"/>
      <c r="G163" s="29"/>
      <c r="H163" s="29" t="s">
        <v>332</v>
      </c>
    </row>
    <row r="164" customFormat="false" ht="15" hidden="false" customHeight="false" outlineLevel="0" collapsed="false">
      <c r="A164" s="26" t="s">
        <v>15</v>
      </c>
      <c r="B164" s="26" t="s">
        <v>398</v>
      </c>
      <c r="C164" s="26" t="s">
        <v>330</v>
      </c>
      <c r="D164" s="26" t="s">
        <v>280</v>
      </c>
      <c r="E164" s="26"/>
      <c r="F164" s="26"/>
      <c r="G164" s="29" t="s">
        <v>399</v>
      </c>
      <c r="H164" s="29" t="s">
        <v>332</v>
      </c>
    </row>
    <row r="165" customFormat="false" ht="15" hidden="false" customHeight="false" outlineLevel="0" collapsed="false">
      <c r="A165" s="26" t="s">
        <v>15</v>
      </c>
      <c r="B165" s="26" t="s">
        <v>400</v>
      </c>
      <c r="C165" s="26" t="s">
        <v>330</v>
      </c>
      <c r="D165" s="26" t="s">
        <v>275</v>
      </c>
      <c r="E165" s="26"/>
      <c r="F165" s="26"/>
      <c r="G165" s="29" t="s">
        <v>401</v>
      </c>
      <c r="H165" s="29" t="s">
        <v>332</v>
      </c>
    </row>
    <row r="166" customFormat="false" ht="15" hidden="false" customHeight="false" outlineLevel="0" collapsed="false">
      <c r="A166" s="26" t="s">
        <v>15</v>
      </c>
      <c r="B166" s="26" t="s">
        <v>402</v>
      </c>
      <c r="C166" s="26" t="s">
        <v>330</v>
      </c>
      <c r="D166" s="26" t="s">
        <v>275</v>
      </c>
      <c r="E166" s="26"/>
      <c r="F166" s="26"/>
      <c r="G166" s="29" t="s">
        <v>403</v>
      </c>
      <c r="H166" s="29" t="s">
        <v>332</v>
      </c>
    </row>
    <row r="167" customFormat="false" ht="15" hidden="false" customHeight="false" outlineLevel="0" collapsed="false">
      <c r="A167" s="26" t="s">
        <v>15</v>
      </c>
      <c r="B167" s="26" t="s">
        <v>404</v>
      </c>
      <c r="C167" s="26" t="s">
        <v>330</v>
      </c>
      <c r="D167" s="26" t="s">
        <v>275</v>
      </c>
      <c r="E167" s="26"/>
      <c r="F167" s="26"/>
      <c r="G167" s="29" t="s">
        <v>405</v>
      </c>
      <c r="H167" s="29" t="s">
        <v>332</v>
      </c>
    </row>
    <row r="168" customFormat="false" ht="15" hidden="false" customHeight="false" outlineLevel="0" collapsed="false">
      <c r="A168" s="26" t="s">
        <v>15</v>
      </c>
      <c r="B168" s="26" t="s">
        <v>406</v>
      </c>
      <c r="C168" s="26" t="s">
        <v>407</v>
      </c>
      <c r="D168" s="26" t="s">
        <v>275</v>
      </c>
      <c r="E168" s="26"/>
      <c r="F168" s="26"/>
      <c r="G168" s="29" t="s">
        <v>408</v>
      </c>
      <c r="H168" s="29" t="s">
        <v>277</v>
      </c>
    </row>
    <row r="169" customFormat="false" ht="15" hidden="false" customHeight="false" outlineLevel="0" collapsed="false">
      <c r="A169" s="26" t="s">
        <v>15</v>
      </c>
      <c r="B169" s="26" t="s">
        <v>409</v>
      </c>
      <c r="C169" s="26" t="s">
        <v>407</v>
      </c>
      <c r="D169" s="26" t="s">
        <v>275</v>
      </c>
      <c r="E169" s="26"/>
      <c r="F169" s="26"/>
      <c r="G169" s="29" t="s">
        <v>410</v>
      </c>
      <c r="H169" s="29" t="s">
        <v>277</v>
      </c>
    </row>
    <row r="170" customFormat="false" ht="23.85" hidden="false" customHeight="false" outlineLevel="0" collapsed="false">
      <c r="A170" s="26" t="s">
        <v>17</v>
      </c>
      <c r="B170" s="26" t="s">
        <v>102</v>
      </c>
      <c r="C170" s="26" t="s">
        <v>274</v>
      </c>
      <c r="D170" s="26" t="s">
        <v>275</v>
      </c>
      <c r="E170" s="26"/>
      <c r="F170" s="26"/>
      <c r="G170" s="29" t="s">
        <v>276</v>
      </c>
      <c r="H170" s="29" t="s">
        <v>277</v>
      </c>
    </row>
    <row r="171" customFormat="false" ht="15" hidden="false" customHeight="false" outlineLevel="0" collapsed="false">
      <c r="A171" s="26" t="s">
        <v>17</v>
      </c>
      <c r="B171" s="26" t="s">
        <v>103</v>
      </c>
      <c r="C171" s="26" t="s">
        <v>274</v>
      </c>
      <c r="D171" s="26" t="s">
        <v>275</v>
      </c>
      <c r="E171" s="26"/>
      <c r="F171" s="26"/>
      <c r="G171" s="29" t="s">
        <v>278</v>
      </c>
      <c r="H171" s="29" t="s">
        <v>277</v>
      </c>
    </row>
    <row r="172" customFormat="false" ht="15" hidden="false" customHeight="false" outlineLevel="0" collapsed="false">
      <c r="A172" s="26" t="s">
        <v>17</v>
      </c>
      <c r="B172" s="26" t="s">
        <v>279</v>
      </c>
      <c r="C172" s="26" t="s">
        <v>274</v>
      </c>
      <c r="D172" s="26" t="s">
        <v>280</v>
      </c>
      <c r="E172" s="26"/>
      <c r="F172" s="26"/>
      <c r="G172" s="29" t="s">
        <v>281</v>
      </c>
      <c r="H172" s="29" t="s">
        <v>277</v>
      </c>
    </row>
    <row r="173" customFormat="false" ht="15" hidden="false" customHeight="false" outlineLevel="0" collapsed="false">
      <c r="A173" s="26" t="s">
        <v>17</v>
      </c>
      <c r="B173" s="26" t="s">
        <v>411</v>
      </c>
      <c r="C173" s="26" t="s">
        <v>283</v>
      </c>
      <c r="D173" s="26" t="s">
        <v>280</v>
      </c>
      <c r="E173" s="26"/>
      <c r="F173" s="26" t="s">
        <v>284</v>
      </c>
      <c r="G173" s="29"/>
      <c r="H173" s="29" t="s">
        <v>285</v>
      </c>
    </row>
    <row r="174" customFormat="false" ht="15" hidden="false" customHeight="false" outlineLevel="0" collapsed="false">
      <c r="A174" s="26" t="s">
        <v>17</v>
      </c>
      <c r="B174" s="26" t="s">
        <v>88</v>
      </c>
      <c r="C174" s="26" t="s">
        <v>283</v>
      </c>
      <c r="D174" s="26" t="s">
        <v>280</v>
      </c>
      <c r="E174" s="26"/>
      <c r="F174" s="26" t="s">
        <v>284</v>
      </c>
      <c r="G174" s="29"/>
      <c r="H174" s="29" t="s">
        <v>285</v>
      </c>
    </row>
    <row r="175" customFormat="false" ht="15" hidden="false" customHeight="false" outlineLevel="0" collapsed="false">
      <c r="A175" s="26" t="s">
        <v>17</v>
      </c>
      <c r="B175" s="26" t="s">
        <v>440</v>
      </c>
      <c r="C175" s="26" t="s">
        <v>289</v>
      </c>
      <c r="D175" s="26" t="s">
        <v>280</v>
      </c>
      <c r="E175" s="26" t="s">
        <v>313</v>
      </c>
      <c r="F175" s="26" t="s">
        <v>284</v>
      </c>
      <c r="G175" s="29"/>
      <c r="H175" s="29" t="s">
        <v>291</v>
      </c>
    </row>
    <row r="176" customFormat="false" ht="15" hidden="false" customHeight="false" outlineLevel="0" collapsed="false">
      <c r="A176" s="26" t="s">
        <v>17</v>
      </c>
      <c r="B176" s="26" t="s">
        <v>441</v>
      </c>
      <c r="C176" s="26" t="s">
        <v>283</v>
      </c>
      <c r="D176" s="26" t="s">
        <v>280</v>
      </c>
      <c r="E176" s="26"/>
      <c r="F176" s="26" t="s">
        <v>284</v>
      </c>
      <c r="G176" s="29"/>
      <c r="H176" s="29" t="s">
        <v>285</v>
      </c>
    </row>
    <row r="177" customFormat="false" ht="15" hidden="false" customHeight="false" outlineLevel="0" collapsed="false">
      <c r="A177" s="26" t="s">
        <v>17</v>
      </c>
      <c r="B177" s="26" t="s">
        <v>442</v>
      </c>
      <c r="C177" s="26" t="s">
        <v>283</v>
      </c>
      <c r="D177" s="26" t="s">
        <v>280</v>
      </c>
      <c r="E177" s="26"/>
      <c r="F177" s="26" t="s">
        <v>284</v>
      </c>
      <c r="G177" s="29"/>
      <c r="H177" s="29" t="s">
        <v>285</v>
      </c>
    </row>
    <row r="178" customFormat="false" ht="15" hidden="false" customHeight="false" outlineLevel="0" collapsed="false">
      <c r="A178" s="26" t="s">
        <v>17</v>
      </c>
      <c r="B178" s="26" t="s">
        <v>443</v>
      </c>
      <c r="C178" s="26" t="s">
        <v>283</v>
      </c>
      <c r="D178" s="26" t="s">
        <v>280</v>
      </c>
      <c r="E178" s="26" t="s">
        <v>444</v>
      </c>
      <c r="F178" s="26" t="s">
        <v>284</v>
      </c>
      <c r="G178" s="29"/>
      <c r="H178" s="29" t="s">
        <v>285</v>
      </c>
    </row>
    <row r="179" customFormat="false" ht="15" hidden="false" customHeight="false" outlineLevel="0" collapsed="false">
      <c r="A179" s="26" t="s">
        <v>17</v>
      </c>
      <c r="B179" s="26" t="s">
        <v>77</v>
      </c>
      <c r="C179" s="26" t="s">
        <v>283</v>
      </c>
      <c r="D179" s="26" t="s">
        <v>280</v>
      </c>
      <c r="E179" s="26" t="s">
        <v>413</v>
      </c>
      <c r="F179" s="26"/>
      <c r="G179" s="29"/>
      <c r="H179" s="29" t="s">
        <v>285</v>
      </c>
    </row>
    <row r="180" customFormat="false" ht="15" hidden="false" customHeight="false" outlineLevel="0" collapsed="false">
      <c r="A180" s="26" t="s">
        <v>17</v>
      </c>
      <c r="B180" s="26" t="s">
        <v>445</v>
      </c>
      <c r="C180" s="26" t="s">
        <v>289</v>
      </c>
      <c r="D180" s="26" t="s">
        <v>280</v>
      </c>
      <c r="E180" s="26"/>
      <c r="F180" s="26" t="s">
        <v>284</v>
      </c>
      <c r="G180" s="29"/>
      <c r="H180" s="29" t="s">
        <v>291</v>
      </c>
    </row>
    <row r="181" customFormat="false" ht="15" hidden="false" customHeight="false" outlineLevel="0" collapsed="false">
      <c r="A181" s="26" t="s">
        <v>17</v>
      </c>
      <c r="B181" s="26" t="s">
        <v>446</v>
      </c>
      <c r="C181" s="26" t="s">
        <v>289</v>
      </c>
      <c r="D181" s="26" t="s">
        <v>280</v>
      </c>
      <c r="E181" s="26" t="s">
        <v>290</v>
      </c>
      <c r="F181" s="26"/>
      <c r="G181" s="29"/>
      <c r="H181" s="29" t="s">
        <v>291</v>
      </c>
    </row>
    <row r="182" customFormat="false" ht="15" hidden="false" customHeight="false" outlineLevel="0" collapsed="false">
      <c r="A182" s="26" t="s">
        <v>17</v>
      </c>
      <c r="B182" s="26" t="s">
        <v>294</v>
      </c>
      <c r="C182" s="26" t="s">
        <v>289</v>
      </c>
      <c r="D182" s="26" t="s">
        <v>280</v>
      </c>
      <c r="E182" s="26" t="s">
        <v>290</v>
      </c>
      <c r="F182" s="26"/>
      <c r="G182" s="29"/>
      <c r="H182" s="29" t="s">
        <v>291</v>
      </c>
    </row>
    <row r="183" customFormat="false" ht="15" hidden="false" customHeight="false" outlineLevel="0" collapsed="false">
      <c r="A183" s="26" t="s">
        <v>17</v>
      </c>
      <c r="B183" s="26" t="s">
        <v>447</v>
      </c>
      <c r="C183" s="26" t="s">
        <v>289</v>
      </c>
      <c r="D183" s="26" t="s">
        <v>280</v>
      </c>
      <c r="E183" s="26" t="s">
        <v>313</v>
      </c>
      <c r="F183" s="26" t="s">
        <v>284</v>
      </c>
      <c r="G183" s="29"/>
      <c r="H183" s="29" t="s">
        <v>291</v>
      </c>
    </row>
    <row r="184" customFormat="false" ht="15" hidden="false" customHeight="false" outlineLevel="0" collapsed="false">
      <c r="A184" s="26" t="s">
        <v>17</v>
      </c>
      <c r="B184" s="26" t="s">
        <v>448</v>
      </c>
      <c r="C184" s="26" t="s">
        <v>289</v>
      </c>
      <c r="D184" s="26" t="s">
        <v>280</v>
      </c>
      <c r="E184" s="26" t="s">
        <v>313</v>
      </c>
      <c r="F184" s="26" t="s">
        <v>284</v>
      </c>
      <c r="G184" s="29"/>
      <c r="H184" s="29" t="s">
        <v>291</v>
      </c>
    </row>
    <row r="185" customFormat="false" ht="15" hidden="false" customHeight="false" outlineLevel="0" collapsed="false">
      <c r="A185" s="26" t="s">
        <v>17</v>
      </c>
      <c r="B185" s="26" t="s">
        <v>449</v>
      </c>
      <c r="C185" s="26" t="s">
        <v>303</v>
      </c>
      <c r="D185" s="26" t="s">
        <v>280</v>
      </c>
      <c r="E185" s="26"/>
      <c r="F185" s="26"/>
      <c r="G185" s="29"/>
      <c r="H185" s="29" t="s">
        <v>304</v>
      </c>
    </row>
    <row r="186" customFormat="false" ht="15" hidden="false" customHeight="false" outlineLevel="0" collapsed="false">
      <c r="A186" s="26" t="s">
        <v>17</v>
      </c>
      <c r="B186" s="26" t="s">
        <v>450</v>
      </c>
      <c r="C186" s="26" t="s">
        <v>289</v>
      </c>
      <c r="D186" s="26" t="s">
        <v>280</v>
      </c>
      <c r="E186" s="26" t="s">
        <v>451</v>
      </c>
      <c r="F186" s="26"/>
      <c r="G186" s="29"/>
      <c r="H186" s="29" t="s">
        <v>291</v>
      </c>
    </row>
    <row r="187" customFormat="false" ht="15" hidden="false" customHeight="false" outlineLevel="0" collapsed="false">
      <c r="A187" s="26" t="s">
        <v>17</v>
      </c>
      <c r="B187" s="26" t="s">
        <v>452</v>
      </c>
      <c r="C187" s="26" t="s">
        <v>289</v>
      </c>
      <c r="D187" s="26" t="s">
        <v>280</v>
      </c>
      <c r="E187" s="26"/>
      <c r="F187" s="26"/>
      <c r="G187" s="29"/>
      <c r="H187" s="29" t="s">
        <v>291</v>
      </c>
    </row>
    <row r="188" customFormat="false" ht="15" hidden="false" customHeight="false" outlineLevel="0" collapsed="false">
      <c r="A188" s="26" t="s">
        <v>17</v>
      </c>
      <c r="B188" s="26" t="s">
        <v>453</v>
      </c>
      <c r="C188" s="26" t="s">
        <v>289</v>
      </c>
      <c r="D188" s="26" t="s">
        <v>280</v>
      </c>
      <c r="E188" s="26"/>
      <c r="F188" s="26"/>
      <c r="G188" s="29"/>
      <c r="H188" s="29" t="s">
        <v>291</v>
      </c>
    </row>
    <row r="189" customFormat="false" ht="15" hidden="false" customHeight="false" outlineLevel="0" collapsed="false">
      <c r="A189" s="26" t="s">
        <v>17</v>
      </c>
      <c r="B189" s="26" t="s">
        <v>454</v>
      </c>
      <c r="C189" s="26" t="s">
        <v>318</v>
      </c>
      <c r="D189" s="26" t="s">
        <v>280</v>
      </c>
      <c r="E189" s="26" t="s">
        <v>290</v>
      </c>
      <c r="F189" s="26" t="s">
        <v>284</v>
      </c>
      <c r="G189" s="29"/>
      <c r="H189" s="29" t="s">
        <v>319</v>
      </c>
    </row>
    <row r="190" customFormat="false" ht="15" hidden="false" customHeight="false" outlineLevel="0" collapsed="false">
      <c r="A190" s="26" t="s">
        <v>17</v>
      </c>
      <c r="B190" s="26" t="s">
        <v>455</v>
      </c>
      <c r="C190" s="26" t="s">
        <v>318</v>
      </c>
      <c r="D190" s="26" t="s">
        <v>280</v>
      </c>
      <c r="E190" s="26" t="s">
        <v>290</v>
      </c>
      <c r="F190" s="26" t="s">
        <v>284</v>
      </c>
      <c r="G190" s="29"/>
      <c r="H190" s="29" t="s">
        <v>319</v>
      </c>
    </row>
    <row r="191" customFormat="false" ht="15" hidden="false" customHeight="false" outlineLevel="0" collapsed="false">
      <c r="A191" s="26" t="s">
        <v>17</v>
      </c>
      <c r="B191" s="26" t="s">
        <v>456</v>
      </c>
      <c r="C191" s="26" t="s">
        <v>318</v>
      </c>
      <c r="D191" s="26" t="s">
        <v>280</v>
      </c>
      <c r="E191" s="26" t="s">
        <v>457</v>
      </c>
      <c r="F191" s="26" t="s">
        <v>284</v>
      </c>
      <c r="G191" s="29"/>
      <c r="H191" s="29" t="s">
        <v>319</v>
      </c>
    </row>
    <row r="192" customFormat="false" ht="15" hidden="false" customHeight="false" outlineLevel="0" collapsed="false">
      <c r="A192" s="26" t="s">
        <v>17</v>
      </c>
      <c r="B192" s="26" t="s">
        <v>458</v>
      </c>
      <c r="C192" s="26" t="s">
        <v>318</v>
      </c>
      <c r="D192" s="26" t="s">
        <v>280</v>
      </c>
      <c r="E192" s="26" t="s">
        <v>459</v>
      </c>
      <c r="F192" s="26"/>
      <c r="G192" s="29"/>
      <c r="H192" s="29" t="s">
        <v>319</v>
      </c>
    </row>
    <row r="193" customFormat="false" ht="15" hidden="false" customHeight="false" outlineLevel="0" collapsed="false">
      <c r="A193" s="26" t="s">
        <v>17</v>
      </c>
      <c r="B193" s="26" t="s">
        <v>460</v>
      </c>
      <c r="C193" s="26" t="s">
        <v>318</v>
      </c>
      <c r="D193" s="26" t="s">
        <v>280</v>
      </c>
      <c r="E193" s="26" t="s">
        <v>459</v>
      </c>
      <c r="F193" s="26"/>
      <c r="G193" s="29"/>
      <c r="H193" s="29" t="s">
        <v>319</v>
      </c>
    </row>
    <row r="194" customFormat="false" ht="15" hidden="false" customHeight="false" outlineLevel="0" collapsed="false">
      <c r="A194" s="26" t="s">
        <v>17</v>
      </c>
      <c r="B194" s="26" t="s">
        <v>461</v>
      </c>
      <c r="C194" s="26" t="s">
        <v>318</v>
      </c>
      <c r="D194" s="26" t="s">
        <v>280</v>
      </c>
      <c r="E194" s="26" t="s">
        <v>462</v>
      </c>
      <c r="F194" s="26"/>
      <c r="G194" s="29"/>
      <c r="H194" s="29" t="s">
        <v>319</v>
      </c>
    </row>
    <row r="195" customFormat="false" ht="15" hidden="false" customHeight="false" outlineLevel="0" collapsed="false">
      <c r="A195" s="26" t="s">
        <v>17</v>
      </c>
      <c r="B195" s="26" t="s">
        <v>463</v>
      </c>
      <c r="C195" s="26" t="s">
        <v>318</v>
      </c>
      <c r="D195" s="26" t="s">
        <v>280</v>
      </c>
      <c r="E195" s="26"/>
      <c r="F195" s="26"/>
      <c r="G195" s="29"/>
      <c r="H195" s="29" t="s">
        <v>319</v>
      </c>
    </row>
    <row r="196" customFormat="false" ht="15" hidden="false" customHeight="false" outlineLevel="0" collapsed="false">
      <c r="A196" s="26" t="s">
        <v>17</v>
      </c>
      <c r="B196" s="26" t="s">
        <v>423</v>
      </c>
      <c r="C196" s="26" t="s">
        <v>283</v>
      </c>
      <c r="D196" s="26" t="s">
        <v>280</v>
      </c>
      <c r="E196" s="26"/>
      <c r="F196" s="26"/>
      <c r="G196" s="29"/>
      <c r="H196" s="29" t="s">
        <v>285</v>
      </c>
    </row>
    <row r="197" customFormat="false" ht="15" hidden="false" customHeight="false" outlineLevel="0" collapsed="false">
      <c r="A197" s="26" t="s">
        <v>17</v>
      </c>
      <c r="B197" s="26" t="s">
        <v>464</v>
      </c>
      <c r="C197" s="26" t="s">
        <v>283</v>
      </c>
      <c r="D197" s="26" t="s">
        <v>280</v>
      </c>
      <c r="E197" s="26"/>
      <c r="F197" s="26"/>
      <c r="G197" s="29"/>
      <c r="H197" s="29" t="s">
        <v>285</v>
      </c>
    </row>
    <row r="198" customFormat="false" ht="15" hidden="false" customHeight="false" outlineLevel="0" collapsed="false">
      <c r="A198" s="26" t="s">
        <v>17</v>
      </c>
      <c r="B198" s="26" t="s">
        <v>298</v>
      </c>
      <c r="C198" s="26" t="s">
        <v>299</v>
      </c>
      <c r="D198" s="26" t="s">
        <v>280</v>
      </c>
      <c r="E198" s="26"/>
      <c r="F198" s="26"/>
      <c r="G198" s="29"/>
      <c r="H198" s="29" t="s">
        <v>300</v>
      </c>
    </row>
    <row r="199" customFormat="false" ht="15" hidden="false" customHeight="false" outlineLevel="0" collapsed="false">
      <c r="A199" s="26" t="s">
        <v>17</v>
      </c>
      <c r="B199" s="26" t="s">
        <v>465</v>
      </c>
      <c r="C199" s="26" t="s">
        <v>318</v>
      </c>
      <c r="D199" s="26" t="s">
        <v>280</v>
      </c>
      <c r="E199" s="26"/>
      <c r="F199" s="26"/>
      <c r="G199" s="29"/>
      <c r="H199" s="29" t="s">
        <v>319</v>
      </c>
    </row>
    <row r="200" customFormat="false" ht="15" hidden="false" customHeight="false" outlineLevel="0" collapsed="false">
      <c r="A200" s="26" t="s">
        <v>17</v>
      </c>
      <c r="B200" s="26" t="s">
        <v>466</v>
      </c>
      <c r="C200" s="26" t="s">
        <v>318</v>
      </c>
      <c r="D200" s="26" t="s">
        <v>280</v>
      </c>
      <c r="E200" s="26"/>
      <c r="F200" s="26"/>
      <c r="G200" s="29"/>
      <c r="H200" s="29" t="s">
        <v>319</v>
      </c>
    </row>
    <row r="201" customFormat="false" ht="15" hidden="false" customHeight="false" outlineLevel="0" collapsed="false">
      <c r="A201" s="26" t="s">
        <v>17</v>
      </c>
      <c r="B201" s="26" t="s">
        <v>467</v>
      </c>
      <c r="C201" s="26" t="s">
        <v>283</v>
      </c>
      <c r="D201" s="26" t="s">
        <v>280</v>
      </c>
      <c r="E201" s="26"/>
      <c r="F201" s="26"/>
      <c r="G201" s="29"/>
      <c r="H201" s="29" t="s">
        <v>285</v>
      </c>
    </row>
    <row r="202" customFormat="false" ht="15" hidden="false" customHeight="false" outlineLevel="0" collapsed="false">
      <c r="A202" s="26" t="s">
        <v>17</v>
      </c>
      <c r="B202" s="26" t="s">
        <v>320</v>
      </c>
      <c r="C202" s="26" t="s">
        <v>299</v>
      </c>
      <c r="D202" s="26" t="s">
        <v>280</v>
      </c>
      <c r="E202" s="26"/>
      <c r="F202" s="26"/>
      <c r="G202" s="29" t="s">
        <v>321</v>
      </c>
      <c r="H202" s="29" t="s">
        <v>300</v>
      </c>
    </row>
    <row r="203" customFormat="false" ht="15" hidden="false" customHeight="false" outlineLevel="0" collapsed="false">
      <c r="A203" s="26" t="s">
        <v>17</v>
      </c>
      <c r="B203" s="26" t="s">
        <v>322</v>
      </c>
      <c r="C203" s="26" t="s">
        <v>299</v>
      </c>
      <c r="D203" s="26" t="s">
        <v>280</v>
      </c>
      <c r="E203" s="26" t="s">
        <v>323</v>
      </c>
      <c r="F203" s="26"/>
      <c r="G203" s="29" t="s">
        <v>324</v>
      </c>
      <c r="H203" s="29" t="s">
        <v>300</v>
      </c>
    </row>
    <row r="204" customFormat="false" ht="15" hidden="false" customHeight="false" outlineLevel="0" collapsed="false">
      <c r="A204" s="26" t="s">
        <v>17</v>
      </c>
      <c r="B204" s="26" t="s">
        <v>325</v>
      </c>
      <c r="C204" s="26" t="s">
        <v>299</v>
      </c>
      <c r="D204" s="26" t="s">
        <v>280</v>
      </c>
      <c r="E204" s="26"/>
      <c r="F204" s="26"/>
      <c r="G204" s="29" t="s">
        <v>326</v>
      </c>
      <c r="H204" s="29" t="s">
        <v>300</v>
      </c>
    </row>
    <row r="205" customFormat="false" ht="15" hidden="false" customHeight="false" outlineLevel="0" collapsed="false">
      <c r="A205" s="26" t="s">
        <v>17</v>
      </c>
      <c r="B205" s="26" t="s">
        <v>327</v>
      </c>
      <c r="C205" s="26" t="s">
        <v>299</v>
      </c>
      <c r="D205" s="26" t="s">
        <v>280</v>
      </c>
      <c r="E205" s="26" t="s">
        <v>290</v>
      </c>
      <c r="F205" s="26"/>
      <c r="G205" s="29" t="s">
        <v>328</v>
      </c>
      <c r="H205" s="29" t="s">
        <v>300</v>
      </c>
    </row>
    <row r="206" customFormat="false" ht="15" hidden="false" customHeight="false" outlineLevel="0" collapsed="false">
      <c r="A206" s="26" t="s">
        <v>17</v>
      </c>
      <c r="B206" s="26" t="s">
        <v>329</v>
      </c>
      <c r="C206" s="26" t="s">
        <v>330</v>
      </c>
      <c r="D206" s="26" t="s">
        <v>280</v>
      </c>
      <c r="E206" s="26"/>
      <c r="F206" s="26" t="s">
        <v>284</v>
      </c>
      <c r="G206" s="29" t="s">
        <v>331</v>
      </c>
      <c r="H206" s="29" t="s">
        <v>332</v>
      </c>
    </row>
    <row r="207" customFormat="false" ht="23.85" hidden="false" customHeight="false" outlineLevel="0" collapsed="false">
      <c r="A207" s="26" t="s">
        <v>17</v>
      </c>
      <c r="B207" s="26" t="s">
        <v>333</v>
      </c>
      <c r="C207" s="26" t="s">
        <v>330</v>
      </c>
      <c r="D207" s="26" t="s">
        <v>280</v>
      </c>
      <c r="E207" s="26"/>
      <c r="F207" s="26"/>
      <c r="G207" s="29" t="s">
        <v>334</v>
      </c>
      <c r="H207" s="29" t="s">
        <v>332</v>
      </c>
    </row>
    <row r="208" customFormat="false" ht="15" hidden="false" customHeight="false" outlineLevel="0" collapsed="false">
      <c r="A208" s="26" t="s">
        <v>17</v>
      </c>
      <c r="B208" s="26" t="s">
        <v>131</v>
      </c>
      <c r="C208" s="26" t="s">
        <v>330</v>
      </c>
      <c r="D208" s="26" t="s">
        <v>280</v>
      </c>
      <c r="E208" s="26"/>
      <c r="F208" s="26" t="s">
        <v>284</v>
      </c>
      <c r="G208" s="29"/>
      <c r="H208" s="29" t="s">
        <v>332</v>
      </c>
    </row>
    <row r="209" customFormat="false" ht="23.85" hidden="false" customHeight="false" outlineLevel="0" collapsed="false">
      <c r="A209" s="26" t="s">
        <v>17</v>
      </c>
      <c r="B209" s="26" t="s">
        <v>132</v>
      </c>
      <c r="C209" s="26" t="s">
        <v>330</v>
      </c>
      <c r="D209" s="26" t="s">
        <v>280</v>
      </c>
      <c r="E209" s="26"/>
      <c r="F209" s="26" t="s">
        <v>284</v>
      </c>
      <c r="G209" s="29" t="s">
        <v>335</v>
      </c>
      <c r="H209" s="29" t="s">
        <v>332</v>
      </c>
    </row>
    <row r="210" customFormat="false" ht="15" hidden="false" customHeight="false" outlineLevel="0" collapsed="false">
      <c r="A210" s="26" t="s">
        <v>17</v>
      </c>
      <c r="B210" s="26" t="s">
        <v>133</v>
      </c>
      <c r="C210" s="26" t="s">
        <v>330</v>
      </c>
      <c r="D210" s="26" t="s">
        <v>280</v>
      </c>
      <c r="E210" s="26"/>
      <c r="F210" s="26" t="s">
        <v>284</v>
      </c>
      <c r="G210" s="29"/>
      <c r="H210" s="29" t="s">
        <v>332</v>
      </c>
    </row>
    <row r="211" customFormat="false" ht="15" hidden="false" customHeight="false" outlineLevel="0" collapsed="false">
      <c r="A211" s="26" t="s">
        <v>17</v>
      </c>
      <c r="B211" s="26" t="s">
        <v>336</v>
      </c>
      <c r="C211" s="26" t="s">
        <v>337</v>
      </c>
      <c r="D211" s="26" t="s">
        <v>280</v>
      </c>
      <c r="E211" s="26" t="s">
        <v>338</v>
      </c>
      <c r="F211" s="26" t="s">
        <v>284</v>
      </c>
      <c r="G211" s="29" t="s">
        <v>339</v>
      </c>
      <c r="H211" s="29" t="s">
        <v>340</v>
      </c>
    </row>
    <row r="212" customFormat="false" ht="15" hidden="false" customHeight="false" outlineLevel="0" collapsed="false">
      <c r="A212" s="26" t="s">
        <v>17</v>
      </c>
      <c r="B212" s="26" t="s">
        <v>341</v>
      </c>
      <c r="C212" s="26" t="s">
        <v>337</v>
      </c>
      <c r="D212" s="26" t="s">
        <v>280</v>
      </c>
      <c r="E212" s="26"/>
      <c r="F212" s="26"/>
      <c r="G212" s="29" t="s">
        <v>342</v>
      </c>
      <c r="H212" s="29" t="s">
        <v>340</v>
      </c>
    </row>
    <row r="213" customFormat="false" ht="15" hidden="false" customHeight="false" outlineLevel="0" collapsed="false">
      <c r="A213" s="26" t="s">
        <v>17</v>
      </c>
      <c r="B213" s="26" t="s">
        <v>343</v>
      </c>
      <c r="C213" s="26" t="s">
        <v>337</v>
      </c>
      <c r="D213" s="26" t="s">
        <v>275</v>
      </c>
      <c r="E213" s="26"/>
      <c r="F213" s="26"/>
      <c r="G213" s="29"/>
      <c r="H213" s="29" t="s">
        <v>340</v>
      </c>
    </row>
    <row r="214" customFormat="false" ht="15" hidden="false" customHeight="false" outlineLevel="0" collapsed="false">
      <c r="A214" s="26" t="s">
        <v>17</v>
      </c>
      <c r="B214" s="26" t="s">
        <v>344</v>
      </c>
      <c r="C214" s="26" t="s">
        <v>337</v>
      </c>
      <c r="D214" s="26" t="s">
        <v>275</v>
      </c>
      <c r="E214" s="26"/>
      <c r="F214" s="26"/>
      <c r="G214" s="29"/>
      <c r="H214" s="29" t="s">
        <v>340</v>
      </c>
    </row>
    <row r="215" customFormat="false" ht="15" hidden="false" customHeight="false" outlineLevel="0" collapsed="false">
      <c r="A215" s="26" t="s">
        <v>17</v>
      </c>
      <c r="B215" s="26" t="s">
        <v>345</v>
      </c>
      <c r="C215" s="26" t="s">
        <v>337</v>
      </c>
      <c r="D215" s="26" t="s">
        <v>275</v>
      </c>
      <c r="E215" s="26"/>
      <c r="F215" s="26"/>
      <c r="G215" s="29"/>
      <c r="H215" s="29" t="s">
        <v>340</v>
      </c>
    </row>
    <row r="216" customFormat="false" ht="15" hidden="false" customHeight="false" outlineLevel="0" collapsed="false">
      <c r="A216" s="26" t="s">
        <v>17</v>
      </c>
      <c r="B216" s="26" t="s">
        <v>346</v>
      </c>
      <c r="C216" s="26" t="s">
        <v>337</v>
      </c>
      <c r="D216" s="26" t="s">
        <v>275</v>
      </c>
      <c r="E216" s="26"/>
      <c r="F216" s="26"/>
      <c r="G216" s="29"/>
      <c r="H216" s="29" t="s">
        <v>340</v>
      </c>
    </row>
    <row r="217" customFormat="false" ht="15" hidden="false" customHeight="false" outlineLevel="0" collapsed="false">
      <c r="A217" s="26" t="s">
        <v>17</v>
      </c>
      <c r="B217" s="26" t="s">
        <v>347</v>
      </c>
      <c r="C217" s="26" t="s">
        <v>337</v>
      </c>
      <c r="D217" s="26" t="s">
        <v>275</v>
      </c>
      <c r="E217" s="26"/>
      <c r="F217" s="26"/>
      <c r="G217" s="29"/>
      <c r="H217" s="29" t="s">
        <v>340</v>
      </c>
    </row>
    <row r="218" customFormat="false" ht="15" hidden="false" customHeight="false" outlineLevel="0" collapsed="false">
      <c r="A218" s="26" t="s">
        <v>17</v>
      </c>
      <c r="B218" s="26" t="s">
        <v>348</v>
      </c>
      <c r="C218" s="26" t="s">
        <v>337</v>
      </c>
      <c r="D218" s="26" t="s">
        <v>275</v>
      </c>
      <c r="E218" s="26"/>
      <c r="F218" s="26"/>
      <c r="G218" s="29"/>
      <c r="H218" s="29" t="s">
        <v>340</v>
      </c>
    </row>
    <row r="219" customFormat="false" ht="15" hidden="false" customHeight="false" outlineLevel="0" collapsed="false">
      <c r="A219" s="26" t="s">
        <v>17</v>
      </c>
      <c r="B219" s="26" t="s">
        <v>349</v>
      </c>
      <c r="C219" s="26" t="s">
        <v>337</v>
      </c>
      <c r="D219" s="26" t="s">
        <v>280</v>
      </c>
      <c r="E219" s="26"/>
      <c r="F219" s="26"/>
      <c r="G219" s="29" t="s">
        <v>350</v>
      </c>
      <c r="H219" s="29" t="s">
        <v>340</v>
      </c>
    </row>
    <row r="220" customFormat="false" ht="15" hidden="false" customHeight="false" outlineLevel="0" collapsed="false">
      <c r="A220" s="26" t="s">
        <v>17</v>
      </c>
      <c r="B220" s="26" t="s">
        <v>351</v>
      </c>
      <c r="C220" s="26" t="s">
        <v>352</v>
      </c>
      <c r="D220" s="26" t="s">
        <v>280</v>
      </c>
      <c r="E220" s="26"/>
      <c r="F220" s="26" t="s">
        <v>284</v>
      </c>
      <c r="G220" s="29" t="s">
        <v>353</v>
      </c>
      <c r="H220" s="29" t="s">
        <v>354</v>
      </c>
    </row>
    <row r="221" customFormat="false" ht="15" hidden="false" customHeight="false" outlineLevel="0" collapsed="false">
      <c r="A221" s="26" t="s">
        <v>17</v>
      </c>
      <c r="B221" s="26" t="s">
        <v>355</v>
      </c>
      <c r="C221" s="26" t="s">
        <v>352</v>
      </c>
      <c r="D221" s="26" t="s">
        <v>280</v>
      </c>
      <c r="E221" s="26" t="s">
        <v>356</v>
      </c>
      <c r="F221" s="26"/>
      <c r="G221" s="29"/>
      <c r="H221" s="29" t="s">
        <v>354</v>
      </c>
    </row>
    <row r="222" customFormat="false" ht="15" hidden="false" customHeight="false" outlineLevel="0" collapsed="false">
      <c r="A222" s="26" t="s">
        <v>17</v>
      </c>
      <c r="B222" s="26" t="s">
        <v>357</v>
      </c>
      <c r="C222" s="26" t="s">
        <v>352</v>
      </c>
      <c r="D222" s="26" t="s">
        <v>280</v>
      </c>
      <c r="E222" s="26" t="s">
        <v>358</v>
      </c>
      <c r="F222" s="26"/>
      <c r="G222" s="29"/>
      <c r="H222" s="29" t="s">
        <v>354</v>
      </c>
    </row>
    <row r="223" customFormat="false" ht="15" hidden="false" customHeight="false" outlineLevel="0" collapsed="false">
      <c r="A223" s="26" t="s">
        <v>17</v>
      </c>
      <c r="B223" s="26" t="s">
        <v>359</v>
      </c>
      <c r="C223" s="26" t="s">
        <v>352</v>
      </c>
      <c r="D223" s="26" t="s">
        <v>280</v>
      </c>
      <c r="E223" s="26" t="s">
        <v>358</v>
      </c>
      <c r="F223" s="26"/>
      <c r="G223" s="29"/>
      <c r="H223" s="29" t="s">
        <v>354</v>
      </c>
    </row>
    <row r="224" customFormat="false" ht="15" hidden="false" customHeight="false" outlineLevel="0" collapsed="false">
      <c r="A224" s="26" t="s">
        <v>17</v>
      </c>
      <c r="B224" s="26" t="s">
        <v>360</v>
      </c>
      <c r="C224" s="26" t="s">
        <v>352</v>
      </c>
      <c r="D224" s="26" t="s">
        <v>280</v>
      </c>
      <c r="E224" s="26" t="s">
        <v>361</v>
      </c>
      <c r="F224" s="26"/>
      <c r="G224" s="29"/>
      <c r="H224" s="29" t="s">
        <v>354</v>
      </c>
    </row>
    <row r="225" customFormat="false" ht="15" hidden="false" customHeight="false" outlineLevel="0" collapsed="false">
      <c r="A225" s="26" t="s">
        <v>17</v>
      </c>
      <c r="B225" s="26" t="s">
        <v>362</v>
      </c>
      <c r="C225" s="26" t="s">
        <v>352</v>
      </c>
      <c r="D225" s="26" t="s">
        <v>280</v>
      </c>
      <c r="E225" s="26" t="s">
        <v>356</v>
      </c>
      <c r="F225" s="26"/>
      <c r="G225" s="29"/>
      <c r="H225" s="29" t="s">
        <v>354</v>
      </c>
    </row>
    <row r="226" customFormat="false" ht="15" hidden="false" customHeight="false" outlineLevel="0" collapsed="false">
      <c r="A226" s="26" t="s">
        <v>17</v>
      </c>
      <c r="B226" s="26" t="s">
        <v>363</v>
      </c>
      <c r="C226" s="26" t="s">
        <v>352</v>
      </c>
      <c r="D226" s="26" t="s">
        <v>275</v>
      </c>
      <c r="E226" s="26" t="s">
        <v>358</v>
      </c>
      <c r="F226" s="26"/>
      <c r="G226" s="29" t="s">
        <v>364</v>
      </c>
      <c r="H226" s="29" t="s">
        <v>354</v>
      </c>
    </row>
    <row r="227" customFormat="false" ht="23.85" hidden="false" customHeight="false" outlineLevel="0" collapsed="false">
      <c r="A227" s="26" t="s">
        <v>17</v>
      </c>
      <c r="B227" s="26" t="s">
        <v>365</v>
      </c>
      <c r="C227" s="26" t="s">
        <v>352</v>
      </c>
      <c r="D227" s="26" t="s">
        <v>275</v>
      </c>
      <c r="E227" s="26"/>
      <c r="F227" s="26"/>
      <c r="G227" s="29" t="s">
        <v>366</v>
      </c>
      <c r="H227" s="29" t="s">
        <v>354</v>
      </c>
    </row>
    <row r="228" customFormat="false" ht="15" hidden="false" customHeight="false" outlineLevel="0" collapsed="false">
      <c r="A228" s="26" t="s">
        <v>17</v>
      </c>
      <c r="B228" s="26" t="s">
        <v>438</v>
      </c>
      <c r="C228" s="26" t="s">
        <v>318</v>
      </c>
      <c r="D228" s="26" t="s">
        <v>275</v>
      </c>
      <c r="E228" s="26"/>
      <c r="F228" s="26"/>
      <c r="G228" s="29" t="s">
        <v>439</v>
      </c>
      <c r="H228" s="29" t="s">
        <v>319</v>
      </c>
    </row>
    <row r="229" customFormat="false" ht="23.85" hidden="false" customHeight="false" outlineLevel="0" collapsed="false">
      <c r="A229" s="26" t="s">
        <v>17</v>
      </c>
      <c r="B229" s="26" t="s">
        <v>371</v>
      </c>
      <c r="C229" s="26" t="s">
        <v>318</v>
      </c>
      <c r="D229" s="26" t="s">
        <v>275</v>
      </c>
      <c r="E229" s="26"/>
      <c r="F229" s="26"/>
      <c r="G229" s="29" t="s">
        <v>372</v>
      </c>
      <c r="H229" s="29" t="s">
        <v>319</v>
      </c>
    </row>
    <row r="230" customFormat="false" ht="15" hidden="false" customHeight="false" outlineLevel="0" collapsed="false">
      <c r="A230" s="26" t="s">
        <v>17</v>
      </c>
      <c r="B230" s="26" t="s">
        <v>373</v>
      </c>
      <c r="C230" s="26" t="s">
        <v>330</v>
      </c>
      <c r="D230" s="26" t="s">
        <v>280</v>
      </c>
      <c r="E230" s="26"/>
      <c r="F230" s="26"/>
      <c r="G230" s="29"/>
      <c r="H230" s="29" t="s">
        <v>332</v>
      </c>
    </row>
    <row r="231" customFormat="false" ht="15" hidden="false" customHeight="false" outlineLevel="0" collapsed="false">
      <c r="A231" s="26" t="s">
        <v>17</v>
      </c>
      <c r="B231" s="26" t="s">
        <v>374</v>
      </c>
      <c r="C231" s="26" t="s">
        <v>330</v>
      </c>
      <c r="D231" s="26" t="s">
        <v>280</v>
      </c>
      <c r="E231" s="26"/>
      <c r="F231" s="26"/>
      <c r="G231" s="29"/>
      <c r="H231" s="29" t="s">
        <v>332</v>
      </c>
    </row>
    <row r="232" customFormat="false" ht="23.85" hidden="false" customHeight="false" outlineLevel="0" collapsed="false">
      <c r="A232" s="26" t="s">
        <v>17</v>
      </c>
      <c r="B232" s="26" t="s">
        <v>375</v>
      </c>
      <c r="C232" s="26" t="s">
        <v>330</v>
      </c>
      <c r="D232" s="26" t="s">
        <v>280</v>
      </c>
      <c r="E232" s="26"/>
      <c r="F232" s="26" t="s">
        <v>284</v>
      </c>
      <c r="G232" s="29" t="s">
        <v>376</v>
      </c>
      <c r="H232" s="29" t="s">
        <v>377</v>
      </c>
    </row>
    <row r="233" customFormat="false" ht="23.85" hidden="false" customHeight="false" outlineLevel="0" collapsed="false">
      <c r="A233" s="26" t="s">
        <v>17</v>
      </c>
      <c r="B233" s="26" t="s">
        <v>378</v>
      </c>
      <c r="C233" s="26" t="s">
        <v>330</v>
      </c>
      <c r="D233" s="26" t="s">
        <v>275</v>
      </c>
      <c r="E233" s="26"/>
      <c r="F233" s="26"/>
      <c r="G233" s="29"/>
      <c r="H233" s="29" t="s">
        <v>377</v>
      </c>
    </row>
    <row r="234" customFormat="false" ht="23.85" hidden="false" customHeight="false" outlineLevel="0" collapsed="false">
      <c r="A234" s="26" t="s">
        <v>17</v>
      </c>
      <c r="B234" s="26" t="s">
        <v>379</v>
      </c>
      <c r="C234" s="26" t="s">
        <v>330</v>
      </c>
      <c r="D234" s="26" t="s">
        <v>275</v>
      </c>
      <c r="E234" s="26"/>
      <c r="F234" s="26"/>
      <c r="G234" s="29"/>
      <c r="H234" s="29" t="s">
        <v>377</v>
      </c>
    </row>
    <row r="235" customFormat="false" ht="23.85" hidden="false" customHeight="false" outlineLevel="0" collapsed="false">
      <c r="A235" s="26" t="s">
        <v>17</v>
      </c>
      <c r="B235" s="26" t="s">
        <v>380</v>
      </c>
      <c r="C235" s="26" t="s">
        <v>330</v>
      </c>
      <c r="D235" s="26" t="s">
        <v>280</v>
      </c>
      <c r="E235" s="26"/>
      <c r="F235" s="26"/>
      <c r="G235" s="29" t="s">
        <v>381</v>
      </c>
      <c r="H235" s="29" t="s">
        <v>377</v>
      </c>
    </row>
    <row r="236" customFormat="false" ht="23.85" hidden="false" customHeight="false" outlineLevel="0" collapsed="false">
      <c r="A236" s="26" t="s">
        <v>17</v>
      </c>
      <c r="B236" s="26" t="s">
        <v>382</v>
      </c>
      <c r="C236" s="26" t="s">
        <v>330</v>
      </c>
      <c r="D236" s="26" t="s">
        <v>280</v>
      </c>
      <c r="E236" s="26"/>
      <c r="F236" s="26"/>
      <c r="G236" s="29" t="s">
        <v>383</v>
      </c>
      <c r="H236" s="29" t="s">
        <v>377</v>
      </c>
    </row>
    <row r="237" customFormat="false" ht="15" hidden="false" customHeight="false" outlineLevel="0" collapsed="false">
      <c r="A237" s="26" t="s">
        <v>17</v>
      </c>
      <c r="B237" s="26" t="s">
        <v>384</v>
      </c>
      <c r="C237" s="26" t="s">
        <v>330</v>
      </c>
      <c r="D237" s="26" t="s">
        <v>280</v>
      </c>
      <c r="E237" s="26"/>
      <c r="F237" s="26"/>
      <c r="G237" s="29" t="s">
        <v>385</v>
      </c>
      <c r="H237" s="29" t="s">
        <v>332</v>
      </c>
    </row>
    <row r="238" customFormat="false" ht="15" hidden="false" customHeight="false" outlineLevel="0" collapsed="false">
      <c r="A238" s="26" t="s">
        <v>17</v>
      </c>
      <c r="B238" s="26" t="s">
        <v>386</v>
      </c>
      <c r="C238" s="26" t="s">
        <v>330</v>
      </c>
      <c r="D238" s="26" t="s">
        <v>280</v>
      </c>
      <c r="E238" s="26"/>
      <c r="F238" s="26"/>
      <c r="G238" s="29"/>
      <c r="H238" s="29" t="s">
        <v>332</v>
      </c>
    </row>
    <row r="239" customFormat="false" ht="15" hidden="false" customHeight="false" outlineLevel="0" collapsed="false">
      <c r="A239" s="26" t="s">
        <v>17</v>
      </c>
      <c r="B239" s="26" t="s">
        <v>387</v>
      </c>
      <c r="C239" s="26" t="s">
        <v>330</v>
      </c>
      <c r="D239" s="26" t="s">
        <v>280</v>
      </c>
      <c r="E239" s="26"/>
      <c r="F239" s="26"/>
      <c r="G239" s="29" t="s">
        <v>388</v>
      </c>
      <c r="H239" s="29" t="s">
        <v>332</v>
      </c>
    </row>
    <row r="240" customFormat="false" ht="15" hidden="false" customHeight="false" outlineLevel="0" collapsed="false">
      <c r="A240" s="26" t="s">
        <v>17</v>
      </c>
      <c r="B240" s="26" t="s">
        <v>389</v>
      </c>
      <c r="C240" s="26" t="s">
        <v>330</v>
      </c>
      <c r="D240" s="26" t="s">
        <v>280</v>
      </c>
      <c r="E240" s="26"/>
      <c r="F240" s="26"/>
      <c r="G240" s="29"/>
      <c r="H240" s="29" t="s">
        <v>332</v>
      </c>
    </row>
    <row r="241" customFormat="false" ht="23.85" hidden="false" customHeight="false" outlineLevel="0" collapsed="false">
      <c r="A241" s="26" t="s">
        <v>17</v>
      </c>
      <c r="B241" s="26" t="s">
        <v>390</v>
      </c>
      <c r="C241" s="26" t="s">
        <v>330</v>
      </c>
      <c r="D241" s="26" t="s">
        <v>280</v>
      </c>
      <c r="E241" s="26"/>
      <c r="F241" s="26"/>
      <c r="G241" s="29" t="s">
        <v>391</v>
      </c>
      <c r="H241" s="29" t="s">
        <v>377</v>
      </c>
    </row>
    <row r="242" customFormat="false" ht="23.85" hidden="false" customHeight="false" outlineLevel="0" collapsed="false">
      <c r="A242" s="26" t="s">
        <v>17</v>
      </c>
      <c r="B242" s="26" t="s">
        <v>392</v>
      </c>
      <c r="C242" s="26" t="s">
        <v>330</v>
      </c>
      <c r="D242" s="26" t="s">
        <v>280</v>
      </c>
      <c r="E242" s="26"/>
      <c r="F242" s="26"/>
      <c r="G242" s="29"/>
      <c r="H242" s="29" t="s">
        <v>377</v>
      </c>
    </row>
    <row r="243" customFormat="false" ht="15" hidden="false" customHeight="false" outlineLevel="0" collapsed="false">
      <c r="A243" s="26" t="s">
        <v>17</v>
      </c>
      <c r="B243" s="26" t="s">
        <v>393</v>
      </c>
      <c r="C243" s="26" t="s">
        <v>330</v>
      </c>
      <c r="D243" s="26" t="s">
        <v>280</v>
      </c>
      <c r="E243" s="26"/>
      <c r="F243" s="26"/>
      <c r="G243" s="29"/>
      <c r="H243" s="29" t="s">
        <v>332</v>
      </c>
    </row>
    <row r="244" customFormat="false" ht="15" hidden="false" customHeight="false" outlineLevel="0" collapsed="false">
      <c r="A244" s="26" t="s">
        <v>17</v>
      </c>
      <c r="B244" s="26" t="s">
        <v>394</v>
      </c>
      <c r="C244" s="26" t="s">
        <v>330</v>
      </c>
      <c r="D244" s="26" t="s">
        <v>280</v>
      </c>
      <c r="E244" s="26"/>
      <c r="F244" s="26"/>
      <c r="G244" s="29"/>
      <c r="H244" s="29" t="s">
        <v>332</v>
      </c>
    </row>
    <row r="245" customFormat="false" ht="15" hidden="false" customHeight="false" outlineLevel="0" collapsed="false">
      <c r="A245" s="26" t="s">
        <v>17</v>
      </c>
      <c r="B245" s="26" t="s">
        <v>395</v>
      </c>
      <c r="C245" s="26" t="s">
        <v>330</v>
      </c>
      <c r="D245" s="26" t="s">
        <v>280</v>
      </c>
      <c r="E245" s="26"/>
      <c r="F245" s="26" t="s">
        <v>284</v>
      </c>
      <c r="G245" s="29" t="s">
        <v>396</v>
      </c>
      <c r="H245" s="29" t="s">
        <v>332</v>
      </c>
    </row>
    <row r="246" customFormat="false" ht="15" hidden="false" customHeight="false" outlineLevel="0" collapsed="false">
      <c r="A246" s="26" t="s">
        <v>17</v>
      </c>
      <c r="B246" s="26" t="s">
        <v>397</v>
      </c>
      <c r="C246" s="26" t="s">
        <v>330</v>
      </c>
      <c r="D246" s="26" t="s">
        <v>280</v>
      </c>
      <c r="E246" s="26"/>
      <c r="F246" s="26"/>
      <c r="G246" s="29"/>
      <c r="H246" s="29" t="s">
        <v>332</v>
      </c>
    </row>
    <row r="247" customFormat="false" ht="15" hidden="false" customHeight="false" outlineLevel="0" collapsed="false">
      <c r="A247" s="26" t="s">
        <v>17</v>
      </c>
      <c r="B247" s="26" t="s">
        <v>398</v>
      </c>
      <c r="C247" s="26" t="s">
        <v>330</v>
      </c>
      <c r="D247" s="26" t="s">
        <v>280</v>
      </c>
      <c r="E247" s="26"/>
      <c r="F247" s="26"/>
      <c r="G247" s="29" t="s">
        <v>399</v>
      </c>
      <c r="H247" s="29" t="s">
        <v>332</v>
      </c>
    </row>
    <row r="248" customFormat="false" ht="15" hidden="false" customHeight="false" outlineLevel="0" collapsed="false">
      <c r="A248" s="26" t="s">
        <v>17</v>
      </c>
      <c r="B248" s="26" t="s">
        <v>400</v>
      </c>
      <c r="C248" s="26" t="s">
        <v>330</v>
      </c>
      <c r="D248" s="26" t="s">
        <v>275</v>
      </c>
      <c r="E248" s="26"/>
      <c r="F248" s="26"/>
      <c r="G248" s="29" t="s">
        <v>401</v>
      </c>
      <c r="H248" s="29" t="s">
        <v>332</v>
      </c>
    </row>
    <row r="249" customFormat="false" ht="15" hidden="false" customHeight="false" outlineLevel="0" collapsed="false">
      <c r="A249" s="26" t="s">
        <v>17</v>
      </c>
      <c r="B249" s="26" t="s">
        <v>402</v>
      </c>
      <c r="C249" s="26" t="s">
        <v>330</v>
      </c>
      <c r="D249" s="26" t="s">
        <v>275</v>
      </c>
      <c r="E249" s="26"/>
      <c r="F249" s="26"/>
      <c r="G249" s="29" t="s">
        <v>403</v>
      </c>
      <c r="H249" s="29" t="s">
        <v>332</v>
      </c>
    </row>
    <row r="250" customFormat="false" ht="15" hidden="false" customHeight="false" outlineLevel="0" collapsed="false">
      <c r="A250" s="26" t="s">
        <v>17</v>
      </c>
      <c r="B250" s="26" t="s">
        <v>404</v>
      </c>
      <c r="C250" s="26" t="s">
        <v>330</v>
      </c>
      <c r="D250" s="26" t="s">
        <v>275</v>
      </c>
      <c r="E250" s="26"/>
      <c r="F250" s="26"/>
      <c r="G250" s="29" t="s">
        <v>405</v>
      </c>
      <c r="H250" s="29" t="s">
        <v>332</v>
      </c>
    </row>
    <row r="251" customFormat="false" ht="15" hidden="false" customHeight="false" outlineLevel="0" collapsed="false">
      <c r="A251" s="26" t="s">
        <v>17</v>
      </c>
      <c r="B251" s="26" t="s">
        <v>406</v>
      </c>
      <c r="C251" s="26" t="s">
        <v>407</v>
      </c>
      <c r="D251" s="26" t="s">
        <v>275</v>
      </c>
      <c r="E251" s="26"/>
      <c r="F251" s="26"/>
      <c r="G251" s="29" t="s">
        <v>408</v>
      </c>
      <c r="H251" s="29" t="s">
        <v>277</v>
      </c>
    </row>
    <row r="252" customFormat="false" ht="15" hidden="false" customHeight="false" outlineLevel="0" collapsed="false">
      <c r="A252" s="26" t="s">
        <v>17</v>
      </c>
      <c r="B252" s="26" t="s">
        <v>409</v>
      </c>
      <c r="C252" s="26" t="s">
        <v>407</v>
      </c>
      <c r="D252" s="26" t="s">
        <v>275</v>
      </c>
      <c r="E252" s="26"/>
      <c r="F252" s="26"/>
      <c r="G252" s="29" t="s">
        <v>410</v>
      </c>
      <c r="H252" s="29" t="s">
        <v>277</v>
      </c>
    </row>
    <row r="253" customFormat="false" ht="23.85" hidden="false" customHeight="false" outlineLevel="0" collapsed="false">
      <c r="A253" s="26" t="s">
        <v>19</v>
      </c>
      <c r="B253" s="26" t="s">
        <v>102</v>
      </c>
      <c r="C253" s="26" t="s">
        <v>274</v>
      </c>
      <c r="D253" s="26" t="s">
        <v>275</v>
      </c>
      <c r="E253" s="26"/>
      <c r="F253" s="26"/>
      <c r="G253" s="29" t="s">
        <v>276</v>
      </c>
      <c r="H253" s="29" t="s">
        <v>277</v>
      </c>
    </row>
    <row r="254" customFormat="false" ht="15" hidden="false" customHeight="false" outlineLevel="0" collapsed="false">
      <c r="A254" s="26" t="s">
        <v>19</v>
      </c>
      <c r="B254" s="26" t="s">
        <v>103</v>
      </c>
      <c r="C254" s="26" t="s">
        <v>274</v>
      </c>
      <c r="D254" s="26" t="s">
        <v>275</v>
      </c>
      <c r="E254" s="26"/>
      <c r="F254" s="26"/>
      <c r="G254" s="29" t="s">
        <v>278</v>
      </c>
      <c r="H254" s="29" t="s">
        <v>277</v>
      </c>
    </row>
    <row r="255" customFormat="false" ht="15" hidden="false" customHeight="false" outlineLevel="0" collapsed="false">
      <c r="A255" s="26" t="s">
        <v>19</v>
      </c>
      <c r="B255" s="26" t="s">
        <v>279</v>
      </c>
      <c r="C255" s="26" t="s">
        <v>274</v>
      </c>
      <c r="D255" s="26" t="s">
        <v>280</v>
      </c>
      <c r="E255" s="26"/>
      <c r="F255" s="26"/>
      <c r="G255" s="29" t="s">
        <v>281</v>
      </c>
      <c r="H255" s="29" t="s">
        <v>277</v>
      </c>
    </row>
    <row r="256" customFormat="false" ht="15" hidden="false" customHeight="false" outlineLevel="0" collapsed="false">
      <c r="A256" s="26" t="s">
        <v>19</v>
      </c>
      <c r="B256" s="26" t="s">
        <v>468</v>
      </c>
      <c r="C256" s="26" t="s">
        <v>283</v>
      </c>
      <c r="D256" s="26" t="s">
        <v>280</v>
      </c>
      <c r="E256" s="26"/>
      <c r="F256" s="26" t="s">
        <v>284</v>
      </c>
      <c r="G256" s="29"/>
      <c r="H256" s="29" t="s">
        <v>285</v>
      </c>
    </row>
    <row r="257" customFormat="false" ht="15" hidden="false" customHeight="false" outlineLevel="0" collapsed="false">
      <c r="A257" s="26" t="s">
        <v>19</v>
      </c>
      <c r="B257" s="26" t="s">
        <v>469</v>
      </c>
      <c r="C257" s="26" t="s">
        <v>283</v>
      </c>
      <c r="D257" s="26" t="s">
        <v>280</v>
      </c>
      <c r="E257" s="26"/>
      <c r="F257" s="26" t="s">
        <v>284</v>
      </c>
      <c r="G257" s="29"/>
      <c r="H257" s="29" t="s">
        <v>285</v>
      </c>
    </row>
    <row r="258" customFormat="false" ht="15" hidden="false" customHeight="false" outlineLevel="0" collapsed="false">
      <c r="A258" s="26" t="s">
        <v>19</v>
      </c>
      <c r="B258" s="26" t="s">
        <v>470</v>
      </c>
      <c r="C258" s="26" t="s">
        <v>283</v>
      </c>
      <c r="D258" s="26" t="s">
        <v>280</v>
      </c>
      <c r="E258" s="26"/>
      <c r="F258" s="26" t="s">
        <v>284</v>
      </c>
      <c r="G258" s="29"/>
      <c r="H258" s="29" t="s">
        <v>285</v>
      </c>
    </row>
    <row r="259" customFormat="false" ht="15" hidden="false" customHeight="false" outlineLevel="0" collapsed="false">
      <c r="A259" s="26" t="s">
        <v>19</v>
      </c>
      <c r="B259" s="26" t="s">
        <v>471</v>
      </c>
      <c r="C259" s="26" t="s">
        <v>289</v>
      </c>
      <c r="D259" s="26" t="s">
        <v>280</v>
      </c>
      <c r="E259" s="26" t="s">
        <v>290</v>
      </c>
      <c r="F259" s="26" t="s">
        <v>284</v>
      </c>
      <c r="G259" s="29"/>
      <c r="H259" s="29" t="s">
        <v>291</v>
      </c>
    </row>
    <row r="260" customFormat="false" ht="15" hidden="false" customHeight="false" outlineLevel="0" collapsed="false">
      <c r="A260" s="26" t="s">
        <v>19</v>
      </c>
      <c r="B260" s="26" t="s">
        <v>288</v>
      </c>
      <c r="C260" s="26" t="s">
        <v>289</v>
      </c>
      <c r="D260" s="26" t="s">
        <v>280</v>
      </c>
      <c r="E260" s="26" t="s">
        <v>290</v>
      </c>
      <c r="F260" s="26"/>
      <c r="G260" s="29"/>
      <c r="H260" s="29" t="s">
        <v>291</v>
      </c>
    </row>
    <row r="261" customFormat="false" ht="15" hidden="false" customHeight="false" outlineLevel="0" collapsed="false">
      <c r="A261" s="26" t="s">
        <v>19</v>
      </c>
      <c r="B261" s="26" t="s">
        <v>472</v>
      </c>
      <c r="C261" s="26" t="s">
        <v>289</v>
      </c>
      <c r="D261" s="26" t="s">
        <v>280</v>
      </c>
      <c r="E261" s="26" t="s">
        <v>313</v>
      </c>
      <c r="F261" s="26" t="s">
        <v>284</v>
      </c>
      <c r="G261" s="29"/>
      <c r="H261" s="29" t="s">
        <v>291</v>
      </c>
    </row>
    <row r="262" customFormat="false" ht="15" hidden="false" customHeight="false" outlineLevel="0" collapsed="false">
      <c r="A262" s="26" t="s">
        <v>19</v>
      </c>
      <c r="B262" s="26" t="s">
        <v>473</v>
      </c>
      <c r="C262" s="26" t="s">
        <v>289</v>
      </c>
      <c r="D262" s="26" t="s">
        <v>280</v>
      </c>
      <c r="E262" s="26" t="s">
        <v>313</v>
      </c>
      <c r="F262" s="26" t="s">
        <v>284</v>
      </c>
      <c r="G262" s="29"/>
      <c r="H262" s="29" t="s">
        <v>291</v>
      </c>
    </row>
    <row r="263" customFormat="false" ht="15" hidden="false" customHeight="false" outlineLevel="0" collapsed="false">
      <c r="A263" s="26" t="s">
        <v>19</v>
      </c>
      <c r="B263" s="26" t="s">
        <v>474</v>
      </c>
      <c r="C263" s="26" t="s">
        <v>289</v>
      </c>
      <c r="D263" s="26" t="s">
        <v>280</v>
      </c>
      <c r="E263" s="26" t="s">
        <v>290</v>
      </c>
      <c r="F263" s="26" t="s">
        <v>284</v>
      </c>
      <c r="G263" s="29"/>
      <c r="H263" s="29" t="s">
        <v>291</v>
      </c>
    </row>
    <row r="264" customFormat="false" ht="15" hidden="false" customHeight="false" outlineLevel="0" collapsed="false">
      <c r="A264" s="26" t="s">
        <v>19</v>
      </c>
      <c r="B264" s="26" t="s">
        <v>294</v>
      </c>
      <c r="C264" s="26" t="s">
        <v>289</v>
      </c>
      <c r="D264" s="26" t="s">
        <v>280</v>
      </c>
      <c r="E264" s="26" t="s">
        <v>290</v>
      </c>
      <c r="F264" s="26" t="s">
        <v>284</v>
      </c>
      <c r="G264" s="29"/>
      <c r="H264" s="29" t="s">
        <v>291</v>
      </c>
    </row>
    <row r="265" customFormat="false" ht="15" hidden="false" customHeight="false" outlineLevel="0" collapsed="false">
      <c r="A265" s="26" t="s">
        <v>19</v>
      </c>
      <c r="B265" s="26" t="s">
        <v>295</v>
      </c>
      <c r="C265" s="26" t="s">
        <v>289</v>
      </c>
      <c r="D265" s="26" t="s">
        <v>280</v>
      </c>
      <c r="E265" s="26" t="s">
        <v>290</v>
      </c>
      <c r="F265" s="26" t="s">
        <v>284</v>
      </c>
      <c r="G265" s="29"/>
      <c r="H265" s="29" t="s">
        <v>291</v>
      </c>
    </row>
    <row r="266" customFormat="false" ht="15" hidden="false" customHeight="false" outlineLevel="0" collapsed="false">
      <c r="A266" s="26" t="s">
        <v>19</v>
      </c>
      <c r="B266" s="26" t="s">
        <v>475</v>
      </c>
      <c r="C266" s="26" t="s">
        <v>289</v>
      </c>
      <c r="D266" s="26" t="s">
        <v>280</v>
      </c>
      <c r="E266" s="26" t="s">
        <v>290</v>
      </c>
      <c r="F266" s="26" t="s">
        <v>284</v>
      </c>
      <c r="G266" s="29"/>
      <c r="H266" s="29" t="s">
        <v>291</v>
      </c>
    </row>
    <row r="267" customFormat="false" ht="15" hidden="false" customHeight="false" outlineLevel="0" collapsed="false">
      <c r="A267" s="26" t="s">
        <v>19</v>
      </c>
      <c r="B267" s="26" t="s">
        <v>476</v>
      </c>
      <c r="C267" s="26" t="s">
        <v>283</v>
      </c>
      <c r="D267" s="26" t="s">
        <v>280</v>
      </c>
      <c r="E267" s="26"/>
      <c r="F267" s="26"/>
      <c r="G267" s="29"/>
      <c r="H267" s="29" t="s">
        <v>285</v>
      </c>
    </row>
    <row r="268" customFormat="false" ht="15" hidden="false" customHeight="false" outlineLevel="0" collapsed="false">
      <c r="A268" s="26" t="s">
        <v>19</v>
      </c>
      <c r="B268" s="26" t="s">
        <v>477</v>
      </c>
      <c r="C268" s="26" t="s">
        <v>283</v>
      </c>
      <c r="D268" s="26" t="s">
        <v>280</v>
      </c>
      <c r="E268" s="26"/>
      <c r="F268" s="26"/>
      <c r="G268" s="29"/>
      <c r="H268" s="29" t="s">
        <v>285</v>
      </c>
    </row>
    <row r="269" customFormat="false" ht="15" hidden="false" customHeight="false" outlineLevel="0" collapsed="false">
      <c r="A269" s="26" t="s">
        <v>19</v>
      </c>
      <c r="B269" s="26" t="s">
        <v>478</v>
      </c>
      <c r="C269" s="26" t="s">
        <v>289</v>
      </c>
      <c r="D269" s="26" t="s">
        <v>280</v>
      </c>
      <c r="E269" s="26" t="s">
        <v>290</v>
      </c>
      <c r="F269" s="26"/>
      <c r="G269" s="29"/>
      <c r="H269" s="29" t="s">
        <v>291</v>
      </c>
    </row>
    <row r="270" customFormat="false" ht="15" hidden="false" customHeight="false" outlineLevel="0" collapsed="false">
      <c r="A270" s="26" t="s">
        <v>19</v>
      </c>
      <c r="B270" s="26" t="s">
        <v>479</v>
      </c>
      <c r="C270" s="26" t="s">
        <v>283</v>
      </c>
      <c r="D270" s="26" t="s">
        <v>280</v>
      </c>
      <c r="E270" s="26"/>
      <c r="F270" s="26"/>
      <c r="G270" s="29"/>
      <c r="H270" s="29" t="s">
        <v>285</v>
      </c>
    </row>
    <row r="271" customFormat="false" ht="15" hidden="false" customHeight="false" outlineLevel="0" collapsed="false">
      <c r="A271" s="26" t="s">
        <v>19</v>
      </c>
      <c r="B271" s="26" t="s">
        <v>480</v>
      </c>
      <c r="C271" s="26" t="s">
        <v>283</v>
      </c>
      <c r="D271" s="26" t="s">
        <v>280</v>
      </c>
      <c r="E271" s="26"/>
      <c r="F271" s="26"/>
      <c r="G271" s="29"/>
      <c r="H271" s="29" t="s">
        <v>285</v>
      </c>
    </row>
    <row r="272" customFormat="false" ht="15" hidden="false" customHeight="false" outlineLevel="0" collapsed="false">
      <c r="A272" s="26" t="s">
        <v>19</v>
      </c>
      <c r="B272" s="26" t="s">
        <v>481</v>
      </c>
      <c r="C272" s="26" t="s">
        <v>283</v>
      </c>
      <c r="D272" s="26" t="s">
        <v>280</v>
      </c>
      <c r="E272" s="26"/>
      <c r="F272" s="26"/>
      <c r="G272" s="29"/>
      <c r="H272" s="29" t="s">
        <v>285</v>
      </c>
    </row>
    <row r="273" customFormat="false" ht="15" hidden="false" customHeight="false" outlineLevel="0" collapsed="false">
      <c r="A273" s="26" t="s">
        <v>19</v>
      </c>
      <c r="B273" s="26" t="s">
        <v>482</v>
      </c>
      <c r="C273" s="26" t="s">
        <v>283</v>
      </c>
      <c r="D273" s="26" t="s">
        <v>280</v>
      </c>
      <c r="E273" s="26"/>
      <c r="F273" s="26"/>
      <c r="G273" s="29"/>
      <c r="H273" s="29" t="s">
        <v>285</v>
      </c>
    </row>
    <row r="274" customFormat="false" ht="15" hidden="false" customHeight="false" outlineLevel="0" collapsed="false">
      <c r="A274" s="26" t="s">
        <v>19</v>
      </c>
      <c r="B274" s="26" t="s">
        <v>483</v>
      </c>
      <c r="C274" s="26" t="s">
        <v>283</v>
      </c>
      <c r="D274" s="26" t="s">
        <v>280</v>
      </c>
      <c r="E274" s="26" t="s">
        <v>444</v>
      </c>
      <c r="F274" s="26"/>
      <c r="G274" s="29"/>
      <c r="H274" s="29" t="s">
        <v>285</v>
      </c>
    </row>
    <row r="275" customFormat="false" ht="15" hidden="false" customHeight="false" outlineLevel="0" collapsed="false">
      <c r="A275" s="26" t="s">
        <v>19</v>
      </c>
      <c r="B275" s="26" t="s">
        <v>484</v>
      </c>
      <c r="C275" s="26" t="s">
        <v>283</v>
      </c>
      <c r="D275" s="26" t="s">
        <v>280</v>
      </c>
      <c r="E275" s="26"/>
      <c r="F275" s="26"/>
      <c r="G275" s="29"/>
      <c r="H275" s="29" t="s">
        <v>285</v>
      </c>
    </row>
    <row r="276" customFormat="false" ht="15" hidden="false" customHeight="false" outlineLevel="0" collapsed="false">
      <c r="A276" s="26" t="s">
        <v>19</v>
      </c>
      <c r="B276" s="26" t="s">
        <v>81</v>
      </c>
      <c r="C276" s="26" t="s">
        <v>283</v>
      </c>
      <c r="D276" s="26" t="s">
        <v>280</v>
      </c>
      <c r="E276" s="26"/>
      <c r="F276" s="26"/>
      <c r="G276" s="29"/>
      <c r="H276" s="29" t="s">
        <v>285</v>
      </c>
    </row>
    <row r="277" customFormat="false" ht="15" hidden="false" customHeight="false" outlineLevel="0" collapsed="false">
      <c r="A277" s="26" t="s">
        <v>19</v>
      </c>
      <c r="B277" s="26" t="s">
        <v>317</v>
      </c>
      <c r="C277" s="26" t="s">
        <v>318</v>
      </c>
      <c r="D277" s="26" t="s">
        <v>280</v>
      </c>
      <c r="E277" s="26"/>
      <c r="F277" s="26" t="s">
        <v>284</v>
      </c>
      <c r="G277" s="29"/>
      <c r="H277" s="29" t="s">
        <v>319</v>
      </c>
    </row>
    <row r="278" customFormat="false" ht="15" hidden="false" customHeight="false" outlineLevel="0" collapsed="false">
      <c r="A278" s="26" t="s">
        <v>19</v>
      </c>
      <c r="B278" s="26" t="s">
        <v>298</v>
      </c>
      <c r="C278" s="26" t="s">
        <v>299</v>
      </c>
      <c r="D278" s="26" t="s">
        <v>280</v>
      </c>
      <c r="E278" s="26"/>
      <c r="F278" s="26" t="s">
        <v>284</v>
      </c>
      <c r="G278" s="29"/>
      <c r="H278" s="29" t="s">
        <v>300</v>
      </c>
    </row>
    <row r="279" customFormat="false" ht="15" hidden="false" customHeight="false" outlineLevel="0" collapsed="false">
      <c r="A279" s="26" t="s">
        <v>19</v>
      </c>
      <c r="B279" s="26" t="s">
        <v>301</v>
      </c>
      <c r="C279" s="26" t="s">
        <v>299</v>
      </c>
      <c r="D279" s="26" t="s">
        <v>280</v>
      </c>
      <c r="E279" s="26" t="s">
        <v>290</v>
      </c>
      <c r="F279" s="26" t="s">
        <v>284</v>
      </c>
      <c r="G279" s="29"/>
      <c r="H279" s="29" t="s">
        <v>300</v>
      </c>
    </row>
    <row r="280" customFormat="false" ht="15" hidden="false" customHeight="false" outlineLevel="0" collapsed="false">
      <c r="A280" s="26" t="s">
        <v>19</v>
      </c>
      <c r="B280" s="26" t="s">
        <v>485</v>
      </c>
      <c r="C280" s="26" t="s">
        <v>303</v>
      </c>
      <c r="D280" s="26" t="s">
        <v>280</v>
      </c>
      <c r="E280" s="26"/>
      <c r="F280" s="26"/>
      <c r="G280" s="29"/>
      <c r="H280" s="29" t="s">
        <v>304</v>
      </c>
    </row>
    <row r="281" customFormat="false" ht="15" hidden="false" customHeight="false" outlineLevel="0" collapsed="false">
      <c r="A281" s="26" t="s">
        <v>19</v>
      </c>
      <c r="B281" s="26" t="s">
        <v>486</v>
      </c>
      <c r="C281" s="26" t="s">
        <v>303</v>
      </c>
      <c r="D281" s="26" t="s">
        <v>280</v>
      </c>
      <c r="E281" s="26"/>
      <c r="F281" s="26"/>
      <c r="G281" s="29"/>
      <c r="H281" s="29" t="s">
        <v>304</v>
      </c>
    </row>
    <row r="282" customFormat="false" ht="15" hidden="false" customHeight="false" outlineLevel="0" collapsed="false">
      <c r="A282" s="26" t="s">
        <v>19</v>
      </c>
      <c r="B282" s="26" t="s">
        <v>487</v>
      </c>
      <c r="C282" s="26" t="s">
        <v>303</v>
      </c>
      <c r="D282" s="26" t="s">
        <v>280</v>
      </c>
      <c r="E282" s="26"/>
      <c r="F282" s="26"/>
      <c r="G282" s="29"/>
      <c r="H282" s="29" t="s">
        <v>304</v>
      </c>
    </row>
    <row r="283" customFormat="false" ht="15" hidden="false" customHeight="false" outlineLevel="0" collapsed="false">
      <c r="A283" s="26" t="s">
        <v>19</v>
      </c>
      <c r="B283" s="26" t="s">
        <v>488</v>
      </c>
      <c r="C283" s="26" t="s">
        <v>283</v>
      </c>
      <c r="D283" s="26" t="s">
        <v>280</v>
      </c>
      <c r="E283" s="26"/>
      <c r="F283" s="26" t="s">
        <v>284</v>
      </c>
      <c r="G283" s="29"/>
      <c r="H283" s="29" t="s">
        <v>285</v>
      </c>
    </row>
    <row r="284" customFormat="false" ht="15" hidden="false" customHeight="false" outlineLevel="0" collapsed="false">
      <c r="A284" s="26" t="s">
        <v>19</v>
      </c>
      <c r="B284" s="26" t="s">
        <v>489</v>
      </c>
      <c r="C284" s="26" t="s">
        <v>283</v>
      </c>
      <c r="D284" s="26" t="s">
        <v>280</v>
      </c>
      <c r="E284" s="26"/>
      <c r="F284" s="26"/>
      <c r="G284" s="29"/>
      <c r="H284" s="29" t="s">
        <v>285</v>
      </c>
    </row>
    <row r="285" customFormat="false" ht="15" hidden="false" customHeight="false" outlineLevel="0" collapsed="false">
      <c r="A285" s="26" t="s">
        <v>19</v>
      </c>
      <c r="B285" s="26" t="s">
        <v>320</v>
      </c>
      <c r="C285" s="26" t="s">
        <v>299</v>
      </c>
      <c r="D285" s="26" t="s">
        <v>280</v>
      </c>
      <c r="E285" s="26"/>
      <c r="F285" s="26" t="s">
        <v>284</v>
      </c>
      <c r="G285" s="29" t="s">
        <v>321</v>
      </c>
      <c r="H285" s="29" t="s">
        <v>300</v>
      </c>
    </row>
    <row r="286" customFormat="false" ht="15" hidden="false" customHeight="false" outlineLevel="0" collapsed="false">
      <c r="A286" s="26" t="s">
        <v>19</v>
      </c>
      <c r="B286" s="26" t="s">
        <v>322</v>
      </c>
      <c r="C286" s="26" t="s">
        <v>299</v>
      </c>
      <c r="D286" s="26" t="s">
        <v>280</v>
      </c>
      <c r="E286" s="26" t="s">
        <v>323</v>
      </c>
      <c r="F286" s="26"/>
      <c r="G286" s="29" t="s">
        <v>324</v>
      </c>
      <c r="H286" s="29" t="s">
        <v>300</v>
      </c>
    </row>
    <row r="287" customFormat="false" ht="15" hidden="false" customHeight="false" outlineLevel="0" collapsed="false">
      <c r="A287" s="26" t="s">
        <v>19</v>
      </c>
      <c r="B287" s="26" t="s">
        <v>325</v>
      </c>
      <c r="C287" s="26" t="s">
        <v>299</v>
      </c>
      <c r="D287" s="26" t="s">
        <v>280</v>
      </c>
      <c r="E287" s="26"/>
      <c r="F287" s="26"/>
      <c r="G287" s="29" t="s">
        <v>326</v>
      </c>
      <c r="H287" s="29" t="s">
        <v>300</v>
      </c>
    </row>
    <row r="288" customFormat="false" ht="15" hidden="false" customHeight="false" outlineLevel="0" collapsed="false">
      <c r="A288" s="26" t="s">
        <v>19</v>
      </c>
      <c r="B288" s="26" t="s">
        <v>327</v>
      </c>
      <c r="C288" s="26" t="s">
        <v>299</v>
      </c>
      <c r="D288" s="26" t="s">
        <v>280</v>
      </c>
      <c r="E288" s="26" t="s">
        <v>290</v>
      </c>
      <c r="F288" s="26"/>
      <c r="G288" s="29" t="s">
        <v>328</v>
      </c>
      <c r="H288" s="29" t="s">
        <v>300</v>
      </c>
    </row>
    <row r="289" customFormat="false" ht="15" hidden="false" customHeight="false" outlineLevel="0" collapsed="false">
      <c r="A289" s="26" t="s">
        <v>19</v>
      </c>
      <c r="B289" s="26" t="s">
        <v>329</v>
      </c>
      <c r="C289" s="26" t="s">
        <v>330</v>
      </c>
      <c r="D289" s="26" t="s">
        <v>280</v>
      </c>
      <c r="E289" s="26"/>
      <c r="F289" s="26" t="s">
        <v>284</v>
      </c>
      <c r="G289" s="29" t="s">
        <v>331</v>
      </c>
      <c r="H289" s="29" t="s">
        <v>332</v>
      </c>
    </row>
    <row r="290" customFormat="false" ht="23.85" hidden="false" customHeight="false" outlineLevel="0" collapsed="false">
      <c r="A290" s="26" t="s">
        <v>19</v>
      </c>
      <c r="B290" s="26" t="s">
        <v>333</v>
      </c>
      <c r="C290" s="26" t="s">
        <v>330</v>
      </c>
      <c r="D290" s="26" t="s">
        <v>280</v>
      </c>
      <c r="E290" s="26"/>
      <c r="F290" s="26"/>
      <c r="G290" s="29" t="s">
        <v>334</v>
      </c>
      <c r="H290" s="29" t="s">
        <v>332</v>
      </c>
    </row>
    <row r="291" customFormat="false" ht="15" hidden="false" customHeight="false" outlineLevel="0" collapsed="false">
      <c r="A291" s="26" t="s">
        <v>19</v>
      </c>
      <c r="B291" s="26" t="s">
        <v>131</v>
      </c>
      <c r="C291" s="26" t="s">
        <v>330</v>
      </c>
      <c r="D291" s="26" t="s">
        <v>280</v>
      </c>
      <c r="E291" s="26"/>
      <c r="F291" s="26" t="s">
        <v>284</v>
      </c>
      <c r="G291" s="29"/>
      <c r="H291" s="29" t="s">
        <v>332</v>
      </c>
    </row>
    <row r="292" customFormat="false" ht="23.85" hidden="false" customHeight="false" outlineLevel="0" collapsed="false">
      <c r="A292" s="26" t="s">
        <v>19</v>
      </c>
      <c r="B292" s="26" t="s">
        <v>132</v>
      </c>
      <c r="C292" s="26" t="s">
        <v>330</v>
      </c>
      <c r="D292" s="26" t="s">
        <v>280</v>
      </c>
      <c r="E292" s="26"/>
      <c r="F292" s="26" t="s">
        <v>284</v>
      </c>
      <c r="G292" s="29" t="s">
        <v>335</v>
      </c>
      <c r="H292" s="29" t="s">
        <v>332</v>
      </c>
    </row>
    <row r="293" customFormat="false" ht="15" hidden="false" customHeight="false" outlineLevel="0" collapsed="false">
      <c r="A293" s="26" t="s">
        <v>19</v>
      </c>
      <c r="B293" s="26" t="s">
        <v>133</v>
      </c>
      <c r="C293" s="26" t="s">
        <v>330</v>
      </c>
      <c r="D293" s="26" t="s">
        <v>280</v>
      </c>
      <c r="E293" s="26"/>
      <c r="F293" s="26" t="s">
        <v>284</v>
      </c>
      <c r="G293" s="29"/>
      <c r="H293" s="29" t="s">
        <v>332</v>
      </c>
    </row>
    <row r="294" customFormat="false" ht="15" hidden="false" customHeight="false" outlineLevel="0" collapsed="false">
      <c r="A294" s="26" t="s">
        <v>19</v>
      </c>
      <c r="B294" s="26" t="s">
        <v>336</v>
      </c>
      <c r="C294" s="26" t="s">
        <v>337</v>
      </c>
      <c r="D294" s="26" t="s">
        <v>280</v>
      </c>
      <c r="E294" s="26" t="s">
        <v>338</v>
      </c>
      <c r="F294" s="26" t="s">
        <v>284</v>
      </c>
      <c r="G294" s="29" t="s">
        <v>339</v>
      </c>
      <c r="H294" s="29" t="s">
        <v>340</v>
      </c>
    </row>
    <row r="295" customFormat="false" ht="15" hidden="false" customHeight="false" outlineLevel="0" collapsed="false">
      <c r="A295" s="26" t="s">
        <v>19</v>
      </c>
      <c r="B295" s="26" t="s">
        <v>341</v>
      </c>
      <c r="C295" s="26" t="s">
        <v>337</v>
      </c>
      <c r="D295" s="26" t="s">
        <v>280</v>
      </c>
      <c r="E295" s="26"/>
      <c r="F295" s="26"/>
      <c r="G295" s="29" t="s">
        <v>342</v>
      </c>
      <c r="H295" s="29" t="s">
        <v>340</v>
      </c>
    </row>
    <row r="296" customFormat="false" ht="15" hidden="false" customHeight="false" outlineLevel="0" collapsed="false">
      <c r="A296" s="26" t="s">
        <v>19</v>
      </c>
      <c r="B296" s="26" t="s">
        <v>343</v>
      </c>
      <c r="C296" s="26" t="s">
        <v>337</v>
      </c>
      <c r="D296" s="26" t="s">
        <v>275</v>
      </c>
      <c r="E296" s="26"/>
      <c r="F296" s="26"/>
      <c r="G296" s="29"/>
      <c r="H296" s="29" t="s">
        <v>340</v>
      </c>
    </row>
    <row r="297" customFormat="false" ht="15" hidden="false" customHeight="false" outlineLevel="0" collapsed="false">
      <c r="A297" s="26" t="s">
        <v>19</v>
      </c>
      <c r="B297" s="26" t="s">
        <v>344</v>
      </c>
      <c r="C297" s="26" t="s">
        <v>337</v>
      </c>
      <c r="D297" s="26" t="s">
        <v>275</v>
      </c>
      <c r="E297" s="26"/>
      <c r="F297" s="26"/>
      <c r="G297" s="29"/>
      <c r="H297" s="29" t="s">
        <v>340</v>
      </c>
    </row>
    <row r="298" customFormat="false" ht="15" hidden="false" customHeight="false" outlineLevel="0" collapsed="false">
      <c r="A298" s="26" t="s">
        <v>19</v>
      </c>
      <c r="B298" s="26" t="s">
        <v>345</v>
      </c>
      <c r="C298" s="26" t="s">
        <v>337</v>
      </c>
      <c r="D298" s="26" t="s">
        <v>275</v>
      </c>
      <c r="E298" s="26"/>
      <c r="F298" s="26"/>
      <c r="G298" s="29"/>
      <c r="H298" s="29" t="s">
        <v>340</v>
      </c>
    </row>
    <row r="299" customFormat="false" ht="15" hidden="false" customHeight="false" outlineLevel="0" collapsed="false">
      <c r="A299" s="26" t="s">
        <v>19</v>
      </c>
      <c r="B299" s="26" t="s">
        <v>346</v>
      </c>
      <c r="C299" s="26" t="s">
        <v>337</v>
      </c>
      <c r="D299" s="26" t="s">
        <v>275</v>
      </c>
      <c r="E299" s="26"/>
      <c r="F299" s="26"/>
      <c r="G299" s="29"/>
      <c r="H299" s="29" t="s">
        <v>340</v>
      </c>
    </row>
    <row r="300" customFormat="false" ht="15" hidden="false" customHeight="false" outlineLevel="0" collapsed="false">
      <c r="A300" s="26" t="s">
        <v>19</v>
      </c>
      <c r="B300" s="26" t="s">
        <v>347</v>
      </c>
      <c r="C300" s="26" t="s">
        <v>337</v>
      </c>
      <c r="D300" s="26" t="s">
        <v>275</v>
      </c>
      <c r="E300" s="26"/>
      <c r="F300" s="26"/>
      <c r="G300" s="29"/>
      <c r="H300" s="29" t="s">
        <v>340</v>
      </c>
    </row>
    <row r="301" customFormat="false" ht="15" hidden="false" customHeight="false" outlineLevel="0" collapsed="false">
      <c r="A301" s="26" t="s">
        <v>19</v>
      </c>
      <c r="B301" s="26" t="s">
        <v>348</v>
      </c>
      <c r="C301" s="26" t="s">
        <v>337</v>
      </c>
      <c r="D301" s="26" t="s">
        <v>275</v>
      </c>
      <c r="E301" s="26"/>
      <c r="F301" s="26"/>
      <c r="G301" s="29"/>
      <c r="H301" s="29" t="s">
        <v>340</v>
      </c>
    </row>
    <row r="302" customFormat="false" ht="15" hidden="false" customHeight="false" outlineLevel="0" collapsed="false">
      <c r="A302" s="26" t="s">
        <v>19</v>
      </c>
      <c r="B302" s="26" t="s">
        <v>349</v>
      </c>
      <c r="C302" s="26" t="s">
        <v>337</v>
      </c>
      <c r="D302" s="26" t="s">
        <v>280</v>
      </c>
      <c r="E302" s="26"/>
      <c r="F302" s="26"/>
      <c r="G302" s="29" t="s">
        <v>350</v>
      </c>
      <c r="H302" s="29" t="s">
        <v>340</v>
      </c>
    </row>
    <row r="303" customFormat="false" ht="15" hidden="false" customHeight="false" outlineLevel="0" collapsed="false">
      <c r="A303" s="26" t="s">
        <v>19</v>
      </c>
      <c r="B303" s="26" t="s">
        <v>351</v>
      </c>
      <c r="C303" s="26" t="s">
        <v>352</v>
      </c>
      <c r="D303" s="26" t="s">
        <v>280</v>
      </c>
      <c r="E303" s="26"/>
      <c r="F303" s="26" t="s">
        <v>284</v>
      </c>
      <c r="G303" s="29" t="s">
        <v>353</v>
      </c>
      <c r="H303" s="29" t="s">
        <v>354</v>
      </c>
    </row>
    <row r="304" customFormat="false" ht="15" hidden="false" customHeight="false" outlineLevel="0" collapsed="false">
      <c r="A304" s="26" t="s">
        <v>19</v>
      </c>
      <c r="B304" s="26" t="s">
        <v>355</v>
      </c>
      <c r="C304" s="26" t="s">
        <v>352</v>
      </c>
      <c r="D304" s="26" t="s">
        <v>280</v>
      </c>
      <c r="E304" s="26" t="s">
        <v>356</v>
      </c>
      <c r="F304" s="26" t="s">
        <v>284</v>
      </c>
      <c r="G304" s="29"/>
      <c r="H304" s="29" t="s">
        <v>354</v>
      </c>
    </row>
    <row r="305" customFormat="false" ht="15" hidden="false" customHeight="false" outlineLevel="0" collapsed="false">
      <c r="A305" s="26" t="s">
        <v>19</v>
      </c>
      <c r="B305" s="26" t="s">
        <v>357</v>
      </c>
      <c r="C305" s="26" t="s">
        <v>352</v>
      </c>
      <c r="D305" s="26" t="s">
        <v>280</v>
      </c>
      <c r="E305" s="26" t="s">
        <v>358</v>
      </c>
      <c r="F305" s="26"/>
      <c r="G305" s="29"/>
      <c r="H305" s="29" t="s">
        <v>354</v>
      </c>
    </row>
    <row r="306" customFormat="false" ht="15" hidden="false" customHeight="false" outlineLevel="0" collapsed="false">
      <c r="A306" s="26" t="s">
        <v>19</v>
      </c>
      <c r="B306" s="26" t="s">
        <v>359</v>
      </c>
      <c r="C306" s="26" t="s">
        <v>352</v>
      </c>
      <c r="D306" s="26" t="s">
        <v>280</v>
      </c>
      <c r="E306" s="26" t="s">
        <v>358</v>
      </c>
      <c r="F306" s="26"/>
      <c r="G306" s="29"/>
      <c r="H306" s="29" t="s">
        <v>354</v>
      </c>
    </row>
    <row r="307" customFormat="false" ht="15" hidden="false" customHeight="false" outlineLevel="0" collapsed="false">
      <c r="A307" s="26" t="s">
        <v>19</v>
      </c>
      <c r="B307" s="26" t="s">
        <v>360</v>
      </c>
      <c r="C307" s="26" t="s">
        <v>352</v>
      </c>
      <c r="D307" s="26" t="s">
        <v>280</v>
      </c>
      <c r="E307" s="26" t="s">
        <v>361</v>
      </c>
      <c r="F307" s="26"/>
      <c r="G307" s="29"/>
      <c r="H307" s="29" t="s">
        <v>354</v>
      </c>
    </row>
    <row r="308" customFormat="false" ht="15" hidden="false" customHeight="false" outlineLevel="0" collapsed="false">
      <c r="A308" s="26" t="s">
        <v>19</v>
      </c>
      <c r="B308" s="26" t="s">
        <v>362</v>
      </c>
      <c r="C308" s="26" t="s">
        <v>352</v>
      </c>
      <c r="D308" s="26" t="s">
        <v>280</v>
      </c>
      <c r="E308" s="26" t="s">
        <v>356</v>
      </c>
      <c r="F308" s="26"/>
      <c r="G308" s="29"/>
      <c r="H308" s="29" t="s">
        <v>354</v>
      </c>
    </row>
    <row r="309" customFormat="false" ht="15" hidden="false" customHeight="false" outlineLevel="0" collapsed="false">
      <c r="A309" s="26" t="s">
        <v>19</v>
      </c>
      <c r="B309" s="26" t="s">
        <v>363</v>
      </c>
      <c r="C309" s="26" t="s">
        <v>352</v>
      </c>
      <c r="D309" s="26" t="s">
        <v>275</v>
      </c>
      <c r="E309" s="26" t="s">
        <v>358</v>
      </c>
      <c r="F309" s="26"/>
      <c r="G309" s="29" t="s">
        <v>364</v>
      </c>
      <c r="H309" s="29" t="s">
        <v>354</v>
      </c>
    </row>
    <row r="310" customFormat="false" ht="23.85" hidden="false" customHeight="false" outlineLevel="0" collapsed="false">
      <c r="A310" s="26" t="s">
        <v>19</v>
      </c>
      <c r="B310" s="26" t="s">
        <v>365</v>
      </c>
      <c r="C310" s="26" t="s">
        <v>352</v>
      </c>
      <c r="D310" s="26" t="s">
        <v>275</v>
      </c>
      <c r="E310" s="26"/>
      <c r="F310" s="26"/>
      <c r="G310" s="29" t="s">
        <v>366</v>
      </c>
      <c r="H310" s="29" t="s">
        <v>354</v>
      </c>
    </row>
    <row r="311" customFormat="false" ht="23.85" hidden="false" customHeight="false" outlineLevel="0" collapsed="false">
      <c r="A311" s="26" t="s">
        <v>19</v>
      </c>
      <c r="B311" s="26" t="s">
        <v>371</v>
      </c>
      <c r="C311" s="26" t="s">
        <v>318</v>
      </c>
      <c r="D311" s="26" t="s">
        <v>275</v>
      </c>
      <c r="E311" s="26"/>
      <c r="F311" s="26"/>
      <c r="G311" s="29" t="s">
        <v>372</v>
      </c>
      <c r="H311" s="29" t="s">
        <v>319</v>
      </c>
    </row>
    <row r="312" customFormat="false" ht="15" hidden="false" customHeight="false" outlineLevel="0" collapsed="false">
      <c r="A312" s="26" t="s">
        <v>19</v>
      </c>
      <c r="B312" s="26" t="s">
        <v>373</v>
      </c>
      <c r="C312" s="26" t="s">
        <v>330</v>
      </c>
      <c r="D312" s="26" t="s">
        <v>280</v>
      </c>
      <c r="E312" s="26"/>
      <c r="F312" s="26"/>
      <c r="G312" s="29"/>
      <c r="H312" s="29" t="s">
        <v>332</v>
      </c>
    </row>
    <row r="313" customFormat="false" ht="15" hidden="false" customHeight="false" outlineLevel="0" collapsed="false">
      <c r="A313" s="26" t="s">
        <v>19</v>
      </c>
      <c r="B313" s="26" t="s">
        <v>374</v>
      </c>
      <c r="C313" s="26" t="s">
        <v>330</v>
      </c>
      <c r="D313" s="26" t="s">
        <v>280</v>
      </c>
      <c r="E313" s="26"/>
      <c r="F313" s="26"/>
      <c r="G313" s="29"/>
      <c r="H313" s="29" t="s">
        <v>332</v>
      </c>
    </row>
    <row r="314" customFormat="false" ht="23.85" hidden="false" customHeight="false" outlineLevel="0" collapsed="false">
      <c r="A314" s="26" t="s">
        <v>19</v>
      </c>
      <c r="B314" s="26" t="s">
        <v>375</v>
      </c>
      <c r="C314" s="26" t="s">
        <v>330</v>
      </c>
      <c r="D314" s="26" t="s">
        <v>280</v>
      </c>
      <c r="E314" s="26"/>
      <c r="F314" s="26" t="s">
        <v>284</v>
      </c>
      <c r="G314" s="29" t="s">
        <v>376</v>
      </c>
      <c r="H314" s="29" t="s">
        <v>377</v>
      </c>
    </row>
    <row r="315" customFormat="false" ht="23.85" hidden="false" customHeight="false" outlineLevel="0" collapsed="false">
      <c r="A315" s="26" t="s">
        <v>19</v>
      </c>
      <c r="B315" s="26" t="s">
        <v>378</v>
      </c>
      <c r="C315" s="26" t="s">
        <v>330</v>
      </c>
      <c r="D315" s="26" t="s">
        <v>275</v>
      </c>
      <c r="E315" s="26"/>
      <c r="F315" s="26"/>
      <c r="G315" s="29"/>
      <c r="H315" s="29" t="s">
        <v>377</v>
      </c>
    </row>
    <row r="316" customFormat="false" ht="23.85" hidden="false" customHeight="false" outlineLevel="0" collapsed="false">
      <c r="A316" s="26" t="s">
        <v>19</v>
      </c>
      <c r="B316" s="26" t="s">
        <v>379</v>
      </c>
      <c r="C316" s="26" t="s">
        <v>330</v>
      </c>
      <c r="D316" s="26" t="s">
        <v>275</v>
      </c>
      <c r="E316" s="26"/>
      <c r="F316" s="26"/>
      <c r="G316" s="29"/>
      <c r="H316" s="29" t="s">
        <v>377</v>
      </c>
    </row>
    <row r="317" customFormat="false" ht="23.85" hidden="false" customHeight="false" outlineLevel="0" collapsed="false">
      <c r="A317" s="26" t="s">
        <v>19</v>
      </c>
      <c r="B317" s="26" t="s">
        <v>380</v>
      </c>
      <c r="C317" s="26" t="s">
        <v>330</v>
      </c>
      <c r="D317" s="26" t="s">
        <v>280</v>
      </c>
      <c r="E317" s="26"/>
      <c r="F317" s="26"/>
      <c r="G317" s="29" t="s">
        <v>381</v>
      </c>
      <c r="H317" s="29" t="s">
        <v>377</v>
      </c>
    </row>
    <row r="318" customFormat="false" ht="23.85" hidden="false" customHeight="false" outlineLevel="0" collapsed="false">
      <c r="A318" s="26" t="s">
        <v>19</v>
      </c>
      <c r="B318" s="26" t="s">
        <v>382</v>
      </c>
      <c r="C318" s="26" t="s">
        <v>330</v>
      </c>
      <c r="D318" s="26" t="s">
        <v>280</v>
      </c>
      <c r="E318" s="26"/>
      <c r="F318" s="26"/>
      <c r="G318" s="29" t="s">
        <v>383</v>
      </c>
      <c r="H318" s="29" t="s">
        <v>377</v>
      </c>
    </row>
    <row r="319" customFormat="false" ht="15" hidden="false" customHeight="false" outlineLevel="0" collapsed="false">
      <c r="A319" s="26" t="s">
        <v>19</v>
      </c>
      <c r="B319" s="26" t="s">
        <v>384</v>
      </c>
      <c r="C319" s="26" t="s">
        <v>330</v>
      </c>
      <c r="D319" s="26" t="s">
        <v>280</v>
      </c>
      <c r="E319" s="26"/>
      <c r="F319" s="26"/>
      <c r="G319" s="29" t="s">
        <v>385</v>
      </c>
      <c r="H319" s="29" t="s">
        <v>332</v>
      </c>
    </row>
    <row r="320" customFormat="false" ht="15" hidden="false" customHeight="false" outlineLevel="0" collapsed="false">
      <c r="A320" s="26" t="s">
        <v>19</v>
      </c>
      <c r="B320" s="26" t="s">
        <v>386</v>
      </c>
      <c r="C320" s="26" t="s">
        <v>330</v>
      </c>
      <c r="D320" s="26" t="s">
        <v>280</v>
      </c>
      <c r="E320" s="26"/>
      <c r="F320" s="26"/>
      <c r="G320" s="29"/>
      <c r="H320" s="29" t="s">
        <v>332</v>
      </c>
    </row>
    <row r="321" customFormat="false" ht="15" hidden="false" customHeight="false" outlineLevel="0" collapsed="false">
      <c r="A321" s="26" t="s">
        <v>19</v>
      </c>
      <c r="B321" s="26" t="s">
        <v>387</v>
      </c>
      <c r="C321" s="26" t="s">
        <v>330</v>
      </c>
      <c r="D321" s="26" t="s">
        <v>280</v>
      </c>
      <c r="E321" s="26"/>
      <c r="F321" s="26"/>
      <c r="G321" s="29" t="s">
        <v>388</v>
      </c>
      <c r="H321" s="29" t="s">
        <v>332</v>
      </c>
    </row>
    <row r="322" customFormat="false" ht="15" hidden="false" customHeight="false" outlineLevel="0" collapsed="false">
      <c r="A322" s="26" t="s">
        <v>19</v>
      </c>
      <c r="B322" s="26" t="s">
        <v>389</v>
      </c>
      <c r="C322" s="26" t="s">
        <v>330</v>
      </c>
      <c r="D322" s="26" t="s">
        <v>280</v>
      </c>
      <c r="E322" s="26"/>
      <c r="F322" s="26"/>
      <c r="G322" s="29"/>
      <c r="H322" s="29" t="s">
        <v>332</v>
      </c>
    </row>
    <row r="323" customFormat="false" ht="23.85" hidden="false" customHeight="false" outlineLevel="0" collapsed="false">
      <c r="A323" s="26" t="s">
        <v>19</v>
      </c>
      <c r="B323" s="26" t="s">
        <v>390</v>
      </c>
      <c r="C323" s="26" t="s">
        <v>330</v>
      </c>
      <c r="D323" s="26" t="s">
        <v>280</v>
      </c>
      <c r="E323" s="26"/>
      <c r="F323" s="26"/>
      <c r="G323" s="29" t="s">
        <v>391</v>
      </c>
      <c r="H323" s="29" t="s">
        <v>377</v>
      </c>
    </row>
    <row r="324" customFormat="false" ht="23.85" hidden="false" customHeight="false" outlineLevel="0" collapsed="false">
      <c r="A324" s="26" t="s">
        <v>19</v>
      </c>
      <c r="B324" s="26" t="s">
        <v>392</v>
      </c>
      <c r="C324" s="26" t="s">
        <v>330</v>
      </c>
      <c r="D324" s="26" t="s">
        <v>280</v>
      </c>
      <c r="E324" s="26"/>
      <c r="F324" s="26"/>
      <c r="G324" s="29"/>
      <c r="H324" s="29" t="s">
        <v>377</v>
      </c>
    </row>
    <row r="325" customFormat="false" ht="15" hidden="false" customHeight="false" outlineLevel="0" collapsed="false">
      <c r="A325" s="26" t="s">
        <v>19</v>
      </c>
      <c r="B325" s="26" t="s">
        <v>393</v>
      </c>
      <c r="C325" s="26" t="s">
        <v>330</v>
      </c>
      <c r="D325" s="26" t="s">
        <v>280</v>
      </c>
      <c r="E325" s="26"/>
      <c r="F325" s="26"/>
      <c r="G325" s="29"/>
      <c r="H325" s="29" t="s">
        <v>332</v>
      </c>
    </row>
    <row r="326" customFormat="false" ht="15" hidden="false" customHeight="false" outlineLevel="0" collapsed="false">
      <c r="A326" s="26" t="s">
        <v>19</v>
      </c>
      <c r="B326" s="26" t="s">
        <v>394</v>
      </c>
      <c r="C326" s="26" t="s">
        <v>330</v>
      </c>
      <c r="D326" s="26" t="s">
        <v>280</v>
      </c>
      <c r="E326" s="26"/>
      <c r="F326" s="26"/>
      <c r="G326" s="29"/>
      <c r="H326" s="29" t="s">
        <v>332</v>
      </c>
    </row>
    <row r="327" customFormat="false" ht="15" hidden="false" customHeight="false" outlineLevel="0" collapsed="false">
      <c r="A327" s="26" t="s">
        <v>19</v>
      </c>
      <c r="B327" s="26" t="s">
        <v>395</v>
      </c>
      <c r="C327" s="26" t="s">
        <v>330</v>
      </c>
      <c r="D327" s="26" t="s">
        <v>280</v>
      </c>
      <c r="E327" s="26"/>
      <c r="F327" s="26" t="s">
        <v>284</v>
      </c>
      <c r="G327" s="29" t="s">
        <v>396</v>
      </c>
      <c r="H327" s="29" t="s">
        <v>332</v>
      </c>
    </row>
    <row r="328" customFormat="false" ht="15" hidden="false" customHeight="false" outlineLevel="0" collapsed="false">
      <c r="A328" s="26" t="s">
        <v>19</v>
      </c>
      <c r="B328" s="26" t="s">
        <v>397</v>
      </c>
      <c r="C328" s="26" t="s">
        <v>330</v>
      </c>
      <c r="D328" s="26" t="s">
        <v>280</v>
      </c>
      <c r="E328" s="26"/>
      <c r="F328" s="26"/>
      <c r="G328" s="29"/>
      <c r="H328" s="29" t="s">
        <v>332</v>
      </c>
    </row>
    <row r="329" customFormat="false" ht="15" hidden="false" customHeight="false" outlineLevel="0" collapsed="false">
      <c r="A329" s="26" t="s">
        <v>19</v>
      </c>
      <c r="B329" s="26" t="s">
        <v>398</v>
      </c>
      <c r="C329" s="26" t="s">
        <v>330</v>
      </c>
      <c r="D329" s="26" t="s">
        <v>280</v>
      </c>
      <c r="E329" s="26"/>
      <c r="F329" s="26"/>
      <c r="G329" s="29" t="s">
        <v>399</v>
      </c>
      <c r="H329" s="29" t="s">
        <v>332</v>
      </c>
    </row>
    <row r="330" customFormat="false" ht="15" hidden="false" customHeight="false" outlineLevel="0" collapsed="false">
      <c r="A330" s="26" t="s">
        <v>19</v>
      </c>
      <c r="B330" s="26" t="s">
        <v>400</v>
      </c>
      <c r="C330" s="26" t="s">
        <v>330</v>
      </c>
      <c r="D330" s="26" t="s">
        <v>275</v>
      </c>
      <c r="E330" s="26"/>
      <c r="F330" s="26"/>
      <c r="G330" s="29" t="s">
        <v>401</v>
      </c>
      <c r="H330" s="29" t="s">
        <v>332</v>
      </c>
    </row>
    <row r="331" customFormat="false" ht="15" hidden="false" customHeight="false" outlineLevel="0" collapsed="false">
      <c r="A331" s="26" t="s">
        <v>19</v>
      </c>
      <c r="B331" s="26" t="s">
        <v>402</v>
      </c>
      <c r="C331" s="26" t="s">
        <v>330</v>
      </c>
      <c r="D331" s="26" t="s">
        <v>275</v>
      </c>
      <c r="E331" s="26"/>
      <c r="F331" s="26"/>
      <c r="G331" s="29" t="s">
        <v>403</v>
      </c>
      <c r="H331" s="29" t="s">
        <v>332</v>
      </c>
    </row>
    <row r="332" customFormat="false" ht="15" hidden="false" customHeight="false" outlineLevel="0" collapsed="false">
      <c r="A332" s="26" t="s">
        <v>19</v>
      </c>
      <c r="B332" s="26" t="s">
        <v>404</v>
      </c>
      <c r="C332" s="26" t="s">
        <v>330</v>
      </c>
      <c r="D332" s="26" t="s">
        <v>275</v>
      </c>
      <c r="E332" s="26"/>
      <c r="F332" s="26"/>
      <c r="G332" s="29" t="s">
        <v>405</v>
      </c>
      <c r="H332" s="29" t="s">
        <v>332</v>
      </c>
    </row>
    <row r="333" customFormat="false" ht="15" hidden="false" customHeight="false" outlineLevel="0" collapsed="false">
      <c r="A333" s="26" t="s">
        <v>19</v>
      </c>
      <c r="B333" s="26" t="s">
        <v>406</v>
      </c>
      <c r="C333" s="26" t="s">
        <v>407</v>
      </c>
      <c r="D333" s="26" t="s">
        <v>275</v>
      </c>
      <c r="E333" s="26"/>
      <c r="F333" s="26"/>
      <c r="G333" s="29" t="s">
        <v>408</v>
      </c>
      <c r="H333" s="29" t="s">
        <v>277</v>
      </c>
    </row>
    <row r="334" customFormat="false" ht="15" hidden="false" customHeight="false" outlineLevel="0" collapsed="false">
      <c r="A334" s="26" t="s">
        <v>19</v>
      </c>
      <c r="B334" s="26" t="s">
        <v>409</v>
      </c>
      <c r="C334" s="26" t="s">
        <v>407</v>
      </c>
      <c r="D334" s="26" t="s">
        <v>275</v>
      </c>
      <c r="E334" s="26"/>
      <c r="F334" s="26"/>
      <c r="G334" s="29" t="s">
        <v>410</v>
      </c>
      <c r="H334" s="29" t="s">
        <v>277</v>
      </c>
    </row>
    <row r="335" customFormat="false" ht="23.85" hidden="false" customHeight="false" outlineLevel="0" collapsed="false">
      <c r="A335" s="26" t="s">
        <v>21</v>
      </c>
      <c r="B335" s="26" t="s">
        <v>102</v>
      </c>
      <c r="C335" s="26" t="s">
        <v>274</v>
      </c>
      <c r="D335" s="26" t="s">
        <v>275</v>
      </c>
      <c r="E335" s="26"/>
      <c r="F335" s="26"/>
      <c r="G335" s="29" t="s">
        <v>276</v>
      </c>
      <c r="H335" s="29" t="s">
        <v>277</v>
      </c>
    </row>
    <row r="336" customFormat="false" ht="15" hidden="false" customHeight="false" outlineLevel="0" collapsed="false">
      <c r="A336" s="26" t="s">
        <v>21</v>
      </c>
      <c r="B336" s="26" t="s">
        <v>103</v>
      </c>
      <c r="C336" s="26" t="s">
        <v>274</v>
      </c>
      <c r="D336" s="26" t="s">
        <v>275</v>
      </c>
      <c r="E336" s="26"/>
      <c r="F336" s="26"/>
      <c r="G336" s="29" t="s">
        <v>278</v>
      </c>
      <c r="H336" s="29" t="s">
        <v>277</v>
      </c>
    </row>
    <row r="337" customFormat="false" ht="15" hidden="false" customHeight="false" outlineLevel="0" collapsed="false">
      <c r="A337" s="26" t="s">
        <v>21</v>
      </c>
      <c r="B337" s="26" t="s">
        <v>279</v>
      </c>
      <c r="C337" s="26" t="s">
        <v>274</v>
      </c>
      <c r="D337" s="26" t="s">
        <v>280</v>
      </c>
      <c r="E337" s="26"/>
      <c r="F337" s="26"/>
      <c r="G337" s="29" t="s">
        <v>281</v>
      </c>
      <c r="H337" s="29" t="s">
        <v>277</v>
      </c>
    </row>
    <row r="338" customFormat="false" ht="15" hidden="false" customHeight="false" outlineLevel="0" collapsed="false">
      <c r="A338" s="26" t="s">
        <v>21</v>
      </c>
      <c r="B338" s="26" t="s">
        <v>490</v>
      </c>
      <c r="C338" s="26" t="s">
        <v>283</v>
      </c>
      <c r="D338" s="26" t="s">
        <v>280</v>
      </c>
      <c r="E338" s="26"/>
      <c r="F338" s="26" t="s">
        <v>284</v>
      </c>
      <c r="G338" s="29"/>
      <c r="H338" s="29" t="s">
        <v>285</v>
      </c>
    </row>
    <row r="339" customFormat="false" ht="15" hidden="false" customHeight="false" outlineLevel="0" collapsed="false">
      <c r="A339" s="26" t="s">
        <v>21</v>
      </c>
      <c r="B339" s="26" t="s">
        <v>1</v>
      </c>
      <c r="C339" s="26" t="s">
        <v>283</v>
      </c>
      <c r="D339" s="26" t="s">
        <v>280</v>
      </c>
      <c r="E339" s="26"/>
      <c r="F339" s="26" t="s">
        <v>284</v>
      </c>
      <c r="G339" s="29"/>
      <c r="H339" s="29" t="s">
        <v>285</v>
      </c>
    </row>
    <row r="340" customFormat="false" ht="15" hidden="false" customHeight="false" outlineLevel="0" collapsed="false">
      <c r="A340" s="26" t="s">
        <v>21</v>
      </c>
      <c r="B340" s="26" t="s">
        <v>491</v>
      </c>
      <c r="C340" s="26" t="s">
        <v>289</v>
      </c>
      <c r="D340" s="26" t="s">
        <v>280</v>
      </c>
      <c r="E340" s="26" t="s">
        <v>290</v>
      </c>
      <c r="F340" s="26" t="s">
        <v>284</v>
      </c>
      <c r="G340" s="29"/>
      <c r="H340" s="29" t="s">
        <v>291</v>
      </c>
    </row>
    <row r="341" customFormat="false" ht="15" hidden="false" customHeight="false" outlineLevel="0" collapsed="false">
      <c r="A341" s="26" t="s">
        <v>21</v>
      </c>
      <c r="B341" s="26" t="s">
        <v>492</v>
      </c>
      <c r="C341" s="26" t="s">
        <v>289</v>
      </c>
      <c r="D341" s="26" t="s">
        <v>280</v>
      </c>
      <c r="E341" s="26" t="s">
        <v>290</v>
      </c>
      <c r="F341" s="26" t="s">
        <v>284</v>
      </c>
      <c r="G341" s="29"/>
      <c r="H341" s="29" t="s">
        <v>291</v>
      </c>
    </row>
    <row r="342" customFormat="false" ht="15" hidden="false" customHeight="false" outlineLevel="0" collapsed="false">
      <c r="A342" s="26" t="s">
        <v>21</v>
      </c>
      <c r="B342" s="26" t="s">
        <v>440</v>
      </c>
      <c r="C342" s="26" t="s">
        <v>289</v>
      </c>
      <c r="D342" s="26" t="s">
        <v>280</v>
      </c>
      <c r="E342" s="26" t="s">
        <v>313</v>
      </c>
      <c r="F342" s="26" t="s">
        <v>284</v>
      </c>
      <c r="G342" s="29"/>
      <c r="H342" s="29" t="s">
        <v>291</v>
      </c>
    </row>
    <row r="343" customFormat="false" ht="15" hidden="false" customHeight="false" outlineLevel="0" collapsed="false">
      <c r="A343" s="26" t="s">
        <v>21</v>
      </c>
      <c r="B343" s="26" t="s">
        <v>442</v>
      </c>
      <c r="C343" s="26" t="s">
        <v>283</v>
      </c>
      <c r="D343" s="26" t="s">
        <v>280</v>
      </c>
      <c r="E343" s="26"/>
      <c r="F343" s="26" t="s">
        <v>284</v>
      </c>
      <c r="G343" s="29"/>
      <c r="H343" s="29" t="s">
        <v>285</v>
      </c>
    </row>
    <row r="344" customFormat="false" ht="15" hidden="false" customHeight="false" outlineLevel="0" collapsed="false">
      <c r="A344" s="26" t="s">
        <v>21</v>
      </c>
      <c r="B344" s="26" t="s">
        <v>443</v>
      </c>
      <c r="C344" s="26" t="s">
        <v>283</v>
      </c>
      <c r="D344" s="26" t="s">
        <v>280</v>
      </c>
      <c r="E344" s="26" t="s">
        <v>444</v>
      </c>
      <c r="F344" s="26" t="s">
        <v>284</v>
      </c>
      <c r="G344" s="29"/>
      <c r="H344" s="29" t="s">
        <v>285</v>
      </c>
    </row>
    <row r="345" customFormat="false" ht="15" hidden="false" customHeight="false" outlineLevel="0" collapsed="false">
      <c r="A345" s="26" t="s">
        <v>21</v>
      </c>
      <c r="B345" s="26" t="s">
        <v>77</v>
      </c>
      <c r="C345" s="26" t="s">
        <v>283</v>
      </c>
      <c r="D345" s="26" t="s">
        <v>280</v>
      </c>
      <c r="E345" s="26" t="s">
        <v>413</v>
      </c>
      <c r="F345" s="26"/>
      <c r="G345" s="29"/>
      <c r="H345" s="29" t="s">
        <v>285</v>
      </c>
    </row>
    <row r="346" customFormat="false" ht="15" hidden="false" customHeight="false" outlineLevel="0" collapsed="false">
      <c r="A346" s="26" t="s">
        <v>21</v>
      </c>
      <c r="B346" s="26" t="s">
        <v>493</v>
      </c>
      <c r="C346" s="26" t="s">
        <v>289</v>
      </c>
      <c r="D346" s="26" t="s">
        <v>280</v>
      </c>
      <c r="E346" s="26"/>
      <c r="F346" s="26" t="s">
        <v>284</v>
      </c>
      <c r="G346" s="29"/>
      <c r="H346" s="29" t="s">
        <v>291</v>
      </c>
    </row>
    <row r="347" customFormat="false" ht="15" hidden="false" customHeight="false" outlineLevel="0" collapsed="false">
      <c r="A347" s="26" t="s">
        <v>21</v>
      </c>
      <c r="B347" s="26" t="s">
        <v>494</v>
      </c>
      <c r="C347" s="26" t="s">
        <v>289</v>
      </c>
      <c r="D347" s="26" t="s">
        <v>280</v>
      </c>
      <c r="E347" s="26" t="s">
        <v>313</v>
      </c>
      <c r="F347" s="26"/>
      <c r="G347" s="29"/>
      <c r="H347" s="29" t="s">
        <v>291</v>
      </c>
    </row>
    <row r="348" customFormat="false" ht="15" hidden="false" customHeight="false" outlineLevel="0" collapsed="false">
      <c r="A348" s="26" t="s">
        <v>21</v>
      </c>
      <c r="B348" s="26" t="s">
        <v>447</v>
      </c>
      <c r="C348" s="26" t="s">
        <v>289</v>
      </c>
      <c r="D348" s="26" t="s">
        <v>280</v>
      </c>
      <c r="E348" s="26" t="s">
        <v>313</v>
      </c>
      <c r="F348" s="26"/>
      <c r="G348" s="29"/>
      <c r="H348" s="29" t="s">
        <v>291</v>
      </c>
    </row>
    <row r="349" customFormat="false" ht="15" hidden="false" customHeight="false" outlineLevel="0" collapsed="false">
      <c r="A349" s="26" t="s">
        <v>21</v>
      </c>
      <c r="B349" s="26" t="s">
        <v>495</v>
      </c>
      <c r="C349" s="26" t="s">
        <v>289</v>
      </c>
      <c r="D349" s="26" t="s">
        <v>280</v>
      </c>
      <c r="E349" s="26"/>
      <c r="F349" s="26"/>
      <c r="G349" s="29"/>
      <c r="H349" s="29" t="s">
        <v>291</v>
      </c>
    </row>
    <row r="350" customFormat="false" ht="15" hidden="false" customHeight="false" outlineLevel="0" collapsed="false">
      <c r="A350" s="26" t="s">
        <v>21</v>
      </c>
      <c r="B350" s="26" t="s">
        <v>452</v>
      </c>
      <c r="C350" s="26" t="s">
        <v>289</v>
      </c>
      <c r="D350" s="26" t="s">
        <v>280</v>
      </c>
      <c r="E350" s="26"/>
      <c r="F350" s="26"/>
      <c r="G350" s="29"/>
      <c r="H350" s="29" t="s">
        <v>291</v>
      </c>
    </row>
    <row r="351" customFormat="false" ht="15" hidden="false" customHeight="false" outlineLevel="0" collapsed="false">
      <c r="A351" s="26" t="s">
        <v>21</v>
      </c>
      <c r="B351" s="26" t="s">
        <v>496</v>
      </c>
      <c r="C351" s="26" t="s">
        <v>283</v>
      </c>
      <c r="D351" s="26" t="s">
        <v>280</v>
      </c>
      <c r="E351" s="26"/>
      <c r="F351" s="26"/>
      <c r="G351" s="29"/>
      <c r="H351" s="29" t="s">
        <v>285</v>
      </c>
    </row>
    <row r="352" customFormat="false" ht="15" hidden="false" customHeight="false" outlineLevel="0" collapsed="false">
      <c r="A352" s="26" t="s">
        <v>21</v>
      </c>
      <c r="B352" s="26" t="s">
        <v>497</v>
      </c>
      <c r="C352" s="26" t="s">
        <v>318</v>
      </c>
      <c r="D352" s="26" t="s">
        <v>280</v>
      </c>
      <c r="E352" s="26"/>
      <c r="F352" s="26" t="s">
        <v>284</v>
      </c>
      <c r="G352" s="29"/>
      <c r="H352" s="29" t="s">
        <v>319</v>
      </c>
    </row>
    <row r="353" customFormat="false" ht="15" hidden="false" customHeight="false" outlineLevel="0" collapsed="false">
      <c r="A353" s="26" t="s">
        <v>21</v>
      </c>
      <c r="B353" s="26" t="s">
        <v>498</v>
      </c>
      <c r="C353" s="26" t="s">
        <v>318</v>
      </c>
      <c r="D353" s="26" t="s">
        <v>280</v>
      </c>
      <c r="E353" s="26"/>
      <c r="F353" s="26"/>
      <c r="G353" s="29"/>
      <c r="H353" s="29" t="s">
        <v>319</v>
      </c>
    </row>
    <row r="354" customFormat="false" ht="15" hidden="false" customHeight="false" outlineLevel="0" collapsed="false">
      <c r="A354" s="26" t="s">
        <v>21</v>
      </c>
      <c r="B354" s="26" t="s">
        <v>456</v>
      </c>
      <c r="C354" s="26" t="s">
        <v>318</v>
      </c>
      <c r="D354" s="26" t="s">
        <v>280</v>
      </c>
      <c r="E354" s="26" t="s">
        <v>457</v>
      </c>
      <c r="F354" s="26"/>
      <c r="G354" s="29"/>
      <c r="H354" s="29" t="s">
        <v>319</v>
      </c>
    </row>
    <row r="355" customFormat="false" ht="15" hidden="false" customHeight="false" outlineLevel="0" collapsed="false">
      <c r="A355" s="26" t="s">
        <v>21</v>
      </c>
      <c r="B355" s="26" t="s">
        <v>499</v>
      </c>
      <c r="C355" s="26" t="s">
        <v>318</v>
      </c>
      <c r="D355" s="26" t="s">
        <v>280</v>
      </c>
      <c r="E355" s="26" t="s">
        <v>500</v>
      </c>
      <c r="F355" s="26"/>
      <c r="G355" s="29"/>
      <c r="H355" s="29" t="s">
        <v>319</v>
      </c>
    </row>
    <row r="356" customFormat="false" ht="15" hidden="false" customHeight="false" outlineLevel="0" collapsed="false">
      <c r="A356" s="26" t="s">
        <v>21</v>
      </c>
      <c r="B356" s="26" t="s">
        <v>501</v>
      </c>
      <c r="C356" s="26" t="s">
        <v>318</v>
      </c>
      <c r="D356" s="26" t="s">
        <v>280</v>
      </c>
      <c r="E356" s="26" t="s">
        <v>500</v>
      </c>
      <c r="F356" s="26"/>
      <c r="G356" s="29"/>
      <c r="H356" s="29" t="s">
        <v>319</v>
      </c>
    </row>
    <row r="357" customFormat="false" ht="15" hidden="false" customHeight="false" outlineLevel="0" collapsed="false">
      <c r="A357" s="26" t="s">
        <v>21</v>
      </c>
      <c r="B357" s="26" t="s">
        <v>464</v>
      </c>
      <c r="C357" s="26" t="s">
        <v>283</v>
      </c>
      <c r="D357" s="26" t="s">
        <v>280</v>
      </c>
      <c r="E357" s="26"/>
      <c r="F357" s="26"/>
      <c r="G357" s="29"/>
      <c r="H357" s="29" t="s">
        <v>285</v>
      </c>
    </row>
    <row r="358" customFormat="false" ht="15" hidden="false" customHeight="false" outlineLevel="0" collapsed="false">
      <c r="A358" s="26" t="s">
        <v>21</v>
      </c>
      <c r="B358" s="26" t="s">
        <v>502</v>
      </c>
      <c r="C358" s="26" t="s">
        <v>283</v>
      </c>
      <c r="D358" s="26" t="s">
        <v>280</v>
      </c>
      <c r="E358" s="26"/>
      <c r="F358" s="26"/>
      <c r="G358" s="29"/>
      <c r="H358" s="29" t="s">
        <v>285</v>
      </c>
    </row>
    <row r="359" customFormat="false" ht="15" hidden="false" customHeight="false" outlineLevel="0" collapsed="false">
      <c r="A359" s="26" t="s">
        <v>21</v>
      </c>
      <c r="B359" s="26" t="s">
        <v>454</v>
      </c>
      <c r="C359" s="26" t="s">
        <v>318</v>
      </c>
      <c r="D359" s="26" t="s">
        <v>280</v>
      </c>
      <c r="E359" s="26" t="s">
        <v>290</v>
      </c>
      <c r="F359" s="26" t="s">
        <v>284</v>
      </c>
      <c r="G359" s="29"/>
      <c r="H359" s="29" t="s">
        <v>319</v>
      </c>
    </row>
    <row r="360" customFormat="false" ht="15" hidden="false" customHeight="false" outlineLevel="0" collapsed="false">
      <c r="A360" s="26" t="s">
        <v>21</v>
      </c>
      <c r="B360" s="26" t="s">
        <v>503</v>
      </c>
      <c r="C360" s="26" t="s">
        <v>318</v>
      </c>
      <c r="D360" s="26" t="s">
        <v>280</v>
      </c>
      <c r="E360" s="26"/>
      <c r="F360" s="26"/>
      <c r="G360" s="29"/>
      <c r="H360" s="29" t="s">
        <v>319</v>
      </c>
    </row>
    <row r="361" customFormat="false" ht="15" hidden="false" customHeight="false" outlineLevel="0" collapsed="false">
      <c r="A361" s="26" t="s">
        <v>21</v>
      </c>
      <c r="B361" s="26" t="s">
        <v>320</v>
      </c>
      <c r="C361" s="26" t="s">
        <v>299</v>
      </c>
      <c r="D361" s="26" t="s">
        <v>280</v>
      </c>
      <c r="E361" s="26"/>
      <c r="F361" s="26"/>
      <c r="G361" s="29" t="s">
        <v>321</v>
      </c>
      <c r="H361" s="29" t="s">
        <v>300</v>
      </c>
    </row>
    <row r="362" customFormat="false" ht="15" hidden="false" customHeight="false" outlineLevel="0" collapsed="false">
      <c r="A362" s="26" t="s">
        <v>21</v>
      </c>
      <c r="B362" s="26" t="s">
        <v>322</v>
      </c>
      <c r="C362" s="26" t="s">
        <v>299</v>
      </c>
      <c r="D362" s="26" t="s">
        <v>280</v>
      </c>
      <c r="E362" s="26" t="s">
        <v>323</v>
      </c>
      <c r="F362" s="26"/>
      <c r="G362" s="29" t="s">
        <v>324</v>
      </c>
      <c r="H362" s="29" t="s">
        <v>300</v>
      </c>
    </row>
    <row r="363" customFormat="false" ht="15" hidden="false" customHeight="false" outlineLevel="0" collapsed="false">
      <c r="A363" s="26" t="s">
        <v>21</v>
      </c>
      <c r="B363" s="26" t="s">
        <v>325</v>
      </c>
      <c r="C363" s="26" t="s">
        <v>299</v>
      </c>
      <c r="D363" s="26" t="s">
        <v>280</v>
      </c>
      <c r="E363" s="26"/>
      <c r="F363" s="26"/>
      <c r="G363" s="29" t="s">
        <v>326</v>
      </c>
      <c r="H363" s="29" t="s">
        <v>300</v>
      </c>
    </row>
    <row r="364" customFormat="false" ht="15" hidden="false" customHeight="false" outlineLevel="0" collapsed="false">
      <c r="A364" s="26" t="s">
        <v>21</v>
      </c>
      <c r="B364" s="26" t="s">
        <v>327</v>
      </c>
      <c r="C364" s="26" t="s">
        <v>299</v>
      </c>
      <c r="D364" s="26" t="s">
        <v>280</v>
      </c>
      <c r="E364" s="26" t="s">
        <v>290</v>
      </c>
      <c r="F364" s="26"/>
      <c r="G364" s="29" t="s">
        <v>328</v>
      </c>
      <c r="H364" s="29" t="s">
        <v>300</v>
      </c>
    </row>
    <row r="365" customFormat="false" ht="15" hidden="false" customHeight="false" outlineLevel="0" collapsed="false">
      <c r="A365" s="26" t="s">
        <v>21</v>
      </c>
      <c r="B365" s="26" t="s">
        <v>329</v>
      </c>
      <c r="C365" s="26" t="s">
        <v>330</v>
      </c>
      <c r="D365" s="26" t="s">
        <v>280</v>
      </c>
      <c r="E365" s="26"/>
      <c r="F365" s="26" t="s">
        <v>284</v>
      </c>
      <c r="G365" s="29" t="s">
        <v>331</v>
      </c>
      <c r="H365" s="29" t="s">
        <v>332</v>
      </c>
    </row>
    <row r="366" customFormat="false" ht="23.85" hidden="false" customHeight="false" outlineLevel="0" collapsed="false">
      <c r="A366" s="26" t="s">
        <v>21</v>
      </c>
      <c r="B366" s="26" t="s">
        <v>333</v>
      </c>
      <c r="C366" s="26" t="s">
        <v>330</v>
      </c>
      <c r="D366" s="26" t="s">
        <v>280</v>
      </c>
      <c r="E366" s="26"/>
      <c r="F366" s="26"/>
      <c r="G366" s="29" t="s">
        <v>334</v>
      </c>
      <c r="H366" s="29" t="s">
        <v>332</v>
      </c>
    </row>
    <row r="367" customFormat="false" ht="15" hidden="false" customHeight="false" outlineLevel="0" collapsed="false">
      <c r="A367" s="26" t="s">
        <v>21</v>
      </c>
      <c r="B367" s="26" t="s">
        <v>131</v>
      </c>
      <c r="C367" s="26" t="s">
        <v>330</v>
      </c>
      <c r="D367" s="26" t="s">
        <v>280</v>
      </c>
      <c r="E367" s="26"/>
      <c r="F367" s="26" t="s">
        <v>284</v>
      </c>
      <c r="G367" s="29"/>
      <c r="H367" s="29" t="s">
        <v>332</v>
      </c>
    </row>
    <row r="368" customFormat="false" ht="23.85" hidden="false" customHeight="false" outlineLevel="0" collapsed="false">
      <c r="A368" s="26" t="s">
        <v>21</v>
      </c>
      <c r="B368" s="26" t="s">
        <v>132</v>
      </c>
      <c r="C368" s="26" t="s">
        <v>330</v>
      </c>
      <c r="D368" s="26" t="s">
        <v>280</v>
      </c>
      <c r="E368" s="26"/>
      <c r="F368" s="26" t="s">
        <v>284</v>
      </c>
      <c r="G368" s="29" t="s">
        <v>335</v>
      </c>
      <c r="H368" s="29" t="s">
        <v>332</v>
      </c>
    </row>
    <row r="369" customFormat="false" ht="15" hidden="false" customHeight="false" outlineLevel="0" collapsed="false">
      <c r="A369" s="26" t="s">
        <v>21</v>
      </c>
      <c r="B369" s="26" t="s">
        <v>133</v>
      </c>
      <c r="C369" s="26" t="s">
        <v>330</v>
      </c>
      <c r="D369" s="26" t="s">
        <v>280</v>
      </c>
      <c r="E369" s="26"/>
      <c r="F369" s="26" t="s">
        <v>284</v>
      </c>
      <c r="G369" s="29"/>
      <c r="H369" s="29" t="s">
        <v>332</v>
      </c>
    </row>
    <row r="370" customFormat="false" ht="15" hidden="false" customHeight="false" outlineLevel="0" collapsed="false">
      <c r="A370" s="26" t="s">
        <v>21</v>
      </c>
      <c r="B370" s="26" t="s">
        <v>336</v>
      </c>
      <c r="C370" s="26" t="s">
        <v>337</v>
      </c>
      <c r="D370" s="26" t="s">
        <v>280</v>
      </c>
      <c r="E370" s="26" t="s">
        <v>338</v>
      </c>
      <c r="F370" s="26" t="s">
        <v>284</v>
      </c>
      <c r="G370" s="29" t="s">
        <v>339</v>
      </c>
      <c r="H370" s="29" t="s">
        <v>340</v>
      </c>
    </row>
    <row r="371" customFormat="false" ht="15" hidden="false" customHeight="false" outlineLevel="0" collapsed="false">
      <c r="A371" s="26" t="s">
        <v>21</v>
      </c>
      <c r="B371" s="26" t="s">
        <v>341</v>
      </c>
      <c r="C371" s="26" t="s">
        <v>337</v>
      </c>
      <c r="D371" s="26" t="s">
        <v>280</v>
      </c>
      <c r="E371" s="26"/>
      <c r="F371" s="26"/>
      <c r="G371" s="29" t="s">
        <v>342</v>
      </c>
      <c r="H371" s="29" t="s">
        <v>340</v>
      </c>
    </row>
    <row r="372" customFormat="false" ht="15" hidden="false" customHeight="false" outlineLevel="0" collapsed="false">
      <c r="A372" s="26" t="s">
        <v>21</v>
      </c>
      <c r="B372" s="26" t="s">
        <v>343</v>
      </c>
      <c r="C372" s="26" t="s">
        <v>337</v>
      </c>
      <c r="D372" s="26" t="s">
        <v>275</v>
      </c>
      <c r="E372" s="26"/>
      <c r="F372" s="26"/>
      <c r="G372" s="29"/>
      <c r="H372" s="29" t="s">
        <v>340</v>
      </c>
    </row>
    <row r="373" customFormat="false" ht="15" hidden="false" customHeight="false" outlineLevel="0" collapsed="false">
      <c r="A373" s="26" t="s">
        <v>21</v>
      </c>
      <c r="B373" s="26" t="s">
        <v>344</v>
      </c>
      <c r="C373" s="26" t="s">
        <v>337</v>
      </c>
      <c r="D373" s="26" t="s">
        <v>275</v>
      </c>
      <c r="E373" s="26"/>
      <c r="F373" s="26"/>
      <c r="G373" s="29"/>
      <c r="H373" s="29" t="s">
        <v>340</v>
      </c>
    </row>
    <row r="374" customFormat="false" ht="15" hidden="false" customHeight="false" outlineLevel="0" collapsed="false">
      <c r="A374" s="26" t="s">
        <v>21</v>
      </c>
      <c r="B374" s="26" t="s">
        <v>345</v>
      </c>
      <c r="C374" s="26" t="s">
        <v>337</v>
      </c>
      <c r="D374" s="26" t="s">
        <v>275</v>
      </c>
      <c r="E374" s="26"/>
      <c r="F374" s="26"/>
      <c r="G374" s="29"/>
      <c r="H374" s="29" t="s">
        <v>340</v>
      </c>
    </row>
    <row r="375" customFormat="false" ht="15" hidden="false" customHeight="false" outlineLevel="0" collapsed="false">
      <c r="A375" s="26" t="s">
        <v>21</v>
      </c>
      <c r="B375" s="26" t="s">
        <v>346</v>
      </c>
      <c r="C375" s="26" t="s">
        <v>337</v>
      </c>
      <c r="D375" s="26" t="s">
        <v>275</v>
      </c>
      <c r="E375" s="26"/>
      <c r="F375" s="26"/>
      <c r="G375" s="29"/>
      <c r="H375" s="29" t="s">
        <v>340</v>
      </c>
    </row>
    <row r="376" customFormat="false" ht="15" hidden="false" customHeight="false" outlineLevel="0" collapsed="false">
      <c r="A376" s="26" t="s">
        <v>21</v>
      </c>
      <c r="B376" s="26" t="s">
        <v>347</v>
      </c>
      <c r="C376" s="26" t="s">
        <v>337</v>
      </c>
      <c r="D376" s="26" t="s">
        <v>275</v>
      </c>
      <c r="E376" s="26"/>
      <c r="F376" s="26"/>
      <c r="G376" s="29"/>
      <c r="H376" s="29" t="s">
        <v>340</v>
      </c>
    </row>
    <row r="377" customFormat="false" ht="15" hidden="false" customHeight="false" outlineLevel="0" collapsed="false">
      <c r="A377" s="26" t="s">
        <v>21</v>
      </c>
      <c r="B377" s="26" t="s">
        <v>348</v>
      </c>
      <c r="C377" s="26" t="s">
        <v>337</v>
      </c>
      <c r="D377" s="26" t="s">
        <v>275</v>
      </c>
      <c r="E377" s="26"/>
      <c r="F377" s="26"/>
      <c r="G377" s="29"/>
      <c r="H377" s="29" t="s">
        <v>340</v>
      </c>
    </row>
    <row r="378" customFormat="false" ht="15" hidden="false" customHeight="false" outlineLevel="0" collapsed="false">
      <c r="A378" s="26" t="s">
        <v>21</v>
      </c>
      <c r="B378" s="26" t="s">
        <v>349</v>
      </c>
      <c r="C378" s="26" t="s">
        <v>337</v>
      </c>
      <c r="D378" s="26" t="s">
        <v>280</v>
      </c>
      <c r="E378" s="26"/>
      <c r="F378" s="26"/>
      <c r="G378" s="29" t="s">
        <v>350</v>
      </c>
      <c r="H378" s="29" t="s">
        <v>340</v>
      </c>
    </row>
    <row r="379" customFormat="false" ht="15" hidden="false" customHeight="false" outlineLevel="0" collapsed="false">
      <c r="A379" s="26" t="s">
        <v>21</v>
      </c>
      <c r="B379" s="26" t="s">
        <v>351</v>
      </c>
      <c r="C379" s="26" t="s">
        <v>352</v>
      </c>
      <c r="D379" s="26" t="s">
        <v>280</v>
      </c>
      <c r="E379" s="26"/>
      <c r="F379" s="26" t="s">
        <v>284</v>
      </c>
      <c r="G379" s="29" t="s">
        <v>353</v>
      </c>
      <c r="H379" s="29" t="s">
        <v>354</v>
      </c>
    </row>
    <row r="380" customFormat="false" ht="15" hidden="false" customHeight="false" outlineLevel="0" collapsed="false">
      <c r="A380" s="26" t="s">
        <v>21</v>
      </c>
      <c r="B380" s="26" t="s">
        <v>355</v>
      </c>
      <c r="C380" s="26" t="s">
        <v>352</v>
      </c>
      <c r="D380" s="26" t="s">
        <v>280</v>
      </c>
      <c r="E380" s="26" t="s">
        <v>356</v>
      </c>
      <c r="F380" s="26"/>
      <c r="G380" s="29"/>
      <c r="H380" s="29" t="s">
        <v>354</v>
      </c>
    </row>
    <row r="381" customFormat="false" ht="15" hidden="false" customHeight="false" outlineLevel="0" collapsed="false">
      <c r="A381" s="26" t="s">
        <v>21</v>
      </c>
      <c r="B381" s="26" t="s">
        <v>357</v>
      </c>
      <c r="C381" s="26" t="s">
        <v>352</v>
      </c>
      <c r="D381" s="26" t="s">
        <v>280</v>
      </c>
      <c r="E381" s="26" t="s">
        <v>358</v>
      </c>
      <c r="F381" s="26"/>
      <c r="G381" s="29"/>
      <c r="H381" s="29" t="s">
        <v>354</v>
      </c>
    </row>
    <row r="382" customFormat="false" ht="15" hidden="false" customHeight="false" outlineLevel="0" collapsed="false">
      <c r="A382" s="26" t="s">
        <v>21</v>
      </c>
      <c r="B382" s="26" t="s">
        <v>359</v>
      </c>
      <c r="C382" s="26" t="s">
        <v>352</v>
      </c>
      <c r="D382" s="26" t="s">
        <v>280</v>
      </c>
      <c r="E382" s="26" t="s">
        <v>358</v>
      </c>
      <c r="F382" s="26"/>
      <c r="G382" s="29"/>
      <c r="H382" s="29" t="s">
        <v>354</v>
      </c>
    </row>
    <row r="383" customFormat="false" ht="15" hidden="false" customHeight="false" outlineLevel="0" collapsed="false">
      <c r="A383" s="26" t="s">
        <v>21</v>
      </c>
      <c r="B383" s="26" t="s">
        <v>360</v>
      </c>
      <c r="C383" s="26" t="s">
        <v>352</v>
      </c>
      <c r="D383" s="26" t="s">
        <v>280</v>
      </c>
      <c r="E383" s="26" t="s">
        <v>361</v>
      </c>
      <c r="F383" s="26"/>
      <c r="G383" s="29"/>
      <c r="H383" s="29" t="s">
        <v>354</v>
      </c>
    </row>
    <row r="384" customFormat="false" ht="15" hidden="false" customHeight="false" outlineLevel="0" collapsed="false">
      <c r="A384" s="26" t="s">
        <v>21</v>
      </c>
      <c r="B384" s="26" t="s">
        <v>362</v>
      </c>
      <c r="C384" s="26" t="s">
        <v>352</v>
      </c>
      <c r="D384" s="26" t="s">
        <v>280</v>
      </c>
      <c r="E384" s="26" t="s">
        <v>356</v>
      </c>
      <c r="F384" s="26"/>
      <c r="G384" s="29"/>
      <c r="H384" s="29" t="s">
        <v>354</v>
      </c>
    </row>
    <row r="385" customFormat="false" ht="15" hidden="false" customHeight="false" outlineLevel="0" collapsed="false">
      <c r="A385" s="26" t="s">
        <v>21</v>
      </c>
      <c r="B385" s="26" t="s">
        <v>363</v>
      </c>
      <c r="C385" s="26" t="s">
        <v>352</v>
      </c>
      <c r="D385" s="26" t="s">
        <v>275</v>
      </c>
      <c r="E385" s="26" t="s">
        <v>358</v>
      </c>
      <c r="F385" s="26"/>
      <c r="G385" s="29" t="s">
        <v>364</v>
      </c>
      <c r="H385" s="29" t="s">
        <v>354</v>
      </c>
    </row>
    <row r="386" customFormat="false" ht="23.85" hidden="false" customHeight="false" outlineLevel="0" collapsed="false">
      <c r="A386" s="26" t="s">
        <v>21</v>
      </c>
      <c r="B386" s="26" t="s">
        <v>365</v>
      </c>
      <c r="C386" s="26" t="s">
        <v>352</v>
      </c>
      <c r="D386" s="26" t="s">
        <v>275</v>
      </c>
      <c r="E386" s="26"/>
      <c r="F386" s="26"/>
      <c r="G386" s="29" t="s">
        <v>366</v>
      </c>
      <c r="H386" s="29" t="s">
        <v>354</v>
      </c>
    </row>
    <row r="387" customFormat="false" ht="15" hidden="false" customHeight="false" outlineLevel="0" collapsed="false">
      <c r="A387" s="26" t="s">
        <v>21</v>
      </c>
      <c r="B387" s="26" t="s">
        <v>438</v>
      </c>
      <c r="C387" s="26" t="s">
        <v>318</v>
      </c>
      <c r="D387" s="26" t="s">
        <v>275</v>
      </c>
      <c r="E387" s="26"/>
      <c r="F387" s="26"/>
      <c r="G387" s="29" t="s">
        <v>439</v>
      </c>
      <c r="H387" s="29" t="s">
        <v>319</v>
      </c>
    </row>
    <row r="388" customFormat="false" ht="23.85" hidden="false" customHeight="false" outlineLevel="0" collapsed="false">
      <c r="A388" s="26" t="s">
        <v>21</v>
      </c>
      <c r="B388" s="26" t="s">
        <v>371</v>
      </c>
      <c r="C388" s="26" t="s">
        <v>318</v>
      </c>
      <c r="D388" s="26" t="s">
        <v>275</v>
      </c>
      <c r="E388" s="26"/>
      <c r="F388" s="26"/>
      <c r="G388" s="29" t="s">
        <v>372</v>
      </c>
      <c r="H388" s="29" t="s">
        <v>319</v>
      </c>
    </row>
    <row r="389" customFormat="false" ht="15" hidden="false" customHeight="false" outlineLevel="0" collapsed="false">
      <c r="A389" s="26" t="s">
        <v>21</v>
      </c>
      <c r="B389" s="26" t="s">
        <v>373</v>
      </c>
      <c r="C389" s="26" t="s">
        <v>330</v>
      </c>
      <c r="D389" s="26" t="s">
        <v>280</v>
      </c>
      <c r="E389" s="26"/>
      <c r="F389" s="26"/>
      <c r="G389" s="29"/>
      <c r="H389" s="29" t="s">
        <v>332</v>
      </c>
    </row>
    <row r="390" customFormat="false" ht="15" hidden="false" customHeight="false" outlineLevel="0" collapsed="false">
      <c r="A390" s="26" t="s">
        <v>21</v>
      </c>
      <c r="B390" s="26" t="s">
        <v>374</v>
      </c>
      <c r="C390" s="26" t="s">
        <v>330</v>
      </c>
      <c r="D390" s="26" t="s">
        <v>280</v>
      </c>
      <c r="E390" s="26"/>
      <c r="F390" s="26"/>
      <c r="G390" s="29"/>
      <c r="H390" s="29" t="s">
        <v>332</v>
      </c>
    </row>
    <row r="391" customFormat="false" ht="23.85" hidden="false" customHeight="false" outlineLevel="0" collapsed="false">
      <c r="A391" s="26" t="s">
        <v>21</v>
      </c>
      <c r="B391" s="26" t="s">
        <v>375</v>
      </c>
      <c r="C391" s="26" t="s">
        <v>330</v>
      </c>
      <c r="D391" s="26" t="s">
        <v>280</v>
      </c>
      <c r="E391" s="26"/>
      <c r="F391" s="26" t="s">
        <v>284</v>
      </c>
      <c r="G391" s="29" t="s">
        <v>376</v>
      </c>
      <c r="H391" s="29" t="s">
        <v>377</v>
      </c>
    </row>
    <row r="392" customFormat="false" ht="23.85" hidden="false" customHeight="false" outlineLevel="0" collapsed="false">
      <c r="A392" s="26" t="s">
        <v>21</v>
      </c>
      <c r="B392" s="26" t="s">
        <v>378</v>
      </c>
      <c r="C392" s="26" t="s">
        <v>330</v>
      </c>
      <c r="D392" s="26" t="s">
        <v>275</v>
      </c>
      <c r="E392" s="26"/>
      <c r="F392" s="26"/>
      <c r="G392" s="29"/>
      <c r="H392" s="29" t="s">
        <v>377</v>
      </c>
    </row>
    <row r="393" customFormat="false" ht="23.85" hidden="false" customHeight="false" outlineLevel="0" collapsed="false">
      <c r="A393" s="26" t="s">
        <v>21</v>
      </c>
      <c r="B393" s="26" t="s">
        <v>379</v>
      </c>
      <c r="C393" s="26" t="s">
        <v>330</v>
      </c>
      <c r="D393" s="26" t="s">
        <v>275</v>
      </c>
      <c r="E393" s="26"/>
      <c r="F393" s="26"/>
      <c r="G393" s="29"/>
      <c r="H393" s="29" t="s">
        <v>377</v>
      </c>
    </row>
    <row r="394" customFormat="false" ht="23.85" hidden="false" customHeight="false" outlineLevel="0" collapsed="false">
      <c r="A394" s="26" t="s">
        <v>21</v>
      </c>
      <c r="B394" s="26" t="s">
        <v>380</v>
      </c>
      <c r="C394" s="26" t="s">
        <v>330</v>
      </c>
      <c r="D394" s="26" t="s">
        <v>280</v>
      </c>
      <c r="E394" s="26"/>
      <c r="F394" s="26"/>
      <c r="G394" s="29" t="s">
        <v>381</v>
      </c>
      <c r="H394" s="29" t="s">
        <v>377</v>
      </c>
    </row>
    <row r="395" customFormat="false" ht="23.85" hidden="false" customHeight="false" outlineLevel="0" collapsed="false">
      <c r="A395" s="26" t="s">
        <v>21</v>
      </c>
      <c r="B395" s="26" t="s">
        <v>382</v>
      </c>
      <c r="C395" s="26" t="s">
        <v>330</v>
      </c>
      <c r="D395" s="26" t="s">
        <v>280</v>
      </c>
      <c r="E395" s="26"/>
      <c r="F395" s="26"/>
      <c r="G395" s="29" t="s">
        <v>383</v>
      </c>
      <c r="H395" s="29" t="s">
        <v>377</v>
      </c>
    </row>
    <row r="396" customFormat="false" ht="15" hidden="false" customHeight="false" outlineLevel="0" collapsed="false">
      <c r="A396" s="26" t="s">
        <v>21</v>
      </c>
      <c r="B396" s="26" t="s">
        <v>384</v>
      </c>
      <c r="C396" s="26" t="s">
        <v>330</v>
      </c>
      <c r="D396" s="26" t="s">
        <v>280</v>
      </c>
      <c r="E396" s="26"/>
      <c r="F396" s="26"/>
      <c r="G396" s="29" t="s">
        <v>385</v>
      </c>
      <c r="H396" s="29" t="s">
        <v>332</v>
      </c>
    </row>
    <row r="397" customFormat="false" ht="15" hidden="false" customHeight="false" outlineLevel="0" collapsed="false">
      <c r="A397" s="26" t="s">
        <v>21</v>
      </c>
      <c r="B397" s="26" t="s">
        <v>386</v>
      </c>
      <c r="C397" s="26" t="s">
        <v>330</v>
      </c>
      <c r="D397" s="26" t="s">
        <v>280</v>
      </c>
      <c r="E397" s="26"/>
      <c r="F397" s="26"/>
      <c r="G397" s="29"/>
      <c r="H397" s="29" t="s">
        <v>332</v>
      </c>
    </row>
    <row r="398" customFormat="false" ht="15" hidden="false" customHeight="false" outlineLevel="0" collapsed="false">
      <c r="A398" s="26" t="s">
        <v>21</v>
      </c>
      <c r="B398" s="26" t="s">
        <v>387</v>
      </c>
      <c r="C398" s="26" t="s">
        <v>330</v>
      </c>
      <c r="D398" s="26" t="s">
        <v>280</v>
      </c>
      <c r="E398" s="26"/>
      <c r="F398" s="26"/>
      <c r="G398" s="29" t="s">
        <v>388</v>
      </c>
      <c r="H398" s="29" t="s">
        <v>332</v>
      </c>
    </row>
    <row r="399" customFormat="false" ht="15" hidden="false" customHeight="false" outlineLevel="0" collapsed="false">
      <c r="A399" s="26" t="s">
        <v>21</v>
      </c>
      <c r="B399" s="26" t="s">
        <v>389</v>
      </c>
      <c r="C399" s="26" t="s">
        <v>330</v>
      </c>
      <c r="D399" s="26" t="s">
        <v>280</v>
      </c>
      <c r="E399" s="26"/>
      <c r="F399" s="26"/>
      <c r="G399" s="29"/>
      <c r="H399" s="29" t="s">
        <v>332</v>
      </c>
    </row>
    <row r="400" customFormat="false" ht="23.85" hidden="false" customHeight="false" outlineLevel="0" collapsed="false">
      <c r="A400" s="26" t="s">
        <v>21</v>
      </c>
      <c r="B400" s="26" t="s">
        <v>390</v>
      </c>
      <c r="C400" s="26" t="s">
        <v>330</v>
      </c>
      <c r="D400" s="26" t="s">
        <v>280</v>
      </c>
      <c r="E400" s="26"/>
      <c r="F400" s="26"/>
      <c r="G400" s="29" t="s">
        <v>391</v>
      </c>
      <c r="H400" s="29" t="s">
        <v>377</v>
      </c>
    </row>
    <row r="401" customFormat="false" ht="23.85" hidden="false" customHeight="false" outlineLevel="0" collapsed="false">
      <c r="A401" s="26" t="s">
        <v>21</v>
      </c>
      <c r="B401" s="26" t="s">
        <v>392</v>
      </c>
      <c r="C401" s="26" t="s">
        <v>330</v>
      </c>
      <c r="D401" s="26" t="s">
        <v>280</v>
      </c>
      <c r="E401" s="26"/>
      <c r="F401" s="26"/>
      <c r="G401" s="29"/>
      <c r="H401" s="29" t="s">
        <v>377</v>
      </c>
    </row>
    <row r="402" customFormat="false" ht="15" hidden="false" customHeight="false" outlineLevel="0" collapsed="false">
      <c r="A402" s="26" t="s">
        <v>21</v>
      </c>
      <c r="B402" s="26" t="s">
        <v>393</v>
      </c>
      <c r="C402" s="26" t="s">
        <v>330</v>
      </c>
      <c r="D402" s="26" t="s">
        <v>280</v>
      </c>
      <c r="E402" s="26"/>
      <c r="F402" s="26"/>
      <c r="G402" s="29"/>
      <c r="H402" s="29" t="s">
        <v>332</v>
      </c>
    </row>
    <row r="403" customFormat="false" ht="15" hidden="false" customHeight="false" outlineLevel="0" collapsed="false">
      <c r="A403" s="26" t="s">
        <v>21</v>
      </c>
      <c r="B403" s="26" t="s">
        <v>394</v>
      </c>
      <c r="C403" s="26" t="s">
        <v>330</v>
      </c>
      <c r="D403" s="26" t="s">
        <v>280</v>
      </c>
      <c r="E403" s="26"/>
      <c r="F403" s="26"/>
      <c r="G403" s="29"/>
      <c r="H403" s="29" t="s">
        <v>332</v>
      </c>
    </row>
    <row r="404" customFormat="false" ht="15" hidden="false" customHeight="false" outlineLevel="0" collapsed="false">
      <c r="A404" s="26" t="s">
        <v>21</v>
      </c>
      <c r="B404" s="26" t="s">
        <v>395</v>
      </c>
      <c r="C404" s="26" t="s">
        <v>330</v>
      </c>
      <c r="D404" s="26" t="s">
        <v>280</v>
      </c>
      <c r="E404" s="26"/>
      <c r="F404" s="26" t="s">
        <v>284</v>
      </c>
      <c r="G404" s="29" t="s">
        <v>396</v>
      </c>
      <c r="H404" s="29" t="s">
        <v>332</v>
      </c>
    </row>
    <row r="405" customFormat="false" ht="15" hidden="false" customHeight="false" outlineLevel="0" collapsed="false">
      <c r="A405" s="26" t="s">
        <v>21</v>
      </c>
      <c r="B405" s="26" t="s">
        <v>397</v>
      </c>
      <c r="C405" s="26" t="s">
        <v>330</v>
      </c>
      <c r="D405" s="26" t="s">
        <v>280</v>
      </c>
      <c r="E405" s="26"/>
      <c r="F405" s="26"/>
      <c r="G405" s="29"/>
      <c r="H405" s="29" t="s">
        <v>332</v>
      </c>
    </row>
    <row r="406" customFormat="false" ht="15" hidden="false" customHeight="false" outlineLevel="0" collapsed="false">
      <c r="A406" s="26" t="s">
        <v>21</v>
      </c>
      <c r="B406" s="26" t="s">
        <v>398</v>
      </c>
      <c r="C406" s="26" t="s">
        <v>330</v>
      </c>
      <c r="D406" s="26" t="s">
        <v>280</v>
      </c>
      <c r="E406" s="26"/>
      <c r="F406" s="26"/>
      <c r="G406" s="29" t="s">
        <v>399</v>
      </c>
      <c r="H406" s="29" t="s">
        <v>332</v>
      </c>
    </row>
    <row r="407" customFormat="false" ht="15" hidden="false" customHeight="false" outlineLevel="0" collapsed="false">
      <c r="A407" s="26" t="s">
        <v>21</v>
      </c>
      <c r="B407" s="26" t="s">
        <v>400</v>
      </c>
      <c r="C407" s="26" t="s">
        <v>330</v>
      </c>
      <c r="D407" s="26" t="s">
        <v>275</v>
      </c>
      <c r="E407" s="26"/>
      <c r="F407" s="26"/>
      <c r="G407" s="29" t="s">
        <v>401</v>
      </c>
      <c r="H407" s="29" t="s">
        <v>332</v>
      </c>
    </row>
    <row r="408" customFormat="false" ht="15" hidden="false" customHeight="false" outlineLevel="0" collapsed="false">
      <c r="A408" s="26" t="s">
        <v>21</v>
      </c>
      <c r="B408" s="26" t="s">
        <v>402</v>
      </c>
      <c r="C408" s="26" t="s">
        <v>330</v>
      </c>
      <c r="D408" s="26" t="s">
        <v>275</v>
      </c>
      <c r="E408" s="26"/>
      <c r="F408" s="26"/>
      <c r="G408" s="29" t="s">
        <v>403</v>
      </c>
      <c r="H408" s="29" t="s">
        <v>332</v>
      </c>
    </row>
    <row r="409" customFormat="false" ht="15" hidden="false" customHeight="false" outlineLevel="0" collapsed="false">
      <c r="A409" s="26" t="s">
        <v>21</v>
      </c>
      <c r="B409" s="26" t="s">
        <v>404</v>
      </c>
      <c r="C409" s="26" t="s">
        <v>330</v>
      </c>
      <c r="D409" s="26" t="s">
        <v>275</v>
      </c>
      <c r="E409" s="26"/>
      <c r="F409" s="26"/>
      <c r="G409" s="29" t="s">
        <v>405</v>
      </c>
      <c r="H409" s="29" t="s">
        <v>332</v>
      </c>
    </row>
    <row r="410" customFormat="false" ht="15" hidden="false" customHeight="false" outlineLevel="0" collapsed="false">
      <c r="A410" s="26" t="s">
        <v>21</v>
      </c>
      <c r="B410" s="26" t="s">
        <v>406</v>
      </c>
      <c r="C410" s="26" t="s">
        <v>407</v>
      </c>
      <c r="D410" s="26" t="s">
        <v>275</v>
      </c>
      <c r="E410" s="26"/>
      <c r="F410" s="26"/>
      <c r="G410" s="29" t="s">
        <v>408</v>
      </c>
      <c r="H410" s="29" t="s">
        <v>277</v>
      </c>
    </row>
    <row r="411" customFormat="false" ht="15" hidden="false" customHeight="false" outlineLevel="0" collapsed="false">
      <c r="A411" s="26" t="s">
        <v>21</v>
      </c>
      <c r="B411" s="26" t="s">
        <v>409</v>
      </c>
      <c r="C411" s="26" t="s">
        <v>407</v>
      </c>
      <c r="D411" s="26" t="s">
        <v>275</v>
      </c>
      <c r="E411" s="26"/>
      <c r="F411" s="26"/>
      <c r="G411" s="29" t="s">
        <v>410</v>
      </c>
      <c r="H411" s="29" t="s">
        <v>277</v>
      </c>
    </row>
    <row r="412" customFormat="false" ht="23.85" hidden="false" customHeight="false" outlineLevel="0" collapsed="false">
      <c r="A412" s="26" t="s">
        <v>23</v>
      </c>
      <c r="B412" s="26" t="s">
        <v>102</v>
      </c>
      <c r="C412" s="26" t="s">
        <v>274</v>
      </c>
      <c r="D412" s="26" t="s">
        <v>275</v>
      </c>
      <c r="E412" s="26"/>
      <c r="F412" s="26"/>
      <c r="G412" s="29" t="s">
        <v>276</v>
      </c>
      <c r="H412" s="29" t="s">
        <v>277</v>
      </c>
    </row>
    <row r="413" customFormat="false" ht="15" hidden="false" customHeight="false" outlineLevel="0" collapsed="false">
      <c r="A413" s="26" t="s">
        <v>23</v>
      </c>
      <c r="B413" s="26" t="s">
        <v>103</v>
      </c>
      <c r="C413" s="26" t="s">
        <v>274</v>
      </c>
      <c r="D413" s="26" t="s">
        <v>275</v>
      </c>
      <c r="E413" s="26"/>
      <c r="F413" s="26"/>
      <c r="G413" s="29" t="s">
        <v>278</v>
      </c>
      <c r="H413" s="29" t="s">
        <v>277</v>
      </c>
    </row>
    <row r="414" customFormat="false" ht="15" hidden="false" customHeight="false" outlineLevel="0" collapsed="false">
      <c r="A414" s="26" t="s">
        <v>23</v>
      </c>
      <c r="B414" s="26" t="s">
        <v>279</v>
      </c>
      <c r="C414" s="26" t="s">
        <v>274</v>
      </c>
      <c r="D414" s="26" t="s">
        <v>280</v>
      </c>
      <c r="E414" s="26"/>
      <c r="F414" s="26"/>
      <c r="G414" s="29" t="s">
        <v>281</v>
      </c>
      <c r="H414" s="29" t="s">
        <v>277</v>
      </c>
    </row>
    <row r="415" customFormat="false" ht="15" hidden="false" customHeight="false" outlineLevel="0" collapsed="false">
      <c r="A415" s="26" t="s">
        <v>23</v>
      </c>
      <c r="B415" s="26" t="s">
        <v>504</v>
      </c>
      <c r="C415" s="26" t="s">
        <v>283</v>
      </c>
      <c r="D415" s="26" t="s">
        <v>280</v>
      </c>
      <c r="E415" s="26"/>
      <c r="F415" s="26" t="s">
        <v>284</v>
      </c>
      <c r="G415" s="29"/>
      <c r="H415" s="29" t="s">
        <v>285</v>
      </c>
    </row>
    <row r="416" customFormat="false" ht="15" hidden="false" customHeight="false" outlineLevel="0" collapsed="false">
      <c r="A416" s="26" t="s">
        <v>23</v>
      </c>
      <c r="B416" s="26" t="s">
        <v>505</v>
      </c>
      <c r="C416" s="26" t="s">
        <v>283</v>
      </c>
      <c r="D416" s="26" t="s">
        <v>280</v>
      </c>
      <c r="E416" s="26"/>
      <c r="F416" s="26" t="s">
        <v>284</v>
      </c>
      <c r="G416" s="29"/>
      <c r="H416" s="29" t="s">
        <v>285</v>
      </c>
    </row>
    <row r="417" customFormat="false" ht="15" hidden="false" customHeight="false" outlineLevel="0" collapsed="false">
      <c r="A417" s="26" t="s">
        <v>23</v>
      </c>
      <c r="B417" s="26" t="s">
        <v>506</v>
      </c>
      <c r="C417" s="26" t="s">
        <v>289</v>
      </c>
      <c r="D417" s="26" t="s">
        <v>280</v>
      </c>
      <c r="E417" s="26" t="s">
        <v>313</v>
      </c>
      <c r="F417" s="26" t="s">
        <v>284</v>
      </c>
      <c r="G417" s="29"/>
      <c r="H417" s="29" t="s">
        <v>291</v>
      </c>
    </row>
    <row r="418" customFormat="false" ht="15" hidden="false" customHeight="false" outlineLevel="0" collapsed="false">
      <c r="A418" s="26" t="s">
        <v>23</v>
      </c>
      <c r="B418" s="26" t="s">
        <v>507</v>
      </c>
      <c r="C418" s="26" t="s">
        <v>289</v>
      </c>
      <c r="D418" s="26" t="s">
        <v>280</v>
      </c>
      <c r="E418" s="26" t="s">
        <v>313</v>
      </c>
      <c r="F418" s="26" t="s">
        <v>284</v>
      </c>
      <c r="G418" s="29"/>
      <c r="H418" s="29" t="s">
        <v>291</v>
      </c>
    </row>
    <row r="419" customFormat="false" ht="15" hidden="false" customHeight="false" outlineLevel="0" collapsed="false">
      <c r="A419" s="26" t="s">
        <v>23</v>
      </c>
      <c r="B419" s="26" t="s">
        <v>508</v>
      </c>
      <c r="C419" s="26" t="s">
        <v>289</v>
      </c>
      <c r="D419" s="26" t="s">
        <v>280</v>
      </c>
      <c r="E419" s="26" t="s">
        <v>313</v>
      </c>
      <c r="F419" s="26" t="s">
        <v>284</v>
      </c>
      <c r="G419" s="29"/>
      <c r="H419" s="29" t="s">
        <v>291</v>
      </c>
    </row>
    <row r="420" customFormat="false" ht="15" hidden="false" customHeight="false" outlineLevel="0" collapsed="false">
      <c r="A420" s="26" t="s">
        <v>23</v>
      </c>
      <c r="B420" s="26" t="s">
        <v>509</v>
      </c>
      <c r="C420" s="26" t="s">
        <v>283</v>
      </c>
      <c r="D420" s="26" t="s">
        <v>280</v>
      </c>
      <c r="E420" s="26"/>
      <c r="F420" s="26" t="s">
        <v>284</v>
      </c>
      <c r="G420" s="29"/>
      <c r="H420" s="29" t="s">
        <v>285</v>
      </c>
    </row>
    <row r="421" customFormat="false" ht="15" hidden="false" customHeight="false" outlineLevel="0" collapsed="false">
      <c r="A421" s="26" t="s">
        <v>23</v>
      </c>
      <c r="B421" s="26" t="s">
        <v>510</v>
      </c>
      <c r="C421" s="26" t="s">
        <v>289</v>
      </c>
      <c r="D421" s="26" t="s">
        <v>280</v>
      </c>
      <c r="E421" s="26"/>
      <c r="F421" s="26" t="s">
        <v>284</v>
      </c>
      <c r="G421" s="29"/>
      <c r="H421" s="29" t="s">
        <v>291</v>
      </c>
    </row>
    <row r="422" customFormat="false" ht="15" hidden="false" customHeight="false" outlineLevel="0" collapsed="false">
      <c r="A422" s="26" t="s">
        <v>23</v>
      </c>
      <c r="B422" s="26" t="s">
        <v>511</v>
      </c>
      <c r="C422" s="26" t="s">
        <v>283</v>
      </c>
      <c r="D422" s="26" t="s">
        <v>280</v>
      </c>
      <c r="E422" s="26"/>
      <c r="F422" s="26" t="s">
        <v>284</v>
      </c>
      <c r="G422" s="29"/>
      <c r="H422" s="29" t="s">
        <v>285</v>
      </c>
    </row>
    <row r="423" customFormat="false" ht="15" hidden="false" customHeight="false" outlineLevel="0" collapsed="false">
      <c r="A423" s="26" t="s">
        <v>23</v>
      </c>
      <c r="B423" s="26" t="s">
        <v>512</v>
      </c>
      <c r="C423" s="26" t="s">
        <v>283</v>
      </c>
      <c r="D423" s="26" t="s">
        <v>280</v>
      </c>
      <c r="E423" s="26"/>
      <c r="F423" s="26"/>
      <c r="G423" s="29"/>
      <c r="H423" s="29" t="s">
        <v>285</v>
      </c>
    </row>
    <row r="424" customFormat="false" ht="15" hidden="false" customHeight="false" outlineLevel="0" collapsed="false">
      <c r="A424" s="26" t="s">
        <v>23</v>
      </c>
      <c r="B424" s="26" t="s">
        <v>513</v>
      </c>
      <c r="C424" s="26" t="s">
        <v>283</v>
      </c>
      <c r="D424" s="26" t="s">
        <v>280</v>
      </c>
      <c r="E424" s="26"/>
      <c r="F424" s="26"/>
      <c r="G424" s="29"/>
      <c r="H424" s="29" t="s">
        <v>285</v>
      </c>
    </row>
    <row r="425" customFormat="false" ht="15" hidden="false" customHeight="false" outlineLevel="0" collapsed="false">
      <c r="A425" s="26" t="s">
        <v>23</v>
      </c>
      <c r="B425" s="26" t="s">
        <v>514</v>
      </c>
      <c r="C425" s="26" t="s">
        <v>283</v>
      </c>
      <c r="D425" s="26" t="s">
        <v>280</v>
      </c>
      <c r="E425" s="26"/>
      <c r="F425" s="26" t="s">
        <v>284</v>
      </c>
      <c r="G425" s="29"/>
      <c r="H425" s="29" t="s">
        <v>285</v>
      </c>
    </row>
    <row r="426" customFormat="false" ht="15" hidden="false" customHeight="false" outlineLevel="0" collapsed="false">
      <c r="A426" s="26" t="s">
        <v>23</v>
      </c>
      <c r="B426" s="26" t="s">
        <v>515</v>
      </c>
      <c r="C426" s="26" t="s">
        <v>289</v>
      </c>
      <c r="D426" s="26" t="s">
        <v>280</v>
      </c>
      <c r="E426" s="26" t="s">
        <v>516</v>
      </c>
      <c r="F426" s="26" t="s">
        <v>284</v>
      </c>
      <c r="G426" s="29"/>
      <c r="H426" s="29" t="s">
        <v>291</v>
      </c>
    </row>
    <row r="427" customFormat="false" ht="15" hidden="false" customHeight="false" outlineLevel="0" collapsed="false">
      <c r="A427" s="26" t="s">
        <v>23</v>
      </c>
      <c r="B427" s="26" t="s">
        <v>517</v>
      </c>
      <c r="C427" s="26" t="s">
        <v>289</v>
      </c>
      <c r="D427" s="26" t="s">
        <v>280</v>
      </c>
      <c r="E427" s="26" t="s">
        <v>518</v>
      </c>
      <c r="F427" s="26"/>
      <c r="G427" s="29"/>
      <c r="H427" s="29" t="s">
        <v>291</v>
      </c>
    </row>
    <row r="428" customFormat="false" ht="15" hidden="false" customHeight="false" outlineLevel="0" collapsed="false">
      <c r="A428" s="26" t="s">
        <v>23</v>
      </c>
      <c r="B428" s="26" t="s">
        <v>519</v>
      </c>
      <c r="C428" s="26" t="s">
        <v>289</v>
      </c>
      <c r="D428" s="26" t="s">
        <v>280</v>
      </c>
      <c r="E428" s="26" t="s">
        <v>290</v>
      </c>
      <c r="F428" s="26"/>
      <c r="G428" s="29"/>
      <c r="H428" s="29" t="s">
        <v>291</v>
      </c>
    </row>
    <row r="429" customFormat="false" ht="15" hidden="false" customHeight="false" outlineLevel="0" collapsed="false">
      <c r="A429" s="26" t="s">
        <v>23</v>
      </c>
      <c r="B429" s="26" t="s">
        <v>520</v>
      </c>
      <c r="C429" s="26" t="s">
        <v>289</v>
      </c>
      <c r="D429" s="26" t="s">
        <v>280</v>
      </c>
      <c r="E429" s="26"/>
      <c r="F429" s="26"/>
      <c r="G429" s="29"/>
      <c r="H429" s="29" t="s">
        <v>291</v>
      </c>
    </row>
    <row r="430" customFormat="false" ht="15" hidden="false" customHeight="false" outlineLevel="0" collapsed="false">
      <c r="A430" s="26" t="s">
        <v>23</v>
      </c>
      <c r="B430" s="26" t="s">
        <v>521</v>
      </c>
      <c r="C430" s="26" t="s">
        <v>318</v>
      </c>
      <c r="D430" s="26" t="s">
        <v>280</v>
      </c>
      <c r="E430" s="26" t="s">
        <v>522</v>
      </c>
      <c r="F430" s="26"/>
      <c r="G430" s="29"/>
      <c r="H430" s="29" t="s">
        <v>319</v>
      </c>
    </row>
    <row r="431" customFormat="false" ht="15" hidden="false" customHeight="false" outlineLevel="0" collapsed="false">
      <c r="A431" s="26" t="s">
        <v>23</v>
      </c>
      <c r="B431" s="26" t="s">
        <v>523</v>
      </c>
      <c r="C431" s="26" t="s">
        <v>289</v>
      </c>
      <c r="D431" s="26" t="s">
        <v>280</v>
      </c>
      <c r="E431" s="26" t="s">
        <v>290</v>
      </c>
      <c r="F431" s="26"/>
      <c r="G431" s="29"/>
      <c r="H431" s="29" t="s">
        <v>291</v>
      </c>
    </row>
    <row r="432" customFormat="false" ht="15" hidden="false" customHeight="false" outlineLevel="0" collapsed="false">
      <c r="A432" s="26" t="s">
        <v>23</v>
      </c>
      <c r="B432" s="26" t="s">
        <v>524</v>
      </c>
      <c r="C432" s="26" t="s">
        <v>283</v>
      </c>
      <c r="D432" s="26" t="s">
        <v>280</v>
      </c>
      <c r="E432" s="26"/>
      <c r="F432" s="26"/>
      <c r="G432" s="29"/>
      <c r="H432" s="29" t="s">
        <v>285</v>
      </c>
    </row>
    <row r="433" customFormat="false" ht="15" hidden="false" customHeight="false" outlineLevel="0" collapsed="false">
      <c r="A433" s="26" t="s">
        <v>23</v>
      </c>
      <c r="B433" s="26" t="s">
        <v>525</v>
      </c>
      <c r="C433" s="26" t="s">
        <v>318</v>
      </c>
      <c r="D433" s="26" t="s">
        <v>280</v>
      </c>
      <c r="E433" s="26"/>
      <c r="F433" s="26"/>
      <c r="G433" s="29"/>
      <c r="H433" s="29" t="s">
        <v>319</v>
      </c>
    </row>
    <row r="434" customFormat="false" ht="15" hidden="false" customHeight="false" outlineLevel="0" collapsed="false">
      <c r="A434" s="26" t="s">
        <v>23</v>
      </c>
      <c r="B434" s="26" t="s">
        <v>526</v>
      </c>
      <c r="C434" s="26" t="s">
        <v>283</v>
      </c>
      <c r="D434" s="26" t="s">
        <v>280</v>
      </c>
      <c r="E434" s="26" t="s">
        <v>370</v>
      </c>
      <c r="F434" s="26" t="s">
        <v>284</v>
      </c>
      <c r="G434" s="29"/>
      <c r="H434" s="29" t="s">
        <v>285</v>
      </c>
    </row>
    <row r="435" customFormat="false" ht="15" hidden="false" customHeight="false" outlineLevel="0" collapsed="false">
      <c r="A435" s="26" t="s">
        <v>23</v>
      </c>
      <c r="B435" s="26" t="s">
        <v>527</v>
      </c>
      <c r="C435" s="26" t="s">
        <v>283</v>
      </c>
      <c r="D435" s="26" t="s">
        <v>280</v>
      </c>
      <c r="E435" s="26" t="s">
        <v>500</v>
      </c>
      <c r="F435" s="26" t="s">
        <v>284</v>
      </c>
      <c r="G435" s="29"/>
      <c r="H435" s="29" t="s">
        <v>285</v>
      </c>
    </row>
    <row r="436" customFormat="false" ht="15" hidden="false" customHeight="false" outlineLevel="0" collapsed="false">
      <c r="A436" s="26" t="s">
        <v>23</v>
      </c>
      <c r="B436" s="26" t="s">
        <v>298</v>
      </c>
      <c r="C436" s="26" t="s">
        <v>299</v>
      </c>
      <c r="D436" s="26" t="s">
        <v>280</v>
      </c>
      <c r="E436" s="26"/>
      <c r="F436" s="26" t="s">
        <v>284</v>
      </c>
      <c r="G436" s="29"/>
      <c r="H436" s="29" t="s">
        <v>300</v>
      </c>
    </row>
    <row r="437" customFormat="false" ht="15" hidden="false" customHeight="false" outlineLevel="0" collapsed="false">
      <c r="A437" s="26" t="s">
        <v>23</v>
      </c>
      <c r="B437" s="26" t="s">
        <v>528</v>
      </c>
      <c r="C437" s="26" t="s">
        <v>283</v>
      </c>
      <c r="D437" s="26" t="s">
        <v>280</v>
      </c>
      <c r="E437" s="26"/>
      <c r="F437" s="26"/>
      <c r="G437" s="29"/>
      <c r="H437" s="29" t="s">
        <v>285</v>
      </c>
    </row>
    <row r="438" customFormat="false" ht="15" hidden="false" customHeight="false" outlineLevel="0" collapsed="false">
      <c r="A438" s="26" t="s">
        <v>23</v>
      </c>
      <c r="B438" s="26" t="s">
        <v>529</v>
      </c>
      <c r="C438" s="26" t="s">
        <v>283</v>
      </c>
      <c r="D438" s="26" t="s">
        <v>280</v>
      </c>
      <c r="E438" s="26"/>
      <c r="F438" s="26"/>
      <c r="G438" s="29"/>
      <c r="H438" s="29" t="s">
        <v>285</v>
      </c>
    </row>
    <row r="439" customFormat="false" ht="15" hidden="false" customHeight="false" outlineLevel="0" collapsed="false">
      <c r="A439" s="26" t="s">
        <v>23</v>
      </c>
      <c r="B439" s="26" t="s">
        <v>530</v>
      </c>
      <c r="C439" s="26" t="s">
        <v>352</v>
      </c>
      <c r="D439" s="26" t="s">
        <v>280</v>
      </c>
      <c r="E439" s="26" t="s">
        <v>361</v>
      </c>
      <c r="F439" s="26"/>
      <c r="G439" s="29"/>
      <c r="H439" s="29" t="s">
        <v>354</v>
      </c>
    </row>
    <row r="440" customFormat="false" ht="15" hidden="false" customHeight="false" outlineLevel="0" collapsed="false">
      <c r="A440" s="26" t="s">
        <v>23</v>
      </c>
      <c r="B440" s="26" t="s">
        <v>320</v>
      </c>
      <c r="C440" s="26" t="s">
        <v>299</v>
      </c>
      <c r="D440" s="26" t="s">
        <v>280</v>
      </c>
      <c r="E440" s="26"/>
      <c r="F440" s="26"/>
      <c r="G440" s="29" t="s">
        <v>321</v>
      </c>
      <c r="H440" s="29" t="s">
        <v>300</v>
      </c>
    </row>
    <row r="441" customFormat="false" ht="15" hidden="false" customHeight="false" outlineLevel="0" collapsed="false">
      <c r="A441" s="26" t="s">
        <v>23</v>
      </c>
      <c r="B441" s="26" t="s">
        <v>322</v>
      </c>
      <c r="C441" s="26" t="s">
        <v>299</v>
      </c>
      <c r="D441" s="26" t="s">
        <v>280</v>
      </c>
      <c r="E441" s="26" t="s">
        <v>323</v>
      </c>
      <c r="F441" s="26"/>
      <c r="G441" s="29" t="s">
        <v>324</v>
      </c>
      <c r="H441" s="29" t="s">
        <v>300</v>
      </c>
    </row>
    <row r="442" customFormat="false" ht="15" hidden="false" customHeight="false" outlineLevel="0" collapsed="false">
      <c r="A442" s="26" t="s">
        <v>23</v>
      </c>
      <c r="B442" s="26" t="s">
        <v>325</v>
      </c>
      <c r="C442" s="26" t="s">
        <v>299</v>
      </c>
      <c r="D442" s="26" t="s">
        <v>280</v>
      </c>
      <c r="E442" s="26"/>
      <c r="F442" s="26"/>
      <c r="G442" s="29" t="s">
        <v>326</v>
      </c>
      <c r="H442" s="29" t="s">
        <v>300</v>
      </c>
    </row>
    <row r="443" customFormat="false" ht="15" hidden="false" customHeight="false" outlineLevel="0" collapsed="false">
      <c r="A443" s="26" t="s">
        <v>23</v>
      </c>
      <c r="B443" s="26" t="s">
        <v>327</v>
      </c>
      <c r="C443" s="26" t="s">
        <v>299</v>
      </c>
      <c r="D443" s="26" t="s">
        <v>280</v>
      </c>
      <c r="E443" s="26" t="s">
        <v>290</v>
      </c>
      <c r="F443" s="26"/>
      <c r="G443" s="29" t="s">
        <v>328</v>
      </c>
      <c r="H443" s="29" t="s">
        <v>300</v>
      </c>
    </row>
    <row r="444" customFormat="false" ht="15" hidden="false" customHeight="false" outlineLevel="0" collapsed="false">
      <c r="A444" s="26" t="s">
        <v>23</v>
      </c>
      <c r="B444" s="26" t="s">
        <v>329</v>
      </c>
      <c r="C444" s="26" t="s">
        <v>330</v>
      </c>
      <c r="D444" s="26" t="s">
        <v>280</v>
      </c>
      <c r="E444" s="26"/>
      <c r="F444" s="26" t="s">
        <v>284</v>
      </c>
      <c r="G444" s="29" t="s">
        <v>331</v>
      </c>
      <c r="H444" s="29" t="s">
        <v>332</v>
      </c>
    </row>
    <row r="445" customFormat="false" ht="23.85" hidden="false" customHeight="false" outlineLevel="0" collapsed="false">
      <c r="A445" s="26" t="s">
        <v>23</v>
      </c>
      <c r="B445" s="26" t="s">
        <v>333</v>
      </c>
      <c r="C445" s="26" t="s">
        <v>330</v>
      </c>
      <c r="D445" s="26" t="s">
        <v>280</v>
      </c>
      <c r="E445" s="26"/>
      <c r="F445" s="26"/>
      <c r="G445" s="29" t="s">
        <v>334</v>
      </c>
      <c r="H445" s="29" t="s">
        <v>332</v>
      </c>
    </row>
    <row r="446" customFormat="false" ht="15" hidden="false" customHeight="false" outlineLevel="0" collapsed="false">
      <c r="A446" s="26" t="s">
        <v>23</v>
      </c>
      <c r="B446" s="26" t="s">
        <v>131</v>
      </c>
      <c r="C446" s="26" t="s">
        <v>330</v>
      </c>
      <c r="D446" s="26" t="s">
        <v>280</v>
      </c>
      <c r="E446" s="26"/>
      <c r="F446" s="26" t="s">
        <v>284</v>
      </c>
      <c r="G446" s="29"/>
      <c r="H446" s="29" t="s">
        <v>332</v>
      </c>
    </row>
    <row r="447" customFormat="false" ht="23.85" hidden="false" customHeight="false" outlineLevel="0" collapsed="false">
      <c r="A447" s="26" t="s">
        <v>23</v>
      </c>
      <c r="B447" s="26" t="s">
        <v>132</v>
      </c>
      <c r="C447" s="26" t="s">
        <v>330</v>
      </c>
      <c r="D447" s="26" t="s">
        <v>280</v>
      </c>
      <c r="E447" s="26"/>
      <c r="F447" s="26" t="s">
        <v>284</v>
      </c>
      <c r="G447" s="29" t="s">
        <v>335</v>
      </c>
      <c r="H447" s="29" t="s">
        <v>332</v>
      </c>
    </row>
    <row r="448" customFormat="false" ht="15" hidden="false" customHeight="false" outlineLevel="0" collapsed="false">
      <c r="A448" s="26" t="s">
        <v>23</v>
      </c>
      <c r="B448" s="26" t="s">
        <v>133</v>
      </c>
      <c r="C448" s="26" t="s">
        <v>330</v>
      </c>
      <c r="D448" s="26" t="s">
        <v>280</v>
      </c>
      <c r="E448" s="26"/>
      <c r="F448" s="26" t="s">
        <v>284</v>
      </c>
      <c r="G448" s="29"/>
      <c r="H448" s="29" t="s">
        <v>332</v>
      </c>
    </row>
    <row r="449" customFormat="false" ht="15" hidden="false" customHeight="false" outlineLevel="0" collapsed="false">
      <c r="A449" s="26" t="s">
        <v>23</v>
      </c>
      <c r="B449" s="26" t="s">
        <v>336</v>
      </c>
      <c r="C449" s="26" t="s">
        <v>337</v>
      </c>
      <c r="D449" s="26" t="s">
        <v>280</v>
      </c>
      <c r="E449" s="26" t="s">
        <v>338</v>
      </c>
      <c r="F449" s="26" t="s">
        <v>284</v>
      </c>
      <c r="G449" s="29" t="s">
        <v>339</v>
      </c>
      <c r="H449" s="29" t="s">
        <v>340</v>
      </c>
    </row>
    <row r="450" customFormat="false" ht="15" hidden="false" customHeight="false" outlineLevel="0" collapsed="false">
      <c r="A450" s="26" t="s">
        <v>23</v>
      </c>
      <c r="B450" s="26" t="s">
        <v>341</v>
      </c>
      <c r="C450" s="26" t="s">
        <v>337</v>
      </c>
      <c r="D450" s="26" t="s">
        <v>280</v>
      </c>
      <c r="E450" s="26"/>
      <c r="F450" s="26"/>
      <c r="G450" s="29" t="s">
        <v>342</v>
      </c>
      <c r="H450" s="29" t="s">
        <v>340</v>
      </c>
    </row>
    <row r="451" customFormat="false" ht="15" hidden="false" customHeight="false" outlineLevel="0" collapsed="false">
      <c r="A451" s="26" t="s">
        <v>23</v>
      </c>
      <c r="B451" s="26" t="s">
        <v>343</v>
      </c>
      <c r="C451" s="26" t="s">
        <v>337</v>
      </c>
      <c r="D451" s="26" t="s">
        <v>275</v>
      </c>
      <c r="E451" s="26"/>
      <c r="F451" s="26"/>
      <c r="G451" s="29"/>
      <c r="H451" s="29" t="s">
        <v>340</v>
      </c>
    </row>
    <row r="452" customFormat="false" ht="15" hidden="false" customHeight="false" outlineLevel="0" collapsed="false">
      <c r="A452" s="26" t="s">
        <v>23</v>
      </c>
      <c r="B452" s="26" t="s">
        <v>344</v>
      </c>
      <c r="C452" s="26" t="s">
        <v>337</v>
      </c>
      <c r="D452" s="26" t="s">
        <v>275</v>
      </c>
      <c r="E452" s="26"/>
      <c r="F452" s="26"/>
      <c r="G452" s="29"/>
      <c r="H452" s="29" t="s">
        <v>340</v>
      </c>
    </row>
    <row r="453" customFormat="false" ht="15" hidden="false" customHeight="false" outlineLevel="0" collapsed="false">
      <c r="A453" s="26" t="s">
        <v>23</v>
      </c>
      <c r="B453" s="26" t="s">
        <v>345</v>
      </c>
      <c r="C453" s="26" t="s">
        <v>337</v>
      </c>
      <c r="D453" s="26" t="s">
        <v>275</v>
      </c>
      <c r="E453" s="26"/>
      <c r="F453" s="26"/>
      <c r="G453" s="29"/>
      <c r="H453" s="29" t="s">
        <v>340</v>
      </c>
    </row>
    <row r="454" customFormat="false" ht="15" hidden="false" customHeight="false" outlineLevel="0" collapsed="false">
      <c r="A454" s="26" t="s">
        <v>23</v>
      </c>
      <c r="B454" s="26" t="s">
        <v>346</v>
      </c>
      <c r="C454" s="26" t="s">
        <v>337</v>
      </c>
      <c r="D454" s="26" t="s">
        <v>275</v>
      </c>
      <c r="E454" s="26"/>
      <c r="F454" s="26"/>
      <c r="G454" s="29"/>
      <c r="H454" s="29" t="s">
        <v>340</v>
      </c>
    </row>
    <row r="455" customFormat="false" ht="15" hidden="false" customHeight="false" outlineLevel="0" collapsed="false">
      <c r="A455" s="26" t="s">
        <v>23</v>
      </c>
      <c r="B455" s="26" t="s">
        <v>347</v>
      </c>
      <c r="C455" s="26" t="s">
        <v>337</v>
      </c>
      <c r="D455" s="26" t="s">
        <v>275</v>
      </c>
      <c r="E455" s="26"/>
      <c r="F455" s="26"/>
      <c r="G455" s="29"/>
      <c r="H455" s="29" t="s">
        <v>340</v>
      </c>
    </row>
    <row r="456" customFormat="false" ht="15" hidden="false" customHeight="false" outlineLevel="0" collapsed="false">
      <c r="A456" s="26" t="s">
        <v>23</v>
      </c>
      <c r="B456" s="26" t="s">
        <v>348</v>
      </c>
      <c r="C456" s="26" t="s">
        <v>337</v>
      </c>
      <c r="D456" s="26" t="s">
        <v>275</v>
      </c>
      <c r="E456" s="26"/>
      <c r="F456" s="26"/>
      <c r="G456" s="29"/>
      <c r="H456" s="29" t="s">
        <v>340</v>
      </c>
    </row>
    <row r="457" customFormat="false" ht="15" hidden="false" customHeight="false" outlineLevel="0" collapsed="false">
      <c r="A457" s="26" t="s">
        <v>23</v>
      </c>
      <c r="B457" s="26" t="s">
        <v>349</v>
      </c>
      <c r="C457" s="26" t="s">
        <v>337</v>
      </c>
      <c r="D457" s="26" t="s">
        <v>280</v>
      </c>
      <c r="E457" s="26"/>
      <c r="F457" s="26"/>
      <c r="G457" s="29" t="s">
        <v>350</v>
      </c>
      <c r="H457" s="29" t="s">
        <v>340</v>
      </c>
    </row>
    <row r="458" customFormat="false" ht="15" hidden="false" customHeight="false" outlineLevel="0" collapsed="false">
      <c r="A458" s="26" t="s">
        <v>23</v>
      </c>
      <c r="B458" s="26" t="s">
        <v>351</v>
      </c>
      <c r="C458" s="26" t="s">
        <v>352</v>
      </c>
      <c r="D458" s="26" t="s">
        <v>280</v>
      </c>
      <c r="E458" s="26"/>
      <c r="F458" s="26" t="s">
        <v>284</v>
      </c>
      <c r="G458" s="29" t="s">
        <v>353</v>
      </c>
      <c r="H458" s="29" t="s">
        <v>354</v>
      </c>
    </row>
    <row r="459" customFormat="false" ht="15" hidden="false" customHeight="false" outlineLevel="0" collapsed="false">
      <c r="A459" s="26" t="s">
        <v>23</v>
      </c>
      <c r="B459" s="26" t="s">
        <v>355</v>
      </c>
      <c r="C459" s="26" t="s">
        <v>352</v>
      </c>
      <c r="D459" s="26" t="s">
        <v>280</v>
      </c>
      <c r="E459" s="26" t="s">
        <v>356</v>
      </c>
      <c r="F459" s="26"/>
      <c r="G459" s="29"/>
      <c r="H459" s="29" t="s">
        <v>354</v>
      </c>
    </row>
    <row r="460" customFormat="false" ht="15" hidden="false" customHeight="false" outlineLevel="0" collapsed="false">
      <c r="A460" s="26" t="s">
        <v>23</v>
      </c>
      <c r="B460" s="26" t="s">
        <v>357</v>
      </c>
      <c r="C460" s="26" t="s">
        <v>352</v>
      </c>
      <c r="D460" s="26" t="s">
        <v>280</v>
      </c>
      <c r="E460" s="26" t="s">
        <v>358</v>
      </c>
      <c r="F460" s="26"/>
      <c r="G460" s="29"/>
      <c r="H460" s="29" t="s">
        <v>354</v>
      </c>
    </row>
    <row r="461" customFormat="false" ht="15" hidden="false" customHeight="false" outlineLevel="0" collapsed="false">
      <c r="A461" s="26" t="s">
        <v>23</v>
      </c>
      <c r="B461" s="26" t="s">
        <v>359</v>
      </c>
      <c r="C461" s="26" t="s">
        <v>352</v>
      </c>
      <c r="D461" s="26" t="s">
        <v>280</v>
      </c>
      <c r="E461" s="26" t="s">
        <v>358</v>
      </c>
      <c r="F461" s="26"/>
      <c r="G461" s="29"/>
      <c r="H461" s="29" t="s">
        <v>354</v>
      </c>
    </row>
    <row r="462" customFormat="false" ht="15" hidden="false" customHeight="false" outlineLevel="0" collapsed="false">
      <c r="A462" s="26" t="s">
        <v>23</v>
      </c>
      <c r="B462" s="26" t="s">
        <v>360</v>
      </c>
      <c r="C462" s="26" t="s">
        <v>352</v>
      </c>
      <c r="D462" s="26" t="s">
        <v>280</v>
      </c>
      <c r="E462" s="26" t="s">
        <v>361</v>
      </c>
      <c r="F462" s="26"/>
      <c r="G462" s="29"/>
      <c r="H462" s="29" t="s">
        <v>354</v>
      </c>
    </row>
    <row r="463" customFormat="false" ht="15" hidden="false" customHeight="false" outlineLevel="0" collapsed="false">
      <c r="A463" s="26" t="s">
        <v>23</v>
      </c>
      <c r="B463" s="26" t="s">
        <v>362</v>
      </c>
      <c r="C463" s="26" t="s">
        <v>352</v>
      </c>
      <c r="D463" s="26" t="s">
        <v>280</v>
      </c>
      <c r="E463" s="26" t="s">
        <v>356</v>
      </c>
      <c r="F463" s="26"/>
      <c r="G463" s="29"/>
      <c r="H463" s="29" t="s">
        <v>354</v>
      </c>
    </row>
    <row r="464" customFormat="false" ht="15" hidden="false" customHeight="false" outlineLevel="0" collapsed="false">
      <c r="A464" s="26" t="s">
        <v>23</v>
      </c>
      <c r="B464" s="26" t="s">
        <v>363</v>
      </c>
      <c r="C464" s="26" t="s">
        <v>352</v>
      </c>
      <c r="D464" s="26" t="s">
        <v>275</v>
      </c>
      <c r="E464" s="26" t="s">
        <v>358</v>
      </c>
      <c r="F464" s="26"/>
      <c r="G464" s="29" t="s">
        <v>364</v>
      </c>
      <c r="H464" s="29" t="s">
        <v>354</v>
      </c>
    </row>
    <row r="465" customFormat="false" ht="23.85" hidden="false" customHeight="false" outlineLevel="0" collapsed="false">
      <c r="A465" s="26" t="s">
        <v>23</v>
      </c>
      <c r="B465" s="26" t="s">
        <v>365</v>
      </c>
      <c r="C465" s="26" t="s">
        <v>352</v>
      </c>
      <c r="D465" s="26" t="s">
        <v>275</v>
      </c>
      <c r="E465" s="26"/>
      <c r="F465" s="26"/>
      <c r="G465" s="29" t="s">
        <v>366</v>
      </c>
      <c r="H465" s="29" t="s">
        <v>354</v>
      </c>
    </row>
    <row r="466" customFormat="false" ht="23.85" hidden="false" customHeight="false" outlineLevel="0" collapsed="false">
      <c r="A466" s="26" t="s">
        <v>23</v>
      </c>
      <c r="B466" s="26" t="s">
        <v>371</v>
      </c>
      <c r="C466" s="26" t="s">
        <v>318</v>
      </c>
      <c r="D466" s="26" t="s">
        <v>275</v>
      </c>
      <c r="E466" s="26"/>
      <c r="F466" s="26"/>
      <c r="G466" s="29" t="s">
        <v>372</v>
      </c>
      <c r="H466" s="29" t="s">
        <v>319</v>
      </c>
    </row>
    <row r="467" customFormat="false" ht="15" hidden="false" customHeight="false" outlineLevel="0" collapsed="false">
      <c r="A467" s="26" t="s">
        <v>23</v>
      </c>
      <c r="B467" s="26" t="s">
        <v>373</v>
      </c>
      <c r="C467" s="26" t="s">
        <v>330</v>
      </c>
      <c r="D467" s="26" t="s">
        <v>280</v>
      </c>
      <c r="E467" s="26"/>
      <c r="F467" s="26"/>
      <c r="G467" s="29"/>
      <c r="H467" s="29" t="s">
        <v>332</v>
      </c>
    </row>
    <row r="468" customFormat="false" ht="15" hidden="false" customHeight="false" outlineLevel="0" collapsed="false">
      <c r="A468" s="26" t="s">
        <v>23</v>
      </c>
      <c r="B468" s="26" t="s">
        <v>374</v>
      </c>
      <c r="C468" s="26" t="s">
        <v>330</v>
      </c>
      <c r="D468" s="26" t="s">
        <v>280</v>
      </c>
      <c r="E468" s="26"/>
      <c r="F468" s="26"/>
      <c r="G468" s="29"/>
      <c r="H468" s="29" t="s">
        <v>332</v>
      </c>
    </row>
    <row r="469" customFormat="false" ht="23.85" hidden="false" customHeight="false" outlineLevel="0" collapsed="false">
      <c r="A469" s="26" t="s">
        <v>23</v>
      </c>
      <c r="B469" s="26" t="s">
        <v>375</v>
      </c>
      <c r="C469" s="26" t="s">
        <v>330</v>
      </c>
      <c r="D469" s="26" t="s">
        <v>280</v>
      </c>
      <c r="E469" s="26"/>
      <c r="F469" s="26" t="s">
        <v>284</v>
      </c>
      <c r="G469" s="29" t="s">
        <v>376</v>
      </c>
      <c r="H469" s="29" t="s">
        <v>377</v>
      </c>
    </row>
    <row r="470" customFormat="false" ht="23.85" hidden="false" customHeight="false" outlineLevel="0" collapsed="false">
      <c r="A470" s="26" t="s">
        <v>23</v>
      </c>
      <c r="B470" s="26" t="s">
        <v>378</v>
      </c>
      <c r="C470" s="26" t="s">
        <v>330</v>
      </c>
      <c r="D470" s="26" t="s">
        <v>275</v>
      </c>
      <c r="E470" s="26"/>
      <c r="F470" s="26"/>
      <c r="G470" s="29"/>
      <c r="H470" s="29" t="s">
        <v>377</v>
      </c>
    </row>
    <row r="471" customFormat="false" ht="23.85" hidden="false" customHeight="false" outlineLevel="0" collapsed="false">
      <c r="A471" s="26" t="s">
        <v>23</v>
      </c>
      <c r="B471" s="26" t="s">
        <v>379</v>
      </c>
      <c r="C471" s="26" t="s">
        <v>330</v>
      </c>
      <c r="D471" s="26" t="s">
        <v>275</v>
      </c>
      <c r="E471" s="26"/>
      <c r="F471" s="26"/>
      <c r="G471" s="29"/>
      <c r="H471" s="29" t="s">
        <v>377</v>
      </c>
    </row>
    <row r="472" customFormat="false" ht="23.85" hidden="false" customHeight="false" outlineLevel="0" collapsed="false">
      <c r="A472" s="26" t="s">
        <v>23</v>
      </c>
      <c r="B472" s="26" t="s">
        <v>380</v>
      </c>
      <c r="C472" s="26" t="s">
        <v>330</v>
      </c>
      <c r="D472" s="26" t="s">
        <v>280</v>
      </c>
      <c r="E472" s="26"/>
      <c r="F472" s="26"/>
      <c r="G472" s="29" t="s">
        <v>381</v>
      </c>
      <c r="H472" s="29" t="s">
        <v>377</v>
      </c>
    </row>
    <row r="473" customFormat="false" ht="23.85" hidden="false" customHeight="false" outlineLevel="0" collapsed="false">
      <c r="A473" s="26" t="s">
        <v>23</v>
      </c>
      <c r="B473" s="26" t="s">
        <v>382</v>
      </c>
      <c r="C473" s="26" t="s">
        <v>330</v>
      </c>
      <c r="D473" s="26" t="s">
        <v>280</v>
      </c>
      <c r="E473" s="26"/>
      <c r="F473" s="26"/>
      <c r="G473" s="29" t="s">
        <v>383</v>
      </c>
      <c r="H473" s="29" t="s">
        <v>377</v>
      </c>
    </row>
    <row r="474" customFormat="false" ht="15" hidden="false" customHeight="false" outlineLevel="0" collapsed="false">
      <c r="A474" s="26" t="s">
        <v>23</v>
      </c>
      <c r="B474" s="26" t="s">
        <v>384</v>
      </c>
      <c r="C474" s="26" t="s">
        <v>330</v>
      </c>
      <c r="D474" s="26" t="s">
        <v>280</v>
      </c>
      <c r="E474" s="26"/>
      <c r="F474" s="26"/>
      <c r="G474" s="29" t="s">
        <v>385</v>
      </c>
      <c r="H474" s="29" t="s">
        <v>332</v>
      </c>
    </row>
    <row r="475" customFormat="false" ht="15" hidden="false" customHeight="false" outlineLevel="0" collapsed="false">
      <c r="A475" s="26" t="s">
        <v>23</v>
      </c>
      <c r="B475" s="26" t="s">
        <v>386</v>
      </c>
      <c r="C475" s="26" t="s">
        <v>330</v>
      </c>
      <c r="D475" s="26" t="s">
        <v>280</v>
      </c>
      <c r="E475" s="26"/>
      <c r="F475" s="26"/>
      <c r="G475" s="29"/>
      <c r="H475" s="29" t="s">
        <v>332</v>
      </c>
    </row>
    <row r="476" customFormat="false" ht="15" hidden="false" customHeight="false" outlineLevel="0" collapsed="false">
      <c r="A476" s="26" t="s">
        <v>23</v>
      </c>
      <c r="B476" s="26" t="s">
        <v>387</v>
      </c>
      <c r="C476" s="26" t="s">
        <v>330</v>
      </c>
      <c r="D476" s="26" t="s">
        <v>280</v>
      </c>
      <c r="E476" s="26"/>
      <c r="F476" s="26"/>
      <c r="G476" s="29" t="s">
        <v>388</v>
      </c>
      <c r="H476" s="29" t="s">
        <v>332</v>
      </c>
    </row>
    <row r="477" customFormat="false" ht="15" hidden="false" customHeight="false" outlineLevel="0" collapsed="false">
      <c r="A477" s="26" t="s">
        <v>23</v>
      </c>
      <c r="B477" s="26" t="s">
        <v>389</v>
      </c>
      <c r="C477" s="26" t="s">
        <v>330</v>
      </c>
      <c r="D477" s="26" t="s">
        <v>280</v>
      </c>
      <c r="E477" s="26"/>
      <c r="F477" s="26"/>
      <c r="G477" s="29"/>
      <c r="H477" s="29" t="s">
        <v>332</v>
      </c>
    </row>
    <row r="478" customFormat="false" ht="23.85" hidden="false" customHeight="false" outlineLevel="0" collapsed="false">
      <c r="A478" s="26" t="s">
        <v>23</v>
      </c>
      <c r="B478" s="26" t="s">
        <v>390</v>
      </c>
      <c r="C478" s="26" t="s">
        <v>330</v>
      </c>
      <c r="D478" s="26" t="s">
        <v>280</v>
      </c>
      <c r="E478" s="26"/>
      <c r="F478" s="26"/>
      <c r="G478" s="29" t="s">
        <v>391</v>
      </c>
      <c r="H478" s="29" t="s">
        <v>377</v>
      </c>
    </row>
    <row r="479" customFormat="false" ht="23.85" hidden="false" customHeight="false" outlineLevel="0" collapsed="false">
      <c r="A479" s="26" t="s">
        <v>23</v>
      </c>
      <c r="B479" s="26" t="s">
        <v>392</v>
      </c>
      <c r="C479" s="26" t="s">
        <v>330</v>
      </c>
      <c r="D479" s="26" t="s">
        <v>280</v>
      </c>
      <c r="E479" s="26"/>
      <c r="F479" s="26"/>
      <c r="G479" s="29"/>
      <c r="H479" s="29" t="s">
        <v>377</v>
      </c>
    </row>
    <row r="480" customFormat="false" ht="15" hidden="false" customHeight="false" outlineLevel="0" collapsed="false">
      <c r="A480" s="26" t="s">
        <v>23</v>
      </c>
      <c r="B480" s="26" t="s">
        <v>393</v>
      </c>
      <c r="C480" s="26" t="s">
        <v>330</v>
      </c>
      <c r="D480" s="26" t="s">
        <v>280</v>
      </c>
      <c r="E480" s="26"/>
      <c r="F480" s="26"/>
      <c r="G480" s="29"/>
      <c r="H480" s="29" t="s">
        <v>332</v>
      </c>
    </row>
    <row r="481" customFormat="false" ht="15" hidden="false" customHeight="false" outlineLevel="0" collapsed="false">
      <c r="A481" s="26" t="s">
        <v>23</v>
      </c>
      <c r="B481" s="26" t="s">
        <v>394</v>
      </c>
      <c r="C481" s="26" t="s">
        <v>330</v>
      </c>
      <c r="D481" s="26" t="s">
        <v>280</v>
      </c>
      <c r="E481" s="26"/>
      <c r="F481" s="26"/>
      <c r="G481" s="29"/>
      <c r="H481" s="29" t="s">
        <v>332</v>
      </c>
    </row>
    <row r="482" customFormat="false" ht="15" hidden="false" customHeight="false" outlineLevel="0" collapsed="false">
      <c r="A482" s="26" t="s">
        <v>23</v>
      </c>
      <c r="B482" s="26" t="s">
        <v>395</v>
      </c>
      <c r="C482" s="26" t="s">
        <v>330</v>
      </c>
      <c r="D482" s="26" t="s">
        <v>280</v>
      </c>
      <c r="E482" s="26"/>
      <c r="F482" s="26" t="s">
        <v>284</v>
      </c>
      <c r="G482" s="29" t="s">
        <v>396</v>
      </c>
      <c r="H482" s="29" t="s">
        <v>332</v>
      </c>
    </row>
    <row r="483" customFormat="false" ht="15" hidden="false" customHeight="false" outlineLevel="0" collapsed="false">
      <c r="A483" s="26" t="s">
        <v>23</v>
      </c>
      <c r="B483" s="26" t="s">
        <v>397</v>
      </c>
      <c r="C483" s="26" t="s">
        <v>330</v>
      </c>
      <c r="D483" s="26" t="s">
        <v>280</v>
      </c>
      <c r="E483" s="26"/>
      <c r="F483" s="26"/>
      <c r="G483" s="29"/>
      <c r="H483" s="29" t="s">
        <v>332</v>
      </c>
    </row>
    <row r="484" customFormat="false" ht="15" hidden="false" customHeight="false" outlineLevel="0" collapsed="false">
      <c r="A484" s="26" t="s">
        <v>23</v>
      </c>
      <c r="B484" s="26" t="s">
        <v>398</v>
      </c>
      <c r="C484" s="26" t="s">
        <v>330</v>
      </c>
      <c r="D484" s="26" t="s">
        <v>280</v>
      </c>
      <c r="E484" s="26"/>
      <c r="F484" s="26"/>
      <c r="G484" s="29" t="s">
        <v>399</v>
      </c>
      <c r="H484" s="29" t="s">
        <v>332</v>
      </c>
    </row>
    <row r="485" customFormat="false" ht="15" hidden="false" customHeight="false" outlineLevel="0" collapsed="false">
      <c r="A485" s="26" t="s">
        <v>23</v>
      </c>
      <c r="B485" s="26" t="s">
        <v>400</v>
      </c>
      <c r="C485" s="26" t="s">
        <v>330</v>
      </c>
      <c r="D485" s="26" t="s">
        <v>275</v>
      </c>
      <c r="E485" s="26"/>
      <c r="F485" s="26"/>
      <c r="G485" s="29" t="s">
        <v>401</v>
      </c>
      <c r="H485" s="29" t="s">
        <v>332</v>
      </c>
    </row>
    <row r="486" customFormat="false" ht="15" hidden="false" customHeight="false" outlineLevel="0" collapsed="false">
      <c r="A486" s="26" t="s">
        <v>23</v>
      </c>
      <c r="B486" s="26" t="s">
        <v>402</v>
      </c>
      <c r="C486" s="26" t="s">
        <v>330</v>
      </c>
      <c r="D486" s="26" t="s">
        <v>275</v>
      </c>
      <c r="E486" s="26"/>
      <c r="F486" s="26"/>
      <c r="G486" s="29" t="s">
        <v>403</v>
      </c>
      <c r="H486" s="29" t="s">
        <v>332</v>
      </c>
    </row>
    <row r="487" customFormat="false" ht="15" hidden="false" customHeight="false" outlineLevel="0" collapsed="false">
      <c r="A487" s="26" t="s">
        <v>23</v>
      </c>
      <c r="B487" s="26" t="s">
        <v>404</v>
      </c>
      <c r="C487" s="26" t="s">
        <v>330</v>
      </c>
      <c r="D487" s="26" t="s">
        <v>275</v>
      </c>
      <c r="E487" s="26"/>
      <c r="F487" s="26"/>
      <c r="G487" s="29" t="s">
        <v>405</v>
      </c>
      <c r="H487" s="29" t="s">
        <v>332</v>
      </c>
    </row>
    <row r="488" customFormat="false" ht="15" hidden="false" customHeight="false" outlineLevel="0" collapsed="false">
      <c r="A488" s="26" t="s">
        <v>23</v>
      </c>
      <c r="B488" s="26" t="s">
        <v>406</v>
      </c>
      <c r="C488" s="26" t="s">
        <v>407</v>
      </c>
      <c r="D488" s="26" t="s">
        <v>275</v>
      </c>
      <c r="E488" s="26"/>
      <c r="F488" s="26"/>
      <c r="G488" s="29" t="s">
        <v>408</v>
      </c>
      <c r="H488" s="29" t="s">
        <v>277</v>
      </c>
    </row>
    <row r="489" customFormat="false" ht="15" hidden="false" customHeight="false" outlineLevel="0" collapsed="false">
      <c r="A489" s="26" t="s">
        <v>23</v>
      </c>
      <c r="B489" s="26" t="s">
        <v>409</v>
      </c>
      <c r="C489" s="26" t="s">
        <v>407</v>
      </c>
      <c r="D489" s="26" t="s">
        <v>275</v>
      </c>
      <c r="E489" s="26"/>
      <c r="F489" s="26"/>
      <c r="G489" s="29" t="s">
        <v>410</v>
      </c>
      <c r="H489" s="29" t="s">
        <v>277</v>
      </c>
    </row>
    <row r="490" customFormat="false" ht="23.85" hidden="false" customHeight="false" outlineLevel="0" collapsed="false">
      <c r="A490" s="26" t="s">
        <v>25</v>
      </c>
      <c r="B490" s="26" t="s">
        <v>102</v>
      </c>
      <c r="C490" s="26" t="s">
        <v>274</v>
      </c>
      <c r="D490" s="26" t="s">
        <v>275</v>
      </c>
      <c r="E490" s="26"/>
      <c r="F490" s="26"/>
      <c r="G490" s="29" t="s">
        <v>276</v>
      </c>
      <c r="H490" s="29" t="s">
        <v>277</v>
      </c>
    </row>
    <row r="491" customFormat="false" ht="15" hidden="false" customHeight="false" outlineLevel="0" collapsed="false">
      <c r="A491" s="26" t="s">
        <v>25</v>
      </c>
      <c r="B491" s="26" t="s">
        <v>103</v>
      </c>
      <c r="C491" s="26" t="s">
        <v>274</v>
      </c>
      <c r="D491" s="26" t="s">
        <v>275</v>
      </c>
      <c r="E491" s="26"/>
      <c r="F491" s="26"/>
      <c r="G491" s="29" t="s">
        <v>278</v>
      </c>
      <c r="H491" s="29" t="s">
        <v>277</v>
      </c>
    </row>
    <row r="492" customFormat="false" ht="15" hidden="false" customHeight="false" outlineLevel="0" collapsed="false">
      <c r="A492" s="26" t="s">
        <v>25</v>
      </c>
      <c r="B492" s="26" t="s">
        <v>279</v>
      </c>
      <c r="C492" s="26" t="s">
        <v>274</v>
      </c>
      <c r="D492" s="26" t="s">
        <v>280</v>
      </c>
      <c r="E492" s="26"/>
      <c r="F492" s="26"/>
      <c r="G492" s="29" t="s">
        <v>281</v>
      </c>
      <c r="H492" s="29" t="s">
        <v>277</v>
      </c>
    </row>
    <row r="493" customFormat="false" ht="15" hidden="false" customHeight="false" outlineLevel="0" collapsed="false">
      <c r="A493" s="26" t="s">
        <v>25</v>
      </c>
      <c r="B493" s="26" t="s">
        <v>531</v>
      </c>
      <c r="C493" s="26" t="s">
        <v>283</v>
      </c>
      <c r="D493" s="26" t="s">
        <v>280</v>
      </c>
      <c r="E493" s="26"/>
      <c r="F493" s="26" t="s">
        <v>284</v>
      </c>
      <c r="G493" s="29"/>
      <c r="H493" s="29" t="s">
        <v>285</v>
      </c>
    </row>
    <row r="494" customFormat="false" ht="15" hidden="false" customHeight="false" outlineLevel="0" collapsed="false">
      <c r="A494" s="26" t="s">
        <v>25</v>
      </c>
      <c r="B494" s="26" t="s">
        <v>532</v>
      </c>
      <c r="C494" s="26" t="s">
        <v>283</v>
      </c>
      <c r="D494" s="26" t="s">
        <v>280</v>
      </c>
      <c r="E494" s="26"/>
      <c r="F494" s="26" t="s">
        <v>284</v>
      </c>
      <c r="G494" s="29"/>
      <c r="H494" s="29" t="s">
        <v>285</v>
      </c>
    </row>
    <row r="495" customFormat="false" ht="15" hidden="false" customHeight="false" outlineLevel="0" collapsed="false">
      <c r="A495" s="26" t="s">
        <v>25</v>
      </c>
      <c r="B495" s="26" t="s">
        <v>533</v>
      </c>
      <c r="C495" s="26" t="s">
        <v>289</v>
      </c>
      <c r="D495" s="26" t="s">
        <v>280</v>
      </c>
      <c r="E495" s="26" t="s">
        <v>313</v>
      </c>
      <c r="F495" s="26"/>
      <c r="G495" s="29"/>
      <c r="H495" s="29" t="s">
        <v>291</v>
      </c>
    </row>
    <row r="496" customFormat="false" ht="15" hidden="false" customHeight="false" outlineLevel="0" collapsed="false">
      <c r="A496" s="26" t="s">
        <v>25</v>
      </c>
      <c r="B496" s="26" t="s">
        <v>534</v>
      </c>
      <c r="C496" s="26" t="s">
        <v>289</v>
      </c>
      <c r="D496" s="26" t="s">
        <v>280</v>
      </c>
      <c r="E496" s="26" t="s">
        <v>313</v>
      </c>
      <c r="F496" s="26"/>
      <c r="G496" s="29"/>
      <c r="H496" s="29" t="s">
        <v>291</v>
      </c>
    </row>
    <row r="497" customFormat="false" ht="15" hidden="false" customHeight="false" outlineLevel="0" collapsed="false">
      <c r="A497" s="26" t="s">
        <v>25</v>
      </c>
      <c r="B497" s="26" t="s">
        <v>535</v>
      </c>
      <c r="C497" s="26" t="s">
        <v>289</v>
      </c>
      <c r="D497" s="26" t="s">
        <v>280</v>
      </c>
      <c r="E497" s="26" t="s">
        <v>313</v>
      </c>
      <c r="F497" s="26"/>
      <c r="G497" s="29"/>
      <c r="H497" s="29" t="s">
        <v>291</v>
      </c>
    </row>
    <row r="498" customFormat="false" ht="15" hidden="false" customHeight="false" outlineLevel="0" collapsed="false">
      <c r="A498" s="26" t="s">
        <v>25</v>
      </c>
      <c r="B498" s="26" t="s">
        <v>536</v>
      </c>
      <c r="C498" s="26" t="s">
        <v>283</v>
      </c>
      <c r="D498" s="26" t="s">
        <v>280</v>
      </c>
      <c r="E498" s="26"/>
      <c r="F498" s="26" t="s">
        <v>284</v>
      </c>
      <c r="G498" s="29"/>
      <c r="H498" s="29" t="s">
        <v>285</v>
      </c>
    </row>
    <row r="499" customFormat="false" ht="15" hidden="false" customHeight="false" outlineLevel="0" collapsed="false">
      <c r="A499" s="26" t="s">
        <v>25</v>
      </c>
      <c r="B499" s="26" t="s">
        <v>537</v>
      </c>
      <c r="C499" s="26" t="s">
        <v>283</v>
      </c>
      <c r="D499" s="26" t="s">
        <v>280</v>
      </c>
      <c r="E499" s="26"/>
      <c r="F499" s="26"/>
      <c r="G499" s="29"/>
      <c r="H499" s="29" t="s">
        <v>285</v>
      </c>
    </row>
    <row r="500" customFormat="false" ht="15" hidden="false" customHeight="false" outlineLevel="0" collapsed="false">
      <c r="A500" s="26" t="s">
        <v>25</v>
      </c>
      <c r="B500" s="26" t="s">
        <v>538</v>
      </c>
      <c r="C500" s="26" t="s">
        <v>283</v>
      </c>
      <c r="D500" s="26" t="s">
        <v>280</v>
      </c>
      <c r="E500" s="26"/>
      <c r="F500" s="26" t="s">
        <v>284</v>
      </c>
      <c r="G500" s="29"/>
      <c r="H500" s="29" t="s">
        <v>285</v>
      </c>
    </row>
    <row r="501" customFormat="false" ht="15" hidden="false" customHeight="false" outlineLevel="0" collapsed="false">
      <c r="A501" s="26" t="s">
        <v>25</v>
      </c>
      <c r="B501" s="26" t="s">
        <v>539</v>
      </c>
      <c r="C501" s="26" t="s">
        <v>289</v>
      </c>
      <c r="D501" s="26" t="s">
        <v>280</v>
      </c>
      <c r="E501" s="26"/>
      <c r="F501" s="26"/>
      <c r="G501" s="29"/>
      <c r="H501" s="29" t="s">
        <v>291</v>
      </c>
    </row>
    <row r="502" customFormat="false" ht="15" hidden="false" customHeight="false" outlineLevel="0" collapsed="false">
      <c r="A502" s="26" t="s">
        <v>25</v>
      </c>
      <c r="B502" s="26" t="s">
        <v>320</v>
      </c>
      <c r="C502" s="26" t="s">
        <v>299</v>
      </c>
      <c r="D502" s="26" t="s">
        <v>280</v>
      </c>
      <c r="E502" s="26"/>
      <c r="F502" s="26"/>
      <c r="G502" s="29" t="s">
        <v>321</v>
      </c>
      <c r="H502" s="29" t="s">
        <v>300</v>
      </c>
    </row>
    <row r="503" customFormat="false" ht="15" hidden="false" customHeight="false" outlineLevel="0" collapsed="false">
      <c r="A503" s="26" t="s">
        <v>25</v>
      </c>
      <c r="B503" s="26" t="s">
        <v>322</v>
      </c>
      <c r="C503" s="26" t="s">
        <v>299</v>
      </c>
      <c r="D503" s="26" t="s">
        <v>280</v>
      </c>
      <c r="E503" s="26" t="s">
        <v>323</v>
      </c>
      <c r="F503" s="26"/>
      <c r="G503" s="29" t="s">
        <v>324</v>
      </c>
      <c r="H503" s="29" t="s">
        <v>300</v>
      </c>
    </row>
    <row r="504" customFormat="false" ht="15" hidden="false" customHeight="false" outlineLevel="0" collapsed="false">
      <c r="A504" s="26" t="s">
        <v>25</v>
      </c>
      <c r="B504" s="26" t="s">
        <v>325</v>
      </c>
      <c r="C504" s="26" t="s">
        <v>299</v>
      </c>
      <c r="D504" s="26" t="s">
        <v>280</v>
      </c>
      <c r="E504" s="26"/>
      <c r="F504" s="26"/>
      <c r="G504" s="29" t="s">
        <v>326</v>
      </c>
      <c r="H504" s="29" t="s">
        <v>300</v>
      </c>
    </row>
    <row r="505" customFormat="false" ht="15" hidden="false" customHeight="false" outlineLevel="0" collapsed="false">
      <c r="A505" s="26" t="s">
        <v>25</v>
      </c>
      <c r="B505" s="26" t="s">
        <v>327</v>
      </c>
      <c r="C505" s="26" t="s">
        <v>299</v>
      </c>
      <c r="D505" s="26" t="s">
        <v>280</v>
      </c>
      <c r="E505" s="26" t="s">
        <v>290</v>
      </c>
      <c r="F505" s="26"/>
      <c r="G505" s="29" t="s">
        <v>328</v>
      </c>
      <c r="H505" s="29" t="s">
        <v>300</v>
      </c>
    </row>
    <row r="506" customFormat="false" ht="15" hidden="false" customHeight="false" outlineLevel="0" collapsed="false">
      <c r="A506" s="26" t="s">
        <v>25</v>
      </c>
      <c r="B506" s="26" t="s">
        <v>329</v>
      </c>
      <c r="C506" s="26" t="s">
        <v>330</v>
      </c>
      <c r="D506" s="26" t="s">
        <v>280</v>
      </c>
      <c r="E506" s="26"/>
      <c r="F506" s="26" t="s">
        <v>284</v>
      </c>
      <c r="G506" s="29" t="s">
        <v>331</v>
      </c>
      <c r="H506" s="29" t="s">
        <v>332</v>
      </c>
    </row>
    <row r="507" customFormat="false" ht="23.85" hidden="false" customHeight="false" outlineLevel="0" collapsed="false">
      <c r="A507" s="26" t="s">
        <v>25</v>
      </c>
      <c r="B507" s="26" t="s">
        <v>333</v>
      </c>
      <c r="C507" s="26" t="s">
        <v>330</v>
      </c>
      <c r="D507" s="26" t="s">
        <v>280</v>
      </c>
      <c r="E507" s="26"/>
      <c r="F507" s="26"/>
      <c r="G507" s="29" t="s">
        <v>334</v>
      </c>
      <c r="H507" s="29" t="s">
        <v>332</v>
      </c>
    </row>
    <row r="508" customFormat="false" ht="15" hidden="false" customHeight="false" outlineLevel="0" collapsed="false">
      <c r="A508" s="26" t="s">
        <v>25</v>
      </c>
      <c r="B508" s="26" t="s">
        <v>131</v>
      </c>
      <c r="C508" s="26" t="s">
        <v>330</v>
      </c>
      <c r="D508" s="26" t="s">
        <v>280</v>
      </c>
      <c r="E508" s="26"/>
      <c r="F508" s="26" t="s">
        <v>284</v>
      </c>
      <c r="G508" s="29"/>
      <c r="H508" s="29" t="s">
        <v>332</v>
      </c>
    </row>
    <row r="509" customFormat="false" ht="23.85" hidden="false" customHeight="false" outlineLevel="0" collapsed="false">
      <c r="A509" s="26" t="s">
        <v>25</v>
      </c>
      <c r="B509" s="26" t="s">
        <v>132</v>
      </c>
      <c r="C509" s="26" t="s">
        <v>330</v>
      </c>
      <c r="D509" s="26" t="s">
        <v>280</v>
      </c>
      <c r="E509" s="26"/>
      <c r="F509" s="26" t="s">
        <v>284</v>
      </c>
      <c r="G509" s="29" t="s">
        <v>335</v>
      </c>
      <c r="H509" s="29" t="s">
        <v>332</v>
      </c>
    </row>
    <row r="510" customFormat="false" ht="15" hidden="false" customHeight="false" outlineLevel="0" collapsed="false">
      <c r="A510" s="26" t="s">
        <v>25</v>
      </c>
      <c r="B510" s="26" t="s">
        <v>133</v>
      </c>
      <c r="C510" s="26" t="s">
        <v>330</v>
      </c>
      <c r="D510" s="26" t="s">
        <v>280</v>
      </c>
      <c r="E510" s="26"/>
      <c r="F510" s="26" t="s">
        <v>284</v>
      </c>
      <c r="G510" s="29"/>
      <c r="H510" s="29" t="s">
        <v>332</v>
      </c>
    </row>
    <row r="511" customFormat="false" ht="15" hidden="false" customHeight="false" outlineLevel="0" collapsed="false">
      <c r="A511" s="26" t="s">
        <v>25</v>
      </c>
      <c r="B511" s="26" t="s">
        <v>336</v>
      </c>
      <c r="C511" s="26" t="s">
        <v>337</v>
      </c>
      <c r="D511" s="26" t="s">
        <v>280</v>
      </c>
      <c r="E511" s="26" t="s">
        <v>338</v>
      </c>
      <c r="F511" s="26" t="s">
        <v>284</v>
      </c>
      <c r="G511" s="29" t="s">
        <v>339</v>
      </c>
      <c r="H511" s="29" t="s">
        <v>340</v>
      </c>
    </row>
    <row r="512" customFormat="false" ht="15" hidden="false" customHeight="false" outlineLevel="0" collapsed="false">
      <c r="A512" s="26" t="s">
        <v>25</v>
      </c>
      <c r="B512" s="26" t="s">
        <v>341</v>
      </c>
      <c r="C512" s="26" t="s">
        <v>337</v>
      </c>
      <c r="D512" s="26" t="s">
        <v>280</v>
      </c>
      <c r="E512" s="26"/>
      <c r="F512" s="26"/>
      <c r="G512" s="29" t="s">
        <v>342</v>
      </c>
      <c r="H512" s="29" t="s">
        <v>340</v>
      </c>
    </row>
    <row r="513" customFormat="false" ht="15" hidden="false" customHeight="false" outlineLevel="0" collapsed="false">
      <c r="A513" s="26" t="s">
        <v>25</v>
      </c>
      <c r="B513" s="26" t="s">
        <v>343</v>
      </c>
      <c r="C513" s="26" t="s">
        <v>337</v>
      </c>
      <c r="D513" s="26" t="s">
        <v>275</v>
      </c>
      <c r="E513" s="26"/>
      <c r="F513" s="26"/>
      <c r="G513" s="29"/>
      <c r="H513" s="29" t="s">
        <v>340</v>
      </c>
    </row>
    <row r="514" customFormat="false" ht="15" hidden="false" customHeight="false" outlineLevel="0" collapsed="false">
      <c r="A514" s="26" t="s">
        <v>25</v>
      </c>
      <c r="B514" s="26" t="s">
        <v>344</v>
      </c>
      <c r="C514" s="26" t="s">
        <v>337</v>
      </c>
      <c r="D514" s="26" t="s">
        <v>275</v>
      </c>
      <c r="E514" s="26"/>
      <c r="F514" s="26"/>
      <c r="G514" s="29"/>
      <c r="H514" s="29" t="s">
        <v>340</v>
      </c>
    </row>
    <row r="515" customFormat="false" ht="15" hidden="false" customHeight="false" outlineLevel="0" collapsed="false">
      <c r="A515" s="26" t="s">
        <v>25</v>
      </c>
      <c r="B515" s="26" t="s">
        <v>345</v>
      </c>
      <c r="C515" s="26" t="s">
        <v>337</v>
      </c>
      <c r="D515" s="26" t="s">
        <v>275</v>
      </c>
      <c r="E515" s="26"/>
      <c r="F515" s="26"/>
      <c r="G515" s="29"/>
      <c r="H515" s="29" t="s">
        <v>340</v>
      </c>
    </row>
    <row r="516" customFormat="false" ht="15" hidden="false" customHeight="false" outlineLevel="0" collapsed="false">
      <c r="A516" s="26" t="s">
        <v>25</v>
      </c>
      <c r="B516" s="26" t="s">
        <v>346</v>
      </c>
      <c r="C516" s="26" t="s">
        <v>337</v>
      </c>
      <c r="D516" s="26" t="s">
        <v>275</v>
      </c>
      <c r="E516" s="26"/>
      <c r="F516" s="26"/>
      <c r="G516" s="29"/>
      <c r="H516" s="29" t="s">
        <v>340</v>
      </c>
    </row>
    <row r="517" customFormat="false" ht="15" hidden="false" customHeight="false" outlineLevel="0" collapsed="false">
      <c r="A517" s="26" t="s">
        <v>25</v>
      </c>
      <c r="B517" s="26" t="s">
        <v>347</v>
      </c>
      <c r="C517" s="26" t="s">
        <v>337</v>
      </c>
      <c r="D517" s="26" t="s">
        <v>275</v>
      </c>
      <c r="E517" s="26"/>
      <c r="F517" s="26"/>
      <c r="G517" s="29"/>
      <c r="H517" s="29" t="s">
        <v>340</v>
      </c>
    </row>
    <row r="518" customFormat="false" ht="15" hidden="false" customHeight="false" outlineLevel="0" collapsed="false">
      <c r="A518" s="26" t="s">
        <v>25</v>
      </c>
      <c r="B518" s="26" t="s">
        <v>348</v>
      </c>
      <c r="C518" s="26" t="s">
        <v>337</v>
      </c>
      <c r="D518" s="26" t="s">
        <v>275</v>
      </c>
      <c r="E518" s="26"/>
      <c r="F518" s="26"/>
      <c r="G518" s="29"/>
      <c r="H518" s="29" t="s">
        <v>340</v>
      </c>
    </row>
    <row r="519" customFormat="false" ht="15" hidden="false" customHeight="false" outlineLevel="0" collapsed="false">
      <c r="A519" s="26" t="s">
        <v>25</v>
      </c>
      <c r="B519" s="26" t="s">
        <v>349</v>
      </c>
      <c r="C519" s="26" t="s">
        <v>337</v>
      </c>
      <c r="D519" s="26" t="s">
        <v>280</v>
      </c>
      <c r="E519" s="26"/>
      <c r="F519" s="26"/>
      <c r="G519" s="29" t="s">
        <v>350</v>
      </c>
      <c r="H519" s="29" t="s">
        <v>340</v>
      </c>
    </row>
    <row r="520" customFormat="false" ht="15" hidden="false" customHeight="false" outlineLevel="0" collapsed="false">
      <c r="A520" s="26" t="s">
        <v>25</v>
      </c>
      <c r="B520" s="26" t="s">
        <v>351</v>
      </c>
      <c r="C520" s="26" t="s">
        <v>352</v>
      </c>
      <c r="D520" s="26" t="s">
        <v>280</v>
      </c>
      <c r="E520" s="26"/>
      <c r="F520" s="26" t="s">
        <v>284</v>
      </c>
      <c r="G520" s="29" t="s">
        <v>353</v>
      </c>
      <c r="H520" s="29" t="s">
        <v>354</v>
      </c>
    </row>
    <row r="521" customFormat="false" ht="15" hidden="false" customHeight="false" outlineLevel="0" collapsed="false">
      <c r="A521" s="26" t="s">
        <v>25</v>
      </c>
      <c r="B521" s="26" t="s">
        <v>355</v>
      </c>
      <c r="C521" s="26" t="s">
        <v>352</v>
      </c>
      <c r="D521" s="26" t="s">
        <v>280</v>
      </c>
      <c r="E521" s="26" t="s">
        <v>356</v>
      </c>
      <c r="F521" s="26"/>
      <c r="G521" s="29"/>
      <c r="H521" s="29" t="s">
        <v>354</v>
      </c>
    </row>
    <row r="522" customFormat="false" ht="15" hidden="false" customHeight="false" outlineLevel="0" collapsed="false">
      <c r="A522" s="26" t="s">
        <v>25</v>
      </c>
      <c r="B522" s="26" t="s">
        <v>357</v>
      </c>
      <c r="C522" s="26" t="s">
        <v>352</v>
      </c>
      <c r="D522" s="26" t="s">
        <v>280</v>
      </c>
      <c r="E522" s="26" t="s">
        <v>358</v>
      </c>
      <c r="F522" s="26"/>
      <c r="G522" s="29"/>
      <c r="H522" s="29" t="s">
        <v>354</v>
      </c>
    </row>
    <row r="523" customFormat="false" ht="15" hidden="false" customHeight="false" outlineLevel="0" collapsed="false">
      <c r="A523" s="26" t="s">
        <v>25</v>
      </c>
      <c r="B523" s="26" t="s">
        <v>359</v>
      </c>
      <c r="C523" s="26" t="s">
        <v>352</v>
      </c>
      <c r="D523" s="26" t="s">
        <v>280</v>
      </c>
      <c r="E523" s="26" t="s">
        <v>358</v>
      </c>
      <c r="F523" s="26"/>
      <c r="G523" s="29"/>
      <c r="H523" s="29" t="s">
        <v>354</v>
      </c>
    </row>
    <row r="524" customFormat="false" ht="15" hidden="false" customHeight="false" outlineLevel="0" collapsed="false">
      <c r="A524" s="26" t="s">
        <v>25</v>
      </c>
      <c r="B524" s="26" t="s">
        <v>360</v>
      </c>
      <c r="C524" s="26" t="s">
        <v>352</v>
      </c>
      <c r="D524" s="26" t="s">
        <v>280</v>
      </c>
      <c r="E524" s="26" t="s">
        <v>361</v>
      </c>
      <c r="F524" s="26"/>
      <c r="G524" s="29"/>
      <c r="H524" s="29" t="s">
        <v>354</v>
      </c>
    </row>
    <row r="525" customFormat="false" ht="15" hidden="false" customHeight="false" outlineLevel="0" collapsed="false">
      <c r="A525" s="26" t="s">
        <v>25</v>
      </c>
      <c r="B525" s="26" t="s">
        <v>362</v>
      </c>
      <c r="C525" s="26" t="s">
        <v>352</v>
      </c>
      <c r="D525" s="26" t="s">
        <v>280</v>
      </c>
      <c r="E525" s="26" t="s">
        <v>356</v>
      </c>
      <c r="F525" s="26"/>
      <c r="G525" s="29"/>
      <c r="H525" s="29" t="s">
        <v>354</v>
      </c>
    </row>
    <row r="526" customFormat="false" ht="15" hidden="false" customHeight="false" outlineLevel="0" collapsed="false">
      <c r="A526" s="26" t="s">
        <v>25</v>
      </c>
      <c r="B526" s="26" t="s">
        <v>363</v>
      </c>
      <c r="C526" s="26" t="s">
        <v>352</v>
      </c>
      <c r="D526" s="26" t="s">
        <v>275</v>
      </c>
      <c r="E526" s="26" t="s">
        <v>358</v>
      </c>
      <c r="F526" s="26"/>
      <c r="G526" s="29" t="s">
        <v>364</v>
      </c>
      <c r="H526" s="29" t="s">
        <v>354</v>
      </c>
    </row>
    <row r="527" customFormat="false" ht="23.85" hidden="false" customHeight="false" outlineLevel="0" collapsed="false">
      <c r="A527" s="26" t="s">
        <v>25</v>
      </c>
      <c r="B527" s="26" t="s">
        <v>365</v>
      </c>
      <c r="C527" s="26" t="s">
        <v>352</v>
      </c>
      <c r="D527" s="26" t="s">
        <v>275</v>
      </c>
      <c r="E527" s="26"/>
      <c r="F527" s="26"/>
      <c r="G527" s="29" t="s">
        <v>366</v>
      </c>
      <c r="H527" s="29" t="s">
        <v>354</v>
      </c>
    </row>
    <row r="528" customFormat="false" ht="23.85" hidden="false" customHeight="false" outlineLevel="0" collapsed="false">
      <c r="A528" s="26" t="s">
        <v>25</v>
      </c>
      <c r="B528" s="26" t="s">
        <v>371</v>
      </c>
      <c r="C528" s="26" t="s">
        <v>318</v>
      </c>
      <c r="D528" s="26" t="s">
        <v>275</v>
      </c>
      <c r="E528" s="26"/>
      <c r="F528" s="26"/>
      <c r="G528" s="29" t="s">
        <v>372</v>
      </c>
      <c r="H528" s="29" t="s">
        <v>319</v>
      </c>
    </row>
    <row r="529" customFormat="false" ht="15" hidden="false" customHeight="false" outlineLevel="0" collapsed="false">
      <c r="A529" s="26" t="s">
        <v>25</v>
      </c>
      <c r="B529" s="26" t="s">
        <v>373</v>
      </c>
      <c r="C529" s="26" t="s">
        <v>330</v>
      </c>
      <c r="D529" s="26" t="s">
        <v>280</v>
      </c>
      <c r="E529" s="26"/>
      <c r="F529" s="26"/>
      <c r="G529" s="29"/>
      <c r="H529" s="29" t="s">
        <v>332</v>
      </c>
    </row>
    <row r="530" customFormat="false" ht="15" hidden="false" customHeight="false" outlineLevel="0" collapsed="false">
      <c r="A530" s="26" t="s">
        <v>25</v>
      </c>
      <c r="B530" s="26" t="s">
        <v>374</v>
      </c>
      <c r="C530" s="26" t="s">
        <v>330</v>
      </c>
      <c r="D530" s="26" t="s">
        <v>280</v>
      </c>
      <c r="E530" s="26"/>
      <c r="F530" s="26"/>
      <c r="G530" s="29"/>
      <c r="H530" s="29" t="s">
        <v>332</v>
      </c>
    </row>
    <row r="531" customFormat="false" ht="23.85" hidden="false" customHeight="false" outlineLevel="0" collapsed="false">
      <c r="A531" s="26" t="s">
        <v>25</v>
      </c>
      <c r="B531" s="26" t="s">
        <v>375</v>
      </c>
      <c r="C531" s="26" t="s">
        <v>330</v>
      </c>
      <c r="D531" s="26" t="s">
        <v>280</v>
      </c>
      <c r="E531" s="26"/>
      <c r="F531" s="26" t="s">
        <v>284</v>
      </c>
      <c r="G531" s="29" t="s">
        <v>376</v>
      </c>
      <c r="H531" s="29" t="s">
        <v>377</v>
      </c>
    </row>
    <row r="532" customFormat="false" ht="23.85" hidden="false" customHeight="false" outlineLevel="0" collapsed="false">
      <c r="A532" s="26" t="s">
        <v>25</v>
      </c>
      <c r="B532" s="26" t="s">
        <v>378</v>
      </c>
      <c r="C532" s="26" t="s">
        <v>330</v>
      </c>
      <c r="D532" s="26" t="s">
        <v>275</v>
      </c>
      <c r="E532" s="26"/>
      <c r="F532" s="26"/>
      <c r="G532" s="29"/>
      <c r="H532" s="29" t="s">
        <v>377</v>
      </c>
    </row>
    <row r="533" customFormat="false" ht="23.85" hidden="false" customHeight="false" outlineLevel="0" collapsed="false">
      <c r="A533" s="26" t="s">
        <v>25</v>
      </c>
      <c r="B533" s="26" t="s">
        <v>379</v>
      </c>
      <c r="C533" s="26" t="s">
        <v>330</v>
      </c>
      <c r="D533" s="26" t="s">
        <v>275</v>
      </c>
      <c r="E533" s="26"/>
      <c r="F533" s="26"/>
      <c r="G533" s="29"/>
      <c r="H533" s="29" t="s">
        <v>377</v>
      </c>
    </row>
    <row r="534" customFormat="false" ht="23.85" hidden="false" customHeight="false" outlineLevel="0" collapsed="false">
      <c r="A534" s="26" t="s">
        <v>25</v>
      </c>
      <c r="B534" s="26" t="s">
        <v>380</v>
      </c>
      <c r="C534" s="26" t="s">
        <v>330</v>
      </c>
      <c r="D534" s="26" t="s">
        <v>280</v>
      </c>
      <c r="E534" s="26"/>
      <c r="F534" s="26"/>
      <c r="G534" s="29" t="s">
        <v>381</v>
      </c>
      <c r="H534" s="29" t="s">
        <v>377</v>
      </c>
    </row>
    <row r="535" customFormat="false" ht="23.85" hidden="false" customHeight="false" outlineLevel="0" collapsed="false">
      <c r="A535" s="26" t="s">
        <v>25</v>
      </c>
      <c r="B535" s="26" t="s">
        <v>382</v>
      </c>
      <c r="C535" s="26" t="s">
        <v>330</v>
      </c>
      <c r="D535" s="26" t="s">
        <v>280</v>
      </c>
      <c r="E535" s="26"/>
      <c r="F535" s="26"/>
      <c r="G535" s="29" t="s">
        <v>383</v>
      </c>
      <c r="H535" s="29" t="s">
        <v>377</v>
      </c>
    </row>
    <row r="536" customFormat="false" ht="15" hidden="false" customHeight="false" outlineLevel="0" collapsed="false">
      <c r="A536" s="26" t="s">
        <v>25</v>
      </c>
      <c r="B536" s="26" t="s">
        <v>384</v>
      </c>
      <c r="C536" s="26" t="s">
        <v>330</v>
      </c>
      <c r="D536" s="26" t="s">
        <v>280</v>
      </c>
      <c r="E536" s="26"/>
      <c r="F536" s="26"/>
      <c r="G536" s="29" t="s">
        <v>385</v>
      </c>
      <c r="H536" s="29" t="s">
        <v>332</v>
      </c>
    </row>
    <row r="537" customFormat="false" ht="15" hidden="false" customHeight="false" outlineLevel="0" collapsed="false">
      <c r="A537" s="26" t="s">
        <v>25</v>
      </c>
      <c r="B537" s="26" t="s">
        <v>386</v>
      </c>
      <c r="C537" s="26" t="s">
        <v>330</v>
      </c>
      <c r="D537" s="26" t="s">
        <v>280</v>
      </c>
      <c r="E537" s="26"/>
      <c r="F537" s="26"/>
      <c r="G537" s="29"/>
      <c r="H537" s="29" t="s">
        <v>332</v>
      </c>
    </row>
    <row r="538" customFormat="false" ht="15" hidden="false" customHeight="false" outlineLevel="0" collapsed="false">
      <c r="A538" s="26" t="s">
        <v>25</v>
      </c>
      <c r="B538" s="26" t="s">
        <v>387</v>
      </c>
      <c r="C538" s="26" t="s">
        <v>330</v>
      </c>
      <c r="D538" s="26" t="s">
        <v>280</v>
      </c>
      <c r="E538" s="26"/>
      <c r="F538" s="26"/>
      <c r="G538" s="29" t="s">
        <v>388</v>
      </c>
      <c r="H538" s="29" t="s">
        <v>332</v>
      </c>
    </row>
    <row r="539" customFormat="false" ht="15" hidden="false" customHeight="false" outlineLevel="0" collapsed="false">
      <c r="A539" s="26" t="s">
        <v>25</v>
      </c>
      <c r="B539" s="26" t="s">
        <v>389</v>
      </c>
      <c r="C539" s="26" t="s">
        <v>330</v>
      </c>
      <c r="D539" s="26" t="s">
        <v>280</v>
      </c>
      <c r="E539" s="26"/>
      <c r="F539" s="26"/>
      <c r="G539" s="29"/>
      <c r="H539" s="29" t="s">
        <v>332</v>
      </c>
    </row>
    <row r="540" customFormat="false" ht="23.85" hidden="false" customHeight="false" outlineLevel="0" collapsed="false">
      <c r="A540" s="26" t="s">
        <v>25</v>
      </c>
      <c r="B540" s="26" t="s">
        <v>390</v>
      </c>
      <c r="C540" s="26" t="s">
        <v>330</v>
      </c>
      <c r="D540" s="26" t="s">
        <v>280</v>
      </c>
      <c r="E540" s="26"/>
      <c r="F540" s="26"/>
      <c r="G540" s="29" t="s">
        <v>391</v>
      </c>
      <c r="H540" s="29" t="s">
        <v>377</v>
      </c>
    </row>
    <row r="541" customFormat="false" ht="23.85" hidden="false" customHeight="false" outlineLevel="0" collapsed="false">
      <c r="A541" s="26" t="s">
        <v>25</v>
      </c>
      <c r="B541" s="26" t="s">
        <v>392</v>
      </c>
      <c r="C541" s="26" t="s">
        <v>330</v>
      </c>
      <c r="D541" s="26" t="s">
        <v>280</v>
      </c>
      <c r="E541" s="26"/>
      <c r="F541" s="26"/>
      <c r="G541" s="29"/>
      <c r="H541" s="29" t="s">
        <v>377</v>
      </c>
    </row>
    <row r="542" customFormat="false" ht="15" hidden="false" customHeight="false" outlineLevel="0" collapsed="false">
      <c r="A542" s="26" t="s">
        <v>25</v>
      </c>
      <c r="B542" s="26" t="s">
        <v>393</v>
      </c>
      <c r="C542" s="26" t="s">
        <v>330</v>
      </c>
      <c r="D542" s="26" t="s">
        <v>280</v>
      </c>
      <c r="E542" s="26"/>
      <c r="F542" s="26"/>
      <c r="G542" s="29"/>
      <c r="H542" s="29" t="s">
        <v>332</v>
      </c>
    </row>
    <row r="543" customFormat="false" ht="15" hidden="false" customHeight="false" outlineLevel="0" collapsed="false">
      <c r="A543" s="26" t="s">
        <v>25</v>
      </c>
      <c r="B543" s="26" t="s">
        <v>394</v>
      </c>
      <c r="C543" s="26" t="s">
        <v>330</v>
      </c>
      <c r="D543" s="26" t="s">
        <v>280</v>
      </c>
      <c r="E543" s="26"/>
      <c r="F543" s="26"/>
      <c r="G543" s="29"/>
      <c r="H543" s="29" t="s">
        <v>332</v>
      </c>
    </row>
    <row r="544" customFormat="false" ht="15" hidden="false" customHeight="false" outlineLevel="0" collapsed="false">
      <c r="A544" s="26" t="s">
        <v>25</v>
      </c>
      <c r="B544" s="26" t="s">
        <v>395</v>
      </c>
      <c r="C544" s="26" t="s">
        <v>330</v>
      </c>
      <c r="D544" s="26" t="s">
        <v>280</v>
      </c>
      <c r="E544" s="26"/>
      <c r="F544" s="26" t="s">
        <v>284</v>
      </c>
      <c r="G544" s="29" t="s">
        <v>396</v>
      </c>
      <c r="H544" s="29" t="s">
        <v>332</v>
      </c>
    </row>
    <row r="545" customFormat="false" ht="15" hidden="false" customHeight="false" outlineLevel="0" collapsed="false">
      <c r="A545" s="26" t="s">
        <v>25</v>
      </c>
      <c r="B545" s="26" t="s">
        <v>397</v>
      </c>
      <c r="C545" s="26" t="s">
        <v>330</v>
      </c>
      <c r="D545" s="26" t="s">
        <v>280</v>
      </c>
      <c r="E545" s="26"/>
      <c r="F545" s="26"/>
      <c r="G545" s="29"/>
      <c r="H545" s="29" t="s">
        <v>332</v>
      </c>
    </row>
    <row r="546" customFormat="false" ht="15" hidden="false" customHeight="false" outlineLevel="0" collapsed="false">
      <c r="A546" s="26" t="s">
        <v>25</v>
      </c>
      <c r="B546" s="26" t="s">
        <v>398</v>
      </c>
      <c r="C546" s="26" t="s">
        <v>330</v>
      </c>
      <c r="D546" s="26" t="s">
        <v>280</v>
      </c>
      <c r="E546" s="26"/>
      <c r="F546" s="26"/>
      <c r="G546" s="29" t="s">
        <v>399</v>
      </c>
      <c r="H546" s="29" t="s">
        <v>332</v>
      </c>
    </row>
    <row r="547" customFormat="false" ht="15" hidden="false" customHeight="false" outlineLevel="0" collapsed="false">
      <c r="A547" s="26" t="s">
        <v>25</v>
      </c>
      <c r="B547" s="26" t="s">
        <v>400</v>
      </c>
      <c r="C547" s="26" t="s">
        <v>330</v>
      </c>
      <c r="D547" s="26" t="s">
        <v>275</v>
      </c>
      <c r="E547" s="26"/>
      <c r="F547" s="26"/>
      <c r="G547" s="29" t="s">
        <v>401</v>
      </c>
      <c r="H547" s="29" t="s">
        <v>332</v>
      </c>
    </row>
    <row r="548" customFormat="false" ht="15" hidden="false" customHeight="false" outlineLevel="0" collapsed="false">
      <c r="A548" s="26" t="s">
        <v>25</v>
      </c>
      <c r="B548" s="26" t="s">
        <v>402</v>
      </c>
      <c r="C548" s="26" t="s">
        <v>330</v>
      </c>
      <c r="D548" s="26" t="s">
        <v>275</v>
      </c>
      <c r="E548" s="26"/>
      <c r="F548" s="26"/>
      <c r="G548" s="29" t="s">
        <v>403</v>
      </c>
      <c r="H548" s="29" t="s">
        <v>332</v>
      </c>
    </row>
    <row r="549" customFormat="false" ht="15" hidden="false" customHeight="false" outlineLevel="0" collapsed="false">
      <c r="A549" s="26" t="s">
        <v>25</v>
      </c>
      <c r="B549" s="26" t="s">
        <v>404</v>
      </c>
      <c r="C549" s="26" t="s">
        <v>330</v>
      </c>
      <c r="D549" s="26" t="s">
        <v>275</v>
      </c>
      <c r="E549" s="26"/>
      <c r="F549" s="26"/>
      <c r="G549" s="29" t="s">
        <v>405</v>
      </c>
      <c r="H549" s="29" t="s">
        <v>332</v>
      </c>
    </row>
    <row r="550" customFormat="false" ht="15" hidden="false" customHeight="false" outlineLevel="0" collapsed="false">
      <c r="A550" s="26" t="s">
        <v>25</v>
      </c>
      <c r="B550" s="26" t="s">
        <v>406</v>
      </c>
      <c r="C550" s="26" t="s">
        <v>407</v>
      </c>
      <c r="D550" s="26" t="s">
        <v>275</v>
      </c>
      <c r="E550" s="26"/>
      <c r="F550" s="26"/>
      <c r="G550" s="29" t="s">
        <v>408</v>
      </c>
      <c r="H550" s="29" t="s">
        <v>277</v>
      </c>
    </row>
    <row r="551" customFormat="false" ht="15" hidden="false" customHeight="false" outlineLevel="0" collapsed="false">
      <c r="A551" s="26" t="s">
        <v>27</v>
      </c>
      <c r="B551" s="26" t="s">
        <v>540</v>
      </c>
      <c r="C551" s="26" t="s">
        <v>541</v>
      </c>
      <c r="D551" s="26" t="s">
        <v>280</v>
      </c>
      <c r="E551" s="26"/>
      <c r="F551" s="26"/>
      <c r="G551" s="26"/>
      <c r="H551" s="26"/>
    </row>
    <row r="552" customFormat="false" ht="15" hidden="false" customHeight="false" outlineLevel="0" collapsed="false">
      <c r="A552" s="26" t="s">
        <v>27</v>
      </c>
      <c r="B552" s="26" t="s">
        <v>542</v>
      </c>
      <c r="C552" s="26" t="s">
        <v>541</v>
      </c>
      <c r="D552" s="26" t="s">
        <v>280</v>
      </c>
      <c r="E552" s="26"/>
      <c r="F552" s="26"/>
      <c r="G552" s="26"/>
      <c r="H552" s="26"/>
    </row>
    <row r="553" customFormat="false" ht="15" hidden="false" customHeight="false" outlineLevel="0" collapsed="false">
      <c r="A553" s="26" t="s">
        <v>27</v>
      </c>
      <c r="B553" s="26" t="s">
        <v>543</v>
      </c>
      <c r="C553" s="26" t="s">
        <v>541</v>
      </c>
      <c r="D553" s="26" t="s">
        <v>280</v>
      </c>
      <c r="E553" s="26"/>
      <c r="F553" s="26"/>
      <c r="G553" s="26"/>
      <c r="H553" s="26"/>
    </row>
    <row r="554" customFormat="false" ht="15" hidden="false" customHeight="false" outlineLevel="0" collapsed="false">
      <c r="A554" s="26" t="s">
        <v>27</v>
      </c>
      <c r="B554" s="26" t="s">
        <v>544</v>
      </c>
      <c r="C554" s="26" t="s">
        <v>541</v>
      </c>
      <c r="D554" s="26" t="s">
        <v>280</v>
      </c>
      <c r="E554" s="26"/>
      <c r="F554" s="26"/>
      <c r="G554" s="26"/>
      <c r="H554" s="26"/>
    </row>
    <row r="555" customFormat="false" ht="15" hidden="false" customHeight="false" outlineLevel="0" collapsed="false">
      <c r="A555" s="26" t="s">
        <v>27</v>
      </c>
      <c r="B555" s="26" t="s">
        <v>545</v>
      </c>
      <c r="C555" s="26" t="s">
        <v>541</v>
      </c>
      <c r="D555" s="26" t="s">
        <v>280</v>
      </c>
      <c r="E555" s="26"/>
      <c r="F555" s="26"/>
      <c r="G555" s="26"/>
      <c r="H555" s="26"/>
    </row>
    <row r="556" customFormat="false" ht="15" hidden="false" customHeight="false" outlineLevel="0" collapsed="false">
      <c r="A556" s="26" t="s">
        <v>27</v>
      </c>
      <c r="B556" s="26" t="s">
        <v>546</v>
      </c>
      <c r="C556" s="26" t="s">
        <v>541</v>
      </c>
      <c r="D556" s="26" t="s">
        <v>280</v>
      </c>
      <c r="E556" s="26"/>
      <c r="F556" s="26"/>
      <c r="G556" s="26"/>
      <c r="H556" s="26"/>
    </row>
    <row r="557" customFormat="false" ht="15" hidden="false" customHeight="false" outlineLevel="0" collapsed="false">
      <c r="A557" s="26" t="s">
        <v>27</v>
      </c>
      <c r="B557" s="26" t="s">
        <v>547</v>
      </c>
      <c r="C557" s="26" t="s">
        <v>541</v>
      </c>
      <c r="D557" s="26" t="s">
        <v>280</v>
      </c>
      <c r="E557" s="26"/>
      <c r="F557" s="26"/>
      <c r="G557" s="26"/>
      <c r="H557" s="26"/>
    </row>
    <row r="558" customFormat="false" ht="15" hidden="false" customHeight="false" outlineLevel="0" collapsed="false">
      <c r="A558" s="26" t="s">
        <v>27</v>
      </c>
      <c r="B558" s="26" t="s">
        <v>548</v>
      </c>
      <c r="C558" s="26" t="s">
        <v>541</v>
      </c>
      <c r="D558" s="26" t="s">
        <v>280</v>
      </c>
      <c r="E558" s="26"/>
      <c r="F558" s="26"/>
      <c r="G558" s="26"/>
      <c r="H558" s="26"/>
    </row>
    <row r="559" customFormat="false" ht="15" hidden="false" customHeight="false" outlineLevel="0" collapsed="false">
      <c r="A559" s="26" t="s">
        <v>27</v>
      </c>
      <c r="B559" s="26" t="s">
        <v>549</v>
      </c>
      <c r="C559" s="26" t="s">
        <v>541</v>
      </c>
      <c r="D559" s="26" t="s">
        <v>280</v>
      </c>
      <c r="E559" s="26"/>
      <c r="F559" s="26"/>
      <c r="G559" s="26"/>
      <c r="H559" s="26"/>
    </row>
    <row r="560" customFormat="false" ht="15" hidden="false" customHeight="false" outlineLevel="0" collapsed="false">
      <c r="A560" s="26" t="s">
        <v>27</v>
      </c>
      <c r="B560" s="26" t="s">
        <v>550</v>
      </c>
      <c r="C560" s="26" t="s">
        <v>541</v>
      </c>
      <c r="D560" s="26" t="s">
        <v>280</v>
      </c>
      <c r="E560" s="26"/>
      <c r="F560" s="26"/>
      <c r="G560" s="26"/>
      <c r="H560" s="26"/>
    </row>
    <row r="561" customFormat="false" ht="15" hidden="false" customHeight="false" outlineLevel="0" collapsed="false">
      <c r="A561" s="26" t="s">
        <v>27</v>
      </c>
      <c r="B561" s="26" t="s">
        <v>551</v>
      </c>
      <c r="C561" s="26" t="s">
        <v>541</v>
      </c>
      <c r="D561" s="26" t="s">
        <v>280</v>
      </c>
      <c r="E561" s="26"/>
      <c r="F561" s="26"/>
      <c r="G561" s="26"/>
      <c r="H561" s="26"/>
    </row>
    <row r="562" customFormat="false" ht="15" hidden="false" customHeight="false" outlineLevel="0" collapsed="false">
      <c r="A562" s="26" t="s">
        <v>27</v>
      </c>
      <c r="B562" s="26" t="s">
        <v>552</v>
      </c>
      <c r="C562" s="26" t="s">
        <v>541</v>
      </c>
      <c r="D562" s="26" t="s">
        <v>280</v>
      </c>
      <c r="E562" s="26"/>
      <c r="F562" s="26"/>
      <c r="G562" s="26"/>
      <c r="H562" s="26"/>
    </row>
    <row r="563" customFormat="false" ht="15" hidden="false" customHeight="false" outlineLevel="0" collapsed="false">
      <c r="A563" s="26" t="s">
        <v>29</v>
      </c>
      <c r="B563" s="26" t="s">
        <v>102</v>
      </c>
      <c r="C563" s="26" t="s">
        <v>303</v>
      </c>
      <c r="D563" s="26" t="s">
        <v>280</v>
      </c>
      <c r="E563" s="26"/>
      <c r="F563" s="26"/>
      <c r="G563" s="26"/>
      <c r="H563" s="26"/>
    </row>
    <row r="564" customFormat="false" ht="15" hidden="false" customHeight="false" outlineLevel="0" collapsed="false">
      <c r="A564" s="26" t="s">
        <v>29</v>
      </c>
      <c r="B564" s="26" t="s">
        <v>553</v>
      </c>
      <c r="C564" s="26" t="s">
        <v>303</v>
      </c>
      <c r="D564" s="26" t="s">
        <v>280</v>
      </c>
      <c r="E564" s="26"/>
      <c r="F564" s="26"/>
      <c r="G564" s="26"/>
      <c r="H564" s="26"/>
    </row>
    <row r="565" customFormat="false" ht="15" hidden="false" customHeight="false" outlineLevel="0" collapsed="false">
      <c r="A565" s="26" t="s">
        <v>29</v>
      </c>
      <c r="B565" s="26" t="s">
        <v>547</v>
      </c>
      <c r="C565" s="26" t="s">
        <v>303</v>
      </c>
      <c r="D565" s="26" t="s">
        <v>280</v>
      </c>
      <c r="E565" s="26"/>
      <c r="F565" s="26"/>
      <c r="G565" s="26"/>
      <c r="H565" s="26"/>
    </row>
    <row r="566" customFormat="false" ht="15" hidden="false" customHeight="false" outlineLevel="0" collapsed="false">
      <c r="A566" s="26" t="s">
        <v>29</v>
      </c>
      <c r="B566" s="26" t="s">
        <v>554</v>
      </c>
      <c r="C566" s="26" t="s">
        <v>303</v>
      </c>
      <c r="D566" s="26" t="s">
        <v>280</v>
      </c>
      <c r="E566" s="26"/>
      <c r="F566" s="26"/>
      <c r="G566" s="26"/>
      <c r="H566" s="26"/>
    </row>
    <row r="567" customFormat="false" ht="15" hidden="false" customHeight="false" outlineLevel="0" collapsed="false">
      <c r="A567" s="26" t="s">
        <v>29</v>
      </c>
      <c r="B567" s="26" t="s">
        <v>555</v>
      </c>
      <c r="C567" s="26" t="s">
        <v>303</v>
      </c>
      <c r="D567" s="26" t="s">
        <v>280</v>
      </c>
      <c r="E567" s="26"/>
      <c r="F567" s="26"/>
      <c r="G567" s="26"/>
      <c r="H567" s="26"/>
    </row>
    <row r="568" customFormat="false" ht="15" hidden="false" customHeight="false" outlineLevel="0" collapsed="false">
      <c r="A568" s="26" t="s">
        <v>29</v>
      </c>
      <c r="B568" s="26" t="s">
        <v>556</v>
      </c>
      <c r="C568" s="26" t="s">
        <v>303</v>
      </c>
      <c r="D568" s="26" t="s">
        <v>280</v>
      </c>
      <c r="E568" s="26"/>
      <c r="F568" s="26"/>
      <c r="G568" s="26"/>
      <c r="H568" s="26"/>
    </row>
    <row r="569" customFormat="false" ht="15" hidden="false" customHeight="false" outlineLevel="0" collapsed="false">
      <c r="A569" s="26" t="s">
        <v>29</v>
      </c>
      <c r="B569" s="26" t="s">
        <v>557</v>
      </c>
      <c r="C569" s="26" t="s">
        <v>303</v>
      </c>
      <c r="D569" s="26" t="s">
        <v>280</v>
      </c>
      <c r="E569" s="26"/>
      <c r="F569" s="26"/>
      <c r="G569" s="26"/>
      <c r="H569" s="26"/>
    </row>
    <row r="570" customFormat="false" ht="15" hidden="false" customHeight="false" outlineLevel="0" collapsed="false">
      <c r="A570" s="26" t="s">
        <v>29</v>
      </c>
      <c r="B570" s="26" t="s">
        <v>558</v>
      </c>
      <c r="C570" s="26" t="s">
        <v>303</v>
      </c>
      <c r="D570" s="26" t="s">
        <v>280</v>
      </c>
      <c r="E570" s="26"/>
      <c r="F570" s="26"/>
      <c r="G570" s="26"/>
      <c r="H570" s="26"/>
    </row>
    <row r="571" customFormat="false" ht="15" hidden="false" customHeight="false" outlineLevel="0" collapsed="false">
      <c r="A571" s="26" t="s">
        <v>29</v>
      </c>
      <c r="B571" s="26" t="s">
        <v>559</v>
      </c>
      <c r="C571" s="26" t="s">
        <v>303</v>
      </c>
      <c r="D571" s="26" t="s">
        <v>280</v>
      </c>
      <c r="E571" s="26"/>
      <c r="F571" s="26"/>
      <c r="G571" s="26"/>
      <c r="H571" s="26"/>
    </row>
    <row r="572" customFormat="false" ht="15" hidden="false" customHeight="false" outlineLevel="0" collapsed="false">
      <c r="A572" s="26" t="s">
        <v>29</v>
      </c>
      <c r="B572" s="26" t="s">
        <v>560</v>
      </c>
      <c r="C572" s="26" t="s">
        <v>303</v>
      </c>
      <c r="D572" s="26" t="s">
        <v>280</v>
      </c>
      <c r="E572" s="26"/>
      <c r="F572" s="26"/>
      <c r="G572" s="26"/>
      <c r="H572" s="26"/>
    </row>
    <row r="573" customFormat="false" ht="15" hidden="false" customHeight="false" outlineLevel="0" collapsed="false">
      <c r="A573" s="26" t="s">
        <v>29</v>
      </c>
      <c r="B573" s="26" t="s">
        <v>561</v>
      </c>
      <c r="C573" s="26" t="s">
        <v>303</v>
      </c>
      <c r="D573" s="26" t="s">
        <v>280</v>
      </c>
      <c r="E573" s="26"/>
      <c r="F573" s="26"/>
      <c r="G573" s="26"/>
      <c r="H573" s="26"/>
    </row>
    <row r="574" customFormat="false" ht="15" hidden="false" customHeight="false" outlineLevel="0" collapsed="false">
      <c r="A574" s="26" t="s">
        <v>29</v>
      </c>
      <c r="B574" s="26" t="s">
        <v>552</v>
      </c>
      <c r="C574" s="26" t="s">
        <v>303</v>
      </c>
      <c r="D574" s="26" t="s">
        <v>280</v>
      </c>
      <c r="E574" s="26"/>
      <c r="F574" s="26"/>
      <c r="G574" s="26"/>
      <c r="H574" s="26"/>
    </row>
    <row r="575" customFormat="false" ht="15" hidden="false" customHeight="false" outlineLevel="0" collapsed="false">
      <c r="A575" s="26" t="s">
        <v>29</v>
      </c>
      <c r="B575" s="26" t="s">
        <v>562</v>
      </c>
      <c r="C575" s="26" t="s">
        <v>303</v>
      </c>
      <c r="D575" s="26" t="s">
        <v>280</v>
      </c>
      <c r="E575" s="26"/>
      <c r="F575" s="26"/>
      <c r="G575" s="26"/>
      <c r="H575" s="26"/>
    </row>
    <row r="576" customFormat="false" ht="15" hidden="false" customHeight="false" outlineLevel="0" collapsed="false">
      <c r="A576" s="26" t="s">
        <v>31</v>
      </c>
      <c r="B576" s="26" t="s">
        <v>563</v>
      </c>
      <c r="C576" s="26" t="s">
        <v>564</v>
      </c>
      <c r="D576" s="26" t="s">
        <v>280</v>
      </c>
      <c r="E576" s="26"/>
      <c r="F576" s="26"/>
      <c r="G576" s="26"/>
      <c r="H576" s="26"/>
    </row>
    <row r="577" customFormat="false" ht="15" hidden="false" customHeight="false" outlineLevel="0" collapsed="false">
      <c r="A577" s="26" t="s">
        <v>31</v>
      </c>
      <c r="B577" s="26" t="s">
        <v>565</v>
      </c>
      <c r="C577" s="26" t="s">
        <v>564</v>
      </c>
      <c r="D577" s="26" t="s">
        <v>280</v>
      </c>
      <c r="E577" s="26"/>
      <c r="F577" s="26"/>
      <c r="G577" s="26"/>
      <c r="H577" s="26"/>
    </row>
    <row r="578" customFormat="false" ht="15" hidden="false" customHeight="false" outlineLevel="0" collapsed="false">
      <c r="A578" s="26" t="s">
        <v>31</v>
      </c>
      <c r="B578" s="26" t="s">
        <v>131</v>
      </c>
      <c r="C578" s="26" t="s">
        <v>564</v>
      </c>
      <c r="D578" s="26" t="s">
        <v>280</v>
      </c>
      <c r="E578" s="26"/>
      <c r="F578" s="26"/>
      <c r="G578" s="26"/>
      <c r="H578" s="26"/>
    </row>
    <row r="579" customFormat="false" ht="15" hidden="false" customHeight="false" outlineLevel="0" collapsed="false">
      <c r="A579" s="26" t="s">
        <v>31</v>
      </c>
      <c r="B579" s="26" t="s">
        <v>566</v>
      </c>
      <c r="C579" s="26" t="s">
        <v>564</v>
      </c>
      <c r="D579" s="26" t="s">
        <v>280</v>
      </c>
      <c r="E579" s="26"/>
      <c r="F579" s="26"/>
      <c r="G579" s="26"/>
      <c r="H579" s="26"/>
    </row>
    <row r="580" customFormat="false" ht="15" hidden="false" customHeight="false" outlineLevel="0" collapsed="false">
      <c r="A580" s="26" t="s">
        <v>31</v>
      </c>
      <c r="B580" s="26" t="s">
        <v>567</v>
      </c>
      <c r="C580" s="26" t="s">
        <v>564</v>
      </c>
      <c r="D580" s="26" t="s">
        <v>280</v>
      </c>
      <c r="E580" s="26"/>
      <c r="F580" s="26"/>
      <c r="G580" s="26"/>
      <c r="H580" s="26"/>
    </row>
    <row r="581" customFormat="false" ht="15" hidden="false" customHeight="false" outlineLevel="0" collapsed="false">
      <c r="A581" s="26" t="s">
        <v>31</v>
      </c>
      <c r="B581" s="26" t="s">
        <v>568</v>
      </c>
      <c r="C581" s="26" t="s">
        <v>564</v>
      </c>
      <c r="D581" s="26" t="s">
        <v>280</v>
      </c>
      <c r="E581" s="26"/>
      <c r="F581" s="26"/>
      <c r="G581" s="26"/>
      <c r="H581" s="26"/>
    </row>
    <row r="582" customFormat="false" ht="15" hidden="false" customHeight="false" outlineLevel="0" collapsed="false">
      <c r="A582" s="26" t="s">
        <v>31</v>
      </c>
      <c r="B582" s="26" t="s">
        <v>569</v>
      </c>
      <c r="C582" s="26" t="s">
        <v>564</v>
      </c>
      <c r="D582" s="26" t="s">
        <v>280</v>
      </c>
      <c r="E582" s="26"/>
      <c r="F582" s="26"/>
      <c r="G582" s="26"/>
      <c r="H582" s="26"/>
    </row>
    <row r="583" customFormat="false" ht="15" hidden="false" customHeight="false" outlineLevel="0" collapsed="false">
      <c r="A583" s="26" t="s">
        <v>31</v>
      </c>
      <c r="B583" s="26" t="s">
        <v>570</v>
      </c>
      <c r="C583" s="26" t="s">
        <v>564</v>
      </c>
      <c r="D583" s="26" t="s">
        <v>280</v>
      </c>
      <c r="E583" s="26"/>
      <c r="F583" s="26"/>
      <c r="G583" s="26"/>
      <c r="H583" s="26"/>
    </row>
    <row r="584" customFormat="false" ht="15" hidden="false" customHeight="false" outlineLevel="0" collapsed="false">
      <c r="A584" s="26" t="s">
        <v>31</v>
      </c>
      <c r="B584" s="26" t="s">
        <v>395</v>
      </c>
      <c r="C584" s="26" t="s">
        <v>564</v>
      </c>
      <c r="D584" s="26" t="s">
        <v>280</v>
      </c>
      <c r="E584" s="26"/>
      <c r="F584" s="26"/>
      <c r="G584" s="26"/>
      <c r="H584"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L5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4"/>
    <col collapsed="false" customWidth="true" hidden="false" outlineLevel="0" max="3" min="3" style="0" width="22"/>
    <col collapsed="false" customWidth="true" hidden="false" outlineLevel="0" max="4" min="4" style="0" width="12"/>
    <col collapsed="false" customWidth="true" hidden="false" outlineLevel="0" max="5" min="5" style="0" width="18"/>
    <col collapsed="false" customWidth="true" hidden="false" outlineLevel="0" max="6" min="6" style="0" width="9"/>
    <col collapsed="false" customWidth="true" hidden="false" outlineLevel="0" max="7" min="7" style="0" width="22"/>
    <col collapsed="false" customWidth="true" hidden="false" outlineLevel="0" max="9" min="8" style="0" width="18"/>
    <col collapsed="false" customWidth="true" hidden="false" outlineLevel="0" max="10" min="10" style="0" width="20"/>
    <col collapsed="false" customWidth="true" hidden="false" outlineLevel="0" max="11" min="11" style="0" width="46"/>
    <col collapsed="false" customWidth="true" hidden="false" outlineLevel="0" max="12" min="12" style="0" width="30"/>
  </cols>
  <sheetData>
    <row r="1" customFormat="false" ht="17.35" hidden="false" customHeight="false" outlineLevel="0" collapsed="false">
      <c r="A1" s="5" t="s">
        <v>571</v>
      </c>
    </row>
    <row r="2" customFormat="false" ht="15" hidden="false" customHeight="false" outlineLevel="0" collapsed="false">
      <c r="A2" s="6" t="s">
        <v>572</v>
      </c>
    </row>
    <row r="3" customFormat="false" ht="15" hidden="false" customHeight="false" outlineLevel="0" collapsed="false">
      <c r="A3" s="6" t="s">
        <v>573</v>
      </c>
    </row>
    <row r="4" customFormat="false" ht="39.75" hidden="false" customHeight="true" outlineLevel="0" collapsed="false">
      <c r="A4" s="15" t="s">
        <v>540</v>
      </c>
      <c r="B4" s="15" t="s">
        <v>542</v>
      </c>
      <c r="C4" s="15" t="s">
        <v>543</v>
      </c>
      <c r="D4" s="15" t="s">
        <v>544</v>
      </c>
      <c r="E4" s="15" t="s">
        <v>545</v>
      </c>
      <c r="F4" s="15" t="s">
        <v>546</v>
      </c>
      <c r="G4" s="15" t="s">
        <v>547</v>
      </c>
      <c r="H4" s="15" t="s">
        <v>548</v>
      </c>
      <c r="I4" s="15" t="s">
        <v>549</v>
      </c>
      <c r="J4" s="15" t="s">
        <v>550</v>
      </c>
      <c r="K4" s="15" t="s">
        <v>551</v>
      </c>
      <c r="L4" s="15" t="s">
        <v>552</v>
      </c>
    </row>
    <row r="5" customFormat="false" ht="15" hidden="false" customHeight="false" outlineLevel="0" collapsed="false">
      <c r="A5" s="18" t="s">
        <v>574</v>
      </c>
      <c r="B5" s="18" t="s">
        <v>575</v>
      </c>
      <c r="C5" s="18" t="s">
        <v>576</v>
      </c>
      <c r="D5" s="18" t="s">
        <v>577</v>
      </c>
      <c r="E5" s="18" t="s">
        <v>578</v>
      </c>
      <c r="F5" s="18" t="n">
        <v>2023</v>
      </c>
      <c r="G5" s="18" t="s">
        <v>579</v>
      </c>
      <c r="H5" s="18" t="s">
        <v>580</v>
      </c>
      <c r="I5" s="18"/>
      <c r="J5" s="18" t="s">
        <v>581</v>
      </c>
      <c r="K5" s="18" t="s">
        <v>582</v>
      </c>
      <c r="L5" s="18"/>
    </row>
    <row r="6" customFormat="false" ht="15" hidden="false" customHeight="false" outlineLevel="0" collapsed="false">
      <c r="A6" s="18" t="s">
        <v>583</v>
      </c>
      <c r="B6" s="18" t="s">
        <v>584</v>
      </c>
      <c r="C6" s="18" t="s">
        <v>576</v>
      </c>
      <c r="D6" s="18" t="s">
        <v>585</v>
      </c>
      <c r="E6" s="18" t="s">
        <v>586</v>
      </c>
      <c r="F6" s="18" t="n">
        <v>2024</v>
      </c>
      <c r="G6" s="18" t="s">
        <v>587</v>
      </c>
      <c r="H6" s="18" t="s">
        <v>580</v>
      </c>
      <c r="I6" s="18" t="s">
        <v>588</v>
      </c>
      <c r="J6" s="18" t="s">
        <v>581</v>
      </c>
      <c r="K6" s="18" t="s">
        <v>589</v>
      </c>
      <c r="L6" s="18"/>
    </row>
    <row r="7" customFormat="false" ht="15" hidden="false" customHeight="false" outlineLevel="0" collapsed="false">
      <c r="A7" s="18" t="s">
        <v>590</v>
      </c>
      <c r="B7" s="18" t="s">
        <v>591</v>
      </c>
      <c r="C7" s="18" t="s">
        <v>576</v>
      </c>
      <c r="D7" s="18" t="s">
        <v>592</v>
      </c>
      <c r="E7" s="18" t="s">
        <v>593</v>
      </c>
      <c r="F7" s="18" t="n">
        <v>2022</v>
      </c>
      <c r="G7" s="18" t="s">
        <v>594</v>
      </c>
      <c r="H7" s="18" t="s">
        <v>580</v>
      </c>
      <c r="I7" s="18"/>
      <c r="J7" s="18" t="s">
        <v>581</v>
      </c>
      <c r="K7" s="18" t="s">
        <v>595</v>
      </c>
      <c r="L7" s="18"/>
    </row>
    <row r="8" customFormat="false" ht="15" hidden="false" customHeight="false" outlineLevel="0" collapsed="false">
      <c r="A8" s="9"/>
      <c r="B8" s="9"/>
      <c r="C8" s="9"/>
      <c r="D8" s="9"/>
      <c r="E8" s="9"/>
      <c r="F8" s="9"/>
      <c r="G8" s="9"/>
      <c r="H8" s="9"/>
      <c r="I8" s="9"/>
      <c r="J8" s="9"/>
      <c r="K8" s="9"/>
      <c r="L8" s="9"/>
    </row>
    <row r="9" customFormat="false" ht="15" hidden="false" customHeight="false" outlineLevel="0" collapsed="false">
      <c r="A9" s="9"/>
      <c r="B9" s="9"/>
      <c r="C9" s="9"/>
      <c r="D9" s="9"/>
      <c r="E9" s="9"/>
      <c r="F9" s="9"/>
      <c r="G9" s="9"/>
      <c r="H9" s="9"/>
      <c r="I9" s="9"/>
      <c r="J9" s="9"/>
      <c r="K9" s="9"/>
      <c r="L9" s="9"/>
    </row>
    <row r="10" customFormat="false" ht="15" hidden="false" customHeight="false" outlineLevel="0" collapsed="false">
      <c r="A10" s="9"/>
      <c r="B10" s="9"/>
      <c r="C10" s="9"/>
      <c r="D10" s="9"/>
      <c r="E10" s="9"/>
      <c r="F10" s="9"/>
      <c r="G10" s="9"/>
      <c r="H10" s="9"/>
      <c r="I10" s="9"/>
      <c r="J10" s="9"/>
      <c r="K10" s="9"/>
      <c r="L10" s="9"/>
    </row>
    <row r="11" customFormat="false" ht="15" hidden="false" customHeight="false" outlineLevel="0" collapsed="false">
      <c r="A11" s="9"/>
      <c r="B11" s="9"/>
      <c r="C11" s="9"/>
      <c r="D11" s="9"/>
      <c r="E11" s="9"/>
      <c r="F11" s="9"/>
      <c r="G11" s="9"/>
      <c r="H11" s="9"/>
      <c r="I11" s="9"/>
      <c r="J11" s="9"/>
      <c r="K11" s="9"/>
      <c r="L11" s="9"/>
    </row>
    <row r="12" customFormat="false" ht="15" hidden="false" customHeight="false" outlineLevel="0" collapsed="false">
      <c r="A12" s="9"/>
      <c r="B12" s="9"/>
      <c r="C12" s="9"/>
      <c r="D12" s="9"/>
      <c r="E12" s="9"/>
      <c r="F12" s="9"/>
      <c r="G12" s="9"/>
      <c r="H12" s="9"/>
      <c r="I12" s="9"/>
      <c r="J12" s="9"/>
      <c r="K12" s="9"/>
      <c r="L12" s="9"/>
    </row>
    <row r="13" customFormat="false" ht="15" hidden="false" customHeight="false" outlineLevel="0" collapsed="false">
      <c r="A13" s="9"/>
      <c r="B13" s="9"/>
      <c r="C13" s="9"/>
      <c r="D13" s="9"/>
      <c r="E13" s="9"/>
      <c r="F13" s="9"/>
      <c r="G13" s="9"/>
      <c r="H13" s="9"/>
      <c r="I13" s="9"/>
      <c r="J13" s="9"/>
      <c r="K13" s="9"/>
      <c r="L13" s="9"/>
    </row>
    <row r="14" customFormat="false" ht="15" hidden="false" customHeight="false" outlineLevel="0" collapsed="false">
      <c r="A14" s="9"/>
      <c r="B14" s="9"/>
      <c r="C14" s="9"/>
      <c r="D14" s="9"/>
      <c r="E14" s="9"/>
      <c r="F14" s="9"/>
      <c r="G14" s="9"/>
      <c r="H14" s="9"/>
      <c r="I14" s="9"/>
      <c r="J14" s="9"/>
      <c r="K14" s="9"/>
      <c r="L14" s="9"/>
    </row>
    <row r="15" customFormat="false" ht="15" hidden="false" customHeight="false" outlineLevel="0" collapsed="false">
      <c r="A15" s="9"/>
      <c r="B15" s="9"/>
      <c r="C15" s="9"/>
      <c r="D15" s="9"/>
      <c r="E15" s="9"/>
      <c r="F15" s="9"/>
      <c r="G15" s="9"/>
      <c r="H15" s="9"/>
      <c r="I15" s="9"/>
      <c r="J15" s="9"/>
      <c r="K15" s="9"/>
      <c r="L15" s="9"/>
    </row>
    <row r="16" customFormat="false" ht="15" hidden="false" customHeight="false" outlineLevel="0" collapsed="false">
      <c r="A16" s="9"/>
      <c r="B16" s="9"/>
      <c r="C16" s="9"/>
      <c r="D16" s="9"/>
      <c r="E16" s="9"/>
      <c r="F16" s="9"/>
      <c r="G16" s="9"/>
      <c r="H16" s="9"/>
      <c r="I16" s="9"/>
      <c r="J16" s="9"/>
      <c r="K16" s="9"/>
      <c r="L16" s="9"/>
    </row>
    <row r="17" customFormat="false" ht="15" hidden="false" customHeight="false" outlineLevel="0" collapsed="false">
      <c r="A17" s="9"/>
      <c r="B17" s="9"/>
      <c r="C17" s="9"/>
      <c r="D17" s="9"/>
      <c r="E17" s="9"/>
      <c r="F17" s="9"/>
      <c r="G17" s="9"/>
      <c r="H17" s="9"/>
      <c r="I17" s="9"/>
      <c r="J17" s="9"/>
      <c r="K17" s="9"/>
      <c r="L17" s="9"/>
    </row>
    <row r="18" customFormat="false" ht="15" hidden="false" customHeight="false" outlineLevel="0" collapsed="false">
      <c r="A18" s="9"/>
      <c r="B18" s="9"/>
      <c r="C18" s="9"/>
      <c r="D18" s="9"/>
      <c r="E18" s="9"/>
      <c r="F18" s="9"/>
      <c r="G18" s="9"/>
      <c r="H18" s="9"/>
      <c r="I18" s="9"/>
      <c r="J18" s="9"/>
      <c r="K18" s="9"/>
      <c r="L18" s="9"/>
    </row>
    <row r="19" customFormat="false" ht="15" hidden="false" customHeight="false" outlineLevel="0" collapsed="false">
      <c r="A19" s="9"/>
      <c r="B19" s="9"/>
      <c r="C19" s="9"/>
      <c r="D19" s="9"/>
      <c r="E19" s="9"/>
      <c r="F19" s="9"/>
      <c r="G19" s="9"/>
      <c r="H19" s="9"/>
      <c r="I19" s="9"/>
      <c r="J19" s="9"/>
      <c r="K19" s="9"/>
      <c r="L19" s="9"/>
    </row>
    <row r="20" customFormat="false" ht="15" hidden="false" customHeight="false" outlineLevel="0" collapsed="false">
      <c r="A20" s="9"/>
      <c r="B20" s="9"/>
      <c r="C20" s="9"/>
      <c r="D20" s="9"/>
      <c r="E20" s="9"/>
      <c r="F20" s="9"/>
      <c r="G20" s="9"/>
      <c r="H20" s="9"/>
      <c r="I20" s="9"/>
      <c r="J20" s="9"/>
      <c r="K20" s="9"/>
      <c r="L20" s="9"/>
    </row>
    <row r="21" customFormat="false" ht="15" hidden="false" customHeight="false" outlineLevel="0" collapsed="false">
      <c r="A21" s="9"/>
      <c r="B21" s="9"/>
      <c r="C21" s="9"/>
      <c r="D21" s="9"/>
      <c r="E21" s="9"/>
      <c r="F21" s="9"/>
      <c r="G21" s="9"/>
      <c r="H21" s="9"/>
      <c r="I21" s="9"/>
      <c r="J21" s="9"/>
      <c r="K21" s="9"/>
      <c r="L21" s="9"/>
    </row>
    <row r="22" customFormat="false" ht="15" hidden="false" customHeight="false" outlineLevel="0" collapsed="false">
      <c r="A22" s="9"/>
      <c r="B22" s="9"/>
      <c r="C22" s="9"/>
      <c r="D22" s="9"/>
      <c r="E22" s="9"/>
      <c r="F22" s="9"/>
      <c r="G22" s="9"/>
      <c r="H22" s="9"/>
      <c r="I22" s="9"/>
      <c r="J22" s="9"/>
      <c r="K22" s="9"/>
      <c r="L22" s="9"/>
    </row>
    <row r="23" customFormat="false" ht="15" hidden="false" customHeight="false" outlineLevel="0" collapsed="false">
      <c r="A23" s="9"/>
      <c r="B23" s="9"/>
      <c r="C23" s="9"/>
      <c r="D23" s="9"/>
      <c r="E23" s="9"/>
      <c r="F23" s="9"/>
      <c r="G23" s="9"/>
      <c r="H23" s="9"/>
      <c r="I23" s="9"/>
      <c r="J23" s="9"/>
      <c r="K23" s="9"/>
      <c r="L23" s="9"/>
    </row>
    <row r="24" customFormat="false" ht="15" hidden="false" customHeight="false" outlineLevel="0" collapsed="false">
      <c r="A24" s="9"/>
      <c r="B24" s="9"/>
      <c r="C24" s="9"/>
      <c r="D24" s="9"/>
      <c r="E24" s="9"/>
      <c r="F24" s="9"/>
      <c r="G24" s="9"/>
      <c r="H24" s="9"/>
      <c r="I24" s="9"/>
      <c r="J24" s="9"/>
      <c r="K24" s="9"/>
      <c r="L24" s="9"/>
    </row>
    <row r="25" customFormat="false" ht="15" hidden="false" customHeight="false" outlineLevel="0" collapsed="false">
      <c r="A25" s="9"/>
      <c r="B25" s="9"/>
      <c r="C25" s="9"/>
      <c r="D25" s="9"/>
      <c r="E25" s="9"/>
      <c r="F25" s="9"/>
      <c r="G25" s="9"/>
      <c r="H25" s="9"/>
      <c r="I25" s="9"/>
      <c r="J25" s="9"/>
      <c r="K25" s="9"/>
      <c r="L25" s="9"/>
    </row>
    <row r="26" customFormat="false" ht="15" hidden="false" customHeight="false" outlineLevel="0" collapsed="false">
      <c r="A26" s="9"/>
      <c r="B26" s="9"/>
      <c r="C26" s="9"/>
      <c r="D26" s="9"/>
      <c r="E26" s="9"/>
      <c r="F26" s="9"/>
      <c r="G26" s="9"/>
      <c r="H26" s="9"/>
      <c r="I26" s="9"/>
      <c r="J26" s="9"/>
      <c r="K26" s="9"/>
      <c r="L26" s="9"/>
    </row>
    <row r="27" customFormat="false" ht="15" hidden="false" customHeight="false" outlineLevel="0" collapsed="false">
      <c r="A27" s="9"/>
      <c r="B27" s="9"/>
      <c r="C27" s="9"/>
      <c r="D27" s="9"/>
      <c r="E27" s="9"/>
      <c r="F27" s="9"/>
      <c r="G27" s="9"/>
      <c r="H27" s="9"/>
      <c r="I27" s="9"/>
      <c r="J27" s="9"/>
      <c r="K27" s="9"/>
      <c r="L27" s="9"/>
    </row>
    <row r="28" customFormat="false" ht="15" hidden="false" customHeight="false" outlineLevel="0" collapsed="false">
      <c r="A28" s="9"/>
      <c r="B28" s="9"/>
      <c r="C28" s="9"/>
      <c r="D28" s="9"/>
      <c r="E28" s="9"/>
      <c r="F28" s="9"/>
      <c r="G28" s="9"/>
      <c r="H28" s="9"/>
      <c r="I28" s="9"/>
      <c r="J28" s="9"/>
      <c r="K28" s="9"/>
      <c r="L28" s="9"/>
    </row>
    <row r="29" customFormat="false" ht="15" hidden="false" customHeight="false" outlineLevel="0" collapsed="false">
      <c r="A29" s="9"/>
      <c r="B29" s="9"/>
      <c r="C29" s="9"/>
      <c r="D29" s="9"/>
      <c r="E29" s="9"/>
      <c r="F29" s="9"/>
      <c r="G29" s="9"/>
      <c r="H29" s="9"/>
      <c r="I29" s="9"/>
      <c r="J29" s="9"/>
      <c r="K29" s="9"/>
      <c r="L29" s="9"/>
    </row>
    <row r="30" customFormat="false" ht="15" hidden="false" customHeight="false" outlineLevel="0" collapsed="false">
      <c r="A30" s="9"/>
      <c r="B30" s="9"/>
      <c r="C30" s="9"/>
      <c r="D30" s="9"/>
      <c r="E30" s="9"/>
      <c r="F30" s="9"/>
      <c r="G30" s="9"/>
      <c r="H30" s="9"/>
      <c r="I30" s="9"/>
      <c r="J30" s="9"/>
      <c r="K30" s="9"/>
      <c r="L30" s="9"/>
    </row>
    <row r="31" customFormat="false" ht="15" hidden="false" customHeight="false" outlineLevel="0" collapsed="false">
      <c r="A31" s="9"/>
      <c r="B31" s="9"/>
      <c r="C31" s="9"/>
      <c r="D31" s="9"/>
      <c r="E31" s="9"/>
      <c r="F31" s="9"/>
      <c r="G31" s="9"/>
      <c r="H31" s="9"/>
      <c r="I31" s="9"/>
      <c r="J31" s="9"/>
      <c r="K31" s="9"/>
      <c r="L31" s="9"/>
    </row>
    <row r="32" customFormat="false" ht="15" hidden="false" customHeight="false" outlineLevel="0" collapsed="false">
      <c r="A32" s="9"/>
      <c r="B32" s="9"/>
      <c r="C32" s="9"/>
      <c r="D32" s="9"/>
      <c r="E32" s="9"/>
      <c r="F32" s="9"/>
      <c r="G32" s="9"/>
      <c r="H32" s="9"/>
      <c r="I32" s="9"/>
      <c r="J32" s="9"/>
      <c r="K32" s="9"/>
      <c r="L32" s="9"/>
    </row>
    <row r="33" customFormat="false" ht="15" hidden="false" customHeight="false" outlineLevel="0" collapsed="false">
      <c r="A33" s="9"/>
      <c r="B33" s="9"/>
      <c r="C33" s="9"/>
      <c r="D33" s="9"/>
      <c r="E33" s="9"/>
      <c r="F33" s="9"/>
      <c r="G33" s="9"/>
      <c r="H33" s="9"/>
      <c r="I33" s="9"/>
      <c r="J33" s="9"/>
      <c r="K33" s="9"/>
      <c r="L33" s="9"/>
    </row>
    <row r="34" customFormat="false" ht="15" hidden="false" customHeight="false" outlineLevel="0" collapsed="false">
      <c r="A34" s="9"/>
      <c r="B34" s="9"/>
      <c r="C34" s="9"/>
      <c r="D34" s="9"/>
      <c r="E34" s="9"/>
      <c r="F34" s="9"/>
      <c r="G34" s="9"/>
      <c r="H34" s="9"/>
      <c r="I34" s="9"/>
      <c r="J34" s="9"/>
      <c r="K34" s="9"/>
      <c r="L34" s="9"/>
    </row>
    <row r="35" customFormat="false" ht="15" hidden="false" customHeight="false" outlineLevel="0" collapsed="false">
      <c r="A35" s="9"/>
      <c r="B35" s="9"/>
      <c r="C35" s="9"/>
      <c r="D35" s="9"/>
      <c r="E35" s="9"/>
      <c r="F35" s="9"/>
      <c r="G35" s="9"/>
      <c r="H35" s="9"/>
      <c r="I35" s="9"/>
      <c r="J35" s="9"/>
      <c r="K35" s="9"/>
      <c r="L35" s="9"/>
    </row>
    <row r="36" customFormat="false" ht="15" hidden="false" customHeight="false" outlineLevel="0" collapsed="false">
      <c r="A36" s="9"/>
      <c r="B36" s="9"/>
      <c r="C36" s="9"/>
      <c r="D36" s="9"/>
      <c r="E36" s="9"/>
      <c r="F36" s="9"/>
      <c r="G36" s="9"/>
      <c r="H36" s="9"/>
      <c r="I36" s="9"/>
      <c r="J36" s="9"/>
      <c r="K36" s="9"/>
      <c r="L36" s="9"/>
    </row>
    <row r="37" customFormat="false" ht="15" hidden="false" customHeight="false" outlineLevel="0" collapsed="false">
      <c r="A37" s="9"/>
      <c r="B37" s="9"/>
      <c r="C37" s="9"/>
      <c r="D37" s="9"/>
      <c r="E37" s="9"/>
      <c r="F37" s="9"/>
      <c r="G37" s="9"/>
      <c r="H37" s="9"/>
      <c r="I37" s="9"/>
      <c r="J37" s="9"/>
      <c r="K37" s="9"/>
      <c r="L37" s="9"/>
    </row>
    <row r="38" customFormat="false" ht="15" hidden="false" customHeight="false" outlineLevel="0" collapsed="false">
      <c r="A38" s="9"/>
      <c r="B38" s="9"/>
      <c r="C38" s="9"/>
      <c r="D38" s="9"/>
      <c r="E38" s="9"/>
      <c r="F38" s="9"/>
      <c r="G38" s="9"/>
      <c r="H38" s="9"/>
      <c r="I38" s="9"/>
      <c r="J38" s="9"/>
      <c r="K38" s="9"/>
      <c r="L38" s="9"/>
    </row>
    <row r="39" customFormat="false" ht="15" hidden="false" customHeight="false" outlineLevel="0" collapsed="false">
      <c r="A39" s="9"/>
      <c r="B39" s="9"/>
      <c r="C39" s="9"/>
      <c r="D39" s="9"/>
      <c r="E39" s="9"/>
      <c r="F39" s="9"/>
      <c r="G39" s="9"/>
      <c r="H39" s="9"/>
      <c r="I39" s="9"/>
      <c r="J39" s="9"/>
      <c r="K39" s="9"/>
      <c r="L39" s="9"/>
    </row>
    <row r="40" customFormat="false" ht="15" hidden="false" customHeight="false" outlineLevel="0" collapsed="false">
      <c r="A40" s="9"/>
      <c r="B40" s="9"/>
      <c r="C40" s="9"/>
      <c r="D40" s="9"/>
      <c r="E40" s="9"/>
      <c r="F40" s="9"/>
      <c r="G40" s="9"/>
      <c r="H40" s="9"/>
      <c r="I40" s="9"/>
      <c r="J40" s="9"/>
      <c r="K40" s="9"/>
      <c r="L40" s="9"/>
    </row>
    <row r="41" customFormat="false" ht="15" hidden="false" customHeight="false" outlineLevel="0" collapsed="false">
      <c r="A41" s="9"/>
      <c r="B41" s="9"/>
      <c r="C41" s="9"/>
      <c r="D41" s="9"/>
      <c r="E41" s="9"/>
      <c r="F41" s="9"/>
      <c r="G41" s="9"/>
      <c r="H41" s="9"/>
      <c r="I41" s="9"/>
      <c r="J41" s="9"/>
      <c r="K41" s="9"/>
      <c r="L41" s="9"/>
    </row>
    <row r="42" customFormat="false" ht="15" hidden="false" customHeight="false" outlineLevel="0" collapsed="false">
      <c r="A42" s="9"/>
      <c r="B42" s="9"/>
      <c r="C42" s="9"/>
      <c r="D42" s="9"/>
      <c r="E42" s="9"/>
      <c r="F42" s="9"/>
      <c r="G42" s="9"/>
      <c r="H42" s="9"/>
      <c r="I42" s="9"/>
      <c r="J42" s="9"/>
      <c r="K42" s="9"/>
      <c r="L42" s="9"/>
    </row>
    <row r="43" customFormat="false" ht="15" hidden="false" customHeight="false" outlineLevel="0" collapsed="false">
      <c r="A43" s="9"/>
      <c r="B43" s="9"/>
      <c r="C43" s="9"/>
      <c r="D43" s="9"/>
      <c r="E43" s="9"/>
      <c r="F43" s="9"/>
      <c r="G43" s="9"/>
      <c r="H43" s="9"/>
      <c r="I43" s="9"/>
      <c r="J43" s="9"/>
      <c r="K43" s="9"/>
      <c r="L43" s="9"/>
    </row>
    <row r="44" customFormat="false" ht="15" hidden="false" customHeight="false" outlineLevel="0" collapsed="false">
      <c r="A44" s="9"/>
      <c r="B44" s="9"/>
      <c r="C44" s="9"/>
      <c r="D44" s="9"/>
      <c r="E44" s="9"/>
      <c r="F44" s="9"/>
      <c r="G44" s="9"/>
      <c r="H44" s="9"/>
      <c r="I44" s="9"/>
      <c r="J44" s="9"/>
      <c r="K44" s="9"/>
      <c r="L44" s="9"/>
    </row>
    <row r="45" customFormat="false" ht="15" hidden="false" customHeight="false" outlineLevel="0" collapsed="false">
      <c r="A45" s="9"/>
      <c r="B45" s="9"/>
      <c r="C45" s="9"/>
      <c r="D45" s="9"/>
      <c r="E45" s="9"/>
      <c r="F45" s="9"/>
      <c r="G45" s="9"/>
      <c r="H45" s="9"/>
      <c r="I45" s="9"/>
      <c r="J45" s="9"/>
      <c r="K45" s="9"/>
      <c r="L45" s="9"/>
    </row>
    <row r="46" customFormat="false" ht="15" hidden="false" customHeight="false" outlineLevel="0" collapsed="false">
      <c r="A46" s="9"/>
      <c r="B46" s="9"/>
      <c r="C46" s="9"/>
      <c r="D46" s="9"/>
      <c r="E46" s="9"/>
      <c r="F46" s="9"/>
      <c r="G46" s="9"/>
      <c r="H46" s="9"/>
      <c r="I46" s="9"/>
      <c r="J46" s="9"/>
      <c r="K46" s="9"/>
      <c r="L46" s="9"/>
    </row>
    <row r="47" customFormat="false" ht="15" hidden="false" customHeight="false" outlineLevel="0" collapsed="false">
      <c r="A47" s="9"/>
      <c r="B47" s="9"/>
      <c r="C47" s="9"/>
      <c r="D47" s="9"/>
      <c r="E47" s="9"/>
      <c r="F47" s="9"/>
      <c r="G47" s="9"/>
      <c r="H47" s="9"/>
      <c r="I47" s="9"/>
      <c r="J47" s="9"/>
      <c r="K47" s="9"/>
      <c r="L47" s="9"/>
    </row>
    <row r="48" customFormat="false" ht="15" hidden="false" customHeight="false" outlineLevel="0" collapsed="false">
      <c r="A48" s="9"/>
      <c r="B48" s="9"/>
      <c r="C48" s="9"/>
      <c r="D48" s="9"/>
      <c r="E48" s="9"/>
      <c r="F48" s="9"/>
      <c r="G48" s="9"/>
      <c r="H48" s="9"/>
      <c r="I48" s="9"/>
      <c r="J48" s="9"/>
      <c r="K48" s="9"/>
      <c r="L48" s="9"/>
    </row>
    <row r="49" customFormat="false" ht="15" hidden="false" customHeight="false" outlineLevel="0" collapsed="false">
      <c r="A49" s="9"/>
      <c r="B49" s="9"/>
      <c r="C49" s="9"/>
      <c r="D49" s="9"/>
      <c r="E49" s="9"/>
      <c r="F49" s="9"/>
      <c r="G49" s="9"/>
      <c r="H49" s="9"/>
      <c r="I49" s="9"/>
      <c r="J49" s="9"/>
      <c r="K49" s="9"/>
      <c r="L49" s="9"/>
    </row>
    <row r="50" customFormat="false" ht="15" hidden="false" customHeight="false" outlineLevel="0" collapsed="false">
      <c r="A50" s="9"/>
      <c r="B50" s="9"/>
      <c r="C50" s="9"/>
      <c r="D50" s="9"/>
      <c r="E50" s="9"/>
      <c r="F50" s="9"/>
      <c r="G50" s="9"/>
      <c r="H50" s="9"/>
      <c r="I50" s="9"/>
      <c r="J50" s="9"/>
      <c r="K50" s="9"/>
      <c r="L50" s="9"/>
    </row>
    <row r="51" customFormat="false" ht="15" hidden="false" customHeight="false" outlineLevel="0" collapsed="false">
      <c r="A51" s="9"/>
      <c r="B51" s="9"/>
      <c r="C51" s="9"/>
      <c r="D51" s="9"/>
      <c r="E51" s="9"/>
      <c r="F51" s="9"/>
      <c r="G51" s="9"/>
      <c r="H51" s="9"/>
      <c r="I51" s="9"/>
      <c r="J51" s="9"/>
      <c r="K51" s="9"/>
      <c r="L51" s="9"/>
    </row>
    <row r="52" customFormat="false" ht="15" hidden="false" customHeight="false" outlineLevel="0" collapsed="false">
      <c r="A52" s="9"/>
      <c r="B52" s="9"/>
      <c r="C52" s="9"/>
      <c r="D52" s="9"/>
      <c r="E52" s="9"/>
      <c r="F52" s="9"/>
      <c r="G52" s="9"/>
      <c r="H52" s="9"/>
      <c r="I52" s="9"/>
      <c r="J52" s="9"/>
      <c r="K52" s="9"/>
      <c r="L52" s="9"/>
    </row>
    <row r="53" customFormat="false" ht="15" hidden="false" customHeight="false" outlineLevel="0" collapsed="false">
      <c r="A53" s="9"/>
      <c r="B53" s="9"/>
      <c r="C53" s="9"/>
      <c r="D53" s="9"/>
      <c r="E53" s="9"/>
      <c r="F53" s="9"/>
      <c r="G53" s="9"/>
      <c r="H53" s="9"/>
      <c r="I53" s="9"/>
      <c r="J53" s="9"/>
      <c r="K53" s="9"/>
      <c r="L53" s="9"/>
    </row>
    <row r="54" customFormat="false" ht="15" hidden="false" customHeight="false" outlineLevel="0" collapsed="false">
      <c r="A54" s="9"/>
      <c r="B54" s="9"/>
      <c r="C54" s="9"/>
      <c r="D54" s="9"/>
      <c r="E54" s="9"/>
      <c r="F54" s="9"/>
      <c r="G54" s="9"/>
      <c r="H54" s="9"/>
      <c r="I54" s="9"/>
      <c r="J54" s="9"/>
      <c r="K54" s="9"/>
      <c r="L54" s="9"/>
    </row>
    <row r="55" customFormat="false" ht="15" hidden="false" customHeight="false" outlineLevel="0" collapsed="false">
      <c r="A55" s="9"/>
      <c r="B55" s="9"/>
      <c r="C55" s="9"/>
      <c r="D55" s="9"/>
      <c r="E55" s="9"/>
      <c r="F55" s="9"/>
      <c r="G55" s="9"/>
      <c r="H55" s="9"/>
      <c r="I55" s="9"/>
      <c r="J55" s="9"/>
      <c r="K55" s="9"/>
      <c r="L55" s="9"/>
    </row>
    <row r="56" customFormat="false" ht="15" hidden="false" customHeight="false" outlineLevel="0" collapsed="false">
      <c r="A56" s="9"/>
      <c r="B56" s="9"/>
      <c r="C56" s="9"/>
      <c r="D56" s="9"/>
      <c r="E56" s="9"/>
      <c r="F56" s="9"/>
      <c r="G56" s="9"/>
      <c r="H56" s="9"/>
      <c r="I56" s="9"/>
      <c r="J56" s="9"/>
      <c r="K56" s="9"/>
      <c r="L56" s="9"/>
    </row>
    <row r="57" customFormat="false" ht="15" hidden="false" customHeight="false" outlineLevel="0" collapsed="false">
      <c r="A57" s="9"/>
      <c r="B57" s="9"/>
      <c r="C57" s="9"/>
      <c r="D57" s="9"/>
      <c r="E57" s="9"/>
      <c r="F57" s="9"/>
      <c r="G57" s="9"/>
      <c r="H57" s="9"/>
      <c r="I57" s="9"/>
      <c r="J57" s="9"/>
      <c r="K57" s="9"/>
      <c r="L57" s="9"/>
    </row>
    <row r="58" customFormat="false" ht="15" hidden="false" customHeight="false" outlineLevel="0" collapsed="false">
      <c r="A58" s="9"/>
      <c r="B58" s="9"/>
      <c r="C58" s="9"/>
      <c r="D58" s="9"/>
      <c r="E58" s="9"/>
      <c r="F58" s="9"/>
      <c r="G58" s="9"/>
      <c r="H58" s="9"/>
      <c r="I58" s="9"/>
      <c r="J58" s="9"/>
      <c r="K58" s="9"/>
      <c r="L58" s="9"/>
    </row>
    <row r="59" customFormat="false" ht="15" hidden="false" customHeight="false" outlineLevel="0" collapsed="false">
      <c r="A59" s="9"/>
      <c r="B59" s="9"/>
      <c r="C59" s="9"/>
      <c r="D59" s="9"/>
      <c r="E59" s="9"/>
      <c r="F59" s="9"/>
      <c r="G59" s="9"/>
      <c r="H59" s="9"/>
      <c r="I59" s="9"/>
      <c r="J59" s="9"/>
      <c r="K59" s="9"/>
      <c r="L59" s="9"/>
    </row>
    <row r="60" customFormat="false" ht="15" hidden="false" customHeight="false" outlineLevel="0" collapsed="false">
      <c r="A60" s="9"/>
      <c r="B60" s="9"/>
      <c r="C60" s="9"/>
      <c r="D60" s="9"/>
      <c r="E60" s="9"/>
      <c r="F60" s="9"/>
      <c r="G60" s="9"/>
      <c r="H60" s="9"/>
      <c r="I60" s="9"/>
      <c r="J60" s="9"/>
      <c r="K60" s="9"/>
      <c r="L60" s="9"/>
    </row>
    <row r="61" customFormat="false" ht="15" hidden="false" customHeight="false" outlineLevel="0" collapsed="false">
      <c r="A61" s="9"/>
      <c r="B61" s="9"/>
      <c r="C61" s="9"/>
      <c r="D61" s="9"/>
      <c r="E61" s="9"/>
      <c r="F61" s="9"/>
      <c r="G61" s="9"/>
      <c r="H61" s="9"/>
      <c r="I61" s="9"/>
      <c r="J61" s="9"/>
      <c r="K61" s="9"/>
      <c r="L61" s="9"/>
    </row>
    <row r="62" customFormat="false" ht="15" hidden="false" customHeight="false" outlineLevel="0" collapsed="false">
      <c r="A62" s="9"/>
      <c r="B62" s="9"/>
      <c r="C62" s="9"/>
      <c r="D62" s="9"/>
      <c r="E62" s="9"/>
      <c r="F62" s="9"/>
      <c r="G62" s="9"/>
      <c r="H62" s="9"/>
      <c r="I62" s="9"/>
      <c r="J62" s="9"/>
      <c r="K62" s="9"/>
      <c r="L62" s="9"/>
    </row>
    <row r="63" customFormat="false" ht="15" hidden="false" customHeight="false" outlineLevel="0" collapsed="false">
      <c r="A63" s="9"/>
      <c r="B63" s="9"/>
      <c r="C63" s="9"/>
      <c r="D63" s="9"/>
      <c r="E63" s="9"/>
      <c r="F63" s="9"/>
      <c r="G63" s="9"/>
      <c r="H63" s="9"/>
      <c r="I63" s="9"/>
      <c r="J63" s="9"/>
      <c r="K63" s="9"/>
      <c r="L63" s="9"/>
    </row>
    <row r="64" customFormat="false" ht="15" hidden="false" customHeight="false" outlineLevel="0" collapsed="false">
      <c r="A64" s="9"/>
      <c r="B64" s="9"/>
      <c r="C64" s="9"/>
      <c r="D64" s="9"/>
      <c r="E64" s="9"/>
      <c r="F64" s="9"/>
      <c r="G64" s="9"/>
      <c r="H64" s="9"/>
      <c r="I64" s="9"/>
      <c r="J64" s="9"/>
      <c r="K64" s="9"/>
      <c r="L64" s="9"/>
    </row>
    <row r="65" customFormat="false" ht="15" hidden="false" customHeight="false" outlineLevel="0" collapsed="false">
      <c r="A65" s="9"/>
      <c r="B65" s="9"/>
      <c r="C65" s="9"/>
      <c r="D65" s="9"/>
      <c r="E65" s="9"/>
      <c r="F65" s="9"/>
      <c r="G65" s="9"/>
      <c r="H65" s="9"/>
      <c r="I65" s="9"/>
      <c r="J65" s="9"/>
      <c r="K65" s="9"/>
      <c r="L65" s="9"/>
    </row>
    <row r="66" customFormat="false" ht="15" hidden="false" customHeight="false" outlineLevel="0" collapsed="false">
      <c r="A66" s="9"/>
      <c r="B66" s="9"/>
      <c r="C66" s="9"/>
      <c r="D66" s="9"/>
      <c r="E66" s="9"/>
      <c r="F66" s="9"/>
      <c r="G66" s="9"/>
      <c r="H66" s="9"/>
      <c r="I66" s="9"/>
      <c r="J66" s="9"/>
      <c r="K66" s="9"/>
      <c r="L66" s="9"/>
    </row>
    <row r="67" customFormat="false" ht="15" hidden="false" customHeight="false" outlineLevel="0" collapsed="false">
      <c r="A67" s="9"/>
      <c r="B67" s="9"/>
      <c r="C67" s="9"/>
      <c r="D67" s="9"/>
      <c r="E67" s="9"/>
      <c r="F67" s="9"/>
      <c r="G67" s="9"/>
      <c r="H67" s="9"/>
      <c r="I67" s="9"/>
      <c r="J67" s="9"/>
      <c r="K67" s="9"/>
      <c r="L67" s="9"/>
    </row>
    <row r="68" customFormat="false" ht="15" hidden="false" customHeight="false" outlineLevel="0" collapsed="false">
      <c r="A68" s="9"/>
      <c r="B68" s="9"/>
      <c r="C68" s="9"/>
      <c r="D68" s="9"/>
      <c r="E68" s="9"/>
      <c r="F68" s="9"/>
      <c r="G68" s="9"/>
      <c r="H68" s="9"/>
      <c r="I68" s="9"/>
      <c r="J68" s="9"/>
      <c r="K68" s="9"/>
      <c r="L68" s="9"/>
    </row>
    <row r="69" customFormat="false" ht="15" hidden="false" customHeight="false" outlineLevel="0" collapsed="false">
      <c r="A69" s="9"/>
      <c r="B69" s="9"/>
      <c r="C69" s="9"/>
      <c r="D69" s="9"/>
      <c r="E69" s="9"/>
      <c r="F69" s="9"/>
      <c r="G69" s="9"/>
      <c r="H69" s="9"/>
      <c r="I69" s="9"/>
      <c r="J69" s="9"/>
      <c r="K69" s="9"/>
      <c r="L69" s="9"/>
    </row>
    <row r="70" customFormat="false" ht="15" hidden="false" customHeight="false" outlineLevel="0" collapsed="false">
      <c r="A70" s="9"/>
      <c r="B70" s="9"/>
      <c r="C70" s="9"/>
      <c r="D70" s="9"/>
      <c r="E70" s="9"/>
      <c r="F70" s="9"/>
      <c r="G70" s="9"/>
      <c r="H70" s="9"/>
      <c r="I70" s="9"/>
      <c r="J70" s="9"/>
      <c r="K70" s="9"/>
      <c r="L70" s="9"/>
    </row>
    <row r="71" customFormat="false" ht="15" hidden="false" customHeight="false" outlineLevel="0" collapsed="false">
      <c r="A71" s="9"/>
      <c r="B71" s="9"/>
      <c r="C71" s="9"/>
      <c r="D71" s="9"/>
      <c r="E71" s="9"/>
      <c r="F71" s="9"/>
      <c r="G71" s="9"/>
      <c r="H71" s="9"/>
      <c r="I71" s="9"/>
      <c r="J71" s="9"/>
      <c r="K71" s="9"/>
      <c r="L71" s="9"/>
    </row>
    <row r="72" customFormat="false" ht="15" hidden="false" customHeight="false" outlineLevel="0" collapsed="false">
      <c r="A72" s="9"/>
      <c r="B72" s="9"/>
      <c r="C72" s="9"/>
      <c r="D72" s="9"/>
      <c r="E72" s="9"/>
      <c r="F72" s="9"/>
      <c r="G72" s="9"/>
      <c r="H72" s="9"/>
      <c r="I72" s="9"/>
      <c r="J72" s="9"/>
      <c r="K72" s="9"/>
      <c r="L72" s="9"/>
    </row>
    <row r="73" customFormat="false" ht="15" hidden="false" customHeight="false" outlineLevel="0" collapsed="false">
      <c r="A73" s="9"/>
      <c r="B73" s="9"/>
      <c r="C73" s="9"/>
      <c r="D73" s="9"/>
      <c r="E73" s="9"/>
      <c r="F73" s="9"/>
      <c r="G73" s="9"/>
      <c r="H73" s="9"/>
      <c r="I73" s="9"/>
      <c r="J73" s="9"/>
      <c r="K73" s="9"/>
      <c r="L73" s="9"/>
    </row>
    <row r="74" customFormat="false" ht="15" hidden="false" customHeight="false" outlineLevel="0" collapsed="false">
      <c r="A74" s="9"/>
      <c r="B74" s="9"/>
      <c r="C74" s="9"/>
      <c r="D74" s="9"/>
      <c r="E74" s="9"/>
      <c r="F74" s="9"/>
      <c r="G74" s="9"/>
      <c r="H74" s="9"/>
      <c r="I74" s="9"/>
      <c r="J74" s="9"/>
      <c r="K74" s="9"/>
      <c r="L74" s="9"/>
    </row>
    <row r="75" customFormat="false" ht="15" hidden="false" customHeight="false" outlineLevel="0" collapsed="false">
      <c r="A75" s="9"/>
      <c r="B75" s="9"/>
      <c r="C75" s="9"/>
      <c r="D75" s="9"/>
      <c r="E75" s="9"/>
      <c r="F75" s="9"/>
      <c r="G75" s="9"/>
      <c r="H75" s="9"/>
      <c r="I75" s="9"/>
      <c r="J75" s="9"/>
      <c r="K75" s="9"/>
      <c r="L75" s="9"/>
    </row>
    <row r="76" customFormat="false" ht="15" hidden="false" customHeight="false" outlineLevel="0" collapsed="false">
      <c r="A76" s="9"/>
      <c r="B76" s="9"/>
      <c r="C76" s="9"/>
      <c r="D76" s="9"/>
      <c r="E76" s="9"/>
      <c r="F76" s="9"/>
      <c r="G76" s="9"/>
      <c r="H76" s="9"/>
      <c r="I76" s="9"/>
      <c r="J76" s="9"/>
      <c r="K76" s="9"/>
      <c r="L76" s="9"/>
    </row>
    <row r="77" customFormat="false" ht="15" hidden="false" customHeight="false" outlineLevel="0" collapsed="false">
      <c r="A77" s="9"/>
      <c r="B77" s="9"/>
      <c r="C77" s="9"/>
      <c r="D77" s="9"/>
      <c r="E77" s="9"/>
      <c r="F77" s="9"/>
      <c r="G77" s="9"/>
      <c r="H77" s="9"/>
      <c r="I77" s="9"/>
      <c r="J77" s="9"/>
      <c r="K77" s="9"/>
      <c r="L77" s="9"/>
    </row>
    <row r="78" customFormat="false" ht="15" hidden="false" customHeight="false" outlineLevel="0" collapsed="false">
      <c r="A78" s="9"/>
      <c r="B78" s="9"/>
      <c r="C78" s="9"/>
      <c r="D78" s="9"/>
      <c r="E78" s="9"/>
      <c r="F78" s="9"/>
      <c r="G78" s="9"/>
      <c r="H78" s="9"/>
      <c r="I78" s="9"/>
      <c r="J78" s="9"/>
      <c r="K78" s="9"/>
      <c r="L78" s="9"/>
    </row>
    <row r="79" customFormat="false" ht="15" hidden="false" customHeight="false" outlineLevel="0" collapsed="false">
      <c r="A79" s="9"/>
      <c r="B79" s="9"/>
      <c r="C79" s="9"/>
      <c r="D79" s="9"/>
      <c r="E79" s="9"/>
      <c r="F79" s="9"/>
      <c r="G79" s="9"/>
      <c r="H79" s="9"/>
      <c r="I79" s="9"/>
      <c r="J79" s="9"/>
      <c r="K79" s="9"/>
      <c r="L79" s="9"/>
    </row>
    <row r="80" customFormat="false" ht="15" hidden="false" customHeight="false" outlineLevel="0" collapsed="false">
      <c r="A80" s="9"/>
      <c r="B80" s="9"/>
      <c r="C80" s="9"/>
      <c r="D80" s="9"/>
      <c r="E80" s="9"/>
      <c r="F80" s="9"/>
      <c r="G80" s="9"/>
      <c r="H80" s="9"/>
      <c r="I80" s="9"/>
      <c r="J80" s="9"/>
      <c r="K80" s="9"/>
      <c r="L80" s="9"/>
    </row>
    <row r="81" customFormat="false" ht="15" hidden="false" customHeight="false" outlineLevel="0" collapsed="false">
      <c r="A81" s="9"/>
      <c r="B81" s="9"/>
      <c r="C81" s="9"/>
      <c r="D81" s="9"/>
      <c r="E81" s="9"/>
      <c r="F81" s="9"/>
      <c r="G81" s="9"/>
      <c r="H81" s="9"/>
      <c r="I81" s="9"/>
      <c r="J81" s="9"/>
      <c r="K81" s="9"/>
      <c r="L81" s="9"/>
    </row>
    <row r="82" customFormat="false" ht="15" hidden="false" customHeight="false" outlineLevel="0" collapsed="false">
      <c r="A82" s="9"/>
      <c r="B82" s="9"/>
      <c r="C82" s="9"/>
      <c r="D82" s="9"/>
      <c r="E82" s="9"/>
      <c r="F82" s="9"/>
      <c r="G82" s="9"/>
      <c r="H82" s="9"/>
      <c r="I82" s="9"/>
      <c r="J82" s="9"/>
      <c r="K82" s="9"/>
      <c r="L82" s="9"/>
    </row>
    <row r="83" customFormat="false" ht="15" hidden="false" customHeight="false" outlineLevel="0" collapsed="false">
      <c r="A83" s="9"/>
      <c r="B83" s="9"/>
      <c r="C83" s="9"/>
      <c r="D83" s="9"/>
      <c r="E83" s="9"/>
      <c r="F83" s="9"/>
      <c r="G83" s="9"/>
      <c r="H83" s="9"/>
      <c r="I83" s="9"/>
      <c r="J83" s="9"/>
      <c r="K83" s="9"/>
      <c r="L83" s="9"/>
    </row>
    <row r="84" customFormat="false" ht="15" hidden="false" customHeight="false" outlineLevel="0" collapsed="false">
      <c r="A84" s="9"/>
      <c r="B84" s="9"/>
      <c r="C84" s="9"/>
      <c r="D84" s="9"/>
      <c r="E84" s="9"/>
      <c r="F84" s="9"/>
      <c r="G84" s="9"/>
      <c r="H84" s="9"/>
      <c r="I84" s="9"/>
      <c r="J84" s="9"/>
      <c r="K84" s="9"/>
      <c r="L84" s="9"/>
    </row>
    <row r="85" customFormat="false" ht="15" hidden="false" customHeight="false" outlineLevel="0" collapsed="false">
      <c r="A85" s="9"/>
      <c r="B85" s="9"/>
      <c r="C85" s="9"/>
      <c r="D85" s="9"/>
      <c r="E85" s="9"/>
      <c r="F85" s="9"/>
      <c r="G85" s="9"/>
      <c r="H85" s="9"/>
      <c r="I85" s="9"/>
      <c r="J85" s="9"/>
      <c r="K85" s="9"/>
      <c r="L85" s="9"/>
    </row>
    <row r="86" customFormat="false" ht="15" hidden="false" customHeight="false" outlineLevel="0" collapsed="false">
      <c r="A86" s="9"/>
      <c r="B86" s="9"/>
      <c r="C86" s="9"/>
      <c r="D86" s="9"/>
      <c r="E86" s="9"/>
      <c r="F86" s="9"/>
      <c r="G86" s="9"/>
      <c r="H86" s="9"/>
      <c r="I86" s="9"/>
      <c r="J86" s="9"/>
      <c r="K86" s="9"/>
      <c r="L86" s="9"/>
    </row>
    <row r="87" customFormat="false" ht="15" hidden="false" customHeight="false" outlineLevel="0" collapsed="false">
      <c r="A87" s="9"/>
      <c r="B87" s="9"/>
      <c r="C87" s="9"/>
      <c r="D87" s="9"/>
      <c r="E87" s="9"/>
      <c r="F87" s="9"/>
      <c r="G87" s="9"/>
      <c r="H87" s="9"/>
      <c r="I87" s="9"/>
      <c r="J87" s="9"/>
      <c r="K87" s="9"/>
      <c r="L87" s="9"/>
    </row>
    <row r="88" customFormat="false" ht="15" hidden="false" customHeight="false" outlineLevel="0" collapsed="false">
      <c r="A88" s="9"/>
      <c r="B88" s="9"/>
      <c r="C88" s="9"/>
      <c r="D88" s="9"/>
      <c r="E88" s="9"/>
      <c r="F88" s="9"/>
      <c r="G88" s="9"/>
      <c r="H88" s="9"/>
      <c r="I88" s="9"/>
      <c r="J88" s="9"/>
      <c r="K88" s="9"/>
      <c r="L88" s="9"/>
    </row>
    <row r="89" customFormat="false" ht="15" hidden="false" customHeight="false" outlineLevel="0" collapsed="false">
      <c r="A89" s="9"/>
      <c r="B89" s="9"/>
      <c r="C89" s="9"/>
      <c r="D89" s="9"/>
      <c r="E89" s="9"/>
      <c r="F89" s="9"/>
      <c r="G89" s="9"/>
      <c r="H89" s="9"/>
      <c r="I89" s="9"/>
      <c r="J89" s="9"/>
      <c r="K89" s="9"/>
      <c r="L89" s="9"/>
    </row>
    <row r="90" customFormat="false" ht="15" hidden="false" customHeight="false" outlineLevel="0" collapsed="false">
      <c r="A90" s="9"/>
      <c r="B90" s="9"/>
      <c r="C90" s="9"/>
      <c r="D90" s="9"/>
      <c r="E90" s="9"/>
      <c r="F90" s="9"/>
      <c r="G90" s="9"/>
      <c r="H90" s="9"/>
      <c r="I90" s="9"/>
      <c r="J90" s="9"/>
      <c r="K90" s="9"/>
      <c r="L90" s="9"/>
    </row>
    <row r="91" customFormat="false" ht="15" hidden="false" customHeight="false" outlineLevel="0" collapsed="false">
      <c r="A91" s="9"/>
      <c r="B91" s="9"/>
      <c r="C91" s="9"/>
      <c r="D91" s="9"/>
      <c r="E91" s="9"/>
      <c r="F91" s="9"/>
      <c r="G91" s="9"/>
      <c r="H91" s="9"/>
      <c r="I91" s="9"/>
      <c r="J91" s="9"/>
      <c r="K91" s="9"/>
      <c r="L91" s="9"/>
    </row>
    <row r="92" customFormat="false" ht="15" hidden="false" customHeight="false" outlineLevel="0" collapsed="false">
      <c r="A92" s="9"/>
      <c r="B92" s="9"/>
      <c r="C92" s="9"/>
      <c r="D92" s="9"/>
      <c r="E92" s="9"/>
      <c r="F92" s="9"/>
      <c r="G92" s="9"/>
      <c r="H92" s="9"/>
      <c r="I92" s="9"/>
      <c r="J92" s="9"/>
      <c r="K92" s="9"/>
      <c r="L92" s="9"/>
    </row>
    <row r="93" customFormat="false" ht="15" hidden="false" customHeight="false" outlineLevel="0" collapsed="false">
      <c r="A93" s="9"/>
      <c r="B93" s="9"/>
      <c r="C93" s="9"/>
      <c r="D93" s="9"/>
      <c r="E93" s="9"/>
      <c r="F93" s="9"/>
      <c r="G93" s="9"/>
      <c r="H93" s="9"/>
      <c r="I93" s="9"/>
      <c r="J93" s="9"/>
      <c r="K93" s="9"/>
      <c r="L93" s="9"/>
    </row>
    <row r="94" customFormat="false" ht="15" hidden="false" customHeight="false" outlineLevel="0" collapsed="false">
      <c r="A94" s="9"/>
      <c r="B94" s="9"/>
      <c r="C94" s="9"/>
      <c r="D94" s="9"/>
      <c r="E94" s="9"/>
      <c r="F94" s="9"/>
      <c r="G94" s="9"/>
      <c r="H94" s="9"/>
      <c r="I94" s="9"/>
      <c r="J94" s="9"/>
      <c r="K94" s="9"/>
      <c r="L94" s="9"/>
    </row>
    <row r="95" customFormat="false" ht="15" hidden="false" customHeight="false" outlineLevel="0" collapsed="false">
      <c r="A95" s="9"/>
      <c r="B95" s="9"/>
      <c r="C95" s="9"/>
      <c r="D95" s="9"/>
      <c r="E95" s="9"/>
      <c r="F95" s="9"/>
      <c r="G95" s="9"/>
      <c r="H95" s="9"/>
      <c r="I95" s="9"/>
      <c r="J95" s="9"/>
      <c r="K95" s="9"/>
      <c r="L95" s="9"/>
    </row>
    <row r="96" customFormat="false" ht="15" hidden="false" customHeight="false" outlineLevel="0" collapsed="false">
      <c r="A96" s="9"/>
      <c r="B96" s="9"/>
      <c r="C96" s="9"/>
      <c r="D96" s="9"/>
      <c r="E96" s="9"/>
      <c r="F96" s="9"/>
      <c r="G96" s="9"/>
      <c r="H96" s="9"/>
      <c r="I96" s="9"/>
      <c r="J96" s="9"/>
      <c r="K96" s="9"/>
      <c r="L96" s="9"/>
    </row>
    <row r="97" customFormat="false" ht="15" hidden="false" customHeight="false" outlineLevel="0" collapsed="false">
      <c r="A97" s="9"/>
      <c r="B97" s="9"/>
      <c r="C97" s="9"/>
      <c r="D97" s="9"/>
      <c r="E97" s="9"/>
      <c r="F97" s="9"/>
      <c r="G97" s="9"/>
      <c r="H97" s="9"/>
      <c r="I97" s="9"/>
      <c r="J97" s="9"/>
      <c r="K97" s="9"/>
      <c r="L97" s="9"/>
    </row>
    <row r="98" customFormat="false" ht="15" hidden="false" customHeight="false" outlineLevel="0" collapsed="false">
      <c r="A98" s="9"/>
      <c r="B98" s="9"/>
      <c r="C98" s="9"/>
      <c r="D98" s="9"/>
      <c r="E98" s="9"/>
      <c r="F98" s="9"/>
      <c r="G98" s="9"/>
      <c r="H98" s="9"/>
      <c r="I98" s="9"/>
      <c r="J98" s="9"/>
      <c r="K98" s="9"/>
      <c r="L98" s="9"/>
    </row>
    <row r="99" customFormat="false" ht="15" hidden="false" customHeight="false" outlineLevel="0" collapsed="false">
      <c r="A99" s="9"/>
      <c r="B99" s="9"/>
      <c r="C99" s="9"/>
      <c r="D99" s="9"/>
      <c r="E99" s="9"/>
      <c r="F99" s="9"/>
      <c r="G99" s="9"/>
      <c r="H99" s="9"/>
      <c r="I99" s="9"/>
      <c r="J99" s="9"/>
      <c r="K99" s="9"/>
      <c r="L99" s="9"/>
    </row>
    <row r="100" customFormat="false" ht="15" hidden="false" customHeight="false" outlineLevel="0" collapsed="false">
      <c r="A100" s="9"/>
      <c r="B100" s="9"/>
      <c r="C100" s="9"/>
      <c r="D100" s="9"/>
      <c r="E100" s="9"/>
      <c r="F100" s="9"/>
      <c r="G100" s="9"/>
      <c r="H100" s="9"/>
      <c r="I100" s="9"/>
      <c r="J100" s="9"/>
      <c r="K100" s="9"/>
      <c r="L100" s="9"/>
    </row>
    <row r="101" customFormat="false" ht="15" hidden="false" customHeight="false" outlineLevel="0" collapsed="false">
      <c r="A101" s="9"/>
      <c r="B101" s="9"/>
      <c r="C101" s="9"/>
      <c r="D101" s="9"/>
      <c r="E101" s="9"/>
      <c r="F101" s="9"/>
      <c r="G101" s="9"/>
      <c r="H101" s="9"/>
      <c r="I101" s="9"/>
      <c r="J101" s="9"/>
      <c r="K101" s="9"/>
      <c r="L101" s="9"/>
    </row>
    <row r="102" customFormat="false" ht="15" hidden="false" customHeight="false" outlineLevel="0" collapsed="false">
      <c r="A102" s="9"/>
      <c r="B102" s="9"/>
      <c r="C102" s="9"/>
      <c r="D102" s="9"/>
      <c r="E102" s="9"/>
      <c r="F102" s="9"/>
      <c r="G102" s="9"/>
      <c r="H102" s="9"/>
      <c r="I102" s="9"/>
      <c r="J102" s="9"/>
      <c r="K102" s="9"/>
      <c r="L102" s="9"/>
    </row>
    <row r="103" customFormat="false" ht="15" hidden="false" customHeight="false" outlineLevel="0" collapsed="false">
      <c r="A103" s="9"/>
      <c r="B103" s="9"/>
      <c r="C103" s="9"/>
      <c r="D103" s="9"/>
      <c r="E103" s="9"/>
      <c r="F103" s="9"/>
      <c r="G103" s="9"/>
      <c r="H103" s="9"/>
      <c r="I103" s="9"/>
      <c r="J103" s="9"/>
      <c r="K103" s="9"/>
      <c r="L103" s="9"/>
    </row>
    <row r="104" customFormat="false" ht="15" hidden="false" customHeight="false" outlineLevel="0" collapsed="false">
      <c r="A104" s="9"/>
      <c r="B104" s="9"/>
      <c r="C104" s="9"/>
      <c r="D104" s="9"/>
      <c r="E104" s="9"/>
      <c r="F104" s="9"/>
      <c r="G104" s="9"/>
      <c r="H104" s="9"/>
      <c r="I104" s="9"/>
      <c r="J104" s="9"/>
      <c r="K104" s="9"/>
      <c r="L104" s="9"/>
    </row>
    <row r="105" customFormat="false" ht="15" hidden="false" customHeight="false" outlineLevel="0" collapsed="false">
      <c r="A105" s="9"/>
      <c r="B105" s="9"/>
      <c r="C105" s="9"/>
      <c r="D105" s="9"/>
      <c r="E105" s="9"/>
      <c r="F105" s="9"/>
      <c r="G105" s="9"/>
      <c r="H105" s="9"/>
      <c r="I105" s="9"/>
      <c r="J105" s="9"/>
      <c r="K105" s="9"/>
      <c r="L105" s="9"/>
    </row>
    <row r="106" customFormat="false" ht="15" hidden="false" customHeight="false" outlineLevel="0" collapsed="false">
      <c r="A106" s="9"/>
      <c r="B106" s="9"/>
      <c r="C106" s="9"/>
      <c r="D106" s="9"/>
      <c r="E106" s="9"/>
      <c r="F106" s="9"/>
      <c r="G106" s="9"/>
      <c r="H106" s="9"/>
      <c r="I106" s="9"/>
      <c r="J106" s="9"/>
      <c r="K106" s="9"/>
      <c r="L106" s="9"/>
    </row>
    <row r="107" customFormat="false" ht="15" hidden="false" customHeight="false" outlineLevel="0" collapsed="false">
      <c r="A107" s="9"/>
      <c r="B107" s="9"/>
      <c r="C107" s="9"/>
      <c r="D107" s="9"/>
      <c r="E107" s="9"/>
      <c r="F107" s="9"/>
      <c r="G107" s="9"/>
      <c r="H107" s="9"/>
      <c r="I107" s="9"/>
      <c r="J107" s="9"/>
      <c r="K107" s="9"/>
      <c r="L107" s="9"/>
    </row>
    <row r="108" customFormat="false" ht="15" hidden="false" customHeight="false" outlineLevel="0" collapsed="false">
      <c r="A108" s="9"/>
      <c r="B108" s="9"/>
      <c r="C108" s="9"/>
      <c r="D108" s="9"/>
      <c r="E108" s="9"/>
      <c r="F108" s="9"/>
      <c r="G108" s="9"/>
      <c r="H108" s="9"/>
      <c r="I108" s="9"/>
      <c r="J108" s="9"/>
      <c r="K108" s="9"/>
      <c r="L108" s="9"/>
    </row>
    <row r="109" customFormat="false" ht="15" hidden="false" customHeight="false" outlineLevel="0" collapsed="false">
      <c r="A109" s="9"/>
      <c r="B109" s="9"/>
      <c r="C109" s="9"/>
      <c r="D109" s="9"/>
      <c r="E109" s="9"/>
      <c r="F109" s="9"/>
      <c r="G109" s="9"/>
      <c r="H109" s="9"/>
      <c r="I109" s="9"/>
      <c r="J109" s="9"/>
      <c r="K109" s="9"/>
      <c r="L109" s="9"/>
    </row>
    <row r="110" customFormat="false" ht="15" hidden="false" customHeight="false" outlineLevel="0" collapsed="false">
      <c r="A110" s="9"/>
      <c r="B110" s="9"/>
      <c r="C110" s="9"/>
      <c r="D110" s="9"/>
      <c r="E110" s="9"/>
      <c r="F110" s="9"/>
      <c r="G110" s="9"/>
      <c r="H110" s="9"/>
      <c r="I110" s="9"/>
      <c r="J110" s="9"/>
      <c r="K110" s="9"/>
      <c r="L110" s="9"/>
    </row>
    <row r="111" customFormat="false" ht="15" hidden="false" customHeight="false" outlineLevel="0" collapsed="false">
      <c r="A111" s="9"/>
      <c r="B111" s="9"/>
      <c r="C111" s="9"/>
      <c r="D111" s="9"/>
      <c r="E111" s="9"/>
      <c r="F111" s="9"/>
      <c r="G111" s="9"/>
      <c r="H111" s="9"/>
      <c r="I111" s="9"/>
      <c r="J111" s="9"/>
      <c r="K111" s="9"/>
      <c r="L111" s="9"/>
    </row>
    <row r="112" customFormat="false" ht="15" hidden="false" customHeight="false" outlineLevel="0" collapsed="false">
      <c r="A112" s="9"/>
      <c r="B112" s="9"/>
      <c r="C112" s="9"/>
      <c r="D112" s="9"/>
      <c r="E112" s="9"/>
      <c r="F112" s="9"/>
      <c r="G112" s="9"/>
      <c r="H112" s="9"/>
      <c r="I112" s="9"/>
      <c r="J112" s="9"/>
      <c r="K112" s="9"/>
      <c r="L112" s="9"/>
    </row>
    <row r="113" customFormat="false" ht="15" hidden="false" customHeight="false" outlineLevel="0" collapsed="false">
      <c r="A113" s="9"/>
      <c r="B113" s="9"/>
      <c r="C113" s="9"/>
      <c r="D113" s="9"/>
      <c r="E113" s="9"/>
      <c r="F113" s="9"/>
      <c r="G113" s="9"/>
      <c r="H113" s="9"/>
      <c r="I113" s="9"/>
      <c r="J113" s="9"/>
      <c r="K113" s="9"/>
      <c r="L113" s="9"/>
    </row>
    <row r="114" customFormat="false" ht="15" hidden="false" customHeight="false" outlineLevel="0" collapsed="false">
      <c r="A114" s="9"/>
      <c r="B114" s="9"/>
      <c r="C114" s="9"/>
      <c r="D114" s="9"/>
      <c r="E114" s="9"/>
      <c r="F114" s="9"/>
      <c r="G114" s="9"/>
      <c r="H114" s="9"/>
      <c r="I114" s="9"/>
      <c r="J114" s="9"/>
      <c r="K114" s="9"/>
      <c r="L114" s="9"/>
    </row>
    <row r="115" customFormat="false" ht="15" hidden="false" customHeight="false" outlineLevel="0" collapsed="false">
      <c r="A115" s="9"/>
      <c r="B115" s="9"/>
      <c r="C115" s="9"/>
      <c r="D115" s="9"/>
      <c r="E115" s="9"/>
      <c r="F115" s="9"/>
      <c r="G115" s="9"/>
      <c r="H115" s="9"/>
      <c r="I115" s="9"/>
      <c r="J115" s="9"/>
      <c r="K115" s="9"/>
      <c r="L115" s="9"/>
    </row>
    <row r="116" customFormat="false" ht="15" hidden="false" customHeight="false" outlineLevel="0" collapsed="false">
      <c r="A116" s="9"/>
      <c r="B116" s="9"/>
      <c r="C116" s="9"/>
      <c r="D116" s="9"/>
      <c r="E116" s="9"/>
      <c r="F116" s="9"/>
      <c r="G116" s="9"/>
      <c r="H116" s="9"/>
      <c r="I116" s="9"/>
      <c r="J116" s="9"/>
      <c r="K116" s="9"/>
      <c r="L116" s="9"/>
    </row>
    <row r="117" customFormat="false" ht="15" hidden="false" customHeight="false" outlineLevel="0" collapsed="false">
      <c r="A117" s="9"/>
      <c r="B117" s="9"/>
      <c r="C117" s="9"/>
      <c r="D117" s="9"/>
      <c r="E117" s="9"/>
      <c r="F117" s="9"/>
      <c r="G117" s="9"/>
      <c r="H117" s="9"/>
      <c r="I117" s="9"/>
      <c r="J117" s="9"/>
      <c r="K117" s="9"/>
      <c r="L117" s="9"/>
    </row>
    <row r="118" customFormat="false" ht="15" hidden="false" customHeight="false" outlineLevel="0" collapsed="false">
      <c r="A118" s="9"/>
      <c r="B118" s="9"/>
      <c r="C118" s="9"/>
      <c r="D118" s="9"/>
      <c r="E118" s="9"/>
      <c r="F118" s="9"/>
      <c r="G118" s="9"/>
      <c r="H118" s="9"/>
      <c r="I118" s="9"/>
      <c r="J118" s="9"/>
      <c r="K118" s="9"/>
      <c r="L118" s="9"/>
    </row>
    <row r="119" customFormat="false" ht="15" hidden="false" customHeight="false" outlineLevel="0" collapsed="false">
      <c r="A119" s="9"/>
      <c r="B119" s="9"/>
      <c r="C119" s="9"/>
      <c r="D119" s="9"/>
      <c r="E119" s="9"/>
      <c r="F119" s="9"/>
      <c r="G119" s="9"/>
      <c r="H119" s="9"/>
      <c r="I119" s="9"/>
      <c r="J119" s="9"/>
      <c r="K119" s="9"/>
      <c r="L119" s="9"/>
    </row>
    <row r="120" customFormat="false" ht="15" hidden="false" customHeight="false" outlineLevel="0" collapsed="false">
      <c r="A120" s="9"/>
      <c r="B120" s="9"/>
      <c r="C120" s="9"/>
      <c r="D120" s="9"/>
      <c r="E120" s="9"/>
      <c r="F120" s="9"/>
      <c r="G120" s="9"/>
      <c r="H120" s="9"/>
      <c r="I120" s="9"/>
      <c r="J120" s="9"/>
      <c r="K120" s="9"/>
      <c r="L120" s="9"/>
    </row>
    <row r="121" customFormat="false" ht="15" hidden="false" customHeight="false" outlineLevel="0" collapsed="false">
      <c r="A121" s="9"/>
      <c r="B121" s="9"/>
      <c r="C121" s="9"/>
      <c r="D121" s="9"/>
      <c r="E121" s="9"/>
      <c r="F121" s="9"/>
      <c r="G121" s="9"/>
      <c r="H121" s="9"/>
      <c r="I121" s="9"/>
      <c r="J121" s="9"/>
      <c r="K121" s="9"/>
      <c r="L121" s="9"/>
    </row>
    <row r="122" customFormat="false" ht="15" hidden="false" customHeight="false" outlineLevel="0" collapsed="false">
      <c r="A122" s="9"/>
      <c r="B122" s="9"/>
      <c r="C122" s="9"/>
      <c r="D122" s="9"/>
      <c r="E122" s="9"/>
      <c r="F122" s="9"/>
      <c r="G122" s="9"/>
      <c r="H122" s="9"/>
      <c r="I122" s="9"/>
      <c r="J122" s="9"/>
      <c r="K122" s="9"/>
      <c r="L122" s="9"/>
    </row>
    <row r="123" customFormat="false" ht="15" hidden="false" customHeight="false" outlineLevel="0" collapsed="false">
      <c r="A123" s="9"/>
      <c r="B123" s="9"/>
      <c r="C123" s="9"/>
      <c r="D123" s="9"/>
      <c r="E123" s="9"/>
      <c r="F123" s="9"/>
      <c r="G123" s="9"/>
      <c r="H123" s="9"/>
      <c r="I123" s="9"/>
      <c r="J123" s="9"/>
      <c r="K123" s="9"/>
      <c r="L123" s="9"/>
    </row>
    <row r="124" customFormat="false" ht="15" hidden="false" customHeight="false" outlineLevel="0" collapsed="false">
      <c r="A124" s="9"/>
      <c r="B124" s="9"/>
      <c r="C124" s="9"/>
      <c r="D124" s="9"/>
      <c r="E124" s="9"/>
      <c r="F124" s="9"/>
      <c r="G124" s="9"/>
      <c r="H124" s="9"/>
      <c r="I124" s="9"/>
      <c r="J124" s="9"/>
      <c r="K124" s="9"/>
      <c r="L124" s="9"/>
    </row>
    <row r="125" customFormat="false" ht="15" hidden="false" customHeight="false" outlineLevel="0" collapsed="false">
      <c r="A125" s="9"/>
      <c r="B125" s="9"/>
      <c r="C125" s="9"/>
      <c r="D125" s="9"/>
      <c r="E125" s="9"/>
      <c r="F125" s="9"/>
      <c r="G125" s="9"/>
      <c r="H125" s="9"/>
      <c r="I125" s="9"/>
      <c r="J125" s="9"/>
      <c r="K125" s="9"/>
      <c r="L125" s="9"/>
    </row>
    <row r="126" customFormat="false" ht="15" hidden="false" customHeight="false" outlineLevel="0" collapsed="false">
      <c r="A126" s="9"/>
      <c r="B126" s="9"/>
      <c r="C126" s="9"/>
      <c r="D126" s="9"/>
      <c r="E126" s="9"/>
      <c r="F126" s="9"/>
      <c r="G126" s="9"/>
      <c r="H126" s="9"/>
      <c r="I126" s="9"/>
      <c r="J126" s="9"/>
      <c r="K126" s="9"/>
      <c r="L126" s="9"/>
    </row>
    <row r="127" customFormat="false" ht="15" hidden="false" customHeight="false" outlineLevel="0" collapsed="false">
      <c r="A127" s="9"/>
      <c r="B127" s="9"/>
      <c r="C127" s="9"/>
      <c r="D127" s="9"/>
      <c r="E127" s="9"/>
      <c r="F127" s="9"/>
      <c r="G127" s="9"/>
      <c r="H127" s="9"/>
      <c r="I127" s="9"/>
      <c r="J127" s="9"/>
      <c r="K127" s="9"/>
      <c r="L127" s="9"/>
    </row>
    <row r="128" customFormat="false" ht="15" hidden="false" customHeight="false" outlineLevel="0" collapsed="false">
      <c r="A128" s="9"/>
      <c r="B128" s="9"/>
      <c r="C128" s="9"/>
      <c r="D128" s="9"/>
      <c r="E128" s="9"/>
      <c r="F128" s="9"/>
      <c r="G128" s="9"/>
      <c r="H128" s="9"/>
      <c r="I128" s="9"/>
      <c r="J128" s="9"/>
      <c r="K128" s="9"/>
      <c r="L128" s="9"/>
    </row>
    <row r="129" customFormat="false" ht="15" hidden="false" customHeight="false" outlineLevel="0" collapsed="false">
      <c r="A129" s="9"/>
      <c r="B129" s="9"/>
      <c r="C129" s="9"/>
      <c r="D129" s="9"/>
      <c r="E129" s="9"/>
      <c r="F129" s="9"/>
      <c r="G129" s="9"/>
      <c r="H129" s="9"/>
      <c r="I129" s="9"/>
      <c r="J129" s="9"/>
      <c r="K129" s="9"/>
      <c r="L129" s="9"/>
    </row>
    <row r="130" customFormat="false" ht="15" hidden="false" customHeight="false" outlineLevel="0" collapsed="false">
      <c r="A130" s="9"/>
      <c r="B130" s="9"/>
      <c r="C130" s="9"/>
      <c r="D130" s="9"/>
      <c r="E130" s="9"/>
      <c r="F130" s="9"/>
      <c r="G130" s="9"/>
      <c r="H130" s="9"/>
      <c r="I130" s="9"/>
      <c r="J130" s="9"/>
      <c r="K130" s="9"/>
      <c r="L130" s="9"/>
    </row>
    <row r="131" customFormat="false" ht="15" hidden="false" customHeight="false" outlineLevel="0" collapsed="false">
      <c r="A131" s="9"/>
      <c r="B131" s="9"/>
      <c r="C131" s="9"/>
      <c r="D131" s="9"/>
      <c r="E131" s="9"/>
      <c r="F131" s="9"/>
      <c r="G131" s="9"/>
      <c r="H131" s="9"/>
      <c r="I131" s="9"/>
      <c r="J131" s="9"/>
      <c r="K131" s="9"/>
      <c r="L131" s="9"/>
    </row>
    <row r="132" customFormat="false" ht="15" hidden="false" customHeight="false" outlineLevel="0" collapsed="false">
      <c r="A132" s="9"/>
      <c r="B132" s="9"/>
      <c r="C132" s="9"/>
      <c r="D132" s="9"/>
      <c r="E132" s="9"/>
      <c r="F132" s="9"/>
      <c r="G132" s="9"/>
      <c r="H132" s="9"/>
      <c r="I132" s="9"/>
      <c r="J132" s="9"/>
      <c r="K132" s="9"/>
      <c r="L132" s="9"/>
    </row>
    <row r="133" customFormat="false" ht="15" hidden="false" customHeight="false" outlineLevel="0" collapsed="false">
      <c r="A133" s="9"/>
      <c r="B133" s="9"/>
      <c r="C133" s="9"/>
      <c r="D133" s="9"/>
      <c r="E133" s="9"/>
      <c r="F133" s="9"/>
      <c r="G133" s="9"/>
      <c r="H133" s="9"/>
      <c r="I133" s="9"/>
      <c r="J133" s="9"/>
      <c r="K133" s="9"/>
      <c r="L133" s="9"/>
    </row>
    <row r="134" customFormat="false" ht="15" hidden="false" customHeight="false" outlineLevel="0" collapsed="false">
      <c r="A134" s="9"/>
      <c r="B134" s="9"/>
      <c r="C134" s="9"/>
      <c r="D134" s="9"/>
      <c r="E134" s="9"/>
      <c r="F134" s="9"/>
      <c r="G134" s="9"/>
      <c r="H134" s="9"/>
      <c r="I134" s="9"/>
      <c r="J134" s="9"/>
      <c r="K134" s="9"/>
      <c r="L134" s="9"/>
    </row>
    <row r="135" customFormat="false" ht="15" hidden="false" customHeight="false" outlineLevel="0" collapsed="false">
      <c r="A135" s="9"/>
      <c r="B135" s="9"/>
      <c r="C135" s="9"/>
      <c r="D135" s="9"/>
      <c r="E135" s="9"/>
      <c r="F135" s="9"/>
      <c r="G135" s="9"/>
      <c r="H135" s="9"/>
      <c r="I135" s="9"/>
      <c r="J135" s="9"/>
      <c r="K135" s="9"/>
      <c r="L135" s="9"/>
    </row>
    <row r="136" customFormat="false" ht="15" hidden="false" customHeight="false" outlineLevel="0" collapsed="false">
      <c r="A136" s="9"/>
      <c r="B136" s="9"/>
      <c r="C136" s="9"/>
      <c r="D136" s="9"/>
      <c r="E136" s="9"/>
      <c r="F136" s="9"/>
      <c r="G136" s="9"/>
      <c r="H136" s="9"/>
      <c r="I136" s="9"/>
      <c r="J136" s="9"/>
      <c r="K136" s="9"/>
      <c r="L136" s="9"/>
    </row>
    <row r="137" customFormat="false" ht="15" hidden="false" customHeight="false" outlineLevel="0" collapsed="false">
      <c r="A137" s="9"/>
      <c r="B137" s="9"/>
      <c r="C137" s="9"/>
      <c r="D137" s="9"/>
      <c r="E137" s="9"/>
      <c r="F137" s="9"/>
      <c r="G137" s="9"/>
      <c r="H137" s="9"/>
      <c r="I137" s="9"/>
      <c r="J137" s="9"/>
      <c r="K137" s="9"/>
      <c r="L137" s="9"/>
    </row>
    <row r="138" customFormat="false" ht="15" hidden="false" customHeight="false" outlineLevel="0" collapsed="false">
      <c r="A138" s="9"/>
      <c r="B138" s="9"/>
      <c r="C138" s="9"/>
      <c r="D138" s="9"/>
      <c r="E138" s="9"/>
      <c r="F138" s="9"/>
      <c r="G138" s="9"/>
      <c r="H138" s="9"/>
      <c r="I138" s="9"/>
      <c r="J138" s="9"/>
      <c r="K138" s="9"/>
      <c r="L138" s="9"/>
    </row>
    <row r="139" customFormat="false" ht="15" hidden="false" customHeight="false" outlineLevel="0" collapsed="false">
      <c r="A139" s="9"/>
      <c r="B139" s="9"/>
      <c r="C139" s="9"/>
      <c r="D139" s="9"/>
      <c r="E139" s="9"/>
      <c r="F139" s="9"/>
      <c r="G139" s="9"/>
      <c r="H139" s="9"/>
      <c r="I139" s="9"/>
      <c r="J139" s="9"/>
      <c r="K139" s="9"/>
      <c r="L139" s="9"/>
    </row>
    <row r="140" customFormat="false" ht="15" hidden="false" customHeight="false" outlineLevel="0" collapsed="false">
      <c r="A140" s="9"/>
      <c r="B140" s="9"/>
      <c r="C140" s="9"/>
      <c r="D140" s="9"/>
      <c r="E140" s="9"/>
      <c r="F140" s="9"/>
      <c r="G140" s="9"/>
      <c r="H140" s="9"/>
      <c r="I140" s="9"/>
      <c r="J140" s="9"/>
      <c r="K140" s="9"/>
      <c r="L140" s="9"/>
    </row>
    <row r="141" customFormat="false" ht="15" hidden="false" customHeight="false" outlineLevel="0" collapsed="false">
      <c r="A141" s="9"/>
      <c r="B141" s="9"/>
      <c r="C141" s="9"/>
      <c r="D141" s="9"/>
      <c r="E141" s="9"/>
      <c r="F141" s="9"/>
      <c r="G141" s="9"/>
      <c r="H141" s="9"/>
      <c r="I141" s="9"/>
      <c r="J141" s="9"/>
      <c r="K141" s="9"/>
      <c r="L141" s="9"/>
    </row>
    <row r="142" customFormat="false" ht="15" hidden="false" customHeight="false" outlineLevel="0" collapsed="false">
      <c r="A142" s="9"/>
      <c r="B142" s="9"/>
      <c r="C142" s="9"/>
      <c r="D142" s="9"/>
      <c r="E142" s="9"/>
      <c r="F142" s="9"/>
      <c r="G142" s="9"/>
      <c r="H142" s="9"/>
      <c r="I142" s="9"/>
      <c r="J142" s="9"/>
      <c r="K142" s="9"/>
      <c r="L142" s="9"/>
    </row>
    <row r="143" customFormat="false" ht="15" hidden="false" customHeight="false" outlineLevel="0" collapsed="false">
      <c r="A143" s="9"/>
      <c r="B143" s="9"/>
      <c r="C143" s="9"/>
      <c r="D143" s="9"/>
      <c r="E143" s="9"/>
      <c r="F143" s="9"/>
      <c r="G143" s="9"/>
      <c r="H143" s="9"/>
      <c r="I143" s="9"/>
      <c r="J143" s="9"/>
      <c r="K143" s="9"/>
      <c r="L143" s="9"/>
    </row>
    <row r="144" customFormat="false" ht="15" hidden="false" customHeight="false" outlineLevel="0" collapsed="false">
      <c r="A144" s="9"/>
      <c r="B144" s="9"/>
      <c r="C144" s="9"/>
      <c r="D144" s="9"/>
      <c r="E144" s="9"/>
      <c r="F144" s="9"/>
      <c r="G144" s="9"/>
      <c r="H144" s="9"/>
      <c r="I144" s="9"/>
      <c r="J144" s="9"/>
      <c r="K144" s="9"/>
      <c r="L144" s="9"/>
    </row>
    <row r="145" customFormat="false" ht="15" hidden="false" customHeight="false" outlineLevel="0" collapsed="false">
      <c r="A145" s="9"/>
      <c r="B145" s="9"/>
      <c r="C145" s="9"/>
      <c r="D145" s="9"/>
      <c r="E145" s="9"/>
      <c r="F145" s="9"/>
      <c r="G145" s="9"/>
      <c r="H145" s="9"/>
      <c r="I145" s="9"/>
      <c r="J145" s="9"/>
      <c r="K145" s="9"/>
      <c r="L145" s="9"/>
    </row>
    <row r="146" customFormat="false" ht="15" hidden="false" customHeight="false" outlineLevel="0" collapsed="false">
      <c r="A146" s="9"/>
      <c r="B146" s="9"/>
      <c r="C146" s="9"/>
      <c r="D146" s="9"/>
      <c r="E146" s="9"/>
      <c r="F146" s="9"/>
      <c r="G146" s="9"/>
      <c r="H146" s="9"/>
      <c r="I146" s="9"/>
      <c r="J146" s="9"/>
      <c r="K146" s="9"/>
      <c r="L146" s="9"/>
    </row>
    <row r="147" customFormat="false" ht="15" hidden="false" customHeight="false" outlineLevel="0" collapsed="false">
      <c r="A147" s="9"/>
      <c r="B147" s="9"/>
      <c r="C147" s="9"/>
      <c r="D147" s="9"/>
      <c r="E147" s="9"/>
      <c r="F147" s="9"/>
      <c r="G147" s="9"/>
      <c r="H147" s="9"/>
      <c r="I147" s="9"/>
      <c r="J147" s="9"/>
      <c r="K147" s="9"/>
      <c r="L147" s="9"/>
    </row>
    <row r="148" customFormat="false" ht="15" hidden="false" customHeight="false" outlineLevel="0" collapsed="false">
      <c r="A148" s="9"/>
      <c r="B148" s="9"/>
      <c r="C148" s="9"/>
      <c r="D148" s="9"/>
      <c r="E148" s="9"/>
      <c r="F148" s="9"/>
      <c r="G148" s="9"/>
      <c r="H148" s="9"/>
      <c r="I148" s="9"/>
      <c r="J148" s="9"/>
      <c r="K148" s="9"/>
      <c r="L148" s="9"/>
    </row>
    <row r="149" customFormat="false" ht="15" hidden="false" customHeight="false" outlineLevel="0" collapsed="false">
      <c r="A149" s="9"/>
      <c r="B149" s="9"/>
      <c r="C149" s="9"/>
      <c r="D149" s="9"/>
      <c r="E149" s="9"/>
      <c r="F149" s="9"/>
      <c r="G149" s="9"/>
      <c r="H149" s="9"/>
      <c r="I149" s="9"/>
      <c r="J149" s="9"/>
      <c r="K149" s="9"/>
      <c r="L149" s="9"/>
    </row>
    <row r="150" customFormat="false" ht="15" hidden="false" customHeight="false" outlineLevel="0" collapsed="false">
      <c r="A150" s="9"/>
      <c r="B150" s="9"/>
      <c r="C150" s="9"/>
      <c r="D150" s="9"/>
      <c r="E150" s="9"/>
      <c r="F150" s="9"/>
      <c r="G150" s="9"/>
      <c r="H150" s="9"/>
      <c r="I150" s="9"/>
      <c r="J150" s="9"/>
      <c r="K150" s="9"/>
      <c r="L150" s="9"/>
    </row>
    <row r="151" customFormat="false" ht="15" hidden="false" customHeight="false" outlineLevel="0" collapsed="false">
      <c r="A151" s="9"/>
      <c r="B151" s="9"/>
      <c r="C151" s="9"/>
      <c r="D151" s="9"/>
      <c r="E151" s="9"/>
      <c r="F151" s="9"/>
      <c r="G151" s="9"/>
      <c r="H151" s="9"/>
      <c r="I151" s="9"/>
      <c r="J151" s="9"/>
      <c r="K151" s="9"/>
      <c r="L151" s="9"/>
    </row>
    <row r="152" customFormat="false" ht="15" hidden="false" customHeight="false" outlineLevel="0" collapsed="false">
      <c r="A152" s="9"/>
      <c r="B152" s="9"/>
      <c r="C152" s="9"/>
      <c r="D152" s="9"/>
      <c r="E152" s="9"/>
      <c r="F152" s="9"/>
      <c r="G152" s="9"/>
      <c r="H152" s="9"/>
      <c r="I152" s="9"/>
      <c r="J152" s="9"/>
      <c r="K152" s="9"/>
      <c r="L152" s="9"/>
    </row>
    <row r="153" customFormat="false" ht="15" hidden="false" customHeight="false" outlineLevel="0" collapsed="false">
      <c r="A153" s="9"/>
      <c r="B153" s="9"/>
      <c r="C153" s="9"/>
      <c r="D153" s="9"/>
      <c r="E153" s="9"/>
      <c r="F153" s="9"/>
      <c r="G153" s="9"/>
      <c r="H153" s="9"/>
      <c r="I153" s="9"/>
      <c r="J153" s="9"/>
      <c r="K153" s="9"/>
      <c r="L153" s="9"/>
    </row>
    <row r="154" customFormat="false" ht="15" hidden="false" customHeight="false" outlineLevel="0" collapsed="false">
      <c r="A154" s="9"/>
      <c r="B154" s="9"/>
      <c r="C154" s="9"/>
      <c r="D154" s="9"/>
      <c r="E154" s="9"/>
      <c r="F154" s="9"/>
      <c r="G154" s="9"/>
      <c r="H154" s="9"/>
      <c r="I154" s="9"/>
      <c r="J154" s="9"/>
      <c r="K154" s="9"/>
      <c r="L154" s="9"/>
    </row>
    <row r="155" customFormat="false" ht="15" hidden="false" customHeight="false" outlineLevel="0" collapsed="false">
      <c r="A155" s="9"/>
      <c r="B155" s="9"/>
      <c r="C155" s="9"/>
      <c r="D155" s="9"/>
      <c r="E155" s="9"/>
      <c r="F155" s="9"/>
      <c r="G155" s="9"/>
      <c r="H155" s="9"/>
      <c r="I155" s="9"/>
      <c r="J155" s="9"/>
      <c r="K155" s="9"/>
      <c r="L155" s="9"/>
    </row>
    <row r="156" customFormat="false" ht="15" hidden="false" customHeight="false" outlineLevel="0" collapsed="false">
      <c r="A156" s="9"/>
      <c r="B156" s="9"/>
      <c r="C156" s="9"/>
      <c r="D156" s="9"/>
      <c r="E156" s="9"/>
      <c r="F156" s="9"/>
      <c r="G156" s="9"/>
      <c r="H156" s="9"/>
      <c r="I156" s="9"/>
      <c r="J156" s="9"/>
      <c r="K156" s="9"/>
      <c r="L156" s="9"/>
    </row>
    <row r="157" customFormat="false" ht="15" hidden="false" customHeight="false" outlineLevel="0" collapsed="false">
      <c r="A157" s="9"/>
      <c r="B157" s="9"/>
      <c r="C157" s="9"/>
      <c r="D157" s="9"/>
      <c r="E157" s="9"/>
      <c r="F157" s="9"/>
      <c r="G157" s="9"/>
      <c r="H157" s="9"/>
      <c r="I157" s="9"/>
      <c r="J157" s="9"/>
      <c r="K157" s="9"/>
      <c r="L157" s="9"/>
    </row>
    <row r="158" customFormat="false" ht="15" hidden="false" customHeight="false" outlineLevel="0" collapsed="false">
      <c r="A158" s="9"/>
      <c r="B158" s="9"/>
      <c r="C158" s="9"/>
      <c r="D158" s="9"/>
      <c r="E158" s="9"/>
      <c r="F158" s="9"/>
      <c r="G158" s="9"/>
      <c r="H158" s="9"/>
      <c r="I158" s="9"/>
      <c r="J158" s="9"/>
      <c r="K158" s="9"/>
      <c r="L158" s="9"/>
    </row>
    <row r="159" customFormat="false" ht="15" hidden="false" customHeight="false" outlineLevel="0" collapsed="false">
      <c r="A159" s="9"/>
      <c r="B159" s="9"/>
      <c r="C159" s="9"/>
      <c r="D159" s="9"/>
      <c r="E159" s="9"/>
      <c r="F159" s="9"/>
      <c r="G159" s="9"/>
      <c r="H159" s="9"/>
      <c r="I159" s="9"/>
      <c r="J159" s="9"/>
      <c r="K159" s="9"/>
      <c r="L159" s="9"/>
    </row>
    <row r="160" customFormat="false" ht="15" hidden="false" customHeight="false" outlineLevel="0" collapsed="false">
      <c r="A160" s="9"/>
      <c r="B160" s="9"/>
      <c r="C160" s="9"/>
      <c r="D160" s="9"/>
      <c r="E160" s="9"/>
      <c r="F160" s="9"/>
      <c r="G160" s="9"/>
      <c r="H160" s="9"/>
      <c r="I160" s="9"/>
      <c r="J160" s="9"/>
      <c r="K160" s="9"/>
      <c r="L160" s="9"/>
    </row>
    <row r="161" customFormat="false" ht="15" hidden="false" customHeight="false" outlineLevel="0" collapsed="false">
      <c r="A161" s="9"/>
      <c r="B161" s="9"/>
      <c r="C161" s="9"/>
      <c r="D161" s="9"/>
      <c r="E161" s="9"/>
      <c r="F161" s="9"/>
      <c r="G161" s="9"/>
      <c r="H161" s="9"/>
      <c r="I161" s="9"/>
      <c r="J161" s="9"/>
      <c r="K161" s="9"/>
      <c r="L161" s="9"/>
    </row>
    <row r="162" customFormat="false" ht="15" hidden="false" customHeight="false" outlineLevel="0" collapsed="false">
      <c r="A162" s="9"/>
      <c r="B162" s="9"/>
      <c r="C162" s="9"/>
      <c r="D162" s="9"/>
      <c r="E162" s="9"/>
      <c r="F162" s="9"/>
      <c r="G162" s="9"/>
      <c r="H162" s="9"/>
      <c r="I162" s="9"/>
      <c r="J162" s="9"/>
      <c r="K162" s="9"/>
      <c r="L162" s="9"/>
    </row>
    <row r="163" customFormat="false" ht="15" hidden="false" customHeight="false" outlineLevel="0" collapsed="false">
      <c r="A163" s="9"/>
      <c r="B163" s="9"/>
      <c r="C163" s="9"/>
      <c r="D163" s="9"/>
      <c r="E163" s="9"/>
      <c r="F163" s="9"/>
      <c r="G163" s="9"/>
      <c r="H163" s="9"/>
      <c r="I163" s="9"/>
      <c r="J163" s="9"/>
      <c r="K163" s="9"/>
      <c r="L163" s="9"/>
    </row>
    <row r="164" customFormat="false" ht="15" hidden="false" customHeight="false" outlineLevel="0" collapsed="false">
      <c r="A164" s="9"/>
      <c r="B164" s="9"/>
      <c r="C164" s="9"/>
      <c r="D164" s="9"/>
      <c r="E164" s="9"/>
      <c r="F164" s="9"/>
      <c r="G164" s="9"/>
      <c r="H164" s="9"/>
      <c r="I164" s="9"/>
      <c r="J164" s="9"/>
      <c r="K164" s="9"/>
      <c r="L164" s="9"/>
    </row>
    <row r="165" customFormat="false" ht="15" hidden="false" customHeight="false" outlineLevel="0" collapsed="false">
      <c r="A165" s="9"/>
      <c r="B165" s="9"/>
      <c r="C165" s="9"/>
      <c r="D165" s="9"/>
      <c r="E165" s="9"/>
      <c r="F165" s="9"/>
      <c r="G165" s="9"/>
      <c r="H165" s="9"/>
      <c r="I165" s="9"/>
      <c r="J165" s="9"/>
      <c r="K165" s="9"/>
      <c r="L165" s="9"/>
    </row>
    <row r="166" customFormat="false" ht="15" hidden="false" customHeight="false" outlineLevel="0" collapsed="false">
      <c r="A166" s="9"/>
      <c r="B166" s="9"/>
      <c r="C166" s="9"/>
      <c r="D166" s="9"/>
      <c r="E166" s="9"/>
      <c r="F166" s="9"/>
      <c r="G166" s="9"/>
      <c r="H166" s="9"/>
      <c r="I166" s="9"/>
      <c r="J166" s="9"/>
      <c r="K166" s="9"/>
      <c r="L166" s="9"/>
    </row>
    <row r="167" customFormat="false" ht="15" hidden="false" customHeight="false" outlineLevel="0" collapsed="false">
      <c r="A167" s="9"/>
      <c r="B167" s="9"/>
      <c r="C167" s="9"/>
      <c r="D167" s="9"/>
      <c r="E167" s="9"/>
      <c r="F167" s="9"/>
      <c r="G167" s="9"/>
      <c r="H167" s="9"/>
      <c r="I167" s="9"/>
      <c r="J167" s="9"/>
      <c r="K167" s="9"/>
      <c r="L167" s="9"/>
    </row>
    <row r="168" customFormat="false" ht="15" hidden="false" customHeight="false" outlineLevel="0" collapsed="false">
      <c r="A168" s="9"/>
      <c r="B168" s="9"/>
      <c r="C168" s="9"/>
      <c r="D168" s="9"/>
      <c r="E168" s="9"/>
      <c r="F168" s="9"/>
      <c r="G168" s="9"/>
      <c r="H168" s="9"/>
      <c r="I168" s="9"/>
      <c r="J168" s="9"/>
      <c r="K168" s="9"/>
      <c r="L168" s="9"/>
    </row>
    <row r="169" customFormat="false" ht="15" hidden="false" customHeight="false" outlineLevel="0" collapsed="false">
      <c r="A169" s="9"/>
      <c r="B169" s="9"/>
      <c r="C169" s="9"/>
      <c r="D169" s="9"/>
      <c r="E169" s="9"/>
      <c r="F169" s="9"/>
      <c r="G169" s="9"/>
      <c r="H169" s="9"/>
      <c r="I169" s="9"/>
      <c r="J169" s="9"/>
      <c r="K169" s="9"/>
      <c r="L169" s="9"/>
    </row>
    <row r="170" customFormat="false" ht="15" hidden="false" customHeight="false" outlineLevel="0" collapsed="false">
      <c r="A170" s="9"/>
      <c r="B170" s="9"/>
      <c r="C170" s="9"/>
      <c r="D170" s="9"/>
      <c r="E170" s="9"/>
      <c r="F170" s="9"/>
      <c r="G170" s="9"/>
      <c r="H170" s="9"/>
      <c r="I170" s="9"/>
      <c r="J170" s="9"/>
      <c r="K170" s="9"/>
      <c r="L170" s="9"/>
    </row>
    <row r="171" customFormat="false" ht="15" hidden="false" customHeight="false" outlineLevel="0" collapsed="false">
      <c r="A171" s="9"/>
      <c r="B171" s="9"/>
      <c r="C171" s="9"/>
      <c r="D171" s="9"/>
      <c r="E171" s="9"/>
      <c r="F171" s="9"/>
      <c r="G171" s="9"/>
      <c r="H171" s="9"/>
      <c r="I171" s="9"/>
      <c r="J171" s="9"/>
      <c r="K171" s="9"/>
      <c r="L171" s="9"/>
    </row>
    <row r="172" customFormat="false" ht="15" hidden="false" customHeight="false" outlineLevel="0" collapsed="false">
      <c r="A172" s="9"/>
      <c r="B172" s="9"/>
      <c r="C172" s="9"/>
      <c r="D172" s="9"/>
      <c r="E172" s="9"/>
      <c r="F172" s="9"/>
      <c r="G172" s="9"/>
      <c r="H172" s="9"/>
      <c r="I172" s="9"/>
      <c r="J172" s="9"/>
      <c r="K172" s="9"/>
      <c r="L172" s="9"/>
    </row>
    <row r="173" customFormat="false" ht="15" hidden="false" customHeight="false" outlineLevel="0" collapsed="false">
      <c r="A173" s="9"/>
      <c r="B173" s="9"/>
      <c r="C173" s="9"/>
      <c r="D173" s="9"/>
      <c r="E173" s="9"/>
      <c r="F173" s="9"/>
      <c r="G173" s="9"/>
      <c r="H173" s="9"/>
      <c r="I173" s="9"/>
      <c r="J173" s="9"/>
      <c r="K173" s="9"/>
      <c r="L173" s="9"/>
    </row>
    <row r="174" customFormat="false" ht="15" hidden="false" customHeight="false" outlineLevel="0" collapsed="false">
      <c r="A174" s="9"/>
      <c r="B174" s="9"/>
      <c r="C174" s="9"/>
      <c r="D174" s="9"/>
      <c r="E174" s="9"/>
      <c r="F174" s="9"/>
      <c r="G174" s="9"/>
      <c r="H174" s="9"/>
      <c r="I174" s="9"/>
      <c r="J174" s="9"/>
      <c r="K174" s="9"/>
      <c r="L174" s="9"/>
    </row>
    <row r="175" customFormat="false" ht="15" hidden="false" customHeight="false" outlineLevel="0" collapsed="false">
      <c r="A175" s="9"/>
      <c r="B175" s="9"/>
      <c r="C175" s="9"/>
      <c r="D175" s="9"/>
      <c r="E175" s="9"/>
      <c r="F175" s="9"/>
      <c r="G175" s="9"/>
      <c r="H175" s="9"/>
      <c r="I175" s="9"/>
      <c r="J175" s="9"/>
      <c r="K175" s="9"/>
      <c r="L175" s="9"/>
    </row>
    <row r="176" customFormat="false" ht="15" hidden="false" customHeight="false" outlineLevel="0" collapsed="false">
      <c r="A176" s="9"/>
      <c r="B176" s="9"/>
      <c r="C176" s="9"/>
      <c r="D176" s="9"/>
      <c r="E176" s="9"/>
      <c r="F176" s="9"/>
      <c r="G176" s="9"/>
      <c r="H176" s="9"/>
      <c r="I176" s="9"/>
      <c r="J176" s="9"/>
      <c r="K176" s="9"/>
      <c r="L176" s="9"/>
    </row>
    <row r="177" customFormat="false" ht="15" hidden="false" customHeight="false" outlineLevel="0" collapsed="false">
      <c r="A177" s="9"/>
      <c r="B177" s="9"/>
      <c r="C177" s="9"/>
      <c r="D177" s="9"/>
      <c r="E177" s="9"/>
      <c r="F177" s="9"/>
      <c r="G177" s="9"/>
      <c r="H177" s="9"/>
      <c r="I177" s="9"/>
      <c r="J177" s="9"/>
      <c r="K177" s="9"/>
      <c r="L177" s="9"/>
    </row>
    <row r="178" customFormat="false" ht="15" hidden="false" customHeight="false" outlineLevel="0" collapsed="false">
      <c r="A178" s="9"/>
      <c r="B178" s="9"/>
      <c r="C178" s="9"/>
      <c r="D178" s="9"/>
      <c r="E178" s="9"/>
      <c r="F178" s="9"/>
      <c r="G178" s="9"/>
      <c r="H178" s="9"/>
      <c r="I178" s="9"/>
      <c r="J178" s="9"/>
      <c r="K178" s="9"/>
      <c r="L178" s="9"/>
    </row>
    <row r="179" customFormat="false" ht="15" hidden="false" customHeight="false" outlineLevel="0" collapsed="false">
      <c r="A179" s="9"/>
      <c r="B179" s="9"/>
      <c r="C179" s="9"/>
      <c r="D179" s="9"/>
      <c r="E179" s="9"/>
      <c r="F179" s="9"/>
      <c r="G179" s="9"/>
      <c r="H179" s="9"/>
      <c r="I179" s="9"/>
      <c r="J179" s="9"/>
      <c r="K179" s="9"/>
      <c r="L179" s="9"/>
    </row>
    <row r="180" customFormat="false" ht="15" hidden="false" customHeight="false" outlineLevel="0" collapsed="false">
      <c r="A180" s="9"/>
      <c r="B180" s="9"/>
      <c r="C180" s="9"/>
      <c r="D180" s="9"/>
      <c r="E180" s="9"/>
      <c r="F180" s="9"/>
      <c r="G180" s="9"/>
      <c r="H180" s="9"/>
      <c r="I180" s="9"/>
      <c r="J180" s="9"/>
      <c r="K180" s="9"/>
      <c r="L180" s="9"/>
    </row>
    <row r="181" customFormat="false" ht="15" hidden="false" customHeight="false" outlineLevel="0" collapsed="false">
      <c r="A181" s="9"/>
      <c r="B181" s="9"/>
      <c r="C181" s="9"/>
      <c r="D181" s="9"/>
      <c r="E181" s="9"/>
      <c r="F181" s="9"/>
      <c r="G181" s="9"/>
      <c r="H181" s="9"/>
      <c r="I181" s="9"/>
      <c r="J181" s="9"/>
      <c r="K181" s="9"/>
      <c r="L181" s="9"/>
    </row>
    <row r="182" customFormat="false" ht="15" hidden="false" customHeight="false" outlineLevel="0" collapsed="false">
      <c r="A182" s="9"/>
      <c r="B182" s="9"/>
      <c r="C182" s="9"/>
      <c r="D182" s="9"/>
      <c r="E182" s="9"/>
      <c r="F182" s="9"/>
      <c r="G182" s="9"/>
      <c r="H182" s="9"/>
      <c r="I182" s="9"/>
      <c r="J182" s="9"/>
      <c r="K182" s="9"/>
      <c r="L182" s="9"/>
    </row>
    <row r="183" customFormat="false" ht="15" hidden="false" customHeight="false" outlineLevel="0" collapsed="false">
      <c r="A183" s="9"/>
      <c r="B183" s="9"/>
      <c r="C183" s="9"/>
      <c r="D183" s="9"/>
      <c r="E183" s="9"/>
      <c r="F183" s="9"/>
      <c r="G183" s="9"/>
      <c r="H183" s="9"/>
      <c r="I183" s="9"/>
      <c r="J183" s="9"/>
      <c r="K183" s="9"/>
      <c r="L183" s="9"/>
    </row>
    <row r="184" customFormat="false" ht="15" hidden="false" customHeight="false" outlineLevel="0" collapsed="false">
      <c r="A184" s="9"/>
      <c r="B184" s="9"/>
      <c r="C184" s="9"/>
      <c r="D184" s="9"/>
      <c r="E184" s="9"/>
      <c r="F184" s="9"/>
      <c r="G184" s="9"/>
      <c r="H184" s="9"/>
      <c r="I184" s="9"/>
      <c r="J184" s="9"/>
      <c r="K184" s="9"/>
      <c r="L184" s="9"/>
    </row>
    <row r="185" customFormat="false" ht="15" hidden="false" customHeight="false" outlineLevel="0" collapsed="false">
      <c r="A185" s="9"/>
      <c r="B185" s="9"/>
      <c r="C185" s="9"/>
      <c r="D185" s="9"/>
      <c r="E185" s="9"/>
      <c r="F185" s="9"/>
      <c r="G185" s="9"/>
      <c r="H185" s="9"/>
      <c r="I185" s="9"/>
      <c r="J185" s="9"/>
      <c r="K185" s="9"/>
      <c r="L185" s="9"/>
    </row>
    <row r="186" customFormat="false" ht="15" hidden="false" customHeight="false" outlineLevel="0" collapsed="false">
      <c r="A186" s="9"/>
      <c r="B186" s="9"/>
      <c r="C186" s="9"/>
      <c r="D186" s="9"/>
      <c r="E186" s="9"/>
      <c r="F186" s="9"/>
      <c r="G186" s="9"/>
      <c r="H186" s="9"/>
      <c r="I186" s="9"/>
      <c r="J186" s="9"/>
      <c r="K186" s="9"/>
      <c r="L186" s="9"/>
    </row>
    <row r="187" customFormat="false" ht="15" hidden="false" customHeight="false" outlineLevel="0" collapsed="false">
      <c r="A187" s="9"/>
      <c r="B187" s="9"/>
      <c r="C187" s="9"/>
      <c r="D187" s="9"/>
      <c r="E187" s="9"/>
      <c r="F187" s="9"/>
      <c r="G187" s="9"/>
      <c r="H187" s="9"/>
      <c r="I187" s="9"/>
      <c r="J187" s="9"/>
      <c r="K187" s="9"/>
      <c r="L187" s="9"/>
    </row>
    <row r="188" customFormat="false" ht="15" hidden="false" customHeight="false" outlineLevel="0" collapsed="false">
      <c r="A188" s="9"/>
      <c r="B188" s="9"/>
      <c r="C188" s="9"/>
      <c r="D188" s="9"/>
      <c r="E188" s="9"/>
      <c r="F188" s="9"/>
      <c r="G188" s="9"/>
      <c r="H188" s="9"/>
      <c r="I188" s="9"/>
      <c r="J188" s="9"/>
      <c r="K188" s="9"/>
      <c r="L188" s="9"/>
    </row>
    <row r="189" customFormat="false" ht="15" hidden="false" customHeight="false" outlineLevel="0" collapsed="false">
      <c r="A189" s="9"/>
      <c r="B189" s="9"/>
      <c r="C189" s="9"/>
      <c r="D189" s="9"/>
      <c r="E189" s="9"/>
      <c r="F189" s="9"/>
      <c r="G189" s="9"/>
      <c r="H189" s="9"/>
      <c r="I189" s="9"/>
      <c r="J189" s="9"/>
      <c r="K189" s="9"/>
      <c r="L189" s="9"/>
    </row>
    <row r="190" customFormat="false" ht="15" hidden="false" customHeight="false" outlineLevel="0" collapsed="false">
      <c r="A190" s="9"/>
      <c r="B190" s="9"/>
      <c r="C190" s="9"/>
      <c r="D190" s="9"/>
      <c r="E190" s="9"/>
      <c r="F190" s="9"/>
      <c r="G190" s="9"/>
      <c r="H190" s="9"/>
      <c r="I190" s="9"/>
      <c r="J190" s="9"/>
      <c r="K190" s="9"/>
      <c r="L190" s="9"/>
    </row>
    <row r="191" customFormat="false" ht="15" hidden="false" customHeight="false" outlineLevel="0" collapsed="false">
      <c r="A191" s="9"/>
      <c r="B191" s="9"/>
      <c r="C191" s="9"/>
      <c r="D191" s="9"/>
      <c r="E191" s="9"/>
      <c r="F191" s="9"/>
      <c r="G191" s="9"/>
      <c r="H191" s="9"/>
      <c r="I191" s="9"/>
      <c r="J191" s="9"/>
      <c r="K191" s="9"/>
      <c r="L191" s="9"/>
    </row>
    <row r="192" customFormat="false" ht="15" hidden="false" customHeight="false" outlineLevel="0" collapsed="false">
      <c r="A192" s="9"/>
      <c r="B192" s="9"/>
      <c r="C192" s="9"/>
      <c r="D192" s="9"/>
      <c r="E192" s="9"/>
      <c r="F192" s="9"/>
      <c r="G192" s="9"/>
      <c r="H192" s="9"/>
      <c r="I192" s="9"/>
      <c r="J192" s="9"/>
      <c r="K192" s="9"/>
      <c r="L192" s="9"/>
    </row>
    <row r="193" customFormat="false" ht="15" hidden="false" customHeight="false" outlineLevel="0" collapsed="false">
      <c r="A193" s="9"/>
      <c r="B193" s="9"/>
      <c r="C193" s="9"/>
      <c r="D193" s="9"/>
      <c r="E193" s="9"/>
      <c r="F193" s="9"/>
      <c r="G193" s="9"/>
      <c r="H193" s="9"/>
      <c r="I193" s="9"/>
      <c r="J193" s="9"/>
      <c r="K193" s="9"/>
      <c r="L193" s="9"/>
    </row>
    <row r="194" customFormat="false" ht="15" hidden="false" customHeight="false" outlineLevel="0" collapsed="false">
      <c r="A194" s="9"/>
      <c r="B194" s="9"/>
      <c r="C194" s="9"/>
      <c r="D194" s="9"/>
      <c r="E194" s="9"/>
      <c r="F194" s="9"/>
      <c r="G194" s="9"/>
      <c r="H194" s="9"/>
      <c r="I194" s="9"/>
      <c r="J194" s="9"/>
      <c r="K194" s="9"/>
      <c r="L194" s="9"/>
    </row>
    <row r="195" customFormat="false" ht="15" hidden="false" customHeight="false" outlineLevel="0" collapsed="false">
      <c r="A195" s="9"/>
      <c r="B195" s="9"/>
      <c r="C195" s="9"/>
      <c r="D195" s="9"/>
      <c r="E195" s="9"/>
      <c r="F195" s="9"/>
      <c r="G195" s="9"/>
      <c r="H195" s="9"/>
      <c r="I195" s="9"/>
      <c r="J195" s="9"/>
      <c r="K195" s="9"/>
      <c r="L195" s="9"/>
    </row>
    <row r="196" customFormat="false" ht="15" hidden="false" customHeight="false" outlineLevel="0" collapsed="false">
      <c r="A196" s="9"/>
      <c r="B196" s="9"/>
      <c r="C196" s="9"/>
      <c r="D196" s="9"/>
      <c r="E196" s="9"/>
      <c r="F196" s="9"/>
      <c r="G196" s="9"/>
      <c r="H196" s="9"/>
      <c r="I196" s="9"/>
      <c r="J196" s="9"/>
      <c r="K196" s="9"/>
      <c r="L196" s="9"/>
    </row>
    <row r="197" customFormat="false" ht="15" hidden="false" customHeight="false" outlineLevel="0" collapsed="false">
      <c r="A197" s="9"/>
      <c r="B197" s="9"/>
      <c r="C197" s="9"/>
      <c r="D197" s="9"/>
      <c r="E197" s="9"/>
      <c r="F197" s="9"/>
      <c r="G197" s="9"/>
      <c r="H197" s="9"/>
      <c r="I197" s="9"/>
      <c r="J197" s="9"/>
      <c r="K197" s="9"/>
      <c r="L197" s="9"/>
    </row>
    <row r="198" customFormat="false" ht="15" hidden="false" customHeight="false" outlineLevel="0" collapsed="false">
      <c r="A198" s="9"/>
      <c r="B198" s="9"/>
      <c r="C198" s="9"/>
      <c r="D198" s="9"/>
      <c r="E198" s="9"/>
      <c r="F198" s="9"/>
      <c r="G198" s="9"/>
      <c r="H198" s="9"/>
      <c r="I198" s="9"/>
      <c r="J198" s="9"/>
      <c r="K198" s="9"/>
      <c r="L198" s="9"/>
    </row>
    <row r="199" customFormat="false" ht="15" hidden="false" customHeight="false" outlineLevel="0" collapsed="false">
      <c r="A199" s="9"/>
      <c r="B199" s="9"/>
      <c r="C199" s="9"/>
      <c r="D199" s="9"/>
      <c r="E199" s="9"/>
      <c r="F199" s="9"/>
      <c r="G199" s="9"/>
      <c r="H199" s="9"/>
      <c r="I199" s="9"/>
      <c r="J199" s="9"/>
      <c r="K199" s="9"/>
      <c r="L199" s="9"/>
    </row>
    <row r="200" customFormat="false" ht="15" hidden="false" customHeight="false" outlineLevel="0" collapsed="false">
      <c r="A200" s="9"/>
      <c r="B200" s="9"/>
      <c r="C200" s="9"/>
      <c r="D200" s="9"/>
      <c r="E200" s="9"/>
      <c r="F200" s="9"/>
      <c r="G200" s="9"/>
      <c r="H200" s="9"/>
      <c r="I200" s="9"/>
      <c r="J200" s="9"/>
      <c r="K200" s="9"/>
      <c r="L200" s="9"/>
    </row>
    <row r="201" customFormat="false" ht="15" hidden="false" customHeight="false" outlineLevel="0" collapsed="false">
      <c r="A201" s="9"/>
      <c r="B201" s="9"/>
      <c r="C201" s="9"/>
      <c r="D201" s="9"/>
      <c r="E201" s="9"/>
      <c r="F201" s="9"/>
      <c r="G201" s="9"/>
      <c r="H201" s="9"/>
      <c r="I201" s="9"/>
      <c r="J201" s="9"/>
      <c r="K201" s="9"/>
      <c r="L201" s="9"/>
    </row>
    <row r="202" customFormat="false" ht="15" hidden="false" customHeight="false" outlineLevel="0" collapsed="false">
      <c r="A202" s="9"/>
      <c r="B202" s="9"/>
      <c r="C202" s="9"/>
      <c r="D202" s="9"/>
      <c r="E202" s="9"/>
      <c r="F202" s="9"/>
      <c r="G202" s="9"/>
      <c r="H202" s="9"/>
      <c r="I202" s="9"/>
      <c r="J202" s="9"/>
      <c r="K202" s="9"/>
      <c r="L202" s="9"/>
    </row>
    <row r="203" customFormat="false" ht="15" hidden="false" customHeight="false" outlineLevel="0" collapsed="false">
      <c r="A203" s="9"/>
      <c r="B203" s="9"/>
      <c r="C203" s="9"/>
      <c r="D203" s="9"/>
      <c r="E203" s="9"/>
      <c r="F203" s="9"/>
      <c r="G203" s="9"/>
      <c r="H203" s="9"/>
      <c r="I203" s="9"/>
      <c r="J203" s="9"/>
      <c r="K203" s="9"/>
      <c r="L203" s="9"/>
    </row>
    <row r="204" customFormat="false" ht="15" hidden="false" customHeight="false" outlineLevel="0" collapsed="false">
      <c r="A204" s="9"/>
      <c r="B204" s="9"/>
      <c r="C204" s="9"/>
      <c r="D204" s="9"/>
      <c r="E204" s="9"/>
      <c r="F204" s="9"/>
      <c r="G204" s="9"/>
      <c r="H204" s="9"/>
      <c r="I204" s="9"/>
      <c r="J204" s="9"/>
      <c r="K204" s="9"/>
      <c r="L204" s="9"/>
    </row>
    <row r="205" customFormat="false" ht="15" hidden="false" customHeight="false" outlineLevel="0" collapsed="false">
      <c r="A205" s="9"/>
      <c r="B205" s="9"/>
      <c r="C205" s="9"/>
      <c r="D205" s="9"/>
      <c r="E205" s="9"/>
      <c r="F205" s="9"/>
      <c r="G205" s="9"/>
      <c r="H205" s="9"/>
      <c r="I205" s="9"/>
      <c r="J205" s="9"/>
      <c r="K205" s="9"/>
      <c r="L205" s="9"/>
    </row>
    <row r="206" customFormat="false" ht="15" hidden="false" customHeight="false" outlineLevel="0" collapsed="false">
      <c r="A206" s="9"/>
      <c r="B206" s="9"/>
      <c r="C206" s="9"/>
      <c r="D206" s="9"/>
      <c r="E206" s="9"/>
      <c r="F206" s="9"/>
      <c r="G206" s="9"/>
      <c r="H206" s="9"/>
      <c r="I206" s="9"/>
      <c r="J206" s="9"/>
      <c r="K206" s="9"/>
      <c r="L206" s="9"/>
    </row>
    <row r="207" customFormat="false" ht="15" hidden="false" customHeight="false" outlineLevel="0" collapsed="false">
      <c r="A207" s="9"/>
      <c r="B207" s="9"/>
      <c r="C207" s="9"/>
      <c r="D207" s="9"/>
      <c r="E207" s="9"/>
      <c r="F207" s="9"/>
      <c r="G207" s="9"/>
      <c r="H207" s="9"/>
      <c r="I207" s="9"/>
      <c r="J207" s="9"/>
      <c r="K207" s="9"/>
      <c r="L207" s="9"/>
    </row>
    <row r="208" customFormat="false" ht="15" hidden="false" customHeight="false" outlineLevel="0" collapsed="false">
      <c r="A208" s="9"/>
      <c r="B208" s="9"/>
      <c r="C208" s="9"/>
      <c r="D208" s="9"/>
      <c r="E208" s="9"/>
      <c r="F208" s="9"/>
      <c r="G208" s="9"/>
      <c r="H208" s="9"/>
      <c r="I208" s="9"/>
      <c r="J208" s="9"/>
      <c r="K208" s="9"/>
      <c r="L208" s="9"/>
    </row>
    <row r="209" customFormat="false" ht="15" hidden="false" customHeight="false" outlineLevel="0" collapsed="false">
      <c r="A209" s="9"/>
      <c r="B209" s="9"/>
      <c r="C209" s="9"/>
      <c r="D209" s="9"/>
      <c r="E209" s="9"/>
      <c r="F209" s="9"/>
      <c r="G209" s="9"/>
      <c r="H209" s="9"/>
      <c r="I209" s="9"/>
      <c r="J209" s="9"/>
      <c r="K209" s="9"/>
      <c r="L209" s="9"/>
    </row>
    <row r="210" customFormat="false" ht="15" hidden="false" customHeight="false" outlineLevel="0" collapsed="false">
      <c r="A210" s="9"/>
      <c r="B210" s="9"/>
      <c r="C210" s="9"/>
      <c r="D210" s="9"/>
      <c r="E210" s="9"/>
      <c r="F210" s="9"/>
      <c r="G210" s="9"/>
      <c r="H210" s="9"/>
      <c r="I210" s="9"/>
      <c r="J210" s="9"/>
      <c r="K210" s="9"/>
      <c r="L210" s="9"/>
    </row>
    <row r="211" customFormat="false" ht="15" hidden="false" customHeight="false" outlineLevel="0" collapsed="false">
      <c r="A211" s="9"/>
      <c r="B211" s="9"/>
      <c r="C211" s="9"/>
      <c r="D211" s="9"/>
      <c r="E211" s="9"/>
      <c r="F211" s="9"/>
      <c r="G211" s="9"/>
      <c r="H211" s="9"/>
      <c r="I211" s="9"/>
      <c r="J211" s="9"/>
      <c r="K211" s="9"/>
      <c r="L211" s="9"/>
    </row>
    <row r="212" customFormat="false" ht="15" hidden="false" customHeight="false" outlineLevel="0" collapsed="false">
      <c r="A212" s="9"/>
      <c r="B212" s="9"/>
      <c r="C212" s="9"/>
      <c r="D212" s="9"/>
      <c r="E212" s="9"/>
      <c r="F212" s="9"/>
      <c r="G212" s="9"/>
      <c r="H212" s="9"/>
      <c r="I212" s="9"/>
      <c r="J212" s="9"/>
      <c r="K212" s="9"/>
      <c r="L212" s="9"/>
    </row>
    <row r="213" customFormat="false" ht="15" hidden="false" customHeight="false" outlineLevel="0" collapsed="false">
      <c r="A213" s="9"/>
      <c r="B213" s="9"/>
      <c r="C213" s="9"/>
      <c r="D213" s="9"/>
      <c r="E213" s="9"/>
      <c r="F213" s="9"/>
      <c r="G213" s="9"/>
      <c r="H213" s="9"/>
      <c r="I213" s="9"/>
      <c r="J213" s="9"/>
      <c r="K213" s="9"/>
      <c r="L213" s="9"/>
    </row>
    <row r="214" customFormat="false" ht="15" hidden="false" customHeight="false" outlineLevel="0" collapsed="false">
      <c r="A214" s="9"/>
      <c r="B214" s="9"/>
      <c r="C214" s="9"/>
      <c r="D214" s="9"/>
      <c r="E214" s="9"/>
      <c r="F214" s="9"/>
      <c r="G214" s="9"/>
      <c r="H214" s="9"/>
      <c r="I214" s="9"/>
      <c r="J214" s="9"/>
      <c r="K214" s="9"/>
      <c r="L214" s="9"/>
    </row>
    <row r="215" customFormat="false" ht="15" hidden="false" customHeight="false" outlineLevel="0" collapsed="false">
      <c r="A215" s="9"/>
      <c r="B215" s="9"/>
      <c r="C215" s="9"/>
      <c r="D215" s="9"/>
      <c r="E215" s="9"/>
      <c r="F215" s="9"/>
      <c r="G215" s="9"/>
      <c r="H215" s="9"/>
      <c r="I215" s="9"/>
      <c r="J215" s="9"/>
      <c r="K215" s="9"/>
      <c r="L215" s="9"/>
    </row>
    <row r="216" customFormat="false" ht="15" hidden="false" customHeight="false" outlineLevel="0" collapsed="false">
      <c r="A216" s="9"/>
      <c r="B216" s="9"/>
      <c r="C216" s="9"/>
      <c r="D216" s="9"/>
      <c r="E216" s="9"/>
      <c r="F216" s="9"/>
      <c r="G216" s="9"/>
      <c r="H216" s="9"/>
      <c r="I216" s="9"/>
      <c r="J216" s="9"/>
      <c r="K216" s="9"/>
      <c r="L216" s="9"/>
    </row>
    <row r="217" customFormat="false" ht="15" hidden="false" customHeight="false" outlineLevel="0" collapsed="false">
      <c r="A217" s="9"/>
      <c r="B217" s="9"/>
      <c r="C217" s="9"/>
      <c r="D217" s="9"/>
      <c r="E217" s="9"/>
      <c r="F217" s="9"/>
      <c r="G217" s="9"/>
      <c r="H217" s="9"/>
      <c r="I217" s="9"/>
      <c r="J217" s="9"/>
      <c r="K217" s="9"/>
      <c r="L217" s="9"/>
    </row>
    <row r="218" customFormat="false" ht="15" hidden="false" customHeight="false" outlineLevel="0" collapsed="false">
      <c r="A218" s="9"/>
      <c r="B218" s="9"/>
      <c r="C218" s="9"/>
      <c r="D218" s="9"/>
      <c r="E218" s="9"/>
      <c r="F218" s="9"/>
      <c r="G218" s="9"/>
      <c r="H218" s="9"/>
      <c r="I218" s="9"/>
      <c r="J218" s="9"/>
      <c r="K218" s="9"/>
      <c r="L218" s="9"/>
    </row>
    <row r="219" customFormat="false" ht="15" hidden="false" customHeight="false" outlineLevel="0" collapsed="false">
      <c r="A219" s="9"/>
      <c r="B219" s="9"/>
      <c r="C219" s="9"/>
      <c r="D219" s="9"/>
      <c r="E219" s="9"/>
      <c r="F219" s="9"/>
      <c r="G219" s="9"/>
      <c r="H219" s="9"/>
      <c r="I219" s="9"/>
      <c r="J219" s="9"/>
      <c r="K219" s="9"/>
      <c r="L219" s="9"/>
    </row>
    <row r="220" customFormat="false" ht="15" hidden="false" customHeight="false" outlineLevel="0" collapsed="false">
      <c r="A220" s="9"/>
      <c r="B220" s="9"/>
      <c r="C220" s="9"/>
      <c r="D220" s="9"/>
      <c r="E220" s="9"/>
      <c r="F220" s="9"/>
      <c r="G220" s="9"/>
      <c r="H220" s="9"/>
      <c r="I220" s="9"/>
      <c r="J220" s="9"/>
      <c r="K220" s="9"/>
      <c r="L220" s="9"/>
    </row>
    <row r="221" customFormat="false" ht="15" hidden="false" customHeight="false" outlineLevel="0" collapsed="false">
      <c r="A221" s="9"/>
      <c r="B221" s="9"/>
      <c r="C221" s="9"/>
      <c r="D221" s="9"/>
      <c r="E221" s="9"/>
      <c r="F221" s="9"/>
      <c r="G221" s="9"/>
      <c r="H221" s="9"/>
      <c r="I221" s="9"/>
      <c r="J221" s="9"/>
      <c r="K221" s="9"/>
      <c r="L221" s="9"/>
    </row>
    <row r="222" customFormat="false" ht="15" hidden="false" customHeight="false" outlineLevel="0" collapsed="false">
      <c r="A222" s="9"/>
      <c r="B222" s="9"/>
      <c r="C222" s="9"/>
      <c r="D222" s="9"/>
      <c r="E222" s="9"/>
      <c r="F222" s="9"/>
      <c r="G222" s="9"/>
      <c r="H222" s="9"/>
      <c r="I222" s="9"/>
      <c r="J222" s="9"/>
      <c r="K222" s="9"/>
      <c r="L222" s="9"/>
    </row>
    <row r="223" customFormat="false" ht="15" hidden="false" customHeight="false" outlineLevel="0" collapsed="false">
      <c r="A223" s="9"/>
      <c r="B223" s="9"/>
      <c r="C223" s="9"/>
      <c r="D223" s="9"/>
      <c r="E223" s="9"/>
      <c r="F223" s="9"/>
      <c r="G223" s="9"/>
      <c r="H223" s="9"/>
      <c r="I223" s="9"/>
      <c r="J223" s="9"/>
      <c r="K223" s="9"/>
      <c r="L223" s="9"/>
    </row>
    <row r="224" customFormat="false" ht="15" hidden="false" customHeight="false" outlineLevel="0" collapsed="false">
      <c r="A224" s="9"/>
      <c r="B224" s="9"/>
      <c r="C224" s="9"/>
      <c r="D224" s="9"/>
      <c r="E224" s="9"/>
      <c r="F224" s="9"/>
      <c r="G224" s="9"/>
      <c r="H224" s="9"/>
      <c r="I224" s="9"/>
      <c r="J224" s="9"/>
      <c r="K224" s="9"/>
      <c r="L224" s="9"/>
    </row>
    <row r="225" customFormat="false" ht="15" hidden="false" customHeight="false" outlineLevel="0" collapsed="false">
      <c r="A225" s="9"/>
      <c r="B225" s="9"/>
      <c r="C225" s="9"/>
      <c r="D225" s="9"/>
      <c r="E225" s="9"/>
      <c r="F225" s="9"/>
      <c r="G225" s="9"/>
      <c r="H225" s="9"/>
      <c r="I225" s="9"/>
      <c r="J225" s="9"/>
      <c r="K225" s="9"/>
      <c r="L225" s="9"/>
    </row>
    <row r="226" customFormat="false" ht="15" hidden="false" customHeight="false" outlineLevel="0" collapsed="false">
      <c r="A226" s="9"/>
      <c r="B226" s="9"/>
      <c r="C226" s="9"/>
      <c r="D226" s="9"/>
      <c r="E226" s="9"/>
      <c r="F226" s="9"/>
      <c r="G226" s="9"/>
      <c r="H226" s="9"/>
      <c r="I226" s="9"/>
      <c r="J226" s="9"/>
      <c r="K226" s="9"/>
      <c r="L226" s="9"/>
    </row>
    <row r="227" customFormat="false" ht="15" hidden="false" customHeight="false" outlineLevel="0" collapsed="false">
      <c r="A227" s="9"/>
      <c r="B227" s="9"/>
      <c r="C227" s="9"/>
      <c r="D227" s="9"/>
      <c r="E227" s="9"/>
      <c r="F227" s="9"/>
      <c r="G227" s="9"/>
      <c r="H227" s="9"/>
      <c r="I227" s="9"/>
      <c r="J227" s="9"/>
      <c r="K227" s="9"/>
      <c r="L227" s="9"/>
    </row>
    <row r="228" customFormat="false" ht="15" hidden="false" customHeight="false" outlineLevel="0" collapsed="false">
      <c r="A228" s="9"/>
      <c r="B228" s="9"/>
      <c r="C228" s="9"/>
      <c r="D228" s="9"/>
      <c r="E228" s="9"/>
      <c r="F228" s="9"/>
      <c r="G228" s="9"/>
      <c r="H228" s="9"/>
      <c r="I228" s="9"/>
      <c r="J228" s="9"/>
      <c r="K228" s="9"/>
      <c r="L228" s="9"/>
    </row>
    <row r="229" customFormat="false" ht="15" hidden="false" customHeight="false" outlineLevel="0" collapsed="false">
      <c r="A229" s="9"/>
      <c r="B229" s="9"/>
      <c r="C229" s="9"/>
      <c r="D229" s="9"/>
      <c r="E229" s="9"/>
      <c r="F229" s="9"/>
      <c r="G229" s="9"/>
      <c r="H229" s="9"/>
      <c r="I229" s="9"/>
      <c r="J229" s="9"/>
      <c r="K229" s="9"/>
      <c r="L229" s="9"/>
    </row>
    <row r="230" customFormat="false" ht="15" hidden="false" customHeight="false" outlineLevel="0" collapsed="false">
      <c r="A230" s="9"/>
      <c r="B230" s="9"/>
      <c r="C230" s="9"/>
      <c r="D230" s="9"/>
      <c r="E230" s="9"/>
      <c r="F230" s="9"/>
      <c r="G230" s="9"/>
      <c r="H230" s="9"/>
      <c r="I230" s="9"/>
      <c r="J230" s="9"/>
      <c r="K230" s="9"/>
      <c r="L230" s="9"/>
    </row>
    <row r="231" customFormat="false" ht="15" hidden="false" customHeight="false" outlineLevel="0" collapsed="false">
      <c r="A231" s="9"/>
      <c r="B231" s="9"/>
      <c r="C231" s="9"/>
      <c r="D231" s="9"/>
      <c r="E231" s="9"/>
      <c r="F231" s="9"/>
      <c r="G231" s="9"/>
      <c r="H231" s="9"/>
      <c r="I231" s="9"/>
      <c r="J231" s="9"/>
      <c r="K231" s="9"/>
      <c r="L231" s="9"/>
    </row>
    <row r="232" customFormat="false" ht="15" hidden="false" customHeight="false" outlineLevel="0" collapsed="false">
      <c r="A232" s="9"/>
      <c r="B232" s="9"/>
      <c r="C232" s="9"/>
      <c r="D232" s="9"/>
      <c r="E232" s="9"/>
      <c r="F232" s="9"/>
      <c r="G232" s="9"/>
      <c r="H232" s="9"/>
      <c r="I232" s="9"/>
      <c r="J232" s="9"/>
      <c r="K232" s="9"/>
      <c r="L232" s="9"/>
    </row>
    <row r="233" customFormat="false" ht="15" hidden="false" customHeight="false" outlineLevel="0" collapsed="false">
      <c r="A233" s="9"/>
      <c r="B233" s="9"/>
      <c r="C233" s="9"/>
      <c r="D233" s="9"/>
      <c r="E233" s="9"/>
      <c r="F233" s="9"/>
      <c r="G233" s="9"/>
      <c r="H233" s="9"/>
      <c r="I233" s="9"/>
      <c r="J233" s="9"/>
      <c r="K233" s="9"/>
      <c r="L233" s="9"/>
    </row>
    <row r="234" customFormat="false" ht="15" hidden="false" customHeight="false" outlineLevel="0" collapsed="false">
      <c r="A234" s="9"/>
      <c r="B234" s="9"/>
      <c r="C234" s="9"/>
      <c r="D234" s="9"/>
      <c r="E234" s="9"/>
      <c r="F234" s="9"/>
      <c r="G234" s="9"/>
      <c r="H234" s="9"/>
      <c r="I234" s="9"/>
      <c r="J234" s="9"/>
      <c r="K234" s="9"/>
      <c r="L234" s="9"/>
    </row>
    <row r="235" customFormat="false" ht="15" hidden="false" customHeight="false" outlineLevel="0" collapsed="false">
      <c r="A235" s="9"/>
      <c r="B235" s="9"/>
      <c r="C235" s="9"/>
      <c r="D235" s="9"/>
      <c r="E235" s="9"/>
      <c r="F235" s="9"/>
      <c r="G235" s="9"/>
      <c r="H235" s="9"/>
      <c r="I235" s="9"/>
      <c r="J235" s="9"/>
      <c r="K235" s="9"/>
      <c r="L235" s="9"/>
    </row>
    <row r="236" customFormat="false" ht="15" hidden="false" customHeight="false" outlineLevel="0" collapsed="false">
      <c r="A236" s="9"/>
      <c r="B236" s="9"/>
      <c r="C236" s="9"/>
      <c r="D236" s="9"/>
      <c r="E236" s="9"/>
      <c r="F236" s="9"/>
      <c r="G236" s="9"/>
      <c r="H236" s="9"/>
      <c r="I236" s="9"/>
      <c r="J236" s="9"/>
      <c r="K236" s="9"/>
      <c r="L236" s="9"/>
    </row>
    <row r="237" customFormat="false" ht="15" hidden="false" customHeight="false" outlineLevel="0" collapsed="false">
      <c r="A237" s="9"/>
      <c r="B237" s="9"/>
      <c r="C237" s="9"/>
      <c r="D237" s="9"/>
      <c r="E237" s="9"/>
      <c r="F237" s="9"/>
      <c r="G237" s="9"/>
      <c r="H237" s="9"/>
      <c r="I237" s="9"/>
      <c r="J237" s="9"/>
      <c r="K237" s="9"/>
      <c r="L237" s="9"/>
    </row>
    <row r="238" customFormat="false" ht="15" hidden="false" customHeight="false" outlineLevel="0" collapsed="false">
      <c r="A238" s="9"/>
      <c r="B238" s="9"/>
      <c r="C238" s="9"/>
      <c r="D238" s="9"/>
      <c r="E238" s="9"/>
      <c r="F238" s="9"/>
      <c r="G238" s="9"/>
      <c r="H238" s="9"/>
      <c r="I238" s="9"/>
      <c r="J238" s="9"/>
      <c r="K238" s="9"/>
      <c r="L238" s="9"/>
    </row>
    <row r="239" customFormat="false" ht="15" hidden="false" customHeight="false" outlineLevel="0" collapsed="false">
      <c r="A239" s="9"/>
      <c r="B239" s="9"/>
      <c r="C239" s="9"/>
      <c r="D239" s="9"/>
      <c r="E239" s="9"/>
      <c r="F239" s="9"/>
      <c r="G239" s="9"/>
      <c r="H239" s="9"/>
      <c r="I239" s="9"/>
      <c r="J239" s="9"/>
      <c r="K239" s="9"/>
      <c r="L239" s="9"/>
    </row>
    <row r="240" customFormat="false" ht="15" hidden="false" customHeight="false" outlineLevel="0" collapsed="false">
      <c r="A240" s="9"/>
      <c r="B240" s="9"/>
      <c r="C240" s="9"/>
      <c r="D240" s="9"/>
      <c r="E240" s="9"/>
      <c r="F240" s="9"/>
      <c r="G240" s="9"/>
      <c r="H240" s="9"/>
      <c r="I240" s="9"/>
      <c r="J240" s="9"/>
      <c r="K240" s="9"/>
      <c r="L240" s="9"/>
    </row>
    <row r="241" customFormat="false" ht="15" hidden="false" customHeight="false" outlineLevel="0" collapsed="false">
      <c r="A241" s="9"/>
      <c r="B241" s="9"/>
      <c r="C241" s="9"/>
      <c r="D241" s="9"/>
      <c r="E241" s="9"/>
      <c r="F241" s="9"/>
      <c r="G241" s="9"/>
      <c r="H241" s="9"/>
      <c r="I241" s="9"/>
      <c r="J241" s="9"/>
      <c r="K241" s="9"/>
      <c r="L241" s="9"/>
    </row>
    <row r="242" customFormat="false" ht="15" hidden="false" customHeight="false" outlineLevel="0" collapsed="false">
      <c r="A242" s="9"/>
      <c r="B242" s="9"/>
      <c r="C242" s="9"/>
      <c r="D242" s="9"/>
      <c r="E242" s="9"/>
      <c r="F242" s="9"/>
      <c r="G242" s="9"/>
      <c r="H242" s="9"/>
      <c r="I242" s="9"/>
      <c r="J242" s="9"/>
      <c r="K242" s="9"/>
      <c r="L242" s="9"/>
    </row>
    <row r="243" customFormat="false" ht="15" hidden="false" customHeight="false" outlineLevel="0" collapsed="false">
      <c r="A243" s="9"/>
      <c r="B243" s="9"/>
      <c r="C243" s="9"/>
      <c r="D243" s="9"/>
      <c r="E243" s="9"/>
      <c r="F243" s="9"/>
      <c r="G243" s="9"/>
      <c r="H243" s="9"/>
      <c r="I243" s="9"/>
      <c r="J243" s="9"/>
      <c r="K243" s="9"/>
      <c r="L243" s="9"/>
    </row>
    <row r="244" customFormat="false" ht="15" hidden="false" customHeight="false" outlineLevel="0" collapsed="false">
      <c r="A244" s="9"/>
      <c r="B244" s="9"/>
      <c r="C244" s="9"/>
      <c r="D244" s="9"/>
      <c r="E244" s="9"/>
      <c r="F244" s="9"/>
      <c r="G244" s="9"/>
      <c r="H244" s="9"/>
      <c r="I244" s="9"/>
      <c r="J244" s="9"/>
      <c r="K244" s="9"/>
      <c r="L244" s="9"/>
    </row>
    <row r="245" customFormat="false" ht="15" hidden="false" customHeight="false" outlineLevel="0" collapsed="false">
      <c r="A245" s="9"/>
      <c r="B245" s="9"/>
      <c r="C245" s="9"/>
      <c r="D245" s="9"/>
      <c r="E245" s="9"/>
      <c r="F245" s="9"/>
      <c r="G245" s="9"/>
      <c r="H245" s="9"/>
      <c r="I245" s="9"/>
      <c r="J245" s="9"/>
      <c r="K245" s="9"/>
      <c r="L245" s="9"/>
    </row>
    <row r="246" customFormat="false" ht="15" hidden="false" customHeight="false" outlineLevel="0" collapsed="false">
      <c r="A246" s="9"/>
      <c r="B246" s="9"/>
      <c r="C246" s="9"/>
      <c r="D246" s="9"/>
      <c r="E246" s="9"/>
      <c r="F246" s="9"/>
      <c r="G246" s="9"/>
      <c r="H246" s="9"/>
      <c r="I246" s="9"/>
      <c r="J246" s="9"/>
      <c r="K246" s="9"/>
      <c r="L246" s="9"/>
    </row>
    <row r="247" customFormat="false" ht="15" hidden="false" customHeight="false" outlineLevel="0" collapsed="false">
      <c r="A247" s="9"/>
      <c r="B247" s="9"/>
      <c r="C247" s="9"/>
      <c r="D247" s="9"/>
      <c r="E247" s="9"/>
      <c r="F247" s="9"/>
      <c r="G247" s="9"/>
      <c r="H247" s="9"/>
      <c r="I247" s="9"/>
      <c r="J247" s="9"/>
      <c r="K247" s="9"/>
      <c r="L247" s="9"/>
    </row>
    <row r="248" customFormat="false" ht="15" hidden="false" customHeight="false" outlineLevel="0" collapsed="false">
      <c r="A248" s="9"/>
      <c r="B248" s="9"/>
      <c r="C248" s="9"/>
      <c r="D248" s="9"/>
      <c r="E248" s="9"/>
      <c r="F248" s="9"/>
      <c r="G248" s="9"/>
      <c r="H248" s="9"/>
      <c r="I248" s="9"/>
      <c r="J248" s="9"/>
      <c r="K248" s="9"/>
      <c r="L248" s="9"/>
    </row>
    <row r="249" customFormat="false" ht="15" hidden="false" customHeight="false" outlineLevel="0" collapsed="false">
      <c r="A249" s="9"/>
      <c r="B249" s="9"/>
      <c r="C249" s="9"/>
      <c r="D249" s="9"/>
      <c r="E249" s="9"/>
      <c r="F249" s="9"/>
      <c r="G249" s="9"/>
      <c r="H249" s="9"/>
      <c r="I249" s="9"/>
      <c r="J249" s="9"/>
      <c r="K249" s="9"/>
      <c r="L249" s="9"/>
    </row>
    <row r="250" customFormat="false" ht="15" hidden="false" customHeight="false" outlineLevel="0" collapsed="false">
      <c r="A250" s="9"/>
      <c r="B250" s="9"/>
      <c r="C250" s="9"/>
      <c r="D250" s="9"/>
      <c r="E250" s="9"/>
      <c r="F250" s="9"/>
      <c r="G250" s="9"/>
      <c r="H250" s="9"/>
      <c r="I250" s="9"/>
      <c r="J250" s="9"/>
      <c r="K250" s="9"/>
      <c r="L250" s="9"/>
    </row>
    <row r="251" customFormat="false" ht="15" hidden="false" customHeight="false" outlineLevel="0" collapsed="false">
      <c r="A251" s="9"/>
      <c r="B251" s="9"/>
      <c r="C251" s="9"/>
      <c r="D251" s="9"/>
      <c r="E251" s="9"/>
      <c r="F251" s="9"/>
      <c r="G251" s="9"/>
      <c r="H251" s="9"/>
      <c r="I251" s="9"/>
      <c r="J251" s="9"/>
      <c r="K251" s="9"/>
      <c r="L251" s="9"/>
    </row>
    <row r="252" customFormat="false" ht="15" hidden="false" customHeight="false" outlineLevel="0" collapsed="false">
      <c r="A252" s="9"/>
      <c r="B252" s="9"/>
      <c r="C252" s="9"/>
      <c r="D252" s="9"/>
      <c r="E252" s="9"/>
      <c r="F252" s="9"/>
      <c r="G252" s="9"/>
      <c r="H252" s="9"/>
      <c r="I252" s="9"/>
      <c r="J252" s="9"/>
      <c r="K252" s="9"/>
      <c r="L252" s="9"/>
    </row>
    <row r="253" customFormat="false" ht="15" hidden="false" customHeight="false" outlineLevel="0" collapsed="false">
      <c r="A253" s="9"/>
      <c r="B253" s="9"/>
      <c r="C253" s="9"/>
      <c r="D253" s="9"/>
      <c r="E253" s="9"/>
      <c r="F253" s="9"/>
      <c r="G253" s="9"/>
      <c r="H253" s="9"/>
      <c r="I253" s="9"/>
      <c r="J253" s="9"/>
      <c r="K253" s="9"/>
      <c r="L253" s="9"/>
    </row>
    <row r="254" customFormat="false" ht="15" hidden="false" customHeight="false" outlineLevel="0" collapsed="false">
      <c r="A254" s="9"/>
      <c r="B254" s="9"/>
      <c r="C254" s="9"/>
      <c r="D254" s="9"/>
      <c r="E254" s="9"/>
      <c r="F254" s="9"/>
      <c r="G254" s="9"/>
      <c r="H254" s="9"/>
      <c r="I254" s="9"/>
      <c r="J254" s="9"/>
      <c r="K254" s="9"/>
      <c r="L254" s="9"/>
    </row>
    <row r="255" customFormat="false" ht="15" hidden="false" customHeight="false" outlineLevel="0" collapsed="false">
      <c r="A255" s="9"/>
      <c r="B255" s="9"/>
      <c r="C255" s="9"/>
      <c r="D255" s="9"/>
      <c r="E255" s="9"/>
      <c r="F255" s="9"/>
      <c r="G255" s="9"/>
      <c r="H255" s="9"/>
      <c r="I255" s="9"/>
      <c r="J255" s="9"/>
      <c r="K255" s="9"/>
      <c r="L255" s="9"/>
    </row>
    <row r="256" customFormat="false" ht="15" hidden="false" customHeight="false" outlineLevel="0" collapsed="false">
      <c r="A256" s="9"/>
      <c r="B256" s="9"/>
      <c r="C256" s="9"/>
      <c r="D256" s="9"/>
      <c r="E256" s="9"/>
      <c r="F256" s="9"/>
      <c r="G256" s="9"/>
      <c r="H256" s="9"/>
      <c r="I256" s="9"/>
      <c r="J256" s="9"/>
      <c r="K256" s="9"/>
      <c r="L256" s="9"/>
    </row>
    <row r="257" customFormat="false" ht="15" hidden="false" customHeight="false" outlineLevel="0" collapsed="false">
      <c r="A257" s="9"/>
      <c r="B257" s="9"/>
      <c r="C257" s="9"/>
      <c r="D257" s="9"/>
      <c r="E257" s="9"/>
      <c r="F257" s="9"/>
      <c r="G257" s="9"/>
      <c r="H257" s="9"/>
      <c r="I257" s="9"/>
      <c r="J257" s="9"/>
      <c r="K257" s="9"/>
      <c r="L257" s="9"/>
    </row>
    <row r="258" customFormat="false" ht="15" hidden="false" customHeight="false" outlineLevel="0" collapsed="false">
      <c r="A258" s="9"/>
      <c r="B258" s="9"/>
      <c r="C258" s="9"/>
      <c r="D258" s="9"/>
      <c r="E258" s="9"/>
      <c r="F258" s="9"/>
      <c r="G258" s="9"/>
      <c r="H258" s="9"/>
      <c r="I258" s="9"/>
      <c r="J258" s="9"/>
      <c r="K258" s="9"/>
      <c r="L258" s="9"/>
    </row>
    <row r="259" customFormat="false" ht="15" hidden="false" customHeight="false" outlineLevel="0" collapsed="false">
      <c r="A259" s="9"/>
      <c r="B259" s="9"/>
      <c r="C259" s="9"/>
      <c r="D259" s="9"/>
      <c r="E259" s="9"/>
      <c r="F259" s="9"/>
      <c r="G259" s="9"/>
      <c r="H259" s="9"/>
      <c r="I259" s="9"/>
      <c r="J259" s="9"/>
      <c r="K259" s="9"/>
      <c r="L259" s="9"/>
    </row>
    <row r="260" customFormat="false" ht="15" hidden="false" customHeight="false" outlineLevel="0" collapsed="false">
      <c r="A260" s="9"/>
      <c r="B260" s="9"/>
      <c r="C260" s="9"/>
      <c r="D260" s="9"/>
      <c r="E260" s="9"/>
      <c r="F260" s="9"/>
      <c r="G260" s="9"/>
      <c r="H260" s="9"/>
      <c r="I260" s="9"/>
      <c r="J260" s="9"/>
      <c r="K260" s="9"/>
      <c r="L260" s="9"/>
    </row>
    <row r="261" customFormat="false" ht="15" hidden="false" customHeight="false" outlineLevel="0" collapsed="false">
      <c r="A261" s="9"/>
      <c r="B261" s="9"/>
      <c r="C261" s="9"/>
      <c r="D261" s="9"/>
      <c r="E261" s="9"/>
      <c r="F261" s="9"/>
      <c r="G261" s="9"/>
      <c r="H261" s="9"/>
      <c r="I261" s="9"/>
      <c r="J261" s="9"/>
      <c r="K261" s="9"/>
      <c r="L261" s="9"/>
    </row>
    <row r="262" customFormat="false" ht="15" hidden="false" customHeight="false" outlineLevel="0" collapsed="false">
      <c r="A262" s="9"/>
      <c r="B262" s="9"/>
      <c r="C262" s="9"/>
      <c r="D262" s="9"/>
      <c r="E262" s="9"/>
      <c r="F262" s="9"/>
      <c r="G262" s="9"/>
      <c r="H262" s="9"/>
      <c r="I262" s="9"/>
      <c r="J262" s="9"/>
      <c r="K262" s="9"/>
      <c r="L262" s="9"/>
    </row>
    <row r="263" customFormat="false" ht="15" hidden="false" customHeight="false" outlineLevel="0" collapsed="false">
      <c r="A263" s="9"/>
      <c r="B263" s="9"/>
      <c r="C263" s="9"/>
      <c r="D263" s="9"/>
      <c r="E263" s="9"/>
      <c r="F263" s="9"/>
      <c r="G263" s="9"/>
      <c r="H263" s="9"/>
      <c r="I263" s="9"/>
      <c r="J263" s="9"/>
      <c r="K263" s="9"/>
      <c r="L263" s="9"/>
    </row>
    <row r="264" customFormat="false" ht="15" hidden="false" customHeight="false" outlineLevel="0" collapsed="false">
      <c r="A264" s="9"/>
      <c r="B264" s="9"/>
      <c r="C264" s="9"/>
      <c r="D264" s="9"/>
      <c r="E264" s="9"/>
      <c r="F264" s="9"/>
      <c r="G264" s="9"/>
      <c r="H264" s="9"/>
      <c r="I264" s="9"/>
      <c r="J264" s="9"/>
      <c r="K264" s="9"/>
      <c r="L264" s="9"/>
    </row>
    <row r="265" customFormat="false" ht="15" hidden="false" customHeight="false" outlineLevel="0" collapsed="false">
      <c r="A265" s="9"/>
      <c r="B265" s="9"/>
      <c r="C265" s="9"/>
      <c r="D265" s="9"/>
      <c r="E265" s="9"/>
      <c r="F265" s="9"/>
      <c r="G265" s="9"/>
      <c r="H265" s="9"/>
      <c r="I265" s="9"/>
      <c r="J265" s="9"/>
      <c r="K265" s="9"/>
      <c r="L265" s="9"/>
    </row>
    <row r="266" customFormat="false" ht="15" hidden="false" customHeight="false" outlineLevel="0" collapsed="false">
      <c r="A266" s="9"/>
      <c r="B266" s="9"/>
      <c r="C266" s="9"/>
      <c r="D266" s="9"/>
      <c r="E266" s="9"/>
      <c r="F266" s="9"/>
      <c r="G266" s="9"/>
      <c r="H266" s="9"/>
      <c r="I266" s="9"/>
      <c r="J266" s="9"/>
      <c r="K266" s="9"/>
      <c r="L266" s="9"/>
    </row>
    <row r="267" customFormat="false" ht="15" hidden="false" customHeight="false" outlineLevel="0" collapsed="false">
      <c r="A267" s="9"/>
      <c r="B267" s="9"/>
      <c r="C267" s="9"/>
      <c r="D267" s="9"/>
      <c r="E267" s="9"/>
      <c r="F267" s="9"/>
      <c r="G267" s="9"/>
      <c r="H267" s="9"/>
      <c r="I267" s="9"/>
      <c r="J267" s="9"/>
      <c r="K267" s="9"/>
      <c r="L267" s="9"/>
    </row>
    <row r="268" customFormat="false" ht="15" hidden="false" customHeight="false" outlineLevel="0" collapsed="false">
      <c r="A268" s="9"/>
      <c r="B268" s="9"/>
      <c r="C268" s="9"/>
      <c r="D268" s="9"/>
      <c r="E268" s="9"/>
      <c r="F268" s="9"/>
      <c r="G268" s="9"/>
      <c r="H268" s="9"/>
      <c r="I268" s="9"/>
      <c r="J268" s="9"/>
      <c r="K268" s="9"/>
      <c r="L268" s="9"/>
    </row>
    <row r="269" customFormat="false" ht="15" hidden="false" customHeight="false" outlineLevel="0" collapsed="false">
      <c r="A269" s="9"/>
      <c r="B269" s="9"/>
      <c r="C269" s="9"/>
      <c r="D269" s="9"/>
      <c r="E269" s="9"/>
      <c r="F269" s="9"/>
      <c r="G269" s="9"/>
      <c r="H269" s="9"/>
      <c r="I269" s="9"/>
      <c r="J269" s="9"/>
      <c r="K269" s="9"/>
      <c r="L269" s="9"/>
    </row>
    <row r="270" customFormat="false" ht="15" hidden="false" customHeight="false" outlineLevel="0" collapsed="false">
      <c r="A270" s="9"/>
      <c r="B270" s="9"/>
      <c r="C270" s="9"/>
      <c r="D270" s="9"/>
      <c r="E270" s="9"/>
      <c r="F270" s="9"/>
      <c r="G270" s="9"/>
      <c r="H270" s="9"/>
      <c r="I270" s="9"/>
      <c r="J270" s="9"/>
      <c r="K270" s="9"/>
      <c r="L270" s="9"/>
    </row>
    <row r="271" customFormat="false" ht="15" hidden="false" customHeight="false" outlineLevel="0" collapsed="false">
      <c r="A271" s="9"/>
      <c r="B271" s="9"/>
      <c r="C271" s="9"/>
      <c r="D271" s="9"/>
      <c r="E271" s="9"/>
      <c r="F271" s="9"/>
      <c r="G271" s="9"/>
      <c r="H271" s="9"/>
      <c r="I271" s="9"/>
      <c r="J271" s="9"/>
      <c r="K271" s="9"/>
      <c r="L271" s="9"/>
    </row>
    <row r="272" customFormat="false" ht="15" hidden="false" customHeight="false" outlineLevel="0" collapsed="false">
      <c r="A272" s="9"/>
      <c r="B272" s="9"/>
      <c r="C272" s="9"/>
      <c r="D272" s="9"/>
      <c r="E272" s="9"/>
      <c r="F272" s="9"/>
      <c r="G272" s="9"/>
      <c r="H272" s="9"/>
      <c r="I272" s="9"/>
      <c r="J272" s="9"/>
      <c r="K272" s="9"/>
      <c r="L272" s="9"/>
    </row>
    <row r="273" customFormat="false" ht="15" hidden="false" customHeight="false" outlineLevel="0" collapsed="false">
      <c r="A273" s="9"/>
      <c r="B273" s="9"/>
      <c r="C273" s="9"/>
      <c r="D273" s="9"/>
      <c r="E273" s="9"/>
      <c r="F273" s="9"/>
      <c r="G273" s="9"/>
      <c r="H273" s="9"/>
      <c r="I273" s="9"/>
      <c r="J273" s="9"/>
      <c r="K273" s="9"/>
      <c r="L273" s="9"/>
    </row>
    <row r="274" customFormat="false" ht="15" hidden="false" customHeight="false" outlineLevel="0" collapsed="false">
      <c r="A274" s="9"/>
      <c r="B274" s="9"/>
      <c r="C274" s="9"/>
      <c r="D274" s="9"/>
      <c r="E274" s="9"/>
      <c r="F274" s="9"/>
      <c r="G274" s="9"/>
      <c r="H274" s="9"/>
      <c r="I274" s="9"/>
      <c r="J274" s="9"/>
      <c r="K274" s="9"/>
      <c r="L274" s="9"/>
    </row>
    <row r="275" customFormat="false" ht="15" hidden="false" customHeight="false" outlineLevel="0" collapsed="false">
      <c r="A275" s="9"/>
      <c r="B275" s="9"/>
      <c r="C275" s="9"/>
      <c r="D275" s="9"/>
      <c r="E275" s="9"/>
      <c r="F275" s="9"/>
      <c r="G275" s="9"/>
      <c r="H275" s="9"/>
      <c r="I275" s="9"/>
      <c r="J275" s="9"/>
      <c r="K275" s="9"/>
      <c r="L275" s="9"/>
    </row>
    <row r="276" customFormat="false" ht="15" hidden="false" customHeight="false" outlineLevel="0" collapsed="false">
      <c r="A276" s="9"/>
      <c r="B276" s="9"/>
      <c r="C276" s="9"/>
      <c r="D276" s="9"/>
      <c r="E276" s="9"/>
      <c r="F276" s="9"/>
      <c r="G276" s="9"/>
      <c r="H276" s="9"/>
      <c r="I276" s="9"/>
      <c r="J276" s="9"/>
      <c r="K276" s="9"/>
      <c r="L276" s="9"/>
    </row>
    <row r="277" customFormat="false" ht="15" hidden="false" customHeight="false" outlineLevel="0" collapsed="false">
      <c r="A277" s="9"/>
      <c r="B277" s="9"/>
      <c r="C277" s="9"/>
      <c r="D277" s="9"/>
      <c r="E277" s="9"/>
      <c r="F277" s="9"/>
      <c r="G277" s="9"/>
      <c r="H277" s="9"/>
      <c r="I277" s="9"/>
      <c r="J277" s="9"/>
      <c r="K277" s="9"/>
      <c r="L277" s="9"/>
    </row>
    <row r="278" customFormat="false" ht="15" hidden="false" customHeight="false" outlineLevel="0" collapsed="false">
      <c r="A278" s="9"/>
      <c r="B278" s="9"/>
      <c r="C278" s="9"/>
      <c r="D278" s="9"/>
      <c r="E278" s="9"/>
      <c r="F278" s="9"/>
      <c r="G278" s="9"/>
      <c r="H278" s="9"/>
      <c r="I278" s="9"/>
      <c r="J278" s="9"/>
      <c r="K278" s="9"/>
      <c r="L278" s="9"/>
    </row>
    <row r="279" customFormat="false" ht="15" hidden="false" customHeight="false" outlineLevel="0" collapsed="false">
      <c r="A279" s="9"/>
      <c r="B279" s="9"/>
      <c r="C279" s="9"/>
      <c r="D279" s="9"/>
      <c r="E279" s="9"/>
      <c r="F279" s="9"/>
      <c r="G279" s="9"/>
      <c r="H279" s="9"/>
      <c r="I279" s="9"/>
      <c r="J279" s="9"/>
      <c r="K279" s="9"/>
      <c r="L279" s="9"/>
    </row>
    <row r="280" customFormat="false" ht="15" hidden="false" customHeight="false" outlineLevel="0" collapsed="false">
      <c r="A280" s="9"/>
      <c r="B280" s="9"/>
      <c r="C280" s="9"/>
      <c r="D280" s="9"/>
      <c r="E280" s="9"/>
      <c r="F280" s="9"/>
      <c r="G280" s="9"/>
      <c r="H280" s="9"/>
      <c r="I280" s="9"/>
      <c r="J280" s="9"/>
      <c r="K280" s="9"/>
      <c r="L280" s="9"/>
    </row>
    <row r="281" customFormat="false" ht="15" hidden="false" customHeight="false" outlineLevel="0" collapsed="false">
      <c r="A281" s="9"/>
      <c r="B281" s="9"/>
      <c r="C281" s="9"/>
      <c r="D281" s="9"/>
      <c r="E281" s="9"/>
      <c r="F281" s="9"/>
      <c r="G281" s="9"/>
      <c r="H281" s="9"/>
      <c r="I281" s="9"/>
      <c r="J281" s="9"/>
      <c r="K281" s="9"/>
      <c r="L281" s="9"/>
    </row>
    <row r="282" customFormat="false" ht="15" hidden="false" customHeight="false" outlineLevel="0" collapsed="false">
      <c r="A282" s="9"/>
      <c r="B282" s="9"/>
      <c r="C282" s="9"/>
      <c r="D282" s="9"/>
      <c r="E282" s="9"/>
      <c r="F282" s="9"/>
      <c r="G282" s="9"/>
      <c r="H282" s="9"/>
      <c r="I282" s="9"/>
      <c r="J282" s="9"/>
      <c r="K282" s="9"/>
      <c r="L282" s="9"/>
    </row>
    <row r="283" customFormat="false" ht="15" hidden="false" customHeight="false" outlineLevel="0" collapsed="false">
      <c r="A283" s="9"/>
      <c r="B283" s="9"/>
      <c r="C283" s="9"/>
      <c r="D283" s="9"/>
      <c r="E283" s="9"/>
      <c r="F283" s="9"/>
      <c r="G283" s="9"/>
      <c r="H283" s="9"/>
      <c r="I283" s="9"/>
      <c r="J283" s="9"/>
      <c r="K283" s="9"/>
      <c r="L283" s="9"/>
    </row>
    <row r="284" customFormat="false" ht="15" hidden="false" customHeight="false" outlineLevel="0" collapsed="false">
      <c r="A284" s="9"/>
      <c r="B284" s="9"/>
      <c r="C284" s="9"/>
      <c r="D284" s="9"/>
      <c r="E284" s="9"/>
      <c r="F284" s="9"/>
      <c r="G284" s="9"/>
      <c r="H284" s="9"/>
      <c r="I284" s="9"/>
      <c r="J284" s="9"/>
      <c r="K284" s="9"/>
      <c r="L284" s="9"/>
    </row>
    <row r="285" customFormat="false" ht="15" hidden="false" customHeight="false" outlineLevel="0" collapsed="false">
      <c r="A285" s="9"/>
      <c r="B285" s="9"/>
      <c r="C285" s="9"/>
      <c r="D285" s="9"/>
      <c r="E285" s="9"/>
      <c r="F285" s="9"/>
      <c r="G285" s="9"/>
      <c r="H285" s="9"/>
      <c r="I285" s="9"/>
      <c r="J285" s="9"/>
      <c r="K285" s="9"/>
      <c r="L285" s="9"/>
    </row>
    <row r="286" customFormat="false" ht="15" hidden="false" customHeight="false" outlineLevel="0" collapsed="false">
      <c r="A286" s="9"/>
      <c r="B286" s="9"/>
      <c r="C286" s="9"/>
      <c r="D286" s="9"/>
      <c r="E286" s="9"/>
      <c r="F286" s="9"/>
      <c r="G286" s="9"/>
      <c r="H286" s="9"/>
      <c r="I286" s="9"/>
      <c r="J286" s="9"/>
      <c r="K286" s="9"/>
      <c r="L286" s="9"/>
    </row>
    <row r="287" customFormat="false" ht="15" hidden="false" customHeight="false" outlineLevel="0" collapsed="false">
      <c r="A287" s="9"/>
      <c r="B287" s="9"/>
      <c r="C287" s="9"/>
      <c r="D287" s="9"/>
      <c r="E287" s="9"/>
      <c r="F287" s="9"/>
      <c r="G287" s="9"/>
      <c r="H287" s="9"/>
      <c r="I287" s="9"/>
      <c r="J287" s="9"/>
      <c r="K287" s="9"/>
      <c r="L287" s="9"/>
    </row>
    <row r="288" customFormat="false" ht="15" hidden="false" customHeight="false" outlineLevel="0" collapsed="false">
      <c r="A288" s="9"/>
      <c r="B288" s="9"/>
      <c r="C288" s="9"/>
      <c r="D288" s="9"/>
      <c r="E288" s="9"/>
      <c r="F288" s="9"/>
      <c r="G288" s="9"/>
      <c r="H288" s="9"/>
      <c r="I288" s="9"/>
      <c r="J288" s="9"/>
      <c r="K288" s="9"/>
      <c r="L288" s="9"/>
    </row>
    <row r="289" customFormat="false" ht="15" hidden="false" customHeight="false" outlineLevel="0" collapsed="false">
      <c r="A289" s="9"/>
      <c r="B289" s="9"/>
      <c r="C289" s="9"/>
      <c r="D289" s="9"/>
      <c r="E289" s="9"/>
      <c r="F289" s="9"/>
      <c r="G289" s="9"/>
      <c r="H289" s="9"/>
      <c r="I289" s="9"/>
      <c r="J289" s="9"/>
      <c r="K289" s="9"/>
      <c r="L289" s="9"/>
    </row>
    <row r="290" customFormat="false" ht="15" hidden="false" customHeight="false" outlineLevel="0" collapsed="false">
      <c r="A290" s="9"/>
      <c r="B290" s="9"/>
      <c r="C290" s="9"/>
      <c r="D290" s="9"/>
      <c r="E290" s="9"/>
      <c r="F290" s="9"/>
      <c r="G290" s="9"/>
      <c r="H290" s="9"/>
      <c r="I290" s="9"/>
      <c r="J290" s="9"/>
      <c r="K290" s="9"/>
      <c r="L290" s="9"/>
    </row>
    <row r="291" customFormat="false" ht="15" hidden="false" customHeight="false" outlineLevel="0" collapsed="false">
      <c r="A291" s="9"/>
      <c r="B291" s="9"/>
      <c r="C291" s="9"/>
      <c r="D291" s="9"/>
      <c r="E291" s="9"/>
      <c r="F291" s="9"/>
      <c r="G291" s="9"/>
      <c r="H291" s="9"/>
      <c r="I291" s="9"/>
      <c r="J291" s="9"/>
      <c r="K291" s="9"/>
      <c r="L291" s="9"/>
    </row>
    <row r="292" customFormat="false" ht="15" hidden="false" customHeight="false" outlineLevel="0" collapsed="false">
      <c r="A292" s="9"/>
      <c r="B292" s="9"/>
      <c r="C292" s="9"/>
      <c r="D292" s="9"/>
      <c r="E292" s="9"/>
      <c r="F292" s="9"/>
      <c r="G292" s="9"/>
      <c r="H292" s="9"/>
      <c r="I292" s="9"/>
      <c r="J292" s="9"/>
      <c r="K292" s="9"/>
      <c r="L292" s="9"/>
    </row>
    <row r="293" customFormat="false" ht="15" hidden="false" customHeight="false" outlineLevel="0" collapsed="false">
      <c r="A293" s="9"/>
      <c r="B293" s="9"/>
      <c r="C293" s="9"/>
      <c r="D293" s="9"/>
      <c r="E293" s="9"/>
      <c r="F293" s="9"/>
      <c r="G293" s="9"/>
      <c r="H293" s="9"/>
      <c r="I293" s="9"/>
      <c r="J293" s="9"/>
      <c r="K293" s="9"/>
      <c r="L293" s="9"/>
    </row>
    <row r="294" customFormat="false" ht="15" hidden="false" customHeight="false" outlineLevel="0" collapsed="false">
      <c r="A294" s="9"/>
      <c r="B294" s="9"/>
      <c r="C294" s="9"/>
      <c r="D294" s="9"/>
      <c r="E294" s="9"/>
      <c r="F294" s="9"/>
      <c r="G294" s="9"/>
      <c r="H294" s="9"/>
      <c r="I294" s="9"/>
      <c r="J294" s="9"/>
      <c r="K294" s="9"/>
      <c r="L294" s="9"/>
    </row>
    <row r="295" customFormat="false" ht="15" hidden="false" customHeight="false" outlineLevel="0" collapsed="false">
      <c r="A295" s="9"/>
      <c r="B295" s="9"/>
      <c r="C295" s="9"/>
      <c r="D295" s="9"/>
      <c r="E295" s="9"/>
      <c r="F295" s="9"/>
      <c r="G295" s="9"/>
      <c r="H295" s="9"/>
      <c r="I295" s="9"/>
      <c r="J295" s="9"/>
      <c r="K295" s="9"/>
      <c r="L295" s="9"/>
    </row>
    <row r="296" customFormat="false" ht="15" hidden="false" customHeight="false" outlineLevel="0" collapsed="false">
      <c r="A296" s="9"/>
      <c r="B296" s="9"/>
      <c r="C296" s="9"/>
      <c r="D296" s="9"/>
      <c r="E296" s="9"/>
      <c r="F296" s="9"/>
      <c r="G296" s="9"/>
      <c r="H296" s="9"/>
      <c r="I296" s="9"/>
      <c r="J296" s="9"/>
      <c r="K296" s="9"/>
      <c r="L296" s="9"/>
    </row>
    <row r="297" customFormat="false" ht="15" hidden="false" customHeight="false" outlineLevel="0" collapsed="false">
      <c r="A297" s="9"/>
      <c r="B297" s="9"/>
      <c r="C297" s="9"/>
      <c r="D297" s="9"/>
      <c r="E297" s="9"/>
      <c r="F297" s="9"/>
      <c r="G297" s="9"/>
      <c r="H297" s="9"/>
      <c r="I297" s="9"/>
      <c r="J297" s="9"/>
      <c r="K297" s="9"/>
      <c r="L297" s="9"/>
    </row>
    <row r="298" customFormat="false" ht="15" hidden="false" customHeight="false" outlineLevel="0" collapsed="false">
      <c r="A298" s="9"/>
      <c r="B298" s="9"/>
      <c r="C298" s="9"/>
      <c r="D298" s="9"/>
      <c r="E298" s="9"/>
      <c r="F298" s="9"/>
      <c r="G298" s="9"/>
      <c r="H298" s="9"/>
      <c r="I298" s="9"/>
      <c r="J298" s="9"/>
      <c r="K298" s="9"/>
      <c r="L298" s="9"/>
    </row>
    <row r="299" customFormat="false" ht="15" hidden="false" customHeight="false" outlineLevel="0" collapsed="false">
      <c r="A299" s="9"/>
      <c r="B299" s="9"/>
      <c r="C299" s="9"/>
      <c r="D299" s="9"/>
      <c r="E299" s="9"/>
      <c r="F299" s="9"/>
      <c r="G299" s="9"/>
      <c r="H299" s="9"/>
      <c r="I299" s="9"/>
      <c r="J299" s="9"/>
      <c r="K299" s="9"/>
      <c r="L299" s="9"/>
    </row>
    <row r="300" customFormat="false" ht="15" hidden="false" customHeight="false" outlineLevel="0" collapsed="false">
      <c r="A300" s="9"/>
      <c r="B300" s="9"/>
      <c r="C300" s="9"/>
      <c r="D300" s="9"/>
      <c r="E300" s="9"/>
      <c r="F300" s="9"/>
      <c r="G300" s="9"/>
      <c r="H300" s="9"/>
      <c r="I300" s="9"/>
      <c r="J300" s="9"/>
      <c r="K300" s="9"/>
      <c r="L300" s="9"/>
    </row>
    <row r="301" customFormat="false" ht="15" hidden="false" customHeight="false" outlineLevel="0" collapsed="false">
      <c r="A301" s="9"/>
      <c r="B301" s="9"/>
      <c r="C301" s="9"/>
      <c r="D301" s="9"/>
      <c r="E301" s="9"/>
      <c r="F301" s="9"/>
      <c r="G301" s="9"/>
      <c r="H301" s="9"/>
      <c r="I301" s="9"/>
      <c r="J301" s="9"/>
      <c r="K301" s="9"/>
      <c r="L301" s="9"/>
    </row>
    <row r="302" customFormat="false" ht="15" hidden="false" customHeight="false" outlineLevel="0" collapsed="false">
      <c r="A302" s="9"/>
      <c r="B302" s="9"/>
      <c r="C302" s="9"/>
      <c r="D302" s="9"/>
      <c r="E302" s="9"/>
      <c r="F302" s="9"/>
      <c r="G302" s="9"/>
      <c r="H302" s="9"/>
      <c r="I302" s="9"/>
      <c r="J302" s="9"/>
      <c r="K302" s="9"/>
      <c r="L302" s="9"/>
    </row>
    <row r="303" customFormat="false" ht="15" hidden="false" customHeight="false" outlineLevel="0" collapsed="false">
      <c r="A303" s="9"/>
      <c r="B303" s="9"/>
      <c r="C303" s="9"/>
      <c r="D303" s="9"/>
      <c r="E303" s="9"/>
      <c r="F303" s="9"/>
      <c r="G303" s="9"/>
      <c r="H303" s="9"/>
      <c r="I303" s="9"/>
      <c r="J303" s="9"/>
      <c r="K303" s="9"/>
      <c r="L303" s="9"/>
    </row>
    <row r="304" customFormat="false" ht="15" hidden="false" customHeight="false" outlineLevel="0" collapsed="false">
      <c r="A304" s="9"/>
      <c r="B304" s="9"/>
      <c r="C304" s="9"/>
      <c r="D304" s="9"/>
      <c r="E304" s="9"/>
      <c r="F304" s="9"/>
      <c r="G304" s="9"/>
      <c r="H304" s="9"/>
      <c r="I304" s="9"/>
      <c r="J304" s="9"/>
      <c r="K304" s="9"/>
      <c r="L304" s="9"/>
    </row>
    <row r="305" customFormat="false" ht="15" hidden="false" customHeight="false" outlineLevel="0" collapsed="false">
      <c r="A305" s="9"/>
      <c r="B305" s="9"/>
      <c r="C305" s="9"/>
      <c r="D305" s="9"/>
      <c r="E305" s="9"/>
      <c r="F305" s="9"/>
      <c r="G305" s="9"/>
      <c r="H305" s="9"/>
      <c r="I305" s="9"/>
      <c r="J305" s="9"/>
      <c r="K305" s="9"/>
      <c r="L305" s="9"/>
    </row>
    <row r="306" customFormat="false" ht="15" hidden="false" customHeight="false" outlineLevel="0" collapsed="false">
      <c r="A306" s="9"/>
      <c r="B306" s="9"/>
      <c r="C306" s="9"/>
      <c r="D306" s="9"/>
      <c r="E306" s="9"/>
      <c r="F306" s="9"/>
      <c r="G306" s="9"/>
      <c r="H306" s="9"/>
      <c r="I306" s="9"/>
      <c r="J306" s="9"/>
      <c r="K306" s="9"/>
      <c r="L306" s="9"/>
    </row>
    <row r="307" customFormat="false" ht="15" hidden="false" customHeight="false" outlineLevel="0" collapsed="false">
      <c r="A307" s="9"/>
      <c r="B307" s="9"/>
      <c r="C307" s="9"/>
      <c r="D307" s="9"/>
      <c r="E307" s="9"/>
      <c r="F307" s="9"/>
      <c r="G307" s="9"/>
      <c r="H307" s="9"/>
      <c r="I307" s="9"/>
      <c r="J307" s="9"/>
      <c r="K307" s="9"/>
      <c r="L307" s="9"/>
    </row>
    <row r="308" customFormat="false" ht="15" hidden="false" customHeight="false" outlineLevel="0" collapsed="false">
      <c r="A308" s="9"/>
      <c r="B308" s="9"/>
      <c r="C308" s="9"/>
      <c r="D308" s="9"/>
      <c r="E308" s="9"/>
      <c r="F308" s="9"/>
      <c r="G308" s="9"/>
      <c r="H308" s="9"/>
      <c r="I308" s="9"/>
      <c r="J308" s="9"/>
      <c r="K308" s="9"/>
      <c r="L308" s="9"/>
    </row>
    <row r="309" customFormat="false" ht="15" hidden="false" customHeight="false" outlineLevel="0" collapsed="false">
      <c r="A309" s="9"/>
      <c r="B309" s="9"/>
      <c r="C309" s="9"/>
      <c r="D309" s="9"/>
      <c r="E309" s="9"/>
      <c r="F309" s="9"/>
      <c r="G309" s="9"/>
      <c r="H309" s="9"/>
      <c r="I309" s="9"/>
      <c r="J309" s="9"/>
      <c r="K309" s="9"/>
      <c r="L309" s="9"/>
    </row>
    <row r="310" customFormat="false" ht="15" hidden="false" customHeight="false" outlineLevel="0" collapsed="false">
      <c r="A310" s="9"/>
      <c r="B310" s="9"/>
      <c r="C310" s="9"/>
      <c r="D310" s="9"/>
      <c r="E310" s="9"/>
      <c r="F310" s="9"/>
      <c r="G310" s="9"/>
      <c r="H310" s="9"/>
      <c r="I310" s="9"/>
      <c r="J310" s="9"/>
      <c r="K310" s="9"/>
      <c r="L310" s="9"/>
    </row>
    <row r="311" customFormat="false" ht="15" hidden="false" customHeight="false" outlineLevel="0" collapsed="false">
      <c r="A311" s="9"/>
      <c r="B311" s="9"/>
      <c r="C311" s="9"/>
      <c r="D311" s="9"/>
      <c r="E311" s="9"/>
      <c r="F311" s="9"/>
      <c r="G311" s="9"/>
      <c r="H311" s="9"/>
      <c r="I311" s="9"/>
      <c r="J311" s="9"/>
      <c r="K311" s="9"/>
      <c r="L311" s="9"/>
    </row>
    <row r="312" customFormat="false" ht="15" hidden="false" customHeight="false" outlineLevel="0" collapsed="false">
      <c r="A312" s="9"/>
      <c r="B312" s="9"/>
      <c r="C312" s="9"/>
      <c r="D312" s="9"/>
      <c r="E312" s="9"/>
      <c r="F312" s="9"/>
      <c r="G312" s="9"/>
      <c r="H312" s="9"/>
      <c r="I312" s="9"/>
      <c r="J312" s="9"/>
      <c r="K312" s="9"/>
      <c r="L312" s="9"/>
    </row>
    <row r="313" customFormat="false" ht="15" hidden="false" customHeight="false" outlineLevel="0" collapsed="false">
      <c r="A313" s="9"/>
      <c r="B313" s="9"/>
      <c r="C313" s="9"/>
      <c r="D313" s="9"/>
      <c r="E313" s="9"/>
      <c r="F313" s="9"/>
      <c r="G313" s="9"/>
      <c r="H313" s="9"/>
      <c r="I313" s="9"/>
      <c r="J313" s="9"/>
      <c r="K313" s="9"/>
      <c r="L313" s="9"/>
    </row>
    <row r="314" customFormat="false" ht="15" hidden="false" customHeight="false" outlineLevel="0" collapsed="false">
      <c r="A314" s="9"/>
      <c r="B314" s="9"/>
      <c r="C314" s="9"/>
      <c r="D314" s="9"/>
      <c r="E314" s="9"/>
      <c r="F314" s="9"/>
      <c r="G314" s="9"/>
      <c r="H314" s="9"/>
      <c r="I314" s="9"/>
      <c r="J314" s="9"/>
      <c r="K314" s="9"/>
      <c r="L314" s="9"/>
    </row>
    <row r="315" customFormat="false" ht="15" hidden="false" customHeight="false" outlineLevel="0" collapsed="false">
      <c r="A315" s="9"/>
      <c r="B315" s="9"/>
      <c r="C315" s="9"/>
      <c r="D315" s="9"/>
      <c r="E315" s="9"/>
      <c r="F315" s="9"/>
      <c r="G315" s="9"/>
      <c r="H315" s="9"/>
      <c r="I315" s="9"/>
      <c r="J315" s="9"/>
      <c r="K315" s="9"/>
      <c r="L315" s="9"/>
    </row>
    <row r="316" customFormat="false" ht="15" hidden="false" customHeight="false" outlineLevel="0" collapsed="false">
      <c r="A316" s="9"/>
      <c r="B316" s="9"/>
      <c r="C316" s="9"/>
      <c r="D316" s="9"/>
      <c r="E316" s="9"/>
      <c r="F316" s="9"/>
      <c r="G316" s="9"/>
      <c r="H316" s="9"/>
      <c r="I316" s="9"/>
      <c r="J316" s="9"/>
      <c r="K316" s="9"/>
      <c r="L316" s="9"/>
    </row>
    <row r="317" customFormat="false" ht="15" hidden="false" customHeight="false" outlineLevel="0" collapsed="false">
      <c r="A317" s="9"/>
      <c r="B317" s="9"/>
      <c r="C317" s="9"/>
      <c r="D317" s="9"/>
      <c r="E317" s="9"/>
      <c r="F317" s="9"/>
      <c r="G317" s="9"/>
      <c r="H317" s="9"/>
      <c r="I317" s="9"/>
      <c r="J317" s="9"/>
      <c r="K317" s="9"/>
      <c r="L317" s="9"/>
    </row>
    <row r="318" customFormat="false" ht="15" hidden="false" customHeight="false" outlineLevel="0" collapsed="false">
      <c r="A318" s="9"/>
      <c r="B318" s="9"/>
      <c r="C318" s="9"/>
      <c r="D318" s="9"/>
      <c r="E318" s="9"/>
      <c r="F318" s="9"/>
      <c r="G318" s="9"/>
      <c r="H318" s="9"/>
      <c r="I318" s="9"/>
      <c r="J318" s="9"/>
      <c r="K318" s="9"/>
      <c r="L318" s="9"/>
    </row>
    <row r="319" customFormat="false" ht="15" hidden="false" customHeight="false" outlineLevel="0" collapsed="false">
      <c r="A319" s="9"/>
      <c r="B319" s="9"/>
      <c r="C319" s="9"/>
      <c r="D319" s="9"/>
      <c r="E319" s="9"/>
      <c r="F319" s="9"/>
      <c r="G319" s="9"/>
      <c r="H319" s="9"/>
      <c r="I319" s="9"/>
      <c r="J319" s="9"/>
      <c r="K319" s="9"/>
      <c r="L319" s="9"/>
    </row>
    <row r="320" customFormat="false" ht="15" hidden="false" customHeight="false" outlineLevel="0" collapsed="false">
      <c r="A320" s="9"/>
      <c r="B320" s="9"/>
      <c r="C320" s="9"/>
      <c r="D320" s="9"/>
      <c r="E320" s="9"/>
      <c r="F320" s="9"/>
      <c r="G320" s="9"/>
      <c r="H320" s="9"/>
      <c r="I320" s="9"/>
      <c r="J320" s="9"/>
      <c r="K320" s="9"/>
      <c r="L320" s="9"/>
    </row>
    <row r="321" customFormat="false" ht="15" hidden="false" customHeight="false" outlineLevel="0" collapsed="false">
      <c r="A321" s="9"/>
      <c r="B321" s="9"/>
      <c r="C321" s="9"/>
      <c r="D321" s="9"/>
      <c r="E321" s="9"/>
      <c r="F321" s="9"/>
      <c r="G321" s="9"/>
      <c r="H321" s="9"/>
      <c r="I321" s="9"/>
      <c r="J321" s="9"/>
      <c r="K321" s="9"/>
      <c r="L321" s="9"/>
    </row>
    <row r="322" customFormat="false" ht="15" hidden="false" customHeight="false" outlineLevel="0" collapsed="false">
      <c r="A322" s="9"/>
      <c r="B322" s="9"/>
      <c r="C322" s="9"/>
      <c r="D322" s="9"/>
      <c r="E322" s="9"/>
      <c r="F322" s="9"/>
      <c r="G322" s="9"/>
      <c r="H322" s="9"/>
      <c r="I322" s="9"/>
      <c r="J322" s="9"/>
      <c r="K322" s="9"/>
      <c r="L322" s="9"/>
    </row>
    <row r="323" customFormat="false" ht="15" hidden="false" customHeight="false" outlineLevel="0" collapsed="false">
      <c r="A323" s="9"/>
      <c r="B323" s="9"/>
      <c r="C323" s="9"/>
      <c r="D323" s="9"/>
      <c r="E323" s="9"/>
      <c r="F323" s="9"/>
      <c r="G323" s="9"/>
      <c r="H323" s="9"/>
      <c r="I323" s="9"/>
      <c r="J323" s="9"/>
      <c r="K323" s="9"/>
      <c r="L323" s="9"/>
    </row>
    <row r="324" customFormat="false" ht="15" hidden="false" customHeight="false" outlineLevel="0" collapsed="false">
      <c r="A324" s="9"/>
      <c r="B324" s="9"/>
      <c r="C324" s="9"/>
      <c r="D324" s="9"/>
      <c r="E324" s="9"/>
      <c r="F324" s="9"/>
      <c r="G324" s="9"/>
      <c r="H324" s="9"/>
      <c r="I324" s="9"/>
      <c r="J324" s="9"/>
      <c r="K324" s="9"/>
      <c r="L324" s="9"/>
    </row>
    <row r="325" customFormat="false" ht="15" hidden="false" customHeight="false" outlineLevel="0" collapsed="false">
      <c r="A325" s="9"/>
      <c r="B325" s="9"/>
      <c r="C325" s="9"/>
      <c r="D325" s="9"/>
      <c r="E325" s="9"/>
      <c r="F325" s="9"/>
      <c r="G325" s="9"/>
      <c r="H325" s="9"/>
      <c r="I325" s="9"/>
      <c r="J325" s="9"/>
      <c r="K325" s="9"/>
      <c r="L325" s="9"/>
    </row>
    <row r="326" customFormat="false" ht="15" hidden="false" customHeight="false" outlineLevel="0" collapsed="false">
      <c r="A326" s="9"/>
      <c r="B326" s="9"/>
      <c r="C326" s="9"/>
      <c r="D326" s="9"/>
      <c r="E326" s="9"/>
      <c r="F326" s="9"/>
      <c r="G326" s="9"/>
      <c r="H326" s="9"/>
      <c r="I326" s="9"/>
      <c r="J326" s="9"/>
      <c r="K326" s="9"/>
      <c r="L326" s="9"/>
    </row>
    <row r="327" customFormat="false" ht="15" hidden="false" customHeight="false" outlineLevel="0" collapsed="false">
      <c r="A327" s="9"/>
      <c r="B327" s="9"/>
      <c r="C327" s="9"/>
      <c r="D327" s="9"/>
      <c r="E327" s="9"/>
      <c r="F327" s="9"/>
      <c r="G327" s="9"/>
      <c r="H327" s="9"/>
      <c r="I327" s="9"/>
      <c r="J327" s="9"/>
      <c r="K327" s="9"/>
      <c r="L327" s="9"/>
    </row>
    <row r="328" customFormat="false" ht="15" hidden="false" customHeight="false" outlineLevel="0" collapsed="false">
      <c r="A328" s="9"/>
      <c r="B328" s="9"/>
      <c r="C328" s="9"/>
      <c r="D328" s="9"/>
      <c r="E328" s="9"/>
      <c r="F328" s="9"/>
      <c r="G328" s="9"/>
      <c r="H328" s="9"/>
      <c r="I328" s="9"/>
      <c r="J328" s="9"/>
      <c r="K328" s="9"/>
      <c r="L328" s="9"/>
    </row>
    <row r="329" customFormat="false" ht="15" hidden="false" customHeight="false" outlineLevel="0" collapsed="false">
      <c r="A329" s="9"/>
      <c r="B329" s="9"/>
      <c r="C329" s="9"/>
      <c r="D329" s="9"/>
      <c r="E329" s="9"/>
      <c r="F329" s="9"/>
      <c r="G329" s="9"/>
      <c r="H329" s="9"/>
      <c r="I329" s="9"/>
      <c r="J329" s="9"/>
      <c r="K329" s="9"/>
      <c r="L329" s="9"/>
    </row>
    <row r="330" customFormat="false" ht="15" hidden="false" customHeight="false" outlineLevel="0" collapsed="false">
      <c r="A330" s="9"/>
      <c r="B330" s="9"/>
      <c r="C330" s="9"/>
      <c r="D330" s="9"/>
      <c r="E330" s="9"/>
      <c r="F330" s="9"/>
      <c r="G330" s="9"/>
      <c r="H330" s="9"/>
      <c r="I330" s="9"/>
      <c r="J330" s="9"/>
      <c r="K330" s="9"/>
      <c r="L330" s="9"/>
    </row>
    <row r="331" customFormat="false" ht="15" hidden="false" customHeight="false" outlineLevel="0" collapsed="false">
      <c r="A331" s="9"/>
      <c r="B331" s="9"/>
      <c r="C331" s="9"/>
      <c r="D331" s="9"/>
      <c r="E331" s="9"/>
      <c r="F331" s="9"/>
      <c r="G331" s="9"/>
      <c r="H331" s="9"/>
      <c r="I331" s="9"/>
      <c r="J331" s="9"/>
      <c r="K331" s="9"/>
      <c r="L331" s="9"/>
    </row>
    <row r="332" customFormat="false" ht="15" hidden="false" customHeight="false" outlineLevel="0" collapsed="false">
      <c r="A332" s="9"/>
      <c r="B332" s="9"/>
      <c r="C332" s="9"/>
      <c r="D332" s="9"/>
      <c r="E332" s="9"/>
      <c r="F332" s="9"/>
      <c r="G332" s="9"/>
      <c r="H332" s="9"/>
      <c r="I332" s="9"/>
      <c r="J332" s="9"/>
      <c r="K332" s="9"/>
      <c r="L332" s="9"/>
    </row>
    <row r="333" customFormat="false" ht="15" hidden="false" customHeight="false" outlineLevel="0" collapsed="false">
      <c r="A333" s="9"/>
      <c r="B333" s="9"/>
      <c r="C333" s="9"/>
      <c r="D333" s="9"/>
      <c r="E333" s="9"/>
      <c r="F333" s="9"/>
      <c r="G333" s="9"/>
      <c r="H333" s="9"/>
      <c r="I333" s="9"/>
      <c r="J333" s="9"/>
      <c r="K333" s="9"/>
      <c r="L333" s="9"/>
    </row>
    <row r="334" customFormat="false" ht="15" hidden="false" customHeight="false" outlineLevel="0" collapsed="false">
      <c r="A334" s="9"/>
      <c r="B334" s="9"/>
      <c r="C334" s="9"/>
      <c r="D334" s="9"/>
      <c r="E334" s="9"/>
      <c r="F334" s="9"/>
      <c r="G334" s="9"/>
      <c r="H334" s="9"/>
      <c r="I334" s="9"/>
      <c r="J334" s="9"/>
      <c r="K334" s="9"/>
      <c r="L334" s="9"/>
    </row>
    <row r="335" customFormat="false" ht="15" hidden="false" customHeight="false" outlineLevel="0" collapsed="false">
      <c r="A335" s="9"/>
      <c r="B335" s="9"/>
      <c r="C335" s="9"/>
      <c r="D335" s="9"/>
      <c r="E335" s="9"/>
      <c r="F335" s="9"/>
      <c r="G335" s="9"/>
      <c r="H335" s="9"/>
      <c r="I335" s="9"/>
      <c r="J335" s="9"/>
      <c r="K335" s="9"/>
      <c r="L335" s="9"/>
    </row>
    <row r="336" customFormat="false" ht="15" hidden="false" customHeight="false" outlineLevel="0" collapsed="false">
      <c r="A336" s="9"/>
      <c r="B336" s="9"/>
      <c r="C336" s="9"/>
      <c r="D336" s="9"/>
      <c r="E336" s="9"/>
      <c r="F336" s="9"/>
      <c r="G336" s="9"/>
      <c r="H336" s="9"/>
      <c r="I336" s="9"/>
      <c r="J336" s="9"/>
      <c r="K336" s="9"/>
      <c r="L336" s="9"/>
    </row>
    <row r="337" customFormat="false" ht="15" hidden="false" customHeight="false" outlineLevel="0" collapsed="false">
      <c r="A337" s="9"/>
      <c r="B337" s="9"/>
      <c r="C337" s="9"/>
      <c r="D337" s="9"/>
      <c r="E337" s="9"/>
      <c r="F337" s="9"/>
      <c r="G337" s="9"/>
      <c r="H337" s="9"/>
      <c r="I337" s="9"/>
      <c r="J337" s="9"/>
      <c r="K337" s="9"/>
      <c r="L337" s="9"/>
    </row>
    <row r="338" customFormat="false" ht="15" hidden="false" customHeight="false" outlineLevel="0" collapsed="false">
      <c r="A338" s="9"/>
      <c r="B338" s="9"/>
      <c r="C338" s="9"/>
      <c r="D338" s="9"/>
      <c r="E338" s="9"/>
      <c r="F338" s="9"/>
      <c r="G338" s="9"/>
      <c r="H338" s="9"/>
      <c r="I338" s="9"/>
      <c r="J338" s="9"/>
      <c r="K338" s="9"/>
      <c r="L338" s="9"/>
    </row>
    <row r="339" customFormat="false" ht="15" hidden="false" customHeight="false" outlineLevel="0" collapsed="false">
      <c r="A339" s="9"/>
      <c r="B339" s="9"/>
      <c r="C339" s="9"/>
      <c r="D339" s="9"/>
      <c r="E339" s="9"/>
      <c r="F339" s="9"/>
      <c r="G339" s="9"/>
      <c r="H339" s="9"/>
      <c r="I339" s="9"/>
      <c r="J339" s="9"/>
      <c r="K339" s="9"/>
      <c r="L339" s="9"/>
    </row>
    <row r="340" customFormat="false" ht="15" hidden="false" customHeight="false" outlineLevel="0" collapsed="false">
      <c r="A340" s="9"/>
      <c r="B340" s="9"/>
      <c r="C340" s="9"/>
      <c r="D340" s="9"/>
      <c r="E340" s="9"/>
      <c r="F340" s="9"/>
      <c r="G340" s="9"/>
      <c r="H340" s="9"/>
      <c r="I340" s="9"/>
      <c r="J340" s="9"/>
      <c r="K340" s="9"/>
      <c r="L340" s="9"/>
    </row>
    <row r="341" customFormat="false" ht="15" hidden="false" customHeight="false" outlineLevel="0" collapsed="false">
      <c r="A341" s="9"/>
      <c r="B341" s="9"/>
      <c r="C341" s="9"/>
      <c r="D341" s="9"/>
      <c r="E341" s="9"/>
      <c r="F341" s="9"/>
      <c r="G341" s="9"/>
      <c r="H341" s="9"/>
      <c r="I341" s="9"/>
      <c r="J341" s="9"/>
      <c r="K341" s="9"/>
      <c r="L341" s="9"/>
    </row>
    <row r="342" customFormat="false" ht="15" hidden="false" customHeight="false" outlineLevel="0" collapsed="false">
      <c r="A342" s="9"/>
      <c r="B342" s="9"/>
      <c r="C342" s="9"/>
      <c r="D342" s="9"/>
      <c r="E342" s="9"/>
      <c r="F342" s="9"/>
      <c r="G342" s="9"/>
      <c r="H342" s="9"/>
      <c r="I342" s="9"/>
      <c r="J342" s="9"/>
      <c r="K342" s="9"/>
      <c r="L342" s="9"/>
    </row>
    <row r="343" customFormat="false" ht="15" hidden="false" customHeight="false" outlineLevel="0" collapsed="false">
      <c r="A343" s="9"/>
      <c r="B343" s="9"/>
      <c r="C343" s="9"/>
      <c r="D343" s="9"/>
      <c r="E343" s="9"/>
      <c r="F343" s="9"/>
      <c r="G343" s="9"/>
      <c r="H343" s="9"/>
      <c r="I343" s="9"/>
      <c r="J343" s="9"/>
      <c r="K343" s="9"/>
      <c r="L343" s="9"/>
    </row>
    <row r="344" customFormat="false" ht="15" hidden="false" customHeight="false" outlineLevel="0" collapsed="false">
      <c r="A344" s="9"/>
      <c r="B344" s="9"/>
      <c r="C344" s="9"/>
      <c r="D344" s="9"/>
      <c r="E344" s="9"/>
      <c r="F344" s="9"/>
      <c r="G344" s="9"/>
      <c r="H344" s="9"/>
      <c r="I344" s="9"/>
      <c r="J344" s="9"/>
      <c r="K344" s="9"/>
      <c r="L344" s="9"/>
    </row>
    <row r="345" customFormat="false" ht="15" hidden="false" customHeight="false" outlineLevel="0" collapsed="false">
      <c r="A345" s="9"/>
      <c r="B345" s="9"/>
      <c r="C345" s="9"/>
      <c r="D345" s="9"/>
      <c r="E345" s="9"/>
      <c r="F345" s="9"/>
      <c r="G345" s="9"/>
      <c r="H345" s="9"/>
      <c r="I345" s="9"/>
      <c r="J345" s="9"/>
      <c r="K345" s="9"/>
      <c r="L345" s="9"/>
    </row>
    <row r="346" customFormat="false" ht="15" hidden="false" customHeight="false" outlineLevel="0" collapsed="false">
      <c r="A346" s="9"/>
      <c r="B346" s="9"/>
      <c r="C346" s="9"/>
      <c r="D346" s="9"/>
      <c r="E346" s="9"/>
      <c r="F346" s="9"/>
      <c r="G346" s="9"/>
      <c r="H346" s="9"/>
      <c r="I346" s="9"/>
      <c r="J346" s="9"/>
      <c r="K346" s="9"/>
      <c r="L346" s="9"/>
    </row>
    <row r="347" customFormat="false" ht="15" hidden="false" customHeight="false" outlineLevel="0" collapsed="false">
      <c r="A347" s="9"/>
      <c r="B347" s="9"/>
      <c r="C347" s="9"/>
      <c r="D347" s="9"/>
      <c r="E347" s="9"/>
      <c r="F347" s="9"/>
      <c r="G347" s="9"/>
      <c r="H347" s="9"/>
      <c r="I347" s="9"/>
      <c r="J347" s="9"/>
      <c r="K347" s="9"/>
      <c r="L347" s="9"/>
    </row>
    <row r="348" customFormat="false" ht="15" hidden="false" customHeight="false" outlineLevel="0" collapsed="false">
      <c r="A348" s="9"/>
      <c r="B348" s="9"/>
      <c r="C348" s="9"/>
      <c r="D348" s="9"/>
      <c r="E348" s="9"/>
      <c r="F348" s="9"/>
      <c r="G348" s="9"/>
      <c r="H348" s="9"/>
      <c r="I348" s="9"/>
      <c r="J348" s="9"/>
      <c r="K348" s="9"/>
      <c r="L348" s="9"/>
    </row>
    <row r="349" customFormat="false" ht="15" hidden="false" customHeight="false" outlineLevel="0" collapsed="false">
      <c r="A349" s="9"/>
      <c r="B349" s="9"/>
      <c r="C349" s="9"/>
      <c r="D349" s="9"/>
      <c r="E349" s="9"/>
      <c r="F349" s="9"/>
      <c r="G349" s="9"/>
      <c r="H349" s="9"/>
      <c r="I349" s="9"/>
      <c r="J349" s="9"/>
      <c r="K349" s="9"/>
      <c r="L349" s="9"/>
    </row>
    <row r="350" customFormat="false" ht="15" hidden="false" customHeight="false" outlineLevel="0" collapsed="false">
      <c r="A350" s="9"/>
      <c r="B350" s="9"/>
      <c r="C350" s="9"/>
      <c r="D350" s="9"/>
      <c r="E350" s="9"/>
      <c r="F350" s="9"/>
      <c r="G350" s="9"/>
      <c r="H350" s="9"/>
      <c r="I350" s="9"/>
      <c r="J350" s="9"/>
      <c r="K350" s="9"/>
      <c r="L350" s="9"/>
    </row>
    <row r="351" customFormat="false" ht="15" hidden="false" customHeight="false" outlineLevel="0" collapsed="false">
      <c r="A351" s="9"/>
      <c r="B351" s="9"/>
      <c r="C351" s="9"/>
      <c r="D351" s="9"/>
      <c r="E351" s="9"/>
      <c r="F351" s="9"/>
      <c r="G351" s="9"/>
      <c r="H351" s="9"/>
      <c r="I351" s="9"/>
      <c r="J351" s="9"/>
      <c r="K351" s="9"/>
      <c r="L351" s="9"/>
    </row>
    <row r="352" customFormat="false" ht="15" hidden="false" customHeight="false" outlineLevel="0" collapsed="false">
      <c r="A352" s="9"/>
      <c r="B352" s="9"/>
      <c r="C352" s="9"/>
      <c r="D352" s="9"/>
      <c r="E352" s="9"/>
      <c r="F352" s="9"/>
      <c r="G352" s="9"/>
      <c r="H352" s="9"/>
      <c r="I352" s="9"/>
      <c r="J352" s="9"/>
      <c r="K352" s="9"/>
      <c r="L352" s="9"/>
    </row>
    <row r="353" customFormat="false" ht="15" hidden="false" customHeight="false" outlineLevel="0" collapsed="false">
      <c r="A353" s="9"/>
      <c r="B353" s="9"/>
      <c r="C353" s="9"/>
      <c r="D353" s="9"/>
      <c r="E353" s="9"/>
      <c r="F353" s="9"/>
      <c r="G353" s="9"/>
      <c r="H353" s="9"/>
      <c r="I353" s="9"/>
      <c r="J353" s="9"/>
      <c r="K353" s="9"/>
      <c r="L353" s="9"/>
    </row>
    <row r="354" customFormat="false" ht="15" hidden="false" customHeight="false" outlineLevel="0" collapsed="false">
      <c r="A354" s="9"/>
      <c r="B354" s="9"/>
      <c r="C354" s="9"/>
      <c r="D354" s="9"/>
      <c r="E354" s="9"/>
      <c r="F354" s="9"/>
      <c r="G354" s="9"/>
      <c r="H354" s="9"/>
      <c r="I354" s="9"/>
      <c r="J354" s="9"/>
      <c r="K354" s="9"/>
      <c r="L354" s="9"/>
    </row>
    <row r="355" customFormat="false" ht="15" hidden="false" customHeight="false" outlineLevel="0" collapsed="false">
      <c r="A355" s="9"/>
      <c r="B355" s="9"/>
      <c r="C355" s="9"/>
      <c r="D355" s="9"/>
      <c r="E355" s="9"/>
      <c r="F355" s="9"/>
      <c r="G355" s="9"/>
      <c r="H355" s="9"/>
      <c r="I355" s="9"/>
      <c r="J355" s="9"/>
      <c r="K355" s="9"/>
      <c r="L355" s="9"/>
    </row>
    <row r="356" customFormat="false" ht="15" hidden="false" customHeight="false" outlineLevel="0" collapsed="false">
      <c r="A356" s="9"/>
      <c r="B356" s="9"/>
      <c r="C356" s="9"/>
      <c r="D356" s="9"/>
      <c r="E356" s="9"/>
      <c r="F356" s="9"/>
      <c r="G356" s="9"/>
      <c r="H356" s="9"/>
      <c r="I356" s="9"/>
      <c r="J356" s="9"/>
      <c r="K356" s="9"/>
      <c r="L356" s="9"/>
    </row>
    <row r="357" customFormat="false" ht="15" hidden="false" customHeight="false" outlineLevel="0" collapsed="false">
      <c r="A357" s="9"/>
      <c r="B357" s="9"/>
      <c r="C357" s="9"/>
      <c r="D357" s="9"/>
      <c r="E357" s="9"/>
      <c r="F357" s="9"/>
      <c r="G357" s="9"/>
      <c r="H357" s="9"/>
      <c r="I357" s="9"/>
      <c r="J357" s="9"/>
      <c r="K357" s="9"/>
      <c r="L357" s="9"/>
    </row>
    <row r="358" customFormat="false" ht="15" hidden="false" customHeight="false" outlineLevel="0" collapsed="false">
      <c r="A358" s="9"/>
      <c r="B358" s="9"/>
      <c r="C358" s="9"/>
      <c r="D358" s="9"/>
      <c r="E358" s="9"/>
      <c r="F358" s="9"/>
      <c r="G358" s="9"/>
      <c r="H358" s="9"/>
      <c r="I358" s="9"/>
      <c r="J358" s="9"/>
      <c r="K358" s="9"/>
      <c r="L358" s="9"/>
    </row>
    <row r="359" customFormat="false" ht="15" hidden="false" customHeight="false" outlineLevel="0" collapsed="false">
      <c r="A359" s="9"/>
      <c r="B359" s="9"/>
      <c r="C359" s="9"/>
      <c r="D359" s="9"/>
      <c r="E359" s="9"/>
      <c r="F359" s="9"/>
      <c r="G359" s="9"/>
      <c r="H359" s="9"/>
      <c r="I359" s="9"/>
      <c r="J359" s="9"/>
      <c r="K359" s="9"/>
      <c r="L359" s="9"/>
    </row>
    <row r="360" customFormat="false" ht="15" hidden="false" customHeight="false" outlineLevel="0" collapsed="false">
      <c r="A360" s="9"/>
      <c r="B360" s="9"/>
      <c r="C360" s="9"/>
      <c r="D360" s="9"/>
      <c r="E360" s="9"/>
      <c r="F360" s="9"/>
      <c r="G360" s="9"/>
      <c r="H360" s="9"/>
      <c r="I360" s="9"/>
      <c r="J360" s="9"/>
      <c r="K360" s="9"/>
      <c r="L360" s="9"/>
    </row>
    <row r="361" customFormat="false" ht="15" hidden="false" customHeight="false" outlineLevel="0" collapsed="false">
      <c r="A361" s="9"/>
      <c r="B361" s="9"/>
      <c r="C361" s="9"/>
      <c r="D361" s="9"/>
      <c r="E361" s="9"/>
      <c r="F361" s="9"/>
      <c r="G361" s="9"/>
      <c r="H361" s="9"/>
      <c r="I361" s="9"/>
      <c r="J361" s="9"/>
      <c r="K361" s="9"/>
      <c r="L361" s="9"/>
    </row>
    <row r="362" customFormat="false" ht="15" hidden="false" customHeight="false" outlineLevel="0" collapsed="false">
      <c r="A362" s="9"/>
      <c r="B362" s="9"/>
      <c r="C362" s="9"/>
      <c r="D362" s="9"/>
      <c r="E362" s="9"/>
      <c r="F362" s="9"/>
      <c r="G362" s="9"/>
      <c r="H362" s="9"/>
      <c r="I362" s="9"/>
      <c r="J362" s="9"/>
      <c r="K362" s="9"/>
      <c r="L362" s="9"/>
    </row>
    <row r="363" customFormat="false" ht="15" hidden="false" customHeight="false" outlineLevel="0" collapsed="false">
      <c r="A363" s="9"/>
      <c r="B363" s="9"/>
      <c r="C363" s="9"/>
      <c r="D363" s="9"/>
      <c r="E363" s="9"/>
      <c r="F363" s="9"/>
      <c r="G363" s="9"/>
      <c r="H363" s="9"/>
      <c r="I363" s="9"/>
      <c r="J363" s="9"/>
      <c r="K363" s="9"/>
      <c r="L363" s="9"/>
    </row>
    <row r="364" customFormat="false" ht="15" hidden="false" customHeight="false" outlineLevel="0" collapsed="false">
      <c r="A364" s="9"/>
      <c r="B364" s="9"/>
      <c r="C364" s="9"/>
      <c r="D364" s="9"/>
      <c r="E364" s="9"/>
      <c r="F364" s="9"/>
      <c r="G364" s="9"/>
      <c r="H364" s="9"/>
      <c r="I364" s="9"/>
      <c r="J364" s="9"/>
      <c r="K364" s="9"/>
      <c r="L364" s="9"/>
    </row>
    <row r="365" customFormat="false" ht="15" hidden="false" customHeight="false" outlineLevel="0" collapsed="false">
      <c r="A365" s="9"/>
      <c r="B365" s="9"/>
      <c r="C365" s="9"/>
      <c r="D365" s="9"/>
      <c r="E365" s="9"/>
      <c r="F365" s="9"/>
      <c r="G365" s="9"/>
      <c r="H365" s="9"/>
      <c r="I365" s="9"/>
      <c r="J365" s="9"/>
      <c r="K365" s="9"/>
      <c r="L365" s="9"/>
    </row>
    <row r="366" customFormat="false" ht="15" hidden="false" customHeight="false" outlineLevel="0" collapsed="false">
      <c r="A366" s="9"/>
      <c r="B366" s="9"/>
      <c r="C366" s="9"/>
      <c r="D366" s="9"/>
      <c r="E366" s="9"/>
      <c r="F366" s="9"/>
      <c r="G366" s="9"/>
      <c r="H366" s="9"/>
      <c r="I366" s="9"/>
      <c r="J366" s="9"/>
      <c r="K366" s="9"/>
      <c r="L366" s="9"/>
    </row>
    <row r="367" customFormat="false" ht="15" hidden="false" customHeight="false" outlineLevel="0" collapsed="false">
      <c r="A367" s="9"/>
      <c r="B367" s="9"/>
      <c r="C367" s="9"/>
      <c r="D367" s="9"/>
      <c r="E367" s="9"/>
      <c r="F367" s="9"/>
      <c r="G367" s="9"/>
      <c r="H367" s="9"/>
      <c r="I367" s="9"/>
      <c r="J367" s="9"/>
      <c r="K367" s="9"/>
      <c r="L367" s="9"/>
    </row>
    <row r="368" customFormat="false" ht="15" hidden="false" customHeight="false" outlineLevel="0" collapsed="false">
      <c r="A368" s="9"/>
      <c r="B368" s="9"/>
      <c r="C368" s="9"/>
      <c r="D368" s="9"/>
      <c r="E368" s="9"/>
      <c r="F368" s="9"/>
      <c r="G368" s="9"/>
      <c r="H368" s="9"/>
      <c r="I368" s="9"/>
      <c r="J368" s="9"/>
      <c r="K368" s="9"/>
      <c r="L368" s="9"/>
    </row>
    <row r="369" customFormat="false" ht="15" hidden="false" customHeight="false" outlineLevel="0" collapsed="false">
      <c r="A369" s="9"/>
      <c r="B369" s="9"/>
      <c r="C369" s="9"/>
      <c r="D369" s="9"/>
      <c r="E369" s="9"/>
      <c r="F369" s="9"/>
      <c r="G369" s="9"/>
      <c r="H369" s="9"/>
      <c r="I369" s="9"/>
      <c r="J369" s="9"/>
      <c r="K369" s="9"/>
      <c r="L369" s="9"/>
    </row>
    <row r="370" customFormat="false" ht="15" hidden="false" customHeight="false" outlineLevel="0" collapsed="false">
      <c r="A370" s="9"/>
      <c r="B370" s="9"/>
      <c r="C370" s="9"/>
      <c r="D370" s="9"/>
      <c r="E370" s="9"/>
      <c r="F370" s="9"/>
      <c r="G370" s="9"/>
      <c r="H370" s="9"/>
      <c r="I370" s="9"/>
      <c r="J370" s="9"/>
      <c r="K370" s="9"/>
      <c r="L370" s="9"/>
    </row>
    <row r="371" customFormat="false" ht="15" hidden="false" customHeight="false" outlineLevel="0" collapsed="false">
      <c r="A371" s="9"/>
      <c r="B371" s="9"/>
      <c r="C371" s="9"/>
      <c r="D371" s="9"/>
      <c r="E371" s="9"/>
      <c r="F371" s="9"/>
      <c r="G371" s="9"/>
      <c r="H371" s="9"/>
      <c r="I371" s="9"/>
      <c r="J371" s="9"/>
      <c r="K371" s="9"/>
      <c r="L371" s="9"/>
    </row>
    <row r="372" customFormat="false" ht="15" hidden="false" customHeight="false" outlineLevel="0" collapsed="false">
      <c r="A372" s="9"/>
      <c r="B372" s="9"/>
      <c r="C372" s="9"/>
      <c r="D372" s="9"/>
      <c r="E372" s="9"/>
      <c r="F372" s="9"/>
      <c r="G372" s="9"/>
      <c r="H372" s="9"/>
      <c r="I372" s="9"/>
      <c r="J372" s="9"/>
      <c r="K372" s="9"/>
      <c r="L372" s="9"/>
    </row>
    <row r="373" customFormat="false" ht="15" hidden="false" customHeight="false" outlineLevel="0" collapsed="false">
      <c r="A373" s="9"/>
      <c r="B373" s="9"/>
      <c r="C373" s="9"/>
      <c r="D373" s="9"/>
      <c r="E373" s="9"/>
      <c r="F373" s="9"/>
      <c r="G373" s="9"/>
      <c r="H373" s="9"/>
      <c r="I373" s="9"/>
      <c r="J373" s="9"/>
      <c r="K373" s="9"/>
      <c r="L373" s="9"/>
    </row>
    <row r="374" customFormat="false" ht="15" hidden="false" customHeight="false" outlineLevel="0" collapsed="false">
      <c r="A374" s="9"/>
      <c r="B374" s="9"/>
      <c r="C374" s="9"/>
      <c r="D374" s="9"/>
      <c r="E374" s="9"/>
      <c r="F374" s="9"/>
      <c r="G374" s="9"/>
      <c r="H374" s="9"/>
      <c r="I374" s="9"/>
      <c r="J374" s="9"/>
      <c r="K374" s="9"/>
      <c r="L374" s="9"/>
    </row>
    <row r="375" customFormat="false" ht="15" hidden="false" customHeight="false" outlineLevel="0" collapsed="false">
      <c r="A375" s="9"/>
      <c r="B375" s="9"/>
      <c r="C375" s="9"/>
      <c r="D375" s="9"/>
      <c r="E375" s="9"/>
      <c r="F375" s="9"/>
      <c r="G375" s="9"/>
      <c r="H375" s="9"/>
      <c r="I375" s="9"/>
      <c r="J375" s="9"/>
      <c r="K375" s="9"/>
      <c r="L375" s="9"/>
    </row>
    <row r="376" customFormat="false" ht="15" hidden="false" customHeight="false" outlineLevel="0" collapsed="false">
      <c r="A376" s="9"/>
      <c r="B376" s="9"/>
      <c r="C376" s="9"/>
      <c r="D376" s="9"/>
      <c r="E376" s="9"/>
      <c r="F376" s="9"/>
      <c r="G376" s="9"/>
      <c r="H376" s="9"/>
      <c r="I376" s="9"/>
      <c r="J376" s="9"/>
      <c r="K376" s="9"/>
      <c r="L376" s="9"/>
    </row>
    <row r="377" customFormat="false" ht="15" hidden="false" customHeight="false" outlineLevel="0" collapsed="false">
      <c r="A377" s="9"/>
      <c r="B377" s="9"/>
      <c r="C377" s="9"/>
      <c r="D377" s="9"/>
      <c r="E377" s="9"/>
      <c r="F377" s="9"/>
      <c r="G377" s="9"/>
      <c r="H377" s="9"/>
      <c r="I377" s="9"/>
      <c r="J377" s="9"/>
      <c r="K377" s="9"/>
      <c r="L377" s="9"/>
    </row>
    <row r="378" customFormat="false" ht="15" hidden="false" customHeight="false" outlineLevel="0" collapsed="false">
      <c r="A378" s="9"/>
      <c r="B378" s="9"/>
      <c r="C378" s="9"/>
      <c r="D378" s="9"/>
      <c r="E378" s="9"/>
      <c r="F378" s="9"/>
      <c r="G378" s="9"/>
      <c r="H378" s="9"/>
      <c r="I378" s="9"/>
      <c r="J378" s="9"/>
      <c r="K378" s="9"/>
      <c r="L378" s="9"/>
    </row>
    <row r="379" customFormat="false" ht="15" hidden="false" customHeight="false" outlineLevel="0" collapsed="false">
      <c r="A379" s="9"/>
      <c r="B379" s="9"/>
      <c r="C379" s="9"/>
      <c r="D379" s="9"/>
      <c r="E379" s="9"/>
      <c r="F379" s="9"/>
      <c r="G379" s="9"/>
      <c r="H379" s="9"/>
      <c r="I379" s="9"/>
      <c r="J379" s="9"/>
      <c r="K379" s="9"/>
      <c r="L379" s="9"/>
    </row>
    <row r="380" customFormat="false" ht="15" hidden="false" customHeight="false" outlineLevel="0" collapsed="false">
      <c r="A380" s="9"/>
      <c r="B380" s="9"/>
      <c r="C380" s="9"/>
      <c r="D380" s="9"/>
      <c r="E380" s="9"/>
      <c r="F380" s="9"/>
      <c r="G380" s="9"/>
      <c r="H380" s="9"/>
      <c r="I380" s="9"/>
      <c r="J380" s="9"/>
      <c r="K380" s="9"/>
      <c r="L380" s="9"/>
    </row>
    <row r="381" customFormat="false" ht="15" hidden="false" customHeight="false" outlineLevel="0" collapsed="false">
      <c r="A381" s="9"/>
      <c r="B381" s="9"/>
      <c r="C381" s="9"/>
      <c r="D381" s="9"/>
      <c r="E381" s="9"/>
      <c r="F381" s="9"/>
      <c r="G381" s="9"/>
      <c r="H381" s="9"/>
      <c r="I381" s="9"/>
      <c r="J381" s="9"/>
      <c r="K381" s="9"/>
      <c r="L381" s="9"/>
    </row>
    <row r="382" customFormat="false" ht="15" hidden="false" customHeight="false" outlineLevel="0" collapsed="false">
      <c r="A382" s="9"/>
      <c r="B382" s="9"/>
      <c r="C382" s="9"/>
      <c r="D382" s="9"/>
      <c r="E382" s="9"/>
      <c r="F382" s="9"/>
      <c r="G382" s="9"/>
      <c r="H382" s="9"/>
      <c r="I382" s="9"/>
      <c r="J382" s="9"/>
      <c r="K382" s="9"/>
      <c r="L382" s="9"/>
    </row>
    <row r="383" customFormat="false" ht="15" hidden="false" customHeight="false" outlineLevel="0" collapsed="false">
      <c r="A383" s="9"/>
      <c r="B383" s="9"/>
      <c r="C383" s="9"/>
      <c r="D383" s="9"/>
      <c r="E383" s="9"/>
      <c r="F383" s="9"/>
      <c r="G383" s="9"/>
      <c r="H383" s="9"/>
      <c r="I383" s="9"/>
      <c r="J383" s="9"/>
      <c r="K383" s="9"/>
      <c r="L383" s="9"/>
    </row>
    <row r="384" customFormat="false" ht="15" hidden="false" customHeight="false" outlineLevel="0" collapsed="false">
      <c r="A384" s="9"/>
      <c r="B384" s="9"/>
      <c r="C384" s="9"/>
      <c r="D384" s="9"/>
      <c r="E384" s="9"/>
      <c r="F384" s="9"/>
      <c r="G384" s="9"/>
      <c r="H384" s="9"/>
      <c r="I384" s="9"/>
      <c r="J384" s="9"/>
      <c r="K384" s="9"/>
      <c r="L384" s="9"/>
    </row>
    <row r="385" customFormat="false" ht="15" hidden="false" customHeight="false" outlineLevel="0" collapsed="false">
      <c r="A385" s="9"/>
      <c r="B385" s="9"/>
      <c r="C385" s="9"/>
      <c r="D385" s="9"/>
      <c r="E385" s="9"/>
      <c r="F385" s="9"/>
      <c r="G385" s="9"/>
      <c r="H385" s="9"/>
      <c r="I385" s="9"/>
      <c r="J385" s="9"/>
      <c r="K385" s="9"/>
      <c r="L385" s="9"/>
    </row>
    <row r="386" customFormat="false" ht="15" hidden="false" customHeight="false" outlineLevel="0" collapsed="false">
      <c r="A386" s="9"/>
      <c r="B386" s="9"/>
      <c r="C386" s="9"/>
      <c r="D386" s="9"/>
      <c r="E386" s="9"/>
      <c r="F386" s="9"/>
      <c r="G386" s="9"/>
      <c r="H386" s="9"/>
      <c r="I386" s="9"/>
      <c r="J386" s="9"/>
      <c r="K386" s="9"/>
      <c r="L386" s="9"/>
    </row>
    <row r="387" customFormat="false" ht="15" hidden="false" customHeight="false" outlineLevel="0" collapsed="false">
      <c r="A387" s="9"/>
      <c r="B387" s="9"/>
      <c r="C387" s="9"/>
      <c r="D387" s="9"/>
      <c r="E387" s="9"/>
      <c r="F387" s="9"/>
      <c r="G387" s="9"/>
      <c r="H387" s="9"/>
      <c r="I387" s="9"/>
      <c r="J387" s="9"/>
      <c r="K387" s="9"/>
      <c r="L387" s="9"/>
    </row>
    <row r="388" customFormat="false" ht="15" hidden="false" customHeight="false" outlineLevel="0" collapsed="false">
      <c r="A388" s="9"/>
      <c r="B388" s="9"/>
      <c r="C388" s="9"/>
      <c r="D388" s="9"/>
      <c r="E388" s="9"/>
      <c r="F388" s="9"/>
      <c r="G388" s="9"/>
      <c r="H388" s="9"/>
      <c r="I388" s="9"/>
      <c r="J388" s="9"/>
      <c r="K388" s="9"/>
      <c r="L388" s="9"/>
    </row>
    <row r="389" customFormat="false" ht="15" hidden="false" customHeight="false" outlineLevel="0" collapsed="false">
      <c r="A389" s="9"/>
      <c r="B389" s="9"/>
      <c r="C389" s="9"/>
      <c r="D389" s="9"/>
      <c r="E389" s="9"/>
      <c r="F389" s="9"/>
      <c r="G389" s="9"/>
      <c r="H389" s="9"/>
      <c r="I389" s="9"/>
      <c r="J389" s="9"/>
      <c r="K389" s="9"/>
      <c r="L389" s="9"/>
    </row>
    <row r="390" customFormat="false" ht="15" hidden="false" customHeight="false" outlineLevel="0" collapsed="false">
      <c r="A390" s="9"/>
      <c r="B390" s="9"/>
      <c r="C390" s="9"/>
      <c r="D390" s="9"/>
      <c r="E390" s="9"/>
      <c r="F390" s="9"/>
      <c r="G390" s="9"/>
      <c r="H390" s="9"/>
      <c r="I390" s="9"/>
      <c r="J390" s="9"/>
      <c r="K390" s="9"/>
      <c r="L390" s="9"/>
    </row>
    <row r="391" customFormat="false" ht="15" hidden="false" customHeight="false" outlineLevel="0" collapsed="false">
      <c r="A391" s="9"/>
      <c r="B391" s="9"/>
      <c r="C391" s="9"/>
      <c r="D391" s="9"/>
      <c r="E391" s="9"/>
      <c r="F391" s="9"/>
      <c r="G391" s="9"/>
      <c r="H391" s="9"/>
      <c r="I391" s="9"/>
      <c r="J391" s="9"/>
      <c r="K391" s="9"/>
      <c r="L391" s="9"/>
    </row>
    <row r="392" customFormat="false" ht="15" hidden="false" customHeight="false" outlineLevel="0" collapsed="false">
      <c r="A392" s="9"/>
      <c r="B392" s="9"/>
      <c r="C392" s="9"/>
      <c r="D392" s="9"/>
      <c r="E392" s="9"/>
      <c r="F392" s="9"/>
      <c r="G392" s="9"/>
      <c r="H392" s="9"/>
      <c r="I392" s="9"/>
      <c r="J392" s="9"/>
      <c r="K392" s="9"/>
      <c r="L392" s="9"/>
    </row>
    <row r="393" customFormat="false" ht="15" hidden="false" customHeight="false" outlineLevel="0" collapsed="false">
      <c r="A393" s="9"/>
      <c r="B393" s="9"/>
      <c r="C393" s="9"/>
      <c r="D393" s="9"/>
      <c r="E393" s="9"/>
      <c r="F393" s="9"/>
      <c r="G393" s="9"/>
      <c r="H393" s="9"/>
      <c r="I393" s="9"/>
      <c r="J393" s="9"/>
      <c r="K393" s="9"/>
      <c r="L393" s="9"/>
    </row>
    <row r="394" customFormat="false" ht="15" hidden="false" customHeight="false" outlineLevel="0" collapsed="false">
      <c r="A394" s="9"/>
      <c r="B394" s="9"/>
      <c r="C394" s="9"/>
      <c r="D394" s="9"/>
      <c r="E394" s="9"/>
      <c r="F394" s="9"/>
      <c r="G394" s="9"/>
      <c r="H394" s="9"/>
      <c r="I394" s="9"/>
      <c r="J394" s="9"/>
      <c r="K394" s="9"/>
      <c r="L394" s="9"/>
    </row>
    <row r="395" customFormat="false" ht="15" hidden="false" customHeight="false" outlineLevel="0" collapsed="false">
      <c r="A395" s="9"/>
      <c r="B395" s="9"/>
      <c r="C395" s="9"/>
      <c r="D395" s="9"/>
      <c r="E395" s="9"/>
      <c r="F395" s="9"/>
      <c r="G395" s="9"/>
      <c r="H395" s="9"/>
      <c r="I395" s="9"/>
      <c r="J395" s="9"/>
      <c r="K395" s="9"/>
      <c r="L395" s="9"/>
    </row>
    <row r="396" customFormat="false" ht="15" hidden="false" customHeight="false" outlineLevel="0" collapsed="false">
      <c r="A396" s="9"/>
      <c r="B396" s="9"/>
      <c r="C396" s="9"/>
      <c r="D396" s="9"/>
      <c r="E396" s="9"/>
      <c r="F396" s="9"/>
      <c r="G396" s="9"/>
      <c r="H396" s="9"/>
      <c r="I396" s="9"/>
      <c r="J396" s="9"/>
      <c r="K396" s="9"/>
      <c r="L396" s="9"/>
    </row>
    <row r="397" customFormat="false" ht="15" hidden="false" customHeight="false" outlineLevel="0" collapsed="false">
      <c r="A397" s="9"/>
      <c r="B397" s="9"/>
      <c r="C397" s="9"/>
      <c r="D397" s="9"/>
      <c r="E397" s="9"/>
      <c r="F397" s="9"/>
      <c r="G397" s="9"/>
      <c r="H397" s="9"/>
      <c r="I397" s="9"/>
      <c r="J397" s="9"/>
      <c r="K397" s="9"/>
      <c r="L397" s="9"/>
    </row>
    <row r="398" customFormat="false" ht="15" hidden="false" customHeight="false" outlineLevel="0" collapsed="false">
      <c r="A398" s="9"/>
      <c r="B398" s="9"/>
      <c r="C398" s="9"/>
      <c r="D398" s="9"/>
      <c r="E398" s="9"/>
      <c r="F398" s="9"/>
      <c r="G398" s="9"/>
      <c r="H398" s="9"/>
      <c r="I398" s="9"/>
      <c r="J398" s="9"/>
      <c r="K398" s="9"/>
      <c r="L398" s="9"/>
    </row>
    <row r="399" customFormat="false" ht="15" hidden="false" customHeight="false" outlineLevel="0" collapsed="false">
      <c r="A399" s="9"/>
      <c r="B399" s="9"/>
      <c r="C399" s="9"/>
      <c r="D399" s="9"/>
      <c r="E399" s="9"/>
      <c r="F399" s="9"/>
      <c r="G399" s="9"/>
      <c r="H399" s="9"/>
      <c r="I399" s="9"/>
      <c r="J399" s="9"/>
      <c r="K399" s="9"/>
      <c r="L399" s="9"/>
    </row>
    <row r="400" customFormat="false" ht="15" hidden="false" customHeight="false" outlineLevel="0" collapsed="false">
      <c r="A400" s="9"/>
      <c r="B400" s="9"/>
      <c r="C400" s="9"/>
      <c r="D400" s="9"/>
      <c r="E400" s="9"/>
      <c r="F400" s="9"/>
      <c r="G400" s="9"/>
      <c r="H400" s="9"/>
      <c r="I400" s="9"/>
      <c r="J400" s="9"/>
      <c r="K400" s="9"/>
      <c r="L400" s="9"/>
    </row>
    <row r="401" customFormat="false" ht="15" hidden="false" customHeight="false" outlineLevel="0" collapsed="false">
      <c r="A401" s="9"/>
      <c r="B401" s="9"/>
      <c r="C401" s="9"/>
      <c r="D401" s="9"/>
      <c r="E401" s="9"/>
      <c r="F401" s="9"/>
      <c r="G401" s="9"/>
      <c r="H401" s="9"/>
      <c r="I401" s="9"/>
      <c r="J401" s="9"/>
      <c r="K401" s="9"/>
      <c r="L401" s="9"/>
    </row>
    <row r="402" customFormat="false" ht="15" hidden="false" customHeight="false" outlineLevel="0" collapsed="false">
      <c r="A402" s="9"/>
      <c r="B402" s="9"/>
      <c r="C402" s="9"/>
      <c r="D402" s="9"/>
      <c r="E402" s="9"/>
      <c r="F402" s="9"/>
      <c r="G402" s="9"/>
      <c r="H402" s="9"/>
      <c r="I402" s="9"/>
      <c r="J402" s="9"/>
      <c r="K402" s="9"/>
      <c r="L402" s="9"/>
    </row>
    <row r="403" customFormat="false" ht="15" hidden="false" customHeight="false" outlineLevel="0" collapsed="false">
      <c r="A403" s="9"/>
      <c r="B403" s="9"/>
      <c r="C403" s="9"/>
      <c r="D403" s="9"/>
      <c r="E403" s="9"/>
      <c r="F403" s="9"/>
      <c r="G403" s="9"/>
      <c r="H403" s="9"/>
      <c r="I403" s="9"/>
      <c r="J403" s="9"/>
      <c r="K403" s="9"/>
      <c r="L403" s="9"/>
    </row>
    <row r="404" customFormat="false" ht="15" hidden="false" customHeight="false" outlineLevel="0" collapsed="false">
      <c r="A404" s="9"/>
      <c r="B404" s="9"/>
      <c r="C404" s="9"/>
      <c r="D404" s="9"/>
      <c r="E404" s="9"/>
      <c r="F404" s="9"/>
      <c r="G404" s="9"/>
      <c r="H404" s="9"/>
      <c r="I404" s="9"/>
      <c r="J404" s="9"/>
      <c r="K404" s="9"/>
      <c r="L404" s="9"/>
    </row>
    <row r="405" customFormat="false" ht="15" hidden="false" customHeight="false" outlineLevel="0" collapsed="false">
      <c r="A405" s="9"/>
      <c r="B405" s="9"/>
      <c r="C405" s="9"/>
      <c r="D405" s="9"/>
      <c r="E405" s="9"/>
      <c r="F405" s="9"/>
      <c r="G405" s="9"/>
      <c r="H405" s="9"/>
      <c r="I405" s="9"/>
      <c r="J405" s="9"/>
      <c r="K405" s="9"/>
      <c r="L405" s="9"/>
    </row>
    <row r="406" customFormat="false" ht="15" hidden="false" customHeight="false" outlineLevel="0" collapsed="false">
      <c r="A406" s="9"/>
      <c r="B406" s="9"/>
      <c r="C406" s="9"/>
      <c r="D406" s="9"/>
      <c r="E406" s="9"/>
      <c r="F406" s="9"/>
      <c r="G406" s="9"/>
      <c r="H406" s="9"/>
      <c r="I406" s="9"/>
      <c r="J406" s="9"/>
      <c r="K406" s="9"/>
      <c r="L406" s="9"/>
    </row>
    <row r="407" customFormat="false" ht="15" hidden="false" customHeight="false" outlineLevel="0" collapsed="false">
      <c r="A407" s="9"/>
      <c r="B407" s="9"/>
      <c r="C407" s="9"/>
      <c r="D407" s="9"/>
      <c r="E407" s="9"/>
      <c r="F407" s="9"/>
      <c r="G407" s="9"/>
      <c r="H407" s="9"/>
      <c r="I407" s="9"/>
      <c r="J407" s="9"/>
      <c r="K407" s="9"/>
      <c r="L407" s="9"/>
    </row>
    <row r="408" customFormat="false" ht="15" hidden="false" customHeight="false" outlineLevel="0" collapsed="false">
      <c r="A408" s="9"/>
      <c r="B408" s="9"/>
      <c r="C408" s="9"/>
      <c r="D408" s="9"/>
      <c r="E408" s="9"/>
      <c r="F408" s="9"/>
      <c r="G408" s="9"/>
      <c r="H408" s="9"/>
      <c r="I408" s="9"/>
      <c r="J408" s="9"/>
      <c r="K408" s="9"/>
      <c r="L408" s="9"/>
    </row>
    <row r="409" customFormat="false" ht="15" hidden="false" customHeight="false" outlineLevel="0" collapsed="false">
      <c r="A409" s="9"/>
      <c r="B409" s="9"/>
      <c r="C409" s="9"/>
      <c r="D409" s="9"/>
      <c r="E409" s="9"/>
      <c r="F409" s="9"/>
      <c r="G409" s="9"/>
      <c r="H409" s="9"/>
      <c r="I409" s="9"/>
      <c r="J409" s="9"/>
      <c r="K409" s="9"/>
      <c r="L409" s="9"/>
    </row>
    <row r="410" customFormat="false" ht="15" hidden="false" customHeight="false" outlineLevel="0" collapsed="false">
      <c r="A410" s="9"/>
      <c r="B410" s="9"/>
      <c r="C410" s="9"/>
      <c r="D410" s="9"/>
      <c r="E410" s="9"/>
      <c r="F410" s="9"/>
      <c r="G410" s="9"/>
      <c r="H410" s="9"/>
      <c r="I410" s="9"/>
      <c r="J410" s="9"/>
      <c r="K410" s="9"/>
      <c r="L410" s="9"/>
    </row>
    <row r="411" customFormat="false" ht="15" hidden="false" customHeight="false" outlineLevel="0" collapsed="false">
      <c r="A411" s="9"/>
      <c r="B411" s="9"/>
      <c r="C411" s="9"/>
      <c r="D411" s="9"/>
      <c r="E411" s="9"/>
      <c r="F411" s="9"/>
      <c r="G411" s="9"/>
      <c r="H411" s="9"/>
      <c r="I411" s="9"/>
      <c r="J411" s="9"/>
      <c r="K411" s="9"/>
      <c r="L411" s="9"/>
    </row>
    <row r="412" customFormat="false" ht="15" hidden="false" customHeight="false" outlineLevel="0" collapsed="false">
      <c r="A412" s="9"/>
      <c r="B412" s="9"/>
      <c r="C412" s="9"/>
      <c r="D412" s="9"/>
      <c r="E412" s="9"/>
      <c r="F412" s="9"/>
      <c r="G412" s="9"/>
      <c r="H412" s="9"/>
      <c r="I412" s="9"/>
      <c r="J412" s="9"/>
      <c r="K412" s="9"/>
      <c r="L412" s="9"/>
    </row>
    <row r="413" customFormat="false" ht="15" hidden="false" customHeight="false" outlineLevel="0" collapsed="false">
      <c r="A413" s="9"/>
      <c r="B413" s="9"/>
      <c r="C413" s="9"/>
      <c r="D413" s="9"/>
      <c r="E413" s="9"/>
      <c r="F413" s="9"/>
      <c r="G413" s="9"/>
      <c r="H413" s="9"/>
      <c r="I413" s="9"/>
      <c r="J413" s="9"/>
      <c r="K413" s="9"/>
      <c r="L413" s="9"/>
    </row>
    <row r="414" customFormat="false" ht="15" hidden="false" customHeight="false" outlineLevel="0" collapsed="false">
      <c r="A414" s="9"/>
      <c r="B414" s="9"/>
      <c r="C414" s="9"/>
      <c r="D414" s="9"/>
      <c r="E414" s="9"/>
      <c r="F414" s="9"/>
      <c r="G414" s="9"/>
      <c r="H414" s="9"/>
      <c r="I414" s="9"/>
      <c r="J414" s="9"/>
      <c r="K414" s="9"/>
      <c r="L414" s="9"/>
    </row>
    <row r="415" customFormat="false" ht="15" hidden="false" customHeight="false" outlineLevel="0" collapsed="false">
      <c r="A415" s="9"/>
      <c r="B415" s="9"/>
      <c r="C415" s="9"/>
      <c r="D415" s="9"/>
      <c r="E415" s="9"/>
      <c r="F415" s="9"/>
      <c r="G415" s="9"/>
      <c r="H415" s="9"/>
      <c r="I415" s="9"/>
      <c r="J415" s="9"/>
      <c r="K415" s="9"/>
      <c r="L415" s="9"/>
    </row>
    <row r="416" customFormat="false" ht="15" hidden="false" customHeight="false" outlineLevel="0" collapsed="false">
      <c r="A416" s="9"/>
      <c r="B416" s="9"/>
      <c r="C416" s="9"/>
      <c r="D416" s="9"/>
      <c r="E416" s="9"/>
      <c r="F416" s="9"/>
      <c r="G416" s="9"/>
      <c r="H416" s="9"/>
      <c r="I416" s="9"/>
      <c r="J416" s="9"/>
      <c r="K416" s="9"/>
      <c r="L416" s="9"/>
    </row>
    <row r="417" customFormat="false" ht="15" hidden="false" customHeight="false" outlineLevel="0" collapsed="false">
      <c r="A417" s="9"/>
      <c r="B417" s="9"/>
      <c r="C417" s="9"/>
      <c r="D417" s="9"/>
      <c r="E417" s="9"/>
      <c r="F417" s="9"/>
      <c r="G417" s="9"/>
      <c r="H417" s="9"/>
      <c r="I417" s="9"/>
      <c r="J417" s="9"/>
      <c r="K417" s="9"/>
      <c r="L417" s="9"/>
    </row>
    <row r="418" customFormat="false" ht="15" hidden="false" customHeight="false" outlineLevel="0" collapsed="false">
      <c r="A418" s="9"/>
      <c r="B418" s="9"/>
      <c r="C418" s="9"/>
      <c r="D418" s="9"/>
      <c r="E418" s="9"/>
      <c r="F418" s="9"/>
      <c r="G418" s="9"/>
      <c r="H418" s="9"/>
      <c r="I418" s="9"/>
      <c r="J418" s="9"/>
      <c r="K418" s="9"/>
      <c r="L418" s="9"/>
    </row>
    <row r="419" customFormat="false" ht="15" hidden="false" customHeight="false" outlineLevel="0" collapsed="false">
      <c r="A419" s="9"/>
      <c r="B419" s="9"/>
      <c r="C419" s="9"/>
      <c r="D419" s="9"/>
      <c r="E419" s="9"/>
      <c r="F419" s="9"/>
      <c r="G419" s="9"/>
      <c r="H419" s="9"/>
      <c r="I419" s="9"/>
      <c r="J419" s="9"/>
      <c r="K419" s="9"/>
      <c r="L419" s="9"/>
    </row>
    <row r="420" customFormat="false" ht="15" hidden="false" customHeight="false" outlineLevel="0" collapsed="false">
      <c r="A420" s="9"/>
      <c r="B420" s="9"/>
      <c r="C420" s="9"/>
      <c r="D420" s="9"/>
      <c r="E420" s="9"/>
      <c r="F420" s="9"/>
      <c r="G420" s="9"/>
      <c r="H420" s="9"/>
      <c r="I420" s="9"/>
      <c r="J420" s="9"/>
      <c r="K420" s="9"/>
      <c r="L420" s="9"/>
    </row>
    <row r="421" customFormat="false" ht="15" hidden="false" customHeight="false" outlineLevel="0" collapsed="false">
      <c r="A421" s="9"/>
      <c r="B421" s="9"/>
      <c r="C421" s="9"/>
      <c r="D421" s="9"/>
      <c r="E421" s="9"/>
      <c r="F421" s="9"/>
      <c r="G421" s="9"/>
      <c r="H421" s="9"/>
      <c r="I421" s="9"/>
      <c r="J421" s="9"/>
      <c r="K421" s="9"/>
      <c r="L421" s="9"/>
    </row>
    <row r="422" customFormat="false" ht="15" hidden="false" customHeight="false" outlineLevel="0" collapsed="false">
      <c r="A422" s="9"/>
      <c r="B422" s="9"/>
      <c r="C422" s="9"/>
      <c r="D422" s="9"/>
      <c r="E422" s="9"/>
      <c r="F422" s="9"/>
      <c r="G422" s="9"/>
      <c r="H422" s="9"/>
      <c r="I422" s="9"/>
      <c r="J422" s="9"/>
      <c r="K422" s="9"/>
      <c r="L422" s="9"/>
    </row>
    <row r="423" customFormat="false" ht="15" hidden="false" customHeight="false" outlineLevel="0" collapsed="false">
      <c r="A423" s="9"/>
      <c r="B423" s="9"/>
      <c r="C423" s="9"/>
      <c r="D423" s="9"/>
      <c r="E423" s="9"/>
      <c r="F423" s="9"/>
      <c r="G423" s="9"/>
      <c r="H423" s="9"/>
      <c r="I423" s="9"/>
      <c r="J423" s="9"/>
      <c r="K423" s="9"/>
      <c r="L423" s="9"/>
    </row>
    <row r="424" customFormat="false" ht="15" hidden="false" customHeight="false" outlineLevel="0" collapsed="false">
      <c r="A424" s="9"/>
      <c r="B424" s="9"/>
      <c r="C424" s="9"/>
      <c r="D424" s="9"/>
      <c r="E424" s="9"/>
      <c r="F424" s="9"/>
      <c r="G424" s="9"/>
      <c r="H424" s="9"/>
      <c r="I424" s="9"/>
      <c r="J424" s="9"/>
      <c r="K424" s="9"/>
      <c r="L424" s="9"/>
    </row>
    <row r="425" customFormat="false" ht="15" hidden="false" customHeight="false" outlineLevel="0" collapsed="false">
      <c r="A425" s="9"/>
      <c r="B425" s="9"/>
      <c r="C425" s="9"/>
      <c r="D425" s="9"/>
      <c r="E425" s="9"/>
      <c r="F425" s="9"/>
      <c r="G425" s="9"/>
      <c r="H425" s="9"/>
      <c r="I425" s="9"/>
      <c r="J425" s="9"/>
      <c r="K425" s="9"/>
      <c r="L425" s="9"/>
    </row>
    <row r="426" customFormat="false" ht="15" hidden="false" customHeight="false" outlineLevel="0" collapsed="false">
      <c r="A426" s="9"/>
      <c r="B426" s="9"/>
      <c r="C426" s="9"/>
      <c r="D426" s="9"/>
      <c r="E426" s="9"/>
      <c r="F426" s="9"/>
      <c r="G426" s="9"/>
      <c r="H426" s="9"/>
      <c r="I426" s="9"/>
      <c r="J426" s="9"/>
      <c r="K426" s="9"/>
      <c r="L426" s="9"/>
    </row>
    <row r="427" customFormat="false" ht="15" hidden="false" customHeight="false" outlineLevel="0" collapsed="false">
      <c r="A427" s="9"/>
      <c r="B427" s="9"/>
      <c r="C427" s="9"/>
      <c r="D427" s="9"/>
      <c r="E427" s="9"/>
      <c r="F427" s="9"/>
      <c r="G427" s="9"/>
      <c r="H427" s="9"/>
      <c r="I427" s="9"/>
      <c r="J427" s="9"/>
      <c r="K427" s="9"/>
      <c r="L427" s="9"/>
    </row>
    <row r="428" customFormat="false" ht="15" hidden="false" customHeight="false" outlineLevel="0" collapsed="false">
      <c r="A428" s="9"/>
      <c r="B428" s="9"/>
      <c r="C428" s="9"/>
      <c r="D428" s="9"/>
      <c r="E428" s="9"/>
      <c r="F428" s="9"/>
      <c r="G428" s="9"/>
      <c r="H428" s="9"/>
      <c r="I428" s="9"/>
      <c r="J428" s="9"/>
      <c r="K428" s="9"/>
      <c r="L428" s="9"/>
    </row>
    <row r="429" customFormat="false" ht="15" hidden="false" customHeight="false" outlineLevel="0" collapsed="false">
      <c r="A429" s="9"/>
      <c r="B429" s="9"/>
      <c r="C429" s="9"/>
      <c r="D429" s="9"/>
      <c r="E429" s="9"/>
      <c r="F429" s="9"/>
      <c r="G429" s="9"/>
      <c r="H429" s="9"/>
      <c r="I429" s="9"/>
      <c r="J429" s="9"/>
      <c r="K429" s="9"/>
      <c r="L429" s="9"/>
    </row>
    <row r="430" customFormat="false" ht="15" hidden="false" customHeight="false" outlineLevel="0" collapsed="false">
      <c r="A430" s="9"/>
      <c r="B430" s="9"/>
      <c r="C430" s="9"/>
      <c r="D430" s="9"/>
      <c r="E430" s="9"/>
      <c r="F430" s="9"/>
      <c r="G430" s="9"/>
      <c r="H430" s="9"/>
      <c r="I430" s="9"/>
      <c r="J430" s="9"/>
      <c r="K430" s="9"/>
      <c r="L430" s="9"/>
    </row>
    <row r="431" customFormat="false" ht="15" hidden="false" customHeight="false" outlineLevel="0" collapsed="false">
      <c r="A431" s="9"/>
      <c r="B431" s="9"/>
      <c r="C431" s="9"/>
      <c r="D431" s="9"/>
      <c r="E431" s="9"/>
      <c r="F431" s="9"/>
      <c r="G431" s="9"/>
      <c r="H431" s="9"/>
      <c r="I431" s="9"/>
      <c r="J431" s="9"/>
      <c r="K431" s="9"/>
      <c r="L431" s="9"/>
    </row>
    <row r="432" customFormat="false" ht="15" hidden="false" customHeight="false" outlineLevel="0" collapsed="false">
      <c r="A432" s="9"/>
      <c r="B432" s="9"/>
      <c r="C432" s="9"/>
      <c r="D432" s="9"/>
      <c r="E432" s="9"/>
      <c r="F432" s="9"/>
      <c r="G432" s="9"/>
      <c r="H432" s="9"/>
      <c r="I432" s="9"/>
      <c r="J432" s="9"/>
      <c r="K432" s="9"/>
      <c r="L432" s="9"/>
    </row>
    <row r="433" customFormat="false" ht="15" hidden="false" customHeight="false" outlineLevel="0" collapsed="false">
      <c r="A433" s="9"/>
      <c r="B433" s="9"/>
      <c r="C433" s="9"/>
      <c r="D433" s="9"/>
      <c r="E433" s="9"/>
      <c r="F433" s="9"/>
      <c r="G433" s="9"/>
      <c r="H433" s="9"/>
      <c r="I433" s="9"/>
      <c r="J433" s="9"/>
      <c r="K433" s="9"/>
      <c r="L433" s="9"/>
    </row>
    <row r="434" customFormat="false" ht="15" hidden="false" customHeight="false" outlineLevel="0" collapsed="false">
      <c r="A434" s="9"/>
      <c r="B434" s="9"/>
      <c r="C434" s="9"/>
      <c r="D434" s="9"/>
      <c r="E434" s="9"/>
      <c r="F434" s="9"/>
      <c r="G434" s="9"/>
      <c r="H434" s="9"/>
      <c r="I434" s="9"/>
      <c r="J434" s="9"/>
      <c r="K434" s="9"/>
      <c r="L434" s="9"/>
    </row>
    <row r="435" customFormat="false" ht="15" hidden="false" customHeight="false" outlineLevel="0" collapsed="false">
      <c r="A435" s="9"/>
      <c r="B435" s="9"/>
      <c r="C435" s="9"/>
      <c r="D435" s="9"/>
      <c r="E435" s="9"/>
      <c r="F435" s="9"/>
      <c r="G435" s="9"/>
      <c r="H435" s="9"/>
      <c r="I435" s="9"/>
      <c r="J435" s="9"/>
      <c r="K435" s="9"/>
      <c r="L435" s="9"/>
    </row>
    <row r="436" customFormat="false" ht="15" hidden="false" customHeight="false" outlineLevel="0" collapsed="false">
      <c r="A436" s="9"/>
      <c r="B436" s="9"/>
      <c r="C436" s="9"/>
      <c r="D436" s="9"/>
      <c r="E436" s="9"/>
      <c r="F436" s="9"/>
      <c r="G436" s="9"/>
      <c r="H436" s="9"/>
      <c r="I436" s="9"/>
      <c r="J436" s="9"/>
      <c r="K436" s="9"/>
      <c r="L436" s="9"/>
    </row>
    <row r="437" customFormat="false" ht="15" hidden="false" customHeight="false" outlineLevel="0" collapsed="false">
      <c r="A437" s="9"/>
      <c r="B437" s="9"/>
      <c r="C437" s="9"/>
      <c r="D437" s="9"/>
      <c r="E437" s="9"/>
      <c r="F437" s="9"/>
      <c r="G437" s="9"/>
      <c r="H437" s="9"/>
      <c r="I437" s="9"/>
      <c r="J437" s="9"/>
      <c r="K437" s="9"/>
      <c r="L437" s="9"/>
    </row>
    <row r="438" customFormat="false" ht="15" hidden="false" customHeight="false" outlineLevel="0" collapsed="false">
      <c r="A438" s="9"/>
      <c r="B438" s="9"/>
      <c r="C438" s="9"/>
      <c r="D438" s="9"/>
      <c r="E438" s="9"/>
      <c r="F438" s="9"/>
      <c r="G438" s="9"/>
      <c r="H438" s="9"/>
      <c r="I438" s="9"/>
      <c r="J438" s="9"/>
      <c r="K438" s="9"/>
      <c r="L438" s="9"/>
    </row>
    <row r="439" customFormat="false" ht="15" hidden="false" customHeight="false" outlineLevel="0" collapsed="false">
      <c r="A439" s="9"/>
      <c r="B439" s="9"/>
      <c r="C439" s="9"/>
      <c r="D439" s="9"/>
      <c r="E439" s="9"/>
      <c r="F439" s="9"/>
      <c r="G439" s="9"/>
      <c r="H439" s="9"/>
      <c r="I439" s="9"/>
      <c r="J439" s="9"/>
      <c r="K439" s="9"/>
      <c r="L439" s="9"/>
    </row>
    <row r="440" customFormat="false" ht="15" hidden="false" customHeight="false" outlineLevel="0" collapsed="false">
      <c r="A440" s="9"/>
      <c r="B440" s="9"/>
      <c r="C440" s="9"/>
      <c r="D440" s="9"/>
      <c r="E440" s="9"/>
      <c r="F440" s="9"/>
      <c r="G440" s="9"/>
      <c r="H440" s="9"/>
      <c r="I440" s="9"/>
      <c r="J440" s="9"/>
      <c r="K440" s="9"/>
      <c r="L440" s="9"/>
    </row>
    <row r="441" customFormat="false" ht="15" hidden="false" customHeight="false" outlineLevel="0" collapsed="false">
      <c r="A441" s="9"/>
      <c r="B441" s="9"/>
      <c r="C441" s="9"/>
      <c r="D441" s="9"/>
      <c r="E441" s="9"/>
      <c r="F441" s="9"/>
      <c r="G441" s="9"/>
      <c r="H441" s="9"/>
      <c r="I441" s="9"/>
      <c r="J441" s="9"/>
      <c r="K441" s="9"/>
      <c r="L441" s="9"/>
    </row>
    <row r="442" customFormat="false" ht="15" hidden="false" customHeight="false" outlineLevel="0" collapsed="false">
      <c r="A442" s="9"/>
      <c r="B442" s="9"/>
      <c r="C442" s="9"/>
      <c r="D442" s="9"/>
      <c r="E442" s="9"/>
      <c r="F442" s="9"/>
      <c r="G442" s="9"/>
      <c r="H442" s="9"/>
      <c r="I442" s="9"/>
      <c r="J442" s="9"/>
      <c r="K442" s="9"/>
      <c r="L442" s="9"/>
    </row>
    <row r="443" customFormat="false" ht="15" hidden="false" customHeight="false" outlineLevel="0" collapsed="false">
      <c r="A443" s="9"/>
      <c r="B443" s="9"/>
      <c r="C443" s="9"/>
      <c r="D443" s="9"/>
      <c r="E443" s="9"/>
      <c r="F443" s="9"/>
      <c r="G443" s="9"/>
      <c r="H443" s="9"/>
      <c r="I443" s="9"/>
      <c r="J443" s="9"/>
      <c r="K443" s="9"/>
      <c r="L443" s="9"/>
    </row>
    <row r="444" customFormat="false" ht="15" hidden="false" customHeight="false" outlineLevel="0" collapsed="false">
      <c r="A444" s="9"/>
      <c r="B444" s="9"/>
      <c r="C444" s="9"/>
      <c r="D444" s="9"/>
      <c r="E444" s="9"/>
      <c r="F444" s="9"/>
      <c r="G444" s="9"/>
      <c r="H444" s="9"/>
      <c r="I444" s="9"/>
      <c r="J444" s="9"/>
      <c r="K444" s="9"/>
      <c r="L444" s="9"/>
    </row>
    <row r="445" customFormat="false" ht="15" hidden="false" customHeight="false" outlineLevel="0" collapsed="false">
      <c r="A445" s="9"/>
      <c r="B445" s="9"/>
      <c r="C445" s="9"/>
      <c r="D445" s="9"/>
      <c r="E445" s="9"/>
      <c r="F445" s="9"/>
      <c r="G445" s="9"/>
      <c r="H445" s="9"/>
      <c r="I445" s="9"/>
      <c r="J445" s="9"/>
      <c r="K445" s="9"/>
      <c r="L445" s="9"/>
    </row>
    <row r="446" customFormat="false" ht="15" hidden="false" customHeight="false" outlineLevel="0" collapsed="false">
      <c r="A446" s="9"/>
      <c r="B446" s="9"/>
      <c r="C446" s="9"/>
      <c r="D446" s="9"/>
      <c r="E446" s="9"/>
      <c r="F446" s="9"/>
      <c r="G446" s="9"/>
      <c r="H446" s="9"/>
      <c r="I446" s="9"/>
      <c r="J446" s="9"/>
      <c r="K446" s="9"/>
      <c r="L446" s="9"/>
    </row>
    <row r="447" customFormat="false" ht="15" hidden="false" customHeight="false" outlineLevel="0" collapsed="false">
      <c r="A447" s="9"/>
      <c r="B447" s="9"/>
      <c r="C447" s="9"/>
      <c r="D447" s="9"/>
      <c r="E447" s="9"/>
      <c r="F447" s="9"/>
      <c r="G447" s="9"/>
      <c r="H447" s="9"/>
      <c r="I447" s="9"/>
      <c r="J447" s="9"/>
      <c r="K447" s="9"/>
      <c r="L447" s="9"/>
    </row>
    <row r="448" customFormat="false" ht="15" hidden="false" customHeight="false" outlineLevel="0" collapsed="false">
      <c r="A448" s="9"/>
      <c r="B448" s="9"/>
      <c r="C448" s="9"/>
      <c r="D448" s="9"/>
      <c r="E448" s="9"/>
      <c r="F448" s="9"/>
      <c r="G448" s="9"/>
      <c r="H448" s="9"/>
      <c r="I448" s="9"/>
      <c r="J448" s="9"/>
      <c r="K448" s="9"/>
      <c r="L448" s="9"/>
    </row>
    <row r="449" customFormat="false" ht="15" hidden="false" customHeight="false" outlineLevel="0" collapsed="false">
      <c r="A449" s="9"/>
      <c r="B449" s="9"/>
      <c r="C449" s="9"/>
      <c r="D449" s="9"/>
      <c r="E449" s="9"/>
      <c r="F449" s="9"/>
      <c r="G449" s="9"/>
      <c r="H449" s="9"/>
      <c r="I449" s="9"/>
      <c r="J449" s="9"/>
      <c r="K449" s="9"/>
      <c r="L449" s="9"/>
    </row>
    <row r="450" customFormat="false" ht="15" hidden="false" customHeight="false" outlineLevel="0" collapsed="false">
      <c r="A450" s="9"/>
      <c r="B450" s="9"/>
      <c r="C450" s="9"/>
      <c r="D450" s="9"/>
      <c r="E450" s="9"/>
      <c r="F450" s="9"/>
      <c r="G450" s="9"/>
      <c r="H450" s="9"/>
      <c r="I450" s="9"/>
      <c r="J450" s="9"/>
      <c r="K450" s="9"/>
      <c r="L450" s="9"/>
    </row>
    <row r="451" customFormat="false" ht="15" hidden="false" customHeight="false" outlineLevel="0" collapsed="false">
      <c r="A451" s="9"/>
      <c r="B451" s="9"/>
      <c r="C451" s="9"/>
      <c r="D451" s="9"/>
      <c r="E451" s="9"/>
      <c r="F451" s="9"/>
      <c r="G451" s="9"/>
      <c r="H451" s="9"/>
      <c r="I451" s="9"/>
      <c r="J451" s="9"/>
      <c r="K451" s="9"/>
      <c r="L451" s="9"/>
    </row>
    <row r="452" customFormat="false" ht="15" hidden="false" customHeight="false" outlineLevel="0" collapsed="false">
      <c r="A452" s="9"/>
      <c r="B452" s="9"/>
      <c r="C452" s="9"/>
      <c r="D452" s="9"/>
      <c r="E452" s="9"/>
      <c r="F452" s="9"/>
      <c r="G452" s="9"/>
      <c r="H452" s="9"/>
      <c r="I452" s="9"/>
      <c r="J452" s="9"/>
      <c r="K452" s="9"/>
      <c r="L452" s="9"/>
    </row>
    <row r="453" customFormat="false" ht="15" hidden="false" customHeight="false" outlineLevel="0" collapsed="false">
      <c r="A453" s="9"/>
      <c r="B453" s="9"/>
      <c r="C453" s="9"/>
      <c r="D453" s="9"/>
      <c r="E453" s="9"/>
      <c r="F453" s="9"/>
      <c r="G453" s="9"/>
      <c r="H453" s="9"/>
      <c r="I453" s="9"/>
      <c r="J453" s="9"/>
      <c r="K453" s="9"/>
      <c r="L453" s="9"/>
    </row>
    <row r="454" customFormat="false" ht="15" hidden="false" customHeight="false" outlineLevel="0" collapsed="false">
      <c r="A454" s="9"/>
      <c r="B454" s="9"/>
      <c r="C454" s="9"/>
      <c r="D454" s="9"/>
      <c r="E454" s="9"/>
      <c r="F454" s="9"/>
      <c r="G454" s="9"/>
      <c r="H454" s="9"/>
      <c r="I454" s="9"/>
      <c r="J454" s="9"/>
      <c r="K454" s="9"/>
      <c r="L454" s="9"/>
    </row>
    <row r="455" customFormat="false" ht="15" hidden="false" customHeight="false" outlineLevel="0" collapsed="false">
      <c r="A455" s="9"/>
      <c r="B455" s="9"/>
      <c r="C455" s="9"/>
      <c r="D455" s="9"/>
      <c r="E455" s="9"/>
      <c r="F455" s="9"/>
      <c r="G455" s="9"/>
      <c r="H455" s="9"/>
      <c r="I455" s="9"/>
      <c r="J455" s="9"/>
      <c r="K455" s="9"/>
      <c r="L455" s="9"/>
    </row>
    <row r="456" customFormat="false" ht="15" hidden="false" customHeight="false" outlineLevel="0" collapsed="false">
      <c r="A456" s="9"/>
      <c r="B456" s="9"/>
      <c r="C456" s="9"/>
      <c r="D456" s="9"/>
      <c r="E456" s="9"/>
      <c r="F456" s="9"/>
      <c r="G456" s="9"/>
      <c r="H456" s="9"/>
      <c r="I456" s="9"/>
      <c r="J456" s="9"/>
      <c r="K456" s="9"/>
      <c r="L456" s="9"/>
    </row>
    <row r="457" customFormat="false" ht="15" hidden="false" customHeight="false" outlineLevel="0" collapsed="false">
      <c r="A457" s="9"/>
      <c r="B457" s="9"/>
      <c r="C457" s="9"/>
      <c r="D457" s="9"/>
      <c r="E457" s="9"/>
      <c r="F457" s="9"/>
      <c r="G457" s="9"/>
      <c r="H457" s="9"/>
      <c r="I457" s="9"/>
      <c r="J457" s="9"/>
      <c r="K457" s="9"/>
      <c r="L457" s="9"/>
    </row>
    <row r="458" customFormat="false" ht="15" hidden="false" customHeight="false" outlineLevel="0" collapsed="false">
      <c r="A458" s="9"/>
      <c r="B458" s="9"/>
      <c r="C458" s="9"/>
      <c r="D458" s="9"/>
      <c r="E458" s="9"/>
      <c r="F458" s="9"/>
      <c r="G458" s="9"/>
      <c r="H458" s="9"/>
      <c r="I458" s="9"/>
      <c r="J458" s="9"/>
      <c r="K458" s="9"/>
      <c r="L458" s="9"/>
    </row>
    <row r="459" customFormat="false" ht="15" hidden="false" customHeight="false" outlineLevel="0" collapsed="false">
      <c r="A459" s="9"/>
      <c r="B459" s="9"/>
      <c r="C459" s="9"/>
      <c r="D459" s="9"/>
      <c r="E459" s="9"/>
      <c r="F459" s="9"/>
      <c r="G459" s="9"/>
      <c r="H459" s="9"/>
      <c r="I459" s="9"/>
      <c r="J459" s="9"/>
      <c r="K459" s="9"/>
      <c r="L459" s="9"/>
    </row>
    <row r="460" customFormat="false" ht="15" hidden="false" customHeight="false" outlineLevel="0" collapsed="false">
      <c r="A460" s="9"/>
      <c r="B460" s="9"/>
      <c r="C460" s="9"/>
      <c r="D460" s="9"/>
      <c r="E460" s="9"/>
      <c r="F460" s="9"/>
      <c r="G460" s="9"/>
      <c r="H460" s="9"/>
      <c r="I460" s="9"/>
      <c r="J460" s="9"/>
      <c r="K460" s="9"/>
      <c r="L460" s="9"/>
    </row>
    <row r="461" customFormat="false" ht="15" hidden="false" customHeight="false" outlineLevel="0" collapsed="false">
      <c r="A461" s="9"/>
      <c r="B461" s="9"/>
      <c r="C461" s="9"/>
      <c r="D461" s="9"/>
      <c r="E461" s="9"/>
      <c r="F461" s="9"/>
      <c r="G461" s="9"/>
      <c r="H461" s="9"/>
      <c r="I461" s="9"/>
      <c r="J461" s="9"/>
      <c r="K461" s="9"/>
      <c r="L461" s="9"/>
    </row>
    <row r="462" customFormat="false" ht="15" hidden="false" customHeight="false" outlineLevel="0" collapsed="false">
      <c r="A462" s="9"/>
      <c r="B462" s="9"/>
      <c r="C462" s="9"/>
      <c r="D462" s="9"/>
      <c r="E462" s="9"/>
      <c r="F462" s="9"/>
      <c r="G462" s="9"/>
      <c r="H462" s="9"/>
      <c r="I462" s="9"/>
      <c r="J462" s="9"/>
      <c r="K462" s="9"/>
      <c r="L462" s="9"/>
    </row>
    <row r="463" customFormat="false" ht="15" hidden="false" customHeight="false" outlineLevel="0" collapsed="false">
      <c r="A463" s="9"/>
      <c r="B463" s="9"/>
      <c r="C463" s="9"/>
      <c r="D463" s="9"/>
      <c r="E463" s="9"/>
      <c r="F463" s="9"/>
      <c r="G463" s="9"/>
      <c r="H463" s="9"/>
      <c r="I463" s="9"/>
      <c r="J463" s="9"/>
      <c r="K463" s="9"/>
      <c r="L463" s="9"/>
    </row>
    <row r="464" customFormat="false" ht="15" hidden="false" customHeight="false" outlineLevel="0" collapsed="false">
      <c r="A464" s="9"/>
      <c r="B464" s="9"/>
      <c r="C464" s="9"/>
      <c r="D464" s="9"/>
      <c r="E464" s="9"/>
      <c r="F464" s="9"/>
      <c r="G464" s="9"/>
      <c r="H464" s="9"/>
      <c r="I464" s="9"/>
      <c r="J464" s="9"/>
      <c r="K464" s="9"/>
      <c r="L464" s="9"/>
    </row>
    <row r="465" customFormat="false" ht="15" hidden="false" customHeight="false" outlineLevel="0" collapsed="false">
      <c r="A465" s="9"/>
      <c r="B465" s="9"/>
      <c r="C465" s="9"/>
      <c r="D465" s="9"/>
      <c r="E465" s="9"/>
      <c r="F465" s="9"/>
      <c r="G465" s="9"/>
      <c r="H465" s="9"/>
      <c r="I465" s="9"/>
      <c r="J465" s="9"/>
      <c r="K465" s="9"/>
      <c r="L465" s="9"/>
    </row>
    <row r="466" customFormat="false" ht="15" hidden="false" customHeight="false" outlineLevel="0" collapsed="false">
      <c r="A466" s="9"/>
      <c r="B466" s="9"/>
      <c r="C466" s="9"/>
      <c r="D466" s="9"/>
      <c r="E466" s="9"/>
      <c r="F466" s="9"/>
      <c r="G466" s="9"/>
      <c r="H466" s="9"/>
      <c r="I466" s="9"/>
      <c r="J466" s="9"/>
      <c r="K466" s="9"/>
      <c r="L466" s="9"/>
    </row>
    <row r="467" customFormat="false" ht="15" hidden="false" customHeight="false" outlineLevel="0" collapsed="false">
      <c r="A467" s="9"/>
      <c r="B467" s="9"/>
      <c r="C467" s="9"/>
      <c r="D467" s="9"/>
      <c r="E467" s="9"/>
      <c r="F467" s="9"/>
      <c r="G467" s="9"/>
      <c r="H467" s="9"/>
      <c r="I467" s="9"/>
      <c r="J467" s="9"/>
      <c r="K467" s="9"/>
      <c r="L467" s="9"/>
    </row>
    <row r="468" customFormat="false" ht="15" hidden="false" customHeight="false" outlineLevel="0" collapsed="false">
      <c r="A468" s="9"/>
      <c r="B468" s="9"/>
      <c r="C468" s="9"/>
      <c r="D468" s="9"/>
      <c r="E468" s="9"/>
      <c r="F468" s="9"/>
      <c r="G468" s="9"/>
      <c r="H468" s="9"/>
      <c r="I468" s="9"/>
      <c r="J468" s="9"/>
      <c r="K468" s="9"/>
      <c r="L468" s="9"/>
    </row>
    <row r="469" customFormat="false" ht="15" hidden="false" customHeight="false" outlineLevel="0" collapsed="false">
      <c r="A469" s="9"/>
      <c r="B469" s="9"/>
      <c r="C469" s="9"/>
      <c r="D469" s="9"/>
      <c r="E469" s="9"/>
      <c r="F469" s="9"/>
      <c r="G469" s="9"/>
      <c r="H469" s="9"/>
      <c r="I469" s="9"/>
      <c r="J469" s="9"/>
      <c r="K469" s="9"/>
      <c r="L469" s="9"/>
    </row>
    <row r="470" customFormat="false" ht="15" hidden="false" customHeight="false" outlineLevel="0" collapsed="false">
      <c r="A470" s="9"/>
      <c r="B470" s="9"/>
      <c r="C470" s="9"/>
      <c r="D470" s="9"/>
      <c r="E470" s="9"/>
      <c r="F470" s="9"/>
      <c r="G470" s="9"/>
      <c r="H470" s="9"/>
      <c r="I470" s="9"/>
      <c r="J470" s="9"/>
      <c r="K470" s="9"/>
      <c r="L470" s="9"/>
    </row>
    <row r="471" customFormat="false" ht="15" hidden="false" customHeight="false" outlineLevel="0" collapsed="false">
      <c r="A471" s="9"/>
      <c r="B471" s="9"/>
      <c r="C471" s="9"/>
      <c r="D471" s="9"/>
      <c r="E471" s="9"/>
      <c r="F471" s="9"/>
      <c r="G471" s="9"/>
      <c r="H471" s="9"/>
      <c r="I471" s="9"/>
      <c r="J471" s="9"/>
      <c r="K471" s="9"/>
      <c r="L471" s="9"/>
    </row>
    <row r="472" customFormat="false" ht="15" hidden="false" customHeight="false" outlineLevel="0" collapsed="false">
      <c r="A472" s="9"/>
      <c r="B472" s="9"/>
      <c r="C472" s="9"/>
      <c r="D472" s="9"/>
      <c r="E472" s="9"/>
      <c r="F472" s="9"/>
      <c r="G472" s="9"/>
      <c r="H472" s="9"/>
      <c r="I472" s="9"/>
      <c r="J472" s="9"/>
      <c r="K472" s="9"/>
      <c r="L472" s="9"/>
    </row>
    <row r="473" customFormat="false" ht="15" hidden="false" customHeight="false" outlineLevel="0" collapsed="false">
      <c r="A473" s="9"/>
      <c r="B473" s="9"/>
      <c r="C473" s="9"/>
      <c r="D473" s="9"/>
      <c r="E473" s="9"/>
      <c r="F473" s="9"/>
      <c r="G473" s="9"/>
      <c r="H473" s="9"/>
      <c r="I473" s="9"/>
      <c r="J473" s="9"/>
      <c r="K473" s="9"/>
      <c r="L473" s="9"/>
    </row>
    <row r="474" customFormat="false" ht="15" hidden="false" customHeight="false" outlineLevel="0" collapsed="false">
      <c r="A474" s="9"/>
      <c r="B474" s="9"/>
      <c r="C474" s="9"/>
      <c r="D474" s="9"/>
      <c r="E474" s="9"/>
      <c r="F474" s="9"/>
      <c r="G474" s="9"/>
      <c r="H474" s="9"/>
      <c r="I474" s="9"/>
      <c r="J474" s="9"/>
      <c r="K474" s="9"/>
      <c r="L474" s="9"/>
    </row>
    <row r="475" customFormat="false" ht="15" hidden="false" customHeight="false" outlineLevel="0" collapsed="false">
      <c r="A475" s="9"/>
      <c r="B475" s="9"/>
      <c r="C475" s="9"/>
      <c r="D475" s="9"/>
      <c r="E475" s="9"/>
      <c r="F475" s="9"/>
      <c r="G475" s="9"/>
      <c r="H475" s="9"/>
      <c r="I475" s="9"/>
      <c r="J475" s="9"/>
      <c r="K475" s="9"/>
      <c r="L475" s="9"/>
    </row>
    <row r="476" customFormat="false" ht="15" hidden="false" customHeight="false" outlineLevel="0" collapsed="false">
      <c r="A476" s="9"/>
      <c r="B476" s="9"/>
      <c r="C476" s="9"/>
      <c r="D476" s="9"/>
      <c r="E476" s="9"/>
      <c r="F476" s="9"/>
      <c r="G476" s="9"/>
      <c r="H476" s="9"/>
      <c r="I476" s="9"/>
      <c r="J476" s="9"/>
      <c r="K476" s="9"/>
      <c r="L476" s="9"/>
    </row>
    <row r="477" customFormat="false" ht="15" hidden="false" customHeight="false" outlineLevel="0" collapsed="false">
      <c r="A477" s="9"/>
      <c r="B477" s="9"/>
      <c r="C477" s="9"/>
      <c r="D477" s="9"/>
      <c r="E477" s="9"/>
      <c r="F477" s="9"/>
      <c r="G477" s="9"/>
      <c r="H477" s="9"/>
      <c r="I477" s="9"/>
      <c r="J477" s="9"/>
      <c r="K477" s="9"/>
      <c r="L477" s="9"/>
    </row>
    <row r="478" customFormat="false" ht="15" hidden="false" customHeight="false" outlineLevel="0" collapsed="false">
      <c r="A478" s="9"/>
      <c r="B478" s="9"/>
      <c r="C478" s="9"/>
      <c r="D478" s="9"/>
      <c r="E478" s="9"/>
      <c r="F478" s="9"/>
      <c r="G478" s="9"/>
      <c r="H478" s="9"/>
      <c r="I478" s="9"/>
      <c r="J478" s="9"/>
      <c r="K478" s="9"/>
      <c r="L478" s="9"/>
    </row>
    <row r="479" customFormat="false" ht="15" hidden="false" customHeight="false" outlineLevel="0" collapsed="false">
      <c r="A479" s="9"/>
      <c r="B479" s="9"/>
      <c r="C479" s="9"/>
      <c r="D479" s="9"/>
      <c r="E479" s="9"/>
      <c r="F479" s="9"/>
      <c r="G479" s="9"/>
      <c r="H479" s="9"/>
      <c r="I479" s="9"/>
      <c r="J479" s="9"/>
      <c r="K479" s="9"/>
      <c r="L479" s="9"/>
    </row>
    <row r="480" customFormat="false" ht="15" hidden="false" customHeight="false" outlineLevel="0" collapsed="false">
      <c r="A480" s="9"/>
      <c r="B480" s="9"/>
      <c r="C480" s="9"/>
      <c r="D480" s="9"/>
      <c r="E480" s="9"/>
      <c r="F480" s="9"/>
      <c r="G480" s="9"/>
      <c r="H480" s="9"/>
      <c r="I480" s="9"/>
      <c r="J480" s="9"/>
      <c r="K480" s="9"/>
      <c r="L480" s="9"/>
    </row>
    <row r="481" customFormat="false" ht="15" hidden="false" customHeight="false" outlineLevel="0" collapsed="false">
      <c r="A481" s="9"/>
      <c r="B481" s="9"/>
      <c r="C481" s="9"/>
      <c r="D481" s="9"/>
      <c r="E481" s="9"/>
      <c r="F481" s="9"/>
      <c r="G481" s="9"/>
      <c r="H481" s="9"/>
      <c r="I481" s="9"/>
      <c r="J481" s="9"/>
      <c r="K481" s="9"/>
      <c r="L481" s="9"/>
    </row>
    <row r="482" customFormat="false" ht="15" hidden="false" customHeight="false" outlineLevel="0" collapsed="false">
      <c r="A482" s="9"/>
      <c r="B482" s="9"/>
      <c r="C482" s="9"/>
      <c r="D482" s="9"/>
      <c r="E482" s="9"/>
      <c r="F482" s="9"/>
      <c r="G482" s="9"/>
      <c r="H482" s="9"/>
      <c r="I482" s="9"/>
      <c r="J482" s="9"/>
      <c r="K482" s="9"/>
      <c r="L482" s="9"/>
    </row>
    <row r="483" customFormat="false" ht="15" hidden="false" customHeight="false" outlineLevel="0" collapsed="false">
      <c r="A483" s="9"/>
      <c r="B483" s="9"/>
      <c r="C483" s="9"/>
      <c r="D483" s="9"/>
      <c r="E483" s="9"/>
      <c r="F483" s="9"/>
      <c r="G483" s="9"/>
      <c r="H483" s="9"/>
      <c r="I483" s="9"/>
      <c r="J483" s="9"/>
      <c r="K483" s="9"/>
      <c r="L483" s="9"/>
    </row>
    <row r="484" customFormat="false" ht="15" hidden="false" customHeight="false" outlineLevel="0" collapsed="false">
      <c r="A484" s="9"/>
      <c r="B484" s="9"/>
      <c r="C484" s="9"/>
      <c r="D484" s="9"/>
      <c r="E484" s="9"/>
      <c r="F484" s="9"/>
      <c r="G484" s="9"/>
      <c r="H484" s="9"/>
      <c r="I484" s="9"/>
      <c r="J484" s="9"/>
      <c r="K484" s="9"/>
      <c r="L484" s="9"/>
    </row>
    <row r="485" customFormat="false" ht="15" hidden="false" customHeight="false" outlineLevel="0" collapsed="false">
      <c r="A485" s="9"/>
      <c r="B485" s="9"/>
      <c r="C485" s="9"/>
      <c r="D485" s="9"/>
      <c r="E485" s="9"/>
      <c r="F485" s="9"/>
      <c r="G485" s="9"/>
      <c r="H485" s="9"/>
      <c r="I485" s="9"/>
      <c r="J485" s="9"/>
      <c r="K485" s="9"/>
      <c r="L485" s="9"/>
    </row>
    <row r="486" customFormat="false" ht="15" hidden="false" customHeight="false" outlineLevel="0" collapsed="false">
      <c r="A486" s="9"/>
      <c r="B486" s="9"/>
      <c r="C486" s="9"/>
      <c r="D486" s="9"/>
      <c r="E486" s="9"/>
      <c r="F486" s="9"/>
      <c r="G486" s="9"/>
      <c r="H486" s="9"/>
      <c r="I486" s="9"/>
      <c r="J486" s="9"/>
      <c r="K486" s="9"/>
      <c r="L486" s="9"/>
    </row>
    <row r="487" customFormat="false" ht="15" hidden="false" customHeight="false" outlineLevel="0" collapsed="false">
      <c r="A487" s="9"/>
      <c r="B487" s="9"/>
      <c r="C487" s="9"/>
      <c r="D487" s="9"/>
      <c r="E487" s="9"/>
      <c r="F487" s="9"/>
      <c r="G487" s="9"/>
      <c r="H487" s="9"/>
      <c r="I487" s="9"/>
      <c r="J487" s="9"/>
      <c r="K487" s="9"/>
      <c r="L487" s="9"/>
    </row>
    <row r="488" customFormat="false" ht="15" hidden="false" customHeight="false" outlineLevel="0" collapsed="false">
      <c r="A488" s="9"/>
      <c r="B488" s="9"/>
      <c r="C488" s="9"/>
      <c r="D488" s="9"/>
      <c r="E488" s="9"/>
      <c r="F488" s="9"/>
      <c r="G488" s="9"/>
      <c r="H488" s="9"/>
      <c r="I488" s="9"/>
      <c r="J488" s="9"/>
      <c r="K488" s="9"/>
      <c r="L488" s="9"/>
    </row>
    <row r="489" customFormat="false" ht="15" hidden="false" customHeight="false" outlineLevel="0" collapsed="false">
      <c r="A489" s="9"/>
      <c r="B489" s="9"/>
      <c r="C489" s="9"/>
      <c r="D489" s="9"/>
      <c r="E489" s="9"/>
      <c r="F489" s="9"/>
      <c r="G489" s="9"/>
      <c r="H489" s="9"/>
      <c r="I489" s="9"/>
      <c r="J489" s="9"/>
      <c r="K489" s="9"/>
      <c r="L489" s="9"/>
    </row>
    <row r="490" customFormat="false" ht="15" hidden="false" customHeight="false" outlineLevel="0" collapsed="false">
      <c r="A490" s="9"/>
      <c r="B490" s="9"/>
      <c r="C490" s="9"/>
      <c r="D490" s="9"/>
      <c r="E490" s="9"/>
      <c r="F490" s="9"/>
      <c r="G490" s="9"/>
      <c r="H490" s="9"/>
      <c r="I490" s="9"/>
      <c r="J490" s="9"/>
      <c r="K490" s="9"/>
      <c r="L490" s="9"/>
    </row>
    <row r="491" customFormat="false" ht="15" hidden="false" customHeight="false" outlineLevel="0" collapsed="false">
      <c r="A491" s="9"/>
      <c r="B491" s="9"/>
      <c r="C491" s="9"/>
      <c r="D491" s="9"/>
      <c r="E491" s="9"/>
      <c r="F491" s="9"/>
      <c r="G491" s="9"/>
      <c r="H491" s="9"/>
      <c r="I491" s="9"/>
      <c r="J491" s="9"/>
      <c r="K491" s="9"/>
      <c r="L491" s="9"/>
    </row>
    <row r="492" customFormat="false" ht="15" hidden="false" customHeight="false" outlineLevel="0" collapsed="false">
      <c r="A492" s="9"/>
      <c r="B492" s="9"/>
      <c r="C492" s="9"/>
      <c r="D492" s="9"/>
      <c r="E492" s="9"/>
      <c r="F492" s="9"/>
      <c r="G492" s="9"/>
      <c r="H492" s="9"/>
      <c r="I492" s="9"/>
      <c r="J492" s="9"/>
      <c r="K492" s="9"/>
      <c r="L492" s="9"/>
    </row>
    <row r="493" customFormat="false" ht="15" hidden="false" customHeight="false" outlineLevel="0" collapsed="false">
      <c r="A493" s="9"/>
      <c r="B493" s="9"/>
      <c r="C493" s="9"/>
      <c r="D493" s="9"/>
      <c r="E493" s="9"/>
      <c r="F493" s="9"/>
      <c r="G493" s="9"/>
      <c r="H493" s="9"/>
      <c r="I493" s="9"/>
      <c r="J493" s="9"/>
      <c r="K493" s="9"/>
      <c r="L493" s="9"/>
    </row>
    <row r="494" customFormat="false" ht="15" hidden="false" customHeight="false" outlineLevel="0" collapsed="false">
      <c r="A494" s="9"/>
      <c r="B494" s="9"/>
      <c r="C494" s="9"/>
      <c r="D494" s="9"/>
      <c r="E494" s="9"/>
      <c r="F494" s="9"/>
      <c r="G494" s="9"/>
      <c r="H494" s="9"/>
      <c r="I494" s="9"/>
      <c r="J494" s="9"/>
      <c r="K494" s="9"/>
      <c r="L494" s="9"/>
    </row>
    <row r="495" customFormat="false" ht="15" hidden="false" customHeight="false" outlineLevel="0" collapsed="false">
      <c r="A495" s="9"/>
      <c r="B495" s="9"/>
      <c r="C495" s="9"/>
      <c r="D495" s="9"/>
      <c r="E495" s="9"/>
      <c r="F495" s="9"/>
      <c r="G495" s="9"/>
      <c r="H495" s="9"/>
      <c r="I495" s="9"/>
      <c r="J495" s="9"/>
      <c r="K495" s="9"/>
      <c r="L495" s="9"/>
    </row>
    <row r="496" customFormat="false" ht="15" hidden="false" customHeight="false" outlineLevel="0" collapsed="false">
      <c r="A496" s="9"/>
      <c r="B496" s="9"/>
      <c r="C496" s="9"/>
      <c r="D496" s="9"/>
      <c r="E496" s="9"/>
      <c r="F496" s="9"/>
      <c r="G496" s="9"/>
      <c r="H496" s="9"/>
      <c r="I496" s="9"/>
      <c r="J496" s="9"/>
      <c r="K496" s="9"/>
      <c r="L496" s="9"/>
    </row>
    <row r="497" customFormat="false" ht="15" hidden="false" customHeight="false" outlineLevel="0" collapsed="false">
      <c r="A497" s="9"/>
      <c r="B497" s="9"/>
      <c r="C497" s="9"/>
      <c r="D497" s="9"/>
      <c r="E497" s="9"/>
      <c r="F497" s="9"/>
      <c r="G497" s="9"/>
      <c r="H497" s="9"/>
      <c r="I497" s="9"/>
      <c r="J497" s="9"/>
      <c r="K497" s="9"/>
      <c r="L497" s="9"/>
    </row>
    <row r="498" customFormat="false" ht="15" hidden="false" customHeight="false" outlineLevel="0" collapsed="false">
      <c r="A498" s="9"/>
      <c r="B498" s="9"/>
      <c r="C498" s="9"/>
      <c r="D498" s="9"/>
      <c r="E498" s="9"/>
      <c r="F498" s="9"/>
      <c r="G498" s="9"/>
      <c r="H498" s="9"/>
      <c r="I498" s="9"/>
      <c r="J498" s="9"/>
      <c r="K498" s="9"/>
      <c r="L498" s="9"/>
    </row>
    <row r="499" customFormat="false" ht="15" hidden="false" customHeight="false" outlineLevel="0" collapsed="false">
      <c r="A499" s="9"/>
      <c r="B499" s="9"/>
      <c r="C499" s="9"/>
      <c r="D499" s="9"/>
      <c r="E499" s="9"/>
      <c r="F499" s="9"/>
      <c r="G499" s="9"/>
      <c r="H499" s="9"/>
      <c r="I499" s="9"/>
      <c r="J499" s="9"/>
      <c r="K499" s="9"/>
      <c r="L499" s="9"/>
    </row>
    <row r="500" customFormat="false" ht="15" hidden="false" customHeight="false" outlineLevel="0" collapsed="false">
      <c r="A500" s="9"/>
      <c r="B500" s="9"/>
      <c r="C500" s="9"/>
      <c r="D500" s="9"/>
      <c r="E500" s="9"/>
      <c r="F500" s="9"/>
      <c r="G500" s="9"/>
      <c r="H500" s="9"/>
      <c r="I500" s="9"/>
      <c r="J500" s="9"/>
      <c r="K500" s="9"/>
      <c r="L500" s="9"/>
    </row>
    <row r="501" customFormat="false" ht="15" hidden="false" customHeight="false" outlineLevel="0" collapsed="false">
      <c r="A501" s="9"/>
      <c r="B501" s="9"/>
      <c r="C501" s="9"/>
      <c r="D501" s="9"/>
      <c r="E501" s="9"/>
      <c r="F501" s="9"/>
      <c r="G501" s="9"/>
      <c r="H501" s="9"/>
      <c r="I501" s="9"/>
      <c r="J501" s="9"/>
      <c r="K501" s="9"/>
      <c r="L501" s="9"/>
    </row>
    <row r="502" customFormat="false" ht="15" hidden="false" customHeight="false" outlineLevel="0" collapsed="false">
      <c r="A502" s="9"/>
      <c r="B502" s="9"/>
      <c r="C502" s="9"/>
      <c r="D502" s="9"/>
      <c r="E502" s="9"/>
      <c r="F502" s="9"/>
      <c r="G502" s="9"/>
      <c r="H502" s="9"/>
      <c r="I502" s="9"/>
      <c r="J502" s="9"/>
      <c r="K502" s="9"/>
      <c r="L502" s="9"/>
    </row>
    <row r="503" customFormat="false" ht="15" hidden="false" customHeight="false" outlineLevel="0" collapsed="false">
      <c r="A503" s="9"/>
      <c r="B503" s="9"/>
      <c r="C503" s="9"/>
      <c r="D503" s="9"/>
      <c r="E503" s="9"/>
      <c r="F503" s="9"/>
      <c r="G503" s="9"/>
      <c r="H503" s="9"/>
      <c r="I503" s="9"/>
      <c r="J503" s="9"/>
      <c r="K503" s="9"/>
      <c r="L503" s="9"/>
    </row>
    <row r="504" customFormat="false" ht="15" hidden="false" customHeight="false" outlineLevel="0" collapsed="false">
      <c r="A504" s="9"/>
      <c r="B504" s="9"/>
      <c r="C504" s="9"/>
      <c r="D504" s="9"/>
      <c r="E504" s="9"/>
      <c r="F504" s="9"/>
      <c r="G504" s="9"/>
      <c r="H504" s="9"/>
      <c r="I504" s="9"/>
      <c r="J504" s="9"/>
      <c r="K504" s="9"/>
      <c r="L504" s="9"/>
    </row>
  </sheetData>
  <dataValidations count="1">
    <dataValidation allowBlank="true" error="Pick a value from the list (add new values on the Lists sheet)." errorStyle="stop" errorTitle="Not in list" operator="between" showDropDown="false" showErrorMessage="false" showInputMessage="false" sqref="D5:D504" type="list">
      <formula1>Lists!$CA$4:$CA$22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CB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44"/>
    <col collapsed="false" customWidth="true" hidden="false" outlineLevel="0" max="3" min="3" style="0" width="24"/>
    <col collapsed="false" customWidth="true" hidden="false" outlineLevel="0" max="4" min="4" style="0" width="18"/>
    <col collapsed="false" customWidth="true" hidden="false" outlineLevel="0" max="5" min="5" style="0" width="17"/>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6"/>
    <col collapsed="false" customWidth="true" hidden="false" outlineLevel="0" max="12" min="10" style="0" width="7"/>
    <col collapsed="false" customWidth="true" hidden="false" outlineLevel="0" max="13" min="13" style="0" width="20"/>
    <col collapsed="false" customWidth="true" hidden="false" outlineLevel="0" max="14" min="14" style="0" width="14"/>
    <col collapsed="false" customWidth="true" hidden="false" outlineLevel="0" max="15" min="15" style="0" width="8"/>
    <col collapsed="false" customWidth="true" hidden="false" outlineLevel="0" max="16" min="16" style="0" width="7"/>
    <col collapsed="false" customWidth="true" hidden="false" outlineLevel="0" max="21" min="17" style="0" width="10"/>
    <col collapsed="false" customWidth="true" hidden="false" outlineLevel="0" max="22" min="22" style="0" width="9"/>
    <col collapsed="false" customWidth="true" hidden="false" outlineLevel="0" max="23" min="23" style="0" width="12"/>
    <col collapsed="false" customWidth="true" hidden="false" outlineLevel="0" max="25" min="24" style="0" width="8"/>
    <col collapsed="false" customWidth="true" hidden="false" outlineLevel="0" max="26" min="26" style="0" width="11"/>
    <col collapsed="false" customWidth="true" hidden="false" outlineLevel="0" max="27" min="27" style="0" width="18"/>
    <col collapsed="false" customWidth="true" hidden="false" outlineLevel="0" max="30" min="28" style="0" width="7"/>
    <col collapsed="false" customWidth="true" hidden="false" outlineLevel="0" max="31" min="31" style="0" width="13"/>
    <col collapsed="false" customWidth="true" hidden="false" outlineLevel="0" max="32" min="32" style="0" width="7"/>
    <col collapsed="false" customWidth="true" hidden="false" outlineLevel="0" max="33" min="33" style="0" width="30"/>
    <col collapsed="false" customWidth="true" hidden="false" outlineLevel="0" max="34" min="34" style="0" width="28"/>
    <col collapsed="false" customWidth="true" hidden="false" outlineLevel="0" max="35" min="35" style="0" width="5"/>
    <col collapsed="false" customWidth="true" hidden="false" outlineLevel="0" max="36" min="36" style="0" width="10"/>
    <col collapsed="false" customWidth="true" hidden="false" outlineLevel="0" max="37" min="37" style="0" width="14"/>
    <col collapsed="false" customWidth="true" hidden="false" outlineLevel="0" max="38" min="38" style="0" width="8"/>
    <col collapsed="false" customWidth="true" hidden="false" outlineLevel="0" max="39" min="39" style="0" width="9"/>
    <col collapsed="false" customWidth="true" hidden="false" outlineLevel="0" max="40" min="40" style="0" width="46"/>
    <col collapsed="false" customWidth="true" hidden="false" outlineLevel="0" max="45" min="41" style="0" width="30"/>
    <col collapsed="false" customWidth="true" hidden="false" outlineLevel="0" max="46" min="46" style="0" width="9"/>
    <col collapsed="false" customWidth="true" hidden="false" outlineLevel="0" max="47" min="47" style="0" width="6"/>
    <col collapsed="false" customWidth="true" hidden="false" outlineLevel="0" max="52" min="48" style="0" width="9"/>
    <col collapsed="false" customWidth="true" hidden="false" outlineLevel="0" max="53" min="53" style="0" width="10"/>
    <col collapsed="false" customWidth="true" hidden="false" outlineLevel="0" max="54" min="54" style="0" width="22"/>
    <col collapsed="false" customWidth="true" hidden="false" outlineLevel="0" max="55" min="55" style="0" width="10"/>
    <col collapsed="false" customWidth="true" hidden="false" outlineLevel="0" max="56" min="56" style="0" width="9"/>
    <col collapsed="false" customWidth="true" hidden="false" outlineLevel="0" max="57" min="57" style="0" width="44"/>
    <col collapsed="false" customWidth="true" hidden="false" outlineLevel="0" max="58" min="58" style="0" width="36"/>
    <col collapsed="false" customWidth="true" hidden="false" outlineLevel="0" max="59" min="59" style="0" width="22"/>
    <col collapsed="false" customWidth="true" hidden="false" outlineLevel="0" max="60" min="60" style="0" width="11"/>
    <col collapsed="false" customWidth="true" hidden="false" outlineLevel="0" max="61" min="61" style="0" width="30"/>
    <col collapsed="false" customWidth="true" hidden="false" outlineLevel="0" max="62" min="62" style="0" width="10"/>
    <col collapsed="false" customWidth="true" hidden="false" outlineLevel="0" max="64" min="63" style="0" width="22"/>
    <col collapsed="false" customWidth="true" hidden="false" outlineLevel="0" max="68" min="65" style="0" width="11"/>
    <col collapsed="false" customWidth="true" hidden="false" outlineLevel="0" max="69" min="69" style="0" width="18"/>
    <col collapsed="false" customWidth="true" hidden="false" outlineLevel="0" max="70" min="70" style="0" width="11"/>
    <col collapsed="false" customWidth="true" hidden="false" outlineLevel="0" max="72" min="71" style="0" width="10"/>
    <col collapsed="false" customWidth="true" hidden="false" outlineLevel="0" max="76" min="73" style="0" width="11"/>
    <col collapsed="false" customWidth="true" hidden="false" outlineLevel="0" max="77" min="77" style="0" width="18"/>
    <col collapsed="false" customWidth="true" hidden="false" outlineLevel="0" max="78" min="78" style="0" width="9"/>
    <col collapsed="false" customWidth="true" hidden="false" outlineLevel="0" max="79" min="79" style="0" width="8"/>
    <col collapsed="false" customWidth="true" hidden="false" outlineLevel="0" max="80" min="80" style="0" width="34"/>
  </cols>
  <sheetData>
    <row r="1" customFormat="false" ht="17.35" hidden="false" customHeight="false" outlineLevel="0" collapsed="false">
      <c r="A1" s="5" t="s">
        <v>596</v>
      </c>
    </row>
    <row r="2" customFormat="false" ht="15" hidden="false" customHeight="false" outlineLevel="0" collapsed="false">
      <c r="A2" s="6" t="s">
        <v>597</v>
      </c>
    </row>
    <row r="3" customFormat="false" ht="15" hidden="false" customHeight="false" outlineLevel="0" collapsed="false">
      <c r="A3" s="6" t="s">
        <v>598</v>
      </c>
    </row>
    <row r="4" customFormat="false" ht="54" hidden="false" customHeight="true" outlineLevel="0" collapsed="false">
      <c r="A4" s="16" t="s">
        <v>102</v>
      </c>
      <c r="B4" s="16" t="s">
        <v>103</v>
      </c>
      <c r="C4" s="15" t="s">
        <v>279</v>
      </c>
      <c r="D4" s="15" t="s">
        <v>282</v>
      </c>
      <c r="E4" s="15" t="s">
        <v>286</v>
      </c>
      <c r="F4" s="15" t="s">
        <v>287</v>
      </c>
      <c r="G4" s="15" t="s">
        <v>288</v>
      </c>
      <c r="H4" s="15" t="s">
        <v>292</v>
      </c>
      <c r="I4" s="15" t="s">
        <v>293</v>
      </c>
      <c r="J4" s="15" t="s">
        <v>294</v>
      </c>
      <c r="K4" s="15" t="s">
        <v>295</v>
      </c>
      <c r="L4" s="15" t="s">
        <v>296</v>
      </c>
      <c r="M4" s="15" t="s">
        <v>81</v>
      </c>
      <c r="N4" s="15" t="s">
        <v>297</v>
      </c>
      <c r="O4" s="15" t="s">
        <v>298</v>
      </c>
      <c r="P4" s="15" t="s">
        <v>301</v>
      </c>
      <c r="Q4" s="15" t="s">
        <v>302</v>
      </c>
      <c r="R4" s="15" t="s">
        <v>305</v>
      </c>
      <c r="S4" s="15" t="s">
        <v>306</v>
      </c>
      <c r="T4" s="15" t="s">
        <v>307</v>
      </c>
      <c r="U4" s="15" t="s">
        <v>308</v>
      </c>
      <c r="V4" s="15" t="s">
        <v>309</v>
      </c>
      <c r="W4" s="15" t="s">
        <v>310</v>
      </c>
      <c r="X4" s="15" t="s">
        <v>311</v>
      </c>
      <c r="Y4" s="15" t="s">
        <v>312</v>
      </c>
      <c r="Z4" s="15" t="s">
        <v>314</v>
      </c>
      <c r="AA4" s="15" t="s">
        <v>316</v>
      </c>
      <c r="AB4" s="15" t="s">
        <v>317</v>
      </c>
      <c r="AC4" s="15" t="s">
        <v>320</v>
      </c>
      <c r="AD4" s="15" t="s">
        <v>322</v>
      </c>
      <c r="AE4" s="15" t="s">
        <v>325</v>
      </c>
      <c r="AF4" s="15" t="s">
        <v>327</v>
      </c>
      <c r="AG4" s="15" t="s">
        <v>329</v>
      </c>
      <c r="AH4" s="15" t="s">
        <v>333</v>
      </c>
      <c r="AI4" s="15" t="s">
        <v>131</v>
      </c>
      <c r="AJ4" s="15" t="s">
        <v>132</v>
      </c>
      <c r="AK4" s="15" t="s">
        <v>133</v>
      </c>
      <c r="AL4" s="15" t="s">
        <v>336</v>
      </c>
      <c r="AM4" s="15" t="s">
        <v>341</v>
      </c>
      <c r="AN4" s="30" t="s">
        <v>343</v>
      </c>
      <c r="AO4" s="30" t="s">
        <v>344</v>
      </c>
      <c r="AP4" s="30" t="s">
        <v>345</v>
      </c>
      <c r="AQ4" s="30" t="s">
        <v>346</v>
      </c>
      <c r="AR4" s="30" t="s">
        <v>347</v>
      </c>
      <c r="AS4" s="30" t="s">
        <v>348</v>
      </c>
      <c r="AT4" s="15" t="s">
        <v>349</v>
      </c>
      <c r="AU4" s="15" t="s">
        <v>351</v>
      </c>
      <c r="AV4" s="17" t="s">
        <v>355</v>
      </c>
      <c r="AW4" s="17" t="s">
        <v>357</v>
      </c>
      <c r="AX4" s="17" t="s">
        <v>359</v>
      </c>
      <c r="AY4" s="17" t="s">
        <v>360</v>
      </c>
      <c r="AZ4" s="17" t="s">
        <v>362</v>
      </c>
      <c r="BA4" s="16" t="s">
        <v>363</v>
      </c>
      <c r="BB4" s="16" t="s">
        <v>365</v>
      </c>
      <c r="BC4" s="16" t="s">
        <v>367</v>
      </c>
      <c r="BD4" s="16" t="s">
        <v>369</v>
      </c>
      <c r="BE4" s="16" t="s">
        <v>371</v>
      </c>
      <c r="BF4" s="15" t="s">
        <v>373</v>
      </c>
      <c r="BG4" s="15" t="s">
        <v>374</v>
      </c>
      <c r="BH4" s="15" t="s">
        <v>375</v>
      </c>
      <c r="BI4" s="16" t="s">
        <v>378</v>
      </c>
      <c r="BJ4" s="16" t="s">
        <v>379</v>
      </c>
      <c r="BK4" s="15" t="s">
        <v>380</v>
      </c>
      <c r="BL4" s="15" t="s">
        <v>382</v>
      </c>
      <c r="BM4" s="15" t="s">
        <v>384</v>
      </c>
      <c r="BN4" s="15" t="s">
        <v>386</v>
      </c>
      <c r="BO4" s="15" t="s">
        <v>387</v>
      </c>
      <c r="BP4" s="15" t="s">
        <v>389</v>
      </c>
      <c r="BQ4" s="15" t="s">
        <v>390</v>
      </c>
      <c r="BR4" s="15" t="s">
        <v>392</v>
      </c>
      <c r="BS4" s="15" t="s">
        <v>393</v>
      </c>
      <c r="BT4" s="15" t="s">
        <v>394</v>
      </c>
      <c r="BU4" s="15" t="s">
        <v>395</v>
      </c>
      <c r="BV4" s="15" t="s">
        <v>397</v>
      </c>
      <c r="BW4" s="15" t="s">
        <v>398</v>
      </c>
      <c r="BX4" s="16" t="s">
        <v>400</v>
      </c>
      <c r="BY4" s="16" t="s">
        <v>402</v>
      </c>
      <c r="BZ4" s="16" t="s">
        <v>404</v>
      </c>
      <c r="CA4" s="16" t="s">
        <v>406</v>
      </c>
      <c r="CB4" s="16" t="s">
        <v>409</v>
      </c>
    </row>
    <row r="5" customFormat="false" ht="15" hidden="false" customHeight="false" outlineLevel="0" collapsed="false">
      <c r="A5" s="10" t="str">
        <f aca="false">IF(D5="","","DRN-"&amp;IFERROR(VLOOKUP(D5,Lists!$A$4:$B$27,2,0),"??")&amp;"-"&amp;TEXT(G5,"0000")&amp;"x"&amp;TEXT(H5,"0000")&amp;IF(N(I5)&gt;1,"-"&amp;I5&amp;"C","")&amp;"-"&amp;IFERROR(VLOOKUP(M5,Lists!$J$4:$K$19,2,0),"??")&amp;"-"&amp;AI5)</f>
        <v>DRN-PUD-0600x0600-S12-A</v>
      </c>
      <c r="B5" s="10" t="str">
        <f aca="false">IF(D5="","",D5&amp;" "&amp;G5&amp;"W x "&amp;H5&amp;"D"&amp;IF(N(I5)&gt;1," ("&amp;I5&amp;" cells)","")&amp;", "&amp;E5&amp;", "&amp;M5&amp;", "&amp;F5)</f>
        <v>Precast U-Drain 600W x 600D, Roadside drain, Drain surcharge 12 kPa (SDRE), Open</v>
      </c>
      <c r="C5" s="18" t="s">
        <v>599</v>
      </c>
      <c r="D5" s="18" t="s">
        <v>66</v>
      </c>
      <c r="E5" s="18" t="s">
        <v>600</v>
      </c>
      <c r="F5" s="18" t="s">
        <v>601</v>
      </c>
      <c r="G5" s="31" t="n">
        <v>600</v>
      </c>
      <c r="H5" s="31" t="n">
        <v>600</v>
      </c>
      <c r="I5" s="31" t="n">
        <v>1</v>
      </c>
      <c r="J5" s="31" t="n">
        <v>100</v>
      </c>
      <c r="K5" s="31" t="n">
        <v>100</v>
      </c>
      <c r="L5" s="31"/>
      <c r="M5" s="18" t="s">
        <v>82</v>
      </c>
      <c r="N5" s="18" t="s">
        <v>602</v>
      </c>
      <c r="O5" s="18" t="s">
        <v>603</v>
      </c>
      <c r="P5" s="31" t="n">
        <v>40</v>
      </c>
      <c r="Q5" s="18" t="s">
        <v>604</v>
      </c>
      <c r="R5" s="18" t="s">
        <v>604</v>
      </c>
      <c r="S5" s="18" t="s">
        <v>604</v>
      </c>
      <c r="T5" s="18" t="s">
        <v>605</v>
      </c>
      <c r="U5" s="18" t="s">
        <v>605</v>
      </c>
      <c r="V5" s="18"/>
      <c r="W5" s="18"/>
      <c r="X5" s="18" t="n">
        <v>1200</v>
      </c>
      <c r="Y5" s="18"/>
      <c r="Z5" s="18" t="s">
        <v>606</v>
      </c>
      <c r="AA5" s="18" t="s">
        <v>607</v>
      </c>
      <c r="AB5" s="32"/>
      <c r="AC5" s="18" t="s">
        <v>608</v>
      </c>
      <c r="AD5" s="31" t="n">
        <v>100</v>
      </c>
      <c r="AE5" s="18" t="s">
        <v>609</v>
      </c>
      <c r="AF5" s="32" t="n">
        <v>0.3</v>
      </c>
      <c r="AG5" s="18" t="s">
        <v>610</v>
      </c>
      <c r="AH5" s="18" t="s">
        <v>611</v>
      </c>
      <c r="AI5" s="18" t="s">
        <v>612</v>
      </c>
      <c r="AJ5" s="18" t="s">
        <v>254</v>
      </c>
      <c r="AK5" s="18" t="s">
        <v>613</v>
      </c>
      <c r="AL5" s="18" t="n">
        <v>20</v>
      </c>
      <c r="AM5" s="18" t="s">
        <v>84</v>
      </c>
      <c r="AN5" s="10" t="str">
        <f aca="false">IF(A5="","",SG_Criteria!$B$6&amp;SG_Criteria!$B$7&amp;"\"&amp;A5&amp;"\")</f>
        <v>C:\Users\yourname\YourCompany\Design Library - Documents\01_Drainage\DRN-PUD-0600x0600-S12-A\</v>
      </c>
      <c r="AO5" s="10" t="str">
        <f aca="false">IF(A5="","",A5&amp;"_CAD.dwg")</f>
        <v>DRN-PUD-0600x0600-S12-A_CAD.dwg</v>
      </c>
      <c r="AP5" s="10" t="str">
        <f aca="false">IF(A5="","",A5&amp;"_DWG.pdf")</f>
        <v>DRN-PUD-0600x0600-S12-A_DWG.pdf</v>
      </c>
      <c r="AQ5" s="10" t="str">
        <f aca="false">IF(A5="","",IF(AM5="Y",A5&amp;"_STAAD.std","n/a"))</f>
        <v>n/a</v>
      </c>
      <c r="AR5" s="10" t="str">
        <f aca="false">IF(A5="","",A5&amp;"_CALC.xlsx")</f>
        <v>DRN-PUD-0600x0600-S12-A_CALC.xlsx</v>
      </c>
      <c r="AS5" s="10" t="str">
        <f aca="false">IF(A5="","",A5&amp;"_CALC.pdf")</f>
        <v>DRN-PUD-0600x0600-S12-A_CALC.pdf</v>
      </c>
      <c r="AT5" s="18" t="s">
        <v>84</v>
      </c>
      <c r="AU5" s="18" t="s">
        <v>313</v>
      </c>
      <c r="AV5" s="32" t="n">
        <v>0.18</v>
      </c>
      <c r="AW5" s="32" t="n">
        <v>14</v>
      </c>
      <c r="AX5" s="32" t="n">
        <v>0</v>
      </c>
      <c r="AY5" s="32" t="n">
        <v>0</v>
      </c>
      <c r="AZ5" s="32" t="n">
        <v>1.3</v>
      </c>
      <c r="BA5" s="12" t="str">
        <f aca="false">IF(A5="","",IF(COUNTIF(Rebar_Schedule!$A$5:$A$2004,A5)=0,"",ROUND(SUMIF(Rebar_Schedule!$A$5:$A$2004,A5,Rebar_Schedule!$K$5:$K$2004),1)))</f>
        <v/>
      </c>
      <c r="BB5" s="33" t="str">
        <f aca="false">IF(A5="","",IF(BA5="","No rebar schedule yet",IF(ABS(BA5-N(AW5))/MAX(N(AW5),1)&gt;SG_Criteria!$B$55,"NOTE: register rebar differs from schedule by "&amp;TEXT(ABS(BA5-N(AW5))/MAX(N(AW5),1),"0%"),"OK")))</f>
        <v>No rebar schedule yet</v>
      </c>
      <c r="BC5" s="34" t="n">
        <f aca="false">IF(OR(D5="",G5="",H5="",D5="Sump",D5="Drop Inlet Chamber",D5="Silt Trap",D5="Pipe Culvert",D5="Subsoil Drain"),"",ROUND(MAX(1,N(I5))*(1/SG_Criteria!$B$26)*((G5/1000)*(H5/1000*(1-SG_Criteria!$B$25)))*(((G5/1000)*(H5/1000*(1-SG_Criteria!$B$25)))/((G5/1000)+2*(H5/1000*(1-SG_Criteria!$B$25))))^(2/3)*(1/Design_Selector!$B$11)^0.5,3))</f>
        <v>0.3</v>
      </c>
      <c r="BD5" s="11" t="n">
        <f aca="false">IF(BC5="","",ROUND(BC5/(MAX(1,N(I5))*G5/1000*(H5/1000*(1-SG_Criteria!$B$25))),2))</f>
        <v>0.98</v>
      </c>
      <c r="BE5" s="33" t="str">
        <f aca="false">IF(D5="","",IF(LEN(IF(AND(OR(E5="Roadside drain",E5="Entrance culvert"),OR(G5&lt;SG_Criteria!$B$15,H5&lt;SG_Criteria!$B$16)),"FAIL: below PUB min "&amp;SG_Criteria!$B$15&amp;"x"&amp;SG_Criteria!$B$16&amp;" for roadside drain. ","")&amp;IF(AND(E5="Common drain",G5&lt;SG_Criteria!$B$17),"FAIL: common drain W &lt; "&amp;SG_Criteria!$B$17&amp;" mm. ","")&amp;IF(AND(O5&lt;&gt;"",IFERROR(VALUE(MID(O5,2,2)),0)&lt;SG_Criteria!$B$19),"FAIL: grade below C"&amp;SG_Criteria!$B$19&amp;". ","")&amp;IF(AND(P5&lt;&gt;"",P5&lt;SG_Criteria!$B$20),"FAIL: cover &lt; "&amp;SG_Criteria!$B$20&amp;" mm. ","")&amp;IF(AND(F5="Open",H5&gt;SG_Criteria!$B$18),"NOTE: safety railing required (D &gt; "&amp;SG_Criteria!$B$18&amp;" mm). ","")&amp;IF(AND(E5="Entrance culvert",H5&lt;600),"NOTE: check hinged grating rule for culverts &lt; 600 deep (PUB Add. 3). ",""))=0,"OK",IF(AND(OR(E5="Roadside drain",E5="Entrance culvert"),OR(G5&lt;SG_Criteria!$B$15,H5&lt;SG_Criteria!$B$16)),"FAIL: below PUB min "&amp;SG_Criteria!$B$15&amp;"x"&amp;SG_Criteria!$B$16&amp;" for roadside drain. ","")&amp;IF(AND(E5="Common drain",G5&lt;SG_Criteria!$B$17),"FAIL: common drain W &lt; "&amp;SG_Criteria!$B$17&amp;" mm. ","")&amp;IF(AND(O5&lt;&gt;"",IFERROR(VALUE(MID(O5,2,2)),0)&lt;SG_Criteria!$B$19),"FAIL: grade below C"&amp;SG_Criteria!$B$19&amp;". ","")&amp;IF(AND(P5&lt;&gt;"",P5&lt;SG_Criteria!$B$20),"FAIL: cover &lt; "&amp;SG_Criteria!$B$20&amp;" mm. ","")&amp;IF(AND(F5="Open",H5&gt;SG_Criteria!$B$18),"NOTE: safety railing required (D &gt; "&amp;SG_Criteria!$B$18&amp;" mm). ","")&amp;IF(AND(E5="Entrance culvert",H5&lt;600),"NOTE: check hinged grating rule for culverts &lt; 600 deep (PUB Add. 3). ","")))</f>
        <v>OK</v>
      </c>
      <c r="BF5" s="18" t="s">
        <v>614</v>
      </c>
      <c r="BG5" s="18"/>
      <c r="BH5" s="18" t="s">
        <v>574</v>
      </c>
      <c r="BI5" s="10" t="str">
        <f aca="false">IF(BH5="","",IFERROR(VLOOKUP(BH5,Projects!$A$5:$D$504,2,0),"Ref not in Projects"))</f>
        <v>EXAMPLE Road upgrading at Jalan Contoh</v>
      </c>
      <c r="BJ5" s="10" t="str">
        <f aca="false">IF(BH5="","",IFERROR(VLOOKUP(BH5,Projects!$A$5:$D$504,4,0),"Ref not in Projects"))</f>
        <v>LTA</v>
      </c>
      <c r="BK5" s="18" t="s">
        <v>615</v>
      </c>
      <c r="BL5" s="18" t="s">
        <v>616</v>
      </c>
      <c r="BM5" s="18" t="s">
        <v>617</v>
      </c>
      <c r="BN5" s="35" t="n">
        <v>46309</v>
      </c>
      <c r="BO5" s="18" t="s">
        <v>617</v>
      </c>
      <c r="BP5" s="35" t="n">
        <v>46309</v>
      </c>
      <c r="BQ5" s="18" t="s">
        <v>618</v>
      </c>
      <c r="BR5" s="35"/>
      <c r="BS5" s="18" t="s">
        <v>617</v>
      </c>
      <c r="BT5" s="18" t="s">
        <v>617</v>
      </c>
      <c r="BU5" s="18" t="s">
        <v>617</v>
      </c>
      <c r="BV5" s="35" t="n">
        <v>46309</v>
      </c>
      <c r="BW5" s="35" t="n">
        <v>46309</v>
      </c>
      <c r="BX5" s="36" t="n">
        <f aca="false">IF(BW5="","",EDATE(BW5,SG_Criteria!$B$54*12))</f>
        <v>47405</v>
      </c>
      <c r="BY5" s="33" t="str">
        <f aca="true">IF(A5="","",IF(BW5="","NOTE: not reviewed yet",IF(TODAY()&gt;BX5,"NOTE: review overdue","OK")))</f>
        <v>OK</v>
      </c>
      <c r="BZ5" s="37" t="n">
        <f aca="false">IF(A5="","",ROUND((IF(LEN(D5)&gt;0,1,0)+IF(LEN(E5)&gt;0,1,0)+IF(LEN(F5)&gt;0,1,0)+IF(LEN(G5)&gt;0,1,0)+IF(LEN(H5)&gt;0,1,0)+IF(LEN(J5)&gt;0,1,0)+IF(LEN(K5)&gt;0,1,0)+IF(LEN(M5)&gt;0,1,0)+IF(LEN(O5)&gt;0,1,0)+IF(LEN(P5)&gt;0,1,0)+IF(LEN(Q5)&gt;0,1,0)+IF(LEN(S5)&gt;0,1,0)+IF(LEN(AC5)&gt;0,1,0)+IF(LEN(AV5)&gt;0,1,0)+IF(LEN(AW5)&gt;0,1,0)+IF(LEN(AG5)&gt;0,1,0)+IF(LEN(AI5)&gt;0,1,0)+IF(LEN(AJ5)&gt;0,1,0)+IF(LEN(AK5)&gt;0,1,0)+IF(LEN(AL5)&gt;0,1,0)+IF(LEN(AU5)&gt;0,1,0)+IF(LEN(BH5)&gt;0,1,0)+IF(LEN(BU5)&gt;0,1,0))/23,2))</f>
        <v>1</v>
      </c>
      <c r="CA5" s="10" t="str">
        <f aca="false">IF(D5="","",IF(AND(AJ5="Approved",ISERROR(SEARCH("FAIL",BE5))),"Y","N"))</f>
        <v>Y</v>
      </c>
      <c r="CB5" s="10" t="str">
        <f aca="false">IF(D5="","",D5&amp;"|"&amp;G5&amp;"|"&amp;H5&amp;"|"&amp;M5&amp;"|"&amp;CA5)</f>
        <v>Precast U-Drain|600|600|Drain surcharge 12 kPa (SDRE)|Y</v>
      </c>
    </row>
    <row r="6" customFormat="false" ht="15" hidden="false" customHeight="false" outlineLevel="0" collapsed="false">
      <c r="A6" s="10" t="str">
        <f aca="false">IF(D6="","","DRN-"&amp;IFERROR(VLOOKUP(D6,Lists!$A$4:$B$27,2,0),"??")&amp;"-"&amp;TEXT(G6,"0000")&amp;"x"&amp;TEXT(H6,"0000")&amp;IF(N(I6)&gt;1,"-"&amp;I6&amp;"C","")&amp;"-"&amp;IFERROR(VLOOKUP(M6,Lists!$J$4:$K$19,2,0),"??")&amp;"-"&amp;AI6)</f>
        <v>DRN-PUD-0900x0900-S12-A</v>
      </c>
      <c r="B6" s="10" t="str">
        <f aca="false">IF(D6="","",D6&amp;" "&amp;G6&amp;"W x "&amp;H6&amp;"D"&amp;IF(N(I6)&gt;1," ("&amp;I6&amp;" cells)","")&amp;", "&amp;E6&amp;", "&amp;M6&amp;", "&amp;F6)</f>
        <v>Precast U-Drain 900W x 900D, Roadside drain, Drain surcharge 12 kPa (SDRE), Open</v>
      </c>
      <c r="C6" s="18" t="s">
        <v>599</v>
      </c>
      <c r="D6" s="18" t="s">
        <v>66</v>
      </c>
      <c r="E6" s="18" t="s">
        <v>600</v>
      </c>
      <c r="F6" s="18" t="s">
        <v>601</v>
      </c>
      <c r="G6" s="31" t="n">
        <v>900</v>
      </c>
      <c r="H6" s="31" t="n">
        <v>900</v>
      </c>
      <c r="I6" s="31" t="n">
        <v>1</v>
      </c>
      <c r="J6" s="31" t="n">
        <v>125</v>
      </c>
      <c r="K6" s="31" t="n">
        <v>125</v>
      </c>
      <c r="L6" s="31"/>
      <c r="M6" s="18" t="s">
        <v>82</v>
      </c>
      <c r="N6" s="18" t="s">
        <v>602</v>
      </c>
      <c r="O6" s="18" t="s">
        <v>603</v>
      </c>
      <c r="P6" s="31" t="n">
        <v>40</v>
      </c>
      <c r="Q6" s="18" t="s">
        <v>619</v>
      </c>
      <c r="R6" s="18" t="s">
        <v>619</v>
      </c>
      <c r="S6" s="18" t="s">
        <v>619</v>
      </c>
      <c r="T6" s="18" t="s">
        <v>605</v>
      </c>
      <c r="U6" s="18" t="s">
        <v>605</v>
      </c>
      <c r="V6" s="18"/>
      <c r="W6" s="18"/>
      <c r="X6" s="18" t="n">
        <v>1200</v>
      </c>
      <c r="Y6" s="18"/>
      <c r="Z6" s="18" t="s">
        <v>606</v>
      </c>
      <c r="AA6" s="18" t="s">
        <v>607</v>
      </c>
      <c r="AB6" s="32"/>
      <c r="AC6" s="18" t="s">
        <v>608</v>
      </c>
      <c r="AD6" s="31" t="n">
        <v>100</v>
      </c>
      <c r="AE6" s="18" t="s">
        <v>609</v>
      </c>
      <c r="AF6" s="32" t="n">
        <v>0.3</v>
      </c>
      <c r="AG6" s="18" t="s">
        <v>610</v>
      </c>
      <c r="AH6" s="18" t="s">
        <v>611</v>
      </c>
      <c r="AI6" s="18" t="s">
        <v>612</v>
      </c>
      <c r="AJ6" s="18" t="s">
        <v>254</v>
      </c>
      <c r="AK6" s="18" t="s">
        <v>620</v>
      </c>
      <c r="AL6" s="18" t="n">
        <v>20</v>
      </c>
      <c r="AM6" s="18" t="s">
        <v>84</v>
      </c>
      <c r="AN6" s="10" t="str">
        <f aca="false">IF(A6="","",SG_Criteria!$B$6&amp;SG_Criteria!$B$7&amp;"\"&amp;A6&amp;"\")</f>
        <v>C:\Users\yourname\YourCompany\Design Library - Documents\01_Drainage\DRN-PUD-0900x0900-S12-A\</v>
      </c>
      <c r="AO6" s="10" t="str">
        <f aca="false">IF(A6="","",A6&amp;"_CAD.dwg")</f>
        <v>DRN-PUD-0900x0900-S12-A_CAD.dwg</v>
      </c>
      <c r="AP6" s="10" t="str">
        <f aca="false">IF(A6="","",A6&amp;"_DWG.pdf")</f>
        <v>DRN-PUD-0900x0900-S12-A_DWG.pdf</v>
      </c>
      <c r="AQ6" s="10" t="str">
        <f aca="false">IF(A6="","",IF(AM6="Y",A6&amp;"_STAAD.std","n/a"))</f>
        <v>n/a</v>
      </c>
      <c r="AR6" s="10" t="str">
        <f aca="false">IF(A6="","",A6&amp;"_CALC.xlsx")</f>
        <v>DRN-PUD-0900x0900-S12-A_CALC.xlsx</v>
      </c>
      <c r="AS6" s="10" t="str">
        <f aca="false">IF(A6="","",A6&amp;"_CALC.pdf")</f>
        <v>DRN-PUD-0900x0900-S12-A_CALC.pdf</v>
      </c>
      <c r="AT6" s="18" t="s">
        <v>84</v>
      </c>
      <c r="AU6" s="18" t="s">
        <v>313</v>
      </c>
      <c r="AV6" s="32" t="n">
        <v>0.34</v>
      </c>
      <c r="AW6" s="32" t="n">
        <v>24</v>
      </c>
      <c r="AX6" s="32" t="n">
        <v>0</v>
      </c>
      <c r="AY6" s="32" t="n">
        <v>0</v>
      </c>
      <c r="AZ6" s="32" t="n">
        <v>2.2</v>
      </c>
      <c r="BA6" s="12" t="str">
        <f aca="false">IF(A6="","",IF(COUNTIF(Rebar_Schedule!$A$5:$A$2004,A6)=0,"",ROUND(SUMIF(Rebar_Schedule!$A$5:$A$2004,A6,Rebar_Schedule!$K$5:$K$2004),1)))</f>
        <v/>
      </c>
      <c r="BB6" s="33" t="str">
        <f aca="false">IF(A6="","",IF(BA6="","No rebar schedule yet",IF(ABS(BA6-N(AW6))/MAX(N(AW6),1)&gt;SG_Criteria!$B$55,"NOTE: register rebar differs from schedule by "&amp;TEXT(ABS(BA6-N(AW6))/MAX(N(AW6),1),"0%"),"OK")))</f>
        <v>No rebar schedule yet</v>
      </c>
      <c r="BC6" s="34" t="n">
        <f aca="false">IF(OR(D6="",G6="",H6="",D6="Sump",D6="Drop Inlet Chamber",D6="Silt Trap",D6="Pipe Culvert",D6="Subsoil Drain"),"",ROUND(MAX(1,N(I6))*(1/SG_Criteria!$B$26)*((G6/1000)*(H6/1000*(1-SG_Criteria!$B$25)))*(((G6/1000)*(H6/1000*(1-SG_Criteria!$B$25)))/((G6/1000)+2*(H6/1000*(1-SG_Criteria!$B$25))))^(2/3)*(1/Design_Selector!$B$11)^0.5,3))</f>
        <v>0.886</v>
      </c>
      <c r="BD6" s="11" t="n">
        <f aca="false">IF(BC6="","",ROUND(BC6/(MAX(1,N(I6))*G6/1000*(H6/1000*(1-SG_Criteria!$B$25))),2))</f>
        <v>1.29</v>
      </c>
      <c r="BE6" s="33" t="str">
        <f aca="false">IF(D6="","",IF(LEN(IF(AND(OR(E6="Roadside drain",E6="Entrance culvert"),OR(G6&lt;SG_Criteria!$B$15,H6&lt;SG_Criteria!$B$16)),"FAIL: below PUB min "&amp;SG_Criteria!$B$15&amp;"x"&amp;SG_Criteria!$B$16&amp;" for roadside drain. ","")&amp;IF(AND(E6="Common drain",G6&lt;SG_Criteria!$B$17),"FAIL: common drain W &lt; "&amp;SG_Criteria!$B$17&amp;" mm. ","")&amp;IF(AND(O6&lt;&gt;"",IFERROR(VALUE(MID(O6,2,2)),0)&lt;SG_Criteria!$B$19),"FAIL: grade below C"&amp;SG_Criteria!$B$19&amp;". ","")&amp;IF(AND(P6&lt;&gt;"",P6&lt;SG_Criteria!$B$20),"FAIL: cover &lt; "&amp;SG_Criteria!$B$20&amp;" mm. ","")&amp;IF(AND(F6="Open",H6&gt;SG_Criteria!$B$18),"NOTE: safety railing required (D &gt; "&amp;SG_Criteria!$B$18&amp;" mm). ","")&amp;IF(AND(E6="Entrance culvert",H6&lt;600),"NOTE: check hinged grating rule for culverts &lt; 600 deep (PUB Add. 3). ",""))=0,"OK",IF(AND(OR(E6="Roadside drain",E6="Entrance culvert"),OR(G6&lt;SG_Criteria!$B$15,H6&lt;SG_Criteria!$B$16)),"FAIL: below PUB min "&amp;SG_Criteria!$B$15&amp;"x"&amp;SG_Criteria!$B$16&amp;" for roadside drain. ","")&amp;IF(AND(E6="Common drain",G6&lt;SG_Criteria!$B$17),"FAIL: common drain W &lt; "&amp;SG_Criteria!$B$17&amp;" mm. ","")&amp;IF(AND(O6&lt;&gt;"",IFERROR(VALUE(MID(O6,2,2)),0)&lt;SG_Criteria!$B$19),"FAIL: grade below C"&amp;SG_Criteria!$B$19&amp;". ","")&amp;IF(AND(P6&lt;&gt;"",P6&lt;SG_Criteria!$B$20),"FAIL: cover &lt; "&amp;SG_Criteria!$B$20&amp;" mm. ","")&amp;IF(AND(F6="Open",H6&gt;SG_Criteria!$B$18),"NOTE: safety railing required (D &gt; "&amp;SG_Criteria!$B$18&amp;" mm). ","")&amp;IF(AND(E6="Entrance culvert",H6&lt;600),"NOTE: check hinged grating rule for culverts &lt; 600 deep (PUB Add. 3). ","")))</f>
        <v>OK</v>
      </c>
      <c r="BF6" s="18" t="s">
        <v>621</v>
      </c>
      <c r="BG6" s="18"/>
      <c r="BH6" s="18" t="s">
        <v>574</v>
      </c>
      <c r="BI6" s="10" t="str">
        <f aca="false">IF(BH6="","",IFERROR(VLOOKUP(BH6,Projects!$A$5:$D$504,2,0),"Ref not in Projects"))</f>
        <v>EXAMPLE Road upgrading at Jalan Contoh</v>
      </c>
      <c r="BJ6" s="10" t="str">
        <f aca="false">IF(BH6="","",IFERROR(VLOOKUP(BH6,Projects!$A$5:$D$504,4,0),"Ref not in Projects"))</f>
        <v>LTA</v>
      </c>
      <c r="BK6" s="18" t="s">
        <v>622</v>
      </c>
      <c r="BL6" s="18" t="s">
        <v>616</v>
      </c>
      <c r="BM6" s="18" t="s">
        <v>617</v>
      </c>
      <c r="BN6" s="35" t="n">
        <v>46309</v>
      </c>
      <c r="BO6" s="18" t="s">
        <v>617</v>
      </c>
      <c r="BP6" s="35" t="n">
        <v>46309</v>
      </c>
      <c r="BQ6" s="18" t="s">
        <v>618</v>
      </c>
      <c r="BR6" s="35"/>
      <c r="BS6" s="18" t="s">
        <v>617</v>
      </c>
      <c r="BT6" s="18" t="s">
        <v>617</v>
      </c>
      <c r="BU6" s="18" t="s">
        <v>617</v>
      </c>
      <c r="BV6" s="35" t="n">
        <v>46309</v>
      </c>
      <c r="BW6" s="35" t="n">
        <v>46309</v>
      </c>
      <c r="BX6" s="36" t="n">
        <f aca="false">IF(BW6="","",EDATE(BW6,SG_Criteria!$B$54*12))</f>
        <v>47405</v>
      </c>
      <c r="BY6" s="33" t="str">
        <f aca="true">IF(A6="","",IF(BW6="","NOTE: not reviewed yet",IF(TODAY()&gt;BX6,"NOTE: review overdue","OK")))</f>
        <v>OK</v>
      </c>
      <c r="BZ6" s="37" t="n">
        <f aca="false">IF(A6="","",ROUND((IF(LEN(D6)&gt;0,1,0)+IF(LEN(E6)&gt;0,1,0)+IF(LEN(F6)&gt;0,1,0)+IF(LEN(G6)&gt;0,1,0)+IF(LEN(H6)&gt;0,1,0)+IF(LEN(J6)&gt;0,1,0)+IF(LEN(K6)&gt;0,1,0)+IF(LEN(M6)&gt;0,1,0)+IF(LEN(O6)&gt;0,1,0)+IF(LEN(P6)&gt;0,1,0)+IF(LEN(Q6)&gt;0,1,0)+IF(LEN(S6)&gt;0,1,0)+IF(LEN(AC6)&gt;0,1,0)+IF(LEN(AV6)&gt;0,1,0)+IF(LEN(AW6)&gt;0,1,0)+IF(LEN(AG6)&gt;0,1,0)+IF(LEN(AI6)&gt;0,1,0)+IF(LEN(AJ6)&gt;0,1,0)+IF(LEN(AK6)&gt;0,1,0)+IF(LEN(AL6)&gt;0,1,0)+IF(LEN(AU6)&gt;0,1,0)+IF(LEN(BH6)&gt;0,1,0)+IF(LEN(BU6)&gt;0,1,0))/23,2))</f>
        <v>1</v>
      </c>
      <c r="CA6" s="10" t="str">
        <f aca="false">IF(D6="","",IF(AND(AJ6="Approved",ISERROR(SEARCH("FAIL",BE6))),"Y","N"))</f>
        <v>Y</v>
      </c>
      <c r="CB6" s="10" t="str">
        <f aca="false">IF(D6="","",D6&amp;"|"&amp;G6&amp;"|"&amp;H6&amp;"|"&amp;M6&amp;"|"&amp;CA6)</f>
        <v>Precast U-Drain|900|900|Drain surcharge 12 kPa (SDRE)|Y</v>
      </c>
    </row>
    <row r="7" customFormat="false" ht="15" hidden="false" customHeight="false" outlineLevel="0" collapsed="false">
      <c r="A7" s="10" t="str">
        <f aca="false">IF(D7="","","DRN-"&amp;IFERROR(VLOOKUP(D7,Lists!$A$4:$B$27,2,0),"??")&amp;"-"&amp;TEXT(G7,"0000")&amp;"x"&amp;TEXT(H7,"0000")&amp;IF(N(I7)&gt;1,"-"&amp;I7&amp;"C","")&amp;"-"&amp;IFERROR(VLOOKUP(M7,Lists!$J$4:$K$19,2,0),"??")&amp;"-"&amp;AI7)</f>
        <v>DRN-SUD-0600x0750-FWY-A</v>
      </c>
      <c r="B7" s="10" t="str">
        <f aca="false">IF(D7="","",D7&amp;" "&amp;G7&amp;"W x "&amp;H7&amp;"D"&amp;IF(N(I7)&gt;1," ("&amp;I7&amp;" cells)","")&amp;", "&amp;E7&amp;", "&amp;M7&amp;", "&amp;F7)</f>
        <v>Slabbed-over U-Drain 600W x 750D, Roadside drain, Footway 5 kPa (SDRE), Covered - RC slab</v>
      </c>
      <c r="C7" s="18" t="s">
        <v>599</v>
      </c>
      <c r="D7" s="18" t="s">
        <v>181</v>
      </c>
      <c r="E7" s="18" t="s">
        <v>600</v>
      </c>
      <c r="F7" s="18" t="s">
        <v>623</v>
      </c>
      <c r="G7" s="31" t="n">
        <v>600</v>
      </c>
      <c r="H7" s="31" t="n">
        <v>750</v>
      </c>
      <c r="I7" s="31" t="n">
        <v>1</v>
      </c>
      <c r="J7" s="31" t="n">
        <v>125</v>
      </c>
      <c r="K7" s="31" t="n">
        <v>125</v>
      </c>
      <c r="L7" s="31" t="n">
        <v>125</v>
      </c>
      <c r="M7" s="18" t="s">
        <v>624</v>
      </c>
      <c r="N7" s="18" t="s">
        <v>625</v>
      </c>
      <c r="O7" s="18" t="s">
        <v>603</v>
      </c>
      <c r="P7" s="31" t="n">
        <v>40</v>
      </c>
      <c r="Q7" s="18" t="s">
        <v>626</v>
      </c>
      <c r="R7" s="18" t="s">
        <v>626</v>
      </c>
      <c r="S7" s="18" t="s">
        <v>626</v>
      </c>
      <c r="T7" s="18" t="s">
        <v>626</v>
      </c>
      <c r="U7" s="18" t="s">
        <v>627</v>
      </c>
      <c r="V7" s="18"/>
      <c r="W7" s="18"/>
      <c r="X7" s="18"/>
      <c r="Y7" s="18" t="n">
        <v>10</v>
      </c>
      <c r="Z7" s="18" t="s">
        <v>606</v>
      </c>
      <c r="AA7" s="18" t="s">
        <v>607</v>
      </c>
      <c r="AB7" s="32"/>
      <c r="AC7" s="18" t="s">
        <v>608</v>
      </c>
      <c r="AD7" s="31" t="n">
        <v>100</v>
      </c>
      <c r="AE7" s="18" t="s">
        <v>609</v>
      </c>
      <c r="AF7" s="32" t="n">
        <v>0.3</v>
      </c>
      <c r="AG7" s="18" t="s">
        <v>610</v>
      </c>
      <c r="AH7" s="18" t="s">
        <v>611</v>
      </c>
      <c r="AI7" s="18" t="s">
        <v>612</v>
      </c>
      <c r="AJ7" s="18" t="s">
        <v>254</v>
      </c>
      <c r="AK7" s="18" t="s">
        <v>628</v>
      </c>
      <c r="AL7" s="18" t="n">
        <v>20</v>
      </c>
      <c r="AM7" s="18" t="s">
        <v>84</v>
      </c>
      <c r="AN7" s="10" t="str">
        <f aca="false">IF(A7="","",SG_Criteria!$B$6&amp;SG_Criteria!$B$7&amp;"\"&amp;A7&amp;"\")</f>
        <v>C:\Users\yourname\YourCompany\Design Library - Documents\01_Drainage\DRN-SUD-0600x0750-FWY-A\</v>
      </c>
      <c r="AO7" s="10" t="str">
        <f aca="false">IF(A7="","",A7&amp;"_CAD.dwg")</f>
        <v>DRN-SUD-0600x0750-FWY-A_CAD.dwg</v>
      </c>
      <c r="AP7" s="10" t="str">
        <f aca="false">IF(A7="","",A7&amp;"_DWG.pdf")</f>
        <v>DRN-SUD-0600x0750-FWY-A_DWG.pdf</v>
      </c>
      <c r="AQ7" s="10" t="str">
        <f aca="false">IF(A7="","",IF(AM7="Y",A7&amp;"_STAAD.std","n/a"))</f>
        <v>n/a</v>
      </c>
      <c r="AR7" s="10" t="str">
        <f aca="false">IF(A7="","",A7&amp;"_CALC.xlsx")</f>
        <v>DRN-SUD-0600x0750-FWY-A_CALC.xlsx</v>
      </c>
      <c r="AS7" s="10" t="str">
        <f aca="false">IF(A7="","",A7&amp;"_CALC.pdf")</f>
        <v>DRN-SUD-0600x0750-FWY-A_CALC.pdf</v>
      </c>
      <c r="AT7" s="18" t="s">
        <v>84</v>
      </c>
      <c r="AU7" s="18" t="s">
        <v>313</v>
      </c>
      <c r="AV7" s="32" t="n">
        <v>0.43</v>
      </c>
      <c r="AW7" s="32" t="n">
        <v>38</v>
      </c>
      <c r="AX7" s="32" t="n">
        <v>0</v>
      </c>
      <c r="AY7" s="32" t="n">
        <v>2.6</v>
      </c>
      <c r="AZ7" s="32" t="n">
        <v>1.8</v>
      </c>
      <c r="BA7" s="12" t="str">
        <f aca="false">IF(A7="","",IF(COUNTIF(Rebar_Schedule!$A$5:$A$2004,A7)=0,"",ROUND(SUMIF(Rebar_Schedule!$A$5:$A$2004,A7,Rebar_Schedule!$K$5:$K$2004),1)))</f>
        <v/>
      </c>
      <c r="BB7" s="33" t="str">
        <f aca="false">IF(A7="","",IF(BA7="","No rebar schedule yet",IF(ABS(BA7-N(AW7))/MAX(N(AW7),1)&gt;SG_Criteria!$B$55,"NOTE: register rebar differs from schedule by "&amp;TEXT(ABS(BA7-N(AW7))/MAX(N(AW7),1),"0%"),"OK")))</f>
        <v>No rebar schedule yet</v>
      </c>
      <c r="BC7" s="34" t="n">
        <f aca="false">IF(OR(D7="",G7="",H7="",D7="Sump",D7="Drop Inlet Chamber",D7="Silt Trap",D7="Pipe Culvert",D7="Subsoil Drain"),"",ROUND(MAX(1,N(I7))*(1/SG_Criteria!$B$26)*((G7/1000)*(H7/1000*(1-SG_Criteria!$B$25)))*(((G7/1000)*(H7/1000*(1-SG_Criteria!$B$25)))/((G7/1000)+2*(H7/1000*(1-SG_Criteria!$B$25))))^(2/3)*(1/Design_Selector!$B$11)^0.5,3))</f>
        <v>0.395</v>
      </c>
      <c r="BD7" s="11" t="n">
        <f aca="false">IF(BC7="","",ROUND(BC7/(MAX(1,N(I7))*G7/1000*(H7/1000*(1-SG_Criteria!$B$25))),2))</f>
        <v>1.03</v>
      </c>
      <c r="BE7" s="33" t="str">
        <f aca="false">IF(D7="","",IF(LEN(IF(AND(OR(E7="Roadside drain",E7="Entrance culvert"),OR(G7&lt;SG_Criteria!$B$15,H7&lt;SG_Criteria!$B$16)),"FAIL: below PUB min "&amp;SG_Criteria!$B$15&amp;"x"&amp;SG_Criteria!$B$16&amp;" for roadside drain. ","")&amp;IF(AND(E7="Common drain",G7&lt;SG_Criteria!$B$17),"FAIL: common drain W &lt; "&amp;SG_Criteria!$B$17&amp;" mm. ","")&amp;IF(AND(O7&lt;&gt;"",IFERROR(VALUE(MID(O7,2,2)),0)&lt;SG_Criteria!$B$19),"FAIL: grade below C"&amp;SG_Criteria!$B$19&amp;". ","")&amp;IF(AND(P7&lt;&gt;"",P7&lt;SG_Criteria!$B$20),"FAIL: cover &lt; "&amp;SG_Criteria!$B$20&amp;" mm. ","")&amp;IF(AND(F7="Open",H7&gt;SG_Criteria!$B$18),"NOTE: safety railing required (D &gt; "&amp;SG_Criteria!$B$18&amp;" mm). ","")&amp;IF(AND(E7="Entrance culvert",H7&lt;600),"NOTE: check hinged grating rule for culverts &lt; 600 deep (PUB Add. 3). ",""))=0,"OK",IF(AND(OR(E7="Roadside drain",E7="Entrance culvert"),OR(G7&lt;SG_Criteria!$B$15,H7&lt;SG_Criteria!$B$16)),"FAIL: below PUB min "&amp;SG_Criteria!$B$15&amp;"x"&amp;SG_Criteria!$B$16&amp;" for roadside drain. ","")&amp;IF(AND(E7="Common drain",G7&lt;SG_Criteria!$B$17),"FAIL: common drain W &lt; "&amp;SG_Criteria!$B$17&amp;" mm. ","")&amp;IF(AND(O7&lt;&gt;"",IFERROR(VALUE(MID(O7,2,2)),0)&lt;SG_Criteria!$B$19),"FAIL: grade below C"&amp;SG_Criteria!$B$19&amp;". ","")&amp;IF(AND(P7&lt;&gt;"",P7&lt;SG_Criteria!$B$20),"FAIL: cover &lt; "&amp;SG_Criteria!$B$20&amp;" mm. ","")&amp;IF(AND(F7="Open",H7&gt;SG_Criteria!$B$18),"NOTE: safety railing required (D &gt; "&amp;SG_Criteria!$B$18&amp;" mm). ","")&amp;IF(AND(E7="Entrance culvert",H7&lt;600),"NOTE: check hinged grating rule for culverts &lt; 600 deep (PUB Add. 3). ","")))</f>
        <v>OK</v>
      </c>
      <c r="BF7" s="18" t="s">
        <v>629</v>
      </c>
      <c r="BG7" s="18"/>
      <c r="BH7" s="18" t="s">
        <v>574</v>
      </c>
      <c r="BI7" s="10" t="str">
        <f aca="false">IF(BH7="","",IFERROR(VLOOKUP(BH7,Projects!$A$5:$D$504,2,0),"Ref not in Projects"))</f>
        <v>EXAMPLE Road upgrading at Jalan Contoh</v>
      </c>
      <c r="BJ7" s="10" t="str">
        <f aca="false">IF(BH7="","",IFERROR(VLOOKUP(BH7,Projects!$A$5:$D$504,4,0),"Ref not in Projects"))</f>
        <v>LTA</v>
      </c>
      <c r="BK7" s="18" t="s">
        <v>630</v>
      </c>
      <c r="BL7" s="18" t="s">
        <v>616</v>
      </c>
      <c r="BM7" s="18" t="s">
        <v>617</v>
      </c>
      <c r="BN7" s="35" t="n">
        <v>46309</v>
      </c>
      <c r="BO7" s="18" t="s">
        <v>617</v>
      </c>
      <c r="BP7" s="35" t="n">
        <v>46309</v>
      </c>
      <c r="BQ7" s="18" t="s">
        <v>618</v>
      </c>
      <c r="BR7" s="35"/>
      <c r="BS7" s="18" t="s">
        <v>617</v>
      </c>
      <c r="BT7" s="18" t="s">
        <v>617</v>
      </c>
      <c r="BU7" s="18" t="s">
        <v>617</v>
      </c>
      <c r="BV7" s="35" t="n">
        <v>46309</v>
      </c>
      <c r="BW7" s="35" t="n">
        <v>46309</v>
      </c>
      <c r="BX7" s="36" t="n">
        <f aca="false">IF(BW7="","",EDATE(BW7,SG_Criteria!$B$54*12))</f>
        <v>47405</v>
      </c>
      <c r="BY7" s="33" t="str">
        <f aca="true">IF(A7="","",IF(BW7="","NOTE: not reviewed yet",IF(TODAY()&gt;BX7,"NOTE: review overdue","OK")))</f>
        <v>OK</v>
      </c>
      <c r="BZ7" s="37" t="n">
        <f aca="false">IF(A7="","",ROUND((IF(LEN(D7)&gt;0,1,0)+IF(LEN(E7)&gt;0,1,0)+IF(LEN(F7)&gt;0,1,0)+IF(LEN(G7)&gt;0,1,0)+IF(LEN(H7)&gt;0,1,0)+IF(LEN(J7)&gt;0,1,0)+IF(LEN(K7)&gt;0,1,0)+IF(LEN(M7)&gt;0,1,0)+IF(LEN(O7)&gt;0,1,0)+IF(LEN(P7)&gt;0,1,0)+IF(LEN(Q7)&gt;0,1,0)+IF(LEN(S7)&gt;0,1,0)+IF(LEN(AC7)&gt;0,1,0)+IF(LEN(AV7)&gt;0,1,0)+IF(LEN(AW7)&gt;0,1,0)+IF(LEN(AG7)&gt;0,1,0)+IF(LEN(AI7)&gt;0,1,0)+IF(LEN(AJ7)&gt;0,1,0)+IF(LEN(AK7)&gt;0,1,0)+IF(LEN(AL7)&gt;0,1,0)+IF(LEN(AU7)&gt;0,1,0)+IF(LEN(BH7)&gt;0,1,0)+IF(LEN(BU7)&gt;0,1,0))/23,2))</f>
        <v>1</v>
      </c>
      <c r="CA7" s="10" t="str">
        <f aca="false">IF(D7="","",IF(AND(AJ7="Approved",ISERROR(SEARCH("FAIL",BE7))),"Y","N"))</f>
        <v>Y</v>
      </c>
      <c r="CB7" s="10" t="str">
        <f aca="false">IF(D7="","",D7&amp;"|"&amp;G7&amp;"|"&amp;H7&amp;"|"&amp;M7&amp;"|"&amp;CA7)</f>
        <v>Slabbed-over U-Drain|600|750|Footway 5 kPa (SDRE)|Y</v>
      </c>
    </row>
    <row r="8" customFormat="false" ht="15" hidden="false" customHeight="false" outlineLevel="0" collapsed="false">
      <c r="A8" s="10" t="str">
        <f aca="false">IF(D8="","","DRN-"&amp;IFERROR(VLOOKUP(D8,Lists!$A$4:$B$27,2,0),"??")&amp;"-"&amp;TEXT(G8,"0000")&amp;"x"&amp;TEXT(H8,"0000")&amp;IF(N(I8)&gt;1,"-"&amp;I8&amp;"C","")&amp;"-"&amp;IFERROR(VLOOKUP(M8,Lists!$J$4:$K$19,2,0),"??")&amp;"-"&amp;AI8)</f>
        <v>DRN-OD-1200x1200-S12-A</v>
      </c>
      <c r="B8" s="10" t="str">
        <f aca="false">IF(D8="","",D8&amp;" "&amp;G8&amp;"W x "&amp;H8&amp;"D"&amp;IF(N(I8)&gt;1," ("&amp;I8&amp;" cells)","")&amp;", "&amp;E8&amp;", "&amp;M8&amp;", "&amp;F8)</f>
        <v>Cast-in-situ Open Drain 1200W x 1200D, Outlet / main drain, Drain surcharge 12 kPa (SDRE), Open</v>
      </c>
      <c r="C8" s="18" t="s">
        <v>599</v>
      </c>
      <c r="D8" s="18" t="s">
        <v>182</v>
      </c>
      <c r="E8" s="18" t="s">
        <v>631</v>
      </c>
      <c r="F8" s="18" t="s">
        <v>601</v>
      </c>
      <c r="G8" s="31" t="n">
        <v>1200</v>
      </c>
      <c r="H8" s="31" t="n">
        <v>1200</v>
      </c>
      <c r="I8" s="31" t="n">
        <v>1</v>
      </c>
      <c r="J8" s="31" t="n">
        <v>200</v>
      </c>
      <c r="K8" s="31" t="n">
        <v>200</v>
      </c>
      <c r="L8" s="31"/>
      <c r="M8" s="18" t="s">
        <v>82</v>
      </c>
      <c r="N8" s="18" t="s">
        <v>602</v>
      </c>
      <c r="O8" s="18" t="s">
        <v>603</v>
      </c>
      <c r="P8" s="31" t="n">
        <v>50</v>
      </c>
      <c r="Q8" s="18" t="s">
        <v>632</v>
      </c>
      <c r="R8" s="18" t="s">
        <v>632</v>
      </c>
      <c r="S8" s="18" t="s">
        <v>632</v>
      </c>
      <c r="T8" s="18" t="s">
        <v>605</v>
      </c>
      <c r="U8" s="18" t="s">
        <v>627</v>
      </c>
      <c r="V8" s="18"/>
      <c r="W8" s="18"/>
      <c r="X8" s="18"/>
      <c r="Y8" s="18" t="n">
        <v>10</v>
      </c>
      <c r="Z8" s="18" t="s">
        <v>606</v>
      </c>
      <c r="AA8" s="18" t="s">
        <v>607</v>
      </c>
      <c r="AB8" s="32"/>
      <c r="AC8" s="18" t="s">
        <v>608</v>
      </c>
      <c r="AD8" s="31" t="n">
        <v>100</v>
      </c>
      <c r="AE8" s="18" t="s">
        <v>609</v>
      </c>
      <c r="AF8" s="32" t="n">
        <v>0.3</v>
      </c>
      <c r="AG8" s="18" t="s">
        <v>610</v>
      </c>
      <c r="AH8" s="18" t="s">
        <v>611</v>
      </c>
      <c r="AI8" s="18" t="s">
        <v>612</v>
      </c>
      <c r="AJ8" s="18" t="s">
        <v>254</v>
      </c>
      <c r="AK8" s="18" t="s">
        <v>633</v>
      </c>
      <c r="AL8" s="18" t="n">
        <v>25</v>
      </c>
      <c r="AM8" s="18" t="s">
        <v>84</v>
      </c>
      <c r="AN8" s="10" t="str">
        <f aca="false">IF(A8="","",SG_Criteria!$B$6&amp;SG_Criteria!$B$7&amp;"\"&amp;A8&amp;"\")</f>
        <v>C:\Users\yourname\YourCompany\Design Library - Documents\01_Drainage\DRN-OD-1200x1200-S12-A\</v>
      </c>
      <c r="AO8" s="10" t="str">
        <f aca="false">IF(A8="","",A8&amp;"_CAD.dwg")</f>
        <v>DRN-OD-1200x1200-S12-A_CAD.dwg</v>
      </c>
      <c r="AP8" s="10" t="str">
        <f aca="false">IF(A8="","",A8&amp;"_DWG.pdf")</f>
        <v>DRN-OD-1200x1200-S12-A_DWG.pdf</v>
      </c>
      <c r="AQ8" s="10" t="str">
        <f aca="false">IF(A8="","",IF(AM8="Y",A8&amp;"_STAAD.std","n/a"))</f>
        <v>n/a</v>
      </c>
      <c r="AR8" s="10" t="str">
        <f aca="false">IF(A8="","",A8&amp;"_CALC.xlsx")</f>
        <v>DRN-OD-1200x1200-S12-A_CALC.xlsx</v>
      </c>
      <c r="AS8" s="10" t="str">
        <f aca="false">IF(A8="","",A8&amp;"_CALC.pdf")</f>
        <v>DRN-OD-1200x1200-S12-A_CALC.pdf</v>
      </c>
      <c r="AT8" s="18" t="s">
        <v>84</v>
      </c>
      <c r="AU8" s="18" t="s">
        <v>313</v>
      </c>
      <c r="AV8" s="32" t="n">
        <v>0.72</v>
      </c>
      <c r="AW8" s="32" t="n">
        <v>72</v>
      </c>
      <c r="AX8" s="32" t="n">
        <v>0</v>
      </c>
      <c r="AY8" s="32" t="n">
        <v>4.8</v>
      </c>
      <c r="AZ8" s="32" t="n">
        <v>3.6</v>
      </c>
      <c r="BA8" s="12" t="str">
        <f aca="false">IF(A8="","",IF(COUNTIF(Rebar_Schedule!$A$5:$A$2004,A8)=0,"",ROUND(SUMIF(Rebar_Schedule!$A$5:$A$2004,A8,Rebar_Schedule!$K$5:$K$2004),1)))</f>
        <v/>
      </c>
      <c r="BB8" s="33" t="str">
        <f aca="false">IF(A8="","",IF(BA8="","No rebar schedule yet",IF(ABS(BA8-N(AW8))/MAX(N(AW8),1)&gt;SG_Criteria!$B$55,"NOTE: register rebar differs from schedule by "&amp;TEXT(ABS(BA8-N(AW8))/MAX(N(AW8),1),"0%"),"OK")))</f>
        <v>No rebar schedule yet</v>
      </c>
      <c r="BC8" s="34" t="n">
        <f aca="false">IF(OR(D8="",G8="",H8="",D8="Sump",D8="Drop Inlet Chamber",D8="Silt Trap",D8="Pipe Culvert",D8="Subsoil Drain"),"",ROUND(MAX(1,N(I8))*(1/SG_Criteria!$B$26)*((G8/1000)*(H8/1000*(1-SG_Criteria!$B$25)))*(((G8/1000)*(H8/1000*(1-SG_Criteria!$B$25)))/((G8/1000)+2*(H8/1000*(1-SG_Criteria!$B$25))))^(2/3)*(1/Design_Selector!$B$11)^0.5,3))</f>
        <v>1.907</v>
      </c>
      <c r="BD8" s="11" t="n">
        <f aca="false">IF(BC8="","",ROUND(BC8/(MAX(1,N(I8))*G8/1000*(H8/1000*(1-SG_Criteria!$B$25))),2))</f>
        <v>1.56</v>
      </c>
      <c r="BE8" s="33" t="str">
        <f aca="false">IF(D8="","",IF(LEN(IF(AND(OR(E8="Roadside drain",E8="Entrance culvert"),OR(G8&lt;SG_Criteria!$B$15,H8&lt;SG_Criteria!$B$16)),"FAIL: below PUB min "&amp;SG_Criteria!$B$15&amp;"x"&amp;SG_Criteria!$B$16&amp;" for roadside drain. ","")&amp;IF(AND(E8="Common drain",G8&lt;SG_Criteria!$B$17),"FAIL: common drain W &lt; "&amp;SG_Criteria!$B$17&amp;" mm. ","")&amp;IF(AND(O8&lt;&gt;"",IFERROR(VALUE(MID(O8,2,2)),0)&lt;SG_Criteria!$B$19),"FAIL: grade below C"&amp;SG_Criteria!$B$19&amp;". ","")&amp;IF(AND(P8&lt;&gt;"",P8&lt;SG_Criteria!$B$20),"FAIL: cover &lt; "&amp;SG_Criteria!$B$20&amp;" mm. ","")&amp;IF(AND(F8="Open",H8&gt;SG_Criteria!$B$18),"NOTE: safety railing required (D &gt; "&amp;SG_Criteria!$B$18&amp;" mm). ","")&amp;IF(AND(E8="Entrance culvert",H8&lt;600),"NOTE: check hinged grating rule for culverts &lt; 600 deep (PUB Add. 3). ",""))=0,"OK",IF(AND(OR(E8="Roadside drain",E8="Entrance culvert"),OR(G8&lt;SG_Criteria!$B$15,H8&lt;SG_Criteria!$B$16)),"FAIL: below PUB min "&amp;SG_Criteria!$B$15&amp;"x"&amp;SG_Criteria!$B$16&amp;" for roadside drain. ","")&amp;IF(AND(E8="Common drain",G8&lt;SG_Criteria!$B$17),"FAIL: common drain W &lt; "&amp;SG_Criteria!$B$17&amp;" mm. ","")&amp;IF(AND(O8&lt;&gt;"",IFERROR(VALUE(MID(O8,2,2)),0)&lt;SG_Criteria!$B$19),"FAIL: grade below C"&amp;SG_Criteria!$B$19&amp;". ","")&amp;IF(AND(P8&lt;&gt;"",P8&lt;SG_Criteria!$B$20),"FAIL: cover &lt; "&amp;SG_Criteria!$B$20&amp;" mm. ","")&amp;IF(AND(F8="Open",H8&gt;SG_Criteria!$B$18),"NOTE: safety railing required (D &gt; "&amp;SG_Criteria!$B$18&amp;" mm). ","")&amp;IF(AND(E8="Entrance culvert",H8&lt;600),"NOTE: check hinged grating rule for culverts &lt; 600 deep (PUB Add. 3). ","")))</f>
        <v>NOTE: safety railing required (D &gt; 1000 mm). </v>
      </c>
      <c r="BF8" s="18" t="s">
        <v>634</v>
      </c>
      <c r="BG8" s="18"/>
      <c r="BH8" s="18" t="s">
        <v>574</v>
      </c>
      <c r="BI8" s="10" t="str">
        <f aca="false">IF(BH8="","",IFERROR(VLOOKUP(BH8,Projects!$A$5:$D$504,2,0),"Ref not in Projects"))</f>
        <v>EXAMPLE Road upgrading at Jalan Contoh</v>
      </c>
      <c r="BJ8" s="10" t="str">
        <f aca="false">IF(BH8="","",IFERROR(VLOOKUP(BH8,Projects!$A$5:$D$504,4,0),"Ref not in Projects"))</f>
        <v>LTA</v>
      </c>
      <c r="BK8" s="18" t="s">
        <v>635</v>
      </c>
      <c r="BL8" s="18" t="s">
        <v>616</v>
      </c>
      <c r="BM8" s="18" t="s">
        <v>617</v>
      </c>
      <c r="BN8" s="35" t="n">
        <v>46309</v>
      </c>
      <c r="BO8" s="18" t="s">
        <v>617</v>
      </c>
      <c r="BP8" s="35" t="n">
        <v>46309</v>
      </c>
      <c r="BQ8" s="18" t="s">
        <v>618</v>
      </c>
      <c r="BR8" s="35"/>
      <c r="BS8" s="18" t="s">
        <v>617</v>
      </c>
      <c r="BT8" s="18" t="s">
        <v>617</v>
      </c>
      <c r="BU8" s="18" t="s">
        <v>617</v>
      </c>
      <c r="BV8" s="35" t="n">
        <v>46309</v>
      </c>
      <c r="BW8" s="35" t="n">
        <v>46309</v>
      </c>
      <c r="BX8" s="36" t="n">
        <f aca="false">IF(BW8="","",EDATE(BW8,SG_Criteria!$B$54*12))</f>
        <v>47405</v>
      </c>
      <c r="BY8" s="33" t="str">
        <f aca="true">IF(A8="","",IF(BW8="","NOTE: not reviewed yet",IF(TODAY()&gt;BX8,"NOTE: review overdue","OK")))</f>
        <v>OK</v>
      </c>
      <c r="BZ8" s="37" t="n">
        <f aca="false">IF(A8="","",ROUND((IF(LEN(D8)&gt;0,1,0)+IF(LEN(E8)&gt;0,1,0)+IF(LEN(F8)&gt;0,1,0)+IF(LEN(G8)&gt;0,1,0)+IF(LEN(H8)&gt;0,1,0)+IF(LEN(J8)&gt;0,1,0)+IF(LEN(K8)&gt;0,1,0)+IF(LEN(M8)&gt;0,1,0)+IF(LEN(O8)&gt;0,1,0)+IF(LEN(P8)&gt;0,1,0)+IF(LEN(Q8)&gt;0,1,0)+IF(LEN(S8)&gt;0,1,0)+IF(LEN(AC8)&gt;0,1,0)+IF(LEN(AV8)&gt;0,1,0)+IF(LEN(AW8)&gt;0,1,0)+IF(LEN(AG8)&gt;0,1,0)+IF(LEN(AI8)&gt;0,1,0)+IF(LEN(AJ8)&gt;0,1,0)+IF(LEN(AK8)&gt;0,1,0)+IF(LEN(AL8)&gt;0,1,0)+IF(LEN(AU8)&gt;0,1,0)+IF(LEN(BH8)&gt;0,1,0)+IF(LEN(BU8)&gt;0,1,0))/23,2))</f>
        <v>1</v>
      </c>
      <c r="CA8" s="10" t="str">
        <f aca="false">IF(D8="","",IF(AND(AJ8="Approved",ISERROR(SEARCH("FAIL",BE8))),"Y","N"))</f>
        <v>Y</v>
      </c>
      <c r="CB8" s="10" t="str">
        <f aca="false">IF(D8="","",D8&amp;"|"&amp;G8&amp;"|"&amp;H8&amp;"|"&amp;M8&amp;"|"&amp;CA8)</f>
        <v>Cast-in-situ Open Drain|1200|1200|Drain surcharge 12 kPa (SDRE)|Y</v>
      </c>
    </row>
    <row r="9" customFormat="false" ht="15" hidden="false" customHeight="false" outlineLevel="0" collapsed="false">
      <c r="A9" s="10" t="str">
        <f aca="false">IF(D9="","","DRN-"&amp;IFERROR(VLOOKUP(D9,Lists!$A$4:$B$27,2,0),"??")&amp;"-"&amp;TEXT(G9,"0000")&amp;"x"&amp;TEXT(H9,"0000")&amp;IF(N(I9)&gt;1,"-"&amp;I9&amp;"C","")&amp;"-"&amp;IFERROR(VLOOKUP(M9,Lists!$J$4:$K$19,2,0),"??")&amp;"-"&amp;AI9)</f>
        <v>DRN-OD-2000x1800-S12-A</v>
      </c>
      <c r="B9" s="10" t="str">
        <f aca="false">IF(D9="","",D9&amp;" "&amp;G9&amp;"W x "&amp;H9&amp;"D"&amp;IF(N(I9)&gt;1," ("&amp;I9&amp;" cells)","")&amp;", "&amp;E9&amp;", "&amp;M9&amp;", "&amp;F9)</f>
        <v>Cast-in-situ Open Drain 2000W x 1800D, Outlet / main drain, Drain surcharge 12 kPa (SDRE), Open</v>
      </c>
      <c r="C9" s="18" t="s">
        <v>599</v>
      </c>
      <c r="D9" s="18" t="s">
        <v>182</v>
      </c>
      <c r="E9" s="18" t="s">
        <v>631</v>
      </c>
      <c r="F9" s="18" t="s">
        <v>601</v>
      </c>
      <c r="G9" s="31" t="n">
        <v>2000</v>
      </c>
      <c r="H9" s="31" t="n">
        <v>1800</v>
      </c>
      <c r="I9" s="31" t="n">
        <v>1</v>
      </c>
      <c r="J9" s="31" t="n">
        <v>250</v>
      </c>
      <c r="K9" s="31" t="n">
        <v>300</v>
      </c>
      <c r="L9" s="31"/>
      <c r="M9" s="18" t="s">
        <v>82</v>
      </c>
      <c r="N9" s="18" t="s">
        <v>602</v>
      </c>
      <c r="O9" s="18" t="s">
        <v>603</v>
      </c>
      <c r="P9" s="31" t="n">
        <v>50</v>
      </c>
      <c r="Q9" s="18" t="s">
        <v>636</v>
      </c>
      <c r="R9" s="18" t="s">
        <v>636</v>
      </c>
      <c r="S9" s="18" t="s">
        <v>636</v>
      </c>
      <c r="T9" s="18" t="s">
        <v>605</v>
      </c>
      <c r="U9" s="18" t="s">
        <v>637</v>
      </c>
      <c r="V9" s="18"/>
      <c r="W9" s="18"/>
      <c r="X9" s="18"/>
      <c r="Y9" s="18" t="n">
        <v>10</v>
      </c>
      <c r="Z9" s="18" t="s">
        <v>606</v>
      </c>
      <c r="AA9" s="18" t="s">
        <v>607</v>
      </c>
      <c r="AB9" s="32"/>
      <c r="AC9" s="18" t="s">
        <v>608</v>
      </c>
      <c r="AD9" s="31" t="n">
        <v>100</v>
      </c>
      <c r="AE9" s="18" t="s">
        <v>609</v>
      </c>
      <c r="AF9" s="32" t="n">
        <v>0.3</v>
      </c>
      <c r="AG9" s="18" t="s">
        <v>610</v>
      </c>
      <c r="AH9" s="18" t="s">
        <v>611</v>
      </c>
      <c r="AI9" s="18" t="s">
        <v>612</v>
      </c>
      <c r="AJ9" s="18" t="s">
        <v>255</v>
      </c>
      <c r="AK9" s="18" t="s">
        <v>638</v>
      </c>
      <c r="AL9" s="18" t="n">
        <v>25</v>
      </c>
      <c r="AM9" s="18" t="s">
        <v>284</v>
      </c>
      <c r="AN9" s="10" t="str">
        <f aca="false">IF(A9="","",SG_Criteria!$B$6&amp;SG_Criteria!$B$7&amp;"\"&amp;A9&amp;"\")</f>
        <v>C:\Users\yourname\YourCompany\Design Library - Documents\01_Drainage\DRN-OD-2000x1800-S12-A\</v>
      </c>
      <c r="AO9" s="10" t="str">
        <f aca="false">IF(A9="","",A9&amp;"_CAD.dwg")</f>
        <v>DRN-OD-2000x1800-S12-A_CAD.dwg</v>
      </c>
      <c r="AP9" s="10" t="str">
        <f aca="false">IF(A9="","",A9&amp;"_DWG.pdf")</f>
        <v>DRN-OD-2000x1800-S12-A_DWG.pdf</v>
      </c>
      <c r="AQ9" s="10" t="str">
        <f aca="false">IF(A9="","",IF(AM9="Y",A9&amp;"_STAAD.std","n/a"))</f>
        <v>DRN-OD-2000x1800-S12-A_STAAD.std</v>
      </c>
      <c r="AR9" s="10" t="str">
        <f aca="false">IF(A9="","",A9&amp;"_CALC.xlsx")</f>
        <v>DRN-OD-2000x1800-S12-A_CALC.xlsx</v>
      </c>
      <c r="AS9" s="10" t="str">
        <f aca="false">IF(A9="","",A9&amp;"_CALC.pdf")</f>
        <v>DRN-OD-2000x1800-S12-A_CALC.pdf</v>
      </c>
      <c r="AT9" s="18" t="s">
        <v>84</v>
      </c>
      <c r="AU9" s="18" t="s">
        <v>313</v>
      </c>
      <c r="AV9" s="32" t="n">
        <v>1.65</v>
      </c>
      <c r="AW9" s="32" t="n">
        <v>150</v>
      </c>
      <c r="AX9" s="32" t="n">
        <v>0</v>
      </c>
      <c r="AY9" s="32" t="n">
        <v>7.2</v>
      </c>
      <c r="AZ9" s="32" t="n">
        <v>7</v>
      </c>
      <c r="BA9" s="12" t="str">
        <f aca="false">IF(A9="","",IF(COUNTIF(Rebar_Schedule!$A$5:$A$2004,A9)=0,"",ROUND(SUMIF(Rebar_Schedule!$A$5:$A$2004,A9,Rebar_Schedule!$K$5:$K$2004),1)))</f>
        <v/>
      </c>
      <c r="BB9" s="33" t="str">
        <f aca="false">IF(A9="","",IF(BA9="","No rebar schedule yet",IF(ABS(BA9-N(AW9))/MAX(N(AW9),1)&gt;SG_Criteria!$B$55,"NOTE: register rebar differs from schedule by "&amp;TEXT(ABS(BA9-N(AW9))/MAX(N(AW9),1),"0%"),"OK")))</f>
        <v>No rebar schedule yet</v>
      </c>
      <c r="BC9" s="34" t="n">
        <f aca="false">IF(OR(D9="",G9="",H9="",D9="Sump",D9="Drop Inlet Chamber",D9="Silt Trap",D9="Pipe Culvert",D9="Subsoil Drain"),"",ROUND(MAX(1,N(I9))*(1/SG_Criteria!$B$26)*((G9/1000)*(H9/1000*(1-SG_Criteria!$B$25)))*(((G9/1000)*(H9/1000*(1-SG_Criteria!$B$25)))/((G9/1000)+2*(H9/1000*(1-SG_Criteria!$B$25))))^(2/3)*(1/Design_Selector!$B$11)^0.5,3))</f>
        <v>6.524</v>
      </c>
      <c r="BD9" s="11" t="n">
        <f aca="false">IF(BC9="","",ROUND(BC9/(MAX(1,N(I9))*G9/1000*(H9/1000*(1-SG_Criteria!$B$25))),2))</f>
        <v>2.13</v>
      </c>
      <c r="BE9" s="33" t="str">
        <f aca="false">IF(D9="","",IF(LEN(IF(AND(OR(E9="Roadside drain",E9="Entrance culvert"),OR(G9&lt;SG_Criteria!$B$15,H9&lt;SG_Criteria!$B$16)),"FAIL: below PUB min "&amp;SG_Criteria!$B$15&amp;"x"&amp;SG_Criteria!$B$16&amp;" for roadside drain. ","")&amp;IF(AND(E9="Common drain",G9&lt;SG_Criteria!$B$17),"FAIL: common drain W &lt; "&amp;SG_Criteria!$B$17&amp;" mm. ","")&amp;IF(AND(O9&lt;&gt;"",IFERROR(VALUE(MID(O9,2,2)),0)&lt;SG_Criteria!$B$19),"FAIL: grade below C"&amp;SG_Criteria!$B$19&amp;". ","")&amp;IF(AND(P9&lt;&gt;"",P9&lt;SG_Criteria!$B$20),"FAIL: cover &lt; "&amp;SG_Criteria!$B$20&amp;" mm. ","")&amp;IF(AND(F9="Open",H9&gt;SG_Criteria!$B$18),"NOTE: safety railing required (D &gt; "&amp;SG_Criteria!$B$18&amp;" mm). ","")&amp;IF(AND(E9="Entrance culvert",H9&lt;600),"NOTE: check hinged grating rule for culverts &lt; 600 deep (PUB Add. 3). ",""))=0,"OK",IF(AND(OR(E9="Roadside drain",E9="Entrance culvert"),OR(G9&lt;SG_Criteria!$B$15,H9&lt;SG_Criteria!$B$16)),"FAIL: below PUB min "&amp;SG_Criteria!$B$15&amp;"x"&amp;SG_Criteria!$B$16&amp;" for roadside drain. ","")&amp;IF(AND(E9="Common drain",G9&lt;SG_Criteria!$B$17),"FAIL: common drain W &lt; "&amp;SG_Criteria!$B$17&amp;" mm. ","")&amp;IF(AND(O9&lt;&gt;"",IFERROR(VALUE(MID(O9,2,2)),0)&lt;SG_Criteria!$B$19),"FAIL: grade below C"&amp;SG_Criteria!$B$19&amp;". ","")&amp;IF(AND(P9&lt;&gt;"",P9&lt;SG_Criteria!$B$20),"FAIL: cover &lt; "&amp;SG_Criteria!$B$20&amp;" mm. ","")&amp;IF(AND(F9="Open",H9&gt;SG_Criteria!$B$18),"NOTE: safety railing required (D &gt; "&amp;SG_Criteria!$B$18&amp;" mm). ","")&amp;IF(AND(E9="Entrance culvert",H9&lt;600),"NOTE: check hinged grating rule for culverts &lt; 600 deep (PUB Add. 3). ","")))</f>
        <v>NOTE: safety railing required (D &gt; 1000 mm). </v>
      </c>
      <c r="BF9" s="18" t="s">
        <v>639</v>
      </c>
      <c r="BG9" s="18"/>
      <c r="BH9" s="18" t="s">
        <v>574</v>
      </c>
      <c r="BI9" s="10" t="str">
        <f aca="false">IF(BH9="","",IFERROR(VLOOKUP(BH9,Projects!$A$5:$D$504,2,0),"Ref not in Projects"))</f>
        <v>EXAMPLE Road upgrading at Jalan Contoh</v>
      </c>
      <c r="BJ9" s="10" t="str">
        <f aca="false">IF(BH9="","",IFERROR(VLOOKUP(BH9,Projects!$A$5:$D$504,4,0),"Ref not in Projects"))</f>
        <v>LTA</v>
      </c>
      <c r="BK9" s="18" t="s">
        <v>640</v>
      </c>
      <c r="BL9" s="18" t="s">
        <v>616</v>
      </c>
      <c r="BM9" s="18" t="s">
        <v>617</v>
      </c>
      <c r="BN9" s="35" t="n">
        <v>46309</v>
      </c>
      <c r="BO9" s="18" t="s">
        <v>617</v>
      </c>
      <c r="BP9" s="35" t="n">
        <v>46309</v>
      </c>
      <c r="BQ9" s="18"/>
      <c r="BR9" s="35"/>
      <c r="BS9" s="18" t="s">
        <v>617</v>
      </c>
      <c r="BT9" s="18" t="s">
        <v>617</v>
      </c>
      <c r="BU9" s="18" t="s">
        <v>617</v>
      </c>
      <c r="BV9" s="35" t="n">
        <v>46309</v>
      </c>
      <c r="BW9" s="35" t="n">
        <v>46309</v>
      </c>
      <c r="BX9" s="36" t="n">
        <f aca="false">IF(BW9="","",EDATE(BW9,SG_Criteria!$B$54*12))</f>
        <v>47405</v>
      </c>
      <c r="BY9" s="33" t="str">
        <f aca="true">IF(A9="","",IF(BW9="","NOTE: not reviewed yet",IF(TODAY()&gt;BX9,"NOTE: review overdue","OK")))</f>
        <v>OK</v>
      </c>
      <c r="BZ9" s="37" t="n">
        <f aca="false">IF(A9="","",ROUND((IF(LEN(D9)&gt;0,1,0)+IF(LEN(E9)&gt;0,1,0)+IF(LEN(F9)&gt;0,1,0)+IF(LEN(G9)&gt;0,1,0)+IF(LEN(H9)&gt;0,1,0)+IF(LEN(J9)&gt;0,1,0)+IF(LEN(K9)&gt;0,1,0)+IF(LEN(M9)&gt;0,1,0)+IF(LEN(O9)&gt;0,1,0)+IF(LEN(P9)&gt;0,1,0)+IF(LEN(Q9)&gt;0,1,0)+IF(LEN(S9)&gt;0,1,0)+IF(LEN(AC9)&gt;0,1,0)+IF(LEN(AV9)&gt;0,1,0)+IF(LEN(AW9)&gt;0,1,0)+IF(LEN(AG9)&gt;0,1,0)+IF(LEN(AI9)&gt;0,1,0)+IF(LEN(AJ9)&gt;0,1,0)+IF(LEN(AK9)&gt;0,1,0)+IF(LEN(AL9)&gt;0,1,0)+IF(LEN(AU9)&gt;0,1,0)+IF(LEN(BH9)&gt;0,1,0)+IF(LEN(BU9)&gt;0,1,0))/23,2))</f>
        <v>1</v>
      </c>
      <c r="CA9" s="10" t="str">
        <f aca="false">IF(D9="","",IF(AND(AJ9="Approved",ISERROR(SEARCH("FAIL",BE9))),"Y","N"))</f>
        <v>N</v>
      </c>
      <c r="CB9" s="10" t="str">
        <f aca="false">IF(D9="","",D9&amp;"|"&amp;G9&amp;"|"&amp;H9&amp;"|"&amp;M9&amp;"|"&amp;CA9)</f>
        <v>Cast-in-situ Open Drain|2000|1800|Drain surcharge 12 kPa (SDRE)|N</v>
      </c>
    </row>
    <row r="10" customFormat="false" ht="15" hidden="false" customHeight="false" outlineLevel="0" collapsed="false">
      <c r="A10" s="10" t="str">
        <f aca="false">IF(D10="","","DRN-"&amp;IFERROR(VLOOKUP(D10,Lists!$A$4:$B$27,2,0),"??")&amp;"-"&amp;TEXT(G10,"0000")&amp;"x"&amp;TEXT(H10,"0000")&amp;IF(N(I10)&gt;1,"-"&amp;I10&amp;"C","")&amp;"-"&amp;IFERROR(VLOOKUP(M10,Lists!$J$4:$K$19,2,0),"??")&amp;"-"&amp;AI10)</f>
        <v>DRN-BC-1500x1200-VEH-A</v>
      </c>
      <c r="B10" s="10" t="str">
        <f aca="false">IF(D10="","",D10&amp;" "&amp;G10&amp;"W x "&amp;H10&amp;"D"&amp;IF(N(I10)&gt;1," ("&amp;I10&amp;" cells)","")&amp;", "&amp;E10&amp;", "&amp;M10&amp;", "&amp;F10)</f>
        <v>Box Culvert 1500W x 1200D, Road crossing culvert, Vehicular LM1 (SS EN 1991-2), Closed (culvert)</v>
      </c>
      <c r="C10" s="18" t="s">
        <v>641</v>
      </c>
      <c r="D10" s="18" t="s">
        <v>183</v>
      </c>
      <c r="E10" s="18" t="s">
        <v>642</v>
      </c>
      <c r="F10" s="18" t="s">
        <v>643</v>
      </c>
      <c r="G10" s="31" t="n">
        <v>1500</v>
      </c>
      <c r="H10" s="31" t="n">
        <v>1200</v>
      </c>
      <c r="I10" s="31" t="n">
        <v>1</v>
      </c>
      <c r="J10" s="31" t="n">
        <v>250</v>
      </c>
      <c r="K10" s="31" t="n">
        <v>250</v>
      </c>
      <c r="L10" s="31" t="n">
        <v>250</v>
      </c>
      <c r="M10" s="18" t="s">
        <v>644</v>
      </c>
      <c r="N10" s="18" t="s">
        <v>645</v>
      </c>
      <c r="O10" s="18" t="s">
        <v>603</v>
      </c>
      <c r="P10" s="31" t="n">
        <v>50</v>
      </c>
      <c r="Q10" s="18" t="s">
        <v>636</v>
      </c>
      <c r="R10" s="18" t="s">
        <v>636</v>
      </c>
      <c r="S10" s="18" t="s">
        <v>636</v>
      </c>
      <c r="T10" s="18" t="s">
        <v>636</v>
      </c>
      <c r="U10" s="18" t="s">
        <v>637</v>
      </c>
      <c r="V10" s="18"/>
      <c r="W10" s="18"/>
      <c r="X10" s="18"/>
      <c r="Y10" s="18" t="n">
        <v>10</v>
      </c>
      <c r="Z10" s="18" t="s">
        <v>606</v>
      </c>
      <c r="AA10" s="18" t="s">
        <v>607</v>
      </c>
      <c r="AB10" s="32" t="n">
        <v>1.2</v>
      </c>
      <c r="AC10" s="18" t="s">
        <v>608</v>
      </c>
      <c r="AD10" s="31" t="n">
        <v>120</v>
      </c>
      <c r="AE10" s="18" t="s">
        <v>609</v>
      </c>
      <c r="AF10" s="32" t="n">
        <v>0.3</v>
      </c>
      <c r="AG10" s="18" t="s">
        <v>646</v>
      </c>
      <c r="AH10" s="18" t="s">
        <v>611</v>
      </c>
      <c r="AI10" s="18" t="s">
        <v>612</v>
      </c>
      <c r="AJ10" s="18" t="s">
        <v>254</v>
      </c>
      <c r="AK10" s="18" t="s">
        <v>647</v>
      </c>
      <c r="AL10" s="18" t="n">
        <v>25</v>
      </c>
      <c r="AM10" s="18" t="s">
        <v>284</v>
      </c>
      <c r="AN10" s="10" t="str">
        <f aca="false">IF(A10="","",SG_Criteria!$B$6&amp;SG_Criteria!$B$7&amp;"\"&amp;A10&amp;"\")</f>
        <v>C:\Users\yourname\YourCompany\Design Library - Documents\01_Drainage\DRN-BC-1500x1200-VEH-A\</v>
      </c>
      <c r="AO10" s="10" t="str">
        <f aca="false">IF(A10="","",A10&amp;"_CAD.dwg")</f>
        <v>DRN-BC-1500x1200-VEH-A_CAD.dwg</v>
      </c>
      <c r="AP10" s="10" t="str">
        <f aca="false">IF(A10="","",A10&amp;"_DWG.pdf")</f>
        <v>DRN-BC-1500x1200-VEH-A_DWG.pdf</v>
      </c>
      <c r="AQ10" s="10" t="str">
        <f aca="false">IF(A10="","",IF(AM10="Y",A10&amp;"_STAAD.std","n/a"))</f>
        <v>DRN-BC-1500x1200-VEH-A_STAAD.std</v>
      </c>
      <c r="AR10" s="10" t="str">
        <f aca="false">IF(A10="","",A10&amp;"_CALC.xlsx")</f>
        <v>DRN-BC-1500x1200-VEH-A_CALC.xlsx</v>
      </c>
      <c r="AS10" s="10" t="str">
        <f aca="false">IF(A10="","",A10&amp;"_CALC.pdf")</f>
        <v>DRN-BC-1500x1200-VEH-A_CALC.pdf</v>
      </c>
      <c r="AT10" s="18" t="s">
        <v>84</v>
      </c>
      <c r="AU10" s="18" t="s">
        <v>313</v>
      </c>
      <c r="AV10" s="32" t="n">
        <v>1.88</v>
      </c>
      <c r="AW10" s="32" t="n">
        <v>213</v>
      </c>
      <c r="AX10" s="32" t="n">
        <v>0</v>
      </c>
      <c r="AY10" s="32" t="n">
        <v>7.4</v>
      </c>
      <c r="AZ10" s="32" t="n">
        <v>6.5</v>
      </c>
      <c r="BA10" s="12" t="n">
        <f aca="false">IF(A10="","",IF(COUNTIF(Rebar_Schedule!$A$5:$A$2004,A10)=0,"",ROUND(SUMIF(Rebar_Schedule!$A$5:$A$2004,A10,Rebar_Schedule!$K$5:$K$2004),1)))</f>
        <v>213.3</v>
      </c>
      <c r="BB10" s="33" t="str">
        <f aca="false">IF(A10="","",IF(BA10="","No rebar schedule yet",IF(ABS(BA10-N(AW10))/MAX(N(AW10),1)&gt;SG_Criteria!$B$55,"NOTE: register rebar differs from schedule by "&amp;TEXT(ABS(BA10-N(AW10))/MAX(N(AW10),1),"0%"),"OK")))</f>
        <v>OK</v>
      </c>
      <c r="BC10" s="34" t="n">
        <f aca="false">IF(OR(D10="",G10="",H10="",D10="Sump",D10="Drop Inlet Chamber",D10="Silt Trap",D10="Pipe Culvert",D10="Subsoil Drain"),"",ROUND(MAX(1,N(I10))*(1/SG_Criteria!$B$26)*((G10/1000)*(H10/1000*(1-SG_Criteria!$B$25)))*(((G10/1000)*(H10/1000*(1-SG_Criteria!$B$25)))/((G10/1000)+2*(H10/1000*(1-SG_Criteria!$B$25))))^(2/3)*(1/Design_Selector!$B$11)^0.5,3))</f>
        <v>2.608</v>
      </c>
      <c r="BD10" s="11" t="n">
        <f aca="false">IF(BC10="","",ROUND(BC10/(MAX(1,N(I10))*G10/1000*(H10/1000*(1-SG_Criteria!$B$25))),2))</f>
        <v>1.7</v>
      </c>
      <c r="BE10" s="33" t="str">
        <f aca="false">IF(D10="","",IF(LEN(IF(AND(OR(E10="Roadside drain",E10="Entrance culvert"),OR(G10&lt;SG_Criteria!$B$15,H10&lt;SG_Criteria!$B$16)),"FAIL: below PUB min "&amp;SG_Criteria!$B$15&amp;"x"&amp;SG_Criteria!$B$16&amp;" for roadside drain. ","")&amp;IF(AND(E10="Common drain",G10&lt;SG_Criteria!$B$17),"FAIL: common drain W &lt; "&amp;SG_Criteria!$B$17&amp;" mm. ","")&amp;IF(AND(O10&lt;&gt;"",IFERROR(VALUE(MID(O10,2,2)),0)&lt;SG_Criteria!$B$19),"FAIL: grade below C"&amp;SG_Criteria!$B$19&amp;". ","")&amp;IF(AND(P10&lt;&gt;"",P10&lt;SG_Criteria!$B$20),"FAIL: cover &lt; "&amp;SG_Criteria!$B$20&amp;" mm. ","")&amp;IF(AND(F10="Open",H10&gt;SG_Criteria!$B$18),"NOTE: safety railing required (D &gt; "&amp;SG_Criteria!$B$18&amp;" mm). ","")&amp;IF(AND(E10="Entrance culvert",H10&lt;600),"NOTE: check hinged grating rule for culverts &lt; 600 deep (PUB Add. 3). ",""))=0,"OK",IF(AND(OR(E10="Roadside drain",E10="Entrance culvert"),OR(G10&lt;SG_Criteria!$B$15,H10&lt;SG_Criteria!$B$16)),"FAIL: below PUB min "&amp;SG_Criteria!$B$15&amp;"x"&amp;SG_Criteria!$B$16&amp;" for roadside drain. ","")&amp;IF(AND(E10="Common drain",G10&lt;SG_Criteria!$B$17),"FAIL: common drain W &lt; "&amp;SG_Criteria!$B$17&amp;" mm. ","")&amp;IF(AND(O10&lt;&gt;"",IFERROR(VALUE(MID(O10,2,2)),0)&lt;SG_Criteria!$B$19),"FAIL: grade below C"&amp;SG_Criteria!$B$19&amp;". ","")&amp;IF(AND(P10&lt;&gt;"",P10&lt;SG_Criteria!$B$20),"FAIL: cover &lt; "&amp;SG_Criteria!$B$20&amp;" mm. ","")&amp;IF(AND(F10="Open",H10&gt;SG_Criteria!$B$18),"NOTE: safety railing required (D &gt; "&amp;SG_Criteria!$B$18&amp;" mm). ","")&amp;IF(AND(E10="Entrance culvert",H10&lt;600),"NOTE: check hinged grating rule for culverts &lt; 600 deep (PUB Add. 3). ","")))</f>
        <v>OK</v>
      </c>
      <c r="BF10" s="18" t="s">
        <v>648</v>
      </c>
      <c r="BG10" s="18" t="s">
        <v>649</v>
      </c>
      <c r="BH10" s="18" t="s">
        <v>574</v>
      </c>
      <c r="BI10" s="10" t="str">
        <f aca="false">IF(BH10="","",IFERROR(VLOOKUP(BH10,Projects!$A$5:$D$504,2,0),"Ref not in Projects"))</f>
        <v>EXAMPLE Road upgrading at Jalan Contoh</v>
      </c>
      <c r="BJ10" s="10" t="str">
        <f aca="false">IF(BH10="","",IFERROR(VLOOKUP(BH10,Projects!$A$5:$D$504,4,0),"Ref not in Projects"))</f>
        <v>LTA</v>
      </c>
      <c r="BK10" s="18" t="s">
        <v>615</v>
      </c>
      <c r="BL10" s="18" t="s">
        <v>616</v>
      </c>
      <c r="BM10" s="18" t="s">
        <v>617</v>
      </c>
      <c r="BN10" s="35" t="n">
        <v>46309</v>
      </c>
      <c r="BO10" s="18" t="s">
        <v>617</v>
      </c>
      <c r="BP10" s="35" t="n">
        <v>46309</v>
      </c>
      <c r="BQ10" s="18" t="s">
        <v>618</v>
      </c>
      <c r="BR10" s="35"/>
      <c r="BS10" s="18" t="s">
        <v>617</v>
      </c>
      <c r="BT10" s="18" t="s">
        <v>617</v>
      </c>
      <c r="BU10" s="18" t="s">
        <v>617</v>
      </c>
      <c r="BV10" s="35" t="n">
        <v>46309</v>
      </c>
      <c r="BW10" s="35" t="n">
        <v>46309</v>
      </c>
      <c r="BX10" s="36" t="n">
        <f aca="false">IF(BW10="","",EDATE(BW10,SG_Criteria!$B$54*12))</f>
        <v>47405</v>
      </c>
      <c r="BY10" s="33" t="str">
        <f aca="true">IF(A10="","",IF(BW10="","NOTE: not reviewed yet",IF(TODAY()&gt;BX10,"NOTE: review overdue","OK")))</f>
        <v>OK</v>
      </c>
      <c r="BZ10" s="37" t="n">
        <f aca="false">IF(A10="","",ROUND((IF(LEN(D10)&gt;0,1,0)+IF(LEN(E10)&gt;0,1,0)+IF(LEN(F10)&gt;0,1,0)+IF(LEN(G10)&gt;0,1,0)+IF(LEN(H10)&gt;0,1,0)+IF(LEN(J10)&gt;0,1,0)+IF(LEN(K10)&gt;0,1,0)+IF(LEN(M10)&gt;0,1,0)+IF(LEN(O10)&gt;0,1,0)+IF(LEN(P10)&gt;0,1,0)+IF(LEN(Q10)&gt;0,1,0)+IF(LEN(S10)&gt;0,1,0)+IF(LEN(AC10)&gt;0,1,0)+IF(LEN(AV10)&gt;0,1,0)+IF(LEN(AW10)&gt;0,1,0)+IF(LEN(AG10)&gt;0,1,0)+IF(LEN(AI10)&gt;0,1,0)+IF(LEN(AJ10)&gt;0,1,0)+IF(LEN(AK10)&gt;0,1,0)+IF(LEN(AL10)&gt;0,1,0)+IF(LEN(AU10)&gt;0,1,0)+IF(LEN(BH10)&gt;0,1,0)+IF(LEN(BU10)&gt;0,1,0))/23,2))</f>
        <v>1</v>
      </c>
      <c r="CA10" s="10" t="str">
        <f aca="false">IF(D10="","",IF(AND(AJ10="Approved",ISERROR(SEARCH("FAIL",BE10))),"Y","N"))</f>
        <v>Y</v>
      </c>
      <c r="CB10" s="10" t="str">
        <f aca="false">IF(D10="","",D10&amp;"|"&amp;G10&amp;"|"&amp;H10&amp;"|"&amp;M10&amp;"|"&amp;CA10)</f>
        <v>Box Culvert|1500|1200|Vehicular LM1 (SS EN 1991-2)|Y</v>
      </c>
    </row>
    <row r="11" customFormat="false" ht="15" hidden="false" customHeight="false" outlineLevel="0" collapsed="false">
      <c r="A11" s="10" t="str">
        <f aca="false">IF(D11="","","DRN-"&amp;IFERROR(VLOOKUP(D11,Lists!$A$4:$B$27,2,0),"??")&amp;"-"&amp;TEXT(G11,"0000")&amp;"x"&amp;TEXT(H11,"0000")&amp;IF(N(I11)&gt;1,"-"&amp;I11&amp;"C","")&amp;"-"&amp;IFERROR(VLOOKUP(M11,Lists!$J$4:$K$19,2,0),"??")&amp;"-"&amp;AI11)</f>
        <v>DRN-BC-2400x1800-2C-VEH-A</v>
      </c>
      <c r="B11" s="10" t="str">
        <f aca="false">IF(D11="","",D11&amp;" "&amp;G11&amp;"W x "&amp;H11&amp;"D"&amp;IF(N(I11)&gt;1," ("&amp;I11&amp;" cells)","")&amp;", "&amp;E11&amp;", "&amp;M11&amp;", "&amp;F11)</f>
        <v>Box Culvert 2400W x 1800D (2 cells), Road crossing culvert, Vehicular LM1 (SS EN 1991-2), Closed (culvert)</v>
      </c>
      <c r="C11" s="18" t="s">
        <v>641</v>
      </c>
      <c r="D11" s="18" t="s">
        <v>183</v>
      </c>
      <c r="E11" s="18" t="s">
        <v>642</v>
      </c>
      <c r="F11" s="18" t="s">
        <v>643</v>
      </c>
      <c r="G11" s="31" t="n">
        <v>2400</v>
      </c>
      <c r="H11" s="31" t="n">
        <v>1800</v>
      </c>
      <c r="I11" s="31" t="n">
        <v>2</v>
      </c>
      <c r="J11" s="31" t="n">
        <v>300</v>
      </c>
      <c r="K11" s="31" t="n">
        <v>300</v>
      </c>
      <c r="L11" s="31" t="n">
        <v>300</v>
      </c>
      <c r="M11" s="18" t="s">
        <v>644</v>
      </c>
      <c r="N11" s="18" t="s">
        <v>645</v>
      </c>
      <c r="O11" s="18" t="s">
        <v>603</v>
      </c>
      <c r="P11" s="31" t="n">
        <v>50</v>
      </c>
      <c r="Q11" s="18" t="s">
        <v>650</v>
      </c>
      <c r="R11" s="18" t="s">
        <v>650</v>
      </c>
      <c r="S11" s="18" t="s">
        <v>650</v>
      </c>
      <c r="T11" s="18" t="s">
        <v>650</v>
      </c>
      <c r="U11" s="18" t="s">
        <v>637</v>
      </c>
      <c r="V11" s="18"/>
      <c r="W11" s="18"/>
      <c r="X11" s="18"/>
      <c r="Y11" s="18" t="n">
        <v>10</v>
      </c>
      <c r="Z11" s="18" t="s">
        <v>606</v>
      </c>
      <c r="AA11" s="18" t="s">
        <v>607</v>
      </c>
      <c r="AB11" s="32" t="n">
        <v>1.2</v>
      </c>
      <c r="AC11" s="18" t="s">
        <v>608</v>
      </c>
      <c r="AD11" s="31" t="n">
        <v>120</v>
      </c>
      <c r="AE11" s="18" t="s">
        <v>609</v>
      </c>
      <c r="AF11" s="32" t="n">
        <v>0.3</v>
      </c>
      <c r="AG11" s="18" t="s">
        <v>646</v>
      </c>
      <c r="AH11" s="18" t="s">
        <v>611</v>
      </c>
      <c r="AI11" s="18" t="s">
        <v>612</v>
      </c>
      <c r="AJ11" s="18" t="s">
        <v>254</v>
      </c>
      <c r="AK11" s="18" t="s">
        <v>651</v>
      </c>
      <c r="AL11" s="18" t="n">
        <v>50</v>
      </c>
      <c r="AM11" s="18" t="s">
        <v>284</v>
      </c>
      <c r="AN11" s="10" t="str">
        <f aca="false">IF(A11="","",SG_Criteria!$B$6&amp;SG_Criteria!$B$7&amp;"\"&amp;A11&amp;"\")</f>
        <v>C:\Users\yourname\YourCompany\Design Library - Documents\01_Drainage\DRN-BC-2400x1800-2C-VEH-A\</v>
      </c>
      <c r="AO11" s="10" t="str">
        <f aca="false">IF(A11="","",A11&amp;"_CAD.dwg")</f>
        <v>DRN-BC-2400x1800-2C-VEH-A_CAD.dwg</v>
      </c>
      <c r="AP11" s="10" t="str">
        <f aca="false">IF(A11="","",A11&amp;"_DWG.pdf")</f>
        <v>DRN-BC-2400x1800-2C-VEH-A_DWG.pdf</v>
      </c>
      <c r="AQ11" s="10" t="str">
        <f aca="false">IF(A11="","",IF(AM11="Y",A11&amp;"_STAAD.std","n/a"))</f>
        <v>DRN-BC-2400x1800-2C-VEH-A_STAAD.std</v>
      </c>
      <c r="AR11" s="10" t="str">
        <f aca="false">IF(A11="","",A11&amp;"_CALC.xlsx")</f>
        <v>DRN-BC-2400x1800-2C-VEH-A_CALC.xlsx</v>
      </c>
      <c r="AS11" s="10" t="str">
        <f aca="false">IF(A11="","",A11&amp;"_CALC.pdf")</f>
        <v>DRN-BC-2400x1800-2C-VEH-A_CALC.pdf</v>
      </c>
      <c r="AT11" s="18" t="s">
        <v>84</v>
      </c>
      <c r="AU11" s="18" t="s">
        <v>313</v>
      </c>
      <c r="AV11" s="32" t="n">
        <v>5.2</v>
      </c>
      <c r="AW11" s="32" t="n">
        <v>610</v>
      </c>
      <c r="AX11" s="32" t="n">
        <v>0</v>
      </c>
      <c r="AY11" s="32" t="n">
        <v>20.5</v>
      </c>
      <c r="AZ11" s="32" t="n">
        <v>16</v>
      </c>
      <c r="BA11" s="12" t="str">
        <f aca="false">IF(A11="","",IF(COUNTIF(Rebar_Schedule!$A$5:$A$2004,A11)=0,"",ROUND(SUMIF(Rebar_Schedule!$A$5:$A$2004,A11,Rebar_Schedule!$K$5:$K$2004),1)))</f>
        <v/>
      </c>
      <c r="BB11" s="33" t="str">
        <f aca="false">IF(A11="","",IF(BA11="","No rebar schedule yet",IF(ABS(BA11-N(AW11))/MAX(N(AW11),1)&gt;SG_Criteria!$B$55,"NOTE: register rebar differs from schedule by "&amp;TEXT(ABS(BA11-N(AW11))/MAX(N(AW11),1),"0%"),"OK")))</f>
        <v>No rebar schedule yet</v>
      </c>
      <c r="BC11" s="34" t="n">
        <f aca="false">IF(OR(D11="",G11="",H11="",D11="Sump",D11="Drop Inlet Chamber",D11="Silt Trap",D11="Pipe Culvert",D11="Subsoil Drain"),"",ROUND(MAX(1,N(I11))*(1/SG_Criteria!$B$26)*((G11/1000)*(H11/1000*(1-SG_Criteria!$B$25)))*(((G11/1000)*(H11/1000*(1-SG_Criteria!$B$25)))/((G11/1000)+2*(H11/1000*(1-SG_Criteria!$B$25))))^(2/3)*(1/Design_Selector!$B$11)^0.5,3))</f>
        <v>16.807</v>
      </c>
      <c r="BD11" s="11" t="n">
        <f aca="false">IF(BC11="","",ROUND(BC11/(MAX(1,N(I11))*G11/1000*(H11/1000*(1-SG_Criteria!$B$25))),2))</f>
        <v>2.29</v>
      </c>
      <c r="BE11" s="33" t="str">
        <f aca="false">IF(D11="","",IF(LEN(IF(AND(OR(E11="Roadside drain",E11="Entrance culvert"),OR(G11&lt;SG_Criteria!$B$15,H11&lt;SG_Criteria!$B$16)),"FAIL: below PUB min "&amp;SG_Criteria!$B$15&amp;"x"&amp;SG_Criteria!$B$16&amp;" for roadside drain. ","")&amp;IF(AND(E11="Common drain",G11&lt;SG_Criteria!$B$17),"FAIL: common drain W &lt; "&amp;SG_Criteria!$B$17&amp;" mm. ","")&amp;IF(AND(O11&lt;&gt;"",IFERROR(VALUE(MID(O11,2,2)),0)&lt;SG_Criteria!$B$19),"FAIL: grade below C"&amp;SG_Criteria!$B$19&amp;". ","")&amp;IF(AND(P11&lt;&gt;"",P11&lt;SG_Criteria!$B$20),"FAIL: cover &lt; "&amp;SG_Criteria!$B$20&amp;" mm. ","")&amp;IF(AND(F11="Open",H11&gt;SG_Criteria!$B$18),"NOTE: safety railing required (D &gt; "&amp;SG_Criteria!$B$18&amp;" mm). ","")&amp;IF(AND(E11="Entrance culvert",H11&lt;600),"NOTE: check hinged grating rule for culverts &lt; 600 deep (PUB Add. 3). ",""))=0,"OK",IF(AND(OR(E11="Roadside drain",E11="Entrance culvert"),OR(G11&lt;SG_Criteria!$B$15,H11&lt;SG_Criteria!$B$16)),"FAIL: below PUB min "&amp;SG_Criteria!$B$15&amp;"x"&amp;SG_Criteria!$B$16&amp;" for roadside drain. ","")&amp;IF(AND(E11="Common drain",G11&lt;SG_Criteria!$B$17),"FAIL: common drain W &lt; "&amp;SG_Criteria!$B$17&amp;" mm. ","")&amp;IF(AND(O11&lt;&gt;"",IFERROR(VALUE(MID(O11,2,2)),0)&lt;SG_Criteria!$B$19),"FAIL: grade below C"&amp;SG_Criteria!$B$19&amp;". ","")&amp;IF(AND(P11&lt;&gt;"",P11&lt;SG_Criteria!$B$20),"FAIL: cover &lt; "&amp;SG_Criteria!$B$20&amp;" mm. ","")&amp;IF(AND(F11="Open",H11&gt;SG_Criteria!$B$18),"NOTE: safety railing required (D &gt; "&amp;SG_Criteria!$B$18&amp;" mm). ","")&amp;IF(AND(E11="Entrance culvert",H11&lt;600),"NOTE: check hinged grating rule for culverts &lt; 600 deep (PUB Add. 3). ","")))</f>
        <v>OK</v>
      </c>
      <c r="BF11" s="18" t="s">
        <v>652</v>
      </c>
      <c r="BG11" s="18"/>
      <c r="BH11" s="18" t="s">
        <v>574</v>
      </c>
      <c r="BI11" s="10" t="str">
        <f aca="false">IF(BH11="","",IFERROR(VLOOKUP(BH11,Projects!$A$5:$D$504,2,0),"Ref not in Projects"))</f>
        <v>EXAMPLE Road upgrading at Jalan Contoh</v>
      </c>
      <c r="BJ11" s="10" t="str">
        <f aca="false">IF(BH11="","",IFERROR(VLOOKUP(BH11,Projects!$A$5:$D$504,4,0),"Ref not in Projects"))</f>
        <v>LTA</v>
      </c>
      <c r="BK11" s="18" t="s">
        <v>622</v>
      </c>
      <c r="BL11" s="18" t="s">
        <v>616</v>
      </c>
      <c r="BM11" s="18" t="s">
        <v>617</v>
      </c>
      <c r="BN11" s="35" t="n">
        <v>46309</v>
      </c>
      <c r="BO11" s="18" t="s">
        <v>617</v>
      </c>
      <c r="BP11" s="35" t="n">
        <v>46309</v>
      </c>
      <c r="BQ11" s="18" t="s">
        <v>618</v>
      </c>
      <c r="BR11" s="35"/>
      <c r="BS11" s="18" t="s">
        <v>617</v>
      </c>
      <c r="BT11" s="18" t="s">
        <v>617</v>
      </c>
      <c r="BU11" s="18" t="s">
        <v>617</v>
      </c>
      <c r="BV11" s="35" t="n">
        <v>46309</v>
      </c>
      <c r="BW11" s="35" t="n">
        <v>46309</v>
      </c>
      <c r="BX11" s="36" t="n">
        <f aca="false">IF(BW11="","",EDATE(BW11,SG_Criteria!$B$54*12))</f>
        <v>47405</v>
      </c>
      <c r="BY11" s="33" t="str">
        <f aca="true">IF(A11="","",IF(BW11="","NOTE: not reviewed yet",IF(TODAY()&gt;BX11,"NOTE: review overdue","OK")))</f>
        <v>OK</v>
      </c>
      <c r="BZ11" s="37" t="n">
        <f aca="false">IF(A11="","",ROUND((IF(LEN(D11)&gt;0,1,0)+IF(LEN(E11)&gt;0,1,0)+IF(LEN(F11)&gt;0,1,0)+IF(LEN(G11)&gt;0,1,0)+IF(LEN(H11)&gt;0,1,0)+IF(LEN(J11)&gt;0,1,0)+IF(LEN(K11)&gt;0,1,0)+IF(LEN(M11)&gt;0,1,0)+IF(LEN(O11)&gt;0,1,0)+IF(LEN(P11)&gt;0,1,0)+IF(LEN(Q11)&gt;0,1,0)+IF(LEN(S11)&gt;0,1,0)+IF(LEN(AC11)&gt;0,1,0)+IF(LEN(AV11)&gt;0,1,0)+IF(LEN(AW11)&gt;0,1,0)+IF(LEN(AG11)&gt;0,1,0)+IF(LEN(AI11)&gt;0,1,0)+IF(LEN(AJ11)&gt;0,1,0)+IF(LEN(AK11)&gt;0,1,0)+IF(LEN(AL11)&gt;0,1,0)+IF(LEN(AU11)&gt;0,1,0)+IF(LEN(BH11)&gt;0,1,0)+IF(LEN(BU11)&gt;0,1,0))/23,2))</f>
        <v>1</v>
      </c>
      <c r="CA11" s="10" t="str">
        <f aca="false">IF(D11="","",IF(AND(AJ11="Approved",ISERROR(SEARCH("FAIL",BE11))),"Y","N"))</f>
        <v>Y</v>
      </c>
      <c r="CB11" s="10" t="str">
        <f aca="false">IF(D11="","",D11&amp;"|"&amp;G11&amp;"|"&amp;H11&amp;"|"&amp;M11&amp;"|"&amp;CA11)</f>
        <v>Box Culvert|2400|1800|Vehicular LM1 (SS EN 1991-2)|Y</v>
      </c>
    </row>
    <row r="12" customFormat="false" ht="15" hidden="false" customHeight="false" outlineLevel="0" collapsed="false">
      <c r="A12" s="10" t="str">
        <f aca="false">IF(D12="","","DRN-"&amp;IFERROR(VLOOKUP(D12,Lists!$A$4:$B$27,2,0),"??")&amp;"-"&amp;TEXT(G12,"0000")&amp;"x"&amp;TEXT(H12,"0000")&amp;IF(N(I12)&gt;1,"-"&amp;I12&amp;"C","")&amp;"-"&amp;IFERROR(VLOOKUP(M12,Lists!$J$4:$K$19,2,0),"??")&amp;"-"&amp;AI12)</f>
        <v>DRN-EC-0600x0600-VEH-A</v>
      </c>
      <c r="B12" s="10" t="str">
        <f aca="false">IF(D12="","",D12&amp;" "&amp;G12&amp;"W x "&amp;H12&amp;"D"&amp;IF(N(I12)&gt;1," ("&amp;I12&amp;" cells)","")&amp;", "&amp;E12&amp;", "&amp;M12&amp;", "&amp;F12)</f>
        <v>Entrance Culvert 600W x 600D, Entrance culvert, Vehicular LM1 (SS EN 1991-2), Covered - grating</v>
      </c>
      <c r="C12" s="18" t="s">
        <v>599</v>
      </c>
      <c r="D12" s="18" t="s">
        <v>185</v>
      </c>
      <c r="E12" s="18" t="s">
        <v>653</v>
      </c>
      <c r="F12" s="18" t="s">
        <v>654</v>
      </c>
      <c r="G12" s="31" t="n">
        <v>600</v>
      </c>
      <c r="H12" s="31" t="n">
        <v>600</v>
      </c>
      <c r="I12" s="31" t="n">
        <v>1</v>
      </c>
      <c r="J12" s="31" t="n">
        <v>150</v>
      </c>
      <c r="K12" s="31" t="n">
        <v>150</v>
      </c>
      <c r="L12" s="31"/>
      <c r="M12" s="18" t="s">
        <v>644</v>
      </c>
      <c r="N12" s="18" t="s">
        <v>655</v>
      </c>
      <c r="O12" s="18" t="s">
        <v>603</v>
      </c>
      <c r="P12" s="31" t="n">
        <v>40</v>
      </c>
      <c r="Q12" s="18" t="s">
        <v>632</v>
      </c>
      <c r="R12" s="18" t="s">
        <v>632</v>
      </c>
      <c r="S12" s="18" t="s">
        <v>632</v>
      </c>
      <c r="T12" s="18" t="s">
        <v>605</v>
      </c>
      <c r="U12" s="18" t="s">
        <v>627</v>
      </c>
      <c r="V12" s="18" t="s">
        <v>656</v>
      </c>
      <c r="W12" s="18" t="s">
        <v>657</v>
      </c>
      <c r="X12" s="18"/>
      <c r="Y12" s="18" t="n">
        <v>10</v>
      </c>
      <c r="Z12" s="18" t="s">
        <v>606</v>
      </c>
      <c r="AA12" s="18" t="s">
        <v>607</v>
      </c>
      <c r="AB12" s="32" t="n">
        <v>1.2</v>
      </c>
      <c r="AC12" s="18" t="s">
        <v>608</v>
      </c>
      <c r="AD12" s="31" t="n">
        <v>120</v>
      </c>
      <c r="AE12" s="18" t="s">
        <v>609</v>
      </c>
      <c r="AF12" s="32" t="n">
        <v>0.3</v>
      </c>
      <c r="AG12" s="18" t="s">
        <v>610</v>
      </c>
      <c r="AH12" s="18" t="s">
        <v>611</v>
      </c>
      <c r="AI12" s="18" t="s">
        <v>612</v>
      </c>
      <c r="AJ12" s="18" t="s">
        <v>254</v>
      </c>
      <c r="AK12" s="18" t="s">
        <v>658</v>
      </c>
      <c r="AL12" s="18" t="n">
        <v>20</v>
      </c>
      <c r="AM12" s="18" t="s">
        <v>84</v>
      </c>
      <c r="AN12" s="10" t="str">
        <f aca="false">IF(A12="","",SG_Criteria!$B$6&amp;SG_Criteria!$B$7&amp;"\"&amp;A12&amp;"\")</f>
        <v>C:\Users\yourname\YourCompany\Design Library - Documents\01_Drainage\DRN-EC-0600x0600-VEH-A\</v>
      </c>
      <c r="AO12" s="10" t="str">
        <f aca="false">IF(A12="","",A12&amp;"_CAD.dwg")</f>
        <v>DRN-EC-0600x0600-VEH-A_CAD.dwg</v>
      </c>
      <c r="AP12" s="10" t="str">
        <f aca="false">IF(A12="","",A12&amp;"_DWG.pdf")</f>
        <v>DRN-EC-0600x0600-VEH-A_DWG.pdf</v>
      </c>
      <c r="AQ12" s="10" t="str">
        <f aca="false">IF(A12="","",IF(AM12="Y",A12&amp;"_STAAD.std","n/a"))</f>
        <v>n/a</v>
      </c>
      <c r="AR12" s="10" t="str">
        <f aca="false">IF(A12="","",A12&amp;"_CALC.xlsx")</f>
        <v>DRN-EC-0600x0600-VEH-A_CALC.xlsx</v>
      </c>
      <c r="AS12" s="10" t="str">
        <f aca="false">IF(A12="","",A12&amp;"_CALC.pdf")</f>
        <v>DRN-EC-0600x0600-VEH-A_CALC.pdf</v>
      </c>
      <c r="AT12" s="18" t="s">
        <v>84</v>
      </c>
      <c r="AU12" s="18" t="s">
        <v>313</v>
      </c>
      <c r="AV12" s="32" t="n">
        <v>0.41</v>
      </c>
      <c r="AW12" s="32" t="n">
        <v>45</v>
      </c>
      <c r="AX12" s="32" t="n">
        <v>0</v>
      </c>
      <c r="AY12" s="32" t="n">
        <v>2.9</v>
      </c>
      <c r="AZ12" s="32" t="n">
        <v>1.9</v>
      </c>
      <c r="BA12" s="12" t="str">
        <f aca="false">IF(A12="","",IF(COUNTIF(Rebar_Schedule!$A$5:$A$2004,A12)=0,"",ROUND(SUMIF(Rebar_Schedule!$A$5:$A$2004,A12,Rebar_Schedule!$K$5:$K$2004),1)))</f>
        <v/>
      </c>
      <c r="BB12" s="33" t="str">
        <f aca="false">IF(A12="","",IF(BA12="","No rebar schedule yet",IF(ABS(BA12-N(AW12))/MAX(N(AW12),1)&gt;SG_Criteria!$B$55,"NOTE: register rebar differs from schedule by "&amp;TEXT(ABS(BA12-N(AW12))/MAX(N(AW12),1),"0%"),"OK")))</f>
        <v>No rebar schedule yet</v>
      </c>
      <c r="BC12" s="34" t="n">
        <f aca="false">IF(OR(D12="",G12="",H12="",D12="Sump",D12="Drop Inlet Chamber",D12="Silt Trap",D12="Pipe Culvert",D12="Subsoil Drain"),"",ROUND(MAX(1,N(I12))*(1/SG_Criteria!$B$26)*((G12/1000)*(H12/1000*(1-SG_Criteria!$B$25)))*(((G12/1000)*(H12/1000*(1-SG_Criteria!$B$25)))/((G12/1000)+2*(H12/1000*(1-SG_Criteria!$B$25))))^(2/3)*(1/Design_Selector!$B$11)^0.5,3))</f>
        <v>0.3</v>
      </c>
      <c r="BD12" s="11" t="n">
        <f aca="false">IF(BC12="","",ROUND(BC12/(MAX(1,N(I12))*G12/1000*(H12/1000*(1-SG_Criteria!$B$25))),2))</f>
        <v>0.98</v>
      </c>
      <c r="BE12" s="33" t="str">
        <f aca="false">IF(D12="","",IF(LEN(IF(AND(OR(E12="Roadside drain",E12="Entrance culvert"),OR(G12&lt;SG_Criteria!$B$15,H12&lt;SG_Criteria!$B$16)),"FAIL: below PUB min "&amp;SG_Criteria!$B$15&amp;"x"&amp;SG_Criteria!$B$16&amp;" for roadside drain. ","")&amp;IF(AND(E12="Common drain",G12&lt;SG_Criteria!$B$17),"FAIL: common drain W &lt; "&amp;SG_Criteria!$B$17&amp;" mm. ","")&amp;IF(AND(O12&lt;&gt;"",IFERROR(VALUE(MID(O12,2,2)),0)&lt;SG_Criteria!$B$19),"FAIL: grade below C"&amp;SG_Criteria!$B$19&amp;". ","")&amp;IF(AND(P12&lt;&gt;"",P12&lt;SG_Criteria!$B$20),"FAIL: cover &lt; "&amp;SG_Criteria!$B$20&amp;" mm. ","")&amp;IF(AND(F12="Open",H12&gt;SG_Criteria!$B$18),"NOTE: safety railing required (D &gt; "&amp;SG_Criteria!$B$18&amp;" mm). ","")&amp;IF(AND(E12="Entrance culvert",H12&lt;600),"NOTE: check hinged grating rule for culverts &lt; 600 deep (PUB Add. 3). ",""))=0,"OK",IF(AND(OR(E12="Roadside drain",E12="Entrance culvert"),OR(G12&lt;SG_Criteria!$B$15,H12&lt;SG_Criteria!$B$16)),"FAIL: below PUB min "&amp;SG_Criteria!$B$15&amp;"x"&amp;SG_Criteria!$B$16&amp;" for roadside drain. ","")&amp;IF(AND(E12="Common drain",G12&lt;SG_Criteria!$B$17),"FAIL: common drain W &lt; "&amp;SG_Criteria!$B$17&amp;" mm. ","")&amp;IF(AND(O12&lt;&gt;"",IFERROR(VALUE(MID(O12,2,2)),0)&lt;SG_Criteria!$B$19),"FAIL: grade below C"&amp;SG_Criteria!$B$19&amp;". ","")&amp;IF(AND(P12&lt;&gt;"",P12&lt;SG_Criteria!$B$20),"FAIL: cover &lt; "&amp;SG_Criteria!$B$20&amp;" mm. ","")&amp;IF(AND(F12="Open",H12&gt;SG_Criteria!$B$18),"NOTE: safety railing required (D &gt; "&amp;SG_Criteria!$B$18&amp;" mm). ","")&amp;IF(AND(E12="Entrance culvert",H12&lt;600),"NOTE: check hinged grating rule for culverts &lt; 600 deep (PUB Add. 3). ","")))</f>
        <v>OK</v>
      </c>
      <c r="BF12" s="18" t="s">
        <v>659</v>
      </c>
      <c r="BG12" s="18"/>
      <c r="BH12" s="18" t="s">
        <v>574</v>
      </c>
      <c r="BI12" s="10" t="str">
        <f aca="false">IF(BH12="","",IFERROR(VLOOKUP(BH12,Projects!$A$5:$D$504,2,0),"Ref not in Projects"))</f>
        <v>EXAMPLE Road upgrading at Jalan Contoh</v>
      </c>
      <c r="BJ12" s="10" t="str">
        <f aca="false">IF(BH12="","",IFERROR(VLOOKUP(BH12,Projects!$A$5:$D$504,4,0),"Ref not in Projects"))</f>
        <v>LTA</v>
      </c>
      <c r="BK12" s="18" t="s">
        <v>615</v>
      </c>
      <c r="BL12" s="18" t="s">
        <v>616</v>
      </c>
      <c r="BM12" s="18" t="s">
        <v>617</v>
      </c>
      <c r="BN12" s="35" t="n">
        <v>46309</v>
      </c>
      <c r="BO12" s="18" t="s">
        <v>617</v>
      </c>
      <c r="BP12" s="35" t="n">
        <v>46309</v>
      </c>
      <c r="BQ12" s="18" t="s">
        <v>618</v>
      </c>
      <c r="BR12" s="35"/>
      <c r="BS12" s="18" t="s">
        <v>617</v>
      </c>
      <c r="BT12" s="18" t="s">
        <v>617</v>
      </c>
      <c r="BU12" s="18" t="s">
        <v>617</v>
      </c>
      <c r="BV12" s="35" t="n">
        <v>46309</v>
      </c>
      <c r="BW12" s="35" t="n">
        <v>46309</v>
      </c>
      <c r="BX12" s="36" t="n">
        <f aca="false">IF(BW12="","",EDATE(BW12,SG_Criteria!$B$54*12))</f>
        <v>47405</v>
      </c>
      <c r="BY12" s="33" t="str">
        <f aca="true">IF(A12="","",IF(BW12="","NOTE: not reviewed yet",IF(TODAY()&gt;BX12,"NOTE: review overdue","OK")))</f>
        <v>OK</v>
      </c>
      <c r="BZ12" s="37" t="n">
        <f aca="false">IF(A12="","",ROUND((IF(LEN(D12)&gt;0,1,0)+IF(LEN(E12)&gt;0,1,0)+IF(LEN(F12)&gt;0,1,0)+IF(LEN(G12)&gt;0,1,0)+IF(LEN(H12)&gt;0,1,0)+IF(LEN(J12)&gt;0,1,0)+IF(LEN(K12)&gt;0,1,0)+IF(LEN(M12)&gt;0,1,0)+IF(LEN(O12)&gt;0,1,0)+IF(LEN(P12)&gt;0,1,0)+IF(LEN(Q12)&gt;0,1,0)+IF(LEN(S12)&gt;0,1,0)+IF(LEN(AC12)&gt;0,1,0)+IF(LEN(AV12)&gt;0,1,0)+IF(LEN(AW12)&gt;0,1,0)+IF(LEN(AG12)&gt;0,1,0)+IF(LEN(AI12)&gt;0,1,0)+IF(LEN(AJ12)&gt;0,1,0)+IF(LEN(AK12)&gt;0,1,0)+IF(LEN(AL12)&gt;0,1,0)+IF(LEN(AU12)&gt;0,1,0)+IF(LEN(BH12)&gt;0,1,0)+IF(LEN(BU12)&gt;0,1,0))/23,2))</f>
        <v>1</v>
      </c>
      <c r="CA12" s="10" t="str">
        <f aca="false">IF(D12="","",IF(AND(AJ12="Approved",ISERROR(SEARCH("FAIL",BE12))),"Y","N"))</f>
        <v>Y</v>
      </c>
      <c r="CB12" s="10" t="str">
        <f aca="false">IF(D12="","",D12&amp;"|"&amp;G12&amp;"|"&amp;H12&amp;"|"&amp;M12&amp;"|"&amp;CA12)</f>
        <v>Entrance Culvert|600|600|Vehicular LM1 (SS EN 1991-2)|Y</v>
      </c>
    </row>
    <row r="13" customFormat="false" ht="15" hidden="false" customHeight="false" outlineLevel="0" collapsed="false">
      <c r="A13" s="10" t="str">
        <f aca="false">IF(D13="","","DRN-"&amp;IFERROR(VLOOKUP(D13,Lists!$A$4:$B$27,2,0),"??")&amp;"-"&amp;TEXT(G13,"0000")&amp;"x"&amp;TEXT(H13,"0000")&amp;IF(N(I13)&gt;1,"-"&amp;I13&amp;"C","")&amp;"-"&amp;IFERROR(VLOOKUP(M13,Lists!$J$4:$K$19,2,0),"??")&amp;"-"&amp;AI13)</f>
        <v>DRN-CMD-0450x0450-FWY-A</v>
      </c>
      <c r="B13" s="10" t="str">
        <f aca="false">IF(D13="","",D13&amp;" "&amp;G13&amp;"W x "&amp;H13&amp;"D"&amp;IF(N(I13)&gt;1," ("&amp;I13&amp;" cells)","")&amp;", "&amp;E13&amp;", "&amp;M13&amp;", "&amp;F13)</f>
        <v>Common Drain 450W x 450D, Common drain, Footway 5 kPa (SDRE), Covered - grating</v>
      </c>
      <c r="C13" s="18" t="s">
        <v>599</v>
      </c>
      <c r="D13" s="18" t="s">
        <v>187</v>
      </c>
      <c r="E13" s="18" t="s">
        <v>660</v>
      </c>
      <c r="F13" s="18" t="s">
        <v>654</v>
      </c>
      <c r="G13" s="31" t="n">
        <v>450</v>
      </c>
      <c r="H13" s="31" t="n">
        <v>450</v>
      </c>
      <c r="I13" s="31" t="n">
        <v>1</v>
      </c>
      <c r="J13" s="31" t="n">
        <v>100</v>
      </c>
      <c r="K13" s="31" t="n">
        <v>100</v>
      </c>
      <c r="L13" s="31"/>
      <c r="M13" s="18" t="s">
        <v>624</v>
      </c>
      <c r="N13" s="18" t="s">
        <v>605</v>
      </c>
      <c r="O13" s="18" t="s">
        <v>603</v>
      </c>
      <c r="P13" s="31" t="n">
        <v>40</v>
      </c>
      <c r="Q13" s="18" t="s">
        <v>627</v>
      </c>
      <c r="R13" s="18" t="s">
        <v>627</v>
      </c>
      <c r="S13" s="18" t="s">
        <v>627</v>
      </c>
      <c r="T13" s="18" t="s">
        <v>605</v>
      </c>
      <c r="U13" s="18" t="s">
        <v>661</v>
      </c>
      <c r="V13" s="18" t="s">
        <v>662</v>
      </c>
      <c r="W13" s="18" t="s">
        <v>663</v>
      </c>
      <c r="X13" s="18"/>
      <c r="Y13" s="18" t="n">
        <v>10</v>
      </c>
      <c r="Z13" s="18" t="s">
        <v>606</v>
      </c>
      <c r="AA13" s="18" t="s">
        <v>607</v>
      </c>
      <c r="AB13" s="32"/>
      <c r="AC13" s="18" t="s">
        <v>608</v>
      </c>
      <c r="AD13" s="31" t="n">
        <v>100</v>
      </c>
      <c r="AE13" s="18" t="s">
        <v>609</v>
      </c>
      <c r="AF13" s="32" t="n">
        <v>0.3</v>
      </c>
      <c r="AG13" s="18" t="s">
        <v>610</v>
      </c>
      <c r="AH13" s="18" t="s">
        <v>611</v>
      </c>
      <c r="AI13" s="18" t="s">
        <v>612</v>
      </c>
      <c r="AJ13" s="18" t="s">
        <v>254</v>
      </c>
      <c r="AK13" s="18" t="s">
        <v>664</v>
      </c>
      <c r="AL13" s="18" t="n">
        <v>20</v>
      </c>
      <c r="AM13" s="18" t="s">
        <v>84</v>
      </c>
      <c r="AN13" s="10" t="str">
        <f aca="false">IF(A13="","",SG_Criteria!$B$6&amp;SG_Criteria!$B$7&amp;"\"&amp;A13&amp;"\")</f>
        <v>C:\Users\yourname\YourCompany\Design Library - Documents\01_Drainage\DRN-CMD-0450x0450-FWY-A\</v>
      </c>
      <c r="AO13" s="10" t="str">
        <f aca="false">IF(A13="","",A13&amp;"_CAD.dwg")</f>
        <v>DRN-CMD-0450x0450-FWY-A_CAD.dwg</v>
      </c>
      <c r="AP13" s="10" t="str">
        <f aca="false">IF(A13="","",A13&amp;"_DWG.pdf")</f>
        <v>DRN-CMD-0450x0450-FWY-A_DWG.pdf</v>
      </c>
      <c r="AQ13" s="10" t="str">
        <f aca="false">IF(A13="","",IF(AM13="Y",A13&amp;"_STAAD.std","n/a"))</f>
        <v>n/a</v>
      </c>
      <c r="AR13" s="10" t="str">
        <f aca="false">IF(A13="","",A13&amp;"_CALC.xlsx")</f>
        <v>DRN-CMD-0450x0450-FWY-A_CALC.xlsx</v>
      </c>
      <c r="AS13" s="10" t="str">
        <f aca="false">IF(A13="","",A13&amp;"_CALC.pdf")</f>
        <v>DRN-CMD-0450x0450-FWY-A_CALC.pdf</v>
      </c>
      <c r="AT13" s="18" t="s">
        <v>84</v>
      </c>
      <c r="AU13" s="18" t="s">
        <v>313</v>
      </c>
      <c r="AV13" s="32" t="n">
        <v>0.15</v>
      </c>
      <c r="AW13" s="32" t="n">
        <v>12</v>
      </c>
      <c r="AX13" s="32" t="n">
        <v>0</v>
      </c>
      <c r="AY13" s="32" t="n">
        <v>1.9</v>
      </c>
      <c r="AZ13" s="32" t="n">
        <v>0.9</v>
      </c>
      <c r="BA13" s="12" t="str">
        <f aca="false">IF(A13="","",IF(COUNTIF(Rebar_Schedule!$A$5:$A$2004,A13)=0,"",ROUND(SUMIF(Rebar_Schedule!$A$5:$A$2004,A13,Rebar_Schedule!$K$5:$K$2004),1)))</f>
        <v/>
      </c>
      <c r="BB13" s="33" t="str">
        <f aca="false">IF(A13="","",IF(BA13="","No rebar schedule yet",IF(ABS(BA13-N(AW13))/MAX(N(AW13),1)&gt;SG_Criteria!$B$55,"NOTE: register rebar differs from schedule by "&amp;TEXT(ABS(BA13-N(AW13))/MAX(N(AW13),1),"0%"),"OK")))</f>
        <v>No rebar schedule yet</v>
      </c>
      <c r="BC13" s="34" t="n">
        <f aca="false">IF(OR(D13="",G13="",H13="",D13="Sump",D13="Drop Inlet Chamber",D13="Silt Trap",D13="Pipe Culvert",D13="Subsoil Drain"),"",ROUND(MAX(1,N(I13))*(1/SG_Criteria!$B$26)*((G13/1000)*(H13/1000*(1-SG_Criteria!$B$25)))*(((G13/1000)*(H13/1000*(1-SG_Criteria!$B$25)))/((G13/1000)+2*(H13/1000*(1-SG_Criteria!$B$25))))^(2/3)*(1/Design_Selector!$B$11)^0.5,3))</f>
        <v>0.139</v>
      </c>
      <c r="BD13" s="11" t="n">
        <f aca="false">IF(BC13="","",ROUND(BC13/(MAX(1,N(I13))*G13/1000*(H13/1000*(1-SG_Criteria!$B$25))),2))</f>
        <v>0.81</v>
      </c>
      <c r="BE13" s="33" t="str">
        <f aca="false">IF(D13="","",IF(LEN(IF(AND(OR(E13="Roadside drain",E13="Entrance culvert"),OR(G13&lt;SG_Criteria!$B$15,H13&lt;SG_Criteria!$B$16)),"FAIL: below PUB min "&amp;SG_Criteria!$B$15&amp;"x"&amp;SG_Criteria!$B$16&amp;" for roadside drain. ","")&amp;IF(AND(E13="Common drain",G13&lt;SG_Criteria!$B$17),"FAIL: common drain W &lt; "&amp;SG_Criteria!$B$17&amp;" mm. ","")&amp;IF(AND(O13&lt;&gt;"",IFERROR(VALUE(MID(O13,2,2)),0)&lt;SG_Criteria!$B$19),"FAIL: grade below C"&amp;SG_Criteria!$B$19&amp;". ","")&amp;IF(AND(P13&lt;&gt;"",P13&lt;SG_Criteria!$B$20),"FAIL: cover &lt; "&amp;SG_Criteria!$B$20&amp;" mm. ","")&amp;IF(AND(F13="Open",H13&gt;SG_Criteria!$B$18),"NOTE: safety railing required (D &gt; "&amp;SG_Criteria!$B$18&amp;" mm). ","")&amp;IF(AND(E13="Entrance culvert",H13&lt;600),"NOTE: check hinged grating rule for culverts &lt; 600 deep (PUB Add. 3). ",""))=0,"OK",IF(AND(OR(E13="Roadside drain",E13="Entrance culvert"),OR(G13&lt;SG_Criteria!$B$15,H13&lt;SG_Criteria!$B$16)),"FAIL: below PUB min "&amp;SG_Criteria!$B$15&amp;"x"&amp;SG_Criteria!$B$16&amp;" for roadside drain. ","")&amp;IF(AND(E13="Common drain",G13&lt;SG_Criteria!$B$17),"FAIL: common drain W &lt; "&amp;SG_Criteria!$B$17&amp;" mm. ","")&amp;IF(AND(O13&lt;&gt;"",IFERROR(VALUE(MID(O13,2,2)),0)&lt;SG_Criteria!$B$19),"FAIL: grade below C"&amp;SG_Criteria!$B$19&amp;". ","")&amp;IF(AND(P13&lt;&gt;"",P13&lt;SG_Criteria!$B$20),"FAIL: cover &lt; "&amp;SG_Criteria!$B$20&amp;" mm. ","")&amp;IF(AND(F13="Open",H13&gt;SG_Criteria!$B$18),"NOTE: safety railing required (D &gt; "&amp;SG_Criteria!$B$18&amp;" mm). ","")&amp;IF(AND(E13="Entrance culvert",H13&lt;600),"NOTE: check hinged grating rule for culverts &lt; 600 deep (PUB Add. 3). ","")))</f>
        <v>OK</v>
      </c>
      <c r="BF13" s="18" t="s">
        <v>665</v>
      </c>
      <c r="BG13" s="18"/>
      <c r="BH13" s="18" t="s">
        <v>574</v>
      </c>
      <c r="BI13" s="10" t="str">
        <f aca="false">IF(BH13="","",IFERROR(VLOOKUP(BH13,Projects!$A$5:$D$504,2,0),"Ref not in Projects"))</f>
        <v>EXAMPLE Road upgrading at Jalan Contoh</v>
      </c>
      <c r="BJ13" s="10" t="str">
        <f aca="false">IF(BH13="","",IFERROR(VLOOKUP(BH13,Projects!$A$5:$D$504,4,0),"Ref not in Projects"))</f>
        <v>LTA</v>
      </c>
      <c r="BK13" s="18" t="s">
        <v>615</v>
      </c>
      <c r="BL13" s="18" t="s">
        <v>616</v>
      </c>
      <c r="BM13" s="18" t="s">
        <v>617</v>
      </c>
      <c r="BN13" s="35" t="n">
        <v>46309</v>
      </c>
      <c r="BO13" s="18" t="s">
        <v>617</v>
      </c>
      <c r="BP13" s="35" t="n">
        <v>46309</v>
      </c>
      <c r="BQ13" s="18" t="s">
        <v>618</v>
      </c>
      <c r="BR13" s="35"/>
      <c r="BS13" s="18" t="s">
        <v>617</v>
      </c>
      <c r="BT13" s="18" t="s">
        <v>617</v>
      </c>
      <c r="BU13" s="18" t="s">
        <v>617</v>
      </c>
      <c r="BV13" s="35" t="n">
        <v>46309</v>
      </c>
      <c r="BW13" s="35" t="n">
        <v>46309</v>
      </c>
      <c r="BX13" s="36" t="n">
        <f aca="false">IF(BW13="","",EDATE(BW13,SG_Criteria!$B$54*12))</f>
        <v>47405</v>
      </c>
      <c r="BY13" s="33" t="str">
        <f aca="true">IF(A13="","",IF(BW13="","NOTE: not reviewed yet",IF(TODAY()&gt;BX13,"NOTE: review overdue","OK")))</f>
        <v>OK</v>
      </c>
      <c r="BZ13" s="37" t="n">
        <f aca="false">IF(A13="","",ROUND((IF(LEN(D13)&gt;0,1,0)+IF(LEN(E13)&gt;0,1,0)+IF(LEN(F13)&gt;0,1,0)+IF(LEN(G13)&gt;0,1,0)+IF(LEN(H13)&gt;0,1,0)+IF(LEN(J13)&gt;0,1,0)+IF(LEN(K13)&gt;0,1,0)+IF(LEN(M13)&gt;0,1,0)+IF(LEN(O13)&gt;0,1,0)+IF(LEN(P13)&gt;0,1,0)+IF(LEN(Q13)&gt;0,1,0)+IF(LEN(S13)&gt;0,1,0)+IF(LEN(AC13)&gt;0,1,0)+IF(LEN(AV13)&gt;0,1,0)+IF(LEN(AW13)&gt;0,1,0)+IF(LEN(AG13)&gt;0,1,0)+IF(LEN(AI13)&gt;0,1,0)+IF(LEN(AJ13)&gt;0,1,0)+IF(LEN(AK13)&gt;0,1,0)+IF(LEN(AL13)&gt;0,1,0)+IF(LEN(AU13)&gt;0,1,0)+IF(LEN(BH13)&gt;0,1,0)+IF(LEN(BU13)&gt;0,1,0))/23,2))</f>
        <v>1</v>
      </c>
      <c r="CA13" s="10" t="str">
        <f aca="false">IF(D13="","",IF(AND(AJ13="Approved",ISERROR(SEARCH("FAIL",BE13))),"Y","N"))</f>
        <v>Y</v>
      </c>
      <c r="CB13" s="10" t="str">
        <f aca="false">IF(D13="","",D13&amp;"|"&amp;G13&amp;"|"&amp;H13&amp;"|"&amp;M13&amp;"|"&amp;CA13)</f>
        <v>Common Drain|450|450|Footway 5 kPa (SDRE)|Y</v>
      </c>
    </row>
    <row r="14" customFormat="false" ht="15" hidden="false" customHeight="false" outlineLevel="0" collapsed="false">
      <c r="A14" s="10" t="str">
        <f aca="false">IF(D14="","","DRN-"&amp;IFERROR(VLOOKUP(D14,Lists!$A$4:$B$27,2,0),"??")&amp;"-"&amp;TEXT(G14,"0000")&amp;"x"&amp;TEXT(H14,"0000")&amp;IF(N(I14)&gt;1,"-"&amp;I14&amp;"C","")&amp;"-"&amp;IFERROR(VLOOKUP(M14,Lists!$J$4:$K$19,2,0),"??")&amp;"-"&amp;AI14)</f>
        <v>DRN-PUD-0450x0450-S12-A</v>
      </c>
      <c r="B14" s="10" t="str">
        <f aca="false">IF(D14="","",D14&amp;" "&amp;G14&amp;"W x "&amp;H14&amp;"D"&amp;IF(N(I14)&gt;1," ("&amp;I14&amp;" cells)","")&amp;", "&amp;E14&amp;", "&amp;M14&amp;", "&amp;F14)</f>
        <v>Precast U-Drain 450W x 450D, Roadside drain, Drain surcharge 12 kPa (SDRE), Open</v>
      </c>
      <c r="C14" s="18" t="s">
        <v>599</v>
      </c>
      <c r="D14" s="18" t="s">
        <v>66</v>
      </c>
      <c r="E14" s="18" t="s">
        <v>600</v>
      </c>
      <c r="F14" s="18" t="s">
        <v>601</v>
      </c>
      <c r="G14" s="31" t="n">
        <v>450</v>
      </c>
      <c r="H14" s="31" t="n">
        <v>450</v>
      </c>
      <c r="I14" s="31" t="n">
        <v>1</v>
      </c>
      <c r="J14" s="31" t="n">
        <v>100</v>
      </c>
      <c r="K14" s="31" t="n">
        <v>100</v>
      </c>
      <c r="L14" s="31"/>
      <c r="M14" s="18" t="s">
        <v>82</v>
      </c>
      <c r="N14" s="18" t="s">
        <v>602</v>
      </c>
      <c r="O14" s="18" t="s">
        <v>666</v>
      </c>
      <c r="P14" s="31" t="n">
        <v>40</v>
      </c>
      <c r="Q14" s="18" t="s">
        <v>604</v>
      </c>
      <c r="R14" s="18" t="s">
        <v>604</v>
      </c>
      <c r="S14" s="18" t="s">
        <v>604</v>
      </c>
      <c r="T14" s="18" t="s">
        <v>605</v>
      </c>
      <c r="U14" s="18" t="s">
        <v>605</v>
      </c>
      <c r="V14" s="18"/>
      <c r="W14" s="18"/>
      <c r="X14" s="18" t="n">
        <v>1200</v>
      </c>
      <c r="Y14" s="18"/>
      <c r="Z14" s="18" t="s">
        <v>606</v>
      </c>
      <c r="AA14" s="18" t="s">
        <v>607</v>
      </c>
      <c r="AB14" s="32"/>
      <c r="AC14" s="18" t="s">
        <v>608</v>
      </c>
      <c r="AD14" s="31" t="n">
        <v>100</v>
      </c>
      <c r="AE14" s="18" t="s">
        <v>609</v>
      </c>
      <c r="AF14" s="32" t="n">
        <v>0.3</v>
      </c>
      <c r="AG14" s="18" t="s">
        <v>610</v>
      </c>
      <c r="AH14" s="18" t="s">
        <v>611</v>
      </c>
      <c r="AI14" s="18" t="s">
        <v>612</v>
      </c>
      <c r="AJ14" s="18" t="s">
        <v>256</v>
      </c>
      <c r="AK14" s="18" t="s">
        <v>667</v>
      </c>
      <c r="AL14" s="18" t="n">
        <v>20</v>
      </c>
      <c r="AM14" s="18" t="s">
        <v>84</v>
      </c>
      <c r="AN14" s="10" t="str">
        <f aca="false">IF(A14="","",SG_Criteria!$B$6&amp;SG_Criteria!$B$7&amp;"\"&amp;A14&amp;"\")</f>
        <v>C:\Users\yourname\YourCompany\Design Library - Documents\01_Drainage\DRN-PUD-0450x0450-S12-A\</v>
      </c>
      <c r="AO14" s="10" t="str">
        <f aca="false">IF(A14="","",A14&amp;"_CAD.dwg")</f>
        <v>DRN-PUD-0450x0450-S12-A_CAD.dwg</v>
      </c>
      <c r="AP14" s="10" t="str">
        <f aca="false">IF(A14="","",A14&amp;"_DWG.pdf")</f>
        <v>DRN-PUD-0450x0450-S12-A_DWG.pdf</v>
      </c>
      <c r="AQ14" s="10" t="str">
        <f aca="false">IF(A14="","",IF(AM14="Y",A14&amp;"_STAAD.std","n/a"))</f>
        <v>n/a</v>
      </c>
      <c r="AR14" s="10" t="str">
        <f aca="false">IF(A14="","",A14&amp;"_CALC.xlsx")</f>
        <v>DRN-PUD-0450x0450-S12-A_CALC.xlsx</v>
      </c>
      <c r="AS14" s="10" t="str">
        <f aca="false">IF(A14="","",A14&amp;"_CALC.pdf")</f>
        <v>DRN-PUD-0450x0450-S12-A_CALC.pdf</v>
      </c>
      <c r="AT14" s="18" t="s">
        <v>84</v>
      </c>
      <c r="AU14" s="18" t="s">
        <v>313</v>
      </c>
      <c r="AV14" s="32" t="n">
        <v>0.14</v>
      </c>
      <c r="AW14" s="32" t="n">
        <v>11</v>
      </c>
      <c r="AX14" s="32" t="n">
        <v>0</v>
      </c>
      <c r="AY14" s="32" t="n">
        <v>0</v>
      </c>
      <c r="AZ14" s="32" t="n">
        <v>1</v>
      </c>
      <c r="BA14" s="12" t="str">
        <f aca="false">IF(A14="","",IF(COUNTIF(Rebar_Schedule!$A$5:$A$2004,A14)=0,"",ROUND(SUMIF(Rebar_Schedule!$A$5:$A$2004,A14,Rebar_Schedule!$K$5:$K$2004),1)))</f>
        <v/>
      </c>
      <c r="BB14" s="33" t="str">
        <f aca="false">IF(A14="","",IF(BA14="","No rebar schedule yet",IF(ABS(BA14-N(AW14))/MAX(N(AW14),1)&gt;SG_Criteria!$B$55,"NOTE: register rebar differs from schedule by "&amp;TEXT(ABS(BA14-N(AW14))/MAX(N(AW14),1),"0%"),"OK")))</f>
        <v>No rebar schedule yet</v>
      </c>
      <c r="BC14" s="34" t="n">
        <f aca="false">IF(OR(D14="",G14="",H14="",D14="Sump",D14="Drop Inlet Chamber",D14="Silt Trap",D14="Pipe Culvert",D14="Subsoil Drain"),"",ROUND(MAX(1,N(I14))*(1/SG_Criteria!$B$26)*((G14/1000)*(H14/1000*(1-SG_Criteria!$B$25)))*(((G14/1000)*(H14/1000*(1-SG_Criteria!$B$25)))/((G14/1000)+2*(H14/1000*(1-SG_Criteria!$B$25))))^(2/3)*(1/Design_Selector!$B$11)^0.5,3))</f>
        <v>0.139</v>
      </c>
      <c r="BD14" s="11" t="n">
        <f aca="false">IF(BC14="","",ROUND(BC14/(MAX(1,N(I14))*G14/1000*(H14/1000*(1-SG_Criteria!$B$25))),2))</f>
        <v>0.81</v>
      </c>
      <c r="BE14" s="33" t="str">
        <f aca="false">IF(D14="","",IF(LEN(IF(AND(OR(E14="Roadside drain",E14="Entrance culvert"),OR(G14&lt;SG_Criteria!$B$15,H14&lt;SG_Criteria!$B$16)),"FAIL: below PUB min "&amp;SG_Criteria!$B$15&amp;"x"&amp;SG_Criteria!$B$16&amp;" for roadside drain. ","")&amp;IF(AND(E14="Common drain",G14&lt;SG_Criteria!$B$17),"FAIL: common drain W &lt; "&amp;SG_Criteria!$B$17&amp;" mm. ","")&amp;IF(AND(O14&lt;&gt;"",IFERROR(VALUE(MID(O14,2,2)),0)&lt;SG_Criteria!$B$19),"FAIL: grade below C"&amp;SG_Criteria!$B$19&amp;". ","")&amp;IF(AND(P14&lt;&gt;"",P14&lt;SG_Criteria!$B$20),"FAIL: cover &lt; "&amp;SG_Criteria!$B$20&amp;" mm. ","")&amp;IF(AND(F14="Open",H14&gt;SG_Criteria!$B$18),"NOTE: safety railing required (D &gt; "&amp;SG_Criteria!$B$18&amp;" mm). ","")&amp;IF(AND(E14="Entrance culvert",H14&lt;600),"NOTE: check hinged grating rule for culverts &lt; 600 deep (PUB Add. 3). ",""))=0,"OK",IF(AND(OR(E14="Roadside drain",E14="Entrance culvert"),OR(G14&lt;SG_Criteria!$B$15,H14&lt;SG_Criteria!$B$16)),"FAIL: below PUB min "&amp;SG_Criteria!$B$15&amp;"x"&amp;SG_Criteria!$B$16&amp;" for roadside drain. ","")&amp;IF(AND(E14="Common drain",G14&lt;SG_Criteria!$B$17),"FAIL: common drain W &lt; "&amp;SG_Criteria!$B$17&amp;" mm. ","")&amp;IF(AND(O14&lt;&gt;"",IFERROR(VALUE(MID(O14,2,2)),0)&lt;SG_Criteria!$B$19),"FAIL: grade below C"&amp;SG_Criteria!$B$19&amp;". ","")&amp;IF(AND(P14&lt;&gt;"",P14&lt;SG_Criteria!$B$20),"FAIL: cover &lt; "&amp;SG_Criteria!$B$20&amp;" mm. ","")&amp;IF(AND(F14="Open",H14&gt;SG_Criteria!$B$18),"NOTE: safety railing required (D &gt; "&amp;SG_Criteria!$B$18&amp;" mm). ","")&amp;IF(AND(E14="Entrance culvert",H14&lt;600),"NOTE: check hinged grating rule for culverts &lt; 600 deep (PUB Add. 3). ","")))</f>
        <v>FAIL: below PUB min 600x600 for roadside drain. FAIL: grade below C28. </v>
      </c>
      <c r="BF14" s="18" t="s">
        <v>668</v>
      </c>
      <c r="BG14" s="18"/>
      <c r="BH14" s="18" t="s">
        <v>574</v>
      </c>
      <c r="BI14" s="10" t="str">
        <f aca="false">IF(BH14="","",IFERROR(VLOOKUP(BH14,Projects!$A$5:$D$504,2,0),"Ref not in Projects"))</f>
        <v>EXAMPLE Road upgrading at Jalan Contoh</v>
      </c>
      <c r="BJ14" s="10" t="str">
        <f aca="false">IF(BH14="","",IFERROR(VLOOKUP(BH14,Projects!$A$5:$D$504,4,0),"Ref not in Projects"))</f>
        <v>LTA</v>
      </c>
      <c r="BK14" s="18" t="s">
        <v>669</v>
      </c>
      <c r="BL14" s="18" t="s">
        <v>616</v>
      </c>
      <c r="BM14" s="18" t="s">
        <v>617</v>
      </c>
      <c r="BN14" s="35" t="n">
        <v>46309</v>
      </c>
      <c r="BO14" s="18" t="s">
        <v>617</v>
      </c>
      <c r="BP14" s="35" t="n">
        <v>46309</v>
      </c>
      <c r="BQ14" s="18"/>
      <c r="BR14" s="35"/>
      <c r="BS14" s="18" t="s">
        <v>617</v>
      </c>
      <c r="BT14" s="18" t="s">
        <v>617</v>
      </c>
      <c r="BU14" s="18" t="s">
        <v>617</v>
      </c>
      <c r="BV14" s="35" t="n">
        <v>46309</v>
      </c>
      <c r="BW14" s="35" t="n">
        <v>46309</v>
      </c>
      <c r="BX14" s="36" t="n">
        <f aca="false">IF(BW14="","",EDATE(BW14,SG_Criteria!$B$54*12))</f>
        <v>47405</v>
      </c>
      <c r="BY14" s="33" t="str">
        <f aca="true">IF(A14="","",IF(BW14="","NOTE: not reviewed yet",IF(TODAY()&gt;BX14,"NOTE: review overdue","OK")))</f>
        <v>OK</v>
      </c>
      <c r="BZ14" s="37" t="n">
        <f aca="false">IF(A14="","",ROUND((IF(LEN(D14)&gt;0,1,0)+IF(LEN(E14)&gt;0,1,0)+IF(LEN(F14)&gt;0,1,0)+IF(LEN(G14)&gt;0,1,0)+IF(LEN(H14)&gt;0,1,0)+IF(LEN(J14)&gt;0,1,0)+IF(LEN(K14)&gt;0,1,0)+IF(LEN(M14)&gt;0,1,0)+IF(LEN(O14)&gt;0,1,0)+IF(LEN(P14)&gt;0,1,0)+IF(LEN(Q14)&gt;0,1,0)+IF(LEN(S14)&gt;0,1,0)+IF(LEN(AC14)&gt;0,1,0)+IF(LEN(AV14)&gt;0,1,0)+IF(LEN(AW14)&gt;0,1,0)+IF(LEN(AG14)&gt;0,1,0)+IF(LEN(AI14)&gt;0,1,0)+IF(LEN(AJ14)&gt;0,1,0)+IF(LEN(AK14)&gt;0,1,0)+IF(LEN(AL14)&gt;0,1,0)+IF(LEN(AU14)&gt;0,1,0)+IF(LEN(BH14)&gt;0,1,0)+IF(LEN(BU14)&gt;0,1,0))/23,2))</f>
        <v>1</v>
      </c>
      <c r="CA14" s="10" t="str">
        <f aca="false">IF(D14="","",IF(AND(AJ14="Approved",ISERROR(SEARCH("FAIL",BE14))),"Y","N"))</f>
        <v>N</v>
      </c>
      <c r="CB14" s="10" t="str">
        <f aca="false">IF(D14="","",D14&amp;"|"&amp;G14&amp;"|"&amp;H14&amp;"|"&amp;M14&amp;"|"&amp;CA14)</f>
        <v>Precast U-Drain|450|450|Drain surcharge 12 kPa (SDRE)|N</v>
      </c>
    </row>
    <row r="15" customFormat="false" ht="15" hidden="false" customHeight="false" outlineLevel="0" collapsed="false">
      <c r="A15" s="10" t="str">
        <f aca="false">IF(D15="","","DRN-"&amp;IFERROR(VLOOKUP(D15,Lists!$A$4:$B$27,2,0),"??")&amp;"-"&amp;TEXT(G15,"0000")&amp;"x"&amp;TEXT(H15,"0000")&amp;IF(N(I15)&gt;1,"-"&amp;I15&amp;"C","")&amp;"-"&amp;IFERROR(VLOOKUP(M15,Lists!$J$4:$K$19,2,0),"??")&amp;"-"&amp;AI15)</f>
        <v>DRN-DIC-0600x0900-S12-A</v>
      </c>
      <c r="B15" s="10" t="str">
        <f aca="false">IF(D15="","",D15&amp;" "&amp;G15&amp;"W x "&amp;H15&amp;"D"&amp;IF(N(I15)&gt;1," ("&amp;I15&amp;" cells)","")&amp;", "&amp;E15&amp;", "&amp;M15&amp;", "&amp;F15)</f>
        <v>Drop Inlet Chamber 600W x 900D, Roadside drain, Drain surcharge 12 kPa (SDRE), Covered - grating</v>
      </c>
      <c r="C15" s="18" t="s">
        <v>670</v>
      </c>
      <c r="D15" s="18" t="s">
        <v>188</v>
      </c>
      <c r="E15" s="18" t="s">
        <v>600</v>
      </c>
      <c r="F15" s="18" t="s">
        <v>654</v>
      </c>
      <c r="G15" s="31" t="n">
        <v>600</v>
      </c>
      <c r="H15" s="31" t="n">
        <v>900</v>
      </c>
      <c r="I15" s="31" t="n">
        <v>1</v>
      </c>
      <c r="J15" s="31" t="n">
        <v>150</v>
      </c>
      <c r="K15" s="31" t="n">
        <v>150</v>
      </c>
      <c r="L15" s="31"/>
      <c r="M15" s="18" t="s">
        <v>82</v>
      </c>
      <c r="N15" s="18" t="s">
        <v>605</v>
      </c>
      <c r="O15" s="18" t="s">
        <v>603</v>
      </c>
      <c r="P15" s="31" t="n">
        <v>40</v>
      </c>
      <c r="Q15" s="18" t="s">
        <v>626</v>
      </c>
      <c r="R15" s="18" t="s">
        <v>626</v>
      </c>
      <c r="S15" s="18" t="s">
        <v>626</v>
      </c>
      <c r="T15" s="18" t="s">
        <v>605</v>
      </c>
      <c r="U15" s="18" t="s">
        <v>605</v>
      </c>
      <c r="V15" s="18" t="s">
        <v>671</v>
      </c>
      <c r="W15" s="18" t="s">
        <v>657</v>
      </c>
      <c r="X15" s="18"/>
      <c r="Y15" s="18" t="n">
        <v>10</v>
      </c>
      <c r="Z15" s="18" t="s">
        <v>606</v>
      </c>
      <c r="AA15" s="18" t="s">
        <v>607</v>
      </c>
      <c r="AB15" s="32"/>
      <c r="AC15" s="18" t="s">
        <v>608</v>
      </c>
      <c r="AD15" s="31" t="n">
        <v>100</v>
      </c>
      <c r="AE15" s="18" t="s">
        <v>609</v>
      </c>
      <c r="AF15" s="32" t="n">
        <v>0.3</v>
      </c>
      <c r="AG15" s="18" t="s">
        <v>610</v>
      </c>
      <c r="AH15" s="18" t="s">
        <v>611</v>
      </c>
      <c r="AI15" s="18" t="s">
        <v>612</v>
      </c>
      <c r="AJ15" s="18" t="s">
        <v>254</v>
      </c>
      <c r="AK15" s="18" t="s">
        <v>672</v>
      </c>
      <c r="AL15" s="18" t="n">
        <v>20</v>
      </c>
      <c r="AM15" s="18" t="s">
        <v>84</v>
      </c>
      <c r="AN15" s="10" t="str">
        <f aca="false">IF(A15="","",SG_Criteria!$B$6&amp;SG_Criteria!$B$7&amp;"\"&amp;A15&amp;"\")</f>
        <v>C:\Users\yourname\YourCompany\Design Library - Documents\01_Drainage\DRN-DIC-0600x0900-S12-A\</v>
      </c>
      <c r="AO15" s="10" t="str">
        <f aca="false">IF(A15="","",A15&amp;"_CAD.dwg")</f>
        <v>DRN-DIC-0600x0900-S12-A_CAD.dwg</v>
      </c>
      <c r="AP15" s="10" t="str">
        <f aca="false">IF(A15="","",A15&amp;"_DWG.pdf")</f>
        <v>DRN-DIC-0600x0900-S12-A_DWG.pdf</v>
      </c>
      <c r="AQ15" s="10" t="str">
        <f aca="false">IF(A15="","",IF(AM15="Y",A15&amp;"_STAAD.std","n/a"))</f>
        <v>n/a</v>
      </c>
      <c r="AR15" s="10" t="str">
        <f aca="false">IF(A15="","",A15&amp;"_CALC.xlsx")</f>
        <v>DRN-DIC-0600x0900-S12-A_CALC.xlsx</v>
      </c>
      <c r="AS15" s="10" t="str">
        <f aca="false">IF(A15="","",A15&amp;"_CALC.pdf")</f>
        <v>DRN-DIC-0600x0900-S12-A_CALC.pdf</v>
      </c>
      <c r="AT15" s="18" t="s">
        <v>84</v>
      </c>
      <c r="AU15" s="18" t="s">
        <v>673</v>
      </c>
      <c r="AV15" s="32" t="n">
        <v>0.55</v>
      </c>
      <c r="AW15" s="32" t="n">
        <v>42</v>
      </c>
      <c r="AX15" s="32" t="n">
        <v>0</v>
      </c>
      <c r="AY15" s="32" t="n">
        <v>4.2</v>
      </c>
      <c r="AZ15" s="32" t="n">
        <v>1.6</v>
      </c>
      <c r="BA15" s="12" t="str">
        <f aca="false">IF(A15="","",IF(COUNTIF(Rebar_Schedule!$A$5:$A$2004,A15)=0,"",ROUND(SUMIF(Rebar_Schedule!$A$5:$A$2004,A15,Rebar_Schedule!$K$5:$K$2004),1)))</f>
        <v/>
      </c>
      <c r="BB15" s="33" t="str">
        <f aca="false">IF(A15="","",IF(BA15="","No rebar schedule yet",IF(ABS(BA15-N(AW15))/MAX(N(AW15),1)&gt;SG_Criteria!$B$55,"NOTE: register rebar differs from schedule by "&amp;TEXT(ABS(BA15-N(AW15))/MAX(N(AW15),1),"0%"),"OK")))</f>
        <v>No rebar schedule yet</v>
      </c>
      <c r="BC15" s="34" t="str">
        <f aca="false">IF(OR(D15="",G15="",H15="",D15="Sump",D15="Drop Inlet Chamber",D15="Silt Trap",D15="Pipe Culvert",D15="Subsoil Drain"),"",ROUND(MAX(1,N(I15))*(1/SG_Criteria!$B$26)*((G15/1000)*(H15/1000*(1-SG_Criteria!$B$25)))*(((G15/1000)*(H15/1000*(1-SG_Criteria!$B$25)))/((G15/1000)+2*(H15/1000*(1-SG_Criteria!$B$25))))^(2/3)*(1/Design_Selector!$B$11)^0.5,3))</f>
        <v/>
      </c>
      <c r="BD15" s="11" t="str">
        <f aca="false">IF(BC15="","",ROUND(BC15/(MAX(1,N(I15))*G15/1000*(H15/1000*(1-SG_Criteria!$B$25))),2))</f>
        <v/>
      </c>
      <c r="BE15" s="33" t="str">
        <f aca="false">IF(D15="","",IF(LEN(IF(AND(OR(E15="Roadside drain",E15="Entrance culvert"),OR(G15&lt;SG_Criteria!$B$15,H15&lt;SG_Criteria!$B$16)),"FAIL: below PUB min "&amp;SG_Criteria!$B$15&amp;"x"&amp;SG_Criteria!$B$16&amp;" for roadside drain. ","")&amp;IF(AND(E15="Common drain",G15&lt;SG_Criteria!$B$17),"FAIL: common drain W &lt; "&amp;SG_Criteria!$B$17&amp;" mm. ","")&amp;IF(AND(O15&lt;&gt;"",IFERROR(VALUE(MID(O15,2,2)),0)&lt;SG_Criteria!$B$19),"FAIL: grade below C"&amp;SG_Criteria!$B$19&amp;". ","")&amp;IF(AND(P15&lt;&gt;"",P15&lt;SG_Criteria!$B$20),"FAIL: cover &lt; "&amp;SG_Criteria!$B$20&amp;" mm. ","")&amp;IF(AND(F15="Open",H15&gt;SG_Criteria!$B$18),"NOTE: safety railing required (D &gt; "&amp;SG_Criteria!$B$18&amp;" mm). ","")&amp;IF(AND(E15="Entrance culvert",H15&lt;600),"NOTE: check hinged grating rule for culverts &lt; 600 deep (PUB Add. 3). ",""))=0,"OK",IF(AND(OR(E15="Roadside drain",E15="Entrance culvert"),OR(G15&lt;SG_Criteria!$B$15,H15&lt;SG_Criteria!$B$16)),"FAIL: below PUB min "&amp;SG_Criteria!$B$15&amp;"x"&amp;SG_Criteria!$B$16&amp;" for roadside drain. ","")&amp;IF(AND(E15="Common drain",G15&lt;SG_Criteria!$B$17),"FAIL: common drain W &lt; "&amp;SG_Criteria!$B$17&amp;" mm. ","")&amp;IF(AND(O15&lt;&gt;"",IFERROR(VALUE(MID(O15,2,2)),0)&lt;SG_Criteria!$B$19),"FAIL: grade below C"&amp;SG_Criteria!$B$19&amp;". ","")&amp;IF(AND(P15&lt;&gt;"",P15&lt;SG_Criteria!$B$20),"FAIL: cover &lt; "&amp;SG_Criteria!$B$20&amp;" mm. ","")&amp;IF(AND(F15="Open",H15&gt;SG_Criteria!$B$18),"NOTE: safety railing required (D &gt; "&amp;SG_Criteria!$B$18&amp;" mm). ","")&amp;IF(AND(E15="Entrance culvert",H15&lt;600),"NOTE: check hinged grating rule for culverts &lt; 600 deep (PUB Add. 3). ","")))</f>
        <v>OK</v>
      </c>
      <c r="BF15" s="18" t="s">
        <v>674</v>
      </c>
      <c r="BG15" s="18"/>
      <c r="BH15" s="18" t="s">
        <v>574</v>
      </c>
      <c r="BI15" s="10" t="str">
        <f aca="false">IF(BH15="","",IFERROR(VLOOKUP(BH15,Projects!$A$5:$D$504,2,0),"Ref not in Projects"))</f>
        <v>EXAMPLE Road upgrading at Jalan Contoh</v>
      </c>
      <c r="BJ15" s="10" t="str">
        <f aca="false">IF(BH15="","",IFERROR(VLOOKUP(BH15,Projects!$A$5:$D$504,4,0),"Ref not in Projects"))</f>
        <v>LTA</v>
      </c>
      <c r="BK15" s="18" t="s">
        <v>615</v>
      </c>
      <c r="BL15" s="18" t="s">
        <v>616</v>
      </c>
      <c r="BM15" s="18" t="s">
        <v>617</v>
      </c>
      <c r="BN15" s="35" t="n">
        <v>46309</v>
      </c>
      <c r="BO15" s="18" t="s">
        <v>617</v>
      </c>
      <c r="BP15" s="35" t="n">
        <v>46309</v>
      </c>
      <c r="BQ15" s="18" t="s">
        <v>618</v>
      </c>
      <c r="BR15" s="35"/>
      <c r="BS15" s="18" t="s">
        <v>617</v>
      </c>
      <c r="BT15" s="18" t="s">
        <v>617</v>
      </c>
      <c r="BU15" s="18" t="s">
        <v>617</v>
      </c>
      <c r="BV15" s="35" t="n">
        <v>46309</v>
      </c>
      <c r="BW15" s="35" t="n">
        <v>46309</v>
      </c>
      <c r="BX15" s="36" t="n">
        <f aca="false">IF(BW15="","",EDATE(BW15,SG_Criteria!$B$54*12))</f>
        <v>47405</v>
      </c>
      <c r="BY15" s="33" t="str">
        <f aca="true">IF(A15="","",IF(BW15="","NOTE: not reviewed yet",IF(TODAY()&gt;BX15,"NOTE: review overdue","OK")))</f>
        <v>OK</v>
      </c>
      <c r="BZ15" s="37" t="n">
        <f aca="false">IF(A15="","",ROUND((IF(LEN(D15)&gt;0,1,0)+IF(LEN(E15)&gt;0,1,0)+IF(LEN(F15)&gt;0,1,0)+IF(LEN(G15)&gt;0,1,0)+IF(LEN(H15)&gt;0,1,0)+IF(LEN(J15)&gt;0,1,0)+IF(LEN(K15)&gt;0,1,0)+IF(LEN(M15)&gt;0,1,0)+IF(LEN(O15)&gt;0,1,0)+IF(LEN(P15)&gt;0,1,0)+IF(LEN(Q15)&gt;0,1,0)+IF(LEN(S15)&gt;0,1,0)+IF(LEN(AC15)&gt;0,1,0)+IF(LEN(AV15)&gt;0,1,0)+IF(LEN(AW15)&gt;0,1,0)+IF(LEN(AG15)&gt;0,1,0)+IF(LEN(AI15)&gt;0,1,0)+IF(LEN(AJ15)&gt;0,1,0)+IF(LEN(AK15)&gt;0,1,0)+IF(LEN(AL15)&gt;0,1,0)+IF(LEN(AU15)&gt;0,1,0)+IF(LEN(BH15)&gt;0,1,0)+IF(LEN(BU15)&gt;0,1,0))/23,2))</f>
        <v>1</v>
      </c>
      <c r="CA15" s="10" t="str">
        <f aca="false">IF(D15="","",IF(AND(AJ15="Approved",ISERROR(SEARCH("FAIL",BE15))),"Y","N"))</f>
        <v>Y</v>
      </c>
      <c r="CB15" s="10" t="str">
        <f aca="false">IF(D15="","",D15&amp;"|"&amp;G15&amp;"|"&amp;H15&amp;"|"&amp;M15&amp;"|"&amp;CA15)</f>
        <v>Drop Inlet Chamber|600|900|Drain surcharge 12 kPa (SDRE)|Y</v>
      </c>
    </row>
    <row r="16" customFormat="false" ht="15" hidden="false" customHeight="false" outlineLevel="0" collapsed="false">
      <c r="A16" s="10" t="str">
        <f aca="false">IF(D16="","","DRN-"&amp;IFERROR(VLOOKUP(D16,Lists!$A$4:$B$27,2,0),"??")&amp;"-"&amp;TEXT(G16,"0000")&amp;"x"&amp;TEXT(H16,"0000")&amp;IF(N(I16)&gt;1,"-"&amp;I16&amp;"C","")&amp;"-"&amp;IFERROR(VLOOKUP(M16,Lists!$J$4:$K$19,2,0),"??")&amp;"-"&amp;AI16)</f>
        <v>DRN-SP-0900x1200-S12-A</v>
      </c>
      <c r="B16" s="10" t="str">
        <f aca="false">IF(D16="","",D16&amp;" "&amp;G16&amp;"W x "&amp;H16&amp;"D"&amp;IF(N(I16)&gt;1," ("&amp;I16&amp;" cells)","")&amp;", "&amp;E16&amp;", "&amp;M16&amp;", "&amp;F16)</f>
        <v>Sump 900W x 1200D, Roadside drain, Drain surcharge 12 kPa (SDRE), Covered - grating</v>
      </c>
      <c r="C16" s="18" t="s">
        <v>675</v>
      </c>
      <c r="D16" s="18" t="s">
        <v>189</v>
      </c>
      <c r="E16" s="18" t="s">
        <v>600</v>
      </c>
      <c r="F16" s="18" t="s">
        <v>654</v>
      </c>
      <c r="G16" s="31" t="n">
        <v>900</v>
      </c>
      <c r="H16" s="31" t="n">
        <v>1200</v>
      </c>
      <c r="I16" s="31" t="n">
        <v>1</v>
      </c>
      <c r="J16" s="31" t="n">
        <v>200</v>
      </c>
      <c r="K16" s="31" t="n">
        <v>200</v>
      </c>
      <c r="L16" s="31"/>
      <c r="M16" s="18" t="s">
        <v>82</v>
      </c>
      <c r="N16" s="18" t="s">
        <v>605</v>
      </c>
      <c r="O16" s="18" t="s">
        <v>603</v>
      </c>
      <c r="P16" s="31" t="n">
        <v>40</v>
      </c>
      <c r="Q16" s="18" t="s">
        <v>632</v>
      </c>
      <c r="R16" s="18" t="s">
        <v>632</v>
      </c>
      <c r="S16" s="18" t="s">
        <v>632</v>
      </c>
      <c r="T16" s="18" t="s">
        <v>605</v>
      </c>
      <c r="U16" s="18" t="s">
        <v>627</v>
      </c>
      <c r="V16" s="18" t="s">
        <v>671</v>
      </c>
      <c r="W16" s="18" t="s">
        <v>676</v>
      </c>
      <c r="X16" s="18"/>
      <c r="Y16" s="18" t="n">
        <v>10</v>
      </c>
      <c r="Z16" s="18" t="s">
        <v>606</v>
      </c>
      <c r="AA16" s="18" t="s">
        <v>607</v>
      </c>
      <c r="AB16" s="32"/>
      <c r="AC16" s="18" t="s">
        <v>608</v>
      </c>
      <c r="AD16" s="31" t="n">
        <v>100</v>
      </c>
      <c r="AE16" s="18" t="s">
        <v>609</v>
      </c>
      <c r="AF16" s="32" t="n">
        <v>0.3</v>
      </c>
      <c r="AG16" s="18" t="s">
        <v>610</v>
      </c>
      <c r="AH16" s="18" t="s">
        <v>611</v>
      </c>
      <c r="AI16" s="18" t="s">
        <v>612</v>
      </c>
      <c r="AJ16" s="18" t="s">
        <v>254</v>
      </c>
      <c r="AK16" s="18" t="s">
        <v>677</v>
      </c>
      <c r="AL16" s="18" t="n">
        <v>20</v>
      </c>
      <c r="AM16" s="18" t="s">
        <v>84</v>
      </c>
      <c r="AN16" s="10" t="str">
        <f aca="false">IF(A16="","",SG_Criteria!$B$6&amp;SG_Criteria!$B$7&amp;"\"&amp;A16&amp;"\")</f>
        <v>C:\Users\yourname\YourCompany\Design Library - Documents\01_Drainage\DRN-SP-0900x1200-S12-A\</v>
      </c>
      <c r="AO16" s="10" t="str">
        <f aca="false">IF(A16="","",A16&amp;"_CAD.dwg")</f>
        <v>DRN-SP-0900x1200-S12-A_CAD.dwg</v>
      </c>
      <c r="AP16" s="10" t="str">
        <f aca="false">IF(A16="","",A16&amp;"_DWG.pdf")</f>
        <v>DRN-SP-0900x1200-S12-A_DWG.pdf</v>
      </c>
      <c r="AQ16" s="10" t="str">
        <f aca="false">IF(A16="","",IF(AM16="Y",A16&amp;"_STAAD.std","n/a"))</f>
        <v>n/a</v>
      </c>
      <c r="AR16" s="10" t="str">
        <f aca="false">IF(A16="","",A16&amp;"_CALC.xlsx")</f>
        <v>DRN-SP-0900x1200-S12-A_CALC.xlsx</v>
      </c>
      <c r="AS16" s="10" t="str">
        <f aca="false">IF(A16="","",A16&amp;"_CALC.pdf")</f>
        <v>DRN-SP-0900x1200-S12-A_CALC.pdf</v>
      </c>
      <c r="AT16" s="18" t="s">
        <v>84</v>
      </c>
      <c r="AU16" s="18" t="s">
        <v>673</v>
      </c>
      <c r="AV16" s="32" t="n">
        <v>1.25</v>
      </c>
      <c r="AW16" s="32" t="n">
        <v>110</v>
      </c>
      <c r="AX16" s="32" t="n">
        <v>0</v>
      </c>
      <c r="AY16" s="32" t="n">
        <v>9.8</v>
      </c>
      <c r="AZ16" s="32" t="n">
        <v>3.2</v>
      </c>
      <c r="BA16" s="12" t="str">
        <f aca="false">IF(A16="","",IF(COUNTIF(Rebar_Schedule!$A$5:$A$2004,A16)=0,"",ROUND(SUMIF(Rebar_Schedule!$A$5:$A$2004,A16,Rebar_Schedule!$K$5:$K$2004),1)))</f>
        <v/>
      </c>
      <c r="BB16" s="33" t="str">
        <f aca="false">IF(A16="","",IF(BA16="","No rebar schedule yet",IF(ABS(BA16-N(AW16))/MAX(N(AW16),1)&gt;SG_Criteria!$B$55,"NOTE: register rebar differs from schedule by "&amp;TEXT(ABS(BA16-N(AW16))/MAX(N(AW16),1),"0%"),"OK")))</f>
        <v>No rebar schedule yet</v>
      </c>
      <c r="BC16" s="34" t="str">
        <f aca="false">IF(OR(D16="",G16="",H16="",D16="Sump",D16="Drop Inlet Chamber",D16="Silt Trap",D16="Pipe Culvert",D16="Subsoil Drain"),"",ROUND(MAX(1,N(I16))*(1/SG_Criteria!$B$26)*((G16/1000)*(H16/1000*(1-SG_Criteria!$B$25)))*(((G16/1000)*(H16/1000*(1-SG_Criteria!$B$25)))/((G16/1000)+2*(H16/1000*(1-SG_Criteria!$B$25))))^(2/3)*(1/Design_Selector!$B$11)^0.5,3))</f>
        <v/>
      </c>
      <c r="BD16" s="11" t="str">
        <f aca="false">IF(BC16="","",ROUND(BC16/(MAX(1,N(I16))*G16/1000*(H16/1000*(1-SG_Criteria!$B$25))),2))</f>
        <v/>
      </c>
      <c r="BE16" s="33" t="str">
        <f aca="false">IF(D16="","",IF(LEN(IF(AND(OR(E16="Roadside drain",E16="Entrance culvert"),OR(G16&lt;SG_Criteria!$B$15,H16&lt;SG_Criteria!$B$16)),"FAIL: below PUB min "&amp;SG_Criteria!$B$15&amp;"x"&amp;SG_Criteria!$B$16&amp;" for roadside drain. ","")&amp;IF(AND(E16="Common drain",G16&lt;SG_Criteria!$B$17),"FAIL: common drain W &lt; "&amp;SG_Criteria!$B$17&amp;" mm. ","")&amp;IF(AND(O16&lt;&gt;"",IFERROR(VALUE(MID(O16,2,2)),0)&lt;SG_Criteria!$B$19),"FAIL: grade below C"&amp;SG_Criteria!$B$19&amp;". ","")&amp;IF(AND(P16&lt;&gt;"",P16&lt;SG_Criteria!$B$20),"FAIL: cover &lt; "&amp;SG_Criteria!$B$20&amp;" mm. ","")&amp;IF(AND(F16="Open",H16&gt;SG_Criteria!$B$18),"NOTE: safety railing required (D &gt; "&amp;SG_Criteria!$B$18&amp;" mm). ","")&amp;IF(AND(E16="Entrance culvert",H16&lt;600),"NOTE: check hinged grating rule for culverts &lt; 600 deep (PUB Add. 3). ",""))=0,"OK",IF(AND(OR(E16="Roadside drain",E16="Entrance culvert"),OR(G16&lt;SG_Criteria!$B$15,H16&lt;SG_Criteria!$B$16)),"FAIL: below PUB min "&amp;SG_Criteria!$B$15&amp;"x"&amp;SG_Criteria!$B$16&amp;" for roadside drain. ","")&amp;IF(AND(E16="Common drain",G16&lt;SG_Criteria!$B$17),"FAIL: common drain W &lt; "&amp;SG_Criteria!$B$17&amp;" mm. ","")&amp;IF(AND(O16&lt;&gt;"",IFERROR(VALUE(MID(O16,2,2)),0)&lt;SG_Criteria!$B$19),"FAIL: grade below C"&amp;SG_Criteria!$B$19&amp;". ","")&amp;IF(AND(P16&lt;&gt;"",P16&lt;SG_Criteria!$B$20),"FAIL: cover &lt; "&amp;SG_Criteria!$B$20&amp;" mm. ","")&amp;IF(AND(F16="Open",H16&gt;SG_Criteria!$B$18),"NOTE: safety railing required (D &gt; "&amp;SG_Criteria!$B$18&amp;" mm). ","")&amp;IF(AND(E16="Entrance culvert",H16&lt;600),"NOTE: check hinged grating rule for culverts &lt; 600 deep (PUB Add. 3). ","")))</f>
        <v>OK</v>
      </c>
      <c r="BF16" s="18" t="s">
        <v>621</v>
      </c>
      <c r="BG16" s="18"/>
      <c r="BH16" s="18" t="s">
        <v>574</v>
      </c>
      <c r="BI16" s="10" t="str">
        <f aca="false">IF(BH16="","",IFERROR(VLOOKUP(BH16,Projects!$A$5:$D$504,2,0),"Ref not in Projects"))</f>
        <v>EXAMPLE Road upgrading at Jalan Contoh</v>
      </c>
      <c r="BJ16" s="10" t="str">
        <f aca="false">IF(BH16="","",IFERROR(VLOOKUP(BH16,Projects!$A$5:$D$504,4,0),"Ref not in Projects"))</f>
        <v>LTA</v>
      </c>
      <c r="BK16" s="18" t="s">
        <v>615</v>
      </c>
      <c r="BL16" s="18" t="s">
        <v>616</v>
      </c>
      <c r="BM16" s="18" t="s">
        <v>617</v>
      </c>
      <c r="BN16" s="35" t="n">
        <v>46309</v>
      </c>
      <c r="BO16" s="18" t="s">
        <v>617</v>
      </c>
      <c r="BP16" s="35" t="n">
        <v>46309</v>
      </c>
      <c r="BQ16" s="18" t="s">
        <v>618</v>
      </c>
      <c r="BR16" s="35"/>
      <c r="BS16" s="18" t="s">
        <v>617</v>
      </c>
      <c r="BT16" s="18" t="s">
        <v>617</v>
      </c>
      <c r="BU16" s="18" t="s">
        <v>617</v>
      </c>
      <c r="BV16" s="35" t="n">
        <v>46309</v>
      </c>
      <c r="BW16" s="35" t="n">
        <v>46309</v>
      </c>
      <c r="BX16" s="36" t="n">
        <f aca="false">IF(BW16="","",EDATE(BW16,SG_Criteria!$B$54*12))</f>
        <v>47405</v>
      </c>
      <c r="BY16" s="33" t="str">
        <f aca="true">IF(A16="","",IF(BW16="","NOTE: not reviewed yet",IF(TODAY()&gt;BX16,"NOTE: review overdue","OK")))</f>
        <v>OK</v>
      </c>
      <c r="BZ16" s="37" t="n">
        <f aca="false">IF(A16="","",ROUND((IF(LEN(D16)&gt;0,1,0)+IF(LEN(E16)&gt;0,1,0)+IF(LEN(F16)&gt;0,1,0)+IF(LEN(G16)&gt;0,1,0)+IF(LEN(H16)&gt;0,1,0)+IF(LEN(J16)&gt;0,1,0)+IF(LEN(K16)&gt;0,1,0)+IF(LEN(M16)&gt;0,1,0)+IF(LEN(O16)&gt;0,1,0)+IF(LEN(P16)&gt;0,1,0)+IF(LEN(Q16)&gt;0,1,0)+IF(LEN(S16)&gt;0,1,0)+IF(LEN(AC16)&gt;0,1,0)+IF(LEN(AV16)&gt;0,1,0)+IF(LEN(AW16)&gt;0,1,0)+IF(LEN(AG16)&gt;0,1,0)+IF(LEN(AI16)&gt;0,1,0)+IF(LEN(AJ16)&gt;0,1,0)+IF(LEN(AK16)&gt;0,1,0)+IF(LEN(AL16)&gt;0,1,0)+IF(LEN(AU16)&gt;0,1,0)+IF(LEN(BH16)&gt;0,1,0)+IF(LEN(BU16)&gt;0,1,0))/23,2))</f>
        <v>1</v>
      </c>
      <c r="CA16" s="10" t="str">
        <f aca="false">IF(D16="","",IF(AND(AJ16="Approved",ISERROR(SEARCH("FAIL",BE16))),"Y","N"))</f>
        <v>Y</v>
      </c>
      <c r="CB16" s="10" t="str">
        <f aca="false">IF(D16="","",D16&amp;"|"&amp;G16&amp;"|"&amp;H16&amp;"|"&amp;M16&amp;"|"&amp;CA16)</f>
        <v>Sump|900|1200|Drain surcharge 12 kPa (SDRE)|Y</v>
      </c>
    </row>
    <row r="17" customFormat="false" ht="15" hidden="false" customHeight="false" outlineLevel="0" collapsed="false">
      <c r="A17" s="10" t="str">
        <f aca="false">IF(D17="","","DRN-"&amp;IFERROR(VLOOKUP(D17,Lists!$A$4:$B$27,2,0),"??")&amp;"-"&amp;TEXT(G17,"0000")&amp;"x"&amp;TEXT(H17,"0000")&amp;IF(N(I17)&gt;1,"-"&amp;I17&amp;"C","")&amp;"-"&amp;IFERROR(VLOOKUP(M17,Lists!$J$4:$K$19,2,0),"??")&amp;"-"&amp;AI17)</f>
        <v/>
      </c>
      <c r="B17" s="10" t="str">
        <f aca="false">IF(D17="","",D17&amp;" "&amp;G17&amp;"W x "&amp;H17&amp;"D"&amp;IF(N(I17)&gt;1," ("&amp;I17&amp;" cells)","")&amp;", "&amp;E17&amp;", "&amp;M17&amp;", "&amp;F17)</f>
        <v/>
      </c>
      <c r="C17" s="9"/>
      <c r="D17" s="9"/>
      <c r="E17" s="9"/>
      <c r="F17" s="9"/>
      <c r="G17" s="38"/>
      <c r="H17" s="38"/>
      <c r="I17" s="38"/>
      <c r="J17" s="38"/>
      <c r="K17" s="38"/>
      <c r="L17" s="38"/>
      <c r="M17" s="9"/>
      <c r="N17" s="9"/>
      <c r="O17" s="9"/>
      <c r="P17" s="38"/>
      <c r="Q17" s="9"/>
      <c r="R17" s="9"/>
      <c r="S17" s="9"/>
      <c r="T17" s="9"/>
      <c r="U17" s="9"/>
      <c r="V17" s="9"/>
      <c r="W17" s="9"/>
      <c r="X17" s="9"/>
      <c r="Y17" s="9"/>
      <c r="Z17" s="9"/>
      <c r="AA17" s="9"/>
      <c r="AB17" s="39"/>
      <c r="AC17" s="9"/>
      <c r="AD17" s="38"/>
      <c r="AE17" s="9"/>
      <c r="AF17" s="39"/>
      <c r="AG17" s="9"/>
      <c r="AH17" s="9"/>
      <c r="AI17" s="9"/>
      <c r="AJ17" s="9"/>
      <c r="AK17" s="9"/>
      <c r="AL17" s="9"/>
      <c r="AM17" s="9"/>
      <c r="AN17" s="10" t="str">
        <f aca="false">IF(A17="","",SG_Criteria!$B$6&amp;SG_Criteria!$B$7&amp;"\"&amp;A17&amp;"\")</f>
        <v/>
      </c>
      <c r="AO17" s="10" t="str">
        <f aca="false">IF(A17="","",A17&amp;"_CAD.dwg")</f>
        <v/>
      </c>
      <c r="AP17" s="10" t="str">
        <f aca="false">IF(A17="","",A17&amp;"_DWG.pdf")</f>
        <v/>
      </c>
      <c r="AQ17" s="10" t="str">
        <f aca="false">IF(A17="","",IF(AM17="Y",A17&amp;"_STAAD.std","n/a"))</f>
        <v/>
      </c>
      <c r="AR17" s="10" t="str">
        <f aca="false">IF(A17="","",A17&amp;"_CALC.xlsx")</f>
        <v/>
      </c>
      <c r="AS17" s="10" t="str">
        <f aca="false">IF(A17="","",A17&amp;"_CALC.pdf")</f>
        <v/>
      </c>
      <c r="AT17" s="9"/>
      <c r="AU17" s="9"/>
      <c r="AV17" s="39"/>
      <c r="AW17" s="39"/>
      <c r="AX17" s="39"/>
      <c r="AY17" s="39"/>
      <c r="AZ17" s="39"/>
      <c r="BA17" s="12" t="str">
        <f aca="false">IF(A17="","",IF(COUNTIF(Rebar_Schedule!$A$5:$A$2004,A17)=0,"",ROUND(SUMIF(Rebar_Schedule!$A$5:$A$2004,A17,Rebar_Schedule!$K$5:$K$2004),1)))</f>
        <v/>
      </c>
      <c r="BB17" s="33" t="str">
        <f aca="false">IF(A17="","",IF(BA17="","No rebar schedule yet",IF(ABS(BA17-N(AW17))/MAX(N(AW17),1)&gt;SG_Criteria!$B$55,"NOTE: register rebar differs from schedule by "&amp;TEXT(ABS(BA17-N(AW17))/MAX(N(AW17),1),"0%"),"OK")))</f>
        <v/>
      </c>
      <c r="BC17" s="34" t="str">
        <f aca="false">IF(OR(D17="",G17="",H17="",D17="Sump",D17="Drop Inlet Chamber",D17="Silt Trap",D17="Pipe Culvert",D17="Subsoil Drain"),"",ROUND(MAX(1,N(I17))*(1/SG_Criteria!$B$26)*((G17/1000)*(H17/1000*(1-SG_Criteria!$B$25)))*(((G17/1000)*(H17/1000*(1-SG_Criteria!$B$25)))/((G17/1000)+2*(H17/1000*(1-SG_Criteria!$B$25))))^(2/3)*(1/Design_Selector!$B$11)^0.5,3))</f>
        <v/>
      </c>
      <c r="BD17" s="11" t="str">
        <f aca="false">IF(BC17="","",ROUND(BC17/(MAX(1,N(I17))*G17/1000*(H17/1000*(1-SG_Criteria!$B$25))),2))</f>
        <v/>
      </c>
      <c r="BE17" s="33" t="str">
        <f aca="false">IF(D17="","",IF(LEN(IF(AND(OR(E17="Roadside drain",E17="Entrance culvert"),OR(G17&lt;SG_Criteria!$B$15,H17&lt;SG_Criteria!$B$16)),"FAIL: below PUB min "&amp;SG_Criteria!$B$15&amp;"x"&amp;SG_Criteria!$B$16&amp;" for roadside drain. ","")&amp;IF(AND(E17="Common drain",G17&lt;SG_Criteria!$B$17),"FAIL: common drain W &lt; "&amp;SG_Criteria!$B$17&amp;" mm. ","")&amp;IF(AND(O17&lt;&gt;"",IFERROR(VALUE(MID(O17,2,2)),0)&lt;SG_Criteria!$B$19),"FAIL: grade below C"&amp;SG_Criteria!$B$19&amp;". ","")&amp;IF(AND(P17&lt;&gt;"",P17&lt;SG_Criteria!$B$20),"FAIL: cover &lt; "&amp;SG_Criteria!$B$20&amp;" mm. ","")&amp;IF(AND(F17="Open",H17&gt;SG_Criteria!$B$18),"NOTE: safety railing required (D &gt; "&amp;SG_Criteria!$B$18&amp;" mm). ","")&amp;IF(AND(E17="Entrance culvert",H17&lt;600),"NOTE: check hinged grating rule for culverts &lt; 600 deep (PUB Add. 3). ",""))=0,"OK",IF(AND(OR(E17="Roadside drain",E17="Entrance culvert"),OR(G17&lt;SG_Criteria!$B$15,H17&lt;SG_Criteria!$B$16)),"FAIL: below PUB min "&amp;SG_Criteria!$B$15&amp;"x"&amp;SG_Criteria!$B$16&amp;" for roadside drain. ","")&amp;IF(AND(E17="Common drain",G17&lt;SG_Criteria!$B$17),"FAIL: common drain W &lt; "&amp;SG_Criteria!$B$17&amp;" mm. ","")&amp;IF(AND(O17&lt;&gt;"",IFERROR(VALUE(MID(O17,2,2)),0)&lt;SG_Criteria!$B$19),"FAIL: grade below C"&amp;SG_Criteria!$B$19&amp;". ","")&amp;IF(AND(P17&lt;&gt;"",P17&lt;SG_Criteria!$B$20),"FAIL: cover &lt; "&amp;SG_Criteria!$B$20&amp;" mm. ","")&amp;IF(AND(F17="Open",H17&gt;SG_Criteria!$B$18),"NOTE: safety railing required (D &gt; "&amp;SG_Criteria!$B$18&amp;" mm). ","")&amp;IF(AND(E17="Entrance culvert",H17&lt;600),"NOTE: check hinged grating rule for culverts &lt; 600 deep (PUB Add. 3). ","")))</f>
        <v/>
      </c>
      <c r="BF17" s="9"/>
      <c r="BG17" s="9"/>
      <c r="BH17" s="9"/>
      <c r="BI17" s="10" t="str">
        <f aca="false">IF(BH17="","",IFERROR(VLOOKUP(BH17,Projects!$A$5:$D$504,2,0),"Ref not in Projects"))</f>
        <v/>
      </c>
      <c r="BJ17" s="10" t="str">
        <f aca="false">IF(BH17="","",IFERROR(VLOOKUP(BH17,Projects!$A$5:$D$504,4,0),"Ref not in Projects"))</f>
        <v/>
      </c>
      <c r="BK17" s="9"/>
      <c r="BL17" s="9"/>
      <c r="BM17" s="9"/>
      <c r="BN17" s="40"/>
      <c r="BO17" s="9"/>
      <c r="BP17" s="40"/>
      <c r="BQ17" s="9"/>
      <c r="BR17" s="40"/>
      <c r="BS17" s="9"/>
      <c r="BT17" s="9"/>
      <c r="BU17" s="9"/>
      <c r="BV17" s="40"/>
      <c r="BW17" s="40"/>
      <c r="BX17" s="36" t="str">
        <f aca="false">IF(BW17="","",EDATE(BW17,SG_Criteria!$B$54*12))</f>
        <v/>
      </c>
      <c r="BY17" s="33" t="str">
        <f aca="true">IF(A17="","",IF(BW17="","NOTE: not reviewed yet",IF(TODAY()&gt;BX17,"NOTE: review overdue","OK")))</f>
        <v/>
      </c>
      <c r="BZ17" s="37" t="str">
        <f aca="false">IF(A17="","",ROUND((IF(LEN(D17)&gt;0,1,0)+IF(LEN(E17)&gt;0,1,0)+IF(LEN(F17)&gt;0,1,0)+IF(LEN(G17)&gt;0,1,0)+IF(LEN(H17)&gt;0,1,0)+IF(LEN(J17)&gt;0,1,0)+IF(LEN(K17)&gt;0,1,0)+IF(LEN(M17)&gt;0,1,0)+IF(LEN(O17)&gt;0,1,0)+IF(LEN(P17)&gt;0,1,0)+IF(LEN(Q17)&gt;0,1,0)+IF(LEN(S17)&gt;0,1,0)+IF(LEN(AC17)&gt;0,1,0)+IF(LEN(AV17)&gt;0,1,0)+IF(LEN(AW17)&gt;0,1,0)+IF(LEN(AG17)&gt;0,1,0)+IF(LEN(AI17)&gt;0,1,0)+IF(LEN(AJ17)&gt;0,1,0)+IF(LEN(AK17)&gt;0,1,0)+IF(LEN(AL17)&gt;0,1,0)+IF(LEN(AU17)&gt;0,1,0)+IF(LEN(BH17)&gt;0,1,0)+IF(LEN(BU17)&gt;0,1,0))/23,2))</f>
        <v/>
      </c>
      <c r="CA17" s="10" t="str">
        <f aca="false">IF(D17="","",IF(AND(AJ17="Approved",ISERROR(SEARCH("FAIL",BE17))),"Y","N"))</f>
        <v/>
      </c>
      <c r="CB17" s="10" t="str">
        <f aca="false">IF(D17="","",D17&amp;"|"&amp;G17&amp;"|"&amp;H17&amp;"|"&amp;M17&amp;"|"&amp;CA17)</f>
        <v/>
      </c>
    </row>
    <row r="18" customFormat="false" ht="15" hidden="false" customHeight="false" outlineLevel="0" collapsed="false">
      <c r="A18" s="10" t="str">
        <f aca="false">IF(D18="","","DRN-"&amp;IFERROR(VLOOKUP(D18,Lists!$A$4:$B$27,2,0),"??")&amp;"-"&amp;TEXT(G18,"0000")&amp;"x"&amp;TEXT(H18,"0000")&amp;IF(N(I18)&gt;1,"-"&amp;I18&amp;"C","")&amp;"-"&amp;IFERROR(VLOOKUP(M18,Lists!$J$4:$K$19,2,0),"??")&amp;"-"&amp;AI18)</f>
        <v/>
      </c>
      <c r="B18" s="10" t="str">
        <f aca="false">IF(D18="","",D18&amp;" "&amp;G18&amp;"W x "&amp;H18&amp;"D"&amp;IF(N(I18)&gt;1," ("&amp;I18&amp;" cells)","")&amp;", "&amp;E18&amp;", "&amp;M18&amp;", "&amp;F18)</f>
        <v/>
      </c>
      <c r="C18" s="9"/>
      <c r="D18" s="9"/>
      <c r="E18" s="9"/>
      <c r="F18" s="9"/>
      <c r="G18" s="38"/>
      <c r="H18" s="38"/>
      <c r="I18" s="38"/>
      <c r="J18" s="38"/>
      <c r="K18" s="38"/>
      <c r="L18" s="38"/>
      <c r="M18" s="9"/>
      <c r="N18" s="9"/>
      <c r="O18" s="9"/>
      <c r="P18" s="38"/>
      <c r="Q18" s="9"/>
      <c r="R18" s="9"/>
      <c r="S18" s="9"/>
      <c r="T18" s="9"/>
      <c r="U18" s="9"/>
      <c r="V18" s="9"/>
      <c r="W18" s="9"/>
      <c r="X18" s="9"/>
      <c r="Y18" s="9"/>
      <c r="Z18" s="9"/>
      <c r="AA18" s="9"/>
      <c r="AB18" s="39"/>
      <c r="AC18" s="9"/>
      <c r="AD18" s="38"/>
      <c r="AE18" s="9"/>
      <c r="AF18" s="39"/>
      <c r="AG18" s="9"/>
      <c r="AH18" s="9"/>
      <c r="AI18" s="9"/>
      <c r="AJ18" s="9"/>
      <c r="AK18" s="9"/>
      <c r="AL18" s="9"/>
      <c r="AM18" s="9"/>
      <c r="AN18" s="10" t="str">
        <f aca="false">IF(A18="","",SG_Criteria!$B$6&amp;SG_Criteria!$B$7&amp;"\"&amp;A18&amp;"\")</f>
        <v/>
      </c>
      <c r="AO18" s="10" t="str">
        <f aca="false">IF(A18="","",A18&amp;"_CAD.dwg")</f>
        <v/>
      </c>
      <c r="AP18" s="10" t="str">
        <f aca="false">IF(A18="","",A18&amp;"_DWG.pdf")</f>
        <v/>
      </c>
      <c r="AQ18" s="10" t="str">
        <f aca="false">IF(A18="","",IF(AM18="Y",A18&amp;"_STAAD.std","n/a"))</f>
        <v/>
      </c>
      <c r="AR18" s="10" t="str">
        <f aca="false">IF(A18="","",A18&amp;"_CALC.xlsx")</f>
        <v/>
      </c>
      <c r="AS18" s="10" t="str">
        <f aca="false">IF(A18="","",A18&amp;"_CALC.pdf")</f>
        <v/>
      </c>
      <c r="AT18" s="9"/>
      <c r="AU18" s="9"/>
      <c r="AV18" s="39"/>
      <c r="AW18" s="39"/>
      <c r="AX18" s="39"/>
      <c r="AY18" s="39"/>
      <c r="AZ18" s="39"/>
      <c r="BA18" s="12" t="str">
        <f aca="false">IF(A18="","",IF(COUNTIF(Rebar_Schedule!$A$5:$A$2004,A18)=0,"",ROUND(SUMIF(Rebar_Schedule!$A$5:$A$2004,A18,Rebar_Schedule!$K$5:$K$2004),1)))</f>
        <v/>
      </c>
      <c r="BB18" s="33" t="str">
        <f aca="false">IF(A18="","",IF(BA18="","No rebar schedule yet",IF(ABS(BA18-N(AW18))/MAX(N(AW18),1)&gt;SG_Criteria!$B$55,"NOTE: register rebar differs from schedule by "&amp;TEXT(ABS(BA18-N(AW18))/MAX(N(AW18),1),"0%"),"OK")))</f>
        <v/>
      </c>
      <c r="BC18" s="34" t="str">
        <f aca="false">IF(OR(D18="",G18="",H18="",D18="Sump",D18="Drop Inlet Chamber",D18="Silt Trap",D18="Pipe Culvert",D18="Subsoil Drain"),"",ROUND(MAX(1,N(I18))*(1/SG_Criteria!$B$26)*((G18/1000)*(H18/1000*(1-SG_Criteria!$B$25)))*(((G18/1000)*(H18/1000*(1-SG_Criteria!$B$25)))/((G18/1000)+2*(H18/1000*(1-SG_Criteria!$B$25))))^(2/3)*(1/Design_Selector!$B$11)^0.5,3))</f>
        <v/>
      </c>
      <c r="BD18" s="11" t="str">
        <f aca="false">IF(BC18="","",ROUND(BC18/(MAX(1,N(I18))*G18/1000*(H18/1000*(1-SG_Criteria!$B$25))),2))</f>
        <v/>
      </c>
      <c r="BE18" s="33" t="str">
        <f aca="false">IF(D18="","",IF(LEN(IF(AND(OR(E18="Roadside drain",E18="Entrance culvert"),OR(G18&lt;SG_Criteria!$B$15,H18&lt;SG_Criteria!$B$16)),"FAIL: below PUB min "&amp;SG_Criteria!$B$15&amp;"x"&amp;SG_Criteria!$B$16&amp;" for roadside drain. ","")&amp;IF(AND(E18="Common drain",G18&lt;SG_Criteria!$B$17),"FAIL: common drain W &lt; "&amp;SG_Criteria!$B$17&amp;" mm. ","")&amp;IF(AND(O18&lt;&gt;"",IFERROR(VALUE(MID(O18,2,2)),0)&lt;SG_Criteria!$B$19),"FAIL: grade below C"&amp;SG_Criteria!$B$19&amp;". ","")&amp;IF(AND(P18&lt;&gt;"",P18&lt;SG_Criteria!$B$20),"FAIL: cover &lt; "&amp;SG_Criteria!$B$20&amp;" mm. ","")&amp;IF(AND(F18="Open",H18&gt;SG_Criteria!$B$18),"NOTE: safety railing required (D &gt; "&amp;SG_Criteria!$B$18&amp;" mm). ","")&amp;IF(AND(E18="Entrance culvert",H18&lt;600),"NOTE: check hinged grating rule for culverts &lt; 600 deep (PUB Add. 3). ",""))=0,"OK",IF(AND(OR(E18="Roadside drain",E18="Entrance culvert"),OR(G18&lt;SG_Criteria!$B$15,H18&lt;SG_Criteria!$B$16)),"FAIL: below PUB min "&amp;SG_Criteria!$B$15&amp;"x"&amp;SG_Criteria!$B$16&amp;" for roadside drain. ","")&amp;IF(AND(E18="Common drain",G18&lt;SG_Criteria!$B$17),"FAIL: common drain W &lt; "&amp;SG_Criteria!$B$17&amp;" mm. ","")&amp;IF(AND(O18&lt;&gt;"",IFERROR(VALUE(MID(O18,2,2)),0)&lt;SG_Criteria!$B$19),"FAIL: grade below C"&amp;SG_Criteria!$B$19&amp;". ","")&amp;IF(AND(P18&lt;&gt;"",P18&lt;SG_Criteria!$B$20),"FAIL: cover &lt; "&amp;SG_Criteria!$B$20&amp;" mm. ","")&amp;IF(AND(F18="Open",H18&gt;SG_Criteria!$B$18),"NOTE: safety railing required (D &gt; "&amp;SG_Criteria!$B$18&amp;" mm). ","")&amp;IF(AND(E18="Entrance culvert",H18&lt;600),"NOTE: check hinged grating rule for culverts &lt; 600 deep (PUB Add. 3). ","")))</f>
        <v/>
      </c>
      <c r="BF18" s="9"/>
      <c r="BG18" s="9"/>
      <c r="BH18" s="9"/>
      <c r="BI18" s="10" t="str">
        <f aca="false">IF(BH18="","",IFERROR(VLOOKUP(BH18,Projects!$A$5:$D$504,2,0),"Ref not in Projects"))</f>
        <v/>
      </c>
      <c r="BJ18" s="10" t="str">
        <f aca="false">IF(BH18="","",IFERROR(VLOOKUP(BH18,Projects!$A$5:$D$504,4,0),"Ref not in Projects"))</f>
        <v/>
      </c>
      <c r="BK18" s="9"/>
      <c r="BL18" s="9"/>
      <c r="BM18" s="9"/>
      <c r="BN18" s="40"/>
      <c r="BO18" s="9"/>
      <c r="BP18" s="40"/>
      <c r="BQ18" s="9"/>
      <c r="BR18" s="40"/>
      <c r="BS18" s="9"/>
      <c r="BT18" s="9"/>
      <c r="BU18" s="9"/>
      <c r="BV18" s="40"/>
      <c r="BW18" s="40"/>
      <c r="BX18" s="36" t="str">
        <f aca="false">IF(BW18="","",EDATE(BW18,SG_Criteria!$B$54*12))</f>
        <v/>
      </c>
      <c r="BY18" s="33" t="str">
        <f aca="true">IF(A18="","",IF(BW18="","NOTE: not reviewed yet",IF(TODAY()&gt;BX18,"NOTE: review overdue","OK")))</f>
        <v/>
      </c>
      <c r="BZ18" s="37" t="str">
        <f aca="false">IF(A18="","",ROUND((IF(LEN(D18)&gt;0,1,0)+IF(LEN(E18)&gt;0,1,0)+IF(LEN(F18)&gt;0,1,0)+IF(LEN(G18)&gt;0,1,0)+IF(LEN(H18)&gt;0,1,0)+IF(LEN(J18)&gt;0,1,0)+IF(LEN(K18)&gt;0,1,0)+IF(LEN(M18)&gt;0,1,0)+IF(LEN(O18)&gt;0,1,0)+IF(LEN(P18)&gt;0,1,0)+IF(LEN(Q18)&gt;0,1,0)+IF(LEN(S18)&gt;0,1,0)+IF(LEN(AC18)&gt;0,1,0)+IF(LEN(AV18)&gt;0,1,0)+IF(LEN(AW18)&gt;0,1,0)+IF(LEN(AG18)&gt;0,1,0)+IF(LEN(AI18)&gt;0,1,0)+IF(LEN(AJ18)&gt;0,1,0)+IF(LEN(AK18)&gt;0,1,0)+IF(LEN(AL18)&gt;0,1,0)+IF(LEN(AU18)&gt;0,1,0)+IF(LEN(BH18)&gt;0,1,0)+IF(LEN(BU18)&gt;0,1,0))/23,2))</f>
        <v/>
      </c>
      <c r="CA18" s="10" t="str">
        <f aca="false">IF(D18="","",IF(AND(AJ18="Approved",ISERROR(SEARCH("FAIL",BE18))),"Y","N"))</f>
        <v/>
      </c>
      <c r="CB18" s="10" t="str">
        <f aca="false">IF(D18="","",D18&amp;"|"&amp;G18&amp;"|"&amp;H18&amp;"|"&amp;M18&amp;"|"&amp;CA18)</f>
        <v/>
      </c>
    </row>
    <row r="19" customFormat="false" ht="15" hidden="false" customHeight="false" outlineLevel="0" collapsed="false">
      <c r="A19" s="10" t="str">
        <f aca="false">IF(D19="","","DRN-"&amp;IFERROR(VLOOKUP(D19,Lists!$A$4:$B$27,2,0),"??")&amp;"-"&amp;TEXT(G19,"0000")&amp;"x"&amp;TEXT(H19,"0000")&amp;IF(N(I19)&gt;1,"-"&amp;I19&amp;"C","")&amp;"-"&amp;IFERROR(VLOOKUP(M19,Lists!$J$4:$K$19,2,0),"??")&amp;"-"&amp;AI19)</f>
        <v/>
      </c>
      <c r="B19" s="10" t="str">
        <f aca="false">IF(D19="","",D19&amp;" "&amp;G19&amp;"W x "&amp;H19&amp;"D"&amp;IF(N(I19)&gt;1," ("&amp;I19&amp;" cells)","")&amp;", "&amp;E19&amp;", "&amp;M19&amp;", "&amp;F19)</f>
        <v/>
      </c>
      <c r="C19" s="9"/>
      <c r="D19" s="9"/>
      <c r="E19" s="9"/>
      <c r="F19" s="9"/>
      <c r="G19" s="38"/>
      <c r="H19" s="38"/>
      <c r="I19" s="38"/>
      <c r="J19" s="38"/>
      <c r="K19" s="38"/>
      <c r="L19" s="38"/>
      <c r="M19" s="9"/>
      <c r="N19" s="9"/>
      <c r="O19" s="9"/>
      <c r="P19" s="38"/>
      <c r="Q19" s="9"/>
      <c r="R19" s="9"/>
      <c r="S19" s="9"/>
      <c r="T19" s="9"/>
      <c r="U19" s="9"/>
      <c r="V19" s="9"/>
      <c r="W19" s="9"/>
      <c r="X19" s="9"/>
      <c r="Y19" s="9"/>
      <c r="Z19" s="9"/>
      <c r="AA19" s="9"/>
      <c r="AB19" s="39"/>
      <c r="AC19" s="9"/>
      <c r="AD19" s="38"/>
      <c r="AE19" s="9"/>
      <c r="AF19" s="39"/>
      <c r="AG19" s="9"/>
      <c r="AH19" s="9"/>
      <c r="AI19" s="9"/>
      <c r="AJ19" s="9"/>
      <c r="AK19" s="9"/>
      <c r="AL19" s="9"/>
      <c r="AM19" s="9"/>
      <c r="AN19" s="10" t="str">
        <f aca="false">IF(A19="","",SG_Criteria!$B$6&amp;SG_Criteria!$B$7&amp;"\"&amp;A19&amp;"\")</f>
        <v/>
      </c>
      <c r="AO19" s="10" t="str">
        <f aca="false">IF(A19="","",A19&amp;"_CAD.dwg")</f>
        <v/>
      </c>
      <c r="AP19" s="10" t="str">
        <f aca="false">IF(A19="","",A19&amp;"_DWG.pdf")</f>
        <v/>
      </c>
      <c r="AQ19" s="10" t="str">
        <f aca="false">IF(A19="","",IF(AM19="Y",A19&amp;"_STAAD.std","n/a"))</f>
        <v/>
      </c>
      <c r="AR19" s="10" t="str">
        <f aca="false">IF(A19="","",A19&amp;"_CALC.xlsx")</f>
        <v/>
      </c>
      <c r="AS19" s="10" t="str">
        <f aca="false">IF(A19="","",A19&amp;"_CALC.pdf")</f>
        <v/>
      </c>
      <c r="AT19" s="9"/>
      <c r="AU19" s="9"/>
      <c r="AV19" s="39"/>
      <c r="AW19" s="39"/>
      <c r="AX19" s="39"/>
      <c r="AY19" s="39"/>
      <c r="AZ19" s="39"/>
      <c r="BA19" s="12" t="str">
        <f aca="false">IF(A19="","",IF(COUNTIF(Rebar_Schedule!$A$5:$A$2004,A19)=0,"",ROUND(SUMIF(Rebar_Schedule!$A$5:$A$2004,A19,Rebar_Schedule!$K$5:$K$2004),1)))</f>
        <v/>
      </c>
      <c r="BB19" s="33" t="str">
        <f aca="false">IF(A19="","",IF(BA19="","No rebar schedule yet",IF(ABS(BA19-N(AW19))/MAX(N(AW19),1)&gt;SG_Criteria!$B$55,"NOTE: register rebar differs from schedule by "&amp;TEXT(ABS(BA19-N(AW19))/MAX(N(AW19),1),"0%"),"OK")))</f>
        <v/>
      </c>
      <c r="BC19" s="34" t="str">
        <f aca="false">IF(OR(D19="",G19="",H19="",D19="Sump",D19="Drop Inlet Chamber",D19="Silt Trap",D19="Pipe Culvert",D19="Subsoil Drain"),"",ROUND(MAX(1,N(I19))*(1/SG_Criteria!$B$26)*((G19/1000)*(H19/1000*(1-SG_Criteria!$B$25)))*(((G19/1000)*(H19/1000*(1-SG_Criteria!$B$25)))/((G19/1000)+2*(H19/1000*(1-SG_Criteria!$B$25))))^(2/3)*(1/Design_Selector!$B$11)^0.5,3))</f>
        <v/>
      </c>
      <c r="BD19" s="11" t="str">
        <f aca="false">IF(BC19="","",ROUND(BC19/(MAX(1,N(I19))*G19/1000*(H19/1000*(1-SG_Criteria!$B$25))),2))</f>
        <v/>
      </c>
      <c r="BE19" s="33" t="str">
        <f aca="false">IF(D19="","",IF(LEN(IF(AND(OR(E19="Roadside drain",E19="Entrance culvert"),OR(G19&lt;SG_Criteria!$B$15,H19&lt;SG_Criteria!$B$16)),"FAIL: below PUB min "&amp;SG_Criteria!$B$15&amp;"x"&amp;SG_Criteria!$B$16&amp;" for roadside drain. ","")&amp;IF(AND(E19="Common drain",G19&lt;SG_Criteria!$B$17),"FAIL: common drain W &lt; "&amp;SG_Criteria!$B$17&amp;" mm. ","")&amp;IF(AND(O19&lt;&gt;"",IFERROR(VALUE(MID(O19,2,2)),0)&lt;SG_Criteria!$B$19),"FAIL: grade below C"&amp;SG_Criteria!$B$19&amp;". ","")&amp;IF(AND(P19&lt;&gt;"",P19&lt;SG_Criteria!$B$20),"FAIL: cover &lt; "&amp;SG_Criteria!$B$20&amp;" mm. ","")&amp;IF(AND(F19="Open",H19&gt;SG_Criteria!$B$18),"NOTE: safety railing required (D &gt; "&amp;SG_Criteria!$B$18&amp;" mm). ","")&amp;IF(AND(E19="Entrance culvert",H19&lt;600),"NOTE: check hinged grating rule for culverts &lt; 600 deep (PUB Add. 3). ",""))=0,"OK",IF(AND(OR(E19="Roadside drain",E19="Entrance culvert"),OR(G19&lt;SG_Criteria!$B$15,H19&lt;SG_Criteria!$B$16)),"FAIL: below PUB min "&amp;SG_Criteria!$B$15&amp;"x"&amp;SG_Criteria!$B$16&amp;" for roadside drain. ","")&amp;IF(AND(E19="Common drain",G19&lt;SG_Criteria!$B$17),"FAIL: common drain W &lt; "&amp;SG_Criteria!$B$17&amp;" mm. ","")&amp;IF(AND(O19&lt;&gt;"",IFERROR(VALUE(MID(O19,2,2)),0)&lt;SG_Criteria!$B$19),"FAIL: grade below C"&amp;SG_Criteria!$B$19&amp;". ","")&amp;IF(AND(P19&lt;&gt;"",P19&lt;SG_Criteria!$B$20),"FAIL: cover &lt; "&amp;SG_Criteria!$B$20&amp;" mm. ","")&amp;IF(AND(F19="Open",H19&gt;SG_Criteria!$B$18),"NOTE: safety railing required (D &gt; "&amp;SG_Criteria!$B$18&amp;" mm). ","")&amp;IF(AND(E19="Entrance culvert",H19&lt;600),"NOTE: check hinged grating rule for culverts &lt; 600 deep (PUB Add. 3). ","")))</f>
        <v/>
      </c>
      <c r="BF19" s="9"/>
      <c r="BG19" s="9"/>
      <c r="BH19" s="9"/>
      <c r="BI19" s="10" t="str">
        <f aca="false">IF(BH19="","",IFERROR(VLOOKUP(BH19,Projects!$A$5:$D$504,2,0),"Ref not in Projects"))</f>
        <v/>
      </c>
      <c r="BJ19" s="10" t="str">
        <f aca="false">IF(BH19="","",IFERROR(VLOOKUP(BH19,Projects!$A$5:$D$504,4,0),"Ref not in Projects"))</f>
        <v/>
      </c>
      <c r="BK19" s="9"/>
      <c r="BL19" s="9"/>
      <c r="BM19" s="9"/>
      <c r="BN19" s="40"/>
      <c r="BO19" s="9"/>
      <c r="BP19" s="40"/>
      <c r="BQ19" s="9"/>
      <c r="BR19" s="40"/>
      <c r="BS19" s="9"/>
      <c r="BT19" s="9"/>
      <c r="BU19" s="9"/>
      <c r="BV19" s="40"/>
      <c r="BW19" s="40"/>
      <c r="BX19" s="36" t="str">
        <f aca="false">IF(BW19="","",EDATE(BW19,SG_Criteria!$B$54*12))</f>
        <v/>
      </c>
      <c r="BY19" s="33" t="str">
        <f aca="true">IF(A19="","",IF(BW19="","NOTE: not reviewed yet",IF(TODAY()&gt;BX19,"NOTE: review overdue","OK")))</f>
        <v/>
      </c>
      <c r="BZ19" s="37" t="str">
        <f aca="false">IF(A19="","",ROUND((IF(LEN(D19)&gt;0,1,0)+IF(LEN(E19)&gt;0,1,0)+IF(LEN(F19)&gt;0,1,0)+IF(LEN(G19)&gt;0,1,0)+IF(LEN(H19)&gt;0,1,0)+IF(LEN(J19)&gt;0,1,0)+IF(LEN(K19)&gt;0,1,0)+IF(LEN(M19)&gt;0,1,0)+IF(LEN(O19)&gt;0,1,0)+IF(LEN(P19)&gt;0,1,0)+IF(LEN(Q19)&gt;0,1,0)+IF(LEN(S19)&gt;0,1,0)+IF(LEN(AC19)&gt;0,1,0)+IF(LEN(AV19)&gt;0,1,0)+IF(LEN(AW19)&gt;0,1,0)+IF(LEN(AG19)&gt;0,1,0)+IF(LEN(AI19)&gt;0,1,0)+IF(LEN(AJ19)&gt;0,1,0)+IF(LEN(AK19)&gt;0,1,0)+IF(LEN(AL19)&gt;0,1,0)+IF(LEN(AU19)&gt;0,1,0)+IF(LEN(BH19)&gt;0,1,0)+IF(LEN(BU19)&gt;0,1,0))/23,2))</f>
        <v/>
      </c>
      <c r="CA19" s="10" t="str">
        <f aca="false">IF(D19="","",IF(AND(AJ19="Approved",ISERROR(SEARCH("FAIL",BE19))),"Y","N"))</f>
        <v/>
      </c>
      <c r="CB19" s="10" t="str">
        <f aca="false">IF(D19="","",D19&amp;"|"&amp;G19&amp;"|"&amp;H19&amp;"|"&amp;M19&amp;"|"&amp;CA19)</f>
        <v/>
      </c>
    </row>
    <row r="20" customFormat="false" ht="15" hidden="false" customHeight="false" outlineLevel="0" collapsed="false">
      <c r="A20" s="10" t="str">
        <f aca="false">IF(D20="","","DRN-"&amp;IFERROR(VLOOKUP(D20,Lists!$A$4:$B$27,2,0),"??")&amp;"-"&amp;TEXT(G20,"0000")&amp;"x"&amp;TEXT(H20,"0000")&amp;IF(N(I20)&gt;1,"-"&amp;I20&amp;"C","")&amp;"-"&amp;IFERROR(VLOOKUP(M20,Lists!$J$4:$K$19,2,0),"??")&amp;"-"&amp;AI20)</f>
        <v/>
      </c>
      <c r="B20" s="10" t="str">
        <f aca="false">IF(D20="","",D20&amp;" "&amp;G20&amp;"W x "&amp;H20&amp;"D"&amp;IF(N(I20)&gt;1," ("&amp;I20&amp;" cells)","")&amp;", "&amp;E20&amp;", "&amp;M20&amp;", "&amp;F20)</f>
        <v/>
      </c>
      <c r="C20" s="9"/>
      <c r="D20" s="9"/>
      <c r="E20" s="9"/>
      <c r="F20" s="9"/>
      <c r="G20" s="38"/>
      <c r="H20" s="38"/>
      <c r="I20" s="38"/>
      <c r="J20" s="38"/>
      <c r="K20" s="38"/>
      <c r="L20" s="38"/>
      <c r="M20" s="9"/>
      <c r="N20" s="9"/>
      <c r="O20" s="9"/>
      <c r="P20" s="38"/>
      <c r="Q20" s="9"/>
      <c r="R20" s="9"/>
      <c r="S20" s="9"/>
      <c r="T20" s="9"/>
      <c r="U20" s="9"/>
      <c r="V20" s="9"/>
      <c r="W20" s="9"/>
      <c r="X20" s="9"/>
      <c r="Y20" s="9"/>
      <c r="Z20" s="9"/>
      <c r="AA20" s="9"/>
      <c r="AB20" s="39"/>
      <c r="AC20" s="9"/>
      <c r="AD20" s="38"/>
      <c r="AE20" s="9"/>
      <c r="AF20" s="39"/>
      <c r="AG20" s="9"/>
      <c r="AH20" s="9"/>
      <c r="AI20" s="9"/>
      <c r="AJ20" s="9"/>
      <c r="AK20" s="9"/>
      <c r="AL20" s="9"/>
      <c r="AM20" s="9"/>
      <c r="AN20" s="10" t="str">
        <f aca="false">IF(A20="","",SG_Criteria!$B$6&amp;SG_Criteria!$B$7&amp;"\"&amp;A20&amp;"\")</f>
        <v/>
      </c>
      <c r="AO20" s="10" t="str">
        <f aca="false">IF(A20="","",A20&amp;"_CAD.dwg")</f>
        <v/>
      </c>
      <c r="AP20" s="10" t="str">
        <f aca="false">IF(A20="","",A20&amp;"_DWG.pdf")</f>
        <v/>
      </c>
      <c r="AQ20" s="10" t="str">
        <f aca="false">IF(A20="","",IF(AM20="Y",A20&amp;"_STAAD.std","n/a"))</f>
        <v/>
      </c>
      <c r="AR20" s="10" t="str">
        <f aca="false">IF(A20="","",A20&amp;"_CALC.xlsx")</f>
        <v/>
      </c>
      <c r="AS20" s="10" t="str">
        <f aca="false">IF(A20="","",A20&amp;"_CALC.pdf")</f>
        <v/>
      </c>
      <c r="AT20" s="9"/>
      <c r="AU20" s="9"/>
      <c r="AV20" s="39"/>
      <c r="AW20" s="39"/>
      <c r="AX20" s="39"/>
      <c r="AY20" s="39"/>
      <c r="AZ20" s="39"/>
      <c r="BA20" s="12" t="str">
        <f aca="false">IF(A20="","",IF(COUNTIF(Rebar_Schedule!$A$5:$A$2004,A20)=0,"",ROUND(SUMIF(Rebar_Schedule!$A$5:$A$2004,A20,Rebar_Schedule!$K$5:$K$2004),1)))</f>
        <v/>
      </c>
      <c r="BB20" s="33" t="str">
        <f aca="false">IF(A20="","",IF(BA20="","No rebar schedule yet",IF(ABS(BA20-N(AW20))/MAX(N(AW20),1)&gt;SG_Criteria!$B$55,"NOTE: register rebar differs from schedule by "&amp;TEXT(ABS(BA20-N(AW20))/MAX(N(AW20),1),"0%"),"OK")))</f>
        <v/>
      </c>
      <c r="BC20" s="34" t="str">
        <f aca="false">IF(OR(D20="",G20="",H20="",D20="Sump",D20="Drop Inlet Chamber",D20="Silt Trap",D20="Pipe Culvert",D20="Subsoil Drain"),"",ROUND(MAX(1,N(I20))*(1/SG_Criteria!$B$26)*((G20/1000)*(H20/1000*(1-SG_Criteria!$B$25)))*(((G20/1000)*(H20/1000*(1-SG_Criteria!$B$25)))/((G20/1000)+2*(H20/1000*(1-SG_Criteria!$B$25))))^(2/3)*(1/Design_Selector!$B$11)^0.5,3))</f>
        <v/>
      </c>
      <c r="BD20" s="11" t="str">
        <f aca="false">IF(BC20="","",ROUND(BC20/(MAX(1,N(I20))*G20/1000*(H20/1000*(1-SG_Criteria!$B$25))),2))</f>
        <v/>
      </c>
      <c r="BE20" s="33" t="str">
        <f aca="false">IF(D20="","",IF(LEN(IF(AND(OR(E20="Roadside drain",E20="Entrance culvert"),OR(G20&lt;SG_Criteria!$B$15,H20&lt;SG_Criteria!$B$16)),"FAIL: below PUB min "&amp;SG_Criteria!$B$15&amp;"x"&amp;SG_Criteria!$B$16&amp;" for roadside drain. ","")&amp;IF(AND(E20="Common drain",G20&lt;SG_Criteria!$B$17),"FAIL: common drain W &lt; "&amp;SG_Criteria!$B$17&amp;" mm. ","")&amp;IF(AND(O20&lt;&gt;"",IFERROR(VALUE(MID(O20,2,2)),0)&lt;SG_Criteria!$B$19),"FAIL: grade below C"&amp;SG_Criteria!$B$19&amp;". ","")&amp;IF(AND(P20&lt;&gt;"",P20&lt;SG_Criteria!$B$20),"FAIL: cover &lt; "&amp;SG_Criteria!$B$20&amp;" mm. ","")&amp;IF(AND(F20="Open",H20&gt;SG_Criteria!$B$18),"NOTE: safety railing required (D &gt; "&amp;SG_Criteria!$B$18&amp;" mm). ","")&amp;IF(AND(E20="Entrance culvert",H20&lt;600),"NOTE: check hinged grating rule for culverts &lt; 600 deep (PUB Add. 3). ",""))=0,"OK",IF(AND(OR(E20="Roadside drain",E20="Entrance culvert"),OR(G20&lt;SG_Criteria!$B$15,H20&lt;SG_Criteria!$B$16)),"FAIL: below PUB min "&amp;SG_Criteria!$B$15&amp;"x"&amp;SG_Criteria!$B$16&amp;" for roadside drain. ","")&amp;IF(AND(E20="Common drain",G20&lt;SG_Criteria!$B$17),"FAIL: common drain W &lt; "&amp;SG_Criteria!$B$17&amp;" mm. ","")&amp;IF(AND(O20&lt;&gt;"",IFERROR(VALUE(MID(O20,2,2)),0)&lt;SG_Criteria!$B$19),"FAIL: grade below C"&amp;SG_Criteria!$B$19&amp;". ","")&amp;IF(AND(P20&lt;&gt;"",P20&lt;SG_Criteria!$B$20),"FAIL: cover &lt; "&amp;SG_Criteria!$B$20&amp;" mm. ","")&amp;IF(AND(F20="Open",H20&gt;SG_Criteria!$B$18),"NOTE: safety railing required (D &gt; "&amp;SG_Criteria!$B$18&amp;" mm). ","")&amp;IF(AND(E20="Entrance culvert",H20&lt;600),"NOTE: check hinged grating rule for culverts &lt; 600 deep (PUB Add. 3). ","")))</f>
        <v/>
      </c>
      <c r="BF20" s="9"/>
      <c r="BG20" s="9"/>
      <c r="BH20" s="9"/>
      <c r="BI20" s="10" t="str">
        <f aca="false">IF(BH20="","",IFERROR(VLOOKUP(BH20,Projects!$A$5:$D$504,2,0),"Ref not in Projects"))</f>
        <v/>
      </c>
      <c r="BJ20" s="10" t="str">
        <f aca="false">IF(BH20="","",IFERROR(VLOOKUP(BH20,Projects!$A$5:$D$504,4,0),"Ref not in Projects"))</f>
        <v/>
      </c>
      <c r="BK20" s="9"/>
      <c r="BL20" s="9"/>
      <c r="BM20" s="9"/>
      <c r="BN20" s="40"/>
      <c r="BO20" s="9"/>
      <c r="BP20" s="40"/>
      <c r="BQ20" s="9"/>
      <c r="BR20" s="40"/>
      <c r="BS20" s="9"/>
      <c r="BT20" s="9"/>
      <c r="BU20" s="9"/>
      <c r="BV20" s="40"/>
      <c r="BW20" s="40"/>
      <c r="BX20" s="36" t="str">
        <f aca="false">IF(BW20="","",EDATE(BW20,SG_Criteria!$B$54*12))</f>
        <v/>
      </c>
      <c r="BY20" s="33" t="str">
        <f aca="true">IF(A20="","",IF(BW20="","NOTE: not reviewed yet",IF(TODAY()&gt;BX20,"NOTE: review overdue","OK")))</f>
        <v/>
      </c>
      <c r="BZ20" s="37" t="str">
        <f aca="false">IF(A20="","",ROUND((IF(LEN(D20)&gt;0,1,0)+IF(LEN(E20)&gt;0,1,0)+IF(LEN(F20)&gt;0,1,0)+IF(LEN(G20)&gt;0,1,0)+IF(LEN(H20)&gt;0,1,0)+IF(LEN(J20)&gt;0,1,0)+IF(LEN(K20)&gt;0,1,0)+IF(LEN(M20)&gt;0,1,0)+IF(LEN(O20)&gt;0,1,0)+IF(LEN(P20)&gt;0,1,0)+IF(LEN(Q20)&gt;0,1,0)+IF(LEN(S20)&gt;0,1,0)+IF(LEN(AC20)&gt;0,1,0)+IF(LEN(AV20)&gt;0,1,0)+IF(LEN(AW20)&gt;0,1,0)+IF(LEN(AG20)&gt;0,1,0)+IF(LEN(AI20)&gt;0,1,0)+IF(LEN(AJ20)&gt;0,1,0)+IF(LEN(AK20)&gt;0,1,0)+IF(LEN(AL20)&gt;0,1,0)+IF(LEN(AU20)&gt;0,1,0)+IF(LEN(BH20)&gt;0,1,0)+IF(LEN(BU20)&gt;0,1,0))/23,2))</f>
        <v/>
      </c>
      <c r="CA20" s="10" t="str">
        <f aca="false">IF(D20="","",IF(AND(AJ20="Approved",ISERROR(SEARCH("FAIL",BE20))),"Y","N"))</f>
        <v/>
      </c>
      <c r="CB20" s="10" t="str">
        <f aca="false">IF(D20="","",D20&amp;"|"&amp;G20&amp;"|"&amp;H20&amp;"|"&amp;M20&amp;"|"&amp;CA20)</f>
        <v/>
      </c>
    </row>
    <row r="21" customFormat="false" ht="15" hidden="false" customHeight="false" outlineLevel="0" collapsed="false">
      <c r="A21" s="10" t="str">
        <f aca="false">IF(D21="","","DRN-"&amp;IFERROR(VLOOKUP(D21,Lists!$A$4:$B$27,2,0),"??")&amp;"-"&amp;TEXT(G21,"0000")&amp;"x"&amp;TEXT(H21,"0000")&amp;IF(N(I21)&gt;1,"-"&amp;I21&amp;"C","")&amp;"-"&amp;IFERROR(VLOOKUP(M21,Lists!$J$4:$K$19,2,0),"??")&amp;"-"&amp;AI21)</f>
        <v/>
      </c>
      <c r="B21" s="10" t="str">
        <f aca="false">IF(D21="","",D21&amp;" "&amp;G21&amp;"W x "&amp;H21&amp;"D"&amp;IF(N(I21)&gt;1," ("&amp;I21&amp;" cells)","")&amp;", "&amp;E21&amp;", "&amp;M21&amp;", "&amp;F21)</f>
        <v/>
      </c>
      <c r="C21" s="9"/>
      <c r="D21" s="9"/>
      <c r="E21" s="9"/>
      <c r="F21" s="9"/>
      <c r="G21" s="38"/>
      <c r="H21" s="38"/>
      <c r="I21" s="38"/>
      <c r="J21" s="38"/>
      <c r="K21" s="38"/>
      <c r="L21" s="38"/>
      <c r="M21" s="9"/>
      <c r="N21" s="9"/>
      <c r="O21" s="9"/>
      <c r="P21" s="38"/>
      <c r="Q21" s="9"/>
      <c r="R21" s="9"/>
      <c r="S21" s="9"/>
      <c r="T21" s="9"/>
      <c r="U21" s="9"/>
      <c r="V21" s="9"/>
      <c r="W21" s="9"/>
      <c r="X21" s="9"/>
      <c r="Y21" s="9"/>
      <c r="Z21" s="9"/>
      <c r="AA21" s="9"/>
      <c r="AB21" s="39"/>
      <c r="AC21" s="9"/>
      <c r="AD21" s="38"/>
      <c r="AE21" s="9"/>
      <c r="AF21" s="39"/>
      <c r="AG21" s="9"/>
      <c r="AH21" s="9"/>
      <c r="AI21" s="9"/>
      <c r="AJ21" s="9"/>
      <c r="AK21" s="9"/>
      <c r="AL21" s="9"/>
      <c r="AM21" s="9"/>
      <c r="AN21" s="10" t="str">
        <f aca="false">IF(A21="","",SG_Criteria!$B$6&amp;SG_Criteria!$B$7&amp;"\"&amp;A21&amp;"\")</f>
        <v/>
      </c>
      <c r="AO21" s="10" t="str">
        <f aca="false">IF(A21="","",A21&amp;"_CAD.dwg")</f>
        <v/>
      </c>
      <c r="AP21" s="10" t="str">
        <f aca="false">IF(A21="","",A21&amp;"_DWG.pdf")</f>
        <v/>
      </c>
      <c r="AQ21" s="10" t="str">
        <f aca="false">IF(A21="","",IF(AM21="Y",A21&amp;"_STAAD.std","n/a"))</f>
        <v/>
      </c>
      <c r="AR21" s="10" t="str">
        <f aca="false">IF(A21="","",A21&amp;"_CALC.xlsx")</f>
        <v/>
      </c>
      <c r="AS21" s="10" t="str">
        <f aca="false">IF(A21="","",A21&amp;"_CALC.pdf")</f>
        <v/>
      </c>
      <c r="AT21" s="9"/>
      <c r="AU21" s="9"/>
      <c r="AV21" s="39"/>
      <c r="AW21" s="39"/>
      <c r="AX21" s="39"/>
      <c r="AY21" s="39"/>
      <c r="AZ21" s="39"/>
      <c r="BA21" s="12" t="str">
        <f aca="false">IF(A21="","",IF(COUNTIF(Rebar_Schedule!$A$5:$A$2004,A21)=0,"",ROUND(SUMIF(Rebar_Schedule!$A$5:$A$2004,A21,Rebar_Schedule!$K$5:$K$2004),1)))</f>
        <v/>
      </c>
      <c r="BB21" s="33" t="str">
        <f aca="false">IF(A21="","",IF(BA21="","No rebar schedule yet",IF(ABS(BA21-N(AW21))/MAX(N(AW21),1)&gt;SG_Criteria!$B$55,"NOTE: register rebar differs from schedule by "&amp;TEXT(ABS(BA21-N(AW21))/MAX(N(AW21),1),"0%"),"OK")))</f>
        <v/>
      </c>
      <c r="BC21" s="34" t="str">
        <f aca="false">IF(OR(D21="",G21="",H21="",D21="Sump",D21="Drop Inlet Chamber",D21="Silt Trap",D21="Pipe Culvert",D21="Subsoil Drain"),"",ROUND(MAX(1,N(I21))*(1/SG_Criteria!$B$26)*((G21/1000)*(H21/1000*(1-SG_Criteria!$B$25)))*(((G21/1000)*(H21/1000*(1-SG_Criteria!$B$25)))/((G21/1000)+2*(H21/1000*(1-SG_Criteria!$B$25))))^(2/3)*(1/Design_Selector!$B$11)^0.5,3))</f>
        <v/>
      </c>
      <c r="BD21" s="11" t="str">
        <f aca="false">IF(BC21="","",ROUND(BC21/(MAX(1,N(I21))*G21/1000*(H21/1000*(1-SG_Criteria!$B$25))),2))</f>
        <v/>
      </c>
      <c r="BE21" s="33" t="str">
        <f aca="false">IF(D21="","",IF(LEN(IF(AND(OR(E21="Roadside drain",E21="Entrance culvert"),OR(G21&lt;SG_Criteria!$B$15,H21&lt;SG_Criteria!$B$16)),"FAIL: below PUB min "&amp;SG_Criteria!$B$15&amp;"x"&amp;SG_Criteria!$B$16&amp;" for roadside drain. ","")&amp;IF(AND(E21="Common drain",G21&lt;SG_Criteria!$B$17),"FAIL: common drain W &lt; "&amp;SG_Criteria!$B$17&amp;" mm. ","")&amp;IF(AND(O21&lt;&gt;"",IFERROR(VALUE(MID(O21,2,2)),0)&lt;SG_Criteria!$B$19),"FAIL: grade below C"&amp;SG_Criteria!$B$19&amp;". ","")&amp;IF(AND(P21&lt;&gt;"",P21&lt;SG_Criteria!$B$20),"FAIL: cover &lt; "&amp;SG_Criteria!$B$20&amp;" mm. ","")&amp;IF(AND(F21="Open",H21&gt;SG_Criteria!$B$18),"NOTE: safety railing required (D &gt; "&amp;SG_Criteria!$B$18&amp;" mm). ","")&amp;IF(AND(E21="Entrance culvert",H21&lt;600),"NOTE: check hinged grating rule for culverts &lt; 600 deep (PUB Add. 3). ",""))=0,"OK",IF(AND(OR(E21="Roadside drain",E21="Entrance culvert"),OR(G21&lt;SG_Criteria!$B$15,H21&lt;SG_Criteria!$B$16)),"FAIL: below PUB min "&amp;SG_Criteria!$B$15&amp;"x"&amp;SG_Criteria!$B$16&amp;" for roadside drain. ","")&amp;IF(AND(E21="Common drain",G21&lt;SG_Criteria!$B$17),"FAIL: common drain W &lt; "&amp;SG_Criteria!$B$17&amp;" mm. ","")&amp;IF(AND(O21&lt;&gt;"",IFERROR(VALUE(MID(O21,2,2)),0)&lt;SG_Criteria!$B$19),"FAIL: grade below C"&amp;SG_Criteria!$B$19&amp;". ","")&amp;IF(AND(P21&lt;&gt;"",P21&lt;SG_Criteria!$B$20),"FAIL: cover &lt; "&amp;SG_Criteria!$B$20&amp;" mm. ","")&amp;IF(AND(F21="Open",H21&gt;SG_Criteria!$B$18),"NOTE: safety railing required (D &gt; "&amp;SG_Criteria!$B$18&amp;" mm). ","")&amp;IF(AND(E21="Entrance culvert",H21&lt;600),"NOTE: check hinged grating rule for culverts &lt; 600 deep (PUB Add. 3). ","")))</f>
        <v/>
      </c>
      <c r="BF21" s="9"/>
      <c r="BG21" s="9"/>
      <c r="BH21" s="9"/>
      <c r="BI21" s="10" t="str">
        <f aca="false">IF(BH21="","",IFERROR(VLOOKUP(BH21,Projects!$A$5:$D$504,2,0),"Ref not in Projects"))</f>
        <v/>
      </c>
      <c r="BJ21" s="10" t="str">
        <f aca="false">IF(BH21="","",IFERROR(VLOOKUP(BH21,Projects!$A$5:$D$504,4,0),"Ref not in Projects"))</f>
        <v/>
      </c>
      <c r="BK21" s="9"/>
      <c r="BL21" s="9"/>
      <c r="BM21" s="9"/>
      <c r="BN21" s="40"/>
      <c r="BO21" s="9"/>
      <c r="BP21" s="40"/>
      <c r="BQ21" s="9"/>
      <c r="BR21" s="40"/>
      <c r="BS21" s="9"/>
      <c r="BT21" s="9"/>
      <c r="BU21" s="9"/>
      <c r="BV21" s="40"/>
      <c r="BW21" s="40"/>
      <c r="BX21" s="36" t="str">
        <f aca="false">IF(BW21="","",EDATE(BW21,SG_Criteria!$B$54*12))</f>
        <v/>
      </c>
      <c r="BY21" s="33" t="str">
        <f aca="true">IF(A21="","",IF(BW21="","NOTE: not reviewed yet",IF(TODAY()&gt;BX21,"NOTE: review overdue","OK")))</f>
        <v/>
      </c>
      <c r="BZ21" s="37" t="str">
        <f aca="false">IF(A21="","",ROUND((IF(LEN(D21)&gt;0,1,0)+IF(LEN(E21)&gt;0,1,0)+IF(LEN(F21)&gt;0,1,0)+IF(LEN(G21)&gt;0,1,0)+IF(LEN(H21)&gt;0,1,0)+IF(LEN(J21)&gt;0,1,0)+IF(LEN(K21)&gt;0,1,0)+IF(LEN(M21)&gt;0,1,0)+IF(LEN(O21)&gt;0,1,0)+IF(LEN(P21)&gt;0,1,0)+IF(LEN(Q21)&gt;0,1,0)+IF(LEN(S21)&gt;0,1,0)+IF(LEN(AC21)&gt;0,1,0)+IF(LEN(AV21)&gt;0,1,0)+IF(LEN(AW21)&gt;0,1,0)+IF(LEN(AG21)&gt;0,1,0)+IF(LEN(AI21)&gt;0,1,0)+IF(LEN(AJ21)&gt;0,1,0)+IF(LEN(AK21)&gt;0,1,0)+IF(LEN(AL21)&gt;0,1,0)+IF(LEN(AU21)&gt;0,1,0)+IF(LEN(BH21)&gt;0,1,0)+IF(LEN(BU21)&gt;0,1,0))/23,2))</f>
        <v/>
      </c>
      <c r="CA21" s="10" t="str">
        <f aca="false">IF(D21="","",IF(AND(AJ21="Approved",ISERROR(SEARCH("FAIL",BE21))),"Y","N"))</f>
        <v/>
      </c>
      <c r="CB21" s="10" t="str">
        <f aca="false">IF(D21="","",D21&amp;"|"&amp;G21&amp;"|"&amp;H21&amp;"|"&amp;M21&amp;"|"&amp;CA21)</f>
        <v/>
      </c>
    </row>
    <row r="22" customFormat="false" ht="15" hidden="false" customHeight="false" outlineLevel="0" collapsed="false">
      <c r="A22" s="10" t="str">
        <f aca="false">IF(D22="","","DRN-"&amp;IFERROR(VLOOKUP(D22,Lists!$A$4:$B$27,2,0),"??")&amp;"-"&amp;TEXT(G22,"0000")&amp;"x"&amp;TEXT(H22,"0000")&amp;IF(N(I22)&gt;1,"-"&amp;I22&amp;"C","")&amp;"-"&amp;IFERROR(VLOOKUP(M22,Lists!$J$4:$K$19,2,0),"??")&amp;"-"&amp;AI22)</f>
        <v/>
      </c>
      <c r="B22" s="10" t="str">
        <f aca="false">IF(D22="","",D22&amp;" "&amp;G22&amp;"W x "&amp;H22&amp;"D"&amp;IF(N(I22)&gt;1," ("&amp;I22&amp;" cells)","")&amp;", "&amp;E22&amp;", "&amp;M22&amp;", "&amp;F22)</f>
        <v/>
      </c>
      <c r="C22" s="9"/>
      <c r="D22" s="9"/>
      <c r="E22" s="9"/>
      <c r="F22" s="9"/>
      <c r="G22" s="38"/>
      <c r="H22" s="38"/>
      <c r="I22" s="38"/>
      <c r="J22" s="38"/>
      <c r="K22" s="38"/>
      <c r="L22" s="38"/>
      <c r="M22" s="9"/>
      <c r="N22" s="9"/>
      <c r="O22" s="9"/>
      <c r="P22" s="38"/>
      <c r="Q22" s="9"/>
      <c r="R22" s="9"/>
      <c r="S22" s="9"/>
      <c r="T22" s="9"/>
      <c r="U22" s="9"/>
      <c r="V22" s="9"/>
      <c r="W22" s="9"/>
      <c r="X22" s="9"/>
      <c r="Y22" s="9"/>
      <c r="Z22" s="9"/>
      <c r="AA22" s="9"/>
      <c r="AB22" s="39"/>
      <c r="AC22" s="9"/>
      <c r="AD22" s="38"/>
      <c r="AE22" s="9"/>
      <c r="AF22" s="39"/>
      <c r="AG22" s="9"/>
      <c r="AH22" s="9"/>
      <c r="AI22" s="9"/>
      <c r="AJ22" s="9"/>
      <c r="AK22" s="9"/>
      <c r="AL22" s="9"/>
      <c r="AM22" s="9"/>
      <c r="AN22" s="10" t="str">
        <f aca="false">IF(A22="","",SG_Criteria!$B$6&amp;SG_Criteria!$B$7&amp;"\"&amp;A22&amp;"\")</f>
        <v/>
      </c>
      <c r="AO22" s="10" t="str">
        <f aca="false">IF(A22="","",A22&amp;"_CAD.dwg")</f>
        <v/>
      </c>
      <c r="AP22" s="10" t="str">
        <f aca="false">IF(A22="","",A22&amp;"_DWG.pdf")</f>
        <v/>
      </c>
      <c r="AQ22" s="10" t="str">
        <f aca="false">IF(A22="","",IF(AM22="Y",A22&amp;"_STAAD.std","n/a"))</f>
        <v/>
      </c>
      <c r="AR22" s="10" t="str">
        <f aca="false">IF(A22="","",A22&amp;"_CALC.xlsx")</f>
        <v/>
      </c>
      <c r="AS22" s="10" t="str">
        <f aca="false">IF(A22="","",A22&amp;"_CALC.pdf")</f>
        <v/>
      </c>
      <c r="AT22" s="9"/>
      <c r="AU22" s="9"/>
      <c r="AV22" s="39"/>
      <c r="AW22" s="39"/>
      <c r="AX22" s="39"/>
      <c r="AY22" s="39"/>
      <c r="AZ22" s="39"/>
      <c r="BA22" s="12" t="str">
        <f aca="false">IF(A22="","",IF(COUNTIF(Rebar_Schedule!$A$5:$A$2004,A22)=0,"",ROUND(SUMIF(Rebar_Schedule!$A$5:$A$2004,A22,Rebar_Schedule!$K$5:$K$2004),1)))</f>
        <v/>
      </c>
      <c r="BB22" s="33" t="str">
        <f aca="false">IF(A22="","",IF(BA22="","No rebar schedule yet",IF(ABS(BA22-N(AW22))/MAX(N(AW22),1)&gt;SG_Criteria!$B$55,"NOTE: register rebar differs from schedule by "&amp;TEXT(ABS(BA22-N(AW22))/MAX(N(AW22),1),"0%"),"OK")))</f>
        <v/>
      </c>
      <c r="BC22" s="34" t="str">
        <f aca="false">IF(OR(D22="",G22="",H22="",D22="Sump",D22="Drop Inlet Chamber",D22="Silt Trap",D22="Pipe Culvert",D22="Subsoil Drain"),"",ROUND(MAX(1,N(I22))*(1/SG_Criteria!$B$26)*((G22/1000)*(H22/1000*(1-SG_Criteria!$B$25)))*(((G22/1000)*(H22/1000*(1-SG_Criteria!$B$25)))/((G22/1000)+2*(H22/1000*(1-SG_Criteria!$B$25))))^(2/3)*(1/Design_Selector!$B$11)^0.5,3))</f>
        <v/>
      </c>
      <c r="BD22" s="11" t="str">
        <f aca="false">IF(BC22="","",ROUND(BC22/(MAX(1,N(I22))*G22/1000*(H22/1000*(1-SG_Criteria!$B$25))),2))</f>
        <v/>
      </c>
      <c r="BE22" s="33" t="str">
        <f aca="false">IF(D22="","",IF(LEN(IF(AND(OR(E22="Roadside drain",E22="Entrance culvert"),OR(G22&lt;SG_Criteria!$B$15,H22&lt;SG_Criteria!$B$16)),"FAIL: below PUB min "&amp;SG_Criteria!$B$15&amp;"x"&amp;SG_Criteria!$B$16&amp;" for roadside drain. ","")&amp;IF(AND(E22="Common drain",G22&lt;SG_Criteria!$B$17),"FAIL: common drain W &lt; "&amp;SG_Criteria!$B$17&amp;" mm. ","")&amp;IF(AND(O22&lt;&gt;"",IFERROR(VALUE(MID(O22,2,2)),0)&lt;SG_Criteria!$B$19),"FAIL: grade below C"&amp;SG_Criteria!$B$19&amp;". ","")&amp;IF(AND(P22&lt;&gt;"",P22&lt;SG_Criteria!$B$20),"FAIL: cover &lt; "&amp;SG_Criteria!$B$20&amp;" mm. ","")&amp;IF(AND(F22="Open",H22&gt;SG_Criteria!$B$18),"NOTE: safety railing required (D &gt; "&amp;SG_Criteria!$B$18&amp;" mm). ","")&amp;IF(AND(E22="Entrance culvert",H22&lt;600),"NOTE: check hinged grating rule for culverts &lt; 600 deep (PUB Add. 3). ",""))=0,"OK",IF(AND(OR(E22="Roadside drain",E22="Entrance culvert"),OR(G22&lt;SG_Criteria!$B$15,H22&lt;SG_Criteria!$B$16)),"FAIL: below PUB min "&amp;SG_Criteria!$B$15&amp;"x"&amp;SG_Criteria!$B$16&amp;" for roadside drain. ","")&amp;IF(AND(E22="Common drain",G22&lt;SG_Criteria!$B$17),"FAIL: common drain W &lt; "&amp;SG_Criteria!$B$17&amp;" mm. ","")&amp;IF(AND(O22&lt;&gt;"",IFERROR(VALUE(MID(O22,2,2)),0)&lt;SG_Criteria!$B$19),"FAIL: grade below C"&amp;SG_Criteria!$B$19&amp;". ","")&amp;IF(AND(P22&lt;&gt;"",P22&lt;SG_Criteria!$B$20),"FAIL: cover &lt; "&amp;SG_Criteria!$B$20&amp;" mm. ","")&amp;IF(AND(F22="Open",H22&gt;SG_Criteria!$B$18),"NOTE: safety railing required (D &gt; "&amp;SG_Criteria!$B$18&amp;" mm). ","")&amp;IF(AND(E22="Entrance culvert",H22&lt;600),"NOTE: check hinged grating rule for culverts &lt; 600 deep (PUB Add. 3). ","")))</f>
        <v/>
      </c>
      <c r="BF22" s="9"/>
      <c r="BG22" s="9"/>
      <c r="BH22" s="9"/>
      <c r="BI22" s="10" t="str">
        <f aca="false">IF(BH22="","",IFERROR(VLOOKUP(BH22,Projects!$A$5:$D$504,2,0),"Ref not in Projects"))</f>
        <v/>
      </c>
      <c r="BJ22" s="10" t="str">
        <f aca="false">IF(BH22="","",IFERROR(VLOOKUP(BH22,Projects!$A$5:$D$504,4,0),"Ref not in Projects"))</f>
        <v/>
      </c>
      <c r="BK22" s="9"/>
      <c r="BL22" s="9"/>
      <c r="BM22" s="9"/>
      <c r="BN22" s="40"/>
      <c r="BO22" s="9"/>
      <c r="BP22" s="40"/>
      <c r="BQ22" s="9"/>
      <c r="BR22" s="40"/>
      <c r="BS22" s="9"/>
      <c r="BT22" s="9"/>
      <c r="BU22" s="9"/>
      <c r="BV22" s="40"/>
      <c r="BW22" s="40"/>
      <c r="BX22" s="36" t="str">
        <f aca="false">IF(BW22="","",EDATE(BW22,SG_Criteria!$B$54*12))</f>
        <v/>
      </c>
      <c r="BY22" s="33" t="str">
        <f aca="true">IF(A22="","",IF(BW22="","NOTE: not reviewed yet",IF(TODAY()&gt;BX22,"NOTE: review overdue","OK")))</f>
        <v/>
      </c>
      <c r="BZ22" s="37" t="str">
        <f aca="false">IF(A22="","",ROUND((IF(LEN(D22)&gt;0,1,0)+IF(LEN(E22)&gt;0,1,0)+IF(LEN(F22)&gt;0,1,0)+IF(LEN(G22)&gt;0,1,0)+IF(LEN(H22)&gt;0,1,0)+IF(LEN(J22)&gt;0,1,0)+IF(LEN(K22)&gt;0,1,0)+IF(LEN(M22)&gt;0,1,0)+IF(LEN(O22)&gt;0,1,0)+IF(LEN(P22)&gt;0,1,0)+IF(LEN(Q22)&gt;0,1,0)+IF(LEN(S22)&gt;0,1,0)+IF(LEN(AC22)&gt;0,1,0)+IF(LEN(AV22)&gt;0,1,0)+IF(LEN(AW22)&gt;0,1,0)+IF(LEN(AG22)&gt;0,1,0)+IF(LEN(AI22)&gt;0,1,0)+IF(LEN(AJ22)&gt;0,1,0)+IF(LEN(AK22)&gt;0,1,0)+IF(LEN(AL22)&gt;0,1,0)+IF(LEN(AU22)&gt;0,1,0)+IF(LEN(BH22)&gt;0,1,0)+IF(LEN(BU22)&gt;0,1,0))/23,2))</f>
        <v/>
      </c>
      <c r="CA22" s="10" t="str">
        <f aca="false">IF(D22="","",IF(AND(AJ22="Approved",ISERROR(SEARCH("FAIL",BE22))),"Y","N"))</f>
        <v/>
      </c>
      <c r="CB22" s="10" t="str">
        <f aca="false">IF(D22="","",D22&amp;"|"&amp;G22&amp;"|"&amp;H22&amp;"|"&amp;M22&amp;"|"&amp;CA22)</f>
        <v/>
      </c>
    </row>
    <row r="23" customFormat="false" ht="15" hidden="false" customHeight="false" outlineLevel="0" collapsed="false">
      <c r="A23" s="10" t="str">
        <f aca="false">IF(D23="","","DRN-"&amp;IFERROR(VLOOKUP(D23,Lists!$A$4:$B$27,2,0),"??")&amp;"-"&amp;TEXT(G23,"0000")&amp;"x"&amp;TEXT(H23,"0000")&amp;IF(N(I23)&gt;1,"-"&amp;I23&amp;"C","")&amp;"-"&amp;IFERROR(VLOOKUP(M23,Lists!$J$4:$K$19,2,0),"??")&amp;"-"&amp;AI23)</f>
        <v/>
      </c>
      <c r="B23" s="10" t="str">
        <f aca="false">IF(D23="","",D23&amp;" "&amp;G23&amp;"W x "&amp;H23&amp;"D"&amp;IF(N(I23)&gt;1," ("&amp;I23&amp;" cells)","")&amp;", "&amp;E23&amp;", "&amp;M23&amp;", "&amp;F23)</f>
        <v/>
      </c>
      <c r="C23" s="9"/>
      <c r="D23" s="9"/>
      <c r="E23" s="9"/>
      <c r="F23" s="9"/>
      <c r="G23" s="38"/>
      <c r="H23" s="38"/>
      <c r="I23" s="38"/>
      <c r="J23" s="38"/>
      <c r="K23" s="38"/>
      <c r="L23" s="38"/>
      <c r="M23" s="9"/>
      <c r="N23" s="9"/>
      <c r="O23" s="9"/>
      <c r="P23" s="38"/>
      <c r="Q23" s="9"/>
      <c r="R23" s="9"/>
      <c r="S23" s="9"/>
      <c r="T23" s="9"/>
      <c r="U23" s="9"/>
      <c r="V23" s="9"/>
      <c r="W23" s="9"/>
      <c r="X23" s="9"/>
      <c r="Y23" s="9"/>
      <c r="Z23" s="9"/>
      <c r="AA23" s="9"/>
      <c r="AB23" s="39"/>
      <c r="AC23" s="9"/>
      <c r="AD23" s="38"/>
      <c r="AE23" s="9"/>
      <c r="AF23" s="39"/>
      <c r="AG23" s="9"/>
      <c r="AH23" s="9"/>
      <c r="AI23" s="9"/>
      <c r="AJ23" s="9"/>
      <c r="AK23" s="9"/>
      <c r="AL23" s="9"/>
      <c r="AM23" s="9"/>
      <c r="AN23" s="10" t="str">
        <f aca="false">IF(A23="","",SG_Criteria!$B$6&amp;SG_Criteria!$B$7&amp;"\"&amp;A23&amp;"\")</f>
        <v/>
      </c>
      <c r="AO23" s="10" t="str">
        <f aca="false">IF(A23="","",A23&amp;"_CAD.dwg")</f>
        <v/>
      </c>
      <c r="AP23" s="10" t="str">
        <f aca="false">IF(A23="","",A23&amp;"_DWG.pdf")</f>
        <v/>
      </c>
      <c r="AQ23" s="10" t="str">
        <f aca="false">IF(A23="","",IF(AM23="Y",A23&amp;"_STAAD.std","n/a"))</f>
        <v/>
      </c>
      <c r="AR23" s="10" t="str">
        <f aca="false">IF(A23="","",A23&amp;"_CALC.xlsx")</f>
        <v/>
      </c>
      <c r="AS23" s="10" t="str">
        <f aca="false">IF(A23="","",A23&amp;"_CALC.pdf")</f>
        <v/>
      </c>
      <c r="AT23" s="9"/>
      <c r="AU23" s="9"/>
      <c r="AV23" s="39"/>
      <c r="AW23" s="39"/>
      <c r="AX23" s="39"/>
      <c r="AY23" s="39"/>
      <c r="AZ23" s="39"/>
      <c r="BA23" s="12" t="str">
        <f aca="false">IF(A23="","",IF(COUNTIF(Rebar_Schedule!$A$5:$A$2004,A23)=0,"",ROUND(SUMIF(Rebar_Schedule!$A$5:$A$2004,A23,Rebar_Schedule!$K$5:$K$2004),1)))</f>
        <v/>
      </c>
      <c r="BB23" s="33" t="str">
        <f aca="false">IF(A23="","",IF(BA23="","No rebar schedule yet",IF(ABS(BA23-N(AW23))/MAX(N(AW23),1)&gt;SG_Criteria!$B$55,"NOTE: register rebar differs from schedule by "&amp;TEXT(ABS(BA23-N(AW23))/MAX(N(AW23),1),"0%"),"OK")))</f>
        <v/>
      </c>
      <c r="BC23" s="34" t="str">
        <f aca="false">IF(OR(D23="",G23="",H23="",D23="Sump",D23="Drop Inlet Chamber",D23="Silt Trap",D23="Pipe Culvert",D23="Subsoil Drain"),"",ROUND(MAX(1,N(I23))*(1/SG_Criteria!$B$26)*((G23/1000)*(H23/1000*(1-SG_Criteria!$B$25)))*(((G23/1000)*(H23/1000*(1-SG_Criteria!$B$25)))/((G23/1000)+2*(H23/1000*(1-SG_Criteria!$B$25))))^(2/3)*(1/Design_Selector!$B$11)^0.5,3))</f>
        <v/>
      </c>
      <c r="BD23" s="11" t="str">
        <f aca="false">IF(BC23="","",ROUND(BC23/(MAX(1,N(I23))*G23/1000*(H23/1000*(1-SG_Criteria!$B$25))),2))</f>
        <v/>
      </c>
      <c r="BE23" s="33" t="str">
        <f aca="false">IF(D23="","",IF(LEN(IF(AND(OR(E23="Roadside drain",E23="Entrance culvert"),OR(G23&lt;SG_Criteria!$B$15,H23&lt;SG_Criteria!$B$16)),"FAIL: below PUB min "&amp;SG_Criteria!$B$15&amp;"x"&amp;SG_Criteria!$B$16&amp;" for roadside drain. ","")&amp;IF(AND(E23="Common drain",G23&lt;SG_Criteria!$B$17),"FAIL: common drain W &lt; "&amp;SG_Criteria!$B$17&amp;" mm. ","")&amp;IF(AND(O23&lt;&gt;"",IFERROR(VALUE(MID(O23,2,2)),0)&lt;SG_Criteria!$B$19),"FAIL: grade below C"&amp;SG_Criteria!$B$19&amp;". ","")&amp;IF(AND(P23&lt;&gt;"",P23&lt;SG_Criteria!$B$20),"FAIL: cover &lt; "&amp;SG_Criteria!$B$20&amp;" mm. ","")&amp;IF(AND(F23="Open",H23&gt;SG_Criteria!$B$18),"NOTE: safety railing required (D &gt; "&amp;SG_Criteria!$B$18&amp;" mm). ","")&amp;IF(AND(E23="Entrance culvert",H23&lt;600),"NOTE: check hinged grating rule for culverts &lt; 600 deep (PUB Add. 3). ",""))=0,"OK",IF(AND(OR(E23="Roadside drain",E23="Entrance culvert"),OR(G23&lt;SG_Criteria!$B$15,H23&lt;SG_Criteria!$B$16)),"FAIL: below PUB min "&amp;SG_Criteria!$B$15&amp;"x"&amp;SG_Criteria!$B$16&amp;" for roadside drain. ","")&amp;IF(AND(E23="Common drain",G23&lt;SG_Criteria!$B$17),"FAIL: common drain W &lt; "&amp;SG_Criteria!$B$17&amp;" mm. ","")&amp;IF(AND(O23&lt;&gt;"",IFERROR(VALUE(MID(O23,2,2)),0)&lt;SG_Criteria!$B$19),"FAIL: grade below C"&amp;SG_Criteria!$B$19&amp;". ","")&amp;IF(AND(P23&lt;&gt;"",P23&lt;SG_Criteria!$B$20),"FAIL: cover &lt; "&amp;SG_Criteria!$B$20&amp;" mm. ","")&amp;IF(AND(F23="Open",H23&gt;SG_Criteria!$B$18),"NOTE: safety railing required (D &gt; "&amp;SG_Criteria!$B$18&amp;" mm). ","")&amp;IF(AND(E23="Entrance culvert",H23&lt;600),"NOTE: check hinged grating rule for culverts &lt; 600 deep (PUB Add. 3). ","")))</f>
        <v/>
      </c>
      <c r="BF23" s="9"/>
      <c r="BG23" s="9"/>
      <c r="BH23" s="9"/>
      <c r="BI23" s="10" t="str">
        <f aca="false">IF(BH23="","",IFERROR(VLOOKUP(BH23,Projects!$A$5:$D$504,2,0),"Ref not in Projects"))</f>
        <v/>
      </c>
      <c r="BJ23" s="10" t="str">
        <f aca="false">IF(BH23="","",IFERROR(VLOOKUP(BH23,Projects!$A$5:$D$504,4,0),"Ref not in Projects"))</f>
        <v/>
      </c>
      <c r="BK23" s="9"/>
      <c r="BL23" s="9"/>
      <c r="BM23" s="9"/>
      <c r="BN23" s="40"/>
      <c r="BO23" s="9"/>
      <c r="BP23" s="40"/>
      <c r="BQ23" s="9"/>
      <c r="BR23" s="40"/>
      <c r="BS23" s="9"/>
      <c r="BT23" s="9"/>
      <c r="BU23" s="9"/>
      <c r="BV23" s="40"/>
      <c r="BW23" s="40"/>
      <c r="BX23" s="36" t="str">
        <f aca="false">IF(BW23="","",EDATE(BW23,SG_Criteria!$B$54*12))</f>
        <v/>
      </c>
      <c r="BY23" s="33" t="str">
        <f aca="true">IF(A23="","",IF(BW23="","NOTE: not reviewed yet",IF(TODAY()&gt;BX23,"NOTE: review overdue","OK")))</f>
        <v/>
      </c>
      <c r="BZ23" s="37" t="str">
        <f aca="false">IF(A23="","",ROUND((IF(LEN(D23)&gt;0,1,0)+IF(LEN(E23)&gt;0,1,0)+IF(LEN(F23)&gt;0,1,0)+IF(LEN(G23)&gt;0,1,0)+IF(LEN(H23)&gt;0,1,0)+IF(LEN(J23)&gt;0,1,0)+IF(LEN(K23)&gt;0,1,0)+IF(LEN(M23)&gt;0,1,0)+IF(LEN(O23)&gt;0,1,0)+IF(LEN(P23)&gt;0,1,0)+IF(LEN(Q23)&gt;0,1,0)+IF(LEN(S23)&gt;0,1,0)+IF(LEN(AC23)&gt;0,1,0)+IF(LEN(AV23)&gt;0,1,0)+IF(LEN(AW23)&gt;0,1,0)+IF(LEN(AG23)&gt;0,1,0)+IF(LEN(AI23)&gt;0,1,0)+IF(LEN(AJ23)&gt;0,1,0)+IF(LEN(AK23)&gt;0,1,0)+IF(LEN(AL23)&gt;0,1,0)+IF(LEN(AU23)&gt;0,1,0)+IF(LEN(BH23)&gt;0,1,0)+IF(LEN(BU23)&gt;0,1,0))/23,2))</f>
        <v/>
      </c>
      <c r="CA23" s="10" t="str">
        <f aca="false">IF(D23="","",IF(AND(AJ23="Approved",ISERROR(SEARCH("FAIL",BE23))),"Y","N"))</f>
        <v/>
      </c>
      <c r="CB23" s="10" t="str">
        <f aca="false">IF(D23="","",D23&amp;"|"&amp;G23&amp;"|"&amp;H23&amp;"|"&amp;M23&amp;"|"&amp;CA23)</f>
        <v/>
      </c>
    </row>
    <row r="24" customFormat="false" ht="15" hidden="false" customHeight="false" outlineLevel="0" collapsed="false">
      <c r="A24" s="10" t="str">
        <f aca="false">IF(D24="","","DRN-"&amp;IFERROR(VLOOKUP(D24,Lists!$A$4:$B$27,2,0),"??")&amp;"-"&amp;TEXT(G24,"0000")&amp;"x"&amp;TEXT(H24,"0000")&amp;IF(N(I24)&gt;1,"-"&amp;I24&amp;"C","")&amp;"-"&amp;IFERROR(VLOOKUP(M24,Lists!$J$4:$K$19,2,0),"??")&amp;"-"&amp;AI24)</f>
        <v/>
      </c>
      <c r="B24" s="10" t="str">
        <f aca="false">IF(D24="","",D24&amp;" "&amp;G24&amp;"W x "&amp;H24&amp;"D"&amp;IF(N(I24)&gt;1," ("&amp;I24&amp;" cells)","")&amp;", "&amp;E24&amp;", "&amp;M24&amp;", "&amp;F24)</f>
        <v/>
      </c>
      <c r="C24" s="9"/>
      <c r="D24" s="9"/>
      <c r="E24" s="9"/>
      <c r="F24" s="9"/>
      <c r="G24" s="38"/>
      <c r="H24" s="38"/>
      <c r="I24" s="38"/>
      <c r="J24" s="38"/>
      <c r="K24" s="38"/>
      <c r="L24" s="38"/>
      <c r="M24" s="9"/>
      <c r="N24" s="9"/>
      <c r="O24" s="9"/>
      <c r="P24" s="38"/>
      <c r="Q24" s="9"/>
      <c r="R24" s="9"/>
      <c r="S24" s="9"/>
      <c r="T24" s="9"/>
      <c r="U24" s="9"/>
      <c r="V24" s="9"/>
      <c r="W24" s="9"/>
      <c r="X24" s="9"/>
      <c r="Y24" s="9"/>
      <c r="Z24" s="9"/>
      <c r="AA24" s="9"/>
      <c r="AB24" s="39"/>
      <c r="AC24" s="9"/>
      <c r="AD24" s="38"/>
      <c r="AE24" s="9"/>
      <c r="AF24" s="39"/>
      <c r="AG24" s="9"/>
      <c r="AH24" s="9"/>
      <c r="AI24" s="9"/>
      <c r="AJ24" s="9"/>
      <c r="AK24" s="9"/>
      <c r="AL24" s="9"/>
      <c r="AM24" s="9"/>
      <c r="AN24" s="10" t="str">
        <f aca="false">IF(A24="","",SG_Criteria!$B$6&amp;SG_Criteria!$B$7&amp;"\"&amp;A24&amp;"\")</f>
        <v/>
      </c>
      <c r="AO24" s="10" t="str">
        <f aca="false">IF(A24="","",A24&amp;"_CAD.dwg")</f>
        <v/>
      </c>
      <c r="AP24" s="10" t="str">
        <f aca="false">IF(A24="","",A24&amp;"_DWG.pdf")</f>
        <v/>
      </c>
      <c r="AQ24" s="10" t="str">
        <f aca="false">IF(A24="","",IF(AM24="Y",A24&amp;"_STAAD.std","n/a"))</f>
        <v/>
      </c>
      <c r="AR24" s="10" t="str">
        <f aca="false">IF(A24="","",A24&amp;"_CALC.xlsx")</f>
        <v/>
      </c>
      <c r="AS24" s="10" t="str">
        <f aca="false">IF(A24="","",A24&amp;"_CALC.pdf")</f>
        <v/>
      </c>
      <c r="AT24" s="9"/>
      <c r="AU24" s="9"/>
      <c r="AV24" s="39"/>
      <c r="AW24" s="39"/>
      <c r="AX24" s="39"/>
      <c r="AY24" s="39"/>
      <c r="AZ24" s="39"/>
      <c r="BA24" s="12" t="str">
        <f aca="false">IF(A24="","",IF(COUNTIF(Rebar_Schedule!$A$5:$A$2004,A24)=0,"",ROUND(SUMIF(Rebar_Schedule!$A$5:$A$2004,A24,Rebar_Schedule!$K$5:$K$2004),1)))</f>
        <v/>
      </c>
      <c r="BB24" s="33" t="str">
        <f aca="false">IF(A24="","",IF(BA24="","No rebar schedule yet",IF(ABS(BA24-N(AW24))/MAX(N(AW24),1)&gt;SG_Criteria!$B$55,"NOTE: register rebar differs from schedule by "&amp;TEXT(ABS(BA24-N(AW24))/MAX(N(AW24),1),"0%"),"OK")))</f>
        <v/>
      </c>
      <c r="BC24" s="34" t="str">
        <f aca="false">IF(OR(D24="",G24="",H24="",D24="Sump",D24="Drop Inlet Chamber",D24="Silt Trap",D24="Pipe Culvert",D24="Subsoil Drain"),"",ROUND(MAX(1,N(I24))*(1/SG_Criteria!$B$26)*((G24/1000)*(H24/1000*(1-SG_Criteria!$B$25)))*(((G24/1000)*(H24/1000*(1-SG_Criteria!$B$25)))/((G24/1000)+2*(H24/1000*(1-SG_Criteria!$B$25))))^(2/3)*(1/Design_Selector!$B$11)^0.5,3))</f>
        <v/>
      </c>
      <c r="BD24" s="11" t="str">
        <f aca="false">IF(BC24="","",ROUND(BC24/(MAX(1,N(I24))*G24/1000*(H24/1000*(1-SG_Criteria!$B$25))),2))</f>
        <v/>
      </c>
      <c r="BE24" s="33" t="str">
        <f aca="false">IF(D24="","",IF(LEN(IF(AND(OR(E24="Roadside drain",E24="Entrance culvert"),OR(G24&lt;SG_Criteria!$B$15,H24&lt;SG_Criteria!$B$16)),"FAIL: below PUB min "&amp;SG_Criteria!$B$15&amp;"x"&amp;SG_Criteria!$B$16&amp;" for roadside drain. ","")&amp;IF(AND(E24="Common drain",G24&lt;SG_Criteria!$B$17),"FAIL: common drain W &lt; "&amp;SG_Criteria!$B$17&amp;" mm. ","")&amp;IF(AND(O24&lt;&gt;"",IFERROR(VALUE(MID(O24,2,2)),0)&lt;SG_Criteria!$B$19),"FAIL: grade below C"&amp;SG_Criteria!$B$19&amp;". ","")&amp;IF(AND(P24&lt;&gt;"",P24&lt;SG_Criteria!$B$20),"FAIL: cover &lt; "&amp;SG_Criteria!$B$20&amp;" mm. ","")&amp;IF(AND(F24="Open",H24&gt;SG_Criteria!$B$18),"NOTE: safety railing required (D &gt; "&amp;SG_Criteria!$B$18&amp;" mm). ","")&amp;IF(AND(E24="Entrance culvert",H24&lt;600),"NOTE: check hinged grating rule for culverts &lt; 600 deep (PUB Add. 3). ",""))=0,"OK",IF(AND(OR(E24="Roadside drain",E24="Entrance culvert"),OR(G24&lt;SG_Criteria!$B$15,H24&lt;SG_Criteria!$B$16)),"FAIL: below PUB min "&amp;SG_Criteria!$B$15&amp;"x"&amp;SG_Criteria!$B$16&amp;" for roadside drain. ","")&amp;IF(AND(E24="Common drain",G24&lt;SG_Criteria!$B$17),"FAIL: common drain W &lt; "&amp;SG_Criteria!$B$17&amp;" mm. ","")&amp;IF(AND(O24&lt;&gt;"",IFERROR(VALUE(MID(O24,2,2)),0)&lt;SG_Criteria!$B$19),"FAIL: grade below C"&amp;SG_Criteria!$B$19&amp;". ","")&amp;IF(AND(P24&lt;&gt;"",P24&lt;SG_Criteria!$B$20),"FAIL: cover &lt; "&amp;SG_Criteria!$B$20&amp;" mm. ","")&amp;IF(AND(F24="Open",H24&gt;SG_Criteria!$B$18),"NOTE: safety railing required (D &gt; "&amp;SG_Criteria!$B$18&amp;" mm). ","")&amp;IF(AND(E24="Entrance culvert",H24&lt;600),"NOTE: check hinged grating rule for culverts &lt; 600 deep (PUB Add. 3). ","")))</f>
        <v/>
      </c>
      <c r="BF24" s="9"/>
      <c r="BG24" s="9"/>
      <c r="BH24" s="9"/>
      <c r="BI24" s="10" t="str">
        <f aca="false">IF(BH24="","",IFERROR(VLOOKUP(BH24,Projects!$A$5:$D$504,2,0),"Ref not in Projects"))</f>
        <v/>
      </c>
      <c r="BJ24" s="10" t="str">
        <f aca="false">IF(BH24="","",IFERROR(VLOOKUP(BH24,Projects!$A$5:$D$504,4,0),"Ref not in Projects"))</f>
        <v/>
      </c>
      <c r="BK24" s="9"/>
      <c r="BL24" s="9"/>
      <c r="BM24" s="9"/>
      <c r="BN24" s="40"/>
      <c r="BO24" s="9"/>
      <c r="BP24" s="40"/>
      <c r="BQ24" s="9"/>
      <c r="BR24" s="40"/>
      <c r="BS24" s="9"/>
      <c r="BT24" s="9"/>
      <c r="BU24" s="9"/>
      <c r="BV24" s="40"/>
      <c r="BW24" s="40"/>
      <c r="BX24" s="36" t="str">
        <f aca="false">IF(BW24="","",EDATE(BW24,SG_Criteria!$B$54*12))</f>
        <v/>
      </c>
      <c r="BY24" s="33" t="str">
        <f aca="true">IF(A24="","",IF(BW24="","NOTE: not reviewed yet",IF(TODAY()&gt;BX24,"NOTE: review overdue","OK")))</f>
        <v/>
      </c>
      <c r="BZ24" s="37" t="str">
        <f aca="false">IF(A24="","",ROUND((IF(LEN(D24)&gt;0,1,0)+IF(LEN(E24)&gt;0,1,0)+IF(LEN(F24)&gt;0,1,0)+IF(LEN(G24)&gt;0,1,0)+IF(LEN(H24)&gt;0,1,0)+IF(LEN(J24)&gt;0,1,0)+IF(LEN(K24)&gt;0,1,0)+IF(LEN(M24)&gt;0,1,0)+IF(LEN(O24)&gt;0,1,0)+IF(LEN(P24)&gt;0,1,0)+IF(LEN(Q24)&gt;0,1,0)+IF(LEN(S24)&gt;0,1,0)+IF(LEN(AC24)&gt;0,1,0)+IF(LEN(AV24)&gt;0,1,0)+IF(LEN(AW24)&gt;0,1,0)+IF(LEN(AG24)&gt;0,1,0)+IF(LEN(AI24)&gt;0,1,0)+IF(LEN(AJ24)&gt;0,1,0)+IF(LEN(AK24)&gt;0,1,0)+IF(LEN(AL24)&gt;0,1,0)+IF(LEN(AU24)&gt;0,1,0)+IF(LEN(BH24)&gt;0,1,0)+IF(LEN(BU24)&gt;0,1,0))/23,2))</f>
        <v/>
      </c>
      <c r="CA24" s="10" t="str">
        <f aca="false">IF(D24="","",IF(AND(AJ24="Approved",ISERROR(SEARCH("FAIL",BE24))),"Y","N"))</f>
        <v/>
      </c>
      <c r="CB24" s="10" t="str">
        <f aca="false">IF(D24="","",D24&amp;"|"&amp;G24&amp;"|"&amp;H24&amp;"|"&amp;M24&amp;"|"&amp;CA24)</f>
        <v/>
      </c>
    </row>
    <row r="25" customFormat="false" ht="15" hidden="false" customHeight="false" outlineLevel="0" collapsed="false">
      <c r="A25" s="10" t="str">
        <f aca="false">IF(D25="","","DRN-"&amp;IFERROR(VLOOKUP(D25,Lists!$A$4:$B$27,2,0),"??")&amp;"-"&amp;TEXT(G25,"0000")&amp;"x"&amp;TEXT(H25,"0000")&amp;IF(N(I25)&gt;1,"-"&amp;I25&amp;"C","")&amp;"-"&amp;IFERROR(VLOOKUP(M25,Lists!$J$4:$K$19,2,0),"??")&amp;"-"&amp;AI25)</f>
        <v/>
      </c>
      <c r="B25" s="10" t="str">
        <f aca="false">IF(D25="","",D25&amp;" "&amp;G25&amp;"W x "&amp;H25&amp;"D"&amp;IF(N(I25)&gt;1," ("&amp;I25&amp;" cells)","")&amp;", "&amp;E25&amp;", "&amp;M25&amp;", "&amp;F25)</f>
        <v/>
      </c>
      <c r="C25" s="9"/>
      <c r="D25" s="9"/>
      <c r="E25" s="9"/>
      <c r="F25" s="9"/>
      <c r="G25" s="38"/>
      <c r="H25" s="38"/>
      <c r="I25" s="38"/>
      <c r="J25" s="38"/>
      <c r="K25" s="38"/>
      <c r="L25" s="38"/>
      <c r="M25" s="9"/>
      <c r="N25" s="9"/>
      <c r="O25" s="9"/>
      <c r="P25" s="38"/>
      <c r="Q25" s="9"/>
      <c r="R25" s="9"/>
      <c r="S25" s="9"/>
      <c r="T25" s="9"/>
      <c r="U25" s="9"/>
      <c r="V25" s="9"/>
      <c r="W25" s="9"/>
      <c r="X25" s="9"/>
      <c r="Y25" s="9"/>
      <c r="Z25" s="9"/>
      <c r="AA25" s="9"/>
      <c r="AB25" s="39"/>
      <c r="AC25" s="9"/>
      <c r="AD25" s="38"/>
      <c r="AE25" s="9"/>
      <c r="AF25" s="39"/>
      <c r="AG25" s="9"/>
      <c r="AH25" s="9"/>
      <c r="AI25" s="9"/>
      <c r="AJ25" s="9"/>
      <c r="AK25" s="9"/>
      <c r="AL25" s="9"/>
      <c r="AM25" s="9"/>
      <c r="AN25" s="10" t="str">
        <f aca="false">IF(A25="","",SG_Criteria!$B$6&amp;SG_Criteria!$B$7&amp;"\"&amp;A25&amp;"\")</f>
        <v/>
      </c>
      <c r="AO25" s="10" t="str">
        <f aca="false">IF(A25="","",A25&amp;"_CAD.dwg")</f>
        <v/>
      </c>
      <c r="AP25" s="10" t="str">
        <f aca="false">IF(A25="","",A25&amp;"_DWG.pdf")</f>
        <v/>
      </c>
      <c r="AQ25" s="10" t="str">
        <f aca="false">IF(A25="","",IF(AM25="Y",A25&amp;"_STAAD.std","n/a"))</f>
        <v/>
      </c>
      <c r="AR25" s="10" t="str">
        <f aca="false">IF(A25="","",A25&amp;"_CALC.xlsx")</f>
        <v/>
      </c>
      <c r="AS25" s="10" t="str">
        <f aca="false">IF(A25="","",A25&amp;"_CALC.pdf")</f>
        <v/>
      </c>
      <c r="AT25" s="9"/>
      <c r="AU25" s="9"/>
      <c r="AV25" s="39"/>
      <c r="AW25" s="39"/>
      <c r="AX25" s="39"/>
      <c r="AY25" s="39"/>
      <c r="AZ25" s="39"/>
      <c r="BA25" s="12" t="str">
        <f aca="false">IF(A25="","",IF(COUNTIF(Rebar_Schedule!$A$5:$A$2004,A25)=0,"",ROUND(SUMIF(Rebar_Schedule!$A$5:$A$2004,A25,Rebar_Schedule!$K$5:$K$2004),1)))</f>
        <v/>
      </c>
      <c r="BB25" s="33" t="str">
        <f aca="false">IF(A25="","",IF(BA25="","No rebar schedule yet",IF(ABS(BA25-N(AW25))/MAX(N(AW25),1)&gt;SG_Criteria!$B$55,"NOTE: register rebar differs from schedule by "&amp;TEXT(ABS(BA25-N(AW25))/MAX(N(AW25),1),"0%"),"OK")))</f>
        <v/>
      </c>
      <c r="BC25" s="34" t="str">
        <f aca="false">IF(OR(D25="",G25="",H25="",D25="Sump",D25="Drop Inlet Chamber",D25="Silt Trap",D25="Pipe Culvert",D25="Subsoil Drain"),"",ROUND(MAX(1,N(I25))*(1/SG_Criteria!$B$26)*((G25/1000)*(H25/1000*(1-SG_Criteria!$B$25)))*(((G25/1000)*(H25/1000*(1-SG_Criteria!$B$25)))/((G25/1000)+2*(H25/1000*(1-SG_Criteria!$B$25))))^(2/3)*(1/Design_Selector!$B$11)^0.5,3))</f>
        <v/>
      </c>
      <c r="BD25" s="11" t="str">
        <f aca="false">IF(BC25="","",ROUND(BC25/(MAX(1,N(I25))*G25/1000*(H25/1000*(1-SG_Criteria!$B$25))),2))</f>
        <v/>
      </c>
      <c r="BE25" s="33" t="str">
        <f aca="false">IF(D25="","",IF(LEN(IF(AND(OR(E25="Roadside drain",E25="Entrance culvert"),OR(G25&lt;SG_Criteria!$B$15,H25&lt;SG_Criteria!$B$16)),"FAIL: below PUB min "&amp;SG_Criteria!$B$15&amp;"x"&amp;SG_Criteria!$B$16&amp;" for roadside drain. ","")&amp;IF(AND(E25="Common drain",G25&lt;SG_Criteria!$B$17),"FAIL: common drain W &lt; "&amp;SG_Criteria!$B$17&amp;" mm. ","")&amp;IF(AND(O25&lt;&gt;"",IFERROR(VALUE(MID(O25,2,2)),0)&lt;SG_Criteria!$B$19),"FAIL: grade below C"&amp;SG_Criteria!$B$19&amp;". ","")&amp;IF(AND(P25&lt;&gt;"",P25&lt;SG_Criteria!$B$20),"FAIL: cover &lt; "&amp;SG_Criteria!$B$20&amp;" mm. ","")&amp;IF(AND(F25="Open",H25&gt;SG_Criteria!$B$18),"NOTE: safety railing required (D &gt; "&amp;SG_Criteria!$B$18&amp;" mm). ","")&amp;IF(AND(E25="Entrance culvert",H25&lt;600),"NOTE: check hinged grating rule for culverts &lt; 600 deep (PUB Add. 3). ",""))=0,"OK",IF(AND(OR(E25="Roadside drain",E25="Entrance culvert"),OR(G25&lt;SG_Criteria!$B$15,H25&lt;SG_Criteria!$B$16)),"FAIL: below PUB min "&amp;SG_Criteria!$B$15&amp;"x"&amp;SG_Criteria!$B$16&amp;" for roadside drain. ","")&amp;IF(AND(E25="Common drain",G25&lt;SG_Criteria!$B$17),"FAIL: common drain W &lt; "&amp;SG_Criteria!$B$17&amp;" mm. ","")&amp;IF(AND(O25&lt;&gt;"",IFERROR(VALUE(MID(O25,2,2)),0)&lt;SG_Criteria!$B$19),"FAIL: grade below C"&amp;SG_Criteria!$B$19&amp;". ","")&amp;IF(AND(P25&lt;&gt;"",P25&lt;SG_Criteria!$B$20),"FAIL: cover &lt; "&amp;SG_Criteria!$B$20&amp;" mm. ","")&amp;IF(AND(F25="Open",H25&gt;SG_Criteria!$B$18),"NOTE: safety railing required (D &gt; "&amp;SG_Criteria!$B$18&amp;" mm). ","")&amp;IF(AND(E25="Entrance culvert",H25&lt;600),"NOTE: check hinged grating rule for culverts &lt; 600 deep (PUB Add. 3). ","")))</f>
        <v/>
      </c>
      <c r="BF25" s="9"/>
      <c r="BG25" s="9"/>
      <c r="BH25" s="9"/>
      <c r="BI25" s="10" t="str">
        <f aca="false">IF(BH25="","",IFERROR(VLOOKUP(BH25,Projects!$A$5:$D$504,2,0),"Ref not in Projects"))</f>
        <v/>
      </c>
      <c r="BJ25" s="10" t="str">
        <f aca="false">IF(BH25="","",IFERROR(VLOOKUP(BH25,Projects!$A$5:$D$504,4,0),"Ref not in Projects"))</f>
        <v/>
      </c>
      <c r="BK25" s="9"/>
      <c r="BL25" s="9"/>
      <c r="BM25" s="9"/>
      <c r="BN25" s="40"/>
      <c r="BO25" s="9"/>
      <c r="BP25" s="40"/>
      <c r="BQ25" s="9"/>
      <c r="BR25" s="40"/>
      <c r="BS25" s="9"/>
      <c r="BT25" s="9"/>
      <c r="BU25" s="9"/>
      <c r="BV25" s="40"/>
      <c r="BW25" s="40"/>
      <c r="BX25" s="36" t="str">
        <f aca="false">IF(BW25="","",EDATE(BW25,SG_Criteria!$B$54*12))</f>
        <v/>
      </c>
      <c r="BY25" s="33" t="str">
        <f aca="true">IF(A25="","",IF(BW25="","NOTE: not reviewed yet",IF(TODAY()&gt;BX25,"NOTE: review overdue","OK")))</f>
        <v/>
      </c>
      <c r="BZ25" s="37" t="str">
        <f aca="false">IF(A25="","",ROUND((IF(LEN(D25)&gt;0,1,0)+IF(LEN(E25)&gt;0,1,0)+IF(LEN(F25)&gt;0,1,0)+IF(LEN(G25)&gt;0,1,0)+IF(LEN(H25)&gt;0,1,0)+IF(LEN(J25)&gt;0,1,0)+IF(LEN(K25)&gt;0,1,0)+IF(LEN(M25)&gt;0,1,0)+IF(LEN(O25)&gt;0,1,0)+IF(LEN(P25)&gt;0,1,0)+IF(LEN(Q25)&gt;0,1,0)+IF(LEN(S25)&gt;0,1,0)+IF(LEN(AC25)&gt;0,1,0)+IF(LEN(AV25)&gt;0,1,0)+IF(LEN(AW25)&gt;0,1,0)+IF(LEN(AG25)&gt;0,1,0)+IF(LEN(AI25)&gt;0,1,0)+IF(LEN(AJ25)&gt;0,1,0)+IF(LEN(AK25)&gt;0,1,0)+IF(LEN(AL25)&gt;0,1,0)+IF(LEN(AU25)&gt;0,1,0)+IF(LEN(BH25)&gt;0,1,0)+IF(LEN(BU25)&gt;0,1,0))/23,2))</f>
        <v/>
      </c>
      <c r="CA25" s="10" t="str">
        <f aca="false">IF(D25="","",IF(AND(AJ25="Approved",ISERROR(SEARCH("FAIL",BE25))),"Y","N"))</f>
        <v/>
      </c>
      <c r="CB25" s="10" t="str">
        <f aca="false">IF(D25="","",D25&amp;"|"&amp;G25&amp;"|"&amp;H25&amp;"|"&amp;M25&amp;"|"&amp;CA25)</f>
        <v/>
      </c>
    </row>
    <row r="26" customFormat="false" ht="15" hidden="false" customHeight="false" outlineLevel="0" collapsed="false">
      <c r="A26" s="10" t="str">
        <f aca="false">IF(D26="","","DRN-"&amp;IFERROR(VLOOKUP(D26,Lists!$A$4:$B$27,2,0),"??")&amp;"-"&amp;TEXT(G26,"0000")&amp;"x"&amp;TEXT(H26,"0000")&amp;IF(N(I26)&gt;1,"-"&amp;I26&amp;"C","")&amp;"-"&amp;IFERROR(VLOOKUP(M26,Lists!$J$4:$K$19,2,0),"??")&amp;"-"&amp;AI26)</f>
        <v/>
      </c>
      <c r="B26" s="10" t="str">
        <f aca="false">IF(D26="","",D26&amp;" "&amp;G26&amp;"W x "&amp;H26&amp;"D"&amp;IF(N(I26)&gt;1," ("&amp;I26&amp;" cells)","")&amp;", "&amp;E26&amp;", "&amp;M26&amp;", "&amp;F26)</f>
        <v/>
      </c>
      <c r="C26" s="9"/>
      <c r="D26" s="9"/>
      <c r="E26" s="9"/>
      <c r="F26" s="9"/>
      <c r="G26" s="38"/>
      <c r="H26" s="38"/>
      <c r="I26" s="38"/>
      <c r="J26" s="38"/>
      <c r="K26" s="38"/>
      <c r="L26" s="38"/>
      <c r="M26" s="9"/>
      <c r="N26" s="9"/>
      <c r="O26" s="9"/>
      <c r="P26" s="38"/>
      <c r="Q26" s="9"/>
      <c r="R26" s="9"/>
      <c r="S26" s="9"/>
      <c r="T26" s="9"/>
      <c r="U26" s="9"/>
      <c r="V26" s="9"/>
      <c r="W26" s="9"/>
      <c r="X26" s="9"/>
      <c r="Y26" s="9"/>
      <c r="Z26" s="9"/>
      <c r="AA26" s="9"/>
      <c r="AB26" s="39"/>
      <c r="AC26" s="9"/>
      <c r="AD26" s="38"/>
      <c r="AE26" s="9"/>
      <c r="AF26" s="39"/>
      <c r="AG26" s="9"/>
      <c r="AH26" s="9"/>
      <c r="AI26" s="9"/>
      <c r="AJ26" s="9"/>
      <c r="AK26" s="9"/>
      <c r="AL26" s="9"/>
      <c r="AM26" s="9"/>
      <c r="AN26" s="10" t="str">
        <f aca="false">IF(A26="","",SG_Criteria!$B$6&amp;SG_Criteria!$B$7&amp;"\"&amp;A26&amp;"\")</f>
        <v/>
      </c>
      <c r="AO26" s="10" t="str">
        <f aca="false">IF(A26="","",A26&amp;"_CAD.dwg")</f>
        <v/>
      </c>
      <c r="AP26" s="10" t="str">
        <f aca="false">IF(A26="","",A26&amp;"_DWG.pdf")</f>
        <v/>
      </c>
      <c r="AQ26" s="10" t="str">
        <f aca="false">IF(A26="","",IF(AM26="Y",A26&amp;"_STAAD.std","n/a"))</f>
        <v/>
      </c>
      <c r="AR26" s="10" t="str">
        <f aca="false">IF(A26="","",A26&amp;"_CALC.xlsx")</f>
        <v/>
      </c>
      <c r="AS26" s="10" t="str">
        <f aca="false">IF(A26="","",A26&amp;"_CALC.pdf")</f>
        <v/>
      </c>
      <c r="AT26" s="9"/>
      <c r="AU26" s="9"/>
      <c r="AV26" s="39"/>
      <c r="AW26" s="39"/>
      <c r="AX26" s="39"/>
      <c r="AY26" s="39"/>
      <c r="AZ26" s="39"/>
      <c r="BA26" s="12" t="str">
        <f aca="false">IF(A26="","",IF(COUNTIF(Rebar_Schedule!$A$5:$A$2004,A26)=0,"",ROUND(SUMIF(Rebar_Schedule!$A$5:$A$2004,A26,Rebar_Schedule!$K$5:$K$2004),1)))</f>
        <v/>
      </c>
      <c r="BB26" s="33" t="str">
        <f aca="false">IF(A26="","",IF(BA26="","No rebar schedule yet",IF(ABS(BA26-N(AW26))/MAX(N(AW26),1)&gt;SG_Criteria!$B$55,"NOTE: register rebar differs from schedule by "&amp;TEXT(ABS(BA26-N(AW26))/MAX(N(AW26),1),"0%"),"OK")))</f>
        <v/>
      </c>
      <c r="BC26" s="34" t="str">
        <f aca="false">IF(OR(D26="",G26="",H26="",D26="Sump",D26="Drop Inlet Chamber",D26="Silt Trap",D26="Pipe Culvert",D26="Subsoil Drain"),"",ROUND(MAX(1,N(I26))*(1/SG_Criteria!$B$26)*((G26/1000)*(H26/1000*(1-SG_Criteria!$B$25)))*(((G26/1000)*(H26/1000*(1-SG_Criteria!$B$25)))/((G26/1000)+2*(H26/1000*(1-SG_Criteria!$B$25))))^(2/3)*(1/Design_Selector!$B$11)^0.5,3))</f>
        <v/>
      </c>
      <c r="BD26" s="11" t="str">
        <f aca="false">IF(BC26="","",ROUND(BC26/(MAX(1,N(I26))*G26/1000*(H26/1000*(1-SG_Criteria!$B$25))),2))</f>
        <v/>
      </c>
      <c r="BE26" s="33" t="str">
        <f aca="false">IF(D26="","",IF(LEN(IF(AND(OR(E26="Roadside drain",E26="Entrance culvert"),OR(G26&lt;SG_Criteria!$B$15,H26&lt;SG_Criteria!$B$16)),"FAIL: below PUB min "&amp;SG_Criteria!$B$15&amp;"x"&amp;SG_Criteria!$B$16&amp;" for roadside drain. ","")&amp;IF(AND(E26="Common drain",G26&lt;SG_Criteria!$B$17),"FAIL: common drain W &lt; "&amp;SG_Criteria!$B$17&amp;" mm. ","")&amp;IF(AND(O26&lt;&gt;"",IFERROR(VALUE(MID(O26,2,2)),0)&lt;SG_Criteria!$B$19),"FAIL: grade below C"&amp;SG_Criteria!$B$19&amp;". ","")&amp;IF(AND(P26&lt;&gt;"",P26&lt;SG_Criteria!$B$20),"FAIL: cover &lt; "&amp;SG_Criteria!$B$20&amp;" mm. ","")&amp;IF(AND(F26="Open",H26&gt;SG_Criteria!$B$18),"NOTE: safety railing required (D &gt; "&amp;SG_Criteria!$B$18&amp;" mm). ","")&amp;IF(AND(E26="Entrance culvert",H26&lt;600),"NOTE: check hinged grating rule for culverts &lt; 600 deep (PUB Add. 3). ",""))=0,"OK",IF(AND(OR(E26="Roadside drain",E26="Entrance culvert"),OR(G26&lt;SG_Criteria!$B$15,H26&lt;SG_Criteria!$B$16)),"FAIL: below PUB min "&amp;SG_Criteria!$B$15&amp;"x"&amp;SG_Criteria!$B$16&amp;" for roadside drain. ","")&amp;IF(AND(E26="Common drain",G26&lt;SG_Criteria!$B$17),"FAIL: common drain W &lt; "&amp;SG_Criteria!$B$17&amp;" mm. ","")&amp;IF(AND(O26&lt;&gt;"",IFERROR(VALUE(MID(O26,2,2)),0)&lt;SG_Criteria!$B$19),"FAIL: grade below C"&amp;SG_Criteria!$B$19&amp;". ","")&amp;IF(AND(P26&lt;&gt;"",P26&lt;SG_Criteria!$B$20),"FAIL: cover &lt; "&amp;SG_Criteria!$B$20&amp;" mm. ","")&amp;IF(AND(F26="Open",H26&gt;SG_Criteria!$B$18),"NOTE: safety railing required (D &gt; "&amp;SG_Criteria!$B$18&amp;" mm). ","")&amp;IF(AND(E26="Entrance culvert",H26&lt;600),"NOTE: check hinged grating rule for culverts &lt; 600 deep (PUB Add. 3). ","")))</f>
        <v/>
      </c>
      <c r="BF26" s="9"/>
      <c r="BG26" s="9"/>
      <c r="BH26" s="9"/>
      <c r="BI26" s="10" t="str">
        <f aca="false">IF(BH26="","",IFERROR(VLOOKUP(BH26,Projects!$A$5:$D$504,2,0),"Ref not in Projects"))</f>
        <v/>
      </c>
      <c r="BJ26" s="10" t="str">
        <f aca="false">IF(BH26="","",IFERROR(VLOOKUP(BH26,Projects!$A$5:$D$504,4,0),"Ref not in Projects"))</f>
        <v/>
      </c>
      <c r="BK26" s="9"/>
      <c r="BL26" s="9"/>
      <c r="BM26" s="9"/>
      <c r="BN26" s="40"/>
      <c r="BO26" s="9"/>
      <c r="BP26" s="40"/>
      <c r="BQ26" s="9"/>
      <c r="BR26" s="40"/>
      <c r="BS26" s="9"/>
      <c r="BT26" s="9"/>
      <c r="BU26" s="9"/>
      <c r="BV26" s="40"/>
      <c r="BW26" s="40"/>
      <c r="BX26" s="36" t="str">
        <f aca="false">IF(BW26="","",EDATE(BW26,SG_Criteria!$B$54*12))</f>
        <v/>
      </c>
      <c r="BY26" s="33" t="str">
        <f aca="true">IF(A26="","",IF(BW26="","NOTE: not reviewed yet",IF(TODAY()&gt;BX26,"NOTE: review overdue","OK")))</f>
        <v/>
      </c>
      <c r="BZ26" s="37" t="str">
        <f aca="false">IF(A26="","",ROUND((IF(LEN(D26)&gt;0,1,0)+IF(LEN(E26)&gt;0,1,0)+IF(LEN(F26)&gt;0,1,0)+IF(LEN(G26)&gt;0,1,0)+IF(LEN(H26)&gt;0,1,0)+IF(LEN(J26)&gt;0,1,0)+IF(LEN(K26)&gt;0,1,0)+IF(LEN(M26)&gt;0,1,0)+IF(LEN(O26)&gt;0,1,0)+IF(LEN(P26)&gt;0,1,0)+IF(LEN(Q26)&gt;0,1,0)+IF(LEN(S26)&gt;0,1,0)+IF(LEN(AC26)&gt;0,1,0)+IF(LEN(AV26)&gt;0,1,0)+IF(LEN(AW26)&gt;0,1,0)+IF(LEN(AG26)&gt;0,1,0)+IF(LEN(AI26)&gt;0,1,0)+IF(LEN(AJ26)&gt;0,1,0)+IF(LEN(AK26)&gt;0,1,0)+IF(LEN(AL26)&gt;0,1,0)+IF(LEN(AU26)&gt;0,1,0)+IF(LEN(BH26)&gt;0,1,0)+IF(LEN(BU26)&gt;0,1,0))/23,2))</f>
        <v/>
      </c>
      <c r="CA26" s="10" t="str">
        <f aca="false">IF(D26="","",IF(AND(AJ26="Approved",ISERROR(SEARCH("FAIL",BE26))),"Y","N"))</f>
        <v/>
      </c>
      <c r="CB26" s="10" t="str">
        <f aca="false">IF(D26="","",D26&amp;"|"&amp;G26&amp;"|"&amp;H26&amp;"|"&amp;M26&amp;"|"&amp;CA26)</f>
        <v/>
      </c>
    </row>
    <row r="27" customFormat="false" ht="15" hidden="false" customHeight="false" outlineLevel="0" collapsed="false">
      <c r="A27" s="10" t="str">
        <f aca="false">IF(D27="","","DRN-"&amp;IFERROR(VLOOKUP(D27,Lists!$A$4:$B$27,2,0),"??")&amp;"-"&amp;TEXT(G27,"0000")&amp;"x"&amp;TEXT(H27,"0000")&amp;IF(N(I27)&gt;1,"-"&amp;I27&amp;"C","")&amp;"-"&amp;IFERROR(VLOOKUP(M27,Lists!$J$4:$K$19,2,0),"??")&amp;"-"&amp;AI27)</f>
        <v/>
      </c>
      <c r="B27" s="10" t="str">
        <f aca="false">IF(D27="","",D27&amp;" "&amp;G27&amp;"W x "&amp;H27&amp;"D"&amp;IF(N(I27)&gt;1," ("&amp;I27&amp;" cells)","")&amp;", "&amp;E27&amp;", "&amp;M27&amp;", "&amp;F27)</f>
        <v/>
      </c>
      <c r="C27" s="9"/>
      <c r="D27" s="9"/>
      <c r="E27" s="9"/>
      <c r="F27" s="9"/>
      <c r="G27" s="38"/>
      <c r="H27" s="38"/>
      <c r="I27" s="38"/>
      <c r="J27" s="38"/>
      <c r="K27" s="38"/>
      <c r="L27" s="38"/>
      <c r="M27" s="9"/>
      <c r="N27" s="9"/>
      <c r="O27" s="9"/>
      <c r="P27" s="38"/>
      <c r="Q27" s="9"/>
      <c r="R27" s="9"/>
      <c r="S27" s="9"/>
      <c r="T27" s="9"/>
      <c r="U27" s="9"/>
      <c r="V27" s="9"/>
      <c r="W27" s="9"/>
      <c r="X27" s="9"/>
      <c r="Y27" s="9"/>
      <c r="Z27" s="9"/>
      <c r="AA27" s="9"/>
      <c r="AB27" s="39"/>
      <c r="AC27" s="9"/>
      <c r="AD27" s="38"/>
      <c r="AE27" s="9"/>
      <c r="AF27" s="39"/>
      <c r="AG27" s="9"/>
      <c r="AH27" s="9"/>
      <c r="AI27" s="9"/>
      <c r="AJ27" s="9"/>
      <c r="AK27" s="9"/>
      <c r="AL27" s="9"/>
      <c r="AM27" s="9"/>
      <c r="AN27" s="10" t="str">
        <f aca="false">IF(A27="","",SG_Criteria!$B$6&amp;SG_Criteria!$B$7&amp;"\"&amp;A27&amp;"\")</f>
        <v/>
      </c>
      <c r="AO27" s="10" t="str">
        <f aca="false">IF(A27="","",A27&amp;"_CAD.dwg")</f>
        <v/>
      </c>
      <c r="AP27" s="10" t="str">
        <f aca="false">IF(A27="","",A27&amp;"_DWG.pdf")</f>
        <v/>
      </c>
      <c r="AQ27" s="10" t="str">
        <f aca="false">IF(A27="","",IF(AM27="Y",A27&amp;"_STAAD.std","n/a"))</f>
        <v/>
      </c>
      <c r="AR27" s="10" t="str">
        <f aca="false">IF(A27="","",A27&amp;"_CALC.xlsx")</f>
        <v/>
      </c>
      <c r="AS27" s="10" t="str">
        <f aca="false">IF(A27="","",A27&amp;"_CALC.pdf")</f>
        <v/>
      </c>
      <c r="AT27" s="9"/>
      <c r="AU27" s="9"/>
      <c r="AV27" s="39"/>
      <c r="AW27" s="39"/>
      <c r="AX27" s="39"/>
      <c r="AY27" s="39"/>
      <c r="AZ27" s="39"/>
      <c r="BA27" s="12" t="str">
        <f aca="false">IF(A27="","",IF(COUNTIF(Rebar_Schedule!$A$5:$A$2004,A27)=0,"",ROUND(SUMIF(Rebar_Schedule!$A$5:$A$2004,A27,Rebar_Schedule!$K$5:$K$2004),1)))</f>
        <v/>
      </c>
      <c r="BB27" s="33" t="str">
        <f aca="false">IF(A27="","",IF(BA27="","No rebar schedule yet",IF(ABS(BA27-N(AW27))/MAX(N(AW27),1)&gt;SG_Criteria!$B$55,"NOTE: register rebar differs from schedule by "&amp;TEXT(ABS(BA27-N(AW27))/MAX(N(AW27),1),"0%"),"OK")))</f>
        <v/>
      </c>
      <c r="BC27" s="34" t="str">
        <f aca="false">IF(OR(D27="",G27="",H27="",D27="Sump",D27="Drop Inlet Chamber",D27="Silt Trap",D27="Pipe Culvert",D27="Subsoil Drain"),"",ROUND(MAX(1,N(I27))*(1/SG_Criteria!$B$26)*((G27/1000)*(H27/1000*(1-SG_Criteria!$B$25)))*(((G27/1000)*(H27/1000*(1-SG_Criteria!$B$25)))/((G27/1000)+2*(H27/1000*(1-SG_Criteria!$B$25))))^(2/3)*(1/Design_Selector!$B$11)^0.5,3))</f>
        <v/>
      </c>
      <c r="BD27" s="11" t="str">
        <f aca="false">IF(BC27="","",ROUND(BC27/(MAX(1,N(I27))*G27/1000*(H27/1000*(1-SG_Criteria!$B$25))),2))</f>
        <v/>
      </c>
      <c r="BE27" s="33" t="str">
        <f aca="false">IF(D27="","",IF(LEN(IF(AND(OR(E27="Roadside drain",E27="Entrance culvert"),OR(G27&lt;SG_Criteria!$B$15,H27&lt;SG_Criteria!$B$16)),"FAIL: below PUB min "&amp;SG_Criteria!$B$15&amp;"x"&amp;SG_Criteria!$B$16&amp;" for roadside drain. ","")&amp;IF(AND(E27="Common drain",G27&lt;SG_Criteria!$B$17),"FAIL: common drain W &lt; "&amp;SG_Criteria!$B$17&amp;" mm. ","")&amp;IF(AND(O27&lt;&gt;"",IFERROR(VALUE(MID(O27,2,2)),0)&lt;SG_Criteria!$B$19),"FAIL: grade below C"&amp;SG_Criteria!$B$19&amp;". ","")&amp;IF(AND(P27&lt;&gt;"",P27&lt;SG_Criteria!$B$20),"FAIL: cover &lt; "&amp;SG_Criteria!$B$20&amp;" mm. ","")&amp;IF(AND(F27="Open",H27&gt;SG_Criteria!$B$18),"NOTE: safety railing required (D &gt; "&amp;SG_Criteria!$B$18&amp;" mm). ","")&amp;IF(AND(E27="Entrance culvert",H27&lt;600),"NOTE: check hinged grating rule for culverts &lt; 600 deep (PUB Add. 3). ",""))=0,"OK",IF(AND(OR(E27="Roadside drain",E27="Entrance culvert"),OR(G27&lt;SG_Criteria!$B$15,H27&lt;SG_Criteria!$B$16)),"FAIL: below PUB min "&amp;SG_Criteria!$B$15&amp;"x"&amp;SG_Criteria!$B$16&amp;" for roadside drain. ","")&amp;IF(AND(E27="Common drain",G27&lt;SG_Criteria!$B$17),"FAIL: common drain W &lt; "&amp;SG_Criteria!$B$17&amp;" mm. ","")&amp;IF(AND(O27&lt;&gt;"",IFERROR(VALUE(MID(O27,2,2)),0)&lt;SG_Criteria!$B$19),"FAIL: grade below C"&amp;SG_Criteria!$B$19&amp;". ","")&amp;IF(AND(P27&lt;&gt;"",P27&lt;SG_Criteria!$B$20),"FAIL: cover &lt; "&amp;SG_Criteria!$B$20&amp;" mm. ","")&amp;IF(AND(F27="Open",H27&gt;SG_Criteria!$B$18),"NOTE: safety railing required (D &gt; "&amp;SG_Criteria!$B$18&amp;" mm). ","")&amp;IF(AND(E27="Entrance culvert",H27&lt;600),"NOTE: check hinged grating rule for culverts &lt; 600 deep (PUB Add. 3). ","")))</f>
        <v/>
      </c>
      <c r="BF27" s="9"/>
      <c r="BG27" s="9"/>
      <c r="BH27" s="9"/>
      <c r="BI27" s="10" t="str">
        <f aca="false">IF(BH27="","",IFERROR(VLOOKUP(BH27,Projects!$A$5:$D$504,2,0),"Ref not in Projects"))</f>
        <v/>
      </c>
      <c r="BJ27" s="10" t="str">
        <f aca="false">IF(BH27="","",IFERROR(VLOOKUP(BH27,Projects!$A$5:$D$504,4,0),"Ref not in Projects"))</f>
        <v/>
      </c>
      <c r="BK27" s="9"/>
      <c r="BL27" s="9"/>
      <c r="BM27" s="9"/>
      <c r="BN27" s="40"/>
      <c r="BO27" s="9"/>
      <c r="BP27" s="40"/>
      <c r="BQ27" s="9"/>
      <c r="BR27" s="40"/>
      <c r="BS27" s="9"/>
      <c r="BT27" s="9"/>
      <c r="BU27" s="9"/>
      <c r="BV27" s="40"/>
      <c r="BW27" s="40"/>
      <c r="BX27" s="36" t="str">
        <f aca="false">IF(BW27="","",EDATE(BW27,SG_Criteria!$B$54*12))</f>
        <v/>
      </c>
      <c r="BY27" s="33" t="str">
        <f aca="true">IF(A27="","",IF(BW27="","NOTE: not reviewed yet",IF(TODAY()&gt;BX27,"NOTE: review overdue","OK")))</f>
        <v/>
      </c>
      <c r="BZ27" s="37" t="str">
        <f aca="false">IF(A27="","",ROUND((IF(LEN(D27)&gt;0,1,0)+IF(LEN(E27)&gt;0,1,0)+IF(LEN(F27)&gt;0,1,0)+IF(LEN(G27)&gt;0,1,0)+IF(LEN(H27)&gt;0,1,0)+IF(LEN(J27)&gt;0,1,0)+IF(LEN(K27)&gt;0,1,0)+IF(LEN(M27)&gt;0,1,0)+IF(LEN(O27)&gt;0,1,0)+IF(LEN(P27)&gt;0,1,0)+IF(LEN(Q27)&gt;0,1,0)+IF(LEN(S27)&gt;0,1,0)+IF(LEN(AC27)&gt;0,1,0)+IF(LEN(AV27)&gt;0,1,0)+IF(LEN(AW27)&gt;0,1,0)+IF(LEN(AG27)&gt;0,1,0)+IF(LEN(AI27)&gt;0,1,0)+IF(LEN(AJ27)&gt;0,1,0)+IF(LEN(AK27)&gt;0,1,0)+IF(LEN(AL27)&gt;0,1,0)+IF(LEN(AU27)&gt;0,1,0)+IF(LEN(BH27)&gt;0,1,0)+IF(LEN(BU27)&gt;0,1,0))/23,2))</f>
        <v/>
      </c>
      <c r="CA27" s="10" t="str">
        <f aca="false">IF(D27="","",IF(AND(AJ27="Approved",ISERROR(SEARCH("FAIL",BE27))),"Y","N"))</f>
        <v/>
      </c>
      <c r="CB27" s="10" t="str">
        <f aca="false">IF(D27="","",D27&amp;"|"&amp;G27&amp;"|"&amp;H27&amp;"|"&amp;M27&amp;"|"&amp;CA27)</f>
        <v/>
      </c>
    </row>
    <row r="28" customFormat="false" ht="15" hidden="false" customHeight="false" outlineLevel="0" collapsed="false">
      <c r="A28" s="10" t="str">
        <f aca="false">IF(D28="","","DRN-"&amp;IFERROR(VLOOKUP(D28,Lists!$A$4:$B$27,2,0),"??")&amp;"-"&amp;TEXT(G28,"0000")&amp;"x"&amp;TEXT(H28,"0000")&amp;IF(N(I28)&gt;1,"-"&amp;I28&amp;"C","")&amp;"-"&amp;IFERROR(VLOOKUP(M28,Lists!$J$4:$K$19,2,0),"??")&amp;"-"&amp;AI28)</f>
        <v/>
      </c>
      <c r="B28" s="10" t="str">
        <f aca="false">IF(D28="","",D28&amp;" "&amp;G28&amp;"W x "&amp;H28&amp;"D"&amp;IF(N(I28)&gt;1," ("&amp;I28&amp;" cells)","")&amp;", "&amp;E28&amp;", "&amp;M28&amp;", "&amp;F28)</f>
        <v/>
      </c>
      <c r="C28" s="9"/>
      <c r="D28" s="9"/>
      <c r="E28" s="9"/>
      <c r="F28" s="9"/>
      <c r="G28" s="38"/>
      <c r="H28" s="38"/>
      <c r="I28" s="38"/>
      <c r="J28" s="38"/>
      <c r="K28" s="38"/>
      <c r="L28" s="38"/>
      <c r="M28" s="9"/>
      <c r="N28" s="9"/>
      <c r="O28" s="9"/>
      <c r="P28" s="38"/>
      <c r="Q28" s="9"/>
      <c r="R28" s="9"/>
      <c r="S28" s="9"/>
      <c r="T28" s="9"/>
      <c r="U28" s="9"/>
      <c r="V28" s="9"/>
      <c r="W28" s="9"/>
      <c r="X28" s="9"/>
      <c r="Y28" s="9"/>
      <c r="Z28" s="9"/>
      <c r="AA28" s="9"/>
      <c r="AB28" s="39"/>
      <c r="AC28" s="9"/>
      <c r="AD28" s="38"/>
      <c r="AE28" s="9"/>
      <c r="AF28" s="39"/>
      <c r="AG28" s="9"/>
      <c r="AH28" s="9"/>
      <c r="AI28" s="9"/>
      <c r="AJ28" s="9"/>
      <c r="AK28" s="9"/>
      <c r="AL28" s="9"/>
      <c r="AM28" s="9"/>
      <c r="AN28" s="10" t="str">
        <f aca="false">IF(A28="","",SG_Criteria!$B$6&amp;SG_Criteria!$B$7&amp;"\"&amp;A28&amp;"\")</f>
        <v/>
      </c>
      <c r="AO28" s="10" t="str">
        <f aca="false">IF(A28="","",A28&amp;"_CAD.dwg")</f>
        <v/>
      </c>
      <c r="AP28" s="10" t="str">
        <f aca="false">IF(A28="","",A28&amp;"_DWG.pdf")</f>
        <v/>
      </c>
      <c r="AQ28" s="10" t="str">
        <f aca="false">IF(A28="","",IF(AM28="Y",A28&amp;"_STAAD.std","n/a"))</f>
        <v/>
      </c>
      <c r="AR28" s="10" t="str">
        <f aca="false">IF(A28="","",A28&amp;"_CALC.xlsx")</f>
        <v/>
      </c>
      <c r="AS28" s="10" t="str">
        <f aca="false">IF(A28="","",A28&amp;"_CALC.pdf")</f>
        <v/>
      </c>
      <c r="AT28" s="9"/>
      <c r="AU28" s="9"/>
      <c r="AV28" s="39"/>
      <c r="AW28" s="39"/>
      <c r="AX28" s="39"/>
      <c r="AY28" s="39"/>
      <c r="AZ28" s="39"/>
      <c r="BA28" s="12" t="str">
        <f aca="false">IF(A28="","",IF(COUNTIF(Rebar_Schedule!$A$5:$A$2004,A28)=0,"",ROUND(SUMIF(Rebar_Schedule!$A$5:$A$2004,A28,Rebar_Schedule!$K$5:$K$2004),1)))</f>
        <v/>
      </c>
      <c r="BB28" s="33" t="str">
        <f aca="false">IF(A28="","",IF(BA28="","No rebar schedule yet",IF(ABS(BA28-N(AW28))/MAX(N(AW28),1)&gt;SG_Criteria!$B$55,"NOTE: register rebar differs from schedule by "&amp;TEXT(ABS(BA28-N(AW28))/MAX(N(AW28),1),"0%"),"OK")))</f>
        <v/>
      </c>
      <c r="BC28" s="34" t="str">
        <f aca="false">IF(OR(D28="",G28="",H28="",D28="Sump",D28="Drop Inlet Chamber",D28="Silt Trap",D28="Pipe Culvert",D28="Subsoil Drain"),"",ROUND(MAX(1,N(I28))*(1/SG_Criteria!$B$26)*((G28/1000)*(H28/1000*(1-SG_Criteria!$B$25)))*(((G28/1000)*(H28/1000*(1-SG_Criteria!$B$25)))/((G28/1000)+2*(H28/1000*(1-SG_Criteria!$B$25))))^(2/3)*(1/Design_Selector!$B$11)^0.5,3))</f>
        <v/>
      </c>
      <c r="BD28" s="11" t="str">
        <f aca="false">IF(BC28="","",ROUND(BC28/(MAX(1,N(I28))*G28/1000*(H28/1000*(1-SG_Criteria!$B$25))),2))</f>
        <v/>
      </c>
      <c r="BE28" s="33" t="str">
        <f aca="false">IF(D28="","",IF(LEN(IF(AND(OR(E28="Roadside drain",E28="Entrance culvert"),OR(G28&lt;SG_Criteria!$B$15,H28&lt;SG_Criteria!$B$16)),"FAIL: below PUB min "&amp;SG_Criteria!$B$15&amp;"x"&amp;SG_Criteria!$B$16&amp;" for roadside drain. ","")&amp;IF(AND(E28="Common drain",G28&lt;SG_Criteria!$B$17),"FAIL: common drain W &lt; "&amp;SG_Criteria!$B$17&amp;" mm. ","")&amp;IF(AND(O28&lt;&gt;"",IFERROR(VALUE(MID(O28,2,2)),0)&lt;SG_Criteria!$B$19),"FAIL: grade below C"&amp;SG_Criteria!$B$19&amp;". ","")&amp;IF(AND(P28&lt;&gt;"",P28&lt;SG_Criteria!$B$20),"FAIL: cover &lt; "&amp;SG_Criteria!$B$20&amp;" mm. ","")&amp;IF(AND(F28="Open",H28&gt;SG_Criteria!$B$18),"NOTE: safety railing required (D &gt; "&amp;SG_Criteria!$B$18&amp;" mm). ","")&amp;IF(AND(E28="Entrance culvert",H28&lt;600),"NOTE: check hinged grating rule for culverts &lt; 600 deep (PUB Add. 3). ",""))=0,"OK",IF(AND(OR(E28="Roadside drain",E28="Entrance culvert"),OR(G28&lt;SG_Criteria!$B$15,H28&lt;SG_Criteria!$B$16)),"FAIL: below PUB min "&amp;SG_Criteria!$B$15&amp;"x"&amp;SG_Criteria!$B$16&amp;" for roadside drain. ","")&amp;IF(AND(E28="Common drain",G28&lt;SG_Criteria!$B$17),"FAIL: common drain W &lt; "&amp;SG_Criteria!$B$17&amp;" mm. ","")&amp;IF(AND(O28&lt;&gt;"",IFERROR(VALUE(MID(O28,2,2)),0)&lt;SG_Criteria!$B$19),"FAIL: grade below C"&amp;SG_Criteria!$B$19&amp;". ","")&amp;IF(AND(P28&lt;&gt;"",P28&lt;SG_Criteria!$B$20),"FAIL: cover &lt; "&amp;SG_Criteria!$B$20&amp;" mm. ","")&amp;IF(AND(F28="Open",H28&gt;SG_Criteria!$B$18),"NOTE: safety railing required (D &gt; "&amp;SG_Criteria!$B$18&amp;" mm). ","")&amp;IF(AND(E28="Entrance culvert",H28&lt;600),"NOTE: check hinged grating rule for culverts &lt; 600 deep (PUB Add. 3). ","")))</f>
        <v/>
      </c>
      <c r="BF28" s="9"/>
      <c r="BG28" s="9"/>
      <c r="BH28" s="9"/>
      <c r="BI28" s="10" t="str">
        <f aca="false">IF(BH28="","",IFERROR(VLOOKUP(BH28,Projects!$A$5:$D$504,2,0),"Ref not in Projects"))</f>
        <v/>
      </c>
      <c r="BJ28" s="10" t="str">
        <f aca="false">IF(BH28="","",IFERROR(VLOOKUP(BH28,Projects!$A$5:$D$504,4,0),"Ref not in Projects"))</f>
        <v/>
      </c>
      <c r="BK28" s="9"/>
      <c r="BL28" s="9"/>
      <c r="BM28" s="9"/>
      <c r="BN28" s="40"/>
      <c r="BO28" s="9"/>
      <c r="BP28" s="40"/>
      <c r="BQ28" s="9"/>
      <c r="BR28" s="40"/>
      <c r="BS28" s="9"/>
      <c r="BT28" s="9"/>
      <c r="BU28" s="9"/>
      <c r="BV28" s="40"/>
      <c r="BW28" s="40"/>
      <c r="BX28" s="36" t="str">
        <f aca="false">IF(BW28="","",EDATE(BW28,SG_Criteria!$B$54*12))</f>
        <v/>
      </c>
      <c r="BY28" s="33" t="str">
        <f aca="true">IF(A28="","",IF(BW28="","NOTE: not reviewed yet",IF(TODAY()&gt;BX28,"NOTE: review overdue","OK")))</f>
        <v/>
      </c>
      <c r="BZ28" s="37" t="str">
        <f aca="false">IF(A28="","",ROUND((IF(LEN(D28)&gt;0,1,0)+IF(LEN(E28)&gt;0,1,0)+IF(LEN(F28)&gt;0,1,0)+IF(LEN(G28)&gt;0,1,0)+IF(LEN(H28)&gt;0,1,0)+IF(LEN(J28)&gt;0,1,0)+IF(LEN(K28)&gt;0,1,0)+IF(LEN(M28)&gt;0,1,0)+IF(LEN(O28)&gt;0,1,0)+IF(LEN(P28)&gt;0,1,0)+IF(LEN(Q28)&gt;0,1,0)+IF(LEN(S28)&gt;0,1,0)+IF(LEN(AC28)&gt;0,1,0)+IF(LEN(AV28)&gt;0,1,0)+IF(LEN(AW28)&gt;0,1,0)+IF(LEN(AG28)&gt;0,1,0)+IF(LEN(AI28)&gt;0,1,0)+IF(LEN(AJ28)&gt;0,1,0)+IF(LEN(AK28)&gt;0,1,0)+IF(LEN(AL28)&gt;0,1,0)+IF(LEN(AU28)&gt;0,1,0)+IF(LEN(BH28)&gt;0,1,0)+IF(LEN(BU28)&gt;0,1,0))/23,2))</f>
        <v/>
      </c>
      <c r="CA28" s="10" t="str">
        <f aca="false">IF(D28="","",IF(AND(AJ28="Approved",ISERROR(SEARCH("FAIL",BE28))),"Y","N"))</f>
        <v/>
      </c>
      <c r="CB28" s="10" t="str">
        <f aca="false">IF(D28="","",D28&amp;"|"&amp;G28&amp;"|"&amp;H28&amp;"|"&amp;M28&amp;"|"&amp;CA28)</f>
        <v/>
      </c>
    </row>
    <row r="29" customFormat="false" ht="15" hidden="false" customHeight="false" outlineLevel="0" collapsed="false">
      <c r="A29" s="10" t="str">
        <f aca="false">IF(D29="","","DRN-"&amp;IFERROR(VLOOKUP(D29,Lists!$A$4:$B$27,2,0),"??")&amp;"-"&amp;TEXT(G29,"0000")&amp;"x"&amp;TEXT(H29,"0000")&amp;IF(N(I29)&gt;1,"-"&amp;I29&amp;"C","")&amp;"-"&amp;IFERROR(VLOOKUP(M29,Lists!$J$4:$K$19,2,0),"??")&amp;"-"&amp;AI29)</f>
        <v/>
      </c>
      <c r="B29" s="10" t="str">
        <f aca="false">IF(D29="","",D29&amp;" "&amp;G29&amp;"W x "&amp;H29&amp;"D"&amp;IF(N(I29)&gt;1," ("&amp;I29&amp;" cells)","")&amp;", "&amp;E29&amp;", "&amp;M29&amp;", "&amp;F29)</f>
        <v/>
      </c>
      <c r="C29" s="9"/>
      <c r="D29" s="9"/>
      <c r="E29" s="9"/>
      <c r="F29" s="9"/>
      <c r="G29" s="38"/>
      <c r="H29" s="38"/>
      <c r="I29" s="38"/>
      <c r="J29" s="38"/>
      <c r="K29" s="38"/>
      <c r="L29" s="38"/>
      <c r="M29" s="9"/>
      <c r="N29" s="9"/>
      <c r="O29" s="9"/>
      <c r="P29" s="38"/>
      <c r="Q29" s="9"/>
      <c r="R29" s="9"/>
      <c r="S29" s="9"/>
      <c r="T29" s="9"/>
      <c r="U29" s="9"/>
      <c r="V29" s="9"/>
      <c r="W29" s="9"/>
      <c r="X29" s="9"/>
      <c r="Y29" s="9"/>
      <c r="Z29" s="9"/>
      <c r="AA29" s="9"/>
      <c r="AB29" s="39"/>
      <c r="AC29" s="9"/>
      <c r="AD29" s="38"/>
      <c r="AE29" s="9"/>
      <c r="AF29" s="39"/>
      <c r="AG29" s="9"/>
      <c r="AH29" s="9"/>
      <c r="AI29" s="9"/>
      <c r="AJ29" s="9"/>
      <c r="AK29" s="9"/>
      <c r="AL29" s="9"/>
      <c r="AM29" s="9"/>
      <c r="AN29" s="10" t="str">
        <f aca="false">IF(A29="","",SG_Criteria!$B$6&amp;SG_Criteria!$B$7&amp;"\"&amp;A29&amp;"\")</f>
        <v/>
      </c>
      <c r="AO29" s="10" t="str">
        <f aca="false">IF(A29="","",A29&amp;"_CAD.dwg")</f>
        <v/>
      </c>
      <c r="AP29" s="10" t="str">
        <f aca="false">IF(A29="","",A29&amp;"_DWG.pdf")</f>
        <v/>
      </c>
      <c r="AQ29" s="10" t="str">
        <f aca="false">IF(A29="","",IF(AM29="Y",A29&amp;"_STAAD.std","n/a"))</f>
        <v/>
      </c>
      <c r="AR29" s="10" t="str">
        <f aca="false">IF(A29="","",A29&amp;"_CALC.xlsx")</f>
        <v/>
      </c>
      <c r="AS29" s="10" t="str">
        <f aca="false">IF(A29="","",A29&amp;"_CALC.pdf")</f>
        <v/>
      </c>
      <c r="AT29" s="9"/>
      <c r="AU29" s="9"/>
      <c r="AV29" s="39"/>
      <c r="AW29" s="39"/>
      <c r="AX29" s="39"/>
      <c r="AY29" s="39"/>
      <c r="AZ29" s="39"/>
      <c r="BA29" s="12" t="str">
        <f aca="false">IF(A29="","",IF(COUNTIF(Rebar_Schedule!$A$5:$A$2004,A29)=0,"",ROUND(SUMIF(Rebar_Schedule!$A$5:$A$2004,A29,Rebar_Schedule!$K$5:$K$2004),1)))</f>
        <v/>
      </c>
      <c r="BB29" s="33" t="str">
        <f aca="false">IF(A29="","",IF(BA29="","No rebar schedule yet",IF(ABS(BA29-N(AW29))/MAX(N(AW29),1)&gt;SG_Criteria!$B$55,"NOTE: register rebar differs from schedule by "&amp;TEXT(ABS(BA29-N(AW29))/MAX(N(AW29),1),"0%"),"OK")))</f>
        <v/>
      </c>
      <c r="BC29" s="34" t="str">
        <f aca="false">IF(OR(D29="",G29="",H29="",D29="Sump",D29="Drop Inlet Chamber",D29="Silt Trap",D29="Pipe Culvert",D29="Subsoil Drain"),"",ROUND(MAX(1,N(I29))*(1/SG_Criteria!$B$26)*((G29/1000)*(H29/1000*(1-SG_Criteria!$B$25)))*(((G29/1000)*(H29/1000*(1-SG_Criteria!$B$25)))/((G29/1000)+2*(H29/1000*(1-SG_Criteria!$B$25))))^(2/3)*(1/Design_Selector!$B$11)^0.5,3))</f>
        <v/>
      </c>
      <c r="BD29" s="11" t="str">
        <f aca="false">IF(BC29="","",ROUND(BC29/(MAX(1,N(I29))*G29/1000*(H29/1000*(1-SG_Criteria!$B$25))),2))</f>
        <v/>
      </c>
      <c r="BE29" s="33" t="str">
        <f aca="false">IF(D29="","",IF(LEN(IF(AND(OR(E29="Roadside drain",E29="Entrance culvert"),OR(G29&lt;SG_Criteria!$B$15,H29&lt;SG_Criteria!$B$16)),"FAIL: below PUB min "&amp;SG_Criteria!$B$15&amp;"x"&amp;SG_Criteria!$B$16&amp;" for roadside drain. ","")&amp;IF(AND(E29="Common drain",G29&lt;SG_Criteria!$B$17),"FAIL: common drain W &lt; "&amp;SG_Criteria!$B$17&amp;" mm. ","")&amp;IF(AND(O29&lt;&gt;"",IFERROR(VALUE(MID(O29,2,2)),0)&lt;SG_Criteria!$B$19),"FAIL: grade below C"&amp;SG_Criteria!$B$19&amp;". ","")&amp;IF(AND(P29&lt;&gt;"",P29&lt;SG_Criteria!$B$20),"FAIL: cover &lt; "&amp;SG_Criteria!$B$20&amp;" mm. ","")&amp;IF(AND(F29="Open",H29&gt;SG_Criteria!$B$18),"NOTE: safety railing required (D &gt; "&amp;SG_Criteria!$B$18&amp;" mm). ","")&amp;IF(AND(E29="Entrance culvert",H29&lt;600),"NOTE: check hinged grating rule for culverts &lt; 600 deep (PUB Add. 3). ",""))=0,"OK",IF(AND(OR(E29="Roadside drain",E29="Entrance culvert"),OR(G29&lt;SG_Criteria!$B$15,H29&lt;SG_Criteria!$B$16)),"FAIL: below PUB min "&amp;SG_Criteria!$B$15&amp;"x"&amp;SG_Criteria!$B$16&amp;" for roadside drain. ","")&amp;IF(AND(E29="Common drain",G29&lt;SG_Criteria!$B$17),"FAIL: common drain W &lt; "&amp;SG_Criteria!$B$17&amp;" mm. ","")&amp;IF(AND(O29&lt;&gt;"",IFERROR(VALUE(MID(O29,2,2)),0)&lt;SG_Criteria!$B$19),"FAIL: grade below C"&amp;SG_Criteria!$B$19&amp;". ","")&amp;IF(AND(P29&lt;&gt;"",P29&lt;SG_Criteria!$B$20),"FAIL: cover &lt; "&amp;SG_Criteria!$B$20&amp;" mm. ","")&amp;IF(AND(F29="Open",H29&gt;SG_Criteria!$B$18),"NOTE: safety railing required (D &gt; "&amp;SG_Criteria!$B$18&amp;" mm). ","")&amp;IF(AND(E29="Entrance culvert",H29&lt;600),"NOTE: check hinged grating rule for culverts &lt; 600 deep (PUB Add. 3). ","")))</f>
        <v/>
      </c>
      <c r="BF29" s="9"/>
      <c r="BG29" s="9"/>
      <c r="BH29" s="9"/>
      <c r="BI29" s="10" t="str">
        <f aca="false">IF(BH29="","",IFERROR(VLOOKUP(BH29,Projects!$A$5:$D$504,2,0),"Ref not in Projects"))</f>
        <v/>
      </c>
      <c r="BJ29" s="10" t="str">
        <f aca="false">IF(BH29="","",IFERROR(VLOOKUP(BH29,Projects!$A$5:$D$504,4,0),"Ref not in Projects"))</f>
        <v/>
      </c>
      <c r="BK29" s="9"/>
      <c r="BL29" s="9"/>
      <c r="BM29" s="9"/>
      <c r="BN29" s="40"/>
      <c r="BO29" s="9"/>
      <c r="BP29" s="40"/>
      <c r="BQ29" s="9"/>
      <c r="BR29" s="40"/>
      <c r="BS29" s="9"/>
      <c r="BT29" s="9"/>
      <c r="BU29" s="9"/>
      <c r="BV29" s="40"/>
      <c r="BW29" s="40"/>
      <c r="BX29" s="36" t="str">
        <f aca="false">IF(BW29="","",EDATE(BW29,SG_Criteria!$B$54*12))</f>
        <v/>
      </c>
      <c r="BY29" s="33" t="str">
        <f aca="true">IF(A29="","",IF(BW29="","NOTE: not reviewed yet",IF(TODAY()&gt;BX29,"NOTE: review overdue","OK")))</f>
        <v/>
      </c>
      <c r="BZ29" s="37" t="str">
        <f aca="false">IF(A29="","",ROUND((IF(LEN(D29)&gt;0,1,0)+IF(LEN(E29)&gt;0,1,0)+IF(LEN(F29)&gt;0,1,0)+IF(LEN(G29)&gt;0,1,0)+IF(LEN(H29)&gt;0,1,0)+IF(LEN(J29)&gt;0,1,0)+IF(LEN(K29)&gt;0,1,0)+IF(LEN(M29)&gt;0,1,0)+IF(LEN(O29)&gt;0,1,0)+IF(LEN(P29)&gt;0,1,0)+IF(LEN(Q29)&gt;0,1,0)+IF(LEN(S29)&gt;0,1,0)+IF(LEN(AC29)&gt;0,1,0)+IF(LEN(AV29)&gt;0,1,0)+IF(LEN(AW29)&gt;0,1,0)+IF(LEN(AG29)&gt;0,1,0)+IF(LEN(AI29)&gt;0,1,0)+IF(LEN(AJ29)&gt;0,1,0)+IF(LEN(AK29)&gt;0,1,0)+IF(LEN(AL29)&gt;0,1,0)+IF(LEN(AU29)&gt;0,1,0)+IF(LEN(BH29)&gt;0,1,0)+IF(LEN(BU29)&gt;0,1,0))/23,2))</f>
        <v/>
      </c>
      <c r="CA29" s="10" t="str">
        <f aca="false">IF(D29="","",IF(AND(AJ29="Approved",ISERROR(SEARCH("FAIL",BE29))),"Y","N"))</f>
        <v/>
      </c>
      <c r="CB29" s="10" t="str">
        <f aca="false">IF(D29="","",D29&amp;"|"&amp;G29&amp;"|"&amp;H29&amp;"|"&amp;M29&amp;"|"&amp;CA29)</f>
        <v/>
      </c>
    </row>
    <row r="30" customFormat="false" ht="15" hidden="false" customHeight="false" outlineLevel="0" collapsed="false">
      <c r="A30" s="10" t="str">
        <f aca="false">IF(D30="","","DRN-"&amp;IFERROR(VLOOKUP(D30,Lists!$A$4:$B$27,2,0),"??")&amp;"-"&amp;TEXT(G30,"0000")&amp;"x"&amp;TEXT(H30,"0000")&amp;IF(N(I30)&gt;1,"-"&amp;I30&amp;"C","")&amp;"-"&amp;IFERROR(VLOOKUP(M30,Lists!$J$4:$K$19,2,0),"??")&amp;"-"&amp;AI30)</f>
        <v/>
      </c>
      <c r="B30" s="10" t="str">
        <f aca="false">IF(D30="","",D30&amp;" "&amp;G30&amp;"W x "&amp;H30&amp;"D"&amp;IF(N(I30)&gt;1," ("&amp;I30&amp;" cells)","")&amp;", "&amp;E30&amp;", "&amp;M30&amp;", "&amp;F30)</f>
        <v/>
      </c>
      <c r="C30" s="9"/>
      <c r="D30" s="9"/>
      <c r="E30" s="9"/>
      <c r="F30" s="9"/>
      <c r="G30" s="38"/>
      <c r="H30" s="38"/>
      <c r="I30" s="38"/>
      <c r="J30" s="38"/>
      <c r="K30" s="38"/>
      <c r="L30" s="38"/>
      <c r="M30" s="9"/>
      <c r="N30" s="9"/>
      <c r="O30" s="9"/>
      <c r="P30" s="38"/>
      <c r="Q30" s="9"/>
      <c r="R30" s="9"/>
      <c r="S30" s="9"/>
      <c r="T30" s="9"/>
      <c r="U30" s="9"/>
      <c r="V30" s="9"/>
      <c r="W30" s="9"/>
      <c r="X30" s="9"/>
      <c r="Y30" s="9"/>
      <c r="Z30" s="9"/>
      <c r="AA30" s="9"/>
      <c r="AB30" s="39"/>
      <c r="AC30" s="9"/>
      <c r="AD30" s="38"/>
      <c r="AE30" s="9"/>
      <c r="AF30" s="39"/>
      <c r="AG30" s="9"/>
      <c r="AH30" s="9"/>
      <c r="AI30" s="9"/>
      <c r="AJ30" s="9"/>
      <c r="AK30" s="9"/>
      <c r="AL30" s="9"/>
      <c r="AM30" s="9"/>
      <c r="AN30" s="10" t="str">
        <f aca="false">IF(A30="","",SG_Criteria!$B$6&amp;SG_Criteria!$B$7&amp;"\"&amp;A30&amp;"\")</f>
        <v/>
      </c>
      <c r="AO30" s="10" t="str">
        <f aca="false">IF(A30="","",A30&amp;"_CAD.dwg")</f>
        <v/>
      </c>
      <c r="AP30" s="10" t="str">
        <f aca="false">IF(A30="","",A30&amp;"_DWG.pdf")</f>
        <v/>
      </c>
      <c r="AQ30" s="10" t="str">
        <f aca="false">IF(A30="","",IF(AM30="Y",A30&amp;"_STAAD.std","n/a"))</f>
        <v/>
      </c>
      <c r="AR30" s="10" t="str">
        <f aca="false">IF(A30="","",A30&amp;"_CALC.xlsx")</f>
        <v/>
      </c>
      <c r="AS30" s="10" t="str">
        <f aca="false">IF(A30="","",A30&amp;"_CALC.pdf")</f>
        <v/>
      </c>
      <c r="AT30" s="9"/>
      <c r="AU30" s="9"/>
      <c r="AV30" s="39"/>
      <c r="AW30" s="39"/>
      <c r="AX30" s="39"/>
      <c r="AY30" s="39"/>
      <c r="AZ30" s="39"/>
      <c r="BA30" s="12" t="str">
        <f aca="false">IF(A30="","",IF(COUNTIF(Rebar_Schedule!$A$5:$A$2004,A30)=0,"",ROUND(SUMIF(Rebar_Schedule!$A$5:$A$2004,A30,Rebar_Schedule!$K$5:$K$2004),1)))</f>
        <v/>
      </c>
      <c r="BB30" s="33" t="str">
        <f aca="false">IF(A30="","",IF(BA30="","No rebar schedule yet",IF(ABS(BA30-N(AW30))/MAX(N(AW30),1)&gt;SG_Criteria!$B$55,"NOTE: register rebar differs from schedule by "&amp;TEXT(ABS(BA30-N(AW30))/MAX(N(AW30),1),"0%"),"OK")))</f>
        <v/>
      </c>
      <c r="BC30" s="34" t="str">
        <f aca="false">IF(OR(D30="",G30="",H30="",D30="Sump",D30="Drop Inlet Chamber",D30="Silt Trap",D30="Pipe Culvert",D30="Subsoil Drain"),"",ROUND(MAX(1,N(I30))*(1/SG_Criteria!$B$26)*((G30/1000)*(H30/1000*(1-SG_Criteria!$B$25)))*(((G30/1000)*(H30/1000*(1-SG_Criteria!$B$25)))/((G30/1000)+2*(H30/1000*(1-SG_Criteria!$B$25))))^(2/3)*(1/Design_Selector!$B$11)^0.5,3))</f>
        <v/>
      </c>
      <c r="BD30" s="11" t="str">
        <f aca="false">IF(BC30="","",ROUND(BC30/(MAX(1,N(I30))*G30/1000*(H30/1000*(1-SG_Criteria!$B$25))),2))</f>
        <v/>
      </c>
      <c r="BE30" s="33" t="str">
        <f aca="false">IF(D30="","",IF(LEN(IF(AND(OR(E30="Roadside drain",E30="Entrance culvert"),OR(G30&lt;SG_Criteria!$B$15,H30&lt;SG_Criteria!$B$16)),"FAIL: below PUB min "&amp;SG_Criteria!$B$15&amp;"x"&amp;SG_Criteria!$B$16&amp;" for roadside drain. ","")&amp;IF(AND(E30="Common drain",G30&lt;SG_Criteria!$B$17),"FAIL: common drain W &lt; "&amp;SG_Criteria!$B$17&amp;" mm. ","")&amp;IF(AND(O30&lt;&gt;"",IFERROR(VALUE(MID(O30,2,2)),0)&lt;SG_Criteria!$B$19),"FAIL: grade below C"&amp;SG_Criteria!$B$19&amp;". ","")&amp;IF(AND(P30&lt;&gt;"",P30&lt;SG_Criteria!$B$20),"FAIL: cover &lt; "&amp;SG_Criteria!$B$20&amp;" mm. ","")&amp;IF(AND(F30="Open",H30&gt;SG_Criteria!$B$18),"NOTE: safety railing required (D &gt; "&amp;SG_Criteria!$B$18&amp;" mm). ","")&amp;IF(AND(E30="Entrance culvert",H30&lt;600),"NOTE: check hinged grating rule for culverts &lt; 600 deep (PUB Add. 3). ",""))=0,"OK",IF(AND(OR(E30="Roadside drain",E30="Entrance culvert"),OR(G30&lt;SG_Criteria!$B$15,H30&lt;SG_Criteria!$B$16)),"FAIL: below PUB min "&amp;SG_Criteria!$B$15&amp;"x"&amp;SG_Criteria!$B$16&amp;" for roadside drain. ","")&amp;IF(AND(E30="Common drain",G30&lt;SG_Criteria!$B$17),"FAIL: common drain W &lt; "&amp;SG_Criteria!$B$17&amp;" mm. ","")&amp;IF(AND(O30&lt;&gt;"",IFERROR(VALUE(MID(O30,2,2)),0)&lt;SG_Criteria!$B$19),"FAIL: grade below C"&amp;SG_Criteria!$B$19&amp;". ","")&amp;IF(AND(P30&lt;&gt;"",P30&lt;SG_Criteria!$B$20),"FAIL: cover &lt; "&amp;SG_Criteria!$B$20&amp;" mm. ","")&amp;IF(AND(F30="Open",H30&gt;SG_Criteria!$B$18),"NOTE: safety railing required (D &gt; "&amp;SG_Criteria!$B$18&amp;" mm). ","")&amp;IF(AND(E30="Entrance culvert",H30&lt;600),"NOTE: check hinged grating rule for culverts &lt; 600 deep (PUB Add. 3). ","")))</f>
        <v/>
      </c>
      <c r="BF30" s="9"/>
      <c r="BG30" s="9"/>
      <c r="BH30" s="9"/>
      <c r="BI30" s="10" t="str">
        <f aca="false">IF(BH30="","",IFERROR(VLOOKUP(BH30,Projects!$A$5:$D$504,2,0),"Ref not in Projects"))</f>
        <v/>
      </c>
      <c r="BJ30" s="10" t="str">
        <f aca="false">IF(BH30="","",IFERROR(VLOOKUP(BH30,Projects!$A$5:$D$504,4,0),"Ref not in Projects"))</f>
        <v/>
      </c>
      <c r="BK30" s="9"/>
      <c r="BL30" s="9"/>
      <c r="BM30" s="9"/>
      <c r="BN30" s="40"/>
      <c r="BO30" s="9"/>
      <c r="BP30" s="40"/>
      <c r="BQ30" s="9"/>
      <c r="BR30" s="40"/>
      <c r="BS30" s="9"/>
      <c r="BT30" s="9"/>
      <c r="BU30" s="9"/>
      <c r="BV30" s="40"/>
      <c r="BW30" s="40"/>
      <c r="BX30" s="36" t="str">
        <f aca="false">IF(BW30="","",EDATE(BW30,SG_Criteria!$B$54*12))</f>
        <v/>
      </c>
      <c r="BY30" s="33" t="str">
        <f aca="true">IF(A30="","",IF(BW30="","NOTE: not reviewed yet",IF(TODAY()&gt;BX30,"NOTE: review overdue","OK")))</f>
        <v/>
      </c>
      <c r="BZ30" s="37" t="str">
        <f aca="false">IF(A30="","",ROUND((IF(LEN(D30)&gt;0,1,0)+IF(LEN(E30)&gt;0,1,0)+IF(LEN(F30)&gt;0,1,0)+IF(LEN(G30)&gt;0,1,0)+IF(LEN(H30)&gt;0,1,0)+IF(LEN(J30)&gt;0,1,0)+IF(LEN(K30)&gt;0,1,0)+IF(LEN(M30)&gt;0,1,0)+IF(LEN(O30)&gt;0,1,0)+IF(LEN(P30)&gt;0,1,0)+IF(LEN(Q30)&gt;0,1,0)+IF(LEN(S30)&gt;0,1,0)+IF(LEN(AC30)&gt;0,1,0)+IF(LEN(AV30)&gt;0,1,0)+IF(LEN(AW30)&gt;0,1,0)+IF(LEN(AG30)&gt;0,1,0)+IF(LEN(AI30)&gt;0,1,0)+IF(LEN(AJ30)&gt;0,1,0)+IF(LEN(AK30)&gt;0,1,0)+IF(LEN(AL30)&gt;0,1,0)+IF(LEN(AU30)&gt;0,1,0)+IF(LEN(BH30)&gt;0,1,0)+IF(LEN(BU30)&gt;0,1,0))/23,2))</f>
        <v/>
      </c>
      <c r="CA30" s="10" t="str">
        <f aca="false">IF(D30="","",IF(AND(AJ30="Approved",ISERROR(SEARCH("FAIL",BE30))),"Y","N"))</f>
        <v/>
      </c>
      <c r="CB30" s="10" t="str">
        <f aca="false">IF(D30="","",D30&amp;"|"&amp;G30&amp;"|"&amp;H30&amp;"|"&amp;M30&amp;"|"&amp;CA30)</f>
        <v/>
      </c>
    </row>
    <row r="31" customFormat="false" ht="15" hidden="false" customHeight="false" outlineLevel="0" collapsed="false">
      <c r="A31" s="10" t="str">
        <f aca="false">IF(D31="","","DRN-"&amp;IFERROR(VLOOKUP(D31,Lists!$A$4:$B$27,2,0),"??")&amp;"-"&amp;TEXT(G31,"0000")&amp;"x"&amp;TEXT(H31,"0000")&amp;IF(N(I31)&gt;1,"-"&amp;I31&amp;"C","")&amp;"-"&amp;IFERROR(VLOOKUP(M31,Lists!$J$4:$K$19,2,0),"??")&amp;"-"&amp;AI31)</f>
        <v/>
      </c>
      <c r="B31" s="10" t="str">
        <f aca="false">IF(D31="","",D31&amp;" "&amp;G31&amp;"W x "&amp;H31&amp;"D"&amp;IF(N(I31)&gt;1," ("&amp;I31&amp;" cells)","")&amp;", "&amp;E31&amp;", "&amp;M31&amp;", "&amp;F31)</f>
        <v/>
      </c>
      <c r="C31" s="9"/>
      <c r="D31" s="9"/>
      <c r="E31" s="9"/>
      <c r="F31" s="9"/>
      <c r="G31" s="38"/>
      <c r="H31" s="38"/>
      <c r="I31" s="38"/>
      <c r="J31" s="38"/>
      <c r="K31" s="38"/>
      <c r="L31" s="38"/>
      <c r="M31" s="9"/>
      <c r="N31" s="9"/>
      <c r="O31" s="9"/>
      <c r="P31" s="38"/>
      <c r="Q31" s="9"/>
      <c r="R31" s="9"/>
      <c r="S31" s="9"/>
      <c r="T31" s="9"/>
      <c r="U31" s="9"/>
      <c r="V31" s="9"/>
      <c r="W31" s="9"/>
      <c r="X31" s="9"/>
      <c r="Y31" s="9"/>
      <c r="Z31" s="9"/>
      <c r="AA31" s="9"/>
      <c r="AB31" s="39"/>
      <c r="AC31" s="9"/>
      <c r="AD31" s="38"/>
      <c r="AE31" s="9"/>
      <c r="AF31" s="39"/>
      <c r="AG31" s="9"/>
      <c r="AH31" s="9"/>
      <c r="AI31" s="9"/>
      <c r="AJ31" s="9"/>
      <c r="AK31" s="9"/>
      <c r="AL31" s="9"/>
      <c r="AM31" s="9"/>
      <c r="AN31" s="10" t="str">
        <f aca="false">IF(A31="","",SG_Criteria!$B$6&amp;SG_Criteria!$B$7&amp;"\"&amp;A31&amp;"\")</f>
        <v/>
      </c>
      <c r="AO31" s="10" t="str">
        <f aca="false">IF(A31="","",A31&amp;"_CAD.dwg")</f>
        <v/>
      </c>
      <c r="AP31" s="10" t="str">
        <f aca="false">IF(A31="","",A31&amp;"_DWG.pdf")</f>
        <v/>
      </c>
      <c r="AQ31" s="10" t="str">
        <f aca="false">IF(A31="","",IF(AM31="Y",A31&amp;"_STAAD.std","n/a"))</f>
        <v/>
      </c>
      <c r="AR31" s="10" t="str">
        <f aca="false">IF(A31="","",A31&amp;"_CALC.xlsx")</f>
        <v/>
      </c>
      <c r="AS31" s="10" t="str">
        <f aca="false">IF(A31="","",A31&amp;"_CALC.pdf")</f>
        <v/>
      </c>
      <c r="AT31" s="9"/>
      <c r="AU31" s="9"/>
      <c r="AV31" s="39"/>
      <c r="AW31" s="39"/>
      <c r="AX31" s="39"/>
      <c r="AY31" s="39"/>
      <c r="AZ31" s="39"/>
      <c r="BA31" s="12" t="str">
        <f aca="false">IF(A31="","",IF(COUNTIF(Rebar_Schedule!$A$5:$A$2004,A31)=0,"",ROUND(SUMIF(Rebar_Schedule!$A$5:$A$2004,A31,Rebar_Schedule!$K$5:$K$2004),1)))</f>
        <v/>
      </c>
      <c r="BB31" s="33" t="str">
        <f aca="false">IF(A31="","",IF(BA31="","No rebar schedule yet",IF(ABS(BA31-N(AW31))/MAX(N(AW31),1)&gt;SG_Criteria!$B$55,"NOTE: register rebar differs from schedule by "&amp;TEXT(ABS(BA31-N(AW31))/MAX(N(AW31),1),"0%"),"OK")))</f>
        <v/>
      </c>
      <c r="BC31" s="34" t="str">
        <f aca="false">IF(OR(D31="",G31="",H31="",D31="Sump",D31="Drop Inlet Chamber",D31="Silt Trap",D31="Pipe Culvert",D31="Subsoil Drain"),"",ROUND(MAX(1,N(I31))*(1/SG_Criteria!$B$26)*((G31/1000)*(H31/1000*(1-SG_Criteria!$B$25)))*(((G31/1000)*(H31/1000*(1-SG_Criteria!$B$25)))/((G31/1000)+2*(H31/1000*(1-SG_Criteria!$B$25))))^(2/3)*(1/Design_Selector!$B$11)^0.5,3))</f>
        <v/>
      </c>
      <c r="BD31" s="11" t="str">
        <f aca="false">IF(BC31="","",ROUND(BC31/(MAX(1,N(I31))*G31/1000*(H31/1000*(1-SG_Criteria!$B$25))),2))</f>
        <v/>
      </c>
      <c r="BE31" s="33" t="str">
        <f aca="false">IF(D31="","",IF(LEN(IF(AND(OR(E31="Roadside drain",E31="Entrance culvert"),OR(G31&lt;SG_Criteria!$B$15,H31&lt;SG_Criteria!$B$16)),"FAIL: below PUB min "&amp;SG_Criteria!$B$15&amp;"x"&amp;SG_Criteria!$B$16&amp;" for roadside drain. ","")&amp;IF(AND(E31="Common drain",G31&lt;SG_Criteria!$B$17),"FAIL: common drain W &lt; "&amp;SG_Criteria!$B$17&amp;" mm. ","")&amp;IF(AND(O31&lt;&gt;"",IFERROR(VALUE(MID(O31,2,2)),0)&lt;SG_Criteria!$B$19),"FAIL: grade below C"&amp;SG_Criteria!$B$19&amp;". ","")&amp;IF(AND(P31&lt;&gt;"",P31&lt;SG_Criteria!$B$20),"FAIL: cover &lt; "&amp;SG_Criteria!$B$20&amp;" mm. ","")&amp;IF(AND(F31="Open",H31&gt;SG_Criteria!$B$18),"NOTE: safety railing required (D &gt; "&amp;SG_Criteria!$B$18&amp;" mm). ","")&amp;IF(AND(E31="Entrance culvert",H31&lt;600),"NOTE: check hinged grating rule for culverts &lt; 600 deep (PUB Add. 3). ",""))=0,"OK",IF(AND(OR(E31="Roadside drain",E31="Entrance culvert"),OR(G31&lt;SG_Criteria!$B$15,H31&lt;SG_Criteria!$B$16)),"FAIL: below PUB min "&amp;SG_Criteria!$B$15&amp;"x"&amp;SG_Criteria!$B$16&amp;" for roadside drain. ","")&amp;IF(AND(E31="Common drain",G31&lt;SG_Criteria!$B$17),"FAIL: common drain W &lt; "&amp;SG_Criteria!$B$17&amp;" mm. ","")&amp;IF(AND(O31&lt;&gt;"",IFERROR(VALUE(MID(O31,2,2)),0)&lt;SG_Criteria!$B$19),"FAIL: grade below C"&amp;SG_Criteria!$B$19&amp;". ","")&amp;IF(AND(P31&lt;&gt;"",P31&lt;SG_Criteria!$B$20),"FAIL: cover &lt; "&amp;SG_Criteria!$B$20&amp;" mm. ","")&amp;IF(AND(F31="Open",H31&gt;SG_Criteria!$B$18),"NOTE: safety railing required (D &gt; "&amp;SG_Criteria!$B$18&amp;" mm). ","")&amp;IF(AND(E31="Entrance culvert",H31&lt;600),"NOTE: check hinged grating rule for culverts &lt; 600 deep (PUB Add. 3). ","")))</f>
        <v/>
      </c>
      <c r="BF31" s="9"/>
      <c r="BG31" s="9"/>
      <c r="BH31" s="9"/>
      <c r="BI31" s="10" t="str">
        <f aca="false">IF(BH31="","",IFERROR(VLOOKUP(BH31,Projects!$A$5:$D$504,2,0),"Ref not in Projects"))</f>
        <v/>
      </c>
      <c r="BJ31" s="10" t="str">
        <f aca="false">IF(BH31="","",IFERROR(VLOOKUP(BH31,Projects!$A$5:$D$504,4,0),"Ref not in Projects"))</f>
        <v/>
      </c>
      <c r="BK31" s="9"/>
      <c r="BL31" s="9"/>
      <c r="BM31" s="9"/>
      <c r="BN31" s="40"/>
      <c r="BO31" s="9"/>
      <c r="BP31" s="40"/>
      <c r="BQ31" s="9"/>
      <c r="BR31" s="40"/>
      <c r="BS31" s="9"/>
      <c r="BT31" s="9"/>
      <c r="BU31" s="9"/>
      <c r="BV31" s="40"/>
      <c r="BW31" s="40"/>
      <c r="BX31" s="36" t="str">
        <f aca="false">IF(BW31="","",EDATE(BW31,SG_Criteria!$B$54*12))</f>
        <v/>
      </c>
      <c r="BY31" s="33" t="str">
        <f aca="true">IF(A31="","",IF(BW31="","NOTE: not reviewed yet",IF(TODAY()&gt;BX31,"NOTE: review overdue","OK")))</f>
        <v/>
      </c>
      <c r="BZ31" s="37" t="str">
        <f aca="false">IF(A31="","",ROUND((IF(LEN(D31)&gt;0,1,0)+IF(LEN(E31)&gt;0,1,0)+IF(LEN(F31)&gt;0,1,0)+IF(LEN(G31)&gt;0,1,0)+IF(LEN(H31)&gt;0,1,0)+IF(LEN(J31)&gt;0,1,0)+IF(LEN(K31)&gt;0,1,0)+IF(LEN(M31)&gt;0,1,0)+IF(LEN(O31)&gt;0,1,0)+IF(LEN(P31)&gt;0,1,0)+IF(LEN(Q31)&gt;0,1,0)+IF(LEN(S31)&gt;0,1,0)+IF(LEN(AC31)&gt;0,1,0)+IF(LEN(AV31)&gt;0,1,0)+IF(LEN(AW31)&gt;0,1,0)+IF(LEN(AG31)&gt;0,1,0)+IF(LEN(AI31)&gt;0,1,0)+IF(LEN(AJ31)&gt;0,1,0)+IF(LEN(AK31)&gt;0,1,0)+IF(LEN(AL31)&gt;0,1,0)+IF(LEN(AU31)&gt;0,1,0)+IF(LEN(BH31)&gt;0,1,0)+IF(LEN(BU31)&gt;0,1,0))/23,2))</f>
        <v/>
      </c>
      <c r="CA31" s="10" t="str">
        <f aca="false">IF(D31="","",IF(AND(AJ31="Approved",ISERROR(SEARCH("FAIL",BE31))),"Y","N"))</f>
        <v/>
      </c>
      <c r="CB31" s="10" t="str">
        <f aca="false">IF(D31="","",D31&amp;"|"&amp;G31&amp;"|"&amp;H31&amp;"|"&amp;M31&amp;"|"&amp;CA31)</f>
        <v/>
      </c>
    </row>
    <row r="32" customFormat="false" ht="15" hidden="false" customHeight="false" outlineLevel="0" collapsed="false">
      <c r="A32" s="10" t="str">
        <f aca="false">IF(D32="","","DRN-"&amp;IFERROR(VLOOKUP(D32,Lists!$A$4:$B$27,2,0),"??")&amp;"-"&amp;TEXT(G32,"0000")&amp;"x"&amp;TEXT(H32,"0000")&amp;IF(N(I32)&gt;1,"-"&amp;I32&amp;"C","")&amp;"-"&amp;IFERROR(VLOOKUP(M32,Lists!$J$4:$K$19,2,0),"??")&amp;"-"&amp;AI32)</f>
        <v/>
      </c>
      <c r="B32" s="10" t="str">
        <f aca="false">IF(D32="","",D32&amp;" "&amp;G32&amp;"W x "&amp;H32&amp;"D"&amp;IF(N(I32)&gt;1," ("&amp;I32&amp;" cells)","")&amp;", "&amp;E32&amp;", "&amp;M32&amp;", "&amp;F32)</f>
        <v/>
      </c>
      <c r="C32" s="9"/>
      <c r="D32" s="9"/>
      <c r="E32" s="9"/>
      <c r="F32" s="9"/>
      <c r="G32" s="38"/>
      <c r="H32" s="38"/>
      <c r="I32" s="38"/>
      <c r="J32" s="38"/>
      <c r="K32" s="38"/>
      <c r="L32" s="38"/>
      <c r="M32" s="9"/>
      <c r="N32" s="9"/>
      <c r="O32" s="9"/>
      <c r="P32" s="38"/>
      <c r="Q32" s="9"/>
      <c r="R32" s="9"/>
      <c r="S32" s="9"/>
      <c r="T32" s="9"/>
      <c r="U32" s="9"/>
      <c r="V32" s="9"/>
      <c r="W32" s="9"/>
      <c r="X32" s="9"/>
      <c r="Y32" s="9"/>
      <c r="Z32" s="9"/>
      <c r="AA32" s="9"/>
      <c r="AB32" s="39"/>
      <c r="AC32" s="9"/>
      <c r="AD32" s="38"/>
      <c r="AE32" s="9"/>
      <c r="AF32" s="39"/>
      <c r="AG32" s="9"/>
      <c r="AH32" s="9"/>
      <c r="AI32" s="9"/>
      <c r="AJ32" s="9"/>
      <c r="AK32" s="9"/>
      <c r="AL32" s="9"/>
      <c r="AM32" s="9"/>
      <c r="AN32" s="10" t="str">
        <f aca="false">IF(A32="","",SG_Criteria!$B$6&amp;SG_Criteria!$B$7&amp;"\"&amp;A32&amp;"\")</f>
        <v/>
      </c>
      <c r="AO32" s="10" t="str">
        <f aca="false">IF(A32="","",A32&amp;"_CAD.dwg")</f>
        <v/>
      </c>
      <c r="AP32" s="10" t="str">
        <f aca="false">IF(A32="","",A32&amp;"_DWG.pdf")</f>
        <v/>
      </c>
      <c r="AQ32" s="10" t="str">
        <f aca="false">IF(A32="","",IF(AM32="Y",A32&amp;"_STAAD.std","n/a"))</f>
        <v/>
      </c>
      <c r="AR32" s="10" t="str">
        <f aca="false">IF(A32="","",A32&amp;"_CALC.xlsx")</f>
        <v/>
      </c>
      <c r="AS32" s="10" t="str">
        <f aca="false">IF(A32="","",A32&amp;"_CALC.pdf")</f>
        <v/>
      </c>
      <c r="AT32" s="9"/>
      <c r="AU32" s="9"/>
      <c r="AV32" s="39"/>
      <c r="AW32" s="39"/>
      <c r="AX32" s="39"/>
      <c r="AY32" s="39"/>
      <c r="AZ32" s="39"/>
      <c r="BA32" s="12" t="str">
        <f aca="false">IF(A32="","",IF(COUNTIF(Rebar_Schedule!$A$5:$A$2004,A32)=0,"",ROUND(SUMIF(Rebar_Schedule!$A$5:$A$2004,A32,Rebar_Schedule!$K$5:$K$2004),1)))</f>
        <v/>
      </c>
      <c r="BB32" s="33" t="str">
        <f aca="false">IF(A32="","",IF(BA32="","No rebar schedule yet",IF(ABS(BA32-N(AW32))/MAX(N(AW32),1)&gt;SG_Criteria!$B$55,"NOTE: register rebar differs from schedule by "&amp;TEXT(ABS(BA32-N(AW32))/MAX(N(AW32),1),"0%"),"OK")))</f>
        <v/>
      </c>
      <c r="BC32" s="34" t="str">
        <f aca="false">IF(OR(D32="",G32="",H32="",D32="Sump",D32="Drop Inlet Chamber",D32="Silt Trap",D32="Pipe Culvert",D32="Subsoil Drain"),"",ROUND(MAX(1,N(I32))*(1/SG_Criteria!$B$26)*((G32/1000)*(H32/1000*(1-SG_Criteria!$B$25)))*(((G32/1000)*(H32/1000*(1-SG_Criteria!$B$25)))/((G32/1000)+2*(H32/1000*(1-SG_Criteria!$B$25))))^(2/3)*(1/Design_Selector!$B$11)^0.5,3))</f>
        <v/>
      </c>
      <c r="BD32" s="11" t="str">
        <f aca="false">IF(BC32="","",ROUND(BC32/(MAX(1,N(I32))*G32/1000*(H32/1000*(1-SG_Criteria!$B$25))),2))</f>
        <v/>
      </c>
      <c r="BE32" s="33" t="str">
        <f aca="false">IF(D32="","",IF(LEN(IF(AND(OR(E32="Roadside drain",E32="Entrance culvert"),OR(G32&lt;SG_Criteria!$B$15,H32&lt;SG_Criteria!$B$16)),"FAIL: below PUB min "&amp;SG_Criteria!$B$15&amp;"x"&amp;SG_Criteria!$B$16&amp;" for roadside drain. ","")&amp;IF(AND(E32="Common drain",G32&lt;SG_Criteria!$B$17),"FAIL: common drain W &lt; "&amp;SG_Criteria!$B$17&amp;" mm. ","")&amp;IF(AND(O32&lt;&gt;"",IFERROR(VALUE(MID(O32,2,2)),0)&lt;SG_Criteria!$B$19),"FAIL: grade below C"&amp;SG_Criteria!$B$19&amp;". ","")&amp;IF(AND(P32&lt;&gt;"",P32&lt;SG_Criteria!$B$20),"FAIL: cover &lt; "&amp;SG_Criteria!$B$20&amp;" mm. ","")&amp;IF(AND(F32="Open",H32&gt;SG_Criteria!$B$18),"NOTE: safety railing required (D &gt; "&amp;SG_Criteria!$B$18&amp;" mm). ","")&amp;IF(AND(E32="Entrance culvert",H32&lt;600),"NOTE: check hinged grating rule for culverts &lt; 600 deep (PUB Add. 3). ",""))=0,"OK",IF(AND(OR(E32="Roadside drain",E32="Entrance culvert"),OR(G32&lt;SG_Criteria!$B$15,H32&lt;SG_Criteria!$B$16)),"FAIL: below PUB min "&amp;SG_Criteria!$B$15&amp;"x"&amp;SG_Criteria!$B$16&amp;" for roadside drain. ","")&amp;IF(AND(E32="Common drain",G32&lt;SG_Criteria!$B$17),"FAIL: common drain W &lt; "&amp;SG_Criteria!$B$17&amp;" mm. ","")&amp;IF(AND(O32&lt;&gt;"",IFERROR(VALUE(MID(O32,2,2)),0)&lt;SG_Criteria!$B$19),"FAIL: grade below C"&amp;SG_Criteria!$B$19&amp;". ","")&amp;IF(AND(P32&lt;&gt;"",P32&lt;SG_Criteria!$B$20),"FAIL: cover &lt; "&amp;SG_Criteria!$B$20&amp;" mm. ","")&amp;IF(AND(F32="Open",H32&gt;SG_Criteria!$B$18),"NOTE: safety railing required (D &gt; "&amp;SG_Criteria!$B$18&amp;" mm). ","")&amp;IF(AND(E32="Entrance culvert",H32&lt;600),"NOTE: check hinged grating rule for culverts &lt; 600 deep (PUB Add. 3). ","")))</f>
        <v/>
      </c>
      <c r="BF32" s="9"/>
      <c r="BG32" s="9"/>
      <c r="BH32" s="9"/>
      <c r="BI32" s="10" t="str">
        <f aca="false">IF(BH32="","",IFERROR(VLOOKUP(BH32,Projects!$A$5:$D$504,2,0),"Ref not in Projects"))</f>
        <v/>
      </c>
      <c r="BJ32" s="10" t="str">
        <f aca="false">IF(BH32="","",IFERROR(VLOOKUP(BH32,Projects!$A$5:$D$504,4,0),"Ref not in Projects"))</f>
        <v/>
      </c>
      <c r="BK32" s="9"/>
      <c r="BL32" s="9"/>
      <c r="BM32" s="9"/>
      <c r="BN32" s="40"/>
      <c r="BO32" s="9"/>
      <c r="BP32" s="40"/>
      <c r="BQ32" s="9"/>
      <c r="BR32" s="40"/>
      <c r="BS32" s="9"/>
      <c r="BT32" s="9"/>
      <c r="BU32" s="9"/>
      <c r="BV32" s="40"/>
      <c r="BW32" s="40"/>
      <c r="BX32" s="36" t="str">
        <f aca="false">IF(BW32="","",EDATE(BW32,SG_Criteria!$B$54*12))</f>
        <v/>
      </c>
      <c r="BY32" s="33" t="str">
        <f aca="true">IF(A32="","",IF(BW32="","NOTE: not reviewed yet",IF(TODAY()&gt;BX32,"NOTE: review overdue","OK")))</f>
        <v/>
      </c>
      <c r="BZ32" s="37" t="str">
        <f aca="false">IF(A32="","",ROUND((IF(LEN(D32)&gt;0,1,0)+IF(LEN(E32)&gt;0,1,0)+IF(LEN(F32)&gt;0,1,0)+IF(LEN(G32)&gt;0,1,0)+IF(LEN(H32)&gt;0,1,0)+IF(LEN(J32)&gt;0,1,0)+IF(LEN(K32)&gt;0,1,0)+IF(LEN(M32)&gt;0,1,0)+IF(LEN(O32)&gt;0,1,0)+IF(LEN(P32)&gt;0,1,0)+IF(LEN(Q32)&gt;0,1,0)+IF(LEN(S32)&gt;0,1,0)+IF(LEN(AC32)&gt;0,1,0)+IF(LEN(AV32)&gt;0,1,0)+IF(LEN(AW32)&gt;0,1,0)+IF(LEN(AG32)&gt;0,1,0)+IF(LEN(AI32)&gt;0,1,0)+IF(LEN(AJ32)&gt;0,1,0)+IF(LEN(AK32)&gt;0,1,0)+IF(LEN(AL32)&gt;0,1,0)+IF(LEN(AU32)&gt;0,1,0)+IF(LEN(BH32)&gt;0,1,0)+IF(LEN(BU32)&gt;0,1,0))/23,2))</f>
        <v/>
      </c>
      <c r="CA32" s="10" t="str">
        <f aca="false">IF(D32="","",IF(AND(AJ32="Approved",ISERROR(SEARCH("FAIL",BE32))),"Y","N"))</f>
        <v/>
      </c>
      <c r="CB32" s="10" t="str">
        <f aca="false">IF(D32="","",D32&amp;"|"&amp;G32&amp;"|"&amp;H32&amp;"|"&amp;M32&amp;"|"&amp;CA32)</f>
        <v/>
      </c>
    </row>
    <row r="33" customFormat="false" ht="15" hidden="false" customHeight="false" outlineLevel="0" collapsed="false">
      <c r="A33" s="10" t="str">
        <f aca="false">IF(D33="","","DRN-"&amp;IFERROR(VLOOKUP(D33,Lists!$A$4:$B$27,2,0),"??")&amp;"-"&amp;TEXT(G33,"0000")&amp;"x"&amp;TEXT(H33,"0000")&amp;IF(N(I33)&gt;1,"-"&amp;I33&amp;"C","")&amp;"-"&amp;IFERROR(VLOOKUP(M33,Lists!$J$4:$K$19,2,0),"??")&amp;"-"&amp;AI33)</f>
        <v/>
      </c>
      <c r="B33" s="10" t="str">
        <f aca="false">IF(D33="","",D33&amp;" "&amp;G33&amp;"W x "&amp;H33&amp;"D"&amp;IF(N(I33)&gt;1," ("&amp;I33&amp;" cells)","")&amp;", "&amp;E33&amp;", "&amp;M33&amp;", "&amp;F33)</f>
        <v/>
      </c>
      <c r="C33" s="9"/>
      <c r="D33" s="9"/>
      <c r="E33" s="9"/>
      <c r="F33" s="9"/>
      <c r="G33" s="38"/>
      <c r="H33" s="38"/>
      <c r="I33" s="38"/>
      <c r="J33" s="38"/>
      <c r="K33" s="38"/>
      <c r="L33" s="38"/>
      <c r="M33" s="9"/>
      <c r="N33" s="9"/>
      <c r="O33" s="9"/>
      <c r="P33" s="38"/>
      <c r="Q33" s="9"/>
      <c r="R33" s="9"/>
      <c r="S33" s="9"/>
      <c r="T33" s="9"/>
      <c r="U33" s="9"/>
      <c r="V33" s="9"/>
      <c r="W33" s="9"/>
      <c r="X33" s="9"/>
      <c r="Y33" s="9"/>
      <c r="Z33" s="9"/>
      <c r="AA33" s="9"/>
      <c r="AB33" s="39"/>
      <c r="AC33" s="9"/>
      <c r="AD33" s="38"/>
      <c r="AE33" s="9"/>
      <c r="AF33" s="39"/>
      <c r="AG33" s="9"/>
      <c r="AH33" s="9"/>
      <c r="AI33" s="9"/>
      <c r="AJ33" s="9"/>
      <c r="AK33" s="9"/>
      <c r="AL33" s="9"/>
      <c r="AM33" s="9"/>
      <c r="AN33" s="10" t="str">
        <f aca="false">IF(A33="","",SG_Criteria!$B$6&amp;SG_Criteria!$B$7&amp;"\"&amp;A33&amp;"\")</f>
        <v/>
      </c>
      <c r="AO33" s="10" t="str">
        <f aca="false">IF(A33="","",A33&amp;"_CAD.dwg")</f>
        <v/>
      </c>
      <c r="AP33" s="10" t="str">
        <f aca="false">IF(A33="","",A33&amp;"_DWG.pdf")</f>
        <v/>
      </c>
      <c r="AQ33" s="10" t="str">
        <f aca="false">IF(A33="","",IF(AM33="Y",A33&amp;"_STAAD.std","n/a"))</f>
        <v/>
      </c>
      <c r="AR33" s="10" t="str">
        <f aca="false">IF(A33="","",A33&amp;"_CALC.xlsx")</f>
        <v/>
      </c>
      <c r="AS33" s="10" t="str">
        <f aca="false">IF(A33="","",A33&amp;"_CALC.pdf")</f>
        <v/>
      </c>
      <c r="AT33" s="9"/>
      <c r="AU33" s="9"/>
      <c r="AV33" s="39"/>
      <c r="AW33" s="39"/>
      <c r="AX33" s="39"/>
      <c r="AY33" s="39"/>
      <c r="AZ33" s="39"/>
      <c r="BA33" s="12" t="str">
        <f aca="false">IF(A33="","",IF(COUNTIF(Rebar_Schedule!$A$5:$A$2004,A33)=0,"",ROUND(SUMIF(Rebar_Schedule!$A$5:$A$2004,A33,Rebar_Schedule!$K$5:$K$2004),1)))</f>
        <v/>
      </c>
      <c r="BB33" s="33" t="str">
        <f aca="false">IF(A33="","",IF(BA33="","No rebar schedule yet",IF(ABS(BA33-N(AW33))/MAX(N(AW33),1)&gt;SG_Criteria!$B$55,"NOTE: register rebar differs from schedule by "&amp;TEXT(ABS(BA33-N(AW33))/MAX(N(AW33),1),"0%"),"OK")))</f>
        <v/>
      </c>
      <c r="BC33" s="34" t="str">
        <f aca="false">IF(OR(D33="",G33="",H33="",D33="Sump",D33="Drop Inlet Chamber",D33="Silt Trap",D33="Pipe Culvert",D33="Subsoil Drain"),"",ROUND(MAX(1,N(I33))*(1/SG_Criteria!$B$26)*((G33/1000)*(H33/1000*(1-SG_Criteria!$B$25)))*(((G33/1000)*(H33/1000*(1-SG_Criteria!$B$25)))/((G33/1000)+2*(H33/1000*(1-SG_Criteria!$B$25))))^(2/3)*(1/Design_Selector!$B$11)^0.5,3))</f>
        <v/>
      </c>
      <c r="BD33" s="11" t="str">
        <f aca="false">IF(BC33="","",ROUND(BC33/(MAX(1,N(I33))*G33/1000*(H33/1000*(1-SG_Criteria!$B$25))),2))</f>
        <v/>
      </c>
      <c r="BE33" s="33" t="str">
        <f aca="false">IF(D33="","",IF(LEN(IF(AND(OR(E33="Roadside drain",E33="Entrance culvert"),OR(G33&lt;SG_Criteria!$B$15,H33&lt;SG_Criteria!$B$16)),"FAIL: below PUB min "&amp;SG_Criteria!$B$15&amp;"x"&amp;SG_Criteria!$B$16&amp;" for roadside drain. ","")&amp;IF(AND(E33="Common drain",G33&lt;SG_Criteria!$B$17),"FAIL: common drain W &lt; "&amp;SG_Criteria!$B$17&amp;" mm. ","")&amp;IF(AND(O33&lt;&gt;"",IFERROR(VALUE(MID(O33,2,2)),0)&lt;SG_Criteria!$B$19),"FAIL: grade below C"&amp;SG_Criteria!$B$19&amp;". ","")&amp;IF(AND(P33&lt;&gt;"",P33&lt;SG_Criteria!$B$20),"FAIL: cover &lt; "&amp;SG_Criteria!$B$20&amp;" mm. ","")&amp;IF(AND(F33="Open",H33&gt;SG_Criteria!$B$18),"NOTE: safety railing required (D &gt; "&amp;SG_Criteria!$B$18&amp;" mm). ","")&amp;IF(AND(E33="Entrance culvert",H33&lt;600),"NOTE: check hinged grating rule for culverts &lt; 600 deep (PUB Add. 3). ",""))=0,"OK",IF(AND(OR(E33="Roadside drain",E33="Entrance culvert"),OR(G33&lt;SG_Criteria!$B$15,H33&lt;SG_Criteria!$B$16)),"FAIL: below PUB min "&amp;SG_Criteria!$B$15&amp;"x"&amp;SG_Criteria!$B$16&amp;" for roadside drain. ","")&amp;IF(AND(E33="Common drain",G33&lt;SG_Criteria!$B$17),"FAIL: common drain W &lt; "&amp;SG_Criteria!$B$17&amp;" mm. ","")&amp;IF(AND(O33&lt;&gt;"",IFERROR(VALUE(MID(O33,2,2)),0)&lt;SG_Criteria!$B$19),"FAIL: grade below C"&amp;SG_Criteria!$B$19&amp;". ","")&amp;IF(AND(P33&lt;&gt;"",P33&lt;SG_Criteria!$B$20),"FAIL: cover &lt; "&amp;SG_Criteria!$B$20&amp;" mm. ","")&amp;IF(AND(F33="Open",H33&gt;SG_Criteria!$B$18),"NOTE: safety railing required (D &gt; "&amp;SG_Criteria!$B$18&amp;" mm). ","")&amp;IF(AND(E33="Entrance culvert",H33&lt;600),"NOTE: check hinged grating rule for culverts &lt; 600 deep (PUB Add. 3). ","")))</f>
        <v/>
      </c>
      <c r="BF33" s="9"/>
      <c r="BG33" s="9"/>
      <c r="BH33" s="9"/>
      <c r="BI33" s="10" t="str">
        <f aca="false">IF(BH33="","",IFERROR(VLOOKUP(BH33,Projects!$A$5:$D$504,2,0),"Ref not in Projects"))</f>
        <v/>
      </c>
      <c r="BJ33" s="10" t="str">
        <f aca="false">IF(BH33="","",IFERROR(VLOOKUP(BH33,Projects!$A$5:$D$504,4,0),"Ref not in Projects"))</f>
        <v/>
      </c>
      <c r="BK33" s="9"/>
      <c r="BL33" s="9"/>
      <c r="BM33" s="9"/>
      <c r="BN33" s="40"/>
      <c r="BO33" s="9"/>
      <c r="BP33" s="40"/>
      <c r="BQ33" s="9"/>
      <c r="BR33" s="40"/>
      <c r="BS33" s="9"/>
      <c r="BT33" s="9"/>
      <c r="BU33" s="9"/>
      <c r="BV33" s="40"/>
      <c r="BW33" s="40"/>
      <c r="BX33" s="36" t="str">
        <f aca="false">IF(BW33="","",EDATE(BW33,SG_Criteria!$B$54*12))</f>
        <v/>
      </c>
      <c r="BY33" s="33" t="str">
        <f aca="true">IF(A33="","",IF(BW33="","NOTE: not reviewed yet",IF(TODAY()&gt;BX33,"NOTE: review overdue","OK")))</f>
        <v/>
      </c>
      <c r="BZ33" s="37" t="str">
        <f aca="false">IF(A33="","",ROUND((IF(LEN(D33)&gt;0,1,0)+IF(LEN(E33)&gt;0,1,0)+IF(LEN(F33)&gt;0,1,0)+IF(LEN(G33)&gt;0,1,0)+IF(LEN(H33)&gt;0,1,0)+IF(LEN(J33)&gt;0,1,0)+IF(LEN(K33)&gt;0,1,0)+IF(LEN(M33)&gt;0,1,0)+IF(LEN(O33)&gt;0,1,0)+IF(LEN(P33)&gt;0,1,0)+IF(LEN(Q33)&gt;0,1,0)+IF(LEN(S33)&gt;0,1,0)+IF(LEN(AC33)&gt;0,1,0)+IF(LEN(AV33)&gt;0,1,0)+IF(LEN(AW33)&gt;0,1,0)+IF(LEN(AG33)&gt;0,1,0)+IF(LEN(AI33)&gt;0,1,0)+IF(LEN(AJ33)&gt;0,1,0)+IF(LEN(AK33)&gt;0,1,0)+IF(LEN(AL33)&gt;0,1,0)+IF(LEN(AU33)&gt;0,1,0)+IF(LEN(BH33)&gt;0,1,0)+IF(LEN(BU33)&gt;0,1,0))/23,2))</f>
        <v/>
      </c>
      <c r="CA33" s="10" t="str">
        <f aca="false">IF(D33="","",IF(AND(AJ33="Approved",ISERROR(SEARCH("FAIL",BE33))),"Y","N"))</f>
        <v/>
      </c>
      <c r="CB33" s="10" t="str">
        <f aca="false">IF(D33="","",D33&amp;"|"&amp;G33&amp;"|"&amp;H33&amp;"|"&amp;M33&amp;"|"&amp;CA33)</f>
        <v/>
      </c>
    </row>
    <row r="34" customFormat="false" ht="15" hidden="false" customHeight="false" outlineLevel="0" collapsed="false">
      <c r="A34" s="10" t="str">
        <f aca="false">IF(D34="","","DRN-"&amp;IFERROR(VLOOKUP(D34,Lists!$A$4:$B$27,2,0),"??")&amp;"-"&amp;TEXT(G34,"0000")&amp;"x"&amp;TEXT(H34,"0000")&amp;IF(N(I34)&gt;1,"-"&amp;I34&amp;"C","")&amp;"-"&amp;IFERROR(VLOOKUP(M34,Lists!$J$4:$K$19,2,0),"??")&amp;"-"&amp;AI34)</f>
        <v/>
      </c>
      <c r="B34" s="10" t="str">
        <f aca="false">IF(D34="","",D34&amp;" "&amp;G34&amp;"W x "&amp;H34&amp;"D"&amp;IF(N(I34)&gt;1," ("&amp;I34&amp;" cells)","")&amp;", "&amp;E34&amp;", "&amp;M34&amp;", "&amp;F34)</f>
        <v/>
      </c>
      <c r="C34" s="9"/>
      <c r="D34" s="9"/>
      <c r="E34" s="9"/>
      <c r="F34" s="9"/>
      <c r="G34" s="38"/>
      <c r="H34" s="38"/>
      <c r="I34" s="38"/>
      <c r="J34" s="38"/>
      <c r="K34" s="38"/>
      <c r="L34" s="38"/>
      <c r="M34" s="9"/>
      <c r="N34" s="9"/>
      <c r="O34" s="9"/>
      <c r="P34" s="38"/>
      <c r="Q34" s="9"/>
      <c r="R34" s="9"/>
      <c r="S34" s="9"/>
      <c r="T34" s="9"/>
      <c r="U34" s="9"/>
      <c r="V34" s="9"/>
      <c r="W34" s="9"/>
      <c r="X34" s="9"/>
      <c r="Y34" s="9"/>
      <c r="Z34" s="9"/>
      <c r="AA34" s="9"/>
      <c r="AB34" s="39"/>
      <c r="AC34" s="9"/>
      <c r="AD34" s="38"/>
      <c r="AE34" s="9"/>
      <c r="AF34" s="39"/>
      <c r="AG34" s="9"/>
      <c r="AH34" s="9"/>
      <c r="AI34" s="9"/>
      <c r="AJ34" s="9"/>
      <c r="AK34" s="9"/>
      <c r="AL34" s="9"/>
      <c r="AM34" s="9"/>
      <c r="AN34" s="10" t="str">
        <f aca="false">IF(A34="","",SG_Criteria!$B$6&amp;SG_Criteria!$B$7&amp;"\"&amp;A34&amp;"\")</f>
        <v/>
      </c>
      <c r="AO34" s="10" t="str">
        <f aca="false">IF(A34="","",A34&amp;"_CAD.dwg")</f>
        <v/>
      </c>
      <c r="AP34" s="10" t="str">
        <f aca="false">IF(A34="","",A34&amp;"_DWG.pdf")</f>
        <v/>
      </c>
      <c r="AQ34" s="10" t="str">
        <f aca="false">IF(A34="","",IF(AM34="Y",A34&amp;"_STAAD.std","n/a"))</f>
        <v/>
      </c>
      <c r="AR34" s="10" t="str">
        <f aca="false">IF(A34="","",A34&amp;"_CALC.xlsx")</f>
        <v/>
      </c>
      <c r="AS34" s="10" t="str">
        <f aca="false">IF(A34="","",A34&amp;"_CALC.pdf")</f>
        <v/>
      </c>
      <c r="AT34" s="9"/>
      <c r="AU34" s="9"/>
      <c r="AV34" s="39"/>
      <c r="AW34" s="39"/>
      <c r="AX34" s="39"/>
      <c r="AY34" s="39"/>
      <c r="AZ34" s="39"/>
      <c r="BA34" s="12" t="str">
        <f aca="false">IF(A34="","",IF(COUNTIF(Rebar_Schedule!$A$5:$A$2004,A34)=0,"",ROUND(SUMIF(Rebar_Schedule!$A$5:$A$2004,A34,Rebar_Schedule!$K$5:$K$2004),1)))</f>
        <v/>
      </c>
      <c r="BB34" s="33" t="str">
        <f aca="false">IF(A34="","",IF(BA34="","No rebar schedule yet",IF(ABS(BA34-N(AW34))/MAX(N(AW34),1)&gt;SG_Criteria!$B$55,"NOTE: register rebar differs from schedule by "&amp;TEXT(ABS(BA34-N(AW34))/MAX(N(AW34),1),"0%"),"OK")))</f>
        <v/>
      </c>
      <c r="BC34" s="34" t="str">
        <f aca="false">IF(OR(D34="",G34="",H34="",D34="Sump",D34="Drop Inlet Chamber",D34="Silt Trap",D34="Pipe Culvert",D34="Subsoil Drain"),"",ROUND(MAX(1,N(I34))*(1/SG_Criteria!$B$26)*((G34/1000)*(H34/1000*(1-SG_Criteria!$B$25)))*(((G34/1000)*(H34/1000*(1-SG_Criteria!$B$25)))/((G34/1000)+2*(H34/1000*(1-SG_Criteria!$B$25))))^(2/3)*(1/Design_Selector!$B$11)^0.5,3))</f>
        <v/>
      </c>
      <c r="BD34" s="11" t="str">
        <f aca="false">IF(BC34="","",ROUND(BC34/(MAX(1,N(I34))*G34/1000*(H34/1000*(1-SG_Criteria!$B$25))),2))</f>
        <v/>
      </c>
      <c r="BE34" s="33" t="str">
        <f aca="false">IF(D34="","",IF(LEN(IF(AND(OR(E34="Roadside drain",E34="Entrance culvert"),OR(G34&lt;SG_Criteria!$B$15,H34&lt;SG_Criteria!$B$16)),"FAIL: below PUB min "&amp;SG_Criteria!$B$15&amp;"x"&amp;SG_Criteria!$B$16&amp;" for roadside drain. ","")&amp;IF(AND(E34="Common drain",G34&lt;SG_Criteria!$B$17),"FAIL: common drain W &lt; "&amp;SG_Criteria!$B$17&amp;" mm. ","")&amp;IF(AND(O34&lt;&gt;"",IFERROR(VALUE(MID(O34,2,2)),0)&lt;SG_Criteria!$B$19),"FAIL: grade below C"&amp;SG_Criteria!$B$19&amp;". ","")&amp;IF(AND(P34&lt;&gt;"",P34&lt;SG_Criteria!$B$20),"FAIL: cover &lt; "&amp;SG_Criteria!$B$20&amp;" mm. ","")&amp;IF(AND(F34="Open",H34&gt;SG_Criteria!$B$18),"NOTE: safety railing required (D &gt; "&amp;SG_Criteria!$B$18&amp;" mm). ","")&amp;IF(AND(E34="Entrance culvert",H34&lt;600),"NOTE: check hinged grating rule for culverts &lt; 600 deep (PUB Add. 3). ",""))=0,"OK",IF(AND(OR(E34="Roadside drain",E34="Entrance culvert"),OR(G34&lt;SG_Criteria!$B$15,H34&lt;SG_Criteria!$B$16)),"FAIL: below PUB min "&amp;SG_Criteria!$B$15&amp;"x"&amp;SG_Criteria!$B$16&amp;" for roadside drain. ","")&amp;IF(AND(E34="Common drain",G34&lt;SG_Criteria!$B$17),"FAIL: common drain W &lt; "&amp;SG_Criteria!$B$17&amp;" mm. ","")&amp;IF(AND(O34&lt;&gt;"",IFERROR(VALUE(MID(O34,2,2)),0)&lt;SG_Criteria!$B$19),"FAIL: grade below C"&amp;SG_Criteria!$B$19&amp;". ","")&amp;IF(AND(P34&lt;&gt;"",P34&lt;SG_Criteria!$B$20),"FAIL: cover &lt; "&amp;SG_Criteria!$B$20&amp;" mm. ","")&amp;IF(AND(F34="Open",H34&gt;SG_Criteria!$B$18),"NOTE: safety railing required (D &gt; "&amp;SG_Criteria!$B$18&amp;" mm). ","")&amp;IF(AND(E34="Entrance culvert",H34&lt;600),"NOTE: check hinged grating rule for culverts &lt; 600 deep (PUB Add. 3). ","")))</f>
        <v/>
      </c>
      <c r="BF34" s="9"/>
      <c r="BG34" s="9"/>
      <c r="BH34" s="9"/>
      <c r="BI34" s="10" t="str">
        <f aca="false">IF(BH34="","",IFERROR(VLOOKUP(BH34,Projects!$A$5:$D$504,2,0),"Ref not in Projects"))</f>
        <v/>
      </c>
      <c r="BJ34" s="10" t="str">
        <f aca="false">IF(BH34="","",IFERROR(VLOOKUP(BH34,Projects!$A$5:$D$504,4,0),"Ref not in Projects"))</f>
        <v/>
      </c>
      <c r="BK34" s="9"/>
      <c r="BL34" s="9"/>
      <c r="BM34" s="9"/>
      <c r="BN34" s="40"/>
      <c r="BO34" s="9"/>
      <c r="BP34" s="40"/>
      <c r="BQ34" s="9"/>
      <c r="BR34" s="40"/>
      <c r="BS34" s="9"/>
      <c r="BT34" s="9"/>
      <c r="BU34" s="9"/>
      <c r="BV34" s="40"/>
      <c r="BW34" s="40"/>
      <c r="BX34" s="36" t="str">
        <f aca="false">IF(BW34="","",EDATE(BW34,SG_Criteria!$B$54*12))</f>
        <v/>
      </c>
      <c r="BY34" s="33" t="str">
        <f aca="true">IF(A34="","",IF(BW34="","NOTE: not reviewed yet",IF(TODAY()&gt;BX34,"NOTE: review overdue","OK")))</f>
        <v/>
      </c>
      <c r="BZ34" s="37" t="str">
        <f aca="false">IF(A34="","",ROUND((IF(LEN(D34)&gt;0,1,0)+IF(LEN(E34)&gt;0,1,0)+IF(LEN(F34)&gt;0,1,0)+IF(LEN(G34)&gt;0,1,0)+IF(LEN(H34)&gt;0,1,0)+IF(LEN(J34)&gt;0,1,0)+IF(LEN(K34)&gt;0,1,0)+IF(LEN(M34)&gt;0,1,0)+IF(LEN(O34)&gt;0,1,0)+IF(LEN(P34)&gt;0,1,0)+IF(LEN(Q34)&gt;0,1,0)+IF(LEN(S34)&gt;0,1,0)+IF(LEN(AC34)&gt;0,1,0)+IF(LEN(AV34)&gt;0,1,0)+IF(LEN(AW34)&gt;0,1,0)+IF(LEN(AG34)&gt;0,1,0)+IF(LEN(AI34)&gt;0,1,0)+IF(LEN(AJ34)&gt;0,1,0)+IF(LEN(AK34)&gt;0,1,0)+IF(LEN(AL34)&gt;0,1,0)+IF(LEN(AU34)&gt;0,1,0)+IF(LEN(BH34)&gt;0,1,0)+IF(LEN(BU34)&gt;0,1,0))/23,2))</f>
        <v/>
      </c>
      <c r="CA34" s="10" t="str">
        <f aca="false">IF(D34="","",IF(AND(AJ34="Approved",ISERROR(SEARCH("FAIL",BE34))),"Y","N"))</f>
        <v/>
      </c>
      <c r="CB34" s="10" t="str">
        <f aca="false">IF(D34="","",D34&amp;"|"&amp;G34&amp;"|"&amp;H34&amp;"|"&amp;M34&amp;"|"&amp;CA34)</f>
        <v/>
      </c>
    </row>
    <row r="35" customFormat="false" ht="15" hidden="false" customHeight="false" outlineLevel="0" collapsed="false">
      <c r="A35" s="10" t="str">
        <f aca="false">IF(D35="","","DRN-"&amp;IFERROR(VLOOKUP(D35,Lists!$A$4:$B$27,2,0),"??")&amp;"-"&amp;TEXT(G35,"0000")&amp;"x"&amp;TEXT(H35,"0000")&amp;IF(N(I35)&gt;1,"-"&amp;I35&amp;"C","")&amp;"-"&amp;IFERROR(VLOOKUP(M35,Lists!$J$4:$K$19,2,0),"??")&amp;"-"&amp;AI35)</f>
        <v/>
      </c>
      <c r="B35" s="10" t="str">
        <f aca="false">IF(D35="","",D35&amp;" "&amp;G35&amp;"W x "&amp;H35&amp;"D"&amp;IF(N(I35)&gt;1," ("&amp;I35&amp;" cells)","")&amp;", "&amp;E35&amp;", "&amp;M35&amp;", "&amp;F35)</f>
        <v/>
      </c>
      <c r="C35" s="9"/>
      <c r="D35" s="9"/>
      <c r="E35" s="9"/>
      <c r="F35" s="9"/>
      <c r="G35" s="38"/>
      <c r="H35" s="38"/>
      <c r="I35" s="38"/>
      <c r="J35" s="38"/>
      <c r="K35" s="38"/>
      <c r="L35" s="38"/>
      <c r="M35" s="9"/>
      <c r="N35" s="9"/>
      <c r="O35" s="9"/>
      <c r="P35" s="38"/>
      <c r="Q35" s="9"/>
      <c r="R35" s="9"/>
      <c r="S35" s="9"/>
      <c r="T35" s="9"/>
      <c r="U35" s="9"/>
      <c r="V35" s="9"/>
      <c r="W35" s="9"/>
      <c r="X35" s="9"/>
      <c r="Y35" s="9"/>
      <c r="Z35" s="9"/>
      <c r="AA35" s="9"/>
      <c r="AB35" s="39"/>
      <c r="AC35" s="9"/>
      <c r="AD35" s="38"/>
      <c r="AE35" s="9"/>
      <c r="AF35" s="39"/>
      <c r="AG35" s="9"/>
      <c r="AH35" s="9"/>
      <c r="AI35" s="9"/>
      <c r="AJ35" s="9"/>
      <c r="AK35" s="9"/>
      <c r="AL35" s="9"/>
      <c r="AM35" s="9"/>
      <c r="AN35" s="10" t="str">
        <f aca="false">IF(A35="","",SG_Criteria!$B$6&amp;SG_Criteria!$B$7&amp;"\"&amp;A35&amp;"\")</f>
        <v/>
      </c>
      <c r="AO35" s="10" t="str">
        <f aca="false">IF(A35="","",A35&amp;"_CAD.dwg")</f>
        <v/>
      </c>
      <c r="AP35" s="10" t="str">
        <f aca="false">IF(A35="","",A35&amp;"_DWG.pdf")</f>
        <v/>
      </c>
      <c r="AQ35" s="10" t="str">
        <f aca="false">IF(A35="","",IF(AM35="Y",A35&amp;"_STAAD.std","n/a"))</f>
        <v/>
      </c>
      <c r="AR35" s="10" t="str">
        <f aca="false">IF(A35="","",A35&amp;"_CALC.xlsx")</f>
        <v/>
      </c>
      <c r="AS35" s="10" t="str">
        <f aca="false">IF(A35="","",A35&amp;"_CALC.pdf")</f>
        <v/>
      </c>
      <c r="AT35" s="9"/>
      <c r="AU35" s="9"/>
      <c r="AV35" s="39"/>
      <c r="AW35" s="39"/>
      <c r="AX35" s="39"/>
      <c r="AY35" s="39"/>
      <c r="AZ35" s="39"/>
      <c r="BA35" s="12" t="str">
        <f aca="false">IF(A35="","",IF(COUNTIF(Rebar_Schedule!$A$5:$A$2004,A35)=0,"",ROUND(SUMIF(Rebar_Schedule!$A$5:$A$2004,A35,Rebar_Schedule!$K$5:$K$2004),1)))</f>
        <v/>
      </c>
      <c r="BB35" s="33" t="str">
        <f aca="false">IF(A35="","",IF(BA35="","No rebar schedule yet",IF(ABS(BA35-N(AW35))/MAX(N(AW35),1)&gt;SG_Criteria!$B$55,"NOTE: register rebar differs from schedule by "&amp;TEXT(ABS(BA35-N(AW35))/MAX(N(AW35),1),"0%"),"OK")))</f>
        <v/>
      </c>
      <c r="BC35" s="34" t="str">
        <f aca="false">IF(OR(D35="",G35="",H35="",D35="Sump",D35="Drop Inlet Chamber",D35="Silt Trap",D35="Pipe Culvert",D35="Subsoil Drain"),"",ROUND(MAX(1,N(I35))*(1/SG_Criteria!$B$26)*((G35/1000)*(H35/1000*(1-SG_Criteria!$B$25)))*(((G35/1000)*(H35/1000*(1-SG_Criteria!$B$25)))/((G35/1000)+2*(H35/1000*(1-SG_Criteria!$B$25))))^(2/3)*(1/Design_Selector!$B$11)^0.5,3))</f>
        <v/>
      </c>
      <c r="BD35" s="11" t="str">
        <f aca="false">IF(BC35="","",ROUND(BC35/(MAX(1,N(I35))*G35/1000*(H35/1000*(1-SG_Criteria!$B$25))),2))</f>
        <v/>
      </c>
      <c r="BE35" s="33" t="str">
        <f aca="false">IF(D35="","",IF(LEN(IF(AND(OR(E35="Roadside drain",E35="Entrance culvert"),OR(G35&lt;SG_Criteria!$B$15,H35&lt;SG_Criteria!$B$16)),"FAIL: below PUB min "&amp;SG_Criteria!$B$15&amp;"x"&amp;SG_Criteria!$B$16&amp;" for roadside drain. ","")&amp;IF(AND(E35="Common drain",G35&lt;SG_Criteria!$B$17),"FAIL: common drain W &lt; "&amp;SG_Criteria!$B$17&amp;" mm. ","")&amp;IF(AND(O35&lt;&gt;"",IFERROR(VALUE(MID(O35,2,2)),0)&lt;SG_Criteria!$B$19),"FAIL: grade below C"&amp;SG_Criteria!$B$19&amp;". ","")&amp;IF(AND(P35&lt;&gt;"",P35&lt;SG_Criteria!$B$20),"FAIL: cover &lt; "&amp;SG_Criteria!$B$20&amp;" mm. ","")&amp;IF(AND(F35="Open",H35&gt;SG_Criteria!$B$18),"NOTE: safety railing required (D &gt; "&amp;SG_Criteria!$B$18&amp;" mm). ","")&amp;IF(AND(E35="Entrance culvert",H35&lt;600),"NOTE: check hinged grating rule for culverts &lt; 600 deep (PUB Add. 3). ",""))=0,"OK",IF(AND(OR(E35="Roadside drain",E35="Entrance culvert"),OR(G35&lt;SG_Criteria!$B$15,H35&lt;SG_Criteria!$B$16)),"FAIL: below PUB min "&amp;SG_Criteria!$B$15&amp;"x"&amp;SG_Criteria!$B$16&amp;" for roadside drain. ","")&amp;IF(AND(E35="Common drain",G35&lt;SG_Criteria!$B$17),"FAIL: common drain W &lt; "&amp;SG_Criteria!$B$17&amp;" mm. ","")&amp;IF(AND(O35&lt;&gt;"",IFERROR(VALUE(MID(O35,2,2)),0)&lt;SG_Criteria!$B$19),"FAIL: grade below C"&amp;SG_Criteria!$B$19&amp;". ","")&amp;IF(AND(P35&lt;&gt;"",P35&lt;SG_Criteria!$B$20),"FAIL: cover &lt; "&amp;SG_Criteria!$B$20&amp;" mm. ","")&amp;IF(AND(F35="Open",H35&gt;SG_Criteria!$B$18),"NOTE: safety railing required (D &gt; "&amp;SG_Criteria!$B$18&amp;" mm). ","")&amp;IF(AND(E35="Entrance culvert",H35&lt;600),"NOTE: check hinged grating rule for culverts &lt; 600 deep (PUB Add. 3). ","")))</f>
        <v/>
      </c>
      <c r="BF35" s="9"/>
      <c r="BG35" s="9"/>
      <c r="BH35" s="9"/>
      <c r="BI35" s="10" t="str">
        <f aca="false">IF(BH35="","",IFERROR(VLOOKUP(BH35,Projects!$A$5:$D$504,2,0),"Ref not in Projects"))</f>
        <v/>
      </c>
      <c r="BJ35" s="10" t="str">
        <f aca="false">IF(BH35="","",IFERROR(VLOOKUP(BH35,Projects!$A$5:$D$504,4,0),"Ref not in Projects"))</f>
        <v/>
      </c>
      <c r="BK35" s="9"/>
      <c r="BL35" s="9"/>
      <c r="BM35" s="9"/>
      <c r="BN35" s="40"/>
      <c r="BO35" s="9"/>
      <c r="BP35" s="40"/>
      <c r="BQ35" s="9"/>
      <c r="BR35" s="40"/>
      <c r="BS35" s="9"/>
      <c r="BT35" s="9"/>
      <c r="BU35" s="9"/>
      <c r="BV35" s="40"/>
      <c r="BW35" s="40"/>
      <c r="BX35" s="36" t="str">
        <f aca="false">IF(BW35="","",EDATE(BW35,SG_Criteria!$B$54*12))</f>
        <v/>
      </c>
      <c r="BY35" s="33" t="str">
        <f aca="true">IF(A35="","",IF(BW35="","NOTE: not reviewed yet",IF(TODAY()&gt;BX35,"NOTE: review overdue","OK")))</f>
        <v/>
      </c>
      <c r="BZ35" s="37" t="str">
        <f aca="false">IF(A35="","",ROUND((IF(LEN(D35)&gt;0,1,0)+IF(LEN(E35)&gt;0,1,0)+IF(LEN(F35)&gt;0,1,0)+IF(LEN(G35)&gt;0,1,0)+IF(LEN(H35)&gt;0,1,0)+IF(LEN(J35)&gt;0,1,0)+IF(LEN(K35)&gt;0,1,0)+IF(LEN(M35)&gt;0,1,0)+IF(LEN(O35)&gt;0,1,0)+IF(LEN(P35)&gt;0,1,0)+IF(LEN(Q35)&gt;0,1,0)+IF(LEN(S35)&gt;0,1,0)+IF(LEN(AC35)&gt;0,1,0)+IF(LEN(AV35)&gt;0,1,0)+IF(LEN(AW35)&gt;0,1,0)+IF(LEN(AG35)&gt;0,1,0)+IF(LEN(AI35)&gt;0,1,0)+IF(LEN(AJ35)&gt;0,1,0)+IF(LEN(AK35)&gt;0,1,0)+IF(LEN(AL35)&gt;0,1,0)+IF(LEN(AU35)&gt;0,1,0)+IF(LEN(BH35)&gt;0,1,0)+IF(LEN(BU35)&gt;0,1,0))/23,2))</f>
        <v/>
      </c>
      <c r="CA35" s="10" t="str">
        <f aca="false">IF(D35="","",IF(AND(AJ35="Approved",ISERROR(SEARCH("FAIL",BE35))),"Y","N"))</f>
        <v/>
      </c>
      <c r="CB35" s="10" t="str">
        <f aca="false">IF(D35="","",D35&amp;"|"&amp;G35&amp;"|"&amp;H35&amp;"|"&amp;M35&amp;"|"&amp;CA35)</f>
        <v/>
      </c>
    </row>
    <row r="36" customFormat="false" ht="15" hidden="false" customHeight="false" outlineLevel="0" collapsed="false">
      <c r="A36" s="10" t="str">
        <f aca="false">IF(D36="","","DRN-"&amp;IFERROR(VLOOKUP(D36,Lists!$A$4:$B$27,2,0),"??")&amp;"-"&amp;TEXT(G36,"0000")&amp;"x"&amp;TEXT(H36,"0000")&amp;IF(N(I36)&gt;1,"-"&amp;I36&amp;"C","")&amp;"-"&amp;IFERROR(VLOOKUP(M36,Lists!$J$4:$K$19,2,0),"??")&amp;"-"&amp;AI36)</f>
        <v/>
      </c>
      <c r="B36" s="10" t="str">
        <f aca="false">IF(D36="","",D36&amp;" "&amp;G36&amp;"W x "&amp;H36&amp;"D"&amp;IF(N(I36)&gt;1," ("&amp;I36&amp;" cells)","")&amp;", "&amp;E36&amp;", "&amp;M36&amp;", "&amp;F36)</f>
        <v/>
      </c>
      <c r="C36" s="9"/>
      <c r="D36" s="9"/>
      <c r="E36" s="9"/>
      <c r="F36" s="9"/>
      <c r="G36" s="38"/>
      <c r="H36" s="38"/>
      <c r="I36" s="38"/>
      <c r="J36" s="38"/>
      <c r="K36" s="38"/>
      <c r="L36" s="38"/>
      <c r="M36" s="9"/>
      <c r="N36" s="9"/>
      <c r="O36" s="9"/>
      <c r="P36" s="38"/>
      <c r="Q36" s="9"/>
      <c r="R36" s="9"/>
      <c r="S36" s="9"/>
      <c r="T36" s="9"/>
      <c r="U36" s="9"/>
      <c r="V36" s="9"/>
      <c r="W36" s="9"/>
      <c r="X36" s="9"/>
      <c r="Y36" s="9"/>
      <c r="Z36" s="9"/>
      <c r="AA36" s="9"/>
      <c r="AB36" s="39"/>
      <c r="AC36" s="9"/>
      <c r="AD36" s="38"/>
      <c r="AE36" s="9"/>
      <c r="AF36" s="39"/>
      <c r="AG36" s="9"/>
      <c r="AH36" s="9"/>
      <c r="AI36" s="9"/>
      <c r="AJ36" s="9"/>
      <c r="AK36" s="9"/>
      <c r="AL36" s="9"/>
      <c r="AM36" s="9"/>
      <c r="AN36" s="10" t="str">
        <f aca="false">IF(A36="","",SG_Criteria!$B$6&amp;SG_Criteria!$B$7&amp;"\"&amp;A36&amp;"\")</f>
        <v/>
      </c>
      <c r="AO36" s="10" t="str">
        <f aca="false">IF(A36="","",A36&amp;"_CAD.dwg")</f>
        <v/>
      </c>
      <c r="AP36" s="10" t="str">
        <f aca="false">IF(A36="","",A36&amp;"_DWG.pdf")</f>
        <v/>
      </c>
      <c r="AQ36" s="10" t="str">
        <f aca="false">IF(A36="","",IF(AM36="Y",A36&amp;"_STAAD.std","n/a"))</f>
        <v/>
      </c>
      <c r="AR36" s="10" t="str">
        <f aca="false">IF(A36="","",A36&amp;"_CALC.xlsx")</f>
        <v/>
      </c>
      <c r="AS36" s="10" t="str">
        <f aca="false">IF(A36="","",A36&amp;"_CALC.pdf")</f>
        <v/>
      </c>
      <c r="AT36" s="9"/>
      <c r="AU36" s="9"/>
      <c r="AV36" s="39"/>
      <c r="AW36" s="39"/>
      <c r="AX36" s="39"/>
      <c r="AY36" s="39"/>
      <c r="AZ36" s="39"/>
      <c r="BA36" s="12" t="str">
        <f aca="false">IF(A36="","",IF(COUNTIF(Rebar_Schedule!$A$5:$A$2004,A36)=0,"",ROUND(SUMIF(Rebar_Schedule!$A$5:$A$2004,A36,Rebar_Schedule!$K$5:$K$2004),1)))</f>
        <v/>
      </c>
      <c r="BB36" s="33" t="str">
        <f aca="false">IF(A36="","",IF(BA36="","No rebar schedule yet",IF(ABS(BA36-N(AW36))/MAX(N(AW36),1)&gt;SG_Criteria!$B$55,"NOTE: register rebar differs from schedule by "&amp;TEXT(ABS(BA36-N(AW36))/MAX(N(AW36),1),"0%"),"OK")))</f>
        <v/>
      </c>
      <c r="BC36" s="34" t="str">
        <f aca="false">IF(OR(D36="",G36="",H36="",D36="Sump",D36="Drop Inlet Chamber",D36="Silt Trap",D36="Pipe Culvert",D36="Subsoil Drain"),"",ROUND(MAX(1,N(I36))*(1/SG_Criteria!$B$26)*((G36/1000)*(H36/1000*(1-SG_Criteria!$B$25)))*(((G36/1000)*(H36/1000*(1-SG_Criteria!$B$25)))/((G36/1000)+2*(H36/1000*(1-SG_Criteria!$B$25))))^(2/3)*(1/Design_Selector!$B$11)^0.5,3))</f>
        <v/>
      </c>
      <c r="BD36" s="11" t="str">
        <f aca="false">IF(BC36="","",ROUND(BC36/(MAX(1,N(I36))*G36/1000*(H36/1000*(1-SG_Criteria!$B$25))),2))</f>
        <v/>
      </c>
      <c r="BE36" s="33" t="str">
        <f aca="false">IF(D36="","",IF(LEN(IF(AND(OR(E36="Roadside drain",E36="Entrance culvert"),OR(G36&lt;SG_Criteria!$B$15,H36&lt;SG_Criteria!$B$16)),"FAIL: below PUB min "&amp;SG_Criteria!$B$15&amp;"x"&amp;SG_Criteria!$B$16&amp;" for roadside drain. ","")&amp;IF(AND(E36="Common drain",G36&lt;SG_Criteria!$B$17),"FAIL: common drain W &lt; "&amp;SG_Criteria!$B$17&amp;" mm. ","")&amp;IF(AND(O36&lt;&gt;"",IFERROR(VALUE(MID(O36,2,2)),0)&lt;SG_Criteria!$B$19),"FAIL: grade below C"&amp;SG_Criteria!$B$19&amp;". ","")&amp;IF(AND(P36&lt;&gt;"",P36&lt;SG_Criteria!$B$20),"FAIL: cover &lt; "&amp;SG_Criteria!$B$20&amp;" mm. ","")&amp;IF(AND(F36="Open",H36&gt;SG_Criteria!$B$18),"NOTE: safety railing required (D &gt; "&amp;SG_Criteria!$B$18&amp;" mm). ","")&amp;IF(AND(E36="Entrance culvert",H36&lt;600),"NOTE: check hinged grating rule for culverts &lt; 600 deep (PUB Add. 3). ",""))=0,"OK",IF(AND(OR(E36="Roadside drain",E36="Entrance culvert"),OR(G36&lt;SG_Criteria!$B$15,H36&lt;SG_Criteria!$B$16)),"FAIL: below PUB min "&amp;SG_Criteria!$B$15&amp;"x"&amp;SG_Criteria!$B$16&amp;" for roadside drain. ","")&amp;IF(AND(E36="Common drain",G36&lt;SG_Criteria!$B$17),"FAIL: common drain W &lt; "&amp;SG_Criteria!$B$17&amp;" mm. ","")&amp;IF(AND(O36&lt;&gt;"",IFERROR(VALUE(MID(O36,2,2)),0)&lt;SG_Criteria!$B$19),"FAIL: grade below C"&amp;SG_Criteria!$B$19&amp;". ","")&amp;IF(AND(P36&lt;&gt;"",P36&lt;SG_Criteria!$B$20),"FAIL: cover &lt; "&amp;SG_Criteria!$B$20&amp;" mm. ","")&amp;IF(AND(F36="Open",H36&gt;SG_Criteria!$B$18),"NOTE: safety railing required (D &gt; "&amp;SG_Criteria!$B$18&amp;" mm). ","")&amp;IF(AND(E36="Entrance culvert",H36&lt;600),"NOTE: check hinged grating rule for culverts &lt; 600 deep (PUB Add. 3). ","")))</f>
        <v/>
      </c>
      <c r="BF36" s="9"/>
      <c r="BG36" s="9"/>
      <c r="BH36" s="9"/>
      <c r="BI36" s="10" t="str">
        <f aca="false">IF(BH36="","",IFERROR(VLOOKUP(BH36,Projects!$A$5:$D$504,2,0),"Ref not in Projects"))</f>
        <v/>
      </c>
      <c r="BJ36" s="10" t="str">
        <f aca="false">IF(BH36="","",IFERROR(VLOOKUP(BH36,Projects!$A$5:$D$504,4,0),"Ref not in Projects"))</f>
        <v/>
      </c>
      <c r="BK36" s="9"/>
      <c r="BL36" s="9"/>
      <c r="BM36" s="9"/>
      <c r="BN36" s="40"/>
      <c r="BO36" s="9"/>
      <c r="BP36" s="40"/>
      <c r="BQ36" s="9"/>
      <c r="BR36" s="40"/>
      <c r="BS36" s="9"/>
      <c r="BT36" s="9"/>
      <c r="BU36" s="9"/>
      <c r="BV36" s="40"/>
      <c r="BW36" s="40"/>
      <c r="BX36" s="36" t="str">
        <f aca="false">IF(BW36="","",EDATE(BW36,SG_Criteria!$B$54*12))</f>
        <v/>
      </c>
      <c r="BY36" s="33" t="str">
        <f aca="true">IF(A36="","",IF(BW36="","NOTE: not reviewed yet",IF(TODAY()&gt;BX36,"NOTE: review overdue","OK")))</f>
        <v/>
      </c>
      <c r="BZ36" s="37" t="str">
        <f aca="false">IF(A36="","",ROUND((IF(LEN(D36)&gt;0,1,0)+IF(LEN(E36)&gt;0,1,0)+IF(LEN(F36)&gt;0,1,0)+IF(LEN(G36)&gt;0,1,0)+IF(LEN(H36)&gt;0,1,0)+IF(LEN(J36)&gt;0,1,0)+IF(LEN(K36)&gt;0,1,0)+IF(LEN(M36)&gt;0,1,0)+IF(LEN(O36)&gt;0,1,0)+IF(LEN(P36)&gt;0,1,0)+IF(LEN(Q36)&gt;0,1,0)+IF(LEN(S36)&gt;0,1,0)+IF(LEN(AC36)&gt;0,1,0)+IF(LEN(AV36)&gt;0,1,0)+IF(LEN(AW36)&gt;0,1,0)+IF(LEN(AG36)&gt;0,1,0)+IF(LEN(AI36)&gt;0,1,0)+IF(LEN(AJ36)&gt;0,1,0)+IF(LEN(AK36)&gt;0,1,0)+IF(LEN(AL36)&gt;0,1,0)+IF(LEN(AU36)&gt;0,1,0)+IF(LEN(BH36)&gt;0,1,0)+IF(LEN(BU36)&gt;0,1,0))/23,2))</f>
        <v/>
      </c>
      <c r="CA36" s="10" t="str">
        <f aca="false">IF(D36="","",IF(AND(AJ36="Approved",ISERROR(SEARCH("FAIL",BE36))),"Y","N"))</f>
        <v/>
      </c>
      <c r="CB36" s="10" t="str">
        <f aca="false">IF(D36="","",D36&amp;"|"&amp;G36&amp;"|"&amp;H36&amp;"|"&amp;M36&amp;"|"&amp;CA36)</f>
        <v/>
      </c>
    </row>
    <row r="37" customFormat="false" ht="15" hidden="false" customHeight="false" outlineLevel="0" collapsed="false">
      <c r="A37" s="10" t="str">
        <f aca="false">IF(D37="","","DRN-"&amp;IFERROR(VLOOKUP(D37,Lists!$A$4:$B$27,2,0),"??")&amp;"-"&amp;TEXT(G37,"0000")&amp;"x"&amp;TEXT(H37,"0000")&amp;IF(N(I37)&gt;1,"-"&amp;I37&amp;"C","")&amp;"-"&amp;IFERROR(VLOOKUP(M37,Lists!$J$4:$K$19,2,0),"??")&amp;"-"&amp;AI37)</f>
        <v/>
      </c>
      <c r="B37" s="10" t="str">
        <f aca="false">IF(D37="","",D37&amp;" "&amp;G37&amp;"W x "&amp;H37&amp;"D"&amp;IF(N(I37)&gt;1," ("&amp;I37&amp;" cells)","")&amp;", "&amp;E37&amp;", "&amp;M37&amp;", "&amp;F37)</f>
        <v/>
      </c>
      <c r="C37" s="9"/>
      <c r="D37" s="9"/>
      <c r="E37" s="9"/>
      <c r="F37" s="9"/>
      <c r="G37" s="38"/>
      <c r="H37" s="38"/>
      <c r="I37" s="38"/>
      <c r="J37" s="38"/>
      <c r="K37" s="38"/>
      <c r="L37" s="38"/>
      <c r="M37" s="9"/>
      <c r="N37" s="9"/>
      <c r="O37" s="9"/>
      <c r="P37" s="38"/>
      <c r="Q37" s="9"/>
      <c r="R37" s="9"/>
      <c r="S37" s="9"/>
      <c r="T37" s="9"/>
      <c r="U37" s="9"/>
      <c r="V37" s="9"/>
      <c r="W37" s="9"/>
      <c r="X37" s="9"/>
      <c r="Y37" s="9"/>
      <c r="Z37" s="9"/>
      <c r="AA37" s="9"/>
      <c r="AB37" s="39"/>
      <c r="AC37" s="9"/>
      <c r="AD37" s="38"/>
      <c r="AE37" s="9"/>
      <c r="AF37" s="39"/>
      <c r="AG37" s="9"/>
      <c r="AH37" s="9"/>
      <c r="AI37" s="9"/>
      <c r="AJ37" s="9"/>
      <c r="AK37" s="9"/>
      <c r="AL37" s="9"/>
      <c r="AM37" s="9"/>
      <c r="AN37" s="10" t="str">
        <f aca="false">IF(A37="","",SG_Criteria!$B$6&amp;SG_Criteria!$B$7&amp;"\"&amp;A37&amp;"\")</f>
        <v/>
      </c>
      <c r="AO37" s="10" t="str">
        <f aca="false">IF(A37="","",A37&amp;"_CAD.dwg")</f>
        <v/>
      </c>
      <c r="AP37" s="10" t="str">
        <f aca="false">IF(A37="","",A37&amp;"_DWG.pdf")</f>
        <v/>
      </c>
      <c r="AQ37" s="10" t="str">
        <f aca="false">IF(A37="","",IF(AM37="Y",A37&amp;"_STAAD.std","n/a"))</f>
        <v/>
      </c>
      <c r="AR37" s="10" t="str">
        <f aca="false">IF(A37="","",A37&amp;"_CALC.xlsx")</f>
        <v/>
      </c>
      <c r="AS37" s="10" t="str">
        <f aca="false">IF(A37="","",A37&amp;"_CALC.pdf")</f>
        <v/>
      </c>
      <c r="AT37" s="9"/>
      <c r="AU37" s="9"/>
      <c r="AV37" s="39"/>
      <c r="AW37" s="39"/>
      <c r="AX37" s="39"/>
      <c r="AY37" s="39"/>
      <c r="AZ37" s="39"/>
      <c r="BA37" s="12" t="str">
        <f aca="false">IF(A37="","",IF(COUNTIF(Rebar_Schedule!$A$5:$A$2004,A37)=0,"",ROUND(SUMIF(Rebar_Schedule!$A$5:$A$2004,A37,Rebar_Schedule!$K$5:$K$2004),1)))</f>
        <v/>
      </c>
      <c r="BB37" s="33" t="str">
        <f aca="false">IF(A37="","",IF(BA37="","No rebar schedule yet",IF(ABS(BA37-N(AW37))/MAX(N(AW37),1)&gt;SG_Criteria!$B$55,"NOTE: register rebar differs from schedule by "&amp;TEXT(ABS(BA37-N(AW37))/MAX(N(AW37),1),"0%"),"OK")))</f>
        <v/>
      </c>
      <c r="BC37" s="34" t="str">
        <f aca="false">IF(OR(D37="",G37="",H37="",D37="Sump",D37="Drop Inlet Chamber",D37="Silt Trap",D37="Pipe Culvert",D37="Subsoil Drain"),"",ROUND(MAX(1,N(I37))*(1/SG_Criteria!$B$26)*((G37/1000)*(H37/1000*(1-SG_Criteria!$B$25)))*(((G37/1000)*(H37/1000*(1-SG_Criteria!$B$25)))/((G37/1000)+2*(H37/1000*(1-SG_Criteria!$B$25))))^(2/3)*(1/Design_Selector!$B$11)^0.5,3))</f>
        <v/>
      </c>
      <c r="BD37" s="11" t="str">
        <f aca="false">IF(BC37="","",ROUND(BC37/(MAX(1,N(I37))*G37/1000*(H37/1000*(1-SG_Criteria!$B$25))),2))</f>
        <v/>
      </c>
      <c r="BE37" s="33" t="str">
        <f aca="false">IF(D37="","",IF(LEN(IF(AND(OR(E37="Roadside drain",E37="Entrance culvert"),OR(G37&lt;SG_Criteria!$B$15,H37&lt;SG_Criteria!$B$16)),"FAIL: below PUB min "&amp;SG_Criteria!$B$15&amp;"x"&amp;SG_Criteria!$B$16&amp;" for roadside drain. ","")&amp;IF(AND(E37="Common drain",G37&lt;SG_Criteria!$B$17),"FAIL: common drain W &lt; "&amp;SG_Criteria!$B$17&amp;" mm. ","")&amp;IF(AND(O37&lt;&gt;"",IFERROR(VALUE(MID(O37,2,2)),0)&lt;SG_Criteria!$B$19),"FAIL: grade below C"&amp;SG_Criteria!$B$19&amp;". ","")&amp;IF(AND(P37&lt;&gt;"",P37&lt;SG_Criteria!$B$20),"FAIL: cover &lt; "&amp;SG_Criteria!$B$20&amp;" mm. ","")&amp;IF(AND(F37="Open",H37&gt;SG_Criteria!$B$18),"NOTE: safety railing required (D &gt; "&amp;SG_Criteria!$B$18&amp;" mm). ","")&amp;IF(AND(E37="Entrance culvert",H37&lt;600),"NOTE: check hinged grating rule for culverts &lt; 600 deep (PUB Add. 3). ",""))=0,"OK",IF(AND(OR(E37="Roadside drain",E37="Entrance culvert"),OR(G37&lt;SG_Criteria!$B$15,H37&lt;SG_Criteria!$B$16)),"FAIL: below PUB min "&amp;SG_Criteria!$B$15&amp;"x"&amp;SG_Criteria!$B$16&amp;" for roadside drain. ","")&amp;IF(AND(E37="Common drain",G37&lt;SG_Criteria!$B$17),"FAIL: common drain W &lt; "&amp;SG_Criteria!$B$17&amp;" mm. ","")&amp;IF(AND(O37&lt;&gt;"",IFERROR(VALUE(MID(O37,2,2)),0)&lt;SG_Criteria!$B$19),"FAIL: grade below C"&amp;SG_Criteria!$B$19&amp;". ","")&amp;IF(AND(P37&lt;&gt;"",P37&lt;SG_Criteria!$B$20),"FAIL: cover &lt; "&amp;SG_Criteria!$B$20&amp;" mm. ","")&amp;IF(AND(F37="Open",H37&gt;SG_Criteria!$B$18),"NOTE: safety railing required (D &gt; "&amp;SG_Criteria!$B$18&amp;" mm). ","")&amp;IF(AND(E37="Entrance culvert",H37&lt;600),"NOTE: check hinged grating rule for culverts &lt; 600 deep (PUB Add. 3). ","")))</f>
        <v/>
      </c>
      <c r="BF37" s="9"/>
      <c r="BG37" s="9"/>
      <c r="BH37" s="9"/>
      <c r="BI37" s="10" t="str">
        <f aca="false">IF(BH37="","",IFERROR(VLOOKUP(BH37,Projects!$A$5:$D$504,2,0),"Ref not in Projects"))</f>
        <v/>
      </c>
      <c r="BJ37" s="10" t="str">
        <f aca="false">IF(BH37="","",IFERROR(VLOOKUP(BH37,Projects!$A$5:$D$504,4,0),"Ref not in Projects"))</f>
        <v/>
      </c>
      <c r="BK37" s="9"/>
      <c r="BL37" s="9"/>
      <c r="BM37" s="9"/>
      <c r="BN37" s="40"/>
      <c r="BO37" s="9"/>
      <c r="BP37" s="40"/>
      <c r="BQ37" s="9"/>
      <c r="BR37" s="40"/>
      <c r="BS37" s="9"/>
      <c r="BT37" s="9"/>
      <c r="BU37" s="9"/>
      <c r="BV37" s="40"/>
      <c r="BW37" s="40"/>
      <c r="BX37" s="36" t="str">
        <f aca="false">IF(BW37="","",EDATE(BW37,SG_Criteria!$B$54*12))</f>
        <v/>
      </c>
      <c r="BY37" s="33" t="str">
        <f aca="true">IF(A37="","",IF(BW37="","NOTE: not reviewed yet",IF(TODAY()&gt;BX37,"NOTE: review overdue","OK")))</f>
        <v/>
      </c>
      <c r="BZ37" s="37" t="str">
        <f aca="false">IF(A37="","",ROUND((IF(LEN(D37)&gt;0,1,0)+IF(LEN(E37)&gt;0,1,0)+IF(LEN(F37)&gt;0,1,0)+IF(LEN(G37)&gt;0,1,0)+IF(LEN(H37)&gt;0,1,0)+IF(LEN(J37)&gt;0,1,0)+IF(LEN(K37)&gt;0,1,0)+IF(LEN(M37)&gt;0,1,0)+IF(LEN(O37)&gt;0,1,0)+IF(LEN(P37)&gt;0,1,0)+IF(LEN(Q37)&gt;0,1,0)+IF(LEN(S37)&gt;0,1,0)+IF(LEN(AC37)&gt;0,1,0)+IF(LEN(AV37)&gt;0,1,0)+IF(LEN(AW37)&gt;0,1,0)+IF(LEN(AG37)&gt;0,1,0)+IF(LEN(AI37)&gt;0,1,0)+IF(LEN(AJ37)&gt;0,1,0)+IF(LEN(AK37)&gt;0,1,0)+IF(LEN(AL37)&gt;0,1,0)+IF(LEN(AU37)&gt;0,1,0)+IF(LEN(BH37)&gt;0,1,0)+IF(LEN(BU37)&gt;0,1,0))/23,2))</f>
        <v/>
      </c>
      <c r="CA37" s="10" t="str">
        <f aca="false">IF(D37="","",IF(AND(AJ37="Approved",ISERROR(SEARCH("FAIL",BE37))),"Y","N"))</f>
        <v/>
      </c>
      <c r="CB37" s="10" t="str">
        <f aca="false">IF(D37="","",D37&amp;"|"&amp;G37&amp;"|"&amp;H37&amp;"|"&amp;M37&amp;"|"&amp;CA37)</f>
        <v/>
      </c>
    </row>
    <row r="38" customFormat="false" ht="15" hidden="false" customHeight="false" outlineLevel="0" collapsed="false">
      <c r="A38" s="10" t="str">
        <f aca="false">IF(D38="","","DRN-"&amp;IFERROR(VLOOKUP(D38,Lists!$A$4:$B$27,2,0),"??")&amp;"-"&amp;TEXT(G38,"0000")&amp;"x"&amp;TEXT(H38,"0000")&amp;IF(N(I38)&gt;1,"-"&amp;I38&amp;"C","")&amp;"-"&amp;IFERROR(VLOOKUP(M38,Lists!$J$4:$K$19,2,0),"??")&amp;"-"&amp;AI38)</f>
        <v/>
      </c>
      <c r="B38" s="10" t="str">
        <f aca="false">IF(D38="","",D38&amp;" "&amp;G38&amp;"W x "&amp;H38&amp;"D"&amp;IF(N(I38)&gt;1," ("&amp;I38&amp;" cells)","")&amp;", "&amp;E38&amp;", "&amp;M38&amp;", "&amp;F38)</f>
        <v/>
      </c>
      <c r="C38" s="9"/>
      <c r="D38" s="9"/>
      <c r="E38" s="9"/>
      <c r="F38" s="9"/>
      <c r="G38" s="38"/>
      <c r="H38" s="38"/>
      <c r="I38" s="38"/>
      <c r="J38" s="38"/>
      <c r="K38" s="38"/>
      <c r="L38" s="38"/>
      <c r="M38" s="9"/>
      <c r="N38" s="9"/>
      <c r="O38" s="9"/>
      <c r="P38" s="38"/>
      <c r="Q38" s="9"/>
      <c r="R38" s="9"/>
      <c r="S38" s="9"/>
      <c r="T38" s="9"/>
      <c r="U38" s="9"/>
      <c r="V38" s="9"/>
      <c r="W38" s="9"/>
      <c r="X38" s="9"/>
      <c r="Y38" s="9"/>
      <c r="Z38" s="9"/>
      <c r="AA38" s="9"/>
      <c r="AB38" s="39"/>
      <c r="AC38" s="9"/>
      <c r="AD38" s="38"/>
      <c r="AE38" s="9"/>
      <c r="AF38" s="39"/>
      <c r="AG38" s="9"/>
      <c r="AH38" s="9"/>
      <c r="AI38" s="9"/>
      <c r="AJ38" s="9"/>
      <c r="AK38" s="9"/>
      <c r="AL38" s="9"/>
      <c r="AM38" s="9"/>
      <c r="AN38" s="10" t="str">
        <f aca="false">IF(A38="","",SG_Criteria!$B$6&amp;SG_Criteria!$B$7&amp;"\"&amp;A38&amp;"\")</f>
        <v/>
      </c>
      <c r="AO38" s="10" t="str">
        <f aca="false">IF(A38="","",A38&amp;"_CAD.dwg")</f>
        <v/>
      </c>
      <c r="AP38" s="10" t="str">
        <f aca="false">IF(A38="","",A38&amp;"_DWG.pdf")</f>
        <v/>
      </c>
      <c r="AQ38" s="10" t="str">
        <f aca="false">IF(A38="","",IF(AM38="Y",A38&amp;"_STAAD.std","n/a"))</f>
        <v/>
      </c>
      <c r="AR38" s="10" t="str">
        <f aca="false">IF(A38="","",A38&amp;"_CALC.xlsx")</f>
        <v/>
      </c>
      <c r="AS38" s="10" t="str">
        <f aca="false">IF(A38="","",A38&amp;"_CALC.pdf")</f>
        <v/>
      </c>
      <c r="AT38" s="9"/>
      <c r="AU38" s="9"/>
      <c r="AV38" s="39"/>
      <c r="AW38" s="39"/>
      <c r="AX38" s="39"/>
      <c r="AY38" s="39"/>
      <c r="AZ38" s="39"/>
      <c r="BA38" s="12" t="str">
        <f aca="false">IF(A38="","",IF(COUNTIF(Rebar_Schedule!$A$5:$A$2004,A38)=0,"",ROUND(SUMIF(Rebar_Schedule!$A$5:$A$2004,A38,Rebar_Schedule!$K$5:$K$2004),1)))</f>
        <v/>
      </c>
      <c r="BB38" s="33" t="str">
        <f aca="false">IF(A38="","",IF(BA38="","No rebar schedule yet",IF(ABS(BA38-N(AW38))/MAX(N(AW38),1)&gt;SG_Criteria!$B$55,"NOTE: register rebar differs from schedule by "&amp;TEXT(ABS(BA38-N(AW38))/MAX(N(AW38),1),"0%"),"OK")))</f>
        <v/>
      </c>
      <c r="BC38" s="34" t="str">
        <f aca="false">IF(OR(D38="",G38="",H38="",D38="Sump",D38="Drop Inlet Chamber",D38="Silt Trap",D38="Pipe Culvert",D38="Subsoil Drain"),"",ROUND(MAX(1,N(I38))*(1/SG_Criteria!$B$26)*((G38/1000)*(H38/1000*(1-SG_Criteria!$B$25)))*(((G38/1000)*(H38/1000*(1-SG_Criteria!$B$25)))/((G38/1000)+2*(H38/1000*(1-SG_Criteria!$B$25))))^(2/3)*(1/Design_Selector!$B$11)^0.5,3))</f>
        <v/>
      </c>
      <c r="BD38" s="11" t="str">
        <f aca="false">IF(BC38="","",ROUND(BC38/(MAX(1,N(I38))*G38/1000*(H38/1000*(1-SG_Criteria!$B$25))),2))</f>
        <v/>
      </c>
      <c r="BE38" s="33" t="str">
        <f aca="false">IF(D38="","",IF(LEN(IF(AND(OR(E38="Roadside drain",E38="Entrance culvert"),OR(G38&lt;SG_Criteria!$B$15,H38&lt;SG_Criteria!$B$16)),"FAIL: below PUB min "&amp;SG_Criteria!$B$15&amp;"x"&amp;SG_Criteria!$B$16&amp;" for roadside drain. ","")&amp;IF(AND(E38="Common drain",G38&lt;SG_Criteria!$B$17),"FAIL: common drain W &lt; "&amp;SG_Criteria!$B$17&amp;" mm. ","")&amp;IF(AND(O38&lt;&gt;"",IFERROR(VALUE(MID(O38,2,2)),0)&lt;SG_Criteria!$B$19),"FAIL: grade below C"&amp;SG_Criteria!$B$19&amp;". ","")&amp;IF(AND(P38&lt;&gt;"",P38&lt;SG_Criteria!$B$20),"FAIL: cover &lt; "&amp;SG_Criteria!$B$20&amp;" mm. ","")&amp;IF(AND(F38="Open",H38&gt;SG_Criteria!$B$18),"NOTE: safety railing required (D &gt; "&amp;SG_Criteria!$B$18&amp;" mm). ","")&amp;IF(AND(E38="Entrance culvert",H38&lt;600),"NOTE: check hinged grating rule for culverts &lt; 600 deep (PUB Add. 3). ",""))=0,"OK",IF(AND(OR(E38="Roadside drain",E38="Entrance culvert"),OR(G38&lt;SG_Criteria!$B$15,H38&lt;SG_Criteria!$B$16)),"FAIL: below PUB min "&amp;SG_Criteria!$B$15&amp;"x"&amp;SG_Criteria!$B$16&amp;" for roadside drain. ","")&amp;IF(AND(E38="Common drain",G38&lt;SG_Criteria!$B$17),"FAIL: common drain W &lt; "&amp;SG_Criteria!$B$17&amp;" mm. ","")&amp;IF(AND(O38&lt;&gt;"",IFERROR(VALUE(MID(O38,2,2)),0)&lt;SG_Criteria!$B$19),"FAIL: grade below C"&amp;SG_Criteria!$B$19&amp;". ","")&amp;IF(AND(P38&lt;&gt;"",P38&lt;SG_Criteria!$B$20),"FAIL: cover &lt; "&amp;SG_Criteria!$B$20&amp;" mm. ","")&amp;IF(AND(F38="Open",H38&gt;SG_Criteria!$B$18),"NOTE: safety railing required (D &gt; "&amp;SG_Criteria!$B$18&amp;" mm). ","")&amp;IF(AND(E38="Entrance culvert",H38&lt;600),"NOTE: check hinged grating rule for culverts &lt; 600 deep (PUB Add. 3). ","")))</f>
        <v/>
      </c>
      <c r="BF38" s="9"/>
      <c r="BG38" s="9"/>
      <c r="BH38" s="9"/>
      <c r="BI38" s="10" t="str">
        <f aca="false">IF(BH38="","",IFERROR(VLOOKUP(BH38,Projects!$A$5:$D$504,2,0),"Ref not in Projects"))</f>
        <v/>
      </c>
      <c r="BJ38" s="10" t="str">
        <f aca="false">IF(BH38="","",IFERROR(VLOOKUP(BH38,Projects!$A$5:$D$504,4,0),"Ref not in Projects"))</f>
        <v/>
      </c>
      <c r="BK38" s="9"/>
      <c r="BL38" s="9"/>
      <c r="BM38" s="9"/>
      <c r="BN38" s="40"/>
      <c r="BO38" s="9"/>
      <c r="BP38" s="40"/>
      <c r="BQ38" s="9"/>
      <c r="BR38" s="40"/>
      <c r="BS38" s="9"/>
      <c r="BT38" s="9"/>
      <c r="BU38" s="9"/>
      <c r="BV38" s="40"/>
      <c r="BW38" s="40"/>
      <c r="BX38" s="36" t="str">
        <f aca="false">IF(BW38="","",EDATE(BW38,SG_Criteria!$B$54*12))</f>
        <v/>
      </c>
      <c r="BY38" s="33" t="str">
        <f aca="true">IF(A38="","",IF(BW38="","NOTE: not reviewed yet",IF(TODAY()&gt;BX38,"NOTE: review overdue","OK")))</f>
        <v/>
      </c>
      <c r="BZ38" s="37" t="str">
        <f aca="false">IF(A38="","",ROUND((IF(LEN(D38)&gt;0,1,0)+IF(LEN(E38)&gt;0,1,0)+IF(LEN(F38)&gt;0,1,0)+IF(LEN(G38)&gt;0,1,0)+IF(LEN(H38)&gt;0,1,0)+IF(LEN(J38)&gt;0,1,0)+IF(LEN(K38)&gt;0,1,0)+IF(LEN(M38)&gt;0,1,0)+IF(LEN(O38)&gt;0,1,0)+IF(LEN(P38)&gt;0,1,0)+IF(LEN(Q38)&gt;0,1,0)+IF(LEN(S38)&gt;0,1,0)+IF(LEN(AC38)&gt;0,1,0)+IF(LEN(AV38)&gt;0,1,0)+IF(LEN(AW38)&gt;0,1,0)+IF(LEN(AG38)&gt;0,1,0)+IF(LEN(AI38)&gt;0,1,0)+IF(LEN(AJ38)&gt;0,1,0)+IF(LEN(AK38)&gt;0,1,0)+IF(LEN(AL38)&gt;0,1,0)+IF(LEN(AU38)&gt;0,1,0)+IF(LEN(BH38)&gt;0,1,0)+IF(LEN(BU38)&gt;0,1,0))/23,2))</f>
        <v/>
      </c>
      <c r="CA38" s="10" t="str">
        <f aca="false">IF(D38="","",IF(AND(AJ38="Approved",ISERROR(SEARCH("FAIL",BE38))),"Y","N"))</f>
        <v/>
      </c>
      <c r="CB38" s="10" t="str">
        <f aca="false">IF(D38="","",D38&amp;"|"&amp;G38&amp;"|"&amp;H38&amp;"|"&amp;M38&amp;"|"&amp;CA38)</f>
        <v/>
      </c>
    </row>
    <row r="39" customFormat="false" ht="15" hidden="false" customHeight="false" outlineLevel="0" collapsed="false">
      <c r="A39" s="10" t="str">
        <f aca="false">IF(D39="","","DRN-"&amp;IFERROR(VLOOKUP(D39,Lists!$A$4:$B$27,2,0),"??")&amp;"-"&amp;TEXT(G39,"0000")&amp;"x"&amp;TEXT(H39,"0000")&amp;IF(N(I39)&gt;1,"-"&amp;I39&amp;"C","")&amp;"-"&amp;IFERROR(VLOOKUP(M39,Lists!$J$4:$K$19,2,0),"??")&amp;"-"&amp;AI39)</f>
        <v/>
      </c>
      <c r="B39" s="10" t="str">
        <f aca="false">IF(D39="","",D39&amp;" "&amp;G39&amp;"W x "&amp;H39&amp;"D"&amp;IF(N(I39)&gt;1," ("&amp;I39&amp;" cells)","")&amp;", "&amp;E39&amp;", "&amp;M39&amp;", "&amp;F39)</f>
        <v/>
      </c>
      <c r="C39" s="9"/>
      <c r="D39" s="9"/>
      <c r="E39" s="9"/>
      <c r="F39" s="9"/>
      <c r="G39" s="38"/>
      <c r="H39" s="38"/>
      <c r="I39" s="38"/>
      <c r="J39" s="38"/>
      <c r="K39" s="38"/>
      <c r="L39" s="38"/>
      <c r="M39" s="9"/>
      <c r="N39" s="9"/>
      <c r="O39" s="9"/>
      <c r="P39" s="38"/>
      <c r="Q39" s="9"/>
      <c r="R39" s="9"/>
      <c r="S39" s="9"/>
      <c r="T39" s="9"/>
      <c r="U39" s="9"/>
      <c r="V39" s="9"/>
      <c r="W39" s="9"/>
      <c r="X39" s="9"/>
      <c r="Y39" s="9"/>
      <c r="Z39" s="9"/>
      <c r="AA39" s="9"/>
      <c r="AB39" s="39"/>
      <c r="AC39" s="9"/>
      <c r="AD39" s="38"/>
      <c r="AE39" s="9"/>
      <c r="AF39" s="39"/>
      <c r="AG39" s="9"/>
      <c r="AH39" s="9"/>
      <c r="AI39" s="9"/>
      <c r="AJ39" s="9"/>
      <c r="AK39" s="9"/>
      <c r="AL39" s="9"/>
      <c r="AM39" s="9"/>
      <c r="AN39" s="10" t="str">
        <f aca="false">IF(A39="","",SG_Criteria!$B$6&amp;SG_Criteria!$B$7&amp;"\"&amp;A39&amp;"\")</f>
        <v/>
      </c>
      <c r="AO39" s="10" t="str">
        <f aca="false">IF(A39="","",A39&amp;"_CAD.dwg")</f>
        <v/>
      </c>
      <c r="AP39" s="10" t="str">
        <f aca="false">IF(A39="","",A39&amp;"_DWG.pdf")</f>
        <v/>
      </c>
      <c r="AQ39" s="10" t="str">
        <f aca="false">IF(A39="","",IF(AM39="Y",A39&amp;"_STAAD.std","n/a"))</f>
        <v/>
      </c>
      <c r="AR39" s="10" t="str">
        <f aca="false">IF(A39="","",A39&amp;"_CALC.xlsx")</f>
        <v/>
      </c>
      <c r="AS39" s="10" t="str">
        <f aca="false">IF(A39="","",A39&amp;"_CALC.pdf")</f>
        <v/>
      </c>
      <c r="AT39" s="9"/>
      <c r="AU39" s="9"/>
      <c r="AV39" s="39"/>
      <c r="AW39" s="39"/>
      <c r="AX39" s="39"/>
      <c r="AY39" s="39"/>
      <c r="AZ39" s="39"/>
      <c r="BA39" s="12" t="str">
        <f aca="false">IF(A39="","",IF(COUNTIF(Rebar_Schedule!$A$5:$A$2004,A39)=0,"",ROUND(SUMIF(Rebar_Schedule!$A$5:$A$2004,A39,Rebar_Schedule!$K$5:$K$2004),1)))</f>
        <v/>
      </c>
      <c r="BB39" s="33" t="str">
        <f aca="false">IF(A39="","",IF(BA39="","No rebar schedule yet",IF(ABS(BA39-N(AW39))/MAX(N(AW39),1)&gt;SG_Criteria!$B$55,"NOTE: register rebar differs from schedule by "&amp;TEXT(ABS(BA39-N(AW39))/MAX(N(AW39),1),"0%"),"OK")))</f>
        <v/>
      </c>
      <c r="BC39" s="34" t="str">
        <f aca="false">IF(OR(D39="",G39="",H39="",D39="Sump",D39="Drop Inlet Chamber",D39="Silt Trap",D39="Pipe Culvert",D39="Subsoil Drain"),"",ROUND(MAX(1,N(I39))*(1/SG_Criteria!$B$26)*((G39/1000)*(H39/1000*(1-SG_Criteria!$B$25)))*(((G39/1000)*(H39/1000*(1-SG_Criteria!$B$25)))/((G39/1000)+2*(H39/1000*(1-SG_Criteria!$B$25))))^(2/3)*(1/Design_Selector!$B$11)^0.5,3))</f>
        <v/>
      </c>
      <c r="BD39" s="11" t="str">
        <f aca="false">IF(BC39="","",ROUND(BC39/(MAX(1,N(I39))*G39/1000*(H39/1000*(1-SG_Criteria!$B$25))),2))</f>
        <v/>
      </c>
      <c r="BE39" s="33" t="str">
        <f aca="false">IF(D39="","",IF(LEN(IF(AND(OR(E39="Roadside drain",E39="Entrance culvert"),OR(G39&lt;SG_Criteria!$B$15,H39&lt;SG_Criteria!$B$16)),"FAIL: below PUB min "&amp;SG_Criteria!$B$15&amp;"x"&amp;SG_Criteria!$B$16&amp;" for roadside drain. ","")&amp;IF(AND(E39="Common drain",G39&lt;SG_Criteria!$B$17),"FAIL: common drain W &lt; "&amp;SG_Criteria!$B$17&amp;" mm. ","")&amp;IF(AND(O39&lt;&gt;"",IFERROR(VALUE(MID(O39,2,2)),0)&lt;SG_Criteria!$B$19),"FAIL: grade below C"&amp;SG_Criteria!$B$19&amp;". ","")&amp;IF(AND(P39&lt;&gt;"",P39&lt;SG_Criteria!$B$20),"FAIL: cover &lt; "&amp;SG_Criteria!$B$20&amp;" mm. ","")&amp;IF(AND(F39="Open",H39&gt;SG_Criteria!$B$18),"NOTE: safety railing required (D &gt; "&amp;SG_Criteria!$B$18&amp;" mm). ","")&amp;IF(AND(E39="Entrance culvert",H39&lt;600),"NOTE: check hinged grating rule for culverts &lt; 600 deep (PUB Add. 3). ",""))=0,"OK",IF(AND(OR(E39="Roadside drain",E39="Entrance culvert"),OR(G39&lt;SG_Criteria!$B$15,H39&lt;SG_Criteria!$B$16)),"FAIL: below PUB min "&amp;SG_Criteria!$B$15&amp;"x"&amp;SG_Criteria!$B$16&amp;" for roadside drain. ","")&amp;IF(AND(E39="Common drain",G39&lt;SG_Criteria!$B$17),"FAIL: common drain W &lt; "&amp;SG_Criteria!$B$17&amp;" mm. ","")&amp;IF(AND(O39&lt;&gt;"",IFERROR(VALUE(MID(O39,2,2)),0)&lt;SG_Criteria!$B$19),"FAIL: grade below C"&amp;SG_Criteria!$B$19&amp;". ","")&amp;IF(AND(P39&lt;&gt;"",P39&lt;SG_Criteria!$B$20),"FAIL: cover &lt; "&amp;SG_Criteria!$B$20&amp;" mm. ","")&amp;IF(AND(F39="Open",H39&gt;SG_Criteria!$B$18),"NOTE: safety railing required (D &gt; "&amp;SG_Criteria!$B$18&amp;" mm). ","")&amp;IF(AND(E39="Entrance culvert",H39&lt;600),"NOTE: check hinged grating rule for culverts &lt; 600 deep (PUB Add. 3). ","")))</f>
        <v/>
      </c>
      <c r="BF39" s="9"/>
      <c r="BG39" s="9"/>
      <c r="BH39" s="9"/>
      <c r="BI39" s="10" t="str">
        <f aca="false">IF(BH39="","",IFERROR(VLOOKUP(BH39,Projects!$A$5:$D$504,2,0),"Ref not in Projects"))</f>
        <v/>
      </c>
      <c r="BJ39" s="10" t="str">
        <f aca="false">IF(BH39="","",IFERROR(VLOOKUP(BH39,Projects!$A$5:$D$504,4,0),"Ref not in Projects"))</f>
        <v/>
      </c>
      <c r="BK39" s="9"/>
      <c r="BL39" s="9"/>
      <c r="BM39" s="9"/>
      <c r="BN39" s="40"/>
      <c r="BO39" s="9"/>
      <c r="BP39" s="40"/>
      <c r="BQ39" s="9"/>
      <c r="BR39" s="40"/>
      <c r="BS39" s="9"/>
      <c r="BT39" s="9"/>
      <c r="BU39" s="9"/>
      <c r="BV39" s="40"/>
      <c r="BW39" s="40"/>
      <c r="BX39" s="36" t="str">
        <f aca="false">IF(BW39="","",EDATE(BW39,SG_Criteria!$B$54*12))</f>
        <v/>
      </c>
      <c r="BY39" s="33" t="str">
        <f aca="true">IF(A39="","",IF(BW39="","NOTE: not reviewed yet",IF(TODAY()&gt;BX39,"NOTE: review overdue","OK")))</f>
        <v/>
      </c>
      <c r="BZ39" s="37" t="str">
        <f aca="false">IF(A39="","",ROUND((IF(LEN(D39)&gt;0,1,0)+IF(LEN(E39)&gt;0,1,0)+IF(LEN(F39)&gt;0,1,0)+IF(LEN(G39)&gt;0,1,0)+IF(LEN(H39)&gt;0,1,0)+IF(LEN(J39)&gt;0,1,0)+IF(LEN(K39)&gt;0,1,0)+IF(LEN(M39)&gt;0,1,0)+IF(LEN(O39)&gt;0,1,0)+IF(LEN(P39)&gt;0,1,0)+IF(LEN(Q39)&gt;0,1,0)+IF(LEN(S39)&gt;0,1,0)+IF(LEN(AC39)&gt;0,1,0)+IF(LEN(AV39)&gt;0,1,0)+IF(LEN(AW39)&gt;0,1,0)+IF(LEN(AG39)&gt;0,1,0)+IF(LEN(AI39)&gt;0,1,0)+IF(LEN(AJ39)&gt;0,1,0)+IF(LEN(AK39)&gt;0,1,0)+IF(LEN(AL39)&gt;0,1,0)+IF(LEN(AU39)&gt;0,1,0)+IF(LEN(BH39)&gt;0,1,0)+IF(LEN(BU39)&gt;0,1,0))/23,2))</f>
        <v/>
      </c>
      <c r="CA39" s="10" t="str">
        <f aca="false">IF(D39="","",IF(AND(AJ39="Approved",ISERROR(SEARCH("FAIL",BE39))),"Y","N"))</f>
        <v/>
      </c>
      <c r="CB39" s="10" t="str">
        <f aca="false">IF(D39="","",D39&amp;"|"&amp;G39&amp;"|"&amp;H39&amp;"|"&amp;M39&amp;"|"&amp;CA39)</f>
        <v/>
      </c>
    </row>
    <row r="40" customFormat="false" ht="15" hidden="false" customHeight="false" outlineLevel="0" collapsed="false">
      <c r="A40" s="10" t="str">
        <f aca="false">IF(D40="","","DRN-"&amp;IFERROR(VLOOKUP(D40,Lists!$A$4:$B$27,2,0),"??")&amp;"-"&amp;TEXT(G40,"0000")&amp;"x"&amp;TEXT(H40,"0000")&amp;IF(N(I40)&gt;1,"-"&amp;I40&amp;"C","")&amp;"-"&amp;IFERROR(VLOOKUP(M40,Lists!$J$4:$K$19,2,0),"??")&amp;"-"&amp;AI40)</f>
        <v/>
      </c>
      <c r="B40" s="10" t="str">
        <f aca="false">IF(D40="","",D40&amp;" "&amp;G40&amp;"W x "&amp;H40&amp;"D"&amp;IF(N(I40)&gt;1," ("&amp;I40&amp;" cells)","")&amp;", "&amp;E40&amp;", "&amp;M40&amp;", "&amp;F40)</f>
        <v/>
      </c>
      <c r="C40" s="9"/>
      <c r="D40" s="9"/>
      <c r="E40" s="9"/>
      <c r="F40" s="9"/>
      <c r="G40" s="38"/>
      <c r="H40" s="38"/>
      <c r="I40" s="38"/>
      <c r="J40" s="38"/>
      <c r="K40" s="38"/>
      <c r="L40" s="38"/>
      <c r="M40" s="9"/>
      <c r="N40" s="9"/>
      <c r="O40" s="9"/>
      <c r="P40" s="38"/>
      <c r="Q40" s="9"/>
      <c r="R40" s="9"/>
      <c r="S40" s="9"/>
      <c r="T40" s="9"/>
      <c r="U40" s="9"/>
      <c r="V40" s="9"/>
      <c r="W40" s="9"/>
      <c r="X40" s="9"/>
      <c r="Y40" s="9"/>
      <c r="Z40" s="9"/>
      <c r="AA40" s="9"/>
      <c r="AB40" s="39"/>
      <c r="AC40" s="9"/>
      <c r="AD40" s="38"/>
      <c r="AE40" s="9"/>
      <c r="AF40" s="39"/>
      <c r="AG40" s="9"/>
      <c r="AH40" s="9"/>
      <c r="AI40" s="9"/>
      <c r="AJ40" s="9"/>
      <c r="AK40" s="9"/>
      <c r="AL40" s="9"/>
      <c r="AM40" s="9"/>
      <c r="AN40" s="10" t="str">
        <f aca="false">IF(A40="","",SG_Criteria!$B$6&amp;SG_Criteria!$B$7&amp;"\"&amp;A40&amp;"\")</f>
        <v/>
      </c>
      <c r="AO40" s="10" t="str">
        <f aca="false">IF(A40="","",A40&amp;"_CAD.dwg")</f>
        <v/>
      </c>
      <c r="AP40" s="10" t="str">
        <f aca="false">IF(A40="","",A40&amp;"_DWG.pdf")</f>
        <v/>
      </c>
      <c r="AQ40" s="10" t="str">
        <f aca="false">IF(A40="","",IF(AM40="Y",A40&amp;"_STAAD.std","n/a"))</f>
        <v/>
      </c>
      <c r="AR40" s="10" t="str">
        <f aca="false">IF(A40="","",A40&amp;"_CALC.xlsx")</f>
        <v/>
      </c>
      <c r="AS40" s="10" t="str">
        <f aca="false">IF(A40="","",A40&amp;"_CALC.pdf")</f>
        <v/>
      </c>
      <c r="AT40" s="9"/>
      <c r="AU40" s="9"/>
      <c r="AV40" s="39"/>
      <c r="AW40" s="39"/>
      <c r="AX40" s="39"/>
      <c r="AY40" s="39"/>
      <c r="AZ40" s="39"/>
      <c r="BA40" s="12" t="str">
        <f aca="false">IF(A40="","",IF(COUNTIF(Rebar_Schedule!$A$5:$A$2004,A40)=0,"",ROUND(SUMIF(Rebar_Schedule!$A$5:$A$2004,A40,Rebar_Schedule!$K$5:$K$2004),1)))</f>
        <v/>
      </c>
      <c r="BB40" s="33" t="str">
        <f aca="false">IF(A40="","",IF(BA40="","No rebar schedule yet",IF(ABS(BA40-N(AW40))/MAX(N(AW40),1)&gt;SG_Criteria!$B$55,"NOTE: register rebar differs from schedule by "&amp;TEXT(ABS(BA40-N(AW40))/MAX(N(AW40),1),"0%"),"OK")))</f>
        <v/>
      </c>
      <c r="BC40" s="34" t="str">
        <f aca="false">IF(OR(D40="",G40="",H40="",D40="Sump",D40="Drop Inlet Chamber",D40="Silt Trap",D40="Pipe Culvert",D40="Subsoil Drain"),"",ROUND(MAX(1,N(I40))*(1/SG_Criteria!$B$26)*((G40/1000)*(H40/1000*(1-SG_Criteria!$B$25)))*(((G40/1000)*(H40/1000*(1-SG_Criteria!$B$25)))/((G40/1000)+2*(H40/1000*(1-SG_Criteria!$B$25))))^(2/3)*(1/Design_Selector!$B$11)^0.5,3))</f>
        <v/>
      </c>
      <c r="BD40" s="11" t="str">
        <f aca="false">IF(BC40="","",ROUND(BC40/(MAX(1,N(I40))*G40/1000*(H40/1000*(1-SG_Criteria!$B$25))),2))</f>
        <v/>
      </c>
      <c r="BE40" s="33" t="str">
        <f aca="false">IF(D40="","",IF(LEN(IF(AND(OR(E40="Roadside drain",E40="Entrance culvert"),OR(G40&lt;SG_Criteria!$B$15,H40&lt;SG_Criteria!$B$16)),"FAIL: below PUB min "&amp;SG_Criteria!$B$15&amp;"x"&amp;SG_Criteria!$B$16&amp;" for roadside drain. ","")&amp;IF(AND(E40="Common drain",G40&lt;SG_Criteria!$B$17),"FAIL: common drain W &lt; "&amp;SG_Criteria!$B$17&amp;" mm. ","")&amp;IF(AND(O40&lt;&gt;"",IFERROR(VALUE(MID(O40,2,2)),0)&lt;SG_Criteria!$B$19),"FAIL: grade below C"&amp;SG_Criteria!$B$19&amp;". ","")&amp;IF(AND(P40&lt;&gt;"",P40&lt;SG_Criteria!$B$20),"FAIL: cover &lt; "&amp;SG_Criteria!$B$20&amp;" mm. ","")&amp;IF(AND(F40="Open",H40&gt;SG_Criteria!$B$18),"NOTE: safety railing required (D &gt; "&amp;SG_Criteria!$B$18&amp;" mm). ","")&amp;IF(AND(E40="Entrance culvert",H40&lt;600),"NOTE: check hinged grating rule for culverts &lt; 600 deep (PUB Add. 3). ",""))=0,"OK",IF(AND(OR(E40="Roadside drain",E40="Entrance culvert"),OR(G40&lt;SG_Criteria!$B$15,H40&lt;SG_Criteria!$B$16)),"FAIL: below PUB min "&amp;SG_Criteria!$B$15&amp;"x"&amp;SG_Criteria!$B$16&amp;" for roadside drain. ","")&amp;IF(AND(E40="Common drain",G40&lt;SG_Criteria!$B$17),"FAIL: common drain W &lt; "&amp;SG_Criteria!$B$17&amp;" mm. ","")&amp;IF(AND(O40&lt;&gt;"",IFERROR(VALUE(MID(O40,2,2)),0)&lt;SG_Criteria!$B$19),"FAIL: grade below C"&amp;SG_Criteria!$B$19&amp;". ","")&amp;IF(AND(P40&lt;&gt;"",P40&lt;SG_Criteria!$B$20),"FAIL: cover &lt; "&amp;SG_Criteria!$B$20&amp;" mm. ","")&amp;IF(AND(F40="Open",H40&gt;SG_Criteria!$B$18),"NOTE: safety railing required (D &gt; "&amp;SG_Criteria!$B$18&amp;" mm). ","")&amp;IF(AND(E40="Entrance culvert",H40&lt;600),"NOTE: check hinged grating rule for culverts &lt; 600 deep (PUB Add. 3). ","")))</f>
        <v/>
      </c>
      <c r="BF40" s="9"/>
      <c r="BG40" s="9"/>
      <c r="BH40" s="9"/>
      <c r="BI40" s="10" t="str">
        <f aca="false">IF(BH40="","",IFERROR(VLOOKUP(BH40,Projects!$A$5:$D$504,2,0),"Ref not in Projects"))</f>
        <v/>
      </c>
      <c r="BJ40" s="10" t="str">
        <f aca="false">IF(BH40="","",IFERROR(VLOOKUP(BH40,Projects!$A$5:$D$504,4,0),"Ref not in Projects"))</f>
        <v/>
      </c>
      <c r="BK40" s="9"/>
      <c r="BL40" s="9"/>
      <c r="BM40" s="9"/>
      <c r="BN40" s="40"/>
      <c r="BO40" s="9"/>
      <c r="BP40" s="40"/>
      <c r="BQ40" s="9"/>
      <c r="BR40" s="40"/>
      <c r="BS40" s="9"/>
      <c r="BT40" s="9"/>
      <c r="BU40" s="9"/>
      <c r="BV40" s="40"/>
      <c r="BW40" s="40"/>
      <c r="BX40" s="36" t="str">
        <f aca="false">IF(BW40="","",EDATE(BW40,SG_Criteria!$B$54*12))</f>
        <v/>
      </c>
      <c r="BY40" s="33" t="str">
        <f aca="true">IF(A40="","",IF(BW40="","NOTE: not reviewed yet",IF(TODAY()&gt;BX40,"NOTE: review overdue","OK")))</f>
        <v/>
      </c>
      <c r="BZ40" s="37" t="str">
        <f aca="false">IF(A40="","",ROUND((IF(LEN(D40)&gt;0,1,0)+IF(LEN(E40)&gt;0,1,0)+IF(LEN(F40)&gt;0,1,0)+IF(LEN(G40)&gt;0,1,0)+IF(LEN(H40)&gt;0,1,0)+IF(LEN(J40)&gt;0,1,0)+IF(LEN(K40)&gt;0,1,0)+IF(LEN(M40)&gt;0,1,0)+IF(LEN(O40)&gt;0,1,0)+IF(LEN(P40)&gt;0,1,0)+IF(LEN(Q40)&gt;0,1,0)+IF(LEN(S40)&gt;0,1,0)+IF(LEN(AC40)&gt;0,1,0)+IF(LEN(AV40)&gt;0,1,0)+IF(LEN(AW40)&gt;0,1,0)+IF(LEN(AG40)&gt;0,1,0)+IF(LEN(AI40)&gt;0,1,0)+IF(LEN(AJ40)&gt;0,1,0)+IF(LEN(AK40)&gt;0,1,0)+IF(LEN(AL40)&gt;0,1,0)+IF(LEN(AU40)&gt;0,1,0)+IF(LEN(BH40)&gt;0,1,0)+IF(LEN(BU40)&gt;0,1,0))/23,2))</f>
        <v/>
      </c>
      <c r="CA40" s="10" t="str">
        <f aca="false">IF(D40="","",IF(AND(AJ40="Approved",ISERROR(SEARCH("FAIL",BE40))),"Y","N"))</f>
        <v/>
      </c>
      <c r="CB40" s="10" t="str">
        <f aca="false">IF(D40="","",D40&amp;"|"&amp;G40&amp;"|"&amp;H40&amp;"|"&amp;M40&amp;"|"&amp;CA40)</f>
        <v/>
      </c>
    </row>
    <row r="41" customFormat="false" ht="15" hidden="false" customHeight="false" outlineLevel="0" collapsed="false">
      <c r="A41" s="10" t="str">
        <f aca="false">IF(D41="","","DRN-"&amp;IFERROR(VLOOKUP(D41,Lists!$A$4:$B$27,2,0),"??")&amp;"-"&amp;TEXT(G41,"0000")&amp;"x"&amp;TEXT(H41,"0000")&amp;IF(N(I41)&gt;1,"-"&amp;I41&amp;"C","")&amp;"-"&amp;IFERROR(VLOOKUP(M41,Lists!$J$4:$K$19,2,0),"??")&amp;"-"&amp;AI41)</f>
        <v/>
      </c>
      <c r="B41" s="10" t="str">
        <f aca="false">IF(D41="","",D41&amp;" "&amp;G41&amp;"W x "&amp;H41&amp;"D"&amp;IF(N(I41)&gt;1," ("&amp;I41&amp;" cells)","")&amp;", "&amp;E41&amp;", "&amp;M41&amp;", "&amp;F41)</f>
        <v/>
      </c>
      <c r="C41" s="9"/>
      <c r="D41" s="9"/>
      <c r="E41" s="9"/>
      <c r="F41" s="9"/>
      <c r="G41" s="38"/>
      <c r="H41" s="38"/>
      <c r="I41" s="38"/>
      <c r="J41" s="38"/>
      <c r="K41" s="38"/>
      <c r="L41" s="38"/>
      <c r="M41" s="9"/>
      <c r="N41" s="9"/>
      <c r="O41" s="9"/>
      <c r="P41" s="38"/>
      <c r="Q41" s="9"/>
      <c r="R41" s="9"/>
      <c r="S41" s="9"/>
      <c r="T41" s="9"/>
      <c r="U41" s="9"/>
      <c r="V41" s="9"/>
      <c r="W41" s="9"/>
      <c r="X41" s="9"/>
      <c r="Y41" s="9"/>
      <c r="Z41" s="9"/>
      <c r="AA41" s="9"/>
      <c r="AB41" s="39"/>
      <c r="AC41" s="9"/>
      <c r="AD41" s="38"/>
      <c r="AE41" s="9"/>
      <c r="AF41" s="39"/>
      <c r="AG41" s="9"/>
      <c r="AH41" s="9"/>
      <c r="AI41" s="9"/>
      <c r="AJ41" s="9"/>
      <c r="AK41" s="9"/>
      <c r="AL41" s="9"/>
      <c r="AM41" s="9"/>
      <c r="AN41" s="10" t="str">
        <f aca="false">IF(A41="","",SG_Criteria!$B$6&amp;SG_Criteria!$B$7&amp;"\"&amp;A41&amp;"\")</f>
        <v/>
      </c>
      <c r="AO41" s="10" t="str">
        <f aca="false">IF(A41="","",A41&amp;"_CAD.dwg")</f>
        <v/>
      </c>
      <c r="AP41" s="10" t="str">
        <f aca="false">IF(A41="","",A41&amp;"_DWG.pdf")</f>
        <v/>
      </c>
      <c r="AQ41" s="10" t="str">
        <f aca="false">IF(A41="","",IF(AM41="Y",A41&amp;"_STAAD.std","n/a"))</f>
        <v/>
      </c>
      <c r="AR41" s="10" t="str">
        <f aca="false">IF(A41="","",A41&amp;"_CALC.xlsx")</f>
        <v/>
      </c>
      <c r="AS41" s="10" t="str">
        <f aca="false">IF(A41="","",A41&amp;"_CALC.pdf")</f>
        <v/>
      </c>
      <c r="AT41" s="9"/>
      <c r="AU41" s="9"/>
      <c r="AV41" s="39"/>
      <c r="AW41" s="39"/>
      <c r="AX41" s="39"/>
      <c r="AY41" s="39"/>
      <c r="AZ41" s="39"/>
      <c r="BA41" s="12" t="str">
        <f aca="false">IF(A41="","",IF(COUNTIF(Rebar_Schedule!$A$5:$A$2004,A41)=0,"",ROUND(SUMIF(Rebar_Schedule!$A$5:$A$2004,A41,Rebar_Schedule!$K$5:$K$2004),1)))</f>
        <v/>
      </c>
      <c r="BB41" s="33" t="str">
        <f aca="false">IF(A41="","",IF(BA41="","No rebar schedule yet",IF(ABS(BA41-N(AW41))/MAX(N(AW41),1)&gt;SG_Criteria!$B$55,"NOTE: register rebar differs from schedule by "&amp;TEXT(ABS(BA41-N(AW41))/MAX(N(AW41),1),"0%"),"OK")))</f>
        <v/>
      </c>
      <c r="BC41" s="34" t="str">
        <f aca="false">IF(OR(D41="",G41="",H41="",D41="Sump",D41="Drop Inlet Chamber",D41="Silt Trap",D41="Pipe Culvert",D41="Subsoil Drain"),"",ROUND(MAX(1,N(I41))*(1/SG_Criteria!$B$26)*((G41/1000)*(H41/1000*(1-SG_Criteria!$B$25)))*(((G41/1000)*(H41/1000*(1-SG_Criteria!$B$25)))/((G41/1000)+2*(H41/1000*(1-SG_Criteria!$B$25))))^(2/3)*(1/Design_Selector!$B$11)^0.5,3))</f>
        <v/>
      </c>
      <c r="BD41" s="11" t="str">
        <f aca="false">IF(BC41="","",ROUND(BC41/(MAX(1,N(I41))*G41/1000*(H41/1000*(1-SG_Criteria!$B$25))),2))</f>
        <v/>
      </c>
      <c r="BE41" s="33" t="str">
        <f aca="false">IF(D41="","",IF(LEN(IF(AND(OR(E41="Roadside drain",E41="Entrance culvert"),OR(G41&lt;SG_Criteria!$B$15,H41&lt;SG_Criteria!$B$16)),"FAIL: below PUB min "&amp;SG_Criteria!$B$15&amp;"x"&amp;SG_Criteria!$B$16&amp;" for roadside drain. ","")&amp;IF(AND(E41="Common drain",G41&lt;SG_Criteria!$B$17),"FAIL: common drain W &lt; "&amp;SG_Criteria!$B$17&amp;" mm. ","")&amp;IF(AND(O41&lt;&gt;"",IFERROR(VALUE(MID(O41,2,2)),0)&lt;SG_Criteria!$B$19),"FAIL: grade below C"&amp;SG_Criteria!$B$19&amp;". ","")&amp;IF(AND(P41&lt;&gt;"",P41&lt;SG_Criteria!$B$20),"FAIL: cover &lt; "&amp;SG_Criteria!$B$20&amp;" mm. ","")&amp;IF(AND(F41="Open",H41&gt;SG_Criteria!$B$18),"NOTE: safety railing required (D &gt; "&amp;SG_Criteria!$B$18&amp;" mm). ","")&amp;IF(AND(E41="Entrance culvert",H41&lt;600),"NOTE: check hinged grating rule for culverts &lt; 600 deep (PUB Add. 3). ",""))=0,"OK",IF(AND(OR(E41="Roadside drain",E41="Entrance culvert"),OR(G41&lt;SG_Criteria!$B$15,H41&lt;SG_Criteria!$B$16)),"FAIL: below PUB min "&amp;SG_Criteria!$B$15&amp;"x"&amp;SG_Criteria!$B$16&amp;" for roadside drain. ","")&amp;IF(AND(E41="Common drain",G41&lt;SG_Criteria!$B$17),"FAIL: common drain W &lt; "&amp;SG_Criteria!$B$17&amp;" mm. ","")&amp;IF(AND(O41&lt;&gt;"",IFERROR(VALUE(MID(O41,2,2)),0)&lt;SG_Criteria!$B$19),"FAIL: grade below C"&amp;SG_Criteria!$B$19&amp;". ","")&amp;IF(AND(P41&lt;&gt;"",P41&lt;SG_Criteria!$B$20),"FAIL: cover &lt; "&amp;SG_Criteria!$B$20&amp;" mm. ","")&amp;IF(AND(F41="Open",H41&gt;SG_Criteria!$B$18),"NOTE: safety railing required (D &gt; "&amp;SG_Criteria!$B$18&amp;" mm). ","")&amp;IF(AND(E41="Entrance culvert",H41&lt;600),"NOTE: check hinged grating rule for culverts &lt; 600 deep (PUB Add. 3). ","")))</f>
        <v/>
      </c>
      <c r="BF41" s="9"/>
      <c r="BG41" s="9"/>
      <c r="BH41" s="9"/>
      <c r="BI41" s="10" t="str">
        <f aca="false">IF(BH41="","",IFERROR(VLOOKUP(BH41,Projects!$A$5:$D$504,2,0),"Ref not in Projects"))</f>
        <v/>
      </c>
      <c r="BJ41" s="10" t="str">
        <f aca="false">IF(BH41="","",IFERROR(VLOOKUP(BH41,Projects!$A$5:$D$504,4,0),"Ref not in Projects"))</f>
        <v/>
      </c>
      <c r="BK41" s="9"/>
      <c r="BL41" s="9"/>
      <c r="BM41" s="9"/>
      <c r="BN41" s="40"/>
      <c r="BO41" s="9"/>
      <c r="BP41" s="40"/>
      <c r="BQ41" s="9"/>
      <c r="BR41" s="40"/>
      <c r="BS41" s="9"/>
      <c r="BT41" s="9"/>
      <c r="BU41" s="9"/>
      <c r="BV41" s="40"/>
      <c r="BW41" s="40"/>
      <c r="BX41" s="36" t="str">
        <f aca="false">IF(BW41="","",EDATE(BW41,SG_Criteria!$B$54*12))</f>
        <v/>
      </c>
      <c r="BY41" s="33" t="str">
        <f aca="true">IF(A41="","",IF(BW41="","NOTE: not reviewed yet",IF(TODAY()&gt;BX41,"NOTE: review overdue","OK")))</f>
        <v/>
      </c>
      <c r="BZ41" s="37" t="str">
        <f aca="false">IF(A41="","",ROUND((IF(LEN(D41)&gt;0,1,0)+IF(LEN(E41)&gt;0,1,0)+IF(LEN(F41)&gt;0,1,0)+IF(LEN(G41)&gt;0,1,0)+IF(LEN(H41)&gt;0,1,0)+IF(LEN(J41)&gt;0,1,0)+IF(LEN(K41)&gt;0,1,0)+IF(LEN(M41)&gt;0,1,0)+IF(LEN(O41)&gt;0,1,0)+IF(LEN(P41)&gt;0,1,0)+IF(LEN(Q41)&gt;0,1,0)+IF(LEN(S41)&gt;0,1,0)+IF(LEN(AC41)&gt;0,1,0)+IF(LEN(AV41)&gt;0,1,0)+IF(LEN(AW41)&gt;0,1,0)+IF(LEN(AG41)&gt;0,1,0)+IF(LEN(AI41)&gt;0,1,0)+IF(LEN(AJ41)&gt;0,1,0)+IF(LEN(AK41)&gt;0,1,0)+IF(LEN(AL41)&gt;0,1,0)+IF(LEN(AU41)&gt;0,1,0)+IF(LEN(BH41)&gt;0,1,0)+IF(LEN(BU41)&gt;0,1,0))/23,2))</f>
        <v/>
      </c>
      <c r="CA41" s="10" t="str">
        <f aca="false">IF(D41="","",IF(AND(AJ41="Approved",ISERROR(SEARCH("FAIL",BE41))),"Y","N"))</f>
        <v/>
      </c>
      <c r="CB41" s="10" t="str">
        <f aca="false">IF(D41="","",D41&amp;"|"&amp;G41&amp;"|"&amp;H41&amp;"|"&amp;M41&amp;"|"&amp;CA41)</f>
        <v/>
      </c>
    </row>
    <row r="42" customFormat="false" ht="15" hidden="false" customHeight="false" outlineLevel="0" collapsed="false">
      <c r="A42" s="10" t="str">
        <f aca="false">IF(D42="","","DRN-"&amp;IFERROR(VLOOKUP(D42,Lists!$A$4:$B$27,2,0),"??")&amp;"-"&amp;TEXT(G42,"0000")&amp;"x"&amp;TEXT(H42,"0000")&amp;IF(N(I42)&gt;1,"-"&amp;I42&amp;"C","")&amp;"-"&amp;IFERROR(VLOOKUP(M42,Lists!$J$4:$K$19,2,0),"??")&amp;"-"&amp;AI42)</f>
        <v/>
      </c>
      <c r="B42" s="10" t="str">
        <f aca="false">IF(D42="","",D42&amp;" "&amp;G42&amp;"W x "&amp;H42&amp;"D"&amp;IF(N(I42)&gt;1," ("&amp;I42&amp;" cells)","")&amp;", "&amp;E42&amp;", "&amp;M42&amp;", "&amp;F42)</f>
        <v/>
      </c>
      <c r="C42" s="9"/>
      <c r="D42" s="9"/>
      <c r="E42" s="9"/>
      <c r="F42" s="9"/>
      <c r="G42" s="38"/>
      <c r="H42" s="38"/>
      <c r="I42" s="38"/>
      <c r="J42" s="38"/>
      <c r="K42" s="38"/>
      <c r="L42" s="38"/>
      <c r="M42" s="9"/>
      <c r="N42" s="9"/>
      <c r="O42" s="9"/>
      <c r="P42" s="38"/>
      <c r="Q42" s="9"/>
      <c r="R42" s="9"/>
      <c r="S42" s="9"/>
      <c r="T42" s="9"/>
      <c r="U42" s="9"/>
      <c r="V42" s="9"/>
      <c r="W42" s="9"/>
      <c r="X42" s="9"/>
      <c r="Y42" s="9"/>
      <c r="Z42" s="9"/>
      <c r="AA42" s="9"/>
      <c r="AB42" s="39"/>
      <c r="AC42" s="9"/>
      <c r="AD42" s="38"/>
      <c r="AE42" s="9"/>
      <c r="AF42" s="39"/>
      <c r="AG42" s="9"/>
      <c r="AH42" s="9"/>
      <c r="AI42" s="9"/>
      <c r="AJ42" s="9"/>
      <c r="AK42" s="9"/>
      <c r="AL42" s="9"/>
      <c r="AM42" s="9"/>
      <c r="AN42" s="10" t="str">
        <f aca="false">IF(A42="","",SG_Criteria!$B$6&amp;SG_Criteria!$B$7&amp;"\"&amp;A42&amp;"\")</f>
        <v/>
      </c>
      <c r="AO42" s="10" t="str">
        <f aca="false">IF(A42="","",A42&amp;"_CAD.dwg")</f>
        <v/>
      </c>
      <c r="AP42" s="10" t="str">
        <f aca="false">IF(A42="","",A42&amp;"_DWG.pdf")</f>
        <v/>
      </c>
      <c r="AQ42" s="10" t="str">
        <f aca="false">IF(A42="","",IF(AM42="Y",A42&amp;"_STAAD.std","n/a"))</f>
        <v/>
      </c>
      <c r="AR42" s="10" t="str">
        <f aca="false">IF(A42="","",A42&amp;"_CALC.xlsx")</f>
        <v/>
      </c>
      <c r="AS42" s="10" t="str">
        <f aca="false">IF(A42="","",A42&amp;"_CALC.pdf")</f>
        <v/>
      </c>
      <c r="AT42" s="9"/>
      <c r="AU42" s="9"/>
      <c r="AV42" s="39"/>
      <c r="AW42" s="39"/>
      <c r="AX42" s="39"/>
      <c r="AY42" s="39"/>
      <c r="AZ42" s="39"/>
      <c r="BA42" s="12" t="str">
        <f aca="false">IF(A42="","",IF(COUNTIF(Rebar_Schedule!$A$5:$A$2004,A42)=0,"",ROUND(SUMIF(Rebar_Schedule!$A$5:$A$2004,A42,Rebar_Schedule!$K$5:$K$2004),1)))</f>
        <v/>
      </c>
      <c r="BB42" s="33" t="str">
        <f aca="false">IF(A42="","",IF(BA42="","No rebar schedule yet",IF(ABS(BA42-N(AW42))/MAX(N(AW42),1)&gt;SG_Criteria!$B$55,"NOTE: register rebar differs from schedule by "&amp;TEXT(ABS(BA42-N(AW42))/MAX(N(AW42),1),"0%"),"OK")))</f>
        <v/>
      </c>
      <c r="BC42" s="34" t="str">
        <f aca="false">IF(OR(D42="",G42="",H42="",D42="Sump",D42="Drop Inlet Chamber",D42="Silt Trap",D42="Pipe Culvert",D42="Subsoil Drain"),"",ROUND(MAX(1,N(I42))*(1/SG_Criteria!$B$26)*((G42/1000)*(H42/1000*(1-SG_Criteria!$B$25)))*(((G42/1000)*(H42/1000*(1-SG_Criteria!$B$25)))/((G42/1000)+2*(H42/1000*(1-SG_Criteria!$B$25))))^(2/3)*(1/Design_Selector!$B$11)^0.5,3))</f>
        <v/>
      </c>
      <c r="BD42" s="11" t="str">
        <f aca="false">IF(BC42="","",ROUND(BC42/(MAX(1,N(I42))*G42/1000*(H42/1000*(1-SG_Criteria!$B$25))),2))</f>
        <v/>
      </c>
      <c r="BE42" s="33" t="str">
        <f aca="false">IF(D42="","",IF(LEN(IF(AND(OR(E42="Roadside drain",E42="Entrance culvert"),OR(G42&lt;SG_Criteria!$B$15,H42&lt;SG_Criteria!$B$16)),"FAIL: below PUB min "&amp;SG_Criteria!$B$15&amp;"x"&amp;SG_Criteria!$B$16&amp;" for roadside drain. ","")&amp;IF(AND(E42="Common drain",G42&lt;SG_Criteria!$B$17),"FAIL: common drain W &lt; "&amp;SG_Criteria!$B$17&amp;" mm. ","")&amp;IF(AND(O42&lt;&gt;"",IFERROR(VALUE(MID(O42,2,2)),0)&lt;SG_Criteria!$B$19),"FAIL: grade below C"&amp;SG_Criteria!$B$19&amp;". ","")&amp;IF(AND(P42&lt;&gt;"",P42&lt;SG_Criteria!$B$20),"FAIL: cover &lt; "&amp;SG_Criteria!$B$20&amp;" mm. ","")&amp;IF(AND(F42="Open",H42&gt;SG_Criteria!$B$18),"NOTE: safety railing required (D &gt; "&amp;SG_Criteria!$B$18&amp;" mm). ","")&amp;IF(AND(E42="Entrance culvert",H42&lt;600),"NOTE: check hinged grating rule for culverts &lt; 600 deep (PUB Add. 3). ",""))=0,"OK",IF(AND(OR(E42="Roadside drain",E42="Entrance culvert"),OR(G42&lt;SG_Criteria!$B$15,H42&lt;SG_Criteria!$B$16)),"FAIL: below PUB min "&amp;SG_Criteria!$B$15&amp;"x"&amp;SG_Criteria!$B$16&amp;" for roadside drain. ","")&amp;IF(AND(E42="Common drain",G42&lt;SG_Criteria!$B$17),"FAIL: common drain W &lt; "&amp;SG_Criteria!$B$17&amp;" mm. ","")&amp;IF(AND(O42&lt;&gt;"",IFERROR(VALUE(MID(O42,2,2)),0)&lt;SG_Criteria!$B$19),"FAIL: grade below C"&amp;SG_Criteria!$B$19&amp;". ","")&amp;IF(AND(P42&lt;&gt;"",P42&lt;SG_Criteria!$B$20),"FAIL: cover &lt; "&amp;SG_Criteria!$B$20&amp;" mm. ","")&amp;IF(AND(F42="Open",H42&gt;SG_Criteria!$B$18),"NOTE: safety railing required (D &gt; "&amp;SG_Criteria!$B$18&amp;" mm). ","")&amp;IF(AND(E42="Entrance culvert",H42&lt;600),"NOTE: check hinged grating rule for culverts &lt; 600 deep (PUB Add. 3). ","")))</f>
        <v/>
      </c>
      <c r="BF42" s="9"/>
      <c r="BG42" s="9"/>
      <c r="BH42" s="9"/>
      <c r="BI42" s="10" t="str">
        <f aca="false">IF(BH42="","",IFERROR(VLOOKUP(BH42,Projects!$A$5:$D$504,2,0),"Ref not in Projects"))</f>
        <v/>
      </c>
      <c r="BJ42" s="10" t="str">
        <f aca="false">IF(BH42="","",IFERROR(VLOOKUP(BH42,Projects!$A$5:$D$504,4,0),"Ref not in Projects"))</f>
        <v/>
      </c>
      <c r="BK42" s="9"/>
      <c r="BL42" s="9"/>
      <c r="BM42" s="9"/>
      <c r="BN42" s="40"/>
      <c r="BO42" s="9"/>
      <c r="BP42" s="40"/>
      <c r="BQ42" s="9"/>
      <c r="BR42" s="40"/>
      <c r="BS42" s="9"/>
      <c r="BT42" s="9"/>
      <c r="BU42" s="9"/>
      <c r="BV42" s="40"/>
      <c r="BW42" s="40"/>
      <c r="BX42" s="36" t="str">
        <f aca="false">IF(BW42="","",EDATE(BW42,SG_Criteria!$B$54*12))</f>
        <v/>
      </c>
      <c r="BY42" s="33" t="str">
        <f aca="true">IF(A42="","",IF(BW42="","NOTE: not reviewed yet",IF(TODAY()&gt;BX42,"NOTE: review overdue","OK")))</f>
        <v/>
      </c>
      <c r="BZ42" s="37" t="str">
        <f aca="false">IF(A42="","",ROUND((IF(LEN(D42)&gt;0,1,0)+IF(LEN(E42)&gt;0,1,0)+IF(LEN(F42)&gt;0,1,0)+IF(LEN(G42)&gt;0,1,0)+IF(LEN(H42)&gt;0,1,0)+IF(LEN(J42)&gt;0,1,0)+IF(LEN(K42)&gt;0,1,0)+IF(LEN(M42)&gt;0,1,0)+IF(LEN(O42)&gt;0,1,0)+IF(LEN(P42)&gt;0,1,0)+IF(LEN(Q42)&gt;0,1,0)+IF(LEN(S42)&gt;0,1,0)+IF(LEN(AC42)&gt;0,1,0)+IF(LEN(AV42)&gt;0,1,0)+IF(LEN(AW42)&gt;0,1,0)+IF(LEN(AG42)&gt;0,1,0)+IF(LEN(AI42)&gt;0,1,0)+IF(LEN(AJ42)&gt;0,1,0)+IF(LEN(AK42)&gt;0,1,0)+IF(LEN(AL42)&gt;0,1,0)+IF(LEN(AU42)&gt;0,1,0)+IF(LEN(BH42)&gt;0,1,0)+IF(LEN(BU42)&gt;0,1,0))/23,2))</f>
        <v/>
      </c>
      <c r="CA42" s="10" t="str">
        <f aca="false">IF(D42="","",IF(AND(AJ42="Approved",ISERROR(SEARCH("FAIL",BE42))),"Y","N"))</f>
        <v/>
      </c>
      <c r="CB42" s="10" t="str">
        <f aca="false">IF(D42="","",D42&amp;"|"&amp;G42&amp;"|"&amp;H42&amp;"|"&amp;M42&amp;"|"&amp;CA42)</f>
        <v/>
      </c>
    </row>
    <row r="43" customFormat="false" ht="15" hidden="false" customHeight="false" outlineLevel="0" collapsed="false">
      <c r="A43" s="10" t="str">
        <f aca="false">IF(D43="","","DRN-"&amp;IFERROR(VLOOKUP(D43,Lists!$A$4:$B$27,2,0),"??")&amp;"-"&amp;TEXT(G43,"0000")&amp;"x"&amp;TEXT(H43,"0000")&amp;IF(N(I43)&gt;1,"-"&amp;I43&amp;"C","")&amp;"-"&amp;IFERROR(VLOOKUP(M43,Lists!$J$4:$K$19,2,0),"??")&amp;"-"&amp;AI43)</f>
        <v/>
      </c>
      <c r="B43" s="10" t="str">
        <f aca="false">IF(D43="","",D43&amp;" "&amp;G43&amp;"W x "&amp;H43&amp;"D"&amp;IF(N(I43)&gt;1," ("&amp;I43&amp;" cells)","")&amp;", "&amp;E43&amp;", "&amp;M43&amp;", "&amp;F43)</f>
        <v/>
      </c>
      <c r="C43" s="9"/>
      <c r="D43" s="9"/>
      <c r="E43" s="9"/>
      <c r="F43" s="9"/>
      <c r="G43" s="38"/>
      <c r="H43" s="38"/>
      <c r="I43" s="38"/>
      <c r="J43" s="38"/>
      <c r="K43" s="38"/>
      <c r="L43" s="38"/>
      <c r="M43" s="9"/>
      <c r="N43" s="9"/>
      <c r="O43" s="9"/>
      <c r="P43" s="38"/>
      <c r="Q43" s="9"/>
      <c r="R43" s="9"/>
      <c r="S43" s="9"/>
      <c r="T43" s="9"/>
      <c r="U43" s="9"/>
      <c r="V43" s="9"/>
      <c r="W43" s="9"/>
      <c r="X43" s="9"/>
      <c r="Y43" s="9"/>
      <c r="Z43" s="9"/>
      <c r="AA43" s="9"/>
      <c r="AB43" s="39"/>
      <c r="AC43" s="9"/>
      <c r="AD43" s="38"/>
      <c r="AE43" s="9"/>
      <c r="AF43" s="39"/>
      <c r="AG43" s="9"/>
      <c r="AH43" s="9"/>
      <c r="AI43" s="9"/>
      <c r="AJ43" s="9"/>
      <c r="AK43" s="9"/>
      <c r="AL43" s="9"/>
      <c r="AM43" s="9"/>
      <c r="AN43" s="10" t="str">
        <f aca="false">IF(A43="","",SG_Criteria!$B$6&amp;SG_Criteria!$B$7&amp;"\"&amp;A43&amp;"\")</f>
        <v/>
      </c>
      <c r="AO43" s="10" t="str">
        <f aca="false">IF(A43="","",A43&amp;"_CAD.dwg")</f>
        <v/>
      </c>
      <c r="AP43" s="10" t="str">
        <f aca="false">IF(A43="","",A43&amp;"_DWG.pdf")</f>
        <v/>
      </c>
      <c r="AQ43" s="10" t="str">
        <f aca="false">IF(A43="","",IF(AM43="Y",A43&amp;"_STAAD.std","n/a"))</f>
        <v/>
      </c>
      <c r="AR43" s="10" t="str">
        <f aca="false">IF(A43="","",A43&amp;"_CALC.xlsx")</f>
        <v/>
      </c>
      <c r="AS43" s="10" t="str">
        <f aca="false">IF(A43="","",A43&amp;"_CALC.pdf")</f>
        <v/>
      </c>
      <c r="AT43" s="9"/>
      <c r="AU43" s="9"/>
      <c r="AV43" s="39"/>
      <c r="AW43" s="39"/>
      <c r="AX43" s="39"/>
      <c r="AY43" s="39"/>
      <c r="AZ43" s="39"/>
      <c r="BA43" s="12" t="str">
        <f aca="false">IF(A43="","",IF(COUNTIF(Rebar_Schedule!$A$5:$A$2004,A43)=0,"",ROUND(SUMIF(Rebar_Schedule!$A$5:$A$2004,A43,Rebar_Schedule!$K$5:$K$2004),1)))</f>
        <v/>
      </c>
      <c r="BB43" s="33" t="str">
        <f aca="false">IF(A43="","",IF(BA43="","No rebar schedule yet",IF(ABS(BA43-N(AW43))/MAX(N(AW43),1)&gt;SG_Criteria!$B$55,"NOTE: register rebar differs from schedule by "&amp;TEXT(ABS(BA43-N(AW43))/MAX(N(AW43),1),"0%"),"OK")))</f>
        <v/>
      </c>
      <c r="BC43" s="34" t="str">
        <f aca="false">IF(OR(D43="",G43="",H43="",D43="Sump",D43="Drop Inlet Chamber",D43="Silt Trap",D43="Pipe Culvert",D43="Subsoil Drain"),"",ROUND(MAX(1,N(I43))*(1/SG_Criteria!$B$26)*((G43/1000)*(H43/1000*(1-SG_Criteria!$B$25)))*(((G43/1000)*(H43/1000*(1-SG_Criteria!$B$25)))/((G43/1000)+2*(H43/1000*(1-SG_Criteria!$B$25))))^(2/3)*(1/Design_Selector!$B$11)^0.5,3))</f>
        <v/>
      </c>
      <c r="BD43" s="11" t="str">
        <f aca="false">IF(BC43="","",ROUND(BC43/(MAX(1,N(I43))*G43/1000*(H43/1000*(1-SG_Criteria!$B$25))),2))</f>
        <v/>
      </c>
      <c r="BE43" s="33" t="str">
        <f aca="false">IF(D43="","",IF(LEN(IF(AND(OR(E43="Roadside drain",E43="Entrance culvert"),OR(G43&lt;SG_Criteria!$B$15,H43&lt;SG_Criteria!$B$16)),"FAIL: below PUB min "&amp;SG_Criteria!$B$15&amp;"x"&amp;SG_Criteria!$B$16&amp;" for roadside drain. ","")&amp;IF(AND(E43="Common drain",G43&lt;SG_Criteria!$B$17),"FAIL: common drain W &lt; "&amp;SG_Criteria!$B$17&amp;" mm. ","")&amp;IF(AND(O43&lt;&gt;"",IFERROR(VALUE(MID(O43,2,2)),0)&lt;SG_Criteria!$B$19),"FAIL: grade below C"&amp;SG_Criteria!$B$19&amp;". ","")&amp;IF(AND(P43&lt;&gt;"",P43&lt;SG_Criteria!$B$20),"FAIL: cover &lt; "&amp;SG_Criteria!$B$20&amp;" mm. ","")&amp;IF(AND(F43="Open",H43&gt;SG_Criteria!$B$18),"NOTE: safety railing required (D &gt; "&amp;SG_Criteria!$B$18&amp;" mm). ","")&amp;IF(AND(E43="Entrance culvert",H43&lt;600),"NOTE: check hinged grating rule for culverts &lt; 600 deep (PUB Add. 3). ",""))=0,"OK",IF(AND(OR(E43="Roadside drain",E43="Entrance culvert"),OR(G43&lt;SG_Criteria!$B$15,H43&lt;SG_Criteria!$B$16)),"FAIL: below PUB min "&amp;SG_Criteria!$B$15&amp;"x"&amp;SG_Criteria!$B$16&amp;" for roadside drain. ","")&amp;IF(AND(E43="Common drain",G43&lt;SG_Criteria!$B$17),"FAIL: common drain W &lt; "&amp;SG_Criteria!$B$17&amp;" mm. ","")&amp;IF(AND(O43&lt;&gt;"",IFERROR(VALUE(MID(O43,2,2)),0)&lt;SG_Criteria!$B$19),"FAIL: grade below C"&amp;SG_Criteria!$B$19&amp;". ","")&amp;IF(AND(P43&lt;&gt;"",P43&lt;SG_Criteria!$B$20),"FAIL: cover &lt; "&amp;SG_Criteria!$B$20&amp;" mm. ","")&amp;IF(AND(F43="Open",H43&gt;SG_Criteria!$B$18),"NOTE: safety railing required (D &gt; "&amp;SG_Criteria!$B$18&amp;" mm). ","")&amp;IF(AND(E43="Entrance culvert",H43&lt;600),"NOTE: check hinged grating rule for culverts &lt; 600 deep (PUB Add. 3). ","")))</f>
        <v/>
      </c>
      <c r="BF43" s="9"/>
      <c r="BG43" s="9"/>
      <c r="BH43" s="9"/>
      <c r="BI43" s="10" t="str">
        <f aca="false">IF(BH43="","",IFERROR(VLOOKUP(BH43,Projects!$A$5:$D$504,2,0),"Ref not in Projects"))</f>
        <v/>
      </c>
      <c r="BJ43" s="10" t="str">
        <f aca="false">IF(BH43="","",IFERROR(VLOOKUP(BH43,Projects!$A$5:$D$504,4,0),"Ref not in Projects"))</f>
        <v/>
      </c>
      <c r="BK43" s="9"/>
      <c r="BL43" s="9"/>
      <c r="BM43" s="9"/>
      <c r="BN43" s="40"/>
      <c r="BO43" s="9"/>
      <c r="BP43" s="40"/>
      <c r="BQ43" s="9"/>
      <c r="BR43" s="40"/>
      <c r="BS43" s="9"/>
      <c r="BT43" s="9"/>
      <c r="BU43" s="9"/>
      <c r="BV43" s="40"/>
      <c r="BW43" s="40"/>
      <c r="BX43" s="36" t="str">
        <f aca="false">IF(BW43="","",EDATE(BW43,SG_Criteria!$B$54*12))</f>
        <v/>
      </c>
      <c r="BY43" s="33" t="str">
        <f aca="true">IF(A43="","",IF(BW43="","NOTE: not reviewed yet",IF(TODAY()&gt;BX43,"NOTE: review overdue","OK")))</f>
        <v/>
      </c>
      <c r="BZ43" s="37" t="str">
        <f aca="false">IF(A43="","",ROUND((IF(LEN(D43)&gt;0,1,0)+IF(LEN(E43)&gt;0,1,0)+IF(LEN(F43)&gt;0,1,0)+IF(LEN(G43)&gt;0,1,0)+IF(LEN(H43)&gt;0,1,0)+IF(LEN(J43)&gt;0,1,0)+IF(LEN(K43)&gt;0,1,0)+IF(LEN(M43)&gt;0,1,0)+IF(LEN(O43)&gt;0,1,0)+IF(LEN(P43)&gt;0,1,0)+IF(LEN(Q43)&gt;0,1,0)+IF(LEN(S43)&gt;0,1,0)+IF(LEN(AC43)&gt;0,1,0)+IF(LEN(AV43)&gt;0,1,0)+IF(LEN(AW43)&gt;0,1,0)+IF(LEN(AG43)&gt;0,1,0)+IF(LEN(AI43)&gt;0,1,0)+IF(LEN(AJ43)&gt;0,1,0)+IF(LEN(AK43)&gt;0,1,0)+IF(LEN(AL43)&gt;0,1,0)+IF(LEN(AU43)&gt;0,1,0)+IF(LEN(BH43)&gt;0,1,0)+IF(LEN(BU43)&gt;0,1,0))/23,2))</f>
        <v/>
      </c>
      <c r="CA43" s="10" t="str">
        <f aca="false">IF(D43="","",IF(AND(AJ43="Approved",ISERROR(SEARCH("FAIL",BE43))),"Y","N"))</f>
        <v/>
      </c>
      <c r="CB43" s="10" t="str">
        <f aca="false">IF(D43="","",D43&amp;"|"&amp;G43&amp;"|"&amp;H43&amp;"|"&amp;M43&amp;"|"&amp;CA43)</f>
        <v/>
      </c>
    </row>
    <row r="44" customFormat="false" ht="15" hidden="false" customHeight="false" outlineLevel="0" collapsed="false">
      <c r="A44" s="10" t="str">
        <f aca="false">IF(D44="","","DRN-"&amp;IFERROR(VLOOKUP(D44,Lists!$A$4:$B$27,2,0),"??")&amp;"-"&amp;TEXT(G44,"0000")&amp;"x"&amp;TEXT(H44,"0000")&amp;IF(N(I44)&gt;1,"-"&amp;I44&amp;"C","")&amp;"-"&amp;IFERROR(VLOOKUP(M44,Lists!$J$4:$K$19,2,0),"??")&amp;"-"&amp;AI44)</f>
        <v/>
      </c>
      <c r="B44" s="10" t="str">
        <f aca="false">IF(D44="","",D44&amp;" "&amp;G44&amp;"W x "&amp;H44&amp;"D"&amp;IF(N(I44)&gt;1," ("&amp;I44&amp;" cells)","")&amp;", "&amp;E44&amp;", "&amp;M44&amp;", "&amp;F44)</f>
        <v/>
      </c>
      <c r="C44" s="9"/>
      <c r="D44" s="9"/>
      <c r="E44" s="9"/>
      <c r="F44" s="9"/>
      <c r="G44" s="38"/>
      <c r="H44" s="38"/>
      <c r="I44" s="38"/>
      <c r="J44" s="38"/>
      <c r="K44" s="38"/>
      <c r="L44" s="38"/>
      <c r="M44" s="9"/>
      <c r="N44" s="9"/>
      <c r="O44" s="9"/>
      <c r="P44" s="38"/>
      <c r="Q44" s="9"/>
      <c r="R44" s="9"/>
      <c r="S44" s="9"/>
      <c r="T44" s="9"/>
      <c r="U44" s="9"/>
      <c r="V44" s="9"/>
      <c r="W44" s="9"/>
      <c r="X44" s="9"/>
      <c r="Y44" s="9"/>
      <c r="Z44" s="9"/>
      <c r="AA44" s="9"/>
      <c r="AB44" s="39"/>
      <c r="AC44" s="9"/>
      <c r="AD44" s="38"/>
      <c r="AE44" s="9"/>
      <c r="AF44" s="39"/>
      <c r="AG44" s="9"/>
      <c r="AH44" s="9"/>
      <c r="AI44" s="9"/>
      <c r="AJ44" s="9"/>
      <c r="AK44" s="9"/>
      <c r="AL44" s="9"/>
      <c r="AM44" s="9"/>
      <c r="AN44" s="10" t="str">
        <f aca="false">IF(A44="","",SG_Criteria!$B$6&amp;SG_Criteria!$B$7&amp;"\"&amp;A44&amp;"\")</f>
        <v/>
      </c>
      <c r="AO44" s="10" t="str">
        <f aca="false">IF(A44="","",A44&amp;"_CAD.dwg")</f>
        <v/>
      </c>
      <c r="AP44" s="10" t="str">
        <f aca="false">IF(A44="","",A44&amp;"_DWG.pdf")</f>
        <v/>
      </c>
      <c r="AQ44" s="10" t="str">
        <f aca="false">IF(A44="","",IF(AM44="Y",A44&amp;"_STAAD.std","n/a"))</f>
        <v/>
      </c>
      <c r="AR44" s="10" t="str">
        <f aca="false">IF(A44="","",A44&amp;"_CALC.xlsx")</f>
        <v/>
      </c>
      <c r="AS44" s="10" t="str">
        <f aca="false">IF(A44="","",A44&amp;"_CALC.pdf")</f>
        <v/>
      </c>
      <c r="AT44" s="9"/>
      <c r="AU44" s="9"/>
      <c r="AV44" s="39"/>
      <c r="AW44" s="39"/>
      <c r="AX44" s="39"/>
      <c r="AY44" s="39"/>
      <c r="AZ44" s="39"/>
      <c r="BA44" s="12" t="str">
        <f aca="false">IF(A44="","",IF(COUNTIF(Rebar_Schedule!$A$5:$A$2004,A44)=0,"",ROUND(SUMIF(Rebar_Schedule!$A$5:$A$2004,A44,Rebar_Schedule!$K$5:$K$2004),1)))</f>
        <v/>
      </c>
      <c r="BB44" s="33" t="str">
        <f aca="false">IF(A44="","",IF(BA44="","No rebar schedule yet",IF(ABS(BA44-N(AW44))/MAX(N(AW44),1)&gt;SG_Criteria!$B$55,"NOTE: register rebar differs from schedule by "&amp;TEXT(ABS(BA44-N(AW44))/MAX(N(AW44),1),"0%"),"OK")))</f>
        <v/>
      </c>
      <c r="BC44" s="34" t="str">
        <f aca="false">IF(OR(D44="",G44="",H44="",D44="Sump",D44="Drop Inlet Chamber",D44="Silt Trap",D44="Pipe Culvert",D44="Subsoil Drain"),"",ROUND(MAX(1,N(I44))*(1/SG_Criteria!$B$26)*((G44/1000)*(H44/1000*(1-SG_Criteria!$B$25)))*(((G44/1000)*(H44/1000*(1-SG_Criteria!$B$25)))/((G44/1000)+2*(H44/1000*(1-SG_Criteria!$B$25))))^(2/3)*(1/Design_Selector!$B$11)^0.5,3))</f>
        <v/>
      </c>
      <c r="BD44" s="11" t="str">
        <f aca="false">IF(BC44="","",ROUND(BC44/(MAX(1,N(I44))*G44/1000*(H44/1000*(1-SG_Criteria!$B$25))),2))</f>
        <v/>
      </c>
      <c r="BE44" s="33" t="str">
        <f aca="false">IF(D44="","",IF(LEN(IF(AND(OR(E44="Roadside drain",E44="Entrance culvert"),OR(G44&lt;SG_Criteria!$B$15,H44&lt;SG_Criteria!$B$16)),"FAIL: below PUB min "&amp;SG_Criteria!$B$15&amp;"x"&amp;SG_Criteria!$B$16&amp;" for roadside drain. ","")&amp;IF(AND(E44="Common drain",G44&lt;SG_Criteria!$B$17),"FAIL: common drain W &lt; "&amp;SG_Criteria!$B$17&amp;" mm. ","")&amp;IF(AND(O44&lt;&gt;"",IFERROR(VALUE(MID(O44,2,2)),0)&lt;SG_Criteria!$B$19),"FAIL: grade below C"&amp;SG_Criteria!$B$19&amp;". ","")&amp;IF(AND(P44&lt;&gt;"",P44&lt;SG_Criteria!$B$20),"FAIL: cover &lt; "&amp;SG_Criteria!$B$20&amp;" mm. ","")&amp;IF(AND(F44="Open",H44&gt;SG_Criteria!$B$18),"NOTE: safety railing required (D &gt; "&amp;SG_Criteria!$B$18&amp;" mm). ","")&amp;IF(AND(E44="Entrance culvert",H44&lt;600),"NOTE: check hinged grating rule for culverts &lt; 600 deep (PUB Add. 3). ",""))=0,"OK",IF(AND(OR(E44="Roadside drain",E44="Entrance culvert"),OR(G44&lt;SG_Criteria!$B$15,H44&lt;SG_Criteria!$B$16)),"FAIL: below PUB min "&amp;SG_Criteria!$B$15&amp;"x"&amp;SG_Criteria!$B$16&amp;" for roadside drain. ","")&amp;IF(AND(E44="Common drain",G44&lt;SG_Criteria!$B$17),"FAIL: common drain W &lt; "&amp;SG_Criteria!$B$17&amp;" mm. ","")&amp;IF(AND(O44&lt;&gt;"",IFERROR(VALUE(MID(O44,2,2)),0)&lt;SG_Criteria!$B$19),"FAIL: grade below C"&amp;SG_Criteria!$B$19&amp;". ","")&amp;IF(AND(P44&lt;&gt;"",P44&lt;SG_Criteria!$B$20),"FAIL: cover &lt; "&amp;SG_Criteria!$B$20&amp;" mm. ","")&amp;IF(AND(F44="Open",H44&gt;SG_Criteria!$B$18),"NOTE: safety railing required (D &gt; "&amp;SG_Criteria!$B$18&amp;" mm). ","")&amp;IF(AND(E44="Entrance culvert",H44&lt;600),"NOTE: check hinged grating rule for culverts &lt; 600 deep (PUB Add. 3). ","")))</f>
        <v/>
      </c>
      <c r="BF44" s="9"/>
      <c r="BG44" s="9"/>
      <c r="BH44" s="9"/>
      <c r="BI44" s="10" t="str">
        <f aca="false">IF(BH44="","",IFERROR(VLOOKUP(BH44,Projects!$A$5:$D$504,2,0),"Ref not in Projects"))</f>
        <v/>
      </c>
      <c r="BJ44" s="10" t="str">
        <f aca="false">IF(BH44="","",IFERROR(VLOOKUP(BH44,Projects!$A$5:$D$504,4,0),"Ref not in Projects"))</f>
        <v/>
      </c>
      <c r="BK44" s="9"/>
      <c r="BL44" s="9"/>
      <c r="BM44" s="9"/>
      <c r="BN44" s="40"/>
      <c r="BO44" s="9"/>
      <c r="BP44" s="40"/>
      <c r="BQ44" s="9"/>
      <c r="BR44" s="40"/>
      <c r="BS44" s="9"/>
      <c r="BT44" s="9"/>
      <c r="BU44" s="9"/>
      <c r="BV44" s="40"/>
      <c r="BW44" s="40"/>
      <c r="BX44" s="36" t="str">
        <f aca="false">IF(BW44="","",EDATE(BW44,SG_Criteria!$B$54*12))</f>
        <v/>
      </c>
      <c r="BY44" s="33" t="str">
        <f aca="true">IF(A44="","",IF(BW44="","NOTE: not reviewed yet",IF(TODAY()&gt;BX44,"NOTE: review overdue","OK")))</f>
        <v/>
      </c>
      <c r="BZ44" s="37" t="str">
        <f aca="false">IF(A44="","",ROUND((IF(LEN(D44)&gt;0,1,0)+IF(LEN(E44)&gt;0,1,0)+IF(LEN(F44)&gt;0,1,0)+IF(LEN(G44)&gt;0,1,0)+IF(LEN(H44)&gt;0,1,0)+IF(LEN(J44)&gt;0,1,0)+IF(LEN(K44)&gt;0,1,0)+IF(LEN(M44)&gt;0,1,0)+IF(LEN(O44)&gt;0,1,0)+IF(LEN(P44)&gt;0,1,0)+IF(LEN(Q44)&gt;0,1,0)+IF(LEN(S44)&gt;0,1,0)+IF(LEN(AC44)&gt;0,1,0)+IF(LEN(AV44)&gt;0,1,0)+IF(LEN(AW44)&gt;0,1,0)+IF(LEN(AG44)&gt;0,1,0)+IF(LEN(AI44)&gt;0,1,0)+IF(LEN(AJ44)&gt;0,1,0)+IF(LEN(AK44)&gt;0,1,0)+IF(LEN(AL44)&gt;0,1,0)+IF(LEN(AU44)&gt;0,1,0)+IF(LEN(BH44)&gt;0,1,0)+IF(LEN(BU44)&gt;0,1,0))/23,2))</f>
        <v/>
      </c>
      <c r="CA44" s="10" t="str">
        <f aca="false">IF(D44="","",IF(AND(AJ44="Approved",ISERROR(SEARCH("FAIL",BE44))),"Y","N"))</f>
        <v/>
      </c>
      <c r="CB44" s="10" t="str">
        <f aca="false">IF(D44="","",D44&amp;"|"&amp;G44&amp;"|"&amp;H44&amp;"|"&amp;M44&amp;"|"&amp;CA44)</f>
        <v/>
      </c>
    </row>
    <row r="45" customFormat="false" ht="15" hidden="false" customHeight="false" outlineLevel="0" collapsed="false">
      <c r="A45" s="10" t="str">
        <f aca="false">IF(D45="","","DRN-"&amp;IFERROR(VLOOKUP(D45,Lists!$A$4:$B$27,2,0),"??")&amp;"-"&amp;TEXT(G45,"0000")&amp;"x"&amp;TEXT(H45,"0000")&amp;IF(N(I45)&gt;1,"-"&amp;I45&amp;"C","")&amp;"-"&amp;IFERROR(VLOOKUP(M45,Lists!$J$4:$K$19,2,0),"??")&amp;"-"&amp;AI45)</f>
        <v/>
      </c>
      <c r="B45" s="10" t="str">
        <f aca="false">IF(D45="","",D45&amp;" "&amp;G45&amp;"W x "&amp;H45&amp;"D"&amp;IF(N(I45)&gt;1," ("&amp;I45&amp;" cells)","")&amp;", "&amp;E45&amp;", "&amp;M45&amp;", "&amp;F45)</f>
        <v/>
      </c>
      <c r="C45" s="9"/>
      <c r="D45" s="9"/>
      <c r="E45" s="9"/>
      <c r="F45" s="9"/>
      <c r="G45" s="38"/>
      <c r="H45" s="38"/>
      <c r="I45" s="38"/>
      <c r="J45" s="38"/>
      <c r="K45" s="38"/>
      <c r="L45" s="38"/>
      <c r="M45" s="9"/>
      <c r="N45" s="9"/>
      <c r="O45" s="9"/>
      <c r="P45" s="38"/>
      <c r="Q45" s="9"/>
      <c r="R45" s="9"/>
      <c r="S45" s="9"/>
      <c r="T45" s="9"/>
      <c r="U45" s="9"/>
      <c r="V45" s="9"/>
      <c r="W45" s="9"/>
      <c r="X45" s="9"/>
      <c r="Y45" s="9"/>
      <c r="Z45" s="9"/>
      <c r="AA45" s="9"/>
      <c r="AB45" s="39"/>
      <c r="AC45" s="9"/>
      <c r="AD45" s="38"/>
      <c r="AE45" s="9"/>
      <c r="AF45" s="39"/>
      <c r="AG45" s="9"/>
      <c r="AH45" s="9"/>
      <c r="AI45" s="9"/>
      <c r="AJ45" s="9"/>
      <c r="AK45" s="9"/>
      <c r="AL45" s="9"/>
      <c r="AM45" s="9"/>
      <c r="AN45" s="10" t="str">
        <f aca="false">IF(A45="","",SG_Criteria!$B$6&amp;SG_Criteria!$B$7&amp;"\"&amp;A45&amp;"\")</f>
        <v/>
      </c>
      <c r="AO45" s="10" t="str">
        <f aca="false">IF(A45="","",A45&amp;"_CAD.dwg")</f>
        <v/>
      </c>
      <c r="AP45" s="10" t="str">
        <f aca="false">IF(A45="","",A45&amp;"_DWG.pdf")</f>
        <v/>
      </c>
      <c r="AQ45" s="10" t="str">
        <f aca="false">IF(A45="","",IF(AM45="Y",A45&amp;"_STAAD.std","n/a"))</f>
        <v/>
      </c>
      <c r="AR45" s="10" t="str">
        <f aca="false">IF(A45="","",A45&amp;"_CALC.xlsx")</f>
        <v/>
      </c>
      <c r="AS45" s="10" t="str">
        <f aca="false">IF(A45="","",A45&amp;"_CALC.pdf")</f>
        <v/>
      </c>
      <c r="AT45" s="9"/>
      <c r="AU45" s="9"/>
      <c r="AV45" s="39"/>
      <c r="AW45" s="39"/>
      <c r="AX45" s="39"/>
      <c r="AY45" s="39"/>
      <c r="AZ45" s="39"/>
      <c r="BA45" s="12" t="str">
        <f aca="false">IF(A45="","",IF(COUNTIF(Rebar_Schedule!$A$5:$A$2004,A45)=0,"",ROUND(SUMIF(Rebar_Schedule!$A$5:$A$2004,A45,Rebar_Schedule!$K$5:$K$2004),1)))</f>
        <v/>
      </c>
      <c r="BB45" s="33" t="str">
        <f aca="false">IF(A45="","",IF(BA45="","No rebar schedule yet",IF(ABS(BA45-N(AW45))/MAX(N(AW45),1)&gt;SG_Criteria!$B$55,"NOTE: register rebar differs from schedule by "&amp;TEXT(ABS(BA45-N(AW45))/MAX(N(AW45),1),"0%"),"OK")))</f>
        <v/>
      </c>
      <c r="BC45" s="34" t="str">
        <f aca="false">IF(OR(D45="",G45="",H45="",D45="Sump",D45="Drop Inlet Chamber",D45="Silt Trap",D45="Pipe Culvert",D45="Subsoil Drain"),"",ROUND(MAX(1,N(I45))*(1/SG_Criteria!$B$26)*((G45/1000)*(H45/1000*(1-SG_Criteria!$B$25)))*(((G45/1000)*(H45/1000*(1-SG_Criteria!$B$25)))/((G45/1000)+2*(H45/1000*(1-SG_Criteria!$B$25))))^(2/3)*(1/Design_Selector!$B$11)^0.5,3))</f>
        <v/>
      </c>
      <c r="BD45" s="11" t="str">
        <f aca="false">IF(BC45="","",ROUND(BC45/(MAX(1,N(I45))*G45/1000*(H45/1000*(1-SG_Criteria!$B$25))),2))</f>
        <v/>
      </c>
      <c r="BE45" s="33" t="str">
        <f aca="false">IF(D45="","",IF(LEN(IF(AND(OR(E45="Roadside drain",E45="Entrance culvert"),OR(G45&lt;SG_Criteria!$B$15,H45&lt;SG_Criteria!$B$16)),"FAIL: below PUB min "&amp;SG_Criteria!$B$15&amp;"x"&amp;SG_Criteria!$B$16&amp;" for roadside drain. ","")&amp;IF(AND(E45="Common drain",G45&lt;SG_Criteria!$B$17),"FAIL: common drain W &lt; "&amp;SG_Criteria!$B$17&amp;" mm. ","")&amp;IF(AND(O45&lt;&gt;"",IFERROR(VALUE(MID(O45,2,2)),0)&lt;SG_Criteria!$B$19),"FAIL: grade below C"&amp;SG_Criteria!$B$19&amp;". ","")&amp;IF(AND(P45&lt;&gt;"",P45&lt;SG_Criteria!$B$20),"FAIL: cover &lt; "&amp;SG_Criteria!$B$20&amp;" mm. ","")&amp;IF(AND(F45="Open",H45&gt;SG_Criteria!$B$18),"NOTE: safety railing required (D &gt; "&amp;SG_Criteria!$B$18&amp;" mm). ","")&amp;IF(AND(E45="Entrance culvert",H45&lt;600),"NOTE: check hinged grating rule for culverts &lt; 600 deep (PUB Add. 3). ",""))=0,"OK",IF(AND(OR(E45="Roadside drain",E45="Entrance culvert"),OR(G45&lt;SG_Criteria!$B$15,H45&lt;SG_Criteria!$B$16)),"FAIL: below PUB min "&amp;SG_Criteria!$B$15&amp;"x"&amp;SG_Criteria!$B$16&amp;" for roadside drain. ","")&amp;IF(AND(E45="Common drain",G45&lt;SG_Criteria!$B$17),"FAIL: common drain W &lt; "&amp;SG_Criteria!$B$17&amp;" mm. ","")&amp;IF(AND(O45&lt;&gt;"",IFERROR(VALUE(MID(O45,2,2)),0)&lt;SG_Criteria!$B$19),"FAIL: grade below C"&amp;SG_Criteria!$B$19&amp;". ","")&amp;IF(AND(P45&lt;&gt;"",P45&lt;SG_Criteria!$B$20),"FAIL: cover &lt; "&amp;SG_Criteria!$B$20&amp;" mm. ","")&amp;IF(AND(F45="Open",H45&gt;SG_Criteria!$B$18),"NOTE: safety railing required (D &gt; "&amp;SG_Criteria!$B$18&amp;" mm). ","")&amp;IF(AND(E45="Entrance culvert",H45&lt;600),"NOTE: check hinged grating rule for culverts &lt; 600 deep (PUB Add. 3). ","")))</f>
        <v/>
      </c>
      <c r="BF45" s="9"/>
      <c r="BG45" s="9"/>
      <c r="BH45" s="9"/>
      <c r="BI45" s="10" t="str">
        <f aca="false">IF(BH45="","",IFERROR(VLOOKUP(BH45,Projects!$A$5:$D$504,2,0),"Ref not in Projects"))</f>
        <v/>
      </c>
      <c r="BJ45" s="10" t="str">
        <f aca="false">IF(BH45="","",IFERROR(VLOOKUP(BH45,Projects!$A$5:$D$504,4,0),"Ref not in Projects"))</f>
        <v/>
      </c>
      <c r="BK45" s="9"/>
      <c r="BL45" s="9"/>
      <c r="BM45" s="9"/>
      <c r="BN45" s="40"/>
      <c r="BO45" s="9"/>
      <c r="BP45" s="40"/>
      <c r="BQ45" s="9"/>
      <c r="BR45" s="40"/>
      <c r="BS45" s="9"/>
      <c r="BT45" s="9"/>
      <c r="BU45" s="9"/>
      <c r="BV45" s="40"/>
      <c r="BW45" s="40"/>
      <c r="BX45" s="36" t="str">
        <f aca="false">IF(BW45="","",EDATE(BW45,SG_Criteria!$B$54*12))</f>
        <v/>
      </c>
      <c r="BY45" s="33" t="str">
        <f aca="true">IF(A45="","",IF(BW45="","NOTE: not reviewed yet",IF(TODAY()&gt;BX45,"NOTE: review overdue","OK")))</f>
        <v/>
      </c>
      <c r="BZ45" s="37" t="str">
        <f aca="false">IF(A45="","",ROUND((IF(LEN(D45)&gt;0,1,0)+IF(LEN(E45)&gt;0,1,0)+IF(LEN(F45)&gt;0,1,0)+IF(LEN(G45)&gt;0,1,0)+IF(LEN(H45)&gt;0,1,0)+IF(LEN(J45)&gt;0,1,0)+IF(LEN(K45)&gt;0,1,0)+IF(LEN(M45)&gt;0,1,0)+IF(LEN(O45)&gt;0,1,0)+IF(LEN(P45)&gt;0,1,0)+IF(LEN(Q45)&gt;0,1,0)+IF(LEN(S45)&gt;0,1,0)+IF(LEN(AC45)&gt;0,1,0)+IF(LEN(AV45)&gt;0,1,0)+IF(LEN(AW45)&gt;0,1,0)+IF(LEN(AG45)&gt;0,1,0)+IF(LEN(AI45)&gt;0,1,0)+IF(LEN(AJ45)&gt;0,1,0)+IF(LEN(AK45)&gt;0,1,0)+IF(LEN(AL45)&gt;0,1,0)+IF(LEN(AU45)&gt;0,1,0)+IF(LEN(BH45)&gt;0,1,0)+IF(LEN(BU45)&gt;0,1,0))/23,2))</f>
        <v/>
      </c>
      <c r="CA45" s="10" t="str">
        <f aca="false">IF(D45="","",IF(AND(AJ45="Approved",ISERROR(SEARCH("FAIL",BE45))),"Y","N"))</f>
        <v/>
      </c>
      <c r="CB45" s="10" t="str">
        <f aca="false">IF(D45="","",D45&amp;"|"&amp;G45&amp;"|"&amp;H45&amp;"|"&amp;M45&amp;"|"&amp;CA45)</f>
        <v/>
      </c>
    </row>
    <row r="46" customFormat="false" ht="15" hidden="false" customHeight="false" outlineLevel="0" collapsed="false">
      <c r="A46" s="10" t="str">
        <f aca="false">IF(D46="","","DRN-"&amp;IFERROR(VLOOKUP(D46,Lists!$A$4:$B$27,2,0),"??")&amp;"-"&amp;TEXT(G46,"0000")&amp;"x"&amp;TEXT(H46,"0000")&amp;IF(N(I46)&gt;1,"-"&amp;I46&amp;"C","")&amp;"-"&amp;IFERROR(VLOOKUP(M46,Lists!$J$4:$K$19,2,0),"??")&amp;"-"&amp;AI46)</f>
        <v/>
      </c>
      <c r="B46" s="10" t="str">
        <f aca="false">IF(D46="","",D46&amp;" "&amp;G46&amp;"W x "&amp;H46&amp;"D"&amp;IF(N(I46)&gt;1," ("&amp;I46&amp;" cells)","")&amp;", "&amp;E46&amp;", "&amp;M46&amp;", "&amp;F46)</f>
        <v/>
      </c>
      <c r="C46" s="9"/>
      <c r="D46" s="9"/>
      <c r="E46" s="9"/>
      <c r="F46" s="9"/>
      <c r="G46" s="38"/>
      <c r="H46" s="38"/>
      <c r="I46" s="38"/>
      <c r="J46" s="38"/>
      <c r="K46" s="38"/>
      <c r="L46" s="38"/>
      <c r="M46" s="9"/>
      <c r="N46" s="9"/>
      <c r="O46" s="9"/>
      <c r="P46" s="38"/>
      <c r="Q46" s="9"/>
      <c r="R46" s="9"/>
      <c r="S46" s="9"/>
      <c r="T46" s="9"/>
      <c r="U46" s="9"/>
      <c r="V46" s="9"/>
      <c r="W46" s="9"/>
      <c r="X46" s="9"/>
      <c r="Y46" s="9"/>
      <c r="Z46" s="9"/>
      <c r="AA46" s="9"/>
      <c r="AB46" s="39"/>
      <c r="AC46" s="9"/>
      <c r="AD46" s="38"/>
      <c r="AE46" s="9"/>
      <c r="AF46" s="39"/>
      <c r="AG46" s="9"/>
      <c r="AH46" s="9"/>
      <c r="AI46" s="9"/>
      <c r="AJ46" s="9"/>
      <c r="AK46" s="9"/>
      <c r="AL46" s="9"/>
      <c r="AM46" s="9"/>
      <c r="AN46" s="10" t="str">
        <f aca="false">IF(A46="","",SG_Criteria!$B$6&amp;SG_Criteria!$B$7&amp;"\"&amp;A46&amp;"\")</f>
        <v/>
      </c>
      <c r="AO46" s="10" t="str">
        <f aca="false">IF(A46="","",A46&amp;"_CAD.dwg")</f>
        <v/>
      </c>
      <c r="AP46" s="10" t="str">
        <f aca="false">IF(A46="","",A46&amp;"_DWG.pdf")</f>
        <v/>
      </c>
      <c r="AQ46" s="10" t="str">
        <f aca="false">IF(A46="","",IF(AM46="Y",A46&amp;"_STAAD.std","n/a"))</f>
        <v/>
      </c>
      <c r="AR46" s="10" t="str">
        <f aca="false">IF(A46="","",A46&amp;"_CALC.xlsx")</f>
        <v/>
      </c>
      <c r="AS46" s="10" t="str">
        <f aca="false">IF(A46="","",A46&amp;"_CALC.pdf")</f>
        <v/>
      </c>
      <c r="AT46" s="9"/>
      <c r="AU46" s="9"/>
      <c r="AV46" s="39"/>
      <c r="AW46" s="39"/>
      <c r="AX46" s="39"/>
      <c r="AY46" s="39"/>
      <c r="AZ46" s="39"/>
      <c r="BA46" s="12" t="str">
        <f aca="false">IF(A46="","",IF(COUNTIF(Rebar_Schedule!$A$5:$A$2004,A46)=0,"",ROUND(SUMIF(Rebar_Schedule!$A$5:$A$2004,A46,Rebar_Schedule!$K$5:$K$2004),1)))</f>
        <v/>
      </c>
      <c r="BB46" s="33" t="str">
        <f aca="false">IF(A46="","",IF(BA46="","No rebar schedule yet",IF(ABS(BA46-N(AW46))/MAX(N(AW46),1)&gt;SG_Criteria!$B$55,"NOTE: register rebar differs from schedule by "&amp;TEXT(ABS(BA46-N(AW46))/MAX(N(AW46),1),"0%"),"OK")))</f>
        <v/>
      </c>
      <c r="BC46" s="34" t="str">
        <f aca="false">IF(OR(D46="",G46="",H46="",D46="Sump",D46="Drop Inlet Chamber",D46="Silt Trap",D46="Pipe Culvert",D46="Subsoil Drain"),"",ROUND(MAX(1,N(I46))*(1/SG_Criteria!$B$26)*((G46/1000)*(H46/1000*(1-SG_Criteria!$B$25)))*(((G46/1000)*(H46/1000*(1-SG_Criteria!$B$25)))/((G46/1000)+2*(H46/1000*(1-SG_Criteria!$B$25))))^(2/3)*(1/Design_Selector!$B$11)^0.5,3))</f>
        <v/>
      </c>
      <c r="BD46" s="11" t="str">
        <f aca="false">IF(BC46="","",ROUND(BC46/(MAX(1,N(I46))*G46/1000*(H46/1000*(1-SG_Criteria!$B$25))),2))</f>
        <v/>
      </c>
      <c r="BE46" s="33" t="str">
        <f aca="false">IF(D46="","",IF(LEN(IF(AND(OR(E46="Roadside drain",E46="Entrance culvert"),OR(G46&lt;SG_Criteria!$B$15,H46&lt;SG_Criteria!$B$16)),"FAIL: below PUB min "&amp;SG_Criteria!$B$15&amp;"x"&amp;SG_Criteria!$B$16&amp;" for roadside drain. ","")&amp;IF(AND(E46="Common drain",G46&lt;SG_Criteria!$B$17),"FAIL: common drain W &lt; "&amp;SG_Criteria!$B$17&amp;" mm. ","")&amp;IF(AND(O46&lt;&gt;"",IFERROR(VALUE(MID(O46,2,2)),0)&lt;SG_Criteria!$B$19),"FAIL: grade below C"&amp;SG_Criteria!$B$19&amp;". ","")&amp;IF(AND(P46&lt;&gt;"",P46&lt;SG_Criteria!$B$20),"FAIL: cover &lt; "&amp;SG_Criteria!$B$20&amp;" mm. ","")&amp;IF(AND(F46="Open",H46&gt;SG_Criteria!$B$18),"NOTE: safety railing required (D &gt; "&amp;SG_Criteria!$B$18&amp;" mm). ","")&amp;IF(AND(E46="Entrance culvert",H46&lt;600),"NOTE: check hinged grating rule for culverts &lt; 600 deep (PUB Add. 3). ",""))=0,"OK",IF(AND(OR(E46="Roadside drain",E46="Entrance culvert"),OR(G46&lt;SG_Criteria!$B$15,H46&lt;SG_Criteria!$B$16)),"FAIL: below PUB min "&amp;SG_Criteria!$B$15&amp;"x"&amp;SG_Criteria!$B$16&amp;" for roadside drain. ","")&amp;IF(AND(E46="Common drain",G46&lt;SG_Criteria!$B$17),"FAIL: common drain W &lt; "&amp;SG_Criteria!$B$17&amp;" mm. ","")&amp;IF(AND(O46&lt;&gt;"",IFERROR(VALUE(MID(O46,2,2)),0)&lt;SG_Criteria!$B$19),"FAIL: grade below C"&amp;SG_Criteria!$B$19&amp;". ","")&amp;IF(AND(P46&lt;&gt;"",P46&lt;SG_Criteria!$B$20),"FAIL: cover &lt; "&amp;SG_Criteria!$B$20&amp;" mm. ","")&amp;IF(AND(F46="Open",H46&gt;SG_Criteria!$B$18),"NOTE: safety railing required (D &gt; "&amp;SG_Criteria!$B$18&amp;" mm). ","")&amp;IF(AND(E46="Entrance culvert",H46&lt;600),"NOTE: check hinged grating rule for culverts &lt; 600 deep (PUB Add. 3). ","")))</f>
        <v/>
      </c>
      <c r="BF46" s="9"/>
      <c r="BG46" s="9"/>
      <c r="BH46" s="9"/>
      <c r="BI46" s="10" t="str">
        <f aca="false">IF(BH46="","",IFERROR(VLOOKUP(BH46,Projects!$A$5:$D$504,2,0),"Ref not in Projects"))</f>
        <v/>
      </c>
      <c r="BJ46" s="10" t="str">
        <f aca="false">IF(BH46="","",IFERROR(VLOOKUP(BH46,Projects!$A$5:$D$504,4,0),"Ref not in Projects"))</f>
        <v/>
      </c>
      <c r="BK46" s="9"/>
      <c r="BL46" s="9"/>
      <c r="BM46" s="9"/>
      <c r="BN46" s="40"/>
      <c r="BO46" s="9"/>
      <c r="BP46" s="40"/>
      <c r="BQ46" s="9"/>
      <c r="BR46" s="40"/>
      <c r="BS46" s="9"/>
      <c r="BT46" s="9"/>
      <c r="BU46" s="9"/>
      <c r="BV46" s="40"/>
      <c r="BW46" s="40"/>
      <c r="BX46" s="36" t="str">
        <f aca="false">IF(BW46="","",EDATE(BW46,SG_Criteria!$B$54*12))</f>
        <v/>
      </c>
      <c r="BY46" s="33" t="str">
        <f aca="true">IF(A46="","",IF(BW46="","NOTE: not reviewed yet",IF(TODAY()&gt;BX46,"NOTE: review overdue","OK")))</f>
        <v/>
      </c>
      <c r="BZ46" s="37" t="str">
        <f aca="false">IF(A46="","",ROUND((IF(LEN(D46)&gt;0,1,0)+IF(LEN(E46)&gt;0,1,0)+IF(LEN(F46)&gt;0,1,0)+IF(LEN(G46)&gt;0,1,0)+IF(LEN(H46)&gt;0,1,0)+IF(LEN(J46)&gt;0,1,0)+IF(LEN(K46)&gt;0,1,0)+IF(LEN(M46)&gt;0,1,0)+IF(LEN(O46)&gt;0,1,0)+IF(LEN(P46)&gt;0,1,0)+IF(LEN(Q46)&gt;0,1,0)+IF(LEN(S46)&gt;0,1,0)+IF(LEN(AC46)&gt;0,1,0)+IF(LEN(AV46)&gt;0,1,0)+IF(LEN(AW46)&gt;0,1,0)+IF(LEN(AG46)&gt;0,1,0)+IF(LEN(AI46)&gt;0,1,0)+IF(LEN(AJ46)&gt;0,1,0)+IF(LEN(AK46)&gt;0,1,0)+IF(LEN(AL46)&gt;0,1,0)+IF(LEN(AU46)&gt;0,1,0)+IF(LEN(BH46)&gt;0,1,0)+IF(LEN(BU46)&gt;0,1,0))/23,2))</f>
        <v/>
      </c>
      <c r="CA46" s="10" t="str">
        <f aca="false">IF(D46="","",IF(AND(AJ46="Approved",ISERROR(SEARCH("FAIL",BE46))),"Y","N"))</f>
        <v/>
      </c>
      <c r="CB46" s="10" t="str">
        <f aca="false">IF(D46="","",D46&amp;"|"&amp;G46&amp;"|"&amp;H46&amp;"|"&amp;M46&amp;"|"&amp;CA46)</f>
        <v/>
      </c>
    </row>
    <row r="47" customFormat="false" ht="15" hidden="false" customHeight="false" outlineLevel="0" collapsed="false">
      <c r="A47" s="10" t="str">
        <f aca="false">IF(D47="","","DRN-"&amp;IFERROR(VLOOKUP(D47,Lists!$A$4:$B$27,2,0),"??")&amp;"-"&amp;TEXT(G47,"0000")&amp;"x"&amp;TEXT(H47,"0000")&amp;IF(N(I47)&gt;1,"-"&amp;I47&amp;"C","")&amp;"-"&amp;IFERROR(VLOOKUP(M47,Lists!$J$4:$K$19,2,0),"??")&amp;"-"&amp;AI47)</f>
        <v/>
      </c>
      <c r="B47" s="10" t="str">
        <f aca="false">IF(D47="","",D47&amp;" "&amp;G47&amp;"W x "&amp;H47&amp;"D"&amp;IF(N(I47)&gt;1," ("&amp;I47&amp;" cells)","")&amp;", "&amp;E47&amp;", "&amp;M47&amp;", "&amp;F47)</f>
        <v/>
      </c>
      <c r="C47" s="9"/>
      <c r="D47" s="9"/>
      <c r="E47" s="9"/>
      <c r="F47" s="9"/>
      <c r="G47" s="38"/>
      <c r="H47" s="38"/>
      <c r="I47" s="38"/>
      <c r="J47" s="38"/>
      <c r="K47" s="38"/>
      <c r="L47" s="38"/>
      <c r="M47" s="9"/>
      <c r="N47" s="9"/>
      <c r="O47" s="9"/>
      <c r="P47" s="38"/>
      <c r="Q47" s="9"/>
      <c r="R47" s="9"/>
      <c r="S47" s="9"/>
      <c r="T47" s="9"/>
      <c r="U47" s="9"/>
      <c r="V47" s="9"/>
      <c r="W47" s="9"/>
      <c r="X47" s="9"/>
      <c r="Y47" s="9"/>
      <c r="Z47" s="9"/>
      <c r="AA47" s="9"/>
      <c r="AB47" s="39"/>
      <c r="AC47" s="9"/>
      <c r="AD47" s="38"/>
      <c r="AE47" s="9"/>
      <c r="AF47" s="39"/>
      <c r="AG47" s="9"/>
      <c r="AH47" s="9"/>
      <c r="AI47" s="9"/>
      <c r="AJ47" s="9"/>
      <c r="AK47" s="9"/>
      <c r="AL47" s="9"/>
      <c r="AM47" s="9"/>
      <c r="AN47" s="10" t="str">
        <f aca="false">IF(A47="","",SG_Criteria!$B$6&amp;SG_Criteria!$B$7&amp;"\"&amp;A47&amp;"\")</f>
        <v/>
      </c>
      <c r="AO47" s="10" t="str">
        <f aca="false">IF(A47="","",A47&amp;"_CAD.dwg")</f>
        <v/>
      </c>
      <c r="AP47" s="10" t="str">
        <f aca="false">IF(A47="","",A47&amp;"_DWG.pdf")</f>
        <v/>
      </c>
      <c r="AQ47" s="10" t="str">
        <f aca="false">IF(A47="","",IF(AM47="Y",A47&amp;"_STAAD.std","n/a"))</f>
        <v/>
      </c>
      <c r="AR47" s="10" t="str">
        <f aca="false">IF(A47="","",A47&amp;"_CALC.xlsx")</f>
        <v/>
      </c>
      <c r="AS47" s="10" t="str">
        <f aca="false">IF(A47="","",A47&amp;"_CALC.pdf")</f>
        <v/>
      </c>
      <c r="AT47" s="9"/>
      <c r="AU47" s="9"/>
      <c r="AV47" s="39"/>
      <c r="AW47" s="39"/>
      <c r="AX47" s="39"/>
      <c r="AY47" s="39"/>
      <c r="AZ47" s="39"/>
      <c r="BA47" s="12" t="str">
        <f aca="false">IF(A47="","",IF(COUNTIF(Rebar_Schedule!$A$5:$A$2004,A47)=0,"",ROUND(SUMIF(Rebar_Schedule!$A$5:$A$2004,A47,Rebar_Schedule!$K$5:$K$2004),1)))</f>
        <v/>
      </c>
      <c r="BB47" s="33" t="str">
        <f aca="false">IF(A47="","",IF(BA47="","No rebar schedule yet",IF(ABS(BA47-N(AW47))/MAX(N(AW47),1)&gt;SG_Criteria!$B$55,"NOTE: register rebar differs from schedule by "&amp;TEXT(ABS(BA47-N(AW47))/MAX(N(AW47),1),"0%"),"OK")))</f>
        <v/>
      </c>
      <c r="BC47" s="34" t="str">
        <f aca="false">IF(OR(D47="",G47="",H47="",D47="Sump",D47="Drop Inlet Chamber",D47="Silt Trap",D47="Pipe Culvert",D47="Subsoil Drain"),"",ROUND(MAX(1,N(I47))*(1/SG_Criteria!$B$26)*((G47/1000)*(H47/1000*(1-SG_Criteria!$B$25)))*(((G47/1000)*(H47/1000*(1-SG_Criteria!$B$25)))/((G47/1000)+2*(H47/1000*(1-SG_Criteria!$B$25))))^(2/3)*(1/Design_Selector!$B$11)^0.5,3))</f>
        <v/>
      </c>
      <c r="BD47" s="11" t="str">
        <f aca="false">IF(BC47="","",ROUND(BC47/(MAX(1,N(I47))*G47/1000*(H47/1000*(1-SG_Criteria!$B$25))),2))</f>
        <v/>
      </c>
      <c r="BE47" s="33" t="str">
        <f aca="false">IF(D47="","",IF(LEN(IF(AND(OR(E47="Roadside drain",E47="Entrance culvert"),OR(G47&lt;SG_Criteria!$B$15,H47&lt;SG_Criteria!$B$16)),"FAIL: below PUB min "&amp;SG_Criteria!$B$15&amp;"x"&amp;SG_Criteria!$B$16&amp;" for roadside drain. ","")&amp;IF(AND(E47="Common drain",G47&lt;SG_Criteria!$B$17),"FAIL: common drain W &lt; "&amp;SG_Criteria!$B$17&amp;" mm. ","")&amp;IF(AND(O47&lt;&gt;"",IFERROR(VALUE(MID(O47,2,2)),0)&lt;SG_Criteria!$B$19),"FAIL: grade below C"&amp;SG_Criteria!$B$19&amp;". ","")&amp;IF(AND(P47&lt;&gt;"",P47&lt;SG_Criteria!$B$20),"FAIL: cover &lt; "&amp;SG_Criteria!$B$20&amp;" mm. ","")&amp;IF(AND(F47="Open",H47&gt;SG_Criteria!$B$18),"NOTE: safety railing required (D &gt; "&amp;SG_Criteria!$B$18&amp;" mm). ","")&amp;IF(AND(E47="Entrance culvert",H47&lt;600),"NOTE: check hinged grating rule for culverts &lt; 600 deep (PUB Add. 3). ",""))=0,"OK",IF(AND(OR(E47="Roadside drain",E47="Entrance culvert"),OR(G47&lt;SG_Criteria!$B$15,H47&lt;SG_Criteria!$B$16)),"FAIL: below PUB min "&amp;SG_Criteria!$B$15&amp;"x"&amp;SG_Criteria!$B$16&amp;" for roadside drain. ","")&amp;IF(AND(E47="Common drain",G47&lt;SG_Criteria!$B$17),"FAIL: common drain W &lt; "&amp;SG_Criteria!$B$17&amp;" mm. ","")&amp;IF(AND(O47&lt;&gt;"",IFERROR(VALUE(MID(O47,2,2)),0)&lt;SG_Criteria!$B$19),"FAIL: grade below C"&amp;SG_Criteria!$B$19&amp;". ","")&amp;IF(AND(P47&lt;&gt;"",P47&lt;SG_Criteria!$B$20),"FAIL: cover &lt; "&amp;SG_Criteria!$B$20&amp;" mm. ","")&amp;IF(AND(F47="Open",H47&gt;SG_Criteria!$B$18),"NOTE: safety railing required (D &gt; "&amp;SG_Criteria!$B$18&amp;" mm). ","")&amp;IF(AND(E47="Entrance culvert",H47&lt;600),"NOTE: check hinged grating rule for culverts &lt; 600 deep (PUB Add. 3). ","")))</f>
        <v/>
      </c>
      <c r="BF47" s="9"/>
      <c r="BG47" s="9"/>
      <c r="BH47" s="9"/>
      <c r="BI47" s="10" t="str">
        <f aca="false">IF(BH47="","",IFERROR(VLOOKUP(BH47,Projects!$A$5:$D$504,2,0),"Ref not in Projects"))</f>
        <v/>
      </c>
      <c r="BJ47" s="10" t="str">
        <f aca="false">IF(BH47="","",IFERROR(VLOOKUP(BH47,Projects!$A$5:$D$504,4,0),"Ref not in Projects"))</f>
        <v/>
      </c>
      <c r="BK47" s="9"/>
      <c r="BL47" s="9"/>
      <c r="BM47" s="9"/>
      <c r="BN47" s="40"/>
      <c r="BO47" s="9"/>
      <c r="BP47" s="40"/>
      <c r="BQ47" s="9"/>
      <c r="BR47" s="40"/>
      <c r="BS47" s="9"/>
      <c r="BT47" s="9"/>
      <c r="BU47" s="9"/>
      <c r="BV47" s="40"/>
      <c r="BW47" s="40"/>
      <c r="BX47" s="36" t="str">
        <f aca="false">IF(BW47="","",EDATE(BW47,SG_Criteria!$B$54*12))</f>
        <v/>
      </c>
      <c r="BY47" s="33" t="str">
        <f aca="true">IF(A47="","",IF(BW47="","NOTE: not reviewed yet",IF(TODAY()&gt;BX47,"NOTE: review overdue","OK")))</f>
        <v/>
      </c>
      <c r="BZ47" s="37" t="str">
        <f aca="false">IF(A47="","",ROUND((IF(LEN(D47)&gt;0,1,0)+IF(LEN(E47)&gt;0,1,0)+IF(LEN(F47)&gt;0,1,0)+IF(LEN(G47)&gt;0,1,0)+IF(LEN(H47)&gt;0,1,0)+IF(LEN(J47)&gt;0,1,0)+IF(LEN(K47)&gt;0,1,0)+IF(LEN(M47)&gt;0,1,0)+IF(LEN(O47)&gt;0,1,0)+IF(LEN(P47)&gt;0,1,0)+IF(LEN(Q47)&gt;0,1,0)+IF(LEN(S47)&gt;0,1,0)+IF(LEN(AC47)&gt;0,1,0)+IF(LEN(AV47)&gt;0,1,0)+IF(LEN(AW47)&gt;0,1,0)+IF(LEN(AG47)&gt;0,1,0)+IF(LEN(AI47)&gt;0,1,0)+IF(LEN(AJ47)&gt;0,1,0)+IF(LEN(AK47)&gt;0,1,0)+IF(LEN(AL47)&gt;0,1,0)+IF(LEN(AU47)&gt;0,1,0)+IF(LEN(BH47)&gt;0,1,0)+IF(LEN(BU47)&gt;0,1,0))/23,2))</f>
        <v/>
      </c>
      <c r="CA47" s="10" t="str">
        <f aca="false">IF(D47="","",IF(AND(AJ47="Approved",ISERROR(SEARCH("FAIL",BE47))),"Y","N"))</f>
        <v/>
      </c>
      <c r="CB47" s="10" t="str">
        <f aca="false">IF(D47="","",D47&amp;"|"&amp;G47&amp;"|"&amp;H47&amp;"|"&amp;M47&amp;"|"&amp;CA47)</f>
        <v/>
      </c>
    </row>
    <row r="48" customFormat="false" ht="15" hidden="false" customHeight="false" outlineLevel="0" collapsed="false">
      <c r="A48" s="10" t="str">
        <f aca="false">IF(D48="","","DRN-"&amp;IFERROR(VLOOKUP(D48,Lists!$A$4:$B$27,2,0),"??")&amp;"-"&amp;TEXT(G48,"0000")&amp;"x"&amp;TEXT(H48,"0000")&amp;IF(N(I48)&gt;1,"-"&amp;I48&amp;"C","")&amp;"-"&amp;IFERROR(VLOOKUP(M48,Lists!$J$4:$K$19,2,0),"??")&amp;"-"&amp;AI48)</f>
        <v/>
      </c>
      <c r="B48" s="10" t="str">
        <f aca="false">IF(D48="","",D48&amp;" "&amp;G48&amp;"W x "&amp;H48&amp;"D"&amp;IF(N(I48)&gt;1," ("&amp;I48&amp;" cells)","")&amp;", "&amp;E48&amp;", "&amp;M48&amp;", "&amp;F48)</f>
        <v/>
      </c>
      <c r="C48" s="9"/>
      <c r="D48" s="9"/>
      <c r="E48" s="9"/>
      <c r="F48" s="9"/>
      <c r="G48" s="38"/>
      <c r="H48" s="38"/>
      <c r="I48" s="38"/>
      <c r="J48" s="38"/>
      <c r="K48" s="38"/>
      <c r="L48" s="38"/>
      <c r="M48" s="9"/>
      <c r="N48" s="9"/>
      <c r="O48" s="9"/>
      <c r="P48" s="38"/>
      <c r="Q48" s="9"/>
      <c r="R48" s="9"/>
      <c r="S48" s="9"/>
      <c r="T48" s="9"/>
      <c r="U48" s="9"/>
      <c r="V48" s="9"/>
      <c r="W48" s="9"/>
      <c r="X48" s="9"/>
      <c r="Y48" s="9"/>
      <c r="Z48" s="9"/>
      <c r="AA48" s="9"/>
      <c r="AB48" s="39"/>
      <c r="AC48" s="9"/>
      <c r="AD48" s="38"/>
      <c r="AE48" s="9"/>
      <c r="AF48" s="39"/>
      <c r="AG48" s="9"/>
      <c r="AH48" s="9"/>
      <c r="AI48" s="9"/>
      <c r="AJ48" s="9"/>
      <c r="AK48" s="9"/>
      <c r="AL48" s="9"/>
      <c r="AM48" s="9"/>
      <c r="AN48" s="10" t="str">
        <f aca="false">IF(A48="","",SG_Criteria!$B$6&amp;SG_Criteria!$B$7&amp;"\"&amp;A48&amp;"\")</f>
        <v/>
      </c>
      <c r="AO48" s="10" t="str">
        <f aca="false">IF(A48="","",A48&amp;"_CAD.dwg")</f>
        <v/>
      </c>
      <c r="AP48" s="10" t="str">
        <f aca="false">IF(A48="","",A48&amp;"_DWG.pdf")</f>
        <v/>
      </c>
      <c r="AQ48" s="10" t="str">
        <f aca="false">IF(A48="","",IF(AM48="Y",A48&amp;"_STAAD.std","n/a"))</f>
        <v/>
      </c>
      <c r="AR48" s="10" t="str">
        <f aca="false">IF(A48="","",A48&amp;"_CALC.xlsx")</f>
        <v/>
      </c>
      <c r="AS48" s="10" t="str">
        <f aca="false">IF(A48="","",A48&amp;"_CALC.pdf")</f>
        <v/>
      </c>
      <c r="AT48" s="9"/>
      <c r="AU48" s="9"/>
      <c r="AV48" s="39"/>
      <c r="AW48" s="39"/>
      <c r="AX48" s="39"/>
      <c r="AY48" s="39"/>
      <c r="AZ48" s="39"/>
      <c r="BA48" s="12" t="str">
        <f aca="false">IF(A48="","",IF(COUNTIF(Rebar_Schedule!$A$5:$A$2004,A48)=0,"",ROUND(SUMIF(Rebar_Schedule!$A$5:$A$2004,A48,Rebar_Schedule!$K$5:$K$2004),1)))</f>
        <v/>
      </c>
      <c r="BB48" s="33" t="str">
        <f aca="false">IF(A48="","",IF(BA48="","No rebar schedule yet",IF(ABS(BA48-N(AW48))/MAX(N(AW48),1)&gt;SG_Criteria!$B$55,"NOTE: register rebar differs from schedule by "&amp;TEXT(ABS(BA48-N(AW48))/MAX(N(AW48),1),"0%"),"OK")))</f>
        <v/>
      </c>
      <c r="BC48" s="34" t="str">
        <f aca="false">IF(OR(D48="",G48="",H48="",D48="Sump",D48="Drop Inlet Chamber",D48="Silt Trap",D48="Pipe Culvert",D48="Subsoil Drain"),"",ROUND(MAX(1,N(I48))*(1/SG_Criteria!$B$26)*((G48/1000)*(H48/1000*(1-SG_Criteria!$B$25)))*(((G48/1000)*(H48/1000*(1-SG_Criteria!$B$25)))/((G48/1000)+2*(H48/1000*(1-SG_Criteria!$B$25))))^(2/3)*(1/Design_Selector!$B$11)^0.5,3))</f>
        <v/>
      </c>
      <c r="BD48" s="11" t="str">
        <f aca="false">IF(BC48="","",ROUND(BC48/(MAX(1,N(I48))*G48/1000*(H48/1000*(1-SG_Criteria!$B$25))),2))</f>
        <v/>
      </c>
      <c r="BE48" s="33" t="str">
        <f aca="false">IF(D48="","",IF(LEN(IF(AND(OR(E48="Roadside drain",E48="Entrance culvert"),OR(G48&lt;SG_Criteria!$B$15,H48&lt;SG_Criteria!$B$16)),"FAIL: below PUB min "&amp;SG_Criteria!$B$15&amp;"x"&amp;SG_Criteria!$B$16&amp;" for roadside drain. ","")&amp;IF(AND(E48="Common drain",G48&lt;SG_Criteria!$B$17),"FAIL: common drain W &lt; "&amp;SG_Criteria!$B$17&amp;" mm. ","")&amp;IF(AND(O48&lt;&gt;"",IFERROR(VALUE(MID(O48,2,2)),0)&lt;SG_Criteria!$B$19),"FAIL: grade below C"&amp;SG_Criteria!$B$19&amp;". ","")&amp;IF(AND(P48&lt;&gt;"",P48&lt;SG_Criteria!$B$20),"FAIL: cover &lt; "&amp;SG_Criteria!$B$20&amp;" mm. ","")&amp;IF(AND(F48="Open",H48&gt;SG_Criteria!$B$18),"NOTE: safety railing required (D &gt; "&amp;SG_Criteria!$B$18&amp;" mm). ","")&amp;IF(AND(E48="Entrance culvert",H48&lt;600),"NOTE: check hinged grating rule for culverts &lt; 600 deep (PUB Add. 3). ",""))=0,"OK",IF(AND(OR(E48="Roadside drain",E48="Entrance culvert"),OR(G48&lt;SG_Criteria!$B$15,H48&lt;SG_Criteria!$B$16)),"FAIL: below PUB min "&amp;SG_Criteria!$B$15&amp;"x"&amp;SG_Criteria!$B$16&amp;" for roadside drain. ","")&amp;IF(AND(E48="Common drain",G48&lt;SG_Criteria!$B$17),"FAIL: common drain W &lt; "&amp;SG_Criteria!$B$17&amp;" mm. ","")&amp;IF(AND(O48&lt;&gt;"",IFERROR(VALUE(MID(O48,2,2)),0)&lt;SG_Criteria!$B$19),"FAIL: grade below C"&amp;SG_Criteria!$B$19&amp;". ","")&amp;IF(AND(P48&lt;&gt;"",P48&lt;SG_Criteria!$B$20),"FAIL: cover &lt; "&amp;SG_Criteria!$B$20&amp;" mm. ","")&amp;IF(AND(F48="Open",H48&gt;SG_Criteria!$B$18),"NOTE: safety railing required (D &gt; "&amp;SG_Criteria!$B$18&amp;" mm). ","")&amp;IF(AND(E48="Entrance culvert",H48&lt;600),"NOTE: check hinged grating rule for culverts &lt; 600 deep (PUB Add. 3). ","")))</f>
        <v/>
      </c>
      <c r="BF48" s="9"/>
      <c r="BG48" s="9"/>
      <c r="BH48" s="9"/>
      <c r="BI48" s="10" t="str">
        <f aca="false">IF(BH48="","",IFERROR(VLOOKUP(BH48,Projects!$A$5:$D$504,2,0),"Ref not in Projects"))</f>
        <v/>
      </c>
      <c r="BJ48" s="10" t="str">
        <f aca="false">IF(BH48="","",IFERROR(VLOOKUP(BH48,Projects!$A$5:$D$504,4,0),"Ref not in Projects"))</f>
        <v/>
      </c>
      <c r="BK48" s="9"/>
      <c r="BL48" s="9"/>
      <c r="BM48" s="9"/>
      <c r="BN48" s="40"/>
      <c r="BO48" s="9"/>
      <c r="BP48" s="40"/>
      <c r="BQ48" s="9"/>
      <c r="BR48" s="40"/>
      <c r="BS48" s="9"/>
      <c r="BT48" s="9"/>
      <c r="BU48" s="9"/>
      <c r="BV48" s="40"/>
      <c r="BW48" s="40"/>
      <c r="BX48" s="36" t="str">
        <f aca="false">IF(BW48="","",EDATE(BW48,SG_Criteria!$B$54*12))</f>
        <v/>
      </c>
      <c r="BY48" s="33" t="str">
        <f aca="true">IF(A48="","",IF(BW48="","NOTE: not reviewed yet",IF(TODAY()&gt;BX48,"NOTE: review overdue","OK")))</f>
        <v/>
      </c>
      <c r="BZ48" s="37" t="str">
        <f aca="false">IF(A48="","",ROUND((IF(LEN(D48)&gt;0,1,0)+IF(LEN(E48)&gt;0,1,0)+IF(LEN(F48)&gt;0,1,0)+IF(LEN(G48)&gt;0,1,0)+IF(LEN(H48)&gt;0,1,0)+IF(LEN(J48)&gt;0,1,0)+IF(LEN(K48)&gt;0,1,0)+IF(LEN(M48)&gt;0,1,0)+IF(LEN(O48)&gt;0,1,0)+IF(LEN(P48)&gt;0,1,0)+IF(LEN(Q48)&gt;0,1,0)+IF(LEN(S48)&gt;0,1,0)+IF(LEN(AC48)&gt;0,1,0)+IF(LEN(AV48)&gt;0,1,0)+IF(LEN(AW48)&gt;0,1,0)+IF(LEN(AG48)&gt;0,1,0)+IF(LEN(AI48)&gt;0,1,0)+IF(LEN(AJ48)&gt;0,1,0)+IF(LEN(AK48)&gt;0,1,0)+IF(LEN(AL48)&gt;0,1,0)+IF(LEN(AU48)&gt;0,1,0)+IF(LEN(BH48)&gt;0,1,0)+IF(LEN(BU48)&gt;0,1,0))/23,2))</f>
        <v/>
      </c>
      <c r="CA48" s="10" t="str">
        <f aca="false">IF(D48="","",IF(AND(AJ48="Approved",ISERROR(SEARCH("FAIL",BE48))),"Y","N"))</f>
        <v/>
      </c>
      <c r="CB48" s="10" t="str">
        <f aca="false">IF(D48="","",D48&amp;"|"&amp;G48&amp;"|"&amp;H48&amp;"|"&amp;M48&amp;"|"&amp;CA48)</f>
        <v/>
      </c>
    </row>
    <row r="49" customFormat="false" ht="15" hidden="false" customHeight="false" outlineLevel="0" collapsed="false">
      <c r="A49" s="10" t="str">
        <f aca="false">IF(D49="","","DRN-"&amp;IFERROR(VLOOKUP(D49,Lists!$A$4:$B$27,2,0),"??")&amp;"-"&amp;TEXT(G49,"0000")&amp;"x"&amp;TEXT(H49,"0000")&amp;IF(N(I49)&gt;1,"-"&amp;I49&amp;"C","")&amp;"-"&amp;IFERROR(VLOOKUP(M49,Lists!$J$4:$K$19,2,0),"??")&amp;"-"&amp;AI49)</f>
        <v/>
      </c>
      <c r="B49" s="10" t="str">
        <f aca="false">IF(D49="","",D49&amp;" "&amp;G49&amp;"W x "&amp;H49&amp;"D"&amp;IF(N(I49)&gt;1," ("&amp;I49&amp;" cells)","")&amp;", "&amp;E49&amp;", "&amp;M49&amp;", "&amp;F49)</f>
        <v/>
      </c>
      <c r="C49" s="9"/>
      <c r="D49" s="9"/>
      <c r="E49" s="9"/>
      <c r="F49" s="9"/>
      <c r="G49" s="38"/>
      <c r="H49" s="38"/>
      <c r="I49" s="38"/>
      <c r="J49" s="38"/>
      <c r="K49" s="38"/>
      <c r="L49" s="38"/>
      <c r="M49" s="9"/>
      <c r="N49" s="9"/>
      <c r="O49" s="9"/>
      <c r="P49" s="38"/>
      <c r="Q49" s="9"/>
      <c r="R49" s="9"/>
      <c r="S49" s="9"/>
      <c r="T49" s="9"/>
      <c r="U49" s="9"/>
      <c r="V49" s="9"/>
      <c r="W49" s="9"/>
      <c r="X49" s="9"/>
      <c r="Y49" s="9"/>
      <c r="Z49" s="9"/>
      <c r="AA49" s="9"/>
      <c r="AB49" s="39"/>
      <c r="AC49" s="9"/>
      <c r="AD49" s="38"/>
      <c r="AE49" s="9"/>
      <c r="AF49" s="39"/>
      <c r="AG49" s="9"/>
      <c r="AH49" s="9"/>
      <c r="AI49" s="9"/>
      <c r="AJ49" s="9"/>
      <c r="AK49" s="9"/>
      <c r="AL49" s="9"/>
      <c r="AM49" s="9"/>
      <c r="AN49" s="10" t="str">
        <f aca="false">IF(A49="","",SG_Criteria!$B$6&amp;SG_Criteria!$B$7&amp;"\"&amp;A49&amp;"\")</f>
        <v/>
      </c>
      <c r="AO49" s="10" t="str">
        <f aca="false">IF(A49="","",A49&amp;"_CAD.dwg")</f>
        <v/>
      </c>
      <c r="AP49" s="10" t="str">
        <f aca="false">IF(A49="","",A49&amp;"_DWG.pdf")</f>
        <v/>
      </c>
      <c r="AQ49" s="10" t="str">
        <f aca="false">IF(A49="","",IF(AM49="Y",A49&amp;"_STAAD.std","n/a"))</f>
        <v/>
      </c>
      <c r="AR49" s="10" t="str">
        <f aca="false">IF(A49="","",A49&amp;"_CALC.xlsx")</f>
        <v/>
      </c>
      <c r="AS49" s="10" t="str">
        <f aca="false">IF(A49="","",A49&amp;"_CALC.pdf")</f>
        <v/>
      </c>
      <c r="AT49" s="9"/>
      <c r="AU49" s="9"/>
      <c r="AV49" s="39"/>
      <c r="AW49" s="39"/>
      <c r="AX49" s="39"/>
      <c r="AY49" s="39"/>
      <c r="AZ49" s="39"/>
      <c r="BA49" s="12" t="str">
        <f aca="false">IF(A49="","",IF(COUNTIF(Rebar_Schedule!$A$5:$A$2004,A49)=0,"",ROUND(SUMIF(Rebar_Schedule!$A$5:$A$2004,A49,Rebar_Schedule!$K$5:$K$2004),1)))</f>
        <v/>
      </c>
      <c r="BB49" s="33" t="str">
        <f aca="false">IF(A49="","",IF(BA49="","No rebar schedule yet",IF(ABS(BA49-N(AW49))/MAX(N(AW49),1)&gt;SG_Criteria!$B$55,"NOTE: register rebar differs from schedule by "&amp;TEXT(ABS(BA49-N(AW49))/MAX(N(AW49),1),"0%"),"OK")))</f>
        <v/>
      </c>
      <c r="BC49" s="34" t="str">
        <f aca="false">IF(OR(D49="",G49="",H49="",D49="Sump",D49="Drop Inlet Chamber",D49="Silt Trap",D49="Pipe Culvert",D49="Subsoil Drain"),"",ROUND(MAX(1,N(I49))*(1/SG_Criteria!$B$26)*((G49/1000)*(H49/1000*(1-SG_Criteria!$B$25)))*(((G49/1000)*(H49/1000*(1-SG_Criteria!$B$25)))/((G49/1000)+2*(H49/1000*(1-SG_Criteria!$B$25))))^(2/3)*(1/Design_Selector!$B$11)^0.5,3))</f>
        <v/>
      </c>
      <c r="BD49" s="11" t="str">
        <f aca="false">IF(BC49="","",ROUND(BC49/(MAX(1,N(I49))*G49/1000*(H49/1000*(1-SG_Criteria!$B$25))),2))</f>
        <v/>
      </c>
      <c r="BE49" s="33" t="str">
        <f aca="false">IF(D49="","",IF(LEN(IF(AND(OR(E49="Roadside drain",E49="Entrance culvert"),OR(G49&lt;SG_Criteria!$B$15,H49&lt;SG_Criteria!$B$16)),"FAIL: below PUB min "&amp;SG_Criteria!$B$15&amp;"x"&amp;SG_Criteria!$B$16&amp;" for roadside drain. ","")&amp;IF(AND(E49="Common drain",G49&lt;SG_Criteria!$B$17),"FAIL: common drain W &lt; "&amp;SG_Criteria!$B$17&amp;" mm. ","")&amp;IF(AND(O49&lt;&gt;"",IFERROR(VALUE(MID(O49,2,2)),0)&lt;SG_Criteria!$B$19),"FAIL: grade below C"&amp;SG_Criteria!$B$19&amp;". ","")&amp;IF(AND(P49&lt;&gt;"",P49&lt;SG_Criteria!$B$20),"FAIL: cover &lt; "&amp;SG_Criteria!$B$20&amp;" mm. ","")&amp;IF(AND(F49="Open",H49&gt;SG_Criteria!$B$18),"NOTE: safety railing required (D &gt; "&amp;SG_Criteria!$B$18&amp;" mm). ","")&amp;IF(AND(E49="Entrance culvert",H49&lt;600),"NOTE: check hinged grating rule for culverts &lt; 600 deep (PUB Add. 3). ",""))=0,"OK",IF(AND(OR(E49="Roadside drain",E49="Entrance culvert"),OR(G49&lt;SG_Criteria!$B$15,H49&lt;SG_Criteria!$B$16)),"FAIL: below PUB min "&amp;SG_Criteria!$B$15&amp;"x"&amp;SG_Criteria!$B$16&amp;" for roadside drain. ","")&amp;IF(AND(E49="Common drain",G49&lt;SG_Criteria!$B$17),"FAIL: common drain W &lt; "&amp;SG_Criteria!$B$17&amp;" mm. ","")&amp;IF(AND(O49&lt;&gt;"",IFERROR(VALUE(MID(O49,2,2)),0)&lt;SG_Criteria!$B$19),"FAIL: grade below C"&amp;SG_Criteria!$B$19&amp;". ","")&amp;IF(AND(P49&lt;&gt;"",P49&lt;SG_Criteria!$B$20),"FAIL: cover &lt; "&amp;SG_Criteria!$B$20&amp;" mm. ","")&amp;IF(AND(F49="Open",H49&gt;SG_Criteria!$B$18),"NOTE: safety railing required (D &gt; "&amp;SG_Criteria!$B$18&amp;" mm). ","")&amp;IF(AND(E49="Entrance culvert",H49&lt;600),"NOTE: check hinged grating rule for culverts &lt; 600 deep (PUB Add. 3). ","")))</f>
        <v/>
      </c>
      <c r="BF49" s="9"/>
      <c r="BG49" s="9"/>
      <c r="BH49" s="9"/>
      <c r="BI49" s="10" t="str">
        <f aca="false">IF(BH49="","",IFERROR(VLOOKUP(BH49,Projects!$A$5:$D$504,2,0),"Ref not in Projects"))</f>
        <v/>
      </c>
      <c r="BJ49" s="10" t="str">
        <f aca="false">IF(BH49="","",IFERROR(VLOOKUP(BH49,Projects!$A$5:$D$504,4,0),"Ref not in Projects"))</f>
        <v/>
      </c>
      <c r="BK49" s="9"/>
      <c r="BL49" s="9"/>
      <c r="BM49" s="9"/>
      <c r="BN49" s="40"/>
      <c r="BO49" s="9"/>
      <c r="BP49" s="40"/>
      <c r="BQ49" s="9"/>
      <c r="BR49" s="40"/>
      <c r="BS49" s="9"/>
      <c r="BT49" s="9"/>
      <c r="BU49" s="9"/>
      <c r="BV49" s="40"/>
      <c r="BW49" s="40"/>
      <c r="BX49" s="36" t="str">
        <f aca="false">IF(BW49="","",EDATE(BW49,SG_Criteria!$B$54*12))</f>
        <v/>
      </c>
      <c r="BY49" s="33" t="str">
        <f aca="true">IF(A49="","",IF(BW49="","NOTE: not reviewed yet",IF(TODAY()&gt;BX49,"NOTE: review overdue","OK")))</f>
        <v/>
      </c>
      <c r="BZ49" s="37" t="str">
        <f aca="false">IF(A49="","",ROUND((IF(LEN(D49)&gt;0,1,0)+IF(LEN(E49)&gt;0,1,0)+IF(LEN(F49)&gt;0,1,0)+IF(LEN(G49)&gt;0,1,0)+IF(LEN(H49)&gt;0,1,0)+IF(LEN(J49)&gt;0,1,0)+IF(LEN(K49)&gt;0,1,0)+IF(LEN(M49)&gt;0,1,0)+IF(LEN(O49)&gt;0,1,0)+IF(LEN(P49)&gt;0,1,0)+IF(LEN(Q49)&gt;0,1,0)+IF(LEN(S49)&gt;0,1,0)+IF(LEN(AC49)&gt;0,1,0)+IF(LEN(AV49)&gt;0,1,0)+IF(LEN(AW49)&gt;0,1,0)+IF(LEN(AG49)&gt;0,1,0)+IF(LEN(AI49)&gt;0,1,0)+IF(LEN(AJ49)&gt;0,1,0)+IF(LEN(AK49)&gt;0,1,0)+IF(LEN(AL49)&gt;0,1,0)+IF(LEN(AU49)&gt;0,1,0)+IF(LEN(BH49)&gt;0,1,0)+IF(LEN(BU49)&gt;0,1,0))/23,2))</f>
        <v/>
      </c>
      <c r="CA49" s="10" t="str">
        <f aca="false">IF(D49="","",IF(AND(AJ49="Approved",ISERROR(SEARCH("FAIL",BE49))),"Y","N"))</f>
        <v/>
      </c>
      <c r="CB49" s="10" t="str">
        <f aca="false">IF(D49="","",D49&amp;"|"&amp;G49&amp;"|"&amp;H49&amp;"|"&amp;M49&amp;"|"&amp;CA49)</f>
        <v/>
      </c>
    </row>
    <row r="50" customFormat="false" ht="15" hidden="false" customHeight="false" outlineLevel="0" collapsed="false">
      <c r="A50" s="10" t="str">
        <f aca="false">IF(D50="","","DRN-"&amp;IFERROR(VLOOKUP(D50,Lists!$A$4:$B$27,2,0),"??")&amp;"-"&amp;TEXT(G50,"0000")&amp;"x"&amp;TEXT(H50,"0000")&amp;IF(N(I50)&gt;1,"-"&amp;I50&amp;"C","")&amp;"-"&amp;IFERROR(VLOOKUP(M50,Lists!$J$4:$K$19,2,0),"??")&amp;"-"&amp;AI50)</f>
        <v/>
      </c>
      <c r="B50" s="10" t="str">
        <f aca="false">IF(D50="","",D50&amp;" "&amp;G50&amp;"W x "&amp;H50&amp;"D"&amp;IF(N(I50)&gt;1," ("&amp;I50&amp;" cells)","")&amp;", "&amp;E50&amp;", "&amp;M50&amp;", "&amp;F50)</f>
        <v/>
      </c>
      <c r="C50" s="9"/>
      <c r="D50" s="9"/>
      <c r="E50" s="9"/>
      <c r="F50" s="9"/>
      <c r="G50" s="38"/>
      <c r="H50" s="38"/>
      <c r="I50" s="38"/>
      <c r="J50" s="38"/>
      <c r="K50" s="38"/>
      <c r="L50" s="38"/>
      <c r="M50" s="9"/>
      <c r="N50" s="9"/>
      <c r="O50" s="9"/>
      <c r="P50" s="38"/>
      <c r="Q50" s="9"/>
      <c r="R50" s="9"/>
      <c r="S50" s="9"/>
      <c r="T50" s="9"/>
      <c r="U50" s="9"/>
      <c r="V50" s="9"/>
      <c r="W50" s="9"/>
      <c r="X50" s="9"/>
      <c r="Y50" s="9"/>
      <c r="Z50" s="9"/>
      <c r="AA50" s="9"/>
      <c r="AB50" s="39"/>
      <c r="AC50" s="9"/>
      <c r="AD50" s="38"/>
      <c r="AE50" s="9"/>
      <c r="AF50" s="39"/>
      <c r="AG50" s="9"/>
      <c r="AH50" s="9"/>
      <c r="AI50" s="9"/>
      <c r="AJ50" s="9"/>
      <c r="AK50" s="9"/>
      <c r="AL50" s="9"/>
      <c r="AM50" s="9"/>
      <c r="AN50" s="10" t="str">
        <f aca="false">IF(A50="","",SG_Criteria!$B$6&amp;SG_Criteria!$B$7&amp;"\"&amp;A50&amp;"\")</f>
        <v/>
      </c>
      <c r="AO50" s="10" t="str">
        <f aca="false">IF(A50="","",A50&amp;"_CAD.dwg")</f>
        <v/>
      </c>
      <c r="AP50" s="10" t="str">
        <f aca="false">IF(A50="","",A50&amp;"_DWG.pdf")</f>
        <v/>
      </c>
      <c r="AQ50" s="10" t="str">
        <f aca="false">IF(A50="","",IF(AM50="Y",A50&amp;"_STAAD.std","n/a"))</f>
        <v/>
      </c>
      <c r="AR50" s="10" t="str">
        <f aca="false">IF(A50="","",A50&amp;"_CALC.xlsx")</f>
        <v/>
      </c>
      <c r="AS50" s="10" t="str">
        <f aca="false">IF(A50="","",A50&amp;"_CALC.pdf")</f>
        <v/>
      </c>
      <c r="AT50" s="9"/>
      <c r="AU50" s="9"/>
      <c r="AV50" s="39"/>
      <c r="AW50" s="39"/>
      <c r="AX50" s="39"/>
      <c r="AY50" s="39"/>
      <c r="AZ50" s="39"/>
      <c r="BA50" s="12" t="str">
        <f aca="false">IF(A50="","",IF(COUNTIF(Rebar_Schedule!$A$5:$A$2004,A50)=0,"",ROUND(SUMIF(Rebar_Schedule!$A$5:$A$2004,A50,Rebar_Schedule!$K$5:$K$2004),1)))</f>
        <v/>
      </c>
      <c r="BB50" s="33" t="str">
        <f aca="false">IF(A50="","",IF(BA50="","No rebar schedule yet",IF(ABS(BA50-N(AW50))/MAX(N(AW50),1)&gt;SG_Criteria!$B$55,"NOTE: register rebar differs from schedule by "&amp;TEXT(ABS(BA50-N(AW50))/MAX(N(AW50),1),"0%"),"OK")))</f>
        <v/>
      </c>
      <c r="BC50" s="34" t="str">
        <f aca="false">IF(OR(D50="",G50="",H50="",D50="Sump",D50="Drop Inlet Chamber",D50="Silt Trap",D50="Pipe Culvert",D50="Subsoil Drain"),"",ROUND(MAX(1,N(I50))*(1/SG_Criteria!$B$26)*((G50/1000)*(H50/1000*(1-SG_Criteria!$B$25)))*(((G50/1000)*(H50/1000*(1-SG_Criteria!$B$25)))/((G50/1000)+2*(H50/1000*(1-SG_Criteria!$B$25))))^(2/3)*(1/Design_Selector!$B$11)^0.5,3))</f>
        <v/>
      </c>
      <c r="BD50" s="11" t="str">
        <f aca="false">IF(BC50="","",ROUND(BC50/(MAX(1,N(I50))*G50/1000*(H50/1000*(1-SG_Criteria!$B$25))),2))</f>
        <v/>
      </c>
      <c r="BE50" s="33" t="str">
        <f aca="false">IF(D50="","",IF(LEN(IF(AND(OR(E50="Roadside drain",E50="Entrance culvert"),OR(G50&lt;SG_Criteria!$B$15,H50&lt;SG_Criteria!$B$16)),"FAIL: below PUB min "&amp;SG_Criteria!$B$15&amp;"x"&amp;SG_Criteria!$B$16&amp;" for roadside drain. ","")&amp;IF(AND(E50="Common drain",G50&lt;SG_Criteria!$B$17),"FAIL: common drain W &lt; "&amp;SG_Criteria!$B$17&amp;" mm. ","")&amp;IF(AND(O50&lt;&gt;"",IFERROR(VALUE(MID(O50,2,2)),0)&lt;SG_Criteria!$B$19),"FAIL: grade below C"&amp;SG_Criteria!$B$19&amp;". ","")&amp;IF(AND(P50&lt;&gt;"",P50&lt;SG_Criteria!$B$20),"FAIL: cover &lt; "&amp;SG_Criteria!$B$20&amp;" mm. ","")&amp;IF(AND(F50="Open",H50&gt;SG_Criteria!$B$18),"NOTE: safety railing required (D &gt; "&amp;SG_Criteria!$B$18&amp;" mm). ","")&amp;IF(AND(E50="Entrance culvert",H50&lt;600),"NOTE: check hinged grating rule for culverts &lt; 600 deep (PUB Add. 3). ",""))=0,"OK",IF(AND(OR(E50="Roadside drain",E50="Entrance culvert"),OR(G50&lt;SG_Criteria!$B$15,H50&lt;SG_Criteria!$B$16)),"FAIL: below PUB min "&amp;SG_Criteria!$B$15&amp;"x"&amp;SG_Criteria!$B$16&amp;" for roadside drain. ","")&amp;IF(AND(E50="Common drain",G50&lt;SG_Criteria!$B$17),"FAIL: common drain W &lt; "&amp;SG_Criteria!$B$17&amp;" mm. ","")&amp;IF(AND(O50&lt;&gt;"",IFERROR(VALUE(MID(O50,2,2)),0)&lt;SG_Criteria!$B$19),"FAIL: grade below C"&amp;SG_Criteria!$B$19&amp;". ","")&amp;IF(AND(P50&lt;&gt;"",P50&lt;SG_Criteria!$B$20),"FAIL: cover &lt; "&amp;SG_Criteria!$B$20&amp;" mm. ","")&amp;IF(AND(F50="Open",H50&gt;SG_Criteria!$B$18),"NOTE: safety railing required (D &gt; "&amp;SG_Criteria!$B$18&amp;" mm). ","")&amp;IF(AND(E50="Entrance culvert",H50&lt;600),"NOTE: check hinged grating rule for culverts &lt; 600 deep (PUB Add. 3). ","")))</f>
        <v/>
      </c>
      <c r="BF50" s="9"/>
      <c r="BG50" s="9"/>
      <c r="BH50" s="9"/>
      <c r="BI50" s="10" t="str">
        <f aca="false">IF(BH50="","",IFERROR(VLOOKUP(BH50,Projects!$A$5:$D$504,2,0),"Ref not in Projects"))</f>
        <v/>
      </c>
      <c r="BJ50" s="10" t="str">
        <f aca="false">IF(BH50="","",IFERROR(VLOOKUP(BH50,Projects!$A$5:$D$504,4,0),"Ref not in Projects"))</f>
        <v/>
      </c>
      <c r="BK50" s="9"/>
      <c r="BL50" s="9"/>
      <c r="BM50" s="9"/>
      <c r="BN50" s="40"/>
      <c r="BO50" s="9"/>
      <c r="BP50" s="40"/>
      <c r="BQ50" s="9"/>
      <c r="BR50" s="40"/>
      <c r="BS50" s="9"/>
      <c r="BT50" s="9"/>
      <c r="BU50" s="9"/>
      <c r="BV50" s="40"/>
      <c r="BW50" s="40"/>
      <c r="BX50" s="36" t="str">
        <f aca="false">IF(BW50="","",EDATE(BW50,SG_Criteria!$B$54*12))</f>
        <v/>
      </c>
      <c r="BY50" s="33" t="str">
        <f aca="true">IF(A50="","",IF(BW50="","NOTE: not reviewed yet",IF(TODAY()&gt;BX50,"NOTE: review overdue","OK")))</f>
        <v/>
      </c>
      <c r="BZ50" s="37" t="str">
        <f aca="false">IF(A50="","",ROUND((IF(LEN(D50)&gt;0,1,0)+IF(LEN(E50)&gt;0,1,0)+IF(LEN(F50)&gt;0,1,0)+IF(LEN(G50)&gt;0,1,0)+IF(LEN(H50)&gt;0,1,0)+IF(LEN(J50)&gt;0,1,0)+IF(LEN(K50)&gt;0,1,0)+IF(LEN(M50)&gt;0,1,0)+IF(LEN(O50)&gt;0,1,0)+IF(LEN(P50)&gt;0,1,0)+IF(LEN(Q50)&gt;0,1,0)+IF(LEN(S50)&gt;0,1,0)+IF(LEN(AC50)&gt;0,1,0)+IF(LEN(AV50)&gt;0,1,0)+IF(LEN(AW50)&gt;0,1,0)+IF(LEN(AG50)&gt;0,1,0)+IF(LEN(AI50)&gt;0,1,0)+IF(LEN(AJ50)&gt;0,1,0)+IF(LEN(AK50)&gt;0,1,0)+IF(LEN(AL50)&gt;0,1,0)+IF(LEN(AU50)&gt;0,1,0)+IF(LEN(BH50)&gt;0,1,0)+IF(LEN(BU50)&gt;0,1,0))/23,2))</f>
        <v/>
      </c>
      <c r="CA50" s="10" t="str">
        <f aca="false">IF(D50="","",IF(AND(AJ50="Approved",ISERROR(SEARCH("FAIL",BE50))),"Y","N"))</f>
        <v/>
      </c>
      <c r="CB50" s="10" t="str">
        <f aca="false">IF(D50="","",D50&amp;"|"&amp;G50&amp;"|"&amp;H50&amp;"|"&amp;M50&amp;"|"&amp;CA50)</f>
        <v/>
      </c>
    </row>
    <row r="51" customFormat="false" ht="15" hidden="false" customHeight="false" outlineLevel="0" collapsed="false">
      <c r="A51" s="10" t="str">
        <f aca="false">IF(D51="","","DRN-"&amp;IFERROR(VLOOKUP(D51,Lists!$A$4:$B$27,2,0),"??")&amp;"-"&amp;TEXT(G51,"0000")&amp;"x"&amp;TEXT(H51,"0000")&amp;IF(N(I51)&gt;1,"-"&amp;I51&amp;"C","")&amp;"-"&amp;IFERROR(VLOOKUP(M51,Lists!$J$4:$K$19,2,0),"??")&amp;"-"&amp;AI51)</f>
        <v/>
      </c>
      <c r="B51" s="10" t="str">
        <f aca="false">IF(D51="","",D51&amp;" "&amp;G51&amp;"W x "&amp;H51&amp;"D"&amp;IF(N(I51)&gt;1," ("&amp;I51&amp;" cells)","")&amp;", "&amp;E51&amp;", "&amp;M51&amp;", "&amp;F51)</f>
        <v/>
      </c>
      <c r="C51" s="9"/>
      <c r="D51" s="9"/>
      <c r="E51" s="9"/>
      <c r="F51" s="9"/>
      <c r="G51" s="38"/>
      <c r="H51" s="38"/>
      <c r="I51" s="38"/>
      <c r="J51" s="38"/>
      <c r="K51" s="38"/>
      <c r="L51" s="38"/>
      <c r="M51" s="9"/>
      <c r="N51" s="9"/>
      <c r="O51" s="9"/>
      <c r="P51" s="38"/>
      <c r="Q51" s="9"/>
      <c r="R51" s="9"/>
      <c r="S51" s="9"/>
      <c r="T51" s="9"/>
      <c r="U51" s="9"/>
      <c r="V51" s="9"/>
      <c r="W51" s="9"/>
      <c r="X51" s="9"/>
      <c r="Y51" s="9"/>
      <c r="Z51" s="9"/>
      <c r="AA51" s="9"/>
      <c r="AB51" s="39"/>
      <c r="AC51" s="9"/>
      <c r="AD51" s="38"/>
      <c r="AE51" s="9"/>
      <c r="AF51" s="39"/>
      <c r="AG51" s="9"/>
      <c r="AH51" s="9"/>
      <c r="AI51" s="9"/>
      <c r="AJ51" s="9"/>
      <c r="AK51" s="9"/>
      <c r="AL51" s="9"/>
      <c r="AM51" s="9"/>
      <c r="AN51" s="10" t="str">
        <f aca="false">IF(A51="","",SG_Criteria!$B$6&amp;SG_Criteria!$B$7&amp;"\"&amp;A51&amp;"\")</f>
        <v/>
      </c>
      <c r="AO51" s="10" t="str">
        <f aca="false">IF(A51="","",A51&amp;"_CAD.dwg")</f>
        <v/>
      </c>
      <c r="AP51" s="10" t="str">
        <f aca="false">IF(A51="","",A51&amp;"_DWG.pdf")</f>
        <v/>
      </c>
      <c r="AQ51" s="10" t="str">
        <f aca="false">IF(A51="","",IF(AM51="Y",A51&amp;"_STAAD.std","n/a"))</f>
        <v/>
      </c>
      <c r="AR51" s="10" t="str">
        <f aca="false">IF(A51="","",A51&amp;"_CALC.xlsx")</f>
        <v/>
      </c>
      <c r="AS51" s="10" t="str">
        <f aca="false">IF(A51="","",A51&amp;"_CALC.pdf")</f>
        <v/>
      </c>
      <c r="AT51" s="9"/>
      <c r="AU51" s="9"/>
      <c r="AV51" s="39"/>
      <c r="AW51" s="39"/>
      <c r="AX51" s="39"/>
      <c r="AY51" s="39"/>
      <c r="AZ51" s="39"/>
      <c r="BA51" s="12" t="str">
        <f aca="false">IF(A51="","",IF(COUNTIF(Rebar_Schedule!$A$5:$A$2004,A51)=0,"",ROUND(SUMIF(Rebar_Schedule!$A$5:$A$2004,A51,Rebar_Schedule!$K$5:$K$2004),1)))</f>
        <v/>
      </c>
      <c r="BB51" s="33" t="str">
        <f aca="false">IF(A51="","",IF(BA51="","No rebar schedule yet",IF(ABS(BA51-N(AW51))/MAX(N(AW51),1)&gt;SG_Criteria!$B$55,"NOTE: register rebar differs from schedule by "&amp;TEXT(ABS(BA51-N(AW51))/MAX(N(AW51),1),"0%"),"OK")))</f>
        <v/>
      </c>
      <c r="BC51" s="34" t="str">
        <f aca="false">IF(OR(D51="",G51="",H51="",D51="Sump",D51="Drop Inlet Chamber",D51="Silt Trap",D51="Pipe Culvert",D51="Subsoil Drain"),"",ROUND(MAX(1,N(I51))*(1/SG_Criteria!$B$26)*((G51/1000)*(H51/1000*(1-SG_Criteria!$B$25)))*(((G51/1000)*(H51/1000*(1-SG_Criteria!$B$25)))/((G51/1000)+2*(H51/1000*(1-SG_Criteria!$B$25))))^(2/3)*(1/Design_Selector!$B$11)^0.5,3))</f>
        <v/>
      </c>
      <c r="BD51" s="11" t="str">
        <f aca="false">IF(BC51="","",ROUND(BC51/(MAX(1,N(I51))*G51/1000*(H51/1000*(1-SG_Criteria!$B$25))),2))</f>
        <v/>
      </c>
      <c r="BE51" s="33" t="str">
        <f aca="false">IF(D51="","",IF(LEN(IF(AND(OR(E51="Roadside drain",E51="Entrance culvert"),OR(G51&lt;SG_Criteria!$B$15,H51&lt;SG_Criteria!$B$16)),"FAIL: below PUB min "&amp;SG_Criteria!$B$15&amp;"x"&amp;SG_Criteria!$B$16&amp;" for roadside drain. ","")&amp;IF(AND(E51="Common drain",G51&lt;SG_Criteria!$B$17),"FAIL: common drain W &lt; "&amp;SG_Criteria!$B$17&amp;" mm. ","")&amp;IF(AND(O51&lt;&gt;"",IFERROR(VALUE(MID(O51,2,2)),0)&lt;SG_Criteria!$B$19),"FAIL: grade below C"&amp;SG_Criteria!$B$19&amp;". ","")&amp;IF(AND(P51&lt;&gt;"",P51&lt;SG_Criteria!$B$20),"FAIL: cover &lt; "&amp;SG_Criteria!$B$20&amp;" mm. ","")&amp;IF(AND(F51="Open",H51&gt;SG_Criteria!$B$18),"NOTE: safety railing required (D &gt; "&amp;SG_Criteria!$B$18&amp;" mm). ","")&amp;IF(AND(E51="Entrance culvert",H51&lt;600),"NOTE: check hinged grating rule for culverts &lt; 600 deep (PUB Add. 3). ",""))=0,"OK",IF(AND(OR(E51="Roadside drain",E51="Entrance culvert"),OR(G51&lt;SG_Criteria!$B$15,H51&lt;SG_Criteria!$B$16)),"FAIL: below PUB min "&amp;SG_Criteria!$B$15&amp;"x"&amp;SG_Criteria!$B$16&amp;" for roadside drain. ","")&amp;IF(AND(E51="Common drain",G51&lt;SG_Criteria!$B$17),"FAIL: common drain W &lt; "&amp;SG_Criteria!$B$17&amp;" mm. ","")&amp;IF(AND(O51&lt;&gt;"",IFERROR(VALUE(MID(O51,2,2)),0)&lt;SG_Criteria!$B$19),"FAIL: grade below C"&amp;SG_Criteria!$B$19&amp;". ","")&amp;IF(AND(P51&lt;&gt;"",P51&lt;SG_Criteria!$B$20),"FAIL: cover &lt; "&amp;SG_Criteria!$B$20&amp;" mm. ","")&amp;IF(AND(F51="Open",H51&gt;SG_Criteria!$B$18),"NOTE: safety railing required (D &gt; "&amp;SG_Criteria!$B$18&amp;" mm). ","")&amp;IF(AND(E51="Entrance culvert",H51&lt;600),"NOTE: check hinged grating rule for culverts &lt; 600 deep (PUB Add. 3). ","")))</f>
        <v/>
      </c>
      <c r="BF51" s="9"/>
      <c r="BG51" s="9"/>
      <c r="BH51" s="9"/>
      <c r="BI51" s="10" t="str">
        <f aca="false">IF(BH51="","",IFERROR(VLOOKUP(BH51,Projects!$A$5:$D$504,2,0),"Ref not in Projects"))</f>
        <v/>
      </c>
      <c r="BJ51" s="10" t="str">
        <f aca="false">IF(BH51="","",IFERROR(VLOOKUP(BH51,Projects!$A$5:$D$504,4,0),"Ref not in Projects"))</f>
        <v/>
      </c>
      <c r="BK51" s="9"/>
      <c r="BL51" s="9"/>
      <c r="BM51" s="9"/>
      <c r="BN51" s="40"/>
      <c r="BO51" s="9"/>
      <c r="BP51" s="40"/>
      <c r="BQ51" s="9"/>
      <c r="BR51" s="40"/>
      <c r="BS51" s="9"/>
      <c r="BT51" s="9"/>
      <c r="BU51" s="9"/>
      <c r="BV51" s="40"/>
      <c r="BW51" s="40"/>
      <c r="BX51" s="36" t="str">
        <f aca="false">IF(BW51="","",EDATE(BW51,SG_Criteria!$B$54*12))</f>
        <v/>
      </c>
      <c r="BY51" s="33" t="str">
        <f aca="true">IF(A51="","",IF(BW51="","NOTE: not reviewed yet",IF(TODAY()&gt;BX51,"NOTE: review overdue","OK")))</f>
        <v/>
      </c>
      <c r="BZ51" s="37" t="str">
        <f aca="false">IF(A51="","",ROUND((IF(LEN(D51)&gt;0,1,0)+IF(LEN(E51)&gt;0,1,0)+IF(LEN(F51)&gt;0,1,0)+IF(LEN(G51)&gt;0,1,0)+IF(LEN(H51)&gt;0,1,0)+IF(LEN(J51)&gt;0,1,0)+IF(LEN(K51)&gt;0,1,0)+IF(LEN(M51)&gt;0,1,0)+IF(LEN(O51)&gt;0,1,0)+IF(LEN(P51)&gt;0,1,0)+IF(LEN(Q51)&gt;0,1,0)+IF(LEN(S51)&gt;0,1,0)+IF(LEN(AC51)&gt;0,1,0)+IF(LEN(AV51)&gt;0,1,0)+IF(LEN(AW51)&gt;0,1,0)+IF(LEN(AG51)&gt;0,1,0)+IF(LEN(AI51)&gt;0,1,0)+IF(LEN(AJ51)&gt;0,1,0)+IF(LEN(AK51)&gt;0,1,0)+IF(LEN(AL51)&gt;0,1,0)+IF(LEN(AU51)&gt;0,1,0)+IF(LEN(BH51)&gt;0,1,0)+IF(LEN(BU51)&gt;0,1,0))/23,2))</f>
        <v/>
      </c>
      <c r="CA51" s="10" t="str">
        <f aca="false">IF(D51="","",IF(AND(AJ51="Approved",ISERROR(SEARCH("FAIL",BE51))),"Y","N"))</f>
        <v/>
      </c>
      <c r="CB51" s="10" t="str">
        <f aca="false">IF(D51="","",D51&amp;"|"&amp;G51&amp;"|"&amp;H51&amp;"|"&amp;M51&amp;"|"&amp;CA51)</f>
        <v/>
      </c>
    </row>
    <row r="52" customFormat="false" ht="15" hidden="false" customHeight="false" outlineLevel="0" collapsed="false">
      <c r="A52" s="10" t="str">
        <f aca="false">IF(D52="","","DRN-"&amp;IFERROR(VLOOKUP(D52,Lists!$A$4:$B$27,2,0),"??")&amp;"-"&amp;TEXT(G52,"0000")&amp;"x"&amp;TEXT(H52,"0000")&amp;IF(N(I52)&gt;1,"-"&amp;I52&amp;"C","")&amp;"-"&amp;IFERROR(VLOOKUP(M52,Lists!$J$4:$K$19,2,0),"??")&amp;"-"&amp;AI52)</f>
        <v/>
      </c>
      <c r="B52" s="10" t="str">
        <f aca="false">IF(D52="","",D52&amp;" "&amp;G52&amp;"W x "&amp;H52&amp;"D"&amp;IF(N(I52)&gt;1," ("&amp;I52&amp;" cells)","")&amp;", "&amp;E52&amp;", "&amp;M52&amp;", "&amp;F52)</f>
        <v/>
      </c>
      <c r="C52" s="9"/>
      <c r="D52" s="9"/>
      <c r="E52" s="9"/>
      <c r="F52" s="9"/>
      <c r="G52" s="38"/>
      <c r="H52" s="38"/>
      <c r="I52" s="38"/>
      <c r="J52" s="38"/>
      <c r="K52" s="38"/>
      <c r="L52" s="38"/>
      <c r="M52" s="9"/>
      <c r="N52" s="9"/>
      <c r="O52" s="9"/>
      <c r="P52" s="38"/>
      <c r="Q52" s="9"/>
      <c r="R52" s="9"/>
      <c r="S52" s="9"/>
      <c r="T52" s="9"/>
      <c r="U52" s="9"/>
      <c r="V52" s="9"/>
      <c r="W52" s="9"/>
      <c r="X52" s="9"/>
      <c r="Y52" s="9"/>
      <c r="Z52" s="9"/>
      <c r="AA52" s="9"/>
      <c r="AB52" s="39"/>
      <c r="AC52" s="9"/>
      <c r="AD52" s="38"/>
      <c r="AE52" s="9"/>
      <c r="AF52" s="39"/>
      <c r="AG52" s="9"/>
      <c r="AH52" s="9"/>
      <c r="AI52" s="9"/>
      <c r="AJ52" s="9"/>
      <c r="AK52" s="9"/>
      <c r="AL52" s="9"/>
      <c r="AM52" s="9"/>
      <c r="AN52" s="10" t="str">
        <f aca="false">IF(A52="","",SG_Criteria!$B$6&amp;SG_Criteria!$B$7&amp;"\"&amp;A52&amp;"\")</f>
        <v/>
      </c>
      <c r="AO52" s="10" t="str">
        <f aca="false">IF(A52="","",A52&amp;"_CAD.dwg")</f>
        <v/>
      </c>
      <c r="AP52" s="10" t="str">
        <f aca="false">IF(A52="","",A52&amp;"_DWG.pdf")</f>
        <v/>
      </c>
      <c r="AQ52" s="10" t="str">
        <f aca="false">IF(A52="","",IF(AM52="Y",A52&amp;"_STAAD.std","n/a"))</f>
        <v/>
      </c>
      <c r="AR52" s="10" t="str">
        <f aca="false">IF(A52="","",A52&amp;"_CALC.xlsx")</f>
        <v/>
      </c>
      <c r="AS52" s="10" t="str">
        <f aca="false">IF(A52="","",A52&amp;"_CALC.pdf")</f>
        <v/>
      </c>
      <c r="AT52" s="9"/>
      <c r="AU52" s="9"/>
      <c r="AV52" s="39"/>
      <c r="AW52" s="39"/>
      <c r="AX52" s="39"/>
      <c r="AY52" s="39"/>
      <c r="AZ52" s="39"/>
      <c r="BA52" s="12" t="str">
        <f aca="false">IF(A52="","",IF(COUNTIF(Rebar_Schedule!$A$5:$A$2004,A52)=0,"",ROUND(SUMIF(Rebar_Schedule!$A$5:$A$2004,A52,Rebar_Schedule!$K$5:$K$2004),1)))</f>
        <v/>
      </c>
      <c r="BB52" s="33" t="str">
        <f aca="false">IF(A52="","",IF(BA52="","No rebar schedule yet",IF(ABS(BA52-N(AW52))/MAX(N(AW52),1)&gt;SG_Criteria!$B$55,"NOTE: register rebar differs from schedule by "&amp;TEXT(ABS(BA52-N(AW52))/MAX(N(AW52),1),"0%"),"OK")))</f>
        <v/>
      </c>
      <c r="BC52" s="34" t="str">
        <f aca="false">IF(OR(D52="",G52="",H52="",D52="Sump",D52="Drop Inlet Chamber",D52="Silt Trap",D52="Pipe Culvert",D52="Subsoil Drain"),"",ROUND(MAX(1,N(I52))*(1/SG_Criteria!$B$26)*((G52/1000)*(H52/1000*(1-SG_Criteria!$B$25)))*(((G52/1000)*(H52/1000*(1-SG_Criteria!$B$25)))/((G52/1000)+2*(H52/1000*(1-SG_Criteria!$B$25))))^(2/3)*(1/Design_Selector!$B$11)^0.5,3))</f>
        <v/>
      </c>
      <c r="BD52" s="11" t="str">
        <f aca="false">IF(BC52="","",ROUND(BC52/(MAX(1,N(I52))*G52/1000*(H52/1000*(1-SG_Criteria!$B$25))),2))</f>
        <v/>
      </c>
      <c r="BE52" s="33" t="str">
        <f aca="false">IF(D52="","",IF(LEN(IF(AND(OR(E52="Roadside drain",E52="Entrance culvert"),OR(G52&lt;SG_Criteria!$B$15,H52&lt;SG_Criteria!$B$16)),"FAIL: below PUB min "&amp;SG_Criteria!$B$15&amp;"x"&amp;SG_Criteria!$B$16&amp;" for roadside drain. ","")&amp;IF(AND(E52="Common drain",G52&lt;SG_Criteria!$B$17),"FAIL: common drain W &lt; "&amp;SG_Criteria!$B$17&amp;" mm. ","")&amp;IF(AND(O52&lt;&gt;"",IFERROR(VALUE(MID(O52,2,2)),0)&lt;SG_Criteria!$B$19),"FAIL: grade below C"&amp;SG_Criteria!$B$19&amp;". ","")&amp;IF(AND(P52&lt;&gt;"",P52&lt;SG_Criteria!$B$20),"FAIL: cover &lt; "&amp;SG_Criteria!$B$20&amp;" mm. ","")&amp;IF(AND(F52="Open",H52&gt;SG_Criteria!$B$18),"NOTE: safety railing required (D &gt; "&amp;SG_Criteria!$B$18&amp;" mm). ","")&amp;IF(AND(E52="Entrance culvert",H52&lt;600),"NOTE: check hinged grating rule for culverts &lt; 600 deep (PUB Add. 3). ",""))=0,"OK",IF(AND(OR(E52="Roadside drain",E52="Entrance culvert"),OR(G52&lt;SG_Criteria!$B$15,H52&lt;SG_Criteria!$B$16)),"FAIL: below PUB min "&amp;SG_Criteria!$B$15&amp;"x"&amp;SG_Criteria!$B$16&amp;" for roadside drain. ","")&amp;IF(AND(E52="Common drain",G52&lt;SG_Criteria!$B$17),"FAIL: common drain W &lt; "&amp;SG_Criteria!$B$17&amp;" mm. ","")&amp;IF(AND(O52&lt;&gt;"",IFERROR(VALUE(MID(O52,2,2)),0)&lt;SG_Criteria!$B$19),"FAIL: grade below C"&amp;SG_Criteria!$B$19&amp;". ","")&amp;IF(AND(P52&lt;&gt;"",P52&lt;SG_Criteria!$B$20),"FAIL: cover &lt; "&amp;SG_Criteria!$B$20&amp;" mm. ","")&amp;IF(AND(F52="Open",H52&gt;SG_Criteria!$B$18),"NOTE: safety railing required (D &gt; "&amp;SG_Criteria!$B$18&amp;" mm). ","")&amp;IF(AND(E52="Entrance culvert",H52&lt;600),"NOTE: check hinged grating rule for culverts &lt; 600 deep (PUB Add. 3). ","")))</f>
        <v/>
      </c>
      <c r="BF52" s="9"/>
      <c r="BG52" s="9"/>
      <c r="BH52" s="9"/>
      <c r="BI52" s="10" t="str">
        <f aca="false">IF(BH52="","",IFERROR(VLOOKUP(BH52,Projects!$A$5:$D$504,2,0),"Ref not in Projects"))</f>
        <v/>
      </c>
      <c r="BJ52" s="10" t="str">
        <f aca="false">IF(BH52="","",IFERROR(VLOOKUP(BH52,Projects!$A$5:$D$504,4,0),"Ref not in Projects"))</f>
        <v/>
      </c>
      <c r="BK52" s="9"/>
      <c r="BL52" s="9"/>
      <c r="BM52" s="9"/>
      <c r="BN52" s="40"/>
      <c r="BO52" s="9"/>
      <c r="BP52" s="40"/>
      <c r="BQ52" s="9"/>
      <c r="BR52" s="40"/>
      <c r="BS52" s="9"/>
      <c r="BT52" s="9"/>
      <c r="BU52" s="9"/>
      <c r="BV52" s="40"/>
      <c r="BW52" s="40"/>
      <c r="BX52" s="36" t="str">
        <f aca="false">IF(BW52="","",EDATE(BW52,SG_Criteria!$B$54*12))</f>
        <v/>
      </c>
      <c r="BY52" s="33" t="str">
        <f aca="true">IF(A52="","",IF(BW52="","NOTE: not reviewed yet",IF(TODAY()&gt;BX52,"NOTE: review overdue","OK")))</f>
        <v/>
      </c>
      <c r="BZ52" s="37" t="str">
        <f aca="false">IF(A52="","",ROUND((IF(LEN(D52)&gt;0,1,0)+IF(LEN(E52)&gt;0,1,0)+IF(LEN(F52)&gt;0,1,0)+IF(LEN(G52)&gt;0,1,0)+IF(LEN(H52)&gt;0,1,0)+IF(LEN(J52)&gt;0,1,0)+IF(LEN(K52)&gt;0,1,0)+IF(LEN(M52)&gt;0,1,0)+IF(LEN(O52)&gt;0,1,0)+IF(LEN(P52)&gt;0,1,0)+IF(LEN(Q52)&gt;0,1,0)+IF(LEN(S52)&gt;0,1,0)+IF(LEN(AC52)&gt;0,1,0)+IF(LEN(AV52)&gt;0,1,0)+IF(LEN(AW52)&gt;0,1,0)+IF(LEN(AG52)&gt;0,1,0)+IF(LEN(AI52)&gt;0,1,0)+IF(LEN(AJ52)&gt;0,1,0)+IF(LEN(AK52)&gt;0,1,0)+IF(LEN(AL52)&gt;0,1,0)+IF(LEN(AU52)&gt;0,1,0)+IF(LEN(BH52)&gt;0,1,0)+IF(LEN(BU52)&gt;0,1,0))/23,2))</f>
        <v/>
      </c>
      <c r="CA52" s="10" t="str">
        <f aca="false">IF(D52="","",IF(AND(AJ52="Approved",ISERROR(SEARCH("FAIL",BE52))),"Y","N"))</f>
        <v/>
      </c>
      <c r="CB52" s="10" t="str">
        <f aca="false">IF(D52="","",D52&amp;"|"&amp;G52&amp;"|"&amp;H52&amp;"|"&amp;M52&amp;"|"&amp;CA52)</f>
        <v/>
      </c>
    </row>
    <row r="53" customFormat="false" ht="15" hidden="false" customHeight="false" outlineLevel="0" collapsed="false">
      <c r="A53" s="10" t="str">
        <f aca="false">IF(D53="","","DRN-"&amp;IFERROR(VLOOKUP(D53,Lists!$A$4:$B$27,2,0),"??")&amp;"-"&amp;TEXT(G53,"0000")&amp;"x"&amp;TEXT(H53,"0000")&amp;IF(N(I53)&gt;1,"-"&amp;I53&amp;"C","")&amp;"-"&amp;IFERROR(VLOOKUP(M53,Lists!$J$4:$K$19,2,0),"??")&amp;"-"&amp;AI53)</f>
        <v/>
      </c>
      <c r="B53" s="10" t="str">
        <f aca="false">IF(D53="","",D53&amp;" "&amp;G53&amp;"W x "&amp;H53&amp;"D"&amp;IF(N(I53)&gt;1," ("&amp;I53&amp;" cells)","")&amp;", "&amp;E53&amp;", "&amp;M53&amp;", "&amp;F53)</f>
        <v/>
      </c>
      <c r="C53" s="9"/>
      <c r="D53" s="9"/>
      <c r="E53" s="9"/>
      <c r="F53" s="9"/>
      <c r="G53" s="38"/>
      <c r="H53" s="38"/>
      <c r="I53" s="38"/>
      <c r="J53" s="38"/>
      <c r="K53" s="38"/>
      <c r="L53" s="38"/>
      <c r="M53" s="9"/>
      <c r="N53" s="9"/>
      <c r="O53" s="9"/>
      <c r="P53" s="38"/>
      <c r="Q53" s="9"/>
      <c r="R53" s="9"/>
      <c r="S53" s="9"/>
      <c r="T53" s="9"/>
      <c r="U53" s="9"/>
      <c r="V53" s="9"/>
      <c r="W53" s="9"/>
      <c r="X53" s="9"/>
      <c r="Y53" s="9"/>
      <c r="Z53" s="9"/>
      <c r="AA53" s="9"/>
      <c r="AB53" s="39"/>
      <c r="AC53" s="9"/>
      <c r="AD53" s="38"/>
      <c r="AE53" s="9"/>
      <c r="AF53" s="39"/>
      <c r="AG53" s="9"/>
      <c r="AH53" s="9"/>
      <c r="AI53" s="9"/>
      <c r="AJ53" s="9"/>
      <c r="AK53" s="9"/>
      <c r="AL53" s="9"/>
      <c r="AM53" s="9"/>
      <c r="AN53" s="10" t="str">
        <f aca="false">IF(A53="","",SG_Criteria!$B$6&amp;SG_Criteria!$B$7&amp;"\"&amp;A53&amp;"\")</f>
        <v/>
      </c>
      <c r="AO53" s="10" t="str">
        <f aca="false">IF(A53="","",A53&amp;"_CAD.dwg")</f>
        <v/>
      </c>
      <c r="AP53" s="10" t="str">
        <f aca="false">IF(A53="","",A53&amp;"_DWG.pdf")</f>
        <v/>
      </c>
      <c r="AQ53" s="10" t="str">
        <f aca="false">IF(A53="","",IF(AM53="Y",A53&amp;"_STAAD.std","n/a"))</f>
        <v/>
      </c>
      <c r="AR53" s="10" t="str">
        <f aca="false">IF(A53="","",A53&amp;"_CALC.xlsx")</f>
        <v/>
      </c>
      <c r="AS53" s="10" t="str">
        <f aca="false">IF(A53="","",A53&amp;"_CALC.pdf")</f>
        <v/>
      </c>
      <c r="AT53" s="9"/>
      <c r="AU53" s="9"/>
      <c r="AV53" s="39"/>
      <c r="AW53" s="39"/>
      <c r="AX53" s="39"/>
      <c r="AY53" s="39"/>
      <c r="AZ53" s="39"/>
      <c r="BA53" s="12" t="str">
        <f aca="false">IF(A53="","",IF(COUNTIF(Rebar_Schedule!$A$5:$A$2004,A53)=0,"",ROUND(SUMIF(Rebar_Schedule!$A$5:$A$2004,A53,Rebar_Schedule!$K$5:$K$2004),1)))</f>
        <v/>
      </c>
      <c r="BB53" s="33" t="str">
        <f aca="false">IF(A53="","",IF(BA53="","No rebar schedule yet",IF(ABS(BA53-N(AW53))/MAX(N(AW53),1)&gt;SG_Criteria!$B$55,"NOTE: register rebar differs from schedule by "&amp;TEXT(ABS(BA53-N(AW53))/MAX(N(AW53),1),"0%"),"OK")))</f>
        <v/>
      </c>
      <c r="BC53" s="34" t="str">
        <f aca="false">IF(OR(D53="",G53="",H53="",D53="Sump",D53="Drop Inlet Chamber",D53="Silt Trap",D53="Pipe Culvert",D53="Subsoil Drain"),"",ROUND(MAX(1,N(I53))*(1/SG_Criteria!$B$26)*((G53/1000)*(H53/1000*(1-SG_Criteria!$B$25)))*(((G53/1000)*(H53/1000*(1-SG_Criteria!$B$25)))/((G53/1000)+2*(H53/1000*(1-SG_Criteria!$B$25))))^(2/3)*(1/Design_Selector!$B$11)^0.5,3))</f>
        <v/>
      </c>
      <c r="BD53" s="11" t="str">
        <f aca="false">IF(BC53="","",ROUND(BC53/(MAX(1,N(I53))*G53/1000*(H53/1000*(1-SG_Criteria!$B$25))),2))</f>
        <v/>
      </c>
      <c r="BE53" s="33" t="str">
        <f aca="false">IF(D53="","",IF(LEN(IF(AND(OR(E53="Roadside drain",E53="Entrance culvert"),OR(G53&lt;SG_Criteria!$B$15,H53&lt;SG_Criteria!$B$16)),"FAIL: below PUB min "&amp;SG_Criteria!$B$15&amp;"x"&amp;SG_Criteria!$B$16&amp;" for roadside drain. ","")&amp;IF(AND(E53="Common drain",G53&lt;SG_Criteria!$B$17),"FAIL: common drain W &lt; "&amp;SG_Criteria!$B$17&amp;" mm. ","")&amp;IF(AND(O53&lt;&gt;"",IFERROR(VALUE(MID(O53,2,2)),0)&lt;SG_Criteria!$B$19),"FAIL: grade below C"&amp;SG_Criteria!$B$19&amp;". ","")&amp;IF(AND(P53&lt;&gt;"",P53&lt;SG_Criteria!$B$20),"FAIL: cover &lt; "&amp;SG_Criteria!$B$20&amp;" mm. ","")&amp;IF(AND(F53="Open",H53&gt;SG_Criteria!$B$18),"NOTE: safety railing required (D &gt; "&amp;SG_Criteria!$B$18&amp;" mm). ","")&amp;IF(AND(E53="Entrance culvert",H53&lt;600),"NOTE: check hinged grating rule for culverts &lt; 600 deep (PUB Add. 3). ",""))=0,"OK",IF(AND(OR(E53="Roadside drain",E53="Entrance culvert"),OR(G53&lt;SG_Criteria!$B$15,H53&lt;SG_Criteria!$B$16)),"FAIL: below PUB min "&amp;SG_Criteria!$B$15&amp;"x"&amp;SG_Criteria!$B$16&amp;" for roadside drain. ","")&amp;IF(AND(E53="Common drain",G53&lt;SG_Criteria!$B$17),"FAIL: common drain W &lt; "&amp;SG_Criteria!$B$17&amp;" mm. ","")&amp;IF(AND(O53&lt;&gt;"",IFERROR(VALUE(MID(O53,2,2)),0)&lt;SG_Criteria!$B$19),"FAIL: grade below C"&amp;SG_Criteria!$B$19&amp;". ","")&amp;IF(AND(P53&lt;&gt;"",P53&lt;SG_Criteria!$B$20),"FAIL: cover &lt; "&amp;SG_Criteria!$B$20&amp;" mm. ","")&amp;IF(AND(F53="Open",H53&gt;SG_Criteria!$B$18),"NOTE: safety railing required (D &gt; "&amp;SG_Criteria!$B$18&amp;" mm). ","")&amp;IF(AND(E53="Entrance culvert",H53&lt;600),"NOTE: check hinged grating rule for culverts &lt; 600 deep (PUB Add. 3). ","")))</f>
        <v/>
      </c>
      <c r="BF53" s="9"/>
      <c r="BG53" s="9"/>
      <c r="BH53" s="9"/>
      <c r="BI53" s="10" t="str">
        <f aca="false">IF(BH53="","",IFERROR(VLOOKUP(BH53,Projects!$A$5:$D$504,2,0),"Ref not in Projects"))</f>
        <v/>
      </c>
      <c r="BJ53" s="10" t="str">
        <f aca="false">IF(BH53="","",IFERROR(VLOOKUP(BH53,Projects!$A$5:$D$504,4,0),"Ref not in Projects"))</f>
        <v/>
      </c>
      <c r="BK53" s="9"/>
      <c r="BL53" s="9"/>
      <c r="BM53" s="9"/>
      <c r="BN53" s="40"/>
      <c r="BO53" s="9"/>
      <c r="BP53" s="40"/>
      <c r="BQ53" s="9"/>
      <c r="BR53" s="40"/>
      <c r="BS53" s="9"/>
      <c r="BT53" s="9"/>
      <c r="BU53" s="9"/>
      <c r="BV53" s="40"/>
      <c r="BW53" s="40"/>
      <c r="BX53" s="36" t="str">
        <f aca="false">IF(BW53="","",EDATE(BW53,SG_Criteria!$B$54*12))</f>
        <v/>
      </c>
      <c r="BY53" s="33" t="str">
        <f aca="true">IF(A53="","",IF(BW53="","NOTE: not reviewed yet",IF(TODAY()&gt;BX53,"NOTE: review overdue","OK")))</f>
        <v/>
      </c>
      <c r="BZ53" s="37" t="str">
        <f aca="false">IF(A53="","",ROUND((IF(LEN(D53)&gt;0,1,0)+IF(LEN(E53)&gt;0,1,0)+IF(LEN(F53)&gt;0,1,0)+IF(LEN(G53)&gt;0,1,0)+IF(LEN(H53)&gt;0,1,0)+IF(LEN(J53)&gt;0,1,0)+IF(LEN(K53)&gt;0,1,0)+IF(LEN(M53)&gt;0,1,0)+IF(LEN(O53)&gt;0,1,0)+IF(LEN(P53)&gt;0,1,0)+IF(LEN(Q53)&gt;0,1,0)+IF(LEN(S53)&gt;0,1,0)+IF(LEN(AC53)&gt;0,1,0)+IF(LEN(AV53)&gt;0,1,0)+IF(LEN(AW53)&gt;0,1,0)+IF(LEN(AG53)&gt;0,1,0)+IF(LEN(AI53)&gt;0,1,0)+IF(LEN(AJ53)&gt;0,1,0)+IF(LEN(AK53)&gt;0,1,0)+IF(LEN(AL53)&gt;0,1,0)+IF(LEN(AU53)&gt;0,1,0)+IF(LEN(BH53)&gt;0,1,0)+IF(LEN(BU53)&gt;0,1,0))/23,2))</f>
        <v/>
      </c>
      <c r="CA53" s="10" t="str">
        <f aca="false">IF(D53="","",IF(AND(AJ53="Approved",ISERROR(SEARCH("FAIL",BE53))),"Y","N"))</f>
        <v/>
      </c>
      <c r="CB53" s="10" t="str">
        <f aca="false">IF(D53="","",D53&amp;"|"&amp;G53&amp;"|"&amp;H53&amp;"|"&amp;M53&amp;"|"&amp;CA53)</f>
        <v/>
      </c>
    </row>
    <row r="54" customFormat="false" ht="15" hidden="false" customHeight="false" outlineLevel="0" collapsed="false">
      <c r="A54" s="10" t="str">
        <f aca="false">IF(D54="","","DRN-"&amp;IFERROR(VLOOKUP(D54,Lists!$A$4:$B$27,2,0),"??")&amp;"-"&amp;TEXT(G54,"0000")&amp;"x"&amp;TEXT(H54,"0000")&amp;IF(N(I54)&gt;1,"-"&amp;I54&amp;"C","")&amp;"-"&amp;IFERROR(VLOOKUP(M54,Lists!$J$4:$K$19,2,0),"??")&amp;"-"&amp;AI54)</f>
        <v/>
      </c>
      <c r="B54" s="10" t="str">
        <f aca="false">IF(D54="","",D54&amp;" "&amp;G54&amp;"W x "&amp;H54&amp;"D"&amp;IF(N(I54)&gt;1," ("&amp;I54&amp;" cells)","")&amp;", "&amp;E54&amp;", "&amp;M54&amp;", "&amp;F54)</f>
        <v/>
      </c>
      <c r="C54" s="9"/>
      <c r="D54" s="9"/>
      <c r="E54" s="9"/>
      <c r="F54" s="9"/>
      <c r="G54" s="38"/>
      <c r="H54" s="38"/>
      <c r="I54" s="38"/>
      <c r="J54" s="38"/>
      <c r="K54" s="38"/>
      <c r="L54" s="38"/>
      <c r="M54" s="9"/>
      <c r="N54" s="9"/>
      <c r="O54" s="9"/>
      <c r="P54" s="38"/>
      <c r="Q54" s="9"/>
      <c r="R54" s="9"/>
      <c r="S54" s="9"/>
      <c r="T54" s="9"/>
      <c r="U54" s="9"/>
      <c r="V54" s="9"/>
      <c r="W54" s="9"/>
      <c r="X54" s="9"/>
      <c r="Y54" s="9"/>
      <c r="Z54" s="9"/>
      <c r="AA54" s="9"/>
      <c r="AB54" s="39"/>
      <c r="AC54" s="9"/>
      <c r="AD54" s="38"/>
      <c r="AE54" s="9"/>
      <c r="AF54" s="39"/>
      <c r="AG54" s="9"/>
      <c r="AH54" s="9"/>
      <c r="AI54" s="9"/>
      <c r="AJ54" s="9"/>
      <c r="AK54" s="9"/>
      <c r="AL54" s="9"/>
      <c r="AM54" s="9"/>
      <c r="AN54" s="10" t="str">
        <f aca="false">IF(A54="","",SG_Criteria!$B$6&amp;SG_Criteria!$B$7&amp;"\"&amp;A54&amp;"\")</f>
        <v/>
      </c>
      <c r="AO54" s="10" t="str">
        <f aca="false">IF(A54="","",A54&amp;"_CAD.dwg")</f>
        <v/>
      </c>
      <c r="AP54" s="10" t="str">
        <f aca="false">IF(A54="","",A54&amp;"_DWG.pdf")</f>
        <v/>
      </c>
      <c r="AQ54" s="10" t="str">
        <f aca="false">IF(A54="","",IF(AM54="Y",A54&amp;"_STAAD.std","n/a"))</f>
        <v/>
      </c>
      <c r="AR54" s="10" t="str">
        <f aca="false">IF(A54="","",A54&amp;"_CALC.xlsx")</f>
        <v/>
      </c>
      <c r="AS54" s="10" t="str">
        <f aca="false">IF(A54="","",A54&amp;"_CALC.pdf")</f>
        <v/>
      </c>
      <c r="AT54" s="9"/>
      <c r="AU54" s="9"/>
      <c r="AV54" s="39"/>
      <c r="AW54" s="39"/>
      <c r="AX54" s="39"/>
      <c r="AY54" s="39"/>
      <c r="AZ54" s="39"/>
      <c r="BA54" s="12" t="str">
        <f aca="false">IF(A54="","",IF(COUNTIF(Rebar_Schedule!$A$5:$A$2004,A54)=0,"",ROUND(SUMIF(Rebar_Schedule!$A$5:$A$2004,A54,Rebar_Schedule!$K$5:$K$2004),1)))</f>
        <v/>
      </c>
      <c r="BB54" s="33" t="str">
        <f aca="false">IF(A54="","",IF(BA54="","No rebar schedule yet",IF(ABS(BA54-N(AW54))/MAX(N(AW54),1)&gt;SG_Criteria!$B$55,"NOTE: register rebar differs from schedule by "&amp;TEXT(ABS(BA54-N(AW54))/MAX(N(AW54),1),"0%"),"OK")))</f>
        <v/>
      </c>
      <c r="BC54" s="34" t="str">
        <f aca="false">IF(OR(D54="",G54="",H54="",D54="Sump",D54="Drop Inlet Chamber",D54="Silt Trap",D54="Pipe Culvert",D54="Subsoil Drain"),"",ROUND(MAX(1,N(I54))*(1/SG_Criteria!$B$26)*((G54/1000)*(H54/1000*(1-SG_Criteria!$B$25)))*(((G54/1000)*(H54/1000*(1-SG_Criteria!$B$25)))/((G54/1000)+2*(H54/1000*(1-SG_Criteria!$B$25))))^(2/3)*(1/Design_Selector!$B$11)^0.5,3))</f>
        <v/>
      </c>
      <c r="BD54" s="11" t="str">
        <f aca="false">IF(BC54="","",ROUND(BC54/(MAX(1,N(I54))*G54/1000*(H54/1000*(1-SG_Criteria!$B$25))),2))</f>
        <v/>
      </c>
      <c r="BE54" s="33" t="str">
        <f aca="false">IF(D54="","",IF(LEN(IF(AND(OR(E54="Roadside drain",E54="Entrance culvert"),OR(G54&lt;SG_Criteria!$B$15,H54&lt;SG_Criteria!$B$16)),"FAIL: below PUB min "&amp;SG_Criteria!$B$15&amp;"x"&amp;SG_Criteria!$B$16&amp;" for roadside drain. ","")&amp;IF(AND(E54="Common drain",G54&lt;SG_Criteria!$B$17),"FAIL: common drain W &lt; "&amp;SG_Criteria!$B$17&amp;" mm. ","")&amp;IF(AND(O54&lt;&gt;"",IFERROR(VALUE(MID(O54,2,2)),0)&lt;SG_Criteria!$B$19),"FAIL: grade below C"&amp;SG_Criteria!$B$19&amp;". ","")&amp;IF(AND(P54&lt;&gt;"",P54&lt;SG_Criteria!$B$20),"FAIL: cover &lt; "&amp;SG_Criteria!$B$20&amp;" mm. ","")&amp;IF(AND(F54="Open",H54&gt;SG_Criteria!$B$18),"NOTE: safety railing required (D &gt; "&amp;SG_Criteria!$B$18&amp;" mm). ","")&amp;IF(AND(E54="Entrance culvert",H54&lt;600),"NOTE: check hinged grating rule for culverts &lt; 600 deep (PUB Add. 3). ",""))=0,"OK",IF(AND(OR(E54="Roadside drain",E54="Entrance culvert"),OR(G54&lt;SG_Criteria!$B$15,H54&lt;SG_Criteria!$B$16)),"FAIL: below PUB min "&amp;SG_Criteria!$B$15&amp;"x"&amp;SG_Criteria!$B$16&amp;" for roadside drain. ","")&amp;IF(AND(E54="Common drain",G54&lt;SG_Criteria!$B$17),"FAIL: common drain W &lt; "&amp;SG_Criteria!$B$17&amp;" mm. ","")&amp;IF(AND(O54&lt;&gt;"",IFERROR(VALUE(MID(O54,2,2)),0)&lt;SG_Criteria!$B$19),"FAIL: grade below C"&amp;SG_Criteria!$B$19&amp;". ","")&amp;IF(AND(P54&lt;&gt;"",P54&lt;SG_Criteria!$B$20),"FAIL: cover &lt; "&amp;SG_Criteria!$B$20&amp;" mm. ","")&amp;IF(AND(F54="Open",H54&gt;SG_Criteria!$B$18),"NOTE: safety railing required (D &gt; "&amp;SG_Criteria!$B$18&amp;" mm). ","")&amp;IF(AND(E54="Entrance culvert",H54&lt;600),"NOTE: check hinged grating rule for culverts &lt; 600 deep (PUB Add. 3). ","")))</f>
        <v/>
      </c>
      <c r="BF54" s="9"/>
      <c r="BG54" s="9"/>
      <c r="BH54" s="9"/>
      <c r="BI54" s="10" t="str">
        <f aca="false">IF(BH54="","",IFERROR(VLOOKUP(BH54,Projects!$A$5:$D$504,2,0),"Ref not in Projects"))</f>
        <v/>
      </c>
      <c r="BJ54" s="10" t="str">
        <f aca="false">IF(BH54="","",IFERROR(VLOOKUP(BH54,Projects!$A$5:$D$504,4,0),"Ref not in Projects"))</f>
        <v/>
      </c>
      <c r="BK54" s="9"/>
      <c r="BL54" s="9"/>
      <c r="BM54" s="9"/>
      <c r="BN54" s="40"/>
      <c r="BO54" s="9"/>
      <c r="BP54" s="40"/>
      <c r="BQ54" s="9"/>
      <c r="BR54" s="40"/>
      <c r="BS54" s="9"/>
      <c r="BT54" s="9"/>
      <c r="BU54" s="9"/>
      <c r="BV54" s="40"/>
      <c r="BW54" s="40"/>
      <c r="BX54" s="36" t="str">
        <f aca="false">IF(BW54="","",EDATE(BW54,SG_Criteria!$B$54*12))</f>
        <v/>
      </c>
      <c r="BY54" s="33" t="str">
        <f aca="true">IF(A54="","",IF(BW54="","NOTE: not reviewed yet",IF(TODAY()&gt;BX54,"NOTE: review overdue","OK")))</f>
        <v/>
      </c>
      <c r="BZ54" s="37" t="str">
        <f aca="false">IF(A54="","",ROUND((IF(LEN(D54)&gt;0,1,0)+IF(LEN(E54)&gt;0,1,0)+IF(LEN(F54)&gt;0,1,0)+IF(LEN(G54)&gt;0,1,0)+IF(LEN(H54)&gt;0,1,0)+IF(LEN(J54)&gt;0,1,0)+IF(LEN(K54)&gt;0,1,0)+IF(LEN(M54)&gt;0,1,0)+IF(LEN(O54)&gt;0,1,0)+IF(LEN(P54)&gt;0,1,0)+IF(LEN(Q54)&gt;0,1,0)+IF(LEN(S54)&gt;0,1,0)+IF(LEN(AC54)&gt;0,1,0)+IF(LEN(AV54)&gt;0,1,0)+IF(LEN(AW54)&gt;0,1,0)+IF(LEN(AG54)&gt;0,1,0)+IF(LEN(AI54)&gt;0,1,0)+IF(LEN(AJ54)&gt;0,1,0)+IF(LEN(AK54)&gt;0,1,0)+IF(LEN(AL54)&gt;0,1,0)+IF(LEN(AU54)&gt;0,1,0)+IF(LEN(BH54)&gt;0,1,0)+IF(LEN(BU54)&gt;0,1,0))/23,2))</f>
        <v/>
      </c>
      <c r="CA54" s="10" t="str">
        <f aca="false">IF(D54="","",IF(AND(AJ54="Approved",ISERROR(SEARCH("FAIL",BE54))),"Y","N"))</f>
        <v/>
      </c>
      <c r="CB54" s="10" t="str">
        <f aca="false">IF(D54="","",D54&amp;"|"&amp;G54&amp;"|"&amp;H54&amp;"|"&amp;M54&amp;"|"&amp;CA54)</f>
        <v/>
      </c>
    </row>
    <row r="55" customFormat="false" ht="15" hidden="false" customHeight="false" outlineLevel="0" collapsed="false">
      <c r="A55" s="10" t="str">
        <f aca="false">IF(D55="","","DRN-"&amp;IFERROR(VLOOKUP(D55,Lists!$A$4:$B$27,2,0),"??")&amp;"-"&amp;TEXT(G55,"0000")&amp;"x"&amp;TEXT(H55,"0000")&amp;IF(N(I55)&gt;1,"-"&amp;I55&amp;"C","")&amp;"-"&amp;IFERROR(VLOOKUP(M55,Lists!$J$4:$K$19,2,0),"??")&amp;"-"&amp;AI55)</f>
        <v/>
      </c>
      <c r="B55" s="10" t="str">
        <f aca="false">IF(D55="","",D55&amp;" "&amp;G55&amp;"W x "&amp;H55&amp;"D"&amp;IF(N(I55)&gt;1," ("&amp;I55&amp;" cells)","")&amp;", "&amp;E55&amp;", "&amp;M55&amp;", "&amp;F55)</f>
        <v/>
      </c>
      <c r="C55" s="9"/>
      <c r="D55" s="9"/>
      <c r="E55" s="9"/>
      <c r="F55" s="9"/>
      <c r="G55" s="38"/>
      <c r="H55" s="38"/>
      <c r="I55" s="38"/>
      <c r="J55" s="38"/>
      <c r="K55" s="38"/>
      <c r="L55" s="38"/>
      <c r="M55" s="9"/>
      <c r="N55" s="9"/>
      <c r="O55" s="9"/>
      <c r="P55" s="38"/>
      <c r="Q55" s="9"/>
      <c r="R55" s="9"/>
      <c r="S55" s="9"/>
      <c r="T55" s="9"/>
      <c r="U55" s="9"/>
      <c r="V55" s="9"/>
      <c r="W55" s="9"/>
      <c r="X55" s="9"/>
      <c r="Y55" s="9"/>
      <c r="Z55" s="9"/>
      <c r="AA55" s="9"/>
      <c r="AB55" s="39"/>
      <c r="AC55" s="9"/>
      <c r="AD55" s="38"/>
      <c r="AE55" s="9"/>
      <c r="AF55" s="39"/>
      <c r="AG55" s="9"/>
      <c r="AH55" s="9"/>
      <c r="AI55" s="9"/>
      <c r="AJ55" s="9"/>
      <c r="AK55" s="9"/>
      <c r="AL55" s="9"/>
      <c r="AM55" s="9"/>
      <c r="AN55" s="10" t="str">
        <f aca="false">IF(A55="","",SG_Criteria!$B$6&amp;SG_Criteria!$B$7&amp;"\"&amp;A55&amp;"\")</f>
        <v/>
      </c>
      <c r="AO55" s="10" t="str">
        <f aca="false">IF(A55="","",A55&amp;"_CAD.dwg")</f>
        <v/>
      </c>
      <c r="AP55" s="10" t="str">
        <f aca="false">IF(A55="","",A55&amp;"_DWG.pdf")</f>
        <v/>
      </c>
      <c r="AQ55" s="10" t="str">
        <f aca="false">IF(A55="","",IF(AM55="Y",A55&amp;"_STAAD.std","n/a"))</f>
        <v/>
      </c>
      <c r="AR55" s="10" t="str">
        <f aca="false">IF(A55="","",A55&amp;"_CALC.xlsx")</f>
        <v/>
      </c>
      <c r="AS55" s="10" t="str">
        <f aca="false">IF(A55="","",A55&amp;"_CALC.pdf")</f>
        <v/>
      </c>
      <c r="AT55" s="9"/>
      <c r="AU55" s="9"/>
      <c r="AV55" s="39"/>
      <c r="AW55" s="39"/>
      <c r="AX55" s="39"/>
      <c r="AY55" s="39"/>
      <c r="AZ55" s="39"/>
      <c r="BA55" s="12" t="str">
        <f aca="false">IF(A55="","",IF(COUNTIF(Rebar_Schedule!$A$5:$A$2004,A55)=0,"",ROUND(SUMIF(Rebar_Schedule!$A$5:$A$2004,A55,Rebar_Schedule!$K$5:$K$2004),1)))</f>
        <v/>
      </c>
      <c r="BB55" s="33" t="str">
        <f aca="false">IF(A55="","",IF(BA55="","No rebar schedule yet",IF(ABS(BA55-N(AW55))/MAX(N(AW55),1)&gt;SG_Criteria!$B$55,"NOTE: register rebar differs from schedule by "&amp;TEXT(ABS(BA55-N(AW55))/MAX(N(AW55),1),"0%"),"OK")))</f>
        <v/>
      </c>
      <c r="BC55" s="34" t="str">
        <f aca="false">IF(OR(D55="",G55="",H55="",D55="Sump",D55="Drop Inlet Chamber",D55="Silt Trap",D55="Pipe Culvert",D55="Subsoil Drain"),"",ROUND(MAX(1,N(I55))*(1/SG_Criteria!$B$26)*((G55/1000)*(H55/1000*(1-SG_Criteria!$B$25)))*(((G55/1000)*(H55/1000*(1-SG_Criteria!$B$25)))/((G55/1000)+2*(H55/1000*(1-SG_Criteria!$B$25))))^(2/3)*(1/Design_Selector!$B$11)^0.5,3))</f>
        <v/>
      </c>
      <c r="BD55" s="11" t="str">
        <f aca="false">IF(BC55="","",ROUND(BC55/(MAX(1,N(I55))*G55/1000*(H55/1000*(1-SG_Criteria!$B$25))),2))</f>
        <v/>
      </c>
      <c r="BE55" s="33" t="str">
        <f aca="false">IF(D55="","",IF(LEN(IF(AND(OR(E55="Roadside drain",E55="Entrance culvert"),OR(G55&lt;SG_Criteria!$B$15,H55&lt;SG_Criteria!$B$16)),"FAIL: below PUB min "&amp;SG_Criteria!$B$15&amp;"x"&amp;SG_Criteria!$B$16&amp;" for roadside drain. ","")&amp;IF(AND(E55="Common drain",G55&lt;SG_Criteria!$B$17),"FAIL: common drain W &lt; "&amp;SG_Criteria!$B$17&amp;" mm. ","")&amp;IF(AND(O55&lt;&gt;"",IFERROR(VALUE(MID(O55,2,2)),0)&lt;SG_Criteria!$B$19),"FAIL: grade below C"&amp;SG_Criteria!$B$19&amp;". ","")&amp;IF(AND(P55&lt;&gt;"",P55&lt;SG_Criteria!$B$20),"FAIL: cover &lt; "&amp;SG_Criteria!$B$20&amp;" mm. ","")&amp;IF(AND(F55="Open",H55&gt;SG_Criteria!$B$18),"NOTE: safety railing required (D &gt; "&amp;SG_Criteria!$B$18&amp;" mm). ","")&amp;IF(AND(E55="Entrance culvert",H55&lt;600),"NOTE: check hinged grating rule for culverts &lt; 600 deep (PUB Add. 3). ",""))=0,"OK",IF(AND(OR(E55="Roadside drain",E55="Entrance culvert"),OR(G55&lt;SG_Criteria!$B$15,H55&lt;SG_Criteria!$B$16)),"FAIL: below PUB min "&amp;SG_Criteria!$B$15&amp;"x"&amp;SG_Criteria!$B$16&amp;" for roadside drain. ","")&amp;IF(AND(E55="Common drain",G55&lt;SG_Criteria!$B$17),"FAIL: common drain W &lt; "&amp;SG_Criteria!$B$17&amp;" mm. ","")&amp;IF(AND(O55&lt;&gt;"",IFERROR(VALUE(MID(O55,2,2)),0)&lt;SG_Criteria!$B$19),"FAIL: grade below C"&amp;SG_Criteria!$B$19&amp;". ","")&amp;IF(AND(P55&lt;&gt;"",P55&lt;SG_Criteria!$B$20),"FAIL: cover &lt; "&amp;SG_Criteria!$B$20&amp;" mm. ","")&amp;IF(AND(F55="Open",H55&gt;SG_Criteria!$B$18),"NOTE: safety railing required (D &gt; "&amp;SG_Criteria!$B$18&amp;" mm). ","")&amp;IF(AND(E55="Entrance culvert",H55&lt;600),"NOTE: check hinged grating rule for culverts &lt; 600 deep (PUB Add. 3). ","")))</f>
        <v/>
      </c>
      <c r="BF55" s="9"/>
      <c r="BG55" s="9"/>
      <c r="BH55" s="9"/>
      <c r="BI55" s="10" t="str">
        <f aca="false">IF(BH55="","",IFERROR(VLOOKUP(BH55,Projects!$A$5:$D$504,2,0),"Ref not in Projects"))</f>
        <v/>
      </c>
      <c r="BJ55" s="10" t="str">
        <f aca="false">IF(BH55="","",IFERROR(VLOOKUP(BH55,Projects!$A$5:$D$504,4,0),"Ref not in Projects"))</f>
        <v/>
      </c>
      <c r="BK55" s="9"/>
      <c r="BL55" s="9"/>
      <c r="BM55" s="9"/>
      <c r="BN55" s="40"/>
      <c r="BO55" s="9"/>
      <c r="BP55" s="40"/>
      <c r="BQ55" s="9"/>
      <c r="BR55" s="40"/>
      <c r="BS55" s="9"/>
      <c r="BT55" s="9"/>
      <c r="BU55" s="9"/>
      <c r="BV55" s="40"/>
      <c r="BW55" s="40"/>
      <c r="BX55" s="36" t="str">
        <f aca="false">IF(BW55="","",EDATE(BW55,SG_Criteria!$B$54*12))</f>
        <v/>
      </c>
      <c r="BY55" s="33" t="str">
        <f aca="true">IF(A55="","",IF(BW55="","NOTE: not reviewed yet",IF(TODAY()&gt;BX55,"NOTE: review overdue","OK")))</f>
        <v/>
      </c>
      <c r="BZ55" s="37" t="str">
        <f aca="false">IF(A55="","",ROUND((IF(LEN(D55)&gt;0,1,0)+IF(LEN(E55)&gt;0,1,0)+IF(LEN(F55)&gt;0,1,0)+IF(LEN(G55)&gt;0,1,0)+IF(LEN(H55)&gt;0,1,0)+IF(LEN(J55)&gt;0,1,0)+IF(LEN(K55)&gt;0,1,0)+IF(LEN(M55)&gt;0,1,0)+IF(LEN(O55)&gt;0,1,0)+IF(LEN(P55)&gt;0,1,0)+IF(LEN(Q55)&gt;0,1,0)+IF(LEN(S55)&gt;0,1,0)+IF(LEN(AC55)&gt;0,1,0)+IF(LEN(AV55)&gt;0,1,0)+IF(LEN(AW55)&gt;0,1,0)+IF(LEN(AG55)&gt;0,1,0)+IF(LEN(AI55)&gt;0,1,0)+IF(LEN(AJ55)&gt;0,1,0)+IF(LEN(AK55)&gt;0,1,0)+IF(LEN(AL55)&gt;0,1,0)+IF(LEN(AU55)&gt;0,1,0)+IF(LEN(BH55)&gt;0,1,0)+IF(LEN(BU55)&gt;0,1,0))/23,2))</f>
        <v/>
      </c>
      <c r="CA55" s="10" t="str">
        <f aca="false">IF(D55="","",IF(AND(AJ55="Approved",ISERROR(SEARCH("FAIL",BE55))),"Y","N"))</f>
        <v/>
      </c>
      <c r="CB55" s="10" t="str">
        <f aca="false">IF(D55="","",D55&amp;"|"&amp;G55&amp;"|"&amp;H55&amp;"|"&amp;M55&amp;"|"&amp;CA55)</f>
        <v/>
      </c>
    </row>
    <row r="56" customFormat="false" ht="15" hidden="false" customHeight="false" outlineLevel="0" collapsed="false">
      <c r="A56" s="10" t="str">
        <f aca="false">IF(D56="","","DRN-"&amp;IFERROR(VLOOKUP(D56,Lists!$A$4:$B$27,2,0),"??")&amp;"-"&amp;TEXT(G56,"0000")&amp;"x"&amp;TEXT(H56,"0000")&amp;IF(N(I56)&gt;1,"-"&amp;I56&amp;"C","")&amp;"-"&amp;IFERROR(VLOOKUP(M56,Lists!$J$4:$K$19,2,0),"??")&amp;"-"&amp;AI56)</f>
        <v/>
      </c>
      <c r="B56" s="10" t="str">
        <f aca="false">IF(D56="","",D56&amp;" "&amp;G56&amp;"W x "&amp;H56&amp;"D"&amp;IF(N(I56)&gt;1," ("&amp;I56&amp;" cells)","")&amp;", "&amp;E56&amp;", "&amp;M56&amp;", "&amp;F56)</f>
        <v/>
      </c>
      <c r="C56" s="9"/>
      <c r="D56" s="9"/>
      <c r="E56" s="9"/>
      <c r="F56" s="9"/>
      <c r="G56" s="38"/>
      <c r="H56" s="38"/>
      <c r="I56" s="38"/>
      <c r="J56" s="38"/>
      <c r="K56" s="38"/>
      <c r="L56" s="38"/>
      <c r="M56" s="9"/>
      <c r="N56" s="9"/>
      <c r="O56" s="9"/>
      <c r="P56" s="38"/>
      <c r="Q56" s="9"/>
      <c r="R56" s="9"/>
      <c r="S56" s="9"/>
      <c r="T56" s="9"/>
      <c r="U56" s="9"/>
      <c r="V56" s="9"/>
      <c r="W56" s="9"/>
      <c r="X56" s="9"/>
      <c r="Y56" s="9"/>
      <c r="Z56" s="9"/>
      <c r="AA56" s="9"/>
      <c r="AB56" s="39"/>
      <c r="AC56" s="9"/>
      <c r="AD56" s="38"/>
      <c r="AE56" s="9"/>
      <c r="AF56" s="39"/>
      <c r="AG56" s="9"/>
      <c r="AH56" s="9"/>
      <c r="AI56" s="9"/>
      <c r="AJ56" s="9"/>
      <c r="AK56" s="9"/>
      <c r="AL56" s="9"/>
      <c r="AM56" s="9"/>
      <c r="AN56" s="10" t="str">
        <f aca="false">IF(A56="","",SG_Criteria!$B$6&amp;SG_Criteria!$B$7&amp;"\"&amp;A56&amp;"\")</f>
        <v/>
      </c>
      <c r="AO56" s="10" t="str">
        <f aca="false">IF(A56="","",A56&amp;"_CAD.dwg")</f>
        <v/>
      </c>
      <c r="AP56" s="10" t="str">
        <f aca="false">IF(A56="","",A56&amp;"_DWG.pdf")</f>
        <v/>
      </c>
      <c r="AQ56" s="10" t="str">
        <f aca="false">IF(A56="","",IF(AM56="Y",A56&amp;"_STAAD.std","n/a"))</f>
        <v/>
      </c>
      <c r="AR56" s="10" t="str">
        <f aca="false">IF(A56="","",A56&amp;"_CALC.xlsx")</f>
        <v/>
      </c>
      <c r="AS56" s="10" t="str">
        <f aca="false">IF(A56="","",A56&amp;"_CALC.pdf")</f>
        <v/>
      </c>
      <c r="AT56" s="9"/>
      <c r="AU56" s="9"/>
      <c r="AV56" s="39"/>
      <c r="AW56" s="39"/>
      <c r="AX56" s="39"/>
      <c r="AY56" s="39"/>
      <c r="AZ56" s="39"/>
      <c r="BA56" s="12" t="str">
        <f aca="false">IF(A56="","",IF(COUNTIF(Rebar_Schedule!$A$5:$A$2004,A56)=0,"",ROUND(SUMIF(Rebar_Schedule!$A$5:$A$2004,A56,Rebar_Schedule!$K$5:$K$2004),1)))</f>
        <v/>
      </c>
      <c r="BB56" s="33" t="str">
        <f aca="false">IF(A56="","",IF(BA56="","No rebar schedule yet",IF(ABS(BA56-N(AW56))/MAX(N(AW56),1)&gt;SG_Criteria!$B$55,"NOTE: register rebar differs from schedule by "&amp;TEXT(ABS(BA56-N(AW56))/MAX(N(AW56),1),"0%"),"OK")))</f>
        <v/>
      </c>
      <c r="BC56" s="34" t="str">
        <f aca="false">IF(OR(D56="",G56="",H56="",D56="Sump",D56="Drop Inlet Chamber",D56="Silt Trap",D56="Pipe Culvert",D56="Subsoil Drain"),"",ROUND(MAX(1,N(I56))*(1/SG_Criteria!$B$26)*((G56/1000)*(H56/1000*(1-SG_Criteria!$B$25)))*(((G56/1000)*(H56/1000*(1-SG_Criteria!$B$25)))/((G56/1000)+2*(H56/1000*(1-SG_Criteria!$B$25))))^(2/3)*(1/Design_Selector!$B$11)^0.5,3))</f>
        <v/>
      </c>
      <c r="BD56" s="11" t="str">
        <f aca="false">IF(BC56="","",ROUND(BC56/(MAX(1,N(I56))*G56/1000*(H56/1000*(1-SG_Criteria!$B$25))),2))</f>
        <v/>
      </c>
      <c r="BE56" s="33" t="str">
        <f aca="false">IF(D56="","",IF(LEN(IF(AND(OR(E56="Roadside drain",E56="Entrance culvert"),OR(G56&lt;SG_Criteria!$B$15,H56&lt;SG_Criteria!$B$16)),"FAIL: below PUB min "&amp;SG_Criteria!$B$15&amp;"x"&amp;SG_Criteria!$B$16&amp;" for roadside drain. ","")&amp;IF(AND(E56="Common drain",G56&lt;SG_Criteria!$B$17),"FAIL: common drain W &lt; "&amp;SG_Criteria!$B$17&amp;" mm. ","")&amp;IF(AND(O56&lt;&gt;"",IFERROR(VALUE(MID(O56,2,2)),0)&lt;SG_Criteria!$B$19),"FAIL: grade below C"&amp;SG_Criteria!$B$19&amp;". ","")&amp;IF(AND(P56&lt;&gt;"",P56&lt;SG_Criteria!$B$20),"FAIL: cover &lt; "&amp;SG_Criteria!$B$20&amp;" mm. ","")&amp;IF(AND(F56="Open",H56&gt;SG_Criteria!$B$18),"NOTE: safety railing required (D &gt; "&amp;SG_Criteria!$B$18&amp;" mm). ","")&amp;IF(AND(E56="Entrance culvert",H56&lt;600),"NOTE: check hinged grating rule for culverts &lt; 600 deep (PUB Add. 3). ",""))=0,"OK",IF(AND(OR(E56="Roadside drain",E56="Entrance culvert"),OR(G56&lt;SG_Criteria!$B$15,H56&lt;SG_Criteria!$B$16)),"FAIL: below PUB min "&amp;SG_Criteria!$B$15&amp;"x"&amp;SG_Criteria!$B$16&amp;" for roadside drain. ","")&amp;IF(AND(E56="Common drain",G56&lt;SG_Criteria!$B$17),"FAIL: common drain W &lt; "&amp;SG_Criteria!$B$17&amp;" mm. ","")&amp;IF(AND(O56&lt;&gt;"",IFERROR(VALUE(MID(O56,2,2)),0)&lt;SG_Criteria!$B$19),"FAIL: grade below C"&amp;SG_Criteria!$B$19&amp;". ","")&amp;IF(AND(P56&lt;&gt;"",P56&lt;SG_Criteria!$B$20),"FAIL: cover &lt; "&amp;SG_Criteria!$B$20&amp;" mm. ","")&amp;IF(AND(F56="Open",H56&gt;SG_Criteria!$B$18),"NOTE: safety railing required (D &gt; "&amp;SG_Criteria!$B$18&amp;" mm). ","")&amp;IF(AND(E56="Entrance culvert",H56&lt;600),"NOTE: check hinged grating rule for culverts &lt; 600 deep (PUB Add. 3). ","")))</f>
        <v/>
      </c>
      <c r="BF56" s="9"/>
      <c r="BG56" s="9"/>
      <c r="BH56" s="9"/>
      <c r="BI56" s="10" t="str">
        <f aca="false">IF(BH56="","",IFERROR(VLOOKUP(BH56,Projects!$A$5:$D$504,2,0),"Ref not in Projects"))</f>
        <v/>
      </c>
      <c r="BJ56" s="10" t="str">
        <f aca="false">IF(BH56="","",IFERROR(VLOOKUP(BH56,Projects!$A$5:$D$504,4,0),"Ref not in Projects"))</f>
        <v/>
      </c>
      <c r="BK56" s="9"/>
      <c r="BL56" s="9"/>
      <c r="BM56" s="9"/>
      <c r="BN56" s="40"/>
      <c r="BO56" s="9"/>
      <c r="BP56" s="40"/>
      <c r="BQ56" s="9"/>
      <c r="BR56" s="40"/>
      <c r="BS56" s="9"/>
      <c r="BT56" s="9"/>
      <c r="BU56" s="9"/>
      <c r="BV56" s="40"/>
      <c r="BW56" s="40"/>
      <c r="BX56" s="36" t="str">
        <f aca="false">IF(BW56="","",EDATE(BW56,SG_Criteria!$B$54*12))</f>
        <v/>
      </c>
      <c r="BY56" s="33" t="str">
        <f aca="true">IF(A56="","",IF(BW56="","NOTE: not reviewed yet",IF(TODAY()&gt;BX56,"NOTE: review overdue","OK")))</f>
        <v/>
      </c>
      <c r="BZ56" s="37" t="str">
        <f aca="false">IF(A56="","",ROUND((IF(LEN(D56)&gt;0,1,0)+IF(LEN(E56)&gt;0,1,0)+IF(LEN(F56)&gt;0,1,0)+IF(LEN(G56)&gt;0,1,0)+IF(LEN(H56)&gt;0,1,0)+IF(LEN(J56)&gt;0,1,0)+IF(LEN(K56)&gt;0,1,0)+IF(LEN(M56)&gt;0,1,0)+IF(LEN(O56)&gt;0,1,0)+IF(LEN(P56)&gt;0,1,0)+IF(LEN(Q56)&gt;0,1,0)+IF(LEN(S56)&gt;0,1,0)+IF(LEN(AC56)&gt;0,1,0)+IF(LEN(AV56)&gt;0,1,0)+IF(LEN(AW56)&gt;0,1,0)+IF(LEN(AG56)&gt;0,1,0)+IF(LEN(AI56)&gt;0,1,0)+IF(LEN(AJ56)&gt;0,1,0)+IF(LEN(AK56)&gt;0,1,0)+IF(LEN(AL56)&gt;0,1,0)+IF(LEN(AU56)&gt;0,1,0)+IF(LEN(BH56)&gt;0,1,0)+IF(LEN(BU56)&gt;0,1,0))/23,2))</f>
        <v/>
      </c>
      <c r="CA56" s="10" t="str">
        <f aca="false">IF(D56="","",IF(AND(AJ56="Approved",ISERROR(SEARCH("FAIL",BE56))),"Y","N"))</f>
        <v/>
      </c>
      <c r="CB56" s="10" t="str">
        <f aca="false">IF(D56="","",D56&amp;"|"&amp;G56&amp;"|"&amp;H56&amp;"|"&amp;M56&amp;"|"&amp;CA56)</f>
        <v/>
      </c>
    </row>
    <row r="57" customFormat="false" ht="15" hidden="false" customHeight="false" outlineLevel="0" collapsed="false">
      <c r="A57" s="10" t="str">
        <f aca="false">IF(D57="","","DRN-"&amp;IFERROR(VLOOKUP(D57,Lists!$A$4:$B$27,2,0),"??")&amp;"-"&amp;TEXT(G57,"0000")&amp;"x"&amp;TEXT(H57,"0000")&amp;IF(N(I57)&gt;1,"-"&amp;I57&amp;"C","")&amp;"-"&amp;IFERROR(VLOOKUP(M57,Lists!$J$4:$K$19,2,0),"??")&amp;"-"&amp;AI57)</f>
        <v/>
      </c>
      <c r="B57" s="10" t="str">
        <f aca="false">IF(D57="","",D57&amp;" "&amp;G57&amp;"W x "&amp;H57&amp;"D"&amp;IF(N(I57)&gt;1," ("&amp;I57&amp;" cells)","")&amp;", "&amp;E57&amp;", "&amp;M57&amp;", "&amp;F57)</f>
        <v/>
      </c>
      <c r="C57" s="9"/>
      <c r="D57" s="9"/>
      <c r="E57" s="9"/>
      <c r="F57" s="9"/>
      <c r="G57" s="38"/>
      <c r="H57" s="38"/>
      <c r="I57" s="38"/>
      <c r="J57" s="38"/>
      <c r="K57" s="38"/>
      <c r="L57" s="38"/>
      <c r="M57" s="9"/>
      <c r="N57" s="9"/>
      <c r="O57" s="9"/>
      <c r="P57" s="38"/>
      <c r="Q57" s="9"/>
      <c r="R57" s="9"/>
      <c r="S57" s="9"/>
      <c r="T57" s="9"/>
      <c r="U57" s="9"/>
      <c r="V57" s="9"/>
      <c r="W57" s="9"/>
      <c r="X57" s="9"/>
      <c r="Y57" s="9"/>
      <c r="Z57" s="9"/>
      <c r="AA57" s="9"/>
      <c r="AB57" s="39"/>
      <c r="AC57" s="9"/>
      <c r="AD57" s="38"/>
      <c r="AE57" s="9"/>
      <c r="AF57" s="39"/>
      <c r="AG57" s="9"/>
      <c r="AH57" s="9"/>
      <c r="AI57" s="9"/>
      <c r="AJ57" s="9"/>
      <c r="AK57" s="9"/>
      <c r="AL57" s="9"/>
      <c r="AM57" s="9"/>
      <c r="AN57" s="10" t="str">
        <f aca="false">IF(A57="","",SG_Criteria!$B$6&amp;SG_Criteria!$B$7&amp;"\"&amp;A57&amp;"\")</f>
        <v/>
      </c>
      <c r="AO57" s="10" t="str">
        <f aca="false">IF(A57="","",A57&amp;"_CAD.dwg")</f>
        <v/>
      </c>
      <c r="AP57" s="10" t="str">
        <f aca="false">IF(A57="","",A57&amp;"_DWG.pdf")</f>
        <v/>
      </c>
      <c r="AQ57" s="10" t="str">
        <f aca="false">IF(A57="","",IF(AM57="Y",A57&amp;"_STAAD.std","n/a"))</f>
        <v/>
      </c>
      <c r="AR57" s="10" t="str">
        <f aca="false">IF(A57="","",A57&amp;"_CALC.xlsx")</f>
        <v/>
      </c>
      <c r="AS57" s="10" t="str">
        <f aca="false">IF(A57="","",A57&amp;"_CALC.pdf")</f>
        <v/>
      </c>
      <c r="AT57" s="9"/>
      <c r="AU57" s="9"/>
      <c r="AV57" s="39"/>
      <c r="AW57" s="39"/>
      <c r="AX57" s="39"/>
      <c r="AY57" s="39"/>
      <c r="AZ57" s="39"/>
      <c r="BA57" s="12" t="str">
        <f aca="false">IF(A57="","",IF(COUNTIF(Rebar_Schedule!$A$5:$A$2004,A57)=0,"",ROUND(SUMIF(Rebar_Schedule!$A$5:$A$2004,A57,Rebar_Schedule!$K$5:$K$2004),1)))</f>
        <v/>
      </c>
      <c r="BB57" s="33" t="str">
        <f aca="false">IF(A57="","",IF(BA57="","No rebar schedule yet",IF(ABS(BA57-N(AW57))/MAX(N(AW57),1)&gt;SG_Criteria!$B$55,"NOTE: register rebar differs from schedule by "&amp;TEXT(ABS(BA57-N(AW57))/MAX(N(AW57),1),"0%"),"OK")))</f>
        <v/>
      </c>
      <c r="BC57" s="34" t="str">
        <f aca="false">IF(OR(D57="",G57="",H57="",D57="Sump",D57="Drop Inlet Chamber",D57="Silt Trap",D57="Pipe Culvert",D57="Subsoil Drain"),"",ROUND(MAX(1,N(I57))*(1/SG_Criteria!$B$26)*((G57/1000)*(H57/1000*(1-SG_Criteria!$B$25)))*(((G57/1000)*(H57/1000*(1-SG_Criteria!$B$25)))/((G57/1000)+2*(H57/1000*(1-SG_Criteria!$B$25))))^(2/3)*(1/Design_Selector!$B$11)^0.5,3))</f>
        <v/>
      </c>
      <c r="BD57" s="11" t="str">
        <f aca="false">IF(BC57="","",ROUND(BC57/(MAX(1,N(I57))*G57/1000*(H57/1000*(1-SG_Criteria!$B$25))),2))</f>
        <v/>
      </c>
      <c r="BE57" s="33" t="str">
        <f aca="false">IF(D57="","",IF(LEN(IF(AND(OR(E57="Roadside drain",E57="Entrance culvert"),OR(G57&lt;SG_Criteria!$B$15,H57&lt;SG_Criteria!$B$16)),"FAIL: below PUB min "&amp;SG_Criteria!$B$15&amp;"x"&amp;SG_Criteria!$B$16&amp;" for roadside drain. ","")&amp;IF(AND(E57="Common drain",G57&lt;SG_Criteria!$B$17),"FAIL: common drain W &lt; "&amp;SG_Criteria!$B$17&amp;" mm. ","")&amp;IF(AND(O57&lt;&gt;"",IFERROR(VALUE(MID(O57,2,2)),0)&lt;SG_Criteria!$B$19),"FAIL: grade below C"&amp;SG_Criteria!$B$19&amp;". ","")&amp;IF(AND(P57&lt;&gt;"",P57&lt;SG_Criteria!$B$20),"FAIL: cover &lt; "&amp;SG_Criteria!$B$20&amp;" mm. ","")&amp;IF(AND(F57="Open",H57&gt;SG_Criteria!$B$18),"NOTE: safety railing required (D &gt; "&amp;SG_Criteria!$B$18&amp;" mm). ","")&amp;IF(AND(E57="Entrance culvert",H57&lt;600),"NOTE: check hinged grating rule for culverts &lt; 600 deep (PUB Add. 3). ",""))=0,"OK",IF(AND(OR(E57="Roadside drain",E57="Entrance culvert"),OR(G57&lt;SG_Criteria!$B$15,H57&lt;SG_Criteria!$B$16)),"FAIL: below PUB min "&amp;SG_Criteria!$B$15&amp;"x"&amp;SG_Criteria!$B$16&amp;" for roadside drain. ","")&amp;IF(AND(E57="Common drain",G57&lt;SG_Criteria!$B$17),"FAIL: common drain W &lt; "&amp;SG_Criteria!$B$17&amp;" mm. ","")&amp;IF(AND(O57&lt;&gt;"",IFERROR(VALUE(MID(O57,2,2)),0)&lt;SG_Criteria!$B$19),"FAIL: grade below C"&amp;SG_Criteria!$B$19&amp;". ","")&amp;IF(AND(P57&lt;&gt;"",P57&lt;SG_Criteria!$B$20),"FAIL: cover &lt; "&amp;SG_Criteria!$B$20&amp;" mm. ","")&amp;IF(AND(F57="Open",H57&gt;SG_Criteria!$B$18),"NOTE: safety railing required (D &gt; "&amp;SG_Criteria!$B$18&amp;" mm). ","")&amp;IF(AND(E57="Entrance culvert",H57&lt;600),"NOTE: check hinged grating rule for culverts &lt; 600 deep (PUB Add. 3). ","")))</f>
        <v/>
      </c>
      <c r="BF57" s="9"/>
      <c r="BG57" s="9"/>
      <c r="BH57" s="9"/>
      <c r="BI57" s="10" t="str">
        <f aca="false">IF(BH57="","",IFERROR(VLOOKUP(BH57,Projects!$A$5:$D$504,2,0),"Ref not in Projects"))</f>
        <v/>
      </c>
      <c r="BJ57" s="10" t="str">
        <f aca="false">IF(BH57="","",IFERROR(VLOOKUP(BH57,Projects!$A$5:$D$504,4,0),"Ref not in Projects"))</f>
        <v/>
      </c>
      <c r="BK57" s="9"/>
      <c r="BL57" s="9"/>
      <c r="BM57" s="9"/>
      <c r="BN57" s="40"/>
      <c r="BO57" s="9"/>
      <c r="BP57" s="40"/>
      <c r="BQ57" s="9"/>
      <c r="BR57" s="40"/>
      <c r="BS57" s="9"/>
      <c r="BT57" s="9"/>
      <c r="BU57" s="9"/>
      <c r="BV57" s="40"/>
      <c r="BW57" s="40"/>
      <c r="BX57" s="36" t="str">
        <f aca="false">IF(BW57="","",EDATE(BW57,SG_Criteria!$B$54*12))</f>
        <v/>
      </c>
      <c r="BY57" s="33" t="str">
        <f aca="true">IF(A57="","",IF(BW57="","NOTE: not reviewed yet",IF(TODAY()&gt;BX57,"NOTE: review overdue","OK")))</f>
        <v/>
      </c>
      <c r="BZ57" s="37" t="str">
        <f aca="false">IF(A57="","",ROUND((IF(LEN(D57)&gt;0,1,0)+IF(LEN(E57)&gt;0,1,0)+IF(LEN(F57)&gt;0,1,0)+IF(LEN(G57)&gt;0,1,0)+IF(LEN(H57)&gt;0,1,0)+IF(LEN(J57)&gt;0,1,0)+IF(LEN(K57)&gt;0,1,0)+IF(LEN(M57)&gt;0,1,0)+IF(LEN(O57)&gt;0,1,0)+IF(LEN(P57)&gt;0,1,0)+IF(LEN(Q57)&gt;0,1,0)+IF(LEN(S57)&gt;0,1,0)+IF(LEN(AC57)&gt;0,1,0)+IF(LEN(AV57)&gt;0,1,0)+IF(LEN(AW57)&gt;0,1,0)+IF(LEN(AG57)&gt;0,1,0)+IF(LEN(AI57)&gt;0,1,0)+IF(LEN(AJ57)&gt;0,1,0)+IF(LEN(AK57)&gt;0,1,0)+IF(LEN(AL57)&gt;0,1,0)+IF(LEN(AU57)&gt;0,1,0)+IF(LEN(BH57)&gt;0,1,0)+IF(LEN(BU57)&gt;0,1,0))/23,2))</f>
        <v/>
      </c>
      <c r="CA57" s="10" t="str">
        <f aca="false">IF(D57="","",IF(AND(AJ57="Approved",ISERROR(SEARCH("FAIL",BE57))),"Y","N"))</f>
        <v/>
      </c>
      <c r="CB57" s="10" t="str">
        <f aca="false">IF(D57="","",D57&amp;"|"&amp;G57&amp;"|"&amp;H57&amp;"|"&amp;M57&amp;"|"&amp;CA57)</f>
        <v/>
      </c>
    </row>
    <row r="58" customFormat="false" ht="15" hidden="false" customHeight="false" outlineLevel="0" collapsed="false">
      <c r="A58" s="10" t="str">
        <f aca="false">IF(D58="","","DRN-"&amp;IFERROR(VLOOKUP(D58,Lists!$A$4:$B$27,2,0),"??")&amp;"-"&amp;TEXT(G58,"0000")&amp;"x"&amp;TEXT(H58,"0000")&amp;IF(N(I58)&gt;1,"-"&amp;I58&amp;"C","")&amp;"-"&amp;IFERROR(VLOOKUP(M58,Lists!$J$4:$K$19,2,0),"??")&amp;"-"&amp;AI58)</f>
        <v/>
      </c>
      <c r="B58" s="10" t="str">
        <f aca="false">IF(D58="","",D58&amp;" "&amp;G58&amp;"W x "&amp;H58&amp;"D"&amp;IF(N(I58)&gt;1," ("&amp;I58&amp;" cells)","")&amp;", "&amp;E58&amp;", "&amp;M58&amp;", "&amp;F58)</f>
        <v/>
      </c>
      <c r="C58" s="9"/>
      <c r="D58" s="9"/>
      <c r="E58" s="9"/>
      <c r="F58" s="9"/>
      <c r="G58" s="38"/>
      <c r="H58" s="38"/>
      <c r="I58" s="38"/>
      <c r="J58" s="38"/>
      <c r="K58" s="38"/>
      <c r="L58" s="38"/>
      <c r="M58" s="9"/>
      <c r="N58" s="9"/>
      <c r="O58" s="9"/>
      <c r="P58" s="38"/>
      <c r="Q58" s="9"/>
      <c r="R58" s="9"/>
      <c r="S58" s="9"/>
      <c r="T58" s="9"/>
      <c r="U58" s="9"/>
      <c r="V58" s="9"/>
      <c r="W58" s="9"/>
      <c r="X58" s="9"/>
      <c r="Y58" s="9"/>
      <c r="Z58" s="9"/>
      <c r="AA58" s="9"/>
      <c r="AB58" s="39"/>
      <c r="AC58" s="9"/>
      <c r="AD58" s="38"/>
      <c r="AE58" s="9"/>
      <c r="AF58" s="39"/>
      <c r="AG58" s="9"/>
      <c r="AH58" s="9"/>
      <c r="AI58" s="9"/>
      <c r="AJ58" s="9"/>
      <c r="AK58" s="9"/>
      <c r="AL58" s="9"/>
      <c r="AM58" s="9"/>
      <c r="AN58" s="10" t="str">
        <f aca="false">IF(A58="","",SG_Criteria!$B$6&amp;SG_Criteria!$B$7&amp;"\"&amp;A58&amp;"\")</f>
        <v/>
      </c>
      <c r="AO58" s="10" t="str">
        <f aca="false">IF(A58="","",A58&amp;"_CAD.dwg")</f>
        <v/>
      </c>
      <c r="AP58" s="10" t="str">
        <f aca="false">IF(A58="","",A58&amp;"_DWG.pdf")</f>
        <v/>
      </c>
      <c r="AQ58" s="10" t="str">
        <f aca="false">IF(A58="","",IF(AM58="Y",A58&amp;"_STAAD.std","n/a"))</f>
        <v/>
      </c>
      <c r="AR58" s="10" t="str">
        <f aca="false">IF(A58="","",A58&amp;"_CALC.xlsx")</f>
        <v/>
      </c>
      <c r="AS58" s="10" t="str">
        <f aca="false">IF(A58="","",A58&amp;"_CALC.pdf")</f>
        <v/>
      </c>
      <c r="AT58" s="9"/>
      <c r="AU58" s="9"/>
      <c r="AV58" s="39"/>
      <c r="AW58" s="39"/>
      <c r="AX58" s="39"/>
      <c r="AY58" s="39"/>
      <c r="AZ58" s="39"/>
      <c r="BA58" s="12" t="str">
        <f aca="false">IF(A58="","",IF(COUNTIF(Rebar_Schedule!$A$5:$A$2004,A58)=0,"",ROUND(SUMIF(Rebar_Schedule!$A$5:$A$2004,A58,Rebar_Schedule!$K$5:$K$2004),1)))</f>
        <v/>
      </c>
      <c r="BB58" s="33" t="str">
        <f aca="false">IF(A58="","",IF(BA58="","No rebar schedule yet",IF(ABS(BA58-N(AW58))/MAX(N(AW58),1)&gt;SG_Criteria!$B$55,"NOTE: register rebar differs from schedule by "&amp;TEXT(ABS(BA58-N(AW58))/MAX(N(AW58),1),"0%"),"OK")))</f>
        <v/>
      </c>
      <c r="BC58" s="34" t="str">
        <f aca="false">IF(OR(D58="",G58="",H58="",D58="Sump",D58="Drop Inlet Chamber",D58="Silt Trap",D58="Pipe Culvert",D58="Subsoil Drain"),"",ROUND(MAX(1,N(I58))*(1/SG_Criteria!$B$26)*((G58/1000)*(H58/1000*(1-SG_Criteria!$B$25)))*(((G58/1000)*(H58/1000*(1-SG_Criteria!$B$25)))/((G58/1000)+2*(H58/1000*(1-SG_Criteria!$B$25))))^(2/3)*(1/Design_Selector!$B$11)^0.5,3))</f>
        <v/>
      </c>
      <c r="BD58" s="11" t="str">
        <f aca="false">IF(BC58="","",ROUND(BC58/(MAX(1,N(I58))*G58/1000*(H58/1000*(1-SG_Criteria!$B$25))),2))</f>
        <v/>
      </c>
      <c r="BE58" s="33" t="str">
        <f aca="false">IF(D58="","",IF(LEN(IF(AND(OR(E58="Roadside drain",E58="Entrance culvert"),OR(G58&lt;SG_Criteria!$B$15,H58&lt;SG_Criteria!$B$16)),"FAIL: below PUB min "&amp;SG_Criteria!$B$15&amp;"x"&amp;SG_Criteria!$B$16&amp;" for roadside drain. ","")&amp;IF(AND(E58="Common drain",G58&lt;SG_Criteria!$B$17),"FAIL: common drain W &lt; "&amp;SG_Criteria!$B$17&amp;" mm. ","")&amp;IF(AND(O58&lt;&gt;"",IFERROR(VALUE(MID(O58,2,2)),0)&lt;SG_Criteria!$B$19),"FAIL: grade below C"&amp;SG_Criteria!$B$19&amp;". ","")&amp;IF(AND(P58&lt;&gt;"",P58&lt;SG_Criteria!$B$20),"FAIL: cover &lt; "&amp;SG_Criteria!$B$20&amp;" mm. ","")&amp;IF(AND(F58="Open",H58&gt;SG_Criteria!$B$18),"NOTE: safety railing required (D &gt; "&amp;SG_Criteria!$B$18&amp;" mm). ","")&amp;IF(AND(E58="Entrance culvert",H58&lt;600),"NOTE: check hinged grating rule for culverts &lt; 600 deep (PUB Add. 3). ",""))=0,"OK",IF(AND(OR(E58="Roadside drain",E58="Entrance culvert"),OR(G58&lt;SG_Criteria!$B$15,H58&lt;SG_Criteria!$B$16)),"FAIL: below PUB min "&amp;SG_Criteria!$B$15&amp;"x"&amp;SG_Criteria!$B$16&amp;" for roadside drain. ","")&amp;IF(AND(E58="Common drain",G58&lt;SG_Criteria!$B$17),"FAIL: common drain W &lt; "&amp;SG_Criteria!$B$17&amp;" mm. ","")&amp;IF(AND(O58&lt;&gt;"",IFERROR(VALUE(MID(O58,2,2)),0)&lt;SG_Criteria!$B$19),"FAIL: grade below C"&amp;SG_Criteria!$B$19&amp;". ","")&amp;IF(AND(P58&lt;&gt;"",P58&lt;SG_Criteria!$B$20),"FAIL: cover &lt; "&amp;SG_Criteria!$B$20&amp;" mm. ","")&amp;IF(AND(F58="Open",H58&gt;SG_Criteria!$B$18),"NOTE: safety railing required (D &gt; "&amp;SG_Criteria!$B$18&amp;" mm). ","")&amp;IF(AND(E58="Entrance culvert",H58&lt;600),"NOTE: check hinged grating rule for culverts &lt; 600 deep (PUB Add. 3). ","")))</f>
        <v/>
      </c>
      <c r="BF58" s="9"/>
      <c r="BG58" s="9"/>
      <c r="BH58" s="9"/>
      <c r="BI58" s="10" t="str">
        <f aca="false">IF(BH58="","",IFERROR(VLOOKUP(BH58,Projects!$A$5:$D$504,2,0),"Ref not in Projects"))</f>
        <v/>
      </c>
      <c r="BJ58" s="10" t="str">
        <f aca="false">IF(BH58="","",IFERROR(VLOOKUP(BH58,Projects!$A$5:$D$504,4,0),"Ref not in Projects"))</f>
        <v/>
      </c>
      <c r="BK58" s="9"/>
      <c r="BL58" s="9"/>
      <c r="BM58" s="9"/>
      <c r="BN58" s="40"/>
      <c r="BO58" s="9"/>
      <c r="BP58" s="40"/>
      <c r="BQ58" s="9"/>
      <c r="BR58" s="40"/>
      <c r="BS58" s="9"/>
      <c r="BT58" s="9"/>
      <c r="BU58" s="9"/>
      <c r="BV58" s="40"/>
      <c r="BW58" s="40"/>
      <c r="BX58" s="36" t="str">
        <f aca="false">IF(BW58="","",EDATE(BW58,SG_Criteria!$B$54*12))</f>
        <v/>
      </c>
      <c r="BY58" s="33" t="str">
        <f aca="true">IF(A58="","",IF(BW58="","NOTE: not reviewed yet",IF(TODAY()&gt;BX58,"NOTE: review overdue","OK")))</f>
        <v/>
      </c>
      <c r="BZ58" s="37" t="str">
        <f aca="false">IF(A58="","",ROUND((IF(LEN(D58)&gt;0,1,0)+IF(LEN(E58)&gt;0,1,0)+IF(LEN(F58)&gt;0,1,0)+IF(LEN(G58)&gt;0,1,0)+IF(LEN(H58)&gt;0,1,0)+IF(LEN(J58)&gt;0,1,0)+IF(LEN(K58)&gt;0,1,0)+IF(LEN(M58)&gt;0,1,0)+IF(LEN(O58)&gt;0,1,0)+IF(LEN(P58)&gt;0,1,0)+IF(LEN(Q58)&gt;0,1,0)+IF(LEN(S58)&gt;0,1,0)+IF(LEN(AC58)&gt;0,1,0)+IF(LEN(AV58)&gt;0,1,0)+IF(LEN(AW58)&gt;0,1,0)+IF(LEN(AG58)&gt;0,1,0)+IF(LEN(AI58)&gt;0,1,0)+IF(LEN(AJ58)&gt;0,1,0)+IF(LEN(AK58)&gt;0,1,0)+IF(LEN(AL58)&gt;0,1,0)+IF(LEN(AU58)&gt;0,1,0)+IF(LEN(BH58)&gt;0,1,0)+IF(LEN(BU58)&gt;0,1,0))/23,2))</f>
        <v/>
      </c>
      <c r="CA58" s="10" t="str">
        <f aca="false">IF(D58="","",IF(AND(AJ58="Approved",ISERROR(SEARCH("FAIL",BE58))),"Y","N"))</f>
        <v/>
      </c>
      <c r="CB58" s="10" t="str">
        <f aca="false">IF(D58="","",D58&amp;"|"&amp;G58&amp;"|"&amp;H58&amp;"|"&amp;M58&amp;"|"&amp;CA58)</f>
        <v/>
      </c>
    </row>
    <row r="59" customFormat="false" ht="15" hidden="false" customHeight="false" outlineLevel="0" collapsed="false">
      <c r="A59" s="10" t="str">
        <f aca="false">IF(D59="","","DRN-"&amp;IFERROR(VLOOKUP(D59,Lists!$A$4:$B$27,2,0),"??")&amp;"-"&amp;TEXT(G59,"0000")&amp;"x"&amp;TEXT(H59,"0000")&amp;IF(N(I59)&gt;1,"-"&amp;I59&amp;"C","")&amp;"-"&amp;IFERROR(VLOOKUP(M59,Lists!$J$4:$K$19,2,0),"??")&amp;"-"&amp;AI59)</f>
        <v/>
      </c>
      <c r="B59" s="10" t="str">
        <f aca="false">IF(D59="","",D59&amp;" "&amp;G59&amp;"W x "&amp;H59&amp;"D"&amp;IF(N(I59)&gt;1," ("&amp;I59&amp;" cells)","")&amp;", "&amp;E59&amp;", "&amp;M59&amp;", "&amp;F59)</f>
        <v/>
      </c>
      <c r="C59" s="9"/>
      <c r="D59" s="9"/>
      <c r="E59" s="9"/>
      <c r="F59" s="9"/>
      <c r="G59" s="38"/>
      <c r="H59" s="38"/>
      <c r="I59" s="38"/>
      <c r="J59" s="38"/>
      <c r="K59" s="38"/>
      <c r="L59" s="38"/>
      <c r="M59" s="9"/>
      <c r="N59" s="9"/>
      <c r="O59" s="9"/>
      <c r="P59" s="38"/>
      <c r="Q59" s="9"/>
      <c r="R59" s="9"/>
      <c r="S59" s="9"/>
      <c r="T59" s="9"/>
      <c r="U59" s="9"/>
      <c r="V59" s="9"/>
      <c r="W59" s="9"/>
      <c r="X59" s="9"/>
      <c r="Y59" s="9"/>
      <c r="Z59" s="9"/>
      <c r="AA59" s="9"/>
      <c r="AB59" s="39"/>
      <c r="AC59" s="9"/>
      <c r="AD59" s="38"/>
      <c r="AE59" s="9"/>
      <c r="AF59" s="39"/>
      <c r="AG59" s="9"/>
      <c r="AH59" s="9"/>
      <c r="AI59" s="9"/>
      <c r="AJ59" s="9"/>
      <c r="AK59" s="9"/>
      <c r="AL59" s="9"/>
      <c r="AM59" s="9"/>
      <c r="AN59" s="10" t="str">
        <f aca="false">IF(A59="","",SG_Criteria!$B$6&amp;SG_Criteria!$B$7&amp;"\"&amp;A59&amp;"\")</f>
        <v/>
      </c>
      <c r="AO59" s="10" t="str">
        <f aca="false">IF(A59="","",A59&amp;"_CAD.dwg")</f>
        <v/>
      </c>
      <c r="AP59" s="10" t="str">
        <f aca="false">IF(A59="","",A59&amp;"_DWG.pdf")</f>
        <v/>
      </c>
      <c r="AQ59" s="10" t="str">
        <f aca="false">IF(A59="","",IF(AM59="Y",A59&amp;"_STAAD.std","n/a"))</f>
        <v/>
      </c>
      <c r="AR59" s="10" t="str">
        <f aca="false">IF(A59="","",A59&amp;"_CALC.xlsx")</f>
        <v/>
      </c>
      <c r="AS59" s="10" t="str">
        <f aca="false">IF(A59="","",A59&amp;"_CALC.pdf")</f>
        <v/>
      </c>
      <c r="AT59" s="9"/>
      <c r="AU59" s="9"/>
      <c r="AV59" s="39"/>
      <c r="AW59" s="39"/>
      <c r="AX59" s="39"/>
      <c r="AY59" s="39"/>
      <c r="AZ59" s="39"/>
      <c r="BA59" s="12" t="str">
        <f aca="false">IF(A59="","",IF(COUNTIF(Rebar_Schedule!$A$5:$A$2004,A59)=0,"",ROUND(SUMIF(Rebar_Schedule!$A$5:$A$2004,A59,Rebar_Schedule!$K$5:$K$2004),1)))</f>
        <v/>
      </c>
      <c r="BB59" s="33" t="str">
        <f aca="false">IF(A59="","",IF(BA59="","No rebar schedule yet",IF(ABS(BA59-N(AW59))/MAX(N(AW59),1)&gt;SG_Criteria!$B$55,"NOTE: register rebar differs from schedule by "&amp;TEXT(ABS(BA59-N(AW59))/MAX(N(AW59),1),"0%"),"OK")))</f>
        <v/>
      </c>
      <c r="BC59" s="34" t="str">
        <f aca="false">IF(OR(D59="",G59="",H59="",D59="Sump",D59="Drop Inlet Chamber",D59="Silt Trap",D59="Pipe Culvert",D59="Subsoil Drain"),"",ROUND(MAX(1,N(I59))*(1/SG_Criteria!$B$26)*((G59/1000)*(H59/1000*(1-SG_Criteria!$B$25)))*(((G59/1000)*(H59/1000*(1-SG_Criteria!$B$25)))/((G59/1000)+2*(H59/1000*(1-SG_Criteria!$B$25))))^(2/3)*(1/Design_Selector!$B$11)^0.5,3))</f>
        <v/>
      </c>
      <c r="BD59" s="11" t="str">
        <f aca="false">IF(BC59="","",ROUND(BC59/(MAX(1,N(I59))*G59/1000*(H59/1000*(1-SG_Criteria!$B$25))),2))</f>
        <v/>
      </c>
      <c r="BE59" s="33" t="str">
        <f aca="false">IF(D59="","",IF(LEN(IF(AND(OR(E59="Roadside drain",E59="Entrance culvert"),OR(G59&lt;SG_Criteria!$B$15,H59&lt;SG_Criteria!$B$16)),"FAIL: below PUB min "&amp;SG_Criteria!$B$15&amp;"x"&amp;SG_Criteria!$B$16&amp;" for roadside drain. ","")&amp;IF(AND(E59="Common drain",G59&lt;SG_Criteria!$B$17),"FAIL: common drain W &lt; "&amp;SG_Criteria!$B$17&amp;" mm. ","")&amp;IF(AND(O59&lt;&gt;"",IFERROR(VALUE(MID(O59,2,2)),0)&lt;SG_Criteria!$B$19),"FAIL: grade below C"&amp;SG_Criteria!$B$19&amp;". ","")&amp;IF(AND(P59&lt;&gt;"",P59&lt;SG_Criteria!$B$20),"FAIL: cover &lt; "&amp;SG_Criteria!$B$20&amp;" mm. ","")&amp;IF(AND(F59="Open",H59&gt;SG_Criteria!$B$18),"NOTE: safety railing required (D &gt; "&amp;SG_Criteria!$B$18&amp;" mm). ","")&amp;IF(AND(E59="Entrance culvert",H59&lt;600),"NOTE: check hinged grating rule for culverts &lt; 600 deep (PUB Add. 3). ",""))=0,"OK",IF(AND(OR(E59="Roadside drain",E59="Entrance culvert"),OR(G59&lt;SG_Criteria!$B$15,H59&lt;SG_Criteria!$B$16)),"FAIL: below PUB min "&amp;SG_Criteria!$B$15&amp;"x"&amp;SG_Criteria!$B$16&amp;" for roadside drain. ","")&amp;IF(AND(E59="Common drain",G59&lt;SG_Criteria!$B$17),"FAIL: common drain W &lt; "&amp;SG_Criteria!$B$17&amp;" mm. ","")&amp;IF(AND(O59&lt;&gt;"",IFERROR(VALUE(MID(O59,2,2)),0)&lt;SG_Criteria!$B$19),"FAIL: grade below C"&amp;SG_Criteria!$B$19&amp;". ","")&amp;IF(AND(P59&lt;&gt;"",P59&lt;SG_Criteria!$B$20),"FAIL: cover &lt; "&amp;SG_Criteria!$B$20&amp;" mm. ","")&amp;IF(AND(F59="Open",H59&gt;SG_Criteria!$B$18),"NOTE: safety railing required (D &gt; "&amp;SG_Criteria!$B$18&amp;" mm). ","")&amp;IF(AND(E59="Entrance culvert",H59&lt;600),"NOTE: check hinged grating rule for culverts &lt; 600 deep (PUB Add. 3). ","")))</f>
        <v/>
      </c>
      <c r="BF59" s="9"/>
      <c r="BG59" s="9"/>
      <c r="BH59" s="9"/>
      <c r="BI59" s="10" t="str">
        <f aca="false">IF(BH59="","",IFERROR(VLOOKUP(BH59,Projects!$A$5:$D$504,2,0),"Ref not in Projects"))</f>
        <v/>
      </c>
      <c r="BJ59" s="10" t="str">
        <f aca="false">IF(BH59="","",IFERROR(VLOOKUP(BH59,Projects!$A$5:$D$504,4,0),"Ref not in Projects"))</f>
        <v/>
      </c>
      <c r="BK59" s="9"/>
      <c r="BL59" s="9"/>
      <c r="BM59" s="9"/>
      <c r="BN59" s="40"/>
      <c r="BO59" s="9"/>
      <c r="BP59" s="40"/>
      <c r="BQ59" s="9"/>
      <c r="BR59" s="40"/>
      <c r="BS59" s="9"/>
      <c r="BT59" s="9"/>
      <c r="BU59" s="9"/>
      <c r="BV59" s="40"/>
      <c r="BW59" s="40"/>
      <c r="BX59" s="36" t="str">
        <f aca="false">IF(BW59="","",EDATE(BW59,SG_Criteria!$B$54*12))</f>
        <v/>
      </c>
      <c r="BY59" s="33" t="str">
        <f aca="true">IF(A59="","",IF(BW59="","NOTE: not reviewed yet",IF(TODAY()&gt;BX59,"NOTE: review overdue","OK")))</f>
        <v/>
      </c>
      <c r="BZ59" s="37" t="str">
        <f aca="false">IF(A59="","",ROUND((IF(LEN(D59)&gt;0,1,0)+IF(LEN(E59)&gt;0,1,0)+IF(LEN(F59)&gt;0,1,0)+IF(LEN(G59)&gt;0,1,0)+IF(LEN(H59)&gt;0,1,0)+IF(LEN(J59)&gt;0,1,0)+IF(LEN(K59)&gt;0,1,0)+IF(LEN(M59)&gt;0,1,0)+IF(LEN(O59)&gt;0,1,0)+IF(LEN(P59)&gt;0,1,0)+IF(LEN(Q59)&gt;0,1,0)+IF(LEN(S59)&gt;0,1,0)+IF(LEN(AC59)&gt;0,1,0)+IF(LEN(AV59)&gt;0,1,0)+IF(LEN(AW59)&gt;0,1,0)+IF(LEN(AG59)&gt;0,1,0)+IF(LEN(AI59)&gt;0,1,0)+IF(LEN(AJ59)&gt;0,1,0)+IF(LEN(AK59)&gt;0,1,0)+IF(LEN(AL59)&gt;0,1,0)+IF(LEN(AU59)&gt;0,1,0)+IF(LEN(BH59)&gt;0,1,0)+IF(LEN(BU59)&gt;0,1,0))/23,2))</f>
        <v/>
      </c>
      <c r="CA59" s="10" t="str">
        <f aca="false">IF(D59="","",IF(AND(AJ59="Approved",ISERROR(SEARCH("FAIL",BE59))),"Y","N"))</f>
        <v/>
      </c>
      <c r="CB59" s="10" t="str">
        <f aca="false">IF(D59="","",D59&amp;"|"&amp;G59&amp;"|"&amp;H59&amp;"|"&amp;M59&amp;"|"&amp;CA59)</f>
        <v/>
      </c>
    </row>
    <row r="60" customFormat="false" ht="15" hidden="false" customHeight="false" outlineLevel="0" collapsed="false">
      <c r="A60" s="10" t="str">
        <f aca="false">IF(D60="","","DRN-"&amp;IFERROR(VLOOKUP(D60,Lists!$A$4:$B$27,2,0),"??")&amp;"-"&amp;TEXT(G60,"0000")&amp;"x"&amp;TEXT(H60,"0000")&amp;IF(N(I60)&gt;1,"-"&amp;I60&amp;"C","")&amp;"-"&amp;IFERROR(VLOOKUP(M60,Lists!$J$4:$K$19,2,0),"??")&amp;"-"&amp;AI60)</f>
        <v/>
      </c>
      <c r="B60" s="10" t="str">
        <f aca="false">IF(D60="","",D60&amp;" "&amp;G60&amp;"W x "&amp;H60&amp;"D"&amp;IF(N(I60)&gt;1," ("&amp;I60&amp;" cells)","")&amp;", "&amp;E60&amp;", "&amp;M60&amp;", "&amp;F60)</f>
        <v/>
      </c>
      <c r="C60" s="9"/>
      <c r="D60" s="9"/>
      <c r="E60" s="9"/>
      <c r="F60" s="9"/>
      <c r="G60" s="38"/>
      <c r="H60" s="38"/>
      <c r="I60" s="38"/>
      <c r="J60" s="38"/>
      <c r="K60" s="38"/>
      <c r="L60" s="38"/>
      <c r="M60" s="9"/>
      <c r="N60" s="9"/>
      <c r="O60" s="9"/>
      <c r="P60" s="38"/>
      <c r="Q60" s="9"/>
      <c r="R60" s="9"/>
      <c r="S60" s="9"/>
      <c r="T60" s="9"/>
      <c r="U60" s="9"/>
      <c r="V60" s="9"/>
      <c r="W60" s="9"/>
      <c r="X60" s="9"/>
      <c r="Y60" s="9"/>
      <c r="Z60" s="9"/>
      <c r="AA60" s="9"/>
      <c r="AB60" s="39"/>
      <c r="AC60" s="9"/>
      <c r="AD60" s="38"/>
      <c r="AE60" s="9"/>
      <c r="AF60" s="39"/>
      <c r="AG60" s="9"/>
      <c r="AH60" s="9"/>
      <c r="AI60" s="9"/>
      <c r="AJ60" s="9"/>
      <c r="AK60" s="9"/>
      <c r="AL60" s="9"/>
      <c r="AM60" s="9"/>
      <c r="AN60" s="10" t="str">
        <f aca="false">IF(A60="","",SG_Criteria!$B$6&amp;SG_Criteria!$B$7&amp;"\"&amp;A60&amp;"\")</f>
        <v/>
      </c>
      <c r="AO60" s="10" t="str">
        <f aca="false">IF(A60="","",A60&amp;"_CAD.dwg")</f>
        <v/>
      </c>
      <c r="AP60" s="10" t="str">
        <f aca="false">IF(A60="","",A60&amp;"_DWG.pdf")</f>
        <v/>
      </c>
      <c r="AQ60" s="10" t="str">
        <f aca="false">IF(A60="","",IF(AM60="Y",A60&amp;"_STAAD.std","n/a"))</f>
        <v/>
      </c>
      <c r="AR60" s="10" t="str">
        <f aca="false">IF(A60="","",A60&amp;"_CALC.xlsx")</f>
        <v/>
      </c>
      <c r="AS60" s="10" t="str">
        <f aca="false">IF(A60="","",A60&amp;"_CALC.pdf")</f>
        <v/>
      </c>
      <c r="AT60" s="9"/>
      <c r="AU60" s="9"/>
      <c r="AV60" s="39"/>
      <c r="AW60" s="39"/>
      <c r="AX60" s="39"/>
      <c r="AY60" s="39"/>
      <c r="AZ60" s="39"/>
      <c r="BA60" s="12" t="str">
        <f aca="false">IF(A60="","",IF(COUNTIF(Rebar_Schedule!$A$5:$A$2004,A60)=0,"",ROUND(SUMIF(Rebar_Schedule!$A$5:$A$2004,A60,Rebar_Schedule!$K$5:$K$2004),1)))</f>
        <v/>
      </c>
      <c r="BB60" s="33" t="str">
        <f aca="false">IF(A60="","",IF(BA60="","No rebar schedule yet",IF(ABS(BA60-N(AW60))/MAX(N(AW60),1)&gt;SG_Criteria!$B$55,"NOTE: register rebar differs from schedule by "&amp;TEXT(ABS(BA60-N(AW60))/MAX(N(AW60),1),"0%"),"OK")))</f>
        <v/>
      </c>
      <c r="BC60" s="34" t="str">
        <f aca="false">IF(OR(D60="",G60="",H60="",D60="Sump",D60="Drop Inlet Chamber",D60="Silt Trap",D60="Pipe Culvert",D60="Subsoil Drain"),"",ROUND(MAX(1,N(I60))*(1/SG_Criteria!$B$26)*((G60/1000)*(H60/1000*(1-SG_Criteria!$B$25)))*(((G60/1000)*(H60/1000*(1-SG_Criteria!$B$25)))/((G60/1000)+2*(H60/1000*(1-SG_Criteria!$B$25))))^(2/3)*(1/Design_Selector!$B$11)^0.5,3))</f>
        <v/>
      </c>
      <c r="BD60" s="11" t="str">
        <f aca="false">IF(BC60="","",ROUND(BC60/(MAX(1,N(I60))*G60/1000*(H60/1000*(1-SG_Criteria!$B$25))),2))</f>
        <v/>
      </c>
      <c r="BE60" s="33" t="str">
        <f aca="false">IF(D60="","",IF(LEN(IF(AND(OR(E60="Roadside drain",E60="Entrance culvert"),OR(G60&lt;SG_Criteria!$B$15,H60&lt;SG_Criteria!$B$16)),"FAIL: below PUB min "&amp;SG_Criteria!$B$15&amp;"x"&amp;SG_Criteria!$B$16&amp;" for roadside drain. ","")&amp;IF(AND(E60="Common drain",G60&lt;SG_Criteria!$B$17),"FAIL: common drain W &lt; "&amp;SG_Criteria!$B$17&amp;" mm. ","")&amp;IF(AND(O60&lt;&gt;"",IFERROR(VALUE(MID(O60,2,2)),0)&lt;SG_Criteria!$B$19),"FAIL: grade below C"&amp;SG_Criteria!$B$19&amp;". ","")&amp;IF(AND(P60&lt;&gt;"",P60&lt;SG_Criteria!$B$20),"FAIL: cover &lt; "&amp;SG_Criteria!$B$20&amp;" mm. ","")&amp;IF(AND(F60="Open",H60&gt;SG_Criteria!$B$18),"NOTE: safety railing required (D &gt; "&amp;SG_Criteria!$B$18&amp;" mm). ","")&amp;IF(AND(E60="Entrance culvert",H60&lt;600),"NOTE: check hinged grating rule for culverts &lt; 600 deep (PUB Add. 3). ",""))=0,"OK",IF(AND(OR(E60="Roadside drain",E60="Entrance culvert"),OR(G60&lt;SG_Criteria!$B$15,H60&lt;SG_Criteria!$B$16)),"FAIL: below PUB min "&amp;SG_Criteria!$B$15&amp;"x"&amp;SG_Criteria!$B$16&amp;" for roadside drain. ","")&amp;IF(AND(E60="Common drain",G60&lt;SG_Criteria!$B$17),"FAIL: common drain W &lt; "&amp;SG_Criteria!$B$17&amp;" mm. ","")&amp;IF(AND(O60&lt;&gt;"",IFERROR(VALUE(MID(O60,2,2)),0)&lt;SG_Criteria!$B$19),"FAIL: grade below C"&amp;SG_Criteria!$B$19&amp;". ","")&amp;IF(AND(P60&lt;&gt;"",P60&lt;SG_Criteria!$B$20),"FAIL: cover &lt; "&amp;SG_Criteria!$B$20&amp;" mm. ","")&amp;IF(AND(F60="Open",H60&gt;SG_Criteria!$B$18),"NOTE: safety railing required (D &gt; "&amp;SG_Criteria!$B$18&amp;" mm). ","")&amp;IF(AND(E60="Entrance culvert",H60&lt;600),"NOTE: check hinged grating rule for culverts &lt; 600 deep (PUB Add. 3). ","")))</f>
        <v/>
      </c>
      <c r="BF60" s="9"/>
      <c r="BG60" s="9"/>
      <c r="BH60" s="9"/>
      <c r="BI60" s="10" t="str">
        <f aca="false">IF(BH60="","",IFERROR(VLOOKUP(BH60,Projects!$A$5:$D$504,2,0),"Ref not in Projects"))</f>
        <v/>
      </c>
      <c r="BJ60" s="10" t="str">
        <f aca="false">IF(BH60="","",IFERROR(VLOOKUP(BH60,Projects!$A$5:$D$504,4,0),"Ref not in Projects"))</f>
        <v/>
      </c>
      <c r="BK60" s="9"/>
      <c r="BL60" s="9"/>
      <c r="BM60" s="9"/>
      <c r="BN60" s="40"/>
      <c r="BO60" s="9"/>
      <c r="BP60" s="40"/>
      <c r="BQ60" s="9"/>
      <c r="BR60" s="40"/>
      <c r="BS60" s="9"/>
      <c r="BT60" s="9"/>
      <c r="BU60" s="9"/>
      <c r="BV60" s="40"/>
      <c r="BW60" s="40"/>
      <c r="BX60" s="36" t="str">
        <f aca="false">IF(BW60="","",EDATE(BW60,SG_Criteria!$B$54*12))</f>
        <v/>
      </c>
      <c r="BY60" s="33" t="str">
        <f aca="true">IF(A60="","",IF(BW60="","NOTE: not reviewed yet",IF(TODAY()&gt;BX60,"NOTE: review overdue","OK")))</f>
        <v/>
      </c>
      <c r="BZ60" s="37" t="str">
        <f aca="false">IF(A60="","",ROUND((IF(LEN(D60)&gt;0,1,0)+IF(LEN(E60)&gt;0,1,0)+IF(LEN(F60)&gt;0,1,0)+IF(LEN(G60)&gt;0,1,0)+IF(LEN(H60)&gt;0,1,0)+IF(LEN(J60)&gt;0,1,0)+IF(LEN(K60)&gt;0,1,0)+IF(LEN(M60)&gt;0,1,0)+IF(LEN(O60)&gt;0,1,0)+IF(LEN(P60)&gt;0,1,0)+IF(LEN(Q60)&gt;0,1,0)+IF(LEN(S60)&gt;0,1,0)+IF(LEN(AC60)&gt;0,1,0)+IF(LEN(AV60)&gt;0,1,0)+IF(LEN(AW60)&gt;0,1,0)+IF(LEN(AG60)&gt;0,1,0)+IF(LEN(AI60)&gt;0,1,0)+IF(LEN(AJ60)&gt;0,1,0)+IF(LEN(AK60)&gt;0,1,0)+IF(LEN(AL60)&gt;0,1,0)+IF(LEN(AU60)&gt;0,1,0)+IF(LEN(BH60)&gt;0,1,0)+IF(LEN(BU60)&gt;0,1,0))/23,2))</f>
        <v/>
      </c>
      <c r="CA60" s="10" t="str">
        <f aca="false">IF(D60="","",IF(AND(AJ60="Approved",ISERROR(SEARCH("FAIL",BE60))),"Y","N"))</f>
        <v/>
      </c>
      <c r="CB60" s="10" t="str">
        <f aca="false">IF(D60="","",D60&amp;"|"&amp;G60&amp;"|"&amp;H60&amp;"|"&amp;M60&amp;"|"&amp;CA60)</f>
        <v/>
      </c>
    </row>
    <row r="61" customFormat="false" ht="15" hidden="false" customHeight="false" outlineLevel="0" collapsed="false">
      <c r="A61" s="10" t="str">
        <f aca="false">IF(D61="","","DRN-"&amp;IFERROR(VLOOKUP(D61,Lists!$A$4:$B$27,2,0),"??")&amp;"-"&amp;TEXT(G61,"0000")&amp;"x"&amp;TEXT(H61,"0000")&amp;IF(N(I61)&gt;1,"-"&amp;I61&amp;"C","")&amp;"-"&amp;IFERROR(VLOOKUP(M61,Lists!$J$4:$K$19,2,0),"??")&amp;"-"&amp;AI61)</f>
        <v/>
      </c>
      <c r="B61" s="10" t="str">
        <f aca="false">IF(D61="","",D61&amp;" "&amp;G61&amp;"W x "&amp;H61&amp;"D"&amp;IF(N(I61)&gt;1," ("&amp;I61&amp;" cells)","")&amp;", "&amp;E61&amp;", "&amp;M61&amp;", "&amp;F61)</f>
        <v/>
      </c>
      <c r="C61" s="9"/>
      <c r="D61" s="9"/>
      <c r="E61" s="9"/>
      <c r="F61" s="9"/>
      <c r="G61" s="38"/>
      <c r="H61" s="38"/>
      <c r="I61" s="38"/>
      <c r="J61" s="38"/>
      <c r="K61" s="38"/>
      <c r="L61" s="38"/>
      <c r="M61" s="9"/>
      <c r="N61" s="9"/>
      <c r="O61" s="9"/>
      <c r="P61" s="38"/>
      <c r="Q61" s="9"/>
      <c r="R61" s="9"/>
      <c r="S61" s="9"/>
      <c r="T61" s="9"/>
      <c r="U61" s="9"/>
      <c r="V61" s="9"/>
      <c r="W61" s="9"/>
      <c r="X61" s="9"/>
      <c r="Y61" s="9"/>
      <c r="Z61" s="9"/>
      <c r="AA61" s="9"/>
      <c r="AB61" s="39"/>
      <c r="AC61" s="9"/>
      <c r="AD61" s="38"/>
      <c r="AE61" s="9"/>
      <c r="AF61" s="39"/>
      <c r="AG61" s="9"/>
      <c r="AH61" s="9"/>
      <c r="AI61" s="9"/>
      <c r="AJ61" s="9"/>
      <c r="AK61" s="9"/>
      <c r="AL61" s="9"/>
      <c r="AM61" s="9"/>
      <c r="AN61" s="10" t="str">
        <f aca="false">IF(A61="","",SG_Criteria!$B$6&amp;SG_Criteria!$B$7&amp;"\"&amp;A61&amp;"\")</f>
        <v/>
      </c>
      <c r="AO61" s="10" t="str">
        <f aca="false">IF(A61="","",A61&amp;"_CAD.dwg")</f>
        <v/>
      </c>
      <c r="AP61" s="10" t="str">
        <f aca="false">IF(A61="","",A61&amp;"_DWG.pdf")</f>
        <v/>
      </c>
      <c r="AQ61" s="10" t="str">
        <f aca="false">IF(A61="","",IF(AM61="Y",A61&amp;"_STAAD.std","n/a"))</f>
        <v/>
      </c>
      <c r="AR61" s="10" t="str">
        <f aca="false">IF(A61="","",A61&amp;"_CALC.xlsx")</f>
        <v/>
      </c>
      <c r="AS61" s="10" t="str">
        <f aca="false">IF(A61="","",A61&amp;"_CALC.pdf")</f>
        <v/>
      </c>
      <c r="AT61" s="9"/>
      <c r="AU61" s="9"/>
      <c r="AV61" s="39"/>
      <c r="AW61" s="39"/>
      <c r="AX61" s="39"/>
      <c r="AY61" s="39"/>
      <c r="AZ61" s="39"/>
      <c r="BA61" s="12" t="str">
        <f aca="false">IF(A61="","",IF(COUNTIF(Rebar_Schedule!$A$5:$A$2004,A61)=0,"",ROUND(SUMIF(Rebar_Schedule!$A$5:$A$2004,A61,Rebar_Schedule!$K$5:$K$2004),1)))</f>
        <v/>
      </c>
      <c r="BB61" s="33" t="str">
        <f aca="false">IF(A61="","",IF(BA61="","No rebar schedule yet",IF(ABS(BA61-N(AW61))/MAX(N(AW61),1)&gt;SG_Criteria!$B$55,"NOTE: register rebar differs from schedule by "&amp;TEXT(ABS(BA61-N(AW61))/MAX(N(AW61),1),"0%"),"OK")))</f>
        <v/>
      </c>
      <c r="BC61" s="34" t="str">
        <f aca="false">IF(OR(D61="",G61="",H61="",D61="Sump",D61="Drop Inlet Chamber",D61="Silt Trap",D61="Pipe Culvert",D61="Subsoil Drain"),"",ROUND(MAX(1,N(I61))*(1/SG_Criteria!$B$26)*((G61/1000)*(H61/1000*(1-SG_Criteria!$B$25)))*(((G61/1000)*(H61/1000*(1-SG_Criteria!$B$25)))/((G61/1000)+2*(H61/1000*(1-SG_Criteria!$B$25))))^(2/3)*(1/Design_Selector!$B$11)^0.5,3))</f>
        <v/>
      </c>
      <c r="BD61" s="11" t="str">
        <f aca="false">IF(BC61="","",ROUND(BC61/(MAX(1,N(I61))*G61/1000*(H61/1000*(1-SG_Criteria!$B$25))),2))</f>
        <v/>
      </c>
      <c r="BE61" s="33" t="str">
        <f aca="false">IF(D61="","",IF(LEN(IF(AND(OR(E61="Roadside drain",E61="Entrance culvert"),OR(G61&lt;SG_Criteria!$B$15,H61&lt;SG_Criteria!$B$16)),"FAIL: below PUB min "&amp;SG_Criteria!$B$15&amp;"x"&amp;SG_Criteria!$B$16&amp;" for roadside drain. ","")&amp;IF(AND(E61="Common drain",G61&lt;SG_Criteria!$B$17),"FAIL: common drain W &lt; "&amp;SG_Criteria!$B$17&amp;" mm. ","")&amp;IF(AND(O61&lt;&gt;"",IFERROR(VALUE(MID(O61,2,2)),0)&lt;SG_Criteria!$B$19),"FAIL: grade below C"&amp;SG_Criteria!$B$19&amp;". ","")&amp;IF(AND(P61&lt;&gt;"",P61&lt;SG_Criteria!$B$20),"FAIL: cover &lt; "&amp;SG_Criteria!$B$20&amp;" mm. ","")&amp;IF(AND(F61="Open",H61&gt;SG_Criteria!$B$18),"NOTE: safety railing required (D &gt; "&amp;SG_Criteria!$B$18&amp;" mm). ","")&amp;IF(AND(E61="Entrance culvert",H61&lt;600),"NOTE: check hinged grating rule for culverts &lt; 600 deep (PUB Add. 3). ",""))=0,"OK",IF(AND(OR(E61="Roadside drain",E61="Entrance culvert"),OR(G61&lt;SG_Criteria!$B$15,H61&lt;SG_Criteria!$B$16)),"FAIL: below PUB min "&amp;SG_Criteria!$B$15&amp;"x"&amp;SG_Criteria!$B$16&amp;" for roadside drain. ","")&amp;IF(AND(E61="Common drain",G61&lt;SG_Criteria!$B$17),"FAIL: common drain W &lt; "&amp;SG_Criteria!$B$17&amp;" mm. ","")&amp;IF(AND(O61&lt;&gt;"",IFERROR(VALUE(MID(O61,2,2)),0)&lt;SG_Criteria!$B$19),"FAIL: grade below C"&amp;SG_Criteria!$B$19&amp;". ","")&amp;IF(AND(P61&lt;&gt;"",P61&lt;SG_Criteria!$B$20),"FAIL: cover &lt; "&amp;SG_Criteria!$B$20&amp;" mm. ","")&amp;IF(AND(F61="Open",H61&gt;SG_Criteria!$B$18),"NOTE: safety railing required (D &gt; "&amp;SG_Criteria!$B$18&amp;" mm). ","")&amp;IF(AND(E61="Entrance culvert",H61&lt;600),"NOTE: check hinged grating rule for culverts &lt; 600 deep (PUB Add. 3). ","")))</f>
        <v/>
      </c>
      <c r="BF61" s="9"/>
      <c r="BG61" s="9"/>
      <c r="BH61" s="9"/>
      <c r="BI61" s="10" t="str">
        <f aca="false">IF(BH61="","",IFERROR(VLOOKUP(BH61,Projects!$A$5:$D$504,2,0),"Ref not in Projects"))</f>
        <v/>
      </c>
      <c r="BJ61" s="10" t="str">
        <f aca="false">IF(BH61="","",IFERROR(VLOOKUP(BH61,Projects!$A$5:$D$504,4,0),"Ref not in Projects"))</f>
        <v/>
      </c>
      <c r="BK61" s="9"/>
      <c r="BL61" s="9"/>
      <c r="BM61" s="9"/>
      <c r="BN61" s="40"/>
      <c r="BO61" s="9"/>
      <c r="BP61" s="40"/>
      <c r="BQ61" s="9"/>
      <c r="BR61" s="40"/>
      <c r="BS61" s="9"/>
      <c r="BT61" s="9"/>
      <c r="BU61" s="9"/>
      <c r="BV61" s="40"/>
      <c r="BW61" s="40"/>
      <c r="BX61" s="36" t="str">
        <f aca="false">IF(BW61="","",EDATE(BW61,SG_Criteria!$B$54*12))</f>
        <v/>
      </c>
      <c r="BY61" s="33" t="str">
        <f aca="true">IF(A61="","",IF(BW61="","NOTE: not reviewed yet",IF(TODAY()&gt;BX61,"NOTE: review overdue","OK")))</f>
        <v/>
      </c>
      <c r="BZ61" s="37" t="str">
        <f aca="false">IF(A61="","",ROUND((IF(LEN(D61)&gt;0,1,0)+IF(LEN(E61)&gt;0,1,0)+IF(LEN(F61)&gt;0,1,0)+IF(LEN(G61)&gt;0,1,0)+IF(LEN(H61)&gt;0,1,0)+IF(LEN(J61)&gt;0,1,0)+IF(LEN(K61)&gt;0,1,0)+IF(LEN(M61)&gt;0,1,0)+IF(LEN(O61)&gt;0,1,0)+IF(LEN(P61)&gt;0,1,0)+IF(LEN(Q61)&gt;0,1,0)+IF(LEN(S61)&gt;0,1,0)+IF(LEN(AC61)&gt;0,1,0)+IF(LEN(AV61)&gt;0,1,0)+IF(LEN(AW61)&gt;0,1,0)+IF(LEN(AG61)&gt;0,1,0)+IF(LEN(AI61)&gt;0,1,0)+IF(LEN(AJ61)&gt;0,1,0)+IF(LEN(AK61)&gt;0,1,0)+IF(LEN(AL61)&gt;0,1,0)+IF(LEN(AU61)&gt;0,1,0)+IF(LEN(BH61)&gt;0,1,0)+IF(LEN(BU61)&gt;0,1,0))/23,2))</f>
        <v/>
      </c>
      <c r="CA61" s="10" t="str">
        <f aca="false">IF(D61="","",IF(AND(AJ61="Approved",ISERROR(SEARCH("FAIL",BE61))),"Y","N"))</f>
        <v/>
      </c>
      <c r="CB61" s="10" t="str">
        <f aca="false">IF(D61="","",D61&amp;"|"&amp;G61&amp;"|"&amp;H61&amp;"|"&amp;M61&amp;"|"&amp;CA61)</f>
        <v/>
      </c>
    </row>
    <row r="62" customFormat="false" ht="15" hidden="false" customHeight="false" outlineLevel="0" collapsed="false">
      <c r="A62" s="10" t="str">
        <f aca="false">IF(D62="","","DRN-"&amp;IFERROR(VLOOKUP(D62,Lists!$A$4:$B$27,2,0),"??")&amp;"-"&amp;TEXT(G62,"0000")&amp;"x"&amp;TEXT(H62,"0000")&amp;IF(N(I62)&gt;1,"-"&amp;I62&amp;"C","")&amp;"-"&amp;IFERROR(VLOOKUP(M62,Lists!$J$4:$K$19,2,0),"??")&amp;"-"&amp;AI62)</f>
        <v/>
      </c>
      <c r="B62" s="10" t="str">
        <f aca="false">IF(D62="","",D62&amp;" "&amp;G62&amp;"W x "&amp;H62&amp;"D"&amp;IF(N(I62)&gt;1," ("&amp;I62&amp;" cells)","")&amp;", "&amp;E62&amp;", "&amp;M62&amp;", "&amp;F62)</f>
        <v/>
      </c>
      <c r="C62" s="9"/>
      <c r="D62" s="9"/>
      <c r="E62" s="9"/>
      <c r="F62" s="9"/>
      <c r="G62" s="38"/>
      <c r="H62" s="38"/>
      <c r="I62" s="38"/>
      <c r="J62" s="38"/>
      <c r="K62" s="38"/>
      <c r="L62" s="38"/>
      <c r="M62" s="9"/>
      <c r="N62" s="9"/>
      <c r="O62" s="9"/>
      <c r="P62" s="38"/>
      <c r="Q62" s="9"/>
      <c r="R62" s="9"/>
      <c r="S62" s="9"/>
      <c r="T62" s="9"/>
      <c r="U62" s="9"/>
      <c r="V62" s="9"/>
      <c r="W62" s="9"/>
      <c r="X62" s="9"/>
      <c r="Y62" s="9"/>
      <c r="Z62" s="9"/>
      <c r="AA62" s="9"/>
      <c r="AB62" s="39"/>
      <c r="AC62" s="9"/>
      <c r="AD62" s="38"/>
      <c r="AE62" s="9"/>
      <c r="AF62" s="39"/>
      <c r="AG62" s="9"/>
      <c r="AH62" s="9"/>
      <c r="AI62" s="9"/>
      <c r="AJ62" s="9"/>
      <c r="AK62" s="9"/>
      <c r="AL62" s="9"/>
      <c r="AM62" s="9"/>
      <c r="AN62" s="10" t="str">
        <f aca="false">IF(A62="","",SG_Criteria!$B$6&amp;SG_Criteria!$B$7&amp;"\"&amp;A62&amp;"\")</f>
        <v/>
      </c>
      <c r="AO62" s="10" t="str">
        <f aca="false">IF(A62="","",A62&amp;"_CAD.dwg")</f>
        <v/>
      </c>
      <c r="AP62" s="10" t="str">
        <f aca="false">IF(A62="","",A62&amp;"_DWG.pdf")</f>
        <v/>
      </c>
      <c r="AQ62" s="10" t="str">
        <f aca="false">IF(A62="","",IF(AM62="Y",A62&amp;"_STAAD.std","n/a"))</f>
        <v/>
      </c>
      <c r="AR62" s="10" t="str">
        <f aca="false">IF(A62="","",A62&amp;"_CALC.xlsx")</f>
        <v/>
      </c>
      <c r="AS62" s="10" t="str">
        <f aca="false">IF(A62="","",A62&amp;"_CALC.pdf")</f>
        <v/>
      </c>
      <c r="AT62" s="9"/>
      <c r="AU62" s="9"/>
      <c r="AV62" s="39"/>
      <c r="AW62" s="39"/>
      <c r="AX62" s="39"/>
      <c r="AY62" s="39"/>
      <c r="AZ62" s="39"/>
      <c r="BA62" s="12" t="str">
        <f aca="false">IF(A62="","",IF(COUNTIF(Rebar_Schedule!$A$5:$A$2004,A62)=0,"",ROUND(SUMIF(Rebar_Schedule!$A$5:$A$2004,A62,Rebar_Schedule!$K$5:$K$2004),1)))</f>
        <v/>
      </c>
      <c r="BB62" s="33" t="str">
        <f aca="false">IF(A62="","",IF(BA62="","No rebar schedule yet",IF(ABS(BA62-N(AW62))/MAX(N(AW62),1)&gt;SG_Criteria!$B$55,"NOTE: register rebar differs from schedule by "&amp;TEXT(ABS(BA62-N(AW62))/MAX(N(AW62),1),"0%"),"OK")))</f>
        <v/>
      </c>
      <c r="BC62" s="34" t="str">
        <f aca="false">IF(OR(D62="",G62="",H62="",D62="Sump",D62="Drop Inlet Chamber",D62="Silt Trap",D62="Pipe Culvert",D62="Subsoil Drain"),"",ROUND(MAX(1,N(I62))*(1/SG_Criteria!$B$26)*((G62/1000)*(H62/1000*(1-SG_Criteria!$B$25)))*(((G62/1000)*(H62/1000*(1-SG_Criteria!$B$25)))/((G62/1000)+2*(H62/1000*(1-SG_Criteria!$B$25))))^(2/3)*(1/Design_Selector!$B$11)^0.5,3))</f>
        <v/>
      </c>
      <c r="BD62" s="11" t="str">
        <f aca="false">IF(BC62="","",ROUND(BC62/(MAX(1,N(I62))*G62/1000*(H62/1000*(1-SG_Criteria!$B$25))),2))</f>
        <v/>
      </c>
      <c r="BE62" s="33" t="str">
        <f aca="false">IF(D62="","",IF(LEN(IF(AND(OR(E62="Roadside drain",E62="Entrance culvert"),OR(G62&lt;SG_Criteria!$B$15,H62&lt;SG_Criteria!$B$16)),"FAIL: below PUB min "&amp;SG_Criteria!$B$15&amp;"x"&amp;SG_Criteria!$B$16&amp;" for roadside drain. ","")&amp;IF(AND(E62="Common drain",G62&lt;SG_Criteria!$B$17),"FAIL: common drain W &lt; "&amp;SG_Criteria!$B$17&amp;" mm. ","")&amp;IF(AND(O62&lt;&gt;"",IFERROR(VALUE(MID(O62,2,2)),0)&lt;SG_Criteria!$B$19),"FAIL: grade below C"&amp;SG_Criteria!$B$19&amp;". ","")&amp;IF(AND(P62&lt;&gt;"",P62&lt;SG_Criteria!$B$20),"FAIL: cover &lt; "&amp;SG_Criteria!$B$20&amp;" mm. ","")&amp;IF(AND(F62="Open",H62&gt;SG_Criteria!$B$18),"NOTE: safety railing required (D &gt; "&amp;SG_Criteria!$B$18&amp;" mm). ","")&amp;IF(AND(E62="Entrance culvert",H62&lt;600),"NOTE: check hinged grating rule for culverts &lt; 600 deep (PUB Add. 3). ",""))=0,"OK",IF(AND(OR(E62="Roadside drain",E62="Entrance culvert"),OR(G62&lt;SG_Criteria!$B$15,H62&lt;SG_Criteria!$B$16)),"FAIL: below PUB min "&amp;SG_Criteria!$B$15&amp;"x"&amp;SG_Criteria!$B$16&amp;" for roadside drain. ","")&amp;IF(AND(E62="Common drain",G62&lt;SG_Criteria!$B$17),"FAIL: common drain W &lt; "&amp;SG_Criteria!$B$17&amp;" mm. ","")&amp;IF(AND(O62&lt;&gt;"",IFERROR(VALUE(MID(O62,2,2)),0)&lt;SG_Criteria!$B$19),"FAIL: grade below C"&amp;SG_Criteria!$B$19&amp;". ","")&amp;IF(AND(P62&lt;&gt;"",P62&lt;SG_Criteria!$B$20),"FAIL: cover &lt; "&amp;SG_Criteria!$B$20&amp;" mm. ","")&amp;IF(AND(F62="Open",H62&gt;SG_Criteria!$B$18),"NOTE: safety railing required (D &gt; "&amp;SG_Criteria!$B$18&amp;" mm). ","")&amp;IF(AND(E62="Entrance culvert",H62&lt;600),"NOTE: check hinged grating rule for culverts &lt; 600 deep (PUB Add. 3). ","")))</f>
        <v/>
      </c>
      <c r="BF62" s="9"/>
      <c r="BG62" s="9"/>
      <c r="BH62" s="9"/>
      <c r="BI62" s="10" t="str">
        <f aca="false">IF(BH62="","",IFERROR(VLOOKUP(BH62,Projects!$A$5:$D$504,2,0),"Ref not in Projects"))</f>
        <v/>
      </c>
      <c r="BJ62" s="10" t="str">
        <f aca="false">IF(BH62="","",IFERROR(VLOOKUP(BH62,Projects!$A$5:$D$504,4,0),"Ref not in Projects"))</f>
        <v/>
      </c>
      <c r="BK62" s="9"/>
      <c r="BL62" s="9"/>
      <c r="BM62" s="9"/>
      <c r="BN62" s="40"/>
      <c r="BO62" s="9"/>
      <c r="BP62" s="40"/>
      <c r="BQ62" s="9"/>
      <c r="BR62" s="40"/>
      <c r="BS62" s="9"/>
      <c r="BT62" s="9"/>
      <c r="BU62" s="9"/>
      <c r="BV62" s="40"/>
      <c r="BW62" s="40"/>
      <c r="BX62" s="36" t="str">
        <f aca="false">IF(BW62="","",EDATE(BW62,SG_Criteria!$B$54*12))</f>
        <v/>
      </c>
      <c r="BY62" s="33" t="str">
        <f aca="true">IF(A62="","",IF(BW62="","NOTE: not reviewed yet",IF(TODAY()&gt;BX62,"NOTE: review overdue","OK")))</f>
        <v/>
      </c>
      <c r="BZ62" s="37" t="str">
        <f aca="false">IF(A62="","",ROUND((IF(LEN(D62)&gt;0,1,0)+IF(LEN(E62)&gt;0,1,0)+IF(LEN(F62)&gt;0,1,0)+IF(LEN(G62)&gt;0,1,0)+IF(LEN(H62)&gt;0,1,0)+IF(LEN(J62)&gt;0,1,0)+IF(LEN(K62)&gt;0,1,0)+IF(LEN(M62)&gt;0,1,0)+IF(LEN(O62)&gt;0,1,0)+IF(LEN(P62)&gt;0,1,0)+IF(LEN(Q62)&gt;0,1,0)+IF(LEN(S62)&gt;0,1,0)+IF(LEN(AC62)&gt;0,1,0)+IF(LEN(AV62)&gt;0,1,0)+IF(LEN(AW62)&gt;0,1,0)+IF(LEN(AG62)&gt;0,1,0)+IF(LEN(AI62)&gt;0,1,0)+IF(LEN(AJ62)&gt;0,1,0)+IF(LEN(AK62)&gt;0,1,0)+IF(LEN(AL62)&gt;0,1,0)+IF(LEN(AU62)&gt;0,1,0)+IF(LEN(BH62)&gt;0,1,0)+IF(LEN(BU62)&gt;0,1,0))/23,2))</f>
        <v/>
      </c>
      <c r="CA62" s="10" t="str">
        <f aca="false">IF(D62="","",IF(AND(AJ62="Approved",ISERROR(SEARCH("FAIL",BE62))),"Y","N"))</f>
        <v/>
      </c>
      <c r="CB62" s="10" t="str">
        <f aca="false">IF(D62="","",D62&amp;"|"&amp;G62&amp;"|"&amp;H62&amp;"|"&amp;M62&amp;"|"&amp;CA62)</f>
        <v/>
      </c>
    </row>
    <row r="63" customFormat="false" ht="15" hidden="false" customHeight="false" outlineLevel="0" collapsed="false">
      <c r="A63" s="10" t="str">
        <f aca="false">IF(D63="","","DRN-"&amp;IFERROR(VLOOKUP(D63,Lists!$A$4:$B$27,2,0),"??")&amp;"-"&amp;TEXT(G63,"0000")&amp;"x"&amp;TEXT(H63,"0000")&amp;IF(N(I63)&gt;1,"-"&amp;I63&amp;"C","")&amp;"-"&amp;IFERROR(VLOOKUP(M63,Lists!$J$4:$K$19,2,0),"??")&amp;"-"&amp;AI63)</f>
        <v/>
      </c>
      <c r="B63" s="10" t="str">
        <f aca="false">IF(D63="","",D63&amp;" "&amp;G63&amp;"W x "&amp;H63&amp;"D"&amp;IF(N(I63)&gt;1," ("&amp;I63&amp;" cells)","")&amp;", "&amp;E63&amp;", "&amp;M63&amp;", "&amp;F63)</f>
        <v/>
      </c>
      <c r="C63" s="9"/>
      <c r="D63" s="9"/>
      <c r="E63" s="9"/>
      <c r="F63" s="9"/>
      <c r="G63" s="38"/>
      <c r="H63" s="38"/>
      <c r="I63" s="38"/>
      <c r="J63" s="38"/>
      <c r="K63" s="38"/>
      <c r="L63" s="38"/>
      <c r="M63" s="9"/>
      <c r="N63" s="9"/>
      <c r="O63" s="9"/>
      <c r="P63" s="38"/>
      <c r="Q63" s="9"/>
      <c r="R63" s="9"/>
      <c r="S63" s="9"/>
      <c r="T63" s="9"/>
      <c r="U63" s="9"/>
      <c r="V63" s="9"/>
      <c r="W63" s="9"/>
      <c r="X63" s="9"/>
      <c r="Y63" s="9"/>
      <c r="Z63" s="9"/>
      <c r="AA63" s="9"/>
      <c r="AB63" s="39"/>
      <c r="AC63" s="9"/>
      <c r="AD63" s="38"/>
      <c r="AE63" s="9"/>
      <c r="AF63" s="39"/>
      <c r="AG63" s="9"/>
      <c r="AH63" s="9"/>
      <c r="AI63" s="9"/>
      <c r="AJ63" s="9"/>
      <c r="AK63" s="9"/>
      <c r="AL63" s="9"/>
      <c r="AM63" s="9"/>
      <c r="AN63" s="10" t="str">
        <f aca="false">IF(A63="","",SG_Criteria!$B$6&amp;SG_Criteria!$B$7&amp;"\"&amp;A63&amp;"\")</f>
        <v/>
      </c>
      <c r="AO63" s="10" t="str">
        <f aca="false">IF(A63="","",A63&amp;"_CAD.dwg")</f>
        <v/>
      </c>
      <c r="AP63" s="10" t="str">
        <f aca="false">IF(A63="","",A63&amp;"_DWG.pdf")</f>
        <v/>
      </c>
      <c r="AQ63" s="10" t="str">
        <f aca="false">IF(A63="","",IF(AM63="Y",A63&amp;"_STAAD.std","n/a"))</f>
        <v/>
      </c>
      <c r="AR63" s="10" t="str">
        <f aca="false">IF(A63="","",A63&amp;"_CALC.xlsx")</f>
        <v/>
      </c>
      <c r="AS63" s="10" t="str">
        <f aca="false">IF(A63="","",A63&amp;"_CALC.pdf")</f>
        <v/>
      </c>
      <c r="AT63" s="9"/>
      <c r="AU63" s="9"/>
      <c r="AV63" s="39"/>
      <c r="AW63" s="39"/>
      <c r="AX63" s="39"/>
      <c r="AY63" s="39"/>
      <c r="AZ63" s="39"/>
      <c r="BA63" s="12" t="str">
        <f aca="false">IF(A63="","",IF(COUNTIF(Rebar_Schedule!$A$5:$A$2004,A63)=0,"",ROUND(SUMIF(Rebar_Schedule!$A$5:$A$2004,A63,Rebar_Schedule!$K$5:$K$2004),1)))</f>
        <v/>
      </c>
      <c r="BB63" s="33" t="str">
        <f aca="false">IF(A63="","",IF(BA63="","No rebar schedule yet",IF(ABS(BA63-N(AW63))/MAX(N(AW63),1)&gt;SG_Criteria!$B$55,"NOTE: register rebar differs from schedule by "&amp;TEXT(ABS(BA63-N(AW63))/MAX(N(AW63),1),"0%"),"OK")))</f>
        <v/>
      </c>
      <c r="BC63" s="34" t="str">
        <f aca="false">IF(OR(D63="",G63="",H63="",D63="Sump",D63="Drop Inlet Chamber",D63="Silt Trap",D63="Pipe Culvert",D63="Subsoil Drain"),"",ROUND(MAX(1,N(I63))*(1/SG_Criteria!$B$26)*((G63/1000)*(H63/1000*(1-SG_Criteria!$B$25)))*(((G63/1000)*(H63/1000*(1-SG_Criteria!$B$25)))/((G63/1000)+2*(H63/1000*(1-SG_Criteria!$B$25))))^(2/3)*(1/Design_Selector!$B$11)^0.5,3))</f>
        <v/>
      </c>
      <c r="BD63" s="11" t="str">
        <f aca="false">IF(BC63="","",ROUND(BC63/(MAX(1,N(I63))*G63/1000*(H63/1000*(1-SG_Criteria!$B$25))),2))</f>
        <v/>
      </c>
      <c r="BE63" s="33" t="str">
        <f aca="false">IF(D63="","",IF(LEN(IF(AND(OR(E63="Roadside drain",E63="Entrance culvert"),OR(G63&lt;SG_Criteria!$B$15,H63&lt;SG_Criteria!$B$16)),"FAIL: below PUB min "&amp;SG_Criteria!$B$15&amp;"x"&amp;SG_Criteria!$B$16&amp;" for roadside drain. ","")&amp;IF(AND(E63="Common drain",G63&lt;SG_Criteria!$B$17),"FAIL: common drain W &lt; "&amp;SG_Criteria!$B$17&amp;" mm. ","")&amp;IF(AND(O63&lt;&gt;"",IFERROR(VALUE(MID(O63,2,2)),0)&lt;SG_Criteria!$B$19),"FAIL: grade below C"&amp;SG_Criteria!$B$19&amp;". ","")&amp;IF(AND(P63&lt;&gt;"",P63&lt;SG_Criteria!$B$20),"FAIL: cover &lt; "&amp;SG_Criteria!$B$20&amp;" mm. ","")&amp;IF(AND(F63="Open",H63&gt;SG_Criteria!$B$18),"NOTE: safety railing required (D &gt; "&amp;SG_Criteria!$B$18&amp;" mm). ","")&amp;IF(AND(E63="Entrance culvert",H63&lt;600),"NOTE: check hinged grating rule for culverts &lt; 600 deep (PUB Add. 3). ",""))=0,"OK",IF(AND(OR(E63="Roadside drain",E63="Entrance culvert"),OR(G63&lt;SG_Criteria!$B$15,H63&lt;SG_Criteria!$B$16)),"FAIL: below PUB min "&amp;SG_Criteria!$B$15&amp;"x"&amp;SG_Criteria!$B$16&amp;" for roadside drain. ","")&amp;IF(AND(E63="Common drain",G63&lt;SG_Criteria!$B$17),"FAIL: common drain W &lt; "&amp;SG_Criteria!$B$17&amp;" mm. ","")&amp;IF(AND(O63&lt;&gt;"",IFERROR(VALUE(MID(O63,2,2)),0)&lt;SG_Criteria!$B$19),"FAIL: grade below C"&amp;SG_Criteria!$B$19&amp;". ","")&amp;IF(AND(P63&lt;&gt;"",P63&lt;SG_Criteria!$B$20),"FAIL: cover &lt; "&amp;SG_Criteria!$B$20&amp;" mm. ","")&amp;IF(AND(F63="Open",H63&gt;SG_Criteria!$B$18),"NOTE: safety railing required (D &gt; "&amp;SG_Criteria!$B$18&amp;" mm). ","")&amp;IF(AND(E63="Entrance culvert",H63&lt;600),"NOTE: check hinged grating rule for culverts &lt; 600 deep (PUB Add. 3). ","")))</f>
        <v/>
      </c>
      <c r="BF63" s="9"/>
      <c r="BG63" s="9"/>
      <c r="BH63" s="9"/>
      <c r="BI63" s="10" t="str">
        <f aca="false">IF(BH63="","",IFERROR(VLOOKUP(BH63,Projects!$A$5:$D$504,2,0),"Ref not in Projects"))</f>
        <v/>
      </c>
      <c r="BJ63" s="10" t="str">
        <f aca="false">IF(BH63="","",IFERROR(VLOOKUP(BH63,Projects!$A$5:$D$504,4,0),"Ref not in Projects"))</f>
        <v/>
      </c>
      <c r="BK63" s="9"/>
      <c r="BL63" s="9"/>
      <c r="BM63" s="9"/>
      <c r="BN63" s="40"/>
      <c r="BO63" s="9"/>
      <c r="BP63" s="40"/>
      <c r="BQ63" s="9"/>
      <c r="BR63" s="40"/>
      <c r="BS63" s="9"/>
      <c r="BT63" s="9"/>
      <c r="BU63" s="9"/>
      <c r="BV63" s="40"/>
      <c r="BW63" s="40"/>
      <c r="BX63" s="36" t="str">
        <f aca="false">IF(BW63="","",EDATE(BW63,SG_Criteria!$B$54*12))</f>
        <v/>
      </c>
      <c r="BY63" s="33" t="str">
        <f aca="true">IF(A63="","",IF(BW63="","NOTE: not reviewed yet",IF(TODAY()&gt;BX63,"NOTE: review overdue","OK")))</f>
        <v/>
      </c>
      <c r="BZ63" s="37" t="str">
        <f aca="false">IF(A63="","",ROUND((IF(LEN(D63)&gt;0,1,0)+IF(LEN(E63)&gt;0,1,0)+IF(LEN(F63)&gt;0,1,0)+IF(LEN(G63)&gt;0,1,0)+IF(LEN(H63)&gt;0,1,0)+IF(LEN(J63)&gt;0,1,0)+IF(LEN(K63)&gt;0,1,0)+IF(LEN(M63)&gt;0,1,0)+IF(LEN(O63)&gt;0,1,0)+IF(LEN(P63)&gt;0,1,0)+IF(LEN(Q63)&gt;0,1,0)+IF(LEN(S63)&gt;0,1,0)+IF(LEN(AC63)&gt;0,1,0)+IF(LEN(AV63)&gt;0,1,0)+IF(LEN(AW63)&gt;0,1,0)+IF(LEN(AG63)&gt;0,1,0)+IF(LEN(AI63)&gt;0,1,0)+IF(LEN(AJ63)&gt;0,1,0)+IF(LEN(AK63)&gt;0,1,0)+IF(LEN(AL63)&gt;0,1,0)+IF(LEN(AU63)&gt;0,1,0)+IF(LEN(BH63)&gt;0,1,0)+IF(LEN(BU63)&gt;0,1,0))/23,2))</f>
        <v/>
      </c>
      <c r="CA63" s="10" t="str">
        <f aca="false">IF(D63="","",IF(AND(AJ63="Approved",ISERROR(SEARCH("FAIL",BE63))),"Y","N"))</f>
        <v/>
      </c>
      <c r="CB63" s="10" t="str">
        <f aca="false">IF(D63="","",D63&amp;"|"&amp;G63&amp;"|"&amp;H63&amp;"|"&amp;M63&amp;"|"&amp;CA63)</f>
        <v/>
      </c>
    </row>
    <row r="64" customFormat="false" ht="15" hidden="false" customHeight="false" outlineLevel="0" collapsed="false">
      <c r="A64" s="10" t="str">
        <f aca="false">IF(D64="","","DRN-"&amp;IFERROR(VLOOKUP(D64,Lists!$A$4:$B$27,2,0),"??")&amp;"-"&amp;TEXT(G64,"0000")&amp;"x"&amp;TEXT(H64,"0000")&amp;IF(N(I64)&gt;1,"-"&amp;I64&amp;"C","")&amp;"-"&amp;IFERROR(VLOOKUP(M64,Lists!$J$4:$K$19,2,0),"??")&amp;"-"&amp;AI64)</f>
        <v/>
      </c>
      <c r="B64" s="10" t="str">
        <f aca="false">IF(D64="","",D64&amp;" "&amp;G64&amp;"W x "&amp;H64&amp;"D"&amp;IF(N(I64)&gt;1," ("&amp;I64&amp;" cells)","")&amp;", "&amp;E64&amp;", "&amp;M64&amp;", "&amp;F64)</f>
        <v/>
      </c>
      <c r="C64" s="9"/>
      <c r="D64" s="9"/>
      <c r="E64" s="9"/>
      <c r="F64" s="9"/>
      <c r="G64" s="38"/>
      <c r="H64" s="38"/>
      <c r="I64" s="38"/>
      <c r="J64" s="38"/>
      <c r="K64" s="38"/>
      <c r="L64" s="38"/>
      <c r="M64" s="9"/>
      <c r="N64" s="9"/>
      <c r="O64" s="9"/>
      <c r="P64" s="38"/>
      <c r="Q64" s="9"/>
      <c r="R64" s="9"/>
      <c r="S64" s="9"/>
      <c r="T64" s="9"/>
      <c r="U64" s="9"/>
      <c r="V64" s="9"/>
      <c r="W64" s="9"/>
      <c r="X64" s="9"/>
      <c r="Y64" s="9"/>
      <c r="Z64" s="9"/>
      <c r="AA64" s="9"/>
      <c r="AB64" s="39"/>
      <c r="AC64" s="9"/>
      <c r="AD64" s="38"/>
      <c r="AE64" s="9"/>
      <c r="AF64" s="39"/>
      <c r="AG64" s="9"/>
      <c r="AH64" s="9"/>
      <c r="AI64" s="9"/>
      <c r="AJ64" s="9"/>
      <c r="AK64" s="9"/>
      <c r="AL64" s="9"/>
      <c r="AM64" s="9"/>
      <c r="AN64" s="10" t="str">
        <f aca="false">IF(A64="","",SG_Criteria!$B$6&amp;SG_Criteria!$B$7&amp;"\"&amp;A64&amp;"\")</f>
        <v/>
      </c>
      <c r="AO64" s="10" t="str">
        <f aca="false">IF(A64="","",A64&amp;"_CAD.dwg")</f>
        <v/>
      </c>
      <c r="AP64" s="10" t="str">
        <f aca="false">IF(A64="","",A64&amp;"_DWG.pdf")</f>
        <v/>
      </c>
      <c r="AQ64" s="10" t="str">
        <f aca="false">IF(A64="","",IF(AM64="Y",A64&amp;"_STAAD.std","n/a"))</f>
        <v/>
      </c>
      <c r="AR64" s="10" t="str">
        <f aca="false">IF(A64="","",A64&amp;"_CALC.xlsx")</f>
        <v/>
      </c>
      <c r="AS64" s="10" t="str">
        <f aca="false">IF(A64="","",A64&amp;"_CALC.pdf")</f>
        <v/>
      </c>
      <c r="AT64" s="9"/>
      <c r="AU64" s="9"/>
      <c r="AV64" s="39"/>
      <c r="AW64" s="39"/>
      <c r="AX64" s="39"/>
      <c r="AY64" s="39"/>
      <c r="AZ64" s="39"/>
      <c r="BA64" s="12" t="str">
        <f aca="false">IF(A64="","",IF(COUNTIF(Rebar_Schedule!$A$5:$A$2004,A64)=0,"",ROUND(SUMIF(Rebar_Schedule!$A$5:$A$2004,A64,Rebar_Schedule!$K$5:$K$2004),1)))</f>
        <v/>
      </c>
      <c r="BB64" s="33" t="str">
        <f aca="false">IF(A64="","",IF(BA64="","No rebar schedule yet",IF(ABS(BA64-N(AW64))/MAX(N(AW64),1)&gt;SG_Criteria!$B$55,"NOTE: register rebar differs from schedule by "&amp;TEXT(ABS(BA64-N(AW64))/MAX(N(AW64),1),"0%"),"OK")))</f>
        <v/>
      </c>
      <c r="BC64" s="34" t="str">
        <f aca="false">IF(OR(D64="",G64="",H64="",D64="Sump",D64="Drop Inlet Chamber",D64="Silt Trap",D64="Pipe Culvert",D64="Subsoil Drain"),"",ROUND(MAX(1,N(I64))*(1/SG_Criteria!$B$26)*((G64/1000)*(H64/1000*(1-SG_Criteria!$B$25)))*(((G64/1000)*(H64/1000*(1-SG_Criteria!$B$25)))/((G64/1000)+2*(H64/1000*(1-SG_Criteria!$B$25))))^(2/3)*(1/Design_Selector!$B$11)^0.5,3))</f>
        <v/>
      </c>
      <c r="BD64" s="11" t="str">
        <f aca="false">IF(BC64="","",ROUND(BC64/(MAX(1,N(I64))*G64/1000*(H64/1000*(1-SG_Criteria!$B$25))),2))</f>
        <v/>
      </c>
      <c r="BE64" s="33" t="str">
        <f aca="false">IF(D64="","",IF(LEN(IF(AND(OR(E64="Roadside drain",E64="Entrance culvert"),OR(G64&lt;SG_Criteria!$B$15,H64&lt;SG_Criteria!$B$16)),"FAIL: below PUB min "&amp;SG_Criteria!$B$15&amp;"x"&amp;SG_Criteria!$B$16&amp;" for roadside drain. ","")&amp;IF(AND(E64="Common drain",G64&lt;SG_Criteria!$B$17),"FAIL: common drain W &lt; "&amp;SG_Criteria!$B$17&amp;" mm. ","")&amp;IF(AND(O64&lt;&gt;"",IFERROR(VALUE(MID(O64,2,2)),0)&lt;SG_Criteria!$B$19),"FAIL: grade below C"&amp;SG_Criteria!$B$19&amp;". ","")&amp;IF(AND(P64&lt;&gt;"",P64&lt;SG_Criteria!$B$20),"FAIL: cover &lt; "&amp;SG_Criteria!$B$20&amp;" mm. ","")&amp;IF(AND(F64="Open",H64&gt;SG_Criteria!$B$18),"NOTE: safety railing required (D &gt; "&amp;SG_Criteria!$B$18&amp;" mm). ","")&amp;IF(AND(E64="Entrance culvert",H64&lt;600),"NOTE: check hinged grating rule for culverts &lt; 600 deep (PUB Add. 3). ",""))=0,"OK",IF(AND(OR(E64="Roadside drain",E64="Entrance culvert"),OR(G64&lt;SG_Criteria!$B$15,H64&lt;SG_Criteria!$B$16)),"FAIL: below PUB min "&amp;SG_Criteria!$B$15&amp;"x"&amp;SG_Criteria!$B$16&amp;" for roadside drain. ","")&amp;IF(AND(E64="Common drain",G64&lt;SG_Criteria!$B$17),"FAIL: common drain W &lt; "&amp;SG_Criteria!$B$17&amp;" mm. ","")&amp;IF(AND(O64&lt;&gt;"",IFERROR(VALUE(MID(O64,2,2)),0)&lt;SG_Criteria!$B$19),"FAIL: grade below C"&amp;SG_Criteria!$B$19&amp;". ","")&amp;IF(AND(P64&lt;&gt;"",P64&lt;SG_Criteria!$B$20),"FAIL: cover &lt; "&amp;SG_Criteria!$B$20&amp;" mm. ","")&amp;IF(AND(F64="Open",H64&gt;SG_Criteria!$B$18),"NOTE: safety railing required (D &gt; "&amp;SG_Criteria!$B$18&amp;" mm). ","")&amp;IF(AND(E64="Entrance culvert",H64&lt;600),"NOTE: check hinged grating rule for culverts &lt; 600 deep (PUB Add. 3). ","")))</f>
        <v/>
      </c>
      <c r="BF64" s="9"/>
      <c r="BG64" s="9"/>
      <c r="BH64" s="9"/>
      <c r="BI64" s="10" t="str">
        <f aca="false">IF(BH64="","",IFERROR(VLOOKUP(BH64,Projects!$A$5:$D$504,2,0),"Ref not in Projects"))</f>
        <v/>
      </c>
      <c r="BJ64" s="10" t="str">
        <f aca="false">IF(BH64="","",IFERROR(VLOOKUP(BH64,Projects!$A$5:$D$504,4,0),"Ref not in Projects"))</f>
        <v/>
      </c>
      <c r="BK64" s="9"/>
      <c r="BL64" s="9"/>
      <c r="BM64" s="9"/>
      <c r="BN64" s="40"/>
      <c r="BO64" s="9"/>
      <c r="BP64" s="40"/>
      <c r="BQ64" s="9"/>
      <c r="BR64" s="40"/>
      <c r="BS64" s="9"/>
      <c r="BT64" s="9"/>
      <c r="BU64" s="9"/>
      <c r="BV64" s="40"/>
      <c r="BW64" s="40"/>
      <c r="BX64" s="36" t="str">
        <f aca="false">IF(BW64="","",EDATE(BW64,SG_Criteria!$B$54*12))</f>
        <v/>
      </c>
      <c r="BY64" s="33" t="str">
        <f aca="true">IF(A64="","",IF(BW64="","NOTE: not reviewed yet",IF(TODAY()&gt;BX64,"NOTE: review overdue","OK")))</f>
        <v/>
      </c>
      <c r="BZ64" s="37" t="str">
        <f aca="false">IF(A64="","",ROUND((IF(LEN(D64)&gt;0,1,0)+IF(LEN(E64)&gt;0,1,0)+IF(LEN(F64)&gt;0,1,0)+IF(LEN(G64)&gt;0,1,0)+IF(LEN(H64)&gt;0,1,0)+IF(LEN(J64)&gt;0,1,0)+IF(LEN(K64)&gt;0,1,0)+IF(LEN(M64)&gt;0,1,0)+IF(LEN(O64)&gt;0,1,0)+IF(LEN(P64)&gt;0,1,0)+IF(LEN(Q64)&gt;0,1,0)+IF(LEN(S64)&gt;0,1,0)+IF(LEN(AC64)&gt;0,1,0)+IF(LEN(AV64)&gt;0,1,0)+IF(LEN(AW64)&gt;0,1,0)+IF(LEN(AG64)&gt;0,1,0)+IF(LEN(AI64)&gt;0,1,0)+IF(LEN(AJ64)&gt;0,1,0)+IF(LEN(AK64)&gt;0,1,0)+IF(LEN(AL64)&gt;0,1,0)+IF(LEN(AU64)&gt;0,1,0)+IF(LEN(BH64)&gt;0,1,0)+IF(LEN(BU64)&gt;0,1,0))/23,2))</f>
        <v/>
      </c>
      <c r="CA64" s="10" t="str">
        <f aca="false">IF(D64="","",IF(AND(AJ64="Approved",ISERROR(SEARCH("FAIL",BE64))),"Y","N"))</f>
        <v/>
      </c>
      <c r="CB64" s="10" t="str">
        <f aca="false">IF(D64="","",D64&amp;"|"&amp;G64&amp;"|"&amp;H64&amp;"|"&amp;M64&amp;"|"&amp;CA64)</f>
        <v/>
      </c>
    </row>
    <row r="65" customFormat="false" ht="15" hidden="false" customHeight="false" outlineLevel="0" collapsed="false">
      <c r="A65" s="10" t="str">
        <f aca="false">IF(D65="","","DRN-"&amp;IFERROR(VLOOKUP(D65,Lists!$A$4:$B$27,2,0),"??")&amp;"-"&amp;TEXT(G65,"0000")&amp;"x"&amp;TEXT(H65,"0000")&amp;IF(N(I65)&gt;1,"-"&amp;I65&amp;"C","")&amp;"-"&amp;IFERROR(VLOOKUP(M65,Lists!$J$4:$K$19,2,0),"??")&amp;"-"&amp;AI65)</f>
        <v/>
      </c>
      <c r="B65" s="10" t="str">
        <f aca="false">IF(D65="","",D65&amp;" "&amp;G65&amp;"W x "&amp;H65&amp;"D"&amp;IF(N(I65)&gt;1," ("&amp;I65&amp;" cells)","")&amp;", "&amp;E65&amp;", "&amp;M65&amp;", "&amp;F65)</f>
        <v/>
      </c>
      <c r="C65" s="9"/>
      <c r="D65" s="9"/>
      <c r="E65" s="9"/>
      <c r="F65" s="9"/>
      <c r="G65" s="38"/>
      <c r="H65" s="38"/>
      <c r="I65" s="38"/>
      <c r="J65" s="38"/>
      <c r="K65" s="38"/>
      <c r="L65" s="38"/>
      <c r="M65" s="9"/>
      <c r="N65" s="9"/>
      <c r="O65" s="9"/>
      <c r="P65" s="38"/>
      <c r="Q65" s="9"/>
      <c r="R65" s="9"/>
      <c r="S65" s="9"/>
      <c r="T65" s="9"/>
      <c r="U65" s="9"/>
      <c r="V65" s="9"/>
      <c r="W65" s="9"/>
      <c r="X65" s="9"/>
      <c r="Y65" s="9"/>
      <c r="Z65" s="9"/>
      <c r="AA65" s="9"/>
      <c r="AB65" s="39"/>
      <c r="AC65" s="9"/>
      <c r="AD65" s="38"/>
      <c r="AE65" s="9"/>
      <c r="AF65" s="39"/>
      <c r="AG65" s="9"/>
      <c r="AH65" s="9"/>
      <c r="AI65" s="9"/>
      <c r="AJ65" s="9"/>
      <c r="AK65" s="9"/>
      <c r="AL65" s="9"/>
      <c r="AM65" s="9"/>
      <c r="AN65" s="10" t="str">
        <f aca="false">IF(A65="","",SG_Criteria!$B$6&amp;SG_Criteria!$B$7&amp;"\"&amp;A65&amp;"\")</f>
        <v/>
      </c>
      <c r="AO65" s="10" t="str">
        <f aca="false">IF(A65="","",A65&amp;"_CAD.dwg")</f>
        <v/>
      </c>
      <c r="AP65" s="10" t="str">
        <f aca="false">IF(A65="","",A65&amp;"_DWG.pdf")</f>
        <v/>
      </c>
      <c r="AQ65" s="10" t="str">
        <f aca="false">IF(A65="","",IF(AM65="Y",A65&amp;"_STAAD.std","n/a"))</f>
        <v/>
      </c>
      <c r="AR65" s="10" t="str">
        <f aca="false">IF(A65="","",A65&amp;"_CALC.xlsx")</f>
        <v/>
      </c>
      <c r="AS65" s="10" t="str">
        <f aca="false">IF(A65="","",A65&amp;"_CALC.pdf")</f>
        <v/>
      </c>
      <c r="AT65" s="9"/>
      <c r="AU65" s="9"/>
      <c r="AV65" s="39"/>
      <c r="AW65" s="39"/>
      <c r="AX65" s="39"/>
      <c r="AY65" s="39"/>
      <c r="AZ65" s="39"/>
      <c r="BA65" s="12" t="str">
        <f aca="false">IF(A65="","",IF(COUNTIF(Rebar_Schedule!$A$5:$A$2004,A65)=0,"",ROUND(SUMIF(Rebar_Schedule!$A$5:$A$2004,A65,Rebar_Schedule!$K$5:$K$2004),1)))</f>
        <v/>
      </c>
      <c r="BB65" s="33" t="str">
        <f aca="false">IF(A65="","",IF(BA65="","No rebar schedule yet",IF(ABS(BA65-N(AW65))/MAX(N(AW65),1)&gt;SG_Criteria!$B$55,"NOTE: register rebar differs from schedule by "&amp;TEXT(ABS(BA65-N(AW65))/MAX(N(AW65),1),"0%"),"OK")))</f>
        <v/>
      </c>
      <c r="BC65" s="34" t="str">
        <f aca="false">IF(OR(D65="",G65="",H65="",D65="Sump",D65="Drop Inlet Chamber",D65="Silt Trap",D65="Pipe Culvert",D65="Subsoil Drain"),"",ROUND(MAX(1,N(I65))*(1/SG_Criteria!$B$26)*((G65/1000)*(H65/1000*(1-SG_Criteria!$B$25)))*(((G65/1000)*(H65/1000*(1-SG_Criteria!$B$25)))/((G65/1000)+2*(H65/1000*(1-SG_Criteria!$B$25))))^(2/3)*(1/Design_Selector!$B$11)^0.5,3))</f>
        <v/>
      </c>
      <c r="BD65" s="11" t="str">
        <f aca="false">IF(BC65="","",ROUND(BC65/(MAX(1,N(I65))*G65/1000*(H65/1000*(1-SG_Criteria!$B$25))),2))</f>
        <v/>
      </c>
      <c r="BE65" s="33" t="str">
        <f aca="false">IF(D65="","",IF(LEN(IF(AND(OR(E65="Roadside drain",E65="Entrance culvert"),OR(G65&lt;SG_Criteria!$B$15,H65&lt;SG_Criteria!$B$16)),"FAIL: below PUB min "&amp;SG_Criteria!$B$15&amp;"x"&amp;SG_Criteria!$B$16&amp;" for roadside drain. ","")&amp;IF(AND(E65="Common drain",G65&lt;SG_Criteria!$B$17),"FAIL: common drain W &lt; "&amp;SG_Criteria!$B$17&amp;" mm. ","")&amp;IF(AND(O65&lt;&gt;"",IFERROR(VALUE(MID(O65,2,2)),0)&lt;SG_Criteria!$B$19),"FAIL: grade below C"&amp;SG_Criteria!$B$19&amp;". ","")&amp;IF(AND(P65&lt;&gt;"",P65&lt;SG_Criteria!$B$20),"FAIL: cover &lt; "&amp;SG_Criteria!$B$20&amp;" mm. ","")&amp;IF(AND(F65="Open",H65&gt;SG_Criteria!$B$18),"NOTE: safety railing required (D &gt; "&amp;SG_Criteria!$B$18&amp;" mm). ","")&amp;IF(AND(E65="Entrance culvert",H65&lt;600),"NOTE: check hinged grating rule for culverts &lt; 600 deep (PUB Add. 3). ",""))=0,"OK",IF(AND(OR(E65="Roadside drain",E65="Entrance culvert"),OR(G65&lt;SG_Criteria!$B$15,H65&lt;SG_Criteria!$B$16)),"FAIL: below PUB min "&amp;SG_Criteria!$B$15&amp;"x"&amp;SG_Criteria!$B$16&amp;" for roadside drain. ","")&amp;IF(AND(E65="Common drain",G65&lt;SG_Criteria!$B$17),"FAIL: common drain W &lt; "&amp;SG_Criteria!$B$17&amp;" mm. ","")&amp;IF(AND(O65&lt;&gt;"",IFERROR(VALUE(MID(O65,2,2)),0)&lt;SG_Criteria!$B$19),"FAIL: grade below C"&amp;SG_Criteria!$B$19&amp;". ","")&amp;IF(AND(P65&lt;&gt;"",P65&lt;SG_Criteria!$B$20),"FAIL: cover &lt; "&amp;SG_Criteria!$B$20&amp;" mm. ","")&amp;IF(AND(F65="Open",H65&gt;SG_Criteria!$B$18),"NOTE: safety railing required (D &gt; "&amp;SG_Criteria!$B$18&amp;" mm). ","")&amp;IF(AND(E65="Entrance culvert",H65&lt;600),"NOTE: check hinged grating rule for culverts &lt; 600 deep (PUB Add. 3). ","")))</f>
        <v/>
      </c>
      <c r="BF65" s="9"/>
      <c r="BG65" s="9"/>
      <c r="BH65" s="9"/>
      <c r="BI65" s="10" t="str">
        <f aca="false">IF(BH65="","",IFERROR(VLOOKUP(BH65,Projects!$A$5:$D$504,2,0),"Ref not in Projects"))</f>
        <v/>
      </c>
      <c r="BJ65" s="10" t="str">
        <f aca="false">IF(BH65="","",IFERROR(VLOOKUP(BH65,Projects!$A$5:$D$504,4,0),"Ref not in Projects"))</f>
        <v/>
      </c>
      <c r="BK65" s="9"/>
      <c r="BL65" s="9"/>
      <c r="BM65" s="9"/>
      <c r="BN65" s="40"/>
      <c r="BO65" s="9"/>
      <c r="BP65" s="40"/>
      <c r="BQ65" s="9"/>
      <c r="BR65" s="40"/>
      <c r="BS65" s="9"/>
      <c r="BT65" s="9"/>
      <c r="BU65" s="9"/>
      <c r="BV65" s="40"/>
      <c r="BW65" s="40"/>
      <c r="BX65" s="36" t="str">
        <f aca="false">IF(BW65="","",EDATE(BW65,SG_Criteria!$B$54*12))</f>
        <v/>
      </c>
      <c r="BY65" s="33" t="str">
        <f aca="true">IF(A65="","",IF(BW65="","NOTE: not reviewed yet",IF(TODAY()&gt;BX65,"NOTE: review overdue","OK")))</f>
        <v/>
      </c>
      <c r="BZ65" s="37" t="str">
        <f aca="false">IF(A65="","",ROUND((IF(LEN(D65)&gt;0,1,0)+IF(LEN(E65)&gt;0,1,0)+IF(LEN(F65)&gt;0,1,0)+IF(LEN(G65)&gt;0,1,0)+IF(LEN(H65)&gt;0,1,0)+IF(LEN(J65)&gt;0,1,0)+IF(LEN(K65)&gt;0,1,0)+IF(LEN(M65)&gt;0,1,0)+IF(LEN(O65)&gt;0,1,0)+IF(LEN(P65)&gt;0,1,0)+IF(LEN(Q65)&gt;0,1,0)+IF(LEN(S65)&gt;0,1,0)+IF(LEN(AC65)&gt;0,1,0)+IF(LEN(AV65)&gt;0,1,0)+IF(LEN(AW65)&gt;0,1,0)+IF(LEN(AG65)&gt;0,1,0)+IF(LEN(AI65)&gt;0,1,0)+IF(LEN(AJ65)&gt;0,1,0)+IF(LEN(AK65)&gt;0,1,0)+IF(LEN(AL65)&gt;0,1,0)+IF(LEN(AU65)&gt;0,1,0)+IF(LEN(BH65)&gt;0,1,0)+IF(LEN(BU65)&gt;0,1,0))/23,2))</f>
        <v/>
      </c>
      <c r="CA65" s="10" t="str">
        <f aca="false">IF(D65="","",IF(AND(AJ65="Approved",ISERROR(SEARCH("FAIL",BE65))),"Y","N"))</f>
        <v/>
      </c>
      <c r="CB65" s="10" t="str">
        <f aca="false">IF(D65="","",D65&amp;"|"&amp;G65&amp;"|"&amp;H65&amp;"|"&amp;M65&amp;"|"&amp;CA65)</f>
        <v/>
      </c>
    </row>
    <row r="66" customFormat="false" ht="15" hidden="false" customHeight="false" outlineLevel="0" collapsed="false">
      <c r="A66" s="10" t="str">
        <f aca="false">IF(D66="","","DRN-"&amp;IFERROR(VLOOKUP(D66,Lists!$A$4:$B$27,2,0),"??")&amp;"-"&amp;TEXT(G66,"0000")&amp;"x"&amp;TEXT(H66,"0000")&amp;IF(N(I66)&gt;1,"-"&amp;I66&amp;"C","")&amp;"-"&amp;IFERROR(VLOOKUP(M66,Lists!$J$4:$K$19,2,0),"??")&amp;"-"&amp;AI66)</f>
        <v/>
      </c>
      <c r="B66" s="10" t="str">
        <f aca="false">IF(D66="","",D66&amp;" "&amp;G66&amp;"W x "&amp;H66&amp;"D"&amp;IF(N(I66)&gt;1," ("&amp;I66&amp;" cells)","")&amp;", "&amp;E66&amp;", "&amp;M66&amp;", "&amp;F66)</f>
        <v/>
      </c>
      <c r="C66" s="9"/>
      <c r="D66" s="9"/>
      <c r="E66" s="9"/>
      <c r="F66" s="9"/>
      <c r="G66" s="38"/>
      <c r="H66" s="38"/>
      <c r="I66" s="38"/>
      <c r="J66" s="38"/>
      <c r="K66" s="38"/>
      <c r="L66" s="38"/>
      <c r="M66" s="9"/>
      <c r="N66" s="9"/>
      <c r="O66" s="9"/>
      <c r="P66" s="38"/>
      <c r="Q66" s="9"/>
      <c r="R66" s="9"/>
      <c r="S66" s="9"/>
      <c r="T66" s="9"/>
      <c r="U66" s="9"/>
      <c r="V66" s="9"/>
      <c r="W66" s="9"/>
      <c r="X66" s="9"/>
      <c r="Y66" s="9"/>
      <c r="Z66" s="9"/>
      <c r="AA66" s="9"/>
      <c r="AB66" s="39"/>
      <c r="AC66" s="9"/>
      <c r="AD66" s="38"/>
      <c r="AE66" s="9"/>
      <c r="AF66" s="39"/>
      <c r="AG66" s="9"/>
      <c r="AH66" s="9"/>
      <c r="AI66" s="9"/>
      <c r="AJ66" s="9"/>
      <c r="AK66" s="9"/>
      <c r="AL66" s="9"/>
      <c r="AM66" s="9"/>
      <c r="AN66" s="10" t="str">
        <f aca="false">IF(A66="","",SG_Criteria!$B$6&amp;SG_Criteria!$B$7&amp;"\"&amp;A66&amp;"\")</f>
        <v/>
      </c>
      <c r="AO66" s="10" t="str">
        <f aca="false">IF(A66="","",A66&amp;"_CAD.dwg")</f>
        <v/>
      </c>
      <c r="AP66" s="10" t="str">
        <f aca="false">IF(A66="","",A66&amp;"_DWG.pdf")</f>
        <v/>
      </c>
      <c r="AQ66" s="10" t="str">
        <f aca="false">IF(A66="","",IF(AM66="Y",A66&amp;"_STAAD.std","n/a"))</f>
        <v/>
      </c>
      <c r="AR66" s="10" t="str">
        <f aca="false">IF(A66="","",A66&amp;"_CALC.xlsx")</f>
        <v/>
      </c>
      <c r="AS66" s="10" t="str">
        <f aca="false">IF(A66="","",A66&amp;"_CALC.pdf")</f>
        <v/>
      </c>
      <c r="AT66" s="9"/>
      <c r="AU66" s="9"/>
      <c r="AV66" s="39"/>
      <c r="AW66" s="39"/>
      <c r="AX66" s="39"/>
      <c r="AY66" s="39"/>
      <c r="AZ66" s="39"/>
      <c r="BA66" s="12" t="str">
        <f aca="false">IF(A66="","",IF(COUNTIF(Rebar_Schedule!$A$5:$A$2004,A66)=0,"",ROUND(SUMIF(Rebar_Schedule!$A$5:$A$2004,A66,Rebar_Schedule!$K$5:$K$2004),1)))</f>
        <v/>
      </c>
      <c r="BB66" s="33" t="str">
        <f aca="false">IF(A66="","",IF(BA66="","No rebar schedule yet",IF(ABS(BA66-N(AW66))/MAX(N(AW66),1)&gt;SG_Criteria!$B$55,"NOTE: register rebar differs from schedule by "&amp;TEXT(ABS(BA66-N(AW66))/MAX(N(AW66),1),"0%"),"OK")))</f>
        <v/>
      </c>
      <c r="BC66" s="34" t="str">
        <f aca="false">IF(OR(D66="",G66="",H66="",D66="Sump",D66="Drop Inlet Chamber",D66="Silt Trap",D66="Pipe Culvert",D66="Subsoil Drain"),"",ROUND(MAX(1,N(I66))*(1/SG_Criteria!$B$26)*((G66/1000)*(H66/1000*(1-SG_Criteria!$B$25)))*(((G66/1000)*(H66/1000*(1-SG_Criteria!$B$25)))/((G66/1000)+2*(H66/1000*(1-SG_Criteria!$B$25))))^(2/3)*(1/Design_Selector!$B$11)^0.5,3))</f>
        <v/>
      </c>
      <c r="BD66" s="11" t="str">
        <f aca="false">IF(BC66="","",ROUND(BC66/(MAX(1,N(I66))*G66/1000*(H66/1000*(1-SG_Criteria!$B$25))),2))</f>
        <v/>
      </c>
      <c r="BE66" s="33" t="str">
        <f aca="false">IF(D66="","",IF(LEN(IF(AND(OR(E66="Roadside drain",E66="Entrance culvert"),OR(G66&lt;SG_Criteria!$B$15,H66&lt;SG_Criteria!$B$16)),"FAIL: below PUB min "&amp;SG_Criteria!$B$15&amp;"x"&amp;SG_Criteria!$B$16&amp;" for roadside drain. ","")&amp;IF(AND(E66="Common drain",G66&lt;SG_Criteria!$B$17),"FAIL: common drain W &lt; "&amp;SG_Criteria!$B$17&amp;" mm. ","")&amp;IF(AND(O66&lt;&gt;"",IFERROR(VALUE(MID(O66,2,2)),0)&lt;SG_Criteria!$B$19),"FAIL: grade below C"&amp;SG_Criteria!$B$19&amp;". ","")&amp;IF(AND(P66&lt;&gt;"",P66&lt;SG_Criteria!$B$20),"FAIL: cover &lt; "&amp;SG_Criteria!$B$20&amp;" mm. ","")&amp;IF(AND(F66="Open",H66&gt;SG_Criteria!$B$18),"NOTE: safety railing required (D &gt; "&amp;SG_Criteria!$B$18&amp;" mm). ","")&amp;IF(AND(E66="Entrance culvert",H66&lt;600),"NOTE: check hinged grating rule for culverts &lt; 600 deep (PUB Add. 3). ",""))=0,"OK",IF(AND(OR(E66="Roadside drain",E66="Entrance culvert"),OR(G66&lt;SG_Criteria!$B$15,H66&lt;SG_Criteria!$B$16)),"FAIL: below PUB min "&amp;SG_Criteria!$B$15&amp;"x"&amp;SG_Criteria!$B$16&amp;" for roadside drain. ","")&amp;IF(AND(E66="Common drain",G66&lt;SG_Criteria!$B$17),"FAIL: common drain W &lt; "&amp;SG_Criteria!$B$17&amp;" mm. ","")&amp;IF(AND(O66&lt;&gt;"",IFERROR(VALUE(MID(O66,2,2)),0)&lt;SG_Criteria!$B$19),"FAIL: grade below C"&amp;SG_Criteria!$B$19&amp;". ","")&amp;IF(AND(P66&lt;&gt;"",P66&lt;SG_Criteria!$B$20),"FAIL: cover &lt; "&amp;SG_Criteria!$B$20&amp;" mm. ","")&amp;IF(AND(F66="Open",H66&gt;SG_Criteria!$B$18),"NOTE: safety railing required (D &gt; "&amp;SG_Criteria!$B$18&amp;" mm). ","")&amp;IF(AND(E66="Entrance culvert",H66&lt;600),"NOTE: check hinged grating rule for culverts &lt; 600 deep (PUB Add. 3). ","")))</f>
        <v/>
      </c>
      <c r="BF66" s="9"/>
      <c r="BG66" s="9"/>
      <c r="BH66" s="9"/>
      <c r="BI66" s="10" t="str">
        <f aca="false">IF(BH66="","",IFERROR(VLOOKUP(BH66,Projects!$A$5:$D$504,2,0),"Ref not in Projects"))</f>
        <v/>
      </c>
      <c r="BJ66" s="10" t="str">
        <f aca="false">IF(BH66="","",IFERROR(VLOOKUP(BH66,Projects!$A$5:$D$504,4,0),"Ref not in Projects"))</f>
        <v/>
      </c>
      <c r="BK66" s="9"/>
      <c r="BL66" s="9"/>
      <c r="BM66" s="9"/>
      <c r="BN66" s="40"/>
      <c r="BO66" s="9"/>
      <c r="BP66" s="40"/>
      <c r="BQ66" s="9"/>
      <c r="BR66" s="40"/>
      <c r="BS66" s="9"/>
      <c r="BT66" s="9"/>
      <c r="BU66" s="9"/>
      <c r="BV66" s="40"/>
      <c r="BW66" s="40"/>
      <c r="BX66" s="36" t="str">
        <f aca="false">IF(BW66="","",EDATE(BW66,SG_Criteria!$B$54*12))</f>
        <v/>
      </c>
      <c r="BY66" s="33" t="str">
        <f aca="true">IF(A66="","",IF(BW66="","NOTE: not reviewed yet",IF(TODAY()&gt;BX66,"NOTE: review overdue","OK")))</f>
        <v/>
      </c>
      <c r="BZ66" s="37" t="str">
        <f aca="false">IF(A66="","",ROUND((IF(LEN(D66)&gt;0,1,0)+IF(LEN(E66)&gt;0,1,0)+IF(LEN(F66)&gt;0,1,0)+IF(LEN(G66)&gt;0,1,0)+IF(LEN(H66)&gt;0,1,0)+IF(LEN(J66)&gt;0,1,0)+IF(LEN(K66)&gt;0,1,0)+IF(LEN(M66)&gt;0,1,0)+IF(LEN(O66)&gt;0,1,0)+IF(LEN(P66)&gt;0,1,0)+IF(LEN(Q66)&gt;0,1,0)+IF(LEN(S66)&gt;0,1,0)+IF(LEN(AC66)&gt;0,1,0)+IF(LEN(AV66)&gt;0,1,0)+IF(LEN(AW66)&gt;0,1,0)+IF(LEN(AG66)&gt;0,1,0)+IF(LEN(AI66)&gt;0,1,0)+IF(LEN(AJ66)&gt;0,1,0)+IF(LEN(AK66)&gt;0,1,0)+IF(LEN(AL66)&gt;0,1,0)+IF(LEN(AU66)&gt;0,1,0)+IF(LEN(BH66)&gt;0,1,0)+IF(LEN(BU66)&gt;0,1,0))/23,2))</f>
        <v/>
      </c>
      <c r="CA66" s="10" t="str">
        <f aca="false">IF(D66="","",IF(AND(AJ66="Approved",ISERROR(SEARCH("FAIL",BE66))),"Y","N"))</f>
        <v/>
      </c>
      <c r="CB66" s="10" t="str">
        <f aca="false">IF(D66="","",D66&amp;"|"&amp;G66&amp;"|"&amp;H66&amp;"|"&amp;M66&amp;"|"&amp;CA66)</f>
        <v/>
      </c>
    </row>
    <row r="67" customFormat="false" ht="15" hidden="false" customHeight="false" outlineLevel="0" collapsed="false">
      <c r="A67" s="10" t="str">
        <f aca="false">IF(D67="","","DRN-"&amp;IFERROR(VLOOKUP(D67,Lists!$A$4:$B$27,2,0),"??")&amp;"-"&amp;TEXT(G67,"0000")&amp;"x"&amp;TEXT(H67,"0000")&amp;IF(N(I67)&gt;1,"-"&amp;I67&amp;"C","")&amp;"-"&amp;IFERROR(VLOOKUP(M67,Lists!$J$4:$K$19,2,0),"??")&amp;"-"&amp;AI67)</f>
        <v/>
      </c>
      <c r="B67" s="10" t="str">
        <f aca="false">IF(D67="","",D67&amp;" "&amp;G67&amp;"W x "&amp;H67&amp;"D"&amp;IF(N(I67)&gt;1," ("&amp;I67&amp;" cells)","")&amp;", "&amp;E67&amp;", "&amp;M67&amp;", "&amp;F67)</f>
        <v/>
      </c>
      <c r="C67" s="9"/>
      <c r="D67" s="9"/>
      <c r="E67" s="9"/>
      <c r="F67" s="9"/>
      <c r="G67" s="38"/>
      <c r="H67" s="38"/>
      <c r="I67" s="38"/>
      <c r="J67" s="38"/>
      <c r="K67" s="38"/>
      <c r="L67" s="38"/>
      <c r="M67" s="9"/>
      <c r="N67" s="9"/>
      <c r="O67" s="9"/>
      <c r="P67" s="38"/>
      <c r="Q67" s="9"/>
      <c r="R67" s="9"/>
      <c r="S67" s="9"/>
      <c r="T67" s="9"/>
      <c r="U67" s="9"/>
      <c r="V67" s="9"/>
      <c r="W67" s="9"/>
      <c r="X67" s="9"/>
      <c r="Y67" s="9"/>
      <c r="Z67" s="9"/>
      <c r="AA67" s="9"/>
      <c r="AB67" s="39"/>
      <c r="AC67" s="9"/>
      <c r="AD67" s="38"/>
      <c r="AE67" s="9"/>
      <c r="AF67" s="39"/>
      <c r="AG67" s="9"/>
      <c r="AH67" s="9"/>
      <c r="AI67" s="9"/>
      <c r="AJ67" s="9"/>
      <c r="AK67" s="9"/>
      <c r="AL67" s="9"/>
      <c r="AM67" s="9"/>
      <c r="AN67" s="10" t="str">
        <f aca="false">IF(A67="","",SG_Criteria!$B$6&amp;SG_Criteria!$B$7&amp;"\"&amp;A67&amp;"\")</f>
        <v/>
      </c>
      <c r="AO67" s="10" t="str">
        <f aca="false">IF(A67="","",A67&amp;"_CAD.dwg")</f>
        <v/>
      </c>
      <c r="AP67" s="10" t="str">
        <f aca="false">IF(A67="","",A67&amp;"_DWG.pdf")</f>
        <v/>
      </c>
      <c r="AQ67" s="10" t="str">
        <f aca="false">IF(A67="","",IF(AM67="Y",A67&amp;"_STAAD.std","n/a"))</f>
        <v/>
      </c>
      <c r="AR67" s="10" t="str">
        <f aca="false">IF(A67="","",A67&amp;"_CALC.xlsx")</f>
        <v/>
      </c>
      <c r="AS67" s="10" t="str">
        <f aca="false">IF(A67="","",A67&amp;"_CALC.pdf")</f>
        <v/>
      </c>
      <c r="AT67" s="9"/>
      <c r="AU67" s="9"/>
      <c r="AV67" s="39"/>
      <c r="AW67" s="39"/>
      <c r="AX67" s="39"/>
      <c r="AY67" s="39"/>
      <c r="AZ67" s="39"/>
      <c r="BA67" s="12" t="str">
        <f aca="false">IF(A67="","",IF(COUNTIF(Rebar_Schedule!$A$5:$A$2004,A67)=0,"",ROUND(SUMIF(Rebar_Schedule!$A$5:$A$2004,A67,Rebar_Schedule!$K$5:$K$2004),1)))</f>
        <v/>
      </c>
      <c r="BB67" s="33" t="str">
        <f aca="false">IF(A67="","",IF(BA67="","No rebar schedule yet",IF(ABS(BA67-N(AW67))/MAX(N(AW67),1)&gt;SG_Criteria!$B$55,"NOTE: register rebar differs from schedule by "&amp;TEXT(ABS(BA67-N(AW67))/MAX(N(AW67),1),"0%"),"OK")))</f>
        <v/>
      </c>
      <c r="BC67" s="34" t="str">
        <f aca="false">IF(OR(D67="",G67="",H67="",D67="Sump",D67="Drop Inlet Chamber",D67="Silt Trap",D67="Pipe Culvert",D67="Subsoil Drain"),"",ROUND(MAX(1,N(I67))*(1/SG_Criteria!$B$26)*((G67/1000)*(H67/1000*(1-SG_Criteria!$B$25)))*(((G67/1000)*(H67/1000*(1-SG_Criteria!$B$25)))/((G67/1000)+2*(H67/1000*(1-SG_Criteria!$B$25))))^(2/3)*(1/Design_Selector!$B$11)^0.5,3))</f>
        <v/>
      </c>
      <c r="BD67" s="11" t="str">
        <f aca="false">IF(BC67="","",ROUND(BC67/(MAX(1,N(I67))*G67/1000*(H67/1000*(1-SG_Criteria!$B$25))),2))</f>
        <v/>
      </c>
      <c r="BE67" s="33" t="str">
        <f aca="false">IF(D67="","",IF(LEN(IF(AND(OR(E67="Roadside drain",E67="Entrance culvert"),OR(G67&lt;SG_Criteria!$B$15,H67&lt;SG_Criteria!$B$16)),"FAIL: below PUB min "&amp;SG_Criteria!$B$15&amp;"x"&amp;SG_Criteria!$B$16&amp;" for roadside drain. ","")&amp;IF(AND(E67="Common drain",G67&lt;SG_Criteria!$B$17),"FAIL: common drain W &lt; "&amp;SG_Criteria!$B$17&amp;" mm. ","")&amp;IF(AND(O67&lt;&gt;"",IFERROR(VALUE(MID(O67,2,2)),0)&lt;SG_Criteria!$B$19),"FAIL: grade below C"&amp;SG_Criteria!$B$19&amp;". ","")&amp;IF(AND(P67&lt;&gt;"",P67&lt;SG_Criteria!$B$20),"FAIL: cover &lt; "&amp;SG_Criteria!$B$20&amp;" mm. ","")&amp;IF(AND(F67="Open",H67&gt;SG_Criteria!$B$18),"NOTE: safety railing required (D &gt; "&amp;SG_Criteria!$B$18&amp;" mm). ","")&amp;IF(AND(E67="Entrance culvert",H67&lt;600),"NOTE: check hinged grating rule for culverts &lt; 600 deep (PUB Add. 3). ",""))=0,"OK",IF(AND(OR(E67="Roadside drain",E67="Entrance culvert"),OR(G67&lt;SG_Criteria!$B$15,H67&lt;SG_Criteria!$B$16)),"FAIL: below PUB min "&amp;SG_Criteria!$B$15&amp;"x"&amp;SG_Criteria!$B$16&amp;" for roadside drain. ","")&amp;IF(AND(E67="Common drain",G67&lt;SG_Criteria!$B$17),"FAIL: common drain W &lt; "&amp;SG_Criteria!$B$17&amp;" mm. ","")&amp;IF(AND(O67&lt;&gt;"",IFERROR(VALUE(MID(O67,2,2)),0)&lt;SG_Criteria!$B$19),"FAIL: grade below C"&amp;SG_Criteria!$B$19&amp;". ","")&amp;IF(AND(P67&lt;&gt;"",P67&lt;SG_Criteria!$B$20),"FAIL: cover &lt; "&amp;SG_Criteria!$B$20&amp;" mm. ","")&amp;IF(AND(F67="Open",H67&gt;SG_Criteria!$B$18),"NOTE: safety railing required (D &gt; "&amp;SG_Criteria!$B$18&amp;" mm). ","")&amp;IF(AND(E67="Entrance culvert",H67&lt;600),"NOTE: check hinged grating rule for culverts &lt; 600 deep (PUB Add. 3). ","")))</f>
        <v/>
      </c>
      <c r="BF67" s="9"/>
      <c r="BG67" s="9"/>
      <c r="BH67" s="9"/>
      <c r="BI67" s="10" t="str">
        <f aca="false">IF(BH67="","",IFERROR(VLOOKUP(BH67,Projects!$A$5:$D$504,2,0),"Ref not in Projects"))</f>
        <v/>
      </c>
      <c r="BJ67" s="10" t="str">
        <f aca="false">IF(BH67="","",IFERROR(VLOOKUP(BH67,Projects!$A$5:$D$504,4,0),"Ref not in Projects"))</f>
        <v/>
      </c>
      <c r="BK67" s="9"/>
      <c r="BL67" s="9"/>
      <c r="BM67" s="9"/>
      <c r="BN67" s="40"/>
      <c r="BO67" s="9"/>
      <c r="BP67" s="40"/>
      <c r="BQ67" s="9"/>
      <c r="BR67" s="40"/>
      <c r="BS67" s="9"/>
      <c r="BT67" s="9"/>
      <c r="BU67" s="9"/>
      <c r="BV67" s="40"/>
      <c r="BW67" s="40"/>
      <c r="BX67" s="36" t="str">
        <f aca="false">IF(BW67="","",EDATE(BW67,SG_Criteria!$B$54*12))</f>
        <v/>
      </c>
      <c r="BY67" s="33" t="str">
        <f aca="true">IF(A67="","",IF(BW67="","NOTE: not reviewed yet",IF(TODAY()&gt;BX67,"NOTE: review overdue","OK")))</f>
        <v/>
      </c>
      <c r="BZ67" s="37" t="str">
        <f aca="false">IF(A67="","",ROUND((IF(LEN(D67)&gt;0,1,0)+IF(LEN(E67)&gt;0,1,0)+IF(LEN(F67)&gt;0,1,0)+IF(LEN(G67)&gt;0,1,0)+IF(LEN(H67)&gt;0,1,0)+IF(LEN(J67)&gt;0,1,0)+IF(LEN(K67)&gt;0,1,0)+IF(LEN(M67)&gt;0,1,0)+IF(LEN(O67)&gt;0,1,0)+IF(LEN(P67)&gt;0,1,0)+IF(LEN(Q67)&gt;0,1,0)+IF(LEN(S67)&gt;0,1,0)+IF(LEN(AC67)&gt;0,1,0)+IF(LEN(AV67)&gt;0,1,0)+IF(LEN(AW67)&gt;0,1,0)+IF(LEN(AG67)&gt;0,1,0)+IF(LEN(AI67)&gt;0,1,0)+IF(LEN(AJ67)&gt;0,1,0)+IF(LEN(AK67)&gt;0,1,0)+IF(LEN(AL67)&gt;0,1,0)+IF(LEN(AU67)&gt;0,1,0)+IF(LEN(BH67)&gt;0,1,0)+IF(LEN(BU67)&gt;0,1,0))/23,2))</f>
        <v/>
      </c>
      <c r="CA67" s="10" t="str">
        <f aca="false">IF(D67="","",IF(AND(AJ67="Approved",ISERROR(SEARCH("FAIL",BE67))),"Y","N"))</f>
        <v/>
      </c>
      <c r="CB67" s="10" t="str">
        <f aca="false">IF(D67="","",D67&amp;"|"&amp;G67&amp;"|"&amp;H67&amp;"|"&amp;M67&amp;"|"&amp;CA67)</f>
        <v/>
      </c>
    </row>
    <row r="68" customFormat="false" ht="15" hidden="false" customHeight="false" outlineLevel="0" collapsed="false">
      <c r="A68" s="10" t="str">
        <f aca="false">IF(D68="","","DRN-"&amp;IFERROR(VLOOKUP(D68,Lists!$A$4:$B$27,2,0),"??")&amp;"-"&amp;TEXT(G68,"0000")&amp;"x"&amp;TEXT(H68,"0000")&amp;IF(N(I68)&gt;1,"-"&amp;I68&amp;"C","")&amp;"-"&amp;IFERROR(VLOOKUP(M68,Lists!$J$4:$K$19,2,0),"??")&amp;"-"&amp;AI68)</f>
        <v/>
      </c>
      <c r="B68" s="10" t="str">
        <f aca="false">IF(D68="","",D68&amp;" "&amp;G68&amp;"W x "&amp;H68&amp;"D"&amp;IF(N(I68)&gt;1," ("&amp;I68&amp;" cells)","")&amp;", "&amp;E68&amp;", "&amp;M68&amp;", "&amp;F68)</f>
        <v/>
      </c>
      <c r="C68" s="9"/>
      <c r="D68" s="9"/>
      <c r="E68" s="9"/>
      <c r="F68" s="9"/>
      <c r="G68" s="38"/>
      <c r="H68" s="38"/>
      <c r="I68" s="38"/>
      <c r="J68" s="38"/>
      <c r="K68" s="38"/>
      <c r="L68" s="38"/>
      <c r="M68" s="9"/>
      <c r="N68" s="9"/>
      <c r="O68" s="9"/>
      <c r="P68" s="38"/>
      <c r="Q68" s="9"/>
      <c r="R68" s="9"/>
      <c r="S68" s="9"/>
      <c r="T68" s="9"/>
      <c r="U68" s="9"/>
      <c r="V68" s="9"/>
      <c r="W68" s="9"/>
      <c r="X68" s="9"/>
      <c r="Y68" s="9"/>
      <c r="Z68" s="9"/>
      <c r="AA68" s="9"/>
      <c r="AB68" s="39"/>
      <c r="AC68" s="9"/>
      <c r="AD68" s="38"/>
      <c r="AE68" s="9"/>
      <c r="AF68" s="39"/>
      <c r="AG68" s="9"/>
      <c r="AH68" s="9"/>
      <c r="AI68" s="9"/>
      <c r="AJ68" s="9"/>
      <c r="AK68" s="9"/>
      <c r="AL68" s="9"/>
      <c r="AM68" s="9"/>
      <c r="AN68" s="10" t="str">
        <f aca="false">IF(A68="","",SG_Criteria!$B$6&amp;SG_Criteria!$B$7&amp;"\"&amp;A68&amp;"\")</f>
        <v/>
      </c>
      <c r="AO68" s="10" t="str">
        <f aca="false">IF(A68="","",A68&amp;"_CAD.dwg")</f>
        <v/>
      </c>
      <c r="AP68" s="10" t="str">
        <f aca="false">IF(A68="","",A68&amp;"_DWG.pdf")</f>
        <v/>
      </c>
      <c r="AQ68" s="10" t="str">
        <f aca="false">IF(A68="","",IF(AM68="Y",A68&amp;"_STAAD.std","n/a"))</f>
        <v/>
      </c>
      <c r="AR68" s="10" t="str">
        <f aca="false">IF(A68="","",A68&amp;"_CALC.xlsx")</f>
        <v/>
      </c>
      <c r="AS68" s="10" t="str">
        <f aca="false">IF(A68="","",A68&amp;"_CALC.pdf")</f>
        <v/>
      </c>
      <c r="AT68" s="9"/>
      <c r="AU68" s="9"/>
      <c r="AV68" s="39"/>
      <c r="AW68" s="39"/>
      <c r="AX68" s="39"/>
      <c r="AY68" s="39"/>
      <c r="AZ68" s="39"/>
      <c r="BA68" s="12" t="str">
        <f aca="false">IF(A68="","",IF(COUNTIF(Rebar_Schedule!$A$5:$A$2004,A68)=0,"",ROUND(SUMIF(Rebar_Schedule!$A$5:$A$2004,A68,Rebar_Schedule!$K$5:$K$2004),1)))</f>
        <v/>
      </c>
      <c r="BB68" s="33" t="str">
        <f aca="false">IF(A68="","",IF(BA68="","No rebar schedule yet",IF(ABS(BA68-N(AW68))/MAX(N(AW68),1)&gt;SG_Criteria!$B$55,"NOTE: register rebar differs from schedule by "&amp;TEXT(ABS(BA68-N(AW68))/MAX(N(AW68),1),"0%"),"OK")))</f>
        <v/>
      </c>
      <c r="BC68" s="34" t="str">
        <f aca="false">IF(OR(D68="",G68="",H68="",D68="Sump",D68="Drop Inlet Chamber",D68="Silt Trap",D68="Pipe Culvert",D68="Subsoil Drain"),"",ROUND(MAX(1,N(I68))*(1/SG_Criteria!$B$26)*((G68/1000)*(H68/1000*(1-SG_Criteria!$B$25)))*(((G68/1000)*(H68/1000*(1-SG_Criteria!$B$25)))/((G68/1000)+2*(H68/1000*(1-SG_Criteria!$B$25))))^(2/3)*(1/Design_Selector!$B$11)^0.5,3))</f>
        <v/>
      </c>
      <c r="BD68" s="11" t="str">
        <f aca="false">IF(BC68="","",ROUND(BC68/(MAX(1,N(I68))*G68/1000*(H68/1000*(1-SG_Criteria!$B$25))),2))</f>
        <v/>
      </c>
      <c r="BE68" s="33" t="str">
        <f aca="false">IF(D68="","",IF(LEN(IF(AND(OR(E68="Roadside drain",E68="Entrance culvert"),OR(G68&lt;SG_Criteria!$B$15,H68&lt;SG_Criteria!$B$16)),"FAIL: below PUB min "&amp;SG_Criteria!$B$15&amp;"x"&amp;SG_Criteria!$B$16&amp;" for roadside drain. ","")&amp;IF(AND(E68="Common drain",G68&lt;SG_Criteria!$B$17),"FAIL: common drain W &lt; "&amp;SG_Criteria!$B$17&amp;" mm. ","")&amp;IF(AND(O68&lt;&gt;"",IFERROR(VALUE(MID(O68,2,2)),0)&lt;SG_Criteria!$B$19),"FAIL: grade below C"&amp;SG_Criteria!$B$19&amp;". ","")&amp;IF(AND(P68&lt;&gt;"",P68&lt;SG_Criteria!$B$20),"FAIL: cover &lt; "&amp;SG_Criteria!$B$20&amp;" mm. ","")&amp;IF(AND(F68="Open",H68&gt;SG_Criteria!$B$18),"NOTE: safety railing required (D &gt; "&amp;SG_Criteria!$B$18&amp;" mm). ","")&amp;IF(AND(E68="Entrance culvert",H68&lt;600),"NOTE: check hinged grating rule for culverts &lt; 600 deep (PUB Add. 3). ",""))=0,"OK",IF(AND(OR(E68="Roadside drain",E68="Entrance culvert"),OR(G68&lt;SG_Criteria!$B$15,H68&lt;SG_Criteria!$B$16)),"FAIL: below PUB min "&amp;SG_Criteria!$B$15&amp;"x"&amp;SG_Criteria!$B$16&amp;" for roadside drain. ","")&amp;IF(AND(E68="Common drain",G68&lt;SG_Criteria!$B$17),"FAIL: common drain W &lt; "&amp;SG_Criteria!$B$17&amp;" mm. ","")&amp;IF(AND(O68&lt;&gt;"",IFERROR(VALUE(MID(O68,2,2)),0)&lt;SG_Criteria!$B$19),"FAIL: grade below C"&amp;SG_Criteria!$B$19&amp;". ","")&amp;IF(AND(P68&lt;&gt;"",P68&lt;SG_Criteria!$B$20),"FAIL: cover &lt; "&amp;SG_Criteria!$B$20&amp;" mm. ","")&amp;IF(AND(F68="Open",H68&gt;SG_Criteria!$B$18),"NOTE: safety railing required (D &gt; "&amp;SG_Criteria!$B$18&amp;" mm). ","")&amp;IF(AND(E68="Entrance culvert",H68&lt;600),"NOTE: check hinged grating rule for culverts &lt; 600 deep (PUB Add. 3). ","")))</f>
        <v/>
      </c>
      <c r="BF68" s="9"/>
      <c r="BG68" s="9"/>
      <c r="BH68" s="9"/>
      <c r="BI68" s="10" t="str">
        <f aca="false">IF(BH68="","",IFERROR(VLOOKUP(BH68,Projects!$A$5:$D$504,2,0),"Ref not in Projects"))</f>
        <v/>
      </c>
      <c r="BJ68" s="10" t="str">
        <f aca="false">IF(BH68="","",IFERROR(VLOOKUP(BH68,Projects!$A$5:$D$504,4,0),"Ref not in Projects"))</f>
        <v/>
      </c>
      <c r="BK68" s="9"/>
      <c r="BL68" s="9"/>
      <c r="BM68" s="9"/>
      <c r="BN68" s="40"/>
      <c r="BO68" s="9"/>
      <c r="BP68" s="40"/>
      <c r="BQ68" s="9"/>
      <c r="BR68" s="40"/>
      <c r="BS68" s="9"/>
      <c r="BT68" s="9"/>
      <c r="BU68" s="9"/>
      <c r="BV68" s="40"/>
      <c r="BW68" s="40"/>
      <c r="BX68" s="36" t="str">
        <f aca="false">IF(BW68="","",EDATE(BW68,SG_Criteria!$B$54*12))</f>
        <v/>
      </c>
      <c r="BY68" s="33" t="str">
        <f aca="true">IF(A68="","",IF(BW68="","NOTE: not reviewed yet",IF(TODAY()&gt;BX68,"NOTE: review overdue","OK")))</f>
        <v/>
      </c>
      <c r="BZ68" s="37" t="str">
        <f aca="false">IF(A68="","",ROUND((IF(LEN(D68)&gt;0,1,0)+IF(LEN(E68)&gt;0,1,0)+IF(LEN(F68)&gt;0,1,0)+IF(LEN(G68)&gt;0,1,0)+IF(LEN(H68)&gt;0,1,0)+IF(LEN(J68)&gt;0,1,0)+IF(LEN(K68)&gt;0,1,0)+IF(LEN(M68)&gt;0,1,0)+IF(LEN(O68)&gt;0,1,0)+IF(LEN(P68)&gt;0,1,0)+IF(LEN(Q68)&gt;0,1,0)+IF(LEN(S68)&gt;0,1,0)+IF(LEN(AC68)&gt;0,1,0)+IF(LEN(AV68)&gt;0,1,0)+IF(LEN(AW68)&gt;0,1,0)+IF(LEN(AG68)&gt;0,1,0)+IF(LEN(AI68)&gt;0,1,0)+IF(LEN(AJ68)&gt;0,1,0)+IF(LEN(AK68)&gt;0,1,0)+IF(LEN(AL68)&gt;0,1,0)+IF(LEN(AU68)&gt;0,1,0)+IF(LEN(BH68)&gt;0,1,0)+IF(LEN(BU68)&gt;0,1,0))/23,2))</f>
        <v/>
      </c>
      <c r="CA68" s="10" t="str">
        <f aca="false">IF(D68="","",IF(AND(AJ68="Approved",ISERROR(SEARCH("FAIL",BE68))),"Y","N"))</f>
        <v/>
      </c>
      <c r="CB68" s="10" t="str">
        <f aca="false">IF(D68="","",D68&amp;"|"&amp;G68&amp;"|"&amp;H68&amp;"|"&amp;M68&amp;"|"&amp;CA68)</f>
        <v/>
      </c>
    </row>
    <row r="69" customFormat="false" ht="15" hidden="false" customHeight="false" outlineLevel="0" collapsed="false">
      <c r="A69" s="10" t="str">
        <f aca="false">IF(D69="","","DRN-"&amp;IFERROR(VLOOKUP(D69,Lists!$A$4:$B$27,2,0),"??")&amp;"-"&amp;TEXT(G69,"0000")&amp;"x"&amp;TEXT(H69,"0000")&amp;IF(N(I69)&gt;1,"-"&amp;I69&amp;"C","")&amp;"-"&amp;IFERROR(VLOOKUP(M69,Lists!$J$4:$K$19,2,0),"??")&amp;"-"&amp;AI69)</f>
        <v/>
      </c>
      <c r="B69" s="10" t="str">
        <f aca="false">IF(D69="","",D69&amp;" "&amp;G69&amp;"W x "&amp;H69&amp;"D"&amp;IF(N(I69)&gt;1," ("&amp;I69&amp;" cells)","")&amp;", "&amp;E69&amp;", "&amp;M69&amp;", "&amp;F69)</f>
        <v/>
      </c>
      <c r="C69" s="9"/>
      <c r="D69" s="9"/>
      <c r="E69" s="9"/>
      <c r="F69" s="9"/>
      <c r="G69" s="38"/>
      <c r="H69" s="38"/>
      <c r="I69" s="38"/>
      <c r="J69" s="38"/>
      <c r="K69" s="38"/>
      <c r="L69" s="38"/>
      <c r="M69" s="9"/>
      <c r="N69" s="9"/>
      <c r="O69" s="9"/>
      <c r="P69" s="38"/>
      <c r="Q69" s="9"/>
      <c r="R69" s="9"/>
      <c r="S69" s="9"/>
      <c r="T69" s="9"/>
      <c r="U69" s="9"/>
      <c r="V69" s="9"/>
      <c r="W69" s="9"/>
      <c r="X69" s="9"/>
      <c r="Y69" s="9"/>
      <c r="Z69" s="9"/>
      <c r="AA69" s="9"/>
      <c r="AB69" s="39"/>
      <c r="AC69" s="9"/>
      <c r="AD69" s="38"/>
      <c r="AE69" s="9"/>
      <c r="AF69" s="39"/>
      <c r="AG69" s="9"/>
      <c r="AH69" s="9"/>
      <c r="AI69" s="9"/>
      <c r="AJ69" s="9"/>
      <c r="AK69" s="9"/>
      <c r="AL69" s="9"/>
      <c r="AM69" s="9"/>
      <c r="AN69" s="10" t="str">
        <f aca="false">IF(A69="","",SG_Criteria!$B$6&amp;SG_Criteria!$B$7&amp;"\"&amp;A69&amp;"\")</f>
        <v/>
      </c>
      <c r="AO69" s="10" t="str">
        <f aca="false">IF(A69="","",A69&amp;"_CAD.dwg")</f>
        <v/>
      </c>
      <c r="AP69" s="10" t="str">
        <f aca="false">IF(A69="","",A69&amp;"_DWG.pdf")</f>
        <v/>
      </c>
      <c r="AQ69" s="10" t="str">
        <f aca="false">IF(A69="","",IF(AM69="Y",A69&amp;"_STAAD.std","n/a"))</f>
        <v/>
      </c>
      <c r="AR69" s="10" t="str">
        <f aca="false">IF(A69="","",A69&amp;"_CALC.xlsx")</f>
        <v/>
      </c>
      <c r="AS69" s="10" t="str">
        <f aca="false">IF(A69="","",A69&amp;"_CALC.pdf")</f>
        <v/>
      </c>
      <c r="AT69" s="9"/>
      <c r="AU69" s="9"/>
      <c r="AV69" s="39"/>
      <c r="AW69" s="39"/>
      <c r="AX69" s="39"/>
      <c r="AY69" s="39"/>
      <c r="AZ69" s="39"/>
      <c r="BA69" s="12" t="str">
        <f aca="false">IF(A69="","",IF(COUNTIF(Rebar_Schedule!$A$5:$A$2004,A69)=0,"",ROUND(SUMIF(Rebar_Schedule!$A$5:$A$2004,A69,Rebar_Schedule!$K$5:$K$2004),1)))</f>
        <v/>
      </c>
      <c r="BB69" s="33" t="str">
        <f aca="false">IF(A69="","",IF(BA69="","No rebar schedule yet",IF(ABS(BA69-N(AW69))/MAX(N(AW69),1)&gt;SG_Criteria!$B$55,"NOTE: register rebar differs from schedule by "&amp;TEXT(ABS(BA69-N(AW69))/MAX(N(AW69),1),"0%"),"OK")))</f>
        <v/>
      </c>
      <c r="BC69" s="34" t="str">
        <f aca="false">IF(OR(D69="",G69="",H69="",D69="Sump",D69="Drop Inlet Chamber",D69="Silt Trap",D69="Pipe Culvert",D69="Subsoil Drain"),"",ROUND(MAX(1,N(I69))*(1/SG_Criteria!$B$26)*((G69/1000)*(H69/1000*(1-SG_Criteria!$B$25)))*(((G69/1000)*(H69/1000*(1-SG_Criteria!$B$25)))/((G69/1000)+2*(H69/1000*(1-SG_Criteria!$B$25))))^(2/3)*(1/Design_Selector!$B$11)^0.5,3))</f>
        <v/>
      </c>
      <c r="BD69" s="11" t="str">
        <f aca="false">IF(BC69="","",ROUND(BC69/(MAX(1,N(I69))*G69/1000*(H69/1000*(1-SG_Criteria!$B$25))),2))</f>
        <v/>
      </c>
      <c r="BE69" s="33" t="str">
        <f aca="false">IF(D69="","",IF(LEN(IF(AND(OR(E69="Roadside drain",E69="Entrance culvert"),OR(G69&lt;SG_Criteria!$B$15,H69&lt;SG_Criteria!$B$16)),"FAIL: below PUB min "&amp;SG_Criteria!$B$15&amp;"x"&amp;SG_Criteria!$B$16&amp;" for roadside drain. ","")&amp;IF(AND(E69="Common drain",G69&lt;SG_Criteria!$B$17),"FAIL: common drain W &lt; "&amp;SG_Criteria!$B$17&amp;" mm. ","")&amp;IF(AND(O69&lt;&gt;"",IFERROR(VALUE(MID(O69,2,2)),0)&lt;SG_Criteria!$B$19),"FAIL: grade below C"&amp;SG_Criteria!$B$19&amp;". ","")&amp;IF(AND(P69&lt;&gt;"",P69&lt;SG_Criteria!$B$20),"FAIL: cover &lt; "&amp;SG_Criteria!$B$20&amp;" mm. ","")&amp;IF(AND(F69="Open",H69&gt;SG_Criteria!$B$18),"NOTE: safety railing required (D &gt; "&amp;SG_Criteria!$B$18&amp;" mm). ","")&amp;IF(AND(E69="Entrance culvert",H69&lt;600),"NOTE: check hinged grating rule for culverts &lt; 600 deep (PUB Add. 3). ",""))=0,"OK",IF(AND(OR(E69="Roadside drain",E69="Entrance culvert"),OR(G69&lt;SG_Criteria!$B$15,H69&lt;SG_Criteria!$B$16)),"FAIL: below PUB min "&amp;SG_Criteria!$B$15&amp;"x"&amp;SG_Criteria!$B$16&amp;" for roadside drain. ","")&amp;IF(AND(E69="Common drain",G69&lt;SG_Criteria!$B$17),"FAIL: common drain W &lt; "&amp;SG_Criteria!$B$17&amp;" mm. ","")&amp;IF(AND(O69&lt;&gt;"",IFERROR(VALUE(MID(O69,2,2)),0)&lt;SG_Criteria!$B$19),"FAIL: grade below C"&amp;SG_Criteria!$B$19&amp;". ","")&amp;IF(AND(P69&lt;&gt;"",P69&lt;SG_Criteria!$B$20),"FAIL: cover &lt; "&amp;SG_Criteria!$B$20&amp;" mm. ","")&amp;IF(AND(F69="Open",H69&gt;SG_Criteria!$B$18),"NOTE: safety railing required (D &gt; "&amp;SG_Criteria!$B$18&amp;" mm). ","")&amp;IF(AND(E69="Entrance culvert",H69&lt;600),"NOTE: check hinged grating rule for culverts &lt; 600 deep (PUB Add. 3). ","")))</f>
        <v/>
      </c>
      <c r="BF69" s="9"/>
      <c r="BG69" s="9"/>
      <c r="BH69" s="9"/>
      <c r="BI69" s="10" t="str">
        <f aca="false">IF(BH69="","",IFERROR(VLOOKUP(BH69,Projects!$A$5:$D$504,2,0),"Ref not in Projects"))</f>
        <v/>
      </c>
      <c r="BJ69" s="10" t="str">
        <f aca="false">IF(BH69="","",IFERROR(VLOOKUP(BH69,Projects!$A$5:$D$504,4,0),"Ref not in Projects"))</f>
        <v/>
      </c>
      <c r="BK69" s="9"/>
      <c r="BL69" s="9"/>
      <c r="BM69" s="9"/>
      <c r="BN69" s="40"/>
      <c r="BO69" s="9"/>
      <c r="BP69" s="40"/>
      <c r="BQ69" s="9"/>
      <c r="BR69" s="40"/>
      <c r="BS69" s="9"/>
      <c r="BT69" s="9"/>
      <c r="BU69" s="9"/>
      <c r="BV69" s="40"/>
      <c r="BW69" s="40"/>
      <c r="BX69" s="36" t="str">
        <f aca="false">IF(BW69="","",EDATE(BW69,SG_Criteria!$B$54*12))</f>
        <v/>
      </c>
      <c r="BY69" s="33" t="str">
        <f aca="true">IF(A69="","",IF(BW69="","NOTE: not reviewed yet",IF(TODAY()&gt;BX69,"NOTE: review overdue","OK")))</f>
        <v/>
      </c>
      <c r="BZ69" s="37" t="str">
        <f aca="false">IF(A69="","",ROUND((IF(LEN(D69)&gt;0,1,0)+IF(LEN(E69)&gt;0,1,0)+IF(LEN(F69)&gt;0,1,0)+IF(LEN(G69)&gt;0,1,0)+IF(LEN(H69)&gt;0,1,0)+IF(LEN(J69)&gt;0,1,0)+IF(LEN(K69)&gt;0,1,0)+IF(LEN(M69)&gt;0,1,0)+IF(LEN(O69)&gt;0,1,0)+IF(LEN(P69)&gt;0,1,0)+IF(LEN(Q69)&gt;0,1,0)+IF(LEN(S69)&gt;0,1,0)+IF(LEN(AC69)&gt;0,1,0)+IF(LEN(AV69)&gt;0,1,0)+IF(LEN(AW69)&gt;0,1,0)+IF(LEN(AG69)&gt;0,1,0)+IF(LEN(AI69)&gt;0,1,0)+IF(LEN(AJ69)&gt;0,1,0)+IF(LEN(AK69)&gt;0,1,0)+IF(LEN(AL69)&gt;0,1,0)+IF(LEN(AU69)&gt;0,1,0)+IF(LEN(BH69)&gt;0,1,0)+IF(LEN(BU69)&gt;0,1,0))/23,2))</f>
        <v/>
      </c>
      <c r="CA69" s="10" t="str">
        <f aca="false">IF(D69="","",IF(AND(AJ69="Approved",ISERROR(SEARCH("FAIL",BE69))),"Y","N"))</f>
        <v/>
      </c>
      <c r="CB69" s="10" t="str">
        <f aca="false">IF(D69="","",D69&amp;"|"&amp;G69&amp;"|"&amp;H69&amp;"|"&amp;M69&amp;"|"&amp;CA69)</f>
        <v/>
      </c>
    </row>
    <row r="70" customFormat="false" ht="15" hidden="false" customHeight="false" outlineLevel="0" collapsed="false">
      <c r="A70" s="10" t="str">
        <f aca="false">IF(D70="","","DRN-"&amp;IFERROR(VLOOKUP(D70,Lists!$A$4:$B$27,2,0),"??")&amp;"-"&amp;TEXT(G70,"0000")&amp;"x"&amp;TEXT(H70,"0000")&amp;IF(N(I70)&gt;1,"-"&amp;I70&amp;"C","")&amp;"-"&amp;IFERROR(VLOOKUP(M70,Lists!$J$4:$K$19,2,0),"??")&amp;"-"&amp;AI70)</f>
        <v/>
      </c>
      <c r="B70" s="10" t="str">
        <f aca="false">IF(D70="","",D70&amp;" "&amp;G70&amp;"W x "&amp;H70&amp;"D"&amp;IF(N(I70)&gt;1," ("&amp;I70&amp;" cells)","")&amp;", "&amp;E70&amp;", "&amp;M70&amp;", "&amp;F70)</f>
        <v/>
      </c>
      <c r="C70" s="9"/>
      <c r="D70" s="9"/>
      <c r="E70" s="9"/>
      <c r="F70" s="9"/>
      <c r="G70" s="38"/>
      <c r="H70" s="38"/>
      <c r="I70" s="38"/>
      <c r="J70" s="38"/>
      <c r="K70" s="38"/>
      <c r="L70" s="38"/>
      <c r="M70" s="9"/>
      <c r="N70" s="9"/>
      <c r="O70" s="9"/>
      <c r="P70" s="38"/>
      <c r="Q70" s="9"/>
      <c r="R70" s="9"/>
      <c r="S70" s="9"/>
      <c r="T70" s="9"/>
      <c r="U70" s="9"/>
      <c r="V70" s="9"/>
      <c r="W70" s="9"/>
      <c r="X70" s="9"/>
      <c r="Y70" s="9"/>
      <c r="Z70" s="9"/>
      <c r="AA70" s="9"/>
      <c r="AB70" s="39"/>
      <c r="AC70" s="9"/>
      <c r="AD70" s="38"/>
      <c r="AE70" s="9"/>
      <c r="AF70" s="39"/>
      <c r="AG70" s="9"/>
      <c r="AH70" s="9"/>
      <c r="AI70" s="9"/>
      <c r="AJ70" s="9"/>
      <c r="AK70" s="9"/>
      <c r="AL70" s="9"/>
      <c r="AM70" s="9"/>
      <c r="AN70" s="10" t="str">
        <f aca="false">IF(A70="","",SG_Criteria!$B$6&amp;SG_Criteria!$B$7&amp;"\"&amp;A70&amp;"\")</f>
        <v/>
      </c>
      <c r="AO70" s="10" t="str">
        <f aca="false">IF(A70="","",A70&amp;"_CAD.dwg")</f>
        <v/>
      </c>
      <c r="AP70" s="10" t="str">
        <f aca="false">IF(A70="","",A70&amp;"_DWG.pdf")</f>
        <v/>
      </c>
      <c r="AQ70" s="10" t="str">
        <f aca="false">IF(A70="","",IF(AM70="Y",A70&amp;"_STAAD.std","n/a"))</f>
        <v/>
      </c>
      <c r="AR70" s="10" t="str">
        <f aca="false">IF(A70="","",A70&amp;"_CALC.xlsx")</f>
        <v/>
      </c>
      <c r="AS70" s="10" t="str">
        <f aca="false">IF(A70="","",A70&amp;"_CALC.pdf")</f>
        <v/>
      </c>
      <c r="AT70" s="9"/>
      <c r="AU70" s="9"/>
      <c r="AV70" s="39"/>
      <c r="AW70" s="39"/>
      <c r="AX70" s="39"/>
      <c r="AY70" s="39"/>
      <c r="AZ70" s="39"/>
      <c r="BA70" s="12" t="str">
        <f aca="false">IF(A70="","",IF(COUNTIF(Rebar_Schedule!$A$5:$A$2004,A70)=0,"",ROUND(SUMIF(Rebar_Schedule!$A$5:$A$2004,A70,Rebar_Schedule!$K$5:$K$2004),1)))</f>
        <v/>
      </c>
      <c r="BB70" s="33" t="str">
        <f aca="false">IF(A70="","",IF(BA70="","No rebar schedule yet",IF(ABS(BA70-N(AW70))/MAX(N(AW70),1)&gt;SG_Criteria!$B$55,"NOTE: register rebar differs from schedule by "&amp;TEXT(ABS(BA70-N(AW70))/MAX(N(AW70),1),"0%"),"OK")))</f>
        <v/>
      </c>
      <c r="BC70" s="34" t="str">
        <f aca="false">IF(OR(D70="",G70="",H70="",D70="Sump",D70="Drop Inlet Chamber",D70="Silt Trap",D70="Pipe Culvert",D70="Subsoil Drain"),"",ROUND(MAX(1,N(I70))*(1/SG_Criteria!$B$26)*((G70/1000)*(H70/1000*(1-SG_Criteria!$B$25)))*(((G70/1000)*(H70/1000*(1-SG_Criteria!$B$25)))/((G70/1000)+2*(H70/1000*(1-SG_Criteria!$B$25))))^(2/3)*(1/Design_Selector!$B$11)^0.5,3))</f>
        <v/>
      </c>
      <c r="BD70" s="11" t="str">
        <f aca="false">IF(BC70="","",ROUND(BC70/(MAX(1,N(I70))*G70/1000*(H70/1000*(1-SG_Criteria!$B$25))),2))</f>
        <v/>
      </c>
      <c r="BE70" s="33" t="str">
        <f aca="false">IF(D70="","",IF(LEN(IF(AND(OR(E70="Roadside drain",E70="Entrance culvert"),OR(G70&lt;SG_Criteria!$B$15,H70&lt;SG_Criteria!$B$16)),"FAIL: below PUB min "&amp;SG_Criteria!$B$15&amp;"x"&amp;SG_Criteria!$B$16&amp;" for roadside drain. ","")&amp;IF(AND(E70="Common drain",G70&lt;SG_Criteria!$B$17),"FAIL: common drain W &lt; "&amp;SG_Criteria!$B$17&amp;" mm. ","")&amp;IF(AND(O70&lt;&gt;"",IFERROR(VALUE(MID(O70,2,2)),0)&lt;SG_Criteria!$B$19),"FAIL: grade below C"&amp;SG_Criteria!$B$19&amp;". ","")&amp;IF(AND(P70&lt;&gt;"",P70&lt;SG_Criteria!$B$20),"FAIL: cover &lt; "&amp;SG_Criteria!$B$20&amp;" mm. ","")&amp;IF(AND(F70="Open",H70&gt;SG_Criteria!$B$18),"NOTE: safety railing required (D &gt; "&amp;SG_Criteria!$B$18&amp;" mm). ","")&amp;IF(AND(E70="Entrance culvert",H70&lt;600),"NOTE: check hinged grating rule for culverts &lt; 600 deep (PUB Add. 3). ",""))=0,"OK",IF(AND(OR(E70="Roadside drain",E70="Entrance culvert"),OR(G70&lt;SG_Criteria!$B$15,H70&lt;SG_Criteria!$B$16)),"FAIL: below PUB min "&amp;SG_Criteria!$B$15&amp;"x"&amp;SG_Criteria!$B$16&amp;" for roadside drain. ","")&amp;IF(AND(E70="Common drain",G70&lt;SG_Criteria!$B$17),"FAIL: common drain W &lt; "&amp;SG_Criteria!$B$17&amp;" mm. ","")&amp;IF(AND(O70&lt;&gt;"",IFERROR(VALUE(MID(O70,2,2)),0)&lt;SG_Criteria!$B$19),"FAIL: grade below C"&amp;SG_Criteria!$B$19&amp;". ","")&amp;IF(AND(P70&lt;&gt;"",P70&lt;SG_Criteria!$B$20),"FAIL: cover &lt; "&amp;SG_Criteria!$B$20&amp;" mm. ","")&amp;IF(AND(F70="Open",H70&gt;SG_Criteria!$B$18),"NOTE: safety railing required (D &gt; "&amp;SG_Criteria!$B$18&amp;" mm). ","")&amp;IF(AND(E70="Entrance culvert",H70&lt;600),"NOTE: check hinged grating rule for culverts &lt; 600 deep (PUB Add. 3). ","")))</f>
        <v/>
      </c>
      <c r="BF70" s="9"/>
      <c r="BG70" s="9"/>
      <c r="BH70" s="9"/>
      <c r="BI70" s="10" t="str">
        <f aca="false">IF(BH70="","",IFERROR(VLOOKUP(BH70,Projects!$A$5:$D$504,2,0),"Ref not in Projects"))</f>
        <v/>
      </c>
      <c r="BJ70" s="10" t="str">
        <f aca="false">IF(BH70="","",IFERROR(VLOOKUP(BH70,Projects!$A$5:$D$504,4,0),"Ref not in Projects"))</f>
        <v/>
      </c>
      <c r="BK70" s="9"/>
      <c r="BL70" s="9"/>
      <c r="BM70" s="9"/>
      <c r="BN70" s="40"/>
      <c r="BO70" s="9"/>
      <c r="BP70" s="40"/>
      <c r="BQ70" s="9"/>
      <c r="BR70" s="40"/>
      <c r="BS70" s="9"/>
      <c r="BT70" s="9"/>
      <c r="BU70" s="9"/>
      <c r="BV70" s="40"/>
      <c r="BW70" s="40"/>
      <c r="BX70" s="36" t="str">
        <f aca="false">IF(BW70="","",EDATE(BW70,SG_Criteria!$B$54*12))</f>
        <v/>
      </c>
      <c r="BY70" s="33" t="str">
        <f aca="true">IF(A70="","",IF(BW70="","NOTE: not reviewed yet",IF(TODAY()&gt;BX70,"NOTE: review overdue","OK")))</f>
        <v/>
      </c>
      <c r="BZ70" s="37" t="str">
        <f aca="false">IF(A70="","",ROUND((IF(LEN(D70)&gt;0,1,0)+IF(LEN(E70)&gt;0,1,0)+IF(LEN(F70)&gt;0,1,0)+IF(LEN(G70)&gt;0,1,0)+IF(LEN(H70)&gt;0,1,0)+IF(LEN(J70)&gt;0,1,0)+IF(LEN(K70)&gt;0,1,0)+IF(LEN(M70)&gt;0,1,0)+IF(LEN(O70)&gt;0,1,0)+IF(LEN(P70)&gt;0,1,0)+IF(LEN(Q70)&gt;0,1,0)+IF(LEN(S70)&gt;0,1,0)+IF(LEN(AC70)&gt;0,1,0)+IF(LEN(AV70)&gt;0,1,0)+IF(LEN(AW70)&gt;0,1,0)+IF(LEN(AG70)&gt;0,1,0)+IF(LEN(AI70)&gt;0,1,0)+IF(LEN(AJ70)&gt;0,1,0)+IF(LEN(AK70)&gt;0,1,0)+IF(LEN(AL70)&gt;0,1,0)+IF(LEN(AU70)&gt;0,1,0)+IF(LEN(BH70)&gt;0,1,0)+IF(LEN(BU70)&gt;0,1,0))/23,2))</f>
        <v/>
      </c>
      <c r="CA70" s="10" t="str">
        <f aca="false">IF(D70="","",IF(AND(AJ70="Approved",ISERROR(SEARCH("FAIL",BE70))),"Y","N"))</f>
        <v/>
      </c>
      <c r="CB70" s="10" t="str">
        <f aca="false">IF(D70="","",D70&amp;"|"&amp;G70&amp;"|"&amp;H70&amp;"|"&amp;M70&amp;"|"&amp;CA70)</f>
        <v/>
      </c>
    </row>
    <row r="71" customFormat="false" ht="15" hidden="false" customHeight="false" outlineLevel="0" collapsed="false">
      <c r="A71" s="10" t="str">
        <f aca="false">IF(D71="","","DRN-"&amp;IFERROR(VLOOKUP(D71,Lists!$A$4:$B$27,2,0),"??")&amp;"-"&amp;TEXT(G71,"0000")&amp;"x"&amp;TEXT(H71,"0000")&amp;IF(N(I71)&gt;1,"-"&amp;I71&amp;"C","")&amp;"-"&amp;IFERROR(VLOOKUP(M71,Lists!$J$4:$K$19,2,0),"??")&amp;"-"&amp;AI71)</f>
        <v/>
      </c>
      <c r="B71" s="10" t="str">
        <f aca="false">IF(D71="","",D71&amp;" "&amp;G71&amp;"W x "&amp;H71&amp;"D"&amp;IF(N(I71)&gt;1," ("&amp;I71&amp;" cells)","")&amp;", "&amp;E71&amp;", "&amp;M71&amp;", "&amp;F71)</f>
        <v/>
      </c>
      <c r="C71" s="9"/>
      <c r="D71" s="9"/>
      <c r="E71" s="9"/>
      <c r="F71" s="9"/>
      <c r="G71" s="38"/>
      <c r="H71" s="38"/>
      <c r="I71" s="38"/>
      <c r="J71" s="38"/>
      <c r="K71" s="38"/>
      <c r="L71" s="38"/>
      <c r="M71" s="9"/>
      <c r="N71" s="9"/>
      <c r="O71" s="9"/>
      <c r="P71" s="38"/>
      <c r="Q71" s="9"/>
      <c r="R71" s="9"/>
      <c r="S71" s="9"/>
      <c r="T71" s="9"/>
      <c r="U71" s="9"/>
      <c r="V71" s="9"/>
      <c r="W71" s="9"/>
      <c r="X71" s="9"/>
      <c r="Y71" s="9"/>
      <c r="Z71" s="9"/>
      <c r="AA71" s="9"/>
      <c r="AB71" s="39"/>
      <c r="AC71" s="9"/>
      <c r="AD71" s="38"/>
      <c r="AE71" s="9"/>
      <c r="AF71" s="39"/>
      <c r="AG71" s="9"/>
      <c r="AH71" s="9"/>
      <c r="AI71" s="9"/>
      <c r="AJ71" s="9"/>
      <c r="AK71" s="9"/>
      <c r="AL71" s="9"/>
      <c r="AM71" s="9"/>
      <c r="AN71" s="10" t="str">
        <f aca="false">IF(A71="","",SG_Criteria!$B$6&amp;SG_Criteria!$B$7&amp;"\"&amp;A71&amp;"\")</f>
        <v/>
      </c>
      <c r="AO71" s="10" t="str">
        <f aca="false">IF(A71="","",A71&amp;"_CAD.dwg")</f>
        <v/>
      </c>
      <c r="AP71" s="10" t="str">
        <f aca="false">IF(A71="","",A71&amp;"_DWG.pdf")</f>
        <v/>
      </c>
      <c r="AQ71" s="10" t="str">
        <f aca="false">IF(A71="","",IF(AM71="Y",A71&amp;"_STAAD.std","n/a"))</f>
        <v/>
      </c>
      <c r="AR71" s="10" t="str">
        <f aca="false">IF(A71="","",A71&amp;"_CALC.xlsx")</f>
        <v/>
      </c>
      <c r="AS71" s="10" t="str">
        <f aca="false">IF(A71="","",A71&amp;"_CALC.pdf")</f>
        <v/>
      </c>
      <c r="AT71" s="9"/>
      <c r="AU71" s="9"/>
      <c r="AV71" s="39"/>
      <c r="AW71" s="39"/>
      <c r="AX71" s="39"/>
      <c r="AY71" s="39"/>
      <c r="AZ71" s="39"/>
      <c r="BA71" s="12" t="str">
        <f aca="false">IF(A71="","",IF(COUNTIF(Rebar_Schedule!$A$5:$A$2004,A71)=0,"",ROUND(SUMIF(Rebar_Schedule!$A$5:$A$2004,A71,Rebar_Schedule!$K$5:$K$2004),1)))</f>
        <v/>
      </c>
      <c r="BB71" s="33" t="str">
        <f aca="false">IF(A71="","",IF(BA71="","No rebar schedule yet",IF(ABS(BA71-N(AW71))/MAX(N(AW71),1)&gt;SG_Criteria!$B$55,"NOTE: register rebar differs from schedule by "&amp;TEXT(ABS(BA71-N(AW71))/MAX(N(AW71),1),"0%"),"OK")))</f>
        <v/>
      </c>
      <c r="BC71" s="34" t="str">
        <f aca="false">IF(OR(D71="",G71="",H71="",D71="Sump",D71="Drop Inlet Chamber",D71="Silt Trap",D71="Pipe Culvert",D71="Subsoil Drain"),"",ROUND(MAX(1,N(I71))*(1/SG_Criteria!$B$26)*((G71/1000)*(H71/1000*(1-SG_Criteria!$B$25)))*(((G71/1000)*(H71/1000*(1-SG_Criteria!$B$25)))/((G71/1000)+2*(H71/1000*(1-SG_Criteria!$B$25))))^(2/3)*(1/Design_Selector!$B$11)^0.5,3))</f>
        <v/>
      </c>
      <c r="BD71" s="11" t="str">
        <f aca="false">IF(BC71="","",ROUND(BC71/(MAX(1,N(I71))*G71/1000*(H71/1000*(1-SG_Criteria!$B$25))),2))</f>
        <v/>
      </c>
      <c r="BE71" s="33" t="str">
        <f aca="false">IF(D71="","",IF(LEN(IF(AND(OR(E71="Roadside drain",E71="Entrance culvert"),OR(G71&lt;SG_Criteria!$B$15,H71&lt;SG_Criteria!$B$16)),"FAIL: below PUB min "&amp;SG_Criteria!$B$15&amp;"x"&amp;SG_Criteria!$B$16&amp;" for roadside drain. ","")&amp;IF(AND(E71="Common drain",G71&lt;SG_Criteria!$B$17),"FAIL: common drain W &lt; "&amp;SG_Criteria!$B$17&amp;" mm. ","")&amp;IF(AND(O71&lt;&gt;"",IFERROR(VALUE(MID(O71,2,2)),0)&lt;SG_Criteria!$B$19),"FAIL: grade below C"&amp;SG_Criteria!$B$19&amp;". ","")&amp;IF(AND(P71&lt;&gt;"",P71&lt;SG_Criteria!$B$20),"FAIL: cover &lt; "&amp;SG_Criteria!$B$20&amp;" mm. ","")&amp;IF(AND(F71="Open",H71&gt;SG_Criteria!$B$18),"NOTE: safety railing required (D &gt; "&amp;SG_Criteria!$B$18&amp;" mm). ","")&amp;IF(AND(E71="Entrance culvert",H71&lt;600),"NOTE: check hinged grating rule for culverts &lt; 600 deep (PUB Add. 3). ",""))=0,"OK",IF(AND(OR(E71="Roadside drain",E71="Entrance culvert"),OR(G71&lt;SG_Criteria!$B$15,H71&lt;SG_Criteria!$B$16)),"FAIL: below PUB min "&amp;SG_Criteria!$B$15&amp;"x"&amp;SG_Criteria!$B$16&amp;" for roadside drain. ","")&amp;IF(AND(E71="Common drain",G71&lt;SG_Criteria!$B$17),"FAIL: common drain W &lt; "&amp;SG_Criteria!$B$17&amp;" mm. ","")&amp;IF(AND(O71&lt;&gt;"",IFERROR(VALUE(MID(O71,2,2)),0)&lt;SG_Criteria!$B$19),"FAIL: grade below C"&amp;SG_Criteria!$B$19&amp;". ","")&amp;IF(AND(P71&lt;&gt;"",P71&lt;SG_Criteria!$B$20),"FAIL: cover &lt; "&amp;SG_Criteria!$B$20&amp;" mm. ","")&amp;IF(AND(F71="Open",H71&gt;SG_Criteria!$B$18),"NOTE: safety railing required (D &gt; "&amp;SG_Criteria!$B$18&amp;" mm). ","")&amp;IF(AND(E71="Entrance culvert",H71&lt;600),"NOTE: check hinged grating rule for culverts &lt; 600 deep (PUB Add. 3). ","")))</f>
        <v/>
      </c>
      <c r="BF71" s="9"/>
      <c r="BG71" s="9"/>
      <c r="BH71" s="9"/>
      <c r="BI71" s="10" t="str">
        <f aca="false">IF(BH71="","",IFERROR(VLOOKUP(BH71,Projects!$A$5:$D$504,2,0),"Ref not in Projects"))</f>
        <v/>
      </c>
      <c r="BJ71" s="10" t="str">
        <f aca="false">IF(BH71="","",IFERROR(VLOOKUP(BH71,Projects!$A$5:$D$504,4,0),"Ref not in Projects"))</f>
        <v/>
      </c>
      <c r="BK71" s="9"/>
      <c r="BL71" s="9"/>
      <c r="BM71" s="9"/>
      <c r="BN71" s="40"/>
      <c r="BO71" s="9"/>
      <c r="BP71" s="40"/>
      <c r="BQ71" s="9"/>
      <c r="BR71" s="40"/>
      <c r="BS71" s="9"/>
      <c r="BT71" s="9"/>
      <c r="BU71" s="9"/>
      <c r="BV71" s="40"/>
      <c r="BW71" s="40"/>
      <c r="BX71" s="36" t="str">
        <f aca="false">IF(BW71="","",EDATE(BW71,SG_Criteria!$B$54*12))</f>
        <v/>
      </c>
      <c r="BY71" s="33" t="str">
        <f aca="true">IF(A71="","",IF(BW71="","NOTE: not reviewed yet",IF(TODAY()&gt;BX71,"NOTE: review overdue","OK")))</f>
        <v/>
      </c>
      <c r="BZ71" s="37" t="str">
        <f aca="false">IF(A71="","",ROUND((IF(LEN(D71)&gt;0,1,0)+IF(LEN(E71)&gt;0,1,0)+IF(LEN(F71)&gt;0,1,0)+IF(LEN(G71)&gt;0,1,0)+IF(LEN(H71)&gt;0,1,0)+IF(LEN(J71)&gt;0,1,0)+IF(LEN(K71)&gt;0,1,0)+IF(LEN(M71)&gt;0,1,0)+IF(LEN(O71)&gt;0,1,0)+IF(LEN(P71)&gt;0,1,0)+IF(LEN(Q71)&gt;0,1,0)+IF(LEN(S71)&gt;0,1,0)+IF(LEN(AC71)&gt;0,1,0)+IF(LEN(AV71)&gt;0,1,0)+IF(LEN(AW71)&gt;0,1,0)+IF(LEN(AG71)&gt;0,1,0)+IF(LEN(AI71)&gt;0,1,0)+IF(LEN(AJ71)&gt;0,1,0)+IF(LEN(AK71)&gt;0,1,0)+IF(LEN(AL71)&gt;0,1,0)+IF(LEN(AU71)&gt;0,1,0)+IF(LEN(BH71)&gt;0,1,0)+IF(LEN(BU71)&gt;0,1,0))/23,2))</f>
        <v/>
      </c>
      <c r="CA71" s="10" t="str">
        <f aca="false">IF(D71="","",IF(AND(AJ71="Approved",ISERROR(SEARCH("FAIL",BE71))),"Y","N"))</f>
        <v/>
      </c>
      <c r="CB71" s="10" t="str">
        <f aca="false">IF(D71="","",D71&amp;"|"&amp;G71&amp;"|"&amp;H71&amp;"|"&amp;M71&amp;"|"&amp;CA71)</f>
        <v/>
      </c>
    </row>
    <row r="72" customFormat="false" ht="15" hidden="false" customHeight="false" outlineLevel="0" collapsed="false">
      <c r="A72" s="10" t="str">
        <f aca="false">IF(D72="","","DRN-"&amp;IFERROR(VLOOKUP(D72,Lists!$A$4:$B$27,2,0),"??")&amp;"-"&amp;TEXT(G72,"0000")&amp;"x"&amp;TEXT(H72,"0000")&amp;IF(N(I72)&gt;1,"-"&amp;I72&amp;"C","")&amp;"-"&amp;IFERROR(VLOOKUP(M72,Lists!$J$4:$K$19,2,0),"??")&amp;"-"&amp;AI72)</f>
        <v/>
      </c>
      <c r="B72" s="10" t="str">
        <f aca="false">IF(D72="","",D72&amp;" "&amp;G72&amp;"W x "&amp;H72&amp;"D"&amp;IF(N(I72)&gt;1," ("&amp;I72&amp;" cells)","")&amp;", "&amp;E72&amp;", "&amp;M72&amp;", "&amp;F72)</f>
        <v/>
      </c>
      <c r="C72" s="9"/>
      <c r="D72" s="9"/>
      <c r="E72" s="9"/>
      <c r="F72" s="9"/>
      <c r="G72" s="38"/>
      <c r="H72" s="38"/>
      <c r="I72" s="38"/>
      <c r="J72" s="38"/>
      <c r="K72" s="38"/>
      <c r="L72" s="38"/>
      <c r="M72" s="9"/>
      <c r="N72" s="9"/>
      <c r="O72" s="9"/>
      <c r="P72" s="38"/>
      <c r="Q72" s="9"/>
      <c r="R72" s="9"/>
      <c r="S72" s="9"/>
      <c r="T72" s="9"/>
      <c r="U72" s="9"/>
      <c r="V72" s="9"/>
      <c r="W72" s="9"/>
      <c r="X72" s="9"/>
      <c r="Y72" s="9"/>
      <c r="Z72" s="9"/>
      <c r="AA72" s="9"/>
      <c r="AB72" s="39"/>
      <c r="AC72" s="9"/>
      <c r="AD72" s="38"/>
      <c r="AE72" s="9"/>
      <c r="AF72" s="39"/>
      <c r="AG72" s="9"/>
      <c r="AH72" s="9"/>
      <c r="AI72" s="9"/>
      <c r="AJ72" s="9"/>
      <c r="AK72" s="9"/>
      <c r="AL72" s="9"/>
      <c r="AM72" s="9"/>
      <c r="AN72" s="10" t="str">
        <f aca="false">IF(A72="","",SG_Criteria!$B$6&amp;SG_Criteria!$B$7&amp;"\"&amp;A72&amp;"\")</f>
        <v/>
      </c>
      <c r="AO72" s="10" t="str">
        <f aca="false">IF(A72="","",A72&amp;"_CAD.dwg")</f>
        <v/>
      </c>
      <c r="AP72" s="10" t="str">
        <f aca="false">IF(A72="","",A72&amp;"_DWG.pdf")</f>
        <v/>
      </c>
      <c r="AQ72" s="10" t="str">
        <f aca="false">IF(A72="","",IF(AM72="Y",A72&amp;"_STAAD.std","n/a"))</f>
        <v/>
      </c>
      <c r="AR72" s="10" t="str">
        <f aca="false">IF(A72="","",A72&amp;"_CALC.xlsx")</f>
        <v/>
      </c>
      <c r="AS72" s="10" t="str">
        <f aca="false">IF(A72="","",A72&amp;"_CALC.pdf")</f>
        <v/>
      </c>
      <c r="AT72" s="9"/>
      <c r="AU72" s="9"/>
      <c r="AV72" s="39"/>
      <c r="AW72" s="39"/>
      <c r="AX72" s="39"/>
      <c r="AY72" s="39"/>
      <c r="AZ72" s="39"/>
      <c r="BA72" s="12" t="str">
        <f aca="false">IF(A72="","",IF(COUNTIF(Rebar_Schedule!$A$5:$A$2004,A72)=0,"",ROUND(SUMIF(Rebar_Schedule!$A$5:$A$2004,A72,Rebar_Schedule!$K$5:$K$2004),1)))</f>
        <v/>
      </c>
      <c r="BB72" s="33" t="str">
        <f aca="false">IF(A72="","",IF(BA72="","No rebar schedule yet",IF(ABS(BA72-N(AW72))/MAX(N(AW72),1)&gt;SG_Criteria!$B$55,"NOTE: register rebar differs from schedule by "&amp;TEXT(ABS(BA72-N(AW72))/MAX(N(AW72),1),"0%"),"OK")))</f>
        <v/>
      </c>
      <c r="BC72" s="34" t="str">
        <f aca="false">IF(OR(D72="",G72="",H72="",D72="Sump",D72="Drop Inlet Chamber",D72="Silt Trap",D72="Pipe Culvert",D72="Subsoil Drain"),"",ROUND(MAX(1,N(I72))*(1/SG_Criteria!$B$26)*((G72/1000)*(H72/1000*(1-SG_Criteria!$B$25)))*(((G72/1000)*(H72/1000*(1-SG_Criteria!$B$25)))/((G72/1000)+2*(H72/1000*(1-SG_Criteria!$B$25))))^(2/3)*(1/Design_Selector!$B$11)^0.5,3))</f>
        <v/>
      </c>
      <c r="BD72" s="11" t="str">
        <f aca="false">IF(BC72="","",ROUND(BC72/(MAX(1,N(I72))*G72/1000*(H72/1000*(1-SG_Criteria!$B$25))),2))</f>
        <v/>
      </c>
      <c r="BE72" s="33" t="str">
        <f aca="false">IF(D72="","",IF(LEN(IF(AND(OR(E72="Roadside drain",E72="Entrance culvert"),OR(G72&lt;SG_Criteria!$B$15,H72&lt;SG_Criteria!$B$16)),"FAIL: below PUB min "&amp;SG_Criteria!$B$15&amp;"x"&amp;SG_Criteria!$B$16&amp;" for roadside drain. ","")&amp;IF(AND(E72="Common drain",G72&lt;SG_Criteria!$B$17),"FAIL: common drain W &lt; "&amp;SG_Criteria!$B$17&amp;" mm. ","")&amp;IF(AND(O72&lt;&gt;"",IFERROR(VALUE(MID(O72,2,2)),0)&lt;SG_Criteria!$B$19),"FAIL: grade below C"&amp;SG_Criteria!$B$19&amp;". ","")&amp;IF(AND(P72&lt;&gt;"",P72&lt;SG_Criteria!$B$20),"FAIL: cover &lt; "&amp;SG_Criteria!$B$20&amp;" mm. ","")&amp;IF(AND(F72="Open",H72&gt;SG_Criteria!$B$18),"NOTE: safety railing required (D &gt; "&amp;SG_Criteria!$B$18&amp;" mm). ","")&amp;IF(AND(E72="Entrance culvert",H72&lt;600),"NOTE: check hinged grating rule for culverts &lt; 600 deep (PUB Add. 3). ",""))=0,"OK",IF(AND(OR(E72="Roadside drain",E72="Entrance culvert"),OR(G72&lt;SG_Criteria!$B$15,H72&lt;SG_Criteria!$B$16)),"FAIL: below PUB min "&amp;SG_Criteria!$B$15&amp;"x"&amp;SG_Criteria!$B$16&amp;" for roadside drain. ","")&amp;IF(AND(E72="Common drain",G72&lt;SG_Criteria!$B$17),"FAIL: common drain W &lt; "&amp;SG_Criteria!$B$17&amp;" mm. ","")&amp;IF(AND(O72&lt;&gt;"",IFERROR(VALUE(MID(O72,2,2)),0)&lt;SG_Criteria!$B$19),"FAIL: grade below C"&amp;SG_Criteria!$B$19&amp;". ","")&amp;IF(AND(P72&lt;&gt;"",P72&lt;SG_Criteria!$B$20),"FAIL: cover &lt; "&amp;SG_Criteria!$B$20&amp;" mm. ","")&amp;IF(AND(F72="Open",H72&gt;SG_Criteria!$B$18),"NOTE: safety railing required (D &gt; "&amp;SG_Criteria!$B$18&amp;" mm). ","")&amp;IF(AND(E72="Entrance culvert",H72&lt;600),"NOTE: check hinged grating rule for culverts &lt; 600 deep (PUB Add. 3). ","")))</f>
        <v/>
      </c>
      <c r="BF72" s="9"/>
      <c r="BG72" s="9"/>
      <c r="BH72" s="9"/>
      <c r="BI72" s="10" t="str">
        <f aca="false">IF(BH72="","",IFERROR(VLOOKUP(BH72,Projects!$A$5:$D$504,2,0),"Ref not in Projects"))</f>
        <v/>
      </c>
      <c r="BJ72" s="10" t="str">
        <f aca="false">IF(BH72="","",IFERROR(VLOOKUP(BH72,Projects!$A$5:$D$504,4,0),"Ref not in Projects"))</f>
        <v/>
      </c>
      <c r="BK72" s="9"/>
      <c r="BL72" s="9"/>
      <c r="BM72" s="9"/>
      <c r="BN72" s="40"/>
      <c r="BO72" s="9"/>
      <c r="BP72" s="40"/>
      <c r="BQ72" s="9"/>
      <c r="BR72" s="40"/>
      <c r="BS72" s="9"/>
      <c r="BT72" s="9"/>
      <c r="BU72" s="9"/>
      <c r="BV72" s="40"/>
      <c r="BW72" s="40"/>
      <c r="BX72" s="36" t="str">
        <f aca="false">IF(BW72="","",EDATE(BW72,SG_Criteria!$B$54*12))</f>
        <v/>
      </c>
      <c r="BY72" s="33" t="str">
        <f aca="true">IF(A72="","",IF(BW72="","NOTE: not reviewed yet",IF(TODAY()&gt;BX72,"NOTE: review overdue","OK")))</f>
        <v/>
      </c>
      <c r="BZ72" s="37" t="str">
        <f aca="false">IF(A72="","",ROUND((IF(LEN(D72)&gt;0,1,0)+IF(LEN(E72)&gt;0,1,0)+IF(LEN(F72)&gt;0,1,0)+IF(LEN(G72)&gt;0,1,0)+IF(LEN(H72)&gt;0,1,0)+IF(LEN(J72)&gt;0,1,0)+IF(LEN(K72)&gt;0,1,0)+IF(LEN(M72)&gt;0,1,0)+IF(LEN(O72)&gt;0,1,0)+IF(LEN(P72)&gt;0,1,0)+IF(LEN(Q72)&gt;0,1,0)+IF(LEN(S72)&gt;0,1,0)+IF(LEN(AC72)&gt;0,1,0)+IF(LEN(AV72)&gt;0,1,0)+IF(LEN(AW72)&gt;0,1,0)+IF(LEN(AG72)&gt;0,1,0)+IF(LEN(AI72)&gt;0,1,0)+IF(LEN(AJ72)&gt;0,1,0)+IF(LEN(AK72)&gt;0,1,0)+IF(LEN(AL72)&gt;0,1,0)+IF(LEN(AU72)&gt;0,1,0)+IF(LEN(BH72)&gt;0,1,0)+IF(LEN(BU72)&gt;0,1,0))/23,2))</f>
        <v/>
      </c>
      <c r="CA72" s="10" t="str">
        <f aca="false">IF(D72="","",IF(AND(AJ72="Approved",ISERROR(SEARCH("FAIL",BE72))),"Y","N"))</f>
        <v/>
      </c>
      <c r="CB72" s="10" t="str">
        <f aca="false">IF(D72="","",D72&amp;"|"&amp;G72&amp;"|"&amp;H72&amp;"|"&amp;M72&amp;"|"&amp;CA72)</f>
        <v/>
      </c>
    </row>
    <row r="73" customFormat="false" ht="15" hidden="false" customHeight="false" outlineLevel="0" collapsed="false">
      <c r="A73" s="10" t="str">
        <f aca="false">IF(D73="","","DRN-"&amp;IFERROR(VLOOKUP(D73,Lists!$A$4:$B$27,2,0),"??")&amp;"-"&amp;TEXT(G73,"0000")&amp;"x"&amp;TEXT(H73,"0000")&amp;IF(N(I73)&gt;1,"-"&amp;I73&amp;"C","")&amp;"-"&amp;IFERROR(VLOOKUP(M73,Lists!$J$4:$K$19,2,0),"??")&amp;"-"&amp;AI73)</f>
        <v/>
      </c>
      <c r="B73" s="10" t="str">
        <f aca="false">IF(D73="","",D73&amp;" "&amp;G73&amp;"W x "&amp;H73&amp;"D"&amp;IF(N(I73)&gt;1," ("&amp;I73&amp;" cells)","")&amp;", "&amp;E73&amp;", "&amp;M73&amp;", "&amp;F73)</f>
        <v/>
      </c>
      <c r="C73" s="9"/>
      <c r="D73" s="9"/>
      <c r="E73" s="9"/>
      <c r="F73" s="9"/>
      <c r="G73" s="38"/>
      <c r="H73" s="38"/>
      <c r="I73" s="38"/>
      <c r="J73" s="38"/>
      <c r="K73" s="38"/>
      <c r="L73" s="38"/>
      <c r="M73" s="9"/>
      <c r="N73" s="9"/>
      <c r="O73" s="9"/>
      <c r="P73" s="38"/>
      <c r="Q73" s="9"/>
      <c r="R73" s="9"/>
      <c r="S73" s="9"/>
      <c r="T73" s="9"/>
      <c r="U73" s="9"/>
      <c r="V73" s="9"/>
      <c r="W73" s="9"/>
      <c r="X73" s="9"/>
      <c r="Y73" s="9"/>
      <c r="Z73" s="9"/>
      <c r="AA73" s="9"/>
      <c r="AB73" s="39"/>
      <c r="AC73" s="9"/>
      <c r="AD73" s="38"/>
      <c r="AE73" s="9"/>
      <c r="AF73" s="39"/>
      <c r="AG73" s="9"/>
      <c r="AH73" s="9"/>
      <c r="AI73" s="9"/>
      <c r="AJ73" s="9"/>
      <c r="AK73" s="9"/>
      <c r="AL73" s="9"/>
      <c r="AM73" s="9"/>
      <c r="AN73" s="10" t="str">
        <f aca="false">IF(A73="","",SG_Criteria!$B$6&amp;SG_Criteria!$B$7&amp;"\"&amp;A73&amp;"\")</f>
        <v/>
      </c>
      <c r="AO73" s="10" t="str">
        <f aca="false">IF(A73="","",A73&amp;"_CAD.dwg")</f>
        <v/>
      </c>
      <c r="AP73" s="10" t="str">
        <f aca="false">IF(A73="","",A73&amp;"_DWG.pdf")</f>
        <v/>
      </c>
      <c r="AQ73" s="10" t="str">
        <f aca="false">IF(A73="","",IF(AM73="Y",A73&amp;"_STAAD.std","n/a"))</f>
        <v/>
      </c>
      <c r="AR73" s="10" t="str">
        <f aca="false">IF(A73="","",A73&amp;"_CALC.xlsx")</f>
        <v/>
      </c>
      <c r="AS73" s="10" t="str">
        <f aca="false">IF(A73="","",A73&amp;"_CALC.pdf")</f>
        <v/>
      </c>
      <c r="AT73" s="9"/>
      <c r="AU73" s="9"/>
      <c r="AV73" s="39"/>
      <c r="AW73" s="39"/>
      <c r="AX73" s="39"/>
      <c r="AY73" s="39"/>
      <c r="AZ73" s="39"/>
      <c r="BA73" s="12" t="str">
        <f aca="false">IF(A73="","",IF(COUNTIF(Rebar_Schedule!$A$5:$A$2004,A73)=0,"",ROUND(SUMIF(Rebar_Schedule!$A$5:$A$2004,A73,Rebar_Schedule!$K$5:$K$2004),1)))</f>
        <v/>
      </c>
      <c r="BB73" s="33" t="str">
        <f aca="false">IF(A73="","",IF(BA73="","No rebar schedule yet",IF(ABS(BA73-N(AW73))/MAX(N(AW73),1)&gt;SG_Criteria!$B$55,"NOTE: register rebar differs from schedule by "&amp;TEXT(ABS(BA73-N(AW73))/MAX(N(AW73),1),"0%"),"OK")))</f>
        <v/>
      </c>
      <c r="BC73" s="34" t="str">
        <f aca="false">IF(OR(D73="",G73="",H73="",D73="Sump",D73="Drop Inlet Chamber",D73="Silt Trap",D73="Pipe Culvert",D73="Subsoil Drain"),"",ROUND(MAX(1,N(I73))*(1/SG_Criteria!$B$26)*((G73/1000)*(H73/1000*(1-SG_Criteria!$B$25)))*(((G73/1000)*(H73/1000*(1-SG_Criteria!$B$25)))/((G73/1000)+2*(H73/1000*(1-SG_Criteria!$B$25))))^(2/3)*(1/Design_Selector!$B$11)^0.5,3))</f>
        <v/>
      </c>
      <c r="BD73" s="11" t="str">
        <f aca="false">IF(BC73="","",ROUND(BC73/(MAX(1,N(I73))*G73/1000*(H73/1000*(1-SG_Criteria!$B$25))),2))</f>
        <v/>
      </c>
      <c r="BE73" s="33" t="str">
        <f aca="false">IF(D73="","",IF(LEN(IF(AND(OR(E73="Roadside drain",E73="Entrance culvert"),OR(G73&lt;SG_Criteria!$B$15,H73&lt;SG_Criteria!$B$16)),"FAIL: below PUB min "&amp;SG_Criteria!$B$15&amp;"x"&amp;SG_Criteria!$B$16&amp;" for roadside drain. ","")&amp;IF(AND(E73="Common drain",G73&lt;SG_Criteria!$B$17),"FAIL: common drain W &lt; "&amp;SG_Criteria!$B$17&amp;" mm. ","")&amp;IF(AND(O73&lt;&gt;"",IFERROR(VALUE(MID(O73,2,2)),0)&lt;SG_Criteria!$B$19),"FAIL: grade below C"&amp;SG_Criteria!$B$19&amp;". ","")&amp;IF(AND(P73&lt;&gt;"",P73&lt;SG_Criteria!$B$20),"FAIL: cover &lt; "&amp;SG_Criteria!$B$20&amp;" mm. ","")&amp;IF(AND(F73="Open",H73&gt;SG_Criteria!$B$18),"NOTE: safety railing required (D &gt; "&amp;SG_Criteria!$B$18&amp;" mm). ","")&amp;IF(AND(E73="Entrance culvert",H73&lt;600),"NOTE: check hinged grating rule for culverts &lt; 600 deep (PUB Add. 3). ",""))=0,"OK",IF(AND(OR(E73="Roadside drain",E73="Entrance culvert"),OR(G73&lt;SG_Criteria!$B$15,H73&lt;SG_Criteria!$B$16)),"FAIL: below PUB min "&amp;SG_Criteria!$B$15&amp;"x"&amp;SG_Criteria!$B$16&amp;" for roadside drain. ","")&amp;IF(AND(E73="Common drain",G73&lt;SG_Criteria!$B$17),"FAIL: common drain W &lt; "&amp;SG_Criteria!$B$17&amp;" mm. ","")&amp;IF(AND(O73&lt;&gt;"",IFERROR(VALUE(MID(O73,2,2)),0)&lt;SG_Criteria!$B$19),"FAIL: grade below C"&amp;SG_Criteria!$B$19&amp;". ","")&amp;IF(AND(P73&lt;&gt;"",P73&lt;SG_Criteria!$B$20),"FAIL: cover &lt; "&amp;SG_Criteria!$B$20&amp;" mm. ","")&amp;IF(AND(F73="Open",H73&gt;SG_Criteria!$B$18),"NOTE: safety railing required (D &gt; "&amp;SG_Criteria!$B$18&amp;" mm). ","")&amp;IF(AND(E73="Entrance culvert",H73&lt;600),"NOTE: check hinged grating rule for culverts &lt; 600 deep (PUB Add. 3). ","")))</f>
        <v/>
      </c>
      <c r="BF73" s="9"/>
      <c r="BG73" s="9"/>
      <c r="BH73" s="9"/>
      <c r="BI73" s="10" t="str">
        <f aca="false">IF(BH73="","",IFERROR(VLOOKUP(BH73,Projects!$A$5:$D$504,2,0),"Ref not in Projects"))</f>
        <v/>
      </c>
      <c r="BJ73" s="10" t="str">
        <f aca="false">IF(BH73="","",IFERROR(VLOOKUP(BH73,Projects!$A$5:$D$504,4,0),"Ref not in Projects"))</f>
        <v/>
      </c>
      <c r="BK73" s="9"/>
      <c r="BL73" s="9"/>
      <c r="BM73" s="9"/>
      <c r="BN73" s="40"/>
      <c r="BO73" s="9"/>
      <c r="BP73" s="40"/>
      <c r="BQ73" s="9"/>
      <c r="BR73" s="40"/>
      <c r="BS73" s="9"/>
      <c r="BT73" s="9"/>
      <c r="BU73" s="9"/>
      <c r="BV73" s="40"/>
      <c r="BW73" s="40"/>
      <c r="BX73" s="36" t="str">
        <f aca="false">IF(BW73="","",EDATE(BW73,SG_Criteria!$B$54*12))</f>
        <v/>
      </c>
      <c r="BY73" s="33" t="str">
        <f aca="true">IF(A73="","",IF(BW73="","NOTE: not reviewed yet",IF(TODAY()&gt;BX73,"NOTE: review overdue","OK")))</f>
        <v/>
      </c>
      <c r="BZ73" s="37" t="str">
        <f aca="false">IF(A73="","",ROUND((IF(LEN(D73)&gt;0,1,0)+IF(LEN(E73)&gt;0,1,0)+IF(LEN(F73)&gt;0,1,0)+IF(LEN(G73)&gt;0,1,0)+IF(LEN(H73)&gt;0,1,0)+IF(LEN(J73)&gt;0,1,0)+IF(LEN(K73)&gt;0,1,0)+IF(LEN(M73)&gt;0,1,0)+IF(LEN(O73)&gt;0,1,0)+IF(LEN(P73)&gt;0,1,0)+IF(LEN(Q73)&gt;0,1,0)+IF(LEN(S73)&gt;0,1,0)+IF(LEN(AC73)&gt;0,1,0)+IF(LEN(AV73)&gt;0,1,0)+IF(LEN(AW73)&gt;0,1,0)+IF(LEN(AG73)&gt;0,1,0)+IF(LEN(AI73)&gt;0,1,0)+IF(LEN(AJ73)&gt;0,1,0)+IF(LEN(AK73)&gt;0,1,0)+IF(LEN(AL73)&gt;0,1,0)+IF(LEN(AU73)&gt;0,1,0)+IF(LEN(BH73)&gt;0,1,0)+IF(LEN(BU73)&gt;0,1,0))/23,2))</f>
        <v/>
      </c>
      <c r="CA73" s="10" t="str">
        <f aca="false">IF(D73="","",IF(AND(AJ73="Approved",ISERROR(SEARCH("FAIL",BE73))),"Y","N"))</f>
        <v/>
      </c>
      <c r="CB73" s="10" t="str">
        <f aca="false">IF(D73="","",D73&amp;"|"&amp;G73&amp;"|"&amp;H73&amp;"|"&amp;M73&amp;"|"&amp;CA73)</f>
        <v/>
      </c>
    </row>
    <row r="74" customFormat="false" ht="15" hidden="false" customHeight="false" outlineLevel="0" collapsed="false">
      <c r="A74" s="10" t="str">
        <f aca="false">IF(D74="","","DRN-"&amp;IFERROR(VLOOKUP(D74,Lists!$A$4:$B$27,2,0),"??")&amp;"-"&amp;TEXT(G74,"0000")&amp;"x"&amp;TEXT(H74,"0000")&amp;IF(N(I74)&gt;1,"-"&amp;I74&amp;"C","")&amp;"-"&amp;IFERROR(VLOOKUP(M74,Lists!$J$4:$K$19,2,0),"??")&amp;"-"&amp;AI74)</f>
        <v/>
      </c>
      <c r="B74" s="10" t="str">
        <f aca="false">IF(D74="","",D74&amp;" "&amp;G74&amp;"W x "&amp;H74&amp;"D"&amp;IF(N(I74)&gt;1," ("&amp;I74&amp;" cells)","")&amp;", "&amp;E74&amp;", "&amp;M74&amp;", "&amp;F74)</f>
        <v/>
      </c>
      <c r="C74" s="9"/>
      <c r="D74" s="9"/>
      <c r="E74" s="9"/>
      <c r="F74" s="9"/>
      <c r="G74" s="38"/>
      <c r="H74" s="38"/>
      <c r="I74" s="38"/>
      <c r="J74" s="38"/>
      <c r="K74" s="38"/>
      <c r="L74" s="38"/>
      <c r="M74" s="9"/>
      <c r="N74" s="9"/>
      <c r="O74" s="9"/>
      <c r="P74" s="38"/>
      <c r="Q74" s="9"/>
      <c r="R74" s="9"/>
      <c r="S74" s="9"/>
      <c r="T74" s="9"/>
      <c r="U74" s="9"/>
      <c r="V74" s="9"/>
      <c r="W74" s="9"/>
      <c r="X74" s="9"/>
      <c r="Y74" s="9"/>
      <c r="Z74" s="9"/>
      <c r="AA74" s="9"/>
      <c r="AB74" s="39"/>
      <c r="AC74" s="9"/>
      <c r="AD74" s="38"/>
      <c r="AE74" s="9"/>
      <c r="AF74" s="39"/>
      <c r="AG74" s="9"/>
      <c r="AH74" s="9"/>
      <c r="AI74" s="9"/>
      <c r="AJ74" s="9"/>
      <c r="AK74" s="9"/>
      <c r="AL74" s="9"/>
      <c r="AM74" s="9"/>
      <c r="AN74" s="10" t="str">
        <f aca="false">IF(A74="","",SG_Criteria!$B$6&amp;SG_Criteria!$B$7&amp;"\"&amp;A74&amp;"\")</f>
        <v/>
      </c>
      <c r="AO74" s="10" t="str">
        <f aca="false">IF(A74="","",A74&amp;"_CAD.dwg")</f>
        <v/>
      </c>
      <c r="AP74" s="10" t="str">
        <f aca="false">IF(A74="","",A74&amp;"_DWG.pdf")</f>
        <v/>
      </c>
      <c r="AQ74" s="10" t="str">
        <f aca="false">IF(A74="","",IF(AM74="Y",A74&amp;"_STAAD.std","n/a"))</f>
        <v/>
      </c>
      <c r="AR74" s="10" t="str">
        <f aca="false">IF(A74="","",A74&amp;"_CALC.xlsx")</f>
        <v/>
      </c>
      <c r="AS74" s="10" t="str">
        <f aca="false">IF(A74="","",A74&amp;"_CALC.pdf")</f>
        <v/>
      </c>
      <c r="AT74" s="9"/>
      <c r="AU74" s="9"/>
      <c r="AV74" s="39"/>
      <c r="AW74" s="39"/>
      <c r="AX74" s="39"/>
      <c r="AY74" s="39"/>
      <c r="AZ74" s="39"/>
      <c r="BA74" s="12" t="str">
        <f aca="false">IF(A74="","",IF(COUNTIF(Rebar_Schedule!$A$5:$A$2004,A74)=0,"",ROUND(SUMIF(Rebar_Schedule!$A$5:$A$2004,A74,Rebar_Schedule!$K$5:$K$2004),1)))</f>
        <v/>
      </c>
      <c r="BB74" s="33" t="str">
        <f aca="false">IF(A74="","",IF(BA74="","No rebar schedule yet",IF(ABS(BA74-N(AW74))/MAX(N(AW74),1)&gt;SG_Criteria!$B$55,"NOTE: register rebar differs from schedule by "&amp;TEXT(ABS(BA74-N(AW74))/MAX(N(AW74),1),"0%"),"OK")))</f>
        <v/>
      </c>
      <c r="BC74" s="34" t="str">
        <f aca="false">IF(OR(D74="",G74="",H74="",D74="Sump",D74="Drop Inlet Chamber",D74="Silt Trap",D74="Pipe Culvert",D74="Subsoil Drain"),"",ROUND(MAX(1,N(I74))*(1/SG_Criteria!$B$26)*((G74/1000)*(H74/1000*(1-SG_Criteria!$B$25)))*(((G74/1000)*(H74/1000*(1-SG_Criteria!$B$25)))/((G74/1000)+2*(H74/1000*(1-SG_Criteria!$B$25))))^(2/3)*(1/Design_Selector!$B$11)^0.5,3))</f>
        <v/>
      </c>
      <c r="BD74" s="11" t="str">
        <f aca="false">IF(BC74="","",ROUND(BC74/(MAX(1,N(I74))*G74/1000*(H74/1000*(1-SG_Criteria!$B$25))),2))</f>
        <v/>
      </c>
      <c r="BE74" s="33" t="str">
        <f aca="false">IF(D74="","",IF(LEN(IF(AND(OR(E74="Roadside drain",E74="Entrance culvert"),OR(G74&lt;SG_Criteria!$B$15,H74&lt;SG_Criteria!$B$16)),"FAIL: below PUB min "&amp;SG_Criteria!$B$15&amp;"x"&amp;SG_Criteria!$B$16&amp;" for roadside drain. ","")&amp;IF(AND(E74="Common drain",G74&lt;SG_Criteria!$B$17),"FAIL: common drain W &lt; "&amp;SG_Criteria!$B$17&amp;" mm. ","")&amp;IF(AND(O74&lt;&gt;"",IFERROR(VALUE(MID(O74,2,2)),0)&lt;SG_Criteria!$B$19),"FAIL: grade below C"&amp;SG_Criteria!$B$19&amp;". ","")&amp;IF(AND(P74&lt;&gt;"",P74&lt;SG_Criteria!$B$20),"FAIL: cover &lt; "&amp;SG_Criteria!$B$20&amp;" mm. ","")&amp;IF(AND(F74="Open",H74&gt;SG_Criteria!$B$18),"NOTE: safety railing required (D &gt; "&amp;SG_Criteria!$B$18&amp;" mm). ","")&amp;IF(AND(E74="Entrance culvert",H74&lt;600),"NOTE: check hinged grating rule for culverts &lt; 600 deep (PUB Add. 3). ",""))=0,"OK",IF(AND(OR(E74="Roadside drain",E74="Entrance culvert"),OR(G74&lt;SG_Criteria!$B$15,H74&lt;SG_Criteria!$B$16)),"FAIL: below PUB min "&amp;SG_Criteria!$B$15&amp;"x"&amp;SG_Criteria!$B$16&amp;" for roadside drain. ","")&amp;IF(AND(E74="Common drain",G74&lt;SG_Criteria!$B$17),"FAIL: common drain W &lt; "&amp;SG_Criteria!$B$17&amp;" mm. ","")&amp;IF(AND(O74&lt;&gt;"",IFERROR(VALUE(MID(O74,2,2)),0)&lt;SG_Criteria!$B$19),"FAIL: grade below C"&amp;SG_Criteria!$B$19&amp;". ","")&amp;IF(AND(P74&lt;&gt;"",P74&lt;SG_Criteria!$B$20),"FAIL: cover &lt; "&amp;SG_Criteria!$B$20&amp;" mm. ","")&amp;IF(AND(F74="Open",H74&gt;SG_Criteria!$B$18),"NOTE: safety railing required (D &gt; "&amp;SG_Criteria!$B$18&amp;" mm). ","")&amp;IF(AND(E74="Entrance culvert",H74&lt;600),"NOTE: check hinged grating rule for culverts &lt; 600 deep (PUB Add. 3). ","")))</f>
        <v/>
      </c>
      <c r="BF74" s="9"/>
      <c r="BG74" s="9"/>
      <c r="BH74" s="9"/>
      <c r="BI74" s="10" t="str">
        <f aca="false">IF(BH74="","",IFERROR(VLOOKUP(BH74,Projects!$A$5:$D$504,2,0),"Ref not in Projects"))</f>
        <v/>
      </c>
      <c r="BJ74" s="10" t="str">
        <f aca="false">IF(BH74="","",IFERROR(VLOOKUP(BH74,Projects!$A$5:$D$504,4,0),"Ref not in Projects"))</f>
        <v/>
      </c>
      <c r="BK74" s="9"/>
      <c r="BL74" s="9"/>
      <c r="BM74" s="9"/>
      <c r="BN74" s="40"/>
      <c r="BO74" s="9"/>
      <c r="BP74" s="40"/>
      <c r="BQ74" s="9"/>
      <c r="BR74" s="40"/>
      <c r="BS74" s="9"/>
      <c r="BT74" s="9"/>
      <c r="BU74" s="9"/>
      <c r="BV74" s="40"/>
      <c r="BW74" s="40"/>
      <c r="BX74" s="36" t="str">
        <f aca="false">IF(BW74="","",EDATE(BW74,SG_Criteria!$B$54*12))</f>
        <v/>
      </c>
      <c r="BY74" s="33" t="str">
        <f aca="true">IF(A74="","",IF(BW74="","NOTE: not reviewed yet",IF(TODAY()&gt;BX74,"NOTE: review overdue","OK")))</f>
        <v/>
      </c>
      <c r="BZ74" s="37" t="str">
        <f aca="false">IF(A74="","",ROUND((IF(LEN(D74)&gt;0,1,0)+IF(LEN(E74)&gt;0,1,0)+IF(LEN(F74)&gt;0,1,0)+IF(LEN(G74)&gt;0,1,0)+IF(LEN(H74)&gt;0,1,0)+IF(LEN(J74)&gt;0,1,0)+IF(LEN(K74)&gt;0,1,0)+IF(LEN(M74)&gt;0,1,0)+IF(LEN(O74)&gt;0,1,0)+IF(LEN(P74)&gt;0,1,0)+IF(LEN(Q74)&gt;0,1,0)+IF(LEN(S74)&gt;0,1,0)+IF(LEN(AC74)&gt;0,1,0)+IF(LEN(AV74)&gt;0,1,0)+IF(LEN(AW74)&gt;0,1,0)+IF(LEN(AG74)&gt;0,1,0)+IF(LEN(AI74)&gt;0,1,0)+IF(LEN(AJ74)&gt;0,1,0)+IF(LEN(AK74)&gt;0,1,0)+IF(LEN(AL74)&gt;0,1,0)+IF(LEN(AU74)&gt;0,1,0)+IF(LEN(BH74)&gt;0,1,0)+IF(LEN(BU74)&gt;0,1,0))/23,2))</f>
        <v/>
      </c>
      <c r="CA74" s="10" t="str">
        <f aca="false">IF(D74="","",IF(AND(AJ74="Approved",ISERROR(SEARCH("FAIL",BE74))),"Y","N"))</f>
        <v/>
      </c>
      <c r="CB74" s="10" t="str">
        <f aca="false">IF(D74="","",D74&amp;"|"&amp;G74&amp;"|"&amp;H74&amp;"|"&amp;M74&amp;"|"&amp;CA74)</f>
        <v/>
      </c>
    </row>
    <row r="75" customFormat="false" ht="15" hidden="false" customHeight="false" outlineLevel="0" collapsed="false">
      <c r="A75" s="10" t="str">
        <f aca="false">IF(D75="","","DRN-"&amp;IFERROR(VLOOKUP(D75,Lists!$A$4:$B$27,2,0),"??")&amp;"-"&amp;TEXT(G75,"0000")&amp;"x"&amp;TEXT(H75,"0000")&amp;IF(N(I75)&gt;1,"-"&amp;I75&amp;"C","")&amp;"-"&amp;IFERROR(VLOOKUP(M75,Lists!$J$4:$K$19,2,0),"??")&amp;"-"&amp;AI75)</f>
        <v/>
      </c>
      <c r="B75" s="10" t="str">
        <f aca="false">IF(D75="","",D75&amp;" "&amp;G75&amp;"W x "&amp;H75&amp;"D"&amp;IF(N(I75)&gt;1," ("&amp;I75&amp;" cells)","")&amp;", "&amp;E75&amp;", "&amp;M75&amp;", "&amp;F75)</f>
        <v/>
      </c>
      <c r="C75" s="9"/>
      <c r="D75" s="9"/>
      <c r="E75" s="9"/>
      <c r="F75" s="9"/>
      <c r="G75" s="38"/>
      <c r="H75" s="38"/>
      <c r="I75" s="38"/>
      <c r="J75" s="38"/>
      <c r="K75" s="38"/>
      <c r="L75" s="38"/>
      <c r="M75" s="9"/>
      <c r="N75" s="9"/>
      <c r="O75" s="9"/>
      <c r="P75" s="38"/>
      <c r="Q75" s="9"/>
      <c r="R75" s="9"/>
      <c r="S75" s="9"/>
      <c r="T75" s="9"/>
      <c r="U75" s="9"/>
      <c r="V75" s="9"/>
      <c r="W75" s="9"/>
      <c r="X75" s="9"/>
      <c r="Y75" s="9"/>
      <c r="Z75" s="9"/>
      <c r="AA75" s="9"/>
      <c r="AB75" s="39"/>
      <c r="AC75" s="9"/>
      <c r="AD75" s="38"/>
      <c r="AE75" s="9"/>
      <c r="AF75" s="39"/>
      <c r="AG75" s="9"/>
      <c r="AH75" s="9"/>
      <c r="AI75" s="9"/>
      <c r="AJ75" s="9"/>
      <c r="AK75" s="9"/>
      <c r="AL75" s="9"/>
      <c r="AM75" s="9"/>
      <c r="AN75" s="10" t="str">
        <f aca="false">IF(A75="","",SG_Criteria!$B$6&amp;SG_Criteria!$B$7&amp;"\"&amp;A75&amp;"\")</f>
        <v/>
      </c>
      <c r="AO75" s="10" t="str">
        <f aca="false">IF(A75="","",A75&amp;"_CAD.dwg")</f>
        <v/>
      </c>
      <c r="AP75" s="10" t="str">
        <f aca="false">IF(A75="","",A75&amp;"_DWG.pdf")</f>
        <v/>
      </c>
      <c r="AQ75" s="10" t="str">
        <f aca="false">IF(A75="","",IF(AM75="Y",A75&amp;"_STAAD.std","n/a"))</f>
        <v/>
      </c>
      <c r="AR75" s="10" t="str">
        <f aca="false">IF(A75="","",A75&amp;"_CALC.xlsx")</f>
        <v/>
      </c>
      <c r="AS75" s="10" t="str">
        <f aca="false">IF(A75="","",A75&amp;"_CALC.pdf")</f>
        <v/>
      </c>
      <c r="AT75" s="9"/>
      <c r="AU75" s="9"/>
      <c r="AV75" s="39"/>
      <c r="AW75" s="39"/>
      <c r="AX75" s="39"/>
      <c r="AY75" s="39"/>
      <c r="AZ75" s="39"/>
      <c r="BA75" s="12" t="str">
        <f aca="false">IF(A75="","",IF(COUNTIF(Rebar_Schedule!$A$5:$A$2004,A75)=0,"",ROUND(SUMIF(Rebar_Schedule!$A$5:$A$2004,A75,Rebar_Schedule!$K$5:$K$2004),1)))</f>
        <v/>
      </c>
      <c r="BB75" s="33" t="str">
        <f aca="false">IF(A75="","",IF(BA75="","No rebar schedule yet",IF(ABS(BA75-N(AW75))/MAX(N(AW75),1)&gt;SG_Criteria!$B$55,"NOTE: register rebar differs from schedule by "&amp;TEXT(ABS(BA75-N(AW75))/MAX(N(AW75),1),"0%"),"OK")))</f>
        <v/>
      </c>
      <c r="BC75" s="34" t="str">
        <f aca="false">IF(OR(D75="",G75="",H75="",D75="Sump",D75="Drop Inlet Chamber",D75="Silt Trap",D75="Pipe Culvert",D75="Subsoil Drain"),"",ROUND(MAX(1,N(I75))*(1/SG_Criteria!$B$26)*((G75/1000)*(H75/1000*(1-SG_Criteria!$B$25)))*(((G75/1000)*(H75/1000*(1-SG_Criteria!$B$25)))/((G75/1000)+2*(H75/1000*(1-SG_Criteria!$B$25))))^(2/3)*(1/Design_Selector!$B$11)^0.5,3))</f>
        <v/>
      </c>
      <c r="BD75" s="11" t="str">
        <f aca="false">IF(BC75="","",ROUND(BC75/(MAX(1,N(I75))*G75/1000*(H75/1000*(1-SG_Criteria!$B$25))),2))</f>
        <v/>
      </c>
      <c r="BE75" s="33" t="str">
        <f aca="false">IF(D75="","",IF(LEN(IF(AND(OR(E75="Roadside drain",E75="Entrance culvert"),OR(G75&lt;SG_Criteria!$B$15,H75&lt;SG_Criteria!$B$16)),"FAIL: below PUB min "&amp;SG_Criteria!$B$15&amp;"x"&amp;SG_Criteria!$B$16&amp;" for roadside drain. ","")&amp;IF(AND(E75="Common drain",G75&lt;SG_Criteria!$B$17),"FAIL: common drain W &lt; "&amp;SG_Criteria!$B$17&amp;" mm. ","")&amp;IF(AND(O75&lt;&gt;"",IFERROR(VALUE(MID(O75,2,2)),0)&lt;SG_Criteria!$B$19),"FAIL: grade below C"&amp;SG_Criteria!$B$19&amp;". ","")&amp;IF(AND(P75&lt;&gt;"",P75&lt;SG_Criteria!$B$20),"FAIL: cover &lt; "&amp;SG_Criteria!$B$20&amp;" mm. ","")&amp;IF(AND(F75="Open",H75&gt;SG_Criteria!$B$18),"NOTE: safety railing required (D &gt; "&amp;SG_Criteria!$B$18&amp;" mm). ","")&amp;IF(AND(E75="Entrance culvert",H75&lt;600),"NOTE: check hinged grating rule for culverts &lt; 600 deep (PUB Add. 3). ",""))=0,"OK",IF(AND(OR(E75="Roadside drain",E75="Entrance culvert"),OR(G75&lt;SG_Criteria!$B$15,H75&lt;SG_Criteria!$B$16)),"FAIL: below PUB min "&amp;SG_Criteria!$B$15&amp;"x"&amp;SG_Criteria!$B$16&amp;" for roadside drain. ","")&amp;IF(AND(E75="Common drain",G75&lt;SG_Criteria!$B$17),"FAIL: common drain W &lt; "&amp;SG_Criteria!$B$17&amp;" mm. ","")&amp;IF(AND(O75&lt;&gt;"",IFERROR(VALUE(MID(O75,2,2)),0)&lt;SG_Criteria!$B$19),"FAIL: grade below C"&amp;SG_Criteria!$B$19&amp;". ","")&amp;IF(AND(P75&lt;&gt;"",P75&lt;SG_Criteria!$B$20),"FAIL: cover &lt; "&amp;SG_Criteria!$B$20&amp;" mm. ","")&amp;IF(AND(F75="Open",H75&gt;SG_Criteria!$B$18),"NOTE: safety railing required (D &gt; "&amp;SG_Criteria!$B$18&amp;" mm). ","")&amp;IF(AND(E75="Entrance culvert",H75&lt;600),"NOTE: check hinged grating rule for culverts &lt; 600 deep (PUB Add. 3). ","")))</f>
        <v/>
      </c>
      <c r="BF75" s="9"/>
      <c r="BG75" s="9"/>
      <c r="BH75" s="9"/>
      <c r="BI75" s="10" t="str">
        <f aca="false">IF(BH75="","",IFERROR(VLOOKUP(BH75,Projects!$A$5:$D$504,2,0),"Ref not in Projects"))</f>
        <v/>
      </c>
      <c r="BJ75" s="10" t="str">
        <f aca="false">IF(BH75="","",IFERROR(VLOOKUP(BH75,Projects!$A$5:$D$504,4,0),"Ref not in Projects"))</f>
        <v/>
      </c>
      <c r="BK75" s="9"/>
      <c r="BL75" s="9"/>
      <c r="BM75" s="9"/>
      <c r="BN75" s="40"/>
      <c r="BO75" s="9"/>
      <c r="BP75" s="40"/>
      <c r="BQ75" s="9"/>
      <c r="BR75" s="40"/>
      <c r="BS75" s="9"/>
      <c r="BT75" s="9"/>
      <c r="BU75" s="9"/>
      <c r="BV75" s="40"/>
      <c r="BW75" s="40"/>
      <c r="BX75" s="36" t="str">
        <f aca="false">IF(BW75="","",EDATE(BW75,SG_Criteria!$B$54*12))</f>
        <v/>
      </c>
      <c r="BY75" s="33" t="str">
        <f aca="true">IF(A75="","",IF(BW75="","NOTE: not reviewed yet",IF(TODAY()&gt;BX75,"NOTE: review overdue","OK")))</f>
        <v/>
      </c>
      <c r="BZ75" s="37" t="str">
        <f aca="false">IF(A75="","",ROUND((IF(LEN(D75)&gt;0,1,0)+IF(LEN(E75)&gt;0,1,0)+IF(LEN(F75)&gt;0,1,0)+IF(LEN(G75)&gt;0,1,0)+IF(LEN(H75)&gt;0,1,0)+IF(LEN(J75)&gt;0,1,0)+IF(LEN(K75)&gt;0,1,0)+IF(LEN(M75)&gt;0,1,0)+IF(LEN(O75)&gt;0,1,0)+IF(LEN(P75)&gt;0,1,0)+IF(LEN(Q75)&gt;0,1,0)+IF(LEN(S75)&gt;0,1,0)+IF(LEN(AC75)&gt;0,1,0)+IF(LEN(AV75)&gt;0,1,0)+IF(LEN(AW75)&gt;0,1,0)+IF(LEN(AG75)&gt;0,1,0)+IF(LEN(AI75)&gt;0,1,0)+IF(LEN(AJ75)&gt;0,1,0)+IF(LEN(AK75)&gt;0,1,0)+IF(LEN(AL75)&gt;0,1,0)+IF(LEN(AU75)&gt;0,1,0)+IF(LEN(BH75)&gt;0,1,0)+IF(LEN(BU75)&gt;0,1,0))/23,2))</f>
        <v/>
      </c>
      <c r="CA75" s="10" t="str">
        <f aca="false">IF(D75="","",IF(AND(AJ75="Approved",ISERROR(SEARCH("FAIL",BE75))),"Y","N"))</f>
        <v/>
      </c>
      <c r="CB75" s="10" t="str">
        <f aca="false">IF(D75="","",D75&amp;"|"&amp;G75&amp;"|"&amp;H75&amp;"|"&amp;M75&amp;"|"&amp;CA75)</f>
        <v/>
      </c>
    </row>
    <row r="76" customFormat="false" ht="15" hidden="false" customHeight="false" outlineLevel="0" collapsed="false">
      <c r="A76" s="10" t="str">
        <f aca="false">IF(D76="","","DRN-"&amp;IFERROR(VLOOKUP(D76,Lists!$A$4:$B$27,2,0),"??")&amp;"-"&amp;TEXT(G76,"0000")&amp;"x"&amp;TEXT(H76,"0000")&amp;IF(N(I76)&gt;1,"-"&amp;I76&amp;"C","")&amp;"-"&amp;IFERROR(VLOOKUP(M76,Lists!$J$4:$K$19,2,0),"??")&amp;"-"&amp;AI76)</f>
        <v/>
      </c>
      <c r="B76" s="10" t="str">
        <f aca="false">IF(D76="","",D76&amp;" "&amp;G76&amp;"W x "&amp;H76&amp;"D"&amp;IF(N(I76)&gt;1," ("&amp;I76&amp;" cells)","")&amp;", "&amp;E76&amp;", "&amp;M76&amp;", "&amp;F76)</f>
        <v/>
      </c>
      <c r="C76" s="9"/>
      <c r="D76" s="9"/>
      <c r="E76" s="9"/>
      <c r="F76" s="9"/>
      <c r="G76" s="38"/>
      <c r="H76" s="38"/>
      <c r="I76" s="38"/>
      <c r="J76" s="38"/>
      <c r="K76" s="38"/>
      <c r="L76" s="38"/>
      <c r="M76" s="9"/>
      <c r="N76" s="9"/>
      <c r="O76" s="9"/>
      <c r="P76" s="38"/>
      <c r="Q76" s="9"/>
      <c r="R76" s="9"/>
      <c r="S76" s="9"/>
      <c r="T76" s="9"/>
      <c r="U76" s="9"/>
      <c r="V76" s="9"/>
      <c r="W76" s="9"/>
      <c r="X76" s="9"/>
      <c r="Y76" s="9"/>
      <c r="Z76" s="9"/>
      <c r="AA76" s="9"/>
      <c r="AB76" s="39"/>
      <c r="AC76" s="9"/>
      <c r="AD76" s="38"/>
      <c r="AE76" s="9"/>
      <c r="AF76" s="39"/>
      <c r="AG76" s="9"/>
      <c r="AH76" s="9"/>
      <c r="AI76" s="9"/>
      <c r="AJ76" s="9"/>
      <c r="AK76" s="9"/>
      <c r="AL76" s="9"/>
      <c r="AM76" s="9"/>
      <c r="AN76" s="10" t="str">
        <f aca="false">IF(A76="","",SG_Criteria!$B$6&amp;SG_Criteria!$B$7&amp;"\"&amp;A76&amp;"\")</f>
        <v/>
      </c>
      <c r="AO76" s="10" t="str">
        <f aca="false">IF(A76="","",A76&amp;"_CAD.dwg")</f>
        <v/>
      </c>
      <c r="AP76" s="10" t="str">
        <f aca="false">IF(A76="","",A76&amp;"_DWG.pdf")</f>
        <v/>
      </c>
      <c r="AQ76" s="10" t="str">
        <f aca="false">IF(A76="","",IF(AM76="Y",A76&amp;"_STAAD.std","n/a"))</f>
        <v/>
      </c>
      <c r="AR76" s="10" t="str">
        <f aca="false">IF(A76="","",A76&amp;"_CALC.xlsx")</f>
        <v/>
      </c>
      <c r="AS76" s="10" t="str">
        <f aca="false">IF(A76="","",A76&amp;"_CALC.pdf")</f>
        <v/>
      </c>
      <c r="AT76" s="9"/>
      <c r="AU76" s="9"/>
      <c r="AV76" s="39"/>
      <c r="AW76" s="39"/>
      <c r="AX76" s="39"/>
      <c r="AY76" s="39"/>
      <c r="AZ76" s="39"/>
      <c r="BA76" s="12" t="str">
        <f aca="false">IF(A76="","",IF(COUNTIF(Rebar_Schedule!$A$5:$A$2004,A76)=0,"",ROUND(SUMIF(Rebar_Schedule!$A$5:$A$2004,A76,Rebar_Schedule!$K$5:$K$2004),1)))</f>
        <v/>
      </c>
      <c r="BB76" s="33" t="str">
        <f aca="false">IF(A76="","",IF(BA76="","No rebar schedule yet",IF(ABS(BA76-N(AW76))/MAX(N(AW76),1)&gt;SG_Criteria!$B$55,"NOTE: register rebar differs from schedule by "&amp;TEXT(ABS(BA76-N(AW76))/MAX(N(AW76),1),"0%"),"OK")))</f>
        <v/>
      </c>
      <c r="BC76" s="34" t="str">
        <f aca="false">IF(OR(D76="",G76="",H76="",D76="Sump",D76="Drop Inlet Chamber",D76="Silt Trap",D76="Pipe Culvert",D76="Subsoil Drain"),"",ROUND(MAX(1,N(I76))*(1/SG_Criteria!$B$26)*((G76/1000)*(H76/1000*(1-SG_Criteria!$B$25)))*(((G76/1000)*(H76/1000*(1-SG_Criteria!$B$25)))/((G76/1000)+2*(H76/1000*(1-SG_Criteria!$B$25))))^(2/3)*(1/Design_Selector!$B$11)^0.5,3))</f>
        <v/>
      </c>
      <c r="BD76" s="11" t="str">
        <f aca="false">IF(BC76="","",ROUND(BC76/(MAX(1,N(I76))*G76/1000*(H76/1000*(1-SG_Criteria!$B$25))),2))</f>
        <v/>
      </c>
      <c r="BE76" s="33" t="str">
        <f aca="false">IF(D76="","",IF(LEN(IF(AND(OR(E76="Roadside drain",E76="Entrance culvert"),OR(G76&lt;SG_Criteria!$B$15,H76&lt;SG_Criteria!$B$16)),"FAIL: below PUB min "&amp;SG_Criteria!$B$15&amp;"x"&amp;SG_Criteria!$B$16&amp;" for roadside drain. ","")&amp;IF(AND(E76="Common drain",G76&lt;SG_Criteria!$B$17),"FAIL: common drain W &lt; "&amp;SG_Criteria!$B$17&amp;" mm. ","")&amp;IF(AND(O76&lt;&gt;"",IFERROR(VALUE(MID(O76,2,2)),0)&lt;SG_Criteria!$B$19),"FAIL: grade below C"&amp;SG_Criteria!$B$19&amp;". ","")&amp;IF(AND(P76&lt;&gt;"",P76&lt;SG_Criteria!$B$20),"FAIL: cover &lt; "&amp;SG_Criteria!$B$20&amp;" mm. ","")&amp;IF(AND(F76="Open",H76&gt;SG_Criteria!$B$18),"NOTE: safety railing required (D &gt; "&amp;SG_Criteria!$B$18&amp;" mm). ","")&amp;IF(AND(E76="Entrance culvert",H76&lt;600),"NOTE: check hinged grating rule for culverts &lt; 600 deep (PUB Add. 3). ",""))=0,"OK",IF(AND(OR(E76="Roadside drain",E76="Entrance culvert"),OR(G76&lt;SG_Criteria!$B$15,H76&lt;SG_Criteria!$B$16)),"FAIL: below PUB min "&amp;SG_Criteria!$B$15&amp;"x"&amp;SG_Criteria!$B$16&amp;" for roadside drain. ","")&amp;IF(AND(E76="Common drain",G76&lt;SG_Criteria!$B$17),"FAIL: common drain W &lt; "&amp;SG_Criteria!$B$17&amp;" mm. ","")&amp;IF(AND(O76&lt;&gt;"",IFERROR(VALUE(MID(O76,2,2)),0)&lt;SG_Criteria!$B$19),"FAIL: grade below C"&amp;SG_Criteria!$B$19&amp;". ","")&amp;IF(AND(P76&lt;&gt;"",P76&lt;SG_Criteria!$B$20),"FAIL: cover &lt; "&amp;SG_Criteria!$B$20&amp;" mm. ","")&amp;IF(AND(F76="Open",H76&gt;SG_Criteria!$B$18),"NOTE: safety railing required (D &gt; "&amp;SG_Criteria!$B$18&amp;" mm). ","")&amp;IF(AND(E76="Entrance culvert",H76&lt;600),"NOTE: check hinged grating rule for culverts &lt; 600 deep (PUB Add. 3). ","")))</f>
        <v/>
      </c>
      <c r="BF76" s="9"/>
      <c r="BG76" s="9"/>
      <c r="BH76" s="9"/>
      <c r="BI76" s="10" t="str">
        <f aca="false">IF(BH76="","",IFERROR(VLOOKUP(BH76,Projects!$A$5:$D$504,2,0),"Ref not in Projects"))</f>
        <v/>
      </c>
      <c r="BJ76" s="10" t="str">
        <f aca="false">IF(BH76="","",IFERROR(VLOOKUP(BH76,Projects!$A$5:$D$504,4,0),"Ref not in Projects"))</f>
        <v/>
      </c>
      <c r="BK76" s="9"/>
      <c r="BL76" s="9"/>
      <c r="BM76" s="9"/>
      <c r="BN76" s="40"/>
      <c r="BO76" s="9"/>
      <c r="BP76" s="40"/>
      <c r="BQ76" s="9"/>
      <c r="BR76" s="40"/>
      <c r="BS76" s="9"/>
      <c r="BT76" s="9"/>
      <c r="BU76" s="9"/>
      <c r="BV76" s="40"/>
      <c r="BW76" s="40"/>
      <c r="BX76" s="36" t="str">
        <f aca="false">IF(BW76="","",EDATE(BW76,SG_Criteria!$B$54*12))</f>
        <v/>
      </c>
      <c r="BY76" s="33" t="str">
        <f aca="true">IF(A76="","",IF(BW76="","NOTE: not reviewed yet",IF(TODAY()&gt;BX76,"NOTE: review overdue","OK")))</f>
        <v/>
      </c>
      <c r="BZ76" s="37" t="str">
        <f aca="false">IF(A76="","",ROUND((IF(LEN(D76)&gt;0,1,0)+IF(LEN(E76)&gt;0,1,0)+IF(LEN(F76)&gt;0,1,0)+IF(LEN(G76)&gt;0,1,0)+IF(LEN(H76)&gt;0,1,0)+IF(LEN(J76)&gt;0,1,0)+IF(LEN(K76)&gt;0,1,0)+IF(LEN(M76)&gt;0,1,0)+IF(LEN(O76)&gt;0,1,0)+IF(LEN(P76)&gt;0,1,0)+IF(LEN(Q76)&gt;0,1,0)+IF(LEN(S76)&gt;0,1,0)+IF(LEN(AC76)&gt;0,1,0)+IF(LEN(AV76)&gt;0,1,0)+IF(LEN(AW76)&gt;0,1,0)+IF(LEN(AG76)&gt;0,1,0)+IF(LEN(AI76)&gt;0,1,0)+IF(LEN(AJ76)&gt;0,1,0)+IF(LEN(AK76)&gt;0,1,0)+IF(LEN(AL76)&gt;0,1,0)+IF(LEN(AU76)&gt;0,1,0)+IF(LEN(BH76)&gt;0,1,0)+IF(LEN(BU76)&gt;0,1,0))/23,2))</f>
        <v/>
      </c>
      <c r="CA76" s="10" t="str">
        <f aca="false">IF(D76="","",IF(AND(AJ76="Approved",ISERROR(SEARCH("FAIL",BE76))),"Y","N"))</f>
        <v/>
      </c>
      <c r="CB76" s="10" t="str">
        <f aca="false">IF(D76="","",D76&amp;"|"&amp;G76&amp;"|"&amp;H76&amp;"|"&amp;M76&amp;"|"&amp;CA76)</f>
        <v/>
      </c>
    </row>
    <row r="77" customFormat="false" ht="15" hidden="false" customHeight="false" outlineLevel="0" collapsed="false">
      <c r="A77" s="10" t="str">
        <f aca="false">IF(D77="","","DRN-"&amp;IFERROR(VLOOKUP(D77,Lists!$A$4:$B$27,2,0),"??")&amp;"-"&amp;TEXT(G77,"0000")&amp;"x"&amp;TEXT(H77,"0000")&amp;IF(N(I77)&gt;1,"-"&amp;I77&amp;"C","")&amp;"-"&amp;IFERROR(VLOOKUP(M77,Lists!$J$4:$K$19,2,0),"??")&amp;"-"&amp;AI77)</f>
        <v/>
      </c>
      <c r="B77" s="10" t="str">
        <f aca="false">IF(D77="","",D77&amp;" "&amp;G77&amp;"W x "&amp;H77&amp;"D"&amp;IF(N(I77)&gt;1," ("&amp;I77&amp;" cells)","")&amp;", "&amp;E77&amp;", "&amp;M77&amp;", "&amp;F77)</f>
        <v/>
      </c>
      <c r="C77" s="9"/>
      <c r="D77" s="9"/>
      <c r="E77" s="9"/>
      <c r="F77" s="9"/>
      <c r="G77" s="38"/>
      <c r="H77" s="38"/>
      <c r="I77" s="38"/>
      <c r="J77" s="38"/>
      <c r="K77" s="38"/>
      <c r="L77" s="38"/>
      <c r="M77" s="9"/>
      <c r="N77" s="9"/>
      <c r="O77" s="9"/>
      <c r="P77" s="38"/>
      <c r="Q77" s="9"/>
      <c r="R77" s="9"/>
      <c r="S77" s="9"/>
      <c r="T77" s="9"/>
      <c r="U77" s="9"/>
      <c r="V77" s="9"/>
      <c r="W77" s="9"/>
      <c r="X77" s="9"/>
      <c r="Y77" s="9"/>
      <c r="Z77" s="9"/>
      <c r="AA77" s="9"/>
      <c r="AB77" s="39"/>
      <c r="AC77" s="9"/>
      <c r="AD77" s="38"/>
      <c r="AE77" s="9"/>
      <c r="AF77" s="39"/>
      <c r="AG77" s="9"/>
      <c r="AH77" s="9"/>
      <c r="AI77" s="9"/>
      <c r="AJ77" s="9"/>
      <c r="AK77" s="9"/>
      <c r="AL77" s="9"/>
      <c r="AM77" s="9"/>
      <c r="AN77" s="10" t="str">
        <f aca="false">IF(A77="","",SG_Criteria!$B$6&amp;SG_Criteria!$B$7&amp;"\"&amp;A77&amp;"\")</f>
        <v/>
      </c>
      <c r="AO77" s="10" t="str">
        <f aca="false">IF(A77="","",A77&amp;"_CAD.dwg")</f>
        <v/>
      </c>
      <c r="AP77" s="10" t="str">
        <f aca="false">IF(A77="","",A77&amp;"_DWG.pdf")</f>
        <v/>
      </c>
      <c r="AQ77" s="10" t="str">
        <f aca="false">IF(A77="","",IF(AM77="Y",A77&amp;"_STAAD.std","n/a"))</f>
        <v/>
      </c>
      <c r="AR77" s="10" t="str">
        <f aca="false">IF(A77="","",A77&amp;"_CALC.xlsx")</f>
        <v/>
      </c>
      <c r="AS77" s="10" t="str">
        <f aca="false">IF(A77="","",A77&amp;"_CALC.pdf")</f>
        <v/>
      </c>
      <c r="AT77" s="9"/>
      <c r="AU77" s="9"/>
      <c r="AV77" s="39"/>
      <c r="AW77" s="39"/>
      <c r="AX77" s="39"/>
      <c r="AY77" s="39"/>
      <c r="AZ77" s="39"/>
      <c r="BA77" s="12" t="str">
        <f aca="false">IF(A77="","",IF(COUNTIF(Rebar_Schedule!$A$5:$A$2004,A77)=0,"",ROUND(SUMIF(Rebar_Schedule!$A$5:$A$2004,A77,Rebar_Schedule!$K$5:$K$2004),1)))</f>
        <v/>
      </c>
      <c r="BB77" s="33" t="str">
        <f aca="false">IF(A77="","",IF(BA77="","No rebar schedule yet",IF(ABS(BA77-N(AW77))/MAX(N(AW77),1)&gt;SG_Criteria!$B$55,"NOTE: register rebar differs from schedule by "&amp;TEXT(ABS(BA77-N(AW77))/MAX(N(AW77),1),"0%"),"OK")))</f>
        <v/>
      </c>
      <c r="BC77" s="34" t="str">
        <f aca="false">IF(OR(D77="",G77="",H77="",D77="Sump",D77="Drop Inlet Chamber",D77="Silt Trap",D77="Pipe Culvert",D77="Subsoil Drain"),"",ROUND(MAX(1,N(I77))*(1/SG_Criteria!$B$26)*((G77/1000)*(H77/1000*(1-SG_Criteria!$B$25)))*(((G77/1000)*(H77/1000*(1-SG_Criteria!$B$25)))/((G77/1000)+2*(H77/1000*(1-SG_Criteria!$B$25))))^(2/3)*(1/Design_Selector!$B$11)^0.5,3))</f>
        <v/>
      </c>
      <c r="BD77" s="11" t="str">
        <f aca="false">IF(BC77="","",ROUND(BC77/(MAX(1,N(I77))*G77/1000*(H77/1000*(1-SG_Criteria!$B$25))),2))</f>
        <v/>
      </c>
      <c r="BE77" s="33" t="str">
        <f aca="false">IF(D77="","",IF(LEN(IF(AND(OR(E77="Roadside drain",E77="Entrance culvert"),OR(G77&lt;SG_Criteria!$B$15,H77&lt;SG_Criteria!$B$16)),"FAIL: below PUB min "&amp;SG_Criteria!$B$15&amp;"x"&amp;SG_Criteria!$B$16&amp;" for roadside drain. ","")&amp;IF(AND(E77="Common drain",G77&lt;SG_Criteria!$B$17),"FAIL: common drain W &lt; "&amp;SG_Criteria!$B$17&amp;" mm. ","")&amp;IF(AND(O77&lt;&gt;"",IFERROR(VALUE(MID(O77,2,2)),0)&lt;SG_Criteria!$B$19),"FAIL: grade below C"&amp;SG_Criteria!$B$19&amp;". ","")&amp;IF(AND(P77&lt;&gt;"",P77&lt;SG_Criteria!$B$20),"FAIL: cover &lt; "&amp;SG_Criteria!$B$20&amp;" mm. ","")&amp;IF(AND(F77="Open",H77&gt;SG_Criteria!$B$18),"NOTE: safety railing required (D &gt; "&amp;SG_Criteria!$B$18&amp;" mm). ","")&amp;IF(AND(E77="Entrance culvert",H77&lt;600),"NOTE: check hinged grating rule for culverts &lt; 600 deep (PUB Add. 3). ",""))=0,"OK",IF(AND(OR(E77="Roadside drain",E77="Entrance culvert"),OR(G77&lt;SG_Criteria!$B$15,H77&lt;SG_Criteria!$B$16)),"FAIL: below PUB min "&amp;SG_Criteria!$B$15&amp;"x"&amp;SG_Criteria!$B$16&amp;" for roadside drain. ","")&amp;IF(AND(E77="Common drain",G77&lt;SG_Criteria!$B$17),"FAIL: common drain W &lt; "&amp;SG_Criteria!$B$17&amp;" mm. ","")&amp;IF(AND(O77&lt;&gt;"",IFERROR(VALUE(MID(O77,2,2)),0)&lt;SG_Criteria!$B$19),"FAIL: grade below C"&amp;SG_Criteria!$B$19&amp;". ","")&amp;IF(AND(P77&lt;&gt;"",P77&lt;SG_Criteria!$B$20),"FAIL: cover &lt; "&amp;SG_Criteria!$B$20&amp;" mm. ","")&amp;IF(AND(F77="Open",H77&gt;SG_Criteria!$B$18),"NOTE: safety railing required (D &gt; "&amp;SG_Criteria!$B$18&amp;" mm). ","")&amp;IF(AND(E77="Entrance culvert",H77&lt;600),"NOTE: check hinged grating rule for culverts &lt; 600 deep (PUB Add. 3). ","")))</f>
        <v/>
      </c>
      <c r="BF77" s="9"/>
      <c r="BG77" s="9"/>
      <c r="BH77" s="9"/>
      <c r="BI77" s="10" t="str">
        <f aca="false">IF(BH77="","",IFERROR(VLOOKUP(BH77,Projects!$A$5:$D$504,2,0),"Ref not in Projects"))</f>
        <v/>
      </c>
      <c r="BJ77" s="10" t="str">
        <f aca="false">IF(BH77="","",IFERROR(VLOOKUP(BH77,Projects!$A$5:$D$504,4,0),"Ref not in Projects"))</f>
        <v/>
      </c>
      <c r="BK77" s="9"/>
      <c r="BL77" s="9"/>
      <c r="BM77" s="9"/>
      <c r="BN77" s="40"/>
      <c r="BO77" s="9"/>
      <c r="BP77" s="40"/>
      <c r="BQ77" s="9"/>
      <c r="BR77" s="40"/>
      <c r="BS77" s="9"/>
      <c r="BT77" s="9"/>
      <c r="BU77" s="9"/>
      <c r="BV77" s="40"/>
      <c r="BW77" s="40"/>
      <c r="BX77" s="36" t="str">
        <f aca="false">IF(BW77="","",EDATE(BW77,SG_Criteria!$B$54*12))</f>
        <v/>
      </c>
      <c r="BY77" s="33" t="str">
        <f aca="true">IF(A77="","",IF(BW77="","NOTE: not reviewed yet",IF(TODAY()&gt;BX77,"NOTE: review overdue","OK")))</f>
        <v/>
      </c>
      <c r="BZ77" s="37" t="str">
        <f aca="false">IF(A77="","",ROUND((IF(LEN(D77)&gt;0,1,0)+IF(LEN(E77)&gt;0,1,0)+IF(LEN(F77)&gt;0,1,0)+IF(LEN(G77)&gt;0,1,0)+IF(LEN(H77)&gt;0,1,0)+IF(LEN(J77)&gt;0,1,0)+IF(LEN(K77)&gt;0,1,0)+IF(LEN(M77)&gt;0,1,0)+IF(LEN(O77)&gt;0,1,0)+IF(LEN(P77)&gt;0,1,0)+IF(LEN(Q77)&gt;0,1,0)+IF(LEN(S77)&gt;0,1,0)+IF(LEN(AC77)&gt;0,1,0)+IF(LEN(AV77)&gt;0,1,0)+IF(LEN(AW77)&gt;0,1,0)+IF(LEN(AG77)&gt;0,1,0)+IF(LEN(AI77)&gt;0,1,0)+IF(LEN(AJ77)&gt;0,1,0)+IF(LEN(AK77)&gt;0,1,0)+IF(LEN(AL77)&gt;0,1,0)+IF(LEN(AU77)&gt;0,1,0)+IF(LEN(BH77)&gt;0,1,0)+IF(LEN(BU77)&gt;0,1,0))/23,2))</f>
        <v/>
      </c>
      <c r="CA77" s="10" t="str">
        <f aca="false">IF(D77="","",IF(AND(AJ77="Approved",ISERROR(SEARCH("FAIL",BE77))),"Y","N"))</f>
        <v/>
      </c>
      <c r="CB77" s="10" t="str">
        <f aca="false">IF(D77="","",D77&amp;"|"&amp;G77&amp;"|"&amp;H77&amp;"|"&amp;M77&amp;"|"&amp;CA77)</f>
        <v/>
      </c>
    </row>
    <row r="78" customFormat="false" ht="15" hidden="false" customHeight="false" outlineLevel="0" collapsed="false">
      <c r="A78" s="10" t="str">
        <f aca="false">IF(D78="","","DRN-"&amp;IFERROR(VLOOKUP(D78,Lists!$A$4:$B$27,2,0),"??")&amp;"-"&amp;TEXT(G78,"0000")&amp;"x"&amp;TEXT(H78,"0000")&amp;IF(N(I78)&gt;1,"-"&amp;I78&amp;"C","")&amp;"-"&amp;IFERROR(VLOOKUP(M78,Lists!$J$4:$K$19,2,0),"??")&amp;"-"&amp;AI78)</f>
        <v/>
      </c>
      <c r="B78" s="10" t="str">
        <f aca="false">IF(D78="","",D78&amp;" "&amp;G78&amp;"W x "&amp;H78&amp;"D"&amp;IF(N(I78)&gt;1," ("&amp;I78&amp;" cells)","")&amp;", "&amp;E78&amp;", "&amp;M78&amp;", "&amp;F78)</f>
        <v/>
      </c>
      <c r="C78" s="9"/>
      <c r="D78" s="9"/>
      <c r="E78" s="9"/>
      <c r="F78" s="9"/>
      <c r="G78" s="38"/>
      <c r="H78" s="38"/>
      <c r="I78" s="38"/>
      <c r="J78" s="38"/>
      <c r="K78" s="38"/>
      <c r="L78" s="38"/>
      <c r="M78" s="9"/>
      <c r="N78" s="9"/>
      <c r="O78" s="9"/>
      <c r="P78" s="38"/>
      <c r="Q78" s="9"/>
      <c r="R78" s="9"/>
      <c r="S78" s="9"/>
      <c r="T78" s="9"/>
      <c r="U78" s="9"/>
      <c r="V78" s="9"/>
      <c r="W78" s="9"/>
      <c r="X78" s="9"/>
      <c r="Y78" s="9"/>
      <c r="Z78" s="9"/>
      <c r="AA78" s="9"/>
      <c r="AB78" s="39"/>
      <c r="AC78" s="9"/>
      <c r="AD78" s="38"/>
      <c r="AE78" s="9"/>
      <c r="AF78" s="39"/>
      <c r="AG78" s="9"/>
      <c r="AH78" s="9"/>
      <c r="AI78" s="9"/>
      <c r="AJ78" s="9"/>
      <c r="AK78" s="9"/>
      <c r="AL78" s="9"/>
      <c r="AM78" s="9"/>
      <c r="AN78" s="10" t="str">
        <f aca="false">IF(A78="","",SG_Criteria!$B$6&amp;SG_Criteria!$B$7&amp;"\"&amp;A78&amp;"\")</f>
        <v/>
      </c>
      <c r="AO78" s="10" t="str">
        <f aca="false">IF(A78="","",A78&amp;"_CAD.dwg")</f>
        <v/>
      </c>
      <c r="AP78" s="10" t="str">
        <f aca="false">IF(A78="","",A78&amp;"_DWG.pdf")</f>
        <v/>
      </c>
      <c r="AQ78" s="10" t="str">
        <f aca="false">IF(A78="","",IF(AM78="Y",A78&amp;"_STAAD.std","n/a"))</f>
        <v/>
      </c>
      <c r="AR78" s="10" t="str">
        <f aca="false">IF(A78="","",A78&amp;"_CALC.xlsx")</f>
        <v/>
      </c>
      <c r="AS78" s="10" t="str">
        <f aca="false">IF(A78="","",A78&amp;"_CALC.pdf")</f>
        <v/>
      </c>
      <c r="AT78" s="9"/>
      <c r="AU78" s="9"/>
      <c r="AV78" s="39"/>
      <c r="AW78" s="39"/>
      <c r="AX78" s="39"/>
      <c r="AY78" s="39"/>
      <c r="AZ78" s="39"/>
      <c r="BA78" s="12" t="str">
        <f aca="false">IF(A78="","",IF(COUNTIF(Rebar_Schedule!$A$5:$A$2004,A78)=0,"",ROUND(SUMIF(Rebar_Schedule!$A$5:$A$2004,A78,Rebar_Schedule!$K$5:$K$2004),1)))</f>
        <v/>
      </c>
      <c r="BB78" s="33" t="str">
        <f aca="false">IF(A78="","",IF(BA78="","No rebar schedule yet",IF(ABS(BA78-N(AW78))/MAX(N(AW78),1)&gt;SG_Criteria!$B$55,"NOTE: register rebar differs from schedule by "&amp;TEXT(ABS(BA78-N(AW78))/MAX(N(AW78),1),"0%"),"OK")))</f>
        <v/>
      </c>
      <c r="BC78" s="34" t="str">
        <f aca="false">IF(OR(D78="",G78="",H78="",D78="Sump",D78="Drop Inlet Chamber",D78="Silt Trap",D78="Pipe Culvert",D78="Subsoil Drain"),"",ROUND(MAX(1,N(I78))*(1/SG_Criteria!$B$26)*((G78/1000)*(H78/1000*(1-SG_Criteria!$B$25)))*(((G78/1000)*(H78/1000*(1-SG_Criteria!$B$25)))/((G78/1000)+2*(H78/1000*(1-SG_Criteria!$B$25))))^(2/3)*(1/Design_Selector!$B$11)^0.5,3))</f>
        <v/>
      </c>
      <c r="BD78" s="11" t="str">
        <f aca="false">IF(BC78="","",ROUND(BC78/(MAX(1,N(I78))*G78/1000*(H78/1000*(1-SG_Criteria!$B$25))),2))</f>
        <v/>
      </c>
      <c r="BE78" s="33" t="str">
        <f aca="false">IF(D78="","",IF(LEN(IF(AND(OR(E78="Roadside drain",E78="Entrance culvert"),OR(G78&lt;SG_Criteria!$B$15,H78&lt;SG_Criteria!$B$16)),"FAIL: below PUB min "&amp;SG_Criteria!$B$15&amp;"x"&amp;SG_Criteria!$B$16&amp;" for roadside drain. ","")&amp;IF(AND(E78="Common drain",G78&lt;SG_Criteria!$B$17),"FAIL: common drain W &lt; "&amp;SG_Criteria!$B$17&amp;" mm. ","")&amp;IF(AND(O78&lt;&gt;"",IFERROR(VALUE(MID(O78,2,2)),0)&lt;SG_Criteria!$B$19),"FAIL: grade below C"&amp;SG_Criteria!$B$19&amp;". ","")&amp;IF(AND(P78&lt;&gt;"",P78&lt;SG_Criteria!$B$20),"FAIL: cover &lt; "&amp;SG_Criteria!$B$20&amp;" mm. ","")&amp;IF(AND(F78="Open",H78&gt;SG_Criteria!$B$18),"NOTE: safety railing required (D &gt; "&amp;SG_Criteria!$B$18&amp;" mm). ","")&amp;IF(AND(E78="Entrance culvert",H78&lt;600),"NOTE: check hinged grating rule for culverts &lt; 600 deep (PUB Add. 3). ",""))=0,"OK",IF(AND(OR(E78="Roadside drain",E78="Entrance culvert"),OR(G78&lt;SG_Criteria!$B$15,H78&lt;SG_Criteria!$B$16)),"FAIL: below PUB min "&amp;SG_Criteria!$B$15&amp;"x"&amp;SG_Criteria!$B$16&amp;" for roadside drain. ","")&amp;IF(AND(E78="Common drain",G78&lt;SG_Criteria!$B$17),"FAIL: common drain W &lt; "&amp;SG_Criteria!$B$17&amp;" mm. ","")&amp;IF(AND(O78&lt;&gt;"",IFERROR(VALUE(MID(O78,2,2)),0)&lt;SG_Criteria!$B$19),"FAIL: grade below C"&amp;SG_Criteria!$B$19&amp;". ","")&amp;IF(AND(P78&lt;&gt;"",P78&lt;SG_Criteria!$B$20),"FAIL: cover &lt; "&amp;SG_Criteria!$B$20&amp;" mm. ","")&amp;IF(AND(F78="Open",H78&gt;SG_Criteria!$B$18),"NOTE: safety railing required (D &gt; "&amp;SG_Criteria!$B$18&amp;" mm). ","")&amp;IF(AND(E78="Entrance culvert",H78&lt;600),"NOTE: check hinged grating rule for culverts &lt; 600 deep (PUB Add. 3). ","")))</f>
        <v/>
      </c>
      <c r="BF78" s="9"/>
      <c r="BG78" s="9"/>
      <c r="BH78" s="9"/>
      <c r="BI78" s="10" t="str">
        <f aca="false">IF(BH78="","",IFERROR(VLOOKUP(BH78,Projects!$A$5:$D$504,2,0),"Ref not in Projects"))</f>
        <v/>
      </c>
      <c r="BJ78" s="10" t="str">
        <f aca="false">IF(BH78="","",IFERROR(VLOOKUP(BH78,Projects!$A$5:$D$504,4,0),"Ref not in Projects"))</f>
        <v/>
      </c>
      <c r="BK78" s="9"/>
      <c r="BL78" s="9"/>
      <c r="BM78" s="9"/>
      <c r="BN78" s="40"/>
      <c r="BO78" s="9"/>
      <c r="BP78" s="40"/>
      <c r="BQ78" s="9"/>
      <c r="BR78" s="40"/>
      <c r="BS78" s="9"/>
      <c r="BT78" s="9"/>
      <c r="BU78" s="9"/>
      <c r="BV78" s="40"/>
      <c r="BW78" s="40"/>
      <c r="BX78" s="36" t="str">
        <f aca="false">IF(BW78="","",EDATE(BW78,SG_Criteria!$B$54*12))</f>
        <v/>
      </c>
      <c r="BY78" s="33" t="str">
        <f aca="true">IF(A78="","",IF(BW78="","NOTE: not reviewed yet",IF(TODAY()&gt;BX78,"NOTE: review overdue","OK")))</f>
        <v/>
      </c>
      <c r="BZ78" s="37" t="str">
        <f aca="false">IF(A78="","",ROUND((IF(LEN(D78)&gt;0,1,0)+IF(LEN(E78)&gt;0,1,0)+IF(LEN(F78)&gt;0,1,0)+IF(LEN(G78)&gt;0,1,0)+IF(LEN(H78)&gt;0,1,0)+IF(LEN(J78)&gt;0,1,0)+IF(LEN(K78)&gt;0,1,0)+IF(LEN(M78)&gt;0,1,0)+IF(LEN(O78)&gt;0,1,0)+IF(LEN(P78)&gt;0,1,0)+IF(LEN(Q78)&gt;0,1,0)+IF(LEN(S78)&gt;0,1,0)+IF(LEN(AC78)&gt;0,1,0)+IF(LEN(AV78)&gt;0,1,0)+IF(LEN(AW78)&gt;0,1,0)+IF(LEN(AG78)&gt;0,1,0)+IF(LEN(AI78)&gt;0,1,0)+IF(LEN(AJ78)&gt;0,1,0)+IF(LEN(AK78)&gt;0,1,0)+IF(LEN(AL78)&gt;0,1,0)+IF(LEN(AU78)&gt;0,1,0)+IF(LEN(BH78)&gt;0,1,0)+IF(LEN(BU78)&gt;0,1,0))/23,2))</f>
        <v/>
      </c>
      <c r="CA78" s="10" t="str">
        <f aca="false">IF(D78="","",IF(AND(AJ78="Approved",ISERROR(SEARCH("FAIL",BE78))),"Y","N"))</f>
        <v/>
      </c>
      <c r="CB78" s="10" t="str">
        <f aca="false">IF(D78="","",D78&amp;"|"&amp;G78&amp;"|"&amp;H78&amp;"|"&amp;M78&amp;"|"&amp;CA78)</f>
        <v/>
      </c>
    </row>
    <row r="79" customFormat="false" ht="15" hidden="false" customHeight="false" outlineLevel="0" collapsed="false">
      <c r="A79" s="10" t="str">
        <f aca="false">IF(D79="","","DRN-"&amp;IFERROR(VLOOKUP(D79,Lists!$A$4:$B$27,2,0),"??")&amp;"-"&amp;TEXT(G79,"0000")&amp;"x"&amp;TEXT(H79,"0000")&amp;IF(N(I79)&gt;1,"-"&amp;I79&amp;"C","")&amp;"-"&amp;IFERROR(VLOOKUP(M79,Lists!$J$4:$K$19,2,0),"??")&amp;"-"&amp;AI79)</f>
        <v/>
      </c>
      <c r="B79" s="10" t="str">
        <f aca="false">IF(D79="","",D79&amp;" "&amp;G79&amp;"W x "&amp;H79&amp;"D"&amp;IF(N(I79)&gt;1," ("&amp;I79&amp;" cells)","")&amp;", "&amp;E79&amp;", "&amp;M79&amp;", "&amp;F79)</f>
        <v/>
      </c>
      <c r="C79" s="9"/>
      <c r="D79" s="9"/>
      <c r="E79" s="9"/>
      <c r="F79" s="9"/>
      <c r="G79" s="38"/>
      <c r="H79" s="38"/>
      <c r="I79" s="38"/>
      <c r="J79" s="38"/>
      <c r="K79" s="38"/>
      <c r="L79" s="38"/>
      <c r="M79" s="9"/>
      <c r="N79" s="9"/>
      <c r="O79" s="9"/>
      <c r="P79" s="38"/>
      <c r="Q79" s="9"/>
      <c r="R79" s="9"/>
      <c r="S79" s="9"/>
      <c r="T79" s="9"/>
      <c r="U79" s="9"/>
      <c r="V79" s="9"/>
      <c r="W79" s="9"/>
      <c r="X79" s="9"/>
      <c r="Y79" s="9"/>
      <c r="Z79" s="9"/>
      <c r="AA79" s="9"/>
      <c r="AB79" s="39"/>
      <c r="AC79" s="9"/>
      <c r="AD79" s="38"/>
      <c r="AE79" s="9"/>
      <c r="AF79" s="39"/>
      <c r="AG79" s="9"/>
      <c r="AH79" s="9"/>
      <c r="AI79" s="9"/>
      <c r="AJ79" s="9"/>
      <c r="AK79" s="9"/>
      <c r="AL79" s="9"/>
      <c r="AM79" s="9"/>
      <c r="AN79" s="10" t="str">
        <f aca="false">IF(A79="","",SG_Criteria!$B$6&amp;SG_Criteria!$B$7&amp;"\"&amp;A79&amp;"\")</f>
        <v/>
      </c>
      <c r="AO79" s="10" t="str">
        <f aca="false">IF(A79="","",A79&amp;"_CAD.dwg")</f>
        <v/>
      </c>
      <c r="AP79" s="10" t="str">
        <f aca="false">IF(A79="","",A79&amp;"_DWG.pdf")</f>
        <v/>
      </c>
      <c r="AQ79" s="10" t="str">
        <f aca="false">IF(A79="","",IF(AM79="Y",A79&amp;"_STAAD.std","n/a"))</f>
        <v/>
      </c>
      <c r="AR79" s="10" t="str">
        <f aca="false">IF(A79="","",A79&amp;"_CALC.xlsx")</f>
        <v/>
      </c>
      <c r="AS79" s="10" t="str">
        <f aca="false">IF(A79="","",A79&amp;"_CALC.pdf")</f>
        <v/>
      </c>
      <c r="AT79" s="9"/>
      <c r="AU79" s="9"/>
      <c r="AV79" s="39"/>
      <c r="AW79" s="39"/>
      <c r="AX79" s="39"/>
      <c r="AY79" s="39"/>
      <c r="AZ79" s="39"/>
      <c r="BA79" s="12" t="str">
        <f aca="false">IF(A79="","",IF(COUNTIF(Rebar_Schedule!$A$5:$A$2004,A79)=0,"",ROUND(SUMIF(Rebar_Schedule!$A$5:$A$2004,A79,Rebar_Schedule!$K$5:$K$2004),1)))</f>
        <v/>
      </c>
      <c r="BB79" s="33" t="str">
        <f aca="false">IF(A79="","",IF(BA79="","No rebar schedule yet",IF(ABS(BA79-N(AW79))/MAX(N(AW79),1)&gt;SG_Criteria!$B$55,"NOTE: register rebar differs from schedule by "&amp;TEXT(ABS(BA79-N(AW79))/MAX(N(AW79),1),"0%"),"OK")))</f>
        <v/>
      </c>
      <c r="BC79" s="34" t="str">
        <f aca="false">IF(OR(D79="",G79="",H79="",D79="Sump",D79="Drop Inlet Chamber",D79="Silt Trap",D79="Pipe Culvert",D79="Subsoil Drain"),"",ROUND(MAX(1,N(I79))*(1/SG_Criteria!$B$26)*((G79/1000)*(H79/1000*(1-SG_Criteria!$B$25)))*(((G79/1000)*(H79/1000*(1-SG_Criteria!$B$25)))/((G79/1000)+2*(H79/1000*(1-SG_Criteria!$B$25))))^(2/3)*(1/Design_Selector!$B$11)^0.5,3))</f>
        <v/>
      </c>
      <c r="BD79" s="11" t="str">
        <f aca="false">IF(BC79="","",ROUND(BC79/(MAX(1,N(I79))*G79/1000*(H79/1000*(1-SG_Criteria!$B$25))),2))</f>
        <v/>
      </c>
      <c r="BE79" s="33" t="str">
        <f aca="false">IF(D79="","",IF(LEN(IF(AND(OR(E79="Roadside drain",E79="Entrance culvert"),OR(G79&lt;SG_Criteria!$B$15,H79&lt;SG_Criteria!$B$16)),"FAIL: below PUB min "&amp;SG_Criteria!$B$15&amp;"x"&amp;SG_Criteria!$B$16&amp;" for roadside drain. ","")&amp;IF(AND(E79="Common drain",G79&lt;SG_Criteria!$B$17),"FAIL: common drain W &lt; "&amp;SG_Criteria!$B$17&amp;" mm. ","")&amp;IF(AND(O79&lt;&gt;"",IFERROR(VALUE(MID(O79,2,2)),0)&lt;SG_Criteria!$B$19),"FAIL: grade below C"&amp;SG_Criteria!$B$19&amp;". ","")&amp;IF(AND(P79&lt;&gt;"",P79&lt;SG_Criteria!$B$20),"FAIL: cover &lt; "&amp;SG_Criteria!$B$20&amp;" mm. ","")&amp;IF(AND(F79="Open",H79&gt;SG_Criteria!$B$18),"NOTE: safety railing required (D &gt; "&amp;SG_Criteria!$B$18&amp;" mm). ","")&amp;IF(AND(E79="Entrance culvert",H79&lt;600),"NOTE: check hinged grating rule for culverts &lt; 600 deep (PUB Add. 3). ",""))=0,"OK",IF(AND(OR(E79="Roadside drain",E79="Entrance culvert"),OR(G79&lt;SG_Criteria!$B$15,H79&lt;SG_Criteria!$B$16)),"FAIL: below PUB min "&amp;SG_Criteria!$B$15&amp;"x"&amp;SG_Criteria!$B$16&amp;" for roadside drain. ","")&amp;IF(AND(E79="Common drain",G79&lt;SG_Criteria!$B$17),"FAIL: common drain W &lt; "&amp;SG_Criteria!$B$17&amp;" mm. ","")&amp;IF(AND(O79&lt;&gt;"",IFERROR(VALUE(MID(O79,2,2)),0)&lt;SG_Criteria!$B$19),"FAIL: grade below C"&amp;SG_Criteria!$B$19&amp;". ","")&amp;IF(AND(P79&lt;&gt;"",P79&lt;SG_Criteria!$B$20),"FAIL: cover &lt; "&amp;SG_Criteria!$B$20&amp;" mm. ","")&amp;IF(AND(F79="Open",H79&gt;SG_Criteria!$B$18),"NOTE: safety railing required (D &gt; "&amp;SG_Criteria!$B$18&amp;" mm). ","")&amp;IF(AND(E79="Entrance culvert",H79&lt;600),"NOTE: check hinged grating rule for culverts &lt; 600 deep (PUB Add. 3). ","")))</f>
        <v/>
      </c>
      <c r="BF79" s="9"/>
      <c r="BG79" s="9"/>
      <c r="BH79" s="9"/>
      <c r="BI79" s="10" t="str">
        <f aca="false">IF(BH79="","",IFERROR(VLOOKUP(BH79,Projects!$A$5:$D$504,2,0),"Ref not in Projects"))</f>
        <v/>
      </c>
      <c r="BJ79" s="10" t="str">
        <f aca="false">IF(BH79="","",IFERROR(VLOOKUP(BH79,Projects!$A$5:$D$504,4,0),"Ref not in Projects"))</f>
        <v/>
      </c>
      <c r="BK79" s="9"/>
      <c r="BL79" s="9"/>
      <c r="BM79" s="9"/>
      <c r="BN79" s="40"/>
      <c r="BO79" s="9"/>
      <c r="BP79" s="40"/>
      <c r="BQ79" s="9"/>
      <c r="BR79" s="40"/>
      <c r="BS79" s="9"/>
      <c r="BT79" s="9"/>
      <c r="BU79" s="9"/>
      <c r="BV79" s="40"/>
      <c r="BW79" s="40"/>
      <c r="BX79" s="36" t="str">
        <f aca="false">IF(BW79="","",EDATE(BW79,SG_Criteria!$B$54*12))</f>
        <v/>
      </c>
      <c r="BY79" s="33" t="str">
        <f aca="true">IF(A79="","",IF(BW79="","NOTE: not reviewed yet",IF(TODAY()&gt;BX79,"NOTE: review overdue","OK")))</f>
        <v/>
      </c>
      <c r="BZ79" s="37" t="str">
        <f aca="false">IF(A79="","",ROUND((IF(LEN(D79)&gt;0,1,0)+IF(LEN(E79)&gt;0,1,0)+IF(LEN(F79)&gt;0,1,0)+IF(LEN(G79)&gt;0,1,0)+IF(LEN(H79)&gt;0,1,0)+IF(LEN(J79)&gt;0,1,0)+IF(LEN(K79)&gt;0,1,0)+IF(LEN(M79)&gt;0,1,0)+IF(LEN(O79)&gt;0,1,0)+IF(LEN(P79)&gt;0,1,0)+IF(LEN(Q79)&gt;0,1,0)+IF(LEN(S79)&gt;0,1,0)+IF(LEN(AC79)&gt;0,1,0)+IF(LEN(AV79)&gt;0,1,0)+IF(LEN(AW79)&gt;0,1,0)+IF(LEN(AG79)&gt;0,1,0)+IF(LEN(AI79)&gt;0,1,0)+IF(LEN(AJ79)&gt;0,1,0)+IF(LEN(AK79)&gt;0,1,0)+IF(LEN(AL79)&gt;0,1,0)+IF(LEN(AU79)&gt;0,1,0)+IF(LEN(BH79)&gt;0,1,0)+IF(LEN(BU79)&gt;0,1,0))/23,2))</f>
        <v/>
      </c>
      <c r="CA79" s="10" t="str">
        <f aca="false">IF(D79="","",IF(AND(AJ79="Approved",ISERROR(SEARCH("FAIL",BE79))),"Y","N"))</f>
        <v/>
      </c>
      <c r="CB79" s="10" t="str">
        <f aca="false">IF(D79="","",D79&amp;"|"&amp;G79&amp;"|"&amp;H79&amp;"|"&amp;M79&amp;"|"&amp;CA79)</f>
        <v/>
      </c>
    </row>
    <row r="80" customFormat="false" ht="15" hidden="false" customHeight="false" outlineLevel="0" collapsed="false">
      <c r="A80" s="10" t="str">
        <f aca="false">IF(D80="","","DRN-"&amp;IFERROR(VLOOKUP(D80,Lists!$A$4:$B$27,2,0),"??")&amp;"-"&amp;TEXT(G80,"0000")&amp;"x"&amp;TEXT(H80,"0000")&amp;IF(N(I80)&gt;1,"-"&amp;I80&amp;"C","")&amp;"-"&amp;IFERROR(VLOOKUP(M80,Lists!$J$4:$K$19,2,0),"??")&amp;"-"&amp;AI80)</f>
        <v/>
      </c>
      <c r="B80" s="10" t="str">
        <f aca="false">IF(D80="","",D80&amp;" "&amp;G80&amp;"W x "&amp;H80&amp;"D"&amp;IF(N(I80)&gt;1," ("&amp;I80&amp;" cells)","")&amp;", "&amp;E80&amp;", "&amp;M80&amp;", "&amp;F80)</f>
        <v/>
      </c>
      <c r="C80" s="9"/>
      <c r="D80" s="9"/>
      <c r="E80" s="9"/>
      <c r="F80" s="9"/>
      <c r="G80" s="38"/>
      <c r="H80" s="38"/>
      <c r="I80" s="38"/>
      <c r="J80" s="38"/>
      <c r="K80" s="38"/>
      <c r="L80" s="38"/>
      <c r="M80" s="9"/>
      <c r="N80" s="9"/>
      <c r="O80" s="9"/>
      <c r="P80" s="38"/>
      <c r="Q80" s="9"/>
      <c r="R80" s="9"/>
      <c r="S80" s="9"/>
      <c r="T80" s="9"/>
      <c r="U80" s="9"/>
      <c r="V80" s="9"/>
      <c r="W80" s="9"/>
      <c r="X80" s="9"/>
      <c r="Y80" s="9"/>
      <c r="Z80" s="9"/>
      <c r="AA80" s="9"/>
      <c r="AB80" s="39"/>
      <c r="AC80" s="9"/>
      <c r="AD80" s="38"/>
      <c r="AE80" s="9"/>
      <c r="AF80" s="39"/>
      <c r="AG80" s="9"/>
      <c r="AH80" s="9"/>
      <c r="AI80" s="9"/>
      <c r="AJ80" s="9"/>
      <c r="AK80" s="9"/>
      <c r="AL80" s="9"/>
      <c r="AM80" s="9"/>
      <c r="AN80" s="10" t="str">
        <f aca="false">IF(A80="","",SG_Criteria!$B$6&amp;SG_Criteria!$B$7&amp;"\"&amp;A80&amp;"\")</f>
        <v/>
      </c>
      <c r="AO80" s="10" t="str">
        <f aca="false">IF(A80="","",A80&amp;"_CAD.dwg")</f>
        <v/>
      </c>
      <c r="AP80" s="10" t="str">
        <f aca="false">IF(A80="","",A80&amp;"_DWG.pdf")</f>
        <v/>
      </c>
      <c r="AQ80" s="10" t="str">
        <f aca="false">IF(A80="","",IF(AM80="Y",A80&amp;"_STAAD.std","n/a"))</f>
        <v/>
      </c>
      <c r="AR80" s="10" t="str">
        <f aca="false">IF(A80="","",A80&amp;"_CALC.xlsx")</f>
        <v/>
      </c>
      <c r="AS80" s="10" t="str">
        <f aca="false">IF(A80="","",A80&amp;"_CALC.pdf")</f>
        <v/>
      </c>
      <c r="AT80" s="9"/>
      <c r="AU80" s="9"/>
      <c r="AV80" s="39"/>
      <c r="AW80" s="39"/>
      <c r="AX80" s="39"/>
      <c r="AY80" s="39"/>
      <c r="AZ80" s="39"/>
      <c r="BA80" s="12" t="str">
        <f aca="false">IF(A80="","",IF(COUNTIF(Rebar_Schedule!$A$5:$A$2004,A80)=0,"",ROUND(SUMIF(Rebar_Schedule!$A$5:$A$2004,A80,Rebar_Schedule!$K$5:$K$2004),1)))</f>
        <v/>
      </c>
      <c r="BB80" s="33" t="str">
        <f aca="false">IF(A80="","",IF(BA80="","No rebar schedule yet",IF(ABS(BA80-N(AW80))/MAX(N(AW80),1)&gt;SG_Criteria!$B$55,"NOTE: register rebar differs from schedule by "&amp;TEXT(ABS(BA80-N(AW80))/MAX(N(AW80),1),"0%"),"OK")))</f>
        <v/>
      </c>
      <c r="BC80" s="34" t="str">
        <f aca="false">IF(OR(D80="",G80="",H80="",D80="Sump",D80="Drop Inlet Chamber",D80="Silt Trap",D80="Pipe Culvert",D80="Subsoil Drain"),"",ROUND(MAX(1,N(I80))*(1/SG_Criteria!$B$26)*((G80/1000)*(H80/1000*(1-SG_Criteria!$B$25)))*(((G80/1000)*(H80/1000*(1-SG_Criteria!$B$25)))/((G80/1000)+2*(H80/1000*(1-SG_Criteria!$B$25))))^(2/3)*(1/Design_Selector!$B$11)^0.5,3))</f>
        <v/>
      </c>
      <c r="BD80" s="11" t="str">
        <f aca="false">IF(BC80="","",ROUND(BC80/(MAX(1,N(I80))*G80/1000*(H80/1000*(1-SG_Criteria!$B$25))),2))</f>
        <v/>
      </c>
      <c r="BE80" s="33" t="str">
        <f aca="false">IF(D80="","",IF(LEN(IF(AND(OR(E80="Roadside drain",E80="Entrance culvert"),OR(G80&lt;SG_Criteria!$B$15,H80&lt;SG_Criteria!$B$16)),"FAIL: below PUB min "&amp;SG_Criteria!$B$15&amp;"x"&amp;SG_Criteria!$B$16&amp;" for roadside drain. ","")&amp;IF(AND(E80="Common drain",G80&lt;SG_Criteria!$B$17),"FAIL: common drain W &lt; "&amp;SG_Criteria!$B$17&amp;" mm. ","")&amp;IF(AND(O80&lt;&gt;"",IFERROR(VALUE(MID(O80,2,2)),0)&lt;SG_Criteria!$B$19),"FAIL: grade below C"&amp;SG_Criteria!$B$19&amp;". ","")&amp;IF(AND(P80&lt;&gt;"",P80&lt;SG_Criteria!$B$20),"FAIL: cover &lt; "&amp;SG_Criteria!$B$20&amp;" mm. ","")&amp;IF(AND(F80="Open",H80&gt;SG_Criteria!$B$18),"NOTE: safety railing required (D &gt; "&amp;SG_Criteria!$B$18&amp;" mm). ","")&amp;IF(AND(E80="Entrance culvert",H80&lt;600),"NOTE: check hinged grating rule for culverts &lt; 600 deep (PUB Add. 3). ",""))=0,"OK",IF(AND(OR(E80="Roadside drain",E80="Entrance culvert"),OR(G80&lt;SG_Criteria!$B$15,H80&lt;SG_Criteria!$B$16)),"FAIL: below PUB min "&amp;SG_Criteria!$B$15&amp;"x"&amp;SG_Criteria!$B$16&amp;" for roadside drain. ","")&amp;IF(AND(E80="Common drain",G80&lt;SG_Criteria!$B$17),"FAIL: common drain W &lt; "&amp;SG_Criteria!$B$17&amp;" mm. ","")&amp;IF(AND(O80&lt;&gt;"",IFERROR(VALUE(MID(O80,2,2)),0)&lt;SG_Criteria!$B$19),"FAIL: grade below C"&amp;SG_Criteria!$B$19&amp;". ","")&amp;IF(AND(P80&lt;&gt;"",P80&lt;SG_Criteria!$B$20),"FAIL: cover &lt; "&amp;SG_Criteria!$B$20&amp;" mm. ","")&amp;IF(AND(F80="Open",H80&gt;SG_Criteria!$B$18),"NOTE: safety railing required (D &gt; "&amp;SG_Criteria!$B$18&amp;" mm). ","")&amp;IF(AND(E80="Entrance culvert",H80&lt;600),"NOTE: check hinged grating rule for culverts &lt; 600 deep (PUB Add. 3). ","")))</f>
        <v/>
      </c>
      <c r="BF80" s="9"/>
      <c r="BG80" s="9"/>
      <c r="BH80" s="9"/>
      <c r="BI80" s="10" t="str">
        <f aca="false">IF(BH80="","",IFERROR(VLOOKUP(BH80,Projects!$A$5:$D$504,2,0),"Ref not in Projects"))</f>
        <v/>
      </c>
      <c r="BJ80" s="10" t="str">
        <f aca="false">IF(BH80="","",IFERROR(VLOOKUP(BH80,Projects!$A$5:$D$504,4,0),"Ref not in Projects"))</f>
        <v/>
      </c>
      <c r="BK80" s="9"/>
      <c r="BL80" s="9"/>
      <c r="BM80" s="9"/>
      <c r="BN80" s="40"/>
      <c r="BO80" s="9"/>
      <c r="BP80" s="40"/>
      <c r="BQ80" s="9"/>
      <c r="BR80" s="40"/>
      <c r="BS80" s="9"/>
      <c r="BT80" s="9"/>
      <c r="BU80" s="9"/>
      <c r="BV80" s="40"/>
      <c r="BW80" s="40"/>
      <c r="BX80" s="36" t="str">
        <f aca="false">IF(BW80="","",EDATE(BW80,SG_Criteria!$B$54*12))</f>
        <v/>
      </c>
      <c r="BY80" s="33" t="str">
        <f aca="true">IF(A80="","",IF(BW80="","NOTE: not reviewed yet",IF(TODAY()&gt;BX80,"NOTE: review overdue","OK")))</f>
        <v/>
      </c>
      <c r="BZ80" s="37" t="str">
        <f aca="false">IF(A80="","",ROUND((IF(LEN(D80)&gt;0,1,0)+IF(LEN(E80)&gt;0,1,0)+IF(LEN(F80)&gt;0,1,0)+IF(LEN(G80)&gt;0,1,0)+IF(LEN(H80)&gt;0,1,0)+IF(LEN(J80)&gt;0,1,0)+IF(LEN(K80)&gt;0,1,0)+IF(LEN(M80)&gt;0,1,0)+IF(LEN(O80)&gt;0,1,0)+IF(LEN(P80)&gt;0,1,0)+IF(LEN(Q80)&gt;0,1,0)+IF(LEN(S80)&gt;0,1,0)+IF(LEN(AC80)&gt;0,1,0)+IF(LEN(AV80)&gt;0,1,0)+IF(LEN(AW80)&gt;0,1,0)+IF(LEN(AG80)&gt;0,1,0)+IF(LEN(AI80)&gt;0,1,0)+IF(LEN(AJ80)&gt;0,1,0)+IF(LEN(AK80)&gt;0,1,0)+IF(LEN(AL80)&gt;0,1,0)+IF(LEN(AU80)&gt;0,1,0)+IF(LEN(BH80)&gt;0,1,0)+IF(LEN(BU80)&gt;0,1,0))/23,2))</f>
        <v/>
      </c>
      <c r="CA80" s="10" t="str">
        <f aca="false">IF(D80="","",IF(AND(AJ80="Approved",ISERROR(SEARCH("FAIL",BE80))),"Y","N"))</f>
        <v/>
      </c>
      <c r="CB80" s="10" t="str">
        <f aca="false">IF(D80="","",D80&amp;"|"&amp;G80&amp;"|"&amp;H80&amp;"|"&amp;M80&amp;"|"&amp;CA80)</f>
        <v/>
      </c>
    </row>
    <row r="81" customFormat="false" ht="15" hidden="false" customHeight="false" outlineLevel="0" collapsed="false">
      <c r="A81" s="10" t="str">
        <f aca="false">IF(D81="","","DRN-"&amp;IFERROR(VLOOKUP(D81,Lists!$A$4:$B$27,2,0),"??")&amp;"-"&amp;TEXT(G81,"0000")&amp;"x"&amp;TEXT(H81,"0000")&amp;IF(N(I81)&gt;1,"-"&amp;I81&amp;"C","")&amp;"-"&amp;IFERROR(VLOOKUP(M81,Lists!$J$4:$K$19,2,0),"??")&amp;"-"&amp;AI81)</f>
        <v/>
      </c>
      <c r="B81" s="10" t="str">
        <f aca="false">IF(D81="","",D81&amp;" "&amp;G81&amp;"W x "&amp;H81&amp;"D"&amp;IF(N(I81)&gt;1," ("&amp;I81&amp;" cells)","")&amp;", "&amp;E81&amp;", "&amp;M81&amp;", "&amp;F81)</f>
        <v/>
      </c>
      <c r="C81" s="9"/>
      <c r="D81" s="9"/>
      <c r="E81" s="9"/>
      <c r="F81" s="9"/>
      <c r="G81" s="38"/>
      <c r="H81" s="38"/>
      <c r="I81" s="38"/>
      <c r="J81" s="38"/>
      <c r="K81" s="38"/>
      <c r="L81" s="38"/>
      <c r="M81" s="9"/>
      <c r="N81" s="9"/>
      <c r="O81" s="9"/>
      <c r="P81" s="38"/>
      <c r="Q81" s="9"/>
      <c r="R81" s="9"/>
      <c r="S81" s="9"/>
      <c r="T81" s="9"/>
      <c r="U81" s="9"/>
      <c r="V81" s="9"/>
      <c r="W81" s="9"/>
      <c r="X81" s="9"/>
      <c r="Y81" s="9"/>
      <c r="Z81" s="9"/>
      <c r="AA81" s="9"/>
      <c r="AB81" s="39"/>
      <c r="AC81" s="9"/>
      <c r="AD81" s="38"/>
      <c r="AE81" s="9"/>
      <c r="AF81" s="39"/>
      <c r="AG81" s="9"/>
      <c r="AH81" s="9"/>
      <c r="AI81" s="9"/>
      <c r="AJ81" s="9"/>
      <c r="AK81" s="9"/>
      <c r="AL81" s="9"/>
      <c r="AM81" s="9"/>
      <c r="AN81" s="10" t="str">
        <f aca="false">IF(A81="","",SG_Criteria!$B$6&amp;SG_Criteria!$B$7&amp;"\"&amp;A81&amp;"\")</f>
        <v/>
      </c>
      <c r="AO81" s="10" t="str">
        <f aca="false">IF(A81="","",A81&amp;"_CAD.dwg")</f>
        <v/>
      </c>
      <c r="AP81" s="10" t="str">
        <f aca="false">IF(A81="","",A81&amp;"_DWG.pdf")</f>
        <v/>
      </c>
      <c r="AQ81" s="10" t="str">
        <f aca="false">IF(A81="","",IF(AM81="Y",A81&amp;"_STAAD.std","n/a"))</f>
        <v/>
      </c>
      <c r="AR81" s="10" t="str">
        <f aca="false">IF(A81="","",A81&amp;"_CALC.xlsx")</f>
        <v/>
      </c>
      <c r="AS81" s="10" t="str">
        <f aca="false">IF(A81="","",A81&amp;"_CALC.pdf")</f>
        <v/>
      </c>
      <c r="AT81" s="9"/>
      <c r="AU81" s="9"/>
      <c r="AV81" s="39"/>
      <c r="AW81" s="39"/>
      <c r="AX81" s="39"/>
      <c r="AY81" s="39"/>
      <c r="AZ81" s="39"/>
      <c r="BA81" s="12" t="str">
        <f aca="false">IF(A81="","",IF(COUNTIF(Rebar_Schedule!$A$5:$A$2004,A81)=0,"",ROUND(SUMIF(Rebar_Schedule!$A$5:$A$2004,A81,Rebar_Schedule!$K$5:$K$2004),1)))</f>
        <v/>
      </c>
      <c r="BB81" s="33" t="str">
        <f aca="false">IF(A81="","",IF(BA81="","No rebar schedule yet",IF(ABS(BA81-N(AW81))/MAX(N(AW81),1)&gt;SG_Criteria!$B$55,"NOTE: register rebar differs from schedule by "&amp;TEXT(ABS(BA81-N(AW81))/MAX(N(AW81),1),"0%"),"OK")))</f>
        <v/>
      </c>
      <c r="BC81" s="34" t="str">
        <f aca="false">IF(OR(D81="",G81="",H81="",D81="Sump",D81="Drop Inlet Chamber",D81="Silt Trap",D81="Pipe Culvert",D81="Subsoil Drain"),"",ROUND(MAX(1,N(I81))*(1/SG_Criteria!$B$26)*((G81/1000)*(H81/1000*(1-SG_Criteria!$B$25)))*(((G81/1000)*(H81/1000*(1-SG_Criteria!$B$25)))/((G81/1000)+2*(H81/1000*(1-SG_Criteria!$B$25))))^(2/3)*(1/Design_Selector!$B$11)^0.5,3))</f>
        <v/>
      </c>
      <c r="BD81" s="11" t="str">
        <f aca="false">IF(BC81="","",ROUND(BC81/(MAX(1,N(I81))*G81/1000*(H81/1000*(1-SG_Criteria!$B$25))),2))</f>
        <v/>
      </c>
      <c r="BE81" s="33" t="str">
        <f aca="false">IF(D81="","",IF(LEN(IF(AND(OR(E81="Roadside drain",E81="Entrance culvert"),OR(G81&lt;SG_Criteria!$B$15,H81&lt;SG_Criteria!$B$16)),"FAIL: below PUB min "&amp;SG_Criteria!$B$15&amp;"x"&amp;SG_Criteria!$B$16&amp;" for roadside drain. ","")&amp;IF(AND(E81="Common drain",G81&lt;SG_Criteria!$B$17),"FAIL: common drain W &lt; "&amp;SG_Criteria!$B$17&amp;" mm. ","")&amp;IF(AND(O81&lt;&gt;"",IFERROR(VALUE(MID(O81,2,2)),0)&lt;SG_Criteria!$B$19),"FAIL: grade below C"&amp;SG_Criteria!$B$19&amp;". ","")&amp;IF(AND(P81&lt;&gt;"",P81&lt;SG_Criteria!$B$20),"FAIL: cover &lt; "&amp;SG_Criteria!$B$20&amp;" mm. ","")&amp;IF(AND(F81="Open",H81&gt;SG_Criteria!$B$18),"NOTE: safety railing required (D &gt; "&amp;SG_Criteria!$B$18&amp;" mm). ","")&amp;IF(AND(E81="Entrance culvert",H81&lt;600),"NOTE: check hinged grating rule for culverts &lt; 600 deep (PUB Add. 3). ",""))=0,"OK",IF(AND(OR(E81="Roadside drain",E81="Entrance culvert"),OR(G81&lt;SG_Criteria!$B$15,H81&lt;SG_Criteria!$B$16)),"FAIL: below PUB min "&amp;SG_Criteria!$B$15&amp;"x"&amp;SG_Criteria!$B$16&amp;" for roadside drain. ","")&amp;IF(AND(E81="Common drain",G81&lt;SG_Criteria!$B$17),"FAIL: common drain W &lt; "&amp;SG_Criteria!$B$17&amp;" mm. ","")&amp;IF(AND(O81&lt;&gt;"",IFERROR(VALUE(MID(O81,2,2)),0)&lt;SG_Criteria!$B$19),"FAIL: grade below C"&amp;SG_Criteria!$B$19&amp;". ","")&amp;IF(AND(P81&lt;&gt;"",P81&lt;SG_Criteria!$B$20),"FAIL: cover &lt; "&amp;SG_Criteria!$B$20&amp;" mm. ","")&amp;IF(AND(F81="Open",H81&gt;SG_Criteria!$B$18),"NOTE: safety railing required (D &gt; "&amp;SG_Criteria!$B$18&amp;" mm). ","")&amp;IF(AND(E81="Entrance culvert",H81&lt;600),"NOTE: check hinged grating rule for culverts &lt; 600 deep (PUB Add. 3). ","")))</f>
        <v/>
      </c>
      <c r="BF81" s="9"/>
      <c r="BG81" s="9"/>
      <c r="BH81" s="9"/>
      <c r="BI81" s="10" t="str">
        <f aca="false">IF(BH81="","",IFERROR(VLOOKUP(BH81,Projects!$A$5:$D$504,2,0),"Ref not in Projects"))</f>
        <v/>
      </c>
      <c r="BJ81" s="10" t="str">
        <f aca="false">IF(BH81="","",IFERROR(VLOOKUP(BH81,Projects!$A$5:$D$504,4,0),"Ref not in Projects"))</f>
        <v/>
      </c>
      <c r="BK81" s="9"/>
      <c r="BL81" s="9"/>
      <c r="BM81" s="9"/>
      <c r="BN81" s="40"/>
      <c r="BO81" s="9"/>
      <c r="BP81" s="40"/>
      <c r="BQ81" s="9"/>
      <c r="BR81" s="40"/>
      <c r="BS81" s="9"/>
      <c r="BT81" s="9"/>
      <c r="BU81" s="9"/>
      <c r="BV81" s="40"/>
      <c r="BW81" s="40"/>
      <c r="BX81" s="36" t="str">
        <f aca="false">IF(BW81="","",EDATE(BW81,SG_Criteria!$B$54*12))</f>
        <v/>
      </c>
      <c r="BY81" s="33" t="str">
        <f aca="true">IF(A81="","",IF(BW81="","NOTE: not reviewed yet",IF(TODAY()&gt;BX81,"NOTE: review overdue","OK")))</f>
        <v/>
      </c>
      <c r="BZ81" s="37" t="str">
        <f aca="false">IF(A81="","",ROUND((IF(LEN(D81)&gt;0,1,0)+IF(LEN(E81)&gt;0,1,0)+IF(LEN(F81)&gt;0,1,0)+IF(LEN(G81)&gt;0,1,0)+IF(LEN(H81)&gt;0,1,0)+IF(LEN(J81)&gt;0,1,0)+IF(LEN(K81)&gt;0,1,0)+IF(LEN(M81)&gt;0,1,0)+IF(LEN(O81)&gt;0,1,0)+IF(LEN(P81)&gt;0,1,0)+IF(LEN(Q81)&gt;0,1,0)+IF(LEN(S81)&gt;0,1,0)+IF(LEN(AC81)&gt;0,1,0)+IF(LEN(AV81)&gt;0,1,0)+IF(LEN(AW81)&gt;0,1,0)+IF(LEN(AG81)&gt;0,1,0)+IF(LEN(AI81)&gt;0,1,0)+IF(LEN(AJ81)&gt;0,1,0)+IF(LEN(AK81)&gt;0,1,0)+IF(LEN(AL81)&gt;0,1,0)+IF(LEN(AU81)&gt;0,1,0)+IF(LEN(BH81)&gt;0,1,0)+IF(LEN(BU81)&gt;0,1,0))/23,2))</f>
        <v/>
      </c>
      <c r="CA81" s="10" t="str">
        <f aca="false">IF(D81="","",IF(AND(AJ81="Approved",ISERROR(SEARCH("FAIL",BE81))),"Y","N"))</f>
        <v/>
      </c>
      <c r="CB81" s="10" t="str">
        <f aca="false">IF(D81="","",D81&amp;"|"&amp;G81&amp;"|"&amp;H81&amp;"|"&amp;M81&amp;"|"&amp;CA81)</f>
        <v/>
      </c>
    </row>
    <row r="82" customFormat="false" ht="15" hidden="false" customHeight="false" outlineLevel="0" collapsed="false">
      <c r="A82" s="10" t="str">
        <f aca="false">IF(D82="","","DRN-"&amp;IFERROR(VLOOKUP(D82,Lists!$A$4:$B$27,2,0),"??")&amp;"-"&amp;TEXT(G82,"0000")&amp;"x"&amp;TEXT(H82,"0000")&amp;IF(N(I82)&gt;1,"-"&amp;I82&amp;"C","")&amp;"-"&amp;IFERROR(VLOOKUP(M82,Lists!$J$4:$K$19,2,0),"??")&amp;"-"&amp;AI82)</f>
        <v/>
      </c>
      <c r="B82" s="10" t="str">
        <f aca="false">IF(D82="","",D82&amp;" "&amp;G82&amp;"W x "&amp;H82&amp;"D"&amp;IF(N(I82)&gt;1," ("&amp;I82&amp;" cells)","")&amp;", "&amp;E82&amp;", "&amp;M82&amp;", "&amp;F82)</f>
        <v/>
      </c>
      <c r="C82" s="9"/>
      <c r="D82" s="9"/>
      <c r="E82" s="9"/>
      <c r="F82" s="9"/>
      <c r="G82" s="38"/>
      <c r="H82" s="38"/>
      <c r="I82" s="38"/>
      <c r="J82" s="38"/>
      <c r="K82" s="38"/>
      <c r="L82" s="38"/>
      <c r="M82" s="9"/>
      <c r="N82" s="9"/>
      <c r="O82" s="9"/>
      <c r="P82" s="38"/>
      <c r="Q82" s="9"/>
      <c r="R82" s="9"/>
      <c r="S82" s="9"/>
      <c r="T82" s="9"/>
      <c r="U82" s="9"/>
      <c r="V82" s="9"/>
      <c r="W82" s="9"/>
      <c r="X82" s="9"/>
      <c r="Y82" s="9"/>
      <c r="Z82" s="9"/>
      <c r="AA82" s="9"/>
      <c r="AB82" s="39"/>
      <c r="AC82" s="9"/>
      <c r="AD82" s="38"/>
      <c r="AE82" s="9"/>
      <c r="AF82" s="39"/>
      <c r="AG82" s="9"/>
      <c r="AH82" s="9"/>
      <c r="AI82" s="9"/>
      <c r="AJ82" s="9"/>
      <c r="AK82" s="9"/>
      <c r="AL82" s="9"/>
      <c r="AM82" s="9"/>
      <c r="AN82" s="10" t="str">
        <f aca="false">IF(A82="","",SG_Criteria!$B$6&amp;SG_Criteria!$B$7&amp;"\"&amp;A82&amp;"\")</f>
        <v/>
      </c>
      <c r="AO82" s="10" t="str">
        <f aca="false">IF(A82="","",A82&amp;"_CAD.dwg")</f>
        <v/>
      </c>
      <c r="AP82" s="10" t="str">
        <f aca="false">IF(A82="","",A82&amp;"_DWG.pdf")</f>
        <v/>
      </c>
      <c r="AQ82" s="10" t="str">
        <f aca="false">IF(A82="","",IF(AM82="Y",A82&amp;"_STAAD.std","n/a"))</f>
        <v/>
      </c>
      <c r="AR82" s="10" t="str">
        <f aca="false">IF(A82="","",A82&amp;"_CALC.xlsx")</f>
        <v/>
      </c>
      <c r="AS82" s="10" t="str">
        <f aca="false">IF(A82="","",A82&amp;"_CALC.pdf")</f>
        <v/>
      </c>
      <c r="AT82" s="9"/>
      <c r="AU82" s="9"/>
      <c r="AV82" s="39"/>
      <c r="AW82" s="39"/>
      <c r="AX82" s="39"/>
      <c r="AY82" s="39"/>
      <c r="AZ82" s="39"/>
      <c r="BA82" s="12" t="str">
        <f aca="false">IF(A82="","",IF(COUNTIF(Rebar_Schedule!$A$5:$A$2004,A82)=0,"",ROUND(SUMIF(Rebar_Schedule!$A$5:$A$2004,A82,Rebar_Schedule!$K$5:$K$2004),1)))</f>
        <v/>
      </c>
      <c r="BB82" s="33" t="str">
        <f aca="false">IF(A82="","",IF(BA82="","No rebar schedule yet",IF(ABS(BA82-N(AW82))/MAX(N(AW82),1)&gt;SG_Criteria!$B$55,"NOTE: register rebar differs from schedule by "&amp;TEXT(ABS(BA82-N(AW82))/MAX(N(AW82),1),"0%"),"OK")))</f>
        <v/>
      </c>
      <c r="BC82" s="34" t="str">
        <f aca="false">IF(OR(D82="",G82="",H82="",D82="Sump",D82="Drop Inlet Chamber",D82="Silt Trap",D82="Pipe Culvert",D82="Subsoil Drain"),"",ROUND(MAX(1,N(I82))*(1/SG_Criteria!$B$26)*((G82/1000)*(H82/1000*(1-SG_Criteria!$B$25)))*(((G82/1000)*(H82/1000*(1-SG_Criteria!$B$25)))/((G82/1000)+2*(H82/1000*(1-SG_Criteria!$B$25))))^(2/3)*(1/Design_Selector!$B$11)^0.5,3))</f>
        <v/>
      </c>
      <c r="BD82" s="11" t="str">
        <f aca="false">IF(BC82="","",ROUND(BC82/(MAX(1,N(I82))*G82/1000*(H82/1000*(1-SG_Criteria!$B$25))),2))</f>
        <v/>
      </c>
      <c r="BE82" s="33" t="str">
        <f aca="false">IF(D82="","",IF(LEN(IF(AND(OR(E82="Roadside drain",E82="Entrance culvert"),OR(G82&lt;SG_Criteria!$B$15,H82&lt;SG_Criteria!$B$16)),"FAIL: below PUB min "&amp;SG_Criteria!$B$15&amp;"x"&amp;SG_Criteria!$B$16&amp;" for roadside drain. ","")&amp;IF(AND(E82="Common drain",G82&lt;SG_Criteria!$B$17),"FAIL: common drain W &lt; "&amp;SG_Criteria!$B$17&amp;" mm. ","")&amp;IF(AND(O82&lt;&gt;"",IFERROR(VALUE(MID(O82,2,2)),0)&lt;SG_Criteria!$B$19),"FAIL: grade below C"&amp;SG_Criteria!$B$19&amp;". ","")&amp;IF(AND(P82&lt;&gt;"",P82&lt;SG_Criteria!$B$20),"FAIL: cover &lt; "&amp;SG_Criteria!$B$20&amp;" mm. ","")&amp;IF(AND(F82="Open",H82&gt;SG_Criteria!$B$18),"NOTE: safety railing required (D &gt; "&amp;SG_Criteria!$B$18&amp;" mm). ","")&amp;IF(AND(E82="Entrance culvert",H82&lt;600),"NOTE: check hinged grating rule for culverts &lt; 600 deep (PUB Add. 3). ",""))=0,"OK",IF(AND(OR(E82="Roadside drain",E82="Entrance culvert"),OR(G82&lt;SG_Criteria!$B$15,H82&lt;SG_Criteria!$B$16)),"FAIL: below PUB min "&amp;SG_Criteria!$B$15&amp;"x"&amp;SG_Criteria!$B$16&amp;" for roadside drain. ","")&amp;IF(AND(E82="Common drain",G82&lt;SG_Criteria!$B$17),"FAIL: common drain W &lt; "&amp;SG_Criteria!$B$17&amp;" mm. ","")&amp;IF(AND(O82&lt;&gt;"",IFERROR(VALUE(MID(O82,2,2)),0)&lt;SG_Criteria!$B$19),"FAIL: grade below C"&amp;SG_Criteria!$B$19&amp;". ","")&amp;IF(AND(P82&lt;&gt;"",P82&lt;SG_Criteria!$B$20),"FAIL: cover &lt; "&amp;SG_Criteria!$B$20&amp;" mm. ","")&amp;IF(AND(F82="Open",H82&gt;SG_Criteria!$B$18),"NOTE: safety railing required (D &gt; "&amp;SG_Criteria!$B$18&amp;" mm). ","")&amp;IF(AND(E82="Entrance culvert",H82&lt;600),"NOTE: check hinged grating rule for culverts &lt; 600 deep (PUB Add. 3). ","")))</f>
        <v/>
      </c>
      <c r="BF82" s="9"/>
      <c r="BG82" s="9"/>
      <c r="BH82" s="9"/>
      <c r="BI82" s="10" t="str">
        <f aca="false">IF(BH82="","",IFERROR(VLOOKUP(BH82,Projects!$A$5:$D$504,2,0),"Ref not in Projects"))</f>
        <v/>
      </c>
      <c r="BJ82" s="10" t="str">
        <f aca="false">IF(BH82="","",IFERROR(VLOOKUP(BH82,Projects!$A$5:$D$504,4,0),"Ref not in Projects"))</f>
        <v/>
      </c>
      <c r="BK82" s="9"/>
      <c r="BL82" s="9"/>
      <c r="BM82" s="9"/>
      <c r="BN82" s="40"/>
      <c r="BO82" s="9"/>
      <c r="BP82" s="40"/>
      <c r="BQ82" s="9"/>
      <c r="BR82" s="40"/>
      <c r="BS82" s="9"/>
      <c r="BT82" s="9"/>
      <c r="BU82" s="9"/>
      <c r="BV82" s="40"/>
      <c r="BW82" s="40"/>
      <c r="BX82" s="36" t="str">
        <f aca="false">IF(BW82="","",EDATE(BW82,SG_Criteria!$B$54*12))</f>
        <v/>
      </c>
      <c r="BY82" s="33" t="str">
        <f aca="true">IF(A82="","",IF(BW82="","NOTE: not reviewed yet",IF(TODAY()&gt;BX82,"NOTE: review overdue","OK")))</f>
        <v/>
      </c>
      <c r="BZ82" s="37" t="str">
        <f aca="false">IF(A82="","",ROUND((IF(LEN(D82)&gt;0,1,0)+IF(LEN(E82)&gt;0,1,0)+IF(LEN(F82)&gt;0,1,0)+IF(LEN(G82)&gt;0,1,0)+IF(LEN(H82)&gt;0,1,0)+IF(LEN(J82)&gt;0,1,0)+IF(LEN(K82)&gt;0,1,0)+IF(LEN(M82)&gt;0,1,0)+IF(LEN(O82)&gt;0,1,0)+IF(LEN(P82)&gt;0,1,0)+IF(LEN(Q82)&gt;0,1,0)+IF(LEN(S82)&gt;0,1,0)+IF(LEN(AC82)&gt;0,1,0)+IF(LEN(AV82)&gt;0,1,0)+IF(LEN(AW82)&gt;0,1,0)+IF(LEN(AG82)&gt;0,1,0)+IF(LEN(AI82)&gt;0,1,0)+IF(LEN(AJ82)&gt;0,1,0)+IF(LEN(AK82)&gt;0,1,0)+IF(LEN(AL82)&gt;0,1,0)+IF(LEN(AU82)&gt;0,1,0)+IF(LEN(BH82)&gt;0,1,0)+IF(LEN(BU82)&gt;0,1,0))/23,2))</f>
        <v/>
      </c>
      <c r="CA82" s="10" t="str">
        <f aca="false">IF(D82="","",IF(AND(AJ82="Approved",ISERROR(SEARCH("FAIL",BE82))),"Y","N"))</f>
        <v/>
      </c>
      <c r="CB82" s="10" t="str">
        <f aca="false">IF(D82="","",D82&amp;"|"&amp;G82&amp;"|"&amp;H82&amp;"|"&amp;M82&amp;"|"&amp;CA82)</f>
        <v/>
      </c>
    </row>
    <row r="83" customFormat="false" ht="15" hidden="false" customHeight="false" outlineLevel="0" collapsed="false">
      <c r="A83" s="10" t="str">
        <f aca="false">IF(D83="","","DRN-"&amp;IFERROR(VLOOKUP(D83,Lists!$A$4:$B$27,2,0),"??")&amp;"-"&amp;TEXT(G83,"0000")&amp;"x"&amp;TEXT(H83,"0000")&amp;IF(N(I83)&gt;1,"-"&amp;I83&amp;"C","")&amp;"-"&amp;IFERROR(VLOOKUP(M83,Lists!$J$4:$K$19,2,0),"??")&amp;"-"&amp;AI83)</f>
        <v/>
      </c>
      <c r="B83" s="10" t="str">
        <f aca="false">IF(D83="","",D83&amp;" "&amp;G83&amp;"W x "&amp;H83&amp;"D"&amp;IF(N(I83)&gt;1," ("&amp;I83&amp;" cells)","")&amp;", "&amp;E83&amp;", "&amp;M83&amp;", "&amp;F83)</f>
        <v/>
      </c>
      <c r="C83" s="9"/>
      <c r="D83" s="9"/>
      <c r="E83" s="9"/>
      <c r="F83" s="9"/>
      <c r="G83" s="38"/>
      <c r="H83" s="38"/>
      <c r="I83" s="38"/>
      <c r="J83" s="38"/>
      <c r="K83" s="38"/>
      <c r="L83" s="38"/>
      <c r="M83" s="9"/>
      <c r="N83" s="9"/>
      <c r="O83" s="9"/>
      <c r="P83" s="38"/>
      <c r="Q83" s="9"/>
      <c r="R83" s="9"/>
      <c r="S83" s="9"/>
      <c r="T83" s="9"/>
      <c r="U83" s="9"/>
      <c r="V83" s="9"/>
      <c r="W83" s="9"/>
      <c r="X83" s="9"/>
      <c r="Y83" s="9"/>
      <c r="Z83" s="9"/>
      <c r="AA83" s="9"/>
      <c r="AB83" s="39"/>
      <c r="AC83" s="9"/>
      <c r="AD83" s="38"/>
      <c r="AE83" s="9"/>
      <c r="AF83" s="39"/>
      <c r="AG83" s="9"/>
      <c r="AH83" s="9"/>
      <c r="AI83" s="9"/>
      <c r="AJ83" s="9"/>
      <c r="AK83" s="9"/>
      <c r="AL83" s="9"/>
      <c r="AM83" s="9"/>
      <c r="AN83" s="10" t="str">
        <f aca="false">IF(A83="","",SG_Criteria!$B$6&amp;SG_Criteria!$B$7&amp;"\"&amp;A83&amp;"\")</f>
        <v/>
      </c>
      <c r="AO83" s="10" t="str">
        <f aca="false">IF(A83="","",A83&amp;"_CAD.dwg")</f>
        <v/>
      </c>
      <c r="AP83" s="10" t="str">
        <f aca="false">IF(A83="","",A83&amp;"_DWG.pdf")</f>
        <v/>
      </c>
      <c r="AQ83" s="10" t="str">
        <f aca="false">IF(A83="","",IF(AM83="Y",A83&amp;"_STAAD.std","n/a"))</f>
        <v/>
      </c>
      <c r="AR83" s="10" t="str">
        <f aca="false">IF(A83="","",A83&amp;"_CALC.xlsx")</f>
        <v/>
      </c>
      <c r="AS83" s="10" t="str">
        <f aca="false">IF(A83="","",A83&amp;"_CALC.pdf")</f>
        <v/>
      </c>
      <c r="AT83" s="9"/>
      <c r="AU83" s="9"/>
      <c r="AV83" s="39"/>
      <c r="AW83" s="39"/>
      <c r="AX83" s="39"/>
      <c r="AY83" s="39"/>
      <c r="AZ83" s="39"/>
      <c r="BA83" s="12" t="str">
        <f aca="false">IF(A83="","",IF(COUNTIF(Rebar_Schedule!$A$5:$A$2004,A83)=0,"",ROUND(SUMIF(Rebar_Schedule!$A$5:$A$2004,A83,Rebar_Schedule!$K$5:$K$2004),1)))</f>
        <v/>
      </c>
      <c r="BB83" s="33" t="str">
        <f aca="false">IF(A83="","",IF(BA83="","No rebar schedule yet",IF(ABS(BA83-N(AW83))/MAX(N(AW83),1)&gt;SG_Criteria!$B$55,"NOTE: register rebar differs from schedule by "&amp;TEXT(ABS(BA83-N(AW83))/MAX(N(AW83),1),"0%"),"OK")))</f>
        <v/>
      </c>
      <c r="BC83" s="34" t="str">
        <f aca="false">IF(OR(D83="",G83="",H83="",D83="Sump",D83="Drop Inlet Chamber",D83="Silt Trap",D83="Pipe Culvert",D83="Subsoil Drain"),"",ROUND(MAX(1,N(I83))*(1/SG_Criteria!$B$26)*((G83/1000)*(H83/1000*(1-SG_Criteria!$B$25)))*(((G83/1000)*(H83/1000*(1-SG_Criteria!$B$25)))/((G83/1000)+2*(H83/1000*(1-SG_Criteria!$B$25))))^(2/3)*(1/Design_Selector!$B$11)^0.5,3))</f>
        <v/>
      </c>
      <c r="BD83" s="11" t="str">
        <f aca="false">IF(BC83="","",ROUND(BC83/(MAX(1,N(I83))*G83/1000*(H83/1000*(1-SG_Criteria!$B$25))),2))</f>
        <v/>
      </c>
      <c r="BE83" s="33" t="str">
        <f aca="false">IF(D83="","",IF(LEN(IF(AND(OR(E83="Roadside drain",E83="Entrance culvert"),OR(G83&lt;SG_Criteria!$B$15,H83&lt;SG_Criteria!$B$16)),"FAIL: below PUB min "&amp;SG_Criteria!$B$15&amp;"x"&amp;SG_Criteria!$B$16&amp;" for roadside drain. ","")&amp;IF(AND(E83="Common drain",G83&lt;SG_Criteria!$B$17),"FAIL: common drain W &lt; "&amp;SG_Criteria!$B$17&amp;" mm. ","")&amp;IF(AND(O83&lt;&gt;"",IFERROR(VALUE(MID(O83,2,2)),0)&lt;SG_Criteria!$B$19),"FAIL: grade below C"&amp;SG_Criteria!$B$19&amp;". ","")&amp;IF(AND(P83&lt;&gt;"",P83&lt;SG_Criteria!$B$20),"FAIL: cover &lt; "&amp;SG_Criteria!$B$20&amp;" mm. ","")&amp;IF(AND(F83="Open",H83&gt;SG_Criteria!$B$18),"NOTE: safety railing required (D &gt; "&amp;SG_Criteria!$B$18&amp;" mm). ","")&amp;IF(AND(E83="Entrance culvert",H83&lt;600),"NOTE: check hinged grating rule for culverts &lt; 600 deep (PUB Add. 3). ",""))=0,"OK",IF(AND(OR(E83="Roadside drain",E83="Entrance culvert"),OR(G83&lt;SG_Criteria!$B$15,H83&lt;SG_Criteria!$B$16)),"FAIL: below PUB min "&amp;SG_Criteria!$B$15&amp;"x"&amp;SG_Criteria!$B$16&amp;" for roadside drain. ","")&amp;IF(AND(E83="Common drain",G83&lt;SG_Criteria!$B$17),"FAIL: common drain W &lt; "&amp;SG_Criteria!$B$17&amp;" mm. ","")&amp;IF(AND(O83&lt;&gt;"",IFERROR(VALUE(MID(O83,2,2)),0)&lt;SG_Criteria!$B$19),"FAIL: grade below C"&amp;SG_Criteria!$B$19&amp;". ","")&amp;IF(AND(P83&lt;&gt;"",P83&lt;SG_Criteria!$B$20),"FAIL: cover &lt; "&amp;SG_Criteria!$B$20&amp;" mm. ","")&amp;IF(AND(F83="Open",H83&gt;SG_Criteria!$B$18),"NOTE: safety railing required (D &gt; "&amp;SG_Criteria!$B$18&amp;" mm). ","")&amp;IF(AND(E83="Entrance culvert",H83&lt;600),"NOTE: check hinged grating rule for culverts &lt; 600 deep (PUB Add. 3). ","")))</f>
        <v/>
      </c>
      <c r="BF83" s="9"/>
      <c r="BG83" s="9"/>
      <c r="BH83" s="9"/>
      <c r="BI83" s="10" t="str">
        <f aca="false">IF(BH83="","",IFERROR(VLOOKUP(BH83,Projects!$A$5:$D$504,2,0),"Ref not in Projects"))</f>
        <v/>
      </c>
      <c r="BJ83" s="10" t="str">
        <f aca="false">IF(BH83="","",IFERROR(VLOOKUP(BH83,Projects!$A$5:$D$504,4,0),"Ref not in Projects"))</f>
        <v/>
      </c>
      <c r="BK83" s="9"/>
      <c r="BL83" s="9"/>
      <c r="BM83" s="9"/>
      <c r="BN83" s="40"/>
      <c r="BO83" s="9"/>
      <c r="BP83" s="40"/>
      <c r="BQ83" s="9"/>
      <c r="BR83" s="40"/>
      <c r="BS83" s="9"/>
      <c r="BT83" s="9"/>
      <c r="BU83" s="9"/>
      <c r="BV83" s="40"/>
      <c r="BW83" s="40"/>
      <c r="BX83" s="36" t="str">
        <f aca="false">IF(BW83="","",EDATE(BW83,SG_Criteria!$B$54*12))</f>
        <v/>
      </c>
      <c r="BY83" s="33" t="str">
        <f aca="true">IF(A83="","",IF(BW83="","NOTE: not reviewed yet",IF(TODAY()&gt;BX83,"NOTE: review overdue","OK")))</f>
        <v/>
      </c>
      <c r="BZ83" s="37" t="str">
        <f aca="false">IF(A83="","",ROUND((IF(LEN(D83)&gt;0,1,0)+IF(LEN(E83)&gt;0,1,0)+IF(LEN(F83)&gt;0,1,0)+IF(LEN(G83)&gt;0,1,0)+IF(LEN(H83)&gt;0,1,0)+IF(LEN(J83)&gt;0,1,0)+IF(LEN(K83)&gt;0,1,0)+IF(LEN(M83)&gt;0,1,0)+IF(LEN(O83)&gt;0,1,0)+IF(LEN(P83)&gt;0,1,0)+IF(LEN(Q83)&gt;0,1,0)+IF(LEN(S83)&gt;0,1,0)+IF(LEN(AC83)&gt;0,1,0)+IF(LEN(AV83)&gt;0,1,0)+IF(LEN(AW83)&gt;0,1,0)+IF(LEN(AG83)&gt;0,1,0)+IF(LEN(AI83)&gt;0,1,0)+IF(LEN(AJ83)&gt;0,1,0)+IF(LEN(AK83)&gt;0,1,0)+IF(LEN(AL83)&gt;0,1,0)+IF(LEN(AU83)&gt;0,1,0)+IF(LEN(BH83)&gt;0,1,0)+IF(LEN(BU83)&gt;0,1,0))/23,2))</f>
        <v/>
      </c>
      <c r="CA83" s="10" t="str">
        <f aca="false">IF(D83="","",IF(AND(AJ83="Approved",ISERROR(SEARCH("FAIL",BE83))),"Y","N"))</f>
        <v/>
      </c>
      <c r="CB83" s="10" t="str">
        <f aca="false">IF(D83="","",D83&amp;"|"&amp;G83&amp;"|"&amp;H83&amp;"|"&amp;M83&amp;"|"&amp;CA83)</f>
        <v/>
      </c>
    </row>
    <row r="84" customFormat="false" ht="15" hidden="false" customHeight="false" outlineLevel="0" collapsed="false">
      <c r="A84" s="10" t="str">
        <f aca="false">IF(D84="","","DRN-"&amp;IFERROR(VLOOKUP(D84,Lists!$A$4:$B$27,2,0),"??")&amp;"-"&amp;TEXT(G84,"0000")&amp;"x"&amp;TEXT(H84,"0000")&amp;IF(N(I84)&gt;1,"-"&amp;I84&amp;"C","")&amp;"-"&amp;IFERROR(VLOOKUP(M84,Lists!$J$4:$K$19,2,0),"??")&amp;"-"&amp;AI84)</f>
        <v/>
      </c>
      <c r="B84" s="10" t="str">
        <f aca="false">IF(D84="","",D84&amp;" "&amp;G84&amp;"W x "&amp;H84&amp;"D"&amp;IF(N(I84)&gt;1," ("&amp;I84&amp;" cells)","")&amp;", "&amp;E84&amp;", "&amp;M84&amp;", "&amp;F84)</f>
        <v/>
      </c>
      <c r="C84" s="9"/>
      <c r="D84" s="9"/>
      <c r="E84" s="9"/>
      <c r="F84" s="9"/>
      <c r="G84" s="38"/>
      <c r="H84" s="38"/>
      <c r="I84" s="38"/>
      <c r="J84" s="38"/>
      <c r="K84" s="38"/>
      <c r="L84" s="38"/>
      <c r="M84" s="9"/>
      <c r="N84" s="9"/>
      <c r="O84" s="9"/>
      <c r="P84" s="38"/>
      <c r="Q84" s="9"/>
      <c r="R84" s="9"/>
      <c r="S84" s="9"/>
      <c r="T84" s="9"/>
      <c r="U84" s="9"/>
      <c r="V84" s="9"/>
      <c r="W84" s="9"/>
      <c r="X84" s="9"/>
      <c r="Y84" s="9"/>
      <c r="Z84" s="9"/>
      <c r="AA84" s="9"/>
      <c r="AB84" s="39"/>
      <c r="AC84" s="9"/>
      <c r="AD84" s="38"/>
      <c r="AE84" s="9"/>
      <c r="AF84" s="39"/>
      <c r="AG84" s="9"/>
      <c r="AH84" s="9"/>
      <c r="AI84" s="9"/>
      <c r="AJ84" s="9"/>
      <c r="AK84" s="9"/>
      <c r="AL84" s="9"/>
      <c r="AM84" s="9"/>
      <c r="AN84" s="10" t="str">
        <f aca="false">IF(A84="","",SG_Criteria!$B$6&amp;SG_Criteria!$B$7&amp;"\"&amp;A84&amp;"\")</f>
        <v/>
      </c>
      <c r="AO84" s="10" t="str">
        <f aca="false">IF(A84="","",A84&amp;"_CAD.dwg")</f>
        <v/>
      </c>
      <c r="AP84" s="10" t="str">
        <f aca="false">IF(A84="","",A84&amp;"_DWG.pdf")</f>
        <v/>
      </c>
      <c r="AQ84" s="10" t="str">
        <f aca="false">IF(A84="","",IF(AM84="Y",A84&amp;"_STAAD.std","n/a"))</f>
        <v/>
      </c>
      <c r="AR84" s="10" t="str">
        <f aca="false">IF(A84="","",A84&amp;"_CALC.xlsx")</f>
        <v/>
      </c>
      <c r="AS84" s="10" t="str">
        <f aca="false">IF(A84="","",A84&amp;"_CALC.pdf")</f>
        <v/>
      </c>
      <c r="AT84" s="9"/>
      <c r="AU84" s="9"/>
      <c r="AV84" s="39"/>
      <c r="AW84" s="39"/>
      <c r="AX84" s="39"/>
      <c r="AY84" s="39"/>
      <c r="AZ84" s="39"/>
      <c r="BA84" s="12" t="str">
        <f aca="false">IF(A84="","",IF(COUNTIF(Rebar_Schedule!$A$5:$A$2004,A84)=0,"",ROUND(SUMIF(Rebar_Schedule!$A$5:$A$2004,A84,Rebar_Schedule!$K$5:$K$2004),1)))</f>
        <v/>
      </c>
      <c r="BB84" s="33" t="str">
        <f aca="false">IF(A84="","",IF(BA84="","No rebar schedule yet",IF(ABS(BA84-N(AW84))/MAX(N(AW84),1)&gt;SG_Criteria!$B$55,"NOTE: register rebar differs from schedule by "&amp;TEXT(ABS(BA84-N(AW84))/MAX(N(AW84),1),"0%"),"OK")))</f>
        <v/>
      </c>
      <c r="BC84" s="34" t="str">
        <f aca="false">IF(OR(D84="",G84="",H84="",D84="Sump",D84="Drop Inlet Chamber",D84="Silt Trap",D84="Pipe Culvert",D84="Subsoil Drain"),"",ROUND(MAX(1,N(I84))*(1/SG_Criteria!$B$26)*((G84/1000)*(H84/1000*(1-SG_Criteria!$B$25)))*(((G84/1000)*(H84/1000*(1-SG_Criteria!$B$25)))/((G84/1000)+2*(H84/1000*(1-SG_Criteria!$B$25))))^(2/3)*(1/Design_Selector!$B$11)^0.5,3))</f>
        <v/>
      </c>
      <c r="BD84" s="11" t="str">
        <f aca="false">IF(BC84="","",ROUND(BC84/(MAX(1,N(I84))*G84/1000*(H84/1000*(1-SG_Criteria!$B$25))),2))</f>
        <v/>
      </c>
      <c r="BE84" s="33" t="str">
        <f aca="false">IF(D84="","",IF(LEN(IF(AND(OR(E84="Roadside drain",E84="Entrance culvert"),OR(G84&lt;SG_Criteria!$B$15,H84&lt;SG_Criteria!$B$16)),"FAIL: below PUB min "&amp;SG_Criteria!$B$15&amp;"x"&amp;SG_Criteria!$B$16&amp;" for roadside drain. ","")&amp;IF(AND(E84="Common drain",G84&lt;SG_Criteria!$B$17),"FAIL: common drain W &lt; "&amp;SG_Criteria!$B$17&amp;" mm. ","")&amp;IF(AND(O84&lt;&gt;"",IFERROR(VALUE(MID(O84,2,2)),0)&lt;SG_Criteria!$B$19),"FAIL: grade below C"&amp;SG_Criteria!$B$19&amp;". ","")&amp;IF(AND(P84&lt;&gt;"",P84&lt;SG_Criteria!$B$20),"FAIL: cover &lt; "&amp;SG_Criteria!$B$20&amp;" mm. ","")&amp;IF(AND(F84="Open",H84&gt;SG_Criteria!$B$18),"NOTE: safety railing required (D &gt; "&amp;SG_Criteria!$B$18&amp;" mm). ","")&amp;IF(AND(E84="Entrance culvert",H84&lt;600),"NOTE: check hinged grating rule for culverts &lt; 600 deep (PUB Add. 3). ",""))=0,"OK",IF(AND(OR(E84="Roadside drain",E84="Entrance culvert"),OR(G84&lt;SG_Criteria!$B$15,H84&lt;SG_Criteria!$B$16)),"FAIL: below PUB min "&amp;SG_Criteria!$B$15&amp;"x"&amp;SG_Criteria!$B$16&amp;" for roadside drain. ","")&amp;IF(AND(E84="Common drain",G84&lt;SG_Criteria!$B$17),"FAIL: common drain W &lt; "&amp;SG_Criteria!$B$17&amp;" mm. ","")&amp;IF(AND(O84&lt;&gt;"",IFERROR(VALUE(MID(O84,2,2)),0)&lt;SG_Criteria!$B$19),"FAIL: grade below C"&amp;SG_Criteria!$B$19&amp;". ","")&amp;IF(AND(P84&lt;&gt;"",P84&lt;SG_Criteria!$B$20),"FAIL: cover &lt; "&amp;SG_Criteria!$B$20&amp;" mm. ","")&amp;IF(AND(F84="Open",H84&gt;SG_Criteria!$B$18),"NOTE: safety railing required (D &gt; "&amp;SG_Criteria!$B$18&amp;" mm). ","")&amp;IF(AND(E84="Entrance culvert",H84&lt;600),"NOTE: check hinged grating rule for culverts &lt; 600 deep (PUB Add. 3). ","")))</f>
        <v/>
      </c>
      <c r="BF84" s="9"/>
      <c r="BG84" s="9"/>
      <c r="BH84" s="9"/>
      <c r="BI84" s="10" t="str">
        <f aca="false">IF(BH84="","",IFERROR(VLOOKUP(BH84,Projects!$A$5:$D$504,2,0),"Ref not in Projects"))</f>
        <v/>
      </c>
      <c r="BJ84" s="10" t="str">
        <f aca="false">IF(BH84="","",IFERROR(VLOOKUP(BH84,Projects!$A$5:$D$504,4,0),"Ref not in Projects"))</f>
        <v/>
      </c>
      <c r="BK84" s="9"/>
      <c r="BL84" s="9"/>
      <c r="BM84" s="9"/>
      <c r="BN84" s="40"/>
      <c r="BO84" s="9"/>
      <c r="BP84" s="40"/>
      <c r="BQ84" s="9"/>
      <c r="BR84" s="40"/>
      <c r="BS84" s="9"/>
      <c r="BT84" s="9"/>
      <c r="BU84" s="9"/>
      <c r="BV84" s="40"/>
      <c r="BW84" s="40"/>
      <c r="BX84" s="36" t="str">
        <f aca="false">IF(BW84="","",EDATE(BW84,SG_Criteria!$B$54*12))</f>
        <v/>
      </c>
      <c r="BY84" s="33" t="str">
        <f aca="true">IF(A84="","",IF(BW84="","NOTE: not reviewed yet",IF(TODAY()&gt;BX84,"NOTE: review overdue","OK")))</f>
        <v/>
      </c>
      <c r="BZ84" s="37" t="str">
        <f aca="false">IF(A84="","",ROUND((IF(LEN(D84)&gt;0,1,0)+IF(LEN(E84)&gt;0,1,0)+IF(LEN(F84)&gt;0,1,0)+IF(LEN(G84)&gt;0,1,0)+IF(LEN(H84)&gt;0,1,0)+IF(LEN(J84)&gt;0,1,0)+IF(LEN(K84)&gt;0,1,0)+IF(LEN(M84)&gt;0,1,0)+IF(LEN(O84)&gt;0,1,0)+IF(LEN(P84)&gt;0,1,0)+IF(LEN(Q84)&gt;0,1,0)+IF(LEN(S84)&gt;0,1,0)+IF(LEN(AC84)&gt;0,1,0)+IF(LEN(AV84)&gt;0,1,0)+IF(LEN(AW84)&gt;0,1,0)+IF(LEN(AG84)&gt;0,1,0)+IF(LEN(AI84)&gt;0,1,0)+IF(LEN(AJ84)&gt;0,1,0)+IF(LEN(AK84)&gt;0,1,0)+IF(LEN(AL84)&gt;0,1,0)+IF(LEN(AU84)&gt;0,1,0)+IF(LEN(BH84)&gt;0,1,0)+IF(LEN(BU84)&gt;0,1,0))/23,2))</f>
        <v/>
      </c>
      <c r="CA84" s="10" t="str">
        <f aca="false">IF(D84="","",IF(AND(AJ84="Approved",ISERROR(SEARCH("FAIL",BE84))),"Y","N"))</f>
        <v/>
      </c>
      <c r="CB84" s="10" t="str">
        <f aca="false">IF(D84="","",D84&amp;"|"&amp;G84&amp;"|"&amp;H84&amp;"|"&amp;M84&amp;"|"&amp;CA84)</f>
        <v/>
      </c>
    </row>
    <row r="85" customFormat="false" ht="15" hidden="false" customHeight="false" outlineLevel="0" collapsed="false">
      <c r="A85" s="10" t="str">
        <f aca="false">IF(D85="","","DRN-"&amp;IFERROR(VLOOKUP(D85,Lists!$A$4:$B$27,2,0),"??")&amp;"-"&amp;TEXT(G85,"0000")&amp;"x"&amp;TEXT(H85,"0000")&amp;IF(N(I85)&gt;1,"-"&amp;I85&amp;"C","")&amp;"-"&amp;IFERROR(VLOOKUP(M85,Lists!$J$4:$K$19,2,0),"??")&amp;"-"&amp;AI85)</f>
        <v/>
      </c>
      <c r="B85" s="10" t="str">
        <f aca="false">IF(D85="","",D85&amp;" "&amp;G85&amp;"W x "&amp;H85&amp;"D"&amp;IF(N(I85)&gt;1," ("&amp;I85&amp;" cells)","")&amp;", "&amp;E85&amp;", "&amp;M85&amp;", "&amp;F85)</f>
        <v/>
      </c>
      <c r="C85" s="9"/>
      <c r="D85" s="9"/>
      <c r="E85" s="9"/>
      <c r="F85" s="9"/>
      <c r="G85" s="38"/>
      <c r="H85" s="38"/>
      <c r="I85" s="38"/>
      <c r="J85" s="38"/>
      <c r="K85" s="38"/>
      <c r="L85" s="38"/>
      <c r="M85" s="9"/>
      <c r="N85" s="9"/>
      <c r="O85" s="9"/>
      <c r="P85" s="38"/>
      <c r="Q85" s="9"/>
      <c r="R85" s="9"/>
      <c r="S85" s="9"/>
      <c r="T85" s="9"/>
      <c r="U85" s="9"/>
      <c r="V85" s="9"/>
      <c r="W85" s="9"/>
      <c r="X85" s="9"/>
      <c r="Y85" s="9"/>
      <c r="Z85" s="9"/>
      <c r="AA85" s="9"/>
      <c r="AB85" s="39"/>
      <c r="AC85" s="9"/>
      <c r="AD85" s="38"/>
      <c r="AE85" s="9"/>
      <c r="AF85" s="39"/>
      <c r="AG85" s="9"/>
      <c r="AH85" s="9"/>
      <c r="AI85" s="9"/>
      <c r="AJ85" s="9"/>
      <c r="AK85" s="9"/>
      <c r="AL85" s="9"/>
      <c r="AM85" s="9"/>
      <c r="AN85" s="10" t="str">
        <f aca="false">IF(A85="","",SG_Criteria!$B$6&amp;SG_Criteria!$B$7&amp;"\"&amp;A85&amp;"\")</f>
        <v/>
      </c>
      <c r="AO85" s="10" t="str">
        <f aca="false">IF(A85="","",A85&amp;"_CAD.dwg")</f>
        <v/>
      </c>
      <c r="AP85" s="10" t="str">
        <f aca="false">IF(A85="","",A85&amp;"_DWG.pdf")</f>
        <v/>
      </c>
      <c r="AQ85" s="10" t="str">
        <f aca="false">IF(A85="","",IF(AM85="Y",A85&amp;"_STAAD.std","n/a"))</f>
        <v/>
      </c>
      <c r="AR85" s="10" t="str">
        <f aca="false">IF(A85="","",A85&amp;"_CALC.xlsx")</f>
        <v/>
      </c>
      <c r="AS85" s="10" t="str">
        <f aca="false">IF(A85="","",A85&amp;"_CALC.pdf")</f>
        <v/>
      </c>
      <c r="AT85" s="9"/>
      <c r="AU85" s="9"/>
      <c r="AV85" s="39"/>
      <c r="AW85" s="39"/>
      <c r="AX85" s="39"/>
      <c r="AY85" s="39"/>
      <c r="AZ85" s="39"/>
      <c r="BA85" s="12" t="str">
        <f aca="false">IF(A85="","",IF(COUNTIF(Rebar_Schedule!$A$5:$A$2004,A85)=0,"",ROUND(SUMIF(Rebar_Schedule!$A$5:$A$2004,A85,Rebar_Schedule!$K$5:$K$2004),1)))</f>
        <v/>
      </c>
      <c r="BB85" s="33" t="str">
        <f aca="false">IF(A85="","",IF(BA85="","No rebar schedule yet",IF(ABS(BA85-N(AW85))/MAX(N(AW85),1)&gt;SG_Criteria!$B$55,"NOTE: register rebar differs from schedule by "&amp;TEXT(ABS(BA85-N(AW85))/MAX(N(AW85),1),"0%"),"OK")))</f>
        <v/>
      </c>
      <c r="BC85" s="34" t="str">
        <f aca="false">IF(OR(D85="",G85="",H85="",D85="Sump",D85="Drop Inlet Chamber",D85="Silt Trap",D85="Pipe Culvert",D85="Subsoil Drain"),"",ROUND(MAX(1,N(I85))*(1/SG_Criteria!$B$26)*((G85/1000)*(H85/1000*(1-SG_Criteria!$B$25)))*(((G85/1000)*(H85/1000*(1-SG_Criteria!$B$25)))/((G85/1000)+2*(H85/1000*(1-SG_Criteria!$B$25))))^(2/3)*(1/Design_Selector!$B$11)^0.5,3))</f>
        <v/>
      </c>
      <c r="BD85" s="11" t="str">
        <f aca="false">IF(BC85="","",ROUND(BC85/(MAX(1,N(I85))*G85/1000*(H85/1000*(1-SG_Criteria!$B$25))),2))</f>
        <v/>
      </c>
      <c r="BE85" s="33" t="str">
        <f aca="false">IF(D85="","",IF(LEN(IF(AND(OR(E85="Roadside drain",E85="Entrance culvert"),OR(G85&lt;SG_Criteria!$B$15,H85&lt;SG_Criteria!$B$16)),"FAIL: below PUB min "&amp;SG_Criteria!$B$15&amp;"x"&amp;SG_Criteria!$B$16&amp;" for roadside drain. ","")&amp;IF(AND(E85="Common drain",G85&lt;SG_Criteria!$B$17),"FAIL: common drain W &lt; "&amp;SG_Criteria!$B$17&amp;" mm. ","")&amp;IF(AND(O85&lt;&gt;"",IFERROR(VALUE(MID(O85,2,2)),0)&lt;SG_Criteria!$B$19),"FAIL: grade below C"&amp;SG_Criteria!$B$19&amp;". ","")&amp;IF(AND(P85&lt;&gt;"",P85&lt;SG_Criteria!$B$20),"FAIL: cover &lt; "&amp;SG_Criteria!$B$20&amp;" mm. ","")&amp;IF(AND(F85="Open",H85&gt;SG_Criteria!$B$18),"NOTE: safety railing required (D &gt; "&amp;SG_Criteria!$B$18&amp;" mm). ","")&amp;IF(AND(E85="Entrance culvert",H85&lt;600),"NOTE: check hinged grating rule for culverts &lt; 600 deep (PUB Add. 3). ",""))=0,"OK",IF(AND(OR(E85="Roadside drain",E85="Entrance culvert"),OR(G85&lt;SG_Criteria!$B$15,H85&lt;SG_Criteria!$B$16)),"FAIL: below PUB min "&amp;SG_Criteria!$B$15&amp;"x"&amp;SG_Criteria!$B$16&amp;" for roadside drain. ","")&amp;IF(AND(E85="Common drain",G85&lt;SG_Criteria!$B$17),"FAIL: common drain W &lt; "&amp;SG_Criteria!$B$17&amp;" mm. ","")&amp;IF(AND(O85&lt;&gt;"",IFERROR(VALUE(MID(O85,2,2)),0)&lt;SG_Criteria!$B$19),"FAIL: grade below C"&amp;SG_Criteria!$B$19&amp;". ","")&amp;IF(AND(P85&lt;&gt;"",P85&lt;SG_Criteria!$B$20),"FAIL: cover &lt; "&amp;SG_Criteria!$B$20&amp;" mm. ","")&amp;IF(AND(F85="Open",H85&gt;SG_Criteria!$B$18),"NOTE: safety railing required (D &gt; "&amp;SG_Criteria!$B$18&amp;" mm). ","")&amp;IF(AND(E85="Entrance culvert",H85&lt;600),"NOTE: check hinged grating rule for culverts &lt; 600 deep (PUB Add. 3). ","")))</f>
        <v/>
      </c>
      <c r="BF85" s="9"/>
      <c r="BG85" s="9"/>
      <c r="BH85" s="9"/>
      <c r="BI85" s="10" t="str">
        <f aca="false">IF(BH85="","",IFERROR(VLOOKUP(BH85,Projects!$A$5:$D$504,2,0),"Ref not in Projects"))</f>
        <v/>
      </c>
      <c r="BJ85" s="10" t="str">
        <f aca="false">IF(BH85="","",IFERROR(VLOOKUP(BH85,Projects!$A$5:$D$504,4,0),"Ref not in Projects"))</f>
        <v/>
      </c>
      <c r="BK85" s="9"/>
      <c r="BL85" s="9"/>
      <c r="BM85" s="9"/>
      <c r="BN85" s="40"/>
      <c r="BO85" s="9"/>
      <c r="BP85" s="40"/>
      <c r="BQ85" s="9"/>
      <c r="BR85" s="40"/>
      <c r="BS85" s="9"/>
      <c r="BT85" s="9"/>
      <c r="BU85" s="9"/>
      <c r="BV85" s="40"/>
      <c r="BW85" s="40"/>
      <c r="BX85" s="36" t="str">
        <f aca="false">IF(BW85="","",EDATE(BW85,SG_Criteria!$B$54*12))</f>
        <v/>
      </c>
      <c r="BY85" s="33" t="str">
        <f aca="true">IF(A85="","",IF(BW85="","NOTE: not reviewed yet",IF(TODAY()&gt;BX85,"NOTE: review overdue","OK")))</f>
        <v/>
      </c>
      <c r="BZ85" s="37" t="str">
        <f aca="false">IF(A85="","",ROUND((IF(LEN(D85)&gt;0,1,0)+IF(LEN(E85)&gt;0,1,0)+IF(LEN(F85)&gt;0,1,0)+IF(LEN(G85)&gt;0,1,0)+IF(LEN(H85)&gt;0,1,0)+IF(LEN(J85)&gt;0,1,0)+IF(LEN(K85)&gt;0,1,0)+IF(LEN(M85)&gt;0,1,0)+IF(LEN(O85)&gt;0,1,0)+IF(LEN(P85)&gt;0,1,0)+IF(LEN(Q85)&gt;0,1,0)+IF(LEN(S85)&gt;0,1,0)+IF(LEN(AC85)&gt;0,1,0)+IF(LEN(AV85)&gt;0,1,0)+IF(LEN(AW85)&gt;0,1,0)+IF(LEN(AG85)&gt;0,1,0)+IF(LEN(AI85)&gt;0,1,0)+IF(LEN(AJ85)&gt;0,1,0)+IF(LEN(AK85)&gt;0,1,0)+IF(LEN(AL85)&gt;0,1,0)+IF(LEN(AU85)&gt;0,1,0)+IF(LEN(BH85)&gt;0,1,0)+IF(LEN(BU85)&gt;0,1,0))/23,2))</f>
        <v/>
      </c>
      <c r="CA85" s="10" t="str">
        <f aca="false">IF(D85="","",IF(AND(AJ85="Approved",ISERROR(SEARCH("FAIL",BE85))),"Y","N"))</f>
        <v/>
      </c>
      <c r="CB85" s="10" t="str">
        <f aca="false">IF(D85="","",D85&amp;"|"&amp;G85&amp;"|"&amp;H85&amp;"|"&amp;M85&amp;"|"&amp;CA85)</f>
        <v/>
      </c>
    </row>
    <row r="86" customFormat="false" ht="15" hidden="false" customHeight="false" outlineLevel="0" collapsed="false">
      <c r="A86" s="10" t="str">
        <f aca="false">IF(D86="","","DRN-"&amp;IFERROR(VLOOKUP(D86,Lists!$A$4:$B$27,2,0),"??")&amp;"-"&amp;TEXT(G86,"0000")&amp;"x"&amp;TEXT(H86,"0000")&amp;IF(N(I86)&gt;1,"-"&amp;I86&amp;"C","")&amp;"-"&amp;IFERROR(VLOOKUP(M86,Lists!$J$4:$K$19,2,0),"??")&amp;"-"&amp;AI86)</f>
        <v/>
      </c>
      <c r="B86" s="10" t="str">
        <f aca="false">IF(D86="","",D86&amp;" "&amp;G86&amp;"W x "&amp;H86&amp;"D"&amp;IF(N(I86)&gt;1," ("&amp;I86&amp;" cells)","")&amp;", "&amp;E86&amp;", "&amp;M86&amp;", "&amp;F86)</f>
        <v/>
      </c>
      <c r="C86" s="9"/>
      <c r="D86" s="9"/>
      <c r="E86" s="9"/>
      <c r="F86" s="9"/>
      <c r="G86" s="38"/>
      <c r="H86" s="38"/>
      <c r="I86" s="38"/>
      <c r="J86" s="38"/>
      <c r="K86" s="38"/>
      <c r="L86" s="38"/>
      <c r="M86" s="9"/>
      <c r="N86" s="9"/>
      <c r="O86" s="9"/>
      <c r="P86" s="38"/>
      <c r="Q86" s="9"/>
      <c r="R86" s="9"/>
      <c r="S86" s="9"/>
      <c r="T86" s="9"/>
      <c r="U86" s="9"/>
      <c r="V86" s="9"/>
      <c r="W86" s="9"/>
      <c r="X86" s="9"/>
      <c r="Y86" s="9"/>
      <c r="Z86" s="9"/>
      <c r="AA86" s="9"/>
      <c r="AB86" s="39"/>
      <c r="AC86" s="9"/>
      <c r="AD86" s="38"/>
      <c r="AE86" s="9"/>
      <c r="AF86" s="39"/>
      <c r="AG86" s="9"/>
      <c r="AH86" s="9"/>
      <c r="AI86" s="9"/>
      <c r="AJ86" s="9"/>
      <c r="AK86" s="9"/>
      <c r="AL86" s="9"/>
      <c r="AM86" s="9"/>
      <c r="AN86" s="10" t="str">
        <f aca="false">IF(A86="","",SG_Criteria!$B$6&amp;SG_Criteria!$B$7&amp;"\"&amp;A86&amp;"\")</f>
        <v/>
      </c>
      <c r="AO86" s="10" t="str">
        <f aca="false">IF(A86="","",A86&amp;"_CAD.dwg")</f>
        <v/>
      </c>
      <c r="AP86" s="10" t="str">
        <f aca="false">IF(A86="","",A86&amp;"_DWG.pdf")</f>
        <v/>
      </c>
      <c r="AQ86" s="10" t="str">
        <f aca="false">IF(A86="","",IF(AM86="Y",A86&amp;"_STAAD.std","n/a"))</f>
        <v/>
      </c>
      <c r="AR86" s="10" t="str">
        <f aca="false">IF(A86="","",A86&amp;"_CALC.xlsx")</f>
        <v/>
      </c>
      <c r="AS86" s="10" t="str">
        <f aca="false">IF(A86="","",A86&amp;"_CALC.pdf")</f>
        <v/>
      </c>
      <c r="AT86" s="9"/>
      <c r="AU86" s="9"/>
      <c r="AV86" s="39"/>
      <c r="AW86" s="39"/>
      <c r="AX86" s="39"/>
      <c r="AY86" s="39"/>
      <c r="AZ86" s="39"/>
      <c r="BA86" s="12" t="str">
        <f aca="false">IF(A86="","",IF(COUNTIF(Rebar_Schedule!$A$5:$A$2004,A86)=0,"",ROUND(SUMIF(Rebar_Schedule!$A$5:$A$2004,A86,Rebar_Schedule!$K$5:$K$2004),1)))</f>
        <v/>
      </c>
      <c r="BB86" s="33" t="str">
        <f aca="false">IF(A86="","",IF(BA86="","No rebar schedule yet",IF(ABS(BA86-N(AW86))/MAX(N(AW86),1)&gt;SG_Criteria!$B$55,"NOTE: register rebar differs from schedule by "&amp;TEXT(ABS(BA86-N(AW86))/MAX(N(AW86),1),"0%"),"OK")))</f>
        <v/>
      </c>
      <c r="BC86" s="34" t="str">
        <f aca="false">IF(OR(D86="",G86="",H86="",D86="Sump",D86="Drop Inlet Chamber",D86="Silt Trap",D86="Pipe Culvert",D86="Subsoil Drain"),"",ROUND(MAX(1,N(I86))*(1/SG_Criteria!$B$26)*((G86/1000)*(H86/1000*(1-SG_Criteria!$B$25)))*(((G86/1000)*(H86/1000*(1-SG_Criteria!$B$25)))/((G86/1000)+2*(H86/1000*(1-SG_Criteria!$B$25))))^(2/3)*(1/Design_Selector!$B$11)^0.5,3))</f>
        <v/>
      </c>
      <c r="BD86" s="11" t="str">
        <f aca="false">IF(BC86="","",ROUND(BC86/(MAX(1,N(I86))*G86/1000*(H86/1000*(1-SG_Criteria!$B$25))),2))</f>
        <v/>
      </c>
      <c r="BE86" s="33" t="str">
        <f aca="false">IF(D86="","",IF(LEN(IF(AND(OR(E86="Roadside drain",E86="Entrance culvert"),OR(G86&lt;SG_Criteria!$B$15,H86&lt;SG_Criteria!$B$16)),"FAIL: below PUB min "&amp;SG_Criteria!$B$15&amp;"x"&amp;SG_Criteria!$B$16&amp;" for roadside drain. ","")&amp;IF(AND(E86="Common drain",G86&lt;SG_Criteria!$B$17),"FAIL: common drain W &lt; "&amp;SG_Criteria!$B$17&amp;" mm. ","")&amp;IF(AND(O86&lt;&gt;"",IFERROR(VALUE(MID(O86,2,2)),0)&lt;SG_Criteria!$B$19),"FAIL: grade below C"&amp;SG_Criteria!$B$19&amp;". ","")&amp;IF(AND(P86&lt;&gt;"",P86&lt;SG_Criteria!$B$20),"FAIL: cover &lt; "&amp;SG_Criteria!$B$20&amp;" mm. ","")&amp;IF(AND(F86="Open",H86&gt;SG_Criteria!$B$18),"NOTE: safety railing required (D &gt; "&amp;SG_Criteria!$B$18&amp;" mm). ","")&amp;IF(AND(E86="Entrance culvert",H86&lt;600),"NOTE: check hinged grating rule for culverts &lt; 600 deep (PUB Add. 3). ",""))=0,"OK",IF(AND(OR(E86="Roadside drain",E86="Entrance culvert"),OR(G86&lt;SG_Criteria!$B$15,H86&lt;SG_Criteria!$B$16)),"FAIL: below PUB min "&amp;SG_Criteria!$B$15&amp;"x"&amp;SG_Criteria!$B$16&amp;" for roadside drain. ","")&amp;IF(AND(E86="Common drain",G86&lt;SG_Criteria!$B$17),"FAIL: common drain W &lt; "&amp;SG_Criteria!$B$17&amp;" mm. ","")&amp;IF(AND(O86&lt;&gt;"",IFERROR(VALUE(MID(O86,2,2)),0)&lt;SG_Criteria!$B$19),"FAIL: grade below C"&amp;SG_Criteria!$B$19&amp;". ","")&amp;IF(AND(P86&lt;&gt;"",P86&lt;SG_Criteria!$B$20),"FAIL: cover &lt; "&amp;SG_Criteria!$B$20&amp;" mm. ","")&amp;IF(AND(F86="Open",H86&gt;SG_Criteria!$B$18),"NOTE: safety railing required (D &gt; "&amp;SG_Criteria!$B$18&amp;" mm). ","")&amp;IF(AND(E86="Entrance culvert",H86&lt;600),"NOTE: check hinged grating rule for culverts &lt; 600 deep (PUB Add. 3). ","")))</f>
        <v/>
      </c>
      <c r="BF86" s="9"/>
      <c r="BG86" s="9"/>
      <c r="BH86" s="9"/>
      <c r="BI86" s="10" t="str">
        <f aca="false">IF(BH86="","",IFERROR(VLOOKUP(BH86,Projects!$A$5:$D$504,2,0),"Ref not in Projects"))</f>
        <v/>
      </c>
      <c r="BJ86" s="10" t="str">
        <f aca="false">IF(BH86="","",IFERROR(VLOOKUP(BH86,Projects!$A$5:$D$504,4,0),"Ref not in Projects"))</f>
        <v/>
      </c>
      <c r="BK86" s="9"/>
      <c r="BL86" s="9"/>
      <c r="BM86" s="9"/>
      <c r="BN86" s="40"/>
      <c r="BO86" s="9"/>
      <c r="BP86" s="40"/>
      <c r="BQ86" s="9"/>
      <c r="BR86" s="40"/>
      <c r="BS86" s="9"/>
      <c r="BT86" s="9"/>
      <c r="BU86" s="9"/>
      <c r="BV86" s="40"/>
      <c r="BW86" s="40"/>
      <c r="BX86" s="36" t="str">
        <f aca="false">IF(BW86="","",EDATE(BW86,SG_Criteria!$B$54*12))</f>
        <v/>
      </c>
      <c r="BY86" s="33" t="str">
        <f aca="true">IF(A86="","",IF(BW86="","NOTE: not reviewed yet",IF(TODAY()&gt;BX86,"NOTE: review overdue","OK")))</f>
        <v/>
      </c>
      <c r="BZ86" s="37" t="str">
        <f aca="false">IF(A86="","",ROUND((IF(LEN(D86)&gt;0,1,0)+IF(LEN(E86)&gt;0,1,0)+IF(LEN(F86)&gt;0,1,0)+IF(LEN(G86)&gt;0,1,0)+IF(LEN(H86)&gt;0,1,0)+IF(LEN(J86)&gt;0,1,0)+IF(LEN(K86)&gt;0,1,0)+IF(LEN(M86)&gt;0,1,0)+IF(LEN(O86)&gt;0,1,0)+IF(LEN(P86)&gt;0,1,0)+IF(LEN(Q86)&gt;0,1,0)+IF(LEN(S86)&gt;0,1,0)+IF(LEN(AC86)&gt;0,1,0)+IF(LEN(AV86)&gt;0,1,0)+IF(LEN(AW86)&gt;0,1,0)+IF(LEN(AG86)&gt;0,1,0)+IF(LEN(AI86)&gt;0,1,0)+IF(LEN(AJ86)&gt;0,1,0)+IF(LEN(AK86)&gt;0,1,0)+IF(LEN(AL86)&gt;0,1,0)+IF(LEN(AU86)&gt;0,1,0)+IF(LEN(BH86)&gt;0,1,0)+IF(LEN(BU86)&gt;0,1,0))/23,2))</f>
        <v/>
      </c>
      <c r="CA86" s="10" t="str">
        <f aca="false">IF(D86="","",IF(AND(AJ86="Approved",ISERROR(SEARCH("FAIL",BE86))),"Y","N"))</f>
        <v/>
      </c>
      <c r="CB86" s="10" t="str">
        <f aca="false">IF(D86="","",D86&amp;"|"&amp;G86&amp;"|"&amp;H86&amp;"|"&amp;M86&amp;"|"&amp;CA86)</f>
        <v/>
      </c>
    </row>
    <row r="87" customFormat="false" ht="15" hidden="false" customHeight="false" outlineLevel="0" collapsed="false">
      <c r="A87" s="10" t="str">
        <f aca="false">IF(D87="","","DRN-"&amp;IFERROR(VLOOKUP(D87,Lists!$A$4:$B$27,2,0),"??")&amp;"-"&amp;TEXT(G87,"0000")&amp;"x"&amp;TEXT(H87,"0000")&amp;IF(N(I87)&gt;1,"-"&amp;I87&amp;"C","")&amp;"-"&amp;IFERROR(VLOOKUP(M87,Lists!$J$4:$K$19,2,0),"??")&amp;"-"&amp;AI87)</f>
        <v/>
      </c>
      <c r="B87" s="10" t="str">
        <f aca="false">IF(D87="","",D87&amp;" "&amp;G87&amp;"W x "&amp;H87&amp;"D"&amp;IF(N(I87)&gt;1," ("&amp;I87&amp;" cells)","")&amp;", "&amp;E87&amp;", "&amp;M87&amp;", "&amp;F87)</f>
        <v/>
      </c>
      <c r="C87" s="9"/>
      <c r="D87" s="9"/>
      <c r="E87" s="9"/>
      <c r="F87" s="9"/>
      <c r="G87" s="38"/>
      <c r="H87" s="38"/>
      <c r="I87" s="38"/>
      <c r="J87" s="38"/>
      <c r="K87" s="38"/>
      <c r="L87" s="38"/>
      <c r="M87" s="9"/>
      <c r="N87" s="9"/>
      <c r="O87" s="9"/>
      <c r="P87" s="38"/>
      <c r="Q87" s="9"/>
      <c r="R87" s="9"/>
      <c r="S87" s="9"/>
      <c r="T87" s="9"/>
      <c r="U87" s="9"/>
      <c r="V87" s="9"/>
      <c r="W87" s="9"/>
      <c r="X87" s="9"/>
      <c r="Y87" s="9"/>
      <c r="Z87" s="9"/>
      <c r="AA87" s="9"/>
      <c r="AB87" s="39"/>
      <c r="AC87" s="9"/>
      <c r="AD87" s="38"/>
      <c r="AE87" s="9"/>
      <c r="AF87" s="39"/>
      <c r="AG87" s="9"/>
      <c r="AH87" s="9"/>
      <c r="AI87" s="9"/>
      <c r="AJ87" s="9"/>
      <c r="AK87" s="9"/>
      <c r="AL87" s="9"/>
      <c r="AM87" s="9"/>
      <c r="AN87" s="10" t="str">
        <f aca="false">IF(A87="","",SG_Criteria!$B$6&amp;SG_Criteria!$B$7&amp;"\"&amp;A87&amp;"\")</f>
        <v/>
      </c>
      <c r="AO87" s="10" t="str">
        <f aca="false">IF(A87="","",A87&amp;"_CAD.dwg")</f>
        <v/>
      </c>
      <c r="AP87" s="10" t="str">
        <f aca="false">IF(A87="","",A87&amp;"_DWG.pdf")</f>
        <v/>
      </c>
      <c r="AQ87" s="10" t="str">
        <f aca="false">IF(A87="","",IF(AM87="Y",A87&amp;"_STAAD.std","n/a"))</f>
        <v/>
      </c>
      <c r="AR87" s="10" t="str">
        <f aca="false">IF(A87="","",A87&amp;"_CALC.xlsx")</f>
        <v/>
      </c>
      <c r="AS87" s="10" t="str">
        <f aca="false">IF(A87="","",A87&amp;"_CALC.pdf")</f>
        <v/>
      </c>
      <c r="AT87" s="9"/>
      <c r="AU87" s="9"/>
      <c r="AV87" s="39"/>
      <c r="AW87" s="39"/>
      <c r="AX87" s="39"/>
      <c r="AY87" s="39"/>
      <c r="AZ87" s="39"/>
      <c r="BA87" s="12" t="str">
        <f aca="false">IF(A87="","",IF(COUNTIF(Rebar_Schedule!$A$5:$A$2004,A87)=0,"",ROUND(SUMIF(Rebar_Schedule!$A$5:$A$2004,A87,Rebar_Schedule!$K$5:$K$2004),1)))</f>
        <v/>
      </c>
      <c r="BB87" s="33" t="str">
        <f aca="false">IF(A87="","",IF(BA87="","No rebar schedule yet",IF(ABS(BA87-N(AW87))/MAX(N(AW87),1)&gt;SG_Criteria!$B$55,"NOTE: register rebar differs from schedule by "&amp;TEXT(ABS(BA87-N(AW87))/MAX(N(AW87),1),"0%"),"OK")))</f>
        <v/>
      </c>
      <c r="BC87" s="34" t="str">
        <f aca="false">IF(OR(D87="",G87="",H87="",D87="Sump",D87="Drop Inlet Chamber",D87="Silt Trap",D87="Pipe Culvert",D87="Subsoil Drain"),"",ROUND(MAX(1,N(I87))*(1/SG_Criteria!$B$26)*((G87/1000)*(H87/1000*(1-SG_Criteria!$B$25)))*(((G87/1000)*(H87/1000*(1-SG_Criteria!$B$25)))/((G87/1000)+2*(H87/1000*(1-SG_Criteria!$B$25))))^(2/3)*(1/Design_Selector!$B$11)^0.5,3))</f>
        <v/>
      </c>
      <c r="BD87" s="11" t="str">
        <f aca="false">IF(BC87="","",ROUND(BC87/(MAX(1,N(I87))*G87/1000*(H87/1000*(1-SG_Criteria!$B$25))),2))</f>
        <v/>
      </c>
      <c r="BE87" s="33" t="str">
        <f aca="false">IF(D87="","",IF(LEN(IF(AND(OR(E87="Roadside drain",E87="Entrance culvert"),OR(G87&lt;SG_Criteria!$B$15,H87&lt;SG_Criteria!$B$16)),"FAIL: below PUB min "&amp;SG_Criteria!$B$15&amp;"x"&amp;SG_Criteria!$B$16&amp;" for roadside drain. ","")&amp;IF(AND(E87="Common drain",G87&lt;SG_Criteria!$B$17),"FAIL: common drain W &lt; "&amp;SG_Criteria!$B$17&amp;" mm. ","")&amp;IF(AND(O87&lt;&gt;"",IFERROR(VALUE(MID(O87,2,2)),0)&lt;SG_Criteria!$B$19),"FAIL: grade below C"&amp;SG_Criteria!$B$19&amp;". ","")&amp;IF(AND(P87&lt;&gt;"",P87&lt;SG_Criteria!$B$20),"FAIL: cover &lt; "&amp;SG_Criteria!$B$20&amp;" mm. ","")&amp;IF(AND(F87="Open",H87&gt;SG_Criteria!$B$18),"NOTE: safety railing required (D &gt; "&amp;SG_Criteria!$B$18&amp;" mm). ","")&amp;IF(AND(E87="Entrance culvert",H87&lt;600),"NOTE: check hinged grating rule for culverts &lt; 600 deep (PUB Add. 3). ",""))=0,"OK",IF(AND(OR(E87="Roadside drain",E87="Entrance culvert"),OR(G87&lt;SG_Criteria!$B$15,H87&lt;SG_Criteria!$B$16)),"FAIL: below PUB min "&amp;SG_Criteria!$B$15&amp;"x"&amp;SG_Criteria!$B$16&amp;" for roadside drain. ","")&amp;IF(AND(E87="Common drain",G87&lt;SG_Criteria!$B$17),"FAIL: common drain W &lt; "&amp;SG_Criteria!$B$17&amp;" mm. ","")&amp;IF(AND(O87&lt;&gt;"",IFERROR(VALUE(MID(O87,2,2)),0)&lt;SG_Criteria!$B$19),"FAIL: grade below C"&amp;SG_Criteria!$B$19&amp;". ","")&amp;IF(AND(P87&lt;&gt;"",P87&lt;SG_Criteria!$B$20),"FAIL: cover &lt; "&amp;SG_Criteria!$B$20&amp;" mm. ","")&amp;IF(AND(F87="Open",H87&gt;SG_Criteria!$B$18),"NOTE: safety railing required (D &gt; "&amp;SG_Criteria!$B$18&amp;" mm). ","")&amp;IF(AND(E87="Entrance culvert",H87&lt;600),"NOTE: check hinged grating rule for culverts &lt; 600 deep (PUB Add. 3). ","")))</f>
        <v/>
      </c>
      <c r="BF87" s="9"/>
      <c r="BG87" s="9"/>
      <c r="BH87" s="9"/>
      <c r="BI87" s="10" t="str">
        <f aca="false">IF(BH87="","",IFERROR(VLOOKUP(BH87,Projects!$A$5:$D$504,2,0),"Ref not in Projects"))</f>
        <v/>
      </c>
      <c r="BJ87" s="10" t="str">
        <f aca="false">IF(BH87="","",IFERROR(VLOOKUP(BH87,Projects!$A$5:$D$504,4,0),"Ref not in Projects"))</f>
        <v/>
      </c>
      <c r="BK87" s="9"/>
      <c r="BL87" s="9"/>
      <c r="BM87" s="9"/>
      <c r="BN87" s="40"/>
      <c r="BO87" s="9"/>
      <c r="BP87" s="40"/>
      <c r="BQ87" s="9"/>
      <c r="BR87" s="40"/>
      <c r="BS87" s="9"/>
      <c r="BT87" s="9"/>
      <c r="BU87" s="9"/>
      <c r="BV87" s="40"/>
      <c r="BW87" s="40"/>
      <c r="BX87" s="36" t="str">
        <f aca="false">IF(BW87="","",EDATE(BW87,SG_Criteria!$B$54*12))</f>
        <v/>
      </c>
      <c r="BY87" s="33" t="str">
        <f aca="true">IF(A87="","",IF(BW87="","NOTE: not reviewed yet",IF(TODAY()&gt;BX87,"NOTE: review overdue","OK")))</f>
        <v/>
      </c>
      <c r="BZ87" s="37" t="str">
        <f aca="false">IF(A87="","",ROUND((IF(LEN(D87)&gt;0,1,0)+IF(LEN(E87)&gt;0,1,0)+IF(LEN(F87)&gt;0,1,0)+IF(LEN(G87)&gt;0,1,0)+IF(LEN(H87)&gt;0,1,0)+IF(LEN(J87)&gt;0,1,0)+IF(LEN(K87)&gt;0,1,0)+IF(LEN(M87)&gt;0,1,0)+IF(LEN(O87)&gt;0,1,0)+IF(LEN(P87)&gt;0,1,0)+IF(LEN(Q87)&gt;0,1,0)+IF(LEN(S87)&gt;0,1,0)+IF(LEN(AC87)&gt;0,1,0)+IF(LEN(AV87)&gt;0,1,0)+IF(LEN(AW87)&gt;0,1,0)+IF(LEN(AG87)&gt;0,1,0)+IF(LEN(AI87)&gt;0,1,0)+IF(LEN(AJ87)&gt;0,1,0)+IF(LEN(AK87)&gt;0,1,0)+IF(LEN(AL87)&gt;0,1,0)+IF(LEN(AU87)&gt;0,1,0)+IF(LEN(BH87)&gt;0,1,0)+IF(LEN(BU87)&gt;0,1,0))/23,2))</f>
        <v/>
      </c>
      <c r="CA87" s="10" t="str">
        <f aca="false">IF(D87="","",IF(AND(AJ87="Approved",ISERROR(SEARCH("FAIL",BE87))),"Y","N"))</f>
        <v/>
      </c>
      <c r="CB87" s="10" t="str">
        <f aca="false">IF(D87="","",D87&amp;"|"&amp;G87&amp;"|"&amp;H87&amp;"|"&amp;M87&amp;"|"&amp;CA87)</f>
        <v/>
      </c>
    </row>
    <row r="88" customFormat="false" ht="15" hidden="false" customHeight="false" outlineLevel="0" collapsed="false">
      <c r="A88" s="10" t="str">
        <f aca="false">IF(D88="","","DRN-"&amp;IFERROR(VLOOKUP(D88,Lists!$A$4:$B$27,2,0),"??")&amp;"-"&amp;TEXT(G88,"0000")&amp;"x"&amp;TEXT(H88,"0000")&amp;IF(N(I88)&gt;1,"-"&amp;I88&amp;"C","")&amp;"-"&amp;IFERROR(VLOOKUP(M88,Lists!$J$4:$K$19,2,0),"??")&amp;"-"&amp;AI88)</f>
        <v/>
      </c>
      <c r="B88" s="10" t="str">
        <f aca="false">IF(D88="","",D88&amp;" "&amp;G88&amp;"W x "&amp;H88&amp;"D"&amp;IF(N(I88)&gt;1," ("&amp;I88&amp;" cells)","")&amp;", "&amp;E88&amp;", "&amp;M88&amp;", "&amp;F88)</f>
        <v/>
      </c>
      <c r="C88" s="9"/>
      <c r="D88" s="9"/>
      <c r="E88" s="9"/>
      <c r="F88" s="9"/>
      <c r="G88" s="38"/>
      <c r="H88" s="38"/>
      <c r="I88" s="38"/>
      <c r="J88" s="38"/>
      <c r="K88" s="38"/>
      <c r="L88" s="38"/>
      <c r="M88" s="9"/>
      <c r="N88" s="9"/>
      <c r="O88" s="9"/>
      <c r="P88" s="38"/>
      <c r="Q88" s="9"/>
      <c r="R88" s="9"/>
      <c r="S88" s="9"/>
      <c r="T88" s="9"/>
      <c r="U88" s="9"/>
      <c r="V88" s="9"/>
      <c r="W88" s="9"/>
      <c r="X88" s="9"/>
      <c r="Y88" s="9"/>
      <c r="Z88" s="9"/>
      <c r="AA88" s="9"/>
      <c r="AB88" s="39"/>
      <c r="AC88" s="9"/>
      <c r="AD88" s="38"/>
      <c r="AE88" s="9"/>
      <c r="AF88" s="39"/>
      <c r="AG88" s="9"/>
      <c r="AH88" s="9"/>
      <c r="AI88" s="9"/>
      <c r="AJ88" s="9"/>
      <c r="AK88" s="9"/>
      <c r="AL88" s="9"/>
      <c r="AM88" s="9"/>
      <c r="AN88" s="10" t="str">
        <f aca="false">IF(A88="","",SG_Criteria!$B$6&amp;SG_Criteria!$B$7&amp;"\"&amp;A88&amp;"\")</f>
        <v/>
      </c>
      <c r="AO88" s="10" t="str">
        <f aca="false">IF(A88="","",A88&amp;"_CAD.dwg")</f>
        <v/>
      </c>
      <c r="AP88" s="10" t="str">
        <f aca="false">IF(A88="","",A88&amp;"_DWG.pdf")</f>
        <v/>
      </c>
      <c r="AQ88" s="10" t="str">
        <f aca="false">IF(A88="","",IF(AM88="Y",A88&amp;"_STAAD.std","n/a"))</f>
        <v/>
      </c>
      <c r="AR88" s="10" t="str">
        <f aca="false">IF(A88="","",A88&amp;"_CALC.xlsx")</f>
        <v/>
      </c>
      <c r="AS88" s="10" t="str">
        <f aca="false">IF(A88="","",A88&amp;"_CALC.pdf")</f>
        <v/>
      </c>
      <c r="AT88" s="9"/>
      <c r="AU88" s="9"/>
      <c r="AV88" s="39"/>
      <c r="AW88" s="39"/>
      <c r="AX88" s="39"/>
      <c r="AY88" s="39"/>
      <c r="AZ88" s="39"/>
      <c r="BA88" s="12" t="str">
        <f aca="false">IF(A88="","",IF(COUNTIF(Rebar_Schedule!$A$5:$A$2004,A88)=0,"",ROUND(SUMIF(Rebar_Schedule!$A$5:$A$2004,A88,Rebar_Schedule!$K$5:$K$2004),1)))</f>
        <v/>
      </c>
      <c r="BB88" s="33" t="str">
        <f aca="false">IF(A88="","",IF(BA88="","No rebar schedule yet",IF(ABS(BA88-N(AW88))/MAX(N(AW88),1)&gt;SG_Criteria!$B$55,"NOTE: register rebar differs from schedule by "&amp;TEXT(ABS(BA88-N(AW88))/MAX(N(AW88),1),"0%"),"OK")))</f>
        <v/>
      </c>
      <c r="BC88" s="34" t="str">
        <f aca="false">IF(OR(D88="",G88="",H88="",D88="Sump",D88="Drop Inlet Chamber",D88="Silt Trap",D88="Pipe Culvert",D88="Subsoil Drain"),"",ROUND(MAX(1,N(I88))*(1/SG_Criteria!$B$26)*((G88/1000)*(H88/1000*(1-SG_Criteria!$B$25)))*(((G88/1000)*(H88/1000*(1-SG_Criteria!$B$25)))/((G88/1000)+2*(H88/1000*(1-SG_Criteria!$B$25))))^(2/3)*(1/Design_Selector!$B$11)^0.5,3))</f>
        <v/>
      </c>
      <c r="BD88" s="11" t="str">
        <f aca="false">IF(BC88="","",ROUND(BC88/(MAX(1,N(I88))*G88/1000*(H88/1000*(1-SG_Criteria!$B$25))),2))</f>
        <v/>
      </c>
      <c r="BE88" s="33" t="str">
        <f aca="false">IF(D88="","",IF(LEN(IF(AND(OR(E88="Roadside drain",E88="Entrance culvert"),OR(G88&lt;SG_Criteria!$B$15,H88&lt;SG_Criteria!$B$16)),"FAIL: below PUB min "&amp;SG_Criteria!$B$15&amp;"x"&amp;SG_Criteria!$B$16&amp;" for roadside drain. ","")&amp;IF(AND(E88="Common drain",G88&lt;SG_Criteria!$B$17),"FAIL: common drain W &lt; "&amp;SG_Criteria!$B$17&amp;" mm. ","")&amp;IF(AND(O88&lt;&gt;"",IFERROR(VALUE(MID(O88,2,2)),0)&lt;SG_Criteria!$B$19),"FAIL: grade below C"&amp;SG_Criteria!$B$19&amp;". ","")&amp;IF(AND(P88&lt;&gt;"",P88&lt;SG_Criteria!$B$20),"FAIL: cover &lt; "&amp;SG_Criteria!$B$20&amp;" mm. ","")&amp;IF(AND(F88="Open",H88&gt;SG_Criteria!$B$18),"NOTE: safety railing required (D &gt; "&amp;SG_Criteria!$B$18&amp;" mm). ","")&amp;IF(AND(E88="Entrance culvert",H88&lt;600),"NOTE: check hinged grating rule for culverts &lt; 600 deep (PUB Add. 3). ",""))=0,"OK",IF(AND(OR(E88="Roadside drain",E88="Entrance culvert"),OR(G88&lt;SG_Criteria!$B$15,H88&lt;SG_Criteria!$B$16)),"FAIL: below PUB min "&amp;SG_Criteria!$B$15&amp;"x"&amp;SG_Criteria!$B$16&amp;" for roadside drain. ","")&amp;IF(AND(E88="Common drain",G88&lt;SG_Criteria!$B$17),"FAIL: common drain W &lt; "&amp;SG_Criteria!$B$17&amp;" mm. ","")&amp;IF(AND(O88&lt;&gt;"",IFERROR(VALUE(MID(O88,2,2)),0)&lt;SG_Criteria!$B$19),"FAIL: grade below C"&amp;SG_Criteria!$B$19&amp;". ","")&amp;IF(AND(P88&lt;&gt;"",P88&lt;SG_Criteria!$B$20),"FAIL: cover &lt; "&amp;SG_Criteria!$B$20&amp;" mm. ","")&amp;IF(AND(F88="Open",H88&gt;SG_Criteria!$B$18),"NOTE: safety railing required (D &gt; "&amp;SG_Criteria!$B$18&amp;" mm). ","")&amp;IF(AND(E88="Entrance culvert",H88&lt;600),"NOTE: check hinged grating rule for culverts &lt; 600 deep (PUB Add. 3). ","")))</f>
        <v/>
      </c>
      <c r="BF88" s="9"/>
      <c r="BG88" s="9"/>
      <c r="BH88" s="9"/>
      <c r="BI88" s="10" t="str">
        <f aca="false">IF(BH88="","",IFERROR(VLOOKUP(BH88,Projects!$A$5:$D$504,2,0),"Ref not in Projects"))</f>
        <v/>
      </c>
      <c r="BJ88" s="10" t="str">
        <f aca="false">IF(BH88="","",IFERROR(VLOOKUP(BH88,Projects!$A$5:$D$504,4,0),"Ref not in Projects"))</f>
        <v/>
      </c>
      <c r="BK88" s="9"/>
      <c r="BL88" s="9"/>
      <c r="BM88" s="9"/>
      <c r="BN88" s="40"/>
      <c r="BO88" s="9"/>
      <c r="BP88" s="40"/>
      <c r="BQ88" s="9"/>
      <c r="BR88" s="40"/>
      <c r="BS88" s="9"/>
      <c r="BT88" s="9"/>
      <c r="BU88" s="9"/>
      <c r="BV88" s="40"/>
      <c r="BW88" s="40"/>
      <c r="BX88" s="36" t="str">
        <f aca="false">IF(BW88="","",EDATE(BW88,SG_Criteria!$B$54*12))</f>
        <v/>
      </c>
      <c r="BY88" s="33" t="str">
        <f aca="true">IF(A88="","",IF(BW88="","NOTE: not reviewed yet",IF(TODAY()&gt;BX88,"NOTE: review overdue","OK")))</f>
        <v/>
      </c>
      <c r="BZ88" s="37" t="str">
        <f aca="false">IF(A88="","",ROUND((IF(LEN(D88)&gt;0,1,0)+IF(LEN(E88)&gt;0,1,0)+IF(LEN(F88)&gt;0,1,0)+IF(LEN(G88)&gt;0,1,0)+IF(LEN(H88)&gt;0,1,0)+IF(LEN(J88)&gt;0,1,0)+IF(LEN(K88)&gt;0,1,0)+IF(LEN(M88)&gt;0,1,0)+IF(LEN(O88)&gt;0,1,0)+IF(LEN(P88)&gt;0,1,0)+IF(LEN(Q88)&gt;0,1,0)+IF(LEN(S88)&gt;0,1,0)+IF(LEN(AC88)&gt;0,1,0)+IF(LEN(AV88)&gt;0,1,0)+IF(LEN(AW88)&gt;0,1,0)+IF(LEN(AG88)&gt;0,1,0)+IF(LEN(AI88)&gt;0,1,0)+IF(LEN(AJ88)&gt;0,1,0)+IF(LEN(AK88)&gt;0,1,0)+IF(LEN(AL88)&gt;0,1,0)+IF(LEN(AU88)&gt;0,1,0)+IF(LEN(BH88)&gt;0,1,0)+IF(LEN(BU88)&gt;0,1,0))/23,2))</f>
        <v/>
      </c>
      <c r="CA88" s="10" t="str">
        <f aca="false">IF(D88="","",IF(AND(AJ88="Approved",ISERROR(SEARCH("FAIL",BE88))),"Y","N"))</f>
        <v/>
      </c>
      <c r="CB88" s="10" t="str">
        <f aca="false">IF(D88="","",D88&amp;"|"&amp;G88&amp;"|"&amp;H88&amp;"|"&amp;M88&amp;"|"&amp;CA88)</f>
        <v/>
      </c>
    </row>
    <row r="89" customFormat="false" ht="15" hidden="false" customHeight="false" outlineLevel="0" collapsed="false">
      <c r="A89" s="10" t="str">
        <f aca="false">IF(D89="","","DRN-"&amp;IFERROR(VLOOKUP(D89,Lists!$A$4:$B$27,2,0),"??")&amp;"-"&amp;TEXT(G89,"0000")&amp;"x"&amp;TEXT(H89,"0000")&amp;IF(N(I89)&gt;1,"-"&amp;I89&amp;"C","")&amp;"-"&amp;IFERROR(VLOOKUP(M89,Lists!$J$4:$K$19,2,0),"??")&amp;"-"&amp;AI89)</f>
        <v/>
      </c>
      <c r="B89" s="10" t="str">
        <f aca="false">IF(D89="","",D89&amp;" "&amp;G89&amp;"W x "&amp;H89&amp;"D"&amp;IF(N(I89)&gt;1," ("&amp;I89&amp;" cells)","")&amp;", "&amp;E89&amp;", "&amp;M89&amp;", "&amp;F89)</f>
        <v/>
      </c>
      <c r="C89" s="9"/>
      <c r="D89" s="9"/>
      <c r="E89" s="9"/>
      <c r="F89" s="9"/>
      <c r="G89" s="38"/>
      <c r="H89" s="38"/>
      <c r="I89" s="38"/>
      <c r="J89" s="38"/>
      <c r="K89" s="38"/>
      <c r="L89" s="38"/>
      <c r="M89" s="9"/>
      <c r="N89" s="9"/>
      <c r="O89" s="9"/>
      <c r="P89" s="38"/>
      <c r="Q89" s="9"/>
      <c r="R89" s="9"/>
      <c r="S89" s="9"/>
      <c r="T89" s="9"/>
      <c r="U89" s="9"/>
      <c r="V89" s="9"/>
      <c r="W89" s="9"/>
      <c r="X89" s="9"/>
      <c r="Y89" s="9"/>
      <c r="Z89" s="9"/>
      <c r="AA89" s="9"/>
      <c r="AB89" s="39"/>
      <c r="AC89" s="9"/>
      <c r="AD89" s="38"/>
      <c r="AE89" s="9"/>
      <c r="AF89" s="39"/>
      <c r="AG89" s="9"/>
      <c r="AH89" s="9"/>
      <c r="AI89" s="9"/>
      <c r="AJ89" s="9"/>
      <c r="AK89" s="9"/>
      <c r="AL89" s="9"/>
      <c r="AM89" s="9"/>
      <c r="AN89" s="10" t="str">
        <f aca="false">IF(A89="","",SG_Criteria!$B$6&amp;SG_Criteria!$B$7&amp;"\"&amp;A89&amp;"\")</f>
        <v/>
      </c>
      <c r="AO89" s="10" t="str">
        <f aca="false">IF(A89="","",A89&amp;"_CAD.dwg")</f>
        <v/>
      </c>
      <c r="AP89" s="10" t="str">
        <f aca="false">IF(A89="","",A89&amp;"_DWG.pdf")</f>
        <v/>
      </c>
      <c r="AQ89" s="10" t="str">
        <f aca="false">IF(A89="","",IF(AM89="Y",A89&amp;"_STAAD.std","n/a"))</f>
        <v/>
      </c>
      <c r="AR89" s="10" t="str">
        <f aca="false">IF(A89="","",A89&amp;"_CALC.xlsx")</f>
        <v/>
      </c>
      <c r="AS89" s="10" t="str">
        <f aca="false">IF(A89="","",A89&amp;"_CALC.pdf")</f>
        <v/>
      </c>
      <c r="AT89" s="9"/>
      <c r="AU89" s="9"/>
      <c r="AV89" s="39"/>
      <c r="AW89" s="39"/>
      <c r="AX89" s="39"/>
      <c r="AY89" s="39"/>
      <c r="AZ89" s="39"/>
      <c r="BA89" s="12" t="str">
        <f aca="false">IF(A89="","",IF(COUNTIF(Rebar_Schedule!$A$5:$A$2004,A89)=0,"",ROUND(SUMIF(Rebar_Schedule!$A$5:$A$2004,A89,Rebar_Schedule!$K$5:$K$2004),1)))</f>
        <v/>
      </c>
      <c r="BB89" s="33" t="str">
        <f aca="false">IF(A89="","",IF(BA89="","No rebar schedule yet",IF(ABS(BA89-N(AW89))/MAX(N(AW89),1)&gt;SG_Criteria!$B$55,"NOTE: register rebar differs from schedule by "&amp;TEXT(ABS(BA89-N(AW89))/MAX(N(AW89),1),"0%"),"OK")))</f>
        <v/>
      </c>
      <c r="BC89" s="34" t="str">
        <f aca="false">IF(OR(D89="",G89="",H89="",D89="Sump",D89="Drop Inlet Chamber",D89="Silt Trap",D89="Pipe Culvert",D89="Subsoil Drain"),"",ROUND(MAX(1,N(I89))*(1/SG_Criteria!$B$26)*((G89/1000)*(H89/1000*(1-SG_Criteria!$B$25)))*(((G89/1000)*(H89/1000*(1-SG_Criteria!$B$25)))/((G89/1000)+2*(H89/1000*(1-SG_Criteria!$B$25))))^(2/3)*(1/Design_Selector!$B$11)^0.5,3))</f>
        <v/>
      </c>
      <c r="BD89" s="11" t="str">
        <f aca="false">IF(BC89="","",ROUND(BC89/(MAX(1,N(I89))*G89/1000*(H89/1000*(1-SG_Criteria!$B$25))),2))</f>
        <v/>
      </c>
      <c r="BE89" s="33" t="str">
        <f aca="false">IF(D89="","",IF(LEN(IF(AND(OR(E89="Roadside drain",E89="Entrance culvert"),OR(G89&lt;SG_Criteria!$B$15,H89&lt;SG_Criteria!$B$16)),"FAIL: below PUB min "&amp;SG_Criteria!$B$15&amp;"x"&amp;SG_Criteria!$B$16&amp;" for roadside drain. ","")&amp;IF(AND(E89="Common drain",G89&lt;SG_Criteria!$B$17),"FAIL: common drain W &lt; "&amp;SG_Criteria!$B$17&amp;" mm. ","")&amp;IF(AND(O89&lt;&gt;"",IFERROR(VALUE(MID(O89,2,2)),0)&lt;SG_Criteria!$B$19),"FAIL: grade below C"&amp;SG_Criteria!$B$19&amp;". ","")&amp;IF(AND(P89&lt;&gt;"",P89&lt;SG_Criteria!$B$20),"FAIL: cover &lt; "&amp;SG_Criteria!$B$20&amp;" mm. ","")&amp;IF(AND(F89="Open",H89&gt;SG_Criteria!$B$18),"NOTE: safety railing required (D &gt; "&amp;SG_Criteria!$B$18&amp;" mm). ","")&amp;IF(AND(E89="Entrance culvert",H89&lt;600),"NOTE: check hinged grating rule for culverts &lt; 600 deep (PUB Add. 3). ",""))=0,"OK",IF(AND(OR(E89="Roadside drain",E89="Entrance culvert"),OR(G89&lt;SG_Criteria!$B$15,H89&lt;SG_Criteria!$B$16)),"FAIL: below PUB min "&amp;SG_Criteria!$B$15&amp;"x"&amp;SG_Criteria!$B$16&amp;" for roadside drain. ","")&amp;IF(AND(E89="Common drain",G89&lt;SG_Criteria!$B$17),"FAIL: common drain W &lt; "&amp;SG_Criteria!$B$17&amp;" mm. ","")&amp;IF(AND(O89&lt;&gt;"",IFERROR(VALUE(MID(O89,2,2)),0)&lt;SG_Criteria!$B$19),"FAIL: grade below C"&amp;SG_Criteria!$B$19&amp;". ","")&amp;IF(AND(P89&lt;&gt;"",P89&lt;SG_Criteria!$B$20),"FAIL: cover &lt; "&amp;SG_Criteria!$B$20&amp;" mm. ","")&amp;IF(AND(F89="Open",H89&gt;SG_Criteria!$B$18),"NOTE: safety railing required (D &gt; "&amp;SG_Criteria!$B$18&amp;" mm). ","")&amp;IF(AND(E89="Entrance culvert",H89&lt;600),"NOTE: check hinged grating rule for culverts &lt; 600 deep (PUB Add. 3). ","")))</f>
        <v/>
      </c>
      <c r="BF89" s="9"/>
      <c r="BG89" s="9"/>
      <c r="BH89" s="9"/>
      <c r="BI89" s="10" t="str">
        <f aca="false">IF(BH89="","",IFERROR(VLOOKUP(BH89,Projects!$A$5:$D$504,2,0),"Ref not in Projects"))</f>
        <v/>
      </c>
      <c r="BJ89" s="10" t="str">
        <f aca="false">IF(BH89="","",IFERROR(VLOOKUP(BH89,Projects!$A$5:$D$504,4,0),"Ref not in Projects"))</f>
        <v/>
      </c>
      <c r="BK89" s="9"/>
      <c r="BL89" s="9"/>
      <c r="BM89" s="9"/>
      <c r="BN89" s="40"/>
      <c r="BO89" s="9"/>
      <c r="BP89" s="40"/>
      <c r="BQ89" s="9"/>
      <c r="BR89" s="40"/>
      <c r="BS89" s="9"/>
      <c r="BT89" s="9"/>
      <c r="BU89" s="9"/>
      <c r="BV89" s="40"/>
      <c r="BW89" s="40"/>
      <c r="BX89" s="36" t="str">
        <f aca="false">IF(BW89="","",EDATE(BW89,SG_Criteria!$B$54*12))</f>
        <v/>
      </c>
      <c r="BY89" s="33" t="str">
        <f aca="true">IF(A89="","",IF(BW89="","NOTE: not reviewed yet",IF(TODAY()&gt;BX89,"NOTE: review overdue","OK")))</f>
        <v/>
      </c>
      <c r="BZ89" s="37" t="str">
        <f aca="false">IF(A89="","",ROUND((IF(LEN(D89)&gt;0,1,0)+IF(LEN(E89)&gt;0,1,0)+IF(LEN(F89)&gt;0,1,0)+IF(LEN(G89)&gt;0,1,0)+IF(LEN(H89)&gt;0,1,0)+IF(LEN(J89)&gt;0,1,0)+IF(LEN(K89)&gt;0,1,0)+IF(LEN(M89)&gt;0,1,0)+IF(LEN(O89)&gt;0,1,0)+IF(LEN(P89)&gt;0,1,0)+IF(LEN(Q89)&gt;0,1,0)+IF(LEN(S89)&gt;0,1,0)+IF(LEN(AC89)&gt;0,1,0)+IF(LEN(AV89)&gt;0,1,0)+IF(LEN(AW89)&gt;0,1,0)+IF(LEN(AG89)&gt;0,1,0)+IF(LEN(AI89)&gt;0,1,0)+IF(LEN(AJ89)&gt;0,1,0)+IF(LEN(AK89)&gt;0,1,0)+IF(LEN(AL89)&gt;0,1,0)+IF(LEN(AU89)&gt;0,1,0)+IF(LEN(BH89)&gt;0,1,0)+IF(LEN(BU89)&gt;0,1,0))/23,2))</f>
        <v/>
      </c>
      <c r="CA89" s="10" t="str">
        <f aca="false">IF(D89="","",IF(AND(AJ89="Approved",ISERROR(SEARCH("FAIL",BE89))),"Y","N"))</f>
        <v/>
      </c>
      <c r="CB89" s="10" t="str">
        <f aca="false">IF(D89="","",D89&amp;"|"&amp;G89&amp;"|"&amp;H89&amp;"|"&amp;M89&amp;"|"&amp;CA89)</f>
        <v/>
      </c>
    </row>
    <row r="90" customFormat="false" ht="15" hidden="false" customHeight="false" outlineLevel="0" collapsed="false">
      <c r="A90" s="10" t="str">
        <f aca="false">IF(D90="","","DRN-"&amp;IFERROR(VLOOKUP(D90,Lists!$A$4:$B$27,2,0),"??")&amp;"-"&amp;TEXT(G90,"0000")&amp;"x"&amp;TEXT(H90,"0000")&amp;IF(N(I90)&gt;1,"-"&amp;I90&amp;"C","")&amp;"-"&amp;IFERROR(VLOOKUP(M90,Lists!$J$4:$K$19,2,0),"??")&amp;"-"&amp;AI90)</f>
        <v/>
      </c>
      <c r="B90" s="10" t="str">
        <f aca="false">IF(D90="","",D90&amp;" "&amp;G90&amp;"W x "&amp;H90&amp;"D"&amp;IF(N(I90)&gt;1," ("&amp;I90&amp;" cells)","")&amp;", "&amp;E90&amp;", "&amp;M90&amp;", "&amp;F90)</f>
        <v/>
      </c>
      <c r="C90" s="9"/>
      <c r="D90" s="9"/>
      <c r="E90" s="9"/>
      <c r="F90" s="9"/>
      <c r="G90" s="38"/>
      <c r="H90" s="38"/>
      <c r="I90" s="38"/>
      <c r="J90" s="38"/>
      <c r="K90" s="38"/>
      <c r="L90" s="38"/>
      <c r="M90" s="9"/>
      <c r="N90" s="9"/>
      <c r="O90" s="9"/>
      <c r="P90" s="38"/>
      <c r="Q90" s="9"/>
      <c r="R90" s="9"/>
      <c r="S90" s="9"/>
      <c r="T90" s="9"/>
      <c r="U90" s="9"/>
      <c r="V90" s="9"/>
      <c r="W90" s="9"/>
      <c r="X90" s="9"/>
      <c r="Y90" s="9"/>
      <c r="Z90" s="9"/>
      <c r="AA90" s="9"/>
      <c r="AB90" s="39"/>
      <c r="AC90" s="9"/>
      <c r="AD90" s="38"/>
      <c r="AE90" s="9"/>
      <c r="AF90" s="39"/>
      <c r="AG90" s="9"/>
      <c r="AH90" s="9"/>
      <c r="AI90" s="9"/>
      <c r="AJ90" s="9"/>
      <c r="AK90" s="9"/>
      <c r="AL90" s="9"/>
      <c r="AM90" s="9"/>
      <c r="AN90" s="10" t="str">
        <f aca="false">IF(A90="","",SG_Criteria!$B$6&amp;SG_Criteria!$B$7&amp;"\"&amp;A90&amp;"\")</f>
        <v/>
      </c>
      <c r="AO90" s="10" t="str">
        <f aca="false">IF(A90="","",A90&amp;"_CAD.dwg")</f>
        <v/>
      </c>
      <c r="AP90" s="10" t="str">
        <f aca="false">IF(A90="","",A90&amp;"_DWG.pdf")</f>
        <v/>
      </c>
      <c r="AQ90" s="10" t="str">
        <f aca="false">IF(A90="","",IF(AM90="Y",A90&amp;"_STAAD.std","n/a"))</f>
        <v/>
      </c>
      <c r="AR90" s="10" t="str">
        <f aca="false">IF(A90="","",A90&amp;"_CALC.xlsx")</f>
        <v/>
      </c>
      <c r="AS90" s="10" t="str">
        <f aca="false">IF(A90="","",A90&amp;"_CALC.pdf")</f>
        <v/>
      </c>
      <c r="AT90" s="9"/>
      <c r="AU90" s="9"/>
      <c r="AV90" s="39"/>
      <c r="AW90" s="39"/>
      <c r="AX90" s="39"/>
      <c r="AY90" s="39"/>
      <c r="AZ90" s="39"/>
      <c r="BA90" s="12" t="str">
        <f aca="false">IF(A90="","",IF(COUNTIF(Rebar_Schedule!$A$5:$A$2004,A90)=0,"",ROUND(SUMIF(Rebar_Schedule!$A$5:$A$2004,A90,Rebar_Schedule!$K$5:$K$2004),1)))</f>
        <v/>
      </c>
      <c r="BB90" s="33" t="str">
        <f aca="false">IF(A90="","",IF(BA90="","No rebar schedule yet",IF(ABS(BA90-N(AW90))/MAX(N(AW90),1)&gt;SG_Criteria!$B$55,"NOTE: register rebar differs from schedule by "&amp;TEXT(ABS(BA90-N(AW90))/MAX(N(AW90),1),"0%"),"OK")))</f>
        <v/>
      </c>
      <c r="BC90" s="34" t="str">
        <f aca="false">IF(OR(D90="",G90="",H90="",D90="Sump",D90="Drop Inlet Chamber",D90="Silt Trap",D90="Pipe Culvert",D90="Subsoil Drain"),"",ROUND(MAX(1,N(I90))*(1/SG_Criteria!$B$26)*((G90/1000)*(H90/1000*(1-SG_Criteria!$B$25)))*(((G90/1000)*(H90/1000*(1-SG_Criteria!$B$25)))/((G90/1000)+2*(H90/1000*(1-SG_Criteria!$B$25))))^(2/3)*(1/Design_Selector!$B$11)^0.5,3))</f>
        <v/>
      </c>
      <c r="BD90" s="11" t="str">
        <f aca="false">IF(BC90="","",ROUND(BC90/(MAX(1,N(I90))*G90/1000*(H90/1000*(1-SG_Criteria!$B$25))),2))</f>
        <v/>
      </c>
      <c r="BE90" s="33" t="str">
        <f aca="false">IF(D90="","",IF(LEN(IF(AND(OR(E90="Roadside drain",E90="Entrance culvert"),OR(G90&lt;SG_Criteria!$B$15,H90&lt;SG_Criteria!$B$16)),"FAIL: below PUB min "&amp;SG_Criteria!$B$15&amp;"x"&amp;SG_Criteria!$B$16&amp;" for roadside drain. ","")&amp;IF(AND(E90="Common drain",G90&lt;SG_Criteria!$B$17),"FAIL: common drain W &lt; "&amp;SG_Criteria!$B$17&amp;" mm. ","")&amp;IF(AND(O90&lt;&gt;"",IFERROR(VALUE(MID(O90,2,2)),0)&lt;SG_Criteria!$B$19),"FAIL: grade below C"&amp;SG_Criteria!$B$19&amp;". ","")&amp;IF(AND(P90&lt;&gt;"",P90&lt;SG_Criteria!$B$20),"FAIL: cover &lt; "&amp;SG_Criteria!$B$20&amp;" mm. ","")&amp;IF(AND(F90="Open",H90&gt;SG_Criteria!$B$18),"NOTE: safety railing required (D &gt; "&amp;SG_Criteria!$B$18&amp;" mm). ","")&amp;IF(AND(E90="Entrance culvert",H90&lt;600),"NOTE: check hinged grating rule for culverts &lt; 600 deep (PUB Add. 3). ",""))=0,"OK",IF(AND(OR(E90="Roadside drain",E90="Entrance culvert"),OR(G90&lt;SG_Criteria!$B$15,H90&lt;SG_Criteria!$B$16)),"FAIL: below PUB min "&amp;SG_Criteria!$B$15&amp;"x"&amp;SG_Criteria!$B$16&amp;" for roadside drain. ","")&amp;IF(AND(E90="Common drain",G90&lt;SG_Criteria!$B$17),"FAIL: common drain W &lt; "&amp;SG_Criteria!$B$17&amp;" mm. ","")&amp;IF(AND(O90&lt;&gt;"",IFERROR(VALUE(MID(O90,2,2)),0)&lt;SG_Criteria!$B$19),"FAIL: grade below C"&amp;SG_Criteria!$B$19&amp;". ","")&amp;IF(AND(P90&lt;&gt;"",P90&lt;SG_Criteria!$B$20),"FAIL: cover &lt; "&amp;SG_Criteria!$B$20&amp;" mm. ","")&amp;IF(AND(F90="Open",H90&gt;SG_Criteria!$B$18),"NOTE: safety railing required (D &gt; "&amp;SG_Criteria!$B$18&amp;" mm). ","")&amp;IF(AND(E90="Entrance culvert",H90&lt;600),"NOTE: check hinged grating rule for culverts &lt; 600 deep (PUB Add. 3). ","")))</f>
        <v/>
      </c>
      <c r="BF90" s="9"/>
      <c r="BG90" s="9"/>
      <c r="BH90" s="9"/>
      <c r="BI90" s="10" t="str">
        <f aca="false">IF(BH90="","",IFERROR(VLOOKUP(BH90,Projects!$A$5:$D$504,2,0),"Ref not in Projects"))</f>
        <v/>
      </c>
      <c r="BJ90" s="10" t="str">
        <f aca="false">IF(BH90="","",IFERROR(VLOOKUP(BH90,Projects!$A$5:$D$504,4,0),"Ref not in Projects"))</f>
        <v/>
      </c>
      <c r="BK90" s="9"/>
      <c r="BL90" s="9"/>
      <c r="BM90" s="9"/>
      <c r="BN90" s="40"/>
      <c r="BO90" s="9"/>
      <c r="BP90" s="40"/>
      <c r="BQ90" s="9"/>
      <c r="BR90" s="40"/>
      <c r="BS90" s="9"/>
      <c r="BT90" s="9"/>
      <c r="BU90" s="9"/>
      <c r="BV90" s="40"/>
      <c r="BW90" s="40"/>
      <c r="BX90" s="36" t="str">
        <f aca="false">IF(BW90="","",EDATE(BW90,SG_Criteria!$B$54*12))</f>
        <v/>
      </c>
      <c r="BY90" s="33" t="str">
        <f aca="true">IF(A90="","",IF(BW90="","NOTE: not reviewed yet",IF(TODAY()&gt;BX90,"NOTE: review overdue","OK")))</f>
        <v/>
      </c>
      <c r="BZ90" s="37" t="str">
        <f aca="false">IF(A90="","",ROUND((IF(LEN(D90)&gt;0,1,0)+IF(LEN(E90)&gt;0,1,0)+IF(LEN(F90)&gt;0,1,0)+IF(LEN(G90)&gt;0,1,0)+IF(LEN(H90)&gt;0,1,0)+IF(LEN(J90)&gt;0,1,0)+IF(LEN(K90)&gt;0,1,0)+IF(LEN(M90)&gt;0,1,0)+IF(LEN(O90)&gt;0,1,0)+IF(LEN(P90)&gt;0,1,0)+IF(LEN(Q90)&gt;0,1,0)+IF(LEN(S90)&gt;0,1,0)+IF(LEN(AC90)&gt;0,1,0)+IF(LEN(AV90)&gt;0,1,0)+IF(LEN(AW90)&gt;0,1,0)+IF(LEN(AG90)&gt;0,1,0)+IF(LEN(AI90)&gt;0,1,0)+IF(LEN(AJ90)&gt;0,1,0)+IF(LEN(AK90)&gt;0,1,0)+IF(LEN(AL90)&gt;0,1,0)+IF(LEN(AU90)&gt;0,1,0)+IF(LEN(BH90)&gt;0,1,0)+IF(LEN(BU90)&gt;0,1,0))/23,2))</f>
        <v/>
      </c>
      <c r="CA90" s="10" t="str">
        <f aca="false">IF(D90="","",IF(AND(AJ90="Approved",ISERROR(SEARCH("FAIL",BE90))),"Y","N"))</f>
        <v/>
      </c>
      <c r="CB90" s="10" t="str">
        <f aca="false">IF(D90="","",D90&amp;"|"&amp;G90&amp;"|"&amp;H90&amp;"|"&amp;M90&amp;"|"&amp;CA90)</f>
        <v/>
      </c>
    </row>
    <row r="91" customFormat="false" ht="15" hidden="false" customHeight="false" outlineLevel="0" collapsed="false">
      <c r="A91" s="10" t="str">
        <f aca="false">IF(D91="","","DRN-"&amp;IFERROR(VLOOKUP(D91,Lists!$A$4:$B$27,2,0),"??")&amp;"-"&amp;TEXT(G91,"0000")&amp;"x"&amp;TEXT(H91,"0000")&amp;IF(N(I91)&gt;1,"-"&amp;I91&amp;"C","")&amp;"-"&amp;IFERROR(VLOOKUP(M91,Lists!$J$4:$K$19,2,0),"??")&amp;"-"&amp;AI91)</f>
        <v/>
      </c>
      <c r="B91" s="10" t="str">
        <f aca="false">IF(D91="","",D91&amp;" "&amp;G91&amp;"W x "&amp;H91&amp;"D"&amp;IF(N(I91)&gt;1," ("&amp;I91&amp;" cells)","")&amp;", "&amp;E91&amp;", "&amp;M91&amp;", "&amp;F91)</f>
        <v/>
      </c>
      <c r="C91" s="9"/>
      <c r="D91" s="9"/>
      <c r="E91" s="9"/>
      <c r="F91" s="9"/>
      <c r="G91" s="38"/>
      <c r="H91" s="38"/>
      <c r="I91" s="38"/>
      <c r="J91" s="38"/>
      <c r="K91" s="38"/>
      <c r="L91" s="38"/>
      <c r="M91" s="9"/>
      <c r="N91" s="9"/>
      <c r="O91" s="9"/>
      <c r="P91" s="38"/>
      <c r="Q91" s="9"/>
      <c r="R91" s="9"/>
      <c r="S91" s="9"/>
      <c r="T91" s="9"/>
      <c r="U91" s="9"/>
      <c r="V91" s="9"/>
      <c r="W91" s="9"/>
      <c r="X91" s="9"/>
      <c r="Y91" s="9"/>
      <c r="Z91" s="9"/>
      <c r="AA91" s="9"/>
      <c r="AB91" s="39"/>
      <c r="AC91" s="9"/>
      <c r="AD91" s="38"/>
      <c r="AE91" s="9"/>
      <c r="AF91" s="39"/>
      <c r="AG91" s="9"/>
      <c r="AH91" s="9"/>
      <c r="AI91" s="9"/>
      <c r="AJ91" s="9"/>
      <c r="AK91" s="9"/>
      <c r="AL91" s="9"/>
      <c r="AM91" s="9"/>
      <c r="AN91" s="10" t="str">
        <f aca="false">IF(A91="","",SG_Criteria!$B$6&amp;SG_Criteria!$B$7&amp;"\"&amp;A91&amp;"\")</f>
        <v/>
      </c>
      <c r="AO91" s="10" t="str">
        <f aca="false">IF(A91="","",A91&amp;"_CAD.dwg")</f>
        <v/>
      </c>
      <c r="AP91" s="10" t="str">
        <f aca="false">IF(A91="","",A91&amp;"_DWG.pdf")</f>
        <v/>
      </c>
      <c r="AQ91" s="10" t="str">
        <f aca="false">IF(A91="","",IF(AM91="Y",A91&amp;"_STAAD.std","n/a"))</f>
        <v/>
      </c>
      <c r="AR91" s="10" t="str">
        <f aca="false">IF(A91="","",A91&amp;"_CALC.xlsx")</f>
        <v/>
      </c>
      <c r="AS91" s="10" t="str">
        <f aca="false">IF(A91="","",A91&amp;"_CALC.pdf")</f>
        <v/>
      </c>
      <c r="AT91" s="9"/>
      <c r="AU91" s="9"/>
      <c r="AV91" s="39"/>
      <c r="AW91" s="39"/>
      <c r="AX91" s="39"/>
      <c r="AY91" s="39"/>
      <c r="AZ91" s="39"/>
      <c r="BA91" s="12" t="str">
        <f aca="false">IF(A91="","",IF(COUNTIF(Rebar_Schedule!$A$5:$A$2004,A91)=0,"",ROUND(SUMIF(Rebar_Schedule!$A$5:$A$2004,A91,Rebar_Schedule!$K$5:$K$2004),1)))</f>
        <v/>
      </c>
      <c r="BB91" s="33" t="str">
        <f aca="false">IF(A91="","",IF(BA91="","No rebar schedule yet",IF(ABS(BA91-N(AW91))/MAX(N(AW91),1)&gt;SG_Criteria!$B$55,"NOTE: register rebar differs from schedule by "&amp;TEXT(ABS(BA91-N(AW91))/MAX(N(AW91),1),"0%"),"OK")))</f>
        <v/>
      </c>
      <c r="BC91" s="34" t="str">
        <f aca="false">IF(OR(D91="",G91="",H91="",D91="Sump",D91="Drop Inlet Chamber",D91="Silt Trap",D91="Pipe Culvert",D91="Subsoil Drain"),"",ROUND(MAX(1,N(I91))*(1/SG_Criteria!$B$26)*((G91/1000)*(H91/1000*(1-SG_Criteria!$B$25)))*(((G91/1000)*(H91/1000*(1-SG_Criteria!$B$25)))/((G91/1000)+2*(H91/1000*(1-SG_Criteria!$B$25))))^(2/3)*(1/Design_Selector!$B$11)^0.5,3))</f>
        <v/>
      </c>
      <c r="BD91" s="11" t="str">
        <f aca="false">IF(BC91="","",ROUND(BC91/(MAX(1,N(I91))*G91/1000*(H91/1000*(1-SG_Criteria!$B$25))),2))</f>
        <v/>
      </c>
      <c r="BE91" s="33" t="str">
        <f aca="false">IF(D91="","",IF(LEN(IF(AND(OR(E91="Roadside drain",E91="Entrance culvert"),OR(G91&lt;SG_Criteria!$B$15,H91&lt;SG_Criteria!$B$16)),"FAIL: below PUB min "&amp;SG_Criteria!$B$15&amp;"x"&amp;SG_Criteria!$B$16&amp;" for roadside drain. ","")&amp;IF(AND(E91="Common drain",G91&lt;SG_Criteria!$B$17),"FAIL: common drain W &lt; "&amp;SG_Criteria!$B$17&amp;" mm. ","")&amp;IF(AND(O91&lt;&gt;"",IFERROR(VALUE(MID(O91,2,2)),0)&lt;SG_Criteria!$B$19),"FAIL: grade below C"&amp;SG_Criteria!$B$19&amp;". ","")&amp;IF(AND(P91&lt;&gt;"",P91&lt;SG_Criteria!$B$20),"FAIL: cover &lt; "&amp;SG_Criteria!$B$20&amp;" mm. ","")&amp;IF(AND(F91="Open",H91&gt;SG_Criteria!$B$18),"NOTE: safety railing required (D &gt; "&amp;SG_Criteria!$B$18&amp;" mm). ","")&amp;IF(AND(E91="Entrance culvert",H91&lt;600),"NOTE: check hinged grating rule for culverts &lt; 600 deep (PUB Add. 3). ",""))=0,"OK",IF(AND(OR(E91="Roadside drain",E91="Entrance culvert"),OR(G91&lt;SG_Criteria!$B$15,H91&lt;SG_Criteria!$B$16)),"FAIL: below PUB min "&amp;SG_Criteria!$B$15&amp;"x"&amp;SG_Criteria!$B$16&amp;" for roadside drain. ","")&amp;IF(AND(E91="Common drain",G91&lt;SG_Criteria!$B$17),"FAIL: common drain W &lt; "&amp;SG_Criteria!$B$17&amp;" mm. ","")&amp;IF(AND(O91&lt;&gt;"",IFERROR(VALUE(MID(O91,2,2)),0)&lt;SG_Criteria!$B$19),"FAIL: grade below C"&amp;SG_Criteria!$B$19&amp;". ","")&amp;IF(AND(P91&lt;&gt;"",P91&lt;SG_Criteria!$B$20),"FAIL: cover &lt; "&amp;SG_Criteria!$B$20&amp;" mm. ","")&amp;IF(AND(F91="Open",H91&gt;SG_Criteria!$B$18),"NOTE: safety railing required (D &gt; "&amp;SG_Criteria!$B$18&amp;" mm). ","")&amp;IF(AND(E91="Entrance culvert",H91&lt;600),"NOTE: check hinged grating rule for culverts &lt; 600 deep (PUB Add. 3). ","")))</f>
        <v/>
      </c>
      <c r="BF91" s="9"/>
      <c r="BG91" s="9"/>
      <c r="BH91" s="9"/>
      <c r="BI91" s="10" t="str">
        <f aca="false">IF(BH91="","",IFERROR(VLOOKUP(BH91,Projects!$A$5:$D$504,2,0),"Ref not in Projects"))</f>
        <v/>
      </c>
      <c r="BJ91" s="10" t="str">
        <f aca="false">IF(BH91="","",IFERROR(VLOOKUP(BH91,Projects!$A$5:$D$504,4,0),"Ref not in Projects"))</f>
        <v/>
      </c>
      <c r="BK91" s="9"/>
      <c r="BL91" s="9"/>
      <c r="BM91" s="9"/>
      <c r="BN91" s="40"/>
      <c r="BO91" s="9"/>
      <c r="BP91" s="40"/>
      <c r="BQ91" s="9"/>
      <c r="BR91" s="40"/>
      <c r="BS91" s="9"/>
      <c r="BT91" s="9"/>
      <c r="BU91" s="9"/>
      <c r="BV91" s="40"/>
      <c r="BW91" s="40"/>
      <c r="BX91" s="36" t="str">
        <f aca="false">IF(BW91="","",EDATE(BW91,SG_Criteria!$B$54*12))</f>
        <v/>
      </c>
      <c r="BY91" s="33" t="str">
        <f aca="true">IF(A91="","",IF(BW91="","NOTE: not reviewed yet",IF(TODAY()&gt;BX91,"NOTE: review overdue","OK")))</f>
        <v/>
      </c>
      <c r="BZ91" s="37" t="str">
        <f aca="false">IF(A91="","",ROUND((IF(LEN(D91)&gt;0,1,0)+IF(LEN(E91)&gt;0,1,0)+IF(LEN(F91)&gt;0,1,0)+IF(LEN(G91)&gt;0,1,0)+IF(LEN(H91)&gt;0,1,0)+IF(LEN(J91)&gt;0,1,0)+IF(LEN(K91)&gt;0,1,0)+IF(LEN(M91)&gt;0,1,0)+IF(LEN(O91)&gt;0,1,0)+IF(LEN(P91)&gt;0,1,0)+IF(LEN(Q91)&gt;0,1,0)+IF(LEN(S91)&gt;0,1,0)+IF(LEN(AC91)&gt;0,1,0)+IF(LEN(AV91)&gt;0,1,0)+IF(LEN(AW91)&gt;0,1,0)+IF(LEN(AG91)&gt;0,1,0)+IF(LEN(AI91)&gt;0,1,0)+IF(LEN(AJ91)&gt;0,1,0)+IF(LEN(AK91)&gt;0,1,0)+IF(LEN(AL91)&gt;0,1,0)+IF(LEN(AU91)&gt;0,1,0)+IF(LEN(BH91)&gt;0,1,0)+IF(LEN(BU91)&gt;0,1,0))/23,2))</f>
        <v/>
      </c>
      <c r="CA91" s="10" t="str">
        <f aca="false">IF(D91="","",IF(AND(AJ91="Approved",ISERROR(SEARCH("FAIL",BE91))),"Y","N"))</f>
        <v/>
      </c>
      <c r="CB91" s="10" t="str">
        <f aca="false">IF(D91="","",D91&amp;"|"&amp;G91&amp;"|"&amp;H91&amp;"|"&amp;M91&amp;"|"&amp;CA91)</f>
        <v/>
      </c>
    </row>
    <row r="92" customFormat="false" ht="15" hidden="false" customHeight="false" outlineLevel="0" collapsed="false">
      <c r="A92" s="10" t="str">
        <f aca="false">IF(D92="","","DRN-"&amp;IFERROR(VLOOKUP(D92,Lists!$A$4:$B$27,2,0),"??")&amp;"-"&amp;TEXT(G92,"0000")&amp;"x"&amp;TEXT(H92,"0000")&amp;IF(N(I92)&gt;1,"-"&amp;I92&amp;"C","")&amp;"-"&amp;IFERROR(VLOOKUP(M92,Lists!$J$4:$K$19,2,0),"??")&amp;"-"&amp;AI92)</f>
        <v/>
      </c>
      <c r="B92" s="10" t="str">
        <f aca="false">IF(D92="","",D92&amp;" "&amp;G92&amp;"W x "&amp;H92&amp;"D"&amp;IF(N(I92)&gt;1," ("&amp;I92&amp;" cells)","")&amp;", "&amp;E92&amp;", "&amp;M92&amp;", "&amp;F92)</f>
        <v/>
      </c>
      <c r="C92" s="9"/>
      <c r="D92" s="9"/>
      <c r="E92" s="9"/>
      <c r="F92" s="9"/>
      <c r="G92" s="38"/>
      <c r="H92" s="38"/>
      <c r="I92" s="38"/>
      <c r="J92" s="38"/>
      <c r="K92" s="38"/>
      <c r="L92" s="38"/>
      <c r="M92" s="9"/>
      <c r="N92" s="9"/>
      <c r="O92" s="9"/>
      <c r="P92" s="38"/>
      <c r="Q92" s="9"/>
      <c r="R92" s="9"/>
      <c r="S92" s="9"/>
      <c r="T92" s="9"/>
      <c r="U92" s="9"/>
      <c r="V92" s="9"/>
      <c r="W92" s="9"/>
      <c r="X92" s="9"/>
      <c r="Y92" s="9"/>
      <c r="Z92" s="9"/>
      <c r="AA92" s="9"/>
      <c r="AB92" s="39"/>
      <c r="AC92" s="9"/>
      <c r="AD92" s="38"/>
      <c r="AE92" s="9"/>
      <c r="AF92" s="39"/>
      <c r="AG92" s="9"/>
      <c r="AH92" s="9"/>
      <c r="AI92" s="9"/>
      <c r="AJ92" s="9"/>
      <c r="AK92" s="9"/>
      <c r="AL92" s="9"/>
      <c r="AM92" s="9"/>
      <c r="AN92" s="10" t="str">
        <f aca="false">IF(A92="","",SG_Criteria!$B$6&amp;SG_Criteria!$B$7&amp;"\"&amp;A92&amp;"\")</f>
        <v/>
      </c>
      <c r="AO92" s="10" t="str">
        <f aca="false">IF(A92="","",A92&amp;"_CAD.dwg")</f>
        <v/>
      </c>
      <c r="AP92" s="10" t="str">
        <f aca="false">IF(A92="","",A92&amp;"_DWG.pdf")</f>
        <v/>
      </c>
      <c r="AQ92" s="10" t="str">
        <f aca="false">IF(A92="","",IF(AM92="Y",A92&amp;"_STAAD.std","n/a"))</f>
        <v/>
      </c>
      <c r="AR92" s="10" t="str">
        <f aca="false">IF(A92="","",A92&amp;"_CALC.xlsx")</f>
        <v/>
      </c>
      <c r="AS92" s="10" t="str">
        <f aca="false">IF(A92="","",A92&amp;"_CALC.pdf")</f>
        <v/>
      </c>
      <c r="AT92" s="9"/>
      <c r="AU92" s="9"/>
      <c r="AV92" s="39"/>
      <c r="AW92" s="39"/>
      <c r="AX92" s="39"/>
      <c r="AY92" s="39"/>
      <c r="AZ92" s="39"/>
      <c r="BA92" s="12" t="str">
        <f aca="false">IF(A92="","",IF(COUNTIF(Rebar_Schedule!$A$5:$A$2004,A92)=0,"",ROUND(SUMIF(Rebar_Schedule!$A$5:$A$2004,A92,Rebar_Schedule!$K$5:$K$2004),1)))</f>
        <v/>
      </c>
      <c r="BB92" s="33" t="str">
        <f aca="false">IF(A92="","",IF(BA92="","No rebar schedule yet",IF(ABS(BA92-N(AW92))/MAX(N(AW92),1)&gt;SG_Criteria!$B$55,"NOTE: register rebar differs from schedule by "&amp;TEXT(ABS(BA92-N(AW92))/MAX(N(AW92),1),"0%"),"OK")))</f>
        <v/>
      </c>
      <c r="BC92" s="34" t="str">
        <f aca="false">IF(OR(D92="",G92="",H92="",D92="Sump",D92="Drop Inlet Chamber",D92="Silt Trap",D92="Pipe Culvert",D92="Subsoil Drain"),"",ROUND(MAX(1,N(I92))*(1/SG_Criteria!$B$26)*((G92/1000)*(H92/1000*(1-SG_Criteria!$B$25)))*(((G92/1000)*(H92/1000*(1-SG_Criteria!$B$25)))/((G92/1000)+2*(H92/1000*(1-SG_Criteria!$B$25))))^(2/3)*(1/Design_Selector!$B$11)^0.5,3))</f>
        <v/>
      </c>
      <c r="BD92" s="11" t="str">
        <f aca="false">IF(BC92="","",ROUND(BC92/(MAX(1,N(I92))*G92/1000*(H92/1000*(1-SG_Criteria!$B$25))),2))</f>
        <v/>
      </c>
      <c r="BE92" s="33" t="str">
        <f aca="false">IF(D92="","",IF(LEN(IF(AND(OR(E92="Roadside drain",E92="Entrance culvert"),OR(G92&lt;SG_Criteria!$B$15,H92&lt;SG_Criteria!$B$16)),"FAIL: below PUB min "&amp;SG_Criteria!$B$15&amp;"x"&amp;SG_Criteria!$B$16&amp;" for roadside drain. ","")&amp;IF(AND(E92="Common drain",G92&lt;SG_Criteria!$B$17),"FAIL: common drain W &lt; "&amp;SG_Criteria!$B$17&amp;" mm. ","")&amp;IF(AND(O92&lt;&gt;"",IFERROR(VALUE(MID(O92,2,2)),0)&lt;SG_Criteria!$B$19),"FAIL: grade below C"&amp;SG_Criteria!$B$19&amp;". ","")&amp;IF(AND(P92&lt;&gt;"",P92&lt;SG_Criteria!$B$20),"FAIL: cover &lt; "&amp;SG_Criteria!$B$20&amp;" mm. ","")&amp;IF(AND(F92="Open",H92&gt;SG_Criteria!$B$18),"NOTE: safety railing required (D &gt; "&amp;SG_Criteria!$B$18&amp;" mm). ","")&amp;IF(AND(E92="Entrance culvert",H92&lt;600),"NOTE: check hinged grating rule for culverts &lt; 600 deep (PUB Add. 3). ",""))=0,"OK",IF(AND(OR(E92="Roadside drain",E92="Entrance culvert"),OR(G92&lt;SG_Criteria!$B$15,H92&lt;SG_Criteria!$B$16)),"FAIL: below PUB min "&amp;SG_Criteria!$B$15&amp;"x"&amp;SG_Criteria!$B$16&amp;" for roadside drain. ","")&amp;IF(AND(E92="Common drain",G92&lt;SG_Criteria!$B$17),"FAIL: common drain W &lt; "&amp;SG_Criteria!$B$17&amp;" mm. ","")&amp;IF(AND(O92&lt;&gt;"",IFERROR(VALUE(MID(O92,2,2)),0)&lt;SG_Criteria!$B$19),"FAIL: grade below C"&amp;SG_Criteria!$B$19&amp;". ","")&amp;IF(AND(P92&lt;&gt;"",P92&lt;SG_Criteria!$B$20),"FAIL: cover &lt; "&amp;SG_Criteria!$B$20&amp;" mm. ","")&amp;IF(AND(F92="Open",H92&gt;SG_Criteria!$B$18),"NOTE: safety railing required (D &gt; "&amp;SG_Criteria!$B$18&amp;" mm). ","")&amp;IF(AND(E92="Entrance culvert",H92&lt;600),"NOTE: check hinged grating rule for culverts &lt; 600 deep (PUB Add. 3). ","")))</f>
        <v/>
      </c>
      <c r="BF92" s="9"/>
      <c r="BG92" s="9"/>
      <c r="BH92" s="9"/>
      <c r="BI92" s="10" t="str">
        <f aca="false">IF(BH92="","",IFERROR(VLOOKUP(BH92,Projects!$A$5:$D$504,2,0),"Ref not in Projects"))</f>
        <v/>
      </c>
      <c r="BJ92" s="10" t="str">
        <f aca="false">IF(BH92="","",IFERROR(VLOOKUP(BH92,Projects!$A$5:$D$504,4,0),"Ref not in Projects"))</f>
        <v/>
      </c>
      <c r="BK92" s="9"/>
      <c r="BL92" s="9"/>
      <c r="BM92" s="9"/>
      <c r="BN92" s="40"/>
      <c r="BO92" s="9"/>
      <c r="BP92" s="40"/>
      <c r="BQ92" s="9"/>
      <c r="BR92" s="40"/>
      <c r="BS92" s="9"/>
      <c r="BT92" s="9"/>
      <c r="BU92" s="9"/>
      <c r="BV92" s="40"/>
      <c r="BW92" s="40"/>
      <c r="BX92" s="36" t="str">
        <f aca="false">IF(BW92="","",EDATE(BW92,SG_Criteria!$B$54*12))</f>
        <v/>
      </c>
      <c r="BY92" s="33" t="str">
        <f aca="true">IF(A92="","",IF(BW92="","NOTE: not reviewed yet",IF(TODAY()&gt;BX92,"NOTE: review overdue","OK")))</f>
        <v/>
      </c>
      <c r="BZ92" s="37" t="str">
        <f aca="false">IF(A92="","",ROUND((IF(LEN(D92)&gt;0,1,0)+IF(LEN(E92)&gt;0,1,0)+IF(LEN(F92)&gt;0,1,0)+IF(LEN(G92)&gt;0,1,0)+IF(LEN(H92)&gt;0,1,0)+IF(LEN(J92)&gt;0,1,0)+IF(LEN(K92)&gt;0,1,0)+IF(LEN(M92)&gt;0,1,0)+IF(LEN(O92)&gt;0,1,0)+IF(LEN(P92)&gt;0,1,0)+IF(LEN(Q92)&gt;0,1,0)+IF(LEN(S92)&gt;0,1,0)+IF(LEN(AC92)&gt;0,1,0)+IF(LEN(AV92)&gt;0,1,0)+IF(LEN(AW92)&gt;0,1,0)+IF(LEN(AG92)&gt;0,1,0)+IF(LEN(AI92)&gt;0,1,0)+IF(LEN(AJ92)&gt;0,1,0)+IF(LEN(AK92)&gt;0,1,0)+IF(LEN(AL92)&gt;0,1,0)+IF(LEN(AU92)&gt;0,1,0)+IF(LEN(BH92)&gt;0,1,0)+IF(LEN(BU92)&gt;0,1,0))/23,2))</f>
        <v/>
      </c>
      <c r="CA92" s="10" t="str">
        <f aca="false">IF(D92="","",IF(AND(AJ92="Approved",ISERROR(SEARCH("FAIL",BE92))),"Y","N"))</f>
        <v/>
      </c>
      <c r="CB92" s="10" t="str">
        <f aca="false">IF(D92="","",D92&amp;"|"&amp;G92&amp;"|"&amp;H92&amp;"|"&amp;M92&amp;"|"&amp;CA92)</f>
        <v/>
      </c>
    </row>
    <row r="93" customFormat="false" ht="15" hidden="false" customHeight="false" outlineLevel="0" collapsed="false">
      <c r="A93" s="10" t="str">
        <f aca="false">IF(D93="","","DRN-"&amp;IFERROR(VLOOKUP(D93,Lists!$A$4:$B$27,2,0),"??")&amp;"-"&amp;TEXT(G93,"0000")&amp;"x"&amp;TEXT(H93,"0000")&amp;IF(N(I93)&gt;1,"-"&amp;I93&amp;"C","")&amp;"-"&amp;IFERROR(VLOOKUP(M93,Lists!$J$4:$K$19,2,0),"??")&amp;"-"&amp;AI93)</f>
        <v/>
      </c>
      <c r="B93" s="10" t="str">
        <f aca="false">IF(D93="","",D93&amp;" "&amp;G93&amp;"W x "&amp;H93&amp;"D"&amp;IF(N(I93)&gt;1," ("&amp;I93&amp;" cells)","")&amp;", "&amp;E93&amp;", "&amp;M93&amp;", "&amp;F93)</f>
        <v/>
      </c>
      <c r="C93" s="9"/>
      <c r="D93" s="9"/>
      <c r="E93" s="9"/>
      <c r="F93" s="9"/>
      <c r="G93" s="38"/>
      <c r="H93" s="38"/>
      <c r="I93" s="38"/>
      <c r="J93" s="38"/>
      <c r="K93" s="38"/>
      <c r="L93" s="38"/>
      <c r="M93" s="9"/>
      <c r="N93" s="9"/>
      <c r="O93" s="9"/>
      <c r="P93" s="38"/>
      <c r="Q93" s="9"/>
      <c r="R93" s="9"/>
      <c r="S93" s="9"/>
      <c r="T93" s="9"/>
      <c r="U93" s="9"/>
      <c r="V93" s="9"/>
      <c r="W93" s="9"/>
      <c r="X93" s="9"/>
      <c r="Y93" s="9"/>
      <c r="Z93" s="9"/>
      <c r="AA93" s="9"/>
      <c r="AB93" s="39"/>
      <c r="AC93" s="9"/>
      <c r="AD93" s="38"/>
      <c r="AE93" s="9"/>
      <c r="AF93" s="39"/>
      <c r="AG93" s="9"/>
      <c r="AH93" s="9"/>
      <c r="AI93" s="9"/>
      <c r="AJ93" s="9"/>
      <c r="AK93" s="9"/>
      <c r="AL93" s="9"/>
      <c r="AM93" s="9"/>
      <c r="AN93" s="10" t="str">
        <f aca="false">IF(A93="","",SG_Criteria!$B$6&amp;SG_Criteria!$B$7&amp;"\"&amp;A93&amp;"\")</f>
        <v/>
      </c>
      <c r="AO93" s="10" t="str">
        <f aca="false">IF(A93="","",A93&amp;"_CAD.dwg")</f>
        <v/>
      </c>
      <c r="AP93" s="10" t="str">
        <f aca="false">IF(A93="","",A93&amp;"_DWG.pdf")</f>
        <v/>
      </c>
      <c r="AQ93" s="10" t="str">
        <f aca="false">IF(A93="","",IF(AM93="Y",A93&amp;"_STAAD.std","n/a"))</f>
        <v/>
      </c>
      <c r="AR93" s="10" t="str">
        <f aca="false">IF(A93="","",A93&amp;"_CALC.xlsx")</f>
        <v/>
      </c>
      <c r="AS93" s="10" t="str">
        <f aca="false">IF(A93="","",A93&amp;"_CALC.pdf")</f>
        <v/>
      </c>
      <c r="AT93" s="9"/>
      <c r="AU93" s="9"/>
      <c r="AV93" s="39"/>
      <c r="AW93" s="39"/>
      <c r="AX93" s="39"/>
      <c r="AY93" s="39"/>
      <c r="AZ93" s="39"/>
      <c r="BA93" s="12" t="str">
        <f aca="false">IF(A93="","",IF(COUNTIF(Rebar_Schedule!$A$5:$A$2004,A93)=0,"",ROUND(SUMIF(Rebar_Schedule!$A$5:$A$2004,A93,Rebar_Schedule!$K$5:$K$2004),1)))</f>
        <v/>
      </c>
      <c r="BB93" s="33" t="str">
        <f aca="false">IF(A93="","",IF(BA93="","No rebar schedule yet",IF(ABS(BA93-N(AW93))/MAX(N(AW93),1)&gt;SG_Criteria!$B$55,"NOTE: register rebar differs from schedule by "&amp;TEXT(ABS(BA93-N(AW93))/MAX(N(AW93),1),"0%"),"OK")))</f>
        <v/>
      </c>
      <c r="BC93" s="34" t="str">
        <f aca="false">IF(OR(D93="",G93="",H93="",D93="Sump",D93="Drop Inlet Chamber",D93="Silt Trap",D93="Pipe Culvert",D93="Subsoil Drain"),"",ROUND(MAX(1,N(I93))*(1/SG_Criteria!$B$26)*((G93/1000)*(H93/1000*(1-SG_Criteria!$B$25)))*(((G93/1000)*(H93/1000*(1-SG_Criteria!$B$25)))/((G93/1000)+2*(H93/1000*(1-SG_Criteria!$B$25))))^(2/3)*(1/Design_Selector!$B$11)^0.5,3))</f>
        <v/>
      </c>
      <c r="BD93" s="11" t="str">
        <f aca="false">IF(BC93="","",ROUND(BC93/(MAX(1,N(I93))*G93/1000*(H93/1000*(1-SG_Criteria!$B$25))),2))</f>
        <v/>
      </c>
      <c r="BE93" s="33" t="str">
        <f aca="false">IF(D93="","",IF(LEN(IF(AND(OR(E93="Roadside drain",E93="Entrance culvert"),OR(G93&lt;SG_Criteria!$B$15,H93&lt;SG_Criteria!$B$16)),"FAIL: below PUB min "&amp;SG_Criteria!$B$15&amp;"x"&amp;SG_Criteria!$B$16&amp;" for roadside drain. ","")&amp;IF(AND(E93="Common drain",G93&lt;SG_Criteria!$B$17),"FAIL: common drain W &lt; "&amp;SG_Criteria!$B$17&amp;" mm. ","")&amp;IF(AND(O93&lt;&gt;"",IFERROR(VALUE(MID(O93,2,2)),0)&lt;SG_Criteria!$B$19),"FAIL: grade below C"&amp;SG_Criteria!$B$19&amp;". ","")&amp;IF(AND(P93&lt;&gt;"",P93&lt;SG_Criteria!$B$20),"FAIL: cover &lt; "&amp;SG_Criteria!$B$20&amp;" mm. ","")&amp;IF(AND(F93="Open",H93&gt;SG_Criteria!$B$18),"NOTE: safety railing required (D &gt; "&amp;SG_Criteria!$B$18&amp;" mm). ","")&amp;IF(AND(E93="Entrance culvert",H93&lt;600),"NOTE: check hinged grating rule for culverts &lt; 600 deep (PUB Add. 3). ",""))=0,"OK",IF(AND(OR(E93="Roadside drain",E93="Entrance culvert"),OR(G93&lt;SG_Criteria!$B$15,H93&lt;SG_Criteria!$B$16)),"FAIL: below PUB min "&amp;SG_Criteria!$B$15&amp;"x"&amp;SG_Criteria!$B$16&amp;" for roadside drain. ","")&amp;IF(AND(E93="Common drain",G93&lt;SG_Criteria!$B$17),"FAIL: common drain W &lt; "&amp;SG_Criteria!$B$17&amp;" mm. ","")&amp;IF(AND(O93&lt;&gt;"",IFERROR(VALUE(MID(O93,2,2)),0)&lt;SG_Criteria!$B$19),"FAIL: grade below C"&amp;SG_Criteria!$B$19&amp;". ","")&amp;IF(AND(P93&lt;&gt;"",P93&lt;SG_Criteria!$B$20),"FAIL: cover &lt; "&amp;SG_Criteria!$B$20&amp;" mm. ","")&amp;IF(AND(F93="Open",H93&gt;SG_Criteria!$B$18),"NOTE: safety railing required (D &gt; "&amp;SG_Criteria!$B$18&amp;" mm). ","")&amp;IF(AND(E93="Entrance culvert",H93&lt;600),"NOTE: check hinged grating rule for culverts &lt; 600 deep (PUB Add. 3). ","")))</f>
        <v/>
      </c>
      <c r="BF93" s="9"/>
      <c r="BG93" s="9"/>
      <c r="BH93" s="9"/>
      <c r="BI93" s="10" t="str">
        <f aca="false">IF(BH93="","",IFERROR(VLOOKUP(BH93,Projects!$A$5:$D$504,2,0),"Ref not in Projects"))</f>
        <v/>
      </c>
      <c r="BJ93" s="10" t="str">
        <f aca="false">IF(BH93="","",IFERROR(VLOOKUP(BH93,Projects!$A$5:$D$504,4,0),"Ref not in Projects"))</f>
        <v/>
      </c>
      <c r="BK93" s="9"/>
      <c r="BL93" s="9"/>
      <c r="BM93" s="9"/>
      <c r="BN93" s="40"/>
      <c r="BO93" s="9"/>
      <c r="BP93" s="40"/>
      <c r="BQ93" s="9"/>
      <c r="BR93" s="40"/>
      <c r="BS93" s="9"/>
      <c r="BT93" s="9"/>
      <c r="BU93" s="9"/>
      <c r="BV93" s="40"/>
      <c r="BW93" s="40"/>
      <c r="BX93" s="36" t="str">
        <f aca="false">IF(BW93="","",EDATE(BW93,SG_Criteria!$B$54*12))</f>
        <v/>
      </c>
      <c r="BY93" s="33" t="str">
        <f aca="true">IF(A93="","",IF(BW93="","NOTE: not reviewed yet",IF(TODAY()&gt;BX93,"NOTE: review overdue","OK")))</f>
        <v/>
      </c>
      <c r="BZ93" s="37" t="str">
        <f aca="false">IF(A93="","",ROUND((IF(LEN(D93)&gt;0,1,0)+IF(LEN(E93)&gt;0,1,0)+IF(LEN(F93)&gt;0,1,0)+IF(LEN(G93)&gt;0,1,0)+IF(LEN(H93)&gt;0,1,0)+IF(LEN(J93)&gt;0,1,0)+IF(LEN(K93)&gt;0,1,0)+IF(LEN(M93)&gt;0,1,0)+IF(LEN(O93)&gt;0,1,0)+IF(LEN(P93)&gt;0,1,0)+IF(LEN(Q93)&gt;0,1,0)+IF(LEN(S93)&gt;0,1,0)+IF(LEN(AC93)&gt;0,1,0)+IF(LEN(AV93)&gt;0,1,0)+IF(LEN(AW93)&gt;0,1,0)+IF(LEN(AG93)&gt;0,1,0)+IF(LEN(AI93)&gt;0,1,0)+IF(LEN(AJ93)&gt;0,1,0)+IF(LEN(AK93)&gt;0,1,0)+IF(LEN(AL93)&gt;0,1,0)+IF(LEN(AU93)&gt;0,1,0)+IF(LEN(BH93)&gt;0,1,0)+IF(LEN(BU93)&gt;0,1,0))/23,2))</f>
        <v/>
      </c>
      <c r="CA93" s="10" t="str">
        <f aca="false">IF(D93="","",IF(AND(AJ93="Approved",ISERROR(SEARCH("FAIL",BE93))),"Y","N"))</f>
        <v/>
      </c>
      <c r="CB93" s="10" t="str">
        <f aca="false">IF(D93="","",D93&amp;"|"&amp;G93&amp;"|"&amp;H93&amp;"|"&amp;M93&amp;"|"&amp;CA93)</f>
        <v/>
      </c>
    </row>
    <row r="94" customFormat="false" ht="15" hidden="false" customHeight="false" outlineLevel="0" collapsed="false">
      <c r="A94" s="10" t="str">
        <f aca="false">IF(D94="","","DRN-"&amp;IFERROR(VLOOKUP(D94,Lists!$A$4:$B$27,2,0),"??")&amp;"-"&amp;TEXT(G94,"0000")&amp;"x"&amp;TEXT(H94,"0000")&amp;IF(N(I94)&gt;1,"-"&amp;I94&amp;"C","")&amp;"-"&amp;IFERROR(VLOOKUP(M94,Lists!$J$4:$K$19,2,0),"??")&amp;"-"&amp;AI94)</f>
        <v/>
      </c>
      <c r="B94" s="10" t="str">
        <f aca="false">IF(D94="","",D94&amp;" "&amp;G94&amp;"W x "&amp;H94&amp;"D"&amp;IF(N(I94)&gt;1," ("&amp;I94&amp;" cells)","")&amp;", "&amp;E94&amp;", "&amp;M94&amp;", "&amp;F94)</f>
        <v/>
      </c>
      <c r="C94" s="9"/>
      <c r="D94" s="9"/>
      <c r="E94" s="9"/>
      <c r="F94" s="9"/>
      <c r="G94" s="38"/>
      <c r="H94" s="38"/>
      <c r="I94" s="38"/>
      <c r="J94" s="38"/>
      <c r="K94" s="38"/>
      <c r="L94" s="38"/>
      <c r="M94" s="9"/>
      <c r="N94" s="9"/>
      <c r="O94" s="9"/>
      <c r="P94" s="38"/>
      <c r="Q94" s="9"/>
      <c r="R94" s="9"/>
      <c r="S94" s="9"/>
      <c r="T94" s="9"/>
      <c r="U94" s="9"/>
      <c r="V94" s="9"/>
      <c r="W94" s="9"/>
      <c r="X94" s="9"/>
      <c r="Y94" s="9"/>
      <c r="Z94" s="9"/>
      <c r="AA94" s="9"/>
      <c r="AB94" s="39"/>
      <c r="AC94" s="9"/>
      <c r="AD94" s="38"/>
      <c r="AE94" s="9"/>
      <c r="AF94" s="39"/>
      <c r="AG94" s="9"/>
      <c r="AH94" s="9"/>
      <c r="AI94" s="9"/>
      <c r="AJ94" s="9"/>
      <c r="AK94" s="9"/>
      <c r="AL94" s="9"/>
      <c r="AM94" s="9"/>
      <c r="AN94" s="10" t="str">
        <f aca="false">IF(A94="","",SG_Criteria!$B$6&amp;SG_Criteria!$B$7&amp;"\"&amp;A94&amp;"\")</f>
        <v/>
      </c>
      <c r="AO94" s="10" t="str">
        <f aca="false">IF(A94="","",A94&amp;"_CAD.dwg")</f>
        <v/>
      </c>
      <c r="AP94" s="10" t="str">
        <f aca="false">IF(A94="","",A94&amp;"_DWG.pdf")</f>
        <v/>
      </c>
      <c r="AQ94" s="10" t="str">
        <f aca="false">IF(A94="","",IF(AM94="Y",A94&amp;"_STAAD.std","n/a"))</f>
        <v/>
      </c>
      <c r="AR94" s="10" t="str">
        <f aca="false">IF(A94="","",A94&amp;"_CALC.xlsx")</f>
        <v/>
      </c>
      <c r="AS94" s="10" t="str">
        <f aca="false">IF(A94="","",A94&amp;"_CALC.pdf")</f>
        <v/>
      </c>
      <c r="AT94" s="9"/>
      <c r="AU94" s="9"/>
      <c r="AV94" s="39"/>
      <c r="AW94" s="39"/>
      <c r="AX94" s="39"/>
      <c r="AY94" s="39"/>
      <c r="AZ94" s="39"/>
      <c r="BA94" s="12" t="str">
        <f aca="false">IF(A94="","",IF(COUNTIF(Rebar_Schedule!$A$5:$A$2004,A94)=0,"",ROUND(SUMIF(Rebar_Schedule!$A$5:$A$2004,A94,Rebar_Schedule!$K$5:$K$2004),1)))</f>
        <v/>
      </c>
      <c r="BB94" s="33" t="str">
        <f aca="false">IF(A94="","",IF(BA94="","No rebar schedule yet",IF(ABS(BA94-N(AW94))/MAX(N(AW94),1)&gt;SG_Criteria!$B$55,"NOTE: register rebar differs from schedule by "&amp;TEXT(ABS(BA94-N(AW94))/MAX(N(AW94),1),"0%"),"OK")))</f>
        <v/>
      </c>
      <c r="BC94" s="34" t="str">
        <f aca="false">IF(OR(D94="",G94="",H94="",D94="Sump",D94="Drop Inlet Chamber",D94="Silt Trap",D94="Pipe Culvert",D94="Subsoil Drain"),"",ROUND(MAX(1,N(I94))*(1/SG_Criteria!$B$26)*((G94/1000)*(H94/1000*(1-SG_Criteria!$B$25)))*(((G94/1000)*(H94/1000*(1-SG_Criteria!$B$25)))/((G94/1000)+2*(H94/1000*(1-SG_Criteria!$B$25))))^(2/3)*(1/Design_Selector!$B$11)^0.5,3))</f>
        <v/>
      </c>
      <c r="BD94" s="11" t="str">
        <f aca="false">IF(BC94="","",ROUND(BC94/(MAX(1,N(I94))*G94/1000*(H94/1000*(1-SG_Criteria!$B$25))),2))</f>
        <v/>
      </c>
      <c r="BE94" s="33" t="str">
        <f aca="false">IF(D94="","",IF(LEN(IF(AND(OR(E94="Roadside drain",E94="Entrance culvert"),OR(G94&lt;SG_Criteria!$B$15,H94&lt;SG_Criteria!$B$16)),"FAIL: below PUB min "&amp;SG_Criteria!$B$15&amp;"x"&amp;SG_Criteria!$B$16&amp;" for roadside drain. ","")&amp;IF(AND(E94="Common drain",G94&lt;SG_Criteria!$B$17),"FAIL: common drain W &lt; "&amp;SG_Criteria!$B$17&amp;" mm. ","")&amp;IF(AND(O94&lt;&gt;"",IFERROR(VALUE(MID(O94,2,2)),0)&lt;SG_Criteria!$B$19),"FAIL: grade below C"&amp;SG_Criteria!$B$19&amp;". ","")&amp;IF(AND(P94&lt;&gt;"",P94&lt;SG_Criteria!$B$20),"FAIL: cover &lt; "&amp;SG_Criteria!$B$20&amp;" mm. ","")&amp;IF(AND(F94="Open",H94&gt;SG_Criteria!$B$18),"NOTE: safety railing required (D &gt; "&amp;SG_Criteria!$B$18&amp;" mm). ","")&amp;IF(AND(E94="Entrance culvert",H94&lt;600),"NOTE: check hinged grating rule for culverts &lt; 600 deep (PUB Add. 3). ",""))=0,"OK",IF(AND(OR(E94="Roadside drain",E94="Entrance culvert"),OR(G94&lt;SG_Criteria!$B$15,H94&lt;SG_Criteria!$B$16)),"FAIL: below PUB min "&amp;SG_Criteria!$B$15&amp;"x"&amp;SG_Criteria!$B$16&amp;" for roadside drain. ","")&amp;IF(AND(E94="Common drain",G94&lt;SG_Criteria!$B$17),"FAIL: common drain W &lt; "&amp;SG_Criteria!$B$17&amp;" mm. ","")&amp;IF(AND(O94&lt;&gt;"",IFERROR(VALUE(MID(O94,2,2)),0)&lt;SG_Criteria!$B$19),"FAIL: grade below C"&amp;SG_Criteria!$B$19&amp;". ","")&amp;IF(AND(P94&lt;&gt;"",P94&lt;SG_Criteria!$B$20),"FAIL: cover &lt; "&amp;SG_Criteria!$B$20&amp;" mm. ","")&amp;IF(AND(F94="Open",H94&gt;SG_Criteria!$B$18),"NOTE: safety railing required (D &gt; "&amp;SG_Criteria!$B$18&amp;" mm). ","")&amp;IF(AND(E94="Entrance culvert",H94&lt;600),"NOTE: check hinged grating rule for culverts &lt; 600 deep (PUB Add. 3). ","")))</f>
        <v/>
      </c>
      <c r="BF94" s="9"/>
      <c r="BG94" s="9"/>
      <c r="BH94" s="9"/>
      <c r="BI94" s="10" t="str">
        <f aca="false">IF(BH94="","",IFERROR(VLOOKUP(BH94,Projects!$A$5:$D$504,2,0),"Ref not in Projects"))</f>
        <v/>
      </c>
      <c r="BJ94" s="10" t="str">
        <f aca="false">IF(BH94="","",IFERROR(VLOOKUP(BH94,Projects!$A$5:$D$504,4,0),"Ref not in Projects"))</f>
        <v/>
      </c>
      <c r="BK94" s="9"/>
      <c r="BL94" s="9"/>
      <c r="BM94" s="9"/>
      <c r="BN94" s="40"/>
      <c r="BO94" s="9"/>
      <c r="BP94" s="40"/>
      <c r="BQ94" s="9"/>
      <c r="BR94" s="40"/>
      <c r="BS94" s="9"/>
      <c r="BT94" s="9"/>
      <c r="BU94" s="9"/>
      <c r="BV94" s="40"/>
      <c r="BW94" s="40"/>
      <c r="BX94" s="36" t="str">
        <f aca="false">IF(BW94="","",EDATE(BW94,SG_Criteria!$B$54*12))</f>
        <v/>
      </c>
      <c r="BY94" s="33" t="str">
        <f aca="true">IF(A94="","",IF(BW94="","NOTE: not reviewed yet",IF(TODAY()&gt;BX94,"NOTE: review overdue","OK")))</f>
        <v/>
      </c>
      <c r="BZ94" s="37" t="str">
        <f aca="false">IF(A94="","",ROUND((IF(LEN(D94)&gt;0,1,0)+IF(LEN(E94)&gt;0,1,0)+IF(LEN(F94)&gt;0,1,0)+IF(LEN(G94)&gt;0,1,0)+IF(LEN(H94)&gt;0,1,0)+IF(LEN(J94)&gt;0,1,0)+IF(LEN(K94)&gt;0,1,0)+IF(LEN(M94)&gt;0,1,0)+IF(LEN(O94)&gt;0,1,0)+IF(LEN(P94)&gt;0,1,0)+IF(LEN(Q94)&gt;0,1,0)+IF(LEN(S94)&gt;0,1,0)+IF(LEN(AC94)&gt;0,1,0)+IF(LEN(AV94)&gt;0,1,0)+IF(LEN(AW94)&gt;0,1,0)+IF(LEN(AG94)&gt;0,1,0)+IF(LEN(AI94)&gt;0,1,0)+IF(LEN(AJ94)&gt;0,1,0)+IF(LEN(AK94)&gt;0,1,0)+IF(LEN(AL94)&gt;0,1,0)+IF(LEN(AU94)&gt;0,1,0)+IF(LEN(BH94)&gt;0,1,0)+IF(LEN(BU94)&gt;0,1,0))/23,2))</f>
        <v/>
      </c>
      <c r="CA94" s="10" t="str">
        <f aca="false">IF(D94="","",IF(AND(AJ94="Approved",ISERROR(SEARCH("FAIL",BE94))),"Y","N"))</f>
        <v/>
      </c>
      <c r="CB94" s="10" t="str">
        <f aca="false">IF(D94="","",D94&amp;"|"&amp;G94&amp;"|"&amp;H94&amp;"|"&amp;M94&amp;"|"&amp;CA94)</f>
        <v/>
      </c>
    </row>
    <row r="95" customFormat="false" ht="15" hidden="false" customHeight="false" outlineLevel="0" collapsed="false">
      <c r="A95" s="10" t="str">
        <f aca="false">IF(D95="","","DRN-"&amp;IFERROR(VLOOKUP(D95,Lists!$A$4:$B$27,2,0),"??")&amp;"-"&amp;TEXT(G95,"0000")&amp;"x"&amp;TEXT(H95,"0000")&amp;IF(N(I95)&gt;1,"-"&amp;I95&amp;"C","")&amp;"-"&amp;IFERROR(VLOOKUP(M95,Lists!$J$4:$K$19,2,0),"??")&amp;"-"&amp;AI95)</f>
        <v/>
      </c>
      <c r="B95" s="10" t="str">
        <f aca="false">IF(D95="","",D95&amp;" "&amp;G95&amp;"W x "&amp;H95&amp;"D"&amp;IF(N(I95)&gt;1," ("&amp;I95&amp;" cells)","")&amp;", "&amp;E95&amp;", "&amp;M95&amp;", "&amp;F95)</f>
        <v/>
      </c>
      <c r="C95" s="9"/>
      <c r="D95" s="9"/>
      <c r="E95" s="9"/>
      <c r="F95" s="9"/>
      <c r="G95" s="38"/>
      <c r="H95" s="38"/>
      <c r="I95" s="38"/>
      <c r="J95" s="38"/>
      <c r="K95" s="38"/>
      <c r="L95" s="38"/>
      <c r="M95" s="9"/>
      <c r="N95" s="9"/>
      <c r="O95" s="9"/>
      <c r="P95" s="38"/>
      <c r="Q95" s="9"/>
      <c r="R95" s="9"/>
      <c r="S95" s="9"/>
      <c r="T95" s="9"/>
      <c r="U95" s="9"/>
      <c r="V95" s="9"/>
      <c r="W95" s="9"/>
      <c r="X95" s="9"/>
      <c r="Y95" s="9"/>
      <c r="Z95" s="9"/>
      <c r="AA95" s="9"/>
      <c r="AB95" s="39"/>
      <c r="AC95" s="9"/>
      <c r="AD95" s="38"/>
      <c r="AE95" s="9"/>
      <c r="AF95" s="39"/>
      <c r="AG95" s="9"/>
      <c r="AH95" s="9"/>
      <c r="AI95" s="9"/>
      <c r="AJ95" s="9"/>
      <c r="AK95" s="9"/>
      <c r="AL95" s="9"/>
      <c r="AM95" s="9"/>
      <c r="AN95" s="10" t="str">
        <f aca="false">IF(A95="","",SG_Criteria!$B$6&amp;SG_Criteria!$B$7&amp;"\"&amp;A95&amp;"\")</f>
        <v/>
      </c>
      <c r="AO95" s="10" t="str">
        <f aca="false">IF(A95="","",A95&amp;"_CAD.dwg")</f>
        <v/>
      </c>
      <c r="AP95" s="10" t="str">
        <f aca="false">IF(A95="","",A95&amp;"_DWG.pdf")</f>
        <v/>
      </c>
      <c r="AQ95" s="10" t="str">
        <f aca="false">IF(A95="","",IF(AM95="Y",A95&amp;"_STAAD.std","n/a"))</f>
        <v/>
      </c>
      <c r="AR95" s="10" t="str">
        <f aca="false">IF(A95="","",A95&amp;"_CALC.xlsx")</f>
        <v/>
      </c>
      <c r="AS95" s="10" t="str">
        <f aca="false">IF(A95="","",A95&amp;"_CALC.pdf")</f>
        <v/>
      </c>
      <c r="AT95" s="9"/>
      <c r="AU95" s="9"/>
      <c r="AV95" s="39"/>
      <c r="AW95" s="39"/>
      <c r="AX95" s="39"/>
      <c r="AY95" s="39"/>
      <c r="AZ95" s="39"/>
      <c r="BA95" s="12" t="str">
        <f aca="false">IF(A95="","",IF(COUNTIF(Rebar_Schedule!$A$5:$A$2004,A95)=0,"",ROUND(SUMIF(Rebar_Schedule!$A$5:$A$2004,A95,Rebar_Schedule!$K$5:$K$2004),1)))</f>
        <v/>
      </c>
      <c r="BB95" s="33" t="str">
        <f aca="false">IF(A95="","",IF(BA95="","No rebar schedule yet",IF(ABS(BA95-N(AW95))/MAX(N(AW95),1)&gt;SG_Criteria!$B$55,"NOTE: register rebar differs from schedule by "&amp;TEXT(ABS(BA95-N(AW95))/MAX(N(AW95),1),"0%"),"OK")))</f>
        <v/>
      </c>
      <c r="BC95" s="34" t="str">
        <f aca="false">IF(OR(D95="",G95="",H95="",D95="Sump",D95="Drop Inlet Chamber",D95="Silt Trap",D95="Pipe Culvert",D95="Subsoil Drain"),"",ROUND(MAX(1,N(I95))*(1/SG_Criteria!$B$26)*((G95/1000)*(H95/1000*(1-SG_Criteria!$B$25)))*(((G95/1000)*(H95/1000*(1-SG_Criteria!$B$25)))/((G95/1000)+2*(H95/1000*(1-SG_Criteria!$B$25))))^(2/3)*(1/Design_Selector!$B$11)^0.5,3))</f>
        <v/>
      </c>
      <c r="BD95" s="11" t="str">
        <f aca="false">IF(BC95="","",ROUND(BC95/(MAX(1,N(I95))*G95/1000*(H95/1000*(1-SG_Criteria!$B$25))),2))</f>
        <v/>
      </c>
      <c r="BE95" s="33" t="str">
        <f aca="false">IF(D95="","",IF(LEN(IF(AND(OR(E95="Roadside drain",E95="Entrance culvert"),OR(G95&lt;SG_Criteria!$B$15,H95&lt;SG_Criteria!$B$16)),"FAIL: below PUB min "&amp;SG_Criteria!$B$15&amp;"x"&amp;SG_Criteria!$B$16&amp;" for roadside drain. ","")&amp;IF(AND(E95="Common drain",G95&lt;SG_Criteria!$B$17),"FAIL: common drain W &lt; "&amp;SG_Criteria!$B$17&amp;" mm. ","")&amp;IF(AND(O95&lt;&gt;"",IFERROR(VALUE(MID(O95,2,2)),0)&lt;SG_Criteria!$B$19),"FAIL: grade below C"&amp;SG_Criteria!$B$19&amp;". ","")&amp;IF(AND(P95&lt;&gt;"",P95&lt;SG_Criteria!$B$20),"FAIL: cover &lt; "&amp;SG_Criteria!$B$20&amp;" mm. ","")&amp;IF(AND(F95="Open",H95&gt;SG_Criteria!$B$18),"NOTE: safety railing required (D &gt; "&amp;SG_Criteria!$B$18&amp;" mm). ","")&amp;IF(AND(E95="Entrance culvert",H95&lt;600),"NOTE: check hinged grating rule for culverts &lt; 600 deep (PUB Add. 3). ",""))=0,"OK",IF(AND(OR(E95="Roadside drain",E95="Entrance culvert"),OR(G95&lt;SG_Criteria!$B$15,H95&lt;SG_Criteria!$B$16)),"FAIL: below PUB min "&amp;SG_Criteria!$B$15&amp;"x"&amp;SG_Criteria!$B$16&amp;" for roadside drain. ","")&amp;IF(AND(E95="Common drain",G95&lt;SG_Criteria!$B$17),"FAIL: common drain W &lt; "&amp;SG_Criteria!$B$17&amp;" mm. ","")&amp;IF(AND(O95&lt;&gt;"",IFERROR(VALUE(MID(O95,2,2)),0)&lt;SG_Criteria!$B$19),"FAIL: grade below C"&amp;SG_Criteria!$B$19&amp;". ","")&amp;IF(AND(P95&lt;&gt;"",P95&lt;SG_Criteria!$B$20),"FAIL: cover &lt; "&amp;SG_Criteria!$B$20&amp;" mm. ","")&amp;IF(AND(F95="Open",H95&gt;SG_Criteria!$B$18),"NOTE: safety railing required (D &gt; "&amp;SG_Criteria!$B$18&amp;" mm). ","")&amp;IF(AND(E95="Entrance culvert",H95&lt;600),"NOTE: check hinged grating rule for culverts &lt; 600 deep (PUB Add. 3). ","")))</f>
        <v/>
      </c>
      <c r="BF95" s="9"/>
      <c r="BG95" s="9"/>
      <c r="BH95" s="9"/>
      <c r="BI95" s="10" t="str">
        <f aca="false">IF(BH95="","",IFERROR(VLOOKUP(BH95,Projects!$A$5:$D$504,2,0),"Ref not in Projects"))</f>
        <v/>
      </c>
      <c r="BJ95" s="10" t="str">
        <f aca="false">IF(BH95="","",IFERROR(VLOOKUP(BH95,Projects!$A$5:$D$504,4,0),"Ref not in Projects"))</f>
        <v/>
      </c>
      <c r="BK95" s="9"/>
      <c r="BL95" s="9"/>
      <c r="BM95" s="9"/>
      <c r="BN95" s="40"/>
      <c r="BO95" s="9"/>
      <c r="BP95" s="40"/>
      <c r="BQ95" s="9"/>
      <c r="BR95" s="40"/>
      <c r="BS95" s="9"/>
      <c r="BT95" s="9"/>
      <c r="BU95" s="9"/>
      <c r="BV95" s="40"/>
      <c r="BW95" s="40"/>
      <c r="BX95" s="36" t="str">
        <f aca="false">IF(BW95="","",EDATE(BW95,SG_Criteria!$B$54*12))</f>
        <v/>
      </c>
      <c r="BY95" s="33" t="str">
        <f aca="true">IF(A95="","",IF(BW95="","NOTE: not reviewed yet",IF(TODAY()&gt;BX95,"NOTE: review overdue","OK")))</f>
        <v/>
      </c>
      <c r="BZ95" s="37" t="str">
        <f aca="false">IF(A95="","",ROUND((IF(LEN(D95)&gt;0,1,0)+IF(LEN(E95)&gt;0,1,0)+IF(LEN(F95)&gt;0,1,0)+IF(LEN(G95)&gt;0,1,0)+IF(LEN(H95)&gt;0,1,0)+IF(LEN(J95)&gt;0,1,0)+IF(LEN(K95)&gt;0,1,0)+IF(LEN(M95)&gt;0,1,0)+IF(LEN(O95)&gt;0,1,0)+IF(LEN(P95)&gt;0,1,0)+IF(LEN(Q95)&gt;0,1,0)+IF(LEN(S95)&gt;0,1,0)+IF(LEN(AC95)&gt;0,1,0)+IF(LEN(AV95)&gt;0,1,0)+IF(LEN(AW95)&gt;0,1,0)+IF(LEN(AG95)&gt;0,1,0)+IF(LEN(AI95)&gt;0,1,0)+IF(LEN(AJ95)&gt;0,1,0)+IF(LEN(AK95)&gt;0,1,0)+IF(LEN(AL95)&gt;0,1,0)+IF(LEN(AU95)&gt;0,1,0)+IF(LEN(BH95)&gt;0,1,0)+IF(LEN(BU95)&gt;0,1,0))/23,2))</f>
        <v/>
      </c>
      <c r="CA95" s="10" t="str">
        <f aca="false">IF(D95="","",IF(AND(AJ95="Approved",ISERROR(SEARCH("FAIL",BE95))),"Y","N"))</f>
        <v/>
      </c>
      <c r="CB95" s="10" t="str">
        <f aca="false">IF(D95="","",D95&amp;"|"&amp;G95&amp;"|"&amp;H95&amp;"|"&amp;M95&amp;"|"&amp;CA95)</f>
        <v/>
      </c>
    </row>
    <row r="96" customFormat="false" ht="15" hidden="false" customHeight="false" outlineLevel="0" collapsed="false">
      <c r="A96" s="10" t="str">
        <f aca="false">IF(D96="","","DRN-"&amp;IFERROR(VLOOKUP(D96,Lists!$A$4:$B$27,2,0),"??")&amp;"-"&amp;TEXT(G96,"0000")&amp;"x"&amp;TEXT(H96,"0000")&amp;IF(N(I96)&gt;1,"-"&amp;I96&amp;"C","")&amp;"-"&amp;IFERROR(VLOOKUP(M96,Lists!$J$4:$K$19,2,0),"??")&amp;"-"&amp;AI96)</f>
        <v/>
      </c>
      <c r="B96" s="10" t="str">
        <f aca="false">IF(D96="","",D96&amp;" "&amp;G96&amp;"W x "&amp;H96&amp;"D"&amp;IF(N(I96)&gt;1," ("&amp;I96&amp;" cells)","")&amp;", "&amp;E96&amp;", "&amp;M96&amp;", "&amp;F96)</f>
        <v/>
      </c>
      <c r="C96" s="9"/>
      <c r="D96" s="9"/>
      <c r="E96" s="9"/>
      <c r="F96" s="9"/>
      <c r="G96" s="38"/>
      <c r="H96" s="38"/>
      <c r="I96" s="38"/>
      <c r="J96" s="38"/>
      <c r="K96" s="38"/>
      <c r="L96" s="38"/>
      <c r="M96" s="9"/>
      <c r="N96" s="9"/>
      <c r="O96" s="9"/>
      <c r="P96" s="38"/>
      <c r="Q96" s="9"/>
      <c r="R96" s="9"/>
      <c r="S96" s="9"/>
      <c r="T96" s="9"/>
      <c r="U96" s="9"/>
      <c r="V96" s="9"/>
      <c r="W96" s="9"/>
      <c r="X96" s="9"/>
      <c r="Y96" s="9"/>
      <c r="Z96" s="9"/>
      <c r="AA96" s="9"/>
      <c r="AB96" s="39"/>
      <c r="AC96" s="9"/>
      <c r="AD96" s="38"/>
      <c r="AE96" s="9"/>
      <c r="AF96" s="39"/>
      <c r="AG96" s="9"/>
      <c r="AH96" s="9"/>
      <c r="AI96" s="9"/>
      <c r="AJ96" s="9"/>
      <c r="AK96" s="9"/>
      <c r="AL96" s="9"/>
      <c r="AM96" s="9"/>
      <c r="AN96" s="10" t="str">
        <f aca="false">IF(A96="","",SG_Criteria!$B$6&amp;SG_Criteria!$B$7&amp;"\"&amp;A96&amp;"\")</f>
        <v/>
      </c>
      <c r="AO96" s="10" t="str">
        <f aca="false">IF(A96="","",A96&amp;"_CAD.dwg")</f>
        <v/>
      </c>
      <c r="AP96" s="10" t="str">
        <f aca="false">IF(A96="","",A96&amp;"_DWG.pdf")</f>
        <v/>
      </c>
      <c r="AQ96" s="10" t="str">
        <f aca="false">IF(A96="","",IF(AM96="Y",A96&amp;"_STAAD.std","n/a"))</f>
        <v/>
      </c>
      <c r="AR96" s="10" t="str">
        <f aca="false">IF(A96="","",A96&amp;"_CALC.xlsx")</f>
        <v/>
      </c>
      <c r="AS96" s="10" t="str">
        <f aca="false">IF(A96="","",A96&amp;"_CALC.pdf")</f>
        <v/>
      </c>
      <c r="AT96" s="9"/>
      <c r="AU96" s="9"/>
      <c r="AV96" s="39"/>
      <c r="AW96" s="39"/>
      <c r="AX96" s="39"/>
      <c r="AY96" s="39"/>
      <c r="AZ96" s="39"/>
      <c r="BA96" s="12" t="str">
        <f aca="false">IF(A96="","",IF(COUNTIF(Rebar_Schedule!$A$5:$A$2004,A96)=0,"",ROUND(SUMIF(Rebar_Schedule!$A$5:$A$2004,A96,Rebar_Schedule!$K$5:$K$2004),1)))</f>
        <v/>
      </c>
      <c r="BB96" s="33" t="str">
        <f aca="false">IF(A96="","",IF(BA96="","No rebar schedule yet",IF(ABS(BA96-N(AW96))/MAX(N(AW96),1)&gt;SG_Criteria!$B$55,"NOTE: register rebar differs from schedule by "&amp;TEXT(ABS(BA96-N(AW96))/MAX(N(AW96),1),"0%"),"OK")))</f>
        <v/>
      </c>
      <c r="BC96" s="34" t="str">
        <f aca="false">IF(OR(D96="",G96="",H96="",D96="Sump",D96="Drop Inlet Chamber",D96="Silt Trap",D96="Pipe Culvert",D96="Subsoil Drain"),"",ROUND(MAX(1,N(I96))*(1/SG_Criteria!$B$26)*((G96/1000)*(H96/1000*(1-SG_Criteria!$B$25)))*(((G96/1000)*(H96/1000*(1-SG_Criteria!$B$25)))/((G96/1000)+2*(H96/1000*(1-SG_Criteria!$B$25))))^(2/3)*(1/Design_Selector!$B$11)^0.5,3))</f>
        <v/>
      </c>
      <c r="BD96" s="11" t="str">
        <f aca="false">IF(BC96="","",ROUND(BC96/(MAX(1,N(I96))*G96/1000*(H96/1000*(1-SG_Criteria!$B$25))),2))</f>
        <v/>
      </c>
      <c r="BE96" s="33" t="str">
        <f aca="false">IF(D96="","",IF(LEN(IF(AND(OR(E96="Roadside drain",E96="Entrance culvert"),OR(G96&lt;SG_Criteria!$B$15,H96&lt;SG_Criteria!$B$16)),"FAIL: below PUB min "&amp;SG_Criteria!$B$15&amp;"x"&amp;SG_Criteria!$B$16&amp;" for roadside drain. ","")&amp;IF(AND(E96="Common drain",G96&lt;SG_Criteria!$B$17),"FAIL: common drain W &lt; "&amp;SG_Criteria!$B$17&amp;" mm. ","")&amp;IF(AND(O96&lt;&gt;"",IFERROR(VALUE(MID(O96,2,2)),0)&lt;SG_Criteria!$B$19),"FAIL: grade below C"&amp;SG_Criteria!$B$19&amp;". ","")&amp;IF(AND(P96&lt;&gt;"",P96&lt;SG_Criteria!$B$20),"FAIL: cover &lt; "&amp;SG_Criteria!$B$20&amp;" mm. ","")&amp;IF(AND(F96="Open",H96&gt;SG_Criteria!$B$18),"NOTE: safety railing required (D &gt; "&amp;SG_Criteria!$B$18&amp;" mm). ","")&amp;IF(AND(E96="Entrance culvert",H96&lt;600),"NOTE: check hinged grating rule for culverts &lt; 600 deep (PUB Add. 3). ",""))=0,"OK",IF(AND(OR(E96="Roadside drain",E96="Entrance culvert"),OR(G96&lt;SG_Criteria!$B$15,H96&lt;SG_Criteria!$B$16)),"FAIL: below PUB min "&amp;SG_Criteria!$B$15&amp;"x"&amp;SG_Criteria!$B$16&amp;" for roadside drain. ","")&amp;IF(AND(E96="Common drain",G96&lt;SG_Criteria!$B$17),"FAIL: common drain W &lt; "&amp;SG_Criteria!$B$17&amp;" mm. ","")&amp;IF(AND(O96&lt;&gt;"",IFERROR(VALUE(MID(O96,2,2)),0)&lt;SG_Criteria!$B$19),"FAIL: grade below C"&amp;SG_Criteria!$B$19&amp;". ","")&amp;IF(AND(P96&lt;&gt;"",P96&lt;SG_Criteria!$B$20),"FAIL: cover &lt; "&amp;SG_Criteria!$B$20&amp;" mm. ","")&amp;IF(AND(F96="Open",H96&gt;SG_Criteria!$B$18),"NOTE: safety railing required (D &gt; "&amp;SG_Criteria!$B$18&amp;" mm). ","")&amp;IF(AND(E96="Entrance culvert",H96&lt;600),"NOTE: check hinged grating rule for culverts &lt; 600 deep (PUB Add. 3). ","")))</f>
        <v/>
      </c>
      <c r="BF96" s="9"/>
      <c r="BG96" s="9"/>
      <c r="BH96" s="9"/>
      <c r="BI96" s="10" t="str">
        <f aca="false">IF(BH96="","",IFERROR(VLOOKUP(BH96,Projects!$A$5:$D$504,2,0),"Ref not in Projects"))</f>
        <v/>
      </c>
      <c r="BJ96" s="10" t="str">
        <f aca="false">IF(BH96="","",IFERROR(VLOOKUP(BH96,Projects!$A$5:$D$504,4,0),"Ref not in Projects"))</f>
        <v/>
      </c>
      <c r="BK96" s="9"/>
      <c r="BL96" s="9"/>
      <c r="BM96" s="9"/>
      <c r="BN96" s="40"/>
      <c r="BO96" s="9"/>
      <c r="BP96" s="40"/>
      <c r="BQ96" s="9"/>
      <c r="BR96" s="40"/>
      <c r="BS96" s="9"/>
      <c r="BT96" s="9"/>
      <c r="BU96" s="9"/>
      <c r="BV96" s="40"/>
      <c r="BW96" s="40"/>
      <c r="BX96" s="36" t="str">
        <f aca="false">IF(BW96="","",EDATE(BW96,SG_Criteria!$B$54*12))</f>
        <v/>
      </c>
      <c r="BY96" s="33" t="str">
        <f aca="true">IF(A96="","",IF(BW96="","NOTE: not reviewed yet",IF(TODAY()&gt;BX96,"NOTE: review overdue","OK")))</f>
        <v/>
      </c>
      <c r="BZ96" s="37" t="str">
        <f aca="false">IF(A96="","",ROUND((IF(LEN(D96)&gt;0,1,0)+IF(LEN(E96)&gt;0,1,0)+IF(LEN(F96)&gt;0,1,0)+IF(LEN(G96)&gt;0,1,0)+IF(LEN(H96)&gt;0,1,0)+IF(LEN(J96)&gt;0,1,0)+IF(LEN(K96)&gt;0,1,0)+IF(LEN(M96)&gt;0,1,0)+IF(LEN(O96)&gt;0,1,0)+IF(LEN(P96)&gt;0,1,0)+IF(LEN(Q96)&gt;0,1,0)+IF(LEN(S96)&gt;0,1,0)+IF(LEN(AC96)&gt;0,1,0)+IF(LEN(AV96)&gt;0,1,0)+IF(LEN(AW96)&gt;0,1,0)+IF(LEN(AG96)&gt;0,1,0)+IF(LEN(AI96)&gt;0,1,0)+IF(LEN(AJ96)&gt;0,1,0)+IF(LEN(AK96)&gt;0,1,0)+IF(LEN(AL96)&gt;0,1,0)+IF(LEN(AU96)&gt;0,1,0)+IF(LEN(BH96)&gt;0,1,0)+IF(LEN(BU96)&gt;0,1,0))/23,2))</f>
        <v/>
      </c>
      <c r="CA96" s="10" t="str">
        <f aca="false">IF(D96="","",IF(AND(AJ96="Approved",ISERROR(SEARCH("FAIL",BE96))),"Y","N"))</f>
        <v/>
      </c>
      <c r="CB96" s="10" t="str">
        <f aca="false">IF(D96="","",D96&amp;"|"&amp;G96&amp;"|"&amp;H96&amp;"|"&amp;M96&amp;"|"&amp;CA96)</f>
        <v/>
      </c>
    </row>
    <row r="97" customFormat="false" ht="15" hidden="false" customHeight="false" outlineLevel="0" collapsed="false">
      <c r="A97" s="10" t="str">
        <f aca="false">IF(D97="","","DRN-"&amp;IFERROR(VLOOKUP(D97,Lists!$A$4:$B$27,2,0),"??")&amp;"-"&amp;TEXT(G97,"0000")&amp;"x"&amp;TEXT(H97,"0000")&amp;IF(N(I97)&gt;1,"-"&amp;I97&amp;"C","")&amp;"-"&amp;IFERROR(VLOOKUP(M97,Lists!$J$4:$K$19,2,0),"??")&amp;"-"&amp;AI97)</f>
        <v/>
      </c>
      <c r="B97" s="10" t="str">
        <f aca="false">IF(D97="","",D97&amp;" "&amp;G97&amp;"W x "&amp;H97&amp;"D"&amp;IF(N(I97)&gt;1," ("&amp;I97&amp;" cells)","")&amp;", "&amp;E97&amp;", "&amp;M97&amp;", "&amp;F97)</f>
        <v/>
      </c>
      <c r="C97" s="9"/>
      <c r="D97" s="9"/>
      <c r="E97" s="9"/>
      <c r="F97" s="9"/>
      <c r="G97" s="38"/>
      <c r="H97" s="38"/>
      <c r="I97" s="38"/>
      <c r="J97" s="38"/>
      <c r="K97" s="38"/>
      <c r="L97" s="38"/>
      <c r="M97" s="9"/>
      <c r="N97" s="9"/>
      <c r="O97" s="9"/>
      <c r="P97" s="38"/>
      <c r="Q97" s="9"/>
      <c r="R97" s="9"/>
      <c r="S97" s="9"/>
      <c r="T97" s="9"/>
      <c r="U97" s="9"/>
      <c r="V97" s="9"/>
      <c r="W97" s="9"/>
      <c r="X97" s="9"/>
      <c r="Y97" s="9"/>
      <c r="Z97" s="9"/>
      <c r="AA97" s="9"/>
      <c r="AB97" s="39"/>
      <c r="AC97" s="9"/>
      <c r="AD97" s="38"/>
      <c r="AE97" s="9"/>
      <c r="AF97" s="39"/>
      <c r="AG97" s="9"/>
      <c r="AH97" s="9"/>
      <c r="AI97" s="9"/>
      <c r="AJ97" s="9"/>
      <c r="AK97" s="9"/>
      <c r="AL97" s="9"/>
      <c r="AM97" s="9"/>
      <c r="AN97" s="10" t="str">
        <f aca="false">IF(A97="","",SG_Criteria!$B$6&amp;SG_Criteria!$B$7&amp;"\"&amp;A97&amp;"\")</f>
        <v/>
      </c>
      <c r="AO97" s="10" t="str">
        <f aca="false">IF(A97="","",A97&amp;"_CAD.dwg")</f>
        <v/>
      </c>
      <c r="AP97" s="10" t="str">
        <f aca="false">IF(A97="","",A97&amp;"_DWG.pdf")</f>
        <v/>
      </c>
      <c r="AQ97" s="10" t="str">
        <f aca="false">IF(A97="","",IF(AM97="Y",A97&amp;"_STAAD.std","n/a"))</f>
        <v/>
      </c>
      <c r="AR97" s="10" t="str">
        <f aca="false">IF(A97="","",A97&amp;"_CALC.xlsx")</f>
        <v/>
      </c>
      <c r="AS97" s="10" t="str">
        <f aca="false">IF(A97="","",A97&amp;"_CALC.pdf")</f>
        <v/>
      </c>
      <c r="AT97" s="9"/>
      <c r="AU97" s="9"/>
      <c r="AV97" s="39"/>
      <c r="AW97" s="39"/>
      <c r="AX97" s="39"/>
      <c r="AY97" s="39"/>
      <c r="AZ97" s="39"/>
      <c r="BA97" s="12" t="str">
        <f aca="false">IF(A97="","",IF(COUNTIF(Rebar_Schedule!$A$5:$A$2004,A97)=0,"",ROUND(SUMIF(Rebar_Schedule!$A$5:$A$2004,A97,Rebar_Schedule!$K$5:$K$2004),1)))</f>
        <v/>
      </c>
      <c r="BB97" s="33" t="str">
        <f aca="false">IF(A97="","",IF(BA97="","No rebar schedule yet",IF(ABS(BA97-N(AW97))/MAX(N(AW97),1)&gt;SG_Criteria!$B$55,"NOTE: register rebar differs from schedule by "&amp;TEXT(ABS(BA97-N(AW97))/MAX(N(AW97),1),"0%"),"OK")))</f>
        <v/>
      </c>
      <c r="BC97" s="34" t="str">
        <f aca="false">IF(OR(D97="",G97="",H97="",D97="Sump",D97="Drop Inlet Chamber",D97="Silt Trap",D97="Pipe Culvert",D97="Subsoil Drain"),"",ROUND(MAX(1,N(I97))*(1/SG_Criteria!$B$26)*((G97/1000)*(H97/1000*(1-SG_Criteria!$B$25)))*(((G97/1000)*(H97/1000*(1-SG_Criteria!$B$25)))/((G97/1000)+2*(H97/1000*(1-SG_Criteria!$B$25))))^(2/3)*(1/Design_Selector!$B$11)^0.5,3))</f>
        <v/>
      </c>
      <c r="BD97" s="11" t="str">
        <f aca="false">IF(BC97="","",ROUND(BC97/(MAX(1,N(I97))*G97/1000*(H97/1000*(1-SG_Criteria!$B$25))),2))</f>
        <v/>
      </c>
      <c r="BE97" s="33" t="str">
        <f aca="false">IF(D97="","",IF(LEN(IF(AND(OR(E97="Roadside drain",E97="Entrance culvert"),OR(G97&lt;SG_Criteria!$B$15,H97&lt;SG_Criteria!$B$16)),"FAIL: below PUB min "&amp;SG_Criteria!$B$15&amp;"x"&amp;SG_Criteria!$B$16&amp;" for roadside drain. ","")&amp;IF(AND(E97="Common drain",G97&lt;SG_Criteria!$B$17),"FAIL: common drain W &lt; "&amp;SG_Criteria!$B$17&amp;" mm. ","")&amp;IF(AND(O97&lt;&gt;"",IFERROR(VALUE(MID(O97,2,2)),0)&lt;SG_Criteria!$B$19),"FAIL: grade below C"&amp;SG_Criteria!$B$19&amp;". ","")&amp;IF(AND(P97&lt;&gt;"",P97&lt;SG_Criteria!$B$20),"FAIL: cover &lt; "&amp;SG_Criteria!$B$20&amp;" mm. ","")&amp;IF(AND(F97="Open",H97&gt;SG_Criteria!$B$18),"NOTE: safety railing required (D &gt; "&amp;SG_Criteria!$B$18&amp;" mm). ","")&amp;IF(AND(E97="Entrance culvert",H97&lt;600),"NOTE: check hinged grating rule for culverts &lt; 600 deep (PUB Add. 3). ",""))=0,"OK",IF(AND(OR(E97="Roadside drain",E97="Entrance culvert"),OR(G97&lt;SG_Criteria!$B$15,H97&lt;SG_Criteria!$B$16)),"FAIL: below PUB min "&amp;SG_Criteria!$B$15&amp;"x"&amp;SG_Criteria!$B$16&amp;" for roadside drain. ","")&amp;IF(AND(E97="Common drain",G97&lt;SG_Criteria!$B$17),"FAIL: common drain W &lt; "&amp;SG_Criteria!$B$17&amp;" mm. ","")&amp;IF(AND(O97&lt;&gt;"",IFERROR(VALUE(MID(O97,2,2)),0)&lt;SG_Criteria!$B$19),"FAIL: grade below C"&amp;SG_Criteria!$B$19&amp;". ","")&amp;IF(AND(P97&lt;&gt;"",P97&lt;SG_Criteria!$B$20),"FAIL: cover &lt; "&amp;SG_Criteria!$B$20&amp;" mm. ","")&amp;IF(AND(F97="Open",H97&gt;SG_Criteria!$B$18),"NOTE: safety railing required (D &gt; "&amp;SG_Criteria!$B$18&amp;" mm). ","")&amp;IF(AND(E97="Entrance culvert",H97&lt;600),"NOTE: check hinged grating rule for culverts &lt; 600 deep (PUB Add. 3). ","")))</f>
        <v/>
      </c>
      <c r="BF97" s="9"/>
      <c r="BG97" s="9"/>
      <c r="BH97" s="9"/>
      <c r="BI97" s="10" t="str">
        <f aca="false">IF(BH97="","",IFERROR(VLOOKUP(BH97,Projects!$A$5:$D$504,2,0),"Ref not in Projects"))</f>
        <v/>
      </c>
      <c r="BJ97" s="10" t="str">
        <f aca="false">IF(BH97="","",IFERROR(VLOOKUP(BH97,Projects!$A$5:$D$504,4,0),"Ref not in Projects"))</f>
        <v/>
      </c>
      <c r="BK97" s="9"/>
      <c r="BL97" s="9"/>
      <c r="BM97" s="9"/>
      <c r="BN97" s="40"/>
      <c r="BO97" s="9"/>
      <c r="BP97" s="40"/>
      <c r="BQ97" s="9"/>
      <c r="BR97" s="40"/>
      <c r="BS97" s="9"/>
      <c r="BT97" s="9"/>
      <c r="BU97" s="9"/>
      <c r="BV97" s="40"/>
      <c r="BW97" s="40"/>
      <c r="BX97" s="36" t="str">
        <f aca="false">IF(BW97="","",EDATE(BW97,SG_Criteria!$B$54*12))</f>
        <v/>
      </c>
      <c r="BY97" s="33" t="str">
        <f aca="true">IF(A97="","",IF(BW97="","NOTE: not reviewed yet",IF(TODAY()&gt;BX97,"NOTE: review overdue","OK")))</f>
        <v/>
      </c>
      <c r="BZ97" s="37" t="str">
        <f aca="false">IF(A97="","",ROUND((IF(LEN(D97)&gt;0,1,0)+IF(LEN(E97)&gt;0,1,0)+IF(LEN(F97)&gt;0,1,0)+IF(LEN(G97)&gt;0,1,0)+IF(LEN(H97)&gt;0,1,0)+IF(LEN(J97)&gt;0,1,0)+IF(LEN(K97)&gt;0,1,0)+IF(LEN(M97)&gt;0,1,0)+IF(LEN(O97)&gt;0,1,0)+IF(LEN(P97)&gt;0,1,0)+IF(LEN(Q97)&gt;0,1,0)+IF(LEN(S97)&gt;0,1,0)+IF(LEN(AC97)&gt;0,1,0)+IF(LEN(AV97)&gt;0,1,0)+IF(LEN(AW97)&gt;0,1,0)+IF(LEN(AG97)&gt;0,1,0)+IF(LEN(AI97)&gt;0,1,0)+IF(LEN(AJ97)&gt;0,1,0)+IF(LEN(AK97)&gt;0,1,0)+IF(LEN(AL97)&gt;0,1,0)+IF(LEN(AU97)&gt;0,1,0)+IF(LEN(BH97)&gt;0,1,0)+IF(LEN(BU97)&gt;0,1,0))/23,2))</f>
        <v/>
      </c>
      <c r="CA97" s="10" t="str">
        <f aca="false">IF(D97="","",IF(AND(AJ97="Approved",ISERROR(SEARCH("FAIL",BE97))),"Y","N"))</f>
        <v/>
      </c>
      <c r="CB97" s="10" t="str">
        <f aca="false">IF(D97="","",D97&amp;"|"&amp;G97&amp;"|"&amp;H97&amp;"|"&amp;M97&amp;"|"&amp;CA97)</f>
        <v/>
      </c>
    </row>
    <row r="98" customFormat="false" ht="15" hidden="false" customHeight="false" outlineLevel="0" collapsed="false">
      <c r="A98" s="10" t="str">
        <f aca="false">IF(D98="","","DRN-"&amp;IFERROR(VLOOKUP(D98,Lists!$A$4:$B$27,2,0),"??")&amp;"-"&amp;TEXT(G98,"0000")&amp;"x"&amp;TEXT(H98,"0000")&amp;IF(N(I98)&gt;1,"-"&amp;I98&amp;"C","")&amp;"-"&amp;IFERROR(VLOOKUP(M98,Lists!$J$4:$K$19,2,0),"??")&amp;"-"&amp;AI98)</f>
        <v/>
      </c>
      <c r="B98" s="10" t="str">
        <f aca="false">IF(D98="","",D98&amp;" "&amp;G98&amp;"W x "&amp;H98&amp;"D"&amp;IF(N(I98)&gt;1," ("&amp;I98&amp;" cells)","")&amp;", "&amp;E98&amp;", "&amp;M98&amp;", "&amp;F98)</f>
        <v/>
      </c>
      <c r="C98" s="9"/>
      <c r="D98" s="9"/>
      <c r="E98" s="9"/>
      <c r="F98" s="9"/>
      <c r="G98" s="38"/>
      <c r="H98" s="38"/>
      <c r="I98" s="38"/>
      <c r="J98" s="38"/>
      <c r="K98" s="38"/>
      <c r="L98" s="38"/>
      <c r="M98" s="9"/>
      <c r="N98" s="9"/>
      <c r="O98" s="9"/>
      <c r="P98" s="38"/>
      <c r="Q98" s="9"/>
      <c r="R98" s="9"/>
      <c r="S98" s="9"/>
      <c r="T98" s="9"/>
      <c r="U98" s="9"/>
      <c r="V98" s="9"/>
      <c r="W98" s="9"/>
      <c r="X98" s="9"/>
      <c r="Y98" s="9"/>
      <c r="Z98" s="9"/>
      <c r="AA98" s="9"/>
      <c r="AB98" s="39"/>
      <c r="AC98" s="9"/>
      <c r="AD98" s="38"/>
      <c r="AE98" s="9"/>
      <c r="AF98" s="39"/>
      <c r="AG98" s="9"/>
      <c r="AH98" s="9"/>
      <c r="AI98" s="9"/>
      <c r="AJ98" s="9"/>
      <c r="AK98" s="9"/>
      <c r="AL98" s="9"/>
      <c r="AM98" s="9"/>
      <c r="AN98" s="10" t="str">
        <f aca="false">IF(A98="","",SG_Criteria!$B$6&amp;SG_Criteria!$B$7&amp;"\"&amp;A98&amp;"\")</f>
        <v/>
      </c>
      <c r="AO98" s="10" t="str">
        <f aca="false">IF(A98="","",A98&amp;"_CAD.dwg")</f>
        <v/>
      </c>
      <c r="AP98" s="10" t="str">
        <f aca="false">IF(A98="","",A98&amp;"_DWG.pdf")</f>
        <v/>
      </c>
      <c r="AQ98" s="10" t="str">
        <f aca="false">IF(A98="","",IF(AM98="Y",A98&amp;"_STAAD.std","n/a"))</f>
        <v/>
      </c>
      <c r="AR98" s="10" t="str">
        <f aca="false">IF(A98="","",A98&amp;"_CALC.xlsx")</f>
        <v/>
      </c>
      <c r="AS98" s="10" t="str">
        <f aca="false">IF(A98="","",A98&amp;"_CALC.pdf")</f>
        <v/>
      </c>
      <c r="AT98" s="9"/>
      <c r="AU98" s="9"/>
      <c r="AV98" s="39"/>
      <c r="AW98" s="39"/>
      <c r="AX98" s="39"/>
      <c r="AY98" s="39"/>
      <c r="AZ98" s="39"/>
      <c r="BA98" s="12" t="str">
        <f aca="false">IF(A98="","",IF(COUNTIF(Rebar_Schedule!$A$5:$A$2004,A98)=0,"",ROUND(SUMIF(Rebar_Schedule!$A$5:$A$2004,A98,Rebar_Schedule!$K$5:$K$2004),1)))</f>
        <v/>
      </c>
      <c r="BB98" s="33" t="str">
        <f aca="false">IF(A98="","",IF(BA98="","No rebar schedule yet",IF(ABS(BA98-N(AW98))/MAX(N(AW98),1)&gt;SG_Criteria!$B$55,"NOTE: register rebar differs from schedule by "&amp;TEXT(ABS(BA98-N(AW98))/MAX(N(AW98),1),"0%"),"OK")))</f>
        <v/>
      </c>
      <c r="BC98" s="34" t="str">
        <f aca="false">IF(OR(D98="",G98="",H98="",D98="Sump",D98="Drop Inlet Chamber",D98="Silt Trap",D98="Pipe Culvert",D98="Subsoil Drain"),"",ROUND(MAX(1,N(I98))*(1/SG_Criteria!$B$26)*((G98/1000)*(H98/1000*(1-SG_Criteria!$B$25)))*(((G98/1000)*(H98/1000*(1-SG_Criteria!$B$25)))/((G98/1000)+2*(H98/1000*(1-SG_Criteria!$B$25))))^(2/3)*(1/Design_Selector!$B$11)^0.5,3))</f>
        <v/>
      </c>
      <c r="BD98" s="11" t="str">
        <f aca="false">IF(BC98="","",ROUND(BC98/(MAX(1,N(I98))*G98/1000*(H98/1000*(1-SG_Criteria!$B$25))),2))</f>
        <v/>
      </c>
      <c r="BE98" s="33" t="str">
        <f aca="false">IF(D98="","",IF(LEN(IF(AND(OR(E98="Roadside drain",E98="Entrance culvert"),OR(G98&lt;SG_Criteria!$B$15,H98&lt;SG_Criteria!$B$16)),"FAIL: below PUB min "&amp;SG_Criteria!$B$15&amp;"x"&amp;SG_Criteria!$B$16&amp;" for roadside drain. ","")&amp;IF(AND(E98="Common drain",G98&lt;SG_Criteria!$B$17),"FAIL: common drain W &lt; "&amp;SG_Criteria!$B$17&amp;" mm. ","")&amp;IF(AND(O98&lt;&gt;"",IFERROR(VALUE(MID(O98,2,2)),0)&lt;SG_Criteria!$B$19),"FAIL: grade below C"&amp;SG_Criteria!$B$19&amp;". ","")&amp;IF(AND(P98&lt;&gt;"",P98&lt;SG_Criteria!$B$20),"FAIL: cover &lt; "&amp;SG_Criteria!$B$20&amp;" mm. ","")&amp;IF(AND(F98="Open",H98&gt;SG_Criteria!$B$18),"NOTE: safety railing required (D &gt; "&amp;SG_Criteria!$B$18&amp;" mm). ","")&amp;IF(AND(E98="Entrance culvert",H98&lt;600),"NOTE: check hinged grating rule for culverts &lt; 600 deep (PUB Add. 3). ",""))=0,"OK",IF(AND(OR(E98="Roadside drain",E98="Entrance culvert"),OR(G98&lt;SG_Criteria!$B$15,H98&lt;SG_Criteria!$B$16)),"FAIL: below PUB min "&amp;SG_Criteria!$B$15&amp;"x"&amp;SG_Criteria!$B$16&amp;" for roadside drain. ","")&amp;IF(AND(E98="Common drain",G98&lt;SG_Criteria!$B$17),"FAIL: common drain W &lt; "&amp;SG_Criteria!$B$17&amp;" mm. ","")&amp;IF(AND(O98&lt;&gt;"",IFERROR(VALUE(MID(O98,2,2)),0)&lt;SG_Criteria!$B$19),"FAIL: grade below C"&amp;SG_Criteria!$B$19&amp;". ","")&amp;IF(AND(P98&lt;&gt;"",P98&lt;SG_Criteria!$B$20),"FAIL: cover &lt; "&amp;SG_Criteria!$B$20&amp;" mm. ","")&amp;IF(AND(F98="Open",H98&gt;SG_Criteria!$B$18),"NOTE: safety railing required (D &gt; "&amp;SG_Criteria!$B$18&amp;" mm). ","")&amp;IF(AND(E98="Entrance culvert",H98&lt;600),"NOTE: check hinged grating rule for culverts &lt; 600 deep (PUB Add. 3). ","")))</f>
        <v/>
      </c>
      <c r="BF98" s="9"/>
      <c r="BG98" s="9"/>
      <c r="BH98" s="9"/>
      <c r="BI98" s="10" t="str">
        <f aca="false">IF(BH98="","",IFERROR(VLOOKUP(BH98,Projects!$A$5:$D$504,2,0),"Ref not in Projects"))</f>
        <v/>
      </c>
      <c r="BJ98" s="10" t="str">
        <f aca="false">IF(BH98="","",IFERROR(VLOOKUP(BH98,Projects!$A$5:$D$504,4,0),"Ref not in Projects"))</f>
        <v/>
      </c>
      <c r="BK98" s="9"/>
      <c r="BL98" s="9"/>
      <c r="BM98" s="9"/>
      <c r="BN98" s="40"/>
      <c r="BO98" s="9"/>
      <c r="BP98" s="40"/>
      <c r="BQ98" s="9"/>
      <c r="BR98" s="40"/>
      <c r="BS98" s="9"/>
      <c r="BT98" s="9"/>
      <c r="BU98" s="9"/>
      <c r="BV98" s="40"/>
      <c r="BW98" s="40"/>
      <c r="BX98" s="36" t="str">
        <f aca="false">IF(BW98="","",EDATE(BW98,SG_Criteria!$B$54*12))</f>
        <v/>
      </c>
      <c r="BY98" s="33" t="str">
        <f aca="true">IF(A98="","",IF(BW98="","NOTE: not reviewed yet",IF(TODAY()&gt;BX98,"NOTE: review overdue","OK")))</f>
        <v/>
      </c>
      <c r="BZ98" s="37" t="str">
        <f aca="false">IF(A98="","",ROUND((IF(LEN(D98)&gt;0,1,0)+IF(LEN(E98)&gt;0,1,0)+IF(LEN(F98)&gt;0,1,0)+IF(LEN(G98)&gt;0,1,0)+IF(LEN(H98)&gt;0,1,0)+IF(LEN(J98)&gt;0,1,0)+IF(LEN(K98)&gt;0,1,0)+IF(LEN(M98)&gt;0,1,0)+IF(LEN(O98)&gt;0,1,0)+IF(LEN(P98)&gt;0,1,0)+IF(LEN(Q98)&gt;0,1,0)+IF(LEN(S98)&gt;0,1,0)+IF(LEN(AC98)&gt;0,1,0)+IF(LEN(AV98)&gt;0,1,0)+IF(LEN(AW98)&gt;0,1,0)+IF(LEN(AG98)&gt;0,1,0)+IF(LEN(AI98)&gt;0,1,0)+IF(LEN(AJ98)&gt;0,1,0)+IF(LEN(AK98)&gt;0,1,0)+IF(LEN(AL98)&gt;0,1,0)+IF(LEN(AU98)&gt;0,1,0)+IF(LEN(BH98)&gt;0,1,0)+IF(LEN(BU98)&gt;0,1,0))/23,2))</f>
        <v/>
      </c>
      <c r="CA98" s="10" t="str">
        <f aca="false">IF(D98="","",IF(AND(AJ98="Approved",ISERROR(SEARCH("FAIL",BE98))),"Y","N"))</f>
        <v/>
      </c>
      <c r="CB98" s="10" t="str">
        <f aca="false">IF(D98="","",D98&amp;"|"&amp;G98&amp;"|"&amp;H98&amp;"|"&amp;M98&amp;"|"&amp;CA98)</f>
        <v/>
      </c>
    </row>
    <row r="99" customFormat="false" ht="15" hidden="false" customHeight="false" outlineLevel="0" collapsed="false">
      <c r="A99" s="10" t="str">
        <f aca="false">IF(D99="","","DRN-"&amp;IFERROR(VLOOKUP(D99,Lists!$A$4:$B$27,2,0),"??")&amp;"-"&amp;TEXT(G99,"0000")&amp;"x"&amp;TEXT(H99,"0000")&amp;IF(N(I99)&gt;1,"-"&amp;I99&amp;"C","")&amp;"-"&amp;IFERROR(VLOOKUP(M99,Lists!$J$4:$K$19,2,0),"??")&amp;"-"&amp;AI99)</f>
        <v/>
      </c>
      <c r="B99" s="10" t="str">
        <f aca="false">IF(D99="","",D99&amp;" "&amp;G99&amp;"W x "&amp;H99&amp;"D"&amp;IF(N(I99)&gt;1," ("&amp;I99&amp;" cells)","")&amp;", "&amp;E99&amp;", "&amp;M99&amp;", "&amp;F99)</f>
        <v/>
      </c>
      <c r="C99" s="9"/>
      <c r="D99" s="9"/>
      <c r="E99" s="9"/>
      <c r="F99" s="9"/>
      <c r="G99" s="38"/>
      <c r="H99" s="38"/>
      <c r="I99" s="38"/>
      <c r="J99" s="38"/>
      <c r="K99" s="38"/>
      <c r="L99" s="38"/>
      <c r="M99" s="9"/>
      <c r="N99" s="9"/>
      <c r="O99" s="9"/>
      <c r="P99" s="38"/>
      <c r="Q99" s="9"/>
      <c r="R99" s="9"/>
      <c r="S99" s="9"/>
      <c r="T99" s="9"/>
      <c r="U99" s="9"/>
      <c r="V99" s="9"/>
      <c r="W99" s="9"/>
      <c r="X99" s="9"/>
      <c r="Y99" s="9"/>
      <c r="Z99" s="9"/>
      <c r="AA99" s="9"/>
      <c r="AB99" s="39"/>
      <c r="AC99" s="9"/>
      <c r="AD99" s="38"/>
      <c r="AE99" s="9"/>
      <c r="AF99" s="39"/>
      <c r="AG99" s="9"/>
      <c r="AH99" s="9"/>
      <c r="AI99" s="9"/>
      <c r="AJ99" s="9"/>
      <c r="AK99" s="9"/>
      <c r="AL99" s="9"/>
      <c r="AM99" s="9"/>
      <c r="AN99" s="10" t="str">
        <f aca="false">IF(A99="","",SG_Criteria!$B$6&amp;SG_Criteria!$B$7&amp;"\"&amp;A99&amp;"\")</f>
        <v/>
      </c>
      <c r="AO99" s="10" t="str">
        <f aca="false">IF(A99="","",A99&amp;"_CAD.dwg")</f>
        <v/>
      </c>
      <c r="AP99" s="10" t="str">
        <f aca="false">IF(A99="","",A99&amp;"_DWG.pdf")</f>
        <v/>
      </c>
      <c r="AQ99" s="10" t="str">
        <f aca="false">IF(A99="","",IF(AM99="Y",A99&amp;"_STAAD.std","n/a"))</f>
        <v/>
      </c>
      <c r="AR99" s="10" t="str">
        <f aca="false">IF(A99="","",A99&amp;"_CALC.xlsx")</f>
        <v/>
      </c>
      <c r="AS99" s="10" t="str">
        <f aca="false">IF(A99="","",A99&amp;"_CALC.pdf")</f>
        <v/>
      </c>
      <c r="AT99" s="9"/>
      <c r="AU99" s="9"/>
      <c r="AV99" s="39"/>
      <c r="AW99" s="39"/>
      <c r="AX99" s="39"/>
      <c r="AY99" s="39"/>
      <c r="AZ99" s="39"/>
      <c r="BA99" s="12" t="str">
        <f aca="false">IF(A99="","",IF(COUNTIF(Rebar_Schedule!$A$5:$A$2004,A99)=0,"",ROUND(SUMIF(Rebar_Schedule!$A$5:$A$2004,A99,Rebar_Schedule!$K$5:$K$2004),1)))</f>
        <v/>
      </c>
      <c r="BB99" s="33" t="str">
        <f aca="false">IF(A99="","",IF(BA99="","No rebar schedule yet",IF(ABS(BA99-N(AW99))/MAX(N(AW99),1)&gt;SG_Criteria!$B$55,"NOTE: register rebar differs from schedule by "&amp;TEXT(ABS(BA99-N(AW99))/MAX(N(AW99),1),"0%"),"OK")))</f>
        <v/>
      </c>
      <c r="BC99" s="34" t="str">
        <f aca="false">IF(OR(D99="",G99="",H99="",D99="Sump",D99="Drop Inlet Chamber",D99="Silt Trap",D99="Pipe Culvert",D99="Subsoil Drain"),"",ROUND(MAX(1,N(I99))*(1/SG_Criteria!$B$26)*((G99/1000)*(H99/1000*(1-SG_Criteria!$B$25)))*(((G99/1000)*(H99/1000*(1-SG_Criteria!$B$25)))/((G99/1000)+2*(H99/1000*(1-SG_Criteria!$B$25))))^(2/3)*(1/Design_Selector!$B$11)^0.5,3))</f>
        <v/>
      </c>
      <c r="BD99" s="11" t="str">
        <f aca="false">IF(BC99="","",ROUND(BC99/(MAX(1,N(I99))*G99/1000*(H99/1000*(1-SG_Criteria!$B$25))),2))</f>
        <v/>
      </c>
      <c r="BE99" s="33" t="str">
        <f aca="false">IF(D99="","",IF(LEN(IF(AND(OR(E99="Roadside drain",E99="Entrance culvert"),OR(G99&lt;SG_Criteria!$B$15,H99&lt;SG_Criteria!$B$16)),"FAIL: below PUB min "&amp;SG_Criteria!$B$15&amp;"x"&amp;SG_Criteria!$B$16&amp;" for roadside drain. ","")&amp;IF(AND(E99="Common drain",G99&lt;SG_Criteria!$B$17),"FAIL: common drain W &lt; "&amp;SG_Criteria!$B$17&amp;" mm. ","")&amp;IF(AND(O99&lt;&gt;"",IFERROR(VALUE(MID(O99,2,2)),0)&lt;SG_Criteria!$B$19),"FAIL: grade below C"&amp;SG_Criteria!$B$19&amp;". ","")&amp;IF(AND(P99&lt;&gt;"",P99&lt;SG_Criteria!$B$20),"FAIL: cover &lt; "&amp;SG_Criteria!$B$20&amp;" mm. ","")&amp;IF(AND(F99="Open",H99&gt;SG_Criteria!$B$18),"NOTE: safety railing required (D &gt; "&amp;SG_Criteria!$B$18&amp;" mm). ","")&amp;IF(AND(E99="Entrance culvert",H99&lt;600),"NOTE: check hinged grating rule for culverts &lt; 600 deep (PUB Add. 3). ",""))=0,"OK",IF(AND(OR(E99="Roadside drain",E99="Entrance culvert"),OR(G99&lt;SG_Criteria!$B$15,H99&lt;SG_Criteria!$B$16)),"FAIL: below PUB min "&amp;SG_Criteria!$B$15&amp;"x"&amp;SG_Criteria!$B$16&amp;" for roadside drain. ","")&amp;IF(AND(E99="Common drain",G99&lt;SG_Criteria!$B$17),"FAIL: common drain W &lt; "&amp;SG_Criteria!$B$17&amp;" mm. ","")&amp;IF(AND(O99&lt;&gt;"",IFERROR(VALUE(MID(O99,2,2)),0)&lt;SG_Criteria!$B$19),"FAIL: grade below C"&amp;SG_Criteria!$B$19&amp;". ","")&amp;IF(AND(P99&lt;&gt;"",P99&lt;SG_Criteria!$B$20),"FAIL: cover &lt; "&amp;SG_Criteria!$B$20&amp;" mm. ","")&amp;IF(AND(F99="Open",H99&gt;SG_Criteria!$B$18),"NOTE: safety railing required (D &gt; "&amp;SG_Criteria!$B$18&amp;" mm). ","")&amp;IF(AND(E99="Entrance culvert",H99&lt;600),"NOTE: check hinged grating rule for culverts &lt; 600 deep (PUB Add. 3). ","")))</f>
        <v/>
      </c>
      <c r="BF99" s="9"/>
      <c r="BG99" s="9"/>
      <c r="BH99" s="9"/>
      <c r="BI99" s="10" t="str">
        <f aca="false">IF(BH99="","",IFERROR(VLOOKUP(BH99,Projects!$A$5:$D$504,2,0),"Ref not in Projects"))</f>
        <v/>
      </c>
      <c r="BJ99" s="10" t="str">
        <f aca="false">IF(BH99="","",IFERROR(VLOOKUP(BH99,Projects!$A$5:$D$504,4,0),"Ref not in Projects"))</f>
        <v/>
      </c>
      <c r="BK99" s="9"/>
      <c r="BL99" s="9"/>
      <c r="BM99" s="9"/>
      <c r="BN99" s="40"/>
      <c r="BO99" s="9"/>
      <c r="BP99" s="40"/>
      <c r="BQ99" s="9"/>
      <c r="BR99" s="40"/>
      <c r="BS99" s="9"/>
      <c r="BT99" s="9"/>
      <c r="BU99" s="9"/>
      <c r="BV99" s="40"/>
      <c r="BW99" s="40"/>
      <c r="BX99" s="36" t="str">
        <f aca="false">IF(BW99="","",EDATE(BW99,SG_Criteria!$B$54*12))</f>
        <v/>
      </c>
      <c r="BY99" s="33" t="str">
        <f aca="true">IF(A99="","",IF(BW99="","NOTE: not reviewed yet",IF(TODAY()&gt;BX99,"NOTE: review overdue","OK")))</f>
        <v/>
      </c>
      <c r="BZ99" s="37" t="str">
        <f aca="false">IF(A99="","",ROUND((IF(LEN(D99)&gt;0,1,0)+IF(LEN(E99)&gt;0,1,0)+IF(LEN(F99)&gt;0,1,0)+IF(LEN(G99)&gt;0,1,0)+IF(LEN(H99)&gt;0,1,0)+IF(LEN(J99)&gt;0,1,0)+IF(LEN(K99)&gt;0,1,0)+IF(LEN(M99)&gt;0,1,0)+IF(LEN(O99)&gt;0,1,0)+IF(LEN(P99)&gt;0,1,0)+IF(LEN(Q99)&gt;0,1,0)+IF(LEN(S99)&gt;0,1,0)+IF(LEN(AC99)&gt;0,1,0)+IF(LEN(AV99)&gt;0,1,0)+IF(LEN(AW99)&gt;0,1,0)+IF(LEN(AG99)&gt;0,1,0)+IF(LEN(AI99)&gt;0,1,0)+IF(LEN(AJ99)&gt;0,1,0)+IF(LEN(AK99)&gt;0,1,0)+IF(LEN(AL99)&gt;0,1,0)+IF(LEN(AU99)&gt;0,1,0)+IF(LEN(BH99)&gt;0,1,0)+IF(LEN(BU99)&gt;0,1,0))/23,2))</f>
        <v/>
      </c>
      <c r="CA99" s="10" t="str">
        <f aca="false">IF(D99="","",IF(AND(AJ99="Approved",ISERROR(SEARCH("FAIL",BE99))),"Y","N"))</f>
        <v/>
      </c>
      <c r="CB99" s="10" t="str">
        <f aca="false">IF(D99="","",D99&amp;"|"&amp;G99&amp;"|"&amp;H99&amp;"|"&amp;M99&amp;"|"&amp;CA99)</f>
        <v/>
      </c>
    </row>
    <row r="100" customFormat="false" ht="15" hidden="false" customHeight="false" outlineLevel="0" collapsed="false">
      <c r="A100" s="10" t="str">
        <f aca="false">IF(D100="","","DRN-"&amp;IFERROR(VLOOKUP(D100,Lists!$A$4:$B$27,2,0),"??")&amp;"-"&amp;TEXT(G100,"0000")&amp;"x"&amp;TEXT(H100,"0000")&amp;IF(N(I100)&gt;1,"-"&amp;I100&amp;"C","")&amp;"-"&amp;IFERROR(VLOOKUP(M100,Lists!$J$4:$K$19,2,0),"??")&amp;"-"&amp;AI100)</f>
        <v/>
      </c>
      <c r="B100" s="10" t="str">
        <f aca="false">IF(D100="","",D100&amp;" "&amp;G100&amp;"W x "&amp;H100&amp;"D"&amp;IF(N(I100)&gt;1," ("&amp;I100&amp;" cells)","")&amp;", "&amp;E100&amp;", "&amp;M100&amp;", "&amp;F100)</f>
        <v/>
      </c>
      <c r="C100" s="9"/>
      <c r="D100" s="9"/>
      <c r="E100" s="9"/>
      <c r="F100" s="9"/>
      <c r="G100" s="38"/>
      <c r="H100" s="38"/>
      <c r="I100" s="38"/>
      <c r="J100" s="38"/>
      <c r="K100" s="38"/>
      <c r="L100" s="38"/>
      <c r="M100" s="9"/>
      <c r="N100" s="9"/>
      <c r="O100" s="9"/>
      <c r="P100" s="38"/>
      <c r="Q100" s="9"/>
      <c r="R100" s="9"/>
      <c r="S100" s="9"/>
      <c r="T100" s="9"/>
      <c r="U100" s="9"/>
      <c r="V100" s="9"/>
      <c r="W100" s="9"/>
      <c r="X100" s="9"/>
      <c r="Y100" s="9"/>
      <c r="Z100" s="9"/>
      <c r="AA100" s="9"/>
      <c r="AB100" s="39"/>
      <c r="AC100" s="9"/>
      <c r="AD100" s="38"/>
      <c r="AE100" s="9"/>
      <c r="AF100" s="39"/>
      <c r="AG100" s="9"/>
      <c r="AH100" s="9"/>
      <c r="AI100" s="9"/>
      <c r="AJ100" s="9"/>
      <c r="AK100" s="9"/>
      <c r="AL100" s="9"/>
      <c r="AM100" s="9"/>
      <c r="AN100" s="10" t="str">
        <f aca="false">IF(A100="","",SG_Criteria!$B$6&amp;SG_Criteria!$B$7&amp;"\"&amp;A100&amp;"\")</f>
        <v/>
      </c>
      <c r="AO100" s="10" t="str">
        <f aca="false">IF(A100="","",A100&amp;"_CAD.dwg")</f>
        <v/>
      </c>
      <c r="AP100" s="10" t="str">
        <f aca="false">IF(A100="","",A100&amp;"_DWG.pdf")</f>
        <v/>
      </c>
      <c r="AQ100" s="10" t="str">
        <f aca="false">IF(A100="","",IF(AM100="Y",A100&amp;"_STAAD.std","n/a"))</f>
        <v/>
      </c>
      <c r="AR100" s="10" t="str">
        <f aca="false">IF(A100="","",A100&amp;"_CALC.xlsx")</f>
        <v/>
      </c>
      <c r="AS100" s="10" t="str">
        <f aca="false">IF(A100="","",A100&amp;"_CALC.pdf")</f>
        <v/>
      </c>
      <c r="AT100" s="9"/>
      <c r="AU100" s="9"/>
      <c r="AV100" s="39"/>
      <c r="AW100" s="39"/>
      <c r="AX100" s="39"/>
      <c r="AY100" s="39"/>
      <c r="AZ100" s="39"/>
      <c r="BA100" s="12" t="str">
        <f aca="false">IF(A100="","",IF(COUNTIF(Rebar_Schedule!$A$5:$A$2004,A100)=0,"",ROUND(SUMIF(Rebar_Schedule!$A$5:$A$2004,A100,Rebar_Schedule!$K$5:$K$2004),1)))</f>
        <v/>
      </c>
      <c r="BB100" s="33" t="str">
        <f aca="false">IF(A100="","",IF(BA100="","No rebar schedule yet",IF(ABS(BA100-N(AW100))/MAX(N(AW100),1)&gt;SG_Criteria!$B$55,"NOTE: register rebar differs from schedule by "&amp;TEXT(ABS(BA100-N(AW100))/MAX(N(AW100),1),"0%"),"OK")))</f>
        <v/>
      </c>
      <c r="BC100" s="34" t="str">
        <f aca="false">IF(OR(D100="",G100="",H100="",D100="Sump",D100="Drop Inlet Chamber",D100="Silt Trap",D100="Pipe Culvert",D100="Subsoil Drain"),"",ROUND(MAX(1,N(I100))*(1/SG_Criteria!$B$26)*((G100/1000)*(H100/1000*(1-SG_Criteria!$B$25)))*(((G100/1000)*(H100/1000*(1-SG_Criteria!$B$25)))/((G100/1000)+2*(H100/1000*(1-SG_Criteria!$B$25))))^(2/3)*(1/Design_Selector!$B$11)^0.5,3))</f>
        <v/>
      </c>
      <c r="BD100" s="11" t="str">
        <f aca="false">IF(BC100="","",ROUND(BC100/(MAX(1,N(I100))*G100/1000*(H100/1000*(1-SG_Criteria!$B$25))),2))</f>
        <v/>
      </c>
      <c r="BE100" s="33" t="str">
        <f aca="false">IF(D100="","",IF(LEN(IF(AND(OR(E100="Roadside drain",E100="Entrance culvert"),OR(G100&lt;SG_Criteria!$B$15,H100&lt;SG_Criteria!$B$16)),"FAIL: below PUB min "&amp;SG_Criteria!$B$15&amp;"x"&amp;SG_Criteria!$B$16&amp;" for roadside drain. ","")&amp;IF(AND(E100="Common drain",G100&lt;SG_Criteria!$B$17),"FAIL: common drain W &lt; "&amp;SG_Criteria!$B$17&amp;" mm. ","")&amp;IF(AND(O100&lt;&gt;"",IFERROR(VALUE(MID(O100,2,2)),0)&lt;SG_Criteria!$B$19),"FAIL: grade below C"&amp;SG_Criteria!$B$19&amp;". ","")&amp;IF(AND(P100&lt;&gt;"",P100&lt;SG_Criteria!$B$20),"FAIL: cover &lt; "&amp;SG_Criteria!$B$20&amp;" mm. ","")&amp;IF(AND(F100="Open",H100&gt;SG_Criteria!$B$18),"NOTE: safety railing required (D &gt; "&amp;SG_Criteria!$B$18&amp;" mm). ","")&amp;IF(AND(E100="Entrance culvert",H100&lt;600),"NOTE: check hinged grating rule for culverts &lt; 600 deep (PUB Add. 3). ",""))=0,"OK",IF(AND(OR(E100="Roadside drain",E100="Entrance culvert"),OR(G100&lt;SG_Criteria!$B$15,H100&lt;SG_Criteria!$B$16)),"FAIL: below PUB min "&amp;SG_Criteria!$B$15&amp;"x"&amp;SG_Criteria!$B$16&amp;" for roadside drain. ","")&amp;IF(AND(E100="Common drain",G100&lt;SG_Criteria!$B$17),"FAIL: common drain W &lt; "&amp;SG_Criteria!$B$17&amp;" mm. ","")&amp;IF(AND(O100&lt;&gt;"",IFERROR(VALUE(MID(O100,2,2)),0)&lt;SG_Criteria!$B$19),"FAIL: grade below C"&amp;SG_Criteria!$B$19&amp;". ","")&amp;IF(AND(P100&lt;&gt;"",P100&lt;SG_Criteria!$B$20),"FAIL: cover &lt; "&amp;SG_Criteria!$B$20&amp;" mm. ","")&amp;IF(AND(F100="Open",H100&gt;SG_Criteria!$B$18),"NOTE: safety railing required (D &gt; "&amp;SG_Criteria!$B$18&amp;" mm). ","")&amp;IF(AND(E100="Entrance culvert",H100&lt;600),"NOTE: check hinged grating rule for culverts &lt; 600 deep (PUB Add. 3). ","")))</f>
        <v/>
      </c>
      <c r="BF100" s="9"/>
      <c r="BG100" s="9"/>
      <c r="BH100" s="9"/>
      <c r="BI100" s="10" t="str">
        <f aca="false">IF(BH100="","",IFERROR(VLOOKUP(BH100,Projects!$A$5:$D$504,2,0),"Ref not in Projects"))</f>
        <v/>
      </c>
      <c r="BJ100" s="10" t="str">
        <f aca="false">IF(BH100="","",IFERROR(VLOOKUP(BH100,Projects!$A$5:$D$504,4,0),"Ref not in Projects"))</f>
        <v/>
      </c>
      <c r="BK100" s="9"/>
      <c r="BL100" s="9"/>
      <c r="BM100" s="9"/>
      <c r="BN100" s="40"/>
      <c r="BO100" s="9"/>
      <c r="BP100" s="40"/>
      <c r="BQ100" s="9"/>
      <c r="BR100" s="40"/>
      <c r="BS100" s="9"/>
      <c r="BT100" s="9"/>
      <c r="BU100" s="9"/>
      <c r="BV100" s="40"/>
      <c r="BW100" s="40"/>
      <c r="BX100" s="36" t="str">
        <f aca="false">IF(BW100="","",EDATE(BW100,SG_Criteria!$B$54*12))</f>
        <v/>
      </c>
      <c r="BY100" s="33" t="str">
        <f aca="true">IF(A100="","",IF(BW100="","NOTE: not reviewed yet",IF(TODAY()&gt;BX100,"NOTE: review overdue","OK")))</f>
        <v/>
      </c>
      <c r="BZ100" s="37" t="str">
        <f aca="false">IF(A100="","",ROUND((IF(LEN(D100)&gt;0,1,0)+IF(LEN(E100)&gt;0,1,0)+IF(LEN(F100)&gt;0,1,0)+IF(LEN(G100)&gt;0,1,0)+IF(LEN(H100)&gt;0,1,0)+IF(LEN(J100)&gt;0,1,0)+IF(LEN(K100)&gt;0,1,0)+IF(LEN(M100)&gt;0,1,0)+IF(LEN(O100)&gt;0,1,0)+IF(LEN(P100)&gt;0,1,0)+IF(LEN(Q100)&gt;0,1,0)+IF(LEN(S100)&gt;0,1,0)+IF(LEN(AC100)&gt;0,1,0)+IF(LEN(AV100)&gt;0,1,0)+IF(LEN(AW100)&gt;0,1,0)+IF(LEN(AG100)&gt;0,1,0)+IF(LEN(AI100)&gt;0,1,0)+IF(LEN(AJ100)&gt;0,1,0)+IF(LEN(AK100)&gt;0,1,0)+IF(LEN(AL100)&gt;0,1,0)+IF(LEN(AU100)&gt;0,1,0)+IF(LEN(BH100)&gt;0,1,0)+IF(LEN(BU100)&gt;0,1,0))/23,2))</f>
        <v/>
      </c>
      <c r="CA100" s="10" t="str">
        <f aca="false">IF(D100="","",IF(AND(AJ100="Approved",ISERROR(SEARCH("FAIL",BE100))),"Y","N"))</f>
        <v/>
      </c>
      <c r="CB100" s="10" t="str">
        <f aca="false">IF(D100="","",D100&amp;"|"&amp;G100&amp;"|"&amp;H100&amp;"|"&amp;M100&amp;"|"&amp;CA100)</f>
        <v/>
      </c>
    </row>
    <row r="101" customFormat="false" ht="15" hidden="false" customHeight="false" outlineLevel="0" collapsed="false">
      <c r="A101" s="10" t="str">
        <f aca="false">IF(D101="","","DRN-"&amp;IFERROR(VLOOKUP(D101,Lists!$A$4:$B$27,2,0),"??")&amp;"-"&amp;TEXT(G101,"0000")&amp;"x"&amp;TEXT(H101,"0000")&amp;IF(N(I101)&gt;1,"-"&amp;I101&amp;"C","")&amp;"-"&amp;IFERROR(VLOOKUP(M101,Lists!$J$4:$K$19,2,0),"??")&amp;"-"&amp;AI101)</f>
        <v/>
      </c>
      <c r="B101" s="10" t="str">
        <f aca="false">IF(D101="","",D101&amp;" "&amp;G101&amp;"W x "&amp;H101&amp;"D"&amp;IF(N(I101)&gt;1," ("&amp;I101&amp;" cells)","")&amp;", "&amp;E101&amp;", "&amp;M101&amp;", "&amp;F101)</f>
        <v/>
      </c>
      <c r="C101" s="9"/>
      <c r="D101" s="9"/>
      <c r="E101" s="9"/>
      <c r="F101" s="9"/>
      <c r="G101" s="38"/>
      <c r="H101" s="38"/>
      <c r="I101" s="38"/>
      <c r="J101" s="38"/>
      <c r="K101" s="38"/>
      <c r="L101" s="38"/>
      <c r="M101" s="9"/>
      <c r="N101" s="9"/>
      <c r="O101" s="9"/>
      <c r="P101" s="38"/>
      <c r="Q101" s="9"/>
      <c r="R101" s="9"/>
      <c r="S101" s="9"/>
      <c r="T101" s="9"/>
      <c r="U101" s="9"/>
      <c r="V101" s="9"/>
      <c r="W101" s="9"/>
      <c r="X101" s="9"/>
      <c r="Y101" s="9"/>
      <c r="Z101" s="9"/>
      <c r="AA101" s="9"/>
      <c r="AB101" s="39"/>
      <c r="AC101" s="9"/>
      <c r="AD101" s="38"/>
      <c r="AE101" s="9"/>
      <c r="AF101" s="39"/>
      <c r="AG101" s="9"/>
      <c r="AH101" s="9"/>
      <c r="AI101" s="9"/>
      <c r="AJ101" s="9"/>
      <c r="AK101" s="9"/>
      <c r="AL101" s="9"/>
      <c r="AM101" s="9"/>
      <c r="AN101" s="10" t="str">
        <f aca="false">IF(A101="","",SG_Criteria!$B$6&amp;SG_Criteria!$B$7&amp;"\"&amp;A101&amp;"\")</f>
        <v/>
      </c>
      <c r="AO101" s="10" t="str">
        <f aca="false">IF(A101="","",A101&amp;"_CAD.dwg")</f>
        <v/>
      </c>
      <c r="AP101" s="10" t="str">
        <f aca="false">IF(A101="","",A101&amp;"_DWG.pdf")</f>
        <v/>
      </c>
      <c r="AQ101" s="10" t="str">
        <f aca="false">IF(A101="","",IF(AM101="Y",A101&amp;"_STAAD.std","n/a"))</f>
        <v/>
      </c>
      <c r="AR101" s="10" t="str">
        <f aca="false">IF(A101="","",A101&amp;"_CALC.xlsx")</f>
        <v/>
      </c>
      <c r="AS101" s="10" t="str">
        <f aca="false">IF(A101="","",A101&amp;"_CALC.pdf")</f>
        <v/>
      </c>
      <c r="AT101" s="9"/>
      <c r="AU101" s="9"/>
      <c r="AV101" s="39"/>
      <c r="AW101" s="39"/>
      <c r="AX101" s="39"/>
      <c r="AY101" s="39"/>
      <c r="AZ101" s="39"/>
      <c r="BA101" s="12" t="str">
        <f aca="false">IF(A101="","",IF(COUNTIF(Rebar_Schedule!$A$5:$A$2004,A101)=0,"",ROUND(SUMIF(Rebar_Schedule!$A$5:$A$2004,A101,Rebar_Schedule!$K$5:$K$2004),1)))</f>
        <v/>
      </c>
      <c r="BB101" s="33" t="str">
        <f aca="false">IF(A101="","",IF(BA101="","No rebar schedule yet",IF(ABS(BA101-N(AW101))/MAX(N(AW101),1)&gt;SG_Criteria!$B$55,"NOTE: register rebar differs from schedule by "&amp;TEXT(ABS(BA101-N(AW101))/MAX(N(AW101),1),"0%"),"OK")))</f>
        <v/>
      </c>
      <c r="BC101" s="34" t="str">
        <f aca="false">IF(OR(D101="",G101="",H101="",D101="Sump",D101="Drop Inlet Chamber",D101="Silt Trap",D101="Pipe Culvert",D101="Subsoil Drain"),"",ROUND(MAX(1,N(I101))*(1/SG_Criteria!$B$26)*((G101/1000)*(H101/1000*(1-SG_Criteria!$B$25)))*(((G101/1000)*(H101/1000*(1-SG_Criteria!$B$25)))/((G101/1000)+2*(H101/1000*(1-SG_Criteria!$B$25))))^(2/3)*(1/Design_Selector!$B$11)^0.5,3))</f>
        <v/>
      </c>
      <c r="BD101" s="11" t="str">
        <f aca="false">IF(BC101="","",ROUND(BC101/(MAX(1,N(I101))*G101/1000*(H101/1000*(1-SG_Criteria!$B$25))),2))</f>
        <v/>
      </c>
      <c r="BE101" s="33" t="str">
        <f aca="false">IF(D101="","",IF(LEN(IF(AND(OR(E101="Roadside drain",E101="Entrance culvert"),OR(G101&lt;SG_Criteria!$B$15,H101&lt;SG_Criteria!$B$16)),"FAIL: below PUB min "&amp;SG_Criteria!$B$15&amp;"x"&amp;SG_Criteria!$B$16&amp;" for roadside drain. ","")&amp;IF(AND(E101="Common drain",G101&lt;SG_Criteria!$B$17),"FAIL: common drain W &lt; "&amp;SG_Criteria!$B$17&amp;" mm. ","")&amp;IF(AND(O101&lt;&gt;"",IFERROR(VALUE(MID(O101,2,2)),0)&lt;SG_Criteria!$B$19),"FAIL: grade below C"&amp;SG_Criteria!$B$19&amp;". ","")&amp;IF(AND(P101&lt;&gt;"",P101&lt;SG_Criteria!$B$20),"FAIL: cover &lt; "&amp;SG_Criteria!$B$20&amp;" mm. ","")&amp;IF(AND(F101="Open",H101&gt;SG_Criteria!$B$18),"NOTE: safety railing required (D &gt; "&amp;SG_Criteria!$B$18&amp;" mm). ","")&amp;IF(AND(E101="Entrance culvert",H101&lt;600),"NOTE: check hinged grating rule for culverts &lt; 600 deep (PUB Add. 3). ",""))=0,"OK",IF(AND(OR(E101="Roadside drain",E101="Entrance culvert"),OR(G101&lt;SG_Criteria!$B$15,H101&lt;SG_Criteria!$B$16)),"FAIL: below PUB min "&amp;SG_Criteria!$B$15&amp;"x"&amp;SG_Criteria!$B$16&amp;" for roadside drain. ","")&amp;IF(AND(E101="Common drain",G101&lt;SG_Criteria!$B$17),"FAIL: common drain W &lt; "&amp;SG_Criteria!$B$17&amp;" mm. ","")&amp;IF(AND(O101&lt;&gt;"",IFERROR(VALUE(MID(O101,2,2)),0)&lt;SG_Criteria!$B$19),"FAIL: grade below C"&amp;SG_Criteria!$B$19&amp;". ","")&amp;IF(AND(P101&lt;&gt;"",P101&lt;SG_Criteria!$B$20),"FAIL: cover &lt; "&amp;SG_Criteria!$B$20&amp;" mm. ","")&amp;IF(AND(F101="Open",H101&gt;SG_Criteria!$B$18),"NOTE: safety railing required (D &gt; "&amp;SG_Criteria!$B$18&amp;" mm). ","")&amp;IF(AND(E101="Entrance culvert",H101&lt;600),"NOTE: check hinged grating rule for culverts &lt; 600 deep (PUB Add. 3). ","")))</f>
        <v/>
      </c>
      <c r="BF101" s="9"/>
      <c r="BG101" s="9"/>
      <c r="BH101" s="9"/>
      <c r="BI101" s="10" t="str">
        <f aca="false">IF(BH101="","",IFERROR(VLOOKUP(BH101,Projects!$A$5:$D$504,2,0),"Ref not in Projects"))</f>
        <v/>
      </c>
      <c r="BJ101" s="10" t="str">
        <f aca="false">IF(BH101="","",IFERROR(VLOOKUP(BH101,Projects!$A$5:$D$504,4,0),"Ref not in Projects"))</f>
        <v/>
      </c>
      <c r="BK101" s="9"/>
      <c r="BL101" s="9"/>
      <c r="BM101" s="9"/>
      <c r="BN101" s="40"/>
      <c r="BO101" s="9"/>
      <c r="BP101" s="40"/>
      <c r="BQ101" s="9"/>
      <c r="BR101" s="40"/>
      <c r="BS101" s="9"/>
      <c r="BT101" s="9"/>
      <c r="BU101" s="9"/>
      <c r="BV101" s="40"/>
      <c r="BW101" s="40"/>
      <c r="BX101" s="36" t="str">
        <f aca="false">IF(BW101="","",EDATE(BW101,SG_Criteria!$B$54*12))</f>
        <v/>
      </c>
      <c r="BY101" s="33" t="str">
        <f aca="true">IF(A101="","",IF(BW101="","NOTE: not reviewed yet",IF(TODAY()&gt;BX101,"NOTE: review overdue","OK")))</f>
        <v/>
      </c>
      <c r="BZ101" s="37" t="str">
        <f aca="false">IF(A101="","",ROUND((IF(LEN(D101)&gt;0,1,0)+IF(LEN(E101)&gt;0,1,0)+IF(LEN(F101)&gt;0,1,0)+IF(LEN(G101)&gt;0,1,0)+IF(LEN(H101)&gt;0,1,0)+IF(LEN(J101)&gt;0,1,0)+IF(LEN(K101)&gt;0,1,0)+IF(LEN(M101)&gt;0,1,0)+IF(LEN(O101)&gt;0,1,0)+IF(LEN(P101)&gt;0,1,0)+IF(LEN(Q101)&gt;0,1,0)+IF(LEN(S101)&gt;0,1,0)+IF(LEN(AC101)&gt;0,1,0)+IF(LEN(AV101)&gt;0,1,0)+IF(LEN(AW101)&gt;0,1,0)+IF(LEN(AG101)&gt;0,1,0)+IF(LEN(AI101)&gt;0,1,0)+IF(LEN(AJ101)&gt;0,1,0)+IF(LEN(AK101)&gt;0,1,0)+IF(LEN(AL101)&gt;0,1,0)+IF(LEN(AU101)&gt;0,1,0)+IF(LEN(BH101)&gt;0,1,0)+IF(LEN(BU101)&gt;0,1,0))/23,2))</f>
        <v/>
      </c>
      <c r="CA101" s="10" t="str">
        <f aca="false">IF(D101="","",IF(AND(AJ101="Approved",ISERROR(SEARCH("FAIL",BE101))),"Y","N"))</f>
        <v/>
      </c>
      <c r="CB101" s="10" t="str">
        <f aca="false">IF(D101="","",D101&amp;"|"&amp;G101&amp;"|"&amp;H101&amp;"|"&amp;M101&amp;"|"&amp;CA101)</f>
        <v/>
      </c>
    </row>
    <row r="102" customFormat="false" ht="15" hidden="false" customHeight="false" outlineLevel="0" collapsed="false">
      <c r="A102" s="10" t="str">
        <f aca="false">IF(D102="","","DRN-"&amp;IFERROR(VLOOKUP(D102,Lists!$A$4:$B$27,2,0),"??")&amp;"-"&amp;TEXT(G102,"0000")&amp;"x"&amp;TEXT(H102,"0000")&amp;IF(N(I102)&gt;1,"-"&amp;I102&amp;"C","")&amp;"-"&amp;IFERROR(VLOOKUP(M102,Lists!$J$4:$K$19,2,0),"??")&amp;"-"&amp;AI102)</f>
        <v/>
      </c>
      <c r="B102" s="10" t="str">
        <f aca="false">IF(D102="","",D102&amp;" "&amp;G102&amp;"W x "&amp;H102&amp;"D"&amp;IF(N(I102)&gt;1," ("&amp;I102&amp;" cells)","")&amp;", "&amp;E102&amp;", "&amp;M102&amp;", "&amp;F102)</f>
        <v/>
      </c>
      <c r="C102" s="9"/>
      <c r="D102" s="9"/>
      <c r="E102" s="9"/>
      <c r="F102" s="9"/>
      <c r="G102" s="38"/>
      <c r="H102" s="38"/>
      <c r="I102" s="38"/>
      <c r="J102" s="38"/>
      <c r="K102" s="38"/>
      <c r="L102" s="38"/>
      <c r="M102" s="9"/>
      <c r="N102" s="9"/>
      <c r="O102" s="9"/>
      <c r="P102" s="38"/>
      <c r="Q102" s="9"/>
      <c r="R102" s="9"/>
      <c r="S102" s="9"/>
      <c r="T102" s="9"/>
      <c r="U102" s="9"/>
      <c r="V102" s="9"/>
      <c r="W102" s="9"/>
      <c r="X102" s="9"/>
      <c r="Y102" s="9"/>
      <c r="Z102" s="9"/>
      <c r="AA102" s="9"/>
      <c r="AB102" s="39"/>
      <c r="AC102" s="9"/>
      <c r="AD102" s="38"/>
      <c r="AE102" s="9"/>
      <c r="AF102" s="39"/>
      <c r="AG102" s="9"/>
      <c r="AH102" s="9"/>
      <c r="AI102" s="9"/>
      <c r="AJ102" s="9"/>
      <c r="AK102" s="9"/>
      <c r="AL102" s="9"/>
      <c r="AM102" s="9"/>
      <c r="AN102" s="10" t="str">
        <f aca="false">IF(A102="","",SG_Criteria!$B$6&amp;SG_Criteria!$B$7&amp;"\"&amp;A102&amp;"\")</f>
        <v/>
      </c>
      <c r="AO102" s="10" t="str">
        <f aca="false">IF(A102="","",A102&amp;"_CAD.dwg")</f>
        <v/>
      </c>
      <c r="AP102" s="10" t="str">
        <f aca="false">IF(A102="","",A102&amp;"_DWG.pdf")</f>
        <v/>
      </c>
      <c r="AQ102" s="10" t="str">
        <f aca="false">IF(A102="","",IF(AM102="Y",A102&amp;"_STAAD.std","n/a"))</f>
        <v/>
      </c>
      <c r="AR102" s="10" t="str">
        <f aca="false">IF(A102="","",A102&amp;"_CALC.xlsx")</f>
        <v/>
      </c>
      <c r="AS102" s="10" t="str">
        <f aca="false">IF(A102="","",A102&amp;"_CALC.pdf")</f>
        <v/>
      </c>
      <c r="AT102" s="9"/>
      <c r="AU102" s="9"/>
      <c r="AV102" s="39"/>
      <c r="AW102" s="39"/>
      <c r="AX102" s="39"/>
      <c r="AY102" s="39"/>
      <c r="AZ102" s="39"/>
      <c r="BA102" s="12" t="str">
        <f aca="false">IF(A102="","",IF(COUNTIF(Rebar_Schedule!$A$5:$A$2004,A102)=0,"",ROUND(SUMIF(Rebar_Schedule!$A$5:$A$2004,A102,Rebar_Schedule!$K$5:$K$2004),1)))</f>
        <v/>
      </c>
      <c r="BB102" s="33" t="str">
        <f aca="false">IF(A102="","",IF(BA102="","No rebar schedule yet",IF(ABS(BA102-N(AW102))/MAX(N(AW102),1)&gt;SG_Criteria!$B$55,"NOTE: register rebar differs from schedule by "&amp;TEXT(ABS(BA102-N(AW102))/MAX(N(AW102),1),"0%"),"OK")))</f>
        <v/>
      </c>
      <c r="BC102" s="34" t="str">
        <f aca="false">IF(OR(D102="",G102="",H102="",D102="Sump",D102="Drop Inlet Chamber",D102="Silt Trap",D102="Pipe Culvert",D102="Subsoil Drain"),"",ROUND(MAX(1,N(I102))*(1/SG_Criteria!$B$26)*((G102/1000)*(H102/1000*(1-SG_Criteria!$B$25)))*(((G102/1000)*(H102/1000*(1-SG_Criteria!$B$25)))/((G102/1000)+2*(H102/1000*(1-SG_Criteria!$B$25))))^(2/3)*(1/Design_Selector!$B$11)^0.5,3))</f>
        <v/>
      </c>
      <c r="BD102" s="11" t="str">
        <f aca="false">IF(BC102="","",ROUND(BC102/(MAX(1,N(I102))*G102/1000*(H102/1000*(1-SG_Criteria!$B$25))),2))</f>
        <v/>
      </c>
      <c r="BE102" s="33" t="str">
        <f aca="false">IF(D102="","",IF(LEN(IF(AND(OR(E102="Roadside drain",E102="Entrance culvert"),OR(G102&lt;SG_Criteria!$B$15,H102&lt;SG_Criteria!$B$16)),"FAIL: below PUB min "&amp;SG_Criteria!$B$15&amp;"x"&amp;SG_Criteria!$B$16&amp;" for roadside drain. ","")&amp;IF(AND(E102="Common drain",G102&lt;SG_Criteria!$B$17),"FAIL: common drain W &lt; "&amp;SG_Criteria!$B$17&amp;" mm. ","")&amp;IF(AND(O102&lt;&gt;"",IFERROR(VALUE(MID(O102,2,2)),0)&lt;SG_Criteria!$B$19),"FAIL: grade below C"&amp;SG_Criteria!$B$19&amp;". ","")&amp;IF(AND(P102&lt;&gt;"",P102&lt;SG_Criteria!$B$20),"FAIL: cover &lt; "&amp;SG_Criteria!$B$20&amp;" mm. ","")&amp;IF(AND(F102="Open",H102&gt;SG_Criteria!$B$18),"NOTE: safety railing required (D &gt; "&amp;SG_Criteria!$B$18&amp;" mm). ","")&amp;IF(AND(E102="Entrance culvert",H102&lt;600),"NOTE: check hinged grating rule for culverts &lt; 600 deep (PUB Add. 3). ",""))=0,"OK",IF(AND(OR(E102="Roadside drain",E102="Entrance culvert"),OR(G102&lt;SG_Criteria!$B$15,H102&lt;SG_Criteria!$B$16)),"FAIL: below PUB min "&amp;SG_Criteria!$B$15&amp;"x"&amp;SG_Criteria!$B$16&amp;" for roadside drain. ","")&amp;IF(AND(E102="Common drain",G102&lt;SG_Criteria!$B$17),"FAIL: common drain W &lt; "&amp;SG_Criteria!$B$17&amp;" mm. ","")&amp;IF(AND(O102&lt;&gt;"",IFERROR(VALUE(MID(O102,2,2)),0)&lt;SG_Criteria!$B$19),"FAIL: grade below C"&amp;SG_Criteria!$B$19&amp;". ","")&amp;IF(AND(P102&lt;&gt;"",P102&lt;SG_Criteria!$B$20),"FAIL: cover &lt; "&amp;SG_Criteria!$B$20&amp;" mm. ","")&amp;IF(AND(F102="Open",H102&gt;SG_Criteria!$B$18),"NOTE: safety railing required (D &gt; "&amp;SG_Criteria!$B$18&amp;" mm). ","")&amp;IF(AND(E102="Entrance culvert",H102&lt;600),"NOTE: check hinged grating rule for culverts &lt; 600 deep (PUB Add. 3). ","")))</f>
        <v/>
      </c>
      <c r="BF102" s="9"/>
      <c r="BG102" s="9"/>
      <c r="BH102" s="9"/>
      <c r="BI102" s="10" t="str">
        <f aca="false">IF(BH102="","",IFERROR(VLOOKUP(BH102,Projects!$A$5:$D$504,2,0),"Ref not in Projects"))</f>
        <v/>
      </c>
      <c r="BJ102" s="10" t="str">
        <f aca="false">IF(BH102="","",IFERROR(VLOOKUP(BH102,Projects!$A$5:$D$504,4,0),"Ref not in Projects"))</f>
        <v/>
      </c>
      <c r="BK102" s="9"/>
      <c r="BL102" s="9"/>
      <c r="BM102" s="9"/>
      <c r="BN102" s="40"/>
      <c r="BO102" s="9"/>
      <c r="BP102" s="40"/>
      <c r="BQ102" s="9"/>
      <c r="BR102" s="40"/>
      <c r="BS102" s="9"/>
      <c r="BT102" s="9"/>
      <c r="BU102" s="9"/>
      <c r="BV102" s="40"/>
      <c r="BW102" s="40"/>
      <c r="BX102" s="36" t="str">
        <f aca="false">IF(BW102="","",EDATE(BW102,SG_Criteria!$B$54*12))</f>
        <v/>
      </c>
      <c r="BY102" s="33" t="str">
        <f aca="true">IF(A102="","",IF(BW102="","NOTE: not reviewed yet",IF(TODAY()&gt;BX102,"NOTE: review overdue","OK")))</f>
        <v/>
      </c>
      <c r="BZ102" s="37" t="str">
        <f aca="false">IF(A102="","",ROUND((IF(LEN(D102)&gt;0,1,0)+IF(LEN(E102)&gt;0,1,0)+IF(LEN(F102)&gt;0,1,0)+IF(LEN(G102)&gt;0,1,0)+IF(LEN(H102)&gt;0,1,0)+IF(LEN(J102)&gt;0,1,0)+IF(LEN(K102)&gt;0,1,0)+IF(LEN(M102)&gt;0,1,0)+IF(LEN(O102)&gt;0,1,0)+IF(LEN(P102)&gt;0,1,0)+IF(LEN(Q102)&gt;0,1,0)+IF(LEN(S102)&gt;0,1,0)+IF(LEN(AC102)&gt;0,1,0)+IF(LEN(AV102)&gt;0,1,0)+IF(LEN(AW102)&gt;0,1,0)+IF(LEN(AG102)&gt;0,1,0)+IF(LEN(AI102)&gt;0,1,0)+IF(LEN(AJ102)&gt;0,1,0)+IF(LEN(AK102)&gt;0,1,0)+IF(LEN(AL102)&gt;0,1,0)+IF(LEN(AU102)&gt;0,1,0)+IF(LEN(BH102)&gt;0,1,0)+IF(LEN(BU102)&gt;0,1,0))/23,2))</f>
        <v/>
      </c>
      <c r="CA102" s="10" t="str">
        <f aca="false">IF(D102="","",IF(AND(AJ102="Approved",ISERROR(SEARCH("FAIL",BE102))),"Y","N"))</f>
        <v/>
      </c>
      <c r="CB102" s="10" t="str">
        <f aca="false">IF(D102="","",D102&amp;"|"&amp;G102&amp;"|"&amp;H102&amp;"|"&amp;M102&amp;"|"&amp;CA102)</f>
        <v/>
      </c>
    </row>
    <row r="103" customFormat="false" ht="15" hidden="false" customHeight="false" outlineLevel="0" collapsed="false">
      <c r="A103" s="10" t="str">
        <f aca="false">IF(D103="","","DRN-"&amp;IFERROR(VLOOKUP(D103,Lists!$A$4:$B$27,2,0),"??")&amp;"-"&amp;TEXT(G103,"0000")&amp;"x"&amp;TEXT(H103,"0000")&amp;IF(N(I103)&gt;1,"-"&amp;I103&amp;"C","")&amp;"-"&amp;IFERROR(VLOOKUP(M103,Lists!$J$4:$K$19,2,0),"??")&amp;"-"&amp;AI103)</f>
        <v/>
      </c>
      <c r="B103" s="10" t="str">
        <f aca="false">IF(D103="","",D103&amp;" "&amp;G103&amp;"W x "&amp;H103&amp;"D"&amp;IF(N(I103)&gt;1," ("&amp;I103&amp;" cells)","")&amp;", "&amp;E103&amp;", "&amp;M103&amp;", "&amp;F103)</f>
        <v/>
      </c>
      <c r="C103" s="9"/>
      <c r="D103" s="9"/>
      <c r="E103" s="9"/>
      <c r="F103" s="9"/>
      <c r="G103" s="38"/>
      <c r="H103" s="38"/>
      <c r="I103" s="38"/>
      <c r="J103" s="38"/>
      <c r="K103" s="38"/>
      <c r="L103" s="38"/>
      <c r="M103" s="9"/>
      <c r="N103" s="9"/>
      <c r="O103" s="9"/>
      <c r="P103" s="38"/>
      <c r="Q103" s="9"/>
      <c r="R103" s="9"/>
      <c r="S103" s="9"/>
      <c r="T103" s="9"/>
      <c r="U103" s="9"/>
      <c r="V103" s="9"/>
      <c r="W103" s="9"/>
      <c r="X103" s="9"/>
      <c r="Y103" s="9"/>
      <c r="Z103" s="9"/>
      <c r="AA103" s="9"/>
      <c r="AB103" s="39"/>
      <c r="AC103" s="9"/>
      <c r="AD103" s="38"/>
      <c r="AE103" s="9"/>
      <c r="AF103" s="39"/>
      <c r="AG103" s="9"/>
      <c r="AH103" s="9"/>
      <c r="AI103" s="9"/>
      <c r="AJ103" s="9"/>
      <c r="AK103" s="9"/>
      <c r="AL103" s="9"/>
      <c r="AM103" s="9"/>
      <c r="AN103" s="10" t="str">
        <f aca="false">IF(A103="","",SG_Criteria!$B$6&amp;SG_Criteria!$B$7&amp;"\"&amp;A103&amp;"\")</f>
        <v/>
      </c>
      <c r="AO103" s="10" t="str">
        <f aca="false">IF(A103="","",A103&amp;"_CAD.dwg")</f>
        <v/>
      </c>
      <c r="AP103" s="10" t="str">
        <f aca="false">IF(A103="","",A103&amp;"_DWG.pdf")</f>
        <v/>
      </c>
      <c r="AQ103" s="10" t="str">
        <f aca="false">IF(A103="","",IF(AM103="Y",A103&amp;"_STAAD.std","n/a"))</f>
        <v/>
      </c>
      <c r="AR103" s="10" t="str">
        <f aca="false">IF(A103="","",A103&amp;"_CALC.xlsx")</f>
        <v/>
      </c>
      <c r="AS103" s="10" t="str">
        <f aca="false">IF(A103="","",A103&amp;"_CALC.pdf")</f>
        <v/>
      </c>
      <c r="AT103" s="9"/>
      <c r="AU103" s="9"/>
      <c r="AV103" s="39"/>
      <c r="AW103" s="39"/>
      <c r="AX103" s="39"/>
      <c r="AY103" s="39"/>
      <c r="AZ103" s="39"/>
      <c r="BA103" s="12" t="str">
        <f aca="false">IF(A103="","",IF(COUNTIF(Rebar_Schedule!$A$5:$A$2004,A103)=0,"",ROUND(SUMIF(Rebar_Schedule!$A$5:$A$2004,A103,Rebar_Schedule!$K$5:$K$2004),1)))</f>
        <v/>
      </c>
      <c r="BB103" s="33" t="str">
        <f aca="false">IF(A103="","",IF(BA103="","No rebar schedule yet",IF(ABS(BA103-N(AW103))/MAX(N(AW103),1)&gt;SG_Criteria!$B$55,"NOTE: register rebar differs from schedule by "&amp;TEXT(ABS(BA103-N(AW103))/MAX(N(AW103),1),"0%"),"OK")))</f>
        <v/>
      </c>
      <c r="BC103" s="34" t="str">
        <f aca="false">IF(OR(D103="",G103="",H103="",D103="Sump",D103="Drop Inlet Chamber",D103="Silt Trap",D103="Pipe Culvert",D103="Subsoil Drain"),"",ROUND(MAX(1,N(I103))*(1/SG_Criteria!$B$26)*((G103/1000)*(H103/1000*(1-SG_Criteria!$B$25)))*(((G103/1000)*(H103/1000*(1-SG_Criteria!$B$25)))/((G103/1000)+2*(H103/1000*(1-SG_Criteria!$B$25))))^(2/3)*(1/Design_Selector!$B$11)^0.5,3))</f>
        <v/>
      </c>
      <c r="BD103" s="11" t="str">
        <f aca="false">IF(BC103="","",ROUND(BC103/(MAX(1,N(I103))*G103/1000*(H103/1000*(1-SG_Criteria!$B$25))),2))</f>
        <v/>
      </c>
      <c r="BE103" s="33" t="str">
        <f aca="false">IF(D103="","",IF(LEN(IF(AND(OR(E103="Roadside drain",E103="Entrance culvert"),OR(G103&lt;SG_Criteria!$B$15,H103&lt;SG_Criteria!$B$16)),"FAIL: below PUB min "&amp;SG_Criteria!$B$15&amp;"x"&amp;SG_Criteria!$B$16&amp;" for roadside drain. ","")&amp;IF(AND(E103="Common drain",G103&lt;SG_Criteria!$B$17),"FAIL: common drain W &lt; "&amp;SG_Criteria!$B$17&amp;" mm. ","")&amp;IF(AND(O103&lt;&gt;"",IFERROR(VALUE(MID(O103,2,2)),0)&lt;SG_Criteria!$B$19),"FAIL: grade below C"&amp;SG_Criteria!$B$19&amp;". ","")&amp;IF(AND(P103&lt;&gt;"",P103&lt;SG_Criteria!$B$20),"FAIL: cover &lt; "&amp;SG_Criteria!$B$20&amp;" mm. ","")&amp;IF(AND(F103="Open",H103&gt;SG_Criteria!$B$18),"NOTE: safety railing required (D &gt; "&amp;SG_Criteria!$B$18&amp;" mm). ","")&amp;IF(AND(E103="Entrance culvert",H103&lt;600),"NOTE: check hinged grating rule for culverts &lt; 600 deep (PUB Add. 3). ",""))=0,"OK",IF(AND(OR(E103="Roadside drain",E103="Entrance culvert"),OR(G103&lt;SG_Criteria!$B$15,H103&lt;SG_Criteria!$B$16)),"FAIL: below PUB min "&amp;SG_Criteria!$B$15&amp;"x"&amp;SG_Criteria!$B$16&amp;" for roadside drain. ","")&amp;IF(AND(E103="Common drain",G103&lt;SG_Criteria!$B$17),"FAIL: common drain W &lt; "&amp;SG_Criteria!$B$17&amp;" mm. ","")&amp;IF(AND(O103&lt;&gt;"",IFERROR(VALUE(MID(O103,2,2)),0)&lt;SG_Criteria!$B$19),"FAIL: grade below C"&amp;SG_Criteria!$B$19&amp;". ","")&amp;IF(AND(P103&lt;&gt;"",P103&lt;SG_Criteria!$B$20),"FAIL: cover &lt; "&amp;SG_Criteria!$B$20&amp;" mm. ","")&amp;IF(AND(F103="Open",H103&gt;SG_Criteria!$B$18),"NOTE: safety railing required (D &gt; "&amp;SG_Criteria!$B$18&amp;" mm). ","")&amp;IF(AND(E103="Entrance culvert",H103&lt;600),"NOTE: check hinged grating rule for culverts &lt; 600 deep (PUB Add. 3). ","")))</f>
        <v/>
      </c>
      <c r="BF103" s="9"/>
      <c r="BG103" s="9"/>
      <c r="BH103" s="9"/>
      <c r="BI103" s="10" t="str">
        <f aca="false">IF(BH103="","",IFERROR(VLOOKUP(BH103,Projects!$A$5:$D$504,2,0),"Ref not in Projects"))</f>
        <v/>
      </c>
      <c r="BJ103" s="10" t="str">
        <f aca="false">IF(BH103="","",IFERROR(VLOOKUP(BH103,Projects!$A$5:$D$504,4,0),"Ref not in Projects"))</f>
        <v/>
      </c>
      <c r="BK103" s="9"/>
      <c r="BL103" s="9"/>
      <c r="BM103" s="9"/>
      <c r="BN103" s="40"/>
      <c r="BO103" s="9"/>
      <c r="BP103" s="40"/>
      <c r="BQ103" s="9"/>
      <c r="BR103" s="40"/>
      <c r="BS103" s="9"/>
      <c r="BT103" s="9"/>
      <c r="BU103" s="9"/>
      <c r="BV103" s="40"/>
      <c r="BW103" s="40"/>
      <c r="BX103" s="36" t="str">
        <f aca="false">IF(BW103="","",EDATE(BW103,SG_Criteria!$B$54*12))</f>
        <v/>
      </c>
      <c r="BY103" s="33" t="str">
        <f aca="true">IF(A103="","",IF(BW103="","NOTE: not reviewed yet",IF(TODAY()&gt;BX103,"NOTE: review overdue","OK")))</f>
        <v/>
      </c>
      <c r="BZ103" s="37" t="str">
        <f aca="false">IF(A103="","",ROUND((IF(LEN(D103)&gt;0,1,0)+IF(LEN(E103)&gt;0,1,0)+IF(LEN(F103)&gt;0,1,0)+IF(LEN(G103)&gt;0,1,0)+IF(LEN(H103)&gt;0,1,0)+IF(LEN(J103)&gt;0,1,0)+IF(LEN(K103)&gt;0,1,0)+IF(LEN(M103)&gt;0,1,0)+IF(LEN(O103)&gt;0,1,0)+IF(LEN(P103)&gt;0,1,0)+IF(LEN(Q103)&gt;0,1,0)+IF(LEN(S103)&gt;0,1,0)+IF(LEN(AC103)&gt;0,1,0)+IF(LEN(AV103)&gt;0,1,0)+IF(LEN(AW103)&gt;0,1,0)+IF(LEN(AG103)&gt;0,1,0)+IF(LEN(AI103)&gt;0,1,0)+IF(LEN(AJ103)&gt;0,1,0)+IF(LEN(AK103)&gt;0,1,0)+IF(LEN(AL103)&gt;0,1,0)+IF(LEN(AU103)&gt;0,1,0)+IF(LEN(BH103)&gt;0,1,0)+IF(LEN(BU103)&gt;0,1,0))/23,2))</f>
        <v/>
      </c>
      <c r="CA103" s="10" t="str">
        <f aca="false">IF(D103="","",IF(AND(AJ103="Approved",ISERROR(SEARCH("FAIL",BE103))),"Y","N"))</f>
        <v/>
      </c>
      <c r="CB103" s="10" t="str">
        <f aca="false">IF(D103="","",D103&amp;"|"&amp;G103&amp;"|"&amp;H103&amp;"|"&amp;M103&amp;"|"&amp;CA103)</f>
        <v/>
      </c>
    </row>
    <row r="104" customFormat="false" ht="15" hidden="false" customHeight="false" outlineLevel="0" collapsed="false">
      <c r="A104" s="10" t="str">
        <f aca="false">IF(D104="","","DRN-"&amp;IFERROR(VLOOKUP(D104,Lists!$A$4:$B$27,2,0),"??")&amp;"-"&amp;TEXT(G104,"0000")&amp;"x"&amp;TEXT(H104,"0000")&amp;IF(N(I104)&gt;1,"-"&amp;I104&amp;"C","")&amp;"-"&amp;IFERROR(VLOOKUP(M104,Lists!$J$4:$K$19,2,0),"??")&amp;"-"&amp;AI104)</f>
        <v/>
      </c>
      <c r="B104" s="10" t="str">
        <f aca="false">IF(D104="","",D104&amp;" "&amp;G104&amp;"W x "&amp;H104&amp;"D"&amp;IF(N(I104)&gt;1," ("&amp;I104&amp;" cells)","")&amp;", "&amp;E104&amp;", "&amp;M104&amp;", "&amp;F104)</f>
        <v/>
      </c>
      <c r="C104" s="9"/>
      <c r="D104" s="9"/>
      <c r="E104" s="9"/>
      <c r="F104" s="9"/>
      <c r="G104" s="38"/>
      <c r="H104" s="38"/>
      <c r="I104" s="38"/>
      <c r="J104" s="38"/>
      <c r="K104" s="38"/>
      <c r="L104" s="38"/>
      <c r="M104" s="9"/>
      <c r="N104" s="9"/>
      <c r="O104" s="9"/>
      <c r="P104" s="38"/>
      <c r="Q104" s="9"/>
      <c r="R104" s="9"/>
      <c r="S104" s="9"/>
      <c r="T104" s="9"/>
      <c r="U104" s="9"/>
      <c r="V104" s="9"/>
      <c r="W104" s="9"/>
      <c r="X104" s="9"/>
      <c r="Y104" s="9"/>
      <c r="Z104" s="9"/>
      <c r="AA104" s="9"/>
      <c r="AB104" s="39"/>
      <c r="AC104" s="9"/>
      <c r="AD104" s="38"/>
      <c r="AE104" s="9"/>
      <c r="AF104" s="39"/>
      <c r="AG104" s="9"/>
      <c r="AH104" s="9"/>
      <c r="AI104" s="9"/>
      <c r="AJ104" s="9"/>
      <c r="AK104" s="9"/>
      <c r="AL104" s="9"/>
      <c r="AM104" s="9"/>
      <c r="AN104" s="10" t="str">
        <f aca="false">IF(A104="","",SG_Criteria!$B$6&amp;SG_Criteria!$B$7&amp;"\"&amp;A104&amp;"\")</f>
        <v/>
      </c>
      <c r="AO104" s="10" t="str">
        <f aca="false">IF(A104="","",A104&amp;"_CAD.dwg")</f>
        <v/>
      </c>
      <c r="AP104" s="10" t="str">
        <f aca="false">IF(A104="","",A104&amp;"_DWG.pdf")</f>
        <v/>
      </c>
      <c r="AQ104" s="10" t="str">
        <f aca="false">IF(A104="","",IF(AM104="Y",A104&amp;"_STAAD.std","n/a"))</f>
        <v/>
      </c>
      <c r="AR104" s="10" t="str">
        <f aca="false">IF(A104="","",A104&amp;"_CALC.xlsx")</f>
        <v/>
      </c>
      <c r="AS104" s="10" t="str">
        <f aca="false">IF(A104="","",A104&amp;"_CALC.pdf")</f>
        <v/>
      </c>
      <c r="AT104" s="9"/>
      <c r="AU104" s="9"/>
      <c r="AV104" s="39"/>
      <c r="AW104" s="39"/>
      <c r="AX104" s="39"/>
      <c r="AY104" s="39"/>
      <c r="AZ104" s="39"/>
      <c r="BA104" s="12" t="str">
        <f aca="false">IF(A104="","",IF(COUNTIF(Rebar_Schedule!$A$5:$A$2004,A104)=0,"",ROUND(SUMIF(Rebar_Schedule!$A$5:$A$2004,A104,Rebar_Schedule!$K$5:$K$2004),1)))</f>
        <v/>
      </c>
      <c r="BB104" s="33" t="str">
        <f aca="false">IF(A104="","",IF(BA104="","No rebar schedule yet",IF(ABS(BA104-N(AW104))/MAX(N(AW104),1)&gt;SG_Criteria!$B$55,"NOTE: register rebar differs from schedule by "&amp;TEXT(ABS(BA104-N(AW104))/MAX(N(AW104),1),"0%"),"OK")))</f>
        <v/>
      </c>
      <c r="BC104" s="34" t="str">
        <f aca="false">IF(OR(D104="",G104="",H104="",D104="Sump",D104="Drop Inlet Chamber",D104="Silt Trap",D104="Pipe Culvert",D104="Subsoil Drain"),"",ROUND(MAX(1,N(I104))*(1/SG_Criteria!$B$26)*((G104/1000)*(H104/1000*(1-SG_Criteria!$B$25)))*(((G104/1000)*(H104/1000*(1-SG_Criteria!$B$25)))/((G104/1000)+2*(H104/1000*(1-SG_Criteria!$B$25))))^(2/3)*(1/Design_Selector!$B$11)^0.5,3))</f>
        <v/>
      </c>
      <c r="BD104" s="11" t="str">
        <f aca="false">IF(BC104="","",ROUND(BC104/(MAX(1,N(I104))*G104/1000*(H104/1000*(1-SG_Criteria!$B$25))),2))</f>
        <v/>
      </c>
      <c r="BE104" s="33" t="str">
        <f aca="false">IF(D104="","",IF(LEN(IF(AND(OR(E104="Roadside drain",E104="Entrance culvert"),OR(G104&lt;SG_Criteria!$B$15,H104&lt;SG_Criteria!$B$16)),"FAIL: below PUB min "&amp;SG_Criteria!$B$15&amp;"x"&amp;SG_Criteria!$B$16&amp;" for roadside drain. ","")&amp;IF(AND(E104="Common drain",G104&lt;SG_Criteria!$B$17),"FAIL: common drain W &lt; "&amp;SG_Criteria!$B$17&amp;" mm. ","")&amp;IF(AND(O104&lt;&gt;"",IFERROR(VALUE(MID(O104,2,2)),0)&lt;SG_Criteria!$B$19),"FAIL: grade below C"&amp;SG_Criteria!$B$19&amp;". ","")&amp;IF(AND(P104&lt;&gt;"",P104&lt;SG_Criteria!$B$20),"FAIL: cover &lt; "&amp;SG_Criteria!$B$20&amp;" mm. ","")&amp;IF(AND(F104="Open",H104&gt;SG_Criteria!$B$18),"NOTE: safety railing required (D &gt; "&amp;SG_Criteria!$B$18&amp;" mm). ","")&amp;IF(AND(E104="Entrance culvert",H104&lt;600),"NOTE: check hinged grating rule for culverts &lt; 600 deep (PUB Add. 3). ",""))=0,"OK",IF(AND(OR(E104="Roadside drain",E104="Entrance culvert"),OR(G104&lt;SG_Criteria!$B$15,H104&lt;SG_Criteria!$B$16)),"FAIL: below PUB min "&amp;SG_Criteria!$B$15&amp;"x"&amp;SG_Criteria!$B$16&amp;" for roadside drain. ","")&amp;IF(AND(E104="Common drain",G104&lt;SG_Criteria!$B$17),"FAIL: common drain W &lt; "&amp;SG_Criteria!$B$17&amp;" mm. ","")&amp;IF(AND(O104&lt;&gt;"",IFERROR(VALUE(MID(O104,2,2)),0)&lt;SG_Criteria!$B$19),"FAIL: grade below C"&amp;SG_Criteria!$B$19&amp;". ","")&amp;IF(AND(P104&lt;&gt;"",P104&lt;SG_Criteria!$B$20),"FAIL: cover &lt; "&amp;SG_Criteria!$B$20&amp;" mm. ","")&amp;IF(AND(F104="Open",H104&gt;SG_Criteria!$B$18),"NOTE: safety railing required (D &gt; "&amp;SG_Criteria!$B$18&amp;" mm). ","")&amp;IF(AND(E104="Entrance culvert",H104&lt;600),"NOTE: check hinged grating rule for culverts &lt; 600 deep (PUB Add. 3). ","")))</f>
        <v/>
      </c>
      <c r="BF104" s="9"/>
      <c r="BG104" s="9"/>
      <c r="BH104" s="9"/>
      <c r="BI104" s="10" t="str">
        <f aca="false">IF(BH104="","",IFERROR(VLOOKUP(BH104,Projects!$A$5:$D$504,2,0),"Ref not in Projects"))</f>
        <v/>
      </c>
      <c r="BJ104" s="10" t="str">
        <f aca="false">IF(BH104="","",IFERROR(VLOOKUP(BH104,Projects!$A$5:$D$504,4,0),"Ref not in Projects"))</f>
        <v/>
      </c>
      <c r="BK104" s="9"/>
      <c r="BL104" s="9"/>
      <c r="BM104" s="9"/>
      <c r="BN104" s="40"/>
      <c r="BO104" s="9"/>
      <c r="BP104" s="40"/>
      <c r="BQ104" s="9"/>
      <c r="BR104" s="40"/>
      <c r="BS104" s="9"/>
      <c r="BT104" s="9"/>
      <c r="BU104" s="9"/>
      <c r="BV104" s="40"/>
      <c r="BW104" s="40"/>
      <c r="BX104" s="36" t="str">
        <f aca="false">IF(BW104="","",EDATE(BW104,SG_Criteria!$B$54*12))</f>
        <v/>
      </c>
      <c r="BY104" s="33" t="str">
        <f aca="true">IF(A104="","",IF(BW104="","NOTE: not reviewed yet",IF(TODAY()&gt;BX104,"NOTE: review overdue","OK")))</f>
        <v/>
      </c>
      <c r="BZ104" s="37" t="str">
        <f aca="false">IF(A104="","",ROUND((IF(LEN(D104)&gt;0,1,0)+IF(LEN(E104)&gt;0,1,0)+IF(LEN(F104)&gt;0,1,0)+IF(LEN(G104)&gt;0,1,0)+IF(LEN(H104)&gt;0,1,0)+IF(LEN(J104)&gt;0,1,0)+IF(LEN(K104)&gt;0,1,0)+IF(LEN(M104)&gt;0,1,0)+IF(LEN(O104)&gt;0,1,0)+IF(LEN(P104)&gt;0,1,0)+IF(LEN(Q104)&gt;0,1,0)+IF(LEN(S104)&gt;0,1,0)+IF(LEN(AC104)&gt;0,1,0)+IF(LEN(AV104)&gt;0,1,0)+IF(LEN(AW104)&gt;0,1,0)+IF(LEN(AG104)&gt;0,1,0)+IF(LEN(AI104)&gt;0,1,0)+IF(LEN(AJ104)&gt;0,1,0)+IF(LEN(AK104)&gt;0,1,0)+IF(LEN(AL104)&gt;0,1,0)+IF(LEN(AU104)&gt;0,1,0)+IF(LEN(BH104)&gt;0,1,0)+IF(LEN(BU104)&gt;0,1,0))/23,2))</f>
        <v/>
      </c>
      <c r="CA104" s="10" t="str">
        <f aca="false">IF(D104="","",IF(AND(AJ104="Approved",ISERROR(SEARCH("FAIL",BE104))),"Y","N"))</f>
        <v/>
      </c>
      <c r="CB104" s="10" t="str">
        <f aca="false">IF(D104="","",D104&amp;"|"&amp;G104&amp;"|"&amp;H104&amp;"|"&amp;M104&amp;"|"&amp;CA104)</f>
        <v/>
      </c>
    </row>
    <row r="105" customFormat="false" ht="15" hidden="false" customHeight="false" outlineLevel="0" collapsed="false">
      <c r="A105" s="10" t="str">
        <f aca="false">IF(D105="","","DRN-"&amp;IFERROR(VLOOKUP(D105,Lists!$A$4:$B$27,2,0),"??")&amp;"-"&amp;TEXT(G105,"0000")&amp;"x"&amp;TEXT(H105,"0000")&amp;IF(N(I105)&gt;1,"-"&amp;I105&amp;"C","")&amp;"-"&amp;IFERROR(VLOOKUP(M105,Lists!$J$4:$K$19,2,0),"??")&amp;"-"&amp;AI105)</f>
        <v/>
      </c>
      <c r="B105" s="10" t="str">
        <f aca="false">IF(D105="","",D105&amp;" "&amp;G105&amp;"W x "&amp;H105&amp;"D"&amp;IF(N(I105)&gt;1," ("&amp;I105&amp;" cells)","")&amp;", "&amp;E105&amp;", "&amp;M105&amp;", "&amp;F105)</f>
        <v/>
      </c>
      <c r="C105" s="9"/>
      <c r="D105" s="9"/>
      <c r="E105" s="9"/>
      <c r="F105" s="9"/>
      <c r="G105" s="38"/>
      <c r="H105" s="38"/>
      <c r="I105" s="38"/>
      <c r="J105" s="38"/>
      <c r="K105" s="38"/>
      <c r="L105" s="38"/>
      <c r="M105" s="9"/>
      <c r="N105" s="9"/>
      <c r="O105" s="9"/>
      <c r="P105" s="38"/>
      <c r="Q105" s="9"/>
      <c r="R105" s="9"/>
      <c r="S105" s="9"/>
      <c r="T105" s="9"/>
      <c r="U105" s="9"/>
      <c r="V105" s="9"/>
      <c r="W105" s="9"/>
      <c r="X105" s="9"/>
      <c r="Y105" s="9"/>
      <c r="Z105" s="9"/>
      <c r="AA105" s="9"/>
      <c r="AB105" s="39"/>
      <c r="AC105" s="9"/>
      <c r="AD105" s="38"/>
      <c r="AE105" s="9"/>
      <c r="AF105" s="39"/>
      <c r="AG105" s="9"/>
      <c r="AH105" s="9"/>
      <c r="AI105" s="9"/>
      <c r="AJ105" s="9"/>
      <c r="AK105" s="9"/>
      <c r="AL105" s="9"/>
      <c r="AM105" s="9"/>
      <c r="AN105" s="10" t="str">
        <f aca="false">IF(A105="","",SG_Criteria!$B$6&amp;SG_Criteria!$B$7&amp;"\"&amp;A105&amp;"\")</f>
        <v/>
      </c>
      <c r="AO105" s="10" t="str">
        <f aca="false">IF(A105="","",A105&amp;"_CAD.dwg")</f>
        <v/>
      </c>
      <c r="AP105" s="10" t="str">
        <f aca="false">IF(A105="","",A105&amp;"_DWG.pdf")</f>
        <v/>
      </c>
      <c r="AQ105" s="10" t="str">
        <f aca="false">IF(A105="","",IF(AM105="Y",A105&amp;"_STAAD.std","n/a"))</f>
        <v/>
      </c>
      <c r="AR105" s="10" t="str">
        <f aca="false">IF(A105="","",A105&amp;"_CALC.xlsx")</f>
        <v/>
      </c>
      <c r="AS105" s="10" t="str">
        <f aca="false">IF(A105="","",A105&amp;"_CALC.pdf")</f>
        <v/>
      </c>
      <c r="AT105" s="9"/>
      <c r="AU105" s="9"/>
      <c r="AV105" s="39"/>
      <c r="AW105" s="39"/>
      <c r="AX105" s="39"/>
      <c r="AY105" s="39"/>
      <c r="AZ105" s="39"/>
      <c r="BA105" s="12" t="str">
        <f aca="false">IF(A105="","",IF(COUNTIF(Rebar_Schedule!$A$5:$A$2004,A105)=0,"",ROUND(SUMIF(Rebar_Schedule!$A$5:$A$2004,A105,Rebar_Schedule!$K$5:$K$2004),1)))</f>
        <v/>
      </c>
      <c r="BB105" s="33" t="str">
        <f aca="false">IF(A105="","",IF(BA105="","No rebar schedule yet",IF(ABS(BA105-N(AW105))/MAX(N(AW105),1)&gt;SG_Criteria!$B$55,"NOTE: register rebar differs from schedule by "&amp;TEXT(ABS(BA105-N(AW105))/MAX(N(AW105),1),"0%"),"OK")))</f>
        <v/>
      </c>
      <c r="BC105" s="34" t="str">
        <f aca="false">IF(OR(D105="",G105="",H105="",D105="Sump",D105="Drop Inlet Chamber",D105="Silt Trap",D105="Pipe Culvert",D105="Subsoil Drain"),"",ROUND(MAX(1,N(I105))*(1/SG_Criteria!$B$26)*((G105/1000)*(H105/1000*(1-SG_Criteria!$B$25)))*(((G105/1000)*(H105/1000*(1-SG_Criteria!$B$25)))/((G105/1000)+2*(H105/1000*(1-SG_Criteria!$B$25))))^(2/3)*(1/Design_Selector!$B$11)^0.5,3))</f>
        <v/>
      </c>
      <c r="BD105" s="11" t="str">
        <f aca="false">IF(BC105="","",ROUND(BC105/(MAX(1,N(I105))*G105/1000*(H105/1000*(1-SG_Criteria!$B$25))),2))</f>
        <v/>
      </c>
      <c r="BE105" s="33" t="str">
        <f aca="false">IF(D105="","",IF(LEN(IF(AND(OR(E105="Roadside drain",E105="Entrance culvert"),OR(G105&lt;SG_Criteria!$B$15,H105&lt;SG_Criteria!$B$16)),"FAIL: below PUB min "&amp;SG_Criteria!$B$15&amp;"x"&amp;SG_Criteria!$B$16&amp;" for roadside drain. ","")&amp;IF(AND(E105="Common drain",G105&lt;SG_Criteria!$B$17),"FAIL: common drain W &lt; "&amp;SG_Criteria!$B$17&amp;" mm. ","")&amp;IF(AND(O105&lt;&gt;"",IFERROR(VALUE(MID(O105,2,2)),0)&lt;SG_Criteria!$B$19),"FAIL: grade below C"&amp;SG_Criteria!$B$19&amp;". ","")&amp;IF(AND(P105&lt;&gt;"",P105&lt;SG_Criteria!$B$20),"FAIL: cover &lt; "&amp;SG_Criteria!$B$20&amp;" mm. ","")&amp;IF(AND(F105="Open",H105&gt;SG_Criteria!$B$18),"NOTE: safety railing required (D &gt; "&amp;SG_Criteria!$B$18&amp;" mm). ","")&amp;IF(AND(E105="Entrance culvert",H105&lt;600),"NOTE: check hinged grating rule for culverts &lt; 600 deep (PUB Add. 3). ",""))=0,"OK",IF(AND(OR(E105="Roadside drain",E105="Entrance culvert"),OR(G105&lt;SG_Criteria!$B$15,H105&lt;SG_Criteria!$B$16)),"FAIL: below PUB min "&amp;SG_Criteria!$B$15&amp;"x"&amp;SG_Criteria!$B$16&amp;" for roadside drain. ","")&amp;IF(AND(E105="Common drain",G105&lt;SG_Criteria!$B$17),"FAIL: common drain W &lt; "&amp;SG_Criteria!$B$17&amp;" mm. ","")&amp;IF(AND(O105&lt;&gt;"",IFERROR(VALUE(MID(O105,2,2)),0)&lt;SG_Criteria!$B$19),"FAIL: grade below C"&amp;SG_Criteria!$B$19&amp;". ","")&amp;IF(AND(P105&lt;&gt;"",P105&lt;SG_Criteria!$B$20),"FAIL: cover &lt; "&amp;SG_Criteria!$B$20&amp;" mm. ","")&amp;IF(AND(F105="Open",H105&gt;SG_Criteria!$B$18),"NOTE: safety railing required (D &gt; "&amp;SG_Criteria!$B$18&amp;" mm). ","")&amp;IF(AND(E105="Entrance culvert",H105&lt;600),"NOTE: check hinged grating rule for culverts &lt; 600 deep (PUB Add. 3). ","")))</f>
        <v/>
      </c>
      <c r="BF105" s="9"/>
      <c r="BG105" s="9"/>
      <c r="BH105" s="9"/>
      <c r="BI105" s="10" t="str">
        <f aca="false">IF(BH105="","",IFERROR(VLOOKUP(BH105,Projects!$A$5:$D$504,2,0),"Ref not in Projects"))</f>
        <v/>
      </c>
      <c r="BJ105" s="10" t="str">
        <f aca="false">IF(BH105="","",IFERROR(VLOOKUP(BH105,Projects!$A$5:$D$504,4,0),"Ref not in Projects"))</f>
        <v/>
      </c>
      <c r="BK105" s="9"/>
      <c r="BL105" s="9"/>
      <c r="BM105" s="9"/>
      <c r="BN105" s="40"/>
      <c r="BO105" s="9"/>
      <c r="BP105" s="40"/>
      <c r="BQ105" s="9"/>
      <c r="BR105" s="40"/>
      <c r="BS105" s="9"/>
      <c r="BT105" s="9"/>
      <c r="BU105" s="9"/>
      <c r="BV105" s="40"/>
      <c r="BW105" s="40"/>
      <c r="BX105" s="36" t="str">
        <f aca="false">IF(BW105="","",EDATE(BW105,SG_Criteria!$B$54*12))</f>
        <v/>
      </c>
      <c r="BY105" s="33" t="str">
        <f aca="true">IF(A105="","",IF(BW105="","NOTE: not reviewed yet",IF(TODAY()&gt;BX105,"NOTE: review overdue","OK")))</f>
        <v/>
      </c>
      <c r="BZ105" s="37" t="str">
        <f aca="false">IF(A105="","",ROUND((IF(LEN(D105)&gt;0,1,0)+IF(LEN(E105)&gt;0,1,0)+IF(LEN(F105)&gt;0,1,0)+IF(LEN(G105)&gt;0,1,0)+IF(LEN(H105)&gt;0,1,0)+IF(LEN(J105)&gt;0,1,0)+IF(LEN(K105)&gt;0,1,0)+IF(LEN(M105)&gt;0,1,0)+IF(LEN(O105)&gt;0,1,0)+IF(LEN(P105)&gt;0,1,0)+IF(LEN(Q105)&gt;0,1,0)+IF(LEN(S105)&gt;0,1,0)+IF(LEN(AC105)&gt;0,1,0)+IF(LEN(AV105)&gt;0,1,0)+IF(LEN(AW105)&gt;0,1,0)+IF(LEN(AG105)&gt;0,1,0)+IF(LEN(AI105)&gt;0,1,0)+IF(LEN(AJ105)&gt;0,1,0)+IF(LEN(AK105)&gt;0,1,0)+IF(LEN(AL105)&gt;0,1,0)+IF(LEN(AU105)&gt;0,1,0)+IF(LEN(BH105)&gt;0,1,0)+IF(LEN(BU105)&gt;0,1,0))/23,2))</f>
        <v/>
      </c>
      <c r="CA105" s="10" t="str">
        <f aca="false">IF(D105="","",IF(AND(AJ105="Approved",ISERROR(SEARCH("FAIL",BE105))),"Y","N"))</f>
        <v/>
      </c>
      <c r="CB105" s="10" t="str">
        <f aca="false">IF(D105="","",D105&amp;"|"&amp;G105&amp;"|"&amp;H105&amp;"|"&amp;M105&amp;"|"&amp;CA105)</f>
        <v/>
      </c>
    </row>
    <row r="106" customFormat="false" ht="15" hidden="false" customHeight="false" outlineLevel="0" collapsed="false">
      <c r="A106" s="10" t="str">
        <f aca="false">IF(D106="","","DRN-"&amp;IFERROR(VLOOKUP(D106,Lists!$A$4:$B$27,2,0),"??")&amp;"-"&amp;TEXT(G106,"0000")&amp;"x"&amp;TEXT(H106,"0000")&amp;IF(N(I106)&gt;1,"-"&amp;I106&amp;"C","")&amp;"-"&amp;IFERROR(VLOOKUP(M106,Lists!$J$4:$K$19,2,0),"??")&amp;"-"&amp;AI106)</f>
        <v/>
      </c>
      <c r="B106" s="10" t="str">
        <f aca="false">IF(D106="","",D106&amp;" "&amp;G106&amp;"W x "&amp;H106&amp;"D"&amp;IF(N(I106)&gt;1," ("&amp;I106&amp;" cells)","")&amp;", "&amp;E106&amp;", "&amp;M106&amp;", "&amp;F106)</f>
        <v/>
      </c>
      <c r="C106" s="9"/>
      <c r="D106" s="9"/>
      <c r="E106" s="9"/>
      <c r="F106" s="9"/>
      <c r="G106" s="38"/>
      <c r="H106" s="38"/>
      <c r="I106" s="38"/>
      <c r="J106" s="38"/>
      <c r="K106" s="38"/>
      <c r="L106" s="38"/>
      <c r="M106" s="9"/>
      <c r="N106" s="9"/>
      <c r="O106" s="9"/>
      <c r="P106" s="38"/>
      <c r="Q106" s="9"/>
      <c r="R106" s="9"/>
      <c r="S106" s="9"/>
      <c r="T106" s="9"/>
      <c r="U106" s="9"/>
      <c r="V106" s="9"/>
      <c r="W106" s="9"/>
      <c r="X106" s="9"/>
      <c r="Y106" s="9"/>
      <c r="Z106" s="9"/>
      <c r="AA106" s="9"/>
      <c r="AB106" s="39"/>
      <c r="AC106" s="9"/>
      <c r="AD106" s="38"/>
      <c r="AE106" s="9"/>
      <c r="AF106" s="39"/>
      <c r="AG106" s="9"/>
      <c r="AH106" s="9"/>
      <c r="AI106" s="9"/>
      <c r="AJ106" s="9"/>
      <c r="AK106" s="9"/>
      <c r="AL106" s="9"/>
      <c r="AM106" s="9"/>
      <c r="AN106" s="10" t="str">
        <f aca="false">IF(A106="","",SG_Criteria!$B$6&amp;SG_Criteria!$B$7&amp;"\"&amp;A106&amp;"\")</f>
        <v/>
      </c>
      <c r="AO106" s="10" t="str">
        <f aca="false">IF(A106="","",A106&amp;"_CAD.dwg")</f>
        <v/>
      </c>
      <c r="AP106" s="10" t="str">
        <f aca="false">IF(A106="","",A106&amp;"_DWG.pdf")</f>
        <v/>
      </c>
      <c r="AQ106" s="10" t="str">
        <f aca="false">IF(A106="","",IF(AM106="Y",A106&amp;"_STAAD.std","n/a"))</f>
        <v/>
      </c>
      <c r="AR106" s="10" t="str">
        <f aca="false">IF(A106="","",A106&amp;"_CALC.xlsx")</f>
        <v/>
      </c>
      <c r="AS106" s="10" t="str">
        <f aca="false">IF(A106="","",A106&amp;"_CALC.pdf")</f>
        <v/>
      </c>
      <c r="AT106" s="9"/>
      <c r="AU106" s="9"/>
      <c r="AV106" s="39"/>
      <c r="AW106" s="39"/>
      <c r="AX106" s="39"/>
      <c r="AY106" s="39"/>
      <c r="AZ106" s="39"/>
      <c r="BA106" s="12" t="str">
        <f aca="false">IF(A106="","",IF(COUNTIF(Rebar_Schedule!$A$5:$A$2004,A106)=0,"",ROUND(SUMIF(Rebar_Schedule!$A$5:$A$2004,A106,Rebar_Schedule!$K$5:$K$2004),1)))</f>
        <v/>
      </c>
      <c r="BB106" s="33" t="str">
        <f aca="false">IF(A106="","",IF(BA106="","No rebar schedule yet",IF(ABS(BA106-N(AW106))/MAX(N(AW106),1)&gt;SG_Criteria!$B$55,"NOTE: register rebar differs from schedule by "&amp;TEXT(ABS(BA106-N(AW106))/MAX(N(AW106),1),"0%"),"OK")))</f>
        <v/>
      </c>
      <c r="BC106" s="34" t="str">
        <f aca="false">IF(OR(D106="",G106="",H106="",D106="Sump",D106="Drop Inlet Chamber",D106="Silt Trap",D106="Pipe Culvert",D106="Subsoil Drain"),"",ROUND(MAX(1,N(I106))*(1/SG_Criteria!$B$26)*((G106/1000)*(H106/1000*(1-SG_Criteria!$B$25)))*(((G106/1000)*(H106/1000*(1-SG_Criteria!$B$25)))/((G106/1000)+2*(H106/1000*(1-SG_Criteria!$B$25))))^(2/3)*(1/Design_Selector!$B$11)^0.5,3))</f>
        <v/>
      </c>
      <c r="BD106" s="11" t="str">
        <f aca="false">IF(BC106="","",ROUND(BC106/(MAX(1,N(I106))*G106/1000*(H106/1000*(1-SG_Criteria!$B$25))),2))</f>
        <v/>
      </c>
      <c r="BE106" s="33" t="str">
        <f aca="false">IF(D106="","",IF(LEN(IF(AND(OR(E106="Roadside drain",E106="Entrance culvert"),OR(G106&lt;SG_Criteria!$B$15,H106&lt;SG_Criteria!$B$16)),"FAIL: below PUB min "&amp;SG_Criteria!$B$15&amp;"x"&amp;SG_Criteria!$B$16&amp;" for roadside drain. ","")&amp;IF(AND(E106="Common drain",G106&lt;SG_Criteria!$B$17),"FAIL: common drain W &lt; "&amp;SG_Criteria!$B$17&amp;" mm. ","")&amp;IF(AND(O106&lt;&gt;"",IFERROR(VALUE(MID(O106,2,2)),0)&lt;SG_Criteria!$B$19),"FAIL: grade below C"&amp;SG_Criteria!$B$19&amp;". ","")&amp;IF(AND(P106&lt;&gt;"",P106&lt;SG_Criteria!$B$20),"FAIL: cover &lt; "&amp;SG_Criteria!$B$20&amp;" mm. ","")&amp;IF(AND(F106="Open",H106&gt;SG_Criteria!$B$18),"NOTE: safety railing required (D &gt; "&amp;SG_Criteria!$B$18&amp;" mm). ","")&amp;IF(AND(E106="Entrance culvert",H106&lt;600),"NOTE: check hinged grating rule for culverts &lt; 600 deep (PUB Add. 3). ",""))=0,"OK",IF(AND(OR(E106="Roadside drain",E106="Entrance culvert"),OR(G106&lt;SG_Criteria!$B$15,H106&lt;SG_Criteria!$B$16)),"FAIL: below PUB min "&amp;SG_Criteria!$B$15&amp;"x"&amp;SG_Criteria!$B$16&amp;" for roadside drain. ","")&amp;IF(AND(E106="Common drain",G106&lt;SG_Criteria!$B$17),"FAIL: common drain W &lt; "&amp;SG_Criteria!$B$17&amp;" mm. ","")&amp;IF(AND(O106&lt;&gt;"",IFERROR(VALUE(MID(O106,2,2)),0)&lt;SG_Criteria!$B$19),"FAIL: grade below C"&amp;SG_Criteria!$B$19&amp;". ","")&amp;IF(AND(P106&lt;&gt;"",P106&lt;SG_Criteria!$B$20),"FAIL: cover &lt; "&amp;SG_Criteria!$B$20&amp;" mm. ","")&amp;IF(AND(F106="Open",H106&gt;SG_Criteria!$B$18),"NOTE: safety railing required (D &gt; "&amp;SG_Criteria!$B$18&amp;" mm). ","")&amp;IF(AND(E106="Entrance culvert",H106&lt;600),"NOTE: check hinged grating rule for culverts &lt; 600 deep (PUB Add. 3). ","")))</f>
        <v/>
      </c>
      <c r="BF106" s="9"/>
      <c r="BG106" s="9"/>
      <c r="BH106" s="9"/>
      <c r="BI106" s="10" t="str">
        <f aca="false">IF(BH106="","",IFERROR(VLOOKUP(BH106,Projects!$A$5:$D$504,2,0),"Ref not in Projects"))</f>
        <v/>
      </c>
      <c r="BJ106" s="10" t="str">
        <f aca="false">IF(BH106="","",IFERROR(VLOOKUP(BH106,Projects!$A$5:$D$504,4,0),"Ref not in Projects"))</f>
        <v/>
      </c>
      <c r="BK106" s="9"/>
      <c r="BL106" s="9"/>
      <c r="BM106" s="9"/>
      <c r="BN106" s="40"/>
      <c r="BO106" s="9"/>
      <c r="BP106" s="40"/>
      <c r="BQ106" s="9"/>
      <c r="BR106" s="40"/>
      <c r="BS106" s="9"/>
      <c r="BT106" s="9"/>
      <c r="BU106" s="9"/>
      <c r="BV106" s="40"/>
      <c r="BW106" s="40"/>
      <c r="BX106" s="36" t="str">
        <f aca="false">IF(BW106="","",EDATE(BW106,SG_Criteria!$B$54*12))</f>
        <v/>
      </c>
      <c r="BY106" s="33" t="str">
        <f aca="true">IF(A106="","",IF(BW106="","NOTE: not reviewed yet",IF(TODAY()&gt;BX106,"NOTE: review overdue","OK")))</f>
        <v/>
      </c>
      <c r="BZ106" s="37" t="str">
        <f aca="false">IF(A106="","",ROUND((IF(LEN(D106)&gt;0,1,0)+IF(LEN(E106)&gt;0,1,0)+IF(LEN(F106)&gt;0,1,0)+IF(LEN(G106)&gt;0,1,0)+IF(LEN(H106)&gt;0,1,0)+IF(LEN(J106)&gt;0,1,0)+IF(LEN(K106)&gt;0,1,0)+IF(LEN(M106)&gt;0,1,0)+IF(LEN(O106)&gt;0,1,0)+IF(LEN(P106)&gt;0,1,0)+IF(LEN(Q106)&gt;0,1,0)+IF(LEN(S106)&gt;0,1,0)+IF(LEN(AC106)&gt;0,1,0)+IF(LEN(AV106)&gt;0,1,0)+IF(LEN(AW106)&gt;0,1,0)+IF(LEN(AG106)&gt;0,1,0)+IF(LEN(AI106)&gt;0,1,0)+IF(LEN(AJ106)&gt;0,1,0)+IF(LEN(AK106)&gt;0,1,0)+IF(LEN(AL106)&gt;0,1,0)+IF(LEN(AU106)&gt;0,1,0)+IF(LEN(BH106)&gt;0,1,0)+IF(LEN(BU106)&gt;0,1,0))/23,2))</f>
        <v/>
      </c>
      <c r="CA106" s="10" t="str">
        <f aca="false">IF(D106="","",IF(AND(AJ106="Approved",ISERROR(SEARCH("FAIL",BE106))),"Y","N"))</f>
        <v/>
      </c>
      <c r="CB106" s="10" t="str">
        <f aca="false">IF(D106="","",D106&amp;"|"&amp;G106&amp;"|"&amp;H106&amp;"|"&amp;M106&amp;"|"&amp;CA106)</f>
        <v/>
      </c>
    </row>
    <row r="107" customFormat="false" ht="15" hidden="false" customHeight="false" outlineLevel="0" collapsed="false">
      <c r="A107" s="10" t="str">
        <f aca="false">IF(D107="","","DRN-"&amp;IFERROR(VLOOKUP(D107,Lists!$A$4:$B$27,2,0),"??")&amp;"-"&amp;TEXT(G107,"0000")&amp;"x"&amp;TEXT(H107,"0000")&amp;IF(N(I107)&gt;1,"-"&amp;I107&amp;"C","")&amp;"-"&amp;IFERROR(VLOOKUP(M107,Lists!$J$4:$K$19,2,0),"??")&amp;"-"&amp;AI107)</f>
        <v/>
      </c>
      <c r="B107" s="10" t="str">
        <f aca="false">IF(D107="","",D107&amp;" "&amp;G107&amp;"W x "&amp;H107&amp;"D"&amp;IF(N(I107)&gt;1," ("&amp;I107&amp;" cells)","")&amp;", "&amp;E107&amp;", "&amp;M107&amp;", "&amp;F107)</f>
        <v/>
      </c>
      <c r="C107" s="9"/>
      <c r="D107" s="9"/>
      <c r="E107" s="9"/>
      <c r="F107" s="9"/>
      <c r="G107" s="38"/>
      <c r="H107" s="38"/>
      <c r="I107" s="38"/>
      <c r="J107" s="38"/>
      <c r="K107" s="38"/>
      <c r="L107" s="38"/>
      <c r="M107" s="9"/>
      <c r="N107" s="9"/>
      <c r="O107" s="9"/>
      <c r="P107" s="38"/>
      <c r="Q107" s="9"/>
      <c r="R107" s="9"/>
      <c r="S107" s="9"/>
      <c r="T107" s="9"/>
      <c r="U107" s="9"/>
      <c r="V107" s="9"/>
      <c r="W107" s="9"/>
      <c r="X107" s="9"/>
      <c r="Y107" s="9"/>
      <c r="Z107" s="9"/>
      <c r="AA107" s="9"/>
      <c r="AB107" s="39"/>
      <c r="AC107" s="9"/>
      <c r="AD107" s="38"/>
      <c r="AE107" s="9"/>
      <c r="AF107" s="39"/>
      <c r="AG107" s="9"/>
      <c r="AH107" s="9"/>
      <c r="AI107" s="9"/>
      <c r="AJ107" s="9"/>
      <c r="AK107" s="9"/>
      <c r="AL107" s="9"/>
      <c r="AM107" s="9"/>
      <c r="AN107" s="10" t="str">
        <f aca="false">IF(A107="","",SG_Criteria!$B$6&amp;SG_Criteria!$B$7&amp;"\"&amp;A107&amp;"\")</f>
        <v/>
      </c>
      <c r="AO107" s="10" t="str">
        <f aca="false">IF(A107="","",A107&amp;"_CAD.dwg")</f>
        <v/>
      </c>
      <c r="AP107" s="10" t="str">
        <f aca="false">IF(A107="","",A107&amp;"_DWG.pdf")</f>
        <v/>
      </c>
      <c r="AQ107" s="10" t="str">
        <f aca="false">IF(A107="","",IF(AM107="Y",A107&amp;"_STAAD.std","n/a"))</f>
        <v/>
      </c>
      <c r="AR107" s="10" t="str">
        <f aca="false">IF(A107="","",A107&amp;"_CALC.xlsx")</f>
        <v/>
      </c>
      <c r="AS107" s="10" t="str">
        <f aca="false">IF(A107="","",A107&amp;"_CALC.pdf")</f>
        <v/>
      </c>
      <c r="AT107" s="9"/>
      <c r="AU107" s="9"/>
      <c r="AV107" s="39"/>
      <c r="AW107" s="39"/>
      <c r="AX107" s="39"/>
      <c r="AY107" s="39"/>
      <c r="AZ107" s="39"/>
      <c r="BA107" s="12" t="str">
        <f aca="false">IF(A107="","",IF(COUNTIF(Rebar_Schedule!$A$5:$A$2004,A107)=0,"",ROUND(SUMIF(Rebar_Schedule!$A$5:$A$2004,A107,Rebar_Schedule!$K$5:$K$2004),1)))</f>
        <v/>
      </c>
      <c r="BB107" s="33" t="str">
        <f aca="false">IF(A107="","",IF(BA107="","No rebar schedule yet",IF(ABS(BA107-N(AW107))/MAX(N(AW107),1)&gt;SG_Criteria!$B$55,"NOTE: register rebar differs from schedule by "&amp;TEXT(ABS(BA107-N(AW107))/MAX(N(AW107),1),"0%"),"OK")))</f>
        <v/>
      </c>
      <c r="BC107" s="34" t="str">
        <f aca="false">IF(OR(D107="",G107="",H107="",D107="Sump",D107="Drop Inlet Chamber",D107="Silt Trap",D107="Pipe Culvert",D107="Subsoil Drain"),"",ROUND(MAX(1,N(I107))*(1/SG_Criteria!$B$26)*((G107/1000)*(H107/1000*(1-SG_Criteria!$B$25)))*(((G107/1000)*(H107/1000*(1-SG_Criteria!$B$25)))/((G107/1000)+2*(H107/1000*(1-SG_Criteria!$B$25))))^(2/3)*(1/Design_Selector!$B$11)^0.5,3))</f>
        <v/>
      </c>
      <c r="BD107" s="11" t="str">
        <f aca="false">IF(BC107="","",ROUND(BC107/(MAX(1,N(I107))*G107/1000*(H107/1000*(1-SG_Criteria!$B$25))),2))</f>
        <v/>
      </c>
      <c r="BE107" s="33" t="str">
        <f aca="false">IF(D107="","",IF(LEN(IF(AND(OR(E107="Roadside drain",E107="Entrance culvert"),OR(G107&lt;SG_Criteria!$B$15,H107&lt;SG_Criteria!$B$16)),"FAIL: below PUB min "&amp;SG_Criteria!$B$15&amp;"x"&amp;SG_Criteria!$B$16&amp;" for roadside drain. ","")&amp;IF(AND(E107="Common drain",G107&lt;SG_Criteria!$B$17),"FAIL: common drain W &lt; "&amp;SG_Criteria!$B$17&amp;" mm. ","")&amp;IF(AND(O107&lt;&gt;"",IFERROR(VALUE(MID(O107,2,2)),0)&lt;SG_Criteria!$B$19),"FAIL: grade below C"&amp;SG_Criteria!$B$19&amp;". ","")&amp;IF(AND(P107&lt;&gt;"",P107&lt;SG_Criteria!$B$20),"FAIL: cover &lt; "&amp;SG_Criteria!$B$20&amp;" mm. ","")&amp;IF(AND(F107="Open",H107&gt;SG_Criteria!$B$18),"NOTE: safety railing required (D &gt; "&amp;SG_Criteria!$B$18&amp;" mm). ","")&amp;IF(AND(E107="Entrance culvert",H107&lt;600),"NOTE: check hinged grating rule for culverts &lt; 600 deep (PUB Add. 3). ",""))=0,"OK",IF(AND(OR(E107="Roadside drain",E107="Entrance culvert"),OR(G107&lt;SG_Criteria!$B$15,H107&lt;SG_Criteria!$B$16)),"FAIL: below PUB min "&amp;SG_Criteria!$B$15&amp;"x"&amp;SG_Criteria!$B$16&amp;" for roadside drain. ","")&amp;IF(AND(E107="Common drain",G107&lt;SG_Criteria!$B$17),"FAIL: common drain W &lt; "&amp;SG_Criteria!$B$17&amp;" mm. ","")&amp;IF(AND(O107&lt;&gt;"",IFERROR(VALUE(MID(O107,2,2)),0)&lt;SG_Criteria!$B$19),"FAIL: grade below C"&amp;SG_Criteria!$B$19&amp;". ","")&amp;IF(AND(P107&lt;&gt;"",P107&lt;SG_Criteria!$B$20),"FAIL: cover &lt; "&amp;SG_Criteria!$B$20&amp;" mm. ","")&amp;IF(AND(F107="Open",H107&gt;SG_Criteria!$B$18),"NOTE: safety railing required (D &gt; "&amp;SG_Criteria!$B$18&amp;" mm). ","")&amp;IF(AND(E107="Entrance culvert",H107&lt;600),"NOTE: check hinged grating rule for culverts &lt; 600 deep (PUB Add. 3). ","")))</f>
        <v/>
      </c>
      <c r="BF107" s="9"/>
      <c r="BG107" s="9"/>
      <c r="BH107" s="9"/>
      <c r="BI107" s="10" t="str">
        <f aca="false">IF(BH107="","",IFERROR(VLOOKUP(BH107,Projects!$A$5:$D$504,2,0),"Ref not in Projects"))</f>
        <v/>
      </c>
      <c r="BJ107" s="10" t="str">
        <f aca="false">IF(BH107="","",IFERROR(VLOOKUP(BH107,Projects!$A$5:$D$504,4,0),"Ref not in Projects"))</f>
        <v/>
      </c>
      <c r="BK107" s="9"/>
      <c r="BL107" s="9"/>
      <c r="BM107" s="9"/>
      <c r="BN107" s="40"/>
      <c r="BO107" s="9"/>
      <c r="BP107" s="40"/>
      <c r="BQ107" s="9"/>
      <c r="BR107" s="40"/>
      <c r="BS107" s="9"/>
      <c r="BT107" s="9"/>
      <c r="BU107" s="9"/>
      <c r="BV107" s="40"/>
      <c r="BW107" s="40"/>
      <c r="BX107" s="36" t="str">
        <f aca="false">IF(BW107="","",EDATE(BW107,SG_Criteria!$B$54*12))</f>
        <v/>
      </c>
      <c r="BY107" s="33" t="str">
        <f aca="true">IF(A107="","",IF(BW107="","NOTE: not reviewed yet",IF(TODAY()&gt;BX107,"NOTE: review overdue","OK")))</f>
        <v/>
      </c>
      <c r="BZ107" s="37" t="str">
        <f aca="false">IF(A107="","",ROUND((IF(LEN(D107)&gt;0,1,0)+IF(LEN(E107)&gt;0,1,0)+IF(LEN(F107)&gt;0,1,0)+IF(LEN(G107)&gt;0,1,0)+IF(LEN(H107)&gt;0,1,0)+IF(LEN(J107)&gt;0,1,0)+IF(LEN(K107)&gt;0,1,0)+IF(LEN(M107)&gt;0,1,0)+IF(LEN(O107)&gt;0,1,0)+IF(LEN(P107)&gt;0,1,0)+IF(LEN(Q107)&gt;0,1,0)+IF(LEN(S107)&gt;0,1,0)+IF(LEN(AC107)&gt;0,1,0)+IF(LEN(AV107)&gt;0,1,0)+IF(LEN(AW107)&gt;0,1,0)+IF(LEN(AG107)&gt;0,1,0)+IF(LEN(AI107)&gt;0,1,0)+IF(LEN(AJ107)&gt;0,1,0)+IF(LEN(AK107)&gt;0,1,0)+IF(LEN(AL107)&gt;0,1,0)+IF(LEN(AU107)&gt;0,1,0)+IF(LEN(BH107)&gt;0,1,0)+IF(LEN(BU107)&gt;0,1,0))/23,2))</f>
        <v/>
      </c>
      <c r="CA107" s="10" t="str">
        <f aca="false">IF(D107="","",IF(AND(AJ107="Approved",ISERROR(SEARCH("FAIL",BE107))),"Y","N"))</f>
        <v/>
      </c>
      <c r="CB107" s="10" t="str">
        <f aca="false">IF(D107="","",D107&amp;"|"&amp;G107&amp;"|"&amp;H107&amp;"|"&amp;M107&amp;"|"&amp;CA107)</f>
        <v/>
      </c>
    </row>
    <row r="108" customFormat="false" ht="15" hidden="false" customHeight="false" outlineLevel="0" collapsed="false">
      <c r="A108" s="10" t="str">
        <f aca="false">IF(D108="","","DRN-"&amp;IFERROR(VLOOKUP(D108,Lists!$A$4:$B$27,2,0),"??")&amp;"-"&amp;TEXT(G108,"0000")&amp;"x"&amp;TEXT(H108,"0000")&amp;IF(N(I108)&gt;1,"-"&amp;I108&amp;"C","")&amp;"-"&amp;IFERROR(VLOOKUP(M108,Lists!$J$4:$K$19,2,0),"??")&amp;"-"&amp;AI108)</f>
        <v/>
      </c>
      <c r="B108" s="10" t="str">
        <f aca="false">IF(D108="","",D108&amp;" "&amp;G108&amp;"W x "&amp;H108&amp;"D"&amp;IF(N(I108)&gt;1," ("&amp;I108&amp;" cells)","")&amp;", "&amp;E108&amp;", "&amp;M108&amp;", "&amp;F108)</f>
        <v/>
      </c>
      <c r="C108" s="9"/>
      <c r="D108" s="9"/>
      <c r="E108" s="9"/>
      <c r="F108" s="9"/>
      <c r="G108" s="38"/>
      <c r="H108" s="38"/>
      <c r="I108" s="38"/>
      <c r="J108" s="38"/>
      <c r="K108" s="38"/>
      <c r="L108" s="38"/>
      <c r="M108" s="9"/>
      <c r="N108" s="9"/>
      <c r="O108" s="9"/>
      <c r="P108" s="38"/>
      <c r="Q108" s="9"/>
      <c r="R108" s="9"/>
      <c r="S108" s="9"/>
      <c r="T108" s="9"/>
      <c r="U108" s="9"/>
      <c r="V108" s="9"/>
      <c r="W108" s="9"/>
      <c r="X108" s="9"/>
      <c r="Y108" s="9"/>
      <c r="Z108" s="9"/>
      <c r="AA108" s="9"/>
      <c r="AB108" s="39"/>
      <c r="AC108" s="9"/>
      <c r="AD108" s="38"/>
      <c r="AE108" s="9"/>
      <c r="AF108" s="39"/>
      <c r="AG108" s="9"/>
      <c r="AH108" s="9"/>
      <c r="AI108" s="9"/>
      <c r="AJ108" s="9"/>
      <c r="AK108" s="9"/>
      <c r="AL108" s="9"/>
      <c r="AM108" s="9"/>
      <c r="AN108" s="10" t="str">
        <f aca="false">IF(A108="","",SG_Criteria!$B$6&amp;SG_Criteria!$B$7&amp;"\"&amp;A108&amp;"\")</f>
        <v/>
      </c>
      <c r="AO108" s="10" t="str">
        <f aca="false">IF(A108="","",A108&amp;"_CAD.dwg")</f>
        <v/>
      </c>
      <c r="AP108" s="10" t="str">
        <f aca="false">IF(A108="","",A108&amp;"_DWG.pdf")</f>
        <v/>
      </c>
      <c r="AQ108" s="10" t="str">
        <f aca="false">IF(A108="","",IF(AM108="Y",A108&amp;"_STAAD.std","n/a"))</f>
        <v/>
      </c>
      <c r="AR108" s="10" t="str">
        <f aca="false">IF(A108="","",A108&amp;"_CALC.xlsx")</f>
        <v/>
      </c>
      <c r="AS108" s="10" t="str">
        <f aca="false">IF(A108="","",A108&amp;"_CALC.pdf")</f>
        <v/>
      </c>
      <c r="AT108" s="9"/>
      <c r="AU108" s="9"/>
      <c r="AV108" s="39"/>
      <c r="AW108" s="39"/>
      <c r="AX108" s="39"/>
      <c r="AY108" s="39"/>
      <c r="AZ108" s="39"/>
      <c r="BA108" s="12" t="str">
        <f aca="false">IF(A108="","",IF(COUNTIF(Rebar_Schedule!$A$5:$A$2004,A108)=0,"",ROUND(SUMIF(Rebar_Schedule!$A$5:$A$2004,A108,Rebar_Schedule!$K$5:$K$2004),1)))</f>
        <v/>
      </c>
      <c r="BB108" s="33" t="str">
        <f aca="false">IF(A108="","",IF(BA108="","No rebar schedule yet",IF(ABS(BA108-N(AW108))/MAX(N(AW108),1)&gt;SG_Criteria!$B$55,"NOTE: register rebar differs from schedule by "&amp;TEXT(ABS(BA108-N(AW108))/MAX(N(AW108),1),"0%"),"OK")))</f>
        <v/>
      </c>
      <c r="BC108" s="34" t="str">
        <f aca="false">IF(OR(D108="",G108="",H108="",D108="Sump",D108="Drop Inlet Chamber",D108="Silt Trap",D108="Pipe Culvert",D108="Subsoil Drain"),"",ROUND(MAX(1,N(I108))*(1/SG_Criteria!$B$26)*((G108/1000)*(H108/1000*(1-SG_Criteria!$B$25)))*(((G108/1000)*(H108/1000*(1-SG_Criteria!$B$25)))/((G108/1000)+2*(H108/1000*(1-SG_Criteria!$B$25))))^(2/3)*(1/Design_Selector!$B$11)^0.5,3))</f>
        <v/>
      </c>
      <c r="BD108" s="11" t="str">
        <f aca="false">IF(BC108="","",ROUND(BC108/(MAX(1,N(I108))*G108/1000*(H108/1000*(1-SG_Criteria!$B$25))),2))</f>
        <v/>
      </c>
      <c r="BE108" s="33" t="str">
        <f aca="false">IF(D108="","",IF(LEN(IF(AND(OR(E108="Roadside drain",E108="Entrance culvert"),OR(G108&lt;SG_Criteria!$B$15,H108&lt;SG_Criteria!$B$16)),"FAIL: below PUB min "&amp;SG_Criteria!$B$15&amp;"x"&amp;SG_Criteria!$B$16&amp;" for roadside drain. ","")&amp;IF(AND(E108="Common drain",G108&lt;SG_Criteria!$B$17),"FAIL: common drain W &lt; "&amp;SG_Criteria!$B$17&amp;" mm. ","")&amp;IF(AND(O108&lt;&gt;"",IFERROR(VALUE(MID(O108,2,2)),0)&lt;SG_Criteria!$B$19),"FAIL: grade below C"&amp;SG_Criteria!$B$19&amp;". ","")&amp;IF(AND(P108&lt;&gt;"",P108&lt;SG_Criteria!$B$20),"FAIL: cover &lt; "&amp;SG_Criteria!$B$20&amp;" mm. ","")&amp;IF(AND(F108="Open",H108&gt;SG_Criteria!$B$18),"NOTE: safety railing required (D &gt; "&amp;SG_Criteria!$B$18&amp;" mm). ","")&amp;IF(AND(E108="Entrance culvert",H108&lt;600),"NOTE: check hinged grating rule for culverts &lt; 600 deep (PUB Add. 3). ",""))=0,"OK",IF(AND(OR(E108="Roadside drain",E108="Entrance culvert"),OR(G108&lt;SG_Criteria!$B$15,H108&lt;SG_Criteria!$B$16)),"FAIL: below PUB min "&amp;SG_Criteria!$B$15&amp;"x"&amp;SG_Criteria!$B$16&amp;" for roadside drain. ","")&amp;IF(AND(E108="Common drain",G108&lt;SG_Criteria!$B$17),"FAIL: common drain W &lt; "&amp;SG_Criteria!$B$17&amp;" mm. ","")&amp;IF(AND(O108&lt;&gt;"",IFERROR(VALUE(MID(O108,2,2)),0)&lt;SG_Criteria!$B$19),"FAIL: grade below C"&amp;SG_Criteria!$B$19&amp;". ","")&amp;IF(AND(P108&lt;&gt;"",P108&lt;SG_Criteria!$B$20),"FAIL: cover &lt; "&amp;SG_Criteria!$B$20&amp;" mm. ","")&amp;IF(AND(F108="Open",H108&gt;SG_Criteria!$B$18),"NOTE: safety railing required (D &gt; "&amp;SG_Criteria!$B$18&amp;" mm). ","")&amp;IF(AND(E108="Entrance culvert",H108&lt;600),"NOTE: check hinged grating rule for culverts &lt; 600 deep (PUB Add. 3). ","")))</f>
        <v/>
      </c>
      <c r="BF108" s="9"/>
      <c r="BG108" s="9"/>
      <c r="BH108" s="9"/>
      <c r="BI108" s="10" t="str">
        <f aca="false">IF(BH108="","",IFERROR(VLOOKUP(BH108,Projects!$A$5:$D$504,2,0),"Ref not in Projects"))</f>
        <v/>
      </c>
      <c r="BJ108" s="10" t="str">
        <f aca="false">IF(BH108="","",IFERROR(VLOOKUP(BH108,Projects!$A$5:$D$504,4,0),"Ref not in Projects"))</f>
        <v/>
      </c>
      <c r="BK108" s="9"/>
      <c r="BL108" s="9"/>
      <c r="BM108" s="9"/>
      <c r="BN108" s="40"/>
      <c r="BO108" s="9"/>
      <c r="BP108" s="40"/>
      <c r="BQ108" s="9"/>
      <c r="BR108" s="40"/>
      <c r="BS108" s="9"/>
      <c r="BT108" s="9"/>
      <c r="BU108" s="9"/>
      <c r="BV108" s="40"/>
      <c r="BW108" s="40"/>
      <c r="BX108" s="36" t="str">
        <f aca="false">IF(BW108="","",EDATE(BW108,SG_Criteria!$B$54*12))</f>
        <v/>
      </c>
      <c r="BY108" s="33" t="str">
        <f aca="true">IF(A108="","",IF(BW108="","NOTE: not reviewed yet",IF(TODAY()&gt;BX108,"NOTE: review overdue","OK")))</f>
        <v/>
      </c>
      <c r="BZ108" s="37" t="str">
        <f aca="false">IF(A108="","",ROUND((IF(LEN(D108)&gt;0,1,0)+IF(LEN(E108)&gt;0,1,0)+IF(LEN(F108)&gt;0,1,0)+IF(LEN(G108)&gt;0,1,0)+IF(LEN(H108)&gt;0,1,0)+IF(LEN(J108)&gt;0,1,0)+IF(LEN(K108)&gt;0,1,0)+IF(LEN(M108)&gt;0,1,0)+IF(LEN(O108)&gt;0,1,0)+IF(LEN(P108)&gt;0,1,0)+IF(LEN(Q108)&gt;0,1,0)+IF(LEN(S108)&gt;0,1,0)+IF(LEN(AC108)&gt;0,1,0)+IF(LEN(AV108)&gt;0,1,0)+IF(LEN(AW108)&gt;0,1,0)+IF(LEN(AG108)&gt;0,1,0)+IF(LEN(AI108)&gt;0,1,0)+IF(LEN(AJ108)&gt;0,1,0)+IF(LEN(AK108)&gt;0,1,0)+IF(LEN(AL108)&gt;0,1,0)+IF(LEN(AU108)&gt;0,1,0)+IF(LEN(BH108)&gt;0,1,0)+IF(LEN(BU108)&gt;0,1,0))/23,2))</f>
        <v/>
      </c>
      <c r="CA108" s="10" t="str">
        <f aca="false">IF(D108="","",IF(AND(AJ108="Approved",ISERROR(SEARCH("FAIL",BE108))),"Y","N"))</f>
        <v/>
      </c>
      <c r="CB108" s="10" t="str">
        <f aca="false">IF(D108="","",D108&amp;"|"&amp;G108&amp;"|"&amp;H108&amp;"|"&amp;M108&amp;"|"&amp;CA108)</f>
        <v/>
      </c>
    </row>
    <row r="109" customFormat="false" ht="15" hidden="false" customHeight="false" outlineLevel="0" collapsed="false">
      <c r="A109" s="10" t="str">
        <f aca="false">IF(D109="","","DRN-"&amp;IFERROR(VLOOKUP(D109,Lists!$A$4:$B$27,2,0),"??")&amp;"-"&amp;TEXT(G109,"0000")&amp;"x"&amp;TEXT(H109,"0000")&amp;IF(N(I109)&gt;1,"-"&amp;I109&amp;"C","")&amp;"-"&amp;IFERROR(VLOOKUP(M109,Lists!$J$4:$K$19,2,0),"??")&amp;"-"&amp;AI109)</f>
        <v/>
      </c>
      <c r="B109" s="10" t="str">
        <f aca="false">IF(D109="","",D109&amp;" "&amp;G109&amp;"W x "&amp;H109&amp;"D"&amp;IF(N(I109)&gt;1," ("&amp;I109&amp;" cells)","")&amp;", "&amp;E109&amp;", "&amp;M109&amp;", "&amp;F109)</f>
        <v/>
      </c>
      <c r="C109" s="9"/>
      <c r="D109" s="9"/>
      <c r="E109" s="9"/>
      <c r="F109" s="9"/>
      <c r="G109" s="38"/>
      <c r="H109" s="38"/>
      <c r="I109" s="38"/>
      <c r="J109" s="38"/>
      <c r="K109" s="38"/>
      <c r="L109" s="38"/>
      <c r="M109" s="9"/>
      <c r="N109" s="9"/>
      <c r="O109" s="9"/>
      <c r="P109" s="38"/>
      <c r="Q109" s="9"/>
      <c r="R109" s="9"/>
      <c r="S109" s="9"/>
      <c r="T109" s="9"/>
      <c r="U109" s="9"/>
      <c r="V109" s="9"/>
      <c r="W109" s="9"/>
      <c r="X109" s="9"/>
      <c r="Y109" s="9"/>
      <c r="Z109" s="9"/>
      <c r="AA109" s="9"/>
      <c r="AB109" s="39"/>
      <c r="AC109" s="9"/>
      <c r="AD109" s="38"/>
      <c r="AE109" s="9"/>
      <c r="AF109" s="39"/>
      <c r="AG109" s="9"/>
      <c r="AH109" s="9"/>
      <c r="AI109" s="9"/>
      <c r="AJ109" s="9"/>
      <c r="AK109" s="9"/>
      <c r="AL109" s="9"/>
      <c r="AM109" s="9"/>
      <c r="AN109" s="10" t="str">
        <f aca="false">IF(A109="","",SG_Criteria!$B$6&amp;SG_Criteria!$B$7&amp;"\"&amp;A109&amp;"\")</f>
        <v/>
      </c>
      <c r="AO109" s="10" t="str">
        <f aca="false">IF(A109="","",A109&amp;"_CAD.dwg")</f>
        <v/>
      </c>
      <c r="AP109" s="10" t="str">
        <f aca="false">IF(A109="","",A109&amp;"_DWG.pdf")</f>
        <v/>
      </c>
      <c r="AQ109" s="10" t="str">
        <f aca="false">IF(A109="","",IF(AM109="Y",A109&amp;"_STAAD.std","n/a"))</f>
        <v/>
      </c>
      <c r="AR109" s="10" t="str">
        <f aca="false">IF(A109="","",A109&amp;"_CALC.xlsx")</f>
        <v/>
      </c>
      <c r="AS109" s="10" t="str">
        <f aca="false">IF(A109="","",A109&amp;"_CALC.pdf")</f>
        <v/>
      </c>
      <c r="AT109" s="9"/>
      <c r="AU109" s="9"/>
      <c r="AV109" s="39"/>
      <c r="AW109" s="39"/>
      <c r="AX109" s="39"/>
      <c r="AY109" s="39"/>
      <c r="AZ109" s="39"/>
      <c r="BA109" s="12" t="str">
        <f aca="false">IF(A109="","",IF(COUNTIF(Rebar_Schedule!$A$5:$A$2004,A109)=0,"",ROUND(SUMIF(Rebar_Schedule!$A$5:$A$2004,A109,Rebar_Schedule!$K$5:$K$2004),1)))</f>
        <v/>
      </c>
      <c r="BB109" s="33" t="str">
        <f aca="false">IF(A109="","",IF(BA109="","No rebar schedule yet",IF(ABS(BA109-N(AW109))/MAX(N(AW109),1)&gt;SG_Criteria!$B$55,"NOTE: register rebar differs from schedule by "&amp;TEXT(ABS(BA109-N(AW109))/MAX(N(AW109),1),"0%"),"OK")))</f>
        <v/>
      </c>
      <c r="BC109" s="34" t="str">
        <f aca="false">IF(OR(D109="",G109="",H109="",D109="Sump",D109="Drop Inlet Chamber",D109="Silt Trap",D109="Pipe Culvert",D109="Subsoil Drain"),"",ROUND(MAX(1,N(I109))*(1/SG_Criteria!$B$26)*((G109/1000)*(H109/1000*(1-SG_Criteria!$B$25)))*(((G109/1000)*(H109/1000*(1-SG_Criteria!$B$25)))/((G109/1000)+2*(H109/1000*(1-SG_Criteria!$B$25))))^(2/3)*(1/Design_Selector!$B$11)^0.5,3))</f>
        <v/>
      </c>
      <c r="BD109" s="11" t="str">
        <f aca="false">IF(BC109="","",ROUND(BC109/(MAX(1,N(I109))*G109/1000*(H109/1000*(1-SG_Criteria!$B$25))),2))</f>
        <v/>
      </c>
      <c r="BE109" s="33" t="str">
        <f aca="false">IF(D109="","",IF(LEN(IF(AND(OR(E109="Roadside drain",E109="Entrance culvert"),OR(G109&lt;SG_Criteria!$B$15,H109&lt;SG_Criteria!$B$16)),"FAIL: below PUB min "&amp;SG_Criteria!$B$15&amp;"x"&amp;SG_Criteria!$B$16&amp;" for roadside drain. ","")&amp;IF(AND(E109="Common drain",G109&lt;SG_Criteria!$B$17),"FAIL: common drain W &lt; "&amp;SG_Criteria!$B$17&amp;" mm. ","")&amp;IF(AND(O109&lt;&gt;"",IFERROR(VALUE(MID(O109,2,2)),0)&lt;SG_Criteria!$B$19),"FAIL: grade below C"&amp;SG_Criteria!$B$19&amp;". ","")&amp;IF(AND(P109&lt;&gt;"",P109&lt;SG_Criteria!$B$20),"FAIL: cover &lt; "&amp;SG_Criteria!$B$20&amp;" mm. ","")&amp;IF(AND(F109="Open",H109&gt;SG_Criteria!$B$18),"NOTE: safety railing required (D &gt; "&amp;SG_Criteria!$B$18&amp;" mm). ","")&amp;IF(AND(E109="Entrance culvert",H109&lt;600),"NOTE: check hinged grating rule for culverts &lt; 600 deep (PUB Add. 3). ",""))=0,"OK",IF(AND(OR(E109="Roadside drain",E109="Entrance culvert"),OR(G109&lt;SG_Criteria!$B$15,H109&lt;SG_Criteria!$B$16)),"FAIL: below PUB min "&amp;SG_Criteria!$B$15&amp;"x"&amp;SG_Criteria!$B$16&amp;" for roadside drain. ","")&amp;IF(AND(E109="Common drain",G109&lt;SG_Criteria!$B$17),"FAIL: common drain W &lt; "&amp;SG_Criteria!$B$17&amp;" mm. ","")&amp;IF(AND(O109&lt;&gt;"",IFERROR(VALUE(MID(O109,2,2)),0)&lt;SG_Criteria!$B$19),"FAIL: grade below C"&amp;SG_Criteria!$B$19&amp;". ","")&amp;IF(AND(P109&lt;&gt;"",P109&lt;SG_Criteria!$B$20),"FAIL: cover &lt; "&amp;SG_Criteria!$B$20&amp;" mm. ","")&amp;IF(AND(F109="Open",H109&gt;SG_Criteria!$B$18),"NOTE: safety railing required (D &gt; "&amp;SG_Criteria!$B$18&amp;" mm). ","")&amp;IF(AND(E109="Entrance culvert",H109&lt;600),"NOTE: check hinged grating rule for culverts &lt; 600 deep (PUB Add. 3). ","")))</f>
        <v/>
      </c>
      <c r="BF109" s="9"/>
      <c r="BG109" s="9"/>
      <c r="BH109" s="9"/>
      <c r="BI109" s="10" t="str">
        <f aca="false">IF(BH109="","",IFERROR(VLOOKUP(BH109,Projects!$A$5:$D$504,2,0),"Ref not in Projects"))</f>
        <v/>
      </c>
      <c r="BJ109" s="10" t="str">
        <f aca="false">IF(BH109="","",IFERROR(VLOOKUP(BH109,Projects!$A$5:$D$504,4,0),"Ref not in Projects"))</f>
        <v/>
      </c>
      <c r="BK109" s="9"/>
      <c r="BL109" s="9"/>
      <c r="BM109" s="9"/>
      <c r="BN109" s="40"/>
      <c r="BO109" s="9"/>
      <c r="BP109" s="40"/>
      <c r="BQ109" s="9"/>
      <c r="BR109" s="40"/>
      <c r="BS109" s="9"/>
      <c r="BT109" s="9"/>
      <c r="BU109" s="9"/>
      <c r="BV109" s="40"/>
      <c r="BW109" s="40"/>
      <c r="BX109" s="36" t="str">
        <f aca="false">IF(BW109="","",EDATE(BW109,SG_Criteria!$B$54*12))</f>
        <v/>
      </c>
      <c r="BY109" s="33" t="str">
        <f aca="true">IF(A109="","",IF(BW109="","NOTE: not reviewed yet",IF(TODAY()&gt;BX109,"NOTE: review overdue","OK")))</f>
        <v/>
      </c>
      <c r="BZ109" s="37" t="str">
        <f aca="false">IF(A109="","",ROUND((IF(LEN(D109)&gt;0,1,0)+IF(LEN(E109)&gt;0,1,0)+IF(LEN(F109)&gt;0,1,0)+IF(LEN(G109)&gt;0,1,0)+IF(LEN(H109)&gt;0,1,0)+IF(LEN(J109)&gt;0,1,0)+IF(LEN(K109)&gt;0,1,0)+IF(LEN(M109)&gt;0,1,0)+IF(LEN(O109)&gt;0,1,0)+IF(LEN(P109)&gt;0,1,0)+IF(LEN(Q109)&gt;0,1,0)+IF(LEN(S109)&gt;0,1,0)+IF(LEN(AC109)&gt;0,1,0)+IF(LEN(AV109)&gt;0,1,0)+IF(LEN(AW109)&gt;0,1,0)+IF(LEN(AG109)&gt;0,1,0)+IF(LEN(AI109)&gt;0,1,0)+IF(LEN(AJ109)&gt;0,1,0)+IF(LEN(AK109)&gt;0,1,0)+IF(LEN(AL109)&gt;0,1,0)+IF(LEN(AU109)&gt;0,1,0)+IF(LEN(BH109)&gt;0,1,0)+IF(LEN(BU109)&gt;0,1,0))/23,2))</f>
        <v/>
      </c>
      <c r="CA109" s="10" t="str">
        <f aca="false">IF(D109="","",IF(AND(AJ109="Approved",ISERROR(SEARCH("FAIL",BE109))),"Y","N"))</f>
        <v/>
      </c>
      <c r="CB109" s="10" t="str">
        <f aca="false">IF(D109="","",D109&amp;"|"&amp;G109&amp;"|"&amp;H109&amp;"|"&amp;M109&amp;"|"&amp;CA109)</f>
        <v/>
      </c>
    </row>
    <row r="110" customFormat="false" ht="15" hidden="false" customHeight="false" outlineLevel="0" collapsed="false">
      <c r="A110" s="10" t="str">
        <f aca="false">IF(D110="","","DRN-"&amp;IFERROR(VLOOKUP(D110,Lists!$A$4:$B$27,2,0),"??")&amp;"-"&amp;TEXT(G110,"0000")&amp;"x"&amp;TEXT(H110,"0000")&amp;IF(N(I110)&gt;1,"-"&amp;I110&amp;"C","")&amp;"-"&amp;IFERROR(VLOOKUP(M110,Lists!$J$4:$K$19,2,0),"??")&amp;"-"&amp;AI110)</f>
        <v/>
      </c>
      <c r="B110" s="10" t="str">
        <f aca="false">IF(D110="","",D110&amp;" "&amp;G110&amp;"W x "&amp;H110&amp;"D"&amp;IF(N(I110)&gt;1," ("&amp;I110&amp;" cells)","")&amp;", "&amp;E110&amp;", "&amp;M110&amp;", "&amp;F110)</f>
        <v/>
      </c>
      <c r="C110" s="9"/>
      <c r="D110" s="9"/>
      <c r="E110" s="9"/>
      <c r="F110" s="9"/>
      <c r="G110" s="38"/>
      <c r="H110" s="38"/>
      <c r="I110" s="38"/>
      <c r="J110" s="38"/>
      <c r="K110" s="38"/>
      <c r="L110" s="38"/>
      <c r="M110" s="9"/>
      <c r="N110" s="9"/>
      <c r="O110" s="9"/>
      <c r="P110" s="38"/>
      <c r="Q110" s="9"/>
      <c r="R110" s="9"/>
      <c r="S110" s="9"/>
      <c r="T110" s="9"/>
      <c r="U110" s="9"/>
      <c r="V110" s="9"/>
      <c r="W110" s="9"/>
      <c r="X110" s="9"/>
      <c r="Y110" s="9"/>
      <c r="Z110" s="9"/>
      <c r="AA110" s="9"/>
      <c r="AB110" s="39"/>
      <c r="AC110" s="9"/>
      <c r="AD110" s="38"/>
      <c r="AE110" s="9"/>
      <c r="AF110" s="39"/>
      <c r="AG110" s="9"/>
      <c r="AH110" s="9"/>
      <c r="AI110" s="9"/>
      <c r="AJ110" s="9"/>
      <c r="AK110" s="9"/>
      <c r="AL110" s="9"/>
      <c r="AM110" s="9"/>
      <c r="AN110" s="10" t="str">
        <f aca="false">IF(A110="","",SG_Criteria!$B$6&amp;SG_Criteria!$B$7&amp;"\"&amp;A110&amp;"\")</f>
        <v/>
      </c>
      <c r="AO110" s="10" t="str">
        <f aca="false">IF(A110="","",A110&amp;"_CAD.dwg")</f>
        <v/>
      </c>
      <c r="AP110" s="10" t="str">
        <f aca="false">IF(A110="","",A110&amp;"_DWG.pdf")</f>
        <v/>
      </c>
      <c r="AQ110" s="10" t="str">
        <f aca="false">IF(A110="","",IF(AM110="Y",A110&amp;"_STAAD.std","n/a"))</f>
        <v/>
      </c>
      <c r="AR110" s="10" t="str">
        <f aca="false">IF(A110="","",A110&amp;"_CALC.xlsx")</f>
        <v/>
      </c>
      <c r="AS110" s="10" t="str">
        <f aca="false">IF(A110="","",A110&amp;"_CALC.pdf")</f>
        <v/>
      </c>
      <c r="AT110" s="9"/>
      <c r="AU110" s="9"/>
      <c r="AV110" s="39"/>
      <c r="AW110" s="39"/>
      <c r="AX110" s="39"/>
      <c r="AY110" s="39"/>
      <c r="AZ110" s="39"/>
      <c r="BA110" s="12" t="str">
        <f aca="false">IF(A110="","",IF(COUNTIF(Rebar_Schedule!$A$5:$A$2004,A110)=0,"",ROUND(SUMIF(Rebar_Schedule!$A$5:$A$2004,A110,Rebar_Schedule!$K$5:$K$2004),1)))</f>
        <v/>
      </c>
      <c r="BB110" s="33" t="str">
        <f aca="false">IF(A110="","",IF(BA110="","No rebar schedule yet",IF(ABS(BA110-N(AW110))/MAX(N(AW110),1)&gt;SG_Criteria!$B$55,"NOTE: register rebar differs from schedule by "&amp;TEXT(ABS(BA110-N(AW110))/MAX(N(AW110),1),"0%"),"OK")))</f>
        <v/>
      </c>
      <c r="BC110" s="34" t="str">
        <f aca="false">IF(OR(D110="",G110="",H110="",D110="Sump",D110="Drop Inlet Chamber",D110="Silt Trap",D110="Pipe Culvert",D110="Subsoil Drain"),"",ROUND(MAX(1,N(I110))*(1/SG_Criteria!$B$26)*((G110/1000)*(H110/1000*(1-SG_Criteria!$B$25)))*(((G110/1000)*(H110/1000*(1-SG_Criteria!$B$25)))/((G110/1000)+2*(H110/1000*(1-SG_Criteria!$B$25))))^(2/3)*(1/Design_Selector!$B$11)^0.5,3))</f>
        <v/>
      </c>
      <c r="BD110" s="11" t="str">
        <f aca="false">IF(BC110="","",ROUND(BC110/(MAX(1,N(I110))*G110/1000*(H110/1000*(1-SG_Criteria!$B$25))),2))</f>
        <v/>
      </c>
      <c r="BE110" s="33" t="str">
        <f aca="false">IF(D110="","",IF(LEN(IF(AND(OR(E110="Roadside drain",E110="Entrance culvert"),OR(G110&lt;SG_Criteria!$B$15,H110&lt;SG_Criteria!$B$16)),"FAIL: below PUB min "&amp;SG_Criteria!$B$15&amp;"x"&amp;SG_Criteria!$B$16&amp;" for roadside drain. ","")&amp;IF(AND(E110="Common drain",G110&lt;SG_Criteria!$B$17),"FAIL: common drain W &lt; "&amp;SG_Criteria!$B$17&amp;" mm. ","")&amp;IF(AND(O110&lt;&gt;"",IFERROR(VALUE(MID(O110,2,2)),0)&lt;SG_Criteria!$B$19),"FAIL: grade below C"&amp;SG_Criteria!$B$19&amp;". ","")&amp;IF(AND(P110&lt;&gt;"",P110&lt;SG_Criteria!$B$20),"FAIL: cover &lt; "&amp;SG_Criteria!$B$20&amp;" mm. ","")&amp;IF(AND(F110="Open",H110&gt;SG_Criteria!$B$18),"NOTE: safety railing required (D &gt; "&amp;SG_Criteria!$B$18&amp;" mm). ","")&amp;IF(AND(E110="Entrance culvert",H110&lt;600),"NOTE: check hinged grating rule for culverts &lt; 600 deep (PUB Add. 3). ",""))=0,"OK",IF(AND(OR(E110="Roadside drain",E110="Entrance culvert"),OR(G110&lt;SG_Criteria!$B$15,H110&lt;SG_Criteria!$B$16)),"FAIL: below PUB min "&amp;SG_Criteria!$B$15&amp;"x"&amp;SG_Criteria!$B$16&amp;" for roadside drain. ","")&amp;IF(AND(E110="Common drain",G110&lt;SG_Criteria!$B$17),"FAIL: common drain W &lt; "&amp;SG_Criteria!$B$17&amp;" mm. ","")&amp;IF(AND(O110&lt;&gt;"",IFERROR(VALUE(MID(O110,2,2)),0)&lt;SG_Criteria!$B$19),"FAIL: grade below C"&amp;SG_Criteria!$B$19&amp;". ","")&amp;IF(AND(P110&lt;&gt;"",P110&lt;SG_Criteria!$B$20),"FAIL: cover &lt; "&amp;SG_Criteria!$B$20&amp;" mm. ","")&amp;IF(AND(F110="Open",H110&gt;SG_Criteria!$B$18),"NOTE: safety railing required (D &gt; "&amp;SG_Criteria!$B$18&amp;" mm). ","")&amp;IF(AND(E110="Entrance culvert",H110&lt;600),"NOTE: check hinged grating rule for culverts &lt; 600 deep (PUB Add. 3). ","")))</f>
        <v/>
      </c>
      <c r="BF110" s="9"/>
      <c r="BG110" s="9"/>
      <c r="BH110" s="9"/>
      <c r="BI110" s="10" t="str">
        <f aca="false">IF(BH110="","",IFERROR(VLOOKUP(BH110,Projects!$A$5:$D$504,2,0),"Ref not in Projects"))</f>
        <v/>
      </c>
      <c r="BJ110" s="10" t="str">
        <f aca="false">IF(BH110="","",IFERROR(VLOOKUP(BH110,Projects!$A$5:$D$504,4,0),"Ref not in Projects"))</f>
        <v/>
      </c>
      <c r="BK110" s="9"/>
      <c r="BL110" s="9"/>
      <c r="BM110" s="9"/>
      <c r="BN110" s="40"/>
      <c r="BO110" s="9"/>
      <c r="BP110" s="40"/>
      <c r="BQ110" s="9"/>
      <c r="BR110" s="40"/>
      <c r="BS110" s="9"/>
      <c r="BT110" s="9"/>
      <c r="BU110" s="9"/>
      <c r="BV110" s="40"/>
      <c r="BW110" s="40"/>
      <c r="BX110" s="36" t="str">
        <f aca="false">IF(BW110="","",EDATE(BW110,SG_Criteria!$B$54*12))</f>
        <v/>
      </c>
      <c r="BY110" s="33" t="str">
        <f aca="true">IF(A110="","",IF(BW110="","NOTE: not reviewed yet",IF(TODAY()&gt;BX110,"NOTE: review overdue","OK")))</f>
        <v/>
      </c>
      <c r="BZ110" s="37" t="str">
        <f aca="false">IF(A110="","",ROUND((IF(LEN(D110)&gt;0,1,0)+IF(LEN(E110)&gt;0,1,0)+IF(LEN(F110)&gt;0,1,0)+IF(LEN(G110)&gt;0,1,0)+IF(LEN(H110)&gt;0,1,0)+IF(LEN(J110)&gt;0,1,0)+IF(LEN(K110)&gt;0,1,0)+IF(LEN(M110)&gt;0,1,0)+IF(LEN(O110)&gt;0,1,0)+IF(LEN(P110)&gt;0,1,0)+IF(LEN(Q110)&gt;0,1,0)+IF(LEN(S110)&gt;0,1,0)+IF(LEN(AC110)&gt;0,1,0)+IF(LEN(AV110)&gt;0,1,0)+IF(LEN(AW110)&gt;0,1,0)+IF(LEN(AG110)&gt;0,1,0)+IF(LEN(AI110)&gt;0,1,0)+IF(LEN(AJ110)&gt;0,1,0)+IF(LEN(AK110)&gt;0,1,0)+IF(LEN(AL110)&gt;0,1,0)+IF(LEN(AU110)&gt;0,1,0)+IF(LEN(BH110)&gt;0,1,0)+IF(LEN(BU110)&gt;0,1,0))/23,2))</f>
        <v/>
      </c>
      <c r="CA110" s="10" t="str">
        <f aca="false">IF(D110="","",IF(AND(AJ110="Approved",ISERROR(SEARCH("FAIL",BE110))),"Y","N"))</f>
        <v/>
      </c>
      <c r="CB110" s="10" t="str">
        <f aca="false">IF(D110="","",D110&amp;"|"&amp;G110&amp;"|"&amp;H110&amp;"|"&amp;M110&amp;"|"&amp;CA110)</f>
        <v/>
      </c>
    </row>
    <row r="111" customFormat="false" ht="15" hidden="false" customHeight="false" outlineLevel="0" collapsed="false">
      <c r="A111" s="10" t="str">
        <f aca="false">IF(D111="","","DRN-"&amp;IFERROR(VLOOKUP(D111,Lists!$A$4:$B$27,2,0),"??")&amp;"-"&amp;TEXT(G111,"0000")&amp;"x"&amp;TEXT(H111,"0000")&amp;IF(N(I111)&gt;1,"-"&amp;I111&amp;"C","")&amp;"-"&amp;IFERROR(VLOOKUP(M111,Lists!$J$4:$K$19,2,0),"??")&amp;"-"&amp;AI111)</f>
        <v/>
      </c>
      <c r="B111" s="10" t="str">
        <f aca="false">IF(D111="","",D111&amp;" "&amp;G111&amp;"W x "&amp;H111&amp;"D"&amp;IF(N(I111)&gt;1," ("&amp;I111&amp;" cells)","")&amp;", "&amp;E111&amp;", "&amp;M111&amp;", "&amp;F111)</f>
        <v/>
      </c>
      <c r="C111" s="9"/>
      <c r="D111" s="9"/>
      <c r="E111" s="9"/>
      <c r="F111" s="9"/>
      <c r="G111" s="38"/>
      <c r="H111" s="38"/>
      <c r="I111" s="38"/>
      <c r="J111" s="38"/>
      <c r="K111" s="38"/>
      <c r="L111" s="38"/>
      <c r="M111" s="9"/>
      <c r="N111" s="9"/>
      <c r="O111" s="9"/>
      <c r="P111" s="38"/>
      <c r="Q111" s="9"/>
      <c r="R111" s="9"/>
      <c r="S111" s="9"/>
      <c r="T111" s="9"/>
      <c r="U111" s="9"/>
      <c r="V111" s="9"/>
      <c r="W111" s="9"/>
      <c r="X111" s="9"/>
      <c r="Y111" s="9"/>
      <c r="Z111" s="9"/>
      <c r="AA111" s="9"/>
      <c r="AB111" s="39"/>
      <c r="AC111" s="9"/>
      <c r="AD111" s="38"/>
      <c r="AE111" s="9"/>
      <c r="AF111" s="39"/>
      <c r="AG111" s="9"/>
      <c r="AH111" s="9"/>
      <c r="AI111" s="9"/>
      <c r="AJ111" s="9"/>
      <c r="AK111" s="9"/>
      <c r="AL111" s="9"/>
      <c r="AM111" s="9"/>
      <c r="AN111" s="10" t="str">
        <f aca="false">IF(A111="","",SG_Criteria!$B$6&amp;SG_Criteria!$B$7&amp;"\"&amp;A111&amp;"\")</f>
        <v/>
      </c>
      <c r="AO111" s="10" t="str">
        <f aca="false">IF(A111="","",A111&amp;"_CAD.dwg")</f>
        <v/>
      </c>
      <c r="AP111" s="10" t="str">
        <f aca="false">IF(A111="","",A111&amp;"_DWG.pdf")</f>
        <v/>
      </c>
      <c r="AQ111" s="10" t="str">
        <f aca="false">IF(A111="","",IF(AM111="Y",A111&amp;"_STAAD.std","n/a"))</f>
        <v/>
      </c>
      <c r="AR111" s="10" t="str">
        <f aca="false">IF(A111="","",A111&amp;"_CALC.xlsx")</f>
        <v/>
      </c>
      <c r="AS111" s="10" t="str">
        <f aca="false">IF(A111="","",A111&amp;"_CALC.pdf")</f>
        <v/>
      </c>
      <c r="AT111" s="9"/>
      <c r="AU111" s="9"/>
      <c r="AV111" s="39"/>
      <c r="AW111" s="39"/>
      <c r="AX111" s="39"/>
      <c r="AY111" s="39"/>
      <c r="AZ111" s="39"/>
      <c r="BA111" s="12" t="str">
        <f aca="false">IF(A111="","",IF(COUNTIF(Rebar_Schedule!$A$5:$A$2004,A111)=0,"",ROUND(SUMIF(Rebar_Schedule!$A$5:$A$2004,A111,Rebar_Schedule!$K$5:$K$2004),1)))</f>
        <v/>
      </c>
      <c r="BB111" s="33" t="str">
        <f aca="false">IF(A111="","",IF(BA111="","No rebar schedule yet",IF(ABS(BA111-N(AW111))/MAX(N(AW111),1)&gt;SG_Criteria!$B$55,"NOTE: register rebar differs from schedule by "&amp;TEXT(ABS(BA111-N(AW111))/MAX(N(AW111),1),"0%"),"OK")))</f>
        <v/>
      </c>
      <c r="BC111" s="34" t="str">
        <f aca="false">IF(OR(D111="",G111="",H111="",D111="Sump",D111="Drop Inlet Chamber",D111="Silt Trap",D111="Pipe Culvert",D111="Subsoil Drain"),"",ROUND(MAX(1,N(I111))*(1/SG_Criteria!$B$26)*((G111/1000)*(H111/1000*(1-SG_Criteria!$B$25)))*(((G111/1000)*(H111/1000*(1-SG_Criteria!$B$25)))/((G111/1000)+2*(H111/1000*(1-SG_Criteria!$B$25))))^(2/3)*(1/Design_Selector!$B$11)^0.5,3))</f>
        <v/>
      </c>
      <c r="BD111" s="11" t="str">
        <f aca="false">IF(BC111="","",ROUND(BC111/(MAX(1,N(I111))*G111/1000*(H111/1000*(1-SG_Criteria!$B$25))),2))</f>
        <v/>
      </c>
      <c r="BE111" s="33" t="str">
        <f aca="false">IF(D111="","",IF(LEN(IF(AND(OR(E111="Roadside drain",E111="Entrance culvert"),OR(G111&lt;SG_Criteria!$B$15,H111&lt;SG_Criteria!$B$16)),"FAIL: below PUB min "&amp;SG_Criteria!$B$15&amp;"x"&amp;SG_Criteria!$B$16&amp;" for roadside drain. ","")&amp;IF(AND(E111="Common drain",G111&lt;SG_Criteria!$B$17),"FAIL: common drain W &lt; "&amp;SG_Criteria!$B$17&amp;" mm. ","")&amp;IF(AND(O111&lt;&gt;"",IFERROR(VALUE(MID(O111,2,2)),0)&lt;SG_Criteria!$B$19),"FAIL: grade below C"&amp;SG_Criteria!$B$19&amp;". ","")&amp;IF(AND(P111&lt;&gt;"",P111&lt;SG_Criteria!$B$20),"FAIL: cover &lt; "&amp;SG_Criteria!$B$20&amp;" mm. ","")&amp;IF(AND(F111="Open",H111&gt;SG_Criteria!$B$18),"NOTE: safety railing required (D &gt; "&amp;SG_Criteria!$B$18&amp;" mm). ","")&amp;IF(AND(E111="Entrance culvert",H111&lt;600),"NOTE: check hinged grating rule for culverts &lt; 600 deep (PUB Add. 3). ",""))=0,"OK",IF(AND(OR(E111="Roadside drain",E111="Entrance culvert"),OR(G111&lt;SG_Criteria!$B$15,H111&lt;SG_Criteria!$B$16)),"FAIL: below PUB min "&amp;SG_Criteria!$B$15&amp;"x"&amp;SG_Criteria!$B$16&amp;" for roadside drain. ","")&amp;IF(AND(E111="Common drain",G111&lt;SG_Criteria!$B$17),"FAIL: common drain W &lt; "&amp;SG_Criteria!$B$17&amp;" mm. ","")&amp;IF(AND(O111&lt;&gt;"",IFERROR(VALUE(MID(O111,2,2)),0)&lt;SG_Criteria!$B$19),"FAIL: grade below C"&amp;SG_Criteria!$B$19&amp;". ","")&amp;IF(AND(P111&lt;&gt;"",P111&lt;SG_Criteria!$B$20),"FAIL: cover &lt; "&amp;SG_Criteria!$B$20&amp;" mm. ","")&amp;IF(AND(F111="Open",H111&gt;SG_Criteria!$B$18),"NOTE: safety railing required (D &gt; "&amp;SG_Criteria!$B$18&amp;" mm). ","")&amp;IF(AND(E111="Entrance culvert",H111&lt;600),"NOTE: check hinged grating rule for culverts &lt; 600 deep (PUB Add. 3). ","")))</f>
        <v/>
      </c>
      <c r="BF111" s="9"/>
      <c r="BG111" s="9"/>
      <c r="BH111" s="9"/>
      <c r="BI111" s="10" t="str">
        <f aca="false">IF(BH111="","",IFERROR(VLOOKUP(BH111,Projects!$A$5:$D$504,2,0),"Ref not in Projects"))</f>
        <v/>
      </c>
      <c r="BJ111" s="10" t="str">
        <f aca="false">IF(BH111="","",IFERROR(VLOOKUP(BH111,Projects!$A$5:$D$504,4,0),"Ref not in Projects"))</f>
        <v/>
      </c>
      <c r="BK111" s="9"/>
      <c r="BL111" s="9"/>
      <c r="BM111" s="9"/>
      <c r="BN111" s="40"/>
      <c r="BO111" s="9"/>
      <c r="BP111" s="40"/>
      <c r="BQ111" s="9"/>
      <c r="BR111" s="40"/>
      <c r="BS111" s="9"/>
      <c r="BT111" s="9"/>
      <c r="BU111" s="9"/>
      <c r="BV111" s="40"/>
      <c r="BW111" s="40"/>
      <c r="BX111" s="36" t="str">
        <f aca="false">IF(BW111="","",EDATE(BW111,SG_Criteria!$B$54*12))</f>
        <v/>
      </c>
      <c r="BY111" s="33" t="str">
        <f aca="true">IF(A111="","",IF(BW111="","NOTE: not reviewed yet",IF(TODAY()&gt;BX111,"NOTE: review overdue","OK")))</f>
        <v/>
      </c>
      <c r="BZ111" s="37" t="str">
        <f aca="false">IF(A111="","",ROUND((IF(LEN(D111)&gt;0,1,0)+IF(LEN(E111)&gt;0,1,0)+IF(LEN(F111)&gt;0,1,0)+IF(LEN(G111)&gt;0,1,0)+IF(LEN(H111)&gt;0,1,0)+IF(LEN(J111)&gt;0,1,0)+IF(LEN(K111)&gt;0,1,0)+IF(LEN(M111)&gt;0,1,0)+IF(LEN(O111)&gt;0,1,0)+IF(LEN(P111)&gt;0,1,0)+IF(LEN(Q111)&gt;0,1,0)+IF(LEN(S111)&gt;0,1,0)+IF(LEN(AC111)&gt;0,1,0)+IF(LEN(AV111)&gt;0,1,0)+IF(LEN(AW111)&gt;0,1,0)+IF(LEN(AG111)&gt;0,1,0)+IF(LEN(AI111)&gt;0,1,0)+IF(LEN(AJ111)&gt;0,1,0)+IF(LEN(AK111)&gt;0,1,0)+IF(LEN(AL111)&gt;0,1,0)+IF(LEN(AU111)&gt;0,1,0)+IF(LEN(BH111)&gt;0,1,0)+IF(LEN(BU111)&gt;0,1,0))/23,2))</f>
        <v/>
      </c>
      <c r="CA111" s="10" t="str">
        <f aca="false">IF(D111="","",IF(AND(AJ111="Approved",ISERROR(SEARCH("FAIL",BE111))),"Y","N"))</f>
        <v/>
      </c>
      <c r="CB111" s="10" t="str">
        <f aca="false">IF(D111="","",D111&amp;"|"&amp;G111&amp;"|"&amp;H111&amp;"|"&amp;M111&amp;"|"&amp;CA111)</f>
        <v/>
      </c>
    </row>
    <row r="112" customFormat="false" ht="15" hidden="false" customHeight="false" outlineLevel="0" collapsed="false">
      <c r="A112" s="10" t="str">
        <f aca="false">IF(D112="","","DRN-"&amp;IFERROR(VLOOKUP(D112,Lists!$A$4:$B$27,2,0),"??")&amp;"-"&amp;TEXT(G112,"0000")&amp;"x"&amp;TEXT(H112,"0000")&amp;IF(N(I112)&gt;1,"-"&amp;I112&amp;"C","")&amp;"-"&amp;IFERROR(VLOOKUP(M112,Lists!$J$4:$K$19,2,0),"??")&amp;"-"&amp;AI112)</f>
        <v/>
      </c>
      <c r="B112" s="10" t="str">
        <f aca="false">IF(D112="","",D112&amp;" "&amp;G112&amp;"W x "&amp;H112&amp;"D"&amp;IF(N(I112)&gt;1," ("&amp;I112&amp;" cells)","")&amp;", "&amp;E112&amp;", "&amp;M112&amp;", "&amp;F112)</f>
        <v/>
      </c>
      <c r="C112" s="9"/>
      <c r="D112" s="9"/>
      <c r="E112" s="9"/>
      <c r="F112" s="9"/>
      <c r="G112" s="38"/>
      <c r="H112" s="38"/>
      <c r="I112" s="38"/>
      <c r="J112" s="38"/>
      <c r="K112" s="38"/>
      <c r="L112" s="38"/>
      <c r="M112" s="9"/>
      <c r="N112" s="9"/>
      <c r="O112" s="9"/>
      <c r="P112" s="38"/>
      <c r="Q112" s="9"/>
      <c r="R112" s="9"/>
      <c r="S112" s="9"/>
      <c r="T112" s="9"/>
      <c r="U112" s="9"/>
      <c r="V112" s="9"/>
      <c r="W112" s="9"/>
      <c r="X112" s="9"/>
      <c r="Y112" s="9"/>
      <c r="Z112" s="9"/>
      <c r="AA112" s="9"/>
      <c r="AB112" s="39"/>
      <c r="AC112" s="9"/>
      <c r="AD112" s="38"/>
      <c r="AE112" s="9"/>
      <c r="AF112" s="39"/>
      <c r="AG112" s="9"/>
      <c r="AH112" s="9"/>
      <c r="AI112" s="9"/>
      <c r="AJ112" s="9"/>
      <c r="AK112" s="9"/>
      <c r="AL112" s="9"/>
      <c r="AM112" s="9"/>
      <c r="AN112" s="10" t="str">
        <f aca="false">IF(A112="","",SG_Criteria!$B$6&amp;SG_Criteria!$B$7&amp;"\"&amp;A112&amp;"\")</f>
        <v/>
      </c>
      <c r="AO112" s="10" t="str">
        <f aca="false">IF(A112="","",A112&amp;"_CAD.dwg")</f>
        <v/>
      </c>
      <c r="AP112" s="10" t="str">
        <f aca="false">IF(A112="","",A112&amp;"_DWG.pdf")</f>
        <v/>
      </c>
      <c r="AQ112" s="10" t="str">
        <f aca="false">IF(A112="","",IF(AM112="Y",A112&amp;"_STAAD.std","n/a"))</f>
        <v/>
      </c>
      <c r="AR112" s="10" t="str">
        <f aca="false">IF(A112="","",A112&amp;"_CALC.xlsx")</f>
        <v/>
      </c>
      <c r="AS112" s="10" t="str">
        <f aca="false">IF(A112="","",A112&amp;"_CALC.pdf")</f>
        <v/>
      </c>
      <c r="AT112" s="9"/>
      <c r="AU112" s="9"/>
      <c r="AV112" s="39"/>
      <c r="AW112" s="39"/>
      <c r="AX112" s="39"/>
      <c r="AY112" s="39"/>
      <c r="AZ112" s="39"/>
      <c r="BA112" s="12" t="str">
        <f aca="false">IF(A112="","",IF(COUNTIF(Rebar_Schedule!$A$5:$A$2004,A112)=0,"",ROUND(SUMIF(Rebar_Schedule!$A$5:$A$2004,A112,Rebar_Schedule!$K$5:$K$2004),1)))</f>
        <v/>
      </c>
      <c r="BB112" s="33" t="str">
        <f aca="false">IF(A112="","",IF(BA112="","No rebar schedule yet",IF(ABS(BA112-N(AW112))/MAX(N(AW112),1)&gt;SG_Criteria!$B$55,"NOTE: register rebar differs from schedule by "&amp;TEXT(ABS(BA112-N(AW112))/MAX(N(AW112),1),"0%"),"OK")))</f>
        <v/>
      </c>
      <c r="BC112" s="34" t="str">
        <f aca="false">IF(OR(D112="",G112="",H112="",D112="Sump",D112="Drop Inlet Chamber",D112="Silt Trap",D112="Pipe Culvert",D112="Subsoil Drain"),"",ROUND(MAX(1,N(I112))*(1/SG_Criteria!$B$26)*((G112/1000)*(H112/1000*(1-SG_Criteria!$B$25)))*(((G112/1000)*(H112/1000*(1-SG_Criteria!$B$25)))/((G112/1000)+2*(H112/1000*(1-SG_Criteria!$B$25))))^(2/3)*(1/Design_Selector!$B$11)^0.5,3))</f>
        <v/>
      </c>
      <c r="BD112" s="11" t="str">
        <f aca="false">IF(BC112="","",ROUND(BC112/(MAX(1,N(I112))*G112/1000*(H112/1000*(1-SG_Criteria!$B$25))),2))</f>
        <v/>
      </c>
      <c r="BE112" s="33" t="str">
        <f aca="false">IF(D112="","",IF(LEN(IF(AND(OR(E112="Roadside drain",E112="Entrance culvert"),OR(G112&lt;SG_Criteria!$B$15,H112&lt;SG_Criteria!$B$16)),"FAIL: below PUB min "&amp;SG_Criteria!$B$15&amp;"x"&amp;SG_Criteria!$B$16&amp;" for roadside drain. ","")&amp;IF(AND(E112="Common drain",G112&lt;SG_Criteria!$B$17),"FAIL: common drain W &lt; "&amp;SG_Criteria!$B$17&amp;" mm. ","")&amp;IF(AND(O112&lt;&gt;"",IFERROR(VALUE(MID(O112,2,2)),0)&lt;SG_Criteria!$B$19),"FAIL: grade below C"&amp;SG_Criteria!$B$19&amp;". ","")&amp;IF(AND(P112&lt;&gt;"",P112&lt;SG_Criteria!$B$20),"FAIL: cover &lt; "&amp;SG_Criteria!$B$20&amp;" mm. ","")&amp;IF(AND(F112="Open",H112&gt;SG_Criteria!$B$18),"NOTE: safety railing required (D &gt; "&amp;SG_Criteria!$B$18&amp;" mm). ","")&amp;IF(AND(E112="Entrance culvert",H112&lt;600),"NOTE: check hinged grating rule for culverts &lt; 600 deep (PUB Add. 3). ",""))=0,"OK",IF(AND(OR(E112="Roadside drain",E112="Entrance culvert"),OR(G112&lt;SG_Criteria!$B$15,H112&lt;SG_Criteria!$B$16)),"FAIL: below PUB min "&amp;SG_Criteria!$B$15&amp;"x"&amp;SG_Criteria!$B$16&amp;" for roadside drain. ","")&amp;IF(AND(E112="Common drain",G112&lt;SG_Criteria!$B$17),"FAIL: common drain W &lt; "&amp;SG_Criteria!$B$17&amp;" mm. ","")&amp;IF(AND(O112&lt;&gt;"",IFERROR(VALUE(MID(O112,2,2)),0)&lt;SG_Criteria!$B$19),"FAIL: grade below C"&amp;SG_Criteria!$B$19&amp;". ","")&amp;IF(AND(P112&lt;&gt;"",P112&lt;SG_Criteria!$B$20),"FAIL: cover &lt; "&amp;SG_Criteria!$B$20&amp;" mm. ","")&amp;IF(AND(F112="Open",H112&gt;SG_Criteria!$B$18),"NOTE: safety railing required (D &gt; "&amp;SG_Criteria!$B$18&amp;" mm). ","")&amp;IF(AND(E112="Entrance culvert",H112&lt;600),"NOTE: check hinged grating rule for culverts &lt; 600 deep (PUB Add. 3). ","")))</f>
        <v/>
      </c>
      <c r="BF112" s="9"/>
      <c r="BG112" s="9"/>
      <c r="BH112" s="9"/>
      <c r="BI112" s="10" t="str">
        <f aca="false">IF(BH112="","",IFERROR(VLOOKUP(BH112,Projects!$A$5:$D$504,2,0),"Ref not in Projects"))</f>
        <v/>
      </c>
      <c r="BJ112" s="10" t="str">
        <f aca="false">IF(BH112="","",IFERROR(VLOOKUP(BH112,Projects!$A$5:$D$504,4,0),"Ref not in Projects"))</f>
        <v/>
      </c>
      <c r="BK112" s="9"/>
      <c r="BL112" s="9"/>
      <c r="BM112" s="9"/>
      <c r="BN112" s="40"/>
      <c r="BO112" s="9"/>
      <c r="BP112" s="40"/>
      <c r="BQ112" s="9"/>
      <c r="BR112" s="40"/>
      <c r="BS112" s="9"/>
      <c r="BT112" s="9"/>
      <c r="BU112" s="9"/>
      <c r="BV112" s="40"/>
      <c r="BW112" s="40"/>
      <c r="BX112" s="36" t="str">
        <f aca="false">IF(BW112="","",EDATE(BW112,SG_Criteria!$B$54*12))</f>
        <v/>
      </c>
      <c r="BY112" s="33" t="str">
        <f aca="true">IF(A112="","",IF(BW112="","NOTE: not reviewed yet",IF(TODAY()&gt;BX112,"NOTE: review overdue","OK")))</f>
        <v/>
      </c>
      <c r="BZ112" s="37" t="str">
        <f aca="false">IF(A112="","",ROUND((IF(LEN(D112)&gt;0,1,0)+IF(LEN(E112)&gt;0,1,0)+IF(LEN(F112)&gt;0,1,0)+IF(LEN(G112)&gt;0,1,0)+IF(LEN(H112)&gt;0,1,0)+IF(LEN(J112)&gt;0,1,0)+IF(LEN(K112)&gt;0,1,0)+IF(LEN(M112)&gt;0,1,0)+IF(LEN(O112)&gt;0,1,0)+IF(LEN(P112)&gt;0,1,0)+IF(LEN(Q112)&gt;0,1,0)+IF(LEN(S112)&gt;0,1,0)+IF(LEN(AC112)&gt;0,1,0)+IF(LEN(AV112)&gt;0,1,0)+IF(LEN(AW112)&gt;0,1,0)+IF(LEN(AG112)&gt;0,1,0)+IF(LEN(AI112)&gt;0,1,0)+IF(LEN(AJ112)&gt;0,1,0)+IF(LEN(AK112)&gt;0,1,0)+IF(LEN(AL112)&gt;0,1,0)+IF(LEN(AU112)&gt;0,1,0)+IF(LEN(BH112)&gt;0,1,0)+IF(LEN(BU112)&gt;0,1,0))/23,2))</f>
        <v/>
      </c>
      <c r="CA112" s="10" t="str">
        <f aca="false">IF(D112="","",IF(AND(AJ112="Approved",ISERROR(SEARCH("FAIL",BE112))),"Y","N"))</f>
        <v/>
      </c>
      <c r="CB112" s="10" t="str">
        <f aca="false">IF(D112="","",D112&amp;"|"&amp;G112&amp;"|"&amp;H112&amp;"|"&amp;M112&amp;"|"&amp;CA112)</f>
        <v/>
      </c>
    </row>
    <row r="113" customFormat="false" ht="15" hidden="false" customHeight="false" outlineLevel="0" collapsed="false">
      <c r="A113" s="10" t="str">
        <f aca="false">IF(D113="","","DRN-"&amp;IFERROR(VLOOKUP(D113,Lists!$A$4:$B$27,2,0),"??")&amp;"-"&amp;TEXT(G113,"0000")&amp;"x"&amp;TEXT(H113,"0000")&amp;IF(N(I113)&gt;1,"-"&amp;I113&amp;"C","")&amp;"-"&amp;IFERROR(VLOOKUP(M113,Lists!$J$4:$K$19,2,0),"??")&amp;"-"&amp;AI113)</f>
        <v/>
      </c>
      <c r="B113" s="10" t="str">
        <f aca="false">IF(D113="","",D113&amp;" "&amp;G113&amp;"W x "&amp;H113&amp;"D"&amp;IF(N(I113)&gt;1," ("&amp;I113&amp;" cells)","")&amp;", "&amp;E113&amp;", "&amp;M113&amp;", "&amp;F113)</f>
        <v/>
      </c>
      <c r="C113" s="9"/>
      <c r="D113" s="9"/>
      <c r="E113" s="9"/>
      <c r="F113" s="9"/>
      <c r="G113" s="38"/>
      <c r="H113" s="38"/>
      <c r="I113" s="38"/>
      <c r="J113" s="38"/>
      <c r="K113" s="38"/>
      <c r="L113" s="38"/>
      <c r="M113" s="9"/>
      <c r="N113" s="9"/>
      <c r="O113" s="9"/>
      <c r="P113" s="38"/>
      <c r="Q113" s="9"/>
      <c r="R113" s="9"/>
      <c r="S113" s="9"/>
      <c r="T113" s="9"/>
      <c r="U113" s="9"/>
      <c r="V113" s="9"/>
      <c r="W113" s="9"/>
      <c r="X113" s="9"/>
      <c r="Y113" s="9"/>
      <c r="Z113" s="9"/>
      <c r="AA113" s="9"/>
      <c r="AB113" s="39"/>
      <c r="AC113" s="9"/>
      <c r="AD113" s="38"/>
      <c r="AE113" s="9"/>
      <c r="AF113" s="39"/>
      <c r="AG113" s="9"/>
      <c r="AH113" s="9"/>
      <c r="AI113" s="9"/>
      <c r="AJ113" s="9"/>
      <c r="AK113" s="9"/>
      <c r="AL113" s="9"/>
      <c r="AM113" s="9"/>
      <c r="AN113" s="10" t="str">
        <f aca="false">IF(A113="","",SG_Criteria!$B$6&amp;SG_Criteria!$B$7&amp;"\"&amp;A113&amp;"\")</f>
        <v/>
      </c>
      <c r="AO113" s="10" t="str">
        <f aca="false">IF(A113="","",A113&amp;"_CAD.dwg")</f>
        <v/>
      </c>
      <c r="AP113" s="10" t="str">
        <f aca="false">IF(A113="","",A113&amp;"_DWG.pdf")</f>
        <v/>
      </c>
      <c r="AQ113" s="10" t="str">
        <f aca="false">IF(A113="","",IF(AM113="Y",A113&amp;"_STAAD.std","n/a"))</f>
        <v/>
      </c>
      <c r="AR113" s="10" t="str">
        <f aca="false">IF(A113="","",A113&amp;"_CALC.xlsx")</f>
        <v/>
      </c>
      <c r="AS113" s="10" t="str">
        <f aca="false">IF(A113="","",A113&amp;"_CALC.pdf")</f>
        <v/>
      </c>
      <c r="AT113" s="9"/>
      <c r="AU113" s="9"/>
      <c r="AV113" s="39"/>
      <c r="AW113" s="39"/>
      <c r="AX113" s="39"/>
      <c r="AY113" s="39"/>
      <c r="AZ113" s="39"/>
      <c r="BA113" s="12" t="str">
        <f aca="false">IF(A113="","",IF(COUNTIF(Rebar_Schedule!$A$5:$A$2004,A113)=0,"",ROUND(SUMIF(Rebar_Schedule!$A$5:$A$2004,A113,Rebar_Schedule!$K$5:$K$2004),1)))</f>
        <v/>
      </c>
      <c r="BB113" s="33" t="str">
        <f aca="false">IF(A113="","",IF(BA113="","No rebar schedule yet",IF(ABS(BA113-N(AW113))/MAX(N(AW113),1)&gt;SG_Criteria!$B$55,"NOTE: register rebar differs from schedule by "&amp;TEXT(ABS(BA113-N(AW113))/MAX(N(AW113),1),"0%"),"OK")))</f>
        <v/>
      </c>
      <c r="BC113" s="34" t="str">
        <f aca="false">IF(OR(D113="",G113="",H113="",D113="Sump",D113="Drop Inlet Chamber",D113="Silt Trap",D113="Pipe Culvert",D113="Subsoil Drain"),"",ROUND(MAX(1,N(I113))*(1/SG_Criteria!$B$26)*((G113/1000)*(H113/1000*(1-SG_Criteria!$B$25)))*(((G113/1000)*(H113/1000*(1-SG_Criteria!$B$25)))/((G113/1000)+2*(H113/1000*(1-SG_Criteria!$B$25))))^(2/3)*(1/Design_Selector!$B$11)^0.5,3))</f>
        <v/>
      </c>
      <c r="BD113" s="11" t="str">
        <f aca="false">IF(BC113="","",ROUND(BC113/(MAX(1,N(I113))*G113/1000*(H113/1000*(1-SG_Criteria!$B$25))),2))</f>
        <v/>
      </c>
      <c r="BE113" s="33" t="str">
        <f aca="false">IF(D113="","",IF(LEN(IF(AND(OR(E113="Roadside drain",E113="Entrance culvert"),OR(G113&lt;SG_Criteria!$B$15,H113&lt;SG_Criteria!$B$16)),"FAIL: below PUB min "&amp;SG_Criteria!$B$15&amp;"x"&amp;SG_Criteria!$B$16&amp;" for roadside drain. ","")&amp;IF(AND(E113="Common drain",G113&lt;SG_Criteria!$B$17),"FAIL: common drain W &lt; "&amp;SG_Criteria!$B$17&amp;" mm. ","")&amp;IF(AND(O113&lt;&gt;"",IFERROR(VALUE(MID(O113,2,2)),0)&lt;SG_Criteria!$B$19),"FAIL: grade below C"&amp;SG_Criteria!$B$19&amp;". ","")&amp;IF(AND(P113&lt;&gt;"",P113&lt;SG_Criteria!$B$20),"FAIL: cover &lt; "&amp;SG_Criteria!$B$20&amp;" mm. ","")&amp;IF(AND(F113="Open",H113&gt;SG_Criteria!$B$18),"NOTE: safety railing required (D &gt; "&amp;SG_Criteria!$B$18&amp;" mm). ","")&amp;IF(AND(E113="Entrance culvert",H113&lt;600),"NOTE: check hinged grating rule for culverts &lt; 600 deep (PUB Add. 3). ",""))=0,"OK",IF(AND(OR(E113="Roadside drain",E113="Entrance culvert"),OR(G113&lt;SG_Criteria!$B$15,H113&lt;SG_Criteria!$B$16)),"FAIL: below PUB min "&amp;SG_Criteria!$B$15&amp;"x"&amp;SG_Criteria!$B$16&amp;" for roadside drain. ","")&amp;IF(AND(E113="Common drain",G113&lt;SG_Criteria!$B$17),"FAIL: common drain W &lt; "&amp;SG_Criteria!$B$17&amp;" mm. ","")&amp;IF(AND(O113&lt;&gt;"",IFERROR(VALUE(MID(O113,2,2)),0)&lt;SG_Criteria!$B$19),"FAIL: grade below C"&amp;SG_Criteria!$B$19&amp;". ","")&amp;IF(AND(P113&lt;&gt;"",P113&lt;SG_Criteria!$B$20),"FAIL: cover &lt; "&amp;SG_Criteria!$B$20&amp;" mm. ","")&amp;IF(AND(F113="Open",H113&gt;SG_Criteria!$B$18),"NOTE: safety railing required (D &gt; "&amp;SG_Criteria!$B$18&amp;" mm). ","")&amp;IF(AND(E113="Entrance culvert",H113&lt;600),"NOTE: check hinged grating rule for culverts &lt; 600 deep (PUB Add. 3). ","")))</f>
        <v/>
      </c>
      <c r="BF113" s="9"/>
      <c r="BG113" s="9"/>
      <c r="BH113" s="9"/>
      <c r="BI113" s="10" t="str">
        <f aca="false">IF(BH113="","",IFERROR(VLOOKUP(BH113,Projects!$A$5:$D$504,2,0),"Ref not in Projects"))</f>
        <v/>
      </c>
      <c r="BJ113" s="10" t="str">
        <f aca="false">IF(BH113="","",IFERROR(VLOOKUP(BH113,Projects!$A$5:$D$504,4,0),"Ref not in Projects"))</f>
        <v/>
      </c>
      <c r="BK113" s="9"/>
      <c r="BL113" s="9"/>
      <c r="BM113" s="9"/>
      <c r="BN113" s="40"/>
      <c r="BO113" s="9"/>
      <c r="BP113" s="40"/>
      <c r="BQ113" s="9"/>
      <c r="BR113" s="40"/>
      <c r="BS113" s="9"/>
      <c r="BT113" s="9"/>
      <c r="BU113" s="9"/>
      <c r="BV113" s="40"/>
      <c r="BW113" s="40"/>
      <c r="BX113" s="36" t="str">
        <f aca="false">IF(BW113="","",EDATE(BW113,SG_Criteria!$B$54*12))</f>
        <v/>
      </c>
      <c r="BY113" s="33" t="str">
        <f aca="true">IF(A113="","",IF(BW113="","NOTE: not reviewed yet",IF(TODAY()&gt;BX113,"NOTE: review overdue","OK")))</f>
        <v/>
      </c>
      <c r="BZ113" s="37" t="str">
        <f aca="false">IF(A113="","",ROUND((IF(LEN(D113)&gt;0,1,0)+IF(LEN(E113)&gt;0,1,0)+IF(LEN(F113)&gt;0,1,0)+IF(LEN(G113)&gt;0,1,0)+IF(LEN(H113)&gt;0,1,0)+IF(LEN(J113)&gt;0,1,0)+IF(LEN(K113)&gt;0,1,0)+IF(LEN(M113)&gt;0,1,0)+IF(LEN(O113)&gt;0,1,0)+IF(LEN(P113)&gt;0,1,0)+IF(LEN(Q113)&gt;0,1,0)+IF(LEN(S113)&gt;0,1,0)+IF(LEN(AC113)&gt;0,1,0)+IF(LEN(AV113)&gt;0,1,0)+IF(LEN(AW113)&gt;0,1,0)+IF(LEN(AG113)&gt;0,1,0)+IF(LEN(AI113)&gt;0,1,0)+IF(LEN(AJ113)&gt;0,1,0)+IF(LEN(AK113)&gt;0,1,0)+IF(LEN(AL113)&gt;0,1,0)+IF(LEN(AU113)&gt;0,1,0)+IF(LEN(BH113)&gt;0,1,0)+IF(LEN(BU113)&gt;0,1,0))/23,2))</f>
        <v/>
      </c>
      <c r="CA113" s="10" t="str">
        <f aca="false">IF(D113="","",IF(AND(AJ113="Approved",ISERROR(SEARCH("FAIL",BE113))),"Y","N"))</f>
        <v/>
      </c>
      <c r="CB113" s="10" t="str">
        <f aca="false">IF(D113="","",D113&amp;"|"&amp;G113&amp;"|"&amp;H113&amp;"|"&amp;M113&amp;"|"&amp;CA113)</f>
        <v/>
      </c>
    </row>
    <row r="114" customFormat="false" ht="15" hidden="false" customHeight="false" outlineLevel="0" collapsed="false">
      <c r="A114" s="10" t="str">
        <f aca="false">IF(D114="","","DRN-"&amp;IFERROR(VLOOKUP(D114,Lists!$A$4:$B$27,2,0),"??")&amp;"-"&amp;TEXT(G114,"0000")&amp;"x"&amp;TEXT(H114,"0000")&amp;IF(N(I114)&gt;1,"-"&amp;I114&amp;"C","")&amp;"-"&amp;IFERROR(VLOOKUP(M114,Lists!$J$4:$K$19,2,0),"??")&amp;"-"&amp;AI114)</f>
        <v/>
      </c>
      <c r="B114" s="10" t="str">
        <f aca="false">IF(D114="","",D114&amp;" "&amp;G114&amp;"W x "&amp;H114&amp;"D"&amp;IF(N(I114)&gt;1," ("&amp;I114&amp;" cells)","")&amp;", "&amp;E114&amp;", "&amp;M114&amp;", "&amp;F114)</f>
        <v/>
      </c>
      <c r="C114" s="9"/>
      <c r="D114" s="9"/>
      <c r="E114" s="9"/>
      <c r="F114" s="9"/>
      <c r="G114" s="38"/>
      <c r="H114" s="38"/>
      <c r="I114" s="38"/>
      <c r="J114" s="38"/>
      <c r="K114" s="38"/>
      <c r="L114" s="38"/>
      <c r="M114" s="9"/>
      <c r="N114" s="9"/>
      <c r="O114" s="9"/>
      <c r="P114" s="38"/>
      <c r="Q114" s="9"/>
      <c r="R114" s="9"/>
      <c r="S114" s="9"/>
      <c r="T114" s="9"/>
      <c r="U114" s="9"/>
      <c r="V114" s="9"/>
      <c r="W114" s="9"/>
      <c r="X114" s="9"/>
      <c r="Y114" s="9"/>
      <c r="Z114" s="9"/>
      <c r="AA114" s="9"/>
      <c r="AB114" s="39"/>
      <c r="AC114" s="9"/>
      <c r="AD114" s="38"/>
      <c r="AE114" s="9"/>
      <c r="AF114" s="39"/>
      <c r="AG114" s="9"/>
      <c r="AH114" s="9"/>
      <c r="AI114" s="9"/>
      <c r="AJ114" s="9"/>
      <c r="AK114" s="9"/>
      <c r="AL114" s="9"/>
      <c r="AM114" s="9"/>
      <c r="AN114" s="10" t="str">
        <f aca="false">IF(A114="","",SG_Criteria!$B$6&amp;SG_Criteria!$B$7&amp;"\"&amp;A114&amp;"\")</f>
        <v/>
      </c>
      <c r="AO114" s="10" t="str">
        <f aca="false">IF(A114="","",A114&amp;"_CAD.dwg")</f>
        <v/>
      </c>
      <c r="AP114" s="10" t="str">
        <f aca="false">IF(A114="","",A114&amp;"_DWG.pdf")</f>
        <v/>
      </c>
      <c r="AQ114" s="10" t="str">
        <f aca="false">IF(A114="","",IF(AM114="Y",A114&amp;"_STAAD.std","n/a"))</f>
        <v/>
      </c>
      <c r="AR114" s="10" t="str">
        <f aca="false">IF(A114="","",A114&amp;"_CALC.xlsx")</f>
        <v/>
      </c>
      <c r="AS114" s="10" t="str">
        <f aca="false">IF(A114="","",A114&amp;"_CALC.pdf")</f>
        <v/>
      </c>
      <c r="AT114" s="9"/>
      <c r="AU114" s="9"/>
      <c r="AV114" s="39"/>
      <c r="AW114" s="39"/>
      <c r="AX114" s="39"/>
      <c r="AY114" s="39"/>
      <c r="AZ114" s="39"/>
      <c r="BA114" s="12" t="str">
        <f aca="false">IF(A114="","",IF(COUNTIF(Rebar_Schedule!$A$5:$A$2004,A114)=0,"",ROUND(SUMIF(Rebar_Schedule!$A$5:$A$2004,A114,Rebar_Schedule!$K$5:$K$2004),1)))</f>
        <v/>
      </c>
      <c r="BB114" s="33" t="str">
        <f aca="false">IF(A114="","",IF(BA114="","No rebar schedule yet",IF(ABS(BA114-N(AW114))/MAX(N(AW114),1)&gt;SG_Criteria!$B$55,"NOTE: register rebar differs from schedule by "&amp;TEXT(ABS(BA114-N(AW114))/MAX(N(AW114),1),"0%"),"OK")))</f>
        <v/>
      </c>
      <c r="BC114" s="34" t="str">
        <f aca="false">IF(OR(D114="",G114="",H114="",D114="Sump",D114="Drop Inlet Chamber",D114="Silt Trap",D114="Pipe Culvert",D114="Subsoil Drain"),"",ROUND(MAX(1,N(I114))*(1/SG_Criteria!$B$26)*((G114/1000)*(H114/1000*(1-SG_Criteria!$B$25)))*(((G114/1000)*(H114/1000*(1-SG_Criteria!$B$25)))/((G114/1000)+2*(H114/1000*(1-SG_Criteria!$B$25))))^(2/3)*(1/Design_Selector!$B$11)^0.5,3))</f>
        <v/>
      </c>
      <c r="BD114" s="11" t="str">
        <f aca="false">IF(BC114="","",ROUND(BC114/(MAX(1,N(I114))*G114/1000*(H114/1000*(1-SG_Criteria!$B$25))),2))</f>
        <v/>
      </c>
      <c r="BE114" s="33" t="str">
        <f aca="false">IF(D114="","",IF(LEN(IF(AND(OR(E114="Roadside drain",E114="Entrance culvert"),OR(G114&lt;SG_Criteria!$B$15,H114&lt;SG_Criteria!$B$16)),"FAIL: below PUB min "&amp;SG_Criteria!$B$15&amp;"x"&amp;SG_Criteria!$B$16&amp;" for roadside drain. ","")&amp;IF(AND(E114="Common drain",G114&lt;SG_Criteria!$B$17),"FAIL: common drain W &lt; "&amp;SG_Criteria!$B$17&amp;" mm. ","")&amp;IF(AND(O114&lt;&gt;"",IFERROR(VALUE(MID(O114,2,2)),0)&lt;SG_Criteria!$B$19),"FAIL: grade below C"&amp;SG_Criteria!$B$19&amp;". ","")&amp;IF(AND(P114&lt;&gt;"",P114&lt;SG_Criteria!$B$20),"FAIL: cover &lt; "&amp;SG_Criteria!$B$20&amp;" mm. ","")&amp;IF(AND(F114="Open",H114&gt;SG_Criteria!$B$18),"NOTE: safety railing required (D &gt; "&amp;SG_Criteria!$B$18&amp;" mm). ","")&amp;IF(AND(E114="Entrance culvert",H114&lt;600),"NOTE: check hinged grating rule for culverts &lt; 600 deep (PUB Add. 3). ",""))=0,"OK",IF(AND(OR(E114="Roadside drain",E114="Entrance culvert"),OR(G114&lt;SG_Criteria!$B$15,H114&lt;SG_Criteria!$B$16)),"FAIL: below PUB min "&amp;SG_Criteria!$B$15&amp;"x"&amp;SG_Criteria!$B$16&amp;" for roadside drain. ","")&amp;IF(AND(E114="Common drain",G114&lt;SG_Criteria!$B$17),"FAIL: common drain W &lt; "&amp;SG_Criteria!$B$17&amp;" mm. ","")&amp;IF(AND(O114&lt;&gt;"",IFERROR(VALUE(MID(O114,2,2)),0)&lt;SG_Criteria!$B$19),"FAIL: grade below C"&amp;SG_Criteria!$B$19&amp;". ","")&amp;IF(AND(P114&lt;&gt;"",P114&lt;SG_Criteria!$B$20),"FAIL: cover &lt; "&amp;SG_Criteria!$B$20&amp;" mm. ","")&amp;IF(AND(F114="Open",H114&gt;SG_Criteria!$B$18),"NOTE: safety railing required (D &gt; "&amp;SG_Criteria!$B$18&amp;" mm). ","")&amp;IF(AND(E114="Entrance culvert",H114&lt;600),"NOTE: check hinged grating rule for culverts &lt; 600 deep (PUB Add. 3). ","")))</f>
        <v/>
      </c>
      <c r="BF114" s="9"/>
      <c r="BG114" s="9"/>
      <c r="BH114" s="9"/>
      <c r="BI114" s="10" t="str">
        <f aca="false">IF(BH114="","",IFERROR(VLOOKUP(BH114,Projects!$A$5:$D$504,2,0),"Ref not in Projects"))</f>
        <v/>
      </c>
      <c r="BJ114" s="10" t="str">
        <f aca="false">IF(BH114="","",IFERROR(VLOOKUP(BH114,Projects!$A$5:$D$504,4,0),"Ref not in Projects"))</f>
        <v/>
      </c>
      <c r="BK114" s="9"/>
      <c r="BL114" s="9"/>
      <c r="BM114" s="9"/>
      <c r="BN114" s="40"/>
      <c r="BO114" s="9"/>
      <c r="BP114" s="40"/>
      <c r="BQ114" s="9"/>
      <c r="BR114" s="40"/>
      <c r="BS114" s="9"/>
      <c r="BT114" s="9"/>
      <c r="BU114" s="9"/>
      <c r="BV114" s="40"/>
      <c r="BW114" s="40"/>
      <c r="BX114" s="36" t="str">
        <f aca="false">IF(BW114="","",EDATE(BW114,SG_Criteria!$B$54*12))</f>
        <v/>
      </c>
      <c r="BY114" s="33" t="str">
        <f aca="true">IF(A114="","",IF(BW114="","NOTE: not reviewed yet",IF(TODAY()&gt;BX114,"NOTE: review overdue","OK")))</f>
        <v/>
      </c>
      <c r="BZ114" s="37" t="str">
        <f aca="false">IF(A114="","",ROUND((IF(LEN(D114)&gt;0,1,0)+IF(LEN(E114)&gt;0,1,0)+IF(LEN(F114)&gt;0,1,0)+IF(LEN(G114)&gt;0,1,0)+IF(LEN(H114)&gt;0,1,0)+IF(LEN(J114)&gt;0,1,0)+IF(LEN(K114)&gt;0,1,0)+IF(LEN(M114)&gt;0,1,0)+IF(LEN(O114)&gt;0,1,0)+IF(LEN(P114)&gt;0,1,0)+IF(LEN(Q114)&gt;0,1,0)+IF(LEN(S114)&gt;0,1,0)+IF(LEN(AC114)&gt;0,1,0)+IF(LEN(AV114)&gt;0,1,0)+IF(LEN(AW114)&gt;0,1,0)+IF(LEN(AG114)&gt;0,1,0)+IF(LEN(AI114)&gt;0,1,0)+IF(LEN(AJ114)&gt;0,1,0)+IF(LEN(AK114)&gt;0,1,0)+IF(LEN(AL114)&gt;0,1,0)+IF(LEN(AU114)&gt;0,1,0)+IF(LEN(BH114)&gt;0,1,0)+IF(LEN(BU114)&gt;0,1,0))/23,2))</f>
        <v/>
      </c>
      <c r="CA114" s="10" t="str">
        <f aca="false">IF(D114="","",IF(AND(AJ114="Approved",ISERROR(SEARCH("FAIL",BE114))),"Y","N"))</f>
        <v/>
      </c>
      <c r="CB114" s="10" t="str">
        <f aca="false">IF(D114="","",D114&amp;"|"&amp;G114&amp;"|"&amp;H114&amp;"|"&amp;M114&amp;"|"&amp;CA114)</f>
        <v/>
      </c>
    </row>
    <row r="115" customFormat="false" ht="15" hidden="false" customHeight="false" outlineLevel="0" collapsed="false">
      <c r="A115" s="10" t="str">
        <f aca="false">IF(D115="","","DRN-"&amp;IFERROR(VLOOKUP(D115,Lists!$A$4:$B$27,2,0),"??")&amp;"-"&amp;TEXT(G115,"0000")&amp;"x"&amp;TEXT(H115,"0000")&amp;IF(N(I115)&gt;1,"-"&amp;I115&amp;"C","")&amp;"-"&amp;IFERROR(VLOOKUP(M115,Lists!$J$4:$K$19,2,0),"??")&amp;"-"&amp;AI115)</f>
        <v/>
      </c>
      <c r="B115" s="10" t="str">
        <f aca="false">IF(D115="","",D115&amp;" "&amp;G115&amp;"W x "&amp;H115&amp;"D"&amp;IF(N(I115)&gt;1," ("&amp;I115&amp;" cells)","")&amp;", "&amp;E115&amp;", "&amp;M115&amp;", "&amp;F115)</f>
        <v/>
      </c>
      <c r="C115" s="9"/>
      <c r="D115" s="9"/>
      <c r="E115" s="9"/>
      <c r="F115" s="9"/>
      <c r="G115" s="38"/>
      <c r="H115" s="38"/>
      <c r="I115" s="38"/>
      <c r="J115" s="38"/>
      <c r="K115" s="38"/>
      <c r="L115" s="38"/>
      <c r="M115" s="9"/>
      <c r="N115" s="9"/>
      <c r="O115" s="9"/>
      <c r="P115" s="38"/>
      <c r="Q115" s="9"/>
      <c r="R115" s="9"/>
      <c r="S115" s="9"/>
      <c r="T115" s="9"/>
      <c r="U115" s="9"/>
      <c r="V115" s="9"/>
      <c r="W115" s="9"/>
      <c r="X115" s="9"/>
      <c r="Y115" s="9"/>
      <c r="Z115" s="9"/>
      <c r="AA115" s="9"/>
      <c r="AB115" s="39"/>
      <c r="AC115" s="9"/>
      <c r="AD115" s="38"/>
      <c r="AE115" s="9"/>
      <c r="AF115" s="39"/>
      <c r="AG115" s="9"/>
      <c r="AH115" s="9"/>
      <c r="AI115" s="9"/>
      <c r="AJ115" s="9"/>
      <c r="AK115" s="9"/>
      <c r="AL115" s="9"/>
      <c r="AM115" s="9"/>
      <c r="AN115" s="10" t="str">
        <f aca="false">IF(A115="","",SG_Criteria!$B$6&amp;SG_Criteria!$B$7&amp;"\"&amp;A115&amp;"\")</f>
        <v/>
      </c>
      <c r="AO115" s="10" t="str">
        <f aca="false">IF(A115="","",A115&amp;"_CAD.dwg")</f>
        <v/>
      </c>
      <c r="AP115" s="10" t="str">
        <f aca="false">IF(A115="","",A115&amp;"_DWG.pdf")</f>
        <v/>
      </c>
      <c r="AQ115" s="10" t="str">
        <f aca="false">IF(A115="","",IF(AM115="Y",A115&amp;"_STAAD.std","n/a"))</f>
        <v/>
      </c>
      <c r="AR115" s="10" t="str">
        <f aca="false">IF(A115="","",A115&amp;"_CALC.xlsx")</f>
        <v/>
      </c>
      <c r="AS115" s="10" t="str">
        <f aca="false">IF(A115="","",A115&amp;"_CALC.pdf")</f>
        <v/>
      </c>
      <c r="AT115" s="9"/>
      <c r="AU115" s="9"/>
      <c r="AV115" s="39"/>
      <c r="AW115" s="39"/>
      <c r="AX115" s="39"/>
      <c r="AY115" s="39"/>
      <c r="AZ115" s="39"/>
      <c r="BA115" s="12" t="str">
        <f aca="false">IF(A115="","",IF(COUNTIF(Rebar_Schedule!$A$5:$A$2004,A115)=0,"",ROUND(SUMIF(Rebar_Schedule!$A$5:$A$2004,A115,Rebar_Schedule!$K$5:$K$2004),1)))</f>
        <v/>
      </c>
      <c r="BB115" s="33" t="str">
        <f aca="false">IF(A115="","",IF(BA115="","No rebar schedule yet",IF(ABS(BA115-N(AW115))/MAX(N(AW115),1)&gt;SG_Criteria!$B$55,"NOTE: register rebar differs from schedule by "&amp;TEXT(ABS(BA115-N(AW115))/MAX(N(AW115),1),"0%"),"OK")))</f>
        <v/>
      </c>
      <c r="BC115" s="34" t="str">
        <f aca="false">IF(OR(D115="",G115="",H115="",D115="Sump",D115="Drop Inlet Chamber",D115="Silt Trap",D115="Pipe Culvert",D115="Subsoil Drain"),"",ROUND(MAX(1,N(I115))*(1/SG_Criteria!$B$26)*((G115/1000)*(H115/1000*(1-SG_Criteria!$B$25)))*(((G115/1000)*(H115/1000*(1-SG_Criteria!$B$25)))/((G115/1000)+2*(H115/1000*(1-SG_Criteria!$B$25))))^(2/3)*(1/Design_Selector!$B$11)^0.5,3))</f>
        <v/>
      </c>
      <c r="BD115" s="11" t="str">
        <f aca="false">IF(BC115="","",ROUND(BC115/(MAX(1,N(I115))*G115/1000*(H115/1000*(1-SG_Criteria!$B$25))),2))</f>
        <v/>
      </c>
      <c r="BE115" s="33" t="str">
        <f aca="false">IF(D115="","",IF(LEN(IF(AND(OR(E115="Roadside drain",E115="Entrance culvert"),OR(G115&lt;SG_Criteria!$B$15,H115&lt;SG_Criteria!$B$16)),"FAIL: below PUB min "&amp;SG_Criteria!$B$15&amp;"x"&amp;SG_Criteria!$B$16&amp;" for roadside drain. ","")&amp;IF(AND(E115="Common drain",G115&lt;SG_Criteria!$B$17),"FAIL: common drain W &lt; "&amp;SG_Criteria!$B$17&amp;" mm. ","")&amp;IF(AND(O115&lt;&gt;"",IFERROR(VALUE(MID(O115,2,2)),0)&lt;SG_Criteria!$B$19),"FAIL: grade below C"&amp;SG_Criteria!$B$19&amp;". ","")&amp;IF(AND(P115&lt;&gt;"",P115&lt;SG_Criteria!$B$20),"FAIL: cover &lt; "&amp;SG_Criteria!$B$20&amp;" mm. ","")&amp;IF(AND(F115="Open",H115&gt;SG_Criteria!$B$18),"NOTE: safety railing required (D &gt; "&amp;SG_Criteria!$B$18&amp;" mm). ","")&amp;IF(AND(E115="Entrance culvert",H115&lt;600),"NOTE: check hinged grating rule for culverts &lt; 600 deep (PUB Add. 3). ",""))=0,"OK",IF(AND(OR(E115="Roadside drain",E115="Entrance culvert"),OR(G115&lt;SG_Criteria!$B$15,H115&lt;SG_Criteria!$B$16)),"FAIL: below PUB min "&amp;SG_Criteria!$B$15&amp;"x"&amp;SG_Criteria!$B$16&amp;" for roadside drain. ","")&amp;IF(AND(E115="Common drain",G115&lt;SG_Criteria!$B$17),"FAIL: common drain W &lt; "&amp;SG_Criteria!$B$17&amp;" mm. ","")&amp;IF(AND(O115&lt;&gt;"",IFERROR(VALUE(MID(O115,2,2)),0)&lt;SG_Criteria!$B$19),"FAIL: grade below C"&amp;SG_Criteria!$B$19&amp;". ","")&amp;IF(AND(P115&lt;&gt;"",P115&lt;SG_Criteria!$B$20),"FAIL: cover &lt; "&amp;SG_Criteria!$B$20&amp;" mm. ","")&amp;IF(AND(F115="Open",H115&gt;SG_Criteria!$B$18),"NOTE: safety railing required (D &gt; "&amp;SG_Criteria!$B$18&amp;" mm). ","")&amp;IF(AND(E115="Entrance culvert",H115&lt;600),"NOTE: check hinged grating rule for culverts &lt; 600 deep (PUB Add. 3). ","")))</f>
        <v/>
      </c>
      <c r="BF115" s="9"/>
      <c r="BG115" s="9"/>
      <c r="BH115" s="9"/>
      <c r="BI115" s="10" t="str">
        <f aca="false">IF(BH115="","",IFERROR(VLOOKUP(BH115,Projects!$A$5:$D$504,2,0),"Ref not in Projects"))</f>
        <v/>
      </c>
      <c r="BJ115" s="10" t="str">
        <f aca="false">IF(BH115="","",IFERROR(VLOOKUP(BH115,Projects!$A$5:$D$504,4,0),"Ref not in Projects"))</f>
        <v/>
      </c>
      <c r="BK115" s="9"/>
      <c r="BL115" s="9"/>
      <c r="BM115" s="9"/>
      <c r="BN115" s="40"/>
      <c r="BO115" s="9"/>
      <c r="BP115" s="40"/>
      <c r="BQ115" s="9"/>
      <c r="BR115" s="40"/>
      <c r="BS115" s="9"/>
      <c r="BT115" s="9"/>
      <c r="BU115" s="9"/>
      <c r="BV115" s="40"/>
      <c r="BW115" s="40"/>
      <c r="BX115" s="36" t="str">
        <f aca="false">IF(BW115="","",EDATE(BW115,SG_Criteria!$B$54*12))</f>
        <v/>
      </c>
      <c r="BY115" s="33" t="str">
        <f aca="true">IF(A115="","",IF(BW115="","NOTE: not reviewed yet",IF(TODAY()&gt;BX115,"NOTE: review overdue","OK")))</f>
        <v/>
      </c>
      <c r="BZ115" s="37" t="str">
        <f aca="false">IF(A115="","",ROUND((IF(LEN(D115)&gt;0,1,0)+IF(LEN(E115)&gt;0,1,0)+IF(LEN(F115)&gt;0,1,0)+IF(LEN(G115)&gt;0,1,0)+IF(LEN(H115)&gt;0,1,0)+IF(LEN(J115)&gt;0,1,0)+IF(LEN(K115)&gt;0,1,0)+IF(LEN(M115)&gt;0,1,0)+IF(LEN(O115)&gt;0,1,0)+IF(LEN(P115)&gt;0,1,0)+IF(LEN(Q115)&gt;0,1,0)+IF(LEN(S115)&gt;0,1,0)+IF(LEN(AC115)&gt;0,1,0)+IF(LEN(AV115)&gt;0,1,0)+IF(LEN(AW115)&gt;0,1,0)+IF(LEN(AG115)&gt;0,1,0)+IF(LEN(AI115)&gt;0,1,0)+IF(LEN(AJ115)&gt;0,1,0)+IF(LEN(AK115)&gt;0,1,0)+IF(LEN(AL115)&gt;0,1,0)+IF(LEN(AU115)&gt;0,1,0)+IF(LEN(BH115)&gt;0,1,0)+IF(LEN(BU115)&gt;0,1,0))/23,2))</f>
        <v/>
      </c>
      <c r="CA115" s="10" t="str">
        <f aca="false">IF(D115="","",IF(AND(AJ115="Approved",ISERROR(SEARCH("FAIL",BE115))),"Y","N"))</f>
        <v/>
      </c>
      <c r="CB115" s="10" t="str">
        <f aca="false">IF(D115="","",D115&amp;"|"&amp;G115&amp;"|"&amp;H115&amp;"|"&amp;M115&amp;"|"&amp;CA115)</f>
        <v/>
      </c>
    </row>
    <row r="116" customFormat="false" ht="15" hidden="false" customHeight="false" outlineLevel="0" collapsed="false">
      <c r="A116" s="10" t="str">
        <f aca="false">IF(D116="","","DRN-"&amp;IFERROR(VLOOKUP(D116,Lists!$A$4:$B$27,2,0),"??")&amp;"-"&amp;TEXT(G116,"0000")&amp;"x"&amp;TEXT(H116,"0000")&amp;IF(N(I116)&gt;1,"-"&amp;I116&amp;"C","")&amp;"-"&amp;IFERROR(VLOOKUP(M116,Lists!$J$4:$K$19,2,0),"??")&amp;"-"&amp;AI116)</f>
        <v/>
      </c>
      <c r="B116" s="10" t="str">
        <f aca="false">IF(D116="","",D116&amp;" "&amp;G116&amp;"W x "&amp;H116&amp;"D"&amp;IF(N(I116)&gt;1," ("&amp;I116&amp;" cells)","")&amp;", "&amp;E116&amp;", "&amp;M116&amp;", "&amp;F116)</f>
        <v/>
      </c>
      <c r="C116" s="9"/>
      <c r="D116" s="9"/>
      <c r="E116" s="9"/>
      <c r="F116" s="9"/>
      <c r="G116" s="38"/>
      <c r="H116" s="38"/>
      <c r="I116" s="38"/>
      <c r="J116" s="38"/>
      <c r="K116" s="38"/>
      <c r="L116" s="38"/>
      <c r="M116" s="9"/>
      <c r="N116" s="9"/>
      <c r="O116" s="9"/>
      <c r="P116" s="38"/>
      <c r="Q116" s="9"/>
      <c r="R116" s="9"/>
      <c r="S116" s="9"/>
      <c r="T116" s="9"/>
      <c r="U116" s="9"/>
      <c r="V116" s="9"/>
      <c r="W116" s="9"/>
      <c r="X116" s="9"/>
      <c r="Y116" s="9"/>
      <c r="Z116" s="9"/>
      <c r="AA116" s="9"/>
      <c r="AB116" s="39"/>
      <c r="AC116" s="9"/>
      <c r="AD116" s="38"/>
      <c r="AE116" s="9"/>
      <c r="AF116" s="39"/>
      <c r="AG116" s="9"/>
      <c r="AH116" s="9"/>
      <c r="AI116" s="9"/>
      <c r="AJ116" s="9"/>
      <c r="AK116" s="9"/>
      <c r="AL116" s="9"/>
      <c r="AM116" s="9"/>
      <c r="AN116" s="10" t="str">
        <f aca="false">IF(A116="","",SG_Criteria!$B$6&amp;SG_Criteria!$B$7&amp;"\"&amp;A116&amp;"\")</f>
        <v/>
      </c>
      <c r="AO116" s="10" t="str">
        <f aca="false">IF(A116="","",A116&amp;"_CAD.dwg")</f>
        <v/>
      </c>
      <c r="AP116" s="10" t="str">
        <f aca="false">IF(A116="","",A116&amp;"_DWG.pdf")</f>
        <v/>
      </c>
      <c r="AQ116" s="10" t="str">
        <f aca="false">IF(A116="","",IF(AM116="Y",A116&amp;"_STAAD.std","n/a"))</f>
        <v/>
      </c>
      <c r="AR116" s="10" t="str">
        <f aca="false">IF(A116="","",A116&amp;"_CALC.xlsx")</f>
        <v/>
      </c>
      <c r="AS116" s="10" t="str">
        <f aca="false">IF(A116="","",A116&amp;"_CALC.pdf")</f>
        <v/>
      </c>
      <c r="AT116" s="9"/>
      <c r="AU116" s="9"/>
      <c r="AV116" s="39"/>
      <c r="AW116" s="39"/>
      <c r="AX116" s="39"/>
      <c r="AY116" s="39"/>
      <c r="AZ116" s="39"/>
      <c r="BA116" s="12" t="str">
        <f aca="false">IF(A116="","",IF(COUNTIF(Rebar_Schedule!$A$5:$A$2004,A116)=0,"",ROUND(SUMIF(Rebar_Schedule!$A$5:$A$2004,A116,Rebar_Schedule!$K$5:$K$2004),1)))</f>
        <v/>
      </c>
      <c r="BB116" s="33" t="str">
        <f aca="false">IF(A116="","",IF(BA116="","No rebar schedule yet",IF(ABS(BA116-N(AW116))/MAX(N(AW116),1)&gt;SG_Criteria!$B$55,"NOTE: register rebar differs from schedule by "&amp;TEXT(ABS(BA116-N(AW116))/MAX(N(AW116),1),"0%"),"OK")))</f>
        <v/>
      </c>
      <c r="BC116" s="34" t="str">
        <f aca="false">IF(OR(D116="",G116="",H116="",D116="Sump",D116="Drop Inlet Chamber",D116="Silt Trap",D116="Pipe Culvert",D116="Subsoil Drain"),"",ROUND(MAX(1,N(I116))*(1/SG_Criteria!$B$26)*((G116/1000)*(H116/1000*(1-SG_Criteria!$B$25)))*(((G116/1000)*(H116/1000*(1-SG_Criteria!$B$25)))/((G116/1000)+2*(H116/1000*(1-SG_Criteria!$B$25))))^(2/3)*(1/Design_Selector!$B$11)^0.5,3))</f>
        <v/>
      </c>
      <c r="BD116" s="11" t="str">
        <f aca="false">IF(BC116="","",ROUND(BC116/(MAX(1,N(I116))*G116/1000*(H116/1000*(1-SG_Criteria!$B$25))),2))</f>
        <v/>
      </c>
      <c r="BE116" s="33" t="str">
        <f aca="false">IF(D116="","",IF(LEN(IF(AND(OR(E116="Roadside drain",E116="Entrance culvert"),OR(G116&lt;SG_Criteria!$B$15,H116&lt;SG_Criteria!$B$16)),"FAIL: below PUB min "&amp;SG_Criteria!$B$15&amp;"x"&amp;SG_Criteria!$B$16&amp;" for roadside drain. ","")&amp;IF(AND(E116="Common drain",G116&lt;SG_Criteria!$B$17),"FAIL: common drain W &lt; "&amp;SG_Criteria!$B$17&amp;" mm. ","")&amp;IF(AND(O116&lt;&gt;"",IFERROR(VALUE(MID(O116,2,2)),0)&lt;SG_Criteria!$B$19),"FAIL: grade below C"&amp;SG_Criteria!$B$19&amp;". ","")&amp;IF(AND(P116&lt;&gt;"",P116&lt;SG_Criteria!$B$20),"FAIL: cover &lt; "&amp;SG_Criteria!$B$20&amp;" mm. ","")&amp;IF(AND(F116="Open",H116&gt;SG_Criteria!$B$18),"NOTE: safety railing required (D &gt; "&amp;SG_Criteria!$B$18&amp;" mm). ","")&amp;IF(AND(E116="Entrance culvert",H116&lt;600),"NOTE: check hinged grating rule for culverts &lt; 600 deep (PUB Add. 3). ",""))=0,"OK",IF(AND(OR(E116="Roadside drain",E116="Entrance culvert"),OR(G116&lt;SG_Criteria!$B$15,H116&lt;SG_Criteria!$B$16)),"FAIL: below PUB min "&amp;SG_Criteria!$B$15&amp;"x"&amp;SG_Criteria!$B$16&amp;" for roadside drain. ","")&amp;IF(AND(E116="Common drain",G116&lt;SG_Criteria!$B$17),"FAIL: common drain W &lt; "&amp;SG_Criteria!$B$17&amp;" mm. ","")&amp;IF(AND(O116&lt;&gt;"",IFERROR(VALUE(MID(O116,2,2)),0)&lt;SG_Criteria!$B$19),"FAIL: grade below C"&amp;SG_Criteria!$B$19&amp;". ","")&amp;IF(AND(P116&lt;&gt;"",P116&lt;SG_Criteria!$B$20),"FAIL: cover &lt; "&amp;SG_Criteria!$B$20&amp;" mm. ","")&amp;IF(AND(F116="Open",H116&gt;SG_Criteria!$B$18),"NOTE: safety railing required (D &gt; "&amp;SG_Criteria!$B$18&amp;" mm). ","")&amp;IF(AND(E116="Entrance culvert",H116&lt;600),"NOTE: check hinged grating rule for culverts &lt; 600 deep (PUB Add. 3). ","")))</f>
        <v/>
      </c>
      <c r="BF116" s="9"/>
      <c r="BG116" s="9"/>
      <c r="BH116" s="9"/>
      <c r="BI116" s="10" t="str">
        <f aca="false">IF(BH116="","",IFERROR(VLOOKUP(BH116,Projects!$A$5:$D$504,2,0),"Ref not in Projects"))</f>
        <v/>
      </c>
      <c r="BJ116" s="10" t="str">
        <f aca="false">IF(BH116="","",IFERROR(VLOOKUP(BH116,Projects!$A$5:$D$504,4,0),"Ref not in Projects"))</f>
        <v/>
      </c>
      <c r="BK116" s="9"/>
      <c r="BL116" s="9"/>
      <c r="BM116" s="9"/>
      <c r="BN116" s="40"/>
      <c r="BO116" s="9"/>
      <c r="BP116" s="40"/>
      <c r="BQ116" s="9"/>
      <c r="BR116" s="40"/>
      <c r="BS116" s="9"/>
      <c r="BT116" s="9"/>
      <c r="BU116" s="9"/>
      <c r="BV116" s="40"/>
      <c r="BW116" s="40"/>
      <c r="BX116" s="36" t="str">
        <f aca="false">IF(BW116="","",EDATE(BW116,SG_Criteria!$B$54*12))</f>
        <v/>
      </c>
      <c r="BY116" s="33" t="str">
        <f aca="true">IF(A116="","",IF(BW116="","NOTE: not reviewed yet",IF(TODAY()&gt;BX116,"NOTE: review overdue","OK")))</f>
        <v/>
      </c>
      <c r="BZ116" s="37" t="str">
        <f aca="false">IF(A116="","",ROUND((IF(LEN(D116)&gt;0,1,0)+IF(LEN(E116)&gt;0,1,0)+IF(LEN(F116)&gt;0,1,0)+IF(LEN(G116)&gt;0,1,0)+IF(LEN(H116)&gt;0,1,0)+IF(LEN(J116)&gt;0,1,0)+IF(LEN(K116)&gt;0,1,0)+IF(LEN(M116)&gt;0,1,0)+IF(LEN(O116)&gt;0,1,0)+IF(LEN(P116)&gt;0,1,0)+IF(LEN(Q116)&gt;0,1,0)+IF(LEN(S116)&gt;0,1,0)+IF(LEN(AC116)&gt;0,1,0)+IF(LEN(AV116)&gt;0,1,0)+IF(LEN(AW116)&gt;0,1,0)+IF(LEN(AG116)&gt;0,1,0)+IF(LEN(AI116)&gt;0,1,0)+IF(LEN(AJ116)&gt;0,1,0)+IF(LEN(AK116)&gt;0,1,0)+IF(LEN(AL116)&gt;0,1,0)+IF(LEN(AU116)&gt;0,1,0)+IF(LEN(BH116)&gt;0,1,0)+IF(LEN(BU116)&gt;0,1,0))/23,2))</f>
        <v/>
      </c>
      <c r="CA116" s="10" t="str">
        <f aca="false">IF(D116="","",IF(AND(AJ116="Approved",ISERROR(SEARCH("FAIL",BE116))),"Y","N"))</f>
        <v/>
      </c>
      <c r="CB116" s="10" t="str">
        <f aca="false">IF(D116="","",D116&amp;"|"&amp;G116&amp;"|"&amp;H116&amp;"|"&amp;M116&amp;"|"&amp;CA116)</f>
        <v/>
      </c>
    </row>
    <row r="117" customFormat="false" ht="15" hidden="false" customHeight="false" outlineLevel="0" collapsed="false">
      <c r="A117" s="10" t="str">
        <f aca="false">IF(D117="","","DRN-"&amp;IFERROR(VLOOKUP(D117,Lists!$A$4:$B$27,2,0),"??")&amp;"-"&amp;TEXT(G117,"0000")&amp;"x"&amp;TEXT(H117,"0000")&amp;IF(N(I117)&gt;1,"-"&amp;I117&amp;"C","")&amp;"-"&amp;IFERROR(VLOOKUP(M117,Lists!$J$4:$K$19,2,0),"??")&amp;"-"&amp;AI117)</f>
        <v/>
      </c>
      <c r="B117" s="10" t="str">
        <f aca="false">IF(D117="","",D117&amp;" "&amp;G117&amp;"W x "&amp;H117&amp;"D"&amp;IF(N(I117)&gt;1," ("&amp;I117&amp;" cells)","")&amp;", "&amp;E117&amp;", "&amp;M117&amp;", "&amp;F117)</f>
        <v/>
      </c>
      <c r="C117" s="9"/>
      <c r="D117" s="9"/>
      <c r="E117" s="9"/>
      <c r="F117" s="9"/>
      <c r="G117" s="38"/>
      <c r="H117" s="38"/>
      <c r="I117" s="38"/>
      <c r="J117" s="38"/>
      <c r="K117" s="38"/>
      <c r="L117" s="38"/>
      <c r="M117" s="9"/>
      <c r="N117" s="9"/>
      <c r="O117" s="9"/>
      <c r="P117" s="38"/>
      <c r="Q117" s="9"/>
      <c r="R117" s="9"/>
      <c r="S117" s="9"/>
      <c r="T117" s="9"/>
      <c r="U117" s="9"/>
      <c r="V117" s="9"/>
      <c r="W117" s="9"/>
      <c r="X117" s="9"/>
      <c r="Y117" s="9"/>
      <c r="Z117" s="9"/>
      <c r="AA117" s="9"/>
      <c r="AB117" s="39"/>
      <c r="AC117" s="9"/>
      <c r="AD117" s="38"/>
      <c r="AE117" s="9"/>
      <c r="AF117" s="39"/>
      <c r="AG117" s="9"/>
      <c r="AH117" s="9"/>
      <c r="AI117" s="9"/>
      <c r="AJ117" s="9"/>
      <c r="AK117" s="9"/>
      <c r="AL117" s="9"/>
      <c r="AM117" s="9"/>
      <c r="AN117" s="10" t="str">
        <f aca="false">IF(A117="","",SG_Criteria!$B$6&amp;SG_Criteria!$B$7&amp;"\"&amp;A117&amp;"\")</f>
        <v/>
      </c>
      <c r="AO117" s="10" t="str">
        <f aca="false">IF(A117="","",A117&amp;"_CAD.dwg")</f>
        <v/>
      </c>
      <c r="AP117" s="10" t="str">
        <f aca="false">IF(A117="","",A117&amp;"_DWG.pdf")</f>
        <v/>
      </c>
      <c r="AQ117" s="10" t="str">
        <f aca="false">IF(A117="","",IF(AM117="Y",A117&amp;"_STAAD.std","n/a"))</f>
        <v/>
      </c>
      <c r="AR117" s="10" t="str">
        <f aca="false">IF(A117="","",A117&amp;"_CALC.xlsx")</f>
        <v/>
      </c>
      <c r="AS117" s="10" t="str">
        <f aca="false">IF(A117="","",A117&amp;"_CALC.pdf")</f>
        <v/>
      </c>
      <c r="AT117" s="9"/>
      <c r="AU117" s="9"/>
      <c r="AV117" s="39"/>
      <c r="AW117" s="39"/>
      <c r="AX117" s="39"/>
      <c r="AY117" s="39"/>
      <c r="AZ117" s="39"/>
      <c r="BA117" s="12" t="str">
        <f aca="false">IF(A117="","",IF(COUNTIF(Rebar_Schedule!$A$5:$A$2004,A117)=0,"",ROUND(SUMIF(Rebar_Schedule!$A$5:$A$2004,A117,Rebar_Schedule!$K$5:$K$2004),1)))</f>
        <v/>
      </c>
      <c r="BB117" s="33" t="str">
        <f aca="false">IF(A117="","",IF(BA117="","No rebar schedule yet",IF(ABS(BA117-N(AW117))/MAX(N(AW117),1)&gt;SG_Criteria!$B$55,"NOTE: register rebar differs from schedule by "&amp;TEXT(ABS(BA117-N(AW117))/MAX(N(AW117),1),"0%"),"OK")))</f>
        <v/>
      </c>
      <c r="BC117" s="34" t="str">
        <f aca="false">IF(OR(D117="",G117="",H117="",D117="Sump",D117="Drop Inlet Chamber",D117="Silt Trap",D117="Pipe Culvert",D117="Subsoil Drain"),"",ROUND(MAX(1,N(I117))*(1/SG_Criteria!$B$26)*((G117/1000)*(H117/1000*(1-SG_Criteria!$B$25)))*(((G117/1000)*(H117/1000*(1-SG_Criteria!$B$25)))/((G117/1000)+2*(H117/1000*(1-SG_Criteria!$B$25))))^(2/3)*(1/Design_Selector!$B$11)^0.5,3))</f>
        <v/>
      </c>
      <c r="BD117" s="11" t="str">
        <f aca="false">IF(BC117="","",ROUND(BC117/(MAX(1,N(I117))*G117/1000*(H117/1000*(1-SG_Criteria!$B$25))),2))</f>
        <v/>
      </c>
      <c r="BE117" s="33" t="str">
        <f aca="false">IF(D117="","",IF(LEN(IF(AND(OR(E117="Roadside drain",E117="Entrance culvert"),OR(G117&lt;SG_Criteria!$B$15,H117&lt;SG_Criteria!$B$16)),"FAIL: below PUB min "&amp;SG_Criteria!$B$15&amp;"x"&amp;SG_Criteria!$B$16&amp;" for roadside drain. ","")&amp;IF(AND(E117="Common drain",G117&lt;SG_Criteria!$B$17),"FAIL: common drain W &lt; "&amp;SG_Criteria!$B$17&amp;" mm. ","")&amp;IF(AND(O117&lt;&gt;"",IFERROR(VALUE(MID(O117,2,2)),0)&lt;SG_Criteria!$B$19),"FAIL: grade below C"&amp;SG_Criteria!$B$19&amp;". ","")&amp;IF(AND(P117&lt;&gt;"",P117&lt;SG_Criteria!$B$20),"FAIL: cover &lt; "&amp;SG_Criteria!$B$20&amp;" mm. ","")&amp;IF(AND(F117="Open",H117&gt;SG_Criteria!$B$18),"NOTE: safety railing required (D &gt; "&amp;SG_Criteria!$B$18&amp;" mm). ","")&amp;IF(AND(E117="Entrance culvert",H117&lt;600),"NOTE: check hinged grating rule for culverts &lt; 600 deep (PUB Add. 3). ",""))=0,"OK",IF(AND(OR(E117="Roadside drain",E117="Entrance culvert"),OR(G117&lt;SG_Criteria!$B$15,H117&lt;SG_Criteria!$B$16)),"FAIL: below PUB min "&amp;SG_Criteria!$B$15&amp;"x"&amp;SG_Criteria!$B$16&amp;" for roadside drain. ","")&amp;IF(AND(E117="Common drain",G117&lt;SG_Criteria!$B$17),"FAIL: common drain W &lt; "&amp;SG_Criteria!$B$17&amp;" mm. ","")&amp;IF(AND(O117&lt;&gt;"",IFERROR(VALUE(MID(O117,2,2)),0)&lt;SG_Criteria!$B$19),"FAIL: grade below C"&amp;SG_Criteria!$B$19&amp;". ","")&amp;IF(AND(P117&lt;&gt;"",P117&lt;SG_Criteria!$B$20),"FAIL: cover &lt; "&amp;SG_Criteria!$B$20&amp;" mm. ","")&amp;IF(AND(F117="Open",H117&gt;SG_Criteria!$B$18),"NOTE: safety railing required (D &gt; "&amp;SG_Criteria!$B$18&amp;" mm). ","")&amp;IF(AND(E117="Entrance culvert",H117&lt;600),"NOTE: check hinged grating rule for culverts &lt; 600 deep (PUB Add. 3). ","")))</f>
        <v/>
      </c>
      <c r="BF117" s="9"/>
      <c r="BG117" s="9"/>
      <c r="BH117" s="9"/>
      <c r="BI117" s="10" t="str">
        <f aca="false">IF(BH117="","",IFERROR(VLOOKUP(BH117,Projects!$A$5:$D$504,2,0),"Ref not in Projects"))</f>
        <v/>
      </c>
      <c r="BJ117" s="10" t="str">
        <f aca="false">IF(BH117="","",IFERROR(VLOOKUP(BH117,Projects!$A$5:$D$504,4,0),"Ref not in Projects"))</f>
        <v/>
      </c>
      <c r="BK117" s="9"/>
      <c r="BL117" s="9"/>
      <c r="BM117" s="9"/>
      <c r="BN117" s="40"/>
      <c r="BO117" s="9"/>
      <c r="BP117" s="40"/>
      <c r="BQ117" s="9"/>
      <c r="BR117" s="40"/>
      <c r="BS117" s="9"/>
      <c r="BT117" s="9"/>
      <c r="BU117" s="9"/>
      <c r="BV117" s="40"/>
      <c r="BW117" s="40"/>
      <c r="BX117" s="36" t="str">
        <f aca="false">IF(BW117="","",EDATE(BW117,SG_Criteria!$B$54*12))</f>
        <v/>
      </c>
      <c r="BY117" s="33" t="str">
        <f aca="true">IF(A117="","",IF(BW117="","NOTE: not reviewed yet",IF(TODAY()&gt;BX117,"NOTE: review overdue","OK")))</f>
        <v/>
      </c>
      <c r="BZ117" s="37" t="str">
        <f aca="false">IF(A117="","",ROUND((IF(LEN(D117)&gt;0,1,0)+IF(LEN(E117)&gt;0,1,0)+IF(LEN(F117)&gt;0,1,0)+IF(LEN(G117)&gt;0,1,0)+IF(LEN(H117)&gt;0,1,0)+IF(LEN(J117)&gt;0,1,0)+IF(LEN(K117)&gt;0,1,0)+IF(LEN(M117)&gt;0,1,0)+IF(LEN(O117)&gt;0,1,0)+IF(LEN(P117)&gt;0,1,0)+IF(LEN(Q117)&gt;0,1,0)+IF(LEN(S117)&gt;0,1,0)+IF(LEN(AC117)&gt;0,1,0)+IF(LEN(AV117)&gt;0,1,0)+IF(LEN(AW117)&gt;0,1,0)+IF(LEN(AG117)&gt;0,1,0)+IF(LEN(AI117)&gt;0,1,0)+IF(LEN(AJ117)&gt;0,1,0)+IF(LEN(AK117)&gt;0,1,0)+IF(LEN(AL117)&gt;0,1,0)+IF(LEN(AU117)&gt;0,1,0)+IF(LEN(BH117)&gt;0,1,0)+IF(LEN(BU117)&gt;0,1,0))/23,2))</f>
        <v/>
      </c>
      <c r="CA117" s="10" t="str">
        <f aca="false">IF(D117="","",IF(AND(AJ117="Approved",ISERROR(SEARCH("FAIL",BE117))),"Y","N"))</f>
        <v/>
      </c>
      <c r="CB117" s="10" t="str">
        <f aca="false">IF(D117="","",D117&amp;"|"&amp;G117&amp;"|"&amp;H117&amp;"|"&amp;M117&amp;"|"&amp;CA117)</f>
        <v/>
      </c>
    </row>
    <row r="118" customFormat="false" ht="15" hidden="false" customHeight="false" outlineLevel="0" collapsed="false">
      <c r="A118" s="10" t="str">
        <f aca="false">IF(D118="","","DRN-"&amp;IFERROR(VLOOKUP(D118,Lists!$A$4:$B$27,2,0),"??")&amp;"-"&amp;TEXT(G118,"0000")&amp;"x"&amp;TEXT(H118,"0000")&amp;IF(N(I118)&gt;1,"-"&amp;I118&amp;"C","")&amp;"-"&amp;IFERROR(VLOOKUP(M118,Lists!$J$4:$K$19,2,0),"??")&amp;"-"&amp;AI118)</f>
        <v/>
      </c>
      <c r="B118" s="10" t="str">
        <f aca="false">IF(D118="","",D118&amp;" "&amp;G118&amp;"W x "&amp;H118&amp;"D"&amp;IF(N(I118)&gt;1," ("&amp;I118&amp;" cells)","")&amp;", "&amp;E118&amp;", "&amp;M118&amp;", "&amp;F118)</f>
        <v/>
      </c>
      <c r="C118" s="9"/>
      <c r="D118" s="9"/>
      <c r="E118" s="9"/>
      <c r="F118" s="9"/>
      <c r="G118" s="38"/>
      <c r="H118" s="38"/>
      <c r="I118" s="38"/>
      <c r="J118" s="38"/>
      <c r="K118" s="38"/>
      <c r="L118" s="38"/>
      <c r="M118" s="9"/>
      <c r="N118" s="9"/>
      <c r="O118" s="9"/>
      <c r="P118" s="38"/>
      <c r="Q118" s="9"/>
      <c r="R118" s="9"/>
      <c r="S118" s="9"/>
      <c r="T118" s="9"/>
      <c r="U118" s="9"/>
      <c r="V118" s="9"/>
      <c r="W118" s="9"/>
      <c r="X118" s="9"/>
      <c r="Y118" s="9"/>
      <c r="Z118" s="9"/>
      <c r="AA118" s="9"/>
      <c r="AB118" s="39"/>
      <c r="AC118" s="9"/>
      <c r="AD118" s="38"/>
      <c r="AE118" s="9"/>
      <c r="AF118" s="39"/>
      <c r="AG118" s="9"/>
      <c r="AH118" s="9"/>
      <c r="AI118" s="9"/>
      <c r="AJ118" s="9"/>
      <c r="AK118" s="9"/>
      <c r="AL118" s="9"/>
      <c r="AM118" s="9"/>
      <c r="AN118" s="10" t="str">
        <f aca="false">IF(A118="","",SG_Criteria!$B$6&amp;SG_Criteria!$B$7&amp;"\"&amp;A118&amp;"\")</f>
        <v/>
      </c>
      <c r="AO118" s="10" t="str">
        <f aca="false">IF(A118="","",A118&amp;"_CAD.dwg")</f>
        <v/>
      </c>
      <c r="AP118" s="10" t="str">
        <f aca="false">IF(A118="","",A118&amp;"_DWG.pdf")</f>
        <v/>
      </c>
      <c r="AQ118" s="10" t="str">
        <f aca="false">IF(A118="","",IF(AM118="Y",A118&amp;"_STAAD.std","n/a"))</f>
        <v/>
      </c>
      <c r="AR118" s="10" t="str">
        <f aca="false">IF(A118="","",A118&amp;"_CALC.xlsx")</f>
        <v/>
      </c>
      <c r="AS118" s="10" t="str">
        <f aca="false">IF(A118="","",A118&amp;"_CALC.pdf")</f>
        <v/>
      </c>
      <c r="AT118" s="9"/>
      <c r="AU118" s="9"/>
      <c r="AV118" s="39"/>
      <c r="AW118" s="39"/>
      <c r="AX118" s="39"/>
      <c r="AY118" s="39"/>
      <c r="AZ118" s="39"/>
      <c r="BA118" s="12" t="str">
        <f aca="false">IF(A118="","",IF(COUNTIF(Rebar_Schedule!$A$5:$A$2004,A118)=0,"",ROUND(SUMIF(Rebar_Schedule!$A$5:$A$2004,A118,Rebar_Schedule!$K$5:$K$2004),1)))</f>
        <v/>
      </c>
      <c r="BB118" s="33" t="str">
        <f aca="false">IF(A118="","",IF(BA118="","No rebar schedule yet",IF(ABS(BA118-N(AW118))/MAX(N(AW118),1)&gt;SG_Criteria!$B$55,"NOTE: register rebar differs from schedule by "&amp;TEXT(ABS(BA118-N(AW118))/MAX(N(AW118),1),"0%"),"OK")))</f>
        <v/>
      </c>
      <c r="BC118" s="34" t="str">
        <f aca="false">IF(OR(D118="",G118="",H118="",D118="Sump",D118="Drop Inlet Chamber",D118="Silt Trap",D118="Pipe Culvert",D118="Subsoil Drain"),"",ROUND(MAX(1,N(I118))*(1/SG_Criteria!$B$26)*((G118/1000)*(H118/1000*(1-SG_Criteria!$B$25)))*(((G118/1000)*(H118/1000*(1-SG_Criteria!$B$25)))/((G118/1000)+2*(H118/1000*(1-SG_Criteria!$B$25))))^(2/3)*(1/Design_Selector!$B$11)^0.5,3))</f>
        <v/>
      </c>
      <c r="BD118" s="11" t="str">
        <f aca="false">IF(BC118="","",ROUND(BC118/(MAX(1,N(I118))*G118/1000*(H118/1000*(1-SG_Criteria!$B$25))),2))</f>
        <v/>
      </c>
      <c r="BE118" s="33" t="str">
        <f aca="false">IF(D118="","",IF(LEN(IF(AND(OR(E118="Roadside drain",E118="Entrance culvert"),OR(G118&lt;SG_Criteria!$B$15,H118&lt;SG_Criteria!$B$16)),"FAIL: below PUB min "&amp;SG_Criteria!$B$15&amp;"x"&amp;SG_Criteria!$B$16&amp;" for roadside drain. ","")&amp;IF(AND(E118="Common drain",G118&lt;SG_Criteria!$B$17),"FAIL: common drain W &lt; "&amp;SG_Criteria!$B$17&amp;" mm. ","")&amp;IF(AND(O118&lt;&gt;"",IFERROR(VALUE(MID(O118,2,2)),0)&lt;SG_Criteria!$B$19),"FAIL: grade below C"&amp;SG_Criteria!$B$19&amp;". ","")&amp;IF(AND(P118&lt;&gt;"",P118&lt;SG_Criteria!$B$20),"FAIL: cover &lt; "&amp;SG_Criteria!$B$20&amp;" mm. ","")&amp;IF(AND(F118="Open",H118&gt;SG_Criteria!$B$18),"NOTE: safety railing required (D &gt; "&amp;SG_Criteria!$B$18&amp;" mm). ","")&amp;IF(AND(E118="Entrance culvert",H118&lt;600),"NOTE: check hinged grating rule for culverts &lt; 600 deep (PUB Add. 3). ",""))=0,"OK",IF(AND(OR(E118="Roadside drain",E118="Entrance culvert"),OR(G118&lt;SG_Criteria!$B$15,H118&lt;SG_Criteria!$B$16)),"FAIL: below PUB min "&amp;SG_Criteria!$B$15&amp;"x"&amp;SG_Criteria!$B$16&amp;" for roadside drain. ","")&amp;IF(AND(E118="Common drain",G118&lt;SG_Criteria!$B$17),"FAIL: common drain W &lt; "&amp;SG_Criteria!$B$17&amp;" mm. ","")&amp;IF(AND(O118&lt;&gt;"",IFERROR(VALUE(MID(O118,2,2)),0)&lt;SG_Criteria!$B$19),"FAIL: grade below C"&amp;SG_Criteria!$B$19&amp;". ","")&amp;IF(AND(P118&lt;&gt;"",P118&lt;SG_Criteria!$B$20),"FAIL: cover &lt; "&amp;SG_Criteria!$B$20&amp;" mm. ","")&amp;IF(AND(F118="Open",H118&gt;SG_Criteria!$B$18),"NOTE: safety railing required (D &gt; "&amp;SG_Criteria!$B$18&amp;" mm). ","")&amp;IF(AND(E118="Entrance culvert",H118&lt;600),"NOTE: check hinged grating rule for culverts &lt; 600 deep (PUB Add. 3). ","")))</f>
        <v/>
      </c>
      <c r="BF118" s="9"/>
      <c r="BG118" s="9"/>
      <c r="BH118" s="9"/>
      <c r="BI118" s="10" t="str">
        <f aca="false">IF(BH118="","",IFERROR(VLOOKUP(BH118,Projects!$A$5:$D$504,2,0),"Ref not in Projects"))</f>
        <v/>
      </c>
      <c r="BJ118" s="10" t="str">
        <f aca="false">IF(BH118="","",IFERROR(VLOOKUP(BH118,Projects!$A$5:$D$504,4,0),"Ref not in Projects"))</f>
        <v/>
      </c>
      <c r="BK118" s="9"/>
      <c r="BL118" s="9"/>
      <c r="BM118" s="9"/>
      <c r="BN118" s="40"/>
      <c r="BO118" s="9"/>
      <c r="BP118" s="40"/>
      <c r="BQ118" s="9"/>
      <c r="BR118" s="40"/>
      <c r="BS118" s="9"/>
      <c r="BT118" s="9"/>
      <c r="BU118" s="9"/>
      <c r="BV118" s="40"/>
      <c r="BW118" s="40"/>
      <c r="BX118" s="36" t="str">
        <f aca="false">IF(BW118="","",EDATE(BW118,SG_Criteria!$B$54*12))</f>
        <v/>
      </c>
      <c r="BY118" s="33" t="str">
        <f aca="true">IF(A118="","",IF(BW118="","NOTE: not reviewed yet",IF(TODAY()&gt;BX118,"NOTE: review overdue","OK")))</f>
        <v/>
      </c>
      <c r="BZ118" s="37" t="str">
        <f aca="false">IF(A118="","",ROUND((IF(LEN(D118)&gt;0,1,0)+IF(LEN(E118)&gt;0,1,0)+IF(LEN(F118)&gt;0,1,0)+IF(LEN(G118)&gt;0,1,0)+IF(LEN(H118)&gt;0,1,0)+IF(LEN(J118)&gt;0,1,0)+IF(LEN(K118)&gt;0,1,0)+IF(LEN(M118)&gt;0,1,0)+IF(LEN(O118)&gt;0,1,0)+IF(LEN(P118)&gt;0,1,0)+IF(LEN(Q118)&gt;0,1,0)+IF(LEN(S118)&gt;0,1,0)+IF(LEN(AC118)&gt;0,1,0)+IF(LEN(AV118)&gt;0,1,0)+IF(LEN(AW118)&gt;0,1,0)+IF(LEN(AG118)&gt;0,1,0)+IF(LEN(AI118)&gt;0,1,0)+IF(LEN(AJ118)&gt;0,1,0)+IF(LEN(AK118)&gt;0,1,0)+IF(LEN(AL118)&gt;0,1,0)+IF(LEN(AU118)&gt;0,1,0)+IF(LEN(BH118)&gt;0,1,0)+IF(LEN(BU118)&gt;0,1,0))/23,2))</f>
        <v/>
      </c>
      <c r="CA118" s="10" t="str">
        <f aca="false">IF(D118="","",IF(AND(AJ118="Approved",ISERROR(SEARCH("FAIL",BE118))),"Y","N"))</f>
        <v/>
      </c>
      <c r="CB118" s="10" t="str">
        <f aca="false">IF(D118="","",D118&amp;"|"&amp;G118&amp;"|"&amp;H118&amp;"|"&amp;M118&amp;"|"&amp;CA118)</f>
        <v/>
      </c>
    </row>
    <row r="119" customFormat="false" ht="15" hidden="false" customHeight="false" outlineLevel="0" collapsed="false">
      <c r="A119" s="10" t="str">
        <f aca="false">IF(D119="","","DRN-"&amp;IFERROR(VLOOKUP(D119,Lists!$A$4:$B$27,2,0),"??")&amp;"-"&amp;TEXT(G119,"0000")&amp;"x"&amp;TEXT(H119,"0000")&amp;IF(N(I119)&gt;1,"-"&amp;I119&amp;"C","")&amp;"-"&amp;IFERROR(VLOOKUP(M119,Lists!$J$4:$K$19,2,0),"??")&amp;"-"&amp;AI119)</f>
        <v/>
      </c>
      <c r="B119" s="10" t="str">
        <f aca="false">IF(D119="","",D119&amp;" "&amp;G119&amp;"W x "&amp;H119&amp;"D"&amp;IF(N(I119)&gt;1," ("&amp;I119&amp;" cells)","")&amp;", "&amp;E119&amp;", "&amp;M119&amp;", "&amp;F119)</f>
        <v/>
      </c>
      <c r="C119" s="9"/>
      <c r="D119" s="9"/>
      <c r="E119" s="9"/>
      <c r="F119" s="9"/>
      <c r="G119" s="38"/>
      <c r="H119" s="38"/>
      <c r="I119" s="38"/>
      <c r="J119" s="38"/>
      <c r="K119" s="38"/>
      <c r="L119" s="38"/>
      <c r="M119" s="9"/>
      <c r="N119" s="9"/>
      <c r="O119" s="9"/>
      <c r="P119" s="38"/>
      <c r="Q119" s="9"/>
      <c r="R119" s="9"/>
      <c r="S119" s="9"/>
      <c r="T119" s="9"/>
      <c r="U119" s="9"/>
      <c r="V119" s="9"/>
      <c r="W119" s="9"/>
      <c r="X119" s="9"/>
      <c r="Y119" s="9"/>
      <c r="Z119" s="9"/>
      <c r="AA119" s="9"/>
      <c r="AB119" s="39"/>
      <c r="AC119" s="9"/>
      <c r="AD119" s="38"/>
      <c r="AE119" s="9"/>
      <c r="AF119" s="39"/>
      <c r="AG119" s="9"/>
      <c r="AH119" s="9"/>
      <c r="AI119" s="9"/>
      <c r="AJ119" s="9"/>
      <c r="AK119" s="9"/>
      <c r="AL119" s="9"/>
      <c r="AM119" s="9"/>
      <c r="AN119" s="10" t="str">
        <f aca="false">IF(A119="","",SG_Criteria!$B$6&amp;SG_Criteria!$B$7&amp;"\"&amp;A119&amp;"\")</f>
        <v/>
      </c>
      <c r="AO119" s="10" t="str">
        <f aca="false">IF(A119="","",A119&amp;"_CAD.dwg")</f>
        <v/>
      </c>
      <c r="AP119" s="10" t="str">
        <f aca="false">IF(A119="","",A119&amp;"_DWG.pdf")</f>
        <v/>
      </c>
      <c r="AQ119" s="10" t="str">
        <f aca="false">IF(A119="","",IF(AM119="Y",A119&amp;"_STAAD.std","n/a"))</f>
        <v/>
      </c>
      <c r="AR119" s="10" t="str">
        <f aca="false">IF(A119="","",A119&amp;"_CALC.xlsx")</f>
        <v/>
      </c>
      <c r="AS119" s="10" t="str">
        <f aca="false">IF(A119="","",A119&amp;"_CALC.pdf")</f>
        <v/>
      </c>
      <c r="AT119" s="9"/>
      <c r="AU119" s="9"/>
      <c r="AV119" s="39"/>
      <c r="AW119" s="39"/>
      <c r="AX119" s="39"/>
      <c r="AY119" s="39"/>
      <c r="AZ119" s="39"/>
      <c r="BA119" s="12" t="str">
        <f aca="false">IF(A119="","",IF(COUNTIF(Rebar_Schedule!$A$5:$A$2004,A119)=0,"",ROUND(SUMIF(Rebar_Schedule!$A$5:$A$2004,A119,Rebar_Schedule!$K$5:$K$2004),1)))</f>
        <v/>
      </c>
      <c r="BB119" s="33" t="str">
        <f aca="false">IF(A119="","",IF(BA119="","No rebar schedule yet",IF(ABS(BA119-N(AW119))/MAX(N(AW119),1)&gt;SG_Criteria!$B$55,"NOTE: register rebar differs from schedule by "&amp;TEXT(ABS(BA119-N(AW119))/MAX(N(AW119),1),"0%"),"OK")))</f>
        <v/>
      </c>
      <c r="BC119" s="34" t="str">
        <f aca="false">IF(OR(D119="",G119="",H119="",D119="Sump",D119="Drop Inlet Chamber",D119="Silt Trap",D119="Pipe Culvert",D119="Subsoil Drain"),"",ROUND(MAX(1,N(I119))*(1/SG_Criteria!$B$26)*((G119/1000)*(H119/1000*(1-SG_Criteria!$B$25)))*(((G119/1000)*(H119/1000*(1-SG_Criteria!$B$25)))/((G119/1000)+2*(H119/1000*(1-SG_Criteria!$B$25))))^(2/3)*(1/Design_Selector!$B$11)^0.5,3))</f>
        <v/>
      </c>
      <c r="BD119" s="11" t="str">
        <f aca="false">IF(BC119="","",ROUND(BC119/(MAX(1,N(I119))*G119/1000*(H119/1000*(1-SG_Criteria!$B$25))),2))</f>
        <v/>
      </c>
      <c r="BE119" s="33" t="str">
        <f aca="false">IF(D119="","",IF(LEN(IF(AND(OR(E119="Roadside drain",E119="Entrance culvert"),OR(G119&lt;SG_Criteria!$B$15,H119&lt;SG_Criteria!$B$16)),"FAIL: below PUB min "&amp;SG_Criteria!$B$15&amp;"x"&amp;SG_Criteria!$B$16&amp;" for roadside drain. ","")&amp;IF(AND(E119="Common drain",G119&lt;SG_Criteria!$B$17),"FAIL: common drain W &lt; "&amp;SG_Criteria!$B$17&amp;" mm. ","")&amp;IF(AND(O119&lt;&gt;"",IFERROR(VALUE(MID(O119,2,2)),0)&lt;SG_Criteria!$B$19),"FAIL: grade below C"&amp;SG_Criteria!$B$19&amp;". ","")&amp;IF(AND(P119&lt;&gt;"",P119&lt;SG_Criteria!$B$20),"FAIL: cover &lt; "&amp;SG_Criteria!$B$20&amp;" mm. ","")&amp;IF(AND(F119="Open",H119&gt;SG_Criteria!$B$18),"NOTE: safety railing required (D &gt; "&amp;SG_Criteria!$B$18&amp;" mm). ","")&amp;IF(AND(E119="Entrance culvert",H119&lt;600),"NOTE: check hinged grating rule for culverts &lt; 600 deep (PUB Add. 3). ",""))=0,"OK",IF(AND(OR(E119="Roadside drain",E119="Entrance culvert"),OR(G119&lt;SG_Criteria!$B$15,H119&lt;SG_Criteria!$B$16)),"FAIL: below PUB min "&amp;SG_Criteria!$B$15&amp;"x"&amp;SG_Criteria!$B$16&amp;" for roadside drain. ","")&amp;IF(AND(E119="Common drain",G119&lt;SG_Criteria!$B$17),"FAIL: common drain W &lt; "&amp;SG_Criteria!$B$17&amp;" mm. ","")&amp;IF(AND(O119&lt;&gt;"",IFERROR(VALUE(MID(O119,2,2)),0)&lt;SG_Criteria!$B$19),"FAIL: grade below C"&amp;SG_Criteria!$B$19&amp;". ","")&amp;IF(AND(P119&lt;&gt;"",P119&lt;SG_Criteria!$B$20),"FAIL: cover &lt; "&amp;SG_Criteria!$B$20&amp;" mm. ","")&amp;IF(AND(F119="Open",H119&gt;SG_Criteria!$B$18),"NOTE: safety railing required (D &gt; "&amp;SG_Criteria!$B$18&amp;" mm). ","")&amp;IF(AND(E119="Entrance culvert",H119&lt;600),"NOTE: check hinged grating rule for culverts &lt; 600 deep (PUB Add. 3). ","")))</f>
        <v/>
      </c>
      <c r="BF119" s="9"/>
      <c r="BG119" s="9"/>
      <c r="BH119" s="9"/>
      <c r="BI119" s="10" t="str">
        <f aca="false">IF(BH119="","",IFERROR(VLOOKUP(BH119,Projects!$A$5:$D$504,2,0),"Ref not in Projects"))</f>
        <v/>
      </c>
      <c r="BJ119" s="10" t="str">
        <f aca="false">IF(BH119="","",IFERROR(VLOOKUP(BH119,Projects!$A$5:$D$504,4,0),"Ref not in Projects"))</f>
        <v/>
      </c>
      <c r="BK119" s="9"/>
      <c r="BL119" s="9"/>
      <c r="BM119" s="9"/>
      <c r="BN119" s="40"/>
      <c r="BO119" s="9"/>
      <c r="BP119" s="40"/>
      <c r="BQ119" s="9"/>
      <c r="BR119" s="40"/>
      <c r="BS119" s="9"/>
      <c r="BT119" s="9"/>
      <c r="BU119" s="9"/>
      <c r="BV119" s="40"/>
      <c r="BW119" s="40"/>
      <c r="BX119" s="36" t="str">
        <f aca="false">IF(BW119="","",EDATE(BW119,SG_Criteria!$B$54*12))</f>
        <v/>
      </c>
      <c r="BY119" s="33" t="str">
        <f aca="true">IF(A119="","",IF(BW119="","NOTE: not reviewed yet",IF(TODAY()&gt;BX119,"NOTE: review overdue","OK")))</f>
        <v/>
      </c>
      <c r="BZ119" s="37" t="str">
        <f aca="false">IF(A119="","",ROUND((IF(LEN(D119)&gt;0,1,0)+IF(LEN(E119)&gt;0,1,0)+IF(LEN(F119)&gt;0,1,0)+IF(LEN(G119)&gt;0,1,0)+IF(LEN(H119)&gt;0,1,0)+IF(LEN(J119)&gt;0,1,0)+IF(LEN(K119)&gt;0,1,0)+IF(LEN(M119)&gt;0,1,0)+IF(LEN(O119)&gt;0,1,0)+IF(LEN(P119)&gt;0,1,0)+IF(LEN(Q119)&gt;0,1,0)+IF(LEN(S119)&gt;0,1,0)+IF(LEN(AC119)&gt;0,1,0)+IF(LEN(AV119)&gt;0,1,0)+IF(LEN(AW119)&gt;0,1,0)+IF(LEN(AG119)&gt;0,1,0)+IF(LEN(AI119)&gt;0,1,0)+IF(LEN(AJ119)&gt;0,1,0)+IF(LEN(AK119)&gt;0,1,0)+IF(LEN(AL119)&gt;0,1,0)+IF(LEN(AU119)&gt;0,1,0)+IF(LEN(BH119)&gt;0,1,0)+IF(LEN(BU119)&gt;0,1,0))/23,2))</f>
        <v/>
      </c>
      <c r="CA119" s="10" t="str">
        <f aca="false">IF(D119="","",IF(AND(AJ119="Approved",ISERROR(SEARCH("FAIL",BE119))),"Y","N"))</f>
        <v/>
      </c>
      <c r="CB119" s="10" t="str">
        <f aca="false">IF(D119="","",D119&amp;"|"&amp;G119&amp;"|"&amp;H119&amp;"|"&amp;M119&amp;"|"&amp;CA119)</f>
        <v/>
      </c>
    </row>
    <row r="120" customFormat="false" ht="15" hidden="false" customHeight="false" outlineLevel="0" collapsed="false">
      <c r="A120" s="10" t="str">
        <f aca="false">IF(D120="","","DRN-"&amp;IFERROR(VLOOKUP(D120,Lists!$A$4:$B$27,2,0),"??")&amp;"-"&amp;TEXT(G120,"0000")&amp;"x"&amp;TEXT(H120,"0000")&amp;IF(N(I120)&gt;1,"-"&amp;I120&amp;"C","")&amp;"-"&amp;IFERROR(VLOOKUP(M120,Lists!$J$4:$K$19,2,0),"??")&amp;"-"&amp;AI120)</f>
        <v/>
      </c>
      <c r="B120" s="10" t="str">
        <f aca="false">IF(D120="","",D120&amp;" "&amp;G120&amp;"W x "&amp;H120&amp;"D"&amp;IF(N(I120)&gt;1," ("&amp;I120&amp;" cells)","")&amp;", "&amp;E120&amp;", "&amp;M120&amp;", "&amp;F120)</f>
        <v/>
      </c>
      <c r="C120" s="9"/>
      <c r="D120" s="9"/>
      <c r="E120" s="9"/>
      <c r="F120" s="9"/>
      <c r="G120" s="38"/>
      <c r="H120" s="38"/>
      <c r="I120" s="38"/>
      <c r="J120" s="38"/>
      <c r="K120" s="38"/>
      <c r="L120" s="38"/>
      <c r="M120" s="9"/>
      <c r="N120" s="9"/>
      <c r="O120" s="9"/>
      <c r="P120" s="38"/>
      <c r="Q120" s="9"/>
      <c r="R120" s="9"/>
      <c r="S120" s="9"/>
      <c r="T120" s="9"/>
      <c r="U120" s="9"/>
      <c r="V120" s="9"/>
      <c r="W120" s="9"/>
      <c r="X120" s="9"/>
      <c r="Y120" s="9"/>
      <c r="Z120" s="9"/>
      <c r="AA120" s="9"/>
      <c r="AB120" s="39"/>
      <c r="AC120" s="9"/>
      <c r="AD120" s="38"/>
      <c r="AE120" s="9"/>
      <c r="AF120" s="39"/>
      <c r="AG120" s="9"/>
      <c r="AH120" s="9"/>
      <c r="AI120" s="9"/>
      <c r="AJ120" s="9"/>
      <c r="AK120" s="9"/>
      <c r="AL120" s="9"/>
      <c r="AM120" s="9"/>
      <c r="AN120" s="10" t="str">
        <f aca="false">IF(A120="","",SG_Criteria!$B$6&amp;SG_Criteria!$B$7&amp;"\"&amp;A120&amp;"\")</f>
        <v/>
      </c>
      <c r="AO120" s="10" t="str">
        <f aca="false">IF(A120="","",A120&amp;"_CAD.dwg")</f>
        <v/>
      </c>
      <c r="AP120" s="10" t="str">
        <f aca="false">IF(A120="","",A120&amp;"_DWG.pdf")</f>
        <v/>
      </c>
      <c r="AQ120" s="10" t="str">
        <f aca="false">IF(A120="","",IF(AM120="Y",A120&amp;"_STAAD.std","n/a"))</f>
        <v/>
      </c>
      <c r="AR120" s="10" t="str">
        <f aca="false">IF(A120="","",A120&amp;"_CALC.xlsx")</f>
        <v/>
      </c>
      <c r="AS120" s="10" t="str">
        <f aca="false">IF(A120="","",A120&amp;"_CALC.pdf")</f>
        <v/>
      </c>
      <c r="AT120" s="9"/>
      <c r="AU120" s="9"/>
      <c r="AV120" s="39"/>
      <c r="AW120" s="39"/>
      <c r="AX120" s="39"/>
      <c r="AY120" s="39"/>
      <c r="AZ120" s="39"/>
      <c r="BA120" s="12" t="str">
        <f aca="false">IF(A120="","",IF(COUNTIF(Rebar_Schedule!$A$5:$A$2004,A120)=0,"",ROUND(SUMIF(Rebar_Schedule!$A$5:$A$2004,A120,Rebar_Schedule!$K$5:$K$2004),1)))</f>
        <v/>
      </c>
      <c r="BB120" s="33" t="str">
        <f aca="false">IF(A120="","",IF(BA120="","No rebar schedule yet",IF(ABS(BA120-N(AW120))/MAX(N(AW120),1)&gt;SG_Criteria!$B$55,"NOTE: register rebar differs from schedule by "&amp;TEXT(ABS(BA120-N(AW120))/MAX(N(AW120),1),"0%"),"OK")))</f>
        <v/>
      </c>
      <c r="BC120" s="34" t="str">
        <f aca="false">IF(OR(D120="",G120="",H120="",D120="Sump",D120="Drop Inlet Chamber",D120="Silt Trap",D120="Pipe Culvert",D120="Subsoil Drain"),"",ROUND(MAX(1,N(I120))*(1/SG_Criteria!$B$26)*((G120/1000)*(H120/1000*(1-SG_Criteria!$B$25)))*(((G120/1000)*(H120/1000*(1-SG_Criteria!$B$25)))/((G120/1000)+2*(H120/1000*(1-SG_Criteria!$B$25))))^(2/3)*(1/Design_Selector!$B$11)^0.5,3))</f>
        <v/>
      </c>
      <c r="BD120" s="11" t="str">
        <f aca="false">IF(BC120="","",ROUND(BC120/(MAX(1,N(I120))*G120/1000*(H120/1000*(1-SG_Criteria!$B$25))),2))</f>
        <v/>
      </c>
      <c r="BE120" s="33" t="str">
        <f aca="false">IF(D120="","",IF(LEN(IF(AND(OR(E120="Roadside drain",E120="Entrance culvert"),OR(G120&lt;SG_Criteria!$B$15,H120&lt;SG_Criteria!$B$16)),"FAIL: below PUB min "&amp;SG_Criteria!$B$15&amp;"x"&amp;SG_Criteria!$B$16&amp;" for roadside drain. ","")&amp;IF(AND(E120="Common drain",G120&lt;SG_Criteria!$B$17),"FAIL: common drain W &lt; "&amp;SG_Criteria!$B$17&amp;" mm. ","")&amp;IF(AND(O120&lt;&gt;"",IFERROR(VALUE(MID(O120,2,2)),0)&lt;SG_Criteria!$B$19),"FAIL: grade below C"&amp;SG_Criteria!$B$19&amp;". ","")&amp;IF(AND(P120&lt;&gt;"",P120&lt;SG_Criteria!$B$20),"FAIL: cover &lt; "&amp;SG_Criteria!$B$20&amp;" mm. ","")&amp;IF(AND(F120="Open",H120&gt;SG_Criteria!$B$18),"NOTE: safety railing required (D &gt; "&amp;SG_Criteria!$B$18&amp;" mm). ","")&amp;IF(AND(E120="Entrance culvert",H120&lt;600),"NOTE: check hinged grating rule for culverts &lt; 600 deep (PUB Add. 3). ",""))=0,"OK",IF(AND(OR(E120="Roadside drain",E120="Entrance culvert"),OR(G120&lt;SG_Criteria!$B$15,H120&lt;SG_Criteria!$B$16)),"FAIL: below PUB min "&amp;SG_Criteria!$B$15&amp;"x"&amp;SG_Criteria!$B$16&amp;" for roadside drain. ","")&amp;IF(AND(E120="Common drain",G120&lt;SG_Criteria!$B$17),"FAIL: common drain W &lt; "&amp;SG_Criteria!$B$17&amp;" mm. ","")&amp;IF(AND(O120&lt;&gt;"",IFERROR(VALUE(MID(O120,2,2)),0)&lt;SG_Criteria!$B$19),"FAIL: grade below C"&amp;SG_Criteria!$B$19&amp;". ","")&amp;IF(AND(P120&lt;&gt;"",P120&lt;SG_Criteria!$B$20),"FAIL: cover &lt; "&amp;SG_Criteria!$B$20&amp;" mm. ","")&amp;IF(AND(F120="Open",H120&gt;SG_Criteria!$B$18),"NOTE: safety railing required (D &gt; "&amp;SG_Criteria!$B$18&amp;" mm). ","")&amp;IF(AND(E120="Entrance culvert",H120&lt;600),"NOTE: check hinged grating rule for culverts &lt; 600 deep (PUB Add. 3). ","")))</f>
        <v/>
      </c>
      <c r="BF120" s="9"/>
      <c r="BG120" s="9"/>
      <c r="BH120" s="9"/>
      <c r="BI120" s="10" t="str">
        <f aca="false">IF(BH120="","",IFERROR(VLOOKUP(BH120,Projects!$A$5:$D$504,2,0),"Ref not in Projects"))</f>
        <v/>
      </c>
      <c r="BJ120" s="10" t="str">
        <f aca="false">IF(BH120="","",IFERROR(VLOOKUP(BH120,Projects!$A$5:$D$504,4,0),"Ref not in Projects"))</f>
        <v/>
      </c>
      <c r="BK120" s="9"/>
      <c r="BL120" s="9"/>
      <c r="BM120" s="9"/>
      <c r="BN120" s="40"/>
      <c r="BO120" s="9"/>
      <c r="BP120" s="40"/>
      <c r="BQ120" s="9"/>
      <c r="BR120" s="40"/>
      <c r="BS120" s="9"/>
      <c r="BT120" s="9"/>
      <c r="BU120" s="9"/>
      <c r="BV120" s="40"/>
      <c r="BW120" s="40"/>
      <c r="BX120" s="36" t="str">
        <f aca="false">IF(BW120="","",EDATE(BW120,SG_Criteria!$B$54*12))</f>
        <v/>
      </c>
      <c r="BY120" s="33" t="str">
        <f aca="true">IF(A120="","",IF(BW120="","NOTE: not reviewed yet",IF(TODAY()&gt;BX120,"NOTE: review overdue","OK")))</f>
        <v/>
      </c>
      <c r="BZ120" s="37" t="str">
        <f aca="false">IF(A120="","",ROUND((IF(LEN(D120)&gt;0,1,0)+IF(LEN(E120)&gt;0,1,0)+IF(LEN(F120)&gt;0,1,0)+IF(LEN(G120)&gt;0,1,0)+IF(LEN(H120)&gt;0,1,0)+IF(LEN(J120)&gt;0,1,0)+IF(LEN(K120)&gt;0,1,0)+IF(LEN(M120)&gt;0,1,0)+IF(LEN(O120)&gt;0,1,0)+IF(LEN(P120)&gt;0,1,0)+IF(LEN(Q120)&gt;0,1,0)+IF(LEN(S120)&gt;0,1,0)+IF(LEN(AC120)&gt;0,1,0)+IF(LEN(AV120)&gt;0,1,0)+IF(LEN(AW120)&gt;0,1,0)+IF(LEN(AG120)&gt;0,1,0)+IF(LEN(AI120)&gt;0,1,0)+IF(LEN(AJ120)&gt;0,1,0)+IF(LEN(AK120)&gt;0,1,0)+IF(LEN(AL120)&gt;0,1,0)+IF(LEN(AU120)&gt;0,1,0)+IF(LEN(BH120)&gt;0,1,0)+IF(LEN(BU120)&gt;0,1,0))/23,2))</f>
        <v/>
      </c>
      <c r="CA120" s="10" t="str">
        <f aca="false">IF(D120="","",IF(AND(AJ120="Approved",ISERROR(SEARCH("FAIL",BE120))),"Y","N"))</f>
        <v/>
      </c>
      <c r="CB120" s="10" t="str">
        <f aca="false">IF(D120="","",D120&amp;"|"&amp;G120&amp;"|"&amp;H120&amp;"|"&amp;M120&amp;"|"&amp;CA120)</f>
        <v/>
      </c>
    </row>
    <row r="121" customFormat="false" ht="15" hidden="false" customHeight="false" outlineLevel="0" collapsed="false">
      <c r="A121" s="10" t="str">
        <f aca="false">IF(D121="","","DRN-"&amp;IFERROR(VLOOKUP(D121,Lists!$A$4:$B$27,2,0),"??")&amp;"-"&amp;TEXT(G121,"0000")&amp;"x"&amp;TEXT(H121,"0000")&amp;IF(N(I121)&gt;1,"-"&amp;I121&amp;"C","")&amp;"-"&amp;IFERROR(VLOOKUP(M121,Lists!$J$4:$K$19,2,0),"??")&amp;"-"&amp;AI121)</f>
        <v/>
      </c>
      <c r="B121" s="10" t="str">
        <f aca="false">IF(D121="","",D121&amp;" "&amp;G121&amp;"W x "&amp;H121&amp;"D"&amp;IF(N(I121)&gt;1," ("&amp;I121&amp;" cells)","")&amp;", "&amp;E121&amp;", "&amp;M121&amp;", "&amp;F121)</f>
        <v/>
      </c>
      <c r="C121" s="9"/>
      <c r="D121" s="9"/>
      <c r="E121" s="9"/>
      <c r="F121" s="9"/>
      <c r="G121" s="38"/>
      <c r="H121" s="38"/>
      <c r="I121" s="38"/>
      <c r="J121" s="38"/>
      <c r="K121" s="38"/>
      <c r="L121" s="38"/>
      <c r="M121" s="9"/>
      <c r="N121" s="9"/>
      <c r="O121" s="9"/>
      <c r="P121" s="38"/>
      <c r="Q121" s="9"/>
      <c r="R121" s="9"/>
      <c r="S121" s="9"/>
      <c r="T121" s="9"/>
      <c r="U121" s="9"/>
      <c r="V121" s="9"/>
      <c r="W121" s="9"/>
      <c r="X121" s="9"/>
      <c r="Y121" s="9"/>
      <c r="Z121" s="9"/>
      <c r="AA121" s="9"/>
      <c r="AB121" s="39"/>
      <c r="AC121" s="9"/>
      <c r="AD121" s="38"/>
      <c r="AE121" s="9"/>
      <c r="AF121" s="39"/>
      <c r="AG121" s="9"/>
      <c r="AH121" s="9"/>
      <c r="AI121" s="9"/>
      <c r="AJ121" s="9"/>
      <c r="AK121" s="9"/>
      <c r="AL121" s="9"/>
      <c r="AM121" s="9"/>
      <c r="AN121" s="10" t="str">
        <f aca="false">IF(A121="","",SG_Criteria!$B$6&amp;SG_Criteria!$B$7&amp;"\"&amp;A121&amp;"\")</f>
        <v/>
      </c>
      <c r="AO121" s="10" t="str">
        <f aca="false">IF(A121="","",A121&amp;"_CAD.dwg")</f>
        <v/>
      </c>
      <c r="AP121" s="10" t="str">
        <f aca="false">IF(A121="","",A121&amp;"_DWG.pdf")</f>
        <v/>
      </c>
      <c r="AQ121" s="10" t="str">
        <f aca="false">IF(A121="","",IF(AM121="Y",A121&amp;"_STAAD.std","n/a"))</f>
        <v/>
      </c>
      <c r="AR121" s="10" t="str">
        <f aca="false">IF(A121="","",A121&amp;"_CALC.xlsx")</f>
        <v/>
      </c>
      <c r="AS121" s="10" t="str">
        <f aca="false">IF(A121="","",A121&amp;"_CALC.pdf")</f>
        <v/>
      </c>
      <c r="AT121" s="9"/>
      <c r="AU121" s="9"/>
      <c r="AV121" s="39"/>
      <c r="AW121" s="39"/>
      <c r="AX121" s="39"/>
      <c r="AY121" s="39"/>
      <c r="AZ121" s="39"/>
      <c r="BA121" s="12" t="str">
        <f aca="false">IF(A121="","",IF(COUNTIF(Rebar_Schedule!$A$5:$A$2004,A121)=0,"",ROUND(SUMIF(Rebar_Schedule!$A$5:$A$2004,A121,Rebar_Schedule!$K$5:$K$2004),1)))</f>
        <v/>
      </c>
      <c r="BB121" s="33" t="str">
        <f aca="false">IF(A121="","",IF(BA121="","No rebar schedule yet",IF(ABS(BA121-N(AW121))/MAX(N(AW121),1)&gt;SG_Criteria!$B$55,"NOTE: register rebar differs from schedule by "&amp;TEXT(ABS(BA121-N(AW121))/MAX(N(AW121),1),"0%"),"OK")))</f>
        <v/>
      </c>
      <c r="BC121" s="34" t="str">
        <f aca="false">IF(OR(D121="",G121="",H121="",D121="Sump",D121="Drop Inlet Chamber",D121="Silt Trap",D121="Pipe Culvert",D121="Subsoil Drain"),"",ROUND(MAX(1,N(I121))*(1/SG_Criteria!$B$26)*((G121/1000)*(H121/1000*(1-SG_Criteria!$B$25)))*(((G121/1000)*(H121/1000*(1-SG_Criteria!$B$25)))/((G121/1000)+2*(H121/1000*(1-SG_Criteria!$B$25))))^(2/3)*(1/Design_Selector!$B$11)^0.5,3))</f>
        <v/>
      </c>
      <c r="BD121" s="11" t="str">
        <f aca="false">IF(BC121="","",ROUND(BC121/(MAX(1,N(I121))*G121/1000*(H121/1000*(1-SG_Criteria!$B$25))),2))</f>
        <v/>
      </c>
      <c r="BE121" s="33" t="str">
        <f aca="false">IF(D121="","",IF(LEN(IF(AND(OR(E121="Roadside drain",E121="Entrance culvert"),OR(G121&lt;SG_Criteria!$B$15,H121&lt;SG_Criteria!$B$16)),"FAIL: below PUB min "&amp;SG_Criteria!$B$15&amp;"x"&amp;SG_Criteria!$B$16&amp;" for roadside drain. ","")&amp;IF(AND(E121="Common drain",G121&lt;SG_Criteria!$B$17),"FAIL: common drain W &lt; "&amp;SG_Criteria!$B$17&amp;" mm. ","")&amp;IF(AND(O121&lt;&gt;"",IFERROR(VALUE(MID(O121,2,2)),0)&lt;SG_Criteria!$B$19),"FAIL: grade below C"&amp;SG_Criteria!$B$19&amp;". ","")&amp;IF(AND(P121&lt;&gt;"",P121&lt;SG_Criteria!$B$20),"FAIL: cover &lt; "&amp;SG_Criteria!$B$20&amp;" mm. ","")&amp;IF(AND(F121="Open",H121&gt;SG_Criteria!$B$18),"NOTE: safety railing required (D &gt; "&amp;SG_Criteria!$B$18&amp;" mm). ","")&amp;IF(AND(E121="Entrance culvert",H121&lt;600),"NOTE: check hinged grating rule for culverts &lt; 600 deep (PUB Add. 3). ",""))=0,"OK",IF(AND(OR(E121="Roadside drain",E121="Entrance culvert"),OR(G121&lt;SG_Criteria!$B$15,H121&lt;SG_Criteria!$B$16)),"FAIL: below PUB min "&amp;SG_Criteria!$B$15&amp;"x"&amp;SG_Criteria!$B$16&amp;" for roadside drain. ","")&amp;IF(AND(E121="Common drain",G121&lt;SG_Criteria!$B$17),"FAIL: common drain W &lt; "&amp;SG_Criteria!$B$17&amp;" mm. ","")&amp;IF(AND(O121&lt;&gt;"",IFERROR(VALUE(MID(O121,2,2)),0)&lt;SG_Criteria!$B$19),"FAIL: grade below C"&amp;SG_Criteria!$B$19&amp;". ","")&amp;IF(AND(P121&lt;&gt;"",P121&lt;SG_Criteria!$B$20),"FAIL: cover &lt; "&amp;SG_Criteria!$B$20&amp;" mm. ","")&amp;IF(AND(F121="Open",H121&gt;SG_Criteria!$B$18),"NOTE: safety railing required (D &gt; "&amp;SG_Criteria!$B$18&amp;" mm). ","")&amp;IF(AND(E121="Entrance culvert",H121&lt;600),"NOTE: check hinged grating rule for culverts &lt; 600 deep (PUB Add. 3). ","")))</f>
        <v/>
      </c>
      <c r="BF121" s="9"/>
      <c r="BG121" s="9"/>
      <c r="BH121" s="9"/>
      <c r="BI121" s="10" t="str">
        <f aca="false">IF(BH121="","",IFERROR(VLOOKUP(BH121,Projects!$A$5:$D$504,2,0),"Ref not in Projects"))</f>
        <v/>
      </c>
      <c r="BJ121" s="10" t="str">
        <f aca="false">IF(BH121="","",IFERROR(VLOOKUP(BH121,Projects!$A$5:$D$504,4,0),"Ref not in Projects"))</f>
        <v/>
      </c>
      <c r="BK121" s="9"/>
      <c r="BL121" s="9"/>
      <c r="BM121" s="9"/>
      <c r="BN121" s="40"/>
      <c r="BO121" s="9"/>
      <c r="BP121" s="40"/>
      <c r="BQ121" s="9"/>
      <c r="BR121" s="40"/>
      <c r="BS121" s="9"/>
      <c r="BT121" s="9"/>
      <c r="BU121" s="9"/>
      <c r="BV121" s="40"/>
      <c r="BW121" s="40"/>
      <c r="BX121" s="36" t="str">
        <f aca="false">IF(BW121="","",EDATE(BW121,SG_Criteria!$B$54*12))</f>
        <v/>
      </c>
      <c r="BY121" s="33" t="str">
        <f aca="true">IF(A121="","",IF(BW121="","NOTE: not reviewed yet",IF(TODAY()&gt;BX121,"NOTE: review overdue","OK")))</f>
        <v/>
      </c>
      <c r="BZ121" s="37" t="str">
        <f aca="false">IF(A121="","",ROUND((IF(LEN(D121)&gt;0,1,0)+IF(LEN(E121)&gt;0,1,0)+IF(LEN(F121)&gt;0,1,0)+IF(LEN(G121)&gt;0,1,0)+IF(LEN(H121)&gt;0,1,0)+IF(LEN(J121)&gt;0,1,0)+IF(LEN(K121)&gt;0,1,0)+IF(LEN(M121)&gt;0,1,0)+IF(LEN(O121)&gt;0,1,0)+IF(LEN(P121)&gt;0,1,0)+IF(LEN(Q121)&gt;0,1,0)+IF(LEN(S121)&gt;0,1,0)+IF(LEN(AC121)&gt;0,1,0)+IF(LEN(AV121)&gt;0,1,0)+IF(LEN(AW121)&gt;0,1,0)+IF(LEN(AG121)&gt;0,1,0)+IF(LEN(AI121)&gt;0,1,0)+IF(LEN(AJ121)&gt;0,1,0)+IF(LEN(AK121)&gt;0,1,0)+IF(LEN(AL121)&gt;0,1,0)+IF(LEN(AU121)&gt;0,1,0)+IF(LEN(BH121)&gt;0,1,0)+IF(LEN(BU121)&gt;0,1,0))/23,2))</f>
        <v/>
      </c>
      <c r="CA121" s="10" t="str">
        <f aca="false">IF(D121="","",IF(AND(AJ121="Approved",ISERROR(SEARCH("FAIL",BE121))),"Y","N"))</f>
        <v/>
      </c>
      <c r="CB121" s="10" t="str">
        <f aca="false">IF(D121="","",D121&amp;"|"&amp;G121&amp;"|"&amp;H121&amp;"|"&amp;M121&amp;"|"&amp;CA121)</f>
        <v/>
      </c>
    </row>
    <row r="122" customFormat="false" ht="15" hidden="false" customHeight="false" outlineLevel="0" collapsed="false">
      <c r="A122" s="10" t="str">
        <f aca="false">IF(D122="","","DRN-"&amp;IFERROR(VLOOKUP(D122,Lists!$A$4:$B$27,2,0),"??")&amp;"-"&amp;TEXT(G122,"0000")&amp;"x"&amp;TEXT(H122,"0000")&amp;IF(N(I122)&gt;1,"-"&amp;I122&amp;"C","")&amp;"-"&amp;IFERROR(VLOOKUP(M122,Lists!$J$4:$K$19,2,0),"??")&amp;"-"&amp;AI122)</f>
        <v/>
      </c>
      <c r="B122" s="10" t="str">
        <f aca="false">IF(D122="","",D122&amp;" "&amp;G122&amp;"W x "&amp;H122&amp;"D"&amp;IF(N(I122)&gt;1," ("&amp;I122&amp;" cells)","")&amp;", "&amp;E122&amp;", "&amp;M122&amp;", "&amp;F122)</f>
        <v/>
      </c>
      <c r="C122" s="9"/>
      <c r="D122" s="9"/>
      <c r="E122" s="9"/>
      <c r="F122" s="9"/>
      <c r="G122" s="38"/>
      <c r="H122" s="38"/>
      <c r="I122" s="38"/>
      <c r="J122" s="38"/>
      <c r="K122" s="38"/>
      <c r="L122" s="38"/>
      <c r="M122" s="9"/>
      <c r="N122" s="9"/>
      <c r="O122" s="9"/>
      <c r="P122" s="38"/>
      <c r="Q122" s="9"/>
      <c r="R122" s="9"/>
      <c r="S122" s="9"/>
      <c r="T122" s="9"/>
      <c r="U122" s="9"/>
      <c r="V122" s="9"/>
      <c r="W122" s="9"/>
      <c r="X122" s="9"/>
      <c r="Y122" s="9"/>
      <c r="Z122" s="9"/>
      <c r="AA122" s="9"/>
      <c r="AB122" s="39"/>
      <c r="AC122" s="9"/>
      <c r="AD122" s="38"/>
      <c r="AE122" s="9"/>
      <c r="AF122" s="39"/>
      <c r="AG122" s="9"/>
      <c r="AH122" s="9"/>
      <c r="AI122" s="9"/>
      <c r="AJ122" s="9"/>
      <c r="AK122" s="9"/>
      <c r="AL122" s="9"/>
      <c r="AM122" s="9"/>
      <c r="AN122" s="10" t="str">
        <f aca="false">IF(A122="","",SG_Criteria!$B$6&amp;SG_Criteria!$B$7&amp;"\"&amp;A122&amp;"\")</f>
        <v/>
      </c>
      <c r="AO122" s="10" t="str">
        <f aca="false">IF(A122="","",A122&amp;"_CAD.dwg")</f>
        <v/>
      </c>
      <c r="AP122" s="10" t="str">
        <f aca="false">IF(A122="","",A122&amp;"_DWG.pdf")</f>
        <v/>
      </c>
      <c r="AQ122" s="10" t="str">
        <f aca="false">IF(A122="","",IF(AM122="Y",A122&amp;"_STAAD.std","n/a"))</f>
        <v/>
      </c>
      <c r="AR122" s="10" t="str">
        <f aca="false">IF(A122="","",A122&amp;"_CALC.xlsx")</f>
        <v/>
      </c>
      <c r="AS122" s="10" t="str">
        <f aca="false">IF(A122="","",A122&amp;"_CALC.pdf")</f>
        <v/>
      </c>
      <c r="AT122" s="9"/>
      <c r="AU122" s="9"/>
      <c r="AV122" s="39"/>
      <c r="AW122" s="39"/>
      <c r="AX122" s="39"/>
      <c r="AY122" s="39"/>
      <c r="AZ122" s="39"/>
      <c r="BA122" s="12" t="str">
        <f aca="false">IF(A122="","",IF(COUNTIF(Rebar_Schedule!$A$5:$A$2004,A122)=0,"",ROUND(SUMIF(Rebar_Schedule!$A$5:$A$2004,A122,Rebar_Schedule!$K$5:$K$2004),1)))</f>
        <v/>
      </c>
      <c r="BB122" s="33" t="str">
        <f aca="false">IF(A122="","",IF(BA122="","No rebar schedule yet",IF(ABS(BA122-N(AW122))/MAX(N(AW122),1)&gt;SG_Criteria!$B$55,"NOTE: register rebar differs from schedule by "&amp;TEXT(ABS(BA122-N(AW122))/MAX(N(AW122),1),"0%"),"OK")))</f>
        <v/>
      </c>
      <c r="BC122" s="34" t="str">
        <f aca="false">IF(OR(D122="",G122="",H122="",D122="Sump",D122="Drop Inlet Chamber",D122="Silt Trap",D122="Pipe Culvert",D122="Subsoil Drain"),"",ROUND(MAX(1,N(I122))*(1/SG_Criteria!$B$26)*((G122/1000)*(H122/1000*(1-SG_Criteria!$B$25)))*(((G122/1000)*(H122/1000*(1-SG_Criteria!$B$25)))/((G122/1000)+2*(H122/1000*(1-SG_Criteria!$B$25))))^(2/3)*(1/Design_Selector!$B$11)^0.5,3))</f>
        <v/>
      </c>
      <c r="BD122" s="11" t="str">
        <f aca="false">IF(BC122="","",ROUND(BC122/(MAX(1,N(I122))*G122/1000*(H122/1000*(1-SG_Criteria!$B$25))),2))</f>
        <v/>
      </c>
      <c r="BE122" s="33" t="str">
        <f aca="false">IF(D122="","",IF(LEN(IF(AND(OR(E122="Roadside drain",E122="Entrance culvert"),OR(G122&lt;SG_Criteria!$B$15,H122&lt;SG_Criteria!$B$16)),"FAIL: below PUB min "&amp;SG_Criteria!$B$15&amp;"x"&amp;SG_Criteria!$B$16&amp;" for roadside drain. ","")&amp;IF(AND(E122="Common drain",G122&lt;SG_Criteria!$B$17),"FAIL: common drain W &lt; "&amp;SG_Criteria!$B$17&amp;" mm. ","")&amp;IF(AND(O122&lt;&gt;"",IFERROR(VALUE(MID(O122,2,2)),0)&lt;SG_Criteria!$B$19),"FAIL: grade below C"&amp;SG_Criteria!$B$19&amp;". ","")&amp;IF(AND(P122&lt;&gt;"",P122&lt;SG_Criteria!$B$20),"FAIL: cover &lt; "&amp;SG_Criteria!$B$20&amp;" mm. ","")&amp;IF(AND(F122="Open",H122&gt;SG_Criteria!$B$18),"NOTE: safety railing required (D &gt; "&amp;SG_Criteria!$B$18&amp;" mm). ","")&amp;IF(AND(E122="Entrance culvert",H122&lt;600),"NOTE: check hinged grating rule for culverts &lt; 600 deep (PUB Add. 3). ",""))=0,"OK",IF(AND(OR(E122="Roadside drain",E122="Entrance culvert"),OR(G122&lt;SG_Criteria!$B$15,H122&lt;SG_Criteria!$B$16)),"FAIL: below PUB min "&amp;SG_Criteria!$B$15&amp;"x"&amp;SG_Criteria!$B$16&amp;" for roadside drain. ","")&amp;IF(AND(E122="Common drain",G122&lt;SG_Criteria!$B$17),"FAIL: common drain W &lt; "&amp;SG_Criteria!$B$17&amp;" mm. ","")&amp;IF(AND(O122&lt;&gt;"",IFERROR(VALUE(MID(O122,2,2)),0)&lt;SG_Criteria!$B$19),"FAIL: grade below C"&amp;SG_Criteria!$B$19&amp;". ","")&amp;IF(AND(P122&lt;&gt;"",P122&lt;SG_Criteria!$B$20),"FAIL: cover &lt; "&amp;SG_Criteria!$B$20&amp;" mm. ","")&amp;IF(AND(F122="Open",H122&gt;SG_Criteria!$B$18),"NOTE: safety railing required (D &gt; "&amp;SG_Criteria!$B$18&amp;" mm). ","")&amp;IF(AND(E122="Entrance culvert",H122&lt;600),"NOTE: check hinged grating rule for culverts &lt; 600 deep (PUB Add. 3). ","")))</f>
        <v/>
      </c>
      <c r="BF122" s="9"/>
      <c r="BG122" s="9"/>
      <c r="BH122" s="9"/>
      <c r="BI122" s="10" t="str">
        <f aca="false">IF(BH122="","",IFERROR(VLOOKUP(BH122,Projects!$A$5:$D$504,2,0),"Ref not in Projects"))</f>
        <v/>
      </c>
      <c r="BJ122" s="10" t="str">
        <f aca="false">IF(BH122="","",IFERROR(VLOOKUP(BH122,Projects!$A$5:$D$504,4,0),"Ref not in Projects"))</f>
        <v/>
      </c>
      <c r="BK122" s="9"/>
      <c r="BL122" s="9"/>
      <c r="BM122" s="9"/>
      <c r="BN122" s="40"/>
      <c r="BO122" s="9"/>
      <c r="BP122" s="40"/>
      <c r="BQ122" s="9"/>
      <c r="BR122" s="40"/>
      <c r="BS122" s="9"/>
      <c r="BT122" s="9"/>
      <c r="BU122" s="9"/>
      <c r="BV122" s="40"/>
      <c r="BW122" s="40"/>
      <c r="BX122" s="36" t="str">
        <f aca="false">IF(BW122="","",EDATE(BW122,SG_Criteria!$B$54*12))</f>
        <v/>
      </c>
      <c r="BY122" s="33" t="str">
        <f aca="true">IF(A122="","",IF(BW122="","NOTE: not reviewed yet",IF(TODAY()&gt;BX122,"NOTE: review overdue","OK")))</f>
        <v/>
      </c>
      <c r="BZ122" s="37" t="str">
        <f aca="false">IF(A122="","",ROUND((IF(LEN(D122)&gt;0,1,0)+IF(LEN(E122)&gt;0,1,0)+IF(LEN(F122)&gt;0,1,0)+IF(LEN(G122)&gt;0,1,0)+IF(LEN(H122)&gt;0,1,0)+IF(LEN(J122)&gt;0,1,0)+IF(LEN(K122)&gt;0,1,0)+IF(LEN(M122)&gt;0,1,0)+IF(LEN(O122)&gt;0,1,0)+IF(LEN(P122)&gt;0,1,0)+IF(LEN(Q122)&gt;0,1,0)+IF(LEN(S122)&gt;0,1,0)+IF(LEN(AC122)&gt;0,1,0)+IF(LEN(AV122)&gt;0,1,0)+IF(LEN(AW122)&gt;0,1,0)+IF(LEN(AG122)&gt;0,1,0)+IF(LEN(AI122)&gt;0,1,0)+IF(LEN(AJ122)&gt;0,1,0)+IF(LEN(AK122)&gt;0,1,0)+IF(LEN(AL122)&gt;0,1,0)+IF(LEN(AU122)&gt;0,1,0)+IF(LEN(BH122)&gt;0,1,0)+IF(LEN(BU122)&gt;0,1,0))/23,2))</f>
        <v/>
      </c>
      <c r="CA122" s="10" t="str">
        <f aca="false">IF(D122="","",IF(AND(AJ122="Approved",ISERROR(SEARCH("FAIL",BE122))),"Y","N"))</f>
        <v/>
      </c>
      <c r="CB122" s="10" t="str">
        <f aca="false">IF(D122="","",D122&amp;"|"&amp;G122&amp;"|"&amp;H122&amp;"|"&amp;M122&amp;"|"&amp;CA122)</f>
        <v/>
      </c>
    </row>
    <row r="123" customFormat="false" ht="15" hidden="false" customHeight="false" outlineLevel="0" collapsed="false">
      <c r="A123" s="10" t="str">
        <f aca="false">IF(D123="","","DRN-"&amp;IFERROR(VLOOKUP(D123,Lists!$A$4:$B$27,2,0),"??")&amp;"-"&amp;TEXT(G123,"0000")&amp;"x"&amp;TEXT(H123,"0000")&amp;IF(N(I123)&gt;1,"-"&amp;I123&amp;"C","")&amp;"-"&amp;IFERROR(VLOOKUP(M123,Lists!$J$4:$K$19,2,0),"??")&amp;"-"&amp;AI123)</f>
        <v/>
      </c>
      <c r="B123" s="10" t="str">
        <f aca="false">IF(D123="","",D123&amp;" "&amp;G123&amp;"W x "&amp;H123&amp;"D"&amp;IF(N(I123)&gt;1," ("&amp;I123&amp;" cells)","")&amp;", "&amp;E123&amp;", "&amp;M123&amp;", "&amp;F123)</f>
        <v/>
      </c>
      <c r="C123" s="9"/>
      <c r="D123" s="9"/>
      <c r="E123" s="9"/>
      <c r="F123" s="9"/>
      <c r="G123" s="38"/>
      <c r="H123" s="38"/>
      <c r="I123" s="38"/>
      <c r="J123" s="38"/>
      <c r="K123" s="38"/>
      <c r="L123" s="38"/>
      <c r="M123" s="9"/>
      <c r="N123" s="9"/>
      <c r="O123" s="9"/>
      <c r="P123" s="38"/>
      <c r="Q123" s="9"/>
      <c r="R123" s="9"/>
      <c r="S123" s="9"/>
      <c r="T123" s="9"/>
      <c r="U123" s="9"/>
      <c r="V123" s="9"/>
      <c r="W123" s="9"/>
      <c r="X123" s="9"/>
      <c r="Y123" s="9"/>
      <c r="Z123" s="9"/>
      <c r="AA123" s="9"/>
      <c r="AB123" s="39"/>
      <c r="AC123" s="9"/>
      <c r="AD123" s="38"/>
      <c r="AE123" s="9"/>
      <c r="AF123" s="39"/>
      <c r="AG123" s="9"/>
      <c r="AH123" s="9"/>
      <c r="AI123" s="9"/>
      <c r="AJ123" s="9"/>
      <c r="AK123" s="9"/>
      <c r="AL123" s="9"/>
      <c r="AM123" s="9"/>
      <c r="AN123" s="10" t="str">
        <f aca="false">IF(A123="","",SG_Criteria!$B$6&amp;SG_Criteria!$B$7&amp;"\"&amp;A123&amp;"\")</f>
        <v/>
      </c>
      <c r="AO123" s="10" t="str">
        <f aca="false">IF(A123="","",A123&amp;"_CAD.dwg")</f>
        <v/>
      </c>
      <c r="AP123" s="10" t="str">
        <f aca="false">IF(A123="","",A123&amp;"_DWG.pdf")</f>
        <v/>
      </c>
      <c r="AQ123" s="10" t="str">
        <f aca="false">IF(A123="","",IF(AM123="Y",A123&amp;"_STAAD.std","n/a"))</f>
        <v/>
      </c>
      <c r="AR123" s="10" t="str">
        <f aca="false">IF(A123="","",A123&amp;"_CALC.xlsx")</f>
        <v/>
      </c>
      <c r="AS123" s="10" t="str">
        <f aca="false">IF(A123="","",A123&amp;"_CALC.pdf")</f>
        <v/>
      </c>
      <c r="AT123" s="9"/>
      <c r="AU123" s="9"/>
      <c r="AV123" s="39"/>
      <c r="AW123" s="39"/>
      <c r="AX123" s="39"/>
      <c r="AY123" s="39"/>
      <c r="AZ123" s="39"/>
      <c r="BA123" s="12" t="str">
        <f aca="false">IF(A123="","",IF(COUNTIF(Rebar_Schedule!$A$5:$A$2004,A123)=0,"",ROUND(SUMIF(Rebar_Schedule!$A$5:$A$2004,A123,Rebar_Schedule!$K$5:$K$2004),1)))</f>
        <v/>
      </c>
      <c r="BB123" s="33" t="str">
        <f aca="false">IF(A123="","",IF(BA123="","No rebar schedule yet",IF(ABS(BA123-N(AW123))/MAX(N(AW123),1)&gt;SG_Criteria!$B$55,"NOTE: register rebar differs from schedule by "&amp;TEXT(ABS(BA123-N(AW123))/MAX(N(AW123),1),"0%"),"OK")))</f>
        <v/>
      </c>
      <c r="BC123" s="34" t="str">
        <f aca="false">IF(OR(D123="",G123="",H123="",D123="Sump",D123="Drop Inlet Chamber",D123="Silt Trap",D123="Pipe Culvert",D123="Subsoil Drain"),"",ROUND(MAX(1,N(I123))*(1/SG_Criteria!$B$26)*((G123/1000)*(H123/1000*(1-SG_Criteria!$B$25)))*(((G123/1000)*(H123/1000*(1-SG_Criteria!$B$25)))/((G123/1000)+2*(H123/1000*(1-SG_Criteria!$B$25))))^(2/3)*(1/Design_Selector!$B$11)^0.5,3))</f>
        <v/>
      </c>
      <c r="BD123" s="11" t="str">
        <f aca="false">IF(BC123="","",ROUND(BC123/(MAX(1,N(I123))*G123/1000*(H123/1000*(1-SG_Criteria!$B$25))),2))</f>
        <v/>
      </c>
      <c r="BE123" s="33" t="str">
        <f aca="false">IF(D123="","",IF(LEN(IF(AND(OR(E123="Roadside drain",E123="Entrance culvert"),OR(G123&lt;SG_Criteria!$B$15,H123&lt;SG_Criteria!$B$16)),"FAIL: below PUB min "&amp;SG_Criteria!$B$15&amp;"x"&amp;SG_Criteria!$B$16&amp;" for roadside drain. ","")&amp;IF(AND(E123="Common drain",G123&lt;SG_Criteria!$B$17),"FAIL: common drain W &lt; "&amp;SG_Criteria!$B$17&amp;" mm. ","")&amp;IF(AND(O123&lt;&gt;"",IFERROR(VALUE(MID(O123,2,2)),0)&lt;SG_Criteria!$B$19),"FAIL: grade below C"&amp;SG_Criteria!$B$19&amp;". ","")&amp;IF(AND(P123&lt;&gt;"",P123&lt;SG_Criteria!$B$20),"FAIL: cover &lt; "&amp;SG_Criteria!$B$20&amp;" mm. ","")&amp;IF(AND(F123="Open",H123&gt;SG_Criteria!$B$18),"NOTE: safety railing required (D &gt; "&amp;SG_Criteria!$B$18&amp;" mm). ","")&amp;IF(AND(E123="Entrance culvert",H123&lt;600),"NOTE: check hinged grating rule for culverts &lt; 600 deep (PUB Add. 3). ",""))=0,"OK",IF(AND(OR(E123="Roadside drain",E123="Entrance culvert"),OR(G123&lt;SG_Criteria!$B$15,H123&lt;SG_Criteria!$B$16)),"FAIL: below PUB min "&amp;SG_Criteria!$B$15&amp;"x"&amp;SG_Criteria!$B$16&amp;" for roadside drain. ","")&amp;IF(AND(E123="Common drain",G123&lt;SG_Criteria!$B$17),"FAIL: common drain W &lt; "&amp;SG_Criteria!$B$17&amp;" mm. ","")&amp;IF(AND(O123&lt;&gt;"",IFERROR(VALUE(MID(O123,2,2)),0)&lt;SG_Criteria!$B$19),"FAIL: grade below C"&amp;SG_Criteria!$B$19&amp;". ","")&amp;IF(AND(P123&lt;&gt;"",P123&lt;SG_Criteria!$B$20),"FAIL: cover &lt; "&amp;SG_Criteria!$B$20&amp;" mm. ","")&amp;IF(AND(F123="Open",H123&gt;SG_Criteria!$B$18),"NOTE: safety railing required (D &gt; "&amp;SG_Criteria!$B$18&amp;" mm). ","")&amp;IF(AND(E123="Entrance culvert",H123&lt;600),"NOTE: check hinged grating rule for culverts &lt; 600 deep (PUB Add. 3). ","")))</f>
        <v/>
      </c>
      <c r="BF123" s="9"/>
      <c r="BG123" s="9"/>
      <c r="BH123" s="9"/>
      <c r="BI123" s="10" t="str">
        <f aca="false">IF(BH123="","",IFERROR(VLOOKUP(BH123,Projects!$A$5:$D$504,2,0),"Ref not in Projects"))</f>
        <v/>
      </c>
      <c r="BJ123" s="10" t="str">
        <f aca="false">IF(BH123="","",IFERROR(VLOOKUP(BH123,Projects!$A$5:$D$504,4,0),"Ref not in Projects"))</f>
        <v/>
      </c>
      <c r="BK123" s="9"/>
      <c r="BL123" s="9"/>
      <c r="BM123" s="9"/>
      <c r="BN123" s="40"/>
      <c r="BO123" s="9"/>
      <c r="BP123" s="40"/>
      <c r="BQ123" s="9"/>
      <c r="BR123" s="40"/>
      <c r="BS123" s="9"/>
      <c r="BT123" s="9"/>
      <c r="BU123" s="9"/>
      <c r="BV123" s="40"/>
      <c r="BW123" s="40"/>
      <c r="BX123" s="36" t="str">
        <f aca="false">IF(BW123="","",EDATE(BW123,SG_Criteria!$B$54*12))</f>
        <v/>
      </c>
      <c r="BY123" s="33" t="str">
        <f aca="true">IF(A123="","",IF(BW123="","NOTE: not reviewed yet",IF(TODAY()&gt;BX123,"NOTE: review overdue","OK")))</f>
        <v/>
      </c>
      <c r="BZ123" s="37" t="str">
        <f aca="false">IF(A123="","",ROUND((IF(LEN(D123)&gt;0,1,0)+IF(LEN(E123)&gt;0,1,0)+IF(LEN(F123)&gt;0,1,0)+IF(LEN(G123)&gt;0,1,0)+IF(LEN(H123)&gt;0,1,0)+IF(LEN(J123)&gt;0,1,0)+IF(LEN(K123)&gt;0,1,0)+IF(LEN(M123)&gt;0,1,0)+IF(LEN(O123)&gt;0,1,0)+IF(LEN(P123)&gt;0,1,0)+IF(LEN(Q123)&gt;0,1,0)+IF(LEN(S123)&gt;0,1,0)+IF(LEN(AC123)&gt;0,1,0)+IF(LEN(AV123)&gt;0,1,0)+IF(LEN(AW123)&gt;0,1,0)+IF(LEN(AG123)&gt;0,1,0)+IF(LEN(AI123)&gt;0,1,0)+IF(LEN(AJ123)&gt;0,1,0)+IF(LEN(AK123)&gt;0,1,0)+IF(LEN(AL123)&gt;0,1,0)+IF(LEN(AU123)&gt;0,1,0)+IF(LEN(BH123)&gt;0,1,0)+IF(LEN(BU123)&gt;0,1,0))/23,2))</f>
        <v/>
      </c>
      <c r="CA123" s="10" t="str">
        <f aca="false">IF(D123="","",IF(AND(AJ123="Approved",ISERROR(SEARCH("FAIL",BE123))),"Y","N"))</f>
        <v/>
      </c>
      <c r="CB123" s="10" t="str">
        <f aca="false">IF(D123="","",D123&amp;"|"&amp;G123&amp;"|"&amp;H123&amp;"|"&amp;M123&amp;"|"&amp;CA123)</f>
        <v/>
      </c>
    </row>
    <row r="124" customFormat="false" ht="15" hidden="false" customHeight="false" outlineLevel="0" collapsed="false">
      <c r="A124" s="10" t="str">
        <f aca="false">IF(D124="","","DRN-"&amp;IFERROR(VLOOKUP(D124,Lists!$A$4:$B$27,2,0),"??")&amp;"-"&amp;TEXT(G124,"0000")&amp;"x"&amp;TEXT(H124,"0000")&amp;IF(N(I124)&gt;1,"-"&amp;I124&amp;"C","")&amp;"-"&amp;IFERROR(VLOOKUP(M124,Lists!$J$4:$K$19,2,0),"??")&amp;"-"&amp;AI124)</f>
        <v/>
      </c>
      <c r="B124" s="10" t="str">
        <f aca="false">IF(D124="","",D124&amp;" "&amp;G124&amp;"W x "&amp;H124&amp;"D"&amp;IF(N(I124)&gt;1," ("&amp;I124&amp;" cells)","")&amp;", "&amp;E124&amp;", "&amp;M124&amp;", "&amp;F124)</f>
        <v/>
      </c>
      <c r="C124" s="9"/>
      <c r="D124" s="9"/>
      <c r="E124" s="9"/>
      <c r="F124" s="9"/>
      <c r="G124" s="38"/>
      <c r="H124" s="38"/>
      <c r="I124" s="38"/>
      <c r="J124" s="38"/>
      <c r="K124" s="38"/>
      <c r="L124" s="38"/>
      <c r="M124" s="9"/>
      <c r="N124" s="9"/>
      <c r="O124" s="9"/>
      <c r="P124" s="38"/>
      <c r="Q124" s="9"/>
      <c r="R124" s="9"/>
      <c r="S124" s="9"/>
      <c r="T124" s="9"/>
      <c r="U124" s="9"/>
      <c r="V124" s="9"/>
      <c r="W124" s="9"/>
      <c r="X124" s="9"/>
      <c r="Y124" s="9"/>
      <c r="Z124" s="9"/>
      <c r="AA124" s="9"/>
      <c r="AB124" s="39"/>
      <c r="AC124" s="9"/>
      <c r="AD124" s="38"/>
      <c r="AE124" s="9"/>
      <c r="AF124" s="39"/>
      <c r="AG124" s="9"/>
      <c r="AH124" s="9"/>
      <c r="AI124" s="9"/>
      <c r="AJ124" s="9"/>
      <c r="AK124" s="9"/>
      <c r="AL124" s="9"/>
      <c r="AM124" s="9"/>
      <c r="AN124" s="10" t="str">
        <f aca="false">IF(A124="","",SG_Criteria!$B$6&amp;SG_Criteria!$B$7&amp;"\"&amp;A124&amp;"\")</f>
        <v/>
      </c>
      <c r="AO124" s="10" t="str">
        <f aca="false">IF(A124="","",A124&amp;"_CAD.dwg")</f>
        <v/>
      </c>
      <c r="AP124" s="10" t="str">
        <f aca="false">IF(A124="","",A124&amp;"_DWG.pdf")</f>
        <v/>
      </c>
      <c r="AQ124" s="10" t="str">
        <f aca="false">IF(A124="","",IF(AM124="Y",A124&amp;"_STAAD.std","n/a"))</f>
        <v/>
      </c>
      <c r="AR124" s="10" t="str">
        <f aca="false">IF(A124="","",A124&amp;"_CALC.xlsx")</f>
        <v/>
      </c>
      <c r="AS124" s="10" t="str">
        <f aca="false">IF(A124="","",A124&amp;"_CALC.pdf")</f>
        <v/>
      </c>
      <c r="AT124" s="9"/>
      <c r="AU124" s="9"/>
      <c r="AV124" s="39"/>
      <c r="AW124" s="39"/>
      <c r="AX124" s="39"/>
      <c r="AY124" s="39"/>
      <c r="AZ124" s="39"/>
      <c r="BA124" s="12" t="str">
        <f aca="false">IF(A124="","",IF(COUNTIF(Rebar_Schedule!$A$5:$A$2004,A124)=0,"",ROUND(SUMIF(Rebar_Schedule!$A$5:$A$2004,A124,Rebar_Schedule!$K$5:$K$2004),1)))</f>
        <v/>
      </c>
      <c r="BB124" s="33" t="str">
        <f aca="false">IF(A124="","",IF(BA124="","No rebar schedule yet",IF(ABS(BA124-N(AW124))/MAX(N(AW124),1)&gt;SG_Criteria!$B$55,"NOTE: register rebar differs from schedule by "&amp;TEXT(ABS(BA124-N(AW124))/MAX(N(AW124),1),"0%"),"OK")))</f>
        <v/>
      </c>
      <c r="BC124" s="34" t="str">
        <f aca="false">IF(OR(D124="",G124="",H124="",D124="Sump",D124="Drop Inlet Chamber",D124="Silt Trap",D124="Pipe Culvert",D124="Subsoil Drain"),"",ROUND(MAX(1,N(I124))*(1/SG_Criteria!$B$26)*((G124/1000)*(H124/1000*(1-SG_Criteria!$B$25)))*(((G124/1000)*(H124/1000*(1-SG_Criteria!$B$25)))/((G124/1000)+2*(H124/1000*(1-SG_Criteria!$B$25))))^(2/3)*(1/Design_Selector!$B$11)^0.5,3))</f>
        <v/>
      </c>
      <c r="BD124" s="11" t="str">
        <f aca="false">IF(BC124="","",ROUND(BC124/(MAX(1,N(I124))*G124/1000*(H124/1000*(1-SG_Criteria!$B$25))),2))</f>
        <v/>
      </c>
      <c r="BE124" s="33" t="str">
        <f aca="false">IF(D124="","",IF(LEN(IF(AND(OR(E124="Roadside drain",E124="Entrance culvert"),OR(G124&lt;SG_Criteria!$B$15,H124&lt;SG_Criteria!$B$16)),"FAIL: below PUB min "&amp;SG_Criteria!$B$15&amp;"x"&amp;SG_Criteria!$B$16&amp;" for roadside drain. ","")&amp;IF(AND(E124="Common drain",G124&lt;SG_Criteria!$B$17),"FAIL: common drain W &lt; "&amp;SG_Criteria!$B$17&amp;" mm. ","")&amp;IF(AND(O124&lt;&gt;"",IFERROR(VALUE(MID(O124,2,2)),0)&lt;SG_Criteria!$B$19),"FAIL: grade below C"&amp;SG_Criteria!$B$19&amp;". ","")&amp;IF(AND(P124&lt;&gt;"",P124&lt;SG_Criteria!$B$20),"FAIL: cover &lt; "&amp;SG_Criteria!$B$20&amp;" mm. ","")&amp;IF(AND(F124="Open",H124&gt;SG_Criteria!$B$18),"NOTE: safety railing required (D &gt; "&amp;SG_Criteria!$B$18&amp;" mm). ","")&amp;IF(AND(E124="Entrance culvert",H124&lt;600),"NOTE: check hinged grating rule for culverts &lt; 600 deep (PUB Add. 3). ",""))=0,"OK",IF(AND(OR(E124="Roadside drain",E124="Entrance culvert"),OR(G124&lt;SG_Criteria!$B$15,H124&lt;SG_Criteria!$B$16)),"FAIL: below PUB min "&amp;SG_Criteria!$B$15&amp;"x"&amp;SG_Criteria!$B$16&amp;" for roadside drain. ","")&amp;IF(AND(E124="Common drain",G124&lt;SG_Criteria!$B$17),"FAIL: common drain W &lt; "&amp;SG_Criteria!$B$17&amp;" mm. ","")&amp;IF(AND(O124&lt;&gt;"",IFERROR(VALUE(MID(O124,2,2)),0)&lt;SG_Criteria!$B$19),"FAIL: grade below C"&amp;SG_Criteria!$B$19&amp;". ","")&amp;IF(AND(P124&lt;&gt;"",P124&lt;SG_Criteria!$B$20),"FAIL: cover &lt; "&amp;SG_Criteria!$B$20&amp;" mm. ","")&amp;IF(AND(F124="Open",H124&gt;SG_Criteria!$B$18),"NOTE: safety railing required (D &gt; "&amp;SG_Criteria!$B$18&amp;" mm). ","")&amp;IF(AND(E124="Entrance culvert",H124&lt;600),"NOTE: check hinged grating rule for culverts &lt; 600 deep (PUB Add. 3). ","")))</f>
        <v/>
      </c>
      <c r="BF124" s="9"/>
      <c r="BG124" s="9"/>
      <c r="BH124" s="9"/>
      <c r="BI124" s="10" t="str">
        <f aca="false">IF(BH124="","",IFERROR(VLOOKUP(BH124,Projects!$A$5:$D$504,2,0),"Ref not in Projects"))</f>
        <v/>
      </c>
      <c r="BJ124" s="10" t="str">
        <f aca="false">IF(BH124="","",IFERROR(VLOOKUP(BH124,Projects!$A$5:$D$504,4,0),"Ref not in Projects"))</f>
        <v/>
      </c>
      <c r="BK124" s="9"/>
      <c r="BL124" s="9"/>
      <c r="BM124" s="9"/>
      <c r="BN124" s="40"/>
      <c r="BO124" s="9"/>
      <c r="BP124" s="40"/>
      <c r="BQ124" s="9"/>
      <c r="BR124" s="40"/>
      <c r="BS124" s="9"/>
      <c r="BT124" s="9"/>
      <c r="BU124" s="9"/>
      <c r="BV124" s="40"/>
      <c r="BW124" s="40"/>
      <c r="BX124" s="36" t="str">
        <f aca="false">IF(BW124="","",EDATE(BW124,SG_Criteria!$B$54*12))</f>
        <v/>
      </c>
      <c r="BY124" s="33" t="str">
        <f aca="true">IF(A124="","",IF(BW124="","NOTE: not reviewed yet",IF(TODAY()&gt;BX124,"NOTE: review overdue","OK")))</f>
        <v/>
      </c>
      <c r="BZ124" s="37" t="str">
        <f aca="false">IF(A124="","",ROUND((IF(LEN(D124)&gt;0,1,0)+IF(LEN(E124)&gt;0,1,0)+IF(LEN(F124)&gt;0,1,0)+IF(LEN(G124)&gt;0,1,0)+IF(LEN(H124)&gt;0,1,0)+IF(LEN(J124)&gt;0,1,0)+IF(LEN(K124)&gt;0,1,0)+IF(LEN(M124)&gt;0,1,0)+IF(LEN(O124)&gt;0,1,0)+IF(LEN(P124)&gt;0,1,0)+IF(LEN(Q124)&gt;0,1,0)+IF(LEN(S124)&gt;0,1,0)+IF(LEN(AC124)&gt;0,1,0)+IF(LEN(AV124)&gt;0,1,0)+IF(LEN(AW124)&gt;0,1,0)+IF(LEN(AG124)&gt;0,1,0)+IF(LEN(AI124)&gt;0,1,0)+IF(LEN(AJ124)&gt;0,1,0)+IF(LEN(AK124)&gt;0,1,0)+IF(LEN(AL124)&gt;0,1,0)+IF(LEN(AU124)&gt;0,1,0)+IF(LEN(BH124)&gt;0,1,0)+IF(LEN(BU124)&gt;0,1,0))/23,2))</f>
        <v/>
      </c>
      <c r="CA124" s="10" t="str">
        <f aca="false">IF(D124="","",IF(AND(AJ124="Approved",ISERROR(SEARCH("FAIL",BE124))),"Y","N"))</f>
        <v/>
      </c>
      <c r="CB124" s="10" t="str">
        <f aca="false">IF(D124="","",D124&amp;"|"&amp;G124&amp;"|"&amp;H124&amp;"|"&amp;M124&amp;"|"&amp;CA124)</f>
        <v/>
      </c>
    </row>
    <row r="125" customFormat="false" ht="15" hidden="false" customHeight="false" outlineLevel="0" collapsed="false">
      <c r="A125" s="10" t="str">
        <f aca="false">IF(D125="","","DRN-"&amp;IFERROR(VLOOKUP(D125,Lists!$A$4:$B$27,2,0),"??")&amp;"-"&amp;TEXT(G125,"0000")&amp;"x"&amp;TEXT(H125,"0000")&amp;IF(N(I125)&gt;1,"-"&amp;I125&amp;"C","")&amp;"-"&amp;IFERROR(VLOOKUP(M125,Lists!$J$4:$K$19,2,0),"??")&amp;"-"&amp;AI125)</f>
        <v/>
      </c>
      <c r="B125" s="10" t="str">
        <f aca="false">IF(D125="","",D125&amp;" "&amp;G125&amp;"W x "&amp;H125&amp;"D"&amp;IF(N(I125)&gt;1," ("&amp;I125&amp;" cells)","")&amp;", "&amp;E125&amp;", "&amp;M125&amp;", "&amp;F125)</f>
        <v/>
      </c>
      <c r="C125" s="9"/>
      <c r="D125" s="9"/>
      <c r="E125" s="9"/>
      <c r="F125" s="9"/>
      <c r="G125" s="38"/>
      <c r="H125" s="38"/>
      <c r="I125" s="38"/>
      <c r="J125" s="38"/>
      <c r="K125" s="38"/>
      <c r="L125" s="38"/>
      <c r="M125" s="9"/>
      <c r="N125" s="9"/>
      <c r="O125" s="9"/>
      <c r="P125" s="38"/>
      <c r="Q125" s="9"/>
      <c r="R125" s="9"/>
      <c r="S125" s="9"/>
      <c r="T125" s="9"/>
      <c r="U125" s="9"/>
      <c r="V125" s="9"/>
      <c r="W125" s="9"/>
      <c r="X125" s="9"/>
      <c r="Y125" s="9"/>
      <c r="Z125" s="9"/>
      <c r="AA125" s="9"/>
      <c r="AB125" s="39"/>
      <c r="AC125" s="9"/>
      <c r="AD125" s="38"/>
      <c r="AE125" s="9"/>
      <c r="AF125" s="39"/>
      <c r="AG125" s="9"/>
      <c r="AH125" s="9"/>
      <c r="AI125" s="9"/>
      <c r="AJ125" s="9"/>
      <c r="AK125" s="9"/>
      <c r="AL125" s="9"/>
      <c r="AM125" s="9"/>
      <c r="AN125" s="10" t="str">
        <f aca="false">IF(A125="","",SG_Criteria!$B$6&amp;SG_Criteria!$B$7&amp;"\"&amp;A125&amp;"\")</f>
        <v/>
      </c>
      <c r="AO125" s="10" t="str">
        <f aca="false">IF(A125="","",A125&amp;"_CAD.dwg")</f>
        <v/>
      </c>
      <c r="AP125" s="10" t="str">
        <f aca="false">IF(A125="","",A125&amp;"_DWG.pdf")</f>
        <v/>
      </c>
      <c r="AQ125" s="10" t="str">
        <f aca="false">IF(A125="","",IF(AM125="Y",A125&amp;"_STAAD.std","n/a"))</f>
        <v/>
      </c>
      <c r="AR125" s="10" t="str">
        <f aca="false">IF(A125="","",A125&amp;"_CALC.xlsx")</f>
        <v/>
      </c>
      <c r="AS125" s="10" t="str">
        <f aca="false">IF(A125="","",A125&amp;"_CALC.pdf")</f>
        <v/>
      </c>
      <c r="AT125" s="9"/>
      <c r="AU125" s="9"/>
      <c r="AV125" s="39"/>
      <c r="AW125" s="39"/>
      <c r="AX125" s="39"/>
      <c r="AY125" s="39"/>
      <c r="AZ125" s="39"/>
      <c r="BA125" s="12" t="str">
        <f aca="false">IF(A125="","",IF(COUNTIF(Rebar_Schedule!$A$5:$A$2004,A125)=0,"",ROUND(SUMIF(Rebar_Schedule!$A$5:$A$2004,A125,Rebar_Schedule!$K$5:$K$2004),1)))</f>
        <v/>
      </c>
      <c r="BB125" s="33" t="str">
        <f aca="false">IF(A125="","",IF(BA125="","No rebar schedule yet",IF(ABS(BA125-N(AW125))/MAX(N(AW125),1)&gt;SG_Criteria!$B$55,"NOTE: register rebar differs from schedule by "&amp;TEXT(ABS(BA125-N(AW125))/MAX(N(AW125),1),"0%"),"OK")))</f>
        <v/>
      </c>
      <c r="BC125" s="34" t="str">
        <f aca="false">IF(OR(D125="",G125="",H125="",D125="Sump",D125="Drop Inlet Chamber",D125="Silt Trap",D125="Pipe Culvert",D125="Subsoil Drain"),"",ROUND(MAX(1,N(I125))*(1/SG_Criteria!$B$26)*((G125/1000)*(H125/1000*(1-SG_Criteria!$B$25)))*(((G125/1000)*(H125/1000*(1-SG_Criteria!$B$25)))/((G125/1000)+2*(H125/1000*(1-SG_Criteria!$B$25))))^(2/3)*(1/Design_Selector!$B$11)^0.5,3))</f>
        <v/>
      </c>
      <c r="BD125" s="11" t="str">
        <f aca="false">IF(BC125="","",ROUND(BC125/(MAX(1,N(I125))*G125/1000*(H125/1000*(1-SG_Criteria!$B$25))),2))</f>
        <v/>
      </c>
      <c r="BE125" s="33" t="str">
        <f aca="false">IF(D125="","",IF(LEN(IF(AND(OR(E125="Roadside drain",E125="Entrance culvert"),OR(G125&lt;SG_Criteria!$B$15,H125&lt;SG_Criteria!$B$16)),"FAIL: below PUB min "&amp;SG_Criteria!$B$15&amp;"x"&amp;SG_Criteria!$B$16&amp;" for roadside drain. ","")&amp;IF(AND(E125="Common drain",G125&lt;SG_Criteria!$B$17),"FAIL: common drain W &lt; "&amp;SG_Criteria!$B$17&amp;" mm. ","")&amp;IF(AND(O125&lt;&gt;"",IFERROR(VALUE(MID(O125,2,2)),0)&lt;SG_Criteria!$B$19),"FAIL: grade below C"&amp;SG_Criteria!$B$19&amp;". ","")&amp;IF(AND(P125&lt;&gt;"",P125&lt;SG_Criteria!$B$20),"FAIL: cover &lt; "&amp;SG_Criteria!$B$20&amp;" mm. ","")&amp;IF(AND(F125="Open",H125&gt;SG_Criteria!$B$18),"NOTE: safety railing required (D &gt; "&amp;SG_Criteria!$B$18&amp;" mm). ","")&amp;IF(AND(E125="Entrance culvert",H125&lt;600),"NOTE: check hinged grating rule for culverts &lt; 600 deep (PUB Add. 3). ",""))=0,"OK",IF(AND(OR(E125="Roadside drain",E125="Entrance culvert"),OR(G125&lt;SG_Criteria!$B$15,H125&lt;SG_Criteria!$B$16)),"FAIL: below PUB min "&amp;SG_Criteria!$B$15&amp;"x"&amp;SG_Criteria!$B$16&amp;" for roadside drain. ","")&amp;IF(AND(E125="Common drain",G125&lt;SG_Criteria!$B$17),"FAIL: common drain W &lt; "&amp;SG_Criteria!$B$17&amp;" mm. ","")&amp;IF(AND(O125&lt;&gt;"",IFERROR(VALUE(MID(O125,2,2)),0)&lt;SG_Criteria!$B$19),"FAIL: grade below C"&amp;SG_Criteria!$B$19&amp;". ","")&amp;IF(AND(P125&lt;&gt;"",P125&lt;SG_Criteria!$B$20),"FAIL: cover &lt; "&amp;SG_Criteria!$B$20&amp;" mm. ","")&amp;IF(AND(F125="Open",H125&gt;SG_Criteria!$B$18),"NOTE: safety railing required (D &gt; "&amp;SG_Criteria!$B$18&amp;" mm). ","")&amp;IF(AND(E125="Entrance culvert",H125&lt;600),"NOTE: check hinged grating rule for culverts &lt; 600 deep (PUB Add. 3). ","")))</f>
        <v/>
      </c>
      <c r="BF125" s="9"/>
      <c r="BG125" s="9"/>
      <c r="BH125" s="9"/>
      <c r="BI125" s="10" t="str">
        <f aca="false">IF(BH125="","",IFERROR(VLOOKUP(BH125,Projects!$A$5:$D$504,2,0),"Ref not in Projects"))</f>
        <v/>
      </c>
      <c r="BJ125" s="10" t="str">
        <f aca="false">IF(BH125="","",IFERROR(VLOOKUP(BH125,Projects!$A$5:$D$504,4,0),"Ref not in Projects"))</f>
        <v/>
      </c>
      <c r="BK125" s="9"/>
      <c r="BL125" s="9"/>
      <c r="BM125" s="9"/>
      <c r="BN125" s="40"/>
      <c r="BO125" s="9"/>
      <c r="BP125" s="40"/>
      <c r="BQ125" s="9"/>
      <c r="BR125" s="40"/>
      <c r="BS125" s="9"/>
      <c r="BT125" s="9"/>
      <c r="BU125" s="9"/>
      <c r="BV125" s="40"/>
      <c r="BW125" s="40"/>
      <c r="BX125" s="36" t="str">
        <f aca="false">IF(BW125="","",EDATE(BW125,SG_Criteria!$B$54*12))</f>
        <v/>
      </c>
      <c r="BY125" s="33" t="str">
        <f aca="true">IF(A125="","",IF(BW125="","NOTE: not reviewed yet",IF(TODAY()&gt;BX125,"NOTE: review overdue","OK")))</f>
        <v/>
      </c>
      <c r="BZ125" s="37" t="str">
        <f aca="false">IF(A125="","",ROUND((IF(LEN(D125)&gt;0,1,0)+IF(LEN(E125)&gt;0,1,0)+IF(LEN(F125)&gt;0,1,0)+IF(LEN(G125)&gt;0,1,0)+IF(LEN(H125)&gt;0,1,0)+IF(LEN(J125)&gt;0,1,0)+IF(LEN(K125)&gt;0,1,0)+IF(LEN(M125)&gt;0,1,0)+IF(LEN(O125)&gt;0,1,0)+IF(LEN(P125)&gt;0,1,0)+IF(LEN(Q125)&gt;0,1,0)+IF(LEN(S125)&gt;0,1,0)+IF(LEN(AC125)&gt;0,1,0)+IF(LEN(AV125)&gt;0,1,0)+IF(LEN(AW125)&gt;0,1,0)+IF(LEN(AG125)&gt;0,1,0)+IF(LEN(AI125)&gt;0,1,0)+IF(LEN(AJ125)&gt;0,1,0)+IF(LEN(AK125)&gt;0,1,0)+IF(LEN(AL125)&gt;0,1,0)+IF(LEN(AU125)&gt;0,1,0)+IF(LEN(BH125)&gt;0,1,0)+IF(LEN(BU125)&gt;0,1,0))/23,2))</f>
        <v/>
      </c>
      <c r="CA125" s="10" t="str">
        <f aca="false">IF(D125="","",IF(AND(AJ125="Approved",ISERROR(SEARCH("FAIL",BE125))),"Y","N"))</f>
        <v/>
      </c>
      <c r="CB125" s="10" t="str">
        <f aca="false">IF(D125="","",D125&amp;"|"&amp;G125&amp;"|"&amp;H125&amp;"|"&amp;M125&amp;"|"&amp;CA125)</f>
        <v/>
      </c>
    </row>
    <row r="126" customFormat="false" ht="15" hidden="false" customHeight="false" outlineLevel="0" collapsed="false">
      <c r="A126" s="10" t="str">
        <f aca="false">IF(D126="","","DRN-"&amp;IFERROR(VLOOKUP(D126,Lists!$A$4:$B$27,2,0),"??")&amp;"-"&amp;TEXT(G126,"0000")&amp;"x"&amp;TEXT(H126,"0000")&amp;IF(N(I126)&gt;1,"-"&amp;I126&amp;"C","")&amp;"-"&amp;IFERROR(VLOOKUP(M126,Lists!$J$4:$K$19,2,0),"??")&amp;"-"&amp;AI126)</f>
        <v/>
      </c>
      <c r="B126" s="10" t="str">
        <f aca="false">IF(D126="","",D126&amp;" "&amp;G126&amp;"W x "&amp;H126&amp;"D"&amp;IF(N(I126)&gt;1," ("&amp;I126&amp;" cells)","")&amp;", "&amp;E126&amp;", "&amp;M126&amp;", "&amp;F126)</f>
        <v/>
      </c>
      <c r="C126" s="9"/>
      <c r="D126" s="9"/>
      <c r="E126" s="9"/>
      <c r="F126" s="9"/>
      <c r="G126" s="38"/>
      <c r="H126" s="38"/>
      <c r="I126" s="38"/>
      <c r="J126" s="38"/>
      <c r="K126" s="38"/>
      <c r="L126" s="38"/>
      <c r="M126" s="9"/>
      <c r="N126" s="9"/>
      <c r="O126" s="9"/>
      <c r="P126" s="38"/>
      <c r="Q126" s="9"/>
      <c r="R126" s="9"/>
      <c r="S126" s="9"/>
      <c r="T126" s="9"/>
      <c r="U126" s="9"/>
      <c r="V126" s="9"/>
      <c r="W126" s="9"/>
      <c r="X126" s="9"/>
      <c r="Y126" s="9"/>
      <c r="Z126" s="9"/>
      <c r="AA126" s="9"/>
      <c r="AB126" s="39"/>
      <c r="AC126" s="9"/>
      <c r="AD126" s="38"/>
      <c r="AE126" s="9"/>
      <c r="AF126" s="39"/>
      <c r="AG126" s="9"/>
      <c r="AH126" s="9"/>
      <c r="AI126" s="9"/>
      <c r="AJ126" s="9"/>
      <c r="AK126" s="9"/>
      <c r="AL126" s="9"/>
      <c r="AM126" s="9"/>
      <c r="AN126" s="10" t="str">
        <f aca="false">IF(A126="","",SG_Criteria!$B$6&amp;SG_Criteria!$B$7&amp;"\"&amp;A126&amp;"\")</f>
        <v/>
      </c>
      <c r="AO126" s="10" t="str">
        <f aca="false">IF(A126="","",A126&amp;"_CAD.dwg")</f>
        <v/>
      </c>
      <c r="AP126" s="10" t="str">
        <f aca="false">IF(A126="","",A126&amp;"_DWG.pdf")</f>
        <v/>
      </c>
      <c r="AQ126" s="10" t="str">
        <f aca="false">IF(A126="","",IF(AM126="Y",A126&amp;"_STAAD.std","n/a"))</f>
        <v/>
      </c>
      <c r="AR126" s="10" t="str">
        <f aca="false">IF(A126="","",A126&amp;"_CALC.xlsx")</f>
        <v/>
      </c>
      <c r="AS126" s="10" t="str">
        <f aca="false">IF(A126="","",A126&amp;"_CALC.pdf")</f>
        <v/>
      </c>
      <c r="AT126" s="9"/>
      <c r="AU126" s="9"/>
      <c r="AV126" s="39"/>
      <c r="AW126" s="39"/>
      <c r="AX126" s="39"/>
      <c r="AY126" s="39"/>
      <c r="AZ126" s="39"/>
      <c r="BA126" s="12" t="str">
        <f aca="false">IF(A126="","",IF(COUNTIF(Rebar_Schedule!$A$5:$A$2004,A126)=0,"",ROUND(SUMIF(Rebar_Schedule!$A$5:$A$2004,A126,Rebar_Schedule!$K$5:$K$2004),1)))</f>
        <v/>
      </c>
      <c r="BB126" s="33" t="str">
        <f aca="false">IF(A126="","",IF(BA126="","No rebar schedule yet",IF(ABS(BA126-N(AW126))/MAX(N(AW126),1)&gt;SG_Criteria!$B$55,"NOTE: register rebar differs from schedule by "&amp;TEXT(ABS(BA126-N(AW126))/MAX(N(AW126),1),"0%"),"OK")))</f>
        <v/>
      </c>
      <c r="BC126" s="34" t="str">
        <f aca="false">IF(OR(D126="",G126="",H126="",D126="Sump",D126="Drop Inlet Chamber",D126="Silt Trap",D126="Pipe Culvert",D126="Subsoil Drain"),"",ROUND(MAX(1,N(I126))*(1/SG_Criteria!$B$26)*((G126/1000)*(H126/1000*(1-SG_Criteria!$B$25)))*(((G126/1000)*(H126/1000*(1-SG_Criteria!$B$25)))/((G126/1000)+2*(H126/1000*(1-SG_Criteria!$B$25))))^(2/3)*(1/Design_Selector!$B$11)^0.5,3))</f>
        <v/>
      </c>
      <c r="BD126" s="11" t="str">
        <f aca="false">IF(BC126="","",ROUND(BC126/(MAX(1,N(I126))*G126/1000*(H126/1000*(1-SG_Criteria!$B$25))),2))</f>
        <v/>
      </c>
      <c r="BE126" s="33" t="str">
        <f aca="false">IF(D126="","",IF(LEN(IF(AND(OR(E126="Roadside drain",E126="Entrance culvert"),OR(G126&lt;SG_Criteria!$B$15,H126&lt;SG_Criteria!$B$16)),"FAIL: below PUB min "&amp;SG_Criteria!$B$15&amp;"x"&amp;SG_Criteria!$B$16&amp;" for roadside drain. ","")&amp;IF(AND(E126="Common drain",G126&lt;SG_Criteria!$B$17),"FAIL: common drain W &lt; "&amp;SG_Criteria!$B$17&amp;" mm. ","")&amp;IF(AND(O126&lt;&gt;"",IFERROR(VALUE(MID(O126,2,2)),0)&lt;SG_Criteria!$B$19),"FAIL: grade below C"&amp;SG_Criteria!$B$19&amp;". ","")&amp;IF(AND(P126&lt;&gt;"",P126&lt;SG_Criteria!$B$20),"FAIL: cover &lt; "&amp;SG_Criteria!$B$20&amp;" mm. ","")&amp;IF(AND(F126="Open",H126&gt;SG_Criteria!$B$18),"NOTE: safety railing required (D &gt; "&amp;SG_Criteria!$B$18&amp;" mm). ","")&amp;IF(AND(E126="Entrance culvert",H126&lt;600),"NOTE: check hinged grating rule for culverts &lt; 600 deep (PUB Add. 3). ",""))=0,"OK",IF(AND(OR(E126="Roadside drain",E126="Entrance culvert"),OR(G126&lt;SG_Criteria!$B$15,H126&lt;SG_Criteria!$B$16)),"FAIL: below PUB min "&amp;SG_Criteria!$B$15&amp;"x"&amp;SG_Criteria!$B$16&amp;" for roadside drain. ","")&amp;IF(AND(E126="Common drain",G126&lt;SG_Criteria!$B$17),"FAIL: common drain W &lt; "&amp;SG_Criteria!$B$17&amp;" mm. ","")&amp;IF(AND(O126&lt;&gt;"",IFERROR(VALUE(MID(O126,2,2)),0)&lt;SG_Criteria!$B$19),"FAIL: grade below C"&amp;SG_Criteria!$B$19&amp;". ","")&amp;IF(AND(P126&lt;&gt;"",P126&lt;SG_Criteria!$B$20),"FAIL: cover &lt; "&amp;SG_Criteria!$B$20&amp;" mm. ","")&amp;IF(AND(F126="Open",H126&gt;SG_Criteria!$B$18),"NOTE: safety railing required (D &gt; "&amp;SG_Criteria!$B$18&amp;" mm). ","")&amp;IF(AND(E126="Entrance culvert",H126&lt;600),"NOTE: check hinged grating rule for culverts &lt; 600 deep (PUB Add. 3). ","")))</f>
        <v/>
      </c>
      <c r="BF126" s="9"/>
      <c r="BG126" s="9"/>
      <c r="BH126" s="9"/>
      <c r="BI126" s="10" t="str">
        <f aca="false">IF(BH126="","",IFERROR(VLOOKUP(BH126,Projects!$A$5:$D$504,2,0),"Ref not in Projects"))</f>
        <v/>
      </c>
      <c r="BJ126" s="10" t="str">
        <f aca="false">IF(BH126="","",IFERROR(VLOOKUP(BH126,Projects!$A$5:$D$504,4,0),"Ref not in Projects"))</f>
        <v/>
      </c>
      <c r="BK126" s="9"/>
      <c r="BL126" s="9"/>
      <c r="BM126" s="9"/>
      <c r="BN126" s="40"/>
      <c r="BO126" s="9"/>
      <c r="BP126" s="40"/>
      <c r="BQ126" s="9"/>
      <c r="BR126" s="40"/>
      <c r="BS126" s="9"/>
      <c r="BT126" s="9"/>
      <c r="BU126" s="9"/>
      <c r="BV126" s="40"/>
      <c r="BW126" s="40"/>
      <c r="BX126" s="36" t="str">
        <f aca="false">IF(BW126="","",EDATE(BW126,SG_Criteria!$B$54*12))</f>
        <v/>
      </c>
      <c r="BY126" s="33" t="str">
        <f aca="true">IF(A126="","",IF(BW126="","NOTE: not reviewed yet",IF(TODAY()&gt;BX126,"NOTE: review overdue","OK")))</f>
        <v/>
      </c>
      <c r="BZ126" s="37" t="str">
        <f aca="false">IF(A126="","",ROUND((IF(LEN(D126)&gt;0,1,0)+IF(LEN(E126)&gt;0,1,0)+IF(LEN(F126)&gt;0,1,0)+IF(LEN(G126)&gt;0,1,0)+IF(LEN(H126)&gt;0,1,0)+IF(LEN(J126)&gt;0,1,0)+IF(LEN(K126)&gt;0,1,0)+IF(LEN(M126)&gt;0,1,0)+IF(LEN(O126)&gt;0,1,0)+IF(LEN(P126)&gt;0,1,0)+IF(LEN(Q126)&gt;0,1,0)+IF(LEN(S126)&gt;0,1,0)+IF(LEN(AC126)&gt;0,1,0)+IF(LEN(AV126)&gt;0,1,0)+IF(LEN(AW126)&gt;0,1,0)+IF(LEN(AG126)&gt;0,1,0)+IF(LEN(AI126)&gt;0,1,0)+IF(LEN(AJ126)&gt;0,1,0)+IF(LEN(AK126)&gt;0,1,0)+IF(LEN(AL126)&gt;0,1,0)+IF(LEN(AU126)&gt;0,1,0)+IF(LEN(BH126)&gt;0,1,0)+IF(LEN(BU126)&gt;0,1,0))/23,2))</f>
        <v/>
      </c>
      <c r="CA126" s="10" t="str">
        <f aca="false">IF(D126="","",IF(AND(AJ126="Approved",ISERROR(SEARCH("FAIL",BE126))),"Y","N"))</f>
        <v/>
      </c>
      <c r="CB126" s="10" t="str">
        <f aca="false">IF(D126="","",D126&amp;"|"&amp;G126&amp;"|"&amp;H126&amp;"|"&amp;M126&amp;"|"&amp;CA126)</f>
        <v/>
      </c>
    </row>
    <row r="127" customFormat="false" ht="15" hidden="false" customHeight="false" outlineLevel="0" collapsed="false">
      <c r="A127" s="10" t="str">
        <f aca="false">IF(D127="","","DRN-"&amp;IFERROR(VLOOKUP(D127,Lists!$A$4:$B$27,2,0),"??")&amp;"-"&amp;TEXT(G127,"0000")&amp;"x"&amp;TEXT(H127,"0000")&amp;IF(N(I127)&gt;1,"-"&amp;I127&amp;"C","")&amp;"-"&amp;IFERROR(VLOOKUP(M127,Lists!$J$4:$K$19,2,0),"??")&amp;"-"&amp;AI127)</f>
        <v/>
      </c>
      <c r="B127" s="10" t="str">
        <f aca="false">IF(D127="","",D127&amp;" "&amp;G127&amp;"W x "&amp;H127&amp;"D"&amp;IF(N(I127)&gt;1," ("&amp;I127&amp;" cells)","")&amp;", "&amp;E127&amp;", "&amp;M127&amp;", "&amp;F127)</f>
        <v/>
      </c>
      <c r="C127" s="9"/>
      <c r="D127" s="9"/>
      <c r="E127" s="9"/>
      <c r="F127" s="9"/>
      <c r="G127" s="38"/>
      <c r="H127" s="38"/>
      <c r="I127" s="38"/>
      <c r="J127" s="38"/>
      <c r="K127" s="38"/>
      <c r="L127" s="38"/>
      <c r="M127" s="9"/>
      <c r="N127" s="9"/>
      <c r="O127" s="9"/>
      <c r="P127" s="38"/>
      <c r="Q127" s="9"/>
      <c r="R127" s="9"/>
      <c r="S127" s="9"/>
      <c r="T127" s="9"/>
      <c r="U127" s="9"/>
      <c r="V127" s="9"/>
      <c r="W127" s="9"/>
      <c r="X127" s="9"/>
      <c r="Y127" s="9"/>
      <c r="Z127" s="9"/>
      <c r="AA127" s="9"/>
      <c r="AB127" s="39"/>
      <c r="AC127" s="9"/>
      <c r="AD127" s="38"/>
      <c r="AE127" s="9"/>
      <c r="AF127" s="39"/>
      <c r="AG127" s="9"/>
      <c r="AH127" s="9"/>
      <c r="AI127" s="9"/>
      <c r="AJ127" s="9"/>
      <c r="AK127" s="9"/>
      <c r="AL127" s="9"/>
      <c r="AM127" s="9"/>
      <c r="AN127" s="10" t="str">
        <f aca="false">IF(A127="","",SG_Criteria!$B$6&amp;SG_Criteria!$B$7&amp;"\"&amp;A127&amp;"\")</f>
        <v/>
      </c>
      <c r="AO127" s="10" t="str">
        <f aca="false">IF(A127="","",A127&amp;"_CAD.dwg")</f>
        <v/>
      </c>
      <c r="AP127" s="10" t="str">
        <f aca="false">IF(A127="","",A127&amp;"_DWG.pdf")</f>
        <v/>
      </c>
      <c r="AQ127" s="10" t="str">
        <f aca="false">IF(A127="","",IF(AM127="Y",A127&amp;"_STAAD.std","n/a"))</f>
        <v/>
      </c>
      <c r="AR127" s="10" t="str">
        <f aca="false">IF(A127="","",A127&amp;"_CALC.xlsx")</f>
        <v/>
      </c>
      <c r="AS127" s="10" t="str">
        <f aca="false">IF(A127="","",A127&amp;"_CALC.pdf")</f>
        <v/>
      </c>
      <c r="AT127" s="9"/>
      <c r="AU127" s="9"/>
      <c r="AV127" s="39"/>
      <c r="AW127" s="39"/>
      <c r="AX127" s="39"/>
      <c r="AY127" s="39"/>
      <c r="AZ127" s="39"/>
      <c r="BA127" s="12" t="str">
        <f aca="false">IF(A127="","",IF(COUNTIF(Rebar_Schedule!$A$5:$A$2004,A127)=0,"",ROUND(SUMIF(Rebar_Schedule!$A$5:$A$2004,A127,Rebar_Schedule!$K$5:$K$2004),1)))</f>
        <v/>
      </c>
      <c r="BB127" s="33" t="str">
        <f aca="false">IF(A127="","",IF(BA127="","No rebar schedule yet",IF(ABS(BA127-N(AW127))/MAX(N(AW127),1)&gt;SG_Criteria!$B$55,"NOTE: register rebar differs from schedule by "&amp;TEXT(ABS(BA127-N(AW127))/MAX(N(AW127),1),"0%"),"OK")))</f>
        <v/>
      </c>
      <c r="BC127" s="34" t="str">
        <f aca="false">IF(OR(D127="",G127="",H127="",D127="Sump",D127="Drop Inlet Chamber",D127="Silt Trap",D127="Pipe Culvert",D127="Subsoil Drain"),"",ROUND(MAX(1,N(I127))*(1/SG_Criteria!$B$26)*((G127/1000)*(H127/1000*(1-SG_Criteria!$B$25)))*(((G127/1000)*(H127/1000*(1-SG_Criteria!$B$25)))/((G127/1000)+2*(H127/1000*(1-SG_Criteria!$B$25))))^(2/3)*(1/Design_Selector!$B$11)^0.5,3))</f>
        <v/>
      </c>
      <c r="BD127" s="11" t="str">
        <f aca="false">IF(BC127="","",ROUND(BC127/(MAX(1,N(I127))*G127/1000*(H127/1000*(1-SG_Criteria!$B$25))),2))</f>
        <v/>
      </c>
      <c r="BE127" s="33" t="str">
        <f aca="false">IF(D127="","",IF(LEN(IF(AND(OR(E127="Roadside drain",E127="Entrance culvert"),OR(G127&lt;SG_Criteria!$B$15,H127&lt;SG_Criteria!$B$16)),"FAIL: below PUB min "&amp;SG_Criteria!$B$15&amp;"x"&amp;SG_Criteria!$B$16&amp;" for roadside drain. ","")&amp;IF(AND(E127="Common drain",G127&lt;SG_Criteria!$B$17),"FAIL: common drain W &lt; "&amp;SG_Criteria!$B$17&amp;" mm. ","")&amp;IF(AND(O127&lt;&gt;"",IFERROR(VALUE(MID(O127,2,2)),0)&lt;SG_Criteria!$B$19),"FAIL: grade below C"&amp;SG_Criteria!$B$19&amp;". ","")&amp;IF(AND(P127&lt;&gt;"",P127&lt;SG_Criteria!$B$20),"FAIL: cover &lt; "&amp;SG_Criteria!$B$20&amp;" mm. ","")&amp;IF(AND(F127="Open",H127&gt;SG_Criteria!$B$18),"NOTE: safety railing required (D &gt; "&amp;SG_Criteria!$B$18&amp;" mm). ","")&amp;IF(AND(E127="Entrance culvert",H127&lt;600),"NOTE: check hinged grating rule for culverts &lt; 600 deep (PUB Add. 3). ",""))=0,"OK",IF(AND(OR(E127="Roadside drain",E127="Entrance culvert"),OR(G127&lt;SG_Criteria!$B$15,H127&lt;SG_Criteria!$B$16)),"FAIL: below PUB min "&amp;SG_Criteria!$B$15&amp;"x"&amp;SG_Criteria!$B$16&amp;" for roadside drain. ","")&amp;IF(AND(E127="Common drain",G127&lt;SG_Criteria!$B$17),"FAIL: common drain W &lt; "&amp;SG_Criteria!$B$17&amp;" mm. ","")&amp;IF(AND(O127&lt;&gt;"",IFERROR(VALUE(MID(O127,2,2)),0)&lt;SG_Criteria!$B$19),"FAIL: grade below C"&amp;SG_Criteria!$B$19&amp;". ","")&amp;IF(AND(P127&lt;&gt;"",P127&lt;SG_Criteria!$B$20),"FAIL: cover &lt; "&amp;SG_Criteria!$B$20&amp;" mm. ","")&amp;IF(AND(F127="Open",H127&gt;SG_Criteria!$B$18),"NOTE: safety railing required (D &gt; "&amp;SG_Criteria!$B$18&amp;" mm). ","")&amp;IF(AND(E127="Entrance culvert",H127&lt;600),"NOTE: check hinged grating rule for culverts &lt; 600 deep (PUB Add. 3). ","")))</f>
        <v/>
      </c>
      <c r="BF127" s="9"/>
      <c r="BG127" s="9"/>
      <c r="BH127" s="9"/>
      <c r="BI127" s="10" t="str">
        <f aca="false">IF(BH127="","",IFERROR(VLOOKUP(BH127,Projects!$A$5:$D$504,2,0),"Ref not in Projects"))</f>
        <v/>
      </c>
      <c r="BJ127" s="10" t="str">
        <f aca="false">IF(BH127="","",IFERROR(VLOOKUP(BH127,Projects!$A$5:$D$504,4,0),"Ref not in Projects"))</f>
        <v/>
      </c>
      <c r="BK127" s="9"/>
      <c r="BL127" s="9"/>
      <c r="BM127" s="9"/>
      <c r="BN127" s="40"/>
      <c r="BO127" s="9"/>
      <c r="BP127" s="40"/>
      <c r="BQ127" s="9"/>
      <c r="BR127" s="40"/>
      <c r="BS127" s="9"/>
      <c r="BT127" s="9"/>
      <c r="BU127" s="9"/>
      <c r="BV127" s="40"/>
      <c r="BW127" s="40"/>
      <c r="BX127" s="36" t="str">
        <f aca="false">IF(BW127="","",EDATE(BW127,SG_Criteria!$B$54*12))</f>
        <v/>
      </c>
      <c r="BY127" s="33" t="str">
        <f aca="true">IF(A127="","",IF(BW127="","NOTE: not reviewed yet",IF(TODAY()&gt;BX127,"NOTE: review overdue","OK")))</f>
        <v/>
      </c>
      <c r="BZ127" s="37" t="str">
        <f aca="false">IF(A127="","",ROUND((IF(LEN(D127)&gt;0,1,0)+IF(LEN(E127)&gt;0,1,0)+IF(LEN(F127)&gt;0,1,0)+IF(LEN(G127)&gt;0,1,0)+IF(LEN(H127)&gt;0,1,0)+IF(LEN(J127)&gt;0,1,0)+IF(LEN(K127)&gt;0,1,0)+IF(LEN(M127)&gt;0,1,0)+IF(LEN(O127)&gt;0,1,0)+IF(LEN(P127)&gt;0,1,0)+IF(LEN(Q127)&gt;0,1,0)+IF(LEN(S127)&gt;0,1,0)+IF(LEN(AC127)&gt;0,1,0)+IF(LEN(AV127)&gt;0,1,0)+IF(LEN(AW127)&gt;0,1,0)+IF(LEN(AG127)&gt;0,1,0)+IF(LEN(AI127)&gt;0,1,0)+IF(LEN(AJ127)&gt;0,1,0)+IF(LEN(AK127)&gt;0,1,0)+IF(LEN(AL127)&gt;0,1,0)+IF(LEN(AU127)&gt;0,1,0)+IF(LEN(BH127)&gt;0,1,0)+IF(LEN(BU127)&gt;0,1,0))/23,2))</f>
        <v/>
      </c>
      <c r="CA127" s="10" t="str">
        <f aca="false">IF(D127="","",IF(AND(AJ127="Approved",ISERROR(SEARCH("FAIL",BE127))),"Y","N"))</f>
        <v/>
      </c>
      <c r="CB127" s="10" t="str">
        <f aca="false">IF(D127="","",D127&amp;"|"&amp;G127&amp;"|"&amp;H127&amp;"|"&amp;M127&amp;"|"&amp;CA127)</f>
        <v/>
      </c>
    </row>
    <row r="128" customFormat="false" ht="15" hidden="false" customHeight="false" outlineLevel="0" collapsed="false">
      <c r="A128" s="10" t="str">
        <f aca="false">IF(D128="","","DRN-"&amp;IFERROR(VLOOKUP(D128,Lists!$A$4:$B$27,2,0),"??")&amp;"-"&amp;TEXT(G128,"0000")&amp;"x"&amp;TEXT(H128,"0000")&amp;IF(N(I128)&gt;1,"-"&amp;I128&amp;"C","")&amp;"-"&amp;IFERROR(VLOOKUP(M128,Lists!$J$4:$K$19,2,0),"??")&amp;"-"&amp;AI128)</f>
        <v/>
      </c>
      <c r="B128" s="10" t="str">
        <f aca="false">IF(D128="","",D128&amp;" "&amp;G128&amp;"W x "&amp;H128&amp;"D"&amp;IF(N(I128)&gt;1," ("&amp;I128&amp;" cells)","")&amp;", "&amp;E128&amp;", "&amp;M128&amp;", "&amp;F128)</f>
        <v/>
      </c>
      <c r="C128" s="9"/>
      <c r="D128" s="9"/>
      <c r="E128" s="9"/>
      <c r="F128" s="9"/>
      <c r="G128" s="38"/>
      <c r="H128" s="38"/>
      <c r="I128" s="38"/>
      <c r="J128" s="38"/>
      <c r="K128" s="38"/>
      <c r="L128" s="38"/>
      <c r="M128" s="9"/>
      <c r="N128" s="9"/>
      <c r="O128" s="9"/>
      <c r="P128" s="38"/>
      <c r="Q128" s="9"/>
      <c r="R128" s="9"/>
      <c r="S128" s="9"/>
      <c r="T128" s="9"/>
      <c r="U128" s="9"/>
      <c r="V128" s="9"/>
      <c r="W128" s="9"/>
      <c r="X128" s="9"/>
      <c r="Y128" s="9"/>
      <c r="Z128" s="9"/>
      <c r="AA128" s="9"/>
      <c r="AB128" s="39"/>
      <c r="AC128" s="9"/>
      <c r="AD128" s="38"/>
      <c r="AE128" s="9"/>
      <c r="AF128" s="39"/>
      <c r="AG128" s="9"/>
      <c r="AH128" s="9"/>
      <c r="AI128" s="9"/>
      <c r="AJ128" s="9"/>
      <c r="AK128" s="9"/>
      <c r="AL128" s="9"/>
      <c r="AM128" s="9"/>
      <c r="AN128" s="10" t="str">
        <f aca="false">IF(A128="","",SG_Criteria!$B$6&amp;SG_Criteria!$B$7&amp;"\"&amp;A128&amp;"\")</f>
        <v/>
      </c>
      <c r="AO128" s="10" t="str">
        <f aca="false">IF(A128="","",A128&amp;"_CAD.dwg")</f>
        <v/>
      </c>
      <c r="AP128" s="10" t="str">
        <f aca="false">IF(A128="","",A128&amp;"_DWG.pdf")</f>
        <v/>
      </c>
      <c r="AQ128" s="10" t="str">
        <f aca="false">IF(A128="","",IF(AM128="Y",A128&amp;"_STAAD.std","n/a"))</f>
        <v/>
      </c>
      <c r="AR128" s="10" t="str">
        <f aca="false">IF(A128="","",A128&amp;"_CALC.xlsx")</f>
        <v/>
      </c>
      <c r="AS128" s="10" t="str">
        <f aca="false">IF(A128="","",A128&amp;"_CALC.pdf")</f>
        <v/>
      </c>
      <c r="AT128" s="9"/>
      <c r="AU128" s="9"/>
      <c r="AV128" s="39"/>
      <c r="AW128" s="39"/>
      <c r="AX128" s="39"/>
      <c r="AY128" s="39"/>
      <c r="AZ128" s="39"/>
      <c r="BA128" s="12" t="str">
        <f aca="false">IF(A128="","",IF(COUNTIF(Rebar_Schedule!$A$5:$A$2004,A128)=0,"",ROUND(SUMIF(Rebar_Schedule!$A$5:$A$2004,A128,Rebar_Schedule!$K$5:$K$2004),1)))</f>
        <v/>
      </c>
      <c r="BB128" s="33" t="str">
        <f aca="false">IF(A128="","",IF(BA128="","No rebar schedule yet",IF(ABS(BA128-N(AW128))/MAX(N(AW128),1)&gt;SG_Criteria!$B$55,"NOTE: register rebar differs from schedule by "&amp;TEXT(ABS(BA128-N(AW128))/MAX(N(AW128),1),"0%"),"OK")))</f>
        <v/>
      </c>
      <c r="BC128" s="34" t="str">
        <f aca="false">IF(OR(D128="",G128="",H128="",D128="Sump",D128="Drop Inlet Chamber",D128="Silt Trap",D128="Pipe Culvert",D128="Subsoil Drain"),"",ROUND(MAX(1,N(I128))*(1/SG_Criteria!$B$26)*((G128/1000)*(H128/1000*(1-SG_Criteria!$B$25)))*(((G128/1000)*(H128/1000*(1-SG_Criteria!$B$25)))/((G128/1000)+2*(H128/1000*(1-SG_Criteria!$B$25))))^(2/3)*(1/Design_Selector!$B$11)^0.5,3))</f>
        <v/>
      </c>
      <c r="BD128" s="11" t="str">
        <f aca="false">IF(BC128="","",ROUND(BC128/(MAX(1,N(I128))*G128/1000*(H128/1000*(1-SG_Criteria!$B$25))),2))</f>
        <v/>
      </c>
      <c r="BE128" s="33" t="str">
        <f aca="false">IF(D128="","",IF(LEN(IF(AND(OR(E128="Roadside drain",E128="Entrance culvert"),OR(G128&lt;SG_Criteria!$B$15,H128&lt;SG_Criteria!$B$16)),"FAIL: below PUB min "&amp;SG_Criteria!$B$15&amp;"x"&amp;SG_Criteria!$B$16&amp;" for roadside drain. ","")&amp;IF(AND(E128="Common drain",G128&lt;SG_Criteria!$B$17),"FAIL: common drain W &lt; "&amp;SG_Criteria!$B$17&amp;" mm. ","")&amp;IF(AND(O128&lt;&gt;"",IFERROR(VALUE(MID(O128,2,2)),0)&lt;SG_Criteria!$B$19),"FAIL: grade below C"&amp;SG_Criteria!$B$19&amp;". ","")&amp;IF(AND(P128&lt;&gt;"",P128&lt;SG_Criteria!$B$20),"FAIL: cover &lt; "&amp;SG_Criteria!$B$20&amp;" mm. ","")&amp;IF(AND(F128="Open",H128&gt;SG_Criteria!$B$18),"NOTE: safety railing required (D &gt; "&amp;SG_Criteria!$B$18&amp;" mm). ","")&amp;IF(AND(E128="Entrance culvert",H128&lt;600),"NOTE: check hinged grating rule for culverts &lt; 600 deep (PUB Add. 3). ",""))=0,"OK",IF(AND(OR(E128="Roadside drain",E128="Entrance culvert"),OR(G128&lt;SG_Criteria!$B$15,H128&lt;SG_Criteria!$B$16)),"FAIL: below PUB min "&amp;SG_Criteria!$B$15&amp;"x"&amp;SG_Criteria!$B$16&amp;" for roadside drain. ","")&amp;IF(AND(E128="Common drain",G128&lt;SG_Criteria!$B$17),"FAIL: common drain W &lt; "&amp;SG_Criteria!$B$17&amp;" mm. ","")&amp;IF(AND(O128&lt;&gt;"",IFERROR(VALUE(MID(O128,2,2)),0)&lt;SG_Criteria!$B$19),"FAIL: grade below C"&amp;SG_Criteria!$B$19&amp;". ","")&amp;IF(AND(P128&lt;&gt;"",P128&lt;SG_Criteria!$B$20),"FAIL: cover &lt; "&amp;SG_Criteria!$B$20&amp;" mm. ","")&amp;IF(AND(F128="Open",H128&gt;SG_Criteria!$B$18),"NOTE: safety railing required (D &gt; "&amp;SG_Criteria!$B$18&amp;" mm). ","")&amp;IF(AND(E128="Entrance culvert",H128&lt;600),"NOTE: check hinged grating rule for culverts &lt; 600 deep (PUB Add. 3). ","")))</f>
        <v/>
      </c>
      <c r="BF128" s="9"/>
      <c r="BG128" s="9"/>
      <c r="BH128" s="9"/>
      <c r="BI128" s="10" t="str">
        <f aca="false">IF(BH128="","",IFERROR(VLOOKUP(BH128,Projects!$A$5:$D$504,2,0),"Ref not in Projects"))</f>
        <v/>
      </c>
      <c r="BJ128" s="10" t="str">
        <f aca="false">IF(BH128="","",IFERROR(VLOOKUP(BH128,Projects!$A$5:$D$504,4,0),"Ref not in Projects"))</f>
        <v/>
      </c>
      <c r="BK128" s="9"/>
      <c r="BL128" s="9"/>
      <c r="BM128" s="9"/>
      <c r="BN128" s="40"/>
      <c r="BO128" s="9"/>
      <c r="BP128" s="40"/>
      <c r="BQ128" s="9"/>
      <c r="BR128" s="40"/>
      <c r="BS128" s="9"/>
      <c r="BT128" s="9"/>
      <c r="BU128" s="9"/>
      <c r="BV128" s="40"/>
      <c r="BW128" s="40"/>
      <c r="BX128" s="36" t="str">
        <f aca="false">IF(BW128="","",EDATE(BW128,SG_Criteria!$B$54*12))</f>
        <v/>
      </c>
      <c r="BY128" s="33" t="str">
        <f aca="true">IF(A128="","",IF(BW128="","NOTE: not reviewed yet",IF(TODAY()&gt;BX128,"NOTE: review overdue","OK")))</f>
        <v/>
      </c>
      <c r="BZ128" s="37" t="str">
        <f aca="false">IF(A128="","",ROUND((IF(LEN(D128)&gt;0,1,0)+IF(LEN(E128)&gt;0,1,0)+IF(LEN(F128)&gt;0,1,0)+IF(LEN(G128)&gt;0,1,0)+IF(LEN(H128)&gt;0,1,0)+IF(LEN(J128)&gt;0,1,0)+IF(LEN(K128)&gt;0,1,0)+IF(LEN(M128)&gt;0,1,0)+IF(LEN(O128)&gt;0,1,0)+IF(LEN(P128)&gt;0,1,0)+IF(LEN(Q128)&gt;0,1,0)+IF(LEN(S128)&gt;0,1,0)+IF(LEN(AC128)&gt;0,1,0)+IF(LEN(AV128)&gt;0,1,0)+IF(LEN(AW128)&gt;0,1,0)+IF(LEN(AG128)&gt;0,1,0)+IF(LEN(AI128)&gt;0,1,0)+IF(LEN(AJ128)&gt;0,1,0)+IF(LEN(AK128)&gt;0,1,0)+IF(LEN(AL128)&gt;0,1,0)+IF(LEN(AU128)&gt;0,1,0)+IF(LEN(BH128)&gt;0,1,0)+IF(LEN(BU128)&gt;0,1,0))/23,2))</f>
        <v/>
      </c>
      <c r="CA128" s="10" t="str">
        <f aca="false">IF(D128="","",IF(AND(AJ128="Approved",ISERROR(SEARCH("FAIL",BE128))),"Y","N"))</f>
        <v/>
      </c>
      <c r="CB128" s="10" t="str">
        <f aca="false">IF(D128="","",D128&amp;"|"&amp;G128&amp;"|"&amp;H128&amp;"|"&amp;M128&amp;"|"&amp;CA128)</f>
        <v/>
      </c>
    </row>
    <row r="129" customFormat="false" ht="15" hidden="false" customHeight="false" outlineLevel="0" collapsed="false">
      <c r="A129" s="10" t="str">
        <f aca="false">IF(D129="","","DRN-"&amp;IFERROR(VLOOKUP(D129,Lists!$A$4:$B$27,2,0),"??")&amp;"-"&amp;TEXT(G129,"0000")&amp;"x"&amp;TEXT(H129,"0000")&amp;IF(N(I129)&gt;1,"-"&amp;I129&amp;"C","")&amp;"-"&amp;IFERROR(VLOOKUP(M129,Lists!$J$4:$K$19,2,0),"??")&amp;"-"&amp;AI129)</f>
        <v/>
      </c>
      <c r="B129" s="10" t="str">
        <f aca="false">IF(D129="","",D129&amp;" "&amp;G129&amp;"W x "&amp;H129&amp;"D"&amp;IF(N(I129)&gt;1," ("&amp;I129&amp;" cells)","")&amp;", "&amp;E129&amp;", "&amp;M129&amp;", "&amp;F129)</f>
        <v/>
      </c>
      <c r="C129" s="9"/>
      <c r="D129" s="9"/>
      <c r="E129" s="9"/>
      <c r="F129" s="9"/>
      <c r="G129" s="38"/>
      <c r="H129" s="38"/>
      <c r="I129" s="38"/>
      <c r="J129" s="38"/>
      <c r="K129" s="38"/>
      <c r="L129" s="38"/>
      <c r="M129" s="9"/>
      <c r="N129" s="9"/>
      <c r="O129" s="9"/>
      <c r="P129" s="38"/>
      <c r="Q129" s="9"/>
      <c r="R129" s="9"/>
      <c r="S129" s="9"/>
      <c r="T129" s="9"/>
      <c r="U129" s="9"/>
      <c r="V129" s="9"/>
      <c r="W129" s="9"/>
      <c r="X129" s="9"/>
      <c r="Y129" s="9"/>
      <c r="Z129" s="9"/>
      <c r="AA129" s="9"/>
      <c r="AB129" s="39"/>
      <c r="AC129" s="9"/>
      <c r="AD129" s="38"/>
      <c r="AE129" s="9"/>
      <c r="AF129" s="39"/>
      <c r="AG129" s="9"/>
      <c r="AH129" s="9"/>
      <c r="AI129" s="9"/>
      <c r="AJ129" s="9"/>
      <c r="AK129" s="9"/>
      <c r="AL129" s="9"/>
      <c r="AM129" s="9"/>
      <c r="AN129" s="10" t="str">
        <f aca="false">IF(A129="","",SG_Criteria!$B$6&amp;SG_Criteria!$B$7&amp;"\"&amp;A129&amp;"\")</f>
        <v/>
      </c>
      <c r="AO129" s="10" t="str">
        <f aca="false">IF(A129="","",A129&amp;"_CAD.dwg")</f>
        <v/>
      </c>
      <c r="AP129" s="10" t="str">
        <f aca="false">IF(A129="","",A129&amp;"_DWG.pdf")</f>
        <v/>
      </c>
      <c r="AQ129" s="10" t="str">
        <f aca="false">IF(A129="","",IF(AM129="Y",A129&amp;"_STAAD.std","n/a"))</f>
        <v/>
      </c>
      <c r="AR129" s="10" t="str">
        <f aca="false">IF(A129="","",A129&amp;"_CALC.xlsx")</f>
        <v/>
      </c>
      <c r="AS129" s="10" t="str">
        <f aca="false">IF(A129="","",A129&amp;"_CALC.pdf")</f>
        <v/>
      </c>
      <c r="AT129" s="9"/>
      <c r="AU129" s="9"/>
      <c r="AV129" s="39"/>
      <c r="AW129" s="39"/>
      <c r="AX129" s="39"/>
      <c r="AY129" s="39"/>
      <c r="AZ129" s="39"/>
      <c r="BA129" s="12" t="str">
        <f aca="false">IF(A129="","",IF(COUNTIF(Rebar_Schedule!$A$5:$A$2004,A129)=0,"",ROUND(SUMIF(Rebar_Schedule!$A$5:$A$2004,A129,Rebar_Schedule!$K$5:$K$2004),1)))</f>
        <v/>
      </c>
      <c r="BB129" s="33" t="str">
        <f aca="false">IF(A129="","",IF(BA129="","No rebar schedule yet",IF(ABS(BA129-N(AW129))/MAX(N(AW129),1)&gt;SG_Criteria!$B$55,"NOTE: register rebar differs from schedule by "&amp;TEXT(ABS(BA129-N(AW129))/MAX(N(AW129),1),"0%"),"OK")))</f>
        <v/>
      </c>
      <c r="BC129" s="34" t="str">
        <f aca="false">IF(OR(D129="",G129="",H129="",D129="Sump",D129="Drop Inlet Chamber",D129="Silt Trap",D129="Pipe Culvert",D129="Subsoil Drain"),"",ROUND(MAX(1,N(I129))*(1/SG_Criteria!$B$26)*((G129/1000)*(H129/1000*(1-SG_Criteria!$B$25)))*(((G129/1000)*(H129/1000*(1-SG_Criteria!$B$25)))/((G129/1000)+2*(H129/1000*(1-SG_Criteria!$B$25))))^(2/3)*(1/Design_Selector!$B$11)^0.5,3))</f>
        <v/>
      </c>
      <c r="BD129" s="11" t="str">
        <f aca="false">IF(BC129="","",ROUND(BC129/(MAX(1,N(I129))*G129/1000*(H129/1000*(1-SG_Criteria!$B$25))),2))</f>
        <v/>
      </c>
      <c r="BE129" s="33" t="str">
        <f aca="false">IF(D129="","",IF(LEN(IF(AND(OR(E129="Roadside drain",E129="Entrance culvert"),OR(G129&lt;SG_Criteria!$B$15,H129&lt;SG_Criteria!$B$16)),"FAIL: below PUB min "&amp;SG_Criteria!$B$15&amp;"x"&amp;SG_Criteria!$B$16&amp;" for roadside drain. ","")&amp;IF(AND(E129="Common drain",G129&lt;SG_Criteria!$B$17),"FAIL: common drain W &lt; "&amp;SG_Criteria!$B$17&amp;" mm. ","")&amp;IF(AND(O129&lt;&gt;"",IFERROR(VALUE(MID(O129,2,2)),0)&lt;SG_Criteria!$B$19),"FAIL: grade below C"&amp;SG_Criteria!$B$19&amp;". ","")&amp;IF(AND(P129&lt;&gt;"",P129&lt;SG_Criteria!$B$20),"FAIL: cover &lt; "&amp;SG_Criteria!$B$20&amp;" mm. ","")&amp;IF(AND(F129="Open",H129&gt;SG_Criteria!$B$18),"NOTE: safety railing required (D &gt; "&amp;SG_Criteria!$B$18&amp;" mm). ","")&amp;IF(AND(E129="Entrance culvert",H129&lt;600),"NOTE: check hinged grating rule for culverts &lt; 600 deep (PUB Add. 3). ",""))=0,"OK",IF(AND(OR(E129="Roadside drain",E129="Entrance culvert"),OR(G129&lt;SG_Criteria!$B$15,H129&lt;SG_Criteria!$B$16)),"FAIL: below PUB min "&amp;SG_Criteria!$B$15&amp;"x"&amp;SG_Criteria!$B$16&amp;" for roadside drain. ","")&amp;IF(AND(E129="Common drain",G129&lt;SG_Criteria!$B$17),"FAIL: common drain W &lt; "&amp;SG_Criteria!$B$17&amp;" mm. ","")&amp;IF(AND(O129&lt;&gt;"",IFERROR(VALUE(MID(O129,2,2)),0)&lt;SG_Criteria!$B$19),"FAIL: grade below C"&amp;SG_Criteria!$B$19&amp;". ","")&amp;IF(AND(P129&lt;&gt;"",P129&lt;SG_Criteria!$B$20),"FAIL: cover &lt; "&amp;SG_Criteria!$B$20&amp;" mm. ","")&amp;IF(AND(F129="Open",H129&gt;SG_Criteria!$B$18),"NOTE: safety railing required (D &gt; "&amp;SG_Criteria!$B$18&amp;" mm). ","")&amp;IF(AND(E129="Entrance culvert",H129&lt;600),"NOTE: check hinged grating rule for culverts &lt; 600 deep (PUB Add. 3). ","")))</f>
        <v/>
      </c>
      <c r="BF129" s="9"/>
      <c r="BG129" s="9"/>
      <c r="BH129" s="9"/>
      <c r="BI129" s="10" t="str">
        <f aca="false">IF(BH129="","",IFERROR(VLOOKUP(BH129,Projects!$A$5:$D$504,2,0),"Ref not in Projects"))</f>
        <v/>
      </c>
      <c r="BJ129" s="10" t="str">
        <f aca="false">IF(BH129="","",IFERROR(VLOOKUP(BH129,Projects!$A$5:$D$504,4,0),"Ref not in Projects"))</f>
        <v/>
      </c>
      <c r="BK129" s="9"/>
      <c r="BL129" s="9"/>
      <c r="BM129" s="9"/>
      <c r="BN129" s="40"/>
      <c r="BO129" s="9"/>
      <c r="BP129" s="40"/>
      <c r="BQ129" s="9"/>
      <c r="BR129" s="40"/>
      <c r="BS129" s="9"/>
      <c r="BT129" s="9"/>
      <c r="BU129" s="9"/>
      <c r="BV129" s="40"/>
      <c r="BW129" s="40"/>
      <c r="BX129" s="36" t="str">
        <f aca="false">IF(BW129="","",EDATE(BW129,SG_Criteria!$B$54*12))</f>
        <v/>
      </c>
      <c r="BY129" s="33" t="str">
        <f aca="true">IF(A129="","",IF(BW129="","NOTE: not reviewed yet",IF(TODAY()&gt;BX129,"NOTE: review overdue","OK")))</f>
        <v/>
      </c>
      <c r="BZ129" s="37" t="str">
        <f aca="false">IF(A129="","",ROUND((IF(LEN(D129)&gt;0,1,0)+IF(LEN(E129)&gt;0,1,0)+IF(LEN(F129)&gt;0,1,0)+IF(LEN(G129)&gt;0,1,0)+IF(LEN(H129)&gt;0,1,0)+IF(LEN(J129)&gt;0,1,0)+IF(LEN(K129)&gt;0,1,0)+IF(LEN(M129)&gt;0,1,0)+IF(LEN(O129)&gt;0,1,0)+IF(LEN(P129)&gt;0,1,0)+IF(LEN(Q129)&gt;0,1,0)+IF(LEN(S129)&gt;0,1,0)+IF(LEN(AC129)&gt;0,1,0)+IF(LEN(AV129)&gt;0,1,0)+IF(LEN(AW129)&gt;0,1,0)+IF(LEN(AG129)&gt;0,1,0)+IF(LEN(AI129)&gt;0,1,0)+IF(LEN(AJ129)&gt;0,1,0)+IF(LEN(AK129)&gt;0,1,0)+IF(LEN(AL129)&gt;0,1,0)+IF(LEN(AU129)&gt;0,1,0)+IF(LEN(BH129)&gt;0,1,0)+IF(LEN(BU129)&gt;0,1,0))/23,2))</f>
        <v/>
      </c>
      <c r="CA129" s="10" t="str">
        <f aca="false">IF(D129="","",IF(AND(AJ129="Approved",ISERROR(SEARCH("FAIL",BE129))),"Y","N"))</f>
        <v/>
      </c>
      <c r="CB129" s="10" t="str">
        <f aca="false">IF(D129="","",D129&amp;"|"&amp;G129&amp;"|"&amp;H129&amp;"|"&amp;M129&amp;"|"&amp;CA129)</f>
        <v/>
      </c>
    </row>
    <row r="130" customFormat="false" ht="15" hidden="false" customHeight="false" outlineLevel="0" collapsed="false">
      <c r="A130" s="10" t="str">
        <f aca="false">IF(D130="","","DRN-"&amp;IFERROR(VLOOKUP(D130,Lists!$A$4:$B$27,2,0),"??")&amp;"-"&amp;TEXT(G130,"0000")&amp;"x"&amp;TEXT(H130,"0000")&amp;IF(N(I130)&gt;1,"-"&amp;I130&amp;"C","")&amp;"-"&amp;IFERROR(VLOOKUP(M130,Lists!$J$4:$K$19,2,0),"??")&amp;"-"&amp;AI130)</f>
        <v/>
      </c>
      <c r="B130" s="10" t="str">
        <f aca="false">IF(D130="","",D130&amp;" "&amp;G130&amp;"W x "&amp;H130&amp;"D"&amp;IF(N(I130)&gt;1," ("&amp;I130&amp;" cells)","")&amp;", "&amp;E130&amp;", "&amp;M130&amp;", "&amp;F130)</f>
        <v/>
      </c>
      <c r="C130" s="9"/>
      <c r="D130" s="9"/>
      <c r="E130" s="9"/>
      <c r="F130" s="9"/>
      <c r="G130" s="38"/>
      <c r="H130" s="38"/>
      <c r="I130" s="38"/>
      <c r="J130" s="38"/>
      <c r="K130" s="38"/>
      <c r="L130" s="38"/>
      <c r="M130" s="9"/>
      <c r="N130" s="9"/>
      <c r="O130" s="9"/>
      <c r="P130" s="38"/>
      <c r="Q130" s="9"/>
      <c r="R130" s="9"/>
      <c r="S130" s="9"/>
      <c r="T130" s="9"/>
      <c r="U130" s="9"/>
      <c r="V130" s="9"/>
      <c r="W130" s="9"/>
      <c r="X130" s="9"/>
      <c r="Y130" s="9"/>
      <c r="Z130" s="9"/>
      <c r="AA130" s="9"/>
      <c r="AB130" s="39"/>
      <c r="AC130" s="9"/>
      <c r="AD130" s="38"/>
      <c r="AE130" s="9"/>
      <c r="AF130" s="39"/>
      <c r="AG130" s="9"/>
      <c r="AH130" s="9"/>
      <c r="AI130" s="9"/>
      <c r="AJ130" s="9"/>
      <c r="AK130" s="9"/>
      <c r="AL130" s="9"/>
      <c r="AM130" s="9"/>
      <c r="AN130" s="10" t="str">
        <f aca="false">IF(A130="","",SG_Criteria!$B$6&amp;SG_Criteria!$B$7&amp;"\"&amp;A130&amp;"\")</f>
        <v/>
      </c>
      <c r="AO130" s="10" t="str">
        <f aca="false">IF(A130="","",A130&amp;"_CAD.dwg")</f>
        <v/>
      </c>
      <c r="AP130" s="10" t="str">
        <f aca="false">IF(A130="","",A130&amp;"_DWG.pdf")</f>
        <v/>
      </c>
      <c r="AQ130" s="10" t="str">
        <f aca="false">IF(A130="","",IF(AM130="Y",A130&amp;"_STAAD.std","n/a"))</f>
        <v/>
      </c>
      <c r="AR130" s="10" t="str">
        <f aca="false">IF(A130="","",A130&amp;"_CALC.xlsx")</f>
        <v/>
      </c>
      <c r="AS130" s="10" t="str">
        <f aca="false">IF(A130="","",A130&amp;"_CALC.pdf")</f>
        <v/>
      </c>
      <c r="AT130" s="9"/>
      <c r="AU130" s="9"/>
      <c r="AV130" s="39"/>
      <c r="AW130" s="39"/>
      <c r="AX130" s="39"/>
      <c r="AY130" s="39"/>
      <c r="AZ130" s="39"/>
      <c r="BA130" s="12" t="str">
        <f aca="false">IF(A130="","",IF(COUNTIF(Rebar_Schedule!$A$5:$A$2004,A130)=0,"",ROUND(SUMIF(Rebar_Schedule!$A$5:$A$2004,A130,Rebar_Schedule!$K$5:$K$2004),1)))</f>
        <v/>
      </c>
      <c r="BB130" s="33" t="str">
        <f aca="false">IF(A130="","",IF(BA130="","No rebar schedule yet",IF(ABS(BA130-N(AW130))/MAX(N(AW130),1)&gt;SG_Criteria!$B$55,"NOTE: register rebar differs from schedule by "&amp;TEXT(ABS(BA130-N(AW130))/MAX(N(AW130),1),"0%"),"OK")))</f>
        <v/>
      </c>
      <c r="BC130" s="34" t="str">
        <f aca="false">IF(OR(D130="",G130="",H130="",D130="Sump",D130="Drop Inlet Chamber",D130="Silt Trap",D130="Pipe Culvert",D130="Subsoil Drain"),"",ROUND(MAX(1,N(I130))*(1/SG_Criteria!$B$26)*((G130/1000)*(H130/1000*(1-SG_Criteria!$B$25)))*(((G130/1000)*(H130/1000*(1-SG_Criteria!$B$25)))/((G130/1000)+2*(H130/1000*(1-SG_Criteria!$B$25))))^(2/3)*(1/Design_Selector!$B$11)^0.5,3))</f>
        <v/>
      </c>
      <c r="BD130" s="11" t="str">
        <f aca="false">IF(BC130="","",ROUND(BC130/(MAX(1,N(I130))*G130/1000*(H130/1000*(1-SG_Criteria!$B$25))),2))</f>
        <v/>
      </c>
      <c r="BE130" s="33" t="str">
        <f aca="false">IF(D130="","",IF(LEN(IF(AND(OR(E130="Roadside drain",E130="Entrance culvert"),OR(G130&lt;SG_Criteria!$B$15,H130&lt;SG_Criteria!$B$16)),"FAIL: below PUB min "&amp;SG_Criteria!$B$15&amp;"x"&amp;SG_Criteria!$B$16&amp;" for roadside drain. ","")&amp;IF(AND(E130="Common drain",G130&lt;SG_Criteria!$B$17),"FAIL: common drain W &lt; "&amp;SG_Criteria!$B$17&amp;" mm. ","")&amp;IF(AND(O130&lt;&gt;"",IFERROR(VALUE(MID(O130,2,2)),0)&lt;SG_Criteria!$B$19),"FAIL: grade below C"&amp;SG_Criteria!$B$19&amp;". ","")&amp;IF(AND(P130&lt;&gt;"",P130&lt;SG_Criteria!$B$20),"FAIL: cover &lt; "&amp;SG_Criteria!$B$20&amp;" mm. ","")&amp;IF(AND(F130="Open",H130&gt;SG_Criteria!$B$18),"NOTE: safety railing required (D &gt; "&amp;SG_Criteria!$B$18&amp;" mm). ","")&amp;IF(AND(E130="Entrance culvert",H130&lt;600),"NOTE: check hinged grating rule for culverts &lt; 600 deep (PUB Add. 3). ",""))=0,"OK",IF(AND(OR(E130="Roadside drain",E130="Entrance culvert"),OR(G130&lt;SG_Criteria!$B$15,H130&lt;SG_Criteria!$B$16)),"FAIL: below PUB min "&amp;SG_Criteria!$B$15&amp;"x"&amp;SG_Criteria!$B$16&amp;" for roadside drain. ","")&amp;IF(AND(E130="Common drain",G130&lt;SG_Criteria!$B$17),"FAIL: common drain W &lt; "&amp;SG_Criteria!$B$17&amp;" mm. ","")&amp;IF(AND(O130&lt;&gt;"",IFERROR(VALUE(MID(O130,2,2)),0)&lt;SG_Criteria!$B$19),"FAIL: grade below C"&amp;SG_Criteria!$B$19&amp;". ","")&amp;IF(AND(P130&lt;&gt;"",P130&lt;SG_Criteria!$B$20),"FAIL: cover &lt; "&amp;SG_Criteria!$B$20&amp;" mm. ","")&amp;IF(AND(F130="Open",H130&gt;SG_Criteria!$B$18),"NOTE: safety railing required (D &gt; "&amp;SG_Criteria!$B$18&amp;" mm). ","")&amp;IF(AND(E130="Entrance culvert",H130&lt;600),"NOTE: check hinged grating rule for culverts &lt; 600 deep (PUB Add. 3). ","")))</f>
        <v/>
      </c>
      <c r="BF130" s="9"/>
      <c r="BG130" s="9"/>
      <c r="BH130" s="9"/>
      <c r="BI130" s="10" t="str">
        <f aca="false">IF(BH130="","",IFERROR(VLOOKUP(BH130,Projects!$A$5:$D$504,2,0),"Ref not in Projects"))</f>
        <v/>
      </c>
      <c r="BJ130" s="10" t="str">
        <f aca="false">IF(BH130="","",IFERROR(VLOOKUP(BH130,Projects!$A$5:$D$504,4,0),"Ref not in Projects"))</f>
        <v/>
      </c>
      <c r="BK130" s="9"/>
      <c r="BL130" s="9"/>
      <c r="BM130" s="9"/>
      <c r="BN130" s="40"/>
      <c r="BO130" s="9"/>
      <c r="BP130" s="40"/>
      <c r="BQ130" s="9"/>
      <c r="BR130" s="40"/>
      <c r="BS130" s="9"/>
      <c r="BT130" s="9"/>
      <c r="BU130" s="9"/>
      <c r="BV130" s="40"/>
      <c r="BW130" s="40"/>
      <c r="BX130" s="36" t="str">
        <f aca="false">IF(BW130="","",EDATE(BW130,SG_Criteria!$B$54*12))</f>
        <v/>
      </c>
      <c r="BY130" s="33" t="str">
        <f aca="true">IF(A130="","",IF(BW130="","NOTE: not reviewed yet",IF(TODAY()&gt;BX130,"NOTE: review overdue","OK")))</f>
        <v/>
      </c>
      <c r="BZ130" s="37" t="str">
        <f aca="false">IF(A130="","",ROUND((IF(LEN(D130)&gt;0,1,0)+IF(LEN(E130)&gt;0,1,0)+IF(LEN(F130)&gt;0,1,0)+IF(LEN(G130)&gt;0,1,0)+IF(LEN(H130)&gt;0,1,0)+IF(LEN(J130)&gt;0,1,0)+IF(LEN(K130)&gt;0,1,0)+IF(LEN(M130)&gt;0,1,0)+IF(LEN(O130)&gt;0,1,0)+IF(LEN(P130)&gt;0,1,0)+IF(LEN(Q130)&gt;0,1,0)+IF(LEN(S130)&gt;0,1,0)+IF(LEN(AC130)&gt;0,1,0)+IF(LEN(AV130)&gt;0,1,0)+IF(LEN(AW130)&gt;0,1,0)+IF(LEN(AG130)&gt;0,1,0)+IF(LEN(AI130)&gt;0,1,0)+IF(LEN(AJ130)&gt;0,1,0)+IF(LEN(AK130)&gt;0,1,0)+IF(LEN(AL130)&gt;0,1,0)+IF(LEN(AU130)&gt;0,1,0)+IF(LEN(BH130)&gt;0,1,0)+IF(LEN(BU130)&gt;0,1,0))/23,2))</f>
        <v/>
      </c>
      <c r="CA130" s="10" t="str">
        <f aca="false">IF(D130="","",IF(AND(AJ130="Approved",ISERROR(SEARCH("FAIL",BE130))),"Y","N"))</f>
        <v/>
      </c>
      <c r="CB130" s="10" t="str">
        <f aca="false">IF(D130="","",D130&amp;"|"&amp;G130&amp;"|"&amp;H130&amp;"|"&amp;M130&amp;"|"&amp;CA130)</f>
        <v/>
      </c>
    </row>
    <row r="131" customFormat="false" ht="15" hidden="false" customHeight="false" outlineLevel="0" collapsed="false">
      <c r="A131" s="10" t="str">
        <f aca="false">IF(D131="","","DRN-"&amp;IFERROR(VLOOKUP(D131,Lists!$A$4:$B$27,2,0),"??")&amp;"-"&amp;TEXT(G131,"0000")&amp;"x"&amp;TEXT(H131,"0000")&amp;IF(N(I131)&gt;1,"-"&amp;I131&amp;"C","")&amp;"-"&amp;IFERROR(VLOOKUP(M131,Lists!$J$4:$K$19,2,0),"??")&amp;"-"&amp;AI131)</f>
        <v/>
      </c>
      <c r="B131" s="10" t="str">
        <f aca="false">IF(D131="","",D131&amp;" "&amp;G131&amp;"W x "&amp;H131&amp;"D"&amp;IF(N(I131)&gt;1," ("&amp;I131&amp;" cells)","")&amp;", "&amp;E131&amp;", "&amp;M131&amp;", "&amp;F131)</f>
        <v/>
      </c>
      <c r="C131" s="9"/>
      <c r="D131" s="9"/>
      <c r="E131" s="9"/>
      <c r="F131" s="9"/>
      <c r="G131" s="38"/>
      <c r="H131" s="38"/>
      <c r="I131" s="38"/>
      <c r="J131" s="38"/>
      <c r="K131" s="38"/>
      <c r="L131" s="38"/>
      <c r="M131" s="9"/>
      <c r="N131" s="9"/>
      <c r="O131" s="9"/>
      <c r="P131" s="38"/>
      <c r="Q131" s="9"/>
      <c r="R131" s="9"/>
      <c r="S131" s="9"/>
      <c r="T131" s="9"/>
      <c r="U131" s="9"/>
      <c r="V131" s="9"/>
      <c r="W131" s="9"/>
      <c r="X131" s="9"/>
      <c r="Y131" s="9"/>
      <c r="Z131" s="9"/>
      <c r="AA131" s="9"/>
      <c r="AB131" s="39"/>
      <c r="AC131" s="9"/>
      <c r="AD131" s="38"/>
      <c r="AE131" s="9"/>
      <c r="AF131" s="39"/>
      <c r="AG131" s="9"/>
      <c r="AH131" s="9"/>
      <c r="AI131" s="9"/>
      <c r="AJ131" s="9"/>
      <c r="AK131" s="9"/>
      <c r="AL131" s="9"/>
      <c r="AM131" s="9"/>
      <c r="AN131" s="10" t="str">
        <f aca="false">IF(A131="","",SG_Criteria!$B$6&amp;SG_Criteria!$B$7&amp;"\"&amp;A131&amp;"\")</f>
        <v/>
      </c>
      <c r="AO131" s="10" t="str">
        <f aca="false">IF(A131="","",A131&amp;"_CAD.dwg")</f>
        <v/>
      </c>
      <c r="AP131" s="10" t="str">
        <f aca="false">IF(A131="","",A131&amp;"_DWG.pdf")</f>
        <v/>
      </c>
      <c r="AQ131" s="10" t="str">
        <f aca="false">IF(A131="","",IF(AM131="Y",A131&amp;"_STAAD.std","n/a"))</f>
        <v/>
      </c>
      <c r="AR131" s="10" t="str">
        <f aca="false">IF(A131="","",A131&amp;"_CALC.xlsx")</f>
        <v/>
      </c>
      <c r="AS131" s="10" t="str">
        <f aca="false">IF(A131="","",A131&amp;"_CALC.pdf")</f>
        <v/>
      </c>
      <c r="AT131" s="9"/>
      <c r="AU131" s="9"/>
      <c r="AV131" s="39"/>
      <c r="AW131" s="39"/>
      <c r="AX131" s="39"/>
      <c r="AY131" s="39"/>
      <c r="AZ131" s="39"/>
      <c r="BA131" s="12" t="str">
        <f aca="false">IF(A131="","",IF(COUNTIF(Rebar_Schedule!$A$5:$A$2004,A131)=0,"",ROUND(SUMIF(Rebar_Schedule!$A$5:$A$2004,A131,Rebar_Schedule!$K$5:$K$2004),1)))</f>
        <v/>
      </c>
      <c r="BB131" s="33" t="str">
        <f aca="false">IF(A131="","",IF(BA131="","No rebar schedule yet",IF(ABS(BA131-N(AW131))/MAX(N(AW131),1)&gt;SG_Criteria!$B$55,"NOTE: register rebar differs from schedule by "&amp;TEXT(ABS(BA131-N(AW131))/MAX(N(AW131),1),"0%"),"OK")))</f>
        <v/>
      </c>
      <c r="BC131" s="34" t="str">
        <f aca="false">IF(OR(D131="",G131="",H131="",D131="Sump",D131="Drop Inlet Chamber",D131="Silt Trap",D131="Pipe Culvert",D131="Subsoil Drain"),"",ROUND(MAX(1,N(I131))*(1/SG_Criteria!$B$26)*((G131/1000)*(H131/1000*(1-SG_Criteria!$B$25)))*(((G131/1000)*(H131/1000*(1-SG_Criteria!$B$25)))/((G131/1000)+2*(H131/1000*(1-SG_Criteria!$B$25))))^(2/3)*(1/Design_Selector!$B$11)^0.5,3))</f>
        <v/>
      </c>
      <c r="BD131" s="11" t="str">
        <f aca="false">IF(BC131="","",ROUND(BC131/(MAX(1,N(I131))*G131/1000*(H131/1000*(1-SG_Criteria!$B$25))),2))</f>
        <v/>
      </c>
      <c r="BE131" s="33" t="str">
        <f aca="false">IF(D131="","",IF(LEN(IF(AND(OR(E131="Roadside drain",E131="Entrance culvert"),OR(G131&lt;SG_Criteria!$B$15,H131&lt;SG_Criteria!$B$16)),"FAIL: below PUB min "&amp;SG_Criteria!$B$15&amp;"x"&amp;SG_Criteria!$B$16&amp;" for roadside drain. ","")&amp;IF(AND(E131="Common drain",G131&lt;SG_Criteria!$B$17),"FAIL: common drain W &lt; "&amp;SG_Criteria!$B$17&amp;" mm. ","")&amp;IF(AND(O131&lt;&gt;"",IFERROR(VALUE(MID(O131,2,2)),0)&lt;SG_Criteria!$B$19),"FAIL: grade below C"&amp;SG_Criteria!$B$19&amp;". ","")&amp;IF(AND(P131&lt;&gt;"",P131&lt;SG_Criteria!$B$20),"FAIL: cover &lt; "&amp;SG_Criteria!$B$20&amp;" mm. ","")&amp;IF(AND(F131="Open",H131&gt;SG_Criteria!$B$18),"NOTE: safety railing required (D &gt; "&amp;SG_Criteria!$B$18&amp;" mm). ","")&amp;IF(AND(E131="Entrance culvert",H131&lt;600),"NOTE: check hinged grating rule for culverts &lt; 600 deep (PUB Add. 3). ",""))=0,"OK",IF(AND(OR(E131="Roadside drain",E131="Entrance culvert"),OR(G131&lt;SG_Criteria!$B$15,H131&lt;SG_Criteria!$B$16)),"FAIL: below PUB min "&amp;SG_Criteria!$B$15&amp;"x"&amp;SG_Criteria!$B$16&amp;" for roadside drain. ","")&amp;IF(AND(E131="Common drain",G131&lt;SG_Criteria!$B$17),"FAIL: common drain W &lt; "&amp;SG_Criteria!$B$17&amp;" mm. ","")&amp;IF(AND(O131&lt;&gt;"",IFERROR(VALUE(MID(O131,2,2)),0)&lt;SG_Criteria!$B$19),"FAIL: grade below C"&amp;SG_Criteria!$B$19&amp;". ","")&amp;IF(AND(P131&lt;&gt;"",P131&lt;SG_Criteria!$B$20),"FAIL: cover &lt; "&amp;SG_Criteria!$B$20&amp;" mm. ","")&amp;IF(AND(F131="Open",H131&gt;SG_Criteria!$B$18),"NOTE: safety railing required (D &gt; "&amp;SG_Criteria!$B$18&amp;" mm). ","")&amp;IF(AND(E131="Entrance culvert",H131&lt;600),"NOTE: check hinged grating rule for culverts &lt; 600 deep (PUB Add. 3). ","")))</f>
        <v/>
      </c>
      <c r="BF131" s="9"/>
      <c r="BG131" s="9"/>
      <c r="BH131" s="9"/>
      <c r="BI131" s="10" t="str">
        <f aca="false">IF(BH131="","",IFERROR(VLOOKUP(BH131,Projects!$A$5:$D$504,2,0),"Ref not in Projects"))</f>
        <v/>
      </c>
      <c r="BJ131" s="10" t="str">
        <f aca="false">IF(BH131="","",IFERROR(VLOOKUP(BH131,Projects!$A$5:$D$504,4,0),"Ref not in Projects"))</f>
        <v/>
      </c>
      <c r="BK131" s="9"/>
      <c r="BL131" s="9"/>
      <c r="BM131" s="9"/>
      <c r="BN131" s="40"/>
      <c r="BO131" s="9"/>
      <c r="BP131" s="40"/>
      <c r="BQ131" s="9"/>
      <c r="BR131" s="40"/>
      <c r="BS131" s="9"/>
      <c r="BT131" s="9"/>
      <c r="BU131" s="9"/>
      <c r="BV131" s="40"/>
      <c r="BW131" s="40"/>
      <c r="BX131" s="36" t="str">
        <f aca="false">IF(BW131="","",EDATE(BW131,SG_Criteria!$B$54*12))</f>
        <v/>
      </c>
      <c r="BY131" s="33" t="str">
        <f aca="true">IF(A131="","",IF(BW131="","NOTE: not reviewed yet",IF(TODAY()&gt;BX131,"NOTE: review overdue","OK")))</f>
        <v/>
      </c>
      <c r="BZ131" s="37" t="str">
        <f aca="false">IF(A131="","",ROUND((IF(LEN(D131)&gt;0,1,0)+IF(LEN(E131)&gt;0,1,0)+IF(LEN(F131)&gt;0,1,0)+IF(LEN(G131)&gt;0,1,0)+IF(LEN(H131)&gt;0,1,0)+IF(LEN(J131)&gt;0,1,0)+IF(LEN(K131)&gt;0,1,0)+IF(LEN(M131)&gt;0,1,0)+IF(LEN(O131)&gt;0,1,0)+IF(LEN(P131)&gt;0,1,0)+IF(LEN(Q131)&gt;0,1,0)+IF(LEN(S131)&gt;0,1,0)+IF(LEN(AC131)&gt;0,1,0)+IF(LEN(AV131)&gt;0,1,0)+IF(LEN(AW131)&gt;0,1,0)+IF(LEN(AG131)&gt;0,1,0)+IF(LEN(AI131)&gt;0,1,0)+IF(LEN(AJ131)&gt;0,1,0)+IF(LEN(AK131)&gt;0,1,0)+IF(LEN(AL131)&gt;0,1,0)+IF(LEN(AU131)&gt;0,1,0)+IF(LEN(BH131)&gt;0,1,0)+IF(LEN(BU131)&gt;0,1,0))/23,2))</f>
        <v/>
      </c>
      <c r="CA131" s="10" t="str">
        <f aca="false">IF(D131="","",IF(AND(AJ131="Approved",ISERROR(SEARCH("FAIL",BE131))),"Y","N"))</f>
        <v/>
      </c>
      <c r="CB131" s="10" t="str">
        <f aca="false">IF(D131="","",D131&amp;"|"&amp;G131&amp;"|"&amp;H131&amp;"|"&amp;M131&amp;"|"&amp;CA131)</f>
        <v/>
      </c>
    </row>
    <row r="132" customFormat="false" ht="15" hidden="false" customHeight="false" outlineLevel="0" collapsed="false">
      <c r="A132" s="10" t="str">
        <f aca="false">IF(D132="","","DRN-"&amp;IFERROR(VLOOKUP(D132,Lists!$A$4:$B$27,2,0),"??")&amp;"-"&amp;TEXT(G132,"0000")&amp;"x"&amp;TEXT(H132,"0000")&amp;IF(N(I132)&gt;1,"-"&amp;I132&amp;"C","")&amp;"-"&amp;IFERROR(VLOOKUP(M132,Lists!$J$4:$K$19,2,0),"??")&amp;"-"&amp;AI132)</f>
        <v/>
      </c>
      <c r="B132" s="10" t="str">
        <f aca="false">IF(D132="","",D132&amp;" "&amp;G132&amp;"W x "&amp;H132&amp;"D"&amp;IF(N(I132)&gt;1," ("&amp;I132&amp;" cells)","")&amp;", "&amp;E132&amp;", "&amp;M132&amp;", "&amp;F132)</f>
        <v/>
      </c>
      <c r="C132" s="9"/>
      <c r="D132" s="9"/>
      <c r="E132" s="9"/>
      <c r="F132" s="9"/>
      <c r="G132" s="38"/>
      <c r="H132" s="38"/>
      <c r="I132" s="38"/>
      <c r="J132" s="38"/>
      <c r="K132" s="38"/>
      <c r="L132" s="38"/>
      <c r="M132" s="9"/>
      <c r="N132" s="9"/>
      <c r="O132" s="9"/>
      <c r="P132" s="38"/>
      <c r="Q132" s="9"/>
      <c r="R132" s="9"/>
      <c r="S132" s="9"/>
      <c r="T132" s="9"/>
      <c r="U132" s="9"/>
      <c r="V132" s="9"/>
      <c r="W132" s="9"/>
      <c r="X132" s="9"/>
      <c r="Y132" s="9"/>
      <c r="Z132" s="9"/>
      <c r="AA132" s="9"/>
      <c r="AB132" s="39"/>
      <c r="AC132" s="9"/>
      <c r="AD132" s="38"/>
      <c r="AE132" s="9"/>
      <c r="AF132" s="39"/>
      <c r="AG132" s="9"/>
      <c r="AH132" s="9"/>
      <c r="AI132" s="9"/>
      <c r="AJ132" s="9"/>
      <c r="AK132" s="9"/>
      <c r="AL132" s="9"/>
      <c r="AM132" s="9"/>
      <c r="AN132" s="10" t="str">
        <f aca="false">IF(A132="","",SG_Criteria!$B$6&amp;SG_Criteria!$B$7&amp;"\"&amp;A132&amp;"\")</f>
        <v/>
      </c>
      <c r="AO132" s="10" t="str">
        <f aca="false">IF(A132="","",A132&amp;"_CAD.dwg")</f>
        <v/>
      </c>
      <c r="AP132" s="10" t="str">
        <f aca="false">IF(A132="","",A132&amp;"_DWG.pdf")</f>
        <v/>
      </c>
      <c r="AQ132" s="10" t="str">
        <f aca="false">IF(A132="","",IF(AM132="Y",A132&amp;"_STAAD.std","n/a"))</f>
        <v/>
      </c>
      <c r="AR132" s="10" t="str">
        <f aca="false">IF(A132="","",A132&amp;"_CALC.xlsx")</f>
        <v/>
      </c>
      <c r="AS132" s="10" t="str">
        <f aca="false">IF(A132="","",A132&amp;"_CALC.pdf")</f>
        <v/>
      </c>
      <c r="AT132" s="9"/>
      <c r="AU132" s="9"/>
      <c r="AV132" s="39"/>
      <c r="AW132" s="39"/>
      <c r="AX132" s="39"/>
      <c r="AY132" s="39"/>
      <c r="AZ132" s="39"/>
      <c r="BA132" s="12" t="str">
        <f aca="false">IF(A132="","",IF(COUNTIF(Rebar_Schedule!$A$5:$A$2004,A132)=0,"",ROUND(SUMIF(Rebar_Schedule!$A$5:$A$2004,A132,Rebar_Schedule!$K$5:$K$2004),1)))</f>
        <v/>
      </c>
      <c r="BB132" s="33" t="str">
        <f aca="false">IF(A132="","",IF(BA132="","No rebar schedule yet",IF(ABS(BA132-N(AW132))/MAX(N(AW132),1)&gt;SG_Criteria!$B$55,"NOTE: register rebar differs from schedule by "&amp;TEXT(ABS(BA132-N(AW132))/MAX(N(AW132),1),"0%"),"OK")))</f>
        <v/>
      </c>
      <c r="BC132" s="34" t="str">
        <f aca="false">IF(OR(D132="",G132="",H132="",D132="Sump",D132="Drop Inlet Chamber",D132="Silt Trap",D132="Pipe Culvert",D132="Subsoil Drain"),"",ROUND(MAX(1,N(I132))*(1/SG_Criteria!$B$26)*((G132/1000)*(H132/1000*(1-SG_Criteria!$B$25)))*(((G132/1000)*(H132/1000*(1-SG_Criteria!$B$25)))/((G132/1000)+2*(H132/1000*(1-SG_Criteria!$B$25))))^(2/3)*(1/Design_Selector!$B$11)^0.5,3))</f>
        <v/>
      </c>
      <c r="BD132" s="11" t="str">
        <f aca="false">IF(BC132="","",ROUND(BC132/(MAX(1,N(I132))*G132/1000*(H132/1000*(1-SG_Criteria!$B$25))),2))</f>
        <v/>
      </c>
      <c r="BE132" s="33" t="str">
        <f aca="false">IF(D132="","",IF(LEN(IF(AND(OR(E132="Roadside drain",E132="Entrance culvert"),OR(G132&lt;SG_Criteria!$B$15,H132&lt;SG_Criteria!$B$16)),"FAIL: below PUB min "&amp;SG_Criteria!$B$15&amp;"x"&amp;SG_Criteria!$B$16&amp;" for roadside drain. ","")&amp;IF(AND(E132="Common drain",G132&lt;SG_Criteria!$B$17),"FAIL: common drain W &lt; "&amp;SG_Criteria!$B$17&amp;" mm. ","")&amp;IF(AND(O132&lt;&gt;"",IFERROR(VALUE(MID(O132,2,2)),0)&lt;SG_Criteria!$B$19),"FAIL: grade below C"&amp;SG_Criteria!$B$19&amp;". ","")&amp;IF(AND(P132&lt;&gt;"",P132&lt;SG_Criteria!$B$20),"FAIL: cover &lt; "&amp;SG_Criteria!$B$20&amp;" mm. ","")&amp;IF(AND(F132="Open",H132&gt;SG_Criteria!$B$18),"NOTE: safety railing required (D &gt; "&amp;SG_Criteria!$B$18&amp;" mm). ","")&amp;IF(AND(E132="Entrance culvert",H132&lt;600),"NOTE: check hinged grating rule for culverts &lt; 600 deep (PUB Add. 3). ",""))=0,"OK",IF(AND(OR(E132="Roadside drain",E132="Entrance culvert"),OR(G132&lt;SG_Criteria!$B$15,H132&lt;SG_Criteria!$B$16)),"FAIL: below PUB min "&amp;SG_Criteria!$B$15&amp;"x"&amp;SG_Criteria!$B$16&amp;" for roadside drain. ","")&amp;IF(AND(E132="Common drain",G132&lt;SG_Criteria!$B$17),"FAIL: common drain W &lt; "&amp;SG_Criteria!$B$17&amp;" mm. ","")&amp;IF(AND(O132&lt;&gt;"",IFERROR(VALUE(MID(O132,2,2)),0)&lt;SG_Criteria!$B$19),"FAIL: grade below C"&amp;SG_Criteria!$B$19&amp;". ","")&amp;IF(AND(P132&lt;&gt;"",P132&lt;SG_Criteria!$B$20),"FAIL: cover &lt; "&amp;SG_Criteria!$B$20&amp;" mm. ","")&amp;IF(AND(F132="Open",H132&gt;SG_Criteria!$B$18),"NOTE: safety railing required (D &gt; "&amp;SG_Criteria!$B$18&amp;" mm). ","")&amp;IF(AND(E132="Entrance culvert",H132&lt;600),"NOTE: check hinged grating rule for culverts &lt; 600 deep (PUB Add. 3). ","")))</f>
        <v/>
      </c>
      <c r="BF132" s="9"/>
      <c r="BG132" s="9"/>
      <c r="BH132" s="9"/>
      <c r="BI132" s="10" t="str">
        <f aca="false">IF(BH132="","",IFERROR(VLOOKUP(BH132,Projects!$A$5:$D$504,2,0),"Ref not in Projects"))</f>
        <v/>
      </c>
      <c r="BJ132" s="10" t="str">
        <f aca="false">IF(BH132="","",IFERROR(VLOOKUP(BH132,Projects!$A$5:$D$504,4,0),"Ref not in Projects"))</f>
        <v/>
      </c>
      <c r="BK132" s="9"/>
      <c r="BL132" s="9"/>
      <c r="BM132" s="9"/>
      <c r="BN132" s="40"/>
      <c r="BO132" s="9"/>
      <c r="BP132" s="40"/>
      <c r="BQ132" s="9"/>
      <c r="BR132" s="40"/>
      <c r="BS132" s="9"/>
      <c r="BT132" s="9"/>
      <c r="BU132" s="9"/>
      <c r="BV132" s="40"/>
      <c r="BW132" s="40"/>
      <c r="BX132" s="36" t="str">
        <f aca="false">IF(BW132="","",EDATE(BW132,SG_Criteria!$B$54*12))</f>
        <v/>
      </c>
      <c r="BY132" s="33" t="str">
        <f aca="true">IF(A132="","",IF(BW132="","NOTE: not reviewed yet",IF(TODAY()&gt;BX132,"NOTE: review overdue","OK")))</f>
        <v/>
      </c>
      <c r="BZ132" s="37" t="str">
        <f aca="false">IF(A132="","",ROUND((IF(LEN(D132)&gt;0,1,0)+IF(LEN(E132)&gt;0,1,0)+IF(LEN(F132)&gt;0,1,0)+IF(LEN(G132)&gt;0,1,0)+IF(LEN(H132)&gt;0,1,0)+IF(LEN(J132)&gt;0,1,0)+IF(LEN(K132)&gt;0,1,0)+IF(LEN(M132)&gt;0,1,0)+IF(LEN(O132)&gt;0,1,0)+IF(LEN(P132)&gt;0,1,0)+IF(LEN(Q132)&gt;0,1,0)+IF(LEN(S132)&gt;0,1,0)+IF(LEN(AC132)&gt;0,1,0)+IF(LEN(AV132)&gt;0,1,0)+IF(LEN(AW132)&gt;0,1,0)+IF(LEN(AG132)&gt;0,1,0)+IF(LEN(AI132)&gt;0,1,0)+IF(LEN(AJ132)&gt;0,1,0)+IF(LEN(AK132)&gt;0,1,0)+IF(LEN(AL132)&gt;0,1,0)+IF(LEN(AU132)&gt;0,1,0)+IF(LEN(BH132)&gt;0,1,0)+IF(LEN(BU132)&gt;0,1,0))/23,2))</f>
        <v/>
      </c>
      <c r="CA132" s="10" t="str">
        <f aca="false">IF(D132="","",IF(AND(AJ132="Approved",ISERROR(SEARCH("FAIL",BE132))),"Y","N"))</f>
        <v/>
      </c>
      <c r="CB132" s="10" t="str">
        <f aca="false">IF(D132="","",D132&amp;"|"&amp;G132&amp;"|"&amp;H132&amp;"|"&amp;M132&amp;"|"&amp;CA132)</f>
        <v/>
      </c>
    </row>
    <row r="133" customFormat="false" ht="15" hidden="false" customHeight="false" outlineLevel="0" collapsed="false">
      <c r="A133" s="10" t="str">
        <f aca="false">IF(D133="","","DRN-"&amp;IFERROR(VLOOKUP(D133,Lists!$A$4:$B$27,2,0),"??")&amp;"-"&amp;TEXT(G133,"0000")&amp;"x"&amp;TEXT(H133,"0000")&amp;IF(N(I133)&gt;1,"-"&amp;I133&amp;"C","")&amp;"-"&amp;IFERROR(VLOOKUP(M133,Lists!$J$4:$K$19,2,0),"??")&amp;"-"&amp;AI133)</f>
        <v/>
      </c>
      <c r="B133" s="10" t="str">
        <f aca="false">IF(D133="","",D133&amp;" "&amp;G133&amp;"W x "&amp;H133&amp;"D"&amp;IF(N(I133)&gt;1," ("&amp;I133&amp;" cells)","")&amp;", "&amp;E133&amp;", "&amp;M133&amp;", "&amp;F133)</f>
        <v/>
      </c>
      <c r="C133" s="9"/>
      <c r="D133" s="9"/>
      <c r="E133" s="9"/>
      <c r="F133" s="9"/>
      <c r="G133" s="38"/>
      <c r="H133" s="38"/>
      <c r="I133" s="38"/>
      <c r="J133" s="38"/>
      <c r="K133" s="38"/>
      <c r="L133" s="38"/>
      <c r="M133" s="9"/>
      <c r="N133" s="9"/>
      <c r="O133" s="9"/>
      <c r="P133" s="38"/>
      <c r="Q133" s="9"/>
      <c r="R133" s="9"/>
      <c r="S133" s="9"/>
      <c r="T133" s="9"/>
      <c r="U133" s="9"/>
      <c r="V133" s="9"/>
      <c r="W133" s="9"/>
      <c r="X133" s="9"/>
      <c r="Y133" s="9"/>
      <c r="Z133" s="9"/>
      <c r="AA133" s="9"/>
      <c r="AB133" s="39"/>
      <c r="AC133" s="9"/>
      <c r="AD133" s="38"/>
      <c r="AE133" s="9"/>
      <c r="AF133" s="39"/>
      <c r="AG133" s="9"/>
      <c r="AH133" s="9"/>
      <c r="AI133" s="9"/>
      <c r="AJ133" s="9"/>
      <c r="AK133" s="9"/>
      <c r="AL133" s="9"/>
      <c r="AM133" s="9"/>
      <c r="AN133" s="10" t="str">
        <f aca="false">IF(A133="","",SG_Criteria!$B$6&amp;SG_Criteria!$B$7&amp;"\"&amp;A133&amp;"\")</f>
        <v/>
      </c>
      <c r="AO133" s="10" t="str">
        <f aca="false">IF(A133="","",A133&amp;"_CAD.dwg")</f>
        <v/>
      </c>
      <c r="AP133" s="10" t="str">
        <f aca="false">IF(A133="","",A133&amp;"_DWG.pdf")</f>
        <v/>
      </c>
      <c r="AQ133" s="10" t="str">
        <f aca="false">IF(A133="","",IF(AM133="Y",A133&amp;"_STAAD.std","n/a"))</f>
        <v/>
      </c>
      <c r="AR133" s="10" t="str">
        <f aca="false">IF(A133="","",A133&amp;"_CALC.xlsx")</f>
        <v/>
      </c>
      <c r="AS133" s="10" t="str">
        <f aca="false">IF(A133="","",A133&amp;"_CALC.pdf")</f>
        <v/>
      </c>
      <c r="AT133" s="9"/>
      <c r="AU133" s="9"/>
      <c r="AV133" s="39"/>
      <c r="AW133" s="39"/>
      <c r="AX133" s="39"/>
      <c r="AY133" s="39"/>
      <c r="AZ133" s="39"/>
      <c r="BA133" s="12" t="str">
        <f aca="false">IF(A133="","",IF(COUNTIF(Rebar_Schedule!$A$5:$A$2004,A133)=0,"",ROUND(SUMIF(Rebar_Schedule!$A$5:$A$2004,A133,Rebar_Schedule!$K$5:$K$2004),1)))</f>
        <v/>
      </c>
      <c r="BB133" s="33" t="str">
        <f aca="false">IF(A133="","",IF(BA133="","No rebar schedule yet",IF(ABS(BA133-N(AW133))/MAX(N(AW133),1)&gt;SG_Criteria!$B$55,"NOTE: register rebar differs from schedule by "&amp;TEXT(ABS(BA133-N(AW133))/MAX(N(AW133),1),"0%"),"OK")))</f>
        <v/>
      </c>
      <c r="BC133" s="34" t="str">
        <f aca="false">IF(OR(D133="",G133="",H133="",D133="Sump",D133="Drop Inlet Chamber",D133="Silt Trap",D133="Pipe Culvert",D133="Subsoil Drain"),"",ROUND(MAX(1,N(I133))*(1/SG_Criteria!$B$26)*((G133/1000)*(H133/1000*(1-SG_Criteria!$B$25)))*(((G133/1000)*(H133/1000*(1-SG_Criteria!$B$25)))/((G133/1000)+2*(H133/1000*(1-SG_Criteria!$B$25))))^(2/3)*(1/Design_Selector!$B$11)^0.5,3))</f>
        <v/>
      </c>
      <c r="BD133" s="11" t="str">
        <f aca="false">IF(BC133="","",ROUND(BC133/(MAX(1,N(I133))*G133/1000*(H133/1000*(1-SG_Criteria!$B$25))),2))</f>
        <v/>
      </c>
      <c r="BE133" s="33" t="str">
        <f aca="false">IF(D133="","",IF(LEN(IF(AND(OR(E133="Roadside drain",E133="Entrance culvert"),OR(G133&lt;SG_Criteria!$B$15,H133&lt;SG_Criteria!$B$16)),"FAIL: below PUB min "&amp;SG_Criteria!$B$15&amp;"x"&amp;SG_Criteria!$B$16&amp;" for roadside drain. ","")&amp;IF(AND(E133="Common drain",G133&lt;SG_Criteria!$B$17),"FAIL: common drain W &lt; "&amp;SG_Criteria!$B$17&amp;" mm. ","")&amp;IF(AND(O133&lt;&gt;"",IFERROR(VALUE(MID(O133,2,2)),0)&lt;SG_Criteria!$B$19),"FAIL: grade below C"&amp;SG_Criteria!$B$19&amp;". ","")&amp;IF(AND(P133&lt;&gt;"",P133&lt;SG_Criteria!$B$20),"FAIL: cover &lt; "&amp;SG_Criteria!$B$20&amp;" mm. ","")&amp;IF(AND(F133="Open",H133&gt;SG_Criteria!$B$18),"NOTE: safety railing required (D &gt; "&amp;SG_Criteria!$B$18&amp;" mm). ","")&amp;IF(AND(E133="Entrance culvert",H133&lt;600),"NOTE: check hinged grating rule for culverts &lt; 600 deep (PUB Add. 3). ",""))=0,"OK",IF(AND(OR(E133="Roadside drain",E133="Entrance culvert"),OR(G133&lt;SG_Criteria!$B$15,H133&lt;SG_Criteria!$B$16)),"FAIL: below PUB min "&amp;SG_Criteria!$B$15&amp;"x"&amp;SG_Criteria!$B$16&amp;" for roadside drain. ","")&amp;IF(AND(E133="Common drain",G133&lt;SG_Criteria!$B$17),"FAIL: common drain W &lt; "&amp;SG_Criteria!$B$17&amp;" mm. ","")&amp;IF(AND(O133&lt;&gt;"",IFERROR(VALUE(MID(O133,2,2)),0)&lt;SG_Criteria!$B$19),"FAIL: grade below C"&amp;SG_Criteria!$B$19&amp;". ","")&amp;IF(AND(P133&lt;&gt;"",P133&lt;SG_Criteria!$B$20),"FAIL: cover &lt; "&amp;SG_Criteria!$B$20&amp;" mm. ","")&amp;IF(AND(F133="Open",H133&gt;SG_Criteria!$B$18),"NOTE: safety railing required (D &gt; "&amp;SG_Criteria!$B$18&amp;" mm). ","")&amp;IF(AND(E133="Entrance culvert",H133&lt;600),"NOTE: check hinged grating rule for culverts &lt; 600 deep (PUB Add. 3). ","")))</f>
        <v/>
      </c>
      <c r="BF133" s="9"/>
      <c r="BG133" s="9"/>
      <c r="BH133" s="9"/>
      <c r="BI133" s="10" t="str">
        <f aca="false">IF(BH133="","",IFERROR(VLOOKUP(BH133,Projects!$A$5:$D$504,2,0),"Ref not in Projects"))</f>
        <v/>
      </c>
      <c r="BJ133" s="10" t="str">
        <f aca="false">IF(BH133="","",IFERROR(VLOOKUP(BH133,Projects!$A$5:$D$504,4,0),"Ref not in Projects"))</f>
        <v/>
      </c>
      <c r="BK133" s="9"/>
      <c r="BL133" s="9"/>
      <c r="BM133" s="9"/>
      <c r="BN133" s="40"/>
      <c r="BO133" s="9"/>
      <c r="BP133" s="40"/>
      <c r="BQ133" s="9"/>
      <c r="BR133" s="40"/>
      <c r="BS133" s="9"/>
      <c r="BT133" s="9"/>
      <c r="BU133" s="9"/>
      <c r="BV133" s="40"/>
      <c r="BW133" s="40"/>
      <c r="BX133" s="36" t="str">
        <f aca="false">IF(BW133="","",EDATE(BW133,SG_Criteria!$B$54*12))</f>
        <v/>
      </c>
      <c r="BY133" s="33" t="str">
        <f aca="true">IF(A133="","",IF(BW133="","NOTE: not reviewed yet",IF(TODAY()&gt;BX133,"NOTE: review overdue","OK")))</f>
        <v/>
      </c>
      <c r="BZ133" s="37" t="str">
        <f aca="false">IF(A133="","",ROUND((IF(LEN(D133)&gt;0,1,0)+IF(LEN(E133)&gt;0,1,0)+IF(LEN(F133)&gt;0,1,0)+IF(LEN(G133)&gt;0,1,0)+IF(LEN(H133)&gt;0,1,0)+IF(LEN(J133)&gt;0,1,0)+IF(LEN(K133)&gt;0,1,0)+IF(LEN(M133)&gt;0,1,0)+IF(LEN(O133)&gt;0,1,0)+IF(LEN(P133)&gt;0,1,0)+IF(LEN(Q133)&gt;0,1,0)+IF(LEN(S133)&gt;0,1,0)+IF(LEN(AC133)&gt;0,1,0)+IF(LEN(AV133)&gt;0,1,0)+IF(LEN(AW133)&gt;0,1,0)+IF(LEN(AG133)&gt;0,1,0)+IF(LEN(AI133)&gt;0,1,0)+IF(LEN(AJ133)&gt;0,1,0)+IF(LEN(AK133)&gt;0,1,0)+IF(LEN(AL133)&gt;0,1,0)+IF(LEN(AU133)&gt;0,1,0)+IF(LEN(BH133)&gt;0,1,0)+IF(LEN(BU133)&gt;0,1,0))/23,2))</f>
        <v/>
      </c>
      <c r="CA133" s="10" t="str">
        <f aca="false">IF(D133="","",IF(AND(AJ133="Approved",ISERROR(SEARCH("FAIL",BE133))),"Y","N"))</f>
        <v/>
      </c>
      <c r="CB133" s="10" t="str">
        <f aca="false">IF(D133="","",D133&amp;"|"&amp;G133&amp;"|"&amp;H133&amp;"|"&amp;M133&amp;"|"&amp;CA133)</f>
        <v/>
      </c>
    </row>
    <row r="134" customFormat="false" ht="15" hidden="false" customHeight="false" outlineLevel="0" collapsed="false">
      <c r="A134" s="10" t="str">
        <f aca="false">IF(D134="","","DRN-"&amp;IFERROR(VLOOKUP(D134,Lists!$A$4:$B$27,2,0),"??")&amp;"-"&amp;TEXT(G134,"0000")&amp;"x"&amp;TEXT(H134,"0000")&amp;IF(N(I134)&gt;1,"-"&amp;I134&amp;"C","")&amp;"-"&amp;IFERROR(VLOOKUP(M134,Lists!$J$4:$K$19,2,0),"??")&amp;"-"&amp;AI134)</f>
        <v/>
      </c>
      <c r="B134" s="10" t="str">
        <f aca="false">IF(D134="","",D134&amp;" "&amp;G134&amp;"W x "&amp;H134&amp;"D"&amp;IF(N(I134)&gt;1," ("&amp;I134&amp;" cells)","")&amp;", "&amp;E134&amp;", "&amp;M134&amp;", "&amp;F134)</f>
        <v/>
      </c>
      <c r="C134" s="9"/>
      <c r="D134" s="9"/>
      <c r="E134" s="9"/>
      <c r="F134" s="9"/>
      <c r="G134" s="38"/>
      <c r="H134" s="38"/>
      <c r="I134" s="38"/>
      <c r="J134" s="38"/>
      <c r="K134" s="38"/>
      <c r="L134" s="38"/>
      <c r="M134" s="9"/>
      <c r="N134" s="9"/>
      <c r="O134" s="9"/>
      <c r="P134" s="38"/>
      <c r="Q134" s="9"/>
      <c r="R134" s="9"/>
      <c r="S134" s="9"/>
      <c r="T134" s="9"/>
      <c r="U134" s="9"/>
      <c r="V134" s="9"/>
      <c r="W134" s="9"/>
      <c r="X134" s="9"/>
      <c r="Y134" s="9"/>
      <c r="Z134" s="9"/>
      <c r="AA134" s="9"/>
      <c r="AB134" s="39"/>
      <c r="AC134" s="9"/>
      <c r="AD134" s="38"/>
      <c r="AE134" s="9"/>
      <c r="AF134" s="39"/>
      <c r="AG134" s="9"/>
      <c r="AH134" s="9"/>
      <c r="AI134" s="9"/>
      <c r="AJ134" s="9"/>
      <c r="AK134" s="9"/>
      <c r="AL134" s="9"/>
      <c r="AM134" s="9"/>
      <c r="AN134" s="10" t="str">
        <f aca="false">IF(A134="","",SG_Criteria!$B$6&amp;SG_Criteria!$B$7&amp;"\"&amp;A134&amp;"\")</f>
        <v/>
      </c>
      <c r="AO134" s="10" t="str">
        <f aca="false">IF(A134="","",A134&amp;"_CAD.dwg")</f>
        <v/>
      </c>
      <c r="AP134" s="10" t="str">
        <f aca="false">IF(A134="","",A134&amp;"_DWG.pdf")</f>
        <v/>
      </c>
      <c r="AQ134" s="10" t="str">
        <f aca="false">IF(A134="","",IF(AM134="Y",A134&amp;"_STAAD.std","n/a"))</f>
        <v/>
      </c>
      <c r="AR134" s="10" t="str">
        <f aca="false">IF(A134="","",A134&amp;"_CALC.xlsx")</f>
        <v/>
      </c>
      <c r="AS134" s="10" t="str">
        <f aca="false">IF(A134="","",A134&amp;"_CALC.pdf")</f>
        <v/>
      </c>
      <c r="AT134" s="9"/>
      <c r="AU134" s="9"/>
      <c r="AV134" s="39"/>
      <c r="AW134" s="39"/>
      <c r="AX134" s="39"/>
      <c r="AY134" s="39"/>
      <c r="AZ134" s="39"/>
      <c r="BA134" s="12" t="str">
        <f aca="false">IF(A134="","",IF(COUNTIF(Rebar_Schedule!$A$5:$A$2004,A134)=0,"",ROUND(SUMIF(Rebar_Schedule!$A$5:$A$2004,A134,Rebar_Schedule!$K$5:$K$2004),1)))</f>
        <v/>
      </c>
      <c r="BB134" s="33" t="str">
        <f aca="false">IF(A134="","",IF(BA134="","No rebar schedule yet",IF(ABS(BA134-N(AW134))/MAX(N(AW134),1)&gt;SG_Criteria!$B$55,"NOTE: register rebar differs from schedule by "&amp;TEXT(ABS(BA134-N(AW134))/MAX(N(AW134),1),"0%"),"OK")))</f>
        <v/>
      </c>
      <c r="BC134" s="34" t="str">
        <f aca="false">IF(OR(D134="",G134="",H134="",D134="Sump",D134="Drop Inlet Chamber",D134="Silt Trap",D134="Pipe Culvert",D134="Subsoil Drain"),"",ROUND(MAX(1,N(I134))*(1/SG_Criteria!$B$26)*((G134/1000)*(H134/1000*(1-SG_Criteria!$B$25)))*(((G134/1000)*(H134/1000*(1-SG_Criteria!$B$25)))/((G134/1000)+2*(H134/1000*(1-SG_Criteria!$B$25))))^(2/3)*(1/Design_Selector!$B$11)^0.5,3))</f>
        <v/>
      </c>
      <c r="BD134" s="11" t="str">
        <f aca="false">IF(BC134="","",ROUND(BC134/(MAX(1,N(I134))*G134/1000*(H134/1000*(1-SG_Criteria!$B$25))),2))</f>
        <v/>
      </c>
      <c r="BE134" s="33" t="str">
        <f aca="false">IF(D134="","",IF(LEN(IF(AND(OR(E134="Roadside drain",E134="Entrance culvert"),OR(G134&lt;SG_Criteria!$B$15,H134&lt;SG_Criteria!$B$16)),"FAIL: below PUB min "&amp;SG_Criteria!$B$15&amp;"x"&amp;SG_Criteria!$B$16&amp;" for roadside drain. ","")&amp;IF(AND(E134="Common drain",G134&lt;SG_Criteria!$B$17),"FAIL: common drain W &lt; "&amp;SG_Criteria!$B$17&amp;" mm. ","")&amp;IF(AND(O134&lt;&gt;"",IFERROR(VALUE(MID(O134,2,2)),0)&lt;SG_Criteria!$B$19),"FAIL: grade below C"&amp;SG_Criteria!$B$19&amp;". ","")&amp;IF(AND(P134&lt;&gt;"",P134&lt;SG_Criteria!$B$20),"FAIL: cover &lt; "&amp;SG_Criteria!$B$20&amp;" mm. ","")&amp;IF(AND(F134="Open",H134&gt;SG_Criteria!$B$18),"NOTE: safety railing required (D &gt; "&amp;SG_Criteria!$B$18&amp;" mm). ","")&amp;IF(AND(E134="Entrance culvert",H134&lt;600),"NOTE: check hinged grating rule for culverts &lt; 600 deep (PUB Add. 3). ",""))=0,"OK",IF(AND(OR(E134="Roadside drain",E134="Entrance culvert"),OR(G134&lt;SG_Criteria!$B$15,H134&lt;SG_Criteria!$B$16)),"FAIL: below PUB min "&amp;SG_Criteria!$B$15&amp;"x"&amp;SG_Criteria!$B$16&amp;" for roadside drain. ","")&amp;IF(AND(E134="Common drain",G134&lt;SG_Criteria!$B$17),"FAIL: common drain W &lt; "&amp;SG_Criteria!$B$17&amp;" mm. ","")&amp;IF(AND(O134&lt;&gt;"",IFERROR(VALUE(MID(O134,2,2)),0)&lt;SG_Criteria!$B$19),"FAIL: grade below C"&amp;SG_Criteria!$B$19&amp;". ","")&amp;IF(AND(P134&lt;&gt;"",P134&lt;SG_Criteria!$B$20),"FAIL: cover &lt; "&amp;SG_Criteria!$B$20&amp;" mm. ","")&amp;IF(AND(F134="Open",H134&gt;SG_Criteria!$B$18),"NOTE: safety railing required (D &gt; "&amp;SG_Criteria!$B$18&amp;" mm). ","")&amp;IF(AND(E134="Entrance culvert",H134&lt;600),"NOTE: check hinged grating rule for culverts &lt; 600 deep (PUB Add. 3). ","")))</f>
        <v/>
      </c>
      <c r="BF134" s="9"/>
      <c r="BG134" s="9"/>
      <c r="BH134" s="9"/>
      <c r="BI134" s="10" t="str">
        <f aca="false">IF(BH134="","",IFERROR(VLOOKUP(BH134,Projects!$A$5:$D$504,2,0),"Ref not in Projects"))</f>
        <v/>
      </c>
      <c r="BJ134" s="10" t="str">
        <f aca="false">IF(BH134="","",IFERROR(VLOOKUP(BH134,Projects!$A$5:$D$504,4,0),"Ref not in Projects"))</f>
        <v/>
      </c>
      <c r="BK134" s="9"/>
      <c r="BL134" s="9"/>
      <c r="BM134" s="9"/>
      <c r="BN134" s="40"/>
      <c r="BO134" s="9"/>
      <c r="BP134" s="40"/>
      <c r="BQ134" s="9"/>
      <c r="BR134" s="40"/>
      <c r="BS134" s="9"/>
      <c r="BT134" s="9"/>
      <c r="BU134" s="9"/>
      <c r="BV134" s="40"/>
      <c r="BW134" s="40"/>
      <c r="BX134" s="36" t="str">
        <f aca="false">IF(BW134="","",EDATE(BW134,SG_Criteria!$B$54*12))</f>
        <v/>
      </c>
      <c r="BY134" s="33" t="str">
        <f aca="true">IF(A134="","",IF(BW134="","NOTE: not reviewed yet",IF(TODAY()&gt;BX134,"NOTE: review overdue","OK")))</f>
        <v/>
      </c>
      <c r="BZ134" s="37" t="str">
        <f aca="false">IF(A134="","",ROUND((IF(LEN(D134)&gt;0,1,0)+IF(LEN(E134)&gt;0,1,0)+IF(LEN(F134)&gt;0,1,0)+IF(LEN(G134)&gt;0,1,0)+IF(LEN(H134)&gt;0,1,0)+IF(LEN(J134)&gt;0,1,0)+IF(LEN(K134)&gt;0,1,0)+IF(LEN(M134)&gt;0,1,0)+IF(LEN(O134)&gt;0,1,0)+IF(LEN(P134)&gt;0,1,0)+IF(LEN(Q134)&gt;0,1,0)+IF(LEN(S134)&gt;0,1,0)+IF(LEN(AC134)&gt;0,1,0)+IF(LEN(AV134)&gt;0,1,0)+IF(LEN(AW134)&gt;0,1,0)+IF(LEN(AG134)&gt;0,1,0)+IF(LEN(AI134)&gt;0,1,0)+IF(LEN(AJ134)&gt;0,1,0)+IF(LEN(AK134)&gt;0,1,0)+IF(LEN(AL134)&gt;0,1,0)+IF(LEN(AU134)&gt;0,1,0)+IF(LEN(BH134)&gt;0,1,0)+IF(LEN(BU134)&gt;0,1,0))/23,2))</f>
        <v/>
      </c>
      <c r="CA134" s="10" t="str">
        <f aca="false">IF(D134="","",IF(AND(AJ134="Approved",ISERROR(SEARCH("FAIL",BE134))),"Y","N"))</f>
        <v/>
      </c>
      <c r="CB134" s="10" t="str">
        <f aca="false">IF(D134="","",D134&amp;"|"&amp;G134&amp;"|"&amp;H134&amp;"|"&amp;M134&amp;"|"&amp;CA134)</f>
        <v/>
      </c>
    </row>
    <row r="135" customFormat="false" ht="15" hidden="false" customHeight="false" outlineLevel="0" collapsed="false">
      <c r="A135" s="10" t="str">
        <f aca="false">IF(D135="","","DRN-"&amp;IFERROR(VLOOKUP(D135,Lists!$A$4:$B$27,2,0),"??")&amp;"-"&amp;TEXT(G135,"0000")&amp;"x"&amp;TEXT(H135,"0000")&amp;IF(N(I135)&gt;1,"-"&amp;I135&amp;"C","")&amp;"-"&amp;IFERROR(VLOOKUP(M135,Lists!$J$4:$K$19,2,0),"??")&amp;"-"&amp;AI135)</f>
        <v/>
      </c>
      <c r="B135" s="10" t="str">
        <f aca="false">IF(D135="","",D135&amp;" "&amp;G135&amp;"W x "&amp;H135&amp;"D"&amp;IF(N(I135)&gt;1," ("&amp;I135&amp;" cells)","")&amp;", "&amp;E135&amp;", "&amp;M135&amp;", "&amp;F135)</f>
        <v/>
      </c>
      <c r="C135" s="9"/>
      <c r="D135" s="9"/>
      <c r="E135" s="9"/>
      <c r="F135" s="9"/>
      <c r="G135" s="38"/>
      <c r="H135" s="38"/>
      <c r="I135" s="38"/>
      <c r="J135" s="38"/>
      <c r="K135" s="38"/>
      <c r="L135" s="38"/>
      <c r="M135" s="9"/>
      <c r="N135" s="9"/>
      <c r="O135" s="9"/>
      <c r="P135" s="38"/>
      <c r="Q135" s="9"/>
      <c r="R135" s="9"/>
      <c r="S135" s="9"/>
      <c r="T135" s="9"/>
      <c r="U135" s="9"/>
      <c r="V135" s="9"/>
      <c r="W135" s="9"/>
      <c r="X135" s="9"/>
      <c r="Y135" s="9"/>
      <c r="Z135" s="9"/>
      <c r="AA135" s="9"/>
      <c r="AB135" s="39"/>
      <c r="AC135" s="9"/>
      <c r="AD135" s="38"/>
      <c r="AE135" s="9"/>
      <c r="AF135" s="39"/>
      <c r="AG135" s="9"/>
      <c r="AH135" s="9"/>
      <c r="AI135" s="9"/>
      <c r="AJ135" s="9"/>
      <c r="AK135" s="9"/>
      <c r="AL135" s="9"/>
      <c r="AM135" s="9"/>
      <c r="AN135" s="10" t="str">
        <f aca="false">IF(A135="","",SG_Criteria!$B$6&amp;SG_Criteria!$B$7&amp;"\"&amp;A135&amp;"\")</f>
        <v/>
      </c>
      <c r="AO135" s="10" t="str">
        <f aca="false">IF(A135="","",A135&amp;"_CAD.dwg")</f>
        <v/>
      </c>
      <c r="AP135" s="10" t="str">
        <f aca="false">IF(A135="","",A135&amp;"_DWG.pdf")</f>
        <v/>
      </c>
      <c r="AQ135" s="10" t="str">
        <f aca="false">IF(A135="","",IF(AM135="Y",A135&amp;"_STAAD.std","n/a"))</f>
        <v/>
      </c>
      <c r="AR135" s="10" t="str">
        <f aca="false">IF(A135="","",A135&amp;"_CALC.xlsx")</f>
        <v/>
      </c>
      <c r="AS135" s="10" t="str">
        <f aca="false">IF(A135="","",A135&amp;"_CALC.pdf")</f>
        <v/>
      </c>
      <c r="AT135" s="9"/>
      <c r="AU135" s="9"/>
      <c r="AV135" s="39"/>
      <c r="AW135" s="39"/>
      <c r="AX135" s="39"/>
      <c r="AY135" s="39"/>
      <c r="AZ135" s="39"/>
      <c r="BA135" s="12" t="str">
        <f aca="false">IF(A135="","",IF(COUNTIF(Rebar_Schedule!$A$5:$A$2004,A135)=0,"",ROUND(SUMIF(Rebar_Schedule!$A$5:$A$2004,A135,Rebar_Schedule!$K$5:$K$2004),1)))</f>
        <v/>
      </c>
      <c r="BB135" s="33" t="str">
        <f aca="false">IF(A135="","",IF(BA135="","No rebar schedule yet",IF(ABS(BA135-N(AW135))/MAX(N(AW135),1)&gt;SG_Criteria!$B$55,"NOTE: register rebar differs from schedule by "&amp;TEXT(ABS(BA135-N(AW135))/MAX(N(AW135),1),"0%"),"OK")))</f>
        <v/>
      </c>
      <c r="BC135" s="34" t="str">
        <f aca="false">IF(OR(D135="",G135="",H135="",D135="Sump",D135="Drop Inlet Chamber",D135="Silt Trap",D135="Pipe Culvert",D135="Subsoil Drain"),"",ROUND(MAX(1,N(I135))*(1/SG_Criteria!$B$26)*((G135/1000)*(H135/1000*(1-SG_Criteria!$B$25)))*(((G135/1000)*(H135/1000*(1-SG_Criteria!$B$25)))/((G135/1000)+2*(H135/1000*(1-SG_Criteria!$B$25))))^(2/3)*(1/Design_Selector!$B$11)^0.5,3))</f>
        <v/>
      </c>
      <c r="BD135" s="11" t="str">
        <f aca="false">IF(BC135="","",ROUND(BC135/(MAX(1,N(I135))*G135/1000*(H135/1000*(1-SG_Criteria!$B$25))),2))</f>
        <v/>
      </c>
      <c r="BE135" s="33" t="str">
        <f aca="false">IF(D135="","",IF(LEN(IF(AND(OR(E135="Roadside drain",E135="Entrance culvert"),OR(G135&lt;SG_Criteria!$B$15,H135&lt;SG_Criteria!$B$16)),"FAIL: below PUB min "&amp;SG_Criteria!$B$15&amp;"x"&amp;SG_Criteria!$B$16&amp;" for roadside drain. ","")&amp;IF(AND(E135="Common drain",G135&lt;SG_Criteria!$B$17),"FAIL: common drain W &lt; "&amp;SG_Criteria!$B$17&amp;" mm. ","")&amp;IF(AND(O135&lt;&gt;"",IFERROR(VALUE(MID(O135,2,2)),0)&lt;SG_Criteria!$B$19),"FAIL: grade below C"&amp;SG_Criteria!$B$19&amp;". ","")&amp;IF(AND(P135&lt;&gt;"",P135&lt;SG_Criteria!$B$20),"FAIL: cover &lt; "&amp;SG_Criteria!$B$20&amp;" mm. ","")&amp;IF(AND(F135="Open",H135&gt;SG_Criteria!$B$18),"NOTE: safety railing required (D &gt; "&amp;SG_Criteria!$B$18&amp;" mm). ","")&amp;IF(AND(E135="Entrance culvert",H135&lt;600),"NOTE: check hinged grating rule for culverts &lt; 600 deep (PUB Add. 3). ",""))=0,"OK",IF(AND(OR(E135="Roadside drain",E135="Entrance culvert"),OR(G135&lt;SG_Criteria!$B$15,H135&lt;SG_Criteria!$B$16)),"FAIL: below PUB min "&amp;SG_Criteria!$B$15&amp;"x"&amp;SG_Criteria!$B$16&amp;" for roadside drain. ","")&amp;IF(AND(E135="Common drain",G135&lt;SG_Criteria!$B$17),"FAIL: common drain W &lt; "&amp;SG_Criteria!$B$17&amp;" mm. ","")&amp;IF(AND(O135&lt;&gt;"",IFERROR(VALUE(MID(O135,2,2)),0)&lt;SG_Criteria!$B$19),"FAIL: grade below C"&amp;SG_Criteria!$B$19&amp;". ","")&amp;IF(AND(P135&lt;&gt;"",P135&lt;SG_Criteria!$B$20),"FAIL: cover &lt; "&amp;SG_Criteria!$B$20&amp;" mm. ","")&amp;IF(AND(F135="Open",H135&gt;SG_Criteria!$B$18),"NOTE: safety railing required (D &gt; "&amp;SG_Criteria!$B$18&amp;" mm). ","")&amp;IF(AND(E135="Entrance culvert",H135&lt;600),"NOTE: check hinged grating rule for culverts &lt; 600 deep (PUB Add. 3). ","")))</f>
        <v/>
      </c>
      <c r="BF135" s="9"/>
      <c r="BG135" s="9"/>
      <c r="BH135" s="9"/>
      <c r="BI135" s="10" t="str">
        <f aca="false">IF(BH135="","",IFERROR(VLOOKUP(BH135,Projects!$A$5:$D$504,2,0),"Ref not in Projects"))</f>
        <v/>
      </c>
      <c r="BJ135" s="10" t="str">
        <f aca="false">IF(BH135="","",IFERROR(VLOOKUP(BH135,Projects!$A$5:$D$504,4,0),"Ref not in Projects"))</f>
        <v/>
      </c>
      <c r="BK135" s="9"/>
      <c r="BL135" s="9"/>
      <c r="BM135" s="9"/>
      <c r="BN135" s="40"/>
      <c r="BO135" s="9"/>
      <c r="BP135" s="40"/>
      <c r="BQ135" s="9"/>
      <c r="BR135" s="40"/>
      <c r="BS135" s="9"/>
      <c r="BT135" s="9"/>
      <c r="BU135" s="9"/>
      <c r="BV135" s="40"/>
      <c r="BW135" s="40"/>
      <c r="BX135" s="36" t="str">
        <f aca="false">IF(BW135="","",EDATE(BW135,SG_Criteria!$B$54*12))</f>
        <v/>
      </c>
      <c r="BY135" s="33" t="str">
        <f aca="true">IF(A135="","",IF(BW135="","NOTE: not reviewed yet",IF(TODAY()&gt;BX135,"NOTE: review overdue","OK")))</f>
        <v/>
      </c>
      <c r="BZ135" s="37" t="str">
        <f aca="false">IF(A135="","",ROUND((IF(LEN(D135)&gt;0,1,0)+IF(LEN(E135)&gt;0,1,0)+IF(LEN(F135)&gt;0,1,0)+IF(LEN(G135)&gt;0,1,0)+IF(LEN(H135)&gt;0,1,0)+IF(LEN(J135)&gt;0,1,0)+IF(LEN(K135)&gt;0,1,0)+IF(LEN(M135)&gt;0,1,0)+IF(LEN(O135)&gt;0,1,0)+IF(LEN(P135)&gt;0,1,0)+IF(LEN(Q135)&gt;0,1,0)+IF(LEN(S135)&gt;0,1,0)+IF(LEN(AC135)&gt;0,1,0)+IF(LEN(AV135)&gt;0,1,0)+IF(LEN(AW135)&gt;0,1,0)+IF(LEN(AG135)&gt;0,1,0)+IF(LEN(AI135)&gt;0,1,0)+IF(LEN(AJ135)&gt;0,1,0)+IF(LEN(AK135)&gt;0,1,0)+IF(LEN(AL135)&gt;0,1,0)+IF(LEN(AU135)&gt;0,1,0)+IF(LEN(BH135)&gt;0,1,0)+IF(LEN(BU135)&gt;0,1,0))/23,2))</f>
        <v/>
      </c>
      <c r="CA135" s="10" t="str">
        <f aca="false">IF(D135="","",IF(AND(AJ135="Approved",ISERROR(SEARCH("FAIL",BE135))),"Y","N"))</f>
        <v/>
      </c>
      <c r="CB135" s="10" t="str">
        <f aca="false">IF(D135="","",D135&amp;"|"&amp;G135&amp;"|"&amp;H135&amp;"|"&amp;M135&amp;"|"&amp;CA135)</f>
        <v/>
      </c>
    </row>
    <row r="136" customFormat="false" ht="15" hidden="false" customHeight="false" outlineLevel="0" collapsed="false">
      <c r="A136" s="10" t="str">
        <f aca="false">IF(D136="","","DRN-"&amp;IFERROR(VLOOKUP(D136,Lists!$A$4:$B$27,2,0),"??")&amp;"-"&amp;TEXT(G136,"0000")&amp;"x"&amp;TEXT(H136,"0000")&amp;IF(N(I136)&gt;1,"-"&amp;I136&amp;"C","")&amp;"-"&amp;IFERROR(VLOOKUP(M136,Lists!$J$4:$K$19,2,0),"??")&amp;"-"&amp;AI136)</f>
        <v/>
      </c>
      <c r="B136" s="10" t="str">
        <f aca="false">IF(D136="","",D136&amp;" "&amp;G136&amp;"W x "&amp;H136&amp;"D"&amp;IF(N(I136)&gt;1," ("&amp;I136&amp;" cells)","")&amp;", "&amp;E136&amp;", "&amp;M136&amp;", "&amp;F136)</f>
        <v/>
      </c>
      <c r="C136" s="9"/>
      <c r="D136" s="9"/>
      <c r="E136" s="9"/>
      <c r="F136" s="9"/>
      <c r="G136" s="38"/>
      <c r="H136" s="38"/>
      <c r="I136" s="38"/>
      <c r="J136" s="38"/>
      <c r="K136" s="38"/>
      <c r="L136" s="38"/>
      <c r="M136" s="9"/>
      <c r="N136" s="9"/>
      <c r="O136" s="9"/>
      <c r="P136" s="38"/>
      <c r="Q136" s="9"/>
      <c r="R136" s="9"/>
      <c r="S136" s="9"/>
      <c r="T136" s="9"/>
      <c r="U136" s="9"/>
      <c r="V136" s="9"/>
      <c r="W136" s="9"/>
      <c r="X136" s="9"/>
      <c r="Y136" s="9"/>
      <c r="Z136" s="9"/>
      <c r="AA136" s="9"/>
      <c r="AB136" s="39"/>
      <c r="AC136" s="9"/>
      <c r="AD136" s="38"/>
      <c r="AE136" s="9"/>
      <c r="AF136" s="39"/>
      <c r="AG136" s="9"/>
      <c r="AH136" s="9"/>
      <c r="AI136" s="9"/>
      <c r="AJ136" s="9"/>
      <c r="AK136" s="9"/>
      <c r="AL136" s="9"/>
      <c r="AM136" s="9"/>
      <c r="AN136" s="10" t="str">
        <f aca="false">IF(A136="","",SG_Criteria!$B$6&amp;SG_Criteria!$B$7&amp;"\"&amp;A136&amp;"\")</f>
        <v/>
      </c>
      <c r="AO136" s="10" t="str">
        <f aca="false">IF(A136="","",A136&amp;"_CAD.dwg")</f>
        <v/>
      </c>
      <c r="AP136" s="10" t="str">
        <f aca="false">IF(A136="","",A136&amp;"_DWG.pdf")</f>
        <v/>
      </c>
      <c r="AQ136" s="10" t="str">
        <f aca="false">IF(A136="","",IF(AM136="Y",A136&amp;"_STAAD.std","n/a"))</f>
        <v/>
      </c>
      <c r="AR136" s="10" t="str">
        <f aca="false">IF(A136="","",A136&amp;"_CALC.xlsx")</f>
        <v/>
      </c>
      <c r="AS136" s="10" t="str">
        <f aca="false">IF(A136="","",A136&amp;"_CALC.pdf")</f>
        <v/>
      </c>
      <c r="AT136" s="9"/>
      <c r="AU136" s="9"/>
      <c r="AV136" s="39"/>
      <c r="AW136" s="39"/>
      <c r="AX136" s="39"/>
      <c r="AY136" s="39"/>
      <c r="AZ136" s="39"/>
      <c r="BA136" s="12" t="str">
        <f aca="false">IF(A136="","",IF(COUNTIF(Rebar_Schedule!$A$5:$A$2004,A136)=0,"",ROUND(SUMIF(Rebar_Schedule!$A$5:$A$2004,A136,Rebar_Schedule!$K$5:$K$2004),1)))</f>
        <v/>
      </c>
      <c r="BB136" s="33" t="str">
        <f aca="false">IF(A136="","",IF(BA136="","No rebar schedule yet",IF(ABS(BA136-N(AW136))/MAX(N(AW136),1)&gt;SG_Criteria!$B$55,"NOTE: register rebar differs from schedule by "&amp;TEXT(ABS(BA136-N(AW136))/MAX(N(AW136),1),"0%"),"OK")))</f>
        <v/>
      </c>
      <c r="BC136" s="34" t="str">
        <f aca="false">IF(OR(D136="",G136="",H136="",D136="Sump",D136="Drop Inlet Chamber",D136="Silt Trap",D136="Pipe Culvert",D136="Subsoil Drain"),"",ROUND(MAX(1,N(I136))*(1/SG_Criteria!$B$26)*((G136/1000)*(H136/1000*(1-SG_Criteria!$B$25)))*(((G136/1000)*(H136/1000*(1-SG_Criteria!$B$25)))/((G136/1000)+2*(H136/1000*(1-SG_Criteria!$B$25))))^(2/3)*(1/Design_Selector!$B$11)^0.5,3))</f>
        <v/>
      </c>
      <c r="BD136" s="11" t="str">
        <f aca="false">IF(BC136="","",ROUND(BC136/(MAX(1,N(I136))*G136/1000*(H136/1000*(1-SG_Criteria!$B$25))),2))</f>
        <v/>
      </c>
      <c r="BE136" s="33" t="str">
        <f aca="false">IF(D136="","",IF(LEN(IF(AND(OR(E136="Roadside drain",E136="Entrance culvert"),OR(G136&lt;SG_Criteria!$B$15,H136&lt;SG_Criteria!$B$16)),"FAIL: below PUB min "&amp;SG_Criteria!$B$15&amp;"x"&amp;SG_Criteria!$B$16&amp;" for roadside drain. ","")&amp;IF(AND(E136="Common drain",G136&lt;SG_Criteria!$B$17),"FAIL: common drain W &lt; "&amp;SG_Criteria!$B$17&amp;" mm. ","")&amp;IF(AND(O136&lt;&gt;"",IFERROR(VALUE(MID(O136,2,2)),0)&lt;SG_Criteria!$B$19),"FAIL: grade below C"&amp;SG_Criteria!$B$19&amp;". ","")&amp;IF(AND(P136&lt;&gt;"",P136&lt;SG_Criteria!$B$20),"FAIL: cover &lt; "&amp;SG_Criteria!$B$20&amp;" mm. ","")&amp;IF(AND(F136="Open",H136&gt;SG_Criteria!$B$18),"NOTE: safety railing required (D &gt; "&amp;SG_Criteria!$B$18&amp;" mm). ","")&amp;IF(AND(E136="Entrance culvert",H136&lt;600),"NOTE: check hinged grating rule for culverts &lt; 600 deep (PUB Add. 3). ",""))=0,"OK",IF(AND(OR(E136="Roadside drain",E136="Entrance culvert"),OR(G136&lt;SG_Criteria!$B$15,H136&lt;SG_Criteria!$B$16)),"FAIL: below PUB min "&amp;SG_Criteria!$B$15&amp;"x"&amp;SG_Criteria!$B$16&amp;" for roadside drain. ","")&amp;IF(AND(E136="Common drain",G136&lt;SG_Criteria!$B$17),"FAIL: common drain W &lt; "&amp;SG_Criteria!$B$17&amp;" mm. ","")&amp;IF(AND(O136&lt;&gt;"",IFERROR(VALUE(MID(O136,2,2)),0)&lt;SG_Criteria!$B$19),"FAIL: grade below C"&amp;SG_Criteria!$B$19&amp;". ","")&amp;IF(AND(P136&lt;&gt;"",P136&lt;SG_Criteria!$B$20),"FAIL: cover &lt; "&amp;SG_Criteria!$B$20&amp;" mm. ","")&amp;IF(AND(F136="Open",H136&gt;SG_Criteria!$B$18),"NOTE: safety railing required (D &gt; "&amp;SG_Criteria!$B$18&amp;" mm). ","")&amp;IF(AND(E136="Entrance culvert",H136&lt;600),"NOTE: check hinged grating rule for culverts &lt; 600 deep (PUB Add. 3). ","")))</f>
        <v/>
      </c>
      <c r="BF136" s="9"/>
      <c r="BG136" s="9"/>
      <c r="BH136" s="9"/>
      <c r="BI136" s="10" t="str">
        <f aca="false">IF(BH136="","",IFERROR(VLOOKUP(BH136,Projects!$A$5:$D$504,2,0),"Ref not in Projects"))</f>
        <v/>
      </c>
      <c r="BJ136" s="10" t="str">
        <f aca="false">IF(BH136="","",IFERROR(VLOOKUP(BH136,Projects!$A$5:$D$504,4,0),"Ref not in Projects"))</f>
        <v/>
      </c>
      <c r="BK136" s="9"/>
      <c r="BL136" s="9"/>
      <c r="BM136" s="9"/>
      <c r="BN136" s="40"/>
      <c r="BO136" s="9"/>
      <c r="BP136" s="40"/>
      <c r="BQ136" s="9"/>
      <c r="BR136" s="40"/>
      <c r="BS136" s="9"/>
      <c r="BT136" s="9"/>
      <c r="BU136" s="9"/>
      <c r="BV136" s="40"/>
      <c r="BW136" s="40"/>
      <c r="BX136" s="36" t="str">
        <f aca="false">IF(BW136="","",EDATE(BW136,SG_Criteria!$B$54*12))</f>
        <v/>
      </c>
      <c r="BY136" s="33" t="str">
        <f aca="true">IF(A136="","",IF(BW136="","NOTE: not reviewed yet",IF(TODAY()&gt;BX136,"NOTE: review overdue","OK")))</f>
        <v/>
      </c>
      <c r="BZ136" s="37" t="str">
        <f aca="false">IF(A136="","",ROUND((IF(LEN(D136)&gt;0,1,0)+IF(LEN(E136)&gt;0,1,0)+IF(LEN(F136)&gt;0,1,0)+IF(LEN(G136)&gt;0,1,0)+IF(LEN(H136)&gt;0,1,0)+IF(LEN(J136)&gt;0,1,0)+IF(LEN(K136)&gt;0,1,0)+IF(LEN(M136)&gt;0,1,0)+IF(LEN(O136)&gt;0,1,0)+IF(LEN(P136)&gt;0,1,0)+IF(LEN(Q136)&gt;0,1,0)+IF(LEN(S136)&gt;0,1,0)+IF(LEN(AC136)&gt;0,1,0)+IF(LEN(AV136)&gt;0,1,0)+IF(LEN(AW136)&gt;0,1,0)+IF(LEN(AG136)&gt;0,1,0)+IF(LEN(AI136)&gt;0,1,0)+IF(LEN(AJ136)&gt;0,1,0)+IF(LEN(AK136)&gt;0,1,0)+IF(LEN(AL136)&gt;0,1,0)+IF(LEN(AU136)&gt;0,1,0)+IF(LEN(BH136)&gt;0,1,0)+IF(LEN(BU136)&gt;0,1,0))/23,2))</f>
        <v/>
      </c>
      <c r="CA136" s="10" t="str">
        <f aca="false">IF(D136="","",IF(AND(AJ136="Approved",ISERROR(SEARCH("FAIL",BE136))),"Y","N"))</f>
        <v/>
      </c>
      <c r="CB136" s="10" t="str">
        <f aca="false">IF(D136="","",D136&amp;"|"&amp;G136&amp;"|"&amp;H136&amp;"|"&amp;M136&amp;"|"&amp;CA136)</f>
        <v/>
      </c>
    </row>
    <row r="137" customFormat="false" ht="15" hidden="false" customHeight="false" outlineLevel="0" collapsed="false">
      <c r="A137" s="10" t="str">
        <f aca="false">IF(D137="","","DRN-"&amp;IFERROR(VLOOKUP(D137,Lists!$A$4:$B$27,2,0),"??")&amp;"-"&amp;TEXT(G137,"0000")&amp;"x"&amp;TEXT(H137,"0000")&amp;IF(N(I137)&gt;1,"-"&amp;I137&amp;"C","")&amp;"-"&amp;IFERROR(VLOOKUP(M137,Lists!$J$4:$K$19,2,0),"??")&amp;"-"&amp;AI137)</f>
        <v/>
      </c>
      <c r="B137" s="10" t="str">
        <f aca="false">IF(D137="","",D137&amp;" "&amp;G137&amp;"W x "&amp;H137&amp;"D"&amp;IF(N(I137)&gt;1," ("&amp;I137&amp;" cells)","")&amp;", "&amp;E137&amp;", "&amp;M137&amp;", "&amp;F137)</f>
        <v/>
      </c>
      <c r="C137" s="9"/>
      <c r="D137" s="9"/>
      <c r="E137" s="9"/>
      <c r="F137" s="9"/>
      <c r="G137" s="38"/>
      <c r="H137" s="38"/>
      <c r="I137" s="38"/>
      <c r="J137" s="38"/>
      <c r="K137" s="38"/>
      <c r="L137" s="38"/>
      <c r="M137" s="9"/>
      <c r="N137" s="9"/>
      <c r="O137" s="9"/>
      <c r="P137" s="38"/>
      <c r="Q137" s="9"/>
      <c r="R137" s="9"/>
      <c r="S137" s="9"/>
      <c r="T137" s="9"/>
      <c r="U137" s="9"/>
      <c r="V137" s="9"/>
      <c r="W137" s="9"/>
      <c r="X137" s="9"/>
      <c r="Y137" s="9"/>
      <c r="Z137" s="9"/>
      <c r="AA137" s="9"/>
      <c r="AB137" s="39"/>
      <c r="AC137" s="9"/>
      <c r="AD137" s="38"/>
      <c r="AE137" s="9"/>
      <c r="AF137" s="39"/>
      <c r="AG137" s="9"/>
      <c r="AH137" s="9"/>
      <c r="AI137" s="9"/>
      <c r="AJ137" s="9"/>
      <c r="AK137" s="9"/>
      <c r="AL137" s="9"/>
      <c r="AM137" s="9"/>
      <c r="AN137" s="10" t="str">
        <f aca="false">IF(A137="","",SG_Criteria!$B$6&amp;SG_Criteria!$B$7&amp;"\"&amp;A137&amp;"\")</f>
        <v/>
      </c>
      <c r="AO137" s="10" t="str">
        <f aca="false">IF(A137="","",A137&amp;"_CAD.dwg")</f>
        <v/>
      </c>
      <c r="AP137" s="10" t="str">
        <f aca="false">IF(A137="","",A137&amp;"_DWG.pdf")</f>
        <v/>
      </c>
      <c r="AQ137" s="10" t="str">
        <f aca="false">IF(A137="","",IF(AM137="Y",A137&amp;"_STAAD.std","n/a"))</f>
        <v/>
      </c>
      <c r="AR137" s="10" t="str">
        <f aca="false">IF(A137="","",A137&amp;"_CALC.xlsx")</f>
        <v/>
      </c>
      <c r="AS137" s="10" t="str">
        <f aca="false">IF(A137="","",A137&amp;"_CALC.pdf")</f>
        <v/>
      </c>
      <c r="AT137" s="9"/>
      <c r="AU137" s="9"/>
      <c r="AV137" s="39"/>
      <c r="AW137" s="39"/>
      <c r="AX137" s="39"/>
      <c r="AY137" s="39"/>
      <c r="AZ137" s="39"/>
      <c r="BA137" s="12" t="str">
        <f aca="false">IF(A137="","",IF(COUNTIF(Rebar_Schedule!$A$5:$A$2004,A137)=0,"",ROUND(SUMIF(Rebar_Schedule!$A$5:$A$2004,A137,Rebar_Schedule!$K$5:$K$2004),1)))</f>
        <v/>
      </c>
      <c r="BB137" s="33" t="str">
        <f aca="false">IF(A137="","",IF(BA137="","No rebar schedule yet",IF(ABS(BA137-N(AW137))/MAX(N(AW137),1)&gt;SG_Criteria!$B$55,"NOTE: register rebar differs from schedule by "&amp;TEXT(ABS(BA137-N(AW137))/MAX(N(AW137),1),"0%"),"OK")))</f>
        <v/>
      </c>
      <c r="BC137" s="34" t="str">
        <f aca="false">IF(OR(D137="",G137="",H137="",D137="Sump",D137="Drop Inlet Chamber",D137="Silt Trap",D137="Pipe Culvert",D137="Subsoil Drain"),"",ROUND(MAX(1,N(I137))*(1/SG_Criteria!$B$26)*((G137/1000)*(H137/1000*(1-SG_Criteria!$B$25)))*(((G137/1000)*(H137/1000*(1-SG_Criteria!$B$25)))/((G137/1000)+2*(H137/1000*(1-SG_Criteria!$B$25))))^(2/3)*(1/Design_Selector!$B$11)^0.5,3))</f>
        <v/>
      </c>
      <c r="BD137" s="11" t="str">
        <f aca="false">IF(BC137="","",ROUND(BC137/(MAX(1,N(I137))*G137/1000*(H137/1000*(1-SG_Criteria!$B$25))),2))</f>
        <v/>
      </c>
      <c r="BE137" s="33" t="str">
        <f aca="false">IF(D137="","",IF(LEN(IF(AND(OR(E137="Roadside drain",E137="Entrance culvert"),OR(G137&lt;SG_Criteria!$B$15,H137&lt;SG_Criteria!$B$16)),"FAIL: below PUB min "&amp;SG_Criteria!$B$15&amp;"x"&amp;SG_Criteria!$B$16&amp;" for roadside drain. ","")&amp;IF(AND(E137="Common drain",G137&lt;SG_Criteria!$B$17),"FAIL: common drain W &lt; "&amp;SG_Criteria!$B$17&amp;" mm. ","")&amp;IF(AND(O137&lt;&gt;"",IFERROR(VALUE(MID(O137,2,2)),0)&lt;SG_Criteria!$B$19),"FAIL: grade below C"&amp;SG_Criteria!$B$19&amp;". ","")&amp;IF(AND(P137&lt;&gt;"",P137&lt;SG_Criteria!$B$20),"FAIL: cover &lt; "&amp;SG_Criteria!$B$20&amp;" mm. ","")&amp;IF(AND(F137="Open",H137&gt;SG_Criteria!$B$18),"NOTE: safety railing required (D &gt; "&amp;SG_Criteria!$B$18&amp;" mm). ","")&amp;IF(AND(E137="Entrance culvert",H137&lt;600),"NOTE: check hinged grating rule for culverts &lt; 600 deep (PUB Add. 3). ",""))=0,"OK",IF(AND(OR(E137="Roadside drain",E137="Entrance culvert"),OR(G137&lt;SG_Criteria!$B$15,H137&lt;SG_Criteria!$B$16)),"FAIL: below PUB min "&amp;SG_Criteria!$B$15&amp;"x"&amp;SG_Criteria!$B$16&amp;" for roadside drain. ","")&amp;IF(AND(E137="Common drain",G137&lt;SG_Criteria!$B$17),"FAIL: common drain W &lt; "&amp;SG_Criteria!$B$17&amp;" mm. ","")&amp;IF(AND(O137&lt;&gt;"",IFERROR(VALUE(MID(O137,2,2)),0)&lt;SG_Criteria!$B$19),"FAIL: grade below C"&amp;SG_Criteria!$B$19&amp;". ","")&amp;IF(AND(P137&lt;&gt;"",P137&lt;SG_Criteria!$B$20),"FAIL: cover &lt; "&amp;SG_Criteria!$B$20&amp;" mm. ","")&amp;IF(AND(F137="Open",H137&gt;SG_Criteria!$B$18),"NOTE: safety railing required (D &gt; "&amp;SG_Criteria!$B$18&amp;" mm). ","")&amp;IF(AND(E137="Entrance culvert",H137&lt;600),"NOTE: check hinged grating rule for culverts &lt; 600 deep (PUB Add. 3). ","")))</f>
        <v/>
      </c>
      <c r="BF137" s="9"/>
      <c r="BG137" s="9"/>
      <c r="BH137" s="9"/>
      <c r="BI137" s="10" t="str">
        <f aca="false">IF(BH137="","",IFERROR(VLOOKUP(BH137,Projects!$A$5:$D$504,2,0),"Ref not in Projects"))</f>
        <v/>
      </c>
      <c r="BJ137" s="10" t="str">
        <f aca="false">IF(BH137="","",IFERROR(VLOOKUP(BH137,Projects!$A$5:$D$504,4,0),"Ref not in Projects"))</f>
        <v/>
      </c>
      <c r="BK137" s="9"/>
      <c r="BL137" s="9"/>
      <c r="BM137" s="9"/>
      <c r="BN137" s="40"/>
      <c r="BO137" s="9"/>
      <c r="BP137" s="40"/>
      <c r="BQ137" s="9"/>
      <c r="BR137" s="40"/>
      <c r="BS137" s="9"/>
      <c r="BT137" s="9"/>
      <c r="BU137" s="9"/>
      <c r="BV137" s="40"/>
      <c r="BW137" s="40"/>
      <c r="BX137" s="36" t="str">
        <f aca="false">IF(BW137="","",EDATE(BW137,SG_Criteria!$B$54*12))</f>
        <v/>
      </c>
      <c r="BY137" s="33" t="str">
        <f aca="true">IF(A137="","",IF(BW137="","NOTE: not reviewed yet",IF(TODAY()&gt;BX137,"NOTE: review overdue","OK")))</f>
        <v/>
      </c>
      <c r="BZ137" s="37" t="str">
        <f aca="false">IF(A137="","",ROUND((IF(LEN(D137)&gt;0,1,0)+IF(LEN(E137)&gt;0,1,0)+IF(LEN(F137)&gt;0,1,0)+IF(LEN(G137)&gt;0,1,0)+IF(LEN(H137)&gt;0,1,0)+IF(LEN(J137)&gt;0,1,0)+IF(LEN(K137)&gt;0,1,0)+IF(LEN(M137)&gt;0,1,0)+IF(LEN(O137)&gt;0,1,0)+IF(LEN(P137)&gt;0,1,0)+IF(LEN(Q137)&gt;0,1,0)+IF(LEN(S137)&gt;0,1,0)+IF(LEN(AC137)&gt;0,1,0)+IF(LEN(AV137)&gt;0,1,0)+IF(LEN(AW137)&gt;0,1,0)+IF(LEN(AG137)&gt;0,1,0)+IF(LEN(AI137)&gt;0,1,0)+IF(LEN(AJ137)&gt;0,1,0)+IF(LEN(AK137)&gt;0,1,0)+IF(LEN(AL137)&gt;0,1,0)+IF(LEN(AU137)&gt;0,1,0)+IF(LEN(BH137)&gt;0,1,0)+IF(LEN(BU137)&gt;0,1,0))/23,2))</f>
        <v/>
      </c>
      <c r="CA137" s="10" t="str">
        <f aca="false">IF(D137="","",IF(AND(AJ137="Approved",ISERROR(SEARCH("FAIL",BE137))),"Y","N"))</f>
        <v/>
      </c>
      <c r="CB137" s="10" t="str">
        <f aca="false">IF(D137="","",D137&amp;"|"&amp;G137&amp;"|"&amp;H137&amp;"|"&amp;M137&amp;"|"&amp;CA137)</f>
        <v/>
      </c>
    </row>
    <row r="138" customFormat="false" ht="15" hidden="false" customHeight="false" outlineLevel="0" collapsed="false">
      <c r="A138" s="10" t="str">
        <f aca="false">IF(D138="","","DRN-"&amp;IFERROR(VLOOKUP(D138,Lists!$A$4:$B$27,2,0),"??")&amp;"-"&amp;TEXT(G138,"0000")&amp;"x"&amp;TEXT(H138,"0000")&amp;IF(N(I138)&gt;1,"-"&amp;I138&amp;"C","")&amp;"-"&amp;IFERROR(VLOOKUP(M138,Lists!$J$4:$K$19,2,0),"??")&amp;"-"&amp;AI138)</f>
        <v/>
      </c>
      <c r="B138" s="10" t="str">
        <f aca="false">IF(D138="","",D138&amp;" "&amp;G138&amp;"W x "&amp;H138&amp;"D"&amp;IF(N(I138)&gt;1," ("&amp;I138&amp;" cells)","")&amp;", "&amp;E138&amp;", "&amp;M138&amp;", "&amp;F138)</f>
        <v/>
      </c>
      <c r="C138" s="9"/>
      <c r="D138" s="9"/>
      <c r="E138" s="9"/>
      <c r="F138" s="9"/>
      <c r="G138" s="38"/>
      <c r="H138" s="38"/>
      <c r="I138" s="38"/>
      <c r="J138" s="38"/>
      <c r="K138" s="38"/>
      <c r="L138" s="38"/>
      <c r="M138" s="9"/>
      <c r="N138" s="9"/>
      <c r="O138" s="9"/>
      <c r="P138" s="38"/>
      <c r="Q138" s="9"/>
      <c r="R138" s="9"/>
      <c r="S138" s="9"/>
      <c r="T138" s="9"/>
      <c r="U138" s="9"/>
      <c r="V138" s="9"/>
      <c r="W138" s="9"/>
      <c r="X138" s="9"/>
      <c r="Y138" s="9"/>
      <c r="Z138" s="9"/>
      <c r="AA138" s="9"/>
      <c r="AB138" s="39"/>
      <c r="AC138" s="9"/>
      <c r="AD138" s="38"/>
      <c r="AE138" s="9"/>
      <c r="AF138" s="39"/>
      <c r="AG138" s="9"/>
      <c r="AH138" s="9"/>
      <c r="AI138" s="9"/>
      <c r="AJ138" s="9"/>
      <c r="AK138" s="9"/>
      <c r="AL138" s="9"/>
      <c r="AM138" s="9"/>
      <c r="AN138" s="10" t="str">
        <f aca="false">IF(A138="","",SG_Criteria!$B$6&amp;SG_Criteria!$B$7&amp;"\"&amp;A138&amp;"\")</f>
        <v/>
      </c>
      <c r="AO138" s="10" t="str">
        <f aca="false">IF(A138="","",A138&amp;"_CAD.dwg")</f>
        <v/>
      </c>
      <c r="AP138" s="10" t="str">
        <f aca="false">IF(A138="","",A138&amp;"_DWG.pdf")</f>
        <v/>
      </c>
      <c r="AQ138" s="10" t="str">
        <f aca="false">IF(A138="","",IF(AM138="Y",A138&amp;"_STAAD.std","n/a"))</f>
        <v/>
      </c>
      <c r="AR138" s="10" t="str">
        <f aca="false">IF(A138="","",A138&amp;"_CALC.xlsx")</f>
        <v/>
      </c>
      <c r="AS138" s="10" t="str">
        <f aca="false">IF(A138="","",A138&amp;"_CALC.pdf")</f>
        <v/>
      </c>
      <c r="AT138" s="9"/>
      <c r="AU138" s="9"/>
      <c r="AV138" s="39"/>
      <c r="AW138" s="39"/>
      <c r="AX138" s="39"/>
      <c r="AY138" s="39"/>
      <c r="AZ138" s="39"/>
      <c r="BA138" s="12" t="str">
        <f aca="false">IF(A138="","",IF(COUNTIF(Rebar_Schedule!$A$5:$A$2004,A138)=0,"",ROUND(SUMIF(Rebar_Schedule!$A$5:$A$2004,A138,Rebar_Schedule!$K$5:$K$2004),1)))</f>
        <v/>
      </c>
      <c r="BB138" s="33" t="str">
        <f aca="false">IF(A138="","",IF(BA138="","No rebar schedule yet",IF(ABS(BA138-N(AW138))/MAX(N(AW138),1)&gt;SG_Criteria!$B$55,"NOTE: register rebar differs from schedule by "&amp;TEXT(ABS(BA138-N(AW138))/MAX(N(AW138),1),"0%"),"OK")))</f>
        <v/>
      </c>
      <c r="BC138" s="34" t="str">
        <f aca="false">IF(OR(D138="",G138="",H138="",D138="Sump",D138="Drop Inlet Chamber",D138="Silt Trap",D138="Pipe Culvert",D138="Subsoil Drain"),"",ROUND(MAX(1,N(I138))*(1/SG_Criteria!$B$26)*((G138/1000)*(H138/1000*(1-SG_Criteria!$B$25)))*(((G138/1000)*(H138/1000*(1-SG_Criteria!$B$25)))/((G138/1000)+2*(H138/1000*(1-SG_Criteria!$B$25))))^(2/3)*(1/Design_Selector!$B$11)^0.5,3))</f>
        <v/>
      </c>
      <c r="BD138" s="11" t="str">
        <f aca="false">IF(BC138="","",ROUND(BC138/(MAX(1,N(I138))*G138/1000*(H138/1000*(1-SG_Criteria!$B$25))),2))</f>
        <v/>
      </c>
      <c r="BE138" s="33" t="str">
        <f aca="false">IF(D138="","",IF(LEN(IF(AND(OR(E138="Roadside drain",E138="Entrance culvert"),OR(G138&lt;SG_Criteria!$B$15,H138&lt;SG_Criteria!$B$16)),"FAIL: below PUB min "&amp;SG_Criteria!$B$15&amp;"x"&amp;SG_Criteria!$B$16&amp;" for roadside drain. ","")&amp;IF(AND(E138="Common drain",G138&lt;SG_Criteria!$B$17),"FAIL: common drain W &lt; "&amp;SG_Criteria!$B$17&amp;" mm. ","")&amp;IF(AND(O138&lt;&gt;"",IFERROR(VALUE(MID(O138,2,2)),0)&lt;SG_Criteria!$B$19),"FAIL: grade below C"&amp;SG_Criteria!$B$19&amp;". ","")&amp;IF(AND(P138&lt;&gt;"",P138&lt;SG_Criteria!$B$20),"FAIL: cover &lt; "&amp;SG_Criteria!$B$20&amp;" mm. ","")&amp;IF(AND(F138="Open",H138&gt;SG_Criteria!$B$18),"NOTE: safety railing required (D &gt; "&amp;SG_Criteria!$B$18&amp;" mm). ","")&amp;IF(AND(E138="Entrance culvert",H138&lt;600),"NOTE: check hinged grating rule for culverts &lt; 600 deep (PUB Add. 3). ",""))=0,"OK",IF(AND(OR(E138="Roadside drain",E138="Entrance culvert"),OR(G138&lt;SG_Criteria!$B$15,H138&lt;SG_Criteria!$B$16)),"FAIL: below PUB min "&amp;SG_Criteria!$B$15&amp;"x"&amp;SG_Criteria!$B$16&amp;" for roadside drain. ","")&amp;IF(AND(E138="Common drain",G138&lt;SG_Criteria!$B$17),"FAIL: common drain W &lt; "&amp;SG_Criteria!$B$17&amp;" mm. ","")&amp;IF(AND(O138&lt;&gt;"",IFERROR(VALUE(MID(O138,2,2)),0)&lt;SG_Criteria!$B$19),"FAIL: grade below C"&amp;SG_Criteria!$B$19&amp;". ","")&amp;IF(AND(P138&lt;&gt;"",P138&lt;SG_Criteria!$B$20),"FAIL: cover &lt; "&amp;SG_Criteria!$B$20&amp;" mm. ","")&amp;IF(AND(F138="Open",H138&gt;SG_Criteria!$B$18),"NOTE: safety railing required (D &gt; "&amp;SG_Criteria!$B$18&amp;" mm). ","")&amp;IF(AND(E138="Entrance culvert",H138&lt;600),"NOTE: check hinged grating rule for culverts &lt; 600 deep (PUB Add. 3). ","")))</f>
        <v/>
      </c>
      <c r="BF138" s="9"/>
      <c r="BG138" s="9"/>
      <c r="BH138" s="9"/>
      <c r="BI138" s="10" t="str">
        <f aca="false">IF(BH138="","",IFERROR(VLOOKUP(BH138,Projects!$A$5:$D$504,2,0),"Ref not in Projects"))</f>
        <v/>
      </c>
      <c r="BJ138" s="10" t="str">
        <f aca="false">IF(BH138="","",IFERROR(VLOOKUP(BH138,Projects!$A$5:$D$504,4,0),"Ref not in Projects"))</f>
        <v/>
      </c>
      <c r="BK138" s="9"/>
      <c r="BL138" s="9"/>
      <c r="BM138" s="9"/>
      <c r="BN138" s="40"/>
      <c r="BO138" s="9"/>
      <c r="BP138" s="40"/>
      <c r="BQ138" s="9"/>
      <c r="BR138" s="40"/>
      <c r="BS138" s="9"/>
      <c r="BT138" s="9"/>
      <c r="BU138" s="9"/>
      <c r="BV138" s="40"/>
      <c r="BW138" s="40"/>
      <c r="BX138" s="36" t="str">
        <f aca="false">IF(BW138="","",EDATE(BW138,SG_Criteria!$B$54*12))</f>
        <v/>
      </c>
      <c r="BY138" s="33" t="str">
        <f aca="true">IF(A138="","",IF(BW138="","NOTE: not reviewed yet",IF(TODAY()&gt;BX138,"NOTE: review overdue","OK")))</f>
        <v/>
      </c>
      <c r="BZ138" s="37" t="str">
        <f aca="false">IF(A138="","",ROUND((IF(LEN(D138)&gt;0,1,0)+IF(LEN(E138)&gt;0,1,0)+IF(LEN(F138)&gt;0,1,0)+IF(LEN(G138)&gt;0,1,0)+IF(LEN(H138)&gt;0,1,0)+IF(LEN(J138)&gt;0,1,0)+IF(LEN(K138)&gt;0,1,0)+IF(LEN(M138)&gt;0,1,0)+IF(LEN(O138)&gt;0,1,0)+IF(LEN(P138)&gt;0,1,0)+IF(LEN(Q138)&gt;0,1,0)+IF(LEN(S138)&gt;0,1,0)+IF(LEN(AC138)&gt;0,1,0)+IF(LEN(AV138)&gt;0,1,0)+IF(LEN(AW138)&gt;0,1,0)+IF(LEN(AG138)&gt;0,1,0)+IF(LEN(AI138)&gt;0,1,0)+IF(LEN(AJ138)&gt;0,1,0)+IF(LEN(AK138)&gt;0,1,0)+IF(LEN(AL138)&gt;0,1,0)+IF(LEN(AU138)&gt;0,1,0)+IF(LEN(BH138)&gt;0,1,0)+IF(LEN(BU138)&gt;0,1,0))/23,2))</f>
        <v/>
      </c>
      <c r="CA138" s="10" t="str">
        <f aca="false">IF(D138="","",IF(AND(AJ138="Approved",ISERROR(SEARCH("FAIL",BE138))),"Y","N"))</f>
        <v/>
      </c>
      <c r="CB138" s="10" t="str">
        <f aca="false">IF(D138="","",D138&amp;"|"&amp;G138&amp;"|"&amp;H138&amp;"|"&amp;M138&amp;"|"&amp;CA138)</f>
        <v/>
      </c>
    </row>
    <row r="139" customFormat="false" ht="15" hidden="false" customHeight="false" outlineLevel="0" collapsed="false">
      <c r="A139" s="10" t="str">
        <f aca="false">IF(D139="","","DRN-"&amp;IFERROR(VLOOKUP(D139,Lists!$A$4:$B$27,2,0),"??")&amp;"-"&amp;TEXT(G139,"0000")&amp;"x"&amp;TEXT(H139,"0000")&amp;IF(N(I139)&gt;1,"-"&amp;I139&amp;"C","")&amp;"-"&amp;IFERROR(VLOOKUP(M139,Lists!$J$4:$K$19,2,0),"??")&amp;"-"&amp;AI139)</f>
        <v/>
      </c>
      <c r="B139" s="10" t="str">
        <f aca="false">IF(D139="","",D139&amp;" "&amp;G139&amp;"W x "&amp;H139&amp;"D"&amp;IF(N(I139)&gt;1," ("&amp;I139&amp;" cells)","")&amp;", "&amp;E139&amp;", "&amp;M139&amp;", "&amp;F139)</f>
        <v/>
      </c>
      <c r="C139" s="9"/>
      <c r="D139" s="9"/>
      <c r="E139" s="9"/>
      <c r="F139" s="9"/>
      <c r="G139" s="38"/>
      <c r="H139" s="38"/>
      <c r="I139" s="38"/>
      <c r="J139" s="38"/>
      <c r="K139" s="38"/>
      <c r="L139" s="38"/>
      <c r="M139" s="9"/>
      <c r="N139" s="9"/>
      <c r="O139" s="9"/>
      <c r="P139" s="38"/>
      <c r="Q139" s="9"/>
      <c r="R139" s="9"/>
      <c r="S139" s="9"/>
      <c r="T139" s="9"/>
      <c r="U139" s="9"/>
      <c r="V139" s="9"/>
      <c r="W139" s="9"/>
      <c r="X139" s="9"/>
      <c r="Y139" s="9"/>
      <c r="Z139" s="9"/>
      <c r="AA139" s="9"/>
      <c r="AB139" s="39"/>
      <c r="AC139" s="9"/>
      <c r="AD139" s="38"/>
      <c r="AE139" s="9"/>
      <c r="AF139" s="39"/>
      <c r="AG139" s="9"/>
      <c r="AH139" s="9"/>
      <c r="AI139" s="9"/>
      <c r="AJ139" s="9"/>
      <c r="AK139" s="9"/>
      <c r="AL139" s="9"/>
      <c r="AM139" s="9"/>
      <c r="AN139" s="10" t="str">
        <f aca="false">IF(A139="","",SG_Criteria!$B$6&amp;SG_Criteria!$B$7&amp;"\"&amp;A139&amp;"\")</f>
        <v/>
      </c>
      <c r="AO139" s="10" t="str">
        <f aca="false">IF(A139="","",A139&amp;"_CAD.dwg")</f>
        <v/>
      </c>
      <c r="AP139" s="10" t="str">
        <f aca="false">IF(A139="","",A139&amp;"_DWG.pdf")</f>
        <v/>
      </c>
      <c r="AQ139" s="10" t="str">
        <f aca="false">IF(A139="","",IF(AM139="Y",A139&amp;"_STAAD.std","n/a"))</f>
        <v/>
      </c>
      <c r="AR139" s="10" t="str">
        <f aca="false">IF(A139="","",A139&amp;"_CALC.xlsx")</f>
        <v/>
      </c>
      <c r="AS139" s="10" t="str">
        <f aca="false">IF(A139="","",A139&amp;"_CALC.pdf")</f>
        <v/>
      </c>
      <c r="AT139" s="9"/>
      <c r="AU139" s="9"/>
      <c r="AV139" s="39"/>
      <c r="AW139" s="39"/>
      <c r="AX139" s="39"/>
      <c r="AY139" s="39"/>
      <c r="AZ139" s="39"/>
      <c r="BA139" s="12" t="str">
        <f aca="false">IF(A139="","",IF(COUNTIF(Rebar_Schedule!$A$5:$A$2004,A139)=0,"",ROUND(SUMIF(Rebar_Schedule!$A$5:$A$2004,A139,Rebar_Schedule!$K$5:$K$2004),1)))</f>
        <v/>
      </c>
      <c r="BB139" s="33" t="str">
        <f aca="false">IF(A139="","",IF(BA139="","No rebar schedule yet",IF(ABS(BA139-N(AW139))/MAX(N(AW139),1)&gt;SG_Criteria!$B$55,"NOTE: register rebar differs from schedule by "&amp;TEXT(ABS(BA139-N(AW139))/MAX(N(AW139),1),"0%"),"OK")))</f>
        <v/>
      </c>
      <c r="BC139" s="34" t="str">
        <f aca="false">IF(OR(D139="",G139="",H139="",D139="Sump",D139="Drop Inlet Chamber",D139="Silt Trap",D139="Pipe Culvert",D139="Subsoil Drain"),"",ROUND(MAX(1,N(I139))*(1/SG_Criteria!$B$26)*((G139/1000)*(H139/1000*(1-SG_Criteria!$B$25)))*(((G139/1000)*(H139/1000*(1-SG_Criteria!$B$25)))/((G139/1000)+2*(H139/1000*(1-SG_Criteria!$B$25))))^(2/3)*(1/Design_Selector!$B$11)^0.5,3))</f>
        <v/>
      </c>
      <c r="BD139" s="11" t="str">
        <f aca="false">IF(BC139="","",ROUND(BC139/(MAX(1,N(I139))*G139/1000*(H139/1000*(1-SG_Criteria!$B$25))),2))</f>
        <v/>
      </c>
      <c r="BE139" s="33" t="str">
        <f aca="false">IF(D139="","",IF(LEN(IF(AND(OR(E139="Roadside drain",E139="Entrance culvert"),OR(G139&lt;SG_Criteria!$B$15,H139&lt;SG_Criteria!$B$16)),"FAIL: below PUB min "&amp;SG_Criteria!$B$15&amp;"x"&amp;SG_Criteria!$B$16&amp;" for roadside drain. ","")&amp;IF(AND(E139="Common drain",G139&lt;SG_Criteria!$B$17),"FAIL: common drain W &lt; "&amp;SG_Criteria!$B$17&amp;" mm. ","")&amp;IF(AND(O139&lt;&gt;"",IFERROR(VALUE(MID(O139,2,2)),0)&lt;SG_Criteria!$B$19),"FAIL: grade below C"&amp;SG_Criteria!$B$19&amp;". ","")&amp;IF(AND(P139&lt;&gt;"",P139&lt;SG_Criteria!$B$20),"FAIL: cover &lt; "&amp;SG_Criteria!$B$20&amp;" mm. ","")&amp;IF(AND(F139="Open",H139&gt;SG_Criteria!$B$18),"NOTE: safety railing required (D &gt; "&amp;SG_Criteria!$B$18&amp;" mm). ","")&amp;IF(AND(E139="Entrance culvert",H139&lt;600),"NOTE: check hinged grating rule for culverts &lt; 600 deep (PUB Add. 3). ",""))=0,"OK",IF(AND(OR(E139="Roadside drain",E139="Entrance culvert"),OR(G139&lt;SG_Criteria!$B$15,H139&lt;SG_Criteria!$B$16)),"FAIL: below PUB min "&amp;SG_Criteria!$B$15&amp;"x"&amp;SG_Criteria!$B$16&amp;" for roadside drain. ","")&amp;IF(AND(E139="Common drain",G139&lt;SG_Criteria!$B$17),"FAIL: common drain W &lt; "&amp;SG_Criteria!$B$17&amp;" mm. ","")&amp;IF(AND(O139&lt;&gt;"",IFERROR(VALUE(MID(O139,2,2)),0)&lt;SG_Criteria!$B$19),"FAIL: grade below C"&amp;SG_Criteria!$B$19&amp;". ","")&amp;IF(AND(P139&lt;&gt;"",P139&lt;SG_Criteria!$B$20),"FAIL: cover &lt; "&amp;SG_Criteria!$B$20&amp;" mm. ","")&amp;IF(AND(F139="Open",H139&gt;SG_Criteria!$B$18),"NOTE: safety railing required (D &gt; "&amp;SG_Criteria!$B$18&amp;" mm). ","")&amp;IF(AND(E139="Entrance culvert",H139&lt;600),"NOTE: check hinged grating rule for culverts &lt; 600 deep (PUB Add. 3). ","")))</f>
        <v/>
      </c>
      <c r="BF139" s="9"/>
      <c r="BG139" s="9"/>
      <c r="BH139" s="9"/>
      <c r="BI139" s="10" t="str">
        <f aca="false">IF(BH139="","",IFERROR(VLOOKUP(BH139,Projects!$A$5:$D$504,2,0),"Ref not in Projects"))</f>
        <v/>
      </c>
      <c r="BJ139" s="10" t="str">
        <f aca="false">IF(BH139="","",IFERROR(VLOOKUP(BH139,Projects!$A$5:$D$504,4,0),"Ref not in Projects"))</f>
        <v/>
      </c>
      <c r="BK139" s="9"/>
      <c r="BL139" s="9"/>
      <c r="BM139" s="9"/>
      <c r="BN139" s="40"/>
      <c r="BO139" s="9"/>
      <c r="BP139" s="40"/>
      <c r="BQ139" s="9"/>
      <c r="BR139" s="40"/>
      <c r="BS139" s="9"/>
      <c r="BT139" s="9"/>
      <c r="BU139" s="9"/>
      <c r="BV139" s="40"/>
      <c r="BW139" s="40"/>
      <c r="BX139" s="36" t="str">
        <f aca="false">IF(BW139="","",EDATE(BW139,SG_Criteria!$B$54*12))</f>
        <v/>
      </c>
      <c r="BY139" s="33" t="str">
        <f aca="true">IF(A139="","",IF(BW139="","NOTE: not reviewed yet",IF(TODAY()&gt;BX139,"NOTE: review overdue","OK")))</f>
        <v/>
      </c>
      <c r="BZ139" s="37" t="str">
        <f aca="false">IF(A139="","",ROUND((IF(LEN(D139)&gt;0,1,0)+IF(LEN(E139)&gt;0,1,0)+IF(LEN(F139)&gt;0,1,0)+IF(LEN(G139)&gt;0,1,0)+IF(LEN(H139)&gt;0,1,0)+IF(LEN(J139)&gt;0,1,0)+IF(LEN(K139)&gt;0,1,0)+IF(LEN(M139)&gt;0,1,0)+IF(LEN(O139)&gt;0,1,0)+IF(LEN(P139)&gt;0,1,0)+IF(LEN(Q139)&gt;0,1,0)+IF(LEN(S139)&gt;0,1,0)+IF(LEN(AC139)&gt;0,1,0)+IF(LEN(AV139)&gt;0,1,0)+IF(LEN(AW139)&gt;0,1,0)+IF(LEN(AG139)&gt;0,1,0)+IF(LEN(AI139)&gt;0,1,0)+IF(LEN(AJ139)&gt;0,1,0)+IF(LEN(AK139)&gt;0,1,0)+IF(LEN(AL139)&gt;0,1,0)+IF(LEN(AU139)&gt;0,1,0)+IF(LEN(BH139)&gt;0,1,0)+IF(LEN(BU139)&gt;0,1,0))/23,2))</f>
        <v/>
      </c>
      <c r="CA139" s="10" t="str">
        <f aca="false">IF(D139="","",IF(AND(AJ139="Approved",ISERROR(SEARCH("FAIL",BE139))),"Y","N"))</f>
        <v/>
      </c>
      <c r="CB139" s="10" t="str">
        <f aca="false">IF(D139="","",D139&amp;"|"&amp;G139&amp;"|"&amp;H139&amp;"|"&amp;M139&amp;"|"&amp;CA139)</f>
        <v/>
      </c>
    </row>
    <row r="140" customFormat="false" ht="15" hidden="false" customHeight="false" outlineLevel="0" collapsed="false">
      <c r="A140" s="10" t="str">
        <f aca="false">IF(D140="","","DRN-"&amp;IFERROR(VLOOKUP(D140,Lists!$A$4:$B$27,2,0),"??")&amp;"-"&amp;TEXT(G140,"0000")&amp;"x"&amp;TEXT(H140,"0000")&amp;IF(N(I140)&gt;1,"-"&amp;I140&amp;"C","")&amp;"-"&amp;IFERROR(VLOOKUP(M140,Lists!$J$4:$K$19,2,0),"??")&amp;"-"&amp;AI140)</f>
        <v/>
      </c>
      <c r="B140" s="10" t="str">
        <f aca="false">IF(D140="","",D140&amp;" "&amp;G140&amp;"W x "&amp;H140&amp;"D"&amp;IF(N(I140)&gt;1," ("&amp;I140&amp;" cells)","")&amp;", "&amp;E140&amp;", "&amp;M140&amp;", "&amp;F140)</f>
        <v/>
      </c>
      <c r="C140" s="9"/>
      <c r="D140" s="9"/>
      <c r="E140" s="9"/>
      <c r="F140" s="9"/>
      <c r="G140" s="38"/>
      <c r="H140" s="38"/>
      <c r="I140" s="38"/>
      <c r="J140" s="38"/>
      <c r="K140" s="38"/>
      <c r="L140" s="38"/>
      <c r="M140" s="9"/>
      <c r="N140" s="9"/>
      <c r="O140" s="9"/>
      <c r="P140" s="38"/>
      <c r="Q140" s="9"/>
      <c r="R140" s="9"/>
      <c r="S140" s="9"/>
      <c r="T140" s="9"/>
      <c r="U140" s="9"/>
      <c r="V140" s="9"/>
      <c r="W140" s="9"/>
      <c r="X140" s="9"/>
      <c r="Y140" s="9"/>
      <c r="Z140" s="9"/>
      <c r="AA140" s="9"/>
      <c r="AB140" s="39"/>
      <c r="AC140" s="9"/>
      <c r="AD140" s="38"/>
      <c r="AE140" s="9"/>
      <c r="AF140" s="39"/>
      <c r="AG140" s="9"/>
      <c r="AH140" s="9"/>
      <c r="AI140" s="9"/>
      <c r="AJ140" s="9"/>
      <c r="AK140" s="9"/>
      <c r="AL140" s="9"/>
      <c r="AM140" s="9"/>
      <c r="AN140" s="10" t="str">
        <f aca="false">IF(A140="","",SG_Criteria!$B$6&amp;SG_Criteria!$B$7&amp;"\"&amp;A140&amp;"\")</f>
        <v/>
      </c>
      <c r="AO140" s="10" t="str">
        <f aca="false">IF(A140="","",A140&amp;"_CAD.dwg")</f>
        <v/>
      </c>
      <c r="AP140" s="10" t="str">
        <f aca="false">IF(A140="","",A140&amp;"_DWG.pdf")</f>
        <v/>
      </c>
      <c r="AQ140" s="10" t="str">
        <f aca="false">IF(A140="","",IF(AM140="Y",A140&amp;"_STAAD.std","n/a"))</f>
        <v/>
      </c>
      <c r="AR140" s="10" t="str">
        <f aca="false">IF(A140="","",A140&amp;"_CALC.xlsx")</f>
        <v/>
      </c>
      <c r="AS140" s="10" t="str">
        <f aca="false">IF(A140="","",A140&amp;"_CALC.pdf")</f>
        <v/>
      </c>
      <c r="AT140" s="9"/>
      <c r="AU140" s="9"/>
      <c r="AV140" s="39"/>
      <c r="AW140" s="39"/>
      <c r="AX140" s="39"/>
      <c r="AY140" s="39"/>
      <c r="AZ140" s="39"/>
      <c r="BA140" s="12" t="str">
        <f aca="false">IF(A140="","",IF(COUNTIF(Rebar_Schedule!$A$5:$A$2004,A140)=0,"",ROUND(SUMIF(Rebar_Schedule!$A$5:$A$2004,A140,Rebar_Schedule!$K$5:$K$2004),1)))</f>
        <v/>
      </c>
      <c r="BB140" s="33" t="str">
        <f aca="false">IF(A140="","",IF(BA140="","No rebar schedule yet",IF(ABS(BA140-N(AW140))/MAX(N(AW140),1)&gt;SG_Criteria!$B$55,"NOTE: register rebar differs from schedule by "&amp;TEXT(ABS(BA140-N(AW140))/MAX(N(AW140),1),"0%"),"OK")))</f>
        <v/>
      </c>
      <c r="BC140" s="34" t="str">
        <f aca="false">IF(OR(D140="",G140="",H140="",D140="Sump",D140="Drop Inlet Chamber",D140="Silt Trap",D140="Pipe Culvert",D140="Subsoil Drain"),"",ROUND(MAX(1,N(I140))*(1/SG_Criteria!$B$26)*((G140/1000)*(H140/1000*(1-SG_Criteria!$B$25)))*(((G140/1000)*(H140/1000*(1-SG_Criteria!$B$25)))/((G140/1000)+2*(H140/1000*(1-SG_Criteria!$B$25))))^(2/3)*(1/Design_Selector!$B$11)^0.5,3))</f>
        <v/>
      </c>
      <c r="BD140" s="11" t="str">
        <f aca="false">IF(BC140="","",ROUND(BC140/(MAX(1,N(I140))*G140/1000*(H140/1000*(1-SG_Criteria!$B$25))),2))</f>
        <v/>
      </c>
      <c r="BE140" s="33" t="str">
        <f aca="false">IF(D140="","",IF(LEN(IF(AND(OR(E140="Roadside drain",E140="Entrance culvert"),OR(G140&lt;SG_Criteria!$B$15,H140&lt;SG_Criteria!$B$16)),"FAIL: below PUB min "&amp;SG_Criteria!$B$15&amp;"x"&amp;SG_Criteria!$B$16&amp;" for roadside drain. ","")&amp;IF(AND(E140="Common drain",G140&lt;SG_Criteria!$B$17),"FAIL: common drain W &lt; "&amp;SG_Criteria!$B$17&amp;" mm. ","")&amp;IF(AND(O140&lt;&gt;"",IFERROR(VALUE(MID(O140,2,2)),0)&lt;SG_Criteria!$B$19),"FAIL: grade below C"&amp;SG_Criteria!$B$19&amp;". ","")&amp;IF(AND(P140&lt;&gt;"",P140&lt;SG_Criteria!$B$20),"FAIL: cover &lt; "&amp;SG_Criteria!$B$20&amp;" mm. ","")&amp;IF(AND(F140="Open",H140&gt;SG_Criteria!$B$18),"NOTE: safety railing required (D &gt; "&amp;SG_Criteria!$B$18&amp;" mm). ","")&amp;IF(AND(E140="Entrance culvert",H140&lt;600),"NOTE: check hinged grating rule for culverts &lt; 600 deep (PUB Add. 3). ",""))=0,"OK",IF(AND(OR(E140="Roadside drain",E140="Entrance culvert"),OR(G140&lt;SG_Criteria!$B$15,H140&lt;SG_Criteria!$B$16)),"FAIL: below PUB min "&amp;SG_Criteria!$B$15&amp;"x"&amp;SG_Criteria!$B$16&amp;" for roadside drain. ","")&amp;IF(AND(E140="Common drain",G140&lt;SG_Criteria!$B$17),"FAIL: common drain W &lt; "&amp;SG_Criteria!$B$17&amp;" mm. ","")&amp;IF(AND(O140&lt;&gt;"",IFERROR(VALUE(MID(O140,2,2)),0)&lt;SG_Criteria!$B$19),"FAIL: grade below C"&amp;SG_Criteria!$B$19&amp;". ","")&amp;IF(AND(P140&lt;&gt;"",P140&lt;SG_Criteria!$B$20),"FAIL: cover &lt; "&amp;SG_Criteria!$B$20&amp;" mm. ","")&amp;IF(AND(F140="Open",H140&gt;SG_Criteria!$B$18),"NOTE: safety railing required (D &gt; "&amp;SG_Criteria!$B$18&amp;" mm). ","")&amp;IF(AND(E140="Entrance culvert",H140&lt;600),"NOTE: check hinged grating rule for culverts &lt; 600 deep (PUB Add. 3). ","")))</f>
        <v/>
      </c>
      <c r="BF140" s="9"/>
      <c r="BG140" s="9"/>
      <c r="BH140" s="9"/>
      <c r="BI140" s="10" t="str">
        <f aca="false">IF(BH140="","",IFERROR(VLOOKUP(BH140,Projects!$A$5:$D$504,2,0),"Ref not in Projects"))</f>
        <v/>
      </c>
      <c r="BJ140" s="10" t="str">
        <f aca="false">IF(BH140="","",IFERROR(VLOOKUP(BH140,Projects!$A$5:$D$504,4,0),"Ref not in Projects"))</f>
        <v/>
      </c>
      <c r="BK140" s="9"/>
      <c r="BL140" s="9"/>
      <c r="BM140" s="9"/>
      <c r="BN140" s="40"/>
      <c r="BO140" s="9"/>
      <c r="BP140" s="40"/>
      <c r="BQ140" s="9"/>
      <c r="BR140" s="40"/>
      <c r="BS140" s="9"/>
      <c r="BT140" s="9"/>
      <c r="BU140" s="9"/>
      <c r="BV140" s="40"/>
      <c r="BW140" s="40"/>
      <c r="BX140" s="36" t="str">
        <f aca="false">IF(BW140="","",EDATE(BW140,SG_Criteria!$B$54*12))</f>
        <v/>
      </c>
      <c r="BY140" s="33" t="str">
        <f aca="true">IF(A140="","",IF(BW140="","NOTE: not reviewed yet",IF(TODAY()&gt;BX140,"NOTE: review overdue","OK")))</f>
        <v/>
      </c>
      <c r="BZ140" s="37" t="str">
        <f aca="false">IF(A140="","",ROUND((IF(LEN(D140)&gt;0,1,0)+IF(LEN(E140)&gt;0,1,0)+IF(LEN(F140)&gt;0,1,0)+IF(LEN(G140)&gt;0,1,0)+IF(LEN(H140)&gt;0,1,0)+IF(LEN(J140)&gt;0,1,0)+IF(LEN(K140)&gt;0,1,0)+IF(LEN(M140)&gt;0,1,0)+IF(LEN(O140)&gt;0,1,0)+IF(LEN(P140)&gt;0,1,0)+IF(LEN(Q140)&gt;0,1,0)+IF(LEN(S140)&gt;0,1,0)+IF(LEN(AC140)&gt;0,1,0)+IF(LEN(AV140)&gt;0,1,0)+IF(LEN(AW140)&gt;0,1,0)+IF(LEN(AG140)&gt;0,1,0)+IF(LEN(AI140)&gt;0,1,0)+IF(LEN(AJ140)&gt;0,1,0)+IF(LEN(AK140)&gt;0,1,0)+IF(LEN(AL140)&gt;0,1,0)+IF(LEN(AU140)&gt;0,1,0)+IF(LEN(BH140)&gt;0,1,0)+IF(LEN(BU140)&gt;0,1,0))/23,2))</f>
        <v/>
      </c>
      <c r="CA140" s="10" t="str">
        <f aca="false">IF(D140="","",IF(AND(AJ140="Approved",ISERROR(SEARCH("FAIL",BE140))),"Y","N"))</f>
        <v/>
      </c>
      <c r="CB140" s="10" t="str">
        <f aca="false">IF(D140="","",D140&amp;"|"&amp;G140&amp;"|"&amp;H140&amp;"|"&amp;M140&amp;"|"&amp;CA140)</f>
        <v/>
      </c>
    </row>
    <row r="141" customFormat="false" ht="15" hidden="false" customHeight="false" outlineLevel="0" collapsed="false">
      <c r="A141" s="10" t="str">
        <f aca="false">IF(D141="","","DRN-"&amp;IFERROR(VLOOKUP(D141,Lists!$A$4:$B$27,2,0),"??")&amp;"-"&amp;TEXT(G141,"0000")&amp;"x"&amp;TEXT(H141,"0000")&amp;IF(N(I141)&gt;1,"-"&amp;I141&amp;"C","")&amp;"-"&amp;IFERROR(VLOOKUP(M141,Lists!$J$4:$K$19,2,0),"??")&amp;"-"&amp;AI141)</f>
        <v/>
      </c>
      <c r="B141" s="10" t="str">
        <f aca="false">IF(D141="","",D141&amp;" "&amp;G141&amp;"W x "&amp;H141&amp;"D"&amp;IF(N(I141)&gt;1," ("&amp;I141&amp;" cells)","")&amp;", "&amp;E141&amp;", "&amp;M141&amp;", "&amp;F141)</f>
        <v/>
      </c>
      <c r="C141" s="9"/>
      <c r="D141" s="9"/>
      <c r="E141" s="9"/>
      <c r="F141" s="9"/>
      <c r="G141" s="38"/>
      <c r="H141" s="38"/>
      <c r="I141" s="38"/>
      <c r="J141" s="38"/>
      <c r="K141" s="38"/>
      <c r="L141" s="38"/>
      <c r="M141" s="9"/>
      <c r="N141" s="9"/>
      <c r="O141" s="9"/>
      <c r="P141" s="38"/>
      <c r="Q141" s="9"/>
      <c r="R141" s="9"/>
      <c r="S141" s="9"/>
      <c r="T141" s="9"/>
      <c r="U141" s="9"/>
      <c r="V141" s="9"/>
      <c r="W141" s="9"/>
      <c r="X141" s="9"/>
      <c r="Y141" s="9"/>
      <c r="Z141" s="9"/>
      <c r="AA141" s="9"/>
      <c r="AB141" s="39"/>
      <c r="AC141" s="9"/>
      <c r="AD141" s="38"/>
      <c r="AE141" s="9"/>
      <c r="AF141" s="39"/>
      <c r="AG141" s="9"/>
      <c r="AH141" s="9"/>
      <c r="AI141" s="9"/>
      <c r="AJ141" s="9"/>
      <c r="AK141" s="9"/>
      <c r="AL141" s="9"/>
      <c r="AM141" s="9"/>
      <c r="AN141" s="10" t="str">
        <f aca="false">IF(A141="","",SG_Criteria!$B$6&amp;SG_Criteria!$B$7&amp;"\"&amp;A141&amp;"\")</f>
        <v/>
      </c>
      <c r="AO141" s="10" t="str">
        <f aca="false">IF(A141="","",A141&amp;"_CAD.dwg")</f>
        <v/>
      </c>
      <c r="AP141" s="10" t="str">
        <f aca="false">IF(A141="","",A141&amp;"_DWG.pdf")</f>
        <v/>
      </c>
      <c r="AQ141" s="10" t="str">
        <f aca="false">IF(A141="","",IF(AM141="Y",A141&amp;"_STAAD.std","n/a"))</f>
        <v/>
      </c>
      <c r="AR141" s="10" t="str">
        <f aca="false">IF(A141="","",A141&amp;"_CALC.xlsx")</f>
        <v/>
      </c>
      <c r="AS141" s="10" t="str">
        <f aca="false">IF(A141="","",A141&amp;"_CALC.pdf")</f>
        <v/>
      </c>
      <c r="AT141" s="9"/>
      <c r="AU141" s="9"/>
      <c r="AV141" s="39"/>
      <c r="AW141" s="39"/>
      <c r="AX141" s="39"/>
      <c r="AY141" s="39"/>
      <c r="AZ141" s="39"/>
      <c r="BA141" s="12" t="str">
        <f aca="false">IF(A141="","",IF(COUNTIF(Rebar_Schedule!$A$5:$A$2004,A141)=0,"",ROUND(SUMIF(Rebar_Schedule!$A$5:$A$2004,A141,Rebar_Schedule!$K$5:$K$2004),1)))</f>
        <v/>
      </c>
      <c r="BB141" s="33" t="str">
        <f aca="false">IF(A141="","",IF(BA141="","No rebar schedule yet",IF(ABS(BA141-N(AW141))/MAX(N(AW141),1)&gt;SG_Criteria!$B$55,"NOTE: register rebar differs from schedule by "&amp;TEXT(ABS(BA141-N(AW141))/MAX(N(AW141),1),"0%"),"OK")))</f>
        <v/>
      </c>
      <c r="BC141" s="34" t="str">
        <f aca="false">IF(OR(D141="",G141="",H141="",D141="Sump",D141="Drop Inlet Chamber",D141="Silt Trap",D141="Pipe Culvert",D141="Subsoil Drain"),"",ROUND(MAX(1,N(I141))*(1/SG_Criteria!$B$26)*((G141/1000)*(H141/1000*(1-SG_Criteria!$B$25)))*(((G141/1000)*(H141/1000*(1-SG_Criteria!$B$25)))/((G141/1000)+2*(H141/1000*(1-SG_Criteria!$B$25))))^(2/3)*(1/Design_Selector!$B$11)^0.5,3))</f>
        <v/>
      </c>
      <c r="BD141" s="11" t="str">
        <f aca="false">IF(BC141="","",ROUND(BC141/(MAX(1,N(I141))*G141/1000*(H141/1000*(1-SG_Criteria!$B$25))),2))</f>
        <v/>
      </c>
      <c r="BE141" s="33" t="str">
        <f aca="false">IF(D141="","",IF(LEN(IF(AND(OR(E141="Roadside drain",E141="Entrance culvert"),OR(G141&lt;SG_Criteria!$B$15,H141&lt;SG_Criteria!$B$16)),"FAIL: below PUB min "&amp;SG_Criteria!$B$15&amp;"x"&amp;SG_Criteria!$B$16&amp;" for roadside drain. ","")&amp;IF(AND(E141="Common drain",G141&lt;SG_Criteria!$B$17),"FAIL: common drain W &lt; "&amp;SG_Criteria!$B$17&amp;" mm. ","")&amp;IF(AND(O141&lt;&gt;"",IFERROR(VALUE(MID(O141,2,2)),0)&lt;SG_Criteria!$B$19),"FAIL: grade below C"&amp;SG_Criteria!$B$19&amp;". ","")&amp;IF(AND(P141&lt;&gt;"",P141&lt;SG_Criteria!$B$20),"FAIL: cover &lt; "&amp;SG_Criteria!$B$20&amp;" mm. ","")&amp;IF(AND(F141="Open",H141&gt;SG_Criteria!$B$18),"NOTE: safety railing required (D &gt; "&amp;SG_Criteria!$B$18&amp;" mm). ","")&amp;IF(AND(E141="Entrance culvert",H141&lt;600),"NOTE: check hinged grating rule for culverts &lt; 600 deep (PUB Add. 3). ",""))=0,"OK",IF(AND(OR(E141="Roadside drain",E141="Entrance culvert"),OR(G141&lt;SG_Criteria!$B$15,H141&lt;SG_Criteria!$B$16)),"FAIL: below PUB min "&amp;SG_Criteria!$B$15&amp;"x"&amp;SG_Criteria!$B$16&amp;" for roadside drain. ","")&amp;IF(AND(E141="Common drain",G141&lt;SG_Criteria!$B$17),"FAIL: common drain W &lt; "&amp;SG_Criteria!$B$17&amp;" mm. ","")&amp;IF(AND(O141&lt;&gt;"",IFERROR(VALUE(MID(O141,2,2)),0)&lt;SG_Criteria!$B$19),"FAIL: grade below C"&amp;SG_Criteria!$B$19&amp;". ","")&amp;IF(AND(P141&lt;&gt;"",P141&lt;SG_Criteria!$B$20),"FAIL: cover &lt; "&amp;SG_Criteria!$B$20&amp;" mm. ","")&amp;IF(AND(F141="Open",H141&gt;SG_Criteria!$B$18),"NOTE: safety railing required (D &gt; "&amp;SG_Criteria!$B$18&amp;" mm). ","")&amp;IF(AND(E141="Entrance culvert",H141&lt;600),"NOTE: check hinged grating rule for culverts &lt; 600 deep (PUB Add. 3). ","")))</f>
        <v/>
      </c>
      <c r="BF141" s="9"/>
      <c r="BG141" s="9"/>
      <c r="BH141" s="9"/>
      <c r="BI141" s="10" t="str">
        <f aca="false">IF(BH141="","",IFERROR(VLOOKUP(BH141,Projects!$A$5:$D$504,2,0),"Ref not in Projects"))</f>
        <v/>
      </c>
      <c r="BJ141" s="10" t="str">
        <f aca="false">IF(BH141="","",IFERROR(VLOOKUP(BH141,Projects!$A$5:$D$504,4,0),"Ref not in Projects"))</f>
        <v/>
      </c>
      <c r="BK141" s="9"/>
      <c r="BL141" s="9"/>
      <c r="BM141" s="9"/>
      <c r="BN141" s="40"/>
      <c r="BO141" s="9"/>
      <c r="BP141" s="40"/>
      <c r="BQ141" s="9"/>
      <c r="BR141" s="40"/>
      <c r="BS141" s="9"/>
      <c r="BT141" s="9"/>
      <c r="BU141" s="9"/>
      <c r="BV141" s="40"/>
      <c r="BW141" s="40"/>
      <c r="BX141" s="36" t="str">
        <f aca="false">IF(BW141="","",EDATE(BW141,SG_Criteria!$B$54*12))</f>
        <v/>
      </c>
      <c r="BY141" s="33" t="str">
        <f aca="true">IF(A141="","",IF(BW141="","NOTE: not reviewed yet",IF(TODAY()&gt;BX141,"NOTE: review overdue","OK")))</f>
        <v/>
      </c>
      <c r="BZ141" s="37" t="str">
        <f aca="false">IF(A141="","",ROUND((IF(LEN(D141)&gt;0,1,0)+IF(LEN(E141)&gt;0,1,0)+IF(LEN(F141)&gt;0,1,0)+IF(LEN(G141)&gt;0,1,0)+IF(LEN(H141)&gt;0,1,0)+IF(LEN(J141)&gt;0,1,0)+IF(LEN(K141)&gt;0,1,0)+IF(LEN(M141)&gt;0,1,0)+IF(LEN(O141)&gt;0,1,0)+IF(LEN(P141)&gt;0,1,0)+IF(LEN(Q141)&gt;0,1,0)+IF(LEN(S141)&gt;0,1,0)+IF(LEN(AC141)&gt;0,1,0)+IF(LEN(AV141)&gt;0,1,0)+IF(LEN(AW141)&gt;0,1,0)+IF(LEN(AG141)&gt;0,1,0)+IF(LEN(AI141)&gt;0,1,0)+IF(LEN(AJ141)&gt;0,1,0)+IF(LEN(AK141)&gt;0,1,0)+IF(LEN(AL141)&gt;0,1,0)+IF(LEN(AU141)&gt;0,1,0)+IF(LEN(BH141)&gt;0,1,0)+IF(LEN(BU141)&gt;0,1,0))/23,2))</f>
        <v/>
      </c>
      <c r="CA141" s="10" t="str">
        <f aca="false">IF(D141="","",IF(AND(AJ141="Approved",ISERROR(SEARCH("FAIL",BE141))),"Y","N"))</f>
        <v/>
      </c>
      <c r="CB141" s="10" t="str">
        <f aca="false">IF(D141="","",D141&amp;"|"&amp;G141&amp;"|"&amp;H141&amp;"|"&amp;M141&amp;"|"&amp;CA141)</f>
        <v/>
      </c>
    </row>
    <row r="142" customFormat="false" ht="15" hidden="false" customHeight="false" outlineLevel="0" collapsed="false">
      <c r="A142" s="10" t="str">
        <f aca="false">IF(D142="","","DRN-"&amp;IFERROR(VLOOKUP(D142,Lists!$A$4:$B$27,2,0),"??")&amp;"-"&amp;TEXT(G142,"0000")&amp;"x"&amp;TEXT(H142,"0000")&amp;IF(N(I142)&gt;1,"-"&amp;I142&amp;"C","")&amp;"-"&amp;IFERROR(VLOOKUP(M142,Lists!$J$4:$K$19,2,0),"??")&amp;"-"&amp;AI142)</f>
        <v/>
      </c>
      <c r="B142" s="10" t="str">
        <f aca="false">IF(D142="","",D142&amp;" "&amp;G142&amp;"W x "&amp;H142&amp;"D"&amp;IF(N(I142)&gt;1," ("&amp;I142&amp;" cells)","")&amp;", "&amp;E142&amp;", "&amp;M142&amp;", "&amp;F142)</f>
        <v/>
      </c>
      <c r="C142" s="9"/>
      <c r="D142" s="9"/>
      <c r="E142" s="9"/>
      <c r="F142" s="9"/>
      <c r="G142" s="38"/>
      <c r="H142" s="38"/>
      <c r="I142" s="38"/>
      <c r="J142" s="38"/>
      <c r="K142" s="38"/>
      <c r="L142" s="38"/>
      <c r="M142" s="9"/>
      <c r="N142" s="9"/>
      <c r="O142" s="9"/>
      <c r="P142" s="38"/>
      <c r="Q142" s="9"/>
      <c r="R142" s="9"/>
      <c r="S142" s="9"/>
      <c r="T142" s="9"/>
      <c r="U142" s="9"/>
      <c r="V142" s="9"/>
      <c r="W142" s="9"/>
      <c r="X142" s="9"/>
      <c r="Y142" s="9"/>
      <c r="Z142" s="9"/>
      <c r="AA142" s="9"/>
      <c r="AB142" s="39"/>
      <c r="AC142" s="9"/>
      <c r="AD142" s="38"/>
      <c r="AE142" s="9"/>
      <c r="AF142" s="39"/>
      <c r="AG142" s="9"/>
      <c r="AH142" s="9"/>
      <c r="AI142" s="9"/>
      <c r="AJ142" s="9"/>
      <c r="AK142" s="9"/>
      <c r="AL142" s="9"/>
      <c r="AM142" s="9"/>
      <c r="AN142" s="10" t="str">
        <f aca="false">IF(A142="","",SG_Criteria!$B$6&amp;SG_Criteria!$B$7&amp;"\"&amp;A142&amp;"\")</f>
        <v/>
      </c>
      <c r="AO142" s="10" t="str">
        <f aca="false">IF(A142="","",A142&amp;"_CAD.dwg")</f>
        <v/>
      </c>
      <c r="AP142" s="10" t="str">
        <f aca="false">IF(A142="","",A142&amp;"_DWG.pdf")</f>
        <v/>
      </c>
      <c r="AQ142" s="10" t="str">
        <f aca="false">IF(A142="","",IF(AM142="Y",A142&amp;"_STAAD.std","n/a"))</f>
        <v/>
      </c>
      <c r="AR142" s="10" t="str">
        <f aca="false">IF(A142="","",A142&amp;"_CALC.xlsx")</f>
        <v/>
      </c>
      <c r="AS142" s="10" t="str">
        <f aca="false">IF(A142="","",A142&amp;"_CALC.pdf")</f>
        <v/>
      </c>
      <c r="AT142" s="9"/>
      <c r="AU142" s="9"/>
      <c r="AV142" s="39"/>
      <c r="AW142" s="39"/>
      <c r="AX142" s="39"/>
      <c r="AY142" s="39"/>
      <c r="AZ142" s="39"/>
      <c r="BA142" s="12" t="str">
        <f aca="false">IF(A142="","",IF(COUNTIF(Rebar_Schedule!$A$5:$A$2004,A142)=0,"",ROUND(SUMIF(Rebar_Schedule!$A$5:$A$2004,A142,Rebar_Schedule!$K$5:$K$2004),1)))</f>
        <v/>
      </c>
      <c r="BB142" s="33" t="str">
        <f aca="false">IF(A142="","",IF(BA142="","No rebar schedule yet",IF(ABS(BA142-N(AW142))/MAX(N(AW142),1)&gt;SG_Criteria!$B$55,"NOTE: register rebar differs from schedule by "&amp;TEXT(ABS(BA142-N(AW142))/MAX(N(AW142),1),"0%"),"OK")))</f>
        <v/>
      </c>
      <c r="BC142" s="34" t="str">
        <f aca="false">IF(OR(D142="",G142="",H142="",D142="Sump",D142="Drop Inlet Chamber",D142="Silt Trap",D142="Pipe Culvert",D142="Subsoil Drain"),"",ROUND(MAX(1,N(I142))*(1/SG_Criteria!$B$26)*((G142/1000)*(H142/1000*(1-SG_Criteria!$B$25)))*(((G142/1000)*(H142/1000*(1-SG_Criteria!$B$25)))/((G142/1000)+2*(H142/1000*(1-SG_Criteria!$B$25))))^(2/3)*(1/Design_Selector!$B$11)^0.5,3))</f>
        <v/>
      </c>
      <c r="BD142" s="11" t="str">
        <f aca="false">IF(BC142="","",ROUND(BC142/(MAX(1,N(I142))*G142/1000*(H142/1000*(1-SG_Criteria!$B$25))),2))</f>
        <v/>
      </c>
      <c r="BE142" s="33" t="str">
        <f aca="false">IF(D142="","",IF(LEN(IF(AND(OR(E142="Roadside drain",E142="Entrance culvert"),OR(G142&lt;SG_Criteria!$B$15,H142&lt;SG_Criteria!$B$16)),"FAIL: below PUB min "&amp;SG_Criteria!$B$15&amp;"x"&amp;SG_Criteria!$B$16&amp;" for roadside drain. ","")&amp;IF(AND(E142="Common drain",G142&lt;SG_Criteria!$B$17),"FAIL: common drain W &lt; "&amp;SG_Criteria!$B$17&amp;" mm. ","")&amp;IF(AND(O142&lt;&gt;"",IFERROR(VALUE(MID(O142,2,2)),0)&lt;SG_Criteria!$B$19),"FAIL: grade below C"&amp;SG_Criteria!$B$19&amp;". ","")&amp;IF(AND(P142&lt;&gt;"",P142&lt;SG_Criteria!$B$20),"FAIL: cover &lt; "&amp;SG_Criteria!$B$20&amp;" mm. ","")&amp;IF(AND(F142="Open",H142&gt;SG_Criteria!$B$18),"NOTE: safety railing required (D &gt; "&amp;SG_Criteria!$B$18&amp;" mm). ","")&amp;IF(AND(E142="Entrance culvert",H142&lt;600),"NOTE: check hinged grating rule for culverts &lt; 600 deep (PUB Add. 3). ",""))=0,"OK",IF(AND(OR(E142="Roadside drain",E142="Entrance culvert"),OR(G142&lt;SG_Criteria!$B$15,H142&lt;SG_Criteria!$B$16)),"FAIL: below PUB min "&amp;SG_Criteria!$B$15&amp;"x"&amp;SG_Criteria!$B$16&amp;" for roadside drain. ","")&amp;IF(AND(E142="Common drain",G142&lt;SG_Criteria!$B$17),"FAIL: common drain W &lt; "&amp;SG_Criteria!$B$17&amp;" mm. ","")&amp;IF(AND(O142&lt;&gt;"",IFERROR(VALUE(MID(O142,2,2)),0)&lt;SG_Criteria!$B$19),"FAIL: grade below C"&amp;SG_Criteria!$B$19&amp;". ","")&amp;IF(AND(P142&lt;&gt;"",P142&lt;SG_Criteria!$B$20),"FAIL: cover &lt; "&amp;SG_Criteria!$B$20&amp;" mm. ","")&amp;IF(AND(F142="Open",H142&gt;SG_Criteria!$B$18),"NOTE: safety railing required (D &gt; "&amp;SG_Criteria!$B$18&amp;" mm). ","")&amp;IF(AND(E142="Entrance culvert",H142&lt;600),"NOTE: check hinged grating rule for culverts &lt; 600 deep (PUB Add. 3). ","")))</f>
        <v/>
      </c>
      <c r="BF142" s="9"/>
      <c r="BG142" s="9"/>
      <c r="BH142" s="9"/>
      <c r="BI142" s="10" t="str">
        <f aca="false">IF(BH142="","",IFERROR(VLOOKUP(BH142,Projects!$A$5:$D$504,2,0),"Ref not in Projects"))</f>
        <v/>
      </c>
      <c r="BJ142" s="10" t="str">
        <f aca="false">IF(BH142="","",IFERROR(VLOOKUP(BH142,Projects!$A$5:$D$504,4,0),"Ref not in Projects"))</f>
        <v/>
      </c>
      <c r="BK142" s="9"/>
      <c r="BL142" s="9"/>
      <c r="BM142" s="9"/>
      <c r="BN142" s="40"/>
      <c r="BO142" s="9"/>
      <c r="BP142" s="40"/>
      <c r="BQ142" s="9"/>
      <c r="BR142" s="40"/>
      <c r="BS142" s="9"/>
      <c r="BT142" s="9"/>
      <c r="BU142" s="9"/>
      <c r="BV142" s="40"/>
      <c r="BW142" s="40"/>
      <c r="BX142" s="36" t="str">
        <f aca="false">IF(BW142="","",EDATE(BW142,SG_Criteria!$B$54*12))</f>
        <v/>
      </c>
      <c r="BY142" s="33" t="str">
        <f aca="true">IF(A142="","",IF(BW142="","NOTE: not reviewed yet",IF(TODAY()&gt;BX142,"NOTE: review overdue","OK")))</f>
        <v/>
      </c>
      <c r="BZ142" s="37" t="str">
        <f aca="false">IF(A142="","",ROUND((IF(LEN(D142)&gt;0,1,0)+IF(LEN(E142)&gt;0,1,0)+IF(LEN(F142)&gt;0,1,0)+IF(LEN(G142)&gt;0,1,0)+IF(LEN(H142)&gt;0,1,0)+IF(LEN(J142)&gt;0,1,0)+IF(LEN(K142)&gt;0,1,0)+IF(LEN(M142)&gt;0,1,0)+IF(LEN(O142)&gt;0,1,0)+IF(LEN(P142)&gt;0,1,0)+IF(LEN(Q142)&gt;0,1,0)+IF(LEN(S142)&gt;0,1,0)+IF(LEN(AC142)&gt;0,1,0)+IF(LEN(AV142)&gt;0,1,0)+IF(LEN(AW142)&gt;0,1,0)+IF(LEN(AG142)&gt;0,1,0)+IF(LEN(AI142)&gt;0,1,0)+IF(LEN(AJ142)&gt;0,1,0)+IF(LEN(AK142)&gt;0,1,0)+IF(LEN(AL142)&gt;0,1,0)+IF(LEN(AU142)&gt;0,1,0)+IF(LEN(BH142)&gt;0,1,0)+IF(LEN(BU142)&gt;0,1,0))/23,2))</f>
        <v/>
      </c>
      <c r="CA142" s="10" t="str">
        <f aca="false">IF(D142="","",IF(AND(AJ142="Approved",ISERROR(SEARCH("FAIL",BE142))),"Y","N"))</f>
        <v/>
      </c>
      <c r="CB142" s="10" t="str">
        <f aca="false">IF(D142="","",D142&amp;"|"&amp;G142&amp;"|"&amp;H142&amp;"|"&amp;M142&amp;"|"&amp;CA142)</f>
        <v/>
      </c>
    </row>
    <row r="143" customFormat="false" ht="15" hidden="false" customHeight="false" outlineLevel="0" collapsed="false">
      <c r="A143" s="10" t="str">
        <f aca="false">IF(D143="","","DRN-"&amp;IFERROR(VLOOKUP(D143,Lists!$A$4:$B$27,2,0),"??")&amp;"-"&amp;TEXT(G143,"0000")&amp;"x"&amp;TEXT(H143,"0000")&amp;IF(N(I143)&gt;1,"-"&amp;I143&amp;"C","")&amp;"-"&amp;IFERROR(VLOOKUP(M143,Lists!$J$4:$K$19,2,0),"??")&amp;"-"&amp;AI143)</f>
        <v/>
      </c>
      <c r="B143" s="10" t="str">
        <f aca="false">IF(D143="","",D143&amp;" "&amp;G143&amp;"W x "&amp;H143&amp;"D"&amp;IF(N(I143)&gt;1," ("&amp;I143&amp;" cells)","")&amp;", "&amp;E143&amp;", "&amp;M143&amp;", "&amp;F143)</f>
        <v/>
      </c>
      <c r="C143" s="9"/>
      <c r="D143" s="9"/>
      <c r="E143" s="9"/>
      <c r="F143" s="9"/>
      <c r="G143" s="38"/>
      <c r="H143" s="38"/>
      <c r="I143" s="38"/>
      <c r="J143" s="38"/>
      <c r="K143" s="38"/>
      <c r="L143" s="38"/>
      <c r="M143" s="9"/>
      <c r="N143" s="9"/>
      <c r="O143" s="9"/>
      <c r="P143" s="38"/>
      <c r="Q143" s="9"/>
      <c r="R143" s="9"/>
      <c r="S143" s="9"/>
      <c r="T143" s="9"/>
      <c r="U143" s="9"/>
      <c r="V143" s="9"/>
      <c r="W143" s="9"/>
      <c r="X143" s="9"/>
      <c r="Y143" s="9"/>
      <c r="Z143" s="9"/>
      <c r="AA143" s="9"/>
      <c r="AB143" s="39"/>
      <c r="AC143" s="9"/>
      <c r="AD143" s="38"/>
      <c r="AE143" s="9"/>
      <c r="AF143" s="39"/>
      <c r="AG143" s="9"/>
      <c r="AH143" s="9"/>
      <c r="AI143" s="9"/>
      <c r="AJ143" s="9"/>
      <c r="AK143" s="9"/>
      <c r="AL143" s="9"/>
      <c r="AM143" s="9"/>
      <c r="AN143" s="10" t="str">
        <f aca="false">IF(A143="","",SG_Criteria!$B$6&amp;SG_Criteria!$B$7&amp;"\"&amp;A143&amp;"\")</f>
        <v/>
      </c>
      <c r="AO143" s="10" t="str">
        <f aca="false">IF(A143="","",A143&amp;"_CAD.dwg")</f>
        <v/>
      </c>
      <c r="AP143" s="10" t="str">
        <f aca="false">IF(A143="","",A143&amp;"_DWG.pdf")</f>
        <v/>
      </c>
      <c r="AQ143" s="10" t="str">
        <f aca="false">IF(A143="","",IF(AM143="Y",A143&amp;"_STAAD.std","n/a"))</f>
        <v/>
      </c>
      <c r="AR143" s="10" t="str">
        <f aca="false">IF(A143="","",A143&amp;"_CALC.xlsx")</f>
        <v/>
      </c>
      <c r="AS143" s="10" t="str">
        <f aca="false">IF(A143="","",A143&amp;"_CALC.pdf")</f>
        <v/>
      </c>
      <c r="AT143" s="9"/>
      <c r="AU143" s="9"/>
      <c r="AV143" s="39"/>
      <c r="AW143" s="39"/>
      <c r="AX143" s="39"/>
      <c r="AY143" s="39"/>
      <c r="AZ143" s="39"/>
      <c r="BA143" s="12" t="str">
        <f aca="false">IF(A143="","",IF(COUNTIF(Rebar_Schedule!$A$5:$A$2004,A143)=0,"",ROUND(SUMIF(Rebar_Schedule!$A$5:$A$2004,A143,Rebar_Schedule!$K$5:$K$2004),1)))</f>
        <v/>
      </c>
      <c r="BB143" s="33" t="str">
        <f aca="false">IF(A143="","",IF(BA143="","No rebar schedule yet",IF(ABS(BA143-N(AW143))/MAX(N(AW143),1)&gt;SG_Criteria!$B$55,"NOTE: register rebar differs from schedule by "&amp;TEXT(ABS(BA143-N(AW143))/MAX(N(AW143),1),"0%"),"OK")))</f>
        <v/>
      </c>
      <c r="BC143" s="34" t="str">
        <f aca="false">IF(OR(D143="",G143="",H143="",D143="Sump",D143="Drop Inlet Chamber",D143="Silt Trap",D143="Pipe Culvert",D143="Subsoil Drain"),"",ROUND(MAX(1,N(I143))*(1/SG_Criteria!$B$26)*((G143/1000)*(H143/1000*(1-SG_Criteria!$B$25)))*(((G143/1000)*(H143/1000*(1-SG_Criteria!$B$25)))/((G143/1000)+2*(H143/1000*(1-SG_Criteria!$B$25))))^(2/3)*(1/Design_Selector!$B$11)^0.5,3))</f>
        <v/>
      </c>
      <c r="BD143" s="11" t="str">
        <f aca="false">IF(BC143="","",ROUND(BC143/(MAX(1,N(I143))*G143/1000*(H143/1000*(1-SG_Criteria!$B$25))),2))</f>
        <v/>
      </c>
      <c r="BE143" s="33" t="str">
        <f aca="false">IF(D143="","",IF(LEN(IF(AND(OR(E143="Roadside drain",E143="Entrance culvert"),OR(G143&lt;SG_Criteria!$B$15,H143&lt;SG_Criteria!$B$16)),"FAIL: below PUB min "&amp;SG_Criteria!$B$15&amp;"x"&amp;SG_Criteria!$B$16&amp;" for roadside drain. ","")&amp;IF(AND(E143="Common drain",G143&lt;SG_Criteria!$B$17),"FAIL: common drain W &lt; "&amp;SG_Criteria!$B$17&amp;" mm. ","")&amp;IF(AND(O143&lt;&gt;"",IFERROR(VALUE(MID(O143,2,2)),0)&lt;SG_Criteria!$B$19),"FAIL: grade below C"&amp;SG_Criteria!$B$19&amp;". ","")&amp;IF(AND(P143&lt;&gt;"",P143&lt;SG_Criteria!$B$20),"FAIL: cover &lt; "&amp;SG_Criteria!$B$20&amp;" mm. ","")&amp;IF(AND(F143="Open",H143&gt;SG_Criteria!$B$18),"NOTE: safety railing required (D &gt; "&amp;SG_Criteria!$B$18&amp;" mm). ","")&amp;IF(AND(E143="Entrance culvert",H143&lt;600),"NOTE: check hinged grating rule for culverts &lt; 600 deep (PUB Add. 3). ",""))=0,"OK",IF(AND(OR(E143="Roadside drain",E143="Entrance culvert"),OR(G143&lt;SG_Criteria!$B$15,H143&lt;SG_Criteria!$B$16)),"FAIL: below PUB min "&amp;SG_Criteria!$B$15&amp;"x"&amp;SG_Criteria!$B$16&amp;" for roadside drain. ","")&amp;IF(AND(E143="Common drain",G143&lt;SG_Criteria!$B$17),"FAIL: common drain W &lt; "&amp;SG_Criteria!$B$17&amp;" mm. ","")&amp;IF(AND(O143&lt;&gt;"",IFERROR(VALUE(MID(O143,2,2)),0)&lt;SG_Criteria!$B$19),"FAIL: grade below C"&amp;SG_Criteria!$B$19&amp;". ","")&amp;IF(AND(P143&lt;&gt;"",P143&lt;SG_Criteria!$B$20),"FAIL: cover &lt; "&amp;SG_Criteria!$B$20&amp;" mm. ","")&amp;IF(AND(F143="Open",H143&gt;SG_Criteria!$B$18),"NOTE: safety railing required (D &gt; "&amp;SG_Criteria!$B$18&amp;" mm). ","")&amp;IF(AND(E143="Entrance culvert",H143&lt;600),"NOTE: check hinged grating rule for culverts &lt; 600 deep (PUB Add. 3). ","")))</f>
        <v/>
      </c>
      <c r="BF143" s="9"/>
      <c r="BG143" s="9"/>
      <c r="BH143" s="9"/>
      <c r="BI143" s="10" t="str">
        <f aca="false">IF(BH143="","",IFERROR(VLOOKUP(BH143,Projects!$A$5:$D$504,2,0),"Ref not in Projects"))</f>
        <v/>
      </c>
      <c r="BJ143" s="10" t="str">
        <f aca="false">IF(BH143="","",IFERROR(VLOOKUP(BH143,Projects!$A$5:$D$504,4,0),"Ref not in Projects"))</f>
        <v/>
      </c>
      <c r="BK143" s="9"/>
      <c r="BL143" s="9"/>
      <c r="BM143" s="9"/>
      <c r="BN143" s="40"/>
      <c r="BO143" s="9"/>
      <c r="BP143" s="40"/>
      <c r="BQ143" s="9"/>
      <c r="BR143" s="40"/>
      <c r="BS143" s="9"/>
      <c r="BT143" s="9"/>
      <c r="BU143" s="9"/>
      <c r="BV143" s="40"/>
      <c r="BW143" s="40"/>
      <c r="BX143" s="36" t="str">
        <f aca="false">IF(BW143="","",EDATE(BW143,SG_Criteria!$B$54*12))</f>
        <v/>
      </c>
      <c r="BY143" s="33" t="str">
        <f aca="true">IF(A143="","",IF(BW143="","NOTE: not reviewed yet",IF(TODAY()&gt;BX143,"NOTE: review overdue","OK")))</f>
        <v/>
      </c>
      <c r="BZ143" s="37" t="str">
        <f aca="false">IF(A143="","",ROUND((IF(LEN(D143)&gt;0,1,0)+IF(LEN(E143)&gt;0,1,0)+IF(LEN(F143)&gt;0,1,0)+IF(LEN(G143)&gt;0,1,0)+IF(LEN(H143)&gt;0,1,0)+IF(LEN(J143)&gt;0,1,0)+IF(LEN(K143)&gt;0,1,0)+IF(LEN(M143)&gt;0,1,0)+IF(LEN(O143)&gt;0,1,0)+IF(LEN(P143)&gt;0,1,0)+IF(LEN(Q143)&gt;0,1,0)+IF(LEN(S143)&gt;0,1,0)+IF(LEN(AC143)&gt;0,1,0)+IF(LEN(AV143)&gt;0,1,0)+IF(LEN(AW143)&gt;0,1,0)+IF(LEN(AG143)&gt;0,1,0)+IF(LEN(AI143)&gt;0,1,0)+IF(LEN(AJ143)&gt;0,1,0)+IF(LEN(AK143)&gt;0,1,0)+IF(LEN(AL143)&gt;0,1,0)+IF(LEN(AU143)&gt;0,1,0)+IF(LEN(BH143)&gt;0,1,0)+IF(LEN(BU143)&gt;0,1,0))/23,2))</f>
        <v/>
      </c>
      <c r="CA143" s="10" t="str">
        <f aca="false">IF(D143="","",IF(AND(AJ143="Approved",ISERROR(SEARCH("FAIL",BE143))),"Y","N"))</f>
        <v/>
      </c>
      <c r="CB143" s="10" t="str">
        <f aca="false">IF(D143="","",D143&amp;"|"&amp;G143&amp;"|"&amp;H143&amp;"|"&amp;M143&amp;"|"&amp;CA143)</f>
        <v/>
      </c>
    </row>
    <row r="144" customFormat="false" ht="15" hidden="false" customHeight="false" outlineLevel="0" collapsed="false">
      <c r="A144" s="10" t="str">
        <f aca="false">IF(D144="","","DRN-"&amp;IFERROR(VLOOKUP(D144,Lists!$A$4:$B$27,2,0),"??")&amp;"-"&amp;TEXT(G144,"0000")&amp;"x"&amp;TEXT(H144,"0000")&amp;IF(N(I144)&gt;1,"-"&amp;I144&amp;"C","")&amp;"-"&amp;IFERROR(VLOOKUP(M144,Lists!$J$4:$K$19,2,0),"??")&amp;"-"&amp;AI144)</f>
        <v/>
      </c>
      <c r="B144" s="10" t="str">
        <f aca="false">IF(D144="","",D144&amp;" "&amp;G144&amp;"W x "&amp;H144&amp;"D"&amp;IF(N(I144)&gt;1," ("&amp;I144&amp;" cells)","")&amp;", "&amp;E144&amp;", "&amp;M144&amp;", "&amp;F144)</f>
        <v/>
      </c>
      <c r="C144" s="9"/>
      <c r="D144" s="9"/>
      <c r="E144" s="9"/>
      <c r="F144" s="9"/>
      <c r="G144" s="38"/>
      <c r="H144" s="38"/>
      <c r="I144" s="38"/>
      <c r="J144" s="38"/>
      <c r="K144" s="38"/>
      <c r="L144" s="38"/>
      <c r="M144" s="9"/>
      <c r="N144" s="9"/>
      <c r="O144" s="9"/>
      <c r="P144" s="38"/>
      <c r="Q144" s="9"/>
      <c r="R144" s="9"/>
      <c r="S144" s="9"/>
      <c r="T144" s="9"/>
      <c r="U144" s="9"/>
      <c r="V144" s="9"/>
      <c r="W144" s="9"/>
      <c r="X144" s="9"/>
      <c r="Y144" s="9"/>
      <c r="Z144" s="9"/>
      <c r="AA144" s="9"/>
      <c r="AB144" s="39"/>
      <c r="AC144" s="9"/>
      <c r="AD144" s="38"/>
      <c r="AE144" s="9"/>
      <c r="AF144" s="39"/>
      <c r="AG144" s="9"/>
      <c r="AH144" s="9"/>
      <c r="AI144" s="9"/>
      <c r="AJ144" s="9"/>
      <c r="AK144" s="9"/>
      <c r="AL144" s="9"/>
      <c r="AM144" s="9"/>
      <c r="AN144" s="10" t="str">
        <f aca="false">IF(A144="","",SG_Criteria!$B$6&amp;SG_Criteria!$B$7&amp;"\"&amp;A144&amp;"\")</f>
        <v/>
      </c>
      <c r="AO144" s="10" t="str">
        <f aca="false">IF(A144="","",A144&amp;"_CAD.dwg")</f>
        <v/>
      </c>
      <c r="AP144" s="10" t="str">
        <f aca="false">IF(A144="","",A144&amp;"_DWG.pdf")</f>
        <v/>
      </c>
      <c r="AQ144" s="10" t="str">
        <f aca="false">IF(A144="","",IF(AM144="Y",A144&amp;"_STAAD.std","n/a"))</f>
        <v/>
      </c>
      <c r="AR144" s="10" t="str">
        <f aca="false">IF(A144="","",A144&amp;"_CALC.xlsx")</f>
        <v/>
      </c>
      <c r="AS144" s="10" t="str">
        <f aca="false">IF(A144="","",A144&amp;"_CALC.pdf")</f>
        <v/>
      </c>
      <c r="AT144" s="9"/>
      <c r="AU144" s="9"/>
      <c r="AV144" s="39"/>
      <c r="AW144" s="39"/>
      <c r="AX144" s="39"/>
      <c r="AY144" s="39"/>
      <c r="AZ144" s="39"/>
      <c r="BA144" s="12" t="str">
        <f aca="false">IF(A144="","",IF(COUNTIF(Rebar_Schedule!$A$5:$A$2004,A144)=0,"",ROUND(SUMIF(Rebar_Schedule!$A$5:$A$2004,A144,Rebar_Schedule!$K$5:$K$2004),1)))</f>
        <v/>
      </c>
      <c r="BB144" s="33" t="str">
        <f aca="false">IF(A144="","",IF(BA144="","No rebar schedule yet",IF(ABS(BA144-N(AW144))/MAX(N(AW144),1)&gt;SG_Criteria!$B$55,"NOTE: register rebar differs from schedule by "&amp;TEXT(ABS(BA144-N(AW144))/MAX(N(AW144),1),"0%"),"OK")))</f>
        <v/>
      </c>
      <c r="BC144" s="34" t="str">
        <f aca="false">IF(OR(D144="",G144="",H144="",D144="Sump",D144="Drop Inlet Chamber",D144="Silt Trap",D144="Pipe Culvert",D144="Subsoil Drain"),"",ROUND(MAX(1,N(I144))*(1/SG_Criteria!$B$26)*((G144/1000)*(H144/1000*(1-SG_Criteria!$B$25)))*(((G144/1000)*(H144/1000*(1-SG_Criteria!$B$25)))/((G144/1000)+2*(H144/1000*(1-SG_Criteria!$B$25))))^(2/3)*(1/Design_Selector!$B$11)^0.5,3))</f>
        <v/>
      </c>
      <c r="BD144" s="11" t="str">
        <f aca="false">IF(BC144="","",ROUND(BC144/(MAX(1,N(I144))*G144/1000*(H144/1000*(1-SG_Criteria!$B$25))),2))</f>
        <v/>
      </c>
      <c r="BE144" s="33" t="str">
        <f aca="false">IF(D144="","",IF(LEN(IF(AND(OR(E144="Roadside drain",E144="Entrance culvert"),OR(G144&lt;SG_Criteria!$B$15,H144&lt;SG_Criteria!$B$16)),"FAIL: below PUB min "&amp;SG_Criteria!$B$15&amp;"x"&amp;SG_Criteria!$B$16&amp;" for roadside drain. ","")&amp;IF(AND(E144="Common drain",G144&lt;SG_Criteria!$B$17),"FAIL: common drain W &lt; "&amp;SG_Criteria!$B$17&amp;" mm. ","")&amp;IF(AND(O144&lt;&gt;"",IFERROR(VALUE(MID(O144,2,2)),0)&lt;SG_Criteria!$B$19),"FAIL: grade below C"&amp;SG_Criteria!$B$19&amp;". ","")&amp;IF(AND(P144&lt;&gt;"",P144&lt;SG_Criteria!$B$20),"FAIL: cover &lt; "&amp;SG_Criteria!$B$20&amp;" mm. ","")&amp;IF(AND(F144="Open",H144&gt;SG_Criteria!$B$18),"NOTE: safety railing required (D &gt; "&amp;SG_Criteria!$B$18&amp;" mm). ","")&amp;IF(AND(E144="Entrance culvert",H144&lt;600),"NOTE: check hinged grating rule for culverts &lt; 600 deep (PUB Add. 3). ",""))=0,"OK",IF(AND(OR(E144="Roadside drain",E144="Entrance culvert"),OR(G144&lt;SG_Criteria!$B$15,H144&lt;SG_Criteria!$B$16)),"FAIL: below PUB min "&amp;SG_Criteria!$B$15&amp;"x"&amp;SG_Criteria!$B$16&amp;" for roadside drain. ","")&amp;IF(AND(E144="Common drain",G144&lt;SG_Criteria!$B$17),"FAIL: common drain W &lt; "&amp;SG_Criteria!$B$17&amp;" mm. ","")&amp;IF(AND(O144&lt;&gt;"",IFERROR(VALUE(MID(O144,2,2)),0)&lt;SG_Criteria!$B$19),"FAIL: grade below C"&amp;SG_Criteria!$B$19&amp;". ","")&amp;IF(AND(P144&lt;&gt;"",P144&lt;SG_Criteria!$B$20),"FAIL: cover &lt; "&amp;SG_Criteria!$B$20&amp;" mm. ","")&amp;IF(AND(F144="Open",H144&gt;SG_Criteria!$B$18),"NOTE: safety railing required (D &gt; "&amp;SG_Criteria!$B$18&amp;" mm). ","")&amp;IF(AND(E144="Entrance culvert",H144&lt;600),"NOTE: check hinged grating rule for culverts &lt; 600 deep (PUB Add. 3). ","")))</f>
        <v/>
      </c>
      <c r="BF144" s="9"/>
      <c r="BG144" s="9"/>
      <c r="BH144" s="9"/>
      <c r="BI144" s="10" t="str">
        <f aca="false">IF(BH144="","",IFERROR(VLOOKUP(BH144,Projects!$A$5:$D$504,2,0),"Ref not in Projects"))</f>
        <v/>
      </c>
      <c r="BJ144" s="10" t="str">
        <f aca="false">IF(BH144="","",IFERROR(VLOOKUP(BH144,Projects!$A$5:$D$504,4,0),"Ref not in Projects"))</f>
        <v/>
      </c>
      <c r="BK144" s="9"/>
      <c r="BL144" s="9"/>
      <c r="BM144" s="9"/>
      <c r="BN144" s="40"/>
      <c r="BO144" s="9"/>
      <c r="BP144" s="40"/>
      <c r="BQ144" s="9"/>
      <c r="BR144" s="40"/>
      <c r="BS144" s="9"/>
      <c r="BT144" s="9"/>
      <c r="BU144" s="9"/>
      <c r="BV144" s="40"/>
      <c r="BW144" s="40"/>
      <c r="BX144" s="36" t="str">
        <f aca="false">IF(BW144="","",EDATE(BW144,SG_Criteria!$B$54*12))</f>
        <v/>
      </c>
      <c r="BY144" s="33" t="str">
        <f aca="true">IF(A144="","",IF(BW144="","NOTE: not reviewed yet",IF(TODAY()&gt;BX144,"NOTE: review overdue","OK")))</f>
        <v/>
      </c>
      <c r="BZ144" s="37" t="str">
        <f aca="false">IF(A144="","",ROUND((IF(LEN(D144)&gt;0,1,0)+IF(LEN(E144)&gt;0,1,0)+IF(LEN(F144)&gt;0,1,0)+IF(LEN(G144)&gt;0,1,0)+IF(LEN(H144)&gt;0,1,0)+IF(LEN(J144)&gt;0,1,0)+IF(LEN(K144)&gt;0,1,0)+IF(LEN(M144)&gt;0,1,0)+IF(LEN(O144)&gt;0,1,0)+IF(LEN(P144)&gt;0,1,0)+IF(LEN(Q144)&gt;0,1,0)+IF(LEN(S144)&gt;0,1,0)+IF(LEN(AC144)&gt;0,1,0)+IF(LEN(AV144)&gt;0,1,0)+IF(LEN(AW144)&gt;0,1,0)+IF(LEN(AG144)&gt;0,1,0)+IF(LEN(AI144)&gt;0,1,0)+IF(LEN(AJ144)&gt;0,1,0)+IF(LEN(AK144)&gt;0,1,0)+IF(LEN(AL144)&gt;0,1,0)+IF(LEN(AU144)&gt;0,1,0)+IF(LEN(BH144)&gt;0,1,0)+IF(LEN(BU144)&gt;0,1,0))/23,2))</f>
        <v/>
      </c>
      <c r="CA144" s="10" t="str">
        <f aca="false">IF(D144="","",IF(AND(AJ144="Approved",ISERROR(SEARCH("FAIL",BE144))),"Y","N"))</f>
        <v/>
      </c>
      <c r="CB144" s="10" t="str">
        <f aca="false">IF(D144="","",D144&amp;"|"&amp;G144&amp;"|"&amp;H144&amp;"|"&amp;M144&amp;"|"&amp;CA144)</f>
        <v/>
      </c>
    </row>
    <row r="145" customFormat="false" ht="15" hidden="false" customHeight="false" outlineLevel="0" collapsed="false">
      <c r="A145" s="10" t="str">
        <f aca="false">IF(D145="","","DRN-"&amp;IFERROR(VLOOKUP(D145,Lists!$A$4:$B$27,2,0),"??")&amp;"-"&amp;TEXT(G145,"0000")&amp;"x"&amp;TEXT(H145,"0000")&amp;IF(N(I145)&gt;1,"-"&amp;I145&amp;"C","")&amp;"-"&amp;IFERROR(VLOOKUP(M145,Lists!$J$4:$K$19,2,0),"??")&amp;"-"&amp;AI145)</f>
        <v/>
      </c>
      <c r="B145" s="10" t="str">
        <f aca="false">IF(D145="","",D145&amp;" "&amp;G145&amp;"W x "&amp;H145&amp;"D"&amp;IF(N(I145)&gt;1," ("&amp;I145&amp;" cells)","")&amp;", "&amp;E145&amp;", "&amp;M145&amp;", "&amp;F145)</f>
        <v/>
      </c>
      <c r="C145" s="9"/>
      <c r="D145" s="9"/>
      <c r="E145" s="9"/>
      <c r="F145" s="9"/>
      <c r="G145" s="38"/>
      <c r="H145" s="38"/>
      <c r="I145" s="38"/>
      <c r="J145" s="38"/>
      <c r="K145" s="38"/>
      <c r="L145" s="38"/>
      <c r="M145" s="9"/>
      <c r="N145" s="9"/>
      <c r="O145" s="9"/>
      <c r="P145" s="38"/>
      <c r="Q145" s="9"/>
      <c r="R145" s="9"/>
      <c r="S145" s="9"/>
      <c r="T145" s="9"/>
      <c r="U145" s="9"/>
      <c r="V145" s="9"/>
      <c r="W145" s="9"/>
      <c r="X145" s="9"/>
      <c r="Y145" s="9"/>
      <c r="Z145" s="9"/>
      <c r="AA145" s="9"/>
      <c r="AB145" s="39"/>
      <c r="AC145" s="9"/>
      <c r="AD145" s="38"/>
      <c r="AE145" s="9"/>
      <c r="AF145" s="39"/>
      <c r="AG145" s="9"/>
      <c r="AH145" s="9"/>
      <c r="AI145" s="9"/>
      <c r="AJ145" s="9"/>
      <c r="AK145" s="9"/>
      <c r="AL145" s="9"/>
      <c r="AM145" s="9"/>
      <c r="AN145" s="10" t="str">
        <f aca="false">IF(A145="","",SG_Criteria!$B$6&amp;SG_Criteria!$B$7&amp;"\"&amp;A145&amp;"\")</f>
        <v/>
      </c>
      <c r="AO145" s="10" t="str">
        <f aca="false">IF(A145="","",A145&amp;"_CAD.dwg")</f>
        <v/>
      </c>
      <c r="AP145" s="10" t="str">
        <f aca="false">IF(A145="","",A145&amp;"_DWG.pdf")</f>
        <v/>
      </c>
      <c r="AQ145" s="10" t="str">
        <f aca="false">IF(A145="","",IF(AM145="Y",A145&amp;"_STAAD.std","n/a"))</f>
        <v/>
      </c>
      <c r="AR145" s="10" t="str">
        <f aca="false">IF(A145="","",A145&amp;"_CALC.xlsx")</f>
        <v/>
      </c>
      <c r="AS145" s="10" t="str">
        <f aca="false">IF(A145="","",A145&amp;"_CALC.pdf")</f>
        <v/>
      </c>
      <c r="AT145" s="9"/>
      <c r="AU145" s="9"/>
      <c r="AV145" s="39"/>
      <c r="AW145" s="39"/>
      <c r="AX145" s="39"/>
      <c r="AY145" s="39"/>
      <c r="AZ145" s="39"/>
      <c r="BA145" s="12" t="str">
        <f aca="false">IF(A145="","",IF(COUNTIF(Rebar_Schedule!$A$5:$A$2004,A145)=0,"",ROUND(SUMIF(Rebar_Schedule!$A$5:$A$2004,A145,Rebar_Schedule!$K$5:$K$2004),1)))</f>
        <v/>
      </c>
      <c r="BB145" s="33" t="str">
        <f aca="false">IF(A145="","",IF(BA145="","No rebar schedule yet",IF(ABS(BA145-N(AW145))/MAX(N(AW145),1)&gt;SG_Criteria!$B$55,"NOTE: register rebar differs from schedule by "&amp;TEXT(ABS(BA145-N(AW145))/MAX(N(AW145),1),"0%"),"OK")))</f>
        <v/>
      </c>
      <c r="BC145" s="34" t="str">
        <f aca="false">IF(OR(D145="",G145="",H145="",D145="Sump",D145="Drop Inlet Chamber",D145="Silt Trap",D145="Pipe Culvert",D145="Subsoil Drain"),"",ROUND(MAX(1,N(I145))*(1/SG_Criteria!$B$26)*((G145/1000)*(H145/1000*(1-SG_Criteria!$B$25)))*(((G145/1000)*(H145/1000*(1-SG_Criteria!$B$25)))/((G145/1000)+2*(H145/1000*(1-SG_Criteria!$B$25))))^(2/3)*(1/Design_Selector!$B$11)^0.5,3))</f>
        <v/>
      </c>
      <c r="BD145" s="11" t="str">
        <f aca="false">IF(BC145="","",ROUND(BC145/(MAX(1,N(I145))*G145/1000*(H145/1000*(1-SG_Criteria!$B$25))),2))</f>
        <v/>
      </c>
      <c r="BE145" s="33" t="str">
        <f aca="false">IF(D145="","",IF(LEN(IF(AND(OR(E145="Roadside drain",E145="Entrance culvert"),OR(G145&lt;SG_Criteria!$B$15,H145&lt;SG_Criteria!$B$16)),"FAIL: below PUB min "&amp;SG_Criteria!$B$15&amp;"x"&amp;SG_Criteria!$B$16&amp;" for roadside drain. ","")&amp;IF(AND(E145="Common drain",G145&lt;SG_Criteria!$B$17),"FAIL: common drain W &lt; "&amp;SG_Criteria!$B$17&amp;" mm. ","")&amp;IF(AND(O145&lt;&gt;"",IFERROR(VALUE(MID(O145,2,2)),0)&lt;SG_Criteria!$B$19),"FAIL: grade below C"&amp;SG_Criteria!$B$19&amp;". ","")&amp;IF(AND(P145&lt;&gt;"",P145&lt;SG_Criteria!$B$20),"FAIL: cover &lt; "&amp;SG_Criteria!$B$20&amp;" mm. ","")&amp;IF(AND(F145="Open",H145&gt;SG_Criteria!$B$18),"NOTE: safety railing required (D &gt; "&amp;SG_Criteria!$B$18&amp;" mm). ","")&amp;IF(AND(E145="Entrance culvert",H145&lt;600),"NOTE: check hinged grating rule for culverts &lt; 600 deep (PUB Add. 3). ",""))=0,"OK",IF(AND(OR(E145="Roadside drain",E145="Entrance culvert"),OR(G145&lt;SG_Criteria!$B$15,H145&lt;SG_Criteria!$B$16)),"FAIL: below PUB min "&amp;SG_Criteria!$B$15&amp;"x"&amp;SG_Criteria!$B$16&amp;" for roadside drain. ","")&amp;IF(AND(E145="Common drain",G145&lt;SG_Criteria!$B$17),"FAIL: common drain W &lt; "&amp;SG_Criteria!$B$17&amp;" mm. ","")&amp;IF(AND(O145&lt;&gt;"",IFERROR(VALUE(MID(O145,2,2)),0)&lt;SG_Criteria!$B$19),"FAIL: grade below C"&amp;SG_Criteria!$B$19&amp;". ","")&amp;IF(AND(P145&lt;&gt;"",P145&lt;SG_Criteria!$B$20),"FAIL: cover &lt; "&amp;SG_Criteria!$B$20&amp;" mm. ","")&amp;IF(AND(F145="Open",H145&gt;SG_Criteria!$B$18),"NOTE: safety railing required (D &gt; "&amp;SG_Criteria!$B$18&amp;" mm). ","")&amp;IF(AND(E145="Entrance culvert",H145&lt;600),"NOTE: check hinged grating rule for culverts &lt; 600 deep (PUB Add. 3). ","")))</f>
        <v/>
      </c>
      <c r="BF145" s="9"/>
      <c r="BG145" s="9"/>
      <c r="BH145" s="9"/>
      <c r="BI145" s="10" t="str">
        <f aca="false">IF(BH145="","",IFERROR(VLOOKUP(BH145,Projects!$A$5:$D$504,2,0),"Ref not in Projects"))</f>
        <v/>
      </c>
      <c r="BJ145" s="10" t="str">
        <f aca="false">IF(BH145="","",IFERROR(VLOOKUP(BH145,Projects!$A$5:$D$504,4,0),"Ref not in Projects"))</f>
        <v/>
      </c>
      <c r="BK145" s="9"/>
      <c r="BL145" s="9"/>
      <c r="BM145" s="9"/>
      <c r="BN145" s="40"/>
      <c r="BO145" s="9"/>
      <c r="BP145" s="40"/>
      <c r="BQ145" s="9"/>
      <c r="BR145" s="40"/>
      <c r="BS145" s="9"/>
      <c r="BT145" s="9"/>
      <c r="BU145" s="9"/>
      <c r="BV145" s="40"/>
      <c r="BW145" s="40"/>
      <c r="BX145" s="36" t="str">
        <f aca="false">IF(BW145="","",EDATE(BW145,SG_Criteria!$B$54*12))</f>
        <v/>
      </c>
      <c r="BY145" s="33" t="str">
        <f aca="true">IF(A145="","",IF(BW145="","NOTE: not reviewed yet",IF(TODAY()&gt;BX145,"NOTE: review overdue","OK")))</f>
        <v/>
      </c>
      <c r="BZ145" s="37" t="str">
        <f aca="false">IF(A145="","",ROUND((IF(LEN(D145)&gt;0,1,0)+IF(LEN(E145)&gt;0,1,0)+IF(LEN(F145)&gt;0,1,0)+IF(LEN(G145)&gt;0,1,0)+IF(LEN(H145)&gt;0,1,0)+IF(LEN(J145)&gt;0,1,0)+IF(LEN(K145)&gt;0,1,0)+IF(LEN(M145)&gt;0,1,0)+IF(LEN(O145)&gt;0,1,0)+IF(LEN(P145)&gt;0,1,0)+IF(LEN(Q145)&gt;0,1,0)+IF(LEN(S145)&gt;0,1,0)+IF(LEN(AC145)&gt;0,1,0)+IF(LEN(AV145)&gt;0,1,0)+IF(LEN(AW145)&gt;0,1,0)+IF(LEN(AG145)&gt;0,1,0)+IF(LEN(AI145)&gt;0,1,0)+IF(LEN(AJ145)&gt;0,1,0)+IF(LEN(AK145)&gt;0,1,0)+IF(LEN(AL145)&gt;0,1,0)+IF(LEN(AU145)&gt;0,1,0)+IF(LEN(BH145)&gt;0,1,0)+IF(LEN(BU145)&gt;0,1,0))/23,2))</f>
        <v/>
      </c>
      <c r="CA145" s="10" t="str">
        <f aca="false">IF(D145="","",IF(AND(AJ145="Approved",ISERROR(SEARCH("FAIL",BE145))),"Y","N"))</f>
        <v/>
      </c>
      <c r="CB145" s="10" t="str">
        <f aca="false">IF(D145="","",D145&amp;"|"&amp;G145&amp;"|"&amp;H145&amp;"|"&amp;M145&amp;"|"&amp;CA145)</f>
        <v/>
      </c>
    </row>
    <row r="146" customFormat="false" ht="15" hidden="false" customHeight="false" outlineLevel="0" collapsed="false">
      <c r="A146" s="10" t="str">
        <f aca="false">IF(D146="","","DRN-"&amp;IFERROR(VLOOKUP(D146,Lists!$A$4:$B$27,2,0),"??")&amp;"-"&amp;TEXT(G146,"0000")&amp;"x"&amp;TEXT(H146,"0000")&amp;IF(N(I146)&gt;1,"-"&amp;I146&amp;"C","")&amp;"-"&amp;IFERROR(VLOOKUP(M146,Lists!$J$4:$K$19,2,0),"??")&amp;"-"&amp;AI146)</f>
        <v/>
      </c>
      <c r="B146" s="10" t="str">
        <f aca="false">IF(D146="","",D146&amp;" "&amp;G146&amp;"W x "&amp;H146&amp;"D"&amp;IF(N(I146)&gt;1," ("&amp;I146&amp;" cells)","")&amp;", "&amp;E146&amp;", "&amp;M146&amp;", "&amp;F146)</f>
        <v/>
      </c>
      <c r="C146" s="9"/>
      <c r="D146" s="9"/>
      <c r="E146" s="9"/>
      <c r="F146" s="9"/>
      <c r="G146" s="38"/>
      <c r="H146" s="38"/>
      <c r="I146" s="38"/>
      <c r="J146" s="38"/>
      <c r="K146" s="38"/>
      <c r="L146" s="38"/>
      <c r="M146" s="9"/>
      <c r="N146" s="9"/>
      <c r="O146" s="9"/>
      <c r="P146" s="38"/>
      <c r="Q146" s="9"/>
      <c r="R146" s="9"/>
      <c r="S146" s="9"/>
      <c r="T146" s="9"/>
      <c r="U146" s="9"/>
      <c r="V146" s="9"/>
      <c r="W146" s="9"/>
      <c r="X146" s="9"/>
      <c r="Y146" s="9"/>
      <c r="Z146" s="9"/>
      <c r="AA146" s="9"/>
      <c r="AB146" s="39"/>
      <c r="AC146" s="9"/>
      <c r="AD146" s="38"/>
      <c r="AE146" s="9"/>
      <c r="AF146" s="39"/>
      <c r="AG146" s="9"/>
      <c r="AH146" s="9"/>
      <c r="AI146" s="9"/>
      <c r="AJ146" s="9"/>
      <c r="AK146" s="9"/>
      <c r="AL146" s="9"/>
      <c r="AM146" s="9"/>
      <c r="AN146" s="10" t="str">
        <f aca="false">IF(A146="","",SG_Criteria!$B$6&amp;SG_Criteria!$B$7&amp;"\"&amp;A146&amp;"\")</f>
        <v/>
      </c>
      <c r="AO146" s="10" t="str">
        <f aca="false">IF(A146="","",A146&amp;"_CAD.dwg")</f>
        <v/>
      </c>
      <c r="AP146" s="10" t="str">
        <f aca="false">IF(A146="","",A146&amp;"_DWG.pdf")</f>
        <v/>
      </c>
      <c r="AQ146" s="10" t="str">
        <f aca="false">IF(A146="","",IF(AM146="Y",A146&amp;"_STAAD.std","n/a"))</f>
        <v/>
      </c>
      <c r="AR146" s="10" t="str">
        <f aca="false">IF(A146="","",A146&amp;"_CALC.xlsx")</f>
        <v/>
      </c>
      <c r="AS146" s="10" t="str">
        <f aca="false">IF(A146="","",A146&amp;"_CALC.pdf")</f>
        <v/>
      </c>
      <c r="AT146" s="9"/>
      <c r="AU146" s="9"/>
      <c r="AV146" s="39"/>
      <c r="AW146" s="39"/>
      <c r="AX146" s="39"/>
      <c r="AY146" s="39"/>
      <c r="AZ146" s="39"/>
      <c r="BA146" s="12" t="str">
        <f aca="false">IF(A146="","",IF(COUNTIF(Rebar_Schedule!$A$5:$A$2004,A146)=0,"",ROUND(SUMIF(Rebar_Schedule!$A$5:$A$2004,A146,Rebar_Schedule!$K$5:$K$2004),1)))</f>
        <v/>
      </c>
      <c r="BB146" s="33" t="str">
        <f aca="false">IF(A146="","",IF(BA146="","No rebar schedule yet",IF(ABS(BA146-N(AW146))/MAX(N(AW146),1)&gt;SG_Criteria!$B$55,"NOTE: register rebar differs from schedule by "&amp;TEXT(ABS(BA146-N(AW146))/MAX(N(AW146),1),"0%"),"OK")))</f>
        <v/>
      </c>
      <c r="BC146" s="34" t="str">
        <f aca="false">IF(OR(D146="",G146="",H146="",D146="Sump",D146="Drop Inlet Chamber",D146="Silt Trap",D146="Pipe Culvert",D146="Subsoil Drain"),"",ROUND(MAX(1,N(I146))*(1/SG_Criteria!$B$26)*((G146/1000)*(H146/1000*(1-SG_Criteria!$B$25)))*(((G146/1000)*(H146/1000*(1-SG_Criteria!$B$25)))/((G146/1000)+2*(H146/1000*(1-SG_Criteria!$B$25))))^(2/3)*(1/Design_Selector!$B$11)^0.5,3))</f>
        <v/>
      </c>
      <c r="BD146" s="11" t="str">
        <f aca="false">IF(BC146="","",ROUND(BC146/(MAX(1,N(I146))*G146/1000*(H146/1000*(1-SG_Criteria!$B$25))),2))</f>
        <v/>
      </c>
      <c r="BE146" s="33" t="str">
        <f aca="false">IF(D146="","",IF(LEN(IF(AND(OR(E146="Roadside drain",E146="Entrance culvert"),OR(G146&lt;SG_Criteria!$B$15,H146&lt;SG_Criteria!$B$16)),"FAIL: below PUB min "&amp;SG_Criteria!$B$15&amp;"x"&amp;SG_Criteria!$B$16&amp;" for roadside drain. ","")&amp;IF(AND(E146="Common drain",G146&lt;SG_Criteria!$B$17),"FAIL: common drain W &lt; "&amp;SG_Criteria!$B$17&amp;" mm. ","")&amp;IF(AND(O146&lt;&gt;"",IFERROR(VALUE(MID(O146,2,2)),0)&lt;SG_Criteria!$B$19),"FAIL: grade below C"&amp;SG_Criteria!$B$19&amp;". ","")&amp;IF(AND(P146&lt;&gt;"",P146&lt;SG_Criteria!$B$20),"FAIL: cover &lt; "&amp;SG_Criteria!$B$20&amp;" mm. ","")&amp;IF(AND(F146="Open",H146&gt;SG_Criteria!$B$18),"NOTE: safety railing required (D &gt; "&amp;SG_Criteria!$B$18&amp;" mm). ","")&amp;IF(AND(E146="Entrance culvert",H146&lt;600),"NOTE: check hinged grating rule for culverts &lt; 600 deep (PUB Add. 3). ",""))=0,"OK",IF(AND(OR(E146="Roadside drain",E146="Entrance culvert"),OR(G146&lt;SG_Criteria!$B$15,H146&lt;SG_Criteria!$B$16)),"FAIL: below PUB min "&amp;SG_Criteria!$B$15&amp;"x"&amp;SG_Criteria!$B$16&amp;" for roadside drain. ","")&amp;IF(AND(E146="Common drain",G146&lt;SG_Criteria!$B$17),"FAIL: common drain W &lt; "&amp;SG_Criteria!$B$17&amp;" mm. ","")&amp;IF(AND(O146&lt;&gt;"",IFERROR(VALUE(MID(O146,2,2)),0)&lt;SG_Criteria!$B$19),"FAIL: grade below C"&amp;SG_Criteria!$B$19&amp;". ","")&amp;IF(AND(P146&lt;&gt;"",P146&lt;SG_Criteria!$B$20),"FAIL: cover &lt; "&amp;SG_Criteria!$B$20&amp;" mm. ","")&amp;IF(AND(F146="Open",H146&gt;SG_Criteria!$B$18),"NOTE: safety railing required (D &gt; "&amp;SG_Criteria!$B$18&amp;" mm). ","")&amp;IF(AND(E146="Entrance culvert",H146&lt;600),"NOTE: check hinged grating rule for culverts &lt; 600 deep (PUB Add. 3). ","")))</f>
        <v/>
      </c>
      <c r="BF146" s="9"/>
      <c r="BG146" s="9"/>
      <c r="BH146" s="9"/>
      <c r="BI146" s="10" t="str">
        <f aca="false">IF(BH146="","",IFERROR(VLOOKUP(BH146,Projects!$A$5:$D$504,2,0),"Ref not in Projects"))</f>
        <v/>
      </c>
      <c r="BJ146" s="10" t="str">
        <f aca="false">IF(BH146="","",IFERROR(VLOOKUP(BH146,Projects!$A$5:$D$504,4,0),"Ref not in Projects"))</f>
        <v/>
      </c>
      <c r="BK146" s="9"/>
      <c r="BL146" s="9"/>
      <c r="BM146" s="9"/>
      <c r="BN146" s="40"/>
      <c r="BO146" s="9"/>
      <c r="BP146" s="40"/>
      <c r="BQ146" s="9"/>
      <c r="BR146" s="40"/>
      <c r="BS146" s="9"/>
      <c r="BT146" s="9"/>
      <c r="BU146" s="9"/>
      <c r="BV146" s="40"/>
      <c r="BW146" s="40"/>
      <c r="BX146" s="36" t="str">
        <f aca="false">IF(BW146="","",EDATE(BW146,SG_Criteria!$B$54*12))</f>
        <v/>
      </c>
      <c r="BY146" s="33" t="str">
        <f aca="true">IF(A146="","",IF(BW146="","NOTE: not reviewed yet",IF(TODAY()&gt;BX146,"NOTE: review overdue","OK")))</f>
        <v/>
      </c>
      <c r="BZ146" s="37" t="str">
        <f aca="false">IF(A146="","",ROUND((IF(LEN(D146)&gt;0,1,0)+IF(LEN(E146)&gt;0,1,0)+IF(LEN(F146)&gt;0,1,0)+IF(LEN(G146)&gt;0,1,0)+IF(LEN(H146)&gt;0,1,0)+IF(LEN(J146)&gt;0,1,0)+IF(LEN(K146)&gt;0,1,0)+IF(LEN(M146)&gt;0,1,0)+IF(LEN(O146)&gt;0,1,0)+IF(LEN(P146)&gt;0,1,0)+IF(LEN(Q146)&gt;0,1,0)+IF(LEN(S146)&gt;0,1,0)+IF(LEN(AC146)&gt;0,1,0)+IF(LEN(AV146)&gt;0,1,0)+IF(LEN(AW146)&gt;0,1,0)+IF(LEN(AG146)&gt;0,1,0)+IF(LEN(AI146)&gt;0,1,0)+IF(LEN(AJ146)&gt;0,1,0)+IF(LEN(AK146)&gt;0,1,0)+IF(LEN(AL146)&gt;0,1,0)+IF(LEN(AU146)&gt;0,1,0)+IF(LEN(BH146)&gt;0,1,0)+IF(LEN(BU146)&gt;0,1,0))/23,2))</f>
        <v/>
      </c>
      <c r="CA146" s="10" t="str">
        <f aca="false">IF(D146="","",IF(AND(AJ146="Approved",ISERROR(SEARCH("FAIL",BE146))),"Y","N"))</f>
        <v/>
      </c>
      <c r="CB146" s="10" t="str">
        <f aca="false">IF(D146="","",D146&amp;"|"&amp;G146&amp;"|"&amp;H146&amp;"|"&amp;M146&amp;"|"&amp;CA146)</f>
        <v/>
      </c>
    </row>
    <row r="147" customFormat="false" ht="15" hidden="false" customHeight="false" outlineLevel="0" collapsed="false">
      <c r="A147" s="10" t="str">
        <f aca="false">IF(D147="","","DRN-"&amp;IFERROR(VLOOKUP(D147,Lists!$A$4:$B$27,2,0),"??")&amp;"-"&amp;TEXT(G147,"0000")&amp;"x"&amp;TEXT(H147,"0000")&amp;IF(N(I147)&gt;1,"-"&amp;I147&amp;"C","")&amp;"-"&amp;IFERROR(VLOOKUP(M147,Lists!$J$4:$K$19,2,0),"??")&amp;"-"&amp;AI147)</f>
        <v/>
      </c>
      <c r="B147" s="10" t="str">
        <f aca="false">IF(D147="","",D147&amp;" "&amp;G147&amp;"W x "&amp;H147&amp;"D"&amp;IF(N(I147)&gt;1," ("&amp;I147&amp;" cells)","")&amp;", "&amp;E147&amp;", "&amp;M147&amp;", "&amp;F147)</f>
        <v/>
      </c>
      <c r="C147" s="9"/>
      <c r="D147" s="9"/>
      <c r="E147" s="9"/>
      <c r="F147" s="9"/>
      <c r="G147" s="38"/>
      <c r="H147" s="38"/>
      <c r="I147" s="38"/>
      <c r="J147" s="38"/>
      <c r="K147" s="38"/>
      <c r="L147" s="38"/>
      <c r="M147" s="9"/>
      <c r="N147" s="9"/>
      <c r="O147" s="9"/>
      <c r="P147" s="38"/>
      <c r="Q147" s="9"/>
      <c r="R147" s="9"/>
      <c r="S147" s="9"/>
      <c r="T147" s="9"/>
      <c r="U147" s="9"/>
      <c r="V147" s="9"/>
      <c r="W147" s="9"/>
      <c r="X147" s="9"/>
      <c r="Y147" s="9"/>
      <c r="Z147" s="9"/>
      <c r="AA147" s="9"/>
      <c r="AB147" s="39"/>
      <c r="AC147" s="9"/>
      <c r="AD147" s="38"/>
      <c r="AE147" s="9"/>
      <c r="AF147" s="39"/>
      <c r="AG147" s="9"/>
      <c r="AH147" s="9"/>
      <c r="AI147" s="9"/>
      <c r="AJ147" s="9"/>
      <c r="AK147" s="9"/>
      <c r="AL147" s="9"/>
      <c r="AM147" s="9"/>
      <c r="AN147" s="10" t="str">
        <f aca="false">IF(A147="","",SG_Criteria!$B$6&amp;SG_Criteria!$B$7&amp;"\"&amp;A147&amp;"\")</f>
        <v/>
      </c>
      <c r="AO147" s="10" t="str">
        <f aca="false">IF(A147="","",A147&amp;"_CAD.dwg")</f>
        <v/>
      </c>
      <c r="AP147" s="10" t="str">
        <f aca="false">IF(A147="","",A147&amp;"_DWG.pdf")</f>
        <v/>
      </c>
      <c r="AQ147" s="10" t="str">
        <f aca="false">IF(A147="","",IF(AM147="Y",A147&amp;"_STAAD.std","n/a"))</f>
        <v/>
      </c>
      <c r="AR147" s="10" t="str">
        <f aca="false">IF(A147="","",A147&amp;"_CALC.xlsx")</f>
        <v/>
      </c>
      <c r="AS147" s="10" t="str">
        <f aca="false">IF(A147="","",A147&amp;"_CALC.pdf")</f>
        <v/>
      </c>
      <c r="AT147" s="9"/>
      <c r="AU147" s="9"/>
      <c r="AV147" s="39"/>
      <c r="AW147" s="39"/>
      <c r="AX147" s="39"/>
      <c r="AY147" s="39"/>
      <c r="AZ147" s="39"/>
      <c r="BA147" s="12" t="str">
        <f aca="false">IF(A147="","",IF(COUNTIF(Rebar_Schedule!$A$5:$A$2004,A147)=0,"",ROUND(SUMIF(Rebar_Schedule!$A$5:$A$2004,A147,Rebar_Schedule!$K$5:$K$2004),1)))</f>
        <v/>
      </c>
      <c r="BB147" s="33" t="str">
        <f aca="false">IF(A147="","",IF(BA147="","No rebar schedule yet",IF(ABS(BA147-N(AW147))/MAX(N(AW147),1)&gt;SG_Criteria!$B$55,"NOTE: register rebar differs from schedule by "&amp;TEXT(ABS(BA147-N(AW147))/MAX(N(AW147),1),"0%"),"OK")))</f>
        <v/>
      </c>
      <c r="BC147" s="34" t="str">
        <f aca="false">IF(OR(D147="",G147="",H147="",D147="Sump",D147="Drop Inlet Chamber",D147="Silt Trap",D147="Pipe Culvert",D147="Subsoil Drain"),"",ROUND(MAX(1,N(I147))*(1/SG_Criteria!$B$26)*((G147/1000)*(H147/1000*(1-SG_Criteria!$B$25)))*(((G147/1000)*(H147/1000*(1-SG_Criteria!$B$25)))/((G147/1000)+2*(H147/1000*(1-SG_Criteria!$B$25))))^(2/3)*(1/Design_Selector!$B$11)^0.5,3))</f>
        <v/>
      </c>
      <c r="BD147" s="11" t="str">
        <f aca="false">IF(BC147="","",ROUND(BC147/(MAX(1,N(I147))*G147/1000*(H147/1000*(1-SG_Criteria!$B$25))),2))</f>
        <v/>
      </c>
      <c r="BE147" s="33" t="str">
        <f aca="false">IF(D147="","",IF(LEN(IF(AND(OR(E147="Roadside drain",E147="Entrance culvert"),OR(G147&lt;SG_Criteria!$B$15,H147&lt;SG_Criteria!$B$16)),"FAIL: below PUB min "&amp;SG_Criteria!$B$15&amp;"x"&amp;SG_Criteria!$B$16&amp;" for roadside drain. ","")&amp;IF(AND(E147="Common drain",G147&lt;SG_Criteria!$B$17),"FAIL: common drain W &lt; "&amp;SG_Criteria!$B$17&amp;" mm. ","")&amp;IF(AND(O147&lt;&gt;"",IFERROR(VALUE(MID(O147,2,2)),0)&lt;SG_Criteria!$B$19),"FAIL: grade below C"&amp;SG_Criteria!$B$19&amp;". ","")&amp;IF(AND(P147&lt;&gt;"",P147&lt;SG_Criteria!$B$20),"FAIL: cover &lt; "&amp;SG_Criteria!$B$20&amp;" mm. ","")&amp;IF(AND(F147="Open",H147&gt;SG_Criteria!$B$18),"NOTE: safety railing required (D &gt; "&amp;SG_Criteria!$B$18&amp;" mm). ","")&amp;IF(AND(E147="Entrance culvert",H147&lt;600),"NOTE: check hinged grating rule for culverts &lt; 600 deep (PUB Add. 3). ",""))=0,"OK",IF(AND(OR(E147="Roadside drain",E147="Entrance culvert"),OR(G147&lt;SG_Criteria!$B$15,H147&lt;SG_Criteria!$B$16)),"FAIL: below PUB min "&amp;SG_Criteria!$B$15&amp;"x"&amp;SG_Criteria!$B$16&amp;" for roadside drain. ","")&amp;IF(AND(E147="Common drain",G147&lt;SG_Criteria!$B$17),"FAIL: common drain W &lt; "&amp;SG_Criteria!$B$17&amp;" mm. ","")&amp;IF(AND(O147&lt;&gt;"",IFERROR(VALUE(MID(O147,2,2)),0)&lt;SG_Criteria!$B$19),"FAIL: grade below C"&amp;SG_Criteria!$B$19&amp;". ","")&amp;IF(AND(P147&lt;&gt;"",P147&lt;SG_Criteria!$B$20),"FAIL: cover &lt; "&amp;SG_Criteria!$B$20&amp;" mm. ","")&amp;IF(AND(F147="Open",H147&gt;SG_Criteria!$B$18),"NOTE: safety railing required (D &gt; "&amp;SG_Criteria!$B$18&amp;" mm). ","")&amp;IF(AND(E147="Entrance culvert",H147&lt;600),"NOTE: check hinged grating rule for culverts &lt; 600 deep (PUB Add. 3). ","")))</f>
        <v/>
      </c>
      <c r="BF147" s="9"/>
      <c r="BG147" s="9"/>
      <c r="BH147" s="9"/>
      <c r="BI147" s="10" t="str">
        <f aca="false">IF(BH147="","",IFERROR(VLOOKUP(BH147,Projects!$A$5:$D$504,2,0),"Ref not in Projects"))</f>
        <v/>
      </c>
      <c r="BJ147" s="10" t="str">
        <f aca="false">IF(BH147="","",IFERROR(VLOOKUP(BH147,Projects!$A$5:$D$504,4,0),"Ref not in Projects"))</f>
        <v/>
      </c>
      <c r="BK147" s="9"/>
      <c r="BL147" s="9"/>
      <c r="BM147" s="9"/>
      <c r="BN147" s="40"/>
      <c r="BO147" s="9"/>
      <c r="BP147" s="40"/>
      <c r="BQ147" s="9"/>
      <c r="BR147" s="40"/>
      <c r="BS147" s="9"/>
      <c r="BT147" s="9"/>
      <c r="BU147" s="9"/>
      <c r="BV147" s="40"/>
      <c r="BW147" s="40"/>
      <c r="BX147" s="36" t="str">
        <f aca="false">IF(BW147="","",EDATE(BW147,SG_Criteria!$B$54*12))</f>
        <v/>
      </c>
      <c r="BY147" s="33" t="str">
        <f aca="true">IF(A147="","",IF(BW147="","NOTE: not reviewed yet",IF(TODAY()&gt;BX147,"NOTE: review overdue","OK")))</f>
        <v/>
      </c>
      <c r="BZ147" s="37" t="str">
        <f aca="false">IF(A147="","",ROUND((IF(LEN(D147)&gt;0,1,0)+IF(LEN(E147)&gt;0,1,0)+IF(LEN(F147)&gt;0,1,0)+IF(LEN(G147)&gt;0,1,0)+IF(LEN(H147)&gt;0,1,0)+IF(LEN(J147)&gt;0,1,0)+IF(LEN(K147)&gt;0,1,0)+IF(LEN(M147)&gt;0,1,0)+IF(LEN(O147)&gt;0,1,0)+IF(LEN(P147)&gt;0,1,0)+IF(LEN(Q147)&gt;0,1,0)+IF(LEN(S147)&gt;0,1,0)+IF(LEN(AC147)&gt;0,1,0)+IF(LEN(AV147)&gt;0,1,0)+IF(LEN(AW147)&gt;0,1,0)+IF(LEN(AG147)&gt;0,1,0)+IF(LEN(AI147)&gt;0,1,0)+IF(LEN(AJ147)&gt;0,1,0)+IF(LEN(AK147)&gt;0,1,0)+IF(LEN(AL147)&gt;0,1,0)+IF(LEN(AU147)&gt;0,1,0)+IF(LEN(BH147)&gt;0,1,0)+IF(LEN(BU147)&gt;0,1,0))/23,2))</f>
        <v/>
      </c>
      <c r="CA147" s="10" t="str">
        <f aca="false">IF(D147="","",IF(AND(AJ147="Approved",ISERROR(SEARCH("FAIL",BE147))),"Y","N"))</f>
        <v/>
      </c>
      <c r="CB147" s="10" t="str">
        <f aca="false">IF(D147="","",D147&amp;"|"&amp;G147&amp;"|"&amp;H147&amp;"|"&amp;M147&amp;"|"&amp;CA147)</f>
        <v/>
      </c>
    </row>
    <row r="148" customFormat="false" ht="15" hidden="false" customHeight="false" outlineLevel="0" collapsed="false">
      <c r="A148" s="10" t="str">
        <f aca="false">IF(D148="","","DRN-"&amp;IFERROR(VLOOKUP(D148,Lists!$A$4:$B$27,2,0),"??")&amp;"-"&amp;TEXT(G148,"0000")&amp;"x"&amp;TEXT(H148,"0000")&amp;IF(N(I148)&gt;1,"-"&amp;I148&amp;"C","")&amp;"-"&amp;IFERROR(VLOOKUP(M148,Lists!$J$4:$K$19,2,0),"??")&amp;"-"&amp;AI148)</f>
        <v/>
      </c>
      <c r="B148" s="10" t="str">
        <f aca="false">IF(D148="","",D148&amp;" "&amp;G148&amp;"W x "&amp;H148&amp;"D"&amp;IF(N(I148)&gt;1," ("&amp;I148&amp;" cells)","")&amp;", "&amp;E148&amp;", "&amp;M148&amp;", "&amp;F148)</f>
        <v/>
      </c>
      <c r="C148" s="9"/>
      <c r="D148" s="9"/>
      <c r="E148" s="9"/>
      <c r="F148" s="9"/>
      <c r="G148" s="38"/>
      <c r="H148" s="38"/>
      <c r="I148" s="38"/>
      <c r="J148" s="38"/>
      <c r="K148" s="38"/>
      <c r="L148" s="38"/>
      <c r="M148" s="9"/>
      <c r="N148" s="9"/>
      <c r="O148" s="9"/>
      <c r="P148" s="38"/>
      <c r="Q148" s="9"/>
      <c r="R148" s="9"/>
      <c r="S148" s="9"/>
      <c r="T148" s="9"/>
      <c r="U148" s="9"/>
      <c r="V148" s="9"/>
      <c r="W148" s="9"/>
      <c r="X148" s="9"/>
      <c r="Y148" s="9"/>
      <c r="Z148" s="9"/>
      <c r="AA148" s="9"/>
      <c r="AB148" s="39"/>
      <c r="AC148" s="9"/>
      <c r="AD148" s="38"/>
      <c r="AE148" s="9"/>
      <c r="AF148" s="39"/>
      <c r="AG148" s="9"/>
      <c r="AH148" s="9"/>
      <c r="AI148" s="9"/>
      <c r="AJ148" s="9"/>
      <c r="AK148" s="9"/>
      <c r="AL148" s="9"/>
      <c r="AM148" s="9"/>
      <c r="AN148" s="10" t="str">
        <f aca="false">IF(A148="","",SG_Criteria!$B$6&amp;SG_Criteria!$B$7&amp;"\"&amp;A148&amp;"\")</f>
        <v/>
      </c>
      <c r="AO148" s="10" t="str">
        <f aca="false">IF(A148="","",A148&amp;"_CAD.dwg")</f>
        <v/>
      </c>
      <c r="AP148" s="10" t="str">
        <f aca="false">IF(A148="","",A148&amp;"_DWG.pdf")</f>
        <v/>
      </c>
      <c r="AQ148" s="10" t="str">
        <f aca="false">IF(A148="","",IF(AM148="Y",A148&amp;"_STAAD.std","n/a"))</f>
        <v/>
      </c>
      <c r="AR148" s="10" t="str">
        <f aca="false">IF(A148="","",A148&amp;"_CALC.xlsx")</f>
        <v/>
      </c>
      <c r="AS148" s="10" t="str">
        <f aca="false">IF(A148="","",A148&amp;"_CALC.pdf")</f>
        <v/>
      </c>
      <c r="AT148" s="9"/>
      <c r="AU148" s="9"/>
      <c r="AV148" s="39"/>
      <c r="AW148" s="39"/>
      <c r="AX148" s="39"/>
      <c r="AY148" s="39"/>
      <c r="AZ148" s="39"/>
      <c r="BA148" s="12" t="str">
        <f aca="false">IF(A148="","",IF(COUNTIF(Rebar_Schedule!$A$5:$A$2004,A148)=0,"",ROUND(SUMIF(Rebar_Schedule!$A$5:$A$2004,A148,Rebar_Schedule!$K$5:$K$2004),1)))</f>
        <v/>
      </c>
      <c r="BB148" s="33" t="str">
        <f aca="false">IF(A148="","",IF(BA148="","No rebar schedule yet",IF(ABS(BA148-N(AW148))/MAX(N(AW148),1)&gt;SG_Criteria!$B$55,"NOTE: register rebar differs from schedule by "&amp;TEXT(ABS(BA148-N(AW148))/MAX(N(AW148),1),"0%"),"OK")))</f>
        <v/>
      </c>
      <c r="BC148" s="34" t="str">
        <f aca="false">IF(OR(D148="",G148="",H148="",D148="Sump",D148="Drop Inlet Chamber",D148="Silt Trap",D148="Pipe Culvert",D148="Subsoil Drain"),"",ROUND(MAX(1,N(I148))*(1/SG_Criteria!$B$26)*((G148/1000)*(H148/1000*(1-SG_Criteria!$B$25)))*(((G148/1000)*(H148/1000*(1-SG_Criteria!$B$25)))/((G148/1000)+2*(H148/1000*(1-SG_Criteria!$B$25))))^(2/3)*(1/Design_Selector!$B$11)^0.5,3))</f>
        <v/>
      </c>
      <c r="BD148" s="11" t="str">
        <f aca="false">IF(BC148="","",ROUND(BC148/(MAX(1,N(I148))*G148/1000*(H148/1000*(1-SG_Criteria!$B$25))),2))</f>
        <v/>
      </c>
      <c r="BE148" s="33" t="str">
        <f aca="false">IF(D148="","",IF(LEN(IF(AND(OR(E148="Roadside drain",E148="Entrance culvert"),OR(G148&lt;SG_Criteria!$B$15,H148&lt;SG_Criteria!$B$16)),"FAIL: below PUB min "&amp;SG_Criteria!$B$15&amp;"x"&amp;SG_Criteria!$B$16&amp;" for roadside drain. ","")&amp;IF(AND(E148="Common drain",G148&lt;SG_Criteria!$B$17),"FAIL: common drain W &lt; "&amp;SG_Criteria!$B$17&amp;" mm. ","")&amp;IF(AND(O148&lt;&gt;"",IFERROR(VALUE(MID(O148,2,2)),0)&lt;SG_Criteria!$B$19),"FAIL: grade below C"&amp;SG_Criteria!$B$19&amp;". ","")&amp;IF(AND(P148&lt;&gt;"",P148&lt;SG_Criteria!$B$20),"FAIL: cover &lt; "&amp;SG_Criteria!$B$20&amp;" mm. ","")&amp;IF(AND(F148="Open",H148&gt;SG_Criteria!$B$18),"NOTE: safety railing required (D &gt; "&amp;SG_Criteria!$B$18&amp;" mm). ","")&amp;IF(AND(E148="Entrance culvert",H148&lt;600),"NOTE: check hinged grating rule for culverts &lt; 600 deep (PUB Add. 3). ",""))=0,"OK",IF(AND(OR(E148="Roadside drain",E148="Entrance culvert"),OR(G148&lt;SG_Criteria!$B$15,H148&lt;SG_Criteria!$B$16)),"FAIL: below PUB min "&amp;SG_Criteria!$B$15&amp;"x"&amp;SG_Criteria!$B$16&amp;" for roadside drain. ","")&amp;IF(AND(E148="Common drain",G148&lt;SG_Criteria!$B$17),"FAIL: common drain W &lt; "&amp;SG_Criteria!$B$17&amp;" mm. ","")&amp;IF(AND(O148&lt;&gt;"",IFERROR(VALUE(MID(O148,2,2)),0)&lt;SG_Criteria!$B$19),"FAIL: grade below C"&amp;SG_Criteria!$B$19&amp;". ","")&amp;IF(AND(P148&lt;&gt;"",P148&lt;SG_Criteria!$B$20),"FAIL: cover &lt; "&amp;SG_Criteria!$B$20&amp;" mm. ","")&amp;IF(AND(F148="Open",H148&gt;SG_Criteria!$B$18),"NOTE: safety railing required (D &gt; "&amp;SG_Criteria!$B$18&amp;" mm). ","")&amp;IF(AND(E148="Entrance culvert",H148&lt;600),"NOTE: check hinged grating rule for culverts &lt; 600 deep (PUB Add. 3). ","")))</f>
        <v/>
      </c>
      <c r="BF148" s="9"/>
      <c r="BG148" s="9"/>
      <c r="BH148" s="9"/>
      <c r="BI148" s="10" t="str">
        <f aca="false">IF(BH148="","",IFERROR(VLOOKUP(BH148,Projects!$A$5:$D$504,2,0),"Ref not in Projects"))</f>
        <v/>
      </c>
      <c r="BJ148" s="10" t="str">
        <f aca="false">IF(BH148="","",IFERROR(VLOOKUP(BH148,Projects!$A$5:$D$504,4,0),"Ref not in Projects"))</f>
        <v/>
      </c>
      <c r="BK148" s="9"/>
      <c r="BL148" s="9"/>
      <c r="BM148" s="9"/>
      <c r="BN148" s="40"/>
      <c r="BO148" s="9"/>
      <c r="BP148" s="40"/>
      <c r="BQ148" s="9"/>
      <c r="BR148" s="40"/>
      <c r="BS148" s="9"/>
      <c r="BT148" s="9"/>
      <c r="BU148" s="9"/>
      <c r="BV148" s="40"/>
      <c r="BW148" s="40"/>
      <c r="BX148" s="36" t="str">
        <f aca="false">IF(BW148="","",EDATE(BW148,SG_Criteria!$B$54*12))</f>
        <v/>
      </c>
      <c r="BY148" s="33" t="str">
        <f aca="true">IF(A148="","",IF(BW148="","NOTE: not reviewed yet",IF(TODAY()&gt;BX148,"NOTE: review overdue","OK")))</f>
        <v/>
      </c>
      <c r="BZ148" s="37" t="str">
        <f aca="false">IF(A148="","",ROUND((IF(LEN(D148)&gt;0,1,0)+IF(LEN(E148)&gt;0,1,0)+IF(LEN(F148)&gt;0,1,0)+IF(LEN(G148)&gt;0,1,0)+IF(LEN(H148)&gt;0,1,0)+IF(LEN(J148)&gt;0,1,0)+IF(LEN(K148)&gt;0,1,0)+IF(LEN(M148)&gt;0,1,0)+IF(LEN(O148)&gt;0,1,0)+IF(LEN(P148)&gt;0,1,0)+IF(LEN(Q148)&gt;0,1,0)+IF(LEN(S148)&gt;0,1,0)+IF(LEN(AC148)&gt;0,1,0)+IF(LEN(AV148)&gt;0,1,0)+IF(LEN(AW148)&gt;0,1,0)+IF(LEN(AG148)&gt;0,1,0)+IF(LEN(AI148)&gt;0,1,0)+IF(LEN(AJ148)&gt;0,1,0)+IF(LEN(AK148)&gt;0,1,0)+IF(LEN(AL148)&gt;0,1,0)+IF(LEN(AU148)&gt;0,1,0)+IF(LEN(BH148)&gt;0,1,0)+IF(LEN(BU148)&gt;0,1,0))/23,2))</f>
        <v/>
      </c>
      <c r="CA148" s="10" t="str">
        <f aca="false">IF(D148="","",IF(AND(AJ148="Approved",ISERROR(SEARCH("FAIL",BE148))),"Y","N"))</f>
        <v/>
      </c>
      <c r="CB148" s="10" t="str">
        <f aca="false">IF(D148="","",D148&amp;"|"&amp;G148&amp;"|"&amp;H148&amp;"|"&amp;M148&amp;"|"&amp;CA148)</f>
        <v/>
      </c>
    </row>
    <row r="149" customFormat="false" ht="15" hidden="false" customHeight="false" outlineLevel="0" collapsed="false">
      <c r="A149" s="10" t="str">
        <f aca="false">IF(D149="","","DRN-"&amp;IFERROR(VLOOKUP(D149,Lists!$A$4:$B$27,2,0),"??")&amp;"-"&amp;TEXT(G149,"0000")&amp;"x"&amp;TEXT(H149,"0000")&amp;IF(N(I149)&gt;1,"-"&amp;I149&amp;"C","")&amp;"-"&amp;IFERROR(VLOOKUP(M149,Lists!$J$4:$K$19,2,0),"??")&amp;"-"&amp;AI149)</f>
        <v/>
      </c>
      <c r="B149" s="10" t="str">
        <f aca="false">IF(D149="","",D149&amp;" "&amp;G149&amp;"W x "&amp;H149&amp;"D"&amp;IF(N(I149)&gt;1," ("&amp;I149&amp;" cells)","")&amp;", "&amp;E149&amp;", "&amp;M149&amp;", "&amp;F149)</f>
        <v/>
      </c>
      <c r="C149" s="9"/>
      <c r="D149" s="9"/>
      <c r="E149" s="9"/>
      <c r="F149" s="9"/>
      <c r="G149" s="38"/>
      <c r="H149" s="38"/>
      <c r="I149" s="38"/>
      <c r="J149" s="38"/>
      <c r="K149" s="38"/>
      <c r="L149" s="38"/>
      <c r="M149" s="9"/>
      <c r="N149" s="9"/>
      <c r="O149" s="9"/>
      <c r="P149" s="38"/>
      <c r="Q149" s="9"/>
      <c r="R149" s="9"/>
      <c r="S149" s="9"/>
      <c r="T149" s="9"/>
      <c r="U149" s="9"/>
      <c r="V149" s="9"/>
      <c r="W149" s="9"/>
      <c r="X149" s="9"/>
      <c r="Y149" s="9"/>
      <c r="Z149" s="9"/>
      <c r="AA149" s="9"/>
      <c r="AB149" s="39"/>
      <c r="AC149" s="9"/>
      <c r="AD149" s="38"/>
      <c r="AE149" s="9"/>
      <c r="AF149" s="39"/>
      <c r="AG149" s="9"/>
      <c r="AH149" s="9"/>
      <c r="AI149" s="9"/>
      <c r="AJ149" s="9"/>
      <c r="AK149" s="9"/>
      <c r="AL149" s="9"/>
      <c r="AM149" s="9"/>
      <c r="AN149" s="10" t="str">
        <f aca="false">IF(A149="","",SG_Criteria!$B$6&amp;SG_Criteria!$B$7&amp;"\"&amp;A149&amp;"\")</f>
        <v/>
      </c>
      <c r="AO149" s="10" t="str">
        <f aca="false">IF(A149="","",A149&amp;"_CAD.dwg")</f>
        <v/>
      </c>
      <c r="AP149" s="10" t="str">
        <f aca="false">IF(A149="","",A149&amp;"_DWG.pdf")</f>
        <v/>
      </c>
      <c r="AQ149" s="10" t="str">
        <f aca="false">IF(A149="","",IF(AM149="Y",A149&amp;"_STAAD.std","n/a"))</f>
        <v/>
      </c>
      <c r="AR149" s="10" t="str">
        <f aca="false">IF(A149="","",A149&amp;"_CALC.xlsx")</f>
        <v/>
      </c>
      <c r="AS149" s="10" t="str">
        <f aca="false">IF(A149="","",A149&amp;"_CALC.pdf")</f>
        <v/>
      </c>
      <c r="AT149" s="9"/>
      <c r="AU149" s="9"/>
      <c r="AV149" s="39"/>
      <c r="AW149" s="39"/>
      <c r="AX149" s="39"/>
      <c r="AY149" s="39"/>
      <c r="AZ149" s="39"/>
      <c r="BA149" s="12" t="str">
        <f aca="false">IF(A149="","",IF(COUNTIF(Rebar_Schedule!$A$5:$A$2004,A149)=0,"",ROUND(SUMIF(Rebar_Schedule!$A$5:$A$2004,A149,Rebar_Schedule!$K$5:$K$2004),1)))</f>
        <v/>
      </c>
      <c r="BB149" s="33" t="str">
        <f aca="false">IF(A149="","",IF(BA149="","No rebar schedule yet",IF(ABS(BA149-N(AW149))/MAX(N(AW149),1)&gt;SG_Criteria!$B$55,"NOTE: register rebar differs from schedule by "&amp;TEXT(ABS(BA149-N(AW149))/MAX(N(AW149),1),"0%"),"OK")))</f>
        <v/>
      </c>
      <c r="BC149" s="34" t="str">
        <f aca="false">IF(OR(D149="",G149="",H149="",D149="Sump",D149="Drop Inlet Chamber",D149="Silt Trap",D149="Pipe Culvert",D149="Subsoil Drain"),"",ROUND(MAX(1,N(I149))*(1/SG_Criteria!$B$26)*((G149/1000)*(H149/1000*(1-SG_Criteria!$B$25)))*(((G149/1000)*(H149/1000*(1-SG_Criteria!$B$25)))/((G149/1000)+2*(H149/1000*(1-SG_Criteria!$B$25))))^(2/3)*(1/Design_Selector!$B$11)^0.5,3))</f>
        <v/>
      </c>
      <c r="BD149" s="11" t="str">
        <f aca="false">IF(BC149="","",ROUND(BC149/(MAX(1,N(I149))*G149/1000*(H149/1000*(1-SG_Criteria!$B$25))),2))</f>
        <v/>
      </c>
      <c r="BE149" s="33" t="str">
        <f aca="false">IF(D149="","",IF(LEN(IF(AND(OR(E149="Roadside drain",E149="Entrance culvert"),OR(G149&lt;SG_Criteria!$B$15,H149&lt;SG_Criteria!$B$16)),"FAIL: below PUB min "&amp;SG_Criteria!$B$15&amp;"x"&amp;SG_Criteria!$B$16&amp;" for roadside drain. ","")&amp;IF(AND(E149="Common drain",G149&lt;SG_Criteria!$B$17),"FAIL: common drain W &lt; "&amp;SG_Criteria!$B$17&amp;" mm. ","")&amp;IF(AND(O149&lt;&gt;"",IFERROR(VALUE(MID(O149,2,2)),0)&lt;SG_Criteria!$B$19),"FAIL: grade below C"&amp;SG_Criteria!$B$19&amp;". ","")&amp;IF(AND(P149&lt;&gt;"",P149&lt;SG_Criteria!$B$20),"FAIL: cover &lt; "&amp;SG_Criteria!$B$20&amp;" mm. ","")&amp;IF(AND(F149="Open",H149&gt;SG_Criteria!$B$18),"NOTE: safety railing required (D &gt; "&amp;SG_Criteria!$B$18&amp;" mm). ","")&amp;IF(AND(E149="Entrance culvert",H149&lt;600),"NOTE: check hinged grating rule for culverts &lt; 600 deep (PUB Add. 3). ",""))=0,"OK",IF(AND(OR(E149="Roadside drain",E149="Entrance culvert"),OR(G149&lt;SG_Criteria!$B$15,H149&lt;SG_Criteria!$B$16)),"FAIL: below PUB min "&amp;SG_Criteria!$B$15&amp;"x"&amp;SG_Criteria!$B$16&amp;" for roadside drain. ","")&amp;IF(AND(E149="Common drain",G149&lt;SG_Criteria!$B$17),"FAIL: common drain W &lt; "&amp;SG_Criteria!$B$17&amp;" mm. ","")&amp;IF(AND(O149&lt;&gt;"",IFERROR(VALUE(MID(O149,2,2)),0)&lt;SG_Criteria!$B$19),"FAIL: grade below C"&amp;SG_Criteria!$B$19&amp;". ","")&amp;IF(AND(P149&lt;&gt;"",P149&lt;SG_Criteria!$B$20),"FAIL: cover &lt; "&amp;SG_Criteria!$B$20&amp;" mm. ","")&amp;IF(AND(F149="Open",H149&gt;SG_Criteria!$B$18),"NOTE: safety railing required (D &gt; "&amp;SG_Criteria!$B$18&amp;" mm). ","")&amp;IF(AND(E149="Entrance culvert",H149&lt;600),"NOTE: check hinged grating rule for culverts &lt; 600 deep (PUB Add. 3). ","")))</f>
        <v/>
      </c>
      <c r="BF149" s="9"/>
      <c r="BG149" s="9"/>
      <c r="BH149" s="9"/>
      <c r="BI149" s="10" t="str">
        <f aca="false">IF(BH149="","",IFERROR(VLOOKUP(BH149,Projects!$A$5:$D$504,2,0),"Ref not in Projects"))</f>
        <v/>
      </c>
      <c r="BJ149" s="10" t="str">
        <f aca="false">IF(BH149="","",IFERROR(VLOOKUP(BH149,Projects!$A$5:$D$504,4,0),"Ref not in Projects"))</f>
        <v/>
      </c>
      <c r="BK149" s="9"/>
      <c r="BL149" s="9"/>
      <c r="BM149" s="9"/>
      <c r="BN149" s="40"/>
      <c r="BO149" s="9"/>
      <c r="BP149" s="40"/>
      <c r="BQ149" s="9"/>
      <c r="BR149" s="40"/>
      <c r="BS149" s="9"/>
      <c r="BT149" s="9"/>
      <c r="BU149" s="9"/>
      <c r="BV149" s="40"/>
      <c r="BW149" s="40"/>
      <c r="BX149" s="36" t="str">
        <f aca="false">IF(BW149="","",EDATE(BW149,SG_Criteria!$B$54*12))</f>
        <v/>
      </c>
      <c r="BY149" s="33" t="str">
        <f aca="true">IF(A149="","",IF(BW149="","NOTE: not reviewed yet",IF(TODAY()&gt;BX149,"NOTE: review overdue","OK")))</f>
        <v/>
      </c>
      <c r="BZ149" s="37" t="str">
        <f aca="false">IF(A149="","",ROUND((IF(LEN(D149)&gt;0,1,0)+IF(LEN(E149)&gt;0,1,0)+IF(LEN(F149)&gt;0,1,0)+IF(LEN(G149)&gt;0,1,0)+IF(LEN(H149)&gt;0,1,0)+IF(LEN(J149)&gt;0,1,0)+IF(LEN(K149)&gt;0,1,0)+IF(LEN(M149)&gt;0,1,0)+IF(LEN(O149)&gt;0,1,0)+IF(LEN(P149)&gt;0,1,0)+IF(LEN(Q149)&gt;0,1,0)+IF(LEN(S149)&gt;0,1,0)+IF(LEN(AC149)&gt;0,1,0)+IF(LEN(AV149)&gt;0,1,0)+IF(LEN(AW149)&gt;0,1,0)+IF(LEN(AG149)&gt;0,1,0)+IF(LEN(AI149)&gt;0,1,0)+IF(LEN(AJ149)&gt;0,1,0)+IF(LEN(AK149)&gt;0,1,0)+IF(LEN(AL149)&gt;0,1,0)+IF(LEN(AU149)&gt;0,1,0)+IF(LEN(BH149)&gt;0,1,0)+IF(LEN(BU149)&gt;0,1,0))/23,2))</f>
        <v/>
      </c>
      <c r="CA149" s="10" t="str">
        <f aca="false">IF(D149="","",IF(AND(AJ149="Approved",ISERROR(SEARCH("FAIL",BE149))),"Y","N"))</f>
        <v/>
      </c>
      <c r="CB149" s="10" t="str">
        <f aca="false">IF(D149="","",D149&amp;"|"&amp;G149&amp;"|"&amp;H149&amp;"|"&amp;M149&amp;"|"&amp;CA149)</f>
        <v/>
      </c>
    </row>
    <row r="150" customFormat="false" ht="15" hidden="false" customHeight="false" outlineLevel="0" collapsed="false">
      <c r="A150" s="10" t="str">
        <f aca="false">IF(D150="","","DRN-"&amp;IFERROR(VLOOKUP(D150,Lists!$A$4:$B$27,2,0),"??")&amp;"-"&amp;TEXT(G150,"0000")&amp;"x"&amp;TEXT(H150,"0000")&amp;IF(N(I150)&gt;1,"-"&amp;I150&amp;"C","")&amp;"-"&amp;IFERROR(VLOOKUP(M150,Lists!$J$4:$K$19,2,0),"??")&amp;"-"&amp;AI150)</f>
        <v/>
      </c>
      <c r="B150" s="10" t="str">
        <f aca="false">IF(D150="","",D150&amp;" "&amp;G150&amp;"W x "&amp;H150&amp;"D"&amp;IF(N(I150)&gt;1," ("&amp;I150&amp;" cells)","")&amp;", "&amp;E150&amp;", "&amp;M150&amp;", "&amp;F150)</f>
        <v/>
      </c>
      <c r="C150" s="9"/>
      <c r="D150" s="9"/>
      <c r="E150" s="9"/>
      <c r="F150" s="9"/>
      <c r="G150" s="38"/>
      <c r="H150" s="38"/>
      <c r="I150" s="38"/>
      <c r="J150" s="38"/>
      <c r="K150" s="38"/>
      <c r="L150" s="38"/>
      <c r="M150" s="9"/>
      <c r="N150" s="9"/>
      <c r="O150" s="9"/>
      <c r="P150" s="38"/>
      <c r="Q150" s="9"/>
      <c r="R150" s="9"/>
      <c r="S150" s="9"/>
      <c r="T150" s="9"/>
      <c r="U150" s="9"/>
      <c r="V150" s="9"/>
      <c r="W150" s="9"/>
      <c r="X150" s="9"/>
      <c r="Y150" s="9"/>
      <c r="Z150" s="9"/>
      <c r="AA150" s="9"/>
      <c r="AB150" s="39"/>
      <c r="AC150" s="9"/>
      <c r="AD150" s="38"/>
      <c r="AE150" s="9"/>
      <c r="AF150" s="39"/>
      <c r="AG150" s="9"/>
      <c r="AH150" s="9"/>
      <c r="AI150" s="9"/>
      <c r="AJ150" s="9"/>
      <c r="AK150" s="9"/>
      <c r="AL150" s="9"/>
      <c r="AM150" s="9"/>
      <c r="AN150" s="10" t="str">
        <f aca="false">IF(A150="","",SG_Criteria!$B$6&amp;SG_Criteria!$B$7&amp;"\"&amp;A150&amp;"\")</f>
        <v/>
      </c>
      <c r="AO150" s="10" t="str">
        <f aca="false">IF(A150="","",A150&amp;"_CAD.dwg")</f>
        <v/>
      </c>
      <c r="AP150" s="10" t="str">
        <f aca="false">IF(A150="","",A150&amp;"_DWG.pdf")</f>
        <v/>
      </c>
      <c r="AQ150" s="10" t="str">
        <f aca="false">IF(A150="","",IF(AM150="Y",A150&amp;"_STAAD.std","n/a"))</f>
        <v/>
      </c>
      <c r="AR150" s="10" t="str">
        <f aca="false">IF(A150="","",A150&amp;"_CALC.xlsx")</f>
        <v/>
      </c>
      <c r="AS150" s="10" t="str">
        <f aca="false">IF(A150="","",A150&amp;"_CALC.pdf")</f>
        <v/>
      </c>
      <c r="AT150" s="9"/>
      <c r="AU150" s="9"/>
      <c r="AV150" s="39"/>
      <c r="AW150" s="39"/>
      <c r="AX150" s="39"/>
      <c r="AY150" s="39"/>
      <c r="AZ150" s="39"/>
      <c r="BA150" s="12" t="str">
        <f aca="false">IF(A150="","",IF(COUNTIF(Rebar_Schedule!$A$5:$A$2004,A150)=0,"",ROUND(SUMIF(Rebar_Schedule!$A$5:$A$2004,A150,Rebar_Schedule!$K$5:$K$2004),1)))</f>
        <v/>
      </c>
      <c r="BB150" s="33" t="str">
        <f aca="false">IF(A150="","",IF(BA150="","No rebar schedule yet",IF(ABS(BA150-N(AW150))/MAX(N(AW150),1)&gt;SG_Criteria!$B$55,"NOTE: register rebar differs from schedule by "&amp;TEXT(ABS(BA150-N(AW150))/MAX(N(AW150),1),"0%"),"OK")))</f>
        <v/>
      </c>
      <c r="BC150" s="34" t="str">
        <f aca="false">IF(OR(D150="",G150="",H150="",D150="Sump",D150="Drop Inlet Chamber",D150="Silt Trap",D150="Pipe Culvert",D150="Subsoil Drain"),"",ROUND(MAX(1,N(I150))*(1/SG_Criteria!$B$26)*((G150/1000)*(H150/1000*(1-SG_Criteria!$B$25)))*(((G150/1000)*(H150/1000*(1-SG_Criteria!$B$25)))/((G150/1000)+2*(H150/1000*(1-SG_Criteria!$B$25))))^(2/3)*(1/Design_Selector!$B$11)^0.5,3))</f>
        <v/>
      </c>
      <c r="BD150" s="11" t="str">
        <f aca="false">IF(BC150="","",ROUND(BC150/(MAX(1,N(I150))*G150/1000*(H150/1000*(1-SG_Criteria!$B$25))),2))</f>
        <v/>
      </c>
      <c r="BE150" s="33" t="str">
        <f aca="false">IF(D150="","",IF(LEN(IF(AND(OR(E150="Roadside drain",E150="Entrance culvert"),OR(G150&lt;SG_Criteria!$B$15,H150&lt;SG_Criteria!$B$16)),"FAIL: below PUB min "&amp;SG_Criteria!$B$15&amp;"x"&amp;SG_Criteria!$B$16&amp;" for roadside drain. ","")&amp;IF(AND(E150="Common drain",G150&lt;SG_Criteria!$B$17),"FAIL: common drain W &lt; "&amp;SG_Criteria!$B$17&amp;" mm. ","")&amp;IF(AND(O150&lt;&gt;"",IFERROR(VALUE(MID(O150,2,2)),0)&lt;SG_Criteria!$B$19),"FAIL: grade below C"&amp;SG_Criteria!$B$19&amp;". ","")&amp;IF(AND(P150&lt;&gt;"",P150&lt;SG_Criteria!$B$20),"FAIL: cover &lt; "&amp;SG_Criteria!$B$20&amp;" mm. ","")&amp;IF(AND(F150="Open",H150&gt;SG_Criteria!$B$18),"NOTE: safety railing required (D &gt; "&amp;SG_Criteria!$B$18&amp;" mm). ","")&amp;IF(AND(E150="Entrance culvert",H150&lt;600),"NOTE: check hinged grating rule for culverts &lt; 600 deep (PUB Add. 3). ",""))=0,"OK",IF(AND(OR(E150="Roadside drain",E150="Entrance culvert"),OR(G150&lt;SG_Criteria!$B$15,H150&lt;SG_Criteria!$B$16)),"FAIL: below PUB min "&amp;SG_Criteria!$B$15&amp;"x"&amp;SG_Criteria!$B$16&amp;" for roadside drain. ","")&amp;IF(AND(E150="Common drain",G150&lt;SG_Criteria!$B$17),"FAIL: common drain W &lt; "&amp;SG_Criteria!$B$17&amp;" mm. ","")&amp;IF(AND(O150&lt;&gt;"",IFERROR(VALUE(MID(O150,2,2)),0)&lt;SG_Criteria!$B$19),"FAIL: grade below C"&amp;SG_Criteria!$B$19&amp;". ","")&amp;IF(AND(P150&lt;&gt;"",P150&lt;SG_Criteria!$B$20),"FAIL: cover &lt; "&amp;SG_Criteria!$B$20&amp;" mm. ","")&amp;IF(AND(F150="Open",H150&gt;SG_Criteria!$B$18),"NOTE: safety railing required (D &gt; "&amp;SG_Criteria!$B$18&amp;" mm). ","")&amp;IF(AND(E150="Entrance culvert",H150&lt;600),"NOTE: check hinged grating rule for culverts &lt; 600 deep (PUB Add. 3). ","")))</f>
        <v/>
      </c>
      <c r="BF150" s="9"/>
      <c r="BG150" s="9"/>
      <c r="BH150" s="9"/>
      <c r="BI150" s="10" t="str">
        <f aca="false">IF(BH150="","",IFERROR(VLOOKUP(BH150,Projects!$A$5:$D$504,2,0),"Ref not in Projects"))</f>
        <v/>
      </c>
      <c r="BJ150" s="10" t="str">
        <f aca="false">IF(BH150="","",IFERROR(VLOOKUP(BH150,Projects!$A$5:$D$504,4,0),"Ref not in Projects"))</f>
        <v/>
      </c>
      <c r="BK150" s="9"/>
      <c r="BL150" s="9"/>
      <c r="BM150" s="9"/>
      <c r="BN150" s="40"/>
      <c r="BO150" s="9"/>
      <c r="BP150" s="40"/>
      <c r="BQ150" s="9"/>
      <c r="BR150" s="40"/>
      <c r="BS150" s="9"/>
      <c r="BT150" s="9"/>
      <c r="BU150" s="9"/>
      <c r="BV150" s="40"/>
      <c r="BW150" s="40"/>
      <c r="BX150" s="36" t="str">
        <f aca="false">IF(BW150="","",EDATE(BW150,SG_Criteria!$B$54*12))</f>
        <v/>
      </c>
      <c r="BY150" s="33" t="str">
        <f aca="true">IF(A150="","",IF(BW150="","NOTE: not reviewed yet",IF(TODAY()&gt;BX150,"NOTE: review overdue","OK")))</f>
        <v/>
      </c>
      <c r="BZ150" s="37" t="str">
        <f aca="false">IF(A150="","",ROUND((IF(LEN(D150)&gt;0,1,0)+IF(LEN(E150)&gt;0,1,0)+IF(LEN(F150)&gt;0,1,0)+IF(LEN(G150)&gt;0,1,0)+IF(LEN(H150)&gt;0,1,0)+IF(LEN(J150)&gt;0,1,0)+IF(LEN(K150)&gt;0,1,0)+IF(LEN(M150)&gt;0,1,0)+IF(LEN(O150)&gt;0,1,0)+IF(LEN(P150)&gt;0,1,0)+IF(LEN(Q150)&gt;0,1,0)+IF(LEN(S150)&gt;0,1,0)+IF(LEN(AC150)&gt;0,1,0)+IF(LEN(AV150)&gt;0,1,0)+IF(LEN(AW150)&gt;0,1,0)+IF(LEN(AG150)&gt;0,1,0)+IF(LEN(AI150)&gt;0,1,0)+IF(LEN(AJ150)&gt;0,1,0)+IF(LEN(AK150)&gt;0,1,0)+IF(LEN(AL150)&gt;0,1,0)+IF(LEN(AU150)&gt;0,1,0)+IF(LEN(BH150)&gt;0,1,0)+IF(LEN(BU150)&gt;0,1,0))/23,2))</f>
        <v/>
      </c>
      <c r="CA150" s="10" t="str">
        <f aca="false">IF(D150="","",IF(AND(AJ150="Approved",ISERROR(SEARCH("FAIL",BE150))),"Y","N"))</f>
        <v/>
      </c>
      <c r="CB150" s="10" t="str">
        <f aca="false">IF(D150="","",D150&amp;"|"&amp;G150&amp;"|"&amp;H150&amp;"|"&amp;M150&amp;"|"&amp;CA150)</f>
        <v/>
      </c>
    </row>
    <row r="151" customFormat="false" ht="15" hidden="false" customHeight="false" outlineLevel="0" collapsed="false">
      <c r="A151" s="10" t="str">
        <f aca="false">IF(D151="","","DRN-"&amp;IFERROR(VLOOKUP(D151,Lists!$A$4:$B$27,2,0),"??")&amp;"-"&amp;TEXT(G151,"0000")&amp;"x"&amp;TEXT(H151,"0000")&amp;IF(N(I151)&gt;1,"-"&amp;I151&amp;"C","")&amp;"-"&amp;IFERROR(VLOOKUP(M151,Lists!$J$4:$K$19,2,0),"??")&amp;"-"&amp;AI151)</f>
        <v/>
      </c>
      <c r="B151" s="10" t="str">
        <f aca="false">IF(D151="","",D151&amp;" "&amp;G151&amp;"W x "&amp;H151&amp;"D"&amp;IF(N(I151)&gt;1," ("&amp;I151&amp;" cells)","")&amp;", "&amp;E151&amp;", "&amp;M151&amp;", "&amp;F151)</f>
        <v/>
      </c>
      <c r="C151" s="9"/>
      <c r="D151" s="9"/>
      <c r="E151" s="9"/>
      <c r="F151" s="9"/>
      <c r="G151" s="38"/>
      <c r="H151" s="38"/>
      <c r="I151" s="38"/>
      <c r="J151" s="38"/>
      <c r="K151" s="38"/>
      <c r="L151" s="38"/>
      <c r="M151" s="9"/>
      <c r="N151" s="9"/>
      <c r="O151" s="9"/>
      <c r="P151" s="38"/>
      <c r="Q151" s="9"/>
      <c r="R151" s="9"/>
      <c r="S151" s="9"/>
      <c r="T151" s="9"/>
      <c r="U151" s="9"/>
      <c r="V151" s="9"/>
      <c r="W151" s="9"/>
      <c r="X151" s="9"/>
      <c r="Y151" s="9"/>
      <c r="Z151" s="9"/>
      <c r="AA151" s="9"/>
      <c r="AB151" s="39"/>
      <c r="AC151" s="9"/>
      <c r="AD151" s="38"/>
      <c r="AE151" s="9"/>
      <c r="AF151" s="39"/>
      <c r="AG151" s="9"/>
      <c r="AH151" s="9"/>
      <c r="AI151" s="9"/>
      <c r="AJ151" s="9"/>
      <c r="AK151" s="9"/>
      <c r="AL151" s="9"/>
      <c r="AM151" s="9"/>
      <c r="AN151" s="10" t="str">
        <f aca="false">IF(A151="","",SG_Criteria!$B$6&amp;SG_Criteria!$B$7&amp;"\"&amp;A151&amp;"\")</f>
        <v/>
      </c>
      <c r="AO151" s="10" t="str">
        <f aca="false">IF(A151="","",A151&amp;"_CAD.dwg")</f>
        <v/>
      </c>
      <c r="AP151" s="10" t="str">
        <f aca="false">IF(A151="","",A151&amp;"_DWG.pdf")</f>
        <v/>
      </c>
      <c r="AQ151" s="10" t="str">
        <f aca="false">IF(A151="","",IF(AM151="Y",A151&amp;"_STAAD.std","n/a"))</f>
        <v/>
      </c>
      <c r="AR151" s="10" t="str">
        <f aca="false">IF(A151="","",A151&amp;"_CALC.xlsx")</f>
        <v/>
      </c>
      <c r="AS151" s="10" t="str">
        <f aca="false">IF(A151="","",A151&amp;"_CALC.pdf")</f>
        <v/>
      </c>
      <c r="AT151" s="9"/>
      <c r="AU151" s="9"/>
      <c r="AV151" s="39"/>
      <c r="AW151" s="39"/>
      <c r="AX151" s="39"/>
      <c r="AY151" s="39"/>
      <c r="AZ151" s="39"/>
      <c r="BA151" s="12" t="str">
        <f aca="false">IF(A151="","",IF(COUNTIF(Rebar_Schedule!$A$5:$A$2004,A151)=0,"",ROUND(SUMIF(Rebar_Schedule!$A$5:$A$2004,A151,Rebar_Schedule!$K$5:$K$2004),1)))</f>
        <v/>
      </c>
      <c r="BB151" s="33" t="str">
        <f aca="false">IF(A151="","",IF(BA151="","No rebar schedule yet",IF(ABS(BA151-N(AW151))/MAX(N(AW151),1)&gt;SG_Criteria!$B$55,"NOTE: register rebar differs from schedule by "&amp;TEXT(ABS(BA151-N(AW151))/MAX(N(AW151),1),"0%"),"OK")))</f>
        <v/>
      </c>
      <c r="BC151" s="34" t="str">
        <f aca="false">IF(OR(D151="",G151="",H151="",D151="Sump",D151="Drop Inlet Chamber",D151="Silt Trap",D151="Pipe Culvert",D151="Subsoil Drain"),"",ROUND(MAX(1,N(I151))*(1/SG_Criteria!$B$26)*((G151/1000)*(H151/1000*(1-SG_Criteria!$B$25)))*(((G151/1000)*(H151/1000*(1-SG_Criteria!$B$25)))/((G151/1000)+2*(H151/1000*(1-SG_Criteria!$B$25))))^(2/3)*(1/Design_Selector!$B$11)^0.5,3))</f>
        <v/>
      </c>
      <c r="BD151" s="11" t="str">
        <f aca="false">IF(BC151="","",ROUND(BC151/(MAX(1,N(I151))*G151/1000*(H151/1000*(1-SG_Criteria!$B$25))),2))</f>
        <v/>
      </c>
      <c r="BE151" s="33" t="str">
        <f aca="false">IF(D151="","",IF(LEN(IF(AND(OR(E151="Roadside drain",E151="Entrance culvert"),OR(G151&lt;SG_Criteria!$B$15,H151&lt;SG_Criteria!$B$16)),"FAIL: below PUB min "&amp;SG_Criteria!$B$15&amp;"x"&amp;SG_Criteria!$B$16&amp;" for roadside drain. ","")&amp;IF(AND(E151="Common drain",G151&lt;SG_Criteria!$B$17),"FAIL: common drain W &lt; "&amp;SG_Criteria!$B$17&amp;" mm. ","")&amp;IF(AND(O151&lt;&gt;"",IFERROR(VALUE(MID(O151,2,2)),0)&lt;SG_Criteria!$B$19),"FAIL: grade below C"&amp;SG_Criteria!$B$19&amp;". ","")&amp;IF(AND(P151&lt;&gt;"",P151&lt;SG_Criteria!$B$20),"FAIL: cover &lt; "&amp;SG_Criteria!$B$20&amp;" mm. ","")&amp;IF(AND(F151="Open",H151&gt;SG_Criteria!$B$18),"NOTE: safety railing required (D &gt; "&amp;SG_Criteria!$B$18&amp;" mm). ","")&amp;IF(AND(E151="Entrance culvert",H151&lt;600),"NOTE: check hinged grating rule for culverts &lt; 600 deep (PUB Add. 3). ",""))=0,"OK",IF(AND(OR(E151="Roadside drain",E151="Entrance culvert"),OR(G151&lt;SG_Criteria!$B$15,H151&lt;SG_Criteria!$B$16)),"FAIL: below PUB min "&amp;SG_Criteria!$B$15&amp;"x"&amp;SG_Criteria!$B$16&amp;" for roadside drain. ","")&amp;IF(AND(E151="Common drain",G151&lt;SG_Criteria!$B$17),"FAIL: common drain W &lt; "&amp;SG_Criteria!$B$17&amp;" mm. ","")&amp;IF(AND(O151&lt;&gt;"",IFERROR(VALUE(MID(O151,2,2)),0)&lt;SG_Criteria!$B$19),"FAIL: grade below C"&amp;SG_Criteria!$B$19&amp;". ","")&amp;IF(AND(P151&lt;&gt;"",P151&lt;SG_Criteria!$B$20),"FAIL: cover &lt; "&amp;SG_Criteria!$B$20&amp;" mm. ","")&amp;IF(AND(F151="Open",H151&gt;SG_Criteria!$B$18),"NOTE: safety railing required (D &gt; "&amp;SG_Criteria!$B$18&amp;" mm). ","")&amp;IF(AND(E151="Entrance culvert",H151&lt;600),"NOTE: check hinged grating rule for culverts &lt; 600 deep (PUB Add. 3). ","")))</f>
        <v/>
      </c>
      <c r="BF151" s="9"/>
      <c r="BG151" s="9"/>
      <c r="BH151" s="9"/>
      <c r="BI151" s="10" t="str">
        <f aca="false">IF(BH151="","",IFERROR(VLOOKUP(BH151,Projects!$A$5:$D$504,2,0),"Ref not in Projects"))</f>
        <v/>
      </c>
      <c r="BJ151" s="10" t="str">
        <f aca="false">IF(BH151="","",IFERROR(VLOOKUP(BH151,Projects!$A$5:$D$504,4,0),"Ref not in Projects"))</f>
        <v/>
      </c>
      <c r="BK151" s="9"/>
      <c r="BL151" s="9"/>
      <c r="BM151" s="9"/>
      <c r="BN151" s="40"/>
      <c r="BO151" s="9"/>
      <c r="BP151" s="40"/>
      <c r="BQ151" s="9"/>
      <c r="BR151" s="40"/>
      <c r="BS151" s="9"/>
      <c r="BT151" s="9"/>
      <c r="BU151" s="9"/>
      <c r="BV151" s="40"/>
      <c r="BW151" s="40"/>
      <c r="BX151" s="36" t="str">
        <f aca="false">IF(BW151="","",EDATE(BW151,SG_Criteria!$B$54*12))</f>
        <v/>
      </c>
      <c r="BY151" s="33" t="str">
        <f aca="true">IF(A151="","",IF(BW151="","NOTE: not reviewed yet",IF(TODAY()&gt;BX151,"NOTE: review overdue","OK")))</f>
        <v/>
      </c>
      <c r="BZ151" s="37" t="str">
        <f aca="false">IF(A151="","",ROUND((IF(LEN(D151)&gt;0,1,0)+IF(LEN(E151)&gt;0,1,0)+IF(LEN(F151)&gt;0,1,0)+IF(LEN(G151)&gt;0,1,0)+IF(LEN(H151)&gt;0,1,0)+IF(LEN(J151)&gt;0,1,0)+IF(LEN(K151)&gt;0,1,0)+IF(LEN(M151)&gt;0,1,0)+IF(LEN(O151)&gt;0,1,0)+IF(LEN(P151)&gt;0,1,0)+IF(LEN(Q151)&gt;0,1,0)+IF(LEN(S151)&gt;0,1,0)+IF(LEN(AC151)&gt;0,1,0)+IF(LEN(AV151)&gt;0,1,0)+IF(LEN(AW151)&gt;0,1,0)+IF(LEN(AG151)&gt;0,1,0)+IF(LEN(AI151)&gt;0,1,0)+IF(LEN(AJ151)&gt;0,1,0)+IF(LEN(AK151)&gt;0,1,0)+IF(LEN(AL151)&gt;0,1,0)+IF(LEN(AU151)&gt;0,1,0)+IF(LEN(BH151)&gt;0,1,0)+IF(LEN(BU151)&gt;0,1,0))/23,2))</f>
        <v/>
      </c>
      <c r="CA151" s="10" t="str">
        <f aca="false">IF(D151="","",IF(AND(AJ151="Approved",ISERROR(SEARCH("FAIL",BE151))),"Y","N"))</f>
        <v/>
      </c>
      <c r="CB151" s="10" t="str">
        <f aca="false">IF(D151="","",D151&amp;"|"&amp;G151&amp;"|"&amp;H151&amp;"|"&amp;M151&amp;"|"&amp;CA151)</f>
        <v/>
      </c>
    </row>
    <row r="152" customFormat="false" ht="15" hidden="false" customHeight="false" outlineLevel="0" collapsed="false">
      <c r="A152" s="10" t="str">
        <f aca="false">IF(D152="","","DRN-"&amp;IFERROR(VLOOKUP(D152,Lists!$A$4:$B$27,2,0),"??")&amp;"-"&amp;TEXT(G152,"0000")&amp;"x"&amp;TEXT(H152,"0000")&amp;IF(N(I152)&gt;1,"-"&amp;I152&amp;"C","")&amp;"-"&amp;IFERROR(VLOOKUP(M152,Lists!$J$4:$K$19,2,0),"??")&amp;"-"&amp;AI152)</f>
        <v/>
      </c>
      <c r="B152" s="10" t="str">
        <f aca="false">IF(D152="","",D152&amp;" "&amp;G152&amp;"W x "&amp;H152&amp;"D"&amp;IF(N(I152)&gt;1," ("&amp;I152&amp;" cells)","")&amp;", "&amp;E152&amp;", "&amp;M152&amp;", "&amp;F152)</f>
        <v/>
      </c>
      <c r="C152" s="9"/>
      <c r="D152" s="9"/>
      <c r="E152" s="9"/>
      <c r="F152" s="9"/>
      <c r="G152" s="38"/>
      <c r="H152" s="38"/>
      <c r="I152" s="38"/>
      <c r="J152" s="38"/>
      <c r="K152" s="38"/>
      <c r="L152" s="38"/>
      <c r="M152" s="9"/>
      <c r="N152" s="9"/>
      <c r="O152" s="9"/>
      <c r="P152" s="38"/>
      <c r="Q152" s="9"/>
      <c r="R152" s="9"/>
      <c r="S152" s="9"/>
      <c r="T152" s="9"/>
      <c r="U152" s="9"/>
      <c r="V152" s="9"/>
      <c r="W152" s="9"/>
      <c r="X152" s="9"/>
      <c r="Y152" s="9"/>
      <c r="Z152" s="9"/>
      <c r="AA152" s="9"/>
      <c r="AB152" s="39"/>
      <c r="AC152" s="9"/>
      <c r="AD152" s="38"/>
      <c r="AE152" s="9"/>
      <c r="AF152" s="39"/>
      <c r="AG152" s="9"/>
      <c r="AH152" s="9"/>
      <c r="AI152" s="9"/>
      <c r="AJ152" s="9"/>
      <c r="AK152" s="9"/>
      <c r="AL152" s="9"/>
      <c r="AM152" s="9"/>
      <c r="AN152" s="10" t="str">
        <f aca="false">IF(A152="","",SG_Criteria!$B$6&amp;SG_Criteria!$B$7&amp;"\"&amp;A152&amp;"\")</f>
        <v/>
      </c>
      <c r="AO152" s="10" t="str">
        <f aca="false">IF(A152="","",A152&amp;"_CAD.dwg")</f>
        <v/>
      </c>
      <c r="AP152" s="10" t="str">
        <f aca="false">IF(A152="","",A152&amp;"_DWG.pdf")</f>
        <v/>
      </c>
      <c r="AQ152" s="10" t="str">
        <f aca="false">IF(A152="","",IF(AM152="Y",A152&amp;"_STAAD.std","n/a"))</f>
        <v/>
      </c>
      <c r="AR152" s="10" t="str">
        <f aca="false">IF(A152="","",A152&amp;"_CALC.xlsx")</f>
        <v/>
      </c>
      <c r="AS152" s="10" t="str">
        <f aca="false">IF(A152="","",A152&amp;"_CALC.pdf")</f>
        <v/>
      </c>
      <c r="AT152" s="9"/>
      <c r="AU152" s="9"/>
      <c r="AV152" s="39"/>
      <c r="AW152" s="39"/>
      <c r="AX152" s="39"/>
      <c r="AY152" s="39"/>
      <c r="AZ152" s="39"/>
      <c r="BA152" s="12" t="str">
        <f aca="false">IF(A152="","",IF(COUNTIF(Rebar_Schedule!$A$5:$A$2004,A152)=0,"",ROUND(SUMIF(Rebar_Schedule!$A$5:$A$2004,A152,Rebar_Schedule!$K$5:$K$2004),1)))</f>
        <v/>
      </c>
      <c r="BB152" s="33" t="str">
        <f aca="false">IF(A152="","",IF(BA152="","No rebar schedule yet",IF(ABS(BA152-N(AW152))/MAX(N(AW152),1)&gt;SG_Criteria!$B$55,"NOTE: register rebar differs from schedule by "&amp;TEXT(ABS(BA152-N(AW152))/MAX(N(AW152),1),"0%"),"OK")))</f>
        <v/>
      </c>
      <c r="BC152" s="34" t="str">
        <f aca="false">IF(OR(D152="",G152="",H152="",D152="Sump",D152="Drop Inlet Chamber",D152="Silt Trap",D152="Pipe Culvert",D152="Subsoil Drain"),"",ROUND(MAX(1,N(I152))*(1/SG_Criteria!$B$26)*((G152/1000)*(H152/1000*(1-SG_Criteria!$B$25)))*(((G152/1000)*(H152/1000*(1-SG_Criteria!$B$25)))/((G152/1000)+2*(H152/1000*(1-SG_Criteria!$B$25))))^(2/3)*(1/Design_Selector!$B$11)^0.5,3))</f>
        <v/>
      </c>
      <c r="BD152" s="11" t="str">
        <f aca="false">IF(BC152="","",ROUND(BC152/(MAX(1,N(I152))*G152/1000*(H152/1000*(1-SG_Criteria!$B$25))),2))</f>
        <v/>
      </c>
      <c r="BE152" s="33" t="str">
        <f aca="false">IF(D152="","",IF(LEN(IF(AND(OR(E152="Roadside drain",E152="Entrance culvert"),OR(G152&lt;SG_Criteria!$B$15,H152&lt;SG_Criteria!$B$16)),"FAIL: below PUB min "&amp;SG_Criteria!$B$15&amp;"x"&amp;SG_Criteria!$B$16&amp;" for roadside drain. ","")&amp;IF(AND(E152="Common drain",G152&lt;SG_Criteria!$B$17),"FAIL: common drain W &lt; "&amp;SG_Criteria!$B$17&amp;" mm. ","")&amp;IF(AND(O152&lt;&gt;"",IFERROR(VALUE(MID(O152,2,2)),0)&lt;SG_Criteria!$B$19),"FAIL: grade below C"&amp;SG_Criteria!$B$19&amp;". ","")&amp;IF(AND(P152&lt;&gt;"",P152&lt;SG_Criteria!$B$20),"FAIL: cover &lt; "&amp;SG_Criteria!$B$20&amp;" mm. ","")&amp;IF(AND(F152="Open",H152&gt;SG_Criteria!$B$18),"NOTE: safety railing required (D &gt; "&amp;SG_Criteria!$B$18&amp;" mm). ","")&amp;IF(AND(E152="Entrance culvert",H152&lt;600),"NOTE: check hinged grating rule for culverts &lt; 600 deep (PUB Add. 3). ",""))=0,"OK",IF(AND(OR(E152="Roadside drain",E152="Entrance culvert"),OR(G152&lt;SG_Criteria!$B$15,H152&lt;SG_Criteria!$B$16)),"FAIL: below PUB min "&amp;SG_Criteria!$B$15&amp;"x"&amp;SG_Criteria!$B$16&amp;" for roadside drain. ","")&amp;IF(AND(E152="Common drain",G152&lt;SG_Criteria!$B$17),"FAIL: common drain W &lt; "&amp;SG_Criteria!$B$17&amp;" mm. ","")&amp;IF(AND(O152&lt;&gt;"",IFERROR(VALUE(MID(O152,2,2)),0)&lt;SG_Criteria!$B$19),"FAIL: grade below C"&amp;SG_Criteria!$B$19&amp;". ","")&amp;IF(AND(P152&lt;&gt;"",P152&lt;SG_Criteria!$B$20),"FAIL: cover &lt; "&amp;SG_Criteria!$B$20&amp;" mm. ","")&amp;IF(AND(F152="Open",H152&gt;SG_Criteria!$B$18),"NOTE: safety railing required (D &gt; "&amp;SG_Criteria!$B$18&amp;" mm). ","")&amp;IF(AND(E152="Entrance culvert",H152&lt;600),"NOTE: check hinged grating rule for culverts &lt; 600 deep (PUB Add. 3). ","")))</f>
        <v/>
      </c>
      <c r="BF152" s="9"/>
      <c r="BG152" s="9"/>
      <c r="BH152" s="9"/>
      <c r="BI152" s="10" t="str">
        <f aca="false">IF(BH152="","",IFERROR(VLOOKUP(BH152,Projects!$A$5:$D$504,2,0),"Ref not in Projects"))</f>
        <v/>
      </c>
      <c r="BJ152" s="10" t="str">
        <f aca="false">IF(BH152="","",IFERROR(VLOOKUP(BH152,Projects!$A$5:$D$504,4,0),"Ref not in Projects"))</f>
        <v/>
      </c>
      <c r="BK152" s="9"/>
      <c r="BL152" s="9"/>
      <c r="BM152" s="9"/>
      <c r="BN152" s="40"/>
      <c r="BO152" s="9"/>
      <c r="BP152" s="40"/>
      <c r="BQ152" s="9"/>
      <c r="BR152" s="40"/>
      <c r="BS152" s="9"/>
      <c r="BT152" s="9"/>
      <c r="BU152" s="9"/>
      <c r="BV152" s="40"/>
      <c r="BW152" s="40"/>
      <c r="BX152" s="36" t="str">
        <f aca="false">IF(BW152="","",EDATE(BW152,SG_Criteria!$B$54*12))</f>
        <v/>
      </c>
      <c r="BY152" s="33" t="str">
        <f aca="true">IF(A152="","",IF(BW152="","NOTE: not reviewed yet",IF(TODAY()&gt;BX152,"NOTE: review overdue","OK")))</f>
        <v/>
      </c>
      <c r="BZ152" s="37" t="str">
        <f aca="false">IF(A152="","",ROUND((IF(LEN(D152)&gt;0,1,0)+IF(LEN(E152)&gt;0,1,0)+IF(LEN(F152)&gt;0,1,0)+IF(LEN(G152)&gt;0,1,0)+IF(LEN(H152)&gt;0,1,0)+IF(LEN(J152)&gt;0,1,0)+IF(LEN(K152)&gt;0,1,0)+IF(LEN(M152)&gt;0,1,0)+IF(LEN(O152)&gt;0,1,0)+IF(LEN(P152)&gt;0,1,0)+IF(LEN(Q152)&gt;0,1,0)+IF(LEN(S152)&gt;0,1,0)+IF(LEN(AC152)&gt;0,1,0)+IF(LEN(AV152)&gt;0,1,0)+IF(LEN(AW152)&gt;0,1,0)+IF(LEN(AG152)&gt;0,1,0)+IF(LEN(AI152)&gt;0,1,0)+IF(LEN(AJ152)&gt;0,1,0)+IF(LEN(AK152)&gt;0,1,0)+IF(LEN(AL152)&gt;0,1,0)+IF(LEN(AU152)&gt;0,1,0)+IF(LEN(BH152)&gt;0,1,0)+IF(LEN(BU152)&gt;0,1,0))/23,2))</f>
        <v/>
      </c>
      <c r="CA152" s="10" t="str">
        <f aca="false">IF(D152="","",IF(AND(AJ152="Approved",ISERROR(SEARCH("FAIL",BE152))),"Y","N"))</f>
        <v/>
      </c>
      <c r="CB152" s="10" t="str">
        <f aca="false">IF(D152="","",D152&amp;"|"&amp;G152&amp;"|"&amp;H152&amp;"|"&amp;M152&amp;"|"&amp;CA152)</f>
        <v/>
      </c>
    </row>
    <row r="153" customFormat="false" ht="15" hidden="false" customHeight="false" outlineLevel="0" collapsed="false">
      <c r="A153" s="10" t="str">
        <f aca="false">IF(D153="","","DRN-"&amp;IFERROR(VLOOKUP(D153,Lists!$A$4:$B$27,2,0),"??")&amp;"-"&amp;TEXT(G153,"0000")&amp;"x"&amp;TEXT(H153,"0000")&amp;IF(N(I153)&gt;1,"-"&amp;I153&amp;"C","")&amp;"-"&amp;IFERROR(VLOOKUP(M153,Lists!$J$4:$K$19,2,0),"??")&amp;"-"&amp;AI153)</f>
        <v/>
      </c>
      <c r="B153" s="10" t="str">
        <f aca="false">IF(D153="","",D153&amp;" "&amp;G153&amp;"W x "&amp;H153&amp;"D"&amp;IF(N(I153)&gt;1," ("&amp;I153&amp;" cells)","")&amp;", "&amp;E153&amp;", "&amp;M153&amp;", "&amp;F153)</f>
        <v/>
      </c>
      <c r="C153" s="9"/>
      <c r="D153" s="9"/>
      <c r="E153" s="9"/>
      <c r="F153" s="9"/>
      <c r="G153" s="38"/>
      <c r="H153" s="38"/>
      <c r="I153" s="38"/>
      <c r="J153" s="38"/>
      <c r="K153" s="38"/>
      <c r="L153" s="38"/>
      <c r="M153" s="9"/>
      <c r="N153" s="9"/>
      <c r="O153" s="9"/>
      <c r="P153" s="38"/>
      <c r="Q153" s="9"/>
      <c r="R153" s="9"/>
      <c r="S153" s="9"/>
      <c r="T153" s="9"/>
      <c r="U153" s="9"/>
      <c r="V153" s="9"/>
      <c r="W153" s="9"/>
      <c r="X153" s="9"/>
      <c r="Y153" s="9"/>
      <c r="Z153" s="9"/>
      <c r="AA153" s="9"/>
      <c r="AB153" s="39"/>
      <c r="AC153" s="9"/>
      <c r="AD153" s="38"/>
      <c r="AE153" s="9"/>
      <c r="AF153" s="39"/>
      <c r="AG153" s="9"/>
      <c r="AH153" s="9"/>
      <c r="AI153" s="9"/>
      <c r="AJ153" s="9"/>
      <c r="AK153" s="9"/>
      <c r="AL153" s="9"/>
      <c r="AM153" s="9"/>
      <c r="AN153" s="10" t="str">
        <f aca="false">IF(A153="","",SG_Criteria!$B$6&amp;SG_Criteria!$B$7&amp;"\"&amp;A153&amp;"\")</f>
        <v/>
      </c>
      <c r="AO153" s="10" t="str">
        <f aca="false">IF(A153="","",A153&amp;"_CAD.dwg")</f>
        <v/>
      </c>
      <c r="AP153" s="10" t="str">
        <f aca="false">IF(A153="","",A153&amp;"_DWG.pdf")</f>
        <v/>
      </c>
      <c r="AQ153" s="10" t="str">
        <f aca="false">IF(A153="","",IF(AM153="Y",A153&amp;"_STAAD.std","n/a"))</f>
        <v/>
      </c>
      <c r="AR153" s="10" t="str">
        <f aca="false">IF(A153="","",A153&amp;"_CALC.xlsx")</f>
        <v/>
      </c>
      <c r="AS153" s="10" t="str">
        <f aca="false">IF(A153="","",A153&amp;"_CALC.pdf")</f>
        <v/>
      </c>
      <c r="AT153" s="9"/>
      <c r="AU153" s="9"/>
      <c r="AV153" s="39"/>
      <c r="AW153" s="39"/>
      <c r="AX153" s="39"/>
      <c r="AY153" s="39"/>
      <c r="AZ153" s="39"/>
      <c r="BA153" s="12" t="str">
        <f aca="false">IF(A153="","",IF(COUNTIF(Rebar_Schedule!$A$5:$A$2004,A153)=0,"",ROUND(SUMIF(Rebar_Schedule!$A$5:$A$2004,A153,Rebar_Schedule!$K$5:$K$2004),1)))</f>
        <v/>
      </c>
      <c r="BB153" s="33" t="str">
        <f aca="false">IF(A153="","",IF(BA153="","No rebar schedule yet",IF(ABS(BA153-N(AW153))/MAX(N(AW153),1)&gt;SG_Criteria!$B$55,"NOTE: register rebar differs from schedule by "&amp;TEXT(ABS(BA153-N(AW153))/MAX(N(AW153),1),"0%"),"OK")))</f>
        <v/>
      </c>
      <c r="BC153" s="34" t="str">
        <f aca="false">IF(OR(D153="",G153="",H153="",D153="Sump",D153="Drop Inlet Chamber",D153="Silt Trap",D153="Pipe Culvert",D153="Subsoil Drain"),"",ROUND(MAX(1,N(I153))*(1/SG_Criteria!$B$26)*((G153/1000)*(H153/1000*(1-SG_Criteria!$B$25)))*(((G153/1000)*(H153/1000*(1-SG_Criteria!$B$25)))/((G153/1000)+2*(H153/1000*(1-SG_Criteria!$B$25))))^(2/3)*(1/Design_Selector!$B$11)^0.5,3))</f>
        <v/>
      </c>
      <c r="BD153" s="11" t="str">
        <f aca="false">IF(BC153="","",ROUND(BC153/(MAX(1,N(I153))*G153/1000*(H153/1000*(1-SG_Criteria!$B$25))),2))</f>
        <v/>
      </c>
      <c r="BE153" s="33" t="str">
        <f aca="false">IF(D153="","",IF(LEN(IF(AND(OR(E153="Roadside drain",E153="Entrance culvert"),OR(G153&lt;SG_Criteria!$B$15,H153&lt;SG_Criteria!$B$16)),"FAIL: below PUB min "&amp;SG_Criteria!$B$15&amp;"x"&amp;SG_Criteria!$B$16&amp;" for roadside drain. ","")&amp;IF(AND(E153="Common drain",G153&lt;SG_Criteria!$B$17),"FAIL: common drain W &lt; "&amp;SG_Criteria!$B$17&amp;" mm. ","")&amp;IF(AND(O153&lt;&gt;"",IFERROR(VALUE(MID(O153,2,2)),0)&lt;SG_Criteria!$B$19),"FAIL: grade below C"&amp;SG_Criteria!$B$19&amp;". ","")&amp;IF(AND(P153&lt;&gt;"",P153&lt;SG_Criteria!$B$20),"FAIL: cover &lt; "&amp;SG_Criteria!$B$20&amp;" mm. ","")&amp;IF(AND(F153="Open",H153&gt;SG_Criteria!$B$18),"NOTE: safety railing required (D &gt; "&amp;SG_Criteria!$B$18&amp;" mm). ","")&amp;IF(AND(E153="Entrance culvert",H153&lt;600),"NOTE: check hinged grating rule for culverts &lt; 600 deep (PUB Add. 3). ",""))=0,"OK",IF(AND(OR(E153="Roadside drain",E153="Entrance culvert"),OR(G153&lt;SG_Criteria!$B$15,H153&lt;SG_Criteria!$B$16)),"FAIL: below PUB min "&amp;SG_Criteria!$B$15&amp;"x"&amp;SG_Criteria!$B$16&amp;" for roadside drain. ","")&amp;IF(AND(E153="Common drain",G153&lt;SG_Criteria!$B$17),"FAIL: common drain W &lt; "&amp;SG_Criteria!$B$17&amp;" mm. ","")&amp;IF(AND(O153&lt;&gt;"",IFERROR(VALUE(MID(O153,2,2)),0)&lt;SG_Criteria!$B$19),"FAIL: grade below C"&amp;SG_Criteria!$B$19&amp;". ","")&amp;IF(AND(P153&lt;&gt;"",P153&lt;SG_Criteria!$B$20),"FAIL: cover &lt; "&amp;SG_Criteria!$B$20&amp;" mm. ","")&amp;IF(AND(F153="Open",H153&gt;SG_Criteria!$B$18),"NOTE: safety railing required (D &gt; "&amp;SG_Criteria!$B$18&amp;" mm). ","")&amp;IF(AND(E153="Entrance culvert",H153&lt;600),"NOTE: check hinged grating rule for culverts &lt; 600 deep (PUB Add. 3). ","")))</f>
        <v/>
      </c>
      <c r="BF153" s="9"/>
      <c r="BG153" s="9"/>
      <c r="BH153" s="9"/>
      <c r="BI153" s="10" t="str">
        <f aca="false">IF(BH153="","",IFERROR(VLOOKUP(BH153,Projects!$A$5:$D$504,2,0),"Ref not in Projects"))</f>
        <v/>
      </c>
      <c r="BJ153" s="10" t="str">
        <f aca="false">IF(BH153="","",IFERROR(VLOOKUP(BH153,Projects!$A$5:$D$504,4,0),"Ref not in Projects"))</f>
        <v/>
      </c>
      <c r="BK153" s="9"/>
      <c r="BL153" s="9"/>
      <c r="BM153" s="9"/>
      <c r="BN153" s="40"/>
      <c r="BO153" s="9"/>
      <c r="BP153" s="40"/>
      <c r="BQ153" s="9"/>
      <c r="BR153" s="40"/>
      <c r="BS153" s="9"/>
      <c r="BT153" s="9"/>
      <c r="BU153" s="9"/>
      <c r="BV153" s="40"/>
      <c r="BW153" s="40"/>
      <c r="BX153" s="36" t="str">
        <f aca="false">IF(BW153="","",EDATE(BW153,SG_Criteria!$B$54*12))</f>
        <v/>
      </c>
      <c r="BY153" s="33" t="str">
        <f aca="true">IF(A153="","",IF(BW153="","NOTE: not reviewed yet",IF(TODAY()&gt;BX153,"NOTE: review overdue","OK")))</f>
        <v/>
      </c>
      <c r="BZ153" s="37" t="str">
        <f aca="false">IF(A153="","",ROUND((IF(LEN(D153)&gt;0,1,0)+IF(LEN(E153)&gt;0,1,0)+IF(LEN(F153)&gt;0,1,0)+IF(LEN(G153)&gt;0,1,0)+IF(LEN(H153)&gt;0,1,0)+IF(LEN(J153)&gt;0,1,0)+IF(LEN(K153)&gt;0,1,0)+IF(LEN(M153)&gt;0,1,0)+IF(LEN(O153)&gt;0,1,0)+IF(LEN(P153)&gt;0,1,0)+IF(LEN(Q153)&gt;0,1,0)+IF(LEN(S153)&gt;0,1,0)+IF(LEN(AC153)&gt;0,1,0)+IF(LEN(AV153)&gt;0,1,0)+IF(LEN(AW153)&gt;0,1,0)+IF(LEN(AG153)&gt;0,1,0)+IF(LEN(AI153)&gt;0,1,0)+IF(LEN(AJ153)&gt;0,1,0)+IF(LEN(AK153)&gt;0,1,0)+IF(LEN(AL153)&gt;0,1,0)+IF(LEN(AU153)&gt;0,1,0)+IF(LEN(BH153)&gt;0,1,0)+IF(LEN(BU153)&gt;0,1,0))/23,2))</f>
        <v/>
      </c>
      <c r="CA153" s="10" t="str">
        <f aca="false">IF(D153="","",IF(AND(AJ153="Approved",ISERROR(SEARCH("FAIL",BE153))),"Y","N"))</f>
        <v/>
      </c>
      <c r="CB153" s="10" t="str">
        <f aca="false">IF(D153="","",D153&amp;"|"&amp;G153&amp;"|"&amp;H153&amp;"|"&amp;M153&amp;"|"&amp;CA153)</f>
        <v/>
      </c>
    </row>
    <row r="154" customFormat="false" ht="15" hidden="false" customHeight="false" outlineLevel="0" collapsed="false">
      <c r="A154" s="10" t="str">
        <f aca="false">IF(D154="","","DRN-"&amp;IFERROR(VLOOKUP(D154,Lists!$A$4:$B$27,2,0),"??")&amp;"-"&amp;TEXT(G154,"0000")&amp;"x"&amp;TEXT(H154,"0000")&amp;IF(N(I154)&gt;1,"-"&amp;I154&amp;"C","")&amp;"-"&amp;IFERROR(VLOOKUP(M154,Lists!$J$4:$K$19,2,0),"??")&amp;"-"&amp;AI154)</f>
        <v/>
      </c>
      <c r="B154" s="10" t="str">
        <f aca="false">IF(D154="","",D154&amp;" "&amp;G154&amp;"W x "&amp;H154&amp;"D"&amp;IF(N(I154)&gt;1," ("&amp;I154&amp;" cells)","")&amp;", "&amp;E154&amp;", "&amp;M154&amp;", "&amp;F154)</f>
        <v/>
      </c>
      <c r="C154" s="9"/>
      <c r="D154" s="9"/>
      <c r="E154" s="9"/>
      <c r="F154" s="9"/>
      <c r="G154" s="38"/>
      <c r="H154" s="38"/>
      <c r="I154" s="38"/>
      <c r="J154" s="38"/>
      <c r="K154" s="38"/>
      <c r="L154" s="38"/>
      <c r="M154" s="9"/>
      <c r="N154" s="9"/>
      <c r="O154" s="9"/>
      <c r="P154" s="38"/>
      <c r="Q154" s="9"/>
      <c r="R154" s="9"/>
      <c r="S154" s="9"/>
      <c r="T154" s="9"/>
      <c r="U154" s="9"/>
      <c r="V154" s="9"/>
      <c r="W154" s="9"/>
      <c r="X154" s="9"/>
      <c r="Y154" s="9"/>
      <c r="Z154" s="9"/>
      <c r="AA154" s="9"/>
      <c r="AB154" s="39"/>
      <c r="AC154" s="9"/>
      <c r="AD154" s="38"/>
      <c r="AE154" s="9"/>
      <c r="AF154" s="39"/>
      <c r="AG154" s="9"/>
      <c r="AH154" s="9"/>
      <c r="AI154" s="9"/>
      <c r="AJ154" s="9"/>
      <c r="AK154" s="9"/>
      <c r="AL154" s="9"/>
      <c r="AM154" s="9"/>
      <c r="AN154" s="10" t="str">
        <f aca="false">IF(A154="","",SG_Criteria!$B$6&amp;SG_Criteria!$B$7&amp;"\"&amp;A154&amp;"\")</f>
        <v/>
      </c>
      <c r="AO154" s="10" t="str">
        <f aca="false">IF(A154="","",A154&amp;"_CAD.dwg")</f>
        <v/>
      </c>
      <c r="AP154" s="10" t="str">
        <f aca="false">IF(A154="","",A154&amp;"_DWG.pdf")</f>
        <v/>
      </c>
      <c r="AQ154" s="10" t="str">
        <f aca="false">IF(A154="","",IF(AM154="Y",A154&amp;"_STAAD.std","n/a"))</f>
        <v/>
      </c>
      <c r="AR154" s="10" t="str">
        <f aca="false">IF(A154="","",A154&amp;"_CALC.xlsx")</f>
        <v/>
      </c>
      <c r="AS154" s="10" t="str">
        <f aca="false">IF(A154="","",A154&amp;"_CALC.pdf")</f>
        <v/>
      </c>
      <c r="AT154" s="9"/>
      <c r="AU154" s="9"/>
      <c r="AV154" s="39"/>
      <c r="AW154" s="39"/>
      <c r="AX154" s="39"/>
      <c r="AY154" s="39"/>
      <c r="AZ154" s="39"/>
      <c r="BA154" s="12" t="str">
        <f aca="false">IF(A154="","",IF(COUNTIF(Rebar_Schedule!$A$5:$A$2004,A154)=0,"",ROUND(SUMIF(Rebar_Schedule!$A$5:$A$2004,A154,Rebar_Schedule!$K$5:$K$2004),1)))</f>
        <v/>
      </c>
      <c r="BB154" s="33" t="str">
        <f aca="false">IF(A154="","",IF(BA154="","No rebar schedule yet",IF(ABS(BA154-N(AW154))/MAX(N(AW154),1)&gt;SG_Criteria!$B$55,"NOTE: register rebar differs from schedule by "&amp;TEXT(ABS(BA154-N(AW154))/MAX(N(AW154),1),"0%"),"OK")))</f>
        <v/>
      </c>
      <c r="BC154" s="34" t="str">
        <f aca="false">IF(OR(D154="",G154="",H154="",D154="Sump",D154="Drop Inlet Chamber",D154="Silt Trap",D154="Pipe Culvert",D154="Subsoil Drain"),"",ROUND(MAX(1,N(I154))*(1/SG_Criteria!$B$26)*((G154/1000)*(H154/1000*(1-SG_Criteria!$B$25)))*(((G154/1000)*(H154/1000*(1-SG_Criteria!$B$25)))/((G154/1000)+2*(H154/1000*(1-SG_Criteria!$B$25))))^(2/3)*(1/Design_Selector!$B$11)^0.5,3))</f>
        <v/>
      </c>
      <c r="BD154" s="11" t="str">
        <f aca="false">IF(BC154="","",ROUND(BC154/(MAX(1,N(I154))*G154/1000*(H154/1000*(1-SG_Criteria!$B$25))),2))</f>
        <v/>
      </c>
      <c r="BE154" s="33" t="str">
        <f aca="false">IF(D154="","",IF(LEN(IF(AND(OR(E154="Roadside drain",E154="Entrance culvert"),OR(G154&lt;SG_Criteria!$B$15,H154&lt;SG_Criteria!$B$16)),"FAIL: below PUB min "&amp;SG_Criteria!$B$15&amp;"x"&amp;SG_Criteria!$B$16&amp;" for roadside drain. ","")&amp;IF(AND(E154="Common drain",G154&lt;SG_Criteria!$B$17),"FAIL: common drain W &lt; "&amp;SG_Criteria!$B$17&amp;" mm. ","")&amp;IF(AND(O154&lt;&gt;"",IFERROR(VALUE(MID(O154,2,2)),0)&lt;SG_Criteria!$B$19),"FAIL: grade below C"&amp;SG_Criteria!$B$19&amp;". ","")&amp;IF(AND(P154&lt;&gt;"",P154&lt;SG_Criteria!$B$20),"FAIL: cover &lt; "&amp;SG_Criteria!$B$20&amp;" mm. ","")&amp;IF(AND(F154="Open",H154&gt;SG_Criteria!$B$18),"NOTE: safety railing required (D &gt; "&amp;SG_Criteria!$B$18&amp;" mm). ","")&amp;IF(AND(E154="Entrance culvert",H154&lt;600),"NOTE: check hinged grating rule for culverts &lt; 600 deep (PUB Add. 3). ",""))=0,"OK",IF(AND(OR(E154="Roadside drain",E154="Entrance culvert"),OR(G154&lt;SG_Criteria!$B$15,H154&lt;SG_Criteria!$B$16)),"FAIL: below PUB min "&amp;SG_Criteria!$B$15&amp;"x"&amp;SG_Criteria!$B$16&amp;" for roadside drain. ","")&amp;IF(AND(E154="Common drain",G154&lt;SG_Criteria!$B$17),"FAIL: common drain W &lt; "&amp;SG_Criteria!$B$17&amp;" mm. ","")&amp;IF(AND(O154&lt;&gt;"",IFERROR(VALUE(MID(O154,2,2)),0)&lt;SG_Criteria!$B$19),"FAIL: grade below C"&amp;SG_Criteria!$B$19&amp;". ","")&amp;IF(AND(P154&lt;&gt;"",P154&lt;SG_Criteria!$B$20),"FAIL: cover &lt; "&amp;SG_Criteria!$B$20&amp;" mm. ","")&amp;IF(AND(F154="Open",H154&gt;SG_Criteria!$B$18),"NOTE: safety railing required (D &gt; "&amp;SG_Criteria!$B$18&amp;" mm). ","")&amp;IF(AND(E154="Entrance culvert",H154&lt;600),"NOTE: check hinged grating rule for culverts &lt; 600 deep (PUB Add. 3). ","")))</f>
        <v/>
      </c>
      <c r="BF154" s="9"/>
      <c r="BG154" s="9"/>
      <c r="BH154" s="9"/>
      <c r="BI154" s="10" t="str">
        <f aca="false">IF(BH154="","",IFERROR(VLOOKUP(BH154,Projects!$A$5:$D$504,2,0),"Ref not in Projects"))</f>
        <v/>
      </c>
      <c r="BJ154" s="10" t="str">
        <f aca="false">IF(BH154="","",IFERROR(VLOOKUP(BH154,Projects!$A$5:$D$504,4,0),"Ref not in Projects"))</f>
        <v/>
      </c>
      <c r="BK154" s="9"/>
      <c r="BL154" s="9"/>
      <c r="BM154" s="9"/>
      <c r="BN154" s="40"/>
      <c r="BO154" s="9"/>
      <c r="BP154" s="40"/>
      <c r="BQ154" s="9"/>
      <c r="BR154" s="40"/>
      <c r="BS154" s="9"/>
      <c r="BT154" s="9"/>
      <c r="BU154" s="9"/>
      <c r="BV154" s="40"/>
      <c r="BW154" s="40"/>
      <c r="BX154" s="36" t="str">
        <f aca="false">IF(BW154="","",EDATE(BW154,SG_Criteria!$B$54*12))</f>
        <v/>
      </c>
      <c r="BY154" s="33" t="str">
        <f aca="true">IF(A154="","",IF(BW154="","NOTE: not reviewed yet",IF(TODAY()&gt;BX154,"NOTE: review overdue","OK")))</f>
        <v/>
      </c>
      <c r="BZ154" s="37" t="str">
        <f aca="false">IF(A154="","",ROUND((IF(LEN(D154)&gt;0,1,0)+IF(LEN(E154)&gt;0,1,0)+IF(LEN(F154)&gt;0,1,0)+IF(LEN(G154)&gt;0,1,0)+IF(LEN(H154)&gt;0,1,0)+IF(LEN(J154)&gt;0,1,0)+IF(LEN(K154)&gt;0,1,0)+IF(LEN(M154)&gt;0,1,0)+IF(LEN(O154)&gt;0,1,0)+IF(LEN(P154)&gt;0,1,0)+IF(LEN(Q154)&gt;0,1,0)+IF(LEN(S154)&gt;0,1,0)+IF(LEN(AC154)&gt;0,1,0)+IF(LEN(AV154)&gt;0,1,0)+IF(LEN(AW154)&gt;0,1,0)+IF(LEN(AG154)&gt;0,1,0)+IF(LEN(AI154)&gt;0,1,0)+IF(LEN(AJ154)&gt;0,1,0)+IF(LEN(AK154)&gt;0,1,0)+IF(LEN(AL154)&gt;0,1,0)+IF(LEN(AU154)&gt;0,1,0)+IF(LEN(BH154)&gt;0,1,0)+IF(LEN(BU154)&gt;0,1,0))/23,2))</f>
        <v/>
      </c>
      <c r="CA154" s="10" t="str">
        <f aca="false">IF(D154="","",IF(AND(AJ154="Approved",ISERROR(SEARCH("FAIL",BE154))),"Y","N"))</f>
        <v/>
      </c>
      <c r="CB154" s="10" t="str">
        <f aca="false">IF(D154="","",D154&amp;"|"&amp;G154&amp;"|"&amp;H154&amp;"|"&amp;M154&amp;"|"&amp;CA154)</f>
        <v/>
      </c>
    </row>
    <row r="155" customFormat="false" ht="15" hidden="false" customHeight="false" outlineLevel="0" collapsed="false">
      <c r="A155" s="10" t="str">
        <f aca="false">IF(D155="","","DRN-"&amp;IFERROR(VLOOKUP(D155,Lists!$A$4:$B$27,2,0),"??")&amp;"-"&amp;TEXT(G155,"0000")&amp;"x"&amp;TEXT(H155,"0000")&amp;IF(N(I155)&gt;1,"-"&amp;I155&amp;"C","")&amp;"-"&amp;IFERROR(VLOOKUP(M155,Lists!$J$4:$K$19,2,0),"??")&amp;"-"&amp;AI155)</f>
        <v/>
      </c>
      <c r="B155" s="10" t="str">
        <f aca="false">IF(D155="","",D155&amp;" "&amp;G155&amp;"W x "&amp;H155&amp;"D"&amp;IF(N(I155)&gt;1," ("&amp;I155&amp;" cells)","")&amp;", "&amp;E155&amp;", "&amp;M155&amp;", "&amp;F155)</f>
        <v/>
      </c>
      <c r="C155" s="9"/>
      <c r="D155" s="9"/>
      <c r="E155" s="9"/>
      <c r="F155" s="9"/>
      <c r="G155" s="38"/>
      <c r="H155" s="38"/>
      <c r="I155" s="38"/>
      <c r="J155" s="38"/>
      <c r="K155" s="38"/>
      <c r="L155" s="38"/>
      <c r="M155" s="9"/>
      <c r="N155" s="9"/>
      <c r="O155" s="9"/>
      <c r="P155" s="38"/>
      <c r="Q155" s="9"/>
      <c r="R155" s="9"/>
      <c r="S155" s="9"/>
      <c r="T155" s="9"/>
      <c r="U155" s="9"/>
      <c r="V155" s="9"/>
      <c r="W155" s="9"/>
      <c r="X155" s="9"/>
      <c r="Y155" s="9"/>
      <c r="Z155" s="9"/>
      <c r="AA155" s="9"/>
      <c r="AB155" s="39"/>
      <c r="AC155" s="9"/>
      <c r="AD155" s="38"/>
      <c r="AE155" s="9"/>
      <c r="AF155" s="39"/>
      <c r="AG155" s="9"/>
      <c r="AH155" s="9"/>
      <c r="AI155" s="9"/>
      <c r="AJ155" s="9"/>
      <c r="AK155" s="9"/>
      <c r="AL155" s="9"/>
      <c r="AM155" s="9"/>
      <c r="AN155" s="10" t="str">
        <f aca="false">IF(A155="","",SG_Criteria!$B$6&amp;SG_Criteria!$B$7&amp;"\"&amp;A155&amp;"\")</f>
        <v/>
      </c>
      <c r="AO155" s="10" t="str">
        <f aca="false">IF(A155="","",A155&amp;"_CAD.dwg")</f>
        <v/>
      </c>
      <c r="AP155" s="10" t="str">
        <f aca="false">IF(A155="","",A155&amp;"_DWG.pdf")</f>
        <v/>
      </c>
      <c r="AQ155" s="10" t="str">
        <f aca="false">IF(A155="","",IF(AM155="Y",A155&amp;"_STAAD.std","n/a"))</f>
        <v/>
      </c>
      <c r="AR155" s="10" t="str">
        <f aca="false">IF(A155="","",A155&amp;"_CALC.xlsx")</f>
        <v/>
      </c>
      <c r="AS155" s="10" t="str">
        <f aca="false">IF(A155="","",A155&amp;"_CALC.pdf")</f>
        <v/>
      </c>
      <c r="AT155" s="9"/>
      <c r="AU155" s="9"/>
      <c r="AV155" s="39"/>
      <c r="AW155" s="39"/>
      <c r="AX155" s="39"/>
      <c r="AY155" s="39"/>
      <c r="AZ155" s="39"/>
      <c r="BA155" s="12" t="str">
        <f aca="false">IF(A155="","",IF(COUNTIF(Rebar_Schedule!$A$5:$A$2004,A155)=0,"",ROUND(SUMIF(Rebar_Schedule!$A$5:$A$2004,A155,Rebar_Schedule!$K$5:$K$2004),1)))</f>
        <v/>
      </c>
      <c r="BB155" s="33" t="str">
        <f aca="false">IF(A155="","",IF(BA155="","No rebar schedule yet",IF(ABS(BA155-N(AW155))/MAX(N(AW155),1)&gt;SG_Criteria!$B$55,"NOTE: register rebar differs from schedule by "&amp;TEXT(ABS(BA155-N(AW155))/MAX(N(AW155),1),"0%"),"OK")))</f>
        <v/>
      </c>
      <c r="BC155" s="34" t="str">
        <f aca="false">IF(OR(D155="",G155="",H155="",D155="Sump",D155="Drop Inlet Chamber",D155="Silt Trap",D155="Pipe Culvert",D155="Subsoil Drain"),"",ROUND(MAX(1,N(I155))*(1/SG_Criteria!$B$26)*((G155/1000)*(H155/1000*(1-SG_Criteria!$B$25)))*(((G155/1000)*(H155/1000*(1-SG_Criteria!$B$25)))/((G155/1000)+2*(H155/1000*(1-SG_Criteria!$B$25))))^(2/3)*(1/Design_Selector!$B$11)^0.5,3))</f>
        <v/>
      </c>
      <c r="BD155" s="11" t="str">
        <f aca="false">IF(BC155="","",ROUND(BC155/(MAX(1,N(I155))*G155/1000*(H155/1000*(1-SG_Criteria!$B$25))),2))</f>
        <v/>
      </c>
      <c r="BE155" s="33" t="str">
        <f aca="false">IF(D155="","",IF(LEN(IF(AND(OR(E155="Roadside drain",E155="Entrance culvert"),OR(G155&lt;SG_Criteria!$B$15,H155&lt;SG_Criteria!$B$16)),"FAIL: below PUB min "&amp;SG_Criteria!$B$15&amp;"x"&amp;SG_Criteria!$B$16&amp;" for roadside drain. ","")&amp;IF(AND(E155="Common drain",G155&lt;SG_Criteria!$B$17),"FAIL: common drain W &lt; "&amp;SG_Criteria!$B$17&amp;" mm. ","")&amp;IF(AND(O155&lt;&gt;"",IFERROR(VALUE(MID(O155,2,2)),0)&lt;SG_Criteria!$B$19),"FAIL: grade below C"&amp;SG_Criteria!$B$19&amp;". ","")&amp;IF(AND(P155&lt;&gt;"",P155&lt;SG_Criteria!$B$20),"FAIL: cover &lt; "&amp;SG_Criteria!$B$20&amp;" mm. ","")&amp;IF(AND(F155="Open",H155&gt;SG_Criteria!$B$18),"NOTE: safety railing required (D &gt; "&amp;SG_Criteria!$B$18&amp;" mm). ","")&amp;IF(AND(E155="Entrance culvert",H155&lt;600),"NOTE: check hinged grating rule for culverts &lt; 600 deep (PUB Add. 3). ",""))=0,"OK",IF(AND(OR(E155="Roadside drain",E155="Entrance culvert"),OR(G155&lt;SG_Criteria!$B$15,H155&lt;SG_Criteria!$B$16)),"FAIL: below PUB min "&amp;SG_Criteria!$B$15&amp;"x"&amp;SG_Criteria!$B$16&amp;" for roadside drain. ","")&amp;IF(AND(E155="Common drain",G155&lt;SG_Criteria!$B$17),"FAIL: common drain W &lt; "&amp;SG_Criteria!$B$17&amp;" mm. ","")&amp;IF(AND(O155&lt;&gt;"",IFERROR(VALUE(MID(O155,2,2)),0)&lt;SG_Criteria!$B$19),"FAIL: grade below C"&amp;SG_Criteria!$B$19&amp;". ","")&amp;IF(AND(P155&lt;&gt;"",P155&lt;SG_Criteria!$B$20),"FAIL: cover &lt; "&amp;SG_Criteria!$B$20&amp;" mm. ","")&amp;IF(AND(F155="Open",H155&gt;SG_Criteria!$B$18),"NOTE: safety railing required (D &gt; "&amp;SG_Criteria!$B$18&amp;" mm). ","")&amp;IF(AND(E155="Entrance culvert",H155&lt;600),"NOTE: check hinged grating rule for culverts &lt; 600 deep (PUB Add. 3). ","")))</f>
        <v/>
      </c>
      <c r="BF155" s="9"/>
      <c r="BG155" s="9"/>
      <c r="BH155" s="9"/>
      <c r="BI155" s="10" t="str">
        <f aca="false">IF(BH155="","",IFERROR(VLOOKUP(BH155,Projects!$A$5:$D$504,2,0),"Ref not in Projects"))</f>
        <v/>
      </c>
      <c r="BJ155" s="10" t="str">
        <f aca="false">IF(BH155="","",IFERROR(VLOOKUP(BH155,Projects!$A$5:$D$504,4,0),"Ref not in Projects"))</f>
        <v/>
      </c>
      <c r="BK155" s="9"/>
      <c r="BL155" s="9"/>
      <c r="BM155" s="9"/>
      <c r="BN155" s="40"/>
      <c r="BO155" s="9"/>
      <c r="BP155" s="40"/>
      <c r="BQ155" s="9"/>
      <c r="BR155" s="40"/>
      <c r="BS155" s="9"/>
      <c r="BT155" s="9"/>
      <c r="BU155" s="9"/>
      <c r="BV155" s="40"/>
      <c r="BW155" s="40"/>
      <c r="BX155" s="36" t="str">
        <f aca="false">IF(BW155="","",EDATE(BW155,SG_Criteria!$B$54*12))</f>
        <v/>
      </c>
      <c r="BY155" s="33" t="str">
        <f aca="true">IF(A155="","",IF(BW155="","NOTE: not reviewed yet",IF(TODAY()&gt;BX155,"NOTE: review overdue","OK")))</f>
        <v/>
      </c>
      <c r="BZ155" s="37" t="str">
        <f aca="false">IF(A155="","",ROUND((IF(LEN(D155)&gt;0,1,0)+IF(LEN(E155)&gt;0,1,0)+IF(LEN(F155)&gt;0,1,0)+IF(LEN(G155)&gt;0,1,0)+IF(LEN(H155)&gt;0,1,0)+IF(LEN(J155)&gt;0,1,0)+IF(LEN(K155)&gt;0,1,0)+IF(LEN(M155)&gt;0,1,0)+IF(LEN(O155)&gt;0,1,0)+IF(LEN(P155)&gt;0,1,0)+IF(LEN(Q155)&gt;0,1,0)+IF(LEN(S155)&gt;0,1,0)+IF(LEN(AC155)&gt;0,1,0)+IF(LEN(AV155)&gt;0,1,0)+IF(LEN(AW155)&gt;0,1,0)+IF(LEN(AG155)&gt;0,1,0)+IF(LEN(AI155)&gt;0,1,0)+IF(LEN(AJ155)&gt;0,1,0)+IF(LEN(AK155)&gt;0,1,0)+IF(LEN(AL155)&gt;0,1,0)+IF(LEN(AU155)&gt;0,1,0)+IF(LEN(BH155)&gt;0,1,0)+IF(LEN(BU155)&gt;0,1,0))/23,2))</f>
        <v/>
      </c>
      <c r="CA155" s="10" t="str">
        <f aca="false">IF(D155="","",IF(AND(AJ155="Approved",ISERROR(SEARCH("FAIL",BE155))),"Y","N"))</f>
        <v/>
      </c>
      <c r="CB155" s="10" t="str">
        <f aca="false">IF(D155="","",D155&amp;"|"&amp;G155&amp;"|"&amp;H155&amp;"|"&amp;M155&amp;"|"&amp;CA155)</f>
        <v/>
      </c>
    </row>
    <row r="156" customFormat="false" ht="15" hidden="false" customHeight="false" outlineLevel="0" collapsed="false">
      <c r="A156" s="10" t="str">
        <f aca="false">IF(D156="","","DRN-"&amp;IFERROR(VLOOKUP(D156,Lists!$A$4:$B$27,2,0),"??")&amp;"-"&amp;TEXT(G156,"0000")&amp;"x"&amp;TEXT(H156,"0000")&amp;IF(N(I156)&gt;1,"-"&amp;I156&amp;"C","")&amp;"-"&amp;IFERROR(VLOOKUP(M156,Lists!$J$4:$K$19,2,0),"??")&amp;"-"&amp;AI156)</f>
        <v/>
      </c>
      <c r="B156" s="10" t="str">
        <f aca="false">IF(D156="","",D156&amp;" "&amp;G156&amp;"W x "&amp;H156&amp;"D"&amp;IF(N(I156)&gt;1," ("&amp;I156&amp;" cells)","")&amp;", "&amp;E156&amp;", "&amp;M156&amp;", "&amp;F156)</f>
        <v/>
      </c>
      <c r="C156" s="9"/>
      <c r="D156" s="9"/>
      <c r="E156" s="9"/>
      <c r="F156" s="9"/>
      <c r="G156" s="38"/>
      <c r="H156" s="38"/>
      <c r="I156" s="38"/>
      <c r="J156" s="38"/>
      <c r="K156" s="38"/>
      <c r="L156" s="38"/>
      <c r="M156" s="9"/>
      <c r="N156" s="9"/>
      <c r="O156" s="9"/>
      <c r="P156" s="38"/>
      <c r="Q156" s="9"/>
      <c r="R156" s="9"/>
      <c r="S156" s="9"/>
      <c r="T156" s="9"/>
      <c r="U156" s="9"/>
      <c r="V156" s="9"/>
      <c r="W156" s="9"/>
      <c r="X156" s="9"/>
      <c r="Y156" s="9"/>
      <c r="Z156" s="9"/>
      <c r="AA156" s="9"/>
      <c r="AB156" s="39"/>
      <c r="AC156" s="9"/>
      <c r="AD156" s="38"/>
      <c r="AE156" s="9"/>
      <c r="AF156" s="39"/>
      <c r="AG156" s="9"/>
      <c r="AH156" s="9"/>
      <c r="AI156" s="9"/>
      <c r="AJ156" s="9"/>
      <c r="AK156" s="9"/>
      <c r="AL156" s="9"/>
      <c r="AM156" s="9"/>
      <c r="AN156" s="10" t="str">
        <f aca="false">IF(A156="","",SG_Criteria!$B$6&amp;SG_Criteria!$B$7&amp;"\"&amp;A156&amp;"\")</f>
        <v/>
      </c>
      <c r="AO156" s="10" t="str">
        <f aca="false">IF(A156="","",A156&amp;"_CAD.dwg")</f>
        <v/>
      </c>
      <c r="AP156" s="10" t="str">
        <f aca="false">IF(A156="","",A156&amp;"_DWG.pdf")</f>
        <v/>
      </c>
      <c r="AQ156" s="10" t="str">
        <f aca="false">IF(A156="","",IF(AM156="Y",A156&amp;"_STAAD.std","n/a"))</f>
        <v/>
      </c>
      <c r="AR156" s="10" t="str">
        <f aca="false">IF(A156="","",A156&amp;"_CALC.xlsx")</f>
        <v/>
      </c>
      <c r="AS156" s="10" t="str">
        <f aca="false">IF(A156="","",A156&amp;"_CALC.pdf")</f>
        <v/>
      </c>
      <c r="AT156" s="9"/>
      <c r="AU156" s="9"/>
      <c r="AV156" s="39"/>
      <c r="AW156" s="39"/>
      <c r="AX156" s="39"/>
      <c r="AY156" s="39"/>
      <c r="AZ156" s="39"/>
      <c r="BA156" s="12" t="str">
        <f aca="false">IF(A156="","",IF(COUNTIF(Rebar_Schedule!$A$5:$A$2004,A156)=0,"",ROUND(SUMIF(Rebar_Schedule!$A$5:$A$2004,A156,Rebar_Schedule!$K$5:$K$2004),1)))</f>
        <v/>
      </c>
      <c r="BB156" s="33" t="str">
        <f aca="false">IF(A156="","",IF(BA156="","No rebar schedule yet",IF(ABS(BA156-N(AW156))/MAX(N(AW156),1)&gt;SG_Criteria!$B$55,"NOTE: register rebar differs from schedule by "&amp;TEXT(ABS(BA156-N(AW156))/MAX(N(AW156),1),"0%"),"OK")))</f>
        <v/>
      </c>
      <c r="BC156" s="34" t="str">
        <f aca="false">IF(OR(D156="",G156="",H156="",D156="Sump",D156="Drop Inlet Chamber",D156="Silt Trap",D156="Pipe Culvert",D156="Subsoil Drain"),"",ROUND(MAX(1,N(I156))*(1/SG_Criteria!$B$26)*((G156/1000)*(H156/1000*(1-SG_Criteria!$B$25)))*(((G156/1000)*(H156/1000*(1-SG_Criteria!$B$25)))/((G156/1000)+2*(H156/1000*(1-SG_Criteria!$B$25))))^(2/3)*(1/Design_Selector!$B$11)^0.5,3))</f>
        <v/>
      </c>
      <c r="BD156" s="11" t="str">
        <f aca="false">IF(BC156="","",ROUND(BC156/(MAX(1,N(I156))*G156/1000*(H156/1000*(1-SG_Criteria!$B$25))),2))</f>
        <v/>
      </c>
      <c r="BE156" s="33" t="str">
        <f aca="false">IF(D156="","",IF(LEN(IF(AND(OR(E156="Roadside drain",E156="Entrance culvert"),OR(G156&lt;SG_Criteria!$B$15,H156&lt;SG_Criteria!$B$16)),"FAIL: below PUB min "&amp;SG_Criteria!$B$15&amp;"x"&amp;SG_Criteria!$B$16&amp;" for roadside drain. ","")&amp;IF(AND(E156="Common drain",G156&lt;SG_Criteria!$B$17),"FAIL: common drain W &lt; "&amp;SG_Criteria!$B$17&amp;" mm. ","")&amp;IF(AND(O156&lt;&gt;"",IFERROR(VALUE(MID(O156,2,2)),0)&lt;SG_Criteria!$B$19),"FAIL: grade below C"&amp;SG_Criteria!$B$19&amp;". ","")&amp;IF(AND(P156&lt;&gt;"",P156&lt;SG_Criteria!$B$20),"FAIL: cover &lt; "&amp;SG_Criteria!$B$20&amp;" mm. ","")&amp;IF(AND(F156="Open",H156&gt;SG_Criteria!$B$18),"NOTE: safety railing required (D &gt; "&amp;SG_Criteria!$B$18&amp;" mm). ","")&amp;IF(AND(E156="Entrance culvert",H156&lt;600),"NOTE: check hinged grating rule for culverts &lt; 600 deep (PUB Add. 3). ",""))=0,"OK",IF(AND(OR(E156="Roadside drain",E156="Entrance culvert"),OR(G156&lt;SG_Criteria!$B$15,H156&lt;SG_Criteria!$B$16)),"FAIL: below PUB min "&amp;SG_Criteria!$B$15&amp;"x"&amp;SG_Criteria!$B$16&amp;" for roadside drain. ","")&amp;IF(AND(E156="Common drain",G156&lt;SG_Criteria!$B$17),"FAIL: common drain W &lt; "&amp;SG_Criteria!$B$17&amp;" mm. ","")&amp;IF(AND(O156&lt;&gt;"",IFERROR(VALUE(MID(O156,2,2)),0)&lt;SG_Criteria!$B$19),"FAIL: grade below C"&amp;SG_Criteria!$B$19&amp;". ","")&amp;IF(AND(P156&lt;&gt;"",P156&lt;SG_Criteria!$B$20),"FAIL: cover &lt; "&amp;SG_Criteria!$B$20&amp;" mm. ","")&amp;IF(AND(F156="Open",H156&gt;SG_Criteria!$B$18),"NOTE: safety railing required (D &gt; "&amp;SG_Criteria!$B$18&amp;" mm). ","")&amp;IF(AND(E156="Entrance culvert",H156&lt;600),"NOTE: check hinged grating rule for culverts &lt; 600 deep (PUB Add. 3). ","")))</f>
        <v/>
      </c>
      <c r="BF156" s="9"/>
      <c r="BG156" s="9"/>
      <c r="BH156" s="9"/>
      <c r="BI156" s="10" t="str">
        <f aca="false">IF(BH156="","",IFERROR(VLOOKUP(BH156,Projects!$A$5:$D$504,2,0),"Ref not in Projects"))</f>
        <v/>
      </c>
      <c r="BJ156" s="10" t="str">
        <f aca="false">IF(BH156="","",IFERROR(VLOOKUP(BH156,Projects!$A$5:$D$504,4,0),"Ref not in Projects"))</f>
        <v/>
      </c>
      <c r="BK156" s="9"/>
      <c r="BL156" s="9"/>
      <c r="BM156" s="9"/>
      <c r="BN156" s="40"/>
      <c r="BO156" s="9"/>
      <c r="BP156" s="40"/>
      <c r="BQ156" s="9"/>
      <c r="BR156" s="40"/>
      <c r="BS156" s="9"/>
      <c r="BT156" s="9"/>
      <c r="BU156" s="9"/>
      <c r="BV156" s="40"/>
      <c r="BW156" s="40"/>
      <c r="BX156" s="36" t="str">
        <f aca="false">IF(BW156="","",EDATE(BW156,SG_Criteria!$B$54*12))</f>
        <v/>
      </c>
      <c r="BY156" s="33" t="str">
        <f aca="true">IF(A156="","",IF(BW156="","NOTE: not reviewed yet",IF(TODAY()&gt;BX156,"NOTE: review overdue","OK")))</f>
        <v/>
      </c>
      <c r="BZ156" s="37" t="str">
        <f aca="false">IF(A156="","",ROUND((IF(LEN(D156)&gt;0,1,0)+IF(LEN(E156)&gt;0,1,0)+IF(LEN(F156)&gt;0,1,0)+IF(LEN(G156)&gt;0,1,0)+IF(LEN(H156)&gt;0,1,0)+IF(LEN(J156)&gt;0,1,0)+IF(LEN(K156)&gt;0,1,0)+IF(LEN(M156)&gt;0,1,0)+IF(LEN(O156)&gt;0,1,0)+IF(LEN(P156)&gt;0,1,0)+IF(LEN(Q156)&gt;0,1,0)+IF(LEN(S156)&gt;0,1,0)+IF(LEN(AC156)&gt;0,1,0)+IF(LEN(AV156)&gt;0,1,0)+IF(LEN(AW156)&gt;0,1,0)+IF(LEN(AG156)&gt;0,1,0)+IF(LEN(AI156)&gt;0,1,0)+IF(LEN(AJ156)&gt;0,1,0)+IF(LEN(AK156)&gt;0,1,0)+IF(LEN(AL156)&gt;0,1,0)+IF(LEN(AU156)&gt;0,1,0)+IF(LEN(BH156)&gt;0,1,0)+IF(LEN(BU156)&gt;0,1,0))/23,2))</f>
        <v/>
      </c>
      <c r="CA156" s="10" t="str">
        <f aca="false">IF(D156="","",IF(AND(AJ156="Approved",ISERROR(SEARCH("FAIL",BE156))),"Y","N"))</f>
        <v/>
      </c>
      <c r="CB156" s="10" t="str">
        <f aca="false">IF(D156="","",D156&amp;"|"&amp;G156&amp;"|"&amp;H156&amp;"|"&amp;M156&amp;"|"&amp;CA156)</f>
        <v/>
      </c>
    </row>
    <row r="157" customFormat="false" ht="15" hidden="false" customHeight="false" outlineLevel="0" collapsed="false">
      <c r="A157" s="10" t="str">
        <f aca="false">IF(D157="","","DRN-"&amp;IFERROR(VLOOKUP(D157,Lists!$A$4:$B$27,2,0),"??")&amp;"-"&amp;TEXT(G157,"0000")&amp;"x"&amp;TEXT(H157,"0000")&amp;IF(N(I157)&gt;1,"-"&amp;I157&amp;"C","")&amp;"-"&amp;IFERROR(VLOOKUP(M157,Lists!$J$4:$K$19,2,0),"??")&amp;"-"&amp;AI157)</f>
        <v/>
      </c>
      <c r="B157" s="10" t="str">
        <f aca="false">IF(D157="","",D157&amp;" "&amp;G157&amp;"W x "&amp;H157&amp;"D"&amp;IF(N(I157)&gt;1," ("&amp;I157&amp;" cells)","")&amp;", "&amp;E157&amp;", "&amp;M157&amp;", "&amp;F157)</f>
        <v/>
      </c>
      <c r="C157" s="9"/>
      <c r="D157" s="9"/>
      <c r="E157" s="9"/>
      <c r="F157" s="9"/>
      <c r="G157" s="38"/>
      <c r="H157" s="38"/>
      <c r="I157" s="38"/>
      <c r="J157" s="38"/>
      <c r="K157" s="38"/>
      <c r="L157" s="38"/>
      <c r="M157" s="9"/>
      <c r="N157" s="9"/>
      <c r="O157" s="9"/>
      <c r="P157" s="38"/>
      <c r="Q157" s="9"/>
      <c r="R157" s="9"/>
      <c r="S157" s="9"/>
      <c r="T157" s="9"/>
      <c r="U157" s="9"/>
      <c r="V157" s="9"/>
      <c r="W157" s="9"/>
      <c r="X157" s="9"/>
      <c r="Y157" s="9"/>
      <c r="Z157" s="9"/>
      <c r="AA157" s="9"/>
      <c r="AB157" s="39"/>
      <c r="AC157" s="9"/>
      <c r="AD157" s="38"/>
      <c r="AE157" s="9"/>
      <c r="AF157" s="39"/>
      <c r="AG157" s="9"/>
      <c r="AH157" s="9"/>
      <c r="AI157" s="9"/>
      <c r="AJ157" s="9"/>
      <c r="AK157" s="9"/>
      <c r="AL157" s="9"/>
      <c r="AM157" s="9"/>
      <c r="AN157" s="10" t="str">
        <f aca="false">IF(A157="","",SG_Criteria!$B$6&amp;SG_Criteria!$B$7&amp;"\"&amp;A157&amp;"\")</f>
        <v/>
      </c>
      <c r="AO157" s="10" t="str">
        <f aca="false">IF(A157="","",A157&amp;"_CAD.dwg")</f>
        <v/>
      </c>
      <c r="AP157" s="10" t="str">
        <f aca="false">IF(A157="","",A157&amp;"_DWG.pdf")</f>
        <v/>
      </c>
      <c r="AQ157" s="10" t="str">
        <f aca="false">IF(A157="","",IF(AM157="Y",A157&amp;"_STAAD.std","n/a"))</f>
        <v/>
      </c>
      <c r="AR157" s="10" t="str">
        <f aca="false">IF(A157="","",A157&amp;"_CALC.xlsx")</f>
        <v/>
      </c>
      <c r="AS157" s="10" t="str">
        <f aca="false">IF(A157="","",A157&amp;"_CALC.pdf")</f>
        <v/>
      </c>
      <c r="AT157" s="9"/>
      <c r="AU157" s="9"/>
      <c r="AV157" s="39"/>
      <c r="AW157" s="39"/>
      <c r="AX157" s="39"/>
      <c r="AY157" s="39"/>
      <c r="AZ157" s="39"/>
      <c r="BA157" s="12" t="str">
        <f aca="false">IF(A157="","",IF(COUNTIF(Rebar_Schedule!$A$5:$A$2004,A157)=0,"",ROUND(SUMIF(Rebar_Schedule!$A$5:$A$2004,A157,Rebar_Schedule!$K$5:$K$2004),1)))</f>
        <v/>
      </c>
      <c r="BB157" s="33" t="str">
        <f aca="false">IF(A157="","",IF(BA157="","No rebar schedule yet",IF(ABS(BA157-N(AW157))/MAX(N(AW157),1)&gt;SG_Criteria!$B$55,"NOTE: register rebar differs from schedule by "&amp;TEXT(ABS(BA157-N(AW157))/MAX(N(AW157),1),"0%"),"OK")))</f>
        <v/>
      </c>
      <c r="BC157" s="34" t="str">
        <f aca="false">IF(OR(D157="",G157="",H157="",D157="Sump",D157="Drop Inlet Chamber",D157="Silt Trap",D157="Pipe Culvert",D157="Subsoil Drain"),"",ROUND(MAX(1,N(I157))*(1/SG_Criteria!$B$26)*((G157/1000)*(H157/1000*(1-SG_Criteria!$B$25)))*(((G157/1000)*(H157/1000*(1-SG_Criteria!$B$25)))/((G157/1000)+2*(H157/1000*(1-SG_Criteria!$B$25))))^(2/3)*(1/Design_Selector!$B$11)^0.5,3))</f>
        <v/>
      </c>
      <c r="BD157" s="11" t="str">
        <f aca="false">IF(BC157="","",ROUND(BC157/(MAX(1,N(I157))*G157/1000*(H157/1000*(1-SG_Criteria!$B$25))),2))</f>
        <v/>
      </c>
      <c r="BE157" s="33" t="str">
        <f aca="false">IF(D157="","",IF(LEN(IF(AND(OR(E157="Roadside drain",E157="Entrance culvert"),OR(G157&lt;SG_Criteria!$B$15,H157&lt;SG_Criteria!$B$16)),"FAIL: below PUB min "&amp;SG_Criteria!$B$15&amp;"x"&amp;SG_Criteria!$B$16&amp;" for roadside drain. ","")&amp;IF(AND(E157="Common drain",G157&lt;SG_Criteria!$B$17),"FAIL: common drain W &lt; "&amp;SG_Criteria!$B$17&amp;" mm. ","")&amp;IF(AND(O157&lt;&gt;"",IFERROR(VALUE(MID(O157,2,2)),0)&lt;SG_Criteria!$B$19),"FAIL: grade below C"&amp;SG_Criteria!$B$19&amp;". ","")&amp;IF(AND(P157&lt;&gt;"",P157&lt;SG_Criteria!$B$20),"FAIL: cover &lt; "&amp;SG_Criteria!$B$20&amp;" mm. ","")&amp;IF(AND(F157="Open",H157&gt;SG_Criteria!$B$18),"NOTE: safety railing required (D &gt; "&amp;SG_Criteria!$B$18&amp;" mm). ","")&amp;IF(AND(E157="Entrance culvert",H157&lt;600),"NOTE: check hinged grating rule for culverts &lt; 600 deep (PUB Add. 3). ",""))=0,"OK",IF(AND(OR(E157="Roadside drain",E157="Entrance culvert"),OR(G157&lt;SG_Criteria!$B$15,H157&lt;SG_Criteria!$B$16)),"FAIL: below PUB min "&amp;SG_Criteria!$B$15&amp;"x"&amp;SG_Criteria!$B$16&amp;" for roadside drain. ","")&amp;IF(AND(E157="Common drain",G157&lt;SG_Criteria!$B$17),"FAIL: common drain W &lt; "&amp;SG_Criteria!$B$17&amp;" mm. ","")&amp;IF(AND(O157&lt;&gt;"",IFERROR(VALUE(MID(O157,2,2)),0)&lt;SG_Criteria!$B$19),"FAIL: grade below C"&amp;SG_Criteria!$B$19&amp;". ","")&amp;IF(AND(P157&lt;&gt;"",P157&lt;SG_Criteria!$B$20),"FAIL: cover &lt; "&amp;SG_Criteria!$B$20&amp;" mm. ","")&amp;IF(AND(F157="Open",H157&gt;SG_Criteria!$B$18),"NOTE: safety railing required (D &gt; "&amp;SG_Criteria!$B$18&amp;" mm). ","")&amp;IF(AND(E157="Entrance culvert",H157&lt;600),"NOTE: check hinged grating rule for culverts &lt; 600 deep (PUB Add. 3). ","")))</f>
        <v/>
      </c>
      <c r="BF157" s="9"/>
      <c r="BG157" s="9"/>
      <c r="BH157" s="9"/>
      <c r="BI157" s="10" t="str">
        <f aca="false">IF(BH157="","",IFERROR(VLOOKUP(BH157,Projects!$A$5:$D$504,2,0),"Ref not in Projects"))</f>
        <v/>
      </c>
      <c r="BJ157" s="10" t="str">
        <f aca="false">IF(BH157="","",IFERROR(VLOOKUP(BH157,Projects!$A$5:$D$504,4,0),"Ref not in Projects"))</f>
        <v/>
      </c>
      <c r="BK157" s="9"/>
      <c r="BL157" s="9"/>
      <c r="BM157" s="9"/>
      <c r="BN157" s="40"/>
      <c r="BO157" s="9"/>
      <c r="BP157" s="40"/>
      <c r="BQ157" s="9"/>
      <c r="BR157" s="40"/>
      <c r="BS157" s="9"/>
      <c r="BT157" s="9"/>
      <c r="BU157" s="9"/>
      <c r="BV157" s="40"/>
      <c r="BW157" s="40"/>
      <c r="BX157" s="36" t="str">
        <f aca="false">IF(BW157="","",EDATE(BW157,SG_Criteria!$B$54*12))</f>
        <v/>
      </c>
      <c r="BY157" s="33" t="str">
        <f aca="true">IF(A157="","",IF(BW157="","NOTE: not reviewed yet",IF(TODAY()&gt;BX157,"NOTE: review overdue","OK")))</f>
        <v/>
      </c>
      <c r="BZ157" s="37" t="str">
        <f aca="false">IF(A157="","",ROUND((IF(LEN(D157)&gt;0,1,0)+IF(LEN(E157)&gt;0,1,0)+IF(LEN(F157)&gt;0,1,0)+IF(LEN(G157)&gt;0,1,0)+IF(LEN(H157)&gt;0,1,0)+IF(LEN(J157)&gt;0,1,0)+IF(LEN(K157)&gt;0,1,0)+IF(LEN(M157)&gt;0,1,0)+IF(LEN(O157)&gt;0,1,0)+IF(LEN(P157)&gt;0,1,0)+IF(LEN(Q157)&gt;0,1,0)+IF(LEN(S157)&gt;0,1,0)+IF(LEN(AC157)&gt;0,1,0)+IF(LEN(AV157)&gt;0,1,0)+IF(LEN(AW157)&gt;0,1,0)+IF(LEN(AG157)&gt;0,1,0)+IF(LEN(AI157)&gt;0,1,0)+IF(LEN(AJ157)&gt;0,1,0)+IF(LEN(AK157)&gt;0,1,0)+IF(LEN(AL157)&gt;0,1,0)+IF(LEN(AU157)&gt;0,1,0)+IF(LEN(BH157)&gt;0,1,0)+IF(LEN(BU157)&gt;0,1,0))/23,2))</f>
        <v/>
      </c>
      <c r="CA157" s="10" t="str">
        <f aca="false">IF(D157="","",IF(AND(AJ157="Approved",ISERROR(SEARCH("FAIL",BE157))),"Y","N"))</f>
        <v/>
      </c>
      <c r="CB157" s="10" t="str">
        <f aca="false">IF(D157="","",D157&amp;"|"&amp;G157&amp;"|"&amp;H157&amp;"|"&amp;M157&amp;"|"&amp;CA157)</f>
        <v/>
      </c>
    </row>
    <row r="158" customFormat="false" ht="15" hidden="false" customHeight="false" outlineLevel="0" collapsed="false">
      <c r="A158" s="10" t="str">
        <f aca="false">IF(D158="","","DRN-"&amp;IFERROR(VLOOKUP(D158,Lists!$A$4:$B$27,2,0),"??")&amp;"-"&amp;TEXT(G158,"0000")&amp;"x"&amp;TEXT(H158,"0000")&amp;IF(N(I158)&gt;1,"-"&amp;I158&amp;"C","")&amp;"-"&amp;IFERROR(VLOOKUP(M158,Lists!$J$4:$K$19,2,0),"??")&amp;"-"&amp;AI158)</f>
        <v/>
      </c>
      <c r="B158" s="10" t="str">
        <f aca="false">IF(D158="","",D158&amp;" "&amp;G158&amp;"W x "&amp;H158&amp;"D"&amp;IF(N(I158)&gt;1," ("&amp;I158&amp;" cells)","")&amp;", "&amp;E158&amp;", "&amp;M158&amp;", "&amp;F158)</f>
        <v/>
      </c>
      <c r="C158" s="9"/>
      <c r="D158" s="9"/>
      <c r="E158" s="9"/>
      <c r="F158" s="9"/>
      <c r="G158" s="38"/>
      <c r="H158" s="38"/>
      <c r="I158" s="38"/>
      <c r="J158" s="38"/>
      <c r="K158" s="38"/>
      <c r="L158" s="38"/>
      <c r="M158" s="9"/>
      <c r="N158" s="9"/>
      <c r="O158" s="9"/>
      <c r="P158" s="38"/>
      <c r="Q158" s="9"/>
      <c r="R158" s="9"/>
      <c r="S158" s="9"/>
      <c r="T158" s="9"/>
      <c r="U158" s="9"/>
      <c r="V158" s="9"/>
      <c r="W158" s="9"/>
      <c r="X158" s="9"/>
      <c r="Y158" s="9"/>
      <c r="Z158" s="9"/>
      <c r="AA158" s="9"/>
      <c r="AB158" s="39"/>
      <c r="AC158" s="9"/>
      <c r="AD158" s="38"/>
      <c r="AE158" s="9"/>
      <c r="AF158" s="39"/>
      <c r="AG158" s="9"/>
      <c r="AH158" s="9"/>
      <c r="AI158" s="9"/>
      <c r="AJ158" s="9"/>
      <c r="AK158" s="9"/>
      <c r="AL158" s="9"/>
      <c r="AM158" s="9"/>
      <c r="AN158" s="10" t="str">
        <f aca="false">IF(A158="","",SG_Criteria!$B$6&amp;SG_Criteria!$B$7&amp;"\"&amp;A158&amp;"\")</f>
        <v/>
      </c>
      <c r="AO158" s="10" t="str">
        <f aca="false">IF(A158="","",A158&amp;"_CAD.dwg")</f>
        <v/>
      </c>
      <c r="AP158" s="10" t="str">
        <f aca="false">IF(A158="","",A158&amp;"_DWG.pdf")</f>
        <v/>
      </c>
      <c r="AQ158" s="10" t="str">
        <f aca="false">IF(A158="","",IF(AM158="Y",A158&amp;"_STAAD.std","n/a"))</f>
        <v/>
      </c>
      <c r="AR158" s="10" t="str">
        <f aca="false">IF(A158="","",A158&amp;"_CALC.xlsx")</f>
        <v/>
      </c>
      <c r="AS158" s="10" t="str">
        <f aca="false">IF(A158="","",A158&amp;"_CALC.pdf")</f>
        <v/>
      </c>
      <c r="AT158" s="9"/>
      <c r="AU158" s="9"/>
      <c r="AV158" s="39"/>
      <c r="AW158" s="39"/>
      <c r="AX158" s="39"/>
      <c r="AY158" s="39"/>
      <c r="AZ158" s="39"/>
      <c r="BA158" s="12" t="str">
        <f aca="false">IF(A158="","",IF(COUNTIF(Rebar_Schedule!$A$5:$A$2004,A158)=0,"",ROUND(SUMIF(Rebar_Schedule!$A$5:$A$2004,A158,Rebar_Schedule!$K$5:$K$2004),1)))</f>
        <v/>
      </c>
      <c r="BB158" s="33" t="str">
        <f aca="false">IF(A158="","",IF(BA158="","No rebar schedule yet",IF(ABS(BA158-N(AW158))/MAX(N(AW158),1)&gt;SG_Criteria!$B$55,"NOTE: register rebar differs from schedule by "&amp;TEXT(ABS(BA158-N(AW158))/MAX(N(AW158),1),"0%"),"OK")))</f>
        <v/>
      </c>
      <c r="BC158" s="34" t="str">
        <f aca="false">IF(OR(D158="",G158="",H158="",D158="Sump",D158="Drop Inlet Chamber",D158="Silt Trap",D158="Pipe Culvert",D158="Subsoil Drain"),"",ROUND(MAX(1,N(I158))*(1/SG_Criteria!$B$26)*((G158/1000)*(H158/1000*(1-SG_Criteria!$B$25)))*(((G158/1000)*(H158/1000*(1-SG_Criteria!$B$25)))/((G158/1000)+2*(H158/1000*(1-SG_Criteria!$B$25))))^(2/3)*(1/Design_Selector!$B$11)^0.5,3))</f>
        <v/>
      </c>
      <c r="BD158" s="11" t="str">
        <f aca="false">IF(BC158="","",ROUND(BC158/(MAX(1,N(I158))*G158/1000*(H158/1000*(1-SG_Criteria!$B$25))),2))</f>
        <v/>
      </c>
      <c r="BE158" s="33" t="str">
        <f aca="false">IF(D158="","",IF(LEN(IF(AND(OR(E158="Roadside drain",E158="Entrance culvert"),OR(G158&lt;SG_Criteria!$B$15,H158&lt;SG_Criteria!$B$16)),"FAIL: below PUB min "&amp;SG_Criteria!$B$15&amp;"x"&amp;SG_Criteria!$B$16&amp;" for roadside drain. ","")&amp;IF(AND(E158="Common drain",G158&lt;SG_Criteria!$B$17),"FAIL: common drain W &lt; "&amp;SG_Criteria!$B$17&amp;" mm. ","")&amp;IF(AND(O158&lt;&gt;"",IFERROR(VALUE(MID(O158,2,2)),0)&lt;SG_Criteria!$B$19),"FAIL: grade below C"&amp;SG_Criteria!$B$19&amp;". ","")&amp;IF(AND(P158&lt;&gt;"",P158&lt;SG_Criteria!$B$20),"FAIL: cover &lt; "&amp;SG_Criteria!$B$20&amp;" mm. ","")&amp;IF(AND(F158="Open",H158&gt;SG_Criteria!$B$18),"NOTE: safety railing required (D &gt; "&amp;SG_Criteria!$B$18&amp;" mm). ","")&amp;IF(AND(E158="Entrance culvert",H158&lt;600),"NOTE: check hinged grating rule for culverts &lt; 600 deep (PUB Add. 3). ",""))=0,"OK",IF(AND(OR(E158="Roadside drain",E158="Entrance culvert"),OR(G158&lt;SG_Criteria!$B$15,H158&lt;SG_Criteria!$B$16)),"FAIL: below PUB min "&amp;SG_Criteria!$B$15&amp;"x"&amp;SG_Criteria!$B$16&amp;" for roadside drain. ","")&amp;IF(AND(E158="Common drain",G158&lt;SG_Criteria!$B$17),"FAIL: common drain W &lt; "&amp;SG_Criteria!$B$17&amp;" mm. ","")&amp;IF(AND(O158&lt;&gt;"",IFERROR(VALUE(MID(O158,2,2)),0)&lt;SG_Criteria!$B$19),"FAIL: grade below C"&amp;SG_Criteria!$B$19&amp;". ","")&amp;IF(AND(P158&lt;&gt;"",P158&lt;SG_Criteria!$B$20),"FAIL: cover &lt; "&amp;SG_Criteria!$B$20&amp;" mm. ","")&amp;IF(AND(F158="Open",H158&gt;SG_Criteria!$B$18),"NOTE: safety railing required (D &gt; "&amp;SG_Criteria!$B$18&amp;" mm). ","")&amp;IF(AND(E158="Entrance culvert",H158&lt;600),"NOTE: check hinged grating rule for culverts &lt; 600 deep (PUB Add. 3). ","")))</f>
        <v/>
      </c>
      <c r="BF158" s="9"/>
      <c r="BG158" s="9"/>
      <c r="BH158" s="9"/>
      <c r="BI158" s="10" t="str">
        <f aca="false">IF(BH158="","",IFERROR(VLOOKUP(BH158,Projects!$A$5:$D$504,2,0),"Ref not in Projects"))</f>
        <v/>
      </c>
      <c r="BJ158" s="10" t="str">
        <f aca="false">IF(BH158="","",IFERROR(VLOOKUP(BH158,Projects!$A$5:$D$504,4,0),"Ref not in Projects"))</f>
        <v/>
      </c>
      <c r="BK158" s="9"/>
      <c r="BL158" s="9"/>
      <c r="BM158" s="9"/>
      <c r="BN158" s="40"/>
      <c r="BO158" s="9"/>
      <c r="BP158" s="40"/>
      <c r="BQ158" s="9"/>
      <c r="BR158" s="40"/>
      <c r="BS158" s="9"/>
      <c r="BT158" s="9"/>
      <c r="BU158" s="9"/>
      <c r="BV158" s="40"/>
      <c r="BW158" s="40"/>
      <c r="BX158" s="36" t="str">
        <f aca="false">IF(BW158="","",EDATE(BW158,SG_Criteria!$B$54*12))</f>
        <v/>
      </c>
      <c r="BY158" s="33" t="str">
        <f aca="true">IF(A158="","",IF(BW158="","NOTE: not reviewed yet",IF(TODAY()&gt;BX158,"NOTE: review overdue","OK")))</f>
        <v/>
      </c>
      <c r="BZ158" s="37" t="str">
        <f aca="false">IF(A158="","",ROUND((IF(LEN(D158)&gt;0,1,0)+IF(LEN(E158)&gt;0,1,0)+IF(LEN(F158)&gt;0,1,0)+IF(LEN(G158)&gt;0,1,0)+IF(LEN(H158)&gt;0,1,0)+IF(LEN(J158)&gt;0,1,0)+IF(LEN(K158)&gt;0,1,0)+IF(LEN(M158)&gt;0,1,0)+IF(LEN(O158)&gt;0,1,0)+IF(LEN(P158)&gt;0,1,0)+IF(LEN(Q158)&gt;0,1,0)+IF(LEN(S158)&gt;0,1,0)+IF(LEN(AC158)&gt;0,1,0)+IF(LEN(AV158)&gt;0,1,0)+IF(LEN(AW158)&gt;0,1,0)+IF(LEN(AG158)&gt;0,1,0)+IF(LEN(AI158)&gt;0,1,0)+IF(LEN(AJ158)&gt;0,1,0)+IF(LEN(AK158)&gt;0,1,0)+IF(LEN(AL158)&gt;0,1,0)+IF(LEN(AU158)&gt;0,1,0)+IF(LEN(BH158)&gt;0,1,0)+IF(LEN(BU158)&gt;0,1,0))/23,2))</f>
        <v/>
      </c>
      <c r="CA158" s="10" t="str">
        <f aca="false">IF(D158="","",IF(AND(AJ158="Approved",ISERROR(SEARCH("FAIL",BE158))),"Y","N"))</f>
        <v/>
      </c>
      <c r="CB158" s="10" t="str">
        <f aca="false">IF(D158="","",D158&amp;"|"&amp;G158&amp;"|"&amp;H158&amp;"|"&amp;M158&amp;"|"&amp;CA158)</f>
        <v/>
      </c>
    </row>
    <row r="159" customFormat="false" ht="15" hidden="false" customHeight="false" outlineLevel="0" collapsed="false">
      <c r="A159" s="10" t="str">
        <f aca="false">IF(D159="","","DRN-"&amp;IFERROR(VLOOKUP(D159,Lists!$A$4:$B$27,2,0),"??")&amp;"-"&amp;TEXT(G159,"0000")&amp;"x"&amp;TEXT(H159,"0000")&amp;IF(N(I159)&gt;1,"-"&amp;I159&amp;"C","")&amp;"-"&amp;IFERROR(VLOOKUP(M159,Lists!$J$4:$K$19,2,0),"??")&amp;"-"&amp;AI159)</f>
        <v/>
      </c>
      <c r="B159" s="10" t="str">
        <f aca="false">IF(D159="","",D159&amp;" "&amp;G159&amp;"W x "&amp;H159&amp;"D"&amp;IF(N(I159)&gt;1," ("&amp;I159&amp;" cells)","")&amp;", "&amp;E159&amp;", "&amp;M159&amp;", "&amp;F159)</f>
        <v/>
      </c>
      <c r="C159" s="9"/>
      <c r="D159" s="9"/>
      <c r="E159" s="9"/>
      <c r="F159" s="9"/>
      <c r="G159" s="38"/>
      <c r="H159" s="38"/>
      <c r="I159" s="38"/>
      <c r="J159" s="38"/>
      <c r="K159" s="38"/>
      <c r="L159" s="38"/>
      <c r="M159" s="9"/>
      <c r="N159" s="9"/>
      <c r="O159" s="9"/>
      <c r="P159" s="38"/>
      <c r="Q159" s="9"/>
      <c r="R159" s="9"/>
      <c r="S159" s="9"/>
      <c r="T159" s="9"/>
      <c r="U159" s="9"/>
      <c r="V159" s="9"/>
      <c r="W159" s="9"/>
      <c r="X159" s="9"/>
      <c r="Y159" s="9"/>
      <c r="Z159" s="9"/>
      <c r="AA159" s="9"/>
      <c r="AB159" s="39"/>
      <c r="AC159" s="9"/>
      <c r="AD159" s="38"/>
      <c r="AE159" s="9"/>
      <c r="AF159" s="39"/>
      <c r="AG159" s="9"/>
      <c r="AH159" s="9"/>
      <c r="AI159" s="9"/>
      <c r="AJ159" s="9"/>
      <c r="AK159" s="9"/>
      <c r="AL159" s="9"/>
      <c r="AM159" s="9"/>
      <c r="AN159" s="10" t="str">
        <f aca="false">IF(A159="","",SG_Criteria!$B$6&amp;SG_Criteria!$B$7&amp;"\"&amp;A159&amp;"\")</f>
        <v/>
      </c>
      <c r="AO159" s="10" t="str">
        <f aca="false">IF(A159="","",A159&amp;"_CAD.dwg")</f>
        <v/>
      </c>
      <c r="AP159" s="10" t="str">
        <f aca="false">IF(A159="","",A159&amp;"_DWG.pdf")</f>
        <v/>
      </c>
      <c r="AQ159" s="10" t="str">
        <f aca="false">IF(A159="","",IF(AM159="Y",A159&amp;"_STAAD.std","n/a"))</f>
        <v/>
      </c>
      <c r="AR159" s="10" t="str">
        <f aca="false">IF(A159="","",A159&amp;"_CALC.xlsx")</f>
        <v/>
      </c>
      <c r="AS159" s="10" t="str">
        <f aca="false">IF(A159="","",A159&amp;"_CALC.pdf")</f>
        <v/>
      </c>
      <c r="AT159" s="9"/>
      <c r="AU159" s="9"/>
      <c r="AV159" s="39"/>
      <c r="AW159" s="39"/>
      <c r="AX159" s="39"/>
      <c r="AY159" s="39"/>
      <c r="AZ159" s="39"/>
      <c r="BA159" s="12" t="str">
        <f aca="false">IF(A159="","",IF(COUNTIF(Rebar_Schedule!$A$5:$A$2004,A159)=0,"",ROUND(SUMIF(Rebar_Schedule!$A$5:$A$2004,A159,Rebar_Schedule!$K$5:$K$2004),1)))</f>
        <v/>
      </c>
      <c r="BB159" s="33" t="str">
        <f aca="false">IF(A159="","",IF(BA159="","No rebar schedule yet",IF(ABS(BA159-N(AW159))/MAX(N(AW159),1)&gt;SG_Criteria!$B$55,"NOTE: register rebar differs from schedule by "&amp;TEXT(ABS(BA159-N(AW159))/MAX(N(AW159),1),"0%"),"OK")))</f>
        <v/>
      </c>
      <c r="BC159" s="34" t="str">
        <f aca="false">IF(OR(D159="",G159="",H159="",D159="Sump",D159="Drop Inlet Chamber",D159="Silt Trap",D159="Pipe Culvert",D159="Subsoil Drain"),"",ROUND(MAX(1,N(I159))*(1/SG_Criteria!$B$26)*((G159/1000)*(H159/1000*(1-SG_Criteria!$B$25)))*(((G159/1000)*(H159/1000*(1-SG_Criteria!$B$25)))/((G159/1000)+2*(H159/1000*(1-SG_Criteria!$B$25))))^(2/3)*(1/Design_Selector!$B$11)^0.5,3))</f>
        <v/>
      </c>
      <c r="BD159" s="11" t="str">
        <f aca="false">IF(BC159="","",ROUND(BC159/(MAX(1,N(I159))*G159/1000*(H159/1000*(1-SG_Criteria!$B$25))),2))</f>
        <v/>
      </c>
      <c r="BE159" s="33" t="str">
        <f aca="false">IF(D159="","",IF(LEN(IF(AND(OR(E159="Roadside drain",E159="Entrance culvert"),OR(G159&lt;SG_Criteria!$B$15,H159&lt;SG_Criteria!$B$16)),"FAIL: below PUB min "&amp;SG_Criteria!$B$15&amp;"x"&amp;SG_Criteria!$B$16&amp;" for roadside drain. ","")&amp;IF(AND(E159="Common drain",G159&lt;SG_Criteria!$B$17),"FAIL: common drain W &lt; "&amp;SG_Criteria!$B$17&amp;" mm. ","")&amp;IF(AND(O159&lt;&gt;"",IFERROR(VALUE(MID(O159,2,2)),0)&lt;SG_Criteria!$B$19),"FAIL: grade below C"&amp;SG_Criteria!$B$19&amp;". ","")&amp;IF(AND(P159&lt;&gt;"",P159&lt;SG_Criteria!$B$20),"FAIL: cover &lt; "&amp;SG_Criteria!$B$20&amp;" mm. ","")&amp;IF(AND(F159="Open",H159&gt;SG_Criteria!$B$18),"NOTE: safety railing required (D &gt; "&amp;SG_Criteria!$B$18&amp;" mm). ","")&amp;IF(AND(E159="Entrance culvert",H159&lt;600),"NOTE: check hinged grating rule for culverts &lt; 600 deep (PUB Add. 3). ",""))=0,"OK",IF(AND(OR(E159="Roadside drain",E159="Entrance culvert"),OR(G159&lt;SG_Criteria!$B$15,H159&lt;SG_Criteria!$B$16)),"FAIL: below PUB min "&amp;SG_Criteria!$B$15&amp;"x"&amp;SG_Criteria!$B$16&amp;" for roadside drain. ","")&amp;IF(AND(E159="Common drain",G159&lt;SG_Criteria!$B$17),"FAIL: common drain W &lt; "&amp;SG_Criteria!$B$17&amp;" mm. ","")&amp;IF(AND(O159&lt;&gt;"",IFERROR(VALUE(MID(O159,2,2)),0)&lt;SG_Criteria!$B$19),"FAIL: grade below C"&amp;SG_Criteria!$B$19&amp;". ","")&amp;IF(AND(P159&lt;&gt;"",P159&lt;SG_Criteria!$B$20),"FAIL: cover &lt; "&amp;SG_Criteria!$B$20&amp;" mm. ","")&amp;IF(AND(F159="Open",H159&gt;SG_Criteria!$B$18),"NOTE: safety railing required (D &gt; "&amp;SG_Criteria!$B$18&amp;" mm). ","")&amp;IF(AND(E159="Entrance culvert",H159&lt;600),"NOTE: check hinged grating rule for culverts &lt; 600 deep (PUB Add. 3). ","")))</f>
        <v/>
      </c>
      <c r="BF159" s="9"/>
      <c r="BG159" s="9"/>
      <c r="BH159" s="9"/>
      <c r="BI159" s="10" t="str">
        <f aca="false">IF(BH159="","",IFERROR(VLOOKUP(BH159,Projects!$A$5:$D$504,2,0),"Ref not in Projects"))</f>
        <v/>
      </c>
      <c r="BJ159" s="10" t="str">
        <f aca="false">IF(BH159="","",IFERROR(VLOOKUP(BH159,Projects!$A$5:$D$504,4,0),"Ref not in Projects"))</f>
        <v/>
      </c>
      <c r="BK159" s="9"/>
      <c r="BL159" s="9"/>
      <c r="BM159" s="9"/>
      <c r="BN159" s="40"/>
      <c r="BO159" s="9"/>
      <c r="BP159" s="40"/>
      <c r="BQ159" s="9"/>
      <c r="BR159" s="40"/>
      <c r="BS159" s="9"/>
      <c r="BT159" s="9"/>
      <c r="BU159" s="9"/>
      <c r="BV159" s="40"/>
      <c r="BW159" s="40"/>
      <c r="BX159" s="36" t="str">
        <f aca="false">IF(BW159="","",EDATE(BW159,SG_Criteria!$B$54*12))</f>
        <v/>
      </c>
      <c r="BY159" s="33" t="str">
        <f aca="true">IF(A159="","",IF(BW159="","NOTE: not reviewed yet",IF(TODAY()&gt;BX159,"NOTE: review overdue","OK")))</f>
        <v/>
      </c>
      <c r="BZ159" s="37" t="str">
        <f aca="false">IF(A159="","",ROUND((IF(LEN(D159)&gt;0,1,0)+IF(LEN(E159)&gt;0,1,0)+IF(LEN(F159)&gt;0,1,0)+IF(LEN(G159)&gt;0,1,0)+IF(LEN(H159)&gt;0,1,0)+IF(LEN(J159)&gt;0,1,0)+IF(LEN(K159)&gt;0,1,0)+IF(LEN(M159)&gt;0,1,0)+IF(LEN(O159)&gt;0,1,0)+IF(LEN(P159)&gt;0,1,0)+IF(LEN(Q159)&gt;0,1,0)+IF(LEN(S159)&gt;0,1,0)+IF(LEN(AC159)&gt;0,1,0)+IF(LEN(AV159)&gt;0,1,0)+IF(LEN(AW159)&gt;0,1,0)+IF(LEN(AG159)&gt;0,1,0)+IF(LEN(AI159)&gt;0,1,0)+IF(LEN(AJ159)&gt;0,1,0)+IF(LEN(AK159)&gt;0,1,0)+IF(LEN(AL159)&gt;0,1,0)+IF(LEN(AU159)&gt;0,1,0)+IF(LEN(BH159)&gt;0,1,0)+IF(LEN(BU159)&gt;0,1,0))/23,2))</f>
        <v/>
      </c>
      <c r="CA159" s="10" t="str">
        <f aca="false">IF(D159="","",IF(AND(AJ159="Approved",ISERROR(SEARCH("FAIL",BE159))),"Y","N"))</f>
        <v/>
      </c>
      <c r="CB159" s="10" t="str">
        <f aca="false">IF(D159="","",D159&amp;"|"&amp;G159&amp;"|"&amp;H159&amp;"|"&amp;M159&amp;"|"&amp;CA159)</f>
        <v/>
      </c>
    </row>
    <row r="160" customFormat="false" ht="15" hidden="false" customHeight="false" outlineLevel="0" collapsed="false">
      <c r="A160" s="10" t="str">
        <f aca="false">IF(D160="","","DRN-"&amp;IFERROR(VLOOKUP(D160,Lists!$A$4:$B$27,2,0),"??")&amp;"-"&amp;TEXT(G160,"0000")&amp;"x"&amp;TEXT(H160,"0000")&amp;IF(N(I160)&gt;1,"-"&amp;I160&amp;"C","")&amp;"-"&amp;IFERROR(VLOOKUP(M160,Lists!$J$4:$K$19,2,0),"??")&amp;"-"&amp;AI160)</f>
        <v/>
      </c>
      <c r="B160" s="10" t="str">
        <f aca="false">IF(D160="","",D160&amp;" "&amp;G160&amp;"W x "&amp;H160&amp;"D"&amp;IF(N(I160)&gt;1," ("&amp;I160&amp;" cells)","")&amp;", "&amp;E160&amp;", "&amp;M160&amp;", "&amp;F160)</f>
        <v/>
      </c>
      <c r="C160" s="9"/>
      <c r="D160" s="9"/>
      <c r="E160" s="9"/>
      <c r="F160" s="9"/>
      <c r="G160" s="38"/>
      <c r="H160" s="38"/>
      <c r="I160" s="38"/>
      <c r="J160" s="38"/>
      <c r="K160" s="38"/>
      <c r="L160" s="38"/>
      <c r="M160" s="9"/>
      <c r="N160" s="9"/>
      <c r="O160" s="9"/>
      <c r="P160" s="38"/>
      <c r="Q160" s="9"/>
      <c r="R160" s="9"/>
      <c r="S160" s="9"/>
      <c r="T160" s="9"/>
      <c r="U160" s="9"/>
      <c r="V160" s="9"/>
      <c r="W160" s="9"/>
      <c r="X160" s="9"/>
      <c r="Y160" s="9"/>
      <c r="Z160" s="9"/>
      <c r="AA160" s="9"/>
      <c r="AB160" s="39"/>
      <c r="AC160" s="9"/>
      <c r="AD160" s="38"/>
      <c r="AE160" s="9"/>
      <c r="AF160" s="39"/>
      <c r="AG160" s="9"/>
      <c r="AH160" s="9"/>
      <c r="AI160" s="9"/>
      <c r="AJ160" s="9"/>
      <c r="AK160" s="9"/>
      <c r="AL160" s="9"/>
      <c r="AM160" s="9"/>
      <c r="AN160" s="10" t="str">
        <f aca="false">IF(A160="","",SG_Criteria!$B$6&amp;SG_Criteria!$B$7&amp;"\"&amp;A160&amp;"\")</f>
        <v/>
      </c>
      <c r="AO160" s="10" t="str">
        <f aca="false">IF(A160="","",A160&amp;"_CAD.dwg")</f>
        <v/>
      </c>
      <c r="AP160" s="10" t="str">
        <f aca="false">IF(A160="","",A160&amp;"_DWG.pdf")</f>
        <v/>
      </c>
      <c r="AQ160" s="10" t="str">
        <f aca="false">IF(A160="","",IF(AM160="Y",A160&amp;"_STAAD.std","n/a"))</f>
        <v/>
      </c>
      <c r="AR160" s="10" t="str">
        <f aca="false">IF(A160="","",A160&amp;"_CALC.xlsx")</f>
        <v/>
      </c>
      <c r="AS160" s="10" t="str">
        <f aca="false">IF(A160="","",A160&amp;"_CALC.pdf")</f>
        <v/>
      </c>
      <c r="AT160" s="9"/>
      <c r="AU160" s="9"/>
      <c r="AV160" s="39"/>
      <c r="AW160" s="39"/>
      <c r="AX160" s="39"/>
      <c r="AY160" s="39"/>
      <c r="AZ160" s="39"/>
      <c r="BA160" s="12" t="str">
        <f aca="false">IF(A160="","",IF(COUNTIF(Rebar_Schedule!$A$5:$A$2004,A160)=0,"",ROUND(SUMIF(Rebar_Schedule!$A$5:$A$2004,A160,Rebar_Schedule!$K$5:$K$2004),1)))</f>
        <v/>
      </c>
      <c r="BB160" s="33" t="str">
        <f aca="false">IF(A160="","",IF(BA160="","No rebar schedule yet",IF(ABS(BA160-N(AW160))/MAX(N(AW160),1)&gt;SG_Criteria!$B$55,"NOTE: register rebar differs from schedule by "&amp;TEXT(ABS(BA160-N(AW160))/MAX(N(AW160),1),"0%"),"OK")))</f>
        <v/>
      </c>
      <c r="BC160" s="34" t="str">
        <f aca="false">IF(OR(D160="",G160="",H160="",D160="Sump",D160="Drop Inlet Chamber",D160="Silt Trap",D160="Pipe Culvert",D160="Subsoil Drain"),"",ROUND(MAX(1,N(I160))*(1/SG_Criteria!$B$26)*((G160/1000)*(H160/1000*(1-SG_Criteria!$B$25)))*(((G160/1000)*(H160/1000*(1-SG_Criteria!$B$25)))/((G160/1000)+2*(H160/1000*(1-SG_Criteria!$B$25))))^(2/3)*(1/Design_Selector!$B$11)^0.5,3))</f>
        <v/>
      </c>
      <c r="BD160" s="11" t="str">
        <f aca="false">IF(BC160="","",ROUND(BC160/(MAX(1,N(I160))*G160/1000*(H160/1000*(1-SG_Criteria!$B$25))),2))</f>
        <v/>
      </c>
      <c r="BE160" s="33" t="str">
        <f aca="false">IF(D160="","",IF(LEN(IF(AND(OR(E160="Roadside drain",E160="Entrance culvert"),OR(G160&lt;SG_Criteria!$B$15,H160&lt;SG_Criteria!$B$16)),"FAIL: below PUB min "&amp;SG_Criteria!$B$15&amp;"x"&amp;SG_Criteria!$B$16&amp;" for roadside drain. ","")&amp;IF(AND(E160="Common drain",G160&lt;SG_Criteria!$B$17),"FAIL: common drain W &lt; "&amp;SG_Criteria!$B$17&amp;" mm. ","")&amp;IF(AND(O160&lt;&gt;"",IFERROR(VALUE(MID(O160,2,2)),0)&lt;SG_Criteria!$B$19),"FAIL: grade below C"&amp;SG_Criteria!$B$19&amp;". ","")&amp;IF(AND(P160&lt;&gt;"",P160&lt;SG_Criteria!$B$20),"FAIL: cover &lt; "&amp;SG_Criteria!$B$20&amp;" mm. ","")&amp;IF(AND(F160="Open",H160&gt;SG_Criteria!$B$18),"NOTE: safety railing required (D &gt; "&amp;SG_Criteria!$B$18&amp;" mm). ","")&amp;IF(AND(E160="Entrance culvert",H160&lt;600),"NOTE: check hinged grating rule for culverts &lt; 600 deep (PUB Add. 3). ",""))=0,"OK",IF(AND(OR(E160="Roadside drain",E160="Entrance culvert"),OR(G160&lt;SG_Criteria!$B$15,H160&lt;SG_Criteria!$B$16)),"FAIL: below PUB min "&amp;SG_Criteria!$B$15&amp;"x"&amp;SG_Criteria!$B$16&amp;" for roadside drain. ","")&amp;IF(AND(E160="Common drain",G160&lt;SG_Criteria!$B$17),"FAIL: common drain W &lt; "&amp;SG_Criteria!$B$17&amp;" mm. ","")&amp;IF(AND(O160&lt;&gt;"",IFERROR(VALUE(MID(O160,2,2)),0)&lt;SG_Criteria!$B$19),"FAIL: grade below C"&amp;SG_Criteria!$B$19&amp;". ","")&amp;IF(AND(P160&lt;&gt;"",P160&lt;SG_Criteria!$B$20),"FAIL: cover &lt; "&amp;SG_Criteria!$B$20&amp;" mm. ","")&amp;IF(AND(F160="Open",H160&gt;SG_Criteria!$B$18),"NOTE: safety railing required (D &gt; "&amp;SG_Criteria!$B$18&amp;" mm). ","")&amp;IF(AND(E160="Entrance culvert",H160&lt;600),"NOTE: check hinged grating rule for culverts &lt; 600 deep (PUB Add. 3). ","")))</f>
        <v/>
      </c>
      <c r="BF160" s="9"/>
      <c r="BG160" s="9"/>
      <c r="BH160" s="9"/>
      <c r="BI160" s="10" t="str">
        <f aca="false">IF(BH160="","",IFERROR(VLOOKUP(BH160,Projects!$A$5:$D$504,2,0),"Ref not in Projects"))</f>
        <v/>
      </c>
      <c r="BJ160" s="10" t="str">
        <f aca="false">IF(BH160="","",IFERROR(VLOOKUP(BH160,Projects!$A$5:$D$504,4,0),"Ref not in Projects"))</f>
        <v/>
      </c>
      <c r="BK160" s="9"/>
      <c r="BL160" s="9"/>
      <c r="BM160" s="9"/>
      <c r="BN160" s="40"/>
      <c r="BO160" s="9"/>
      <c r="BP160" s="40"/>
      <c r="BQ160" s="9"/>
      <c r="BR160" s="40"/>
      <c r="BS160" s="9"/>
      <c r="BT160" s="9"/>
      <c r="BU160" s="9"/>
      <c r="BV160" s="40"/>
      <c r="BW160" s="40"/>
      <c r="BX160" s="36" t="str">
        <f aca="false">IF(BW160="","",EDATE(BW160,SG_Criteria!$B$54*12))</f>
        <v/>
      </c>
      <c r="BY160" s="33" t="str">
        <f aca="true">IF(A160="","",IF(BW160="","NOTE: not reviewed yet",IF(TODAY()&gt;BX160,"NOTE: review overdue","OK")))</f>
        <v/>
      </c>
      <c r="BZ160" s="37" t="str">
        <f aca="false">IF(A160="","",ROUND((IF(LEN(D160)&gt;0,1,0)+IF(LEN(E160)&gt;0,1,0)+IF(LEN(F160)&gt;0,1,0)+IF(LEN(G160)&gt;0,1,0)+IF(LEN(H160)&gt;0,1,0)+IF(LEN(J160)&gt;0,1,0)+IF(LEN(K160)&gt;0,1,0)+IF(LEN(M160)&gt;0,1,0)+IF(LEN(O160)&gt;0,1,0)+IF(LEN(P160)&gt;0,1,0)+IF(LEN(Q160)&gt;0,1,0)+IF(LEN(S160)&gt;0,1,0)+IF(LEN(AC160)&gt;0,1,0)+IF(LEN(AV160)&gt;0,1,0)+IF(LEN(AW160)&gt;0,1,0)+IF(LEN(AG160)&gt;0,1,0)+IF(LEN(AI160)&gt;0,1,0)+IF(LEN(AJ160)&gt;0,1,0)+IF(LEN(AK160)&gt;0,1,0)+IF(LEN(AL160)&gt;0,1,0)+IF(LEN(AU160)&gt;0,1,0)+IF(LEN(BH160)&gt;0,1,0)+IF(LEN(BU160)&gt;0,1,0))/23,2))</f>
        <v/>
      </c>
      <c r="CA160" s="10" t="str">
        <f aca="false">IF(D160="","",IF(AND(AJ160="Approved",ISERROR(SEARCH("FAIL",BE160))),"Y","N"))</f>
        <v/>
      </c>
      <c r="CB160" s="10" t="str">
        <f aca="false">IF(D160="","",D160&amp;"|"&amp;G160&amp;"|"&amp;H160&amp;"|"&amp;M160&amp;"|"&amp;CA160)</f>
        <v/>
      </c>
    </row>
    <row r="161" customFormat="false" ht="15" hidden="false" customHeight="false" outlineLevel="0" collapsed="false">
      <c r="A161" s="10" t="str">
        <f aca="false">IF(D161="","","DRN-"&amp;IFERROR(VLOOKUP(D161,Lists!$A$4:$B$27,2,0),"??")&amp;"-"&amp;TEXT(G161,"0000")&amp;"x"&amp;TEXT(H161,"0000")&amp;IF(N(I161)&gt;1,"-"&amp;I161&amp;"C","")&amp;"-"&amp;IFERROR(VLOOKUP(M161,Lists!$J$4:$K$19,2,0),"??")&amp;"-"&amp;AI161)</f>
        <v/>
      </c>
      <c r="B161" s="10" t="str">
        <f aca="false">IF(D161="","",D161&amp;" "&amp;G161&amp;"W x "&amp;H161&amp;"D"&amp;IF(N(I161)&gt;1," ("&amp;I161&amp;" cells)","")&amp;", "&amp;E161&amp;", "&amp;M161&amp;", "&amp;F161)</f>
        <v/>
      </c>
      <c r="C161" s="9"/>
      <c r="D161" s="9"/>
      <c r="E161" s="9"/>
      <c r="F161" s="9"/>
      <c r="G161" s="38"/>
      <c r="H161" s="38"/>
      <c r="I161" s="38"/>
      <c r="J161" s="38"/>
      <c r="K161" s="38"/>
      <c r="L161" s="38"/>
      <c r="M161" s="9"/>
      <c r="N161" s="9"/>
      <c r="O161" s="9"/>
      <c r="P161" s="38"/>
      <c r="Q161" s="9"/>
      <c r="R161" s="9"/>
      <c r="S161" s="9"/>
      <c r="T161" s="9"/>
      <c r="U161" s="9"/>
      <c r="V161" s="9"/>
      <c r="W161" s="9"/>
      <c r="X161" s="9"/>
      <c r="Y161" s="9"/>
      <c r="Z161" s="9"/>
      <c r="AA161" s="9"/>
      <c r="AB161" s="39"/>
      <c r="AC161" s="9"/>
      <c r="AD161" s="38"/>
      <c r="AE161" s="9"/>
      <c r="AF161" s="39"/>
      <c r="AG161" s="9"/>
      <c r="AH161" s="9"/>
      <c r="AI161" s="9"/>
      <c r="AJ161" s="9"/>
      <c r="AK161" s="9"/>
      <c r="AL161" s="9"/>
      <c r="AM161" s="9"/>
      <c r="AN161" s="10" t="str">
        <f aca="false">IF(A161="","",SG_Criteria!$B$6&amp;SG_Criteria!$B$7&amp;"\"&amp;A161&amp;"\")</f>
        <v/>
      </c>
      <c r="AO161" s="10" t="str">
        <f aca="false">IF(A161="","",A161&amp;"_CAD.dwg")</f>
        <v/>
      </c>
      <c r="AP161" s="10" t="str">
        <f aca="false">IF(A161="","",A161&amp;"_DWG.pdf")</f>
        <v/>
      </c>
      <c r="AQ161" s="10" t="str">
        <f aca="false">IF(A161="","",IF(AM161="Y",A161&amp;"_STAAD.std","n/a"))</f>
        <v/>
      </c>
      <c r="AR161" s="10" t="str">
        <f aca="false">IF(A161="","",A161&amp;"_CALC.xlsx")</f>
        <v/>
      </c>
      <c r="AS161" s="10" t="str">
        <f aca="false">IF(A161="","",A161&amp;"_CALC.pdf")</f>
        <v/>
      </c>
      <c r="AT161" s="9"/>
      <c r="AU161" s="9"/>
      <c r="AV161" s="39"/>
      <c r="AW161" s="39"/>
      <c r="AX161" s="39"/>
      <c r="AY161" s="39"/>
      <c r="AZ161" s="39"/>
      <c r="BA161" s="12" t="str">
        <f aca="false">IF(A161="","",IF(COUNTIF(Rebar_Schedule!$A$5:$A$2004,A161)=0,"",ROUND(SUMIF(Rebar_Schedule!$A$5:$A$2004,A161,Rebar_Schedule!$K$5:$K$2004),1)))</f>
        <v/>
      </c>
      <c r="BB161" s="33" t="str">
        <f aca="false">IF(A161="","",IF(BA161="","No rebar schedule yet",IF(ABS(BA161-N(AW161))/MAX(N(AW161),1)&gt;SG_Criteria!$B$55,"NOTE: register rebar differs from schedule by "&amp;TEXT(ABS(BA161-N(AW161))/MAX(N(AW161),1),"0%"),"OK")))</f>
        <v/>
      </c>
      <c r="BC161" s="34" t="str">
        <f aca="false">IF(OR(D161="",G161="",H161="",D161="Sump",D161="Drop Inlet Chamber",D161="Silt Trap",D161="Pipe Culvert",D161="Subsoil Drain"),"",ROUND(MAX(1,N(I161))*(1/SG_Criteria!$B$26)*((G161/1000)*(H161/1000*(1-SG_Criteria!$B$25)))*(((G161/1000)*(H161/1000*(1-SG_Criteria!$B$25)))/((G161/1000)+2*(H161/1000*(1-SG_Criteria!$B$25))))^(2/3)*(1/Design_Selector!$B$11)^0.5,3))</f>
        <v/>
      </c>
      <c r="BD161" s="11" t="str">
        <f aca="false">IF(BC161="","",ROUND(BC161/(MAX(1,N(I161))*G161/1000*(H161/1000*(1-SG_Criteria!$B$25))),2))</f>
        <v/>
      </c>
      <c r="BE161" s="33" t="str">
        <f aca="false">IF(D161="","",IF(LEN(IF(AND(OR(E161="Roadside drain",E161="Entrance culvert"),OR(G161&lt;SG_Criteria!$B$15,H161&lt;SG_Criteria!$B$16)),"FAIL: below PUB min "&amp;SG_Criteria!$B$15&amp;"x"&amp;SG_Criteria!$B$16&amp;" for roadside drain. ","")&amp;IF(AND(E161="Common drain",G161&lt;SG_Criteria!$B$17),"FAIL: common drain W &lt; "&amp;SG_Criteria!$B$17&amp;" mm. ","")&amp;IF(AND(O161&lt;&gt;"",IFERROR(VALUE(MID(O161,2,2)),0)&lt;SG_Criteria!$B$19),"FAIL: grade below C"&amp;SG_Criteria!$B$19&amp;". ","")&amp;IF(AND(P161&lt;&gt;"",P161&lt;SG_Criteria!$B$20),"FAIL: cover &lt; "&amp;SG_Criteria!$B$20&amp;" mm. ","")&amp;IF(AND(F161="Open",H161&gt;SG_Criteria!$B$18),"NOTE: safety railing required (D &gt; "&amp;SG_Criteria!$B$18&amp;" mm). ","")&amp;IF(AND(E161="Entrance culvert",H161&lt;600),"NOTE: check hinged grating rule for culverts &lt; 600 deep (PUB Add. 3). ",""))=0,"OK",IF(AND(OR(E161="Roadside drain",E161="Entrance culvert"),OR(G161&lt;SG_Criteria!$B$15,H161&lt;SG_Criteria!$B$16)),"FAIL: below PUB min "&amp;SG_Criteria!$B$15&amp;"x"&amp;SG_Criteria!$B$16&amp;" for roadside drain. ","")&amp;IF(AND(E161="Common drain",G161&lt;SG_Criteria!$B$17),"FAIL: common drain W &lt; "&amp;SG_Criteria!$B$17&amp;" mm. ","")&amp;IF(AND(O161&lt;&gt;"",IFERROR(VALUE(MID(O161,2,2)),0)&lt;SG_Criteria!$B$19),"FAIL: grade below C"&amp;SG_Criteria!$B$19&amp;". ","")&amp;IF(AND(P161&lt;&gt;"",P161&lt;SG_Criteria!$B$20),"FAIL: cover &lt; "&amp;SG_Criteria!$B$20&amp;" mm. ","")&amp;IF(AND(F161="Open",H161&gt;SG_Criteria!$B$18),"NOTE: safety railing required (D &gt; "&amp;SG_Criteria!$B$18&amp;" mm). ","")&amp;IF(AND(E161="Entrance culvert",H161&lt;600),"NOTE: check hinged grating rule for culverts &lt; 600 deep (PUB Add. 3). ","")))</f>
        <v/>
      </c>
      <c r="BF161" s="9"/>
      <c r="BG161" s="9"/>
      <c r="BH161" s="9"/>
      <c r="BI161" s="10" t="str">
        <f aca="false">IF(BH161="","",IFERROR(VLOOKUP(BH161,Projects!$A$5:$D$504,2,0),"Ref not in Projects"))</f>
        <v/>
      </c>
      <c r="BJ161" s="10" t="str">
        <f aca="false">IF(BH161="","",IFERROR(VLOOKUP(BH161,Projects!$A$5:$D$504,4,0),"Ref not in Projects"))</f>
        <v/>
      </c>
      <c r="BK161" s="9"/>
      <c r="BL161" s="9"/>
      <c r="BM161" s="9"/>
      <c r="BN161" s="40"/>
      <c r="BO161" s="9"/>
      <c r="BP161" s="40"/>
      <c r="BQ161" s="9"/>
      <c r="BR161" s="40"/>
      <c r="BS161" s="9"/>
      <c r="BT161" s="9"/>
      <c r="BU161" s="9"/>
      <c r="BV161" s="40"/>
      <c r="BW161" s="40"/>
      <c r="BX161" s="36" t="str">
        <f aca="false">IF(BW161="","",EDATE(BW161,SG_Criteria!$B$54*12))</f>
        <v/>
      </c>
      <c r="BY161" s="33" t="str">
        <f aca="true">IF(A161="","",IF(BW161="","NOTE: not reviewed yet",IF(TODAY()&gt;BX161,"NOTE: review overdue","OK")))</f>
        <v/>
      </c>
      <c r="BZ161" s="37" t="str">
        <f aca="false">IF(A161="","",ROUND((IF(LEN(D161)&gt;0,1,0)+IF(LEN(E161)&gt;0,1,0)+IF(LEN(F161)&gt;0,1,0)+IF(LEN(G161)&gt;0,1,0)+IF(LEN(H161)&gt;0,1,0)+IF(LEN(J161)&gt;0,1,0)+IF(LEN(K161)&gt;0,1,0)+IF(LEN(M161)&gt;0,1,0)+IF(LEN(O161)&gt;0,1,0)+IF(LEN(P161)&gt;0,1,0)+IF(LEN(Q161)&gt;0,1,0)+IF(LEN(S161)&gt;0,1,0)+IF(LEN(AC161)&gt;0,1,0)+IF(LEN(AV161)&gt;0,1,0)+IF(LEN(AW161)&gt;0,1,0)+IF(LEN(AG161)&gt;0,1,0)+IF(LEN(AI161)&gt;0,1,0)+IF(LEN(AJ161)&gt;0,1,0)+IF(LEN(AK161)&gt;0,1,0)+IF(LEN(AL161)&gt;0,1,0)+IF(LEN(AU161)&gt;0,1,0)+IF(LEN(BH161)&gt;0,1,0)+IF(LEN(BU161)&gt;0,1,0))/23,2))</f>
        <v/>
      </c>
      <c r="CA161" s="10" t="str">
        <f aca="false">IF(D161="","",IF(AND(AJ161="Approved",ISERROR(SEARCH("FAIL",BE161))),"Y","N"))</f>
        <v/>
      </c>
      <c r="CB161" s="10" t="str">
        <f aca="false">IF(D161="","",D161&amp;"|"&amp;G161&amp;"|"&amp;H161&amp;"|"&amp;M161&amp;"|"&amp;CA161)</f>
        <v/>
      </c>
    </row>
    <row r="162" customFormat="false" ht="15" hidden="false" customHeight="false" outlineLevel="0" collapsed="false">
      <c r="A162" s="10" t="str">
        <f aca="false">IF(D162="","","DRN-"&amp;IFERROR(VLOOKUP(D162,Lists!$A$4:$B$27,2,0),"??")&amp;"-"&amp;TEXT(G162,"0000")&amp;"x"&amp;TEXT(H162,"0000")&amp;IF(N(I162)&gt;1,"-"&amp;I162&amp;"C","")&amp;"-"&amp;IFERROR(VLOOKUP(M162,Lists!$J$4:$K$19,2,0),"??")&amp;"-"&amp;AI162)</f>
        <v/>
      </c>
      <c r="B162" s="10" t="str">
        <f aca="false">IF(D162="","",D162&amp;" "&amp;G162&amp;"W x "&amp;H162&amp;"D"&amp;IF(N(I162)&gt;1," ("&amp;I162&amp;" cells)","")&amp;", "&amp;E162&amp;", "&amp;M162&amp;", "&amp;F162)</f>
        <v/>
      </c>
      <c r="C162" s="9"/>
      <c r="D162" s="9"/>
      <c r="E162" s="9"/>
      <c r="F162" s="9"/>
      <c r="G162" s="38"/>
      <c r="H162" s="38"/>
      <c r="I162" s="38"/>
      <c r="J162" s="38"/>
      <c r="K162" s="38"/>
      <c r="L162" s="38"/>
      <c r="M162" s="9"/>
      <c r="N162" s="9"/>
      <c r="O162" s="9"/>
      <c r="P162" s="38"/>
      <c r="Q162" s="9"/>
      <c r="R162" s="9"/>
      <c r="S162" s="9"/>
      <c r="T162" s="9"/>
      <c r="U162" s="9"/>
      <c r="V162" s="9"/>
      <c r="W162" s="9"/>
      <c r="X162" s="9"/>
      <c r="Y162" s="9"/>
      <c r="Z162" s="9"/>
      <c r="AA162" s="9"/>
      <c r="AB162" s="39"/>
      <c r="AC162" s="9"/>
      <c r="AD162" s="38"/>
      <c r="AE162" s="9"/>
      <c r="AF162" s="39"/>
      <c r="AG162" s="9"/>
      <c r="AH162" s="9"/>
      <c r="AI162" s="9"/>
      <c r="AJ162" s="9"/>
      <c r="AK162" s="9"/>
      <c r="AL162" s="9"/>
      <c r="AM162" s="9"/>
      <c r="AN162" s="10" t="str">
        <f aca="false">IF(A162="","",SG_Criteria!$B$6&amp;SG_Criteria!$B$7&amp;"\"&amp;A162&amp;"\")</f>
        <v/>
      </c>
      <c r="AO162" s="10" t="str">
        <f aca="false">IF(A162="","",A162&amp;"_CAD.dwg")</f>
        <v/>
      </c>
      <c r="AP162" s="10" t="str">
        <f aca="false">IF(A162="","",A162&amp;"_DWG.pdf")</f>
        <v/>
      </c>
      <c r="AQ162" s="10" t="str">
        <f aca="false">IF(A162="","",IF(AM162="Y",A162&amp;"_STAAD.std","n/a"))</f>
        <v/>
      </c>
      <c r="AR162" s="10" t="str">
        <f aca="false">IF(A162="","",A162&amp;"_CALC.xlsx")</f>
        <v/>
      </c>
      <c r="AS162" s="10" t="str">
        <f aca="false">IF(A162="","",A162&amp;"_CALC.pdf")</f>
        <v/>
      </c>
      <c r="AT162" s="9"/>
      <c r="AU162" s="9"/>
      <c r="AV162" s="39"/>
      <c r="AW162" s="39"/>
      <c r="AX162" s="39"/>
      <c r="AY162" s="39"/>
      <c r="AZ162" s="39"/>
      <c r="BA162" s="12" t="str">
        <f aca="false">IF(A162="","",IF(COUNTIF(Rebar_Schedule!$A$5:$A$2004,A162)=0,"",ROUND(SUMIF(Rebar_Schedule!$A$5:$A$2004,A162,Rebar_Schedule!$K$5:$K$2004),1)))</f>
        <v/>
      </c>
      <c r="BB162" s="33" t="str">
        <f aca="false">IF(A162="","",IF(BA162="","No rebar schedule yet",IF(ABS(BA162-N(AW162))/MAX(N(AW162),1)&gt;SG_Criteria!$B$55,"NOTE: register rebar differs from schedule by "&amp;TEXT(ABS(BA162-N(AW162))/MAX(N(AW162),1),"0%"),"OK")))</f>
        <v/>
      </c>
      <c r="BC162" s="34" t="str">
        <f aca="false">IF(OR(D162="",G162="",H162="",D162="Sump",D162="Drop Inlet Chamber",D162="Silt Trap",D162="Pipe Culvert",D162="Subsoil Drain"),"",ROUND(MAX(1,N(I162))*(1/SG_Criteria!$B$26)*((G162/1000)*(H162/1000*(1-SG_Criteria!$B$25)))*(((G162/1000)*(H162/1000*(1-SG_Criteria!$B$25)))/((G162/1000)+2*(H162/1000*(1-SG_Criteria!$B$25))))^(2/3)*(1/Design_Selector!$B$11)^0.5,3))</f>
        <v/>
      </c>
      <c r="BD162" s="11" t="str">
        <f aca="false">IF(BC162="","",ROUND(BC162/(MAX(1,N(I162))*G162/1000*(H162/1000*(1-SG_Criteria!$B$25))),2))</f>
        <v/>
      </c>
      <c r="BE162" s="33" t="str">
        <f aca="false">IF(D162="","",IF(LEN(IF(AND(OR(E162="Roadside drain",E162="Entrance culvert"),OR(G162&lt;SG_Criteria!$B$15,H162&lt;SG_Criteria!$B$16)),"FAIL: below PUB min "&amp;SG_Criteria!$B$15&amp;"x"&amp;SG_Criteria!$B$16&amp;" for roadside drain. ","")&amp;IF(AND(E162="Common drain",G162&lt;SG_Criteria!$B$17),"FAIL: common drain W &lt; "&amp;SG_Criteria!$B$17&amp;" mm. ","")&amp;IF(AND(O162&lt;&gt;"",IFERROR(VALUE(MID(O162,2,2)),0)&lt;SG_Criteria!$B$19),"FAIL: grade below C"&amp;SG_Criteria!$B$19&amp;". ","")&amp;IF(AND(P162&lt;&gt;"",P162&lt;SG_Criteria!$B$20),"FAIL: cover &lt; "&amp;SG_Criteria!$B$20&amp;" mm. ","")&amp;IF(AND(F162="Open",H162&gt;SG_Criteria!$B$18),"NOTE: safety railing required (D &gt; "&amp;SG_Criteria!$B$18&amp;" mm). ","")&amp;IF(AND(E162="Entrance culvert",H162&lt;600),"NOTE: check hinged grating rule for culverts &lt; 600 deep (PUB Add. 3). ",""))=0,"OK",IF(AND(OR(E162="Roadside drain",E162="Entrance culvert"),OR(G162&lt;SG_Criteria!$B$15,H162&lt;SG_Criteria!$B$16)),"FAIL: below PUB min "&amp;SG_Criteria!$B$15&amp;"x"&amp;SG_Criteria!$B$16&amp;" for roadside drain. ","")&amp;IF(AND(E162="Common drain",G162&lt;SG_Criteria!$B$17),"FAIL: common drain W &lt; "&amp;SG_Criteria!$B$17&amp;" mm. ","")&amp;IF(AND(O162&lt;&gt;"",IFERROR(VALUE(MID(O162,2,2)),0)&lt;SG_Criteria!$B$19),"FAIL: grade below C"&amp;SG_Criteria!$B$19&amp;". ","")&amp;IF(AND(P162&lt;&gt;"",P162&lt;SG_Criteria!$B$20),"FAIL: cover &lt; "&amp;SG_Criteria!$B$20&amp;" mm. ","")&amp;IF(AND(F162="Open",H162&gt;SG_Criteria!$B$18),"NOTE: safety railing required (D &gt; "&amp;SG_Criteria!$B$18&amp;" mm). ","")&amp;IF(AND(E162="Entrance culvert",H162&lt;600),"NOTE: check hinged grating rule for culverts &lt; 600 deep (PUB Add. 3). ","")))</f>
        <v/>
      </c>
      <c r="BF162" s="9"/>
      <c r="BG162" s="9"/>
      <c r="BH162" s="9"/>
      <c r="BI162" s="10" t="str">
        <f aca="false">IF(BH162="","",IFERROR(VLOOKUP(BH162,Projects!$A$5:$D$504,2,0),"Ref not in Projects"))</f>
        <v/>
      </c>
      <c r="BJ162" s="10" t="str">
        <f aca="false">IF(BH162="","",IFERROR(VLOOKUP(BH162,Projects!$A$5:$D$504,4,0),"Ref not in Projects"))</f>
        <v/>
      </c>
      <c r="BK162" s="9"/>
      <c r="BL162" s="9"/>
      <c r="BM162" s="9"/>
      <c r="BN162" s="40"/>
      <c r="BO162" s="9"/>
      <c r="BP162" s="40"/>
      <c r="BQ162" s="9"/>
      <c r="BR162" s="40"/>
      <c r="BS162" s="9"/>
      <c r="BT162" s="9"/>
      <c r="BU162" s="9"/>
      <c r="BV162" s="40"/>
      <c r="BW162" s="40"/>
      <c r="BX162" s="36" t="str">
        <f aca="false">IF(BW162="","",EDATE(BW162,SG_Criteria!$B$54*12))</f>
        <v/>
      </c>
      <c r="BY162" s="33" t="str">
        <f aca="true">IF(A162="","",IF(BW162="","NOTE: not reviewed yet",IF(TODAY()&gt;BX162,"NOTE: review overdue","OK")))</f>
        <v/>
      </c>
      <c r="BZ162" s="37" t="str">
        <f aca="false">IF(A162="","",ROUND((IF(LEN(D162)&gt;0,1,0)+IF(LEN(E162)&gt;0,1,0)+IF(LEN(F162)&gt;0,1,0)+IF(LEN(G162)&gt;0,1,0)+IF(LEN(H162)&gt;0,1,0)+IF(LEN(J162)&gt;0,1,0)+IF(LEN(K162)&gt;0,1,0)+IF(LEN(M162)&gt;0,1,0)+IF(LEN(O162)&gt;0,1,0)+IF(LEN(P162)&gt;0,1,0)+IF(LEN(Q162)&gt;0,1,0)+IF(LEN(S162)&gt;0,1,0)+IF(LEN(AC162)&gt;0,1,0)+IF(LEN(AV162)&gt;0,1,0)+IF(LEN(AW162)&gt;0,1,0)+IF(LEN(AG162)&gt;0,1,0)+IF(LEN(AI162)&gt;0,1,0)+IF(LEN(AJ162)&gt;0,1,0)+IF(LEN(AK162)&gt;0,1,0)+IF(LEN(AL162)&gt;0,1,0)+IF(LEN(AU162)&gt;0,1,0)+IF(LEN(BH162)&gt;0,1,0)+IF(LEN(BU162)&gt;0,1,0))/23,2))</f>
        <v/>
      </c>
      <c r="CA162" s="10" t="str">
        <f aca="false">IF(D162="","",IF(AND(AJ162="Approved",ISERROR(SEARCH("FAIL",BE162))),"Y","N"))</f>
        <v/>
      </c>
      <c r="CB162" s="10" t="str">
        <f aca="false">IF(D162="","",D162&amp;"|"&amp;G162&amp;"|"&amp;H162&amp;"|"&amp;M162&amp;"|"&amp;CA162)</f>
        <v/>
      </c>
    </row>
    <row r="163" customFormat="false" ht="15" hidden="false" customHeight="false" outlineLevel="0" collapsed="false">
      <c r="A163" s="10" t="str">
        <f aca="false">IF(D163="","","DRN-"&amp;IFERROR(VLOOKUP(D163,Lists!$A$4:$B$27,2,0),"??")&amp;"-"&amp;TEXT(G163,"0000")&amp;"x"&amp;TEXT(H163,"0000")&amp;IF(N(I163)&gt;1,"-"&amp;I163&amp;"C","")&amp;"-"&amp;IFERROR(VLOOKUP(M163,Lists!$J$4:$K$19,2,0),"??")&amp;"-"&amp;AI163)</f>
        <v/>
      </c>
      <c r="B163" s="10" t="str">
        <f aca="false">IF(D163="","",D163&amp;" "&amp;G163&amp;"W x "&amp;H163&amp;"D"&amp;IF(N(I163)&gt;1," ("&amp;I163&amp;" cells)","")&amp;", "&amp;E163&amp;", "&amp;M163&amp;", "&amp;F163)</f>
        <v/>
      </c>
      <c r="C163" s="9"/>
      <c r="D163" s="9"/>
      <c r="E163" s="9"/>
      <c r="F163" s="9"/>
      <c r="G163" s="38"/>
      <c r="H163" s="38"/>
      <c r="I163" s="38"/>
      <c r="J163" s="38"/>
      <c r="K163" s="38"/>
      <c r="L163" s="38"/>
      <c r="M163" s="9"/>
      <c r="N163" s="9"/>
      <c r="O163" s="9"/>
      <c r="P163" s="38"/>
      <c r="Q163" s="9"/>
      <c r="R163" s="9"/>
      <c r="S163" s="9"/>
      <c r="T163" s="9"/>
      <c r="U163" s="9"/>
      <c r="V163" s="9"/>
      <c r="W163" s="9"/>
      <c r="X163" s="9"/>
      <c r="Y163" s="9"/>
      <c r="Z163" s="9"/>
      <c r="AA163" s="9"/>
      <c r="AB163" s="39"/>
      <c r="AC163" s="9"/>
      <c r="AD163" s="38"/>
      <c r="AE163" s="9"/>
      <c r="AF163" s="39"/>
      <c r="AG163" s="9"/>
      <c r="AH163" s="9"/>
      <c r="AI163" s="9"/>
      <c r="AJ163" s="9"/>
      <c r="AK163" s="9"/>
      <c r="AL163" s="9"/>
      <c r="AM163" s="9"/>
      <c r="AN163" s="10" t="str">
        <f aca="false">IF(A163="","",SG_Criteria!$B$6&amp;SG_Criteria!$B$7&amp;"\"&amp;A163&amp;"\")</f>
        <v/>
      </c>
      <c r="AO163" s="10" t="str">
        <f aca="false">IF(A163="","",A163&amp;"_CAD.dwg")</f>
        <v/>
      </c>
      <c r="AP163" s="10" t="str">
        <f aca="false">IF(A163="","",A163&amp;"_DWG.pdf")</f>
        <v/>
      </c>
      <c r="AQ163" s="10" t="str">
        <f aca="false">IF(A163="","",IF(AM163="Y",A163&amp;"_STAAD.std","n/a"))</f>
        <v/>
      </c>
      <c r="AR163" s="10" t="str">
        <f aca="false">IF(A163="","",A163&amp;"_CALC.xlsx")</f>
        <v/>
      </c>
      <c r="AS163" s="10" t="str">
        <f aca="false">IF(A163="","",A163&amp;"_CALC.pdf")</f>
        <v/>
      </c>
      <c r="AT163" s="9"/>
      <c r="AU163" s="9"/>
      <c r="AV163" s="39"/>
      <c r="AW163" s="39"/>
      <c r="AX163" s="39"/>
      <c r="AY163" s="39"/>
      <c r="AZ163" s="39"/>
      <c r="BA163" s="12" t="str">
        <f aca="false">IF(A163="","",IF(COUNTIF(Rebar_Schedule!$A$5:$A$2004,A163)=0,"",ROUND(SUMIF(Rebar_Schedule!$A$5:$A$2004,A163,Rebar_Schedule!$K$5:$K$2004),1)))</f>
        <v/>
      </c>
      <c r="BB163" s="33" t="str">
        <f aca="false">IF(A163="","",IF(BA163="","No rebar schedule yet",IF(ABS(BA163-N(AW163))/MAX(N(AW163),1)&gt;SG_Criteria!$B$55,"NOTE: register rebar differs from schedule by "&amp;TEXT(ABS(BA163-N(AW163))/MAX(N(AW163),1),"0%"),"OK")))</f>
        <v/>
      </c>
      <c r="BC163" s="34" t="str">
        <f aca="false">IF(OR(D163="",G163="",H163="",D163="Sump",D163="Drop Inlet Chamber",D163="Silt Trap",D163="Pipe Culvert",D163="Subsoil Drain"),"",ROUND(MAX(1,N(I163))*(1/SG_Criteria!$B$26)*((G163/1000)*(H163/1000*(1-SG_Criteria!$B$25)))*(((G163/1000)*(H163/1000*(1-SG_Criteria!$B$25)))/((G163/1000)+2*(H163/1000*(1-SG_Criteria!$B$25))))^(2/3)*(1/Design_Selector!$B$11)^0.5,3))</f>
        <v/>
      </c>
      <c r="BD163" s="11" t="str">
        <f aca="false">IF(BC163="","",ROUND(BC163/(MAX(1,N(I163))*G163/1000*(H163/1000*(1-SG_Criteria!$B$25))),2))</f>
        <v/>
      </c>
      <c r="BE163" s="33" t="str">
        <f aca="false">IF(D163="","",IF(LEN(IF(AND(OR(E163="Roadside drain",E163="Entrance culvert"),OR(G163&lt;SG_Criteria!$B$15,H163&lt;SG_Criteria!$B$16)),"FAIL: below PUB min "&amp;SG_Criteria!$B$15&amp;"x"&amp;SG_Criteria!$B$16&amp;" for roadside drain. ","")&amp;IF(AND(E163="Common drain",G163&lt;SG_Criteria!$B$17),"FAIL: common drain W &lt; "&amp;SG_Criteria!$B$17&amp;" mm. ","")&amp;IF(AND(O163&lt;&gt;"",IFERROR(VALUE(MID(O163,2,2)),0)&lt;SG_Criteria!$B$19),"FAIL: grade below C"&amp;SG_Criteria!$B$19&amp;". ","")&amp;IF(AND(P163&lt;&gt;"",P163&lt;SG_Criteria!$B$20),"FAIL: cover &lt; "&amp;SG_Criteria!$B$20&amp;" mm. ","")&amp;IF(AND(F163="Open",H163&gt;SG_Criteria!$B$18),"NOTE: safety railing required (D &gt; "&amp;SG_Criteria!$B$18&amp;" mm). ","")&amp;IF(AND(E163="Entrance culvert",H163&lt;600),"NOTE: check hinged grating rule for culverts &lt; 600 deep (PUB Add. 3). ",""))=0,"OK",IF(AND(OR(E163="Roadside drain",E163="Entrance culvert"),OR(G163&lt;SG_Criteria!$B$15,H163&lt;SG_Criteria!$B$16)),"FAIL: below PUB min "&amp;SG_Criteria!$B$15&amp;"x"&amp;SG_Criteria!$B$16&amp;" for roadside drain. ","")&amp;IF(AND(E163="Common drain",G163&lt;SG_Criteria!$B$17),"FAIL: common drain W &lt; "&amp;SG_Criteria!$B$17&amp;" mm. ","")&amp;IF(AND(O163&lt;&gt;"",IFERROR(VALUE(MID(O163,2,2)),0)&lt;SG_Criteria!$B$19),"FAIL: grade below C"&amp;SG_Criteria!$B$19&amp;". ","")&amp;IF(AND(P163&lt;&gt;"",P163&lt;SG_Criteria!$B$20),"FAIL: cover &lt; "&amp;SG_Criteria!$B$20&amp;" mm. ","")&amp;IF(AND(F163="Open",H163&gt;SG_Criteria!$B$18),"NOTE: safety railing required (D &gt; "&amp;SG_Criteria!$B$18&amp;" mm). ","")&amp;IF(AND(E163="Entrance culvert",H163&lt;600),"NOTE: check hinged grating rule for culverts &lt; 600 deep (PUB Add. 3). ","")))</f>
        <v/>
      </c>
      <c r="BF163" s="9"/>
      <c r="BG163" s="9"/>
      <c r="BH163" s="9"/>
      <c r="BI163" s="10" t="str">
        <f aca="false">IF(BH163="","",IFERROR(VLOOKUP(BH163,Projects!$A$5:$D$504,2,0),"Ref not in Projects"))</f>
        <v/>
      </c>
      <c r="BJ163" s="10" t="str">
        <f aca="false">IF(BH163="","",IFERROR(VLOOKUP(BH163,Projects!$A$5:$D$504,4,0),"Ref not in Projects"))</f>
        <v/>
      </c>
      <c r="BK163" s="9"/>
      <c r="BL163" s="9"/>
      <c r="BM163" s="9"/>
      <c r="BN163" s="40"/>
      <c r="BO163" s="9"/>
      <c r="BP163" s="40"/>
      <c r="BQ163" s="9"/>
      <c r="BR163" s="40"/>
      <c r="BS163" s="9"/>
      <c r="BT163" s="9"/>
      <c r="BU163" s="9"/>
      <c r="BV163" s="40"/>
      <c r="BW163" s="40"/>
      <c r="BX163" s="36" t="str">
        <f aca="false">IF(BW163="","",EDATE(BW163,SG_Criteria!$B$54*12))</f>
        <v/>
      </c>
      <c r="BY163" s="33" t="str">
        <f aca="true">IF(A163="","",IF(BW163="","NOTE: not reviewed yet",IF(TODAY()&gt;BX163,"NOTE: review overdue","OK")))</f>
        <v/>
      </c>
      <c r="BZ163" s="37" t="str">
        <f aca="false">IF(A163="","",ROUND((IF(LEN(D163)&gt;0,1,0)+IF(LEN(E163)&gt;0,1,0)+IF(LEN(F163)&gt;0,1,0)+IF(LEN(G163)&gt;0,1,0)+IF(LEN(H163)&gt;0,1,0)+IF(LEN(J163)&gt;0,1,0)+IF(LEN(K163)&gt;0,1,0)+IF(LEN(M163)&gt;0,1,0)+IF(LEN(O163)&gt;0,1,0)+IF(LEN(P163)&gt;0,1,0)+IF(LEN(Q163)&gt;0,1,0)+IF(LEN(S163)&gt;0,1,0)+IF(LEN(AC163)&gt;0,1,0)+IF(LEN(AV163)&gt;0,1,0)+IF(LEN(AW163)&gt;0,1,0)+IF(LEN(AG163)&gt;0,1,0)+IF(LEN(AI163)&gt;0,1,0)+IF(LEN(AJ163)&gt;0,1,0)+IF(LEN(AK163)&gt;0,1,0)+IF(LEN(AL163)&gt;0,1,0)+IF(LEN(AU163)&gt;0,1,0)+IF(LEN(BH163)&gt;0,1,0)+IF(LEN(BU163)&gt;0,1,0))/23,2))</f>
        <v/>
      </c>
      <c r="CA163" s="10" t="str">
        <f aca="false">IF(D163="","",IF(AND(AJ163="Approved",ISERROR(SEARCH("FAIL",BE163))),"Y","N"))</f>
        <v/>
      </c>
      <c r="CB163" s="10" t="str">
        <f aca="false">IF(D163="","",D163&amp;"|"&amp;G163&amp;"|"&amp;H163&amp;"|"&amp;M163&amp;"|"&amp;CA163)</f>
        <v/>
      </c>
    </row>
    <row r="164" customFormat="false" ht="15" hidden="false" customHeight="false" outlineLevel="0" collapsed="false">
      <c r="A164" s="10" t="str">
        <f aca="false">IF(D164="","","DRN-"&amp;IFERROR(VLOOKUP(D164,Lists!$A$4:$B$27,2,0),"??")&amp;"-"&amp;TEXT(G164,"0000")&amp;"x"&amp;TEXT(H164,"0000")&amp;IF(N(I164)&gt;1,"-"&amp;I164&amp;"C","")&amp;"-"&amp;IFERROR(VLOOKUP(M164,Lists!$J$4:$K$19,2,0),"??")&amp;"-"&amp;AI164)</f>
        <v/>
      </c>
      <c r="B164" s="10" t="str">
        <f aca="false">IF(D164="","",D164&amp;" "&amp;G164&amp;"W x "&amp;H164&amp;"D"&amp;IF(N(I164)&gt;1," ("&amp;I164&amp;" cells)","")&amp;", "&amp;E164&amp;", "&amp;M164&amp;", "&amp;F164)</f>
        <v/>
      </c>
      <c r="C164" s="9"/>
      <c r="D164" s="9"/>
      <c r="E164" s="9"/>
      <c r="F164" s="9"/>
      <c r="G164" s="38"/>
      <c r="H164" s="38"/>
      <c r="I164" s="38"/>
      <c r="J164" s="38"/>
      <c r="K164" s="38"/>
      <c r="L164" s="38"/>
      <c r="M164" s="9"/>
      <c r="N164" s="9"/>
      <c r="O164" s="9"/>
      <c r="P164" s="38"/>
      <c r="Q164" s="9"/>
      <c r="R164" s="9"/>
      <c r="S164" s="9"/>
      <c r="T164" s="9"/>
      <c r="U164" s="9"/>
      <c r="V164" s="9"/>
      <c r="W164" s="9"/>
      <c r="X164" s="9"/>
      <c r="Y164" s="9"/>
      <c r="Z164" s="9"/>
      <c r="AA164" s="9"/>
      <c r="AB164" s="39"/>
      <c r="AC164" s="9"/>
      <c r="AD164" s="38"/>
      <c r="AE164" s="9"/>
      <c r="AF164" s="39"/>
      <c r="AG164" s="9"/>
      <c r="AH164" s="9"/>
      <c r="AI164" s="9"/>
      <c r="AJ164" s="9"/>
      <c r="AK164" s="9"/>
      <c r="AL164" s="9"/>
      <c r="AM164" s="9"/>
      <c r="AN164" s="10" t="str">
        <f aca="false">IF(A164="","",SG_Criteria!$B$6&amp;SG_Criteria!$B$7&amp;"\"&amp;A164&amp;"\")</f>
        <v/>
      </c>
      <c r="AO164" s="10" t="str">
        <f aca="false">IF(A164="","",A164&amp;"_CAD.dwg")</f>
        <v/>
      </c>
      <c r="AP164" s="10" t="str">
        <f aca="false">IF(A164="","",A164&amp;"_DWG.pdf")</f>
        <v/>
      </c>
      <c r="AQ164" s="10" t="str">
        <f aca="false">IF(A164="","",IF(AM164="Y",A164&amp;"_STAAD.std","n/a"))</f>
        <v/>
      </c>
      <c r="AR164" s="10" t="str">
        <f aca="false">IF(A164="","",A164&amp;"_CALC.xlsx")</f>
        <v/>
      </c>
      <c r="AS164" s="10" t="str">
        <f aca="false">IF(A164="","",A164&amp;"_CALC.pdf")</f>
        <v/>
      </c>
      <c r="AT164" s="9"/>
      <c r="AU164" s="9"/>
      <c r="AV164" s="39"/>
      <c r="AW164" s="39"/>
      <c r="AX164" s="39"/>
      <c r="AY164" s="39"/>
      <c r="AZ164" s="39"/>
      <c r="BA164" s="12" t="str">
        <f aca="false">IF(A164="","",IF(COUNTIF(Rebar_Schedule!$A$5:$A$2004,A164)=0,"",ROUND(SUMIF(Rebar_Schedule!$A$5:$A$2004,A164,Rebar_Schedule!$K$5:$K$2004),1)))</f>
        <v/>
      </c>
      <c r="BB164" s="33" t="str">
        <f aca="false">IF(A164="","",IF(BA164="","No rebar schedule yet",IF(ABS(BA164-N(AW164))/MAX(N(AW164),1)&gt;SG_Criteria!$B$55,"NOTE: register rebar differs from schedule by "&amp;TEXT(ABS(BA164-N(AW164))/MAX(N(AW164),1),"0%"),"OK")))</f>
        <v/>
      </c>
      <c r="BC164" s="34" t="str">
        <f aca="false">IF(OR(D164="",G164="",H164="",D164="Sump",D164="Drop Inlet Chamber",D164="Silt Trap",D164="Pipe Culvert",D164="Subsoil Drain"),"",ROUND(MAX(1,N(I164))*(1/SG_Criteria!$B$26)*((G164/1000)*(H164/1000*(1-SG_Criteria!$B$25)))*(((G164/1000)*(H164/1000*(1-SG_Criteria!$B$25)))/((G164/1000)+2*(H164/1000*(1-SG_Criteria!$B$25))))^(2/3)*(1/Design_Selector!$B$11)^0.5,3))</f>
        <v/>
      </c>
      <c r="BD164" s="11" t="str">
        <f aca="false">IF(BC164="","",ROUND(BC164/(MAX(1,N(I164))*G164/1000*(H164/1000*(1-SG_Criteria!$B$25))),2))</f>
        <v/>
      </c>
      <c r="BE164" s="33" t="str">
        <f aca="false">IF(D164="","",IF(LEN(IF(AND(OR(E164="Roadside drain",E164="Entrance culvert"),OR(G164&lt;SG_Criteria!$B$15,H164&lt;SG_Criteria!$B$16)),"FAIL: below PUB min "&amp;SG_Criteria!$B$15&amp;"x"&amp;SG_Criteria!$B$16&amp;" for roadside drain. ","")&amp;IF(AND(E164="Common drain",G164&lt;SG_Criteria!$B$17),"FAIL: common drain W &lt; "&amp;SG_Criteria!$B$17&amp;" mm. ","")&amp;IF(AND(O164&lt;&gt;"",IFERROR(VALUE(MID(O164,2,2)),0)&lt;SG_Criteria!$B$19),"FAIL: grade below C"&amp;SG_Criteria!$B$19&amp;". ","")&amp;IF(AND(P164&lt;&gt;"",P164&lt;SG_Criteria!$B$20),"FAIL: cover &lt; "&amp;SG_Criteria!$B$20&amp;" mm. ","")&amp;IF(AND(F164="Open",H164&gt;SG_Criteria!$B$18),"NOTE: safety railing required (D &gt; "&amp;SG_Criteria!$B$18&amp;" mm). ","")&amp;IF(AND(E164="Entrance culvert",H164&lt;600),"NOTE: check hinged grating rule for culverts &lt; 600 deep (PUB Add. 3). ",""))=0,"OK",IF(AND(OR(E164="Roadside drain",E164="Entrance culvert"),OR(G164&lt;SG_Criteria!$B$15,H164&lt;SG_Criteria!$B$16)),"FAIL: below PUB min "&amp;SG_Criteria!$B$15&amp;"x"&amp;SG_Criteria!$B$16&amp;" for roadside drain. ","")&amp;IF(AND(E164="Common drain",G164&lt;SG_Criteria!$B$17),"FAIL: common drain W &lt; "&amp;SG_Criteria!$B$17&amp;" mm. ","")&amp;IF(AND(O164&lt;&gt;"",IFERROR(VALUE(MID(O164,2,2)),0)&lt;SG_Criteria!$B$19),"FAIL: grade below C"&amp;SG_Criteria!$B$19&amp;". ","")&amp;IF(AND(P164&lt;&gt;"",P164&lt;SG_Criteria!$B$20),"FAIL: cover &lt; "&amp;SG_Criteria!$B$20&amp;" mm. ","")&amp;IF(AND(F164="Open",H164&gt;SG_Criteria!$B$18),"NOTE: safety railing required (D &gt; "&amp;SG_Criteria!$B$18&amp;" mm). ","")&amp;IF(AND(E164="Entrance culvert",H164&lt;600),"NOTE: check hinged grating rule for culverts &lt; 600 deep (PUB Add. 3). ","")))</f>
        <v/>
      </c>
      <c r="BF164" s="9"/>
      <c r="BG164" s="9"/>
      <c r="BH164" s="9"/>
      <c r="BI164" s="10" t="str">
        <f aca="false">IF(BH164="","",IFERROR(VLOOKUP(BH164,Projects!$A$5:$D$504,2,0),"Ref not in Projects"))</f>
        <v/>
      </c>
      <c r="BJ164" s="10" t="str">
        <f aca="false">IF(BH164="","",IFERROR(VLOOKUP(BH164,Projects!$A$5:$D$504,4,0),"Ref not in Projects"))</f>
        <v/>
      </c>
      <c r="BK164" s="9"/>
      <c r="BL164" s="9"/>
      <c r="BM164" s="9"/>
      <c r="BN164" s="40"/>
      <c r="BO164" s="9"/>
      <c r="BP164" s="40"/>
      <c r="BQ164" s="9"/>
      <c r="BR164" s="40"/>
      <c r="BS164" s="9"/>
      <c r="BT164" s="9"/>
      <c r="BU164" s="9"/>
      <c r="BV164" s="40"/>
      <c r="BW164" s="40"/>
      <c r="BX164" s="36" t="str">
        <f aca="false">IF(BW164="","",EDATE(BW164,SG_Criteria!$B$54*12))</f>
        <v/>
      </c>
      <c r="BY164" s="33" t="str">
        <f aca="true">IF(A164="","",IF(BW164="","NOTE: not reviewed yet",IF(TODAY()&gt;BX164,"NOTE: review overdue","OK")))</f>
        <v/>
      </c>
      <c r="BZ164" s="37" t="str">
        <f aca="false">IF(A164="","",ROUND((IF(LEN(D164)&gt;0,1,0)+IF(LEN(E164)&gt;0,1,0)+IF(LEN(F164)&gt;0,1,0)+IF(LEN(G164)&gt;0,1,0)+IF(LEN(H164)&gt;0,1,0)+IF(LEN(J164)&gt;0,1,0)+IF(LEN(K164)&gt;0,1,0)+IF(LEN(M164)&gt;0,1,0)+IF(LEN(O164)&gt;0,1,0)+IF(LEN(P164)&gt;0,1,0)+IF(LEN(Q164)&gt;0,1,0)+IF(LEN(S164)&gt;0,1,0)+IF(LEN(AC164)&gt;0,1,0)+IF(LEN(AV164)&gt;0,1,0)+IF(LEN(AW164)&gt;0,1,0)+IF(LEN(AG164)&gt;0,1,0)+IF(LEN(AI164)&gt;0,1,0)+IF(LEN(AJ164)&gt;0,1,0)+IF(LEN(AK164)&gt;0,1,0)+IF(LEN(AL164)&gt;0,1,0)+IF(LEN(AU164)&gt;0,1,0)+IF(LEN(BH164)&gt;0,1,0)+IF(LEN(BU164)&gt;0,1,0))/23,2))</f>
        <v/>
      </c>
      <c r="CA164" s="10" t="str">
        <f aca="false">IF(D164="","",IF(AND(AJ164="Approved",ISERROR(SEARCH("FAIL",BE164))),"Y","N"))</f>
        <v/>
      </c>
      <c r="CB164" s="10" t="str">
        <f aca="false">IF(D164="","",D164&amp;"|"&amp;G164&amp;"|"&amp;H164&amp;"|"&amp;M164&amp;"|"&amp;CA164)</f>
        <v/>
      </c>
    </row>
    <row r="165" customFormat="false" ht="15" hidden="false" customHeight="false" outlineLevel="0" collapsed="false">
      <c r="A165" s="10" t="str">
        <f aca="false">IF(D165="","","DRN-"&amp;IFERROR(VLOOKUP(D165,Lists!$A$4:$B$27,2,0),"??")&amp;"-"&amp;TEXT(G165,"0000")&amp;"x"&amp;TEXT(H165,"0000")&amp;IF(N(I165)&gt;1,"-"&amp;I165&amp;"C","")&amp;"-"&amp;IFERROR(VLOOKUP(M165,Lists!$J$4:$K$19,2,0),"??")&amp;"-"&amp;AI165)</f>
        <v/>
      </c>
      <c r="B165" s="10" t="str">
        <f aca="false">IF(D165="","",D165&amp;" "&amp;G165&amp;"W x "&amp;H165&amp;"D"&amp;IF(N(I165)&gt;1," ("&amp;I165&amp;" cells)","")&amp;", "&amp;E165&amp;", "&amp;M165&amp;", "&amp;F165)</f>
        <v/>
      </c>
      <c r="C165" s="9"/>
      <c r="D165" s="9"/>
      <c r="E165" s="9"/>
      <c r="F165" s="9"/>
      <c r="G165" s="38"/>
      <c r="H165" s="38"/>
      <c r="I165" s="38"/>
      <c r="J165" s="38"/>
      <c r="K165" s="38"/>
      <c r="L165" s="38"/>
      <c r="M165" s="9"/>
      <c r="N165" s="9"/>
      <c r="O165" s="9"/>
      <c r="P165" s="38"/>
      <c r="Q165" s="9"/>
      <c r="R165" s="9"/>
      <c r="S165" s="9"/>
      <c r="T165" s="9"/>
      <c r="U165" s="9"/>
      <c r="V165" s="9"/>
      <c r="W165" s="9"/>
      <c r="X165" s="9"/>
      <c r="Y165" s="9"/>
      <c r="Z165" s="9"/>
      <c r="AA165" s="9"/>
      <c r="AB165" s="39"/>
      <c r="AC165" s="9"/>
      <c r="AD165" s="38"/>
      <c r="AE165" s="9"/>
      <c r="AF165" s="39"/>
      <c r="AG165" s="9"/>
      <c r="AH165" s="9"/>
      <c r="AI165" s="9"/>
      <c r="AJ165" s="9"/>
      <c r="AK165" s="9"/>
      <c r="AL165" s="9"/>
      <c r="AM165" s="9"/>
      <c r="AN165" s="10" t="str">
        <f aca="false">IF(A165="","",SG_Criteria!$B$6&amp;SG_Criteria!$B$7&amp;"\"&amp;A165&amp;"\")</f>
        <v/>
      </c>
      <c r="AO165" s="10" t="str">
        <f aca="false">IF(A165="","",A165&amp;"_CAD.dwg")</f>
        <v/>
      </c>
      <c r="AP165" s="10" t="str">
        <f aca="false">IF(A165="","",A165&amp;"_DWG.pdf")</f>
        <v/>
      </c>
      <c r="AQ165" s="10" t="str">
        <f aca="false">IF(A165="","",IF(AM165="Y",A165&amp;"_STAAD.std","n/a"))</f>
        <v/>
      </c>
      <c r="AR165" s="10" t="str">
        <f aca="false">IF(A165="","",A165&amp;"_CALC.xlsx")</f>
        <v/>
      </c>
      <c r="AS165" s="10" t="str">
        <f aca="false">IF(A165="","",A165&amp;"_CALC.pdf")</f>
        <v/>
      </c>
      <c r="AT165" s="9"/>
      <c r="AU165" s="9"/>
      <c r="AV165" s="39"/>
      <c r="AW165" s="39"/>
      <c r="AX165" s="39"/>
      <c r="AY165" s="39"/>
      <c r="AZ165" s="39"/>
      <c r="BA165" s="12" t="str">
        <f aca="false">IF(A165="","",IF(COUNTIF(Rebar_Schedule!$A$5:$A$2004,A165)=0,"",ROUND(SUMIF(Rebar_Schedule!$A$5:$A$2004,A165,Rebar_Schedule!$K$5:$K$2004),1)))</f>
        <v/>
      </c>
      <c r="BB165" s="33" t="str">
        <f aca="false">IF(A165="","",IF(BA165="","No rebar schedule yet",IF(ABS(BA165-N(AW165))/MAX(N(AW165),1)&gt;SG_Criteria!$B$55,"NOTE: register rebar differs from schedule by "&amp;TEXT(ABS(BA165-N(AW165))/MAX(N(AW165),1),"0%"),"OK")))</f>
        <v/>
      </c>
      <c r="BC165" s="34" t="str">
        <f aca="false">IF(OR(D165="",G165="",H165="",D165="Sump",D165="Drop Inlet Chamber",D165="Silt Trap",D165="Pipe Culvert",D165="Subsoil Drain"),"",ROUND(MAX(1,N(I165))*(1/SG_Criteria!$B$26)*((G165/1000)*(H165/1000*(1-SG_Criteria!$B$25)))*(((G165/1000)*(H165/1000*(1-SG_Criteria!$B$25)))/((G165/1000)+2*(H165/1000*(1-SG_Criteria!$B$25))))^(2/3)*(1/Design_Selector!$B$11)^0.5,3))</f>
        <v/>
      </c>
      <c r="BD165" s="11" t="str">
        <f aca="false">IF(BC165="","",ROUND(BC165/(MAX(1,N(I165))*G165/1000*(H165/1000*(1-SG_Criteria!$B$25))),2))</f>
        <v/>
      </c>
      <c r="BE165" s="33" t="str">
        <f aca="false">IF(D165="","",IF(LEN(IF(AND(OR(E165="Roadside drain",E165="Entrance culvert"),OR(G165&lt;SG_Criteria!$B$15,H165&lt;SG_Criteria!$B$16)),"FAIL: below PUB min "&amp;SG_Criteria!$B$15&amp;"x"&amp;SG_Criteria!$B$16&amp;" for roadside drain. ","")&amp;IF(AND(E165="Common drain",G165&lt;SG_Criteria!$B$17),"FAIL: common drain W &lt; "&amp;SG_Criteria!$B$17&amp;" mm. ","")&amp;IF(AND(O165&lt;&gt;"",IFERROR(VALUE(MID(O165,2,2)),0)&lt;SG_Criteria!$B$19),"FAIL: grade below C"&amp;SG_Criteria!$B$19&amp;". ","")&amp;IF(AND(P165&lt;&gt;"",P165&lt;SG_Criteria!$B$20),"FAIL: cover &lt; "&amp;SG_Criteria!$B$20&amp;" mm. ","")&amp;IF(AND(F165="Open",H165&gt;SG_Criteria!$B$18),"NOTE: safety railing required (D &gt; "&amp;SG_Criteria!$B$18&amp;" mm). ","")&amp;IF(AND(E165="Entrance culvert",H165&lt;600),"NOTE: check hinged grating rule for culverts &lt; 600 deep (PUB Add. 3). ",""))=0,"OK",IF(AND(OR(E165="Roadside drain",E165="Entrance culvert"),OR(G165&lt;SG_Criteria!$B$15,H165&lt;SG_Criteria!$B$16)),"FAIL: below PUB min "&amp;SG_Criteria!$B$15&amp;"x"&amp;SG_Criteria!$B$16&amp;" for roadside drain. ","")&amp;IF(AND(E165="Common drain",G165&lt;SG_Criteria!$B$17),"FAIL: common drain W &lt; "&amp;SG_Criteria!$B$17&amp;" mm. ","")&amp;IF(AND(O165&lt;&gt;"",IFERROR(VALUE(MID(O165,2,2)),0)&lt;SG_Criteria!$B$19),"FAIL: grade below C"&amp;SG_Criteria!$B$19&amp;". ","")&amp;IF(AND(P165&lt;&gt;"",P165&lt;SG_Criteria!$B$20),"FAIL: cover &lt; "&amp;SG_Criteria!$B$20&amp;" mm. ","")&amp;IF(AND(F165="Open",H165&gt;SG_Criteria!$B$18),"NOTE: safety railing required (D &gt; "&amp;SG_Criteria!$B$18&amp;" mm). ","")&amp;IF(AND(E165="Entrance culvert",H165&lt;600),"NOTE: check hinged grating rule for culverts &lt; 600 deep (PUB Add. 3). ","")))</f>
        <v/>
      </c>
      <c r="BF165" s="9"/>
      <c r="BG165" s="9"/>
      <c r="BH165" s="9"/>
      <c r="BI165" s="10" t="str">
        <f aca="false">IF(BH165="","",IFERROR(VLOOKUP(BH165,Projects!$A$5:$D$504,2,0),"Ref not in Projects"))</f>
        <v/>
      </c>
      <c r="BJ165" s="10" t="str">
        <f aca="false">IF(BH165="","",IFERROR(VLOOKUP(BH165,Projects!$A$5:$D$504,4,0),"Ref not in Projects"))</f>
        <v/>
      </c>
      <c r="BK165" s="9"/>
      <c r="BL165" s="9"/>
      <c r="BM165" s="9"/>
      <c r="BN165" s="40"/>
      <c r="BO165" s="9"/>
      <c r="BP165" s="40"/>
      <c r="BQ165" s="9"/>
      <c r="BR165" s="40"/>
      <c r="BS165" s="9"/>
      <c r="BT165" s="9"/>
      <c r="BU165" s="9"/>
      <c r="BV165" s="40"/>
      <c r="BW165" s="40"/>
      <c r="BX165" s="36" t="str">
        <f aca="false">IF(BW165="","",EDATE(BW165,SG_Criteria!$B$54*12))</f>
        <v/>
      </c>
      <c r="BY165" s="33" t="str">
        <f aca="true">IF(A165="","",IF(BW165="","NOTE: not reviewed yet",IF(TODAY()&gt;BX165,"NOTE: review overdue","OK")))</f>
        <v/>
      </c>
      <c r="BZ165" s="37" t="str">
        <f aca="false">IF(A165="","",ROUND((IF(LEN(D165)&gt;0,1,0)+IF(LEN(E165)&gt;0,1,0)+IF(LEN(F165)&gt;0,1,0)+IF(LEN(G165)&gt;0,1,0)+IF(LEN(H165)&gt;0,1,0)+IF(LEN(J165)&gt;0,1,0)+IF(LEN(K165)&gt;0,1,0)+IF(LEN(M165)&gt;0,1,0)+IF(LEN(O165)&gt;0,1,0)+IF(LEN(P165)&gt;0,1,0)+IF(LEN(Q165)&gt;0,1,0)+IF(LEN(S165)&gt;0,1,0)+IF(LEN(AC165)&gt;0,1,0)+IF(LEN(AV165)&gt;0,1,0)+IF(LEN(AW165)&gt;0,1,0)+IF(LEN(AG165)&gt;0,1,0)+IF(LEN(AI165)&gt;0,1,0)+IF(LEN(AJ165)&gt;0,1,0)+IF(LEN(AK165)&gt;0,1,0)+IF(LEN(AL165)&gt;0,1,0)+IF(LEN(AU165)&gt;0,1,0)+IF(LEN(BH165)&gt;0,1,0)+IF(LEN(BU165)&gt;0,1,0))/23,2))</f>
        <v/>
      </c>
      <c r="CA165" s="10" t="str">
        <f aca="false">IF(D165="","",IF(AND(AJ165="Approved",ISERROR(SEARCH("FAIL",BE165))),"Y","N"))</f>
        <v/>
      </c>
      <c r="CB165" s="10" t="str">
        <f aca="false">IF(D165="","",D165&amp;"|"&amp;G165&amp;"|"&amp;H165&amp;"|"&amp;M165&amp;"|"&amp;CA165)</f>
        <v/>
      </c>
    </row>
    <row r="166" customFormat="false" ht="15" hidden="false" customHeight="false" outlineLevel="0" collapsed="false">
      <c r="A166" s="10" t="str">
        <f aca="false">IF(D166="","","DRN-"&amp;IFERROR(VLOOKUP(D166,Lists!$A$4:$B$27,2,0),"??")&amp;"-"&amp;TEXT(G166,"0000")&amp;"x"&amp;TEXT(H166,"0000")&amp;IF(N(I166)&gt;1,"-"&amp;I166&amp;"C","")&amp;"-"&amp;IFERROR(VLOOKUP(M166,Lists!$J$4:$K$19,2,0),"??")&amp;"-"&amp;AI166)</f>
        <v/>
      </c>
      <c r="B166" s="10" t="str">
        <f aca="false">IF(D166="","",D166&amp;" "&amp;G166&amp;"W x "&amp;H166&amp;"D"&amp;IF(N(I166)&gt;1," ("&amp;I166&amp;" cells)","")&amp;", "&amp;E166&amp;", "&amp;M166&amp;", "&amp;F166)</f>
        <v/>
      </c>
      <c r="C166" s="9"/>
      <c r="D166" s="9"/>
      <c r="E166" s="9"/>
      <c r="F166" s="9"/>
      <c r="G166" s="38"/>
      <c r="H166" s="38"/>
      <c r="I166" s="38"/>
      <c r="J166" s="38"/>
      <c r="K166" s="38"/>
      <c r="L166" s="38"/>
      <c r="M166" s="9"/>
      <c r="N166" s="9"/>
      <c r="O166" s="9"/>
      <c r="P166" s="38"/>
      <c r="Q166" s="9"/>
      <c r="R166" s="9"/>
      <c r="S166" s="9"/>
      <c r="T166" s="9"/>
      <c r="U166" s="9"/>
      <c r="V166" s="9"/>
      <c r="W166" s="9"/>
      <c r="X166" s="9"/>
      <c r="Y166" s="9"/>
      <c r="Z166" s="9"/>
      <c r="AA166" s="9"/>
      <c r="AB166" s="39"/>
      <c r="AC166" s="9"/>
      <c r="AD166" s="38"/>
      <c r="AE166" s="9"/>
      <c r="AF166" s="39"/>
      <c r="AG166" s="9"/>
      <c r="AH166" s="9"/>
      <c r="AI166" s="9"/>
      <c r="AJ166" s="9"/>
      <c r="AK166" s="9"/>
      <c r="AL166" s="9"/>
      <c r="AM166" s="9"/>
      <c r="AN166" s="10" t="str">
        <f aca="false">IF(A166="","",SG_Criteria!$B$6&amp;SG_Criteria!$B$7&amp;"\"&amp;A166&amp;"\")</f>
        <v/>
      </c>
      <c r="AO166" s="10" t="str">
        <f aca="false">IF(A166="","",A166&amp;"_CAD.dwg")</f>
        <v/>
      </c>
      <c r="AP166" s="10" t="str">
        <f aca="false">IF(A166="","",A166&amp;"_DWG.pdf")</f>
        <v/>
      </c>
      <c r="AQ166" s="10" t="str">
        <f aca="false">IF(A166="","",IF(AM166="Y",A166&amp;"_STAAD.std","n/a"))</f>
        <v/>
      </c>
      <c r="AR166" s="10" t="str">
        <f aca="false">IF(A166="","",A166&amp;"_CALC.xlsx")</f>
        <v/>
      </c>
      <c r="AS166" s="10" t="str">
        <f aca="false">IF(A166="","",A166&amp;"_CALC.pdf")</f>
        <v/>
      </c>
      <c r="AT166" s="9"/>
      <c r="AU166" s="9"/>
      <c r="AV166" s="39"/>
      <c r="AW166" s="39"/>
      <c r="AX166" s="39"/>
      <c r="AY166" s="39"/>
      <c r="AZ166" s="39"/>
      <c r="BA166" s="12" t="str">
        <f aca="false">IF(A166="","",IF(COUNTIF(Rebar_Schedule!$A$5:$A$2004,A166)=0,"",ROUND(SUMIF(Rebar_Schedule!$A$5:$A$2004,A166,Rebar_Schedule!$K$5:$K$2004),1)))</f>
        <v/>
      </c>
      <c r="BB166" s="33" t="str">
        <f aca="false">IF(A166="","",IF(BA166="","No rebar schedule yet",IF(ABS(BA166-N(AW166))/MAX(N(AW166),1)&gt;SG_Criteria!$B$55,"NOTE: register rebar differs from schedule by "&amp;TEXT(ABS(BA166-N(AW166))/MAX(N(AW166),1),"0%"),"OK")))</f>
        <v/>
      </c>
      <c r="BC166" s="34" t="str">
        <f aca="false">IF(OR(D166="",G166="",H166="",D166="Sump",D166="Drop Inlet Chamber",D166="Silt Trap",D166="Pipe Culvert",D166="Subsoil Drain"),"",ROUND(MAX(1,N(I166))*(1/SG_Criteria!$B$26)*((G166/1000)*(H166/1000*(1-SG_Criteria!$B$25)))*(((G166/1000)*(H166/1000*(1-SG_Criteria!$B$25)))/((G166/1000)+2*(H166/1000*(1-SG_Criteria!$B$25))))^(2/3)*(1/Design_Selector!$B$11)^0.5,3))</f>
        <v/>
      </c>
      <c r="BD166" s="11" t="str">
        <f aca="false">IF(BC166="","",ROUND(BC166/(MAX(1,N(I166))*G166/1000*(H166/1000*(1-SG_Criteria!$B$25))),2))</f>
        <v/>
      </c>
      <c r="BE166" s="33" t="str">
        <f aca="false">IF(D166="","",IF(LEN(IF(AND(OR(E166="Roadside drain",E166="Entrance culvert"),OR(G166&lt;SG_Criteria!$B$15,H166&lt;SG_Criteria!$B$16)),"FAIL: below PUB min "&amp;SG_Criteria!$B$15&amp;"x"&amp;SG_Criteria!$B$16&amp;" for roadside drain. ","")&amp;IF(AND(E166="Common drain",G166&lt;SG_Criteria!$B$17),"FAIL: common drain W &lt; "&amp;SG_Criteria!$B$17&amp;" mm. ","")&amp;IF(AND(O166&lt;&gt;"",IFERROR(VALUE(MID(O166,2,2)),0)&lt;SG_Criteria!$B$19),"FAIL: grade below C"&amp;SG_Criteria!$B$19&amp;". ","")&amp;IF(AND(P166&lt;&gt;"",P166&lt;SG_Criteria!$B$20),"FAIL: cover &lt; "&amp;SG_Criteria!$B$20&amp;" mm. ","")&amp;IF(AND(F166="Open",H166&gt;SG_Criteria!$B$18),"NOTE: safety railing required (D &gt; "&amp;SG_Criteria!$B$18&amp;" mm). ","")&amp;IF(AND(E166="Entrance culvert",H166&lt;600),"NOTE: check hinged grating rule for culverts &lt; 600 deep (PUB Add. 3). ",""))=0,"OK",IF(AND(OR(E166="Roadside drain",E166="Entrance culvert"),OR(G166&lt;SG_Criteria!$B$15,H166&lt;SG_Criteria!$B$16)),"FAIL: below PUB min "&amp;SG_Criteria!$B$15&amp;"x"&amp;SG_Criteria!$B$16&amp;" for roadside drain. ","")&amp;IF(AND(E166="Common drain",G166&lt;SG_Criteria!$B$17),"FAIL: common drain W &lt; "&amp;SG_Criteria!$B$17&amp;" mm. ","")&amp;IF(AND(O166&lt;&gt;"",IFERROR(VALUE(MID(O166,2,2)),0)&lt;SG_Criteria!$B$19),"FAIL: grade below C"&amp;SG_Criteria!$B$19&amp;". ","")&amp;IF(AND(P166&lt;&gt;"",P166&lt;SG_Criteria!$B$20),"FAIL: cover &lt; "&amp;SG_Criteria!$B$20&amp;" mm. ","")&amp;IF(AND(F166="Open",H166&gt;SG_Criteria!$B$18),"NOTE: safety railing required (D &gt; "&amp;SG_Criteria!$B$18&amp;" mm). ","")&amp;IF(AND(E166="Entrance culvert",H166&lt;600),"NOTE: check hinged grating rule for culverts &lt; 600 deep (PUB Add. 3). ","")))</f>
        <v/>
      </c>
      <c r="BF166" s="9"/>
      <c r="BG166" s="9"/>
      <c r="BH166" s="9"/>
      <c r="BI166" s="10" t="str">
        <f aca="false">IF(BH166="","",IFERROR(VLOOKUP(BH166,Projects!$A$5:$D$504,2,0),"Ref not in Projects"))</f>
        <v/>
      </c>
      <c r="BJ166" s="10" t="str">
        <f aca="false">IF(BH166="","",IFERROR(VLOOKUP(BH166,Projects!$A$5:$D$504,4,0),"Ref not in Projects"))</f>
        <v/>
      </c>
      <c r="BK166" s="9"/>
      <c r="BL166" s="9"/>
      <c r="BM166" s="9"/>
      <c r="BN166" s="40"/>
      <c r="BO166" s="9"/>
      <c r="BP166" s="40"/>
      <c r="BQ166" s="9"/>
      <c r="BR166" s="40"/>
      <c r="BS166" s="9"/>
      <c r="BT166" s="9"/>
      <c r="BU166" s="9"/>
      <c r="BV166" s="40"/>
      <c r="BW166" s="40"/>
      <c r="BX166" s="36" t="str">
        <f aca="false">IF(BW166="","",EDATE(BW166,SG_Criteria!$B$54*12))</f>
        <v/>
      </c>
      <c r="BY166" s="33" t="str">
        <f aca="true">IF(A166="","",IF(BW166="","NOTE: not reviewed yet",IF(TODAY()&gt;BX166,"NOTE: review overdue","OK")))</f>
        <v/>
      </c>
      <c r="BZ166" s="37" t="str">
        <f aca="false">IF(A166="","",ROUND((IF(LEN(D166)&gt;0,1,0)+IF(LEN(E166)&gt;0,1,0)+IF(LEN(F166)&gt;0,1,0)+IF(LEN(G166)&gt;0,1,0)+IF(LEN(H166)&gt;0,1,0)+IF(LEN(J166)&gt;0,1,0)+IF(LEN(K166)&gt;0,1,0)+IF(LEN(M166)&gt;0,1,0)+IF(LEN(O166)&gt;0,1,0)+IF(LEN(P166)&gt;0,1,0)+IF(LEN(Q166)&gt;0,1,0)+IF(LEN(S166)&gt;0,1,0)+IF(LEN(AC166)&gt;0,1,0)+IF(LEN(AV166)&gt;0,1,0)+IF(LEN(AW166)&gt;0,1,0)+IF(LEN(AG166)&gt;0,1,0)+IF(LEN(AI166)&gt;0,1,0)+IF(LEN(AJ166)&gt;0,1,0)+IF(LEN(AK166)&gt;0,1,0)+IF(LEN(AL166)&gt;0,1,0)+IF(LEN(AU166)&gt;0,1,0)+IF(LEN(BH166)&gt;0,1,0)+IF(LEN(BU166)&gt;0,1,0))/23,2))</f>
        <v/>
      </c>
      <c r="CA166" s="10" t="str">
        <f aca="false">IF(D166="","",IF(AND(AJ166="Approved",ISERROR(SEARCH("FAIL",BE166))),"Y","N"))</f>
        <v/>
      </c>
      <c r="CB166" s="10" t="str">
        <f aca="false">IF(D166="","",D166&amp;"|"&amp;G166&amp;"|"&amp;H166&amp;"|"&amp;M166&amp;"|"&amp;CA166)</f>
        <v/>
      </c>
    </row>
    <row r="167" customFormat="false" ht="15" hidden="false" customHeight="false" outlineLevel="0" collapsed="false">
      <c r="A167" s="10" t="str">
        <f aca="false">IF(D167="","","DRN-"&amp;IFERROR(VLOOKUP(D167,Lists!$A$4:$B$27,2,0),"??")&amp;"-"&amp;TEXT(G167,"0000")&amp;"x"&amp;TEXT(H167,"0000")&amp;IF(N(I167)&gt;1,"-"&amp;I167&amp;"C","")&amp;"-"&amp;IFERROR(VLOOKUP(M167,Lists!$J$4:$K$19,2,0),"??")&amp;"-"&amp;AI167)</f>
        <v/>
      </c>
      <c r="B167" s="10" t="str">
        <f aca="false">IF(D167="","",D167&amp;" "&amp;G167&amp;"W x "&amp;H167&amp;"D"&amp;IF(N(I167)&gt;1," ("&amp;I167&amp;" cells)","")&amp;", "&amp;E167&amp;", "&amp;M167&amp;", "&amp;F167)</f>
        <v/>
      </c>
      <c r="C167" s="9"/>
      <c r="D167" s="9"/>
      <c r="E167" s="9"/>
      <c r="F167" s="9"/>
      <c r="G167" s="38"/>
      <c r="H167" s="38"/>
      <c r="I167" s="38"/>
      <c r="J167" s="38"/>
      <c r="K167" s="38"/>
      <c r="L167" s="38"/>
      <c r="M167" s="9"/>
      <c r="N167" s="9"/>
      <c r="O167" s="9"/>
      <c r="P167" s="38"/>
      <c r="Q167" s="9"/>
      <c r="R167" s="9"/>
      <c r="S167" s="9"/>
      <c r="T167" s="9"/>
      <c r="U167" s="9"/>
      <c r="V167" s="9"/>
      <c r="W167" s="9"/>
      <c r="X167" s="9"/>
      <c r="Y167" s="9"/>
      <c r="Z167" s="9"/>
      <c r="AA167" s="9"/>
      <c r="AB167" s="39"/>
      <c r="AC167" s="9"/>
      <c r="AD167" s="38"/>
      <c r="AE167" s="9"/>
      <c r="AF167" s="39"/>
      <c r="AG167" s="9"/>
      <c r="AH167" s="9"/>
      <c r="AI167" s="9"/>
      <c r="AJ167" s="9"/>
      <c r="AK167" s="9"/>
      <c r="AL167" s="9"/>
      <c r="AM167" s="9"/>
      <c r="AN167" s="10" t="str">
        <f aca="false">IF(A167="","",SG_Criteria!$B$6&amp;SG_Criteria!$B$7&amp;"\"&amp;A167&amp;"\")</f>
        <v/>
      </c>
      <c r="AO167" s="10" t="str">
        <f aca="false">IF(A167="","",A167&amp;"_CAD.dwg")</f>
        <v/>
      </c>
      <c r="AP167" s="10" t="str">
        <f aca="false">IF(A167="","",A167&amp;"_DWG.pdf")</f>
        <v/>
      </c>
      <c r="AQ167" s="10" t="str">
        <f aca="false">IF(A167="","",IF(AM167="Y",A167&amp;"_STAAD.std","n/a"))</f>
        <v/>
      </c>
      <c r="AR167" s="10" t="str">
        <f aca="false">IF(A167="","",A167&amp;"_CALC.xlsx")</f>
        <v/>
      </c>
      <c r="AS167" s="10" t="str">
        <f aca="false">IF(A167="","",A167&amp;"_CALC.pdf")</f>
        <v/>
      </c>
      <c r="AT167" s="9"/>
      <c r="AU167" s="9"/>
      <c r="AV167" s="39"/>
      <c r="AW167" s="39"/>
      <c r="AX167" s="39"/>
      <c r="AY167" s="39"/>
      <c r="AZ167" s="39"/>
      <c r="BA167" s="12" t="str">
        <f aca="false">IF(A167="","",IF(COUNTIF(Rebar_Schedule!$A$5:$A$2004,A167)=0,"",ROUND(SUMIF(Rebar_Schedule!$A$5:$A$2004,A167,Rebar_Schedule!$K$5:$K$2004),1)))</f>
        <v/>
      </c>
      <c r="BB167" s="33" t="str">
        <f aca="false">IF(A167="","",IF(BA167="","No rebar schedule yet",IF(ABS(BA167-N(AW167))/MAX(N(AW167),1)&gt;SG_Criteria!$B$55,"NOTE: register rebar differs from schedule by "&amp;TEXT(ABS(BA167-N(AW167))/MAX(N(AW167),1),"0%"),"OK")))</f>
        <v/>
      </c>
      <c r="BC167" s="34" t="str">
        <f aca="false">IF(OR(D167="",G167="",H167="",D167="Sump",D167="Drop Inlet Chamber",D167="Silt Trap",D167="Pipe Culvert",D167="Subsoil Drain"),"",ROUND(MAX(1,N(I167))*(1/SG_Criteria!$B$26)*((G167/1000)*(H167/1000*(1-SG_Criteria!$B$25)))*(((G167/1000)*(H167/1000*(1-SG_Criteria!$B$25)))/((G167/1000)+2*(H167/1000*(1-SG_Criteria!$B$25))))^(2/3)*(1/Design_Selector!$B$11)^0.5,3))</f>
        <v/>
      </c>
      <c r="BD167" s="11" t="str">
        <f aca="false">IF(BC167="","",ROUND(BC167/(MAX(1,N(I167))*G167/1000*(H167/1000*(1-SG_Criteria!$B$25))),2))</f>
        <v/>
      </c>
      <c r="BE167" s="33" t="str">
        <f aca="false">IF(D167="","",IF(LEN(IF(AND(OR(E167="Roadside drain",E167="Entrance culvert"),OR(G167&lt;SG_Criteria!$B$15,H167&lt;SG_Criteria!$B$16)),"FAIL: below PUB min "&amp;SG_Criteria!$B$15&amp;"x"&amp;SG_Criteria!$B$16&amp;" for roadside drain. ","")&amp;IF(AND(E167="Common drain",G167&lt;SG_Criteria!$B$17),"FAIL: common drain W &lt; "&amp;SG_Criteria!$B$17&amp;" mm. ","")&amp;IF(AND(O167&lt;&gt;"",IFERROR(VALUE(MID(O167,2,2)),0)&lt;SG_Criteria!$B$19),"FAIL: grade below C"&amp;SG_Criteria!$B$19&amp;". ","")&amp;IF(AND(P167&lt;&gt;"",P167&lt;SG_Criteria!$B$20),"FAIL: cover &lt; "&amp;SG_Criteria!$B$20&amp;" mm. ","")&amp;IF(AND(F167="Open",H167&gt;SG_Criteria!$B$18),"NOTE: safety railing required (D &gt; "&amp;SG_Criteria!$B$18&amp;" mm). ","")&amp;IF(AND(E167="Entrance culvert",H167&lt;600),"NOTE: check hinged grating rule for culverts &lt; 600 deep (PUB Add. 3). ",""))=0,"OK",IF(AND(OR(E167="Roadside drain",E167="Entrance culvert"),OR(G167&lt;SG_Criteria!$B$15,H167&lt;SG_Criteria!$B$16)),"FAIL: below PUB min "&amp;SG_Criteria!$B$15&amp;"x"&amp;SG_Criteria!$B$16&amp;" for roadside drain. ","")&amp;IF(AND(E167="Common drain",G167&lt;SG_Criteria!$B$17),"FAIL: common drain W &lt; "&amp;SG_Criteria!$B$17&amp;" mm. ","")&amp;IF(AND(O167&lt;&gt;"",IFERROR(VALUE(MID(O167,2,2)),0)&lt;SG_Criteria!$B$19),"FAIL: grade below C"&amp;SG_Criteria!$B$19&amp;". ","")&amp;IF(AND(P167&lt;&gt;"",P167&lt;SG_Criteria!$B$20),"FAIL: cover &lt; "&amp;SG_Criteria!$B$20&amp;" mm. ","")&amp;IF(AND(F167="Open",H167&gt;SG_Criteria!$B$18),"NOTE: safety railing required (D &gt; "&amp;SG_Criteria!$B$18&amp;" mm). ","")&amp;IF(AND(E167="Entrance culvert",H167&lt;600),"NOTE: check hinged grating rule for culverts &lt; 600 deep (PUB Add. 3). ","")))</f>
        <v/>
      </c>
      <c r="BF167" s="9"/>
      <c r="BG167" s="9"/>
      <c r="BH167" s="9"/>
      <c r="BI167" s="10" t="str">
        <f aca="false">IF(BH167="","",IFERROR(VLOOKUP(BH167,Projects!$A$5:$D$504,2,0),"Ref not in Projects"))</f>
        <v/>
      </c>
      <c r="BJ167" s="10" t="str">
        <f aca="false">IF(BH167="","",IFERROR(VLOOKUP(BH167,Projects!$A$5:$D$504,4,0),"Ref not in Projects"))</f>
        <v/>
      </c>
      <c r="BK167" s="9"/>
      <c r="BL167" s="9"/>
      <c r="BM167" s="9"/>
      <c r="BN167" s="40"/>
      <c r="BO167" s="9"/>
      <c r="BP167" s="40"/>
      <c r="BQ167" s="9"/>
      <c r="BR167" s="40"/>
      <c r="BS167" s="9"/>
      <c r="BT167" s="9"/>
      <c r="BU167" s="9"/>
      <c r="BV167" s="40"/>
      <c r="BW167" s="40"/>
      <c r="BX167" s="36" t="str">
        <f aca="false">IF(BW167="","",EDATE(BW167,SG_Criteria!$B$54*12))</f>
        <v/>
      </c>
      <c r="BY167" s="33" t="str">
        <f aca="true">IF(A167="","",IF(BW167="","NOTE: not reviewed yet",IF(TODAY()&gt;BX167,"NOTE: review overdue","OK")))</f>
        <v/>
      </c>
      <c r="BZ167" s="37" t="str">
        <f aca="false">IF(A167="","",ROUND((IF(LEN(D167)&gt;0,1,0)+IF(LEN(E167)&gt;0,1,0)+IF(LEN(F167)&gt;0,1,0)+IF(LEN(G167)&gt;0,1,0)+IF(LEN(H167)&gt;0,1,0)+IF(LEN(J167)&gt;0,1,0)+IF(LEN(K167)&gt;0,1,0)+IF(LEN(M167)&gt;0,1,0)+IF(LEN(O167)&gt;0,1,0)+IF(LEN(P167)&gt;0,1,0)+IF(LEN(Q167)&gt;0,1,0)+IF(LEN(S167)&gt;0,1,0)+IF(LEN(AC167)&gt;0,1,0)+IF(LEN(AV167)&gt;0,1,0)+IF(LEN(AW167)&gt;0,1,0)+IF(LEN(AG167)&gt;0,1,0)+IF(LEN(AI167)&gt;0,1,0)+IF(LEN(AJ167)&gt;0,1,0)+IF(LEN(AK167)&gt;0,1,0)+IF(LEN(AL167)&gt;0,1,0)+IF(LEN(AU167)&gt;0,1,0)+IF(LEN(BH167)&gt;0,1,0)+IF(LEN(BU167)&gt;0,1,0))/23,2))</f>
        <v/>
      </c>
      <c r="CA167" s="10" t="str">
        <f aca="false">IF(D167="","",IF(AND(AJ167="Approved",ISERROR(SEARCH("FAIL",BE167))),"Y","N"))</f>
        <v/>
      </c>
      <c r="CB167" s="10" t="str">
        <f aca="false">IF(D167="","",D167&amp;"|"&amp;G167&amp;"|"&amp;H167&amp;"|"&amp;M167&amp;"|"&amp;CA167)</f>
        <v/>
      </c>
    </row>
    <row r="168" customFormat="false" ht="15" hidden="false" customHeight="false" outlineLevel="0" collapsed="false">
      <c r="A168" s="10" t="str">
        <f aca="false">IF(D168="","","DRN-"&amp;IFERROR(VLOOKUP(D168,Lists!$A$4:$B$27,2,0),"??")&amp;"-"&amp;TEXT(G168,"0000")&amp;"x"&amp;TEXT(H168,"0000")&amp;IF(N(I168)&gt;1,"-"&amp;I168&amp;"C","")&amp;"-"&amp;IFERROR(VLOOKUP(M168,Lists!$J$4:$K$19,2,0),"??")&amp;"-"&amp;AI168)</f>
        <v/>
      </c>
      <c r="B168" s="10" t="str">
        <f aca="false">IF(D168="","",D168&amp;" "&amp;G168&amp;"W x "&amp;H168&amp;"D"&amp;IF(N(I168)&gt;1," ("&amp;I168&amp;" cells)","")&amp;", "&amp;E168&amp;", "&amp;M168&amp;", "&amp;F168)</f>
        <v/>
      </c>
      <c r="C168" s="9"/>
      <c r="D168" s="9"/>
      <c r="E168" s="9"/>
      <c r="F168" s="9"/>
      <c r="G168" s="38"/>
      <c r="H168" s="38"/>
      <c r="I168" s="38"/>
      <c r="J168" s="38"/>
      <c r="K168" s="38"/>
      <c r="L168" s="38"/>
      <c r="M168" s="9"/>
      <c r="N168" s="9"/>
      <c r="O168" s="9"/>
      <c r="P168" s="38"/>
      <c r="Q168" s="9"/>
      <c r="R168" s="9"/>
      <c r="S168" s="9"/>
      <c r="T168" s="9"/>
      <c r="U168" s="9"/>
      <c r="V168" s="9"/>
      <c r="W168" s="9"/>
      <c r="X168" s="9"/>
      <c r="Y168" s="9"/>
      <c r="Z168" s="9"/>
      <c r="AA168" s="9"/>
      <c r="AB168" s="39"/>
      <c r="AC168" s="9"/>
      <c r="AD168" s="38"/>
      <c r="AE168" s="9"/>
      <c r="AF168" s="39"/>
      <c r="AG168" s="9"/>
      <c r="AH168" s="9"/>
      <c r="AI168" s="9"/>
      <c r="AJ168" s="9"/>
      <c r="AK168" s="9"/>
      <c r="AL168" s="9"/>
      <c r="AM168" s="9"/>
      <c r="AN168" s="10" t="str">
        <f aca="false">IF(A168="","",SG_Criteria!$B$6&amp;SG_Criteria!$B$7&amp;"\"&amp;A168&amp;"\")</f>
        <v/>
      </c>
      <c r="AO168" s="10" t="str">
        <f aca="false">IF(A168="","",A168&amp;"_CAD.dwg")</f>
        <v/>
      </c>
      <c r="AP168" s="10" t="str">
        <f aca="false">IF(A168="","",A168&amp;"_DWG.pdf")</f>
        <v/>
      </c>
      <c r="AQ168" s="10" t="str">
        <f aca="false">IF(A168="","",IF(AM168="Y",A168&amp;"_STAAD.std","n/a"))</f>
        <v/>
      </c>
      <c r="AR168" s="10" t="str">
        <f aca="false">IF(A168="","",A168&amp;"_CALC.xlsx")</f>
        <v/>
      </c>
      <c r="AS168" s="10" t="str">
        <f aca="false">IF(A168="","",A168&amp;"_CALC.pdf")</f>
        <v/>
      </c>
      <c r="AT168" s="9"/>
      <c r="AU168" s="9"/>
      <c r="AV168" s="39"/>
      <c r="AW168" s="39"/>
      <c r="AX168" s="39"/>
      <c r="AY168" s="39"/>
      <c r="AZ168" s="39"/>
      <c r="BA168" s="12" t="str">
        <f aca="false">IF(A168="","",IF(COUNTIF(Rebar_Schedule!$A$5:$A$2004,A168)=0,"",ROUND(SUMIF(Rebar_Schedule!$A$5:$A$2004,A168,Rebar_Schedule!$K$5:$K$2004),1)))</f>
        <v/>
      </c>
      <c r="BB168" s="33" t="str">
        <f aca="false">IF(A168="","",IF(BA168="","No rebar schedule yet",IF(ABS(BA168-N(AW168))/MAX(N(AW168),1)&gt;SG_Criteria!$B$55,"NOTE: register rebar differs from schedule by "&amp;TEXT(ABS(BA168-N(AW168))/MAX(N(AW168),1),"0%"),"OK")))</f>
        <v/>
      </c>
      <c r="BC168" s="34" t="str">
        <f aca="false">IF(OR(D168="",G168="",H168="",D168="Sump",D168="Drop Inlet Chamber",D168="Silt Trap",D168="Pipe Culvert",D168="Subsoil Drain"),"",ROUND(MAX(1,N(I168))*(1/SG_Criteria!$B$26)*((G168/1000)*(H168/1000*(1-SG_Criteria!$B$25)))*(((G168/1000)*(H168/1000*(1-SG_Criteria!$B$25)))/((G168/1000)+2*(H168/1000*(1-SG_Criteria!$B$25))))^(2/3)*(1/Design_Selector!$B$11)^0.5,3))</f>
        <v/>
      </c>
      <c r="BD168" s="11" t="str">
        <f aca="false">IF(BC168="","",ROUND(BC168/(MAX(1,N(I168))*G168/1000*(H168/1000*(1-SG_Criteria!$B$25))),2))</f>
        <v/>
      </c>
      <c r="BE168" s="33" t="str">
        <f aca="false">IF(D168="","",IF(LEN(IF(AND(OR(E168="Roadside drain",E168="Entrance culvert"),OR(G168&lt;SG_Criteria!$B$15,H168&lt;SG_Criteria!$B$16)),"FAIL: below PUB min "&amp;SG_Criteria!$B$15&amp;"x"&amp;SG_Criteria!$B$16&amp;" for roadside drain. ","")&amp;IF(AND(E168="Common drain",G168&lt;SG_Criteria!$B$17),"FAIL: common drain W &lt; "&amp;SG_Criteria!$B$17&amp;" mm. ","")&amp;IF(AND(O168&lt;&gt;"",IFERROR(VALUE(MID(O168,2,2)),0)&lt;SG_Criteria!$B$19),"FAIL: grade below C"&amp;SG_Criteria!$B$19&amp;". ","")&amp;IF(AND(P168&lt;&gt;"",P168&lt;SG_Criteria!$B$20),"FAIL: cover &lt; "&amp;SG_Criteria!$B$20&amp;" mm. ","")&amp;IF(AND(F168="Open",H168&gt;SG_Criteria!$B$18),"NOTE: safety railing required (D &gt; "&amp;SG_Criteria!$B$18&amp;" mm). ","")&amp;IF(AND(E168="Entrance culvert",H168&lt;600),"NOTE: check hinged grating rule for culverts &lt; 600 deep (PUB Add. 3). ",""))=0,"OK",IF(AND(OR(E168="Roadside drain",E168="Entrance culvert"),OR(G168&lt;SG_Criteria!$B$15,H168&lt;SG_Criteria!$B$16)),"FAIL: below PUB min "&amp;SG_Criteria!$B$15&amp;"x"&amp;SG_Criteria!$B$16&amp;" for roadside drain. ","")&amp;IF(AND(E168="Common drain",G168&lt;SG_Criteria!$B$17),"FAIL: common drain W &lt; "&amp;SG_Criteria!$B$17&amp;" mm. ","")&amp;IF(AND(O168&lt;&gt;"",IFERROR(VALUE(MID(O168,2,2)),0)&lt;SG_Criteria!$B$19),"FAIL: grade below C"&amp;SG_Criteria!$B$19&amp;". ","")&amp;IF(AND(P168&lt;&gt;"",P168&lt;SG_Criteria!$B$20),"FAIL: cover &lt; "&amp;SG_Criteria!$B$20&amp;" mm. ","")&amp;IF(AND(F168="Open",H168&gt;SG_Criteria!$B$18),"NOTE: safety railing required (D &gt; "&amp;SG_Criteria!$B$18&amp;" mm). ","")&amp;IF(AND(E168="Entrance culvert",H168&lt;600),"NOTE: check hinged grating rule for culverts &lt; 600 deep (PUB Add. 3). ","")))</f>
        <v/>
      </c>
      <c r="BF168" s="9"/>
      <c r="BG168" s="9"/>
      <c r="BH168" s="9"/>
      <c r="BI168" s="10" t="str">
        <f aca="false">IF(BH168="","",IFERROR(VLOOKUP(BH168,Projects!$A$5:$D$504,2,0),"Ref not in Projects"))</f>
        <v/>
      </c>
      <c r="BJ168" s="10" t="str">
        <f aca="false">IF(BH168="","",IFERROR(VLOOKUP(BH168,Projects!$A$5:$D$504,4,0),"Ref not in Projects"))</f>
        <v/>
      </c>
      <c r="BK168" s="9"/>
      <c r="BL168" s="9"/>
      <c r="BM168" s="9"/>
      <c r="BN168" s="40"/>
      <c r="BO168" s="9"/>
      <c r="BP168" s="40"/>
      <c r="BQ168" s="9"/>
      <c r="BR168" s="40"/>
      <c r="BS168" s="9"/>
      <c r="BT168" s="9"/>
      <c r="BU168" s="9"/>
      <c r="BV168" s="40"/>
      <c r="BW168" s="40"/>
      <c r="BX168" s="36" t="str">
        <f aca="false">IF(BW168="","",EDATE(BW168,SG_Criteria!$B$54*12))</f>
        <v/>
      </c>
      <c r="BY168" s="33" t="str">
        <f aca="true">IF(A168="","",IF(BW168="","NOTE: not reviewed yet",IF(TODAY()&gt;BX168,"NOTE: review overdue","OK")))</f>
        <v/>
      </c>
      <c r="BZ168" s="37" t="str">
        <f aca="false">IF(A168="","",ROUND((IF(LEN(D168)&gt;0,1,0)+IF(LEN(E168)&gt;0,1,0)+IF(LEN(F168)&gt;0,1,0)+IF(LEN(G168)&gt;0,1,0)+IF(LEN(H168)&gt;0,1,0)+IF(LEN(J168)&gt;0,1,0)+IF(LEN(K168)&gt;0,1,0)+IF(LEN(M168)&gt;0,1,0)+IF(LEN(O168)&gt;0,1,0)+IF(LEN(P168)&gt;0,1,0)+IF(LEN(Q168)&gt;0,1,0)+IF(LEN(S168)&gt;0,1,0)+IF(LEN(AC168)&gt;0,1,0)+IF(LEN(AV168)&gt;0,1,0)+IF(LEN(AW168)&gt;0,1,0)+IF(LEN(AG168)&gt;0,1,0)+IF(LEN(AI168)&gt;0,1,0)+IF(LEN(AJ168)&gt;0,1,0)+IF(LEN(AK168)&gt;0,1,0)+IF(LEN(AL168)&gt;0,1,0)+IF(LEN(AU168)&gt;0,1,0)+IF(LEN(BH168)&gt;0,1,0)+IF(LEN(BU168)&gt;0,1,0))/23,2))</f>
        <v/>
      </c>
      <c r="CA168" s="10" t="str">
        <f aca="false">IF(D168="","",IF(AND(AJ168="Approved",ISERROR(SEARCH("FAIL",BE168))),"Y","N"))</f>
        <v/>
      </c>
      <c r="CB168" s="10" t="str">
        <f aca="false">IF(D168="","",D168&amp;"|"&amp;G168&amp;"|"&amp;H168&amp;"|"&amp;M168&amp;"|"&amp;CA168)</f>
        <v/>
      </c>
    </row>
    <row r="169" customFormat="false" ht="15" hidden="false" customHeight="false" outlineLevel="0" collapsed="false">
      <c r="A169" s="10" t="str">
        <f aca="false">IF(D169="","","DRN-"&amp;IFERROR(VLOOKUP(D169,Lists!$A$4:$B$27,2,0),"??")&amp;"-"&amp;TEXT(G169,"0000")&amp;"x"&amp;TEXT(H169,"0000")&amp;IF(N(I169)&gt;1,"-"&amp;I169&amp;"C","")&amp;"-"&amp;IFERROR(VLOOKUP(M169,Lists!$J$4:$K$19,2,0),"??")&amp;"-"&amp;AI169)</f>
        <v/>
      </c>
      <c r="B169" s="10" t="str">
        <f aca="false">IF(D169="","",D169&amp;" "&amp;G169&amp;"W x "&amp;H169&amp;"D"&amp;IF(N(I169)&gt;1," ("&amp;I169&amp;" cells)","")&amp;", "&amp;E169&amp;", "&amp;M169&amp;", "&amp;F169)</f>
        <v/>
      </c>
      <c r="C169" s="9"/>
      <c r="D169" s="9"/>
      <c r="E169" s="9"/>
      <c r="F169" s="9"/>
      <c r="G169" s="38"/>
      <c r="H169" s="38"/>
      <c r="I169" s="38"/>
      <c r="J169" s="38"/>
      <c r="K169" s="38"/>
      <c r="L169" s="38"/>
      <c r="M169" s="9"/>
      <c r="N169" s="9"/>
      <c r="O169" s="9"/>
      <c r="P169" s="38"/>
      <c r="Q169" s="9"/>
      <c r="R169" s="9"/>
      <c r="S169" s="9"/>
      <c r="T169" s="9"/>
      <c r="U169" s="9"/>
      <c r="V169" s="9"/>
      <c r="W169" s="9"/>
      <c r="X169" s="9"/>
      <c r="Y169" s="9"/>
      <c r="Z169" s="9"/>
      <c r="AA169" s="9"/>
      <c r="AB169" s="39"/>
      <c r="AC169" s="9"/>
      <c r="AD169" s="38"/>
      <c r="AE169" s="9"/>
      <c r="AF169" s="39"/>
      <c r="AG169" s="9"/>
      <c r="AH169" s="9"/>
      <c r="AI169" s="9"/>
      <c r="AJ169" s="9"/>
      <c r="AK169" s="9"/>
      <c r="AL169" s="9"/>
      <c r="AM169" s="9"/>
      <c r="AN169" s="10" t="str">
        <f aca="false">IF(A169="","",SG_Criteria!$B$6&amp;SG_Criteria!$B$7&amp;"\"&amp;A169&amp;"\")</f>
        <v/>
      </c>
      <c r="AO169" s="10" t="str">
        <f aca="false">IF(A169="","",A169&amp;"_CAD.dwg")</f>
        <v/>
      </c>
      <c r="AP169" s="10" t="str">
        <f aca="false">IF(A169="","",A169&amp;"_DWG.pdf")</f>
        <v/>
      </c>
      <c r="AQ169" s="10" t="str">
        <f aca="false">IF(A169="","",IF(AM169="Y",A169&amp;"_STAAD.std","n/a"))</f>
        <v/>
      </c>
      <c r="AR169" s="10" t="str">
        <f aca="false">IF(A169="","",A169&amp;"_CALC.xlsx")</f>
        <v/>
      </c>
      <c r="AS169" s="10" t="str">
        <f aca="false">IF(A169="","",A169&amp;"_CALC.pdf")</f>
        <v/>
      </c>
      <c r="AT169" s="9"/>
      <c r="AU169" s="9"/>
      <c r="AV169" s="39"/>
      <c r="AW169" s="39"/>
      <c r="AX169" s="39"/>
      <c r="AY169" s="39"/>
      <c r="AZ169" s="39"/>
      <c r="BA169" s="12" t="str">
        <f aca="false">IF(A169="","",IF(COUNTIF(Rebar_Schedule!$A$5:$A$2004,A169)=0,"",ROUND(SUMIF(Rebar_Schedule!$A$5:$A$2004,A169,Rebar_Schedule!$K$5:$K$2004),1)))</f>
        <v/>
      </c>
      <c r="BB169" s="33" t="str">
        <f aca="false">IF(A169="","",IF(BA169="","No rebar schedule yet",IF(ABS(BA169-N(AW169))/MAX(N(AW169),1)&gt;SG_Criteria!$B$55,"NOTE: register rebar differs from schedule by "&amp;TEXT(ABS(BA169-N(AW169))/MAX(N(AW169),1),"0%"),"OK")))</f>
        <v/>
      </c>
      <c r="BC169" s="34" t="str">
        <f aca="false">IF(OR(D169="",G169="",H169="",D169="Sump",D169="Drop Inlet Chamber",D169="Silt Trap",D169="Pipe Culvert",D169="Subsoil Drain"),"",ROUND(MAX(1,N(I169))*(1/SG_Criteria!$B$26)*((G169/1000)*(H169/1000*(1-SG_Criteria!$B$25)))*(((G169/1000)*(H169/1000*(1-SG_Criteria!$B$25)))/((G169/1000)+2*(H169/1000*(1-SG_Criteria!$B$25))))^(2/3)*(1/Design_Selector!$B$11)^0.5,3))</f>
        <v/>
      </c>
      <c r="BD169" s="11" t="str">
        <f aca="false">IF(BC169="","",ROUND(BC169/(MAX(1,N(I169))*G169/1000*(H169/1000*(1-SG_Criteria!$B$25))),2))</f>
        <v/>
      </c>
      <c r="BE169" s="33" t="str">
        <f aca="false">IF(D169="","",IF(LEN(IF(AND(OR(E169="Roadside drain",E169="Entrance culvert"),OR(G169&lt;SG_Criteria!$B$15,H169&lt;SG_Criteria!$B$16)),"FAIL: below PUB min "&amp;SG_Criteria!$B$15&amp;"x"&amp;SG_Criteria!$B$16&amp;" for roadside drain. ","")&amp;IF(AND(E169="Common drain",G169&lt;SG_Criteria!$B$17),"FAIL: common drain W &lt; "&amp;SG_Criteria!$B$17&amp;" mm. ","")&amp;IF(AND(O169&lt;&gt;"",IFERROR(VALUE(MID(O169,2,2)),0)&lt;SG_Criteria!$B$19),"FAIL: grade below C"&amp;SG_Criteria!$B$19&amp;". ","")&amp;IF(AND(P169&lt;&gt;"",P169&lt;SG_Criteria!$B$20),"FAIL: cover &lt; "&amp;SG_Criteria!$B$20&amp;" mm. ","")&amp;IF(AND(F169="Open",H169&gt;SG_Criteria!$B$18),"NOTE: safety railing required (D &gt; "&amp;SG_Criteria!$B$18&amp;" mm). ","")&amp;IF(AND(E169="Entrance culvert",H169&lt;600),"NOTE: check hinged grating rule for culverts &lt; 600 deep (PUB Add. 3). ",""))=0,"OK",IF(AND(OR(E169="Roadside drain",E169="Entrance culvert"),OR(G169&lt;SG_Criteria!$B$15,H169&lt;SG_Criteria!$B$16)),"FAIL: below PUB min "&amp;SG_Criteria!$B$15&amp;"x"&amp;SG_Criteria!$B$16&amp;" for roadside drain. ","")&amp;IF(AND(E169="Common drain",G169&lt;SG_Criteria!$B$17),"FAIL: common drain W &lt; "&amp;SG_Criteria!$B$17&amp;" mm. ","")&amp;IF(AND(O169&lt;&gt;"",IFERROR(VALUE(MID(O169,2,2)),0)&lt;SG_Criteria!$B$19),"FAIL: grade below C"&amp;SG_Criteria!$B$19&amp;". ","")&amp;IF(AND(P169&lt;&gt;"",P169&lt;SG_Criteria!$B$20),"FAIL: cover &lt; "&amp;SG_Criteria!$B$20&amp;" mm. ","")&amp;IF(AND(F169="Open",H169&gt;SG_Criteria!$B$18),"NOTE: safety railing required (D &gt; "&amp;SG_Criteria!$B$18&amp;" mm). ","")&amp;IF(AND(E169="Entrance culvert",H169&lt;600),"NOTE: check hinged grating rule for culverts &lt; 600 deep (PUB Add. 3). ","")))</f>
        <v/>
      </c>
      <c r="BF169" s="9"/>
      <c r="BG169" s="9"/>
      <c r="BH169" s="9"/>
      <c r="BI169" s="10" t="str">
        <f aca="false">IF(BH169="","",IFERROR(VLOOKUP(BH169,Projects!$A$5:$D$504,2,0),"Ref not in Projects"))</f>
        <v/>
      </c>
      <c r="BJ169" s="10" t="str">
        <f aca="false">IF(BH169="","",IFERROR(VLOOKUP(BH169,Projects!$A$5:$D$504,4,0),"Ref not in Projects"))</f>
        <v/>
      </c>
      <c r="BK169" s="9"/>
      <c r="BL169" s="9"/>
      <c r="BM169" s="9"/>
      <c r="BN169" s="40"/>
      <c r="BO169" s="9"/>
      <c r="BP169" s="40"/>
      <c r="BQ169" s="9"/>
      <c r="BR169" s="40"/>
      <c r="BS169" s="9"/>
      <c r="BT169" s="9"/>
      <c r="BU169" s="9"/>
      <c r="BV169" s="40"/>
      <c r="BW169" s="40"/>
      <c r="BX169" s="36" t="str">
        <f aca="false">IF(BW169="","",EDATE(BW169,SG_Criteria!$B$54*12))</f>
        <v/>
      </c>
      <c r="BY169" s="33" t="str">
        <f aca="true">IF(A169="","",IF(BW169="","NOTE: not reviewed yet",IF(TODAY()&gt;BX169,"NOTE: review overdue","OK")))</f>
        <v/>
      </c>
      <c r="BZ169" s="37" t="str">
        <f aca="false">IF(A169="","",ROUND((IF(LEN(D169)&gt;0,1,0)+IF(LEN(E169)&gt;0,1,0)+IF(LEN(F169)&gt;0,1,0)+IF(LEN(G169)&gt;0,1,0)+IF(LEN(H169)&gt;0,1,0)+IF(LEN(J169)&gt;0,1,0)+IF(LEN(K169)&gt;0,1,0)+IF(LEN(M169)&gt;0,1,0)+IF(LEN(O169)&gt;0,1,0)+IF(LEN(P169)&gt;0,1,0)+IF(LEN(Q169)&gt;0,1,0)+IF(LEN(S169)&gt;0,1,0)+IF(LEN(AC169)&gt;0,1,0)+IF(LEN(AV169)&gt;0,1,0)+IF(LEN(AW169)&gt;0,1,0)+IF(LEN(AG169)&gt;0,1,0)+IF(LEN(AI169)&gt;0,1,0)+IF(LEN(AJ169)&gt;0,1,0)+IF(LEN(AK169)&gt;0,1,0)+IF(LEN(AL169)&gt;0,1,0)+IF(LEN(AU169)&gt;0,1,0)+IF(LEN(BH169)&gt;0,1,0)+IF(LEN(BU169)&gt;0,1,0))/23,2))</f>
        <v/>
      </c>
      <c r="CA169" s="10" t="str">
        <f aca="false">IF(D169="","",IF(AND(AJ169="Approved",ISERROR(SEARCH("FAIL",BE169))),"Y","N"))</f>
        <v/>
      </c>
      <c r="CB169" s="10" t="str">
        <f aca="false">IF(D169="","",D169&amp;"|"&amp;G169&amp;"|"&amp;H169&amp;"|"&amp;M169&amp;"|"&amp;CA169)</f>
        <v/>
      </c>
    </row>
    <row r="170" customFormat="false" ht="15" hidden="false" customHeight="false" outlineLevel="0" collapsed="false">
      <c r="A170" s="10" t="str">
        <f aca="false">IF(D170="","","DRN-"&amp;IFERROR(VLOOKUP(D170,Lists!$A$4:$B$27,2,0),"??")&amp;"-"&amp;TEXT(G170,"0000")&amp;"x"&amp;TEXT(H170,"0000")&amp;IF(N(I170)&gt;1,"-"&amp;I170&amp;"C","")&amp;"-"&amp;IFERROR(VLOOKUP(M170,Lists!$J$4:$K$19,2,0),"??")&amp;"-"&amp;AI170)</f>
        <v/>
      </c>
      <c r="B170" s="10" t="str">
        <f aca="false">IF(D170="","",D170&amp;" "&amp;G170&amp;"W x "&amp;H170&amp;"D"&amp;IF(N(I170)&gt;1," ("&amp;I170&amp;" cells)","")&amp;", "&amp;E170&amp;", "&amp;M170&amp;", "&amp;F170)</f>
        <v/>
      </c>
      <c r="C170" s="9"/>
      <c r="D170" s="9"/>
      <c r="E170" s="9"/>
      <c r="F170" s="9"/>
      <c r="G170" s="38"/>
      <c r="H170" s="38"/>
      <c r="I170" s="38"/>
      <c r="J170" s="38"/>
      <c r="K170" s="38"/>
      <c r="L170" s="38"/>
      <c r="M170" s="9"/>
      <c r="N170" s="9"/>
      <c r="O170" s="9"/>
      <c r="P170" s="38"/>
      <c r="Q170" s="9"/>
      <c r="R170" s="9"/>
      <c r="S170" s="9"/>
      <c r="T170" s="9"/>
      <c r="U170" s="9"/>
      <c r="V170" s="9"/>
      <c r="W170" s="9"/>
      <c r="X170" s="9"/>
      <c r="Y170" s="9"/>
      <c r="Z170" s="9"/>
      <c r="AA170" s="9"/>
      <c r="AB170" s="39"/>
      <c r="AC170" s="9"/>
      <c r="AD170" s="38"/>
      <c r="AE170" s="9"/>
      <c r="AF170" s="39"/>
      <c r="AG170" s="9"/>
      <c r="AH170" s="9"/>
      <c r="AI170" s="9"/>
      <c r="AJ170" s="9"/>
      <c r="AK170" s="9"/>
      <c r="AL170" s="9"/>
      <c r="AM170" s="9"/>
      <c r="AN170" s="10" t="str">
        <f aca="false">IF(A170="","",SG_Criteria!$B$6&amp;SG_Criteria!$B$7&amp;"\"&amp;A170&amp;"\")</f>
        <v/>
      </c>
      <c r="AO170" s="10" t="str">
        <f aca="false">IF(A170="","",A170&amp;"_CAD.dwg")</f>
        <v/>
      </c>
      <c r="AP170" s="10" t="str">
        <f aca="false">IF(A170="","",A170&amp;"_DWG.pdf")</f>
        <v/>
      </c>
      <c r="AQ170" s="10" t="str">
        <f aca="false">IF(A170="","",IF(AM170="Y",A170&amp;"_STAAD.std","n/a"))</f>
        <v/>
      </c>
      <c r="AR170" s="10" t="str">
        <f aca="false">IF(A170="","",A170&amp;"_CALC.xlsx")</f>
        <v/>
      </c>
      <c r="AS170" s="10" t="str">
        <f aca="false">IF(A170="","",A170&amp;"_CALC.pdf")</f>
        <v/>
      </c>
      <c r="AT170" s="9"/>
      <c r="AU170" s="9"/>
      <c r="AV170" s="39"/>
      <c r="AW170" s="39"/>
      <c r="AX170" s="39"/>
      <c r="AY170" s="39"/>
      <c r="AZ170" s="39"/>
      <c r="BA170" s="12" t="str">
        <f aca="false">IF(A170="","",IF(COUNTIF(Rebar_Schedule!$A$5:$A$2004,A170)=0,"",ROUND(SUMIF(Rebar_Schedule!$A$5:$A$2004,A170,Rebar_Schedule!$K$5:$K$2004),1)))</f>
        <v/>
      </c>
      <c r="BB170" s="33" t="str">
        <f aca="false">IF(A170="","",IF(BA170="","No rebar schedule yet",IF(ABS(BA170-N(AW170))/MAX(N(AW170),1)&gt;SG_Criteria!$B$55,"NOTE: register rebar differs from schedule by "&amp;TEXT(ABS(BA170-N(AW170))/MAX(N(AW170),1),"0%"),"OK")))</f>
        <v/>
      </c>
      <c r="BC170" s="34" t="str">
        <f aca="false">IF(OR(D170="",G170="",H170="",D170="Sump",D170="Drop Inlet Chamber",D170="Silt Trap",D170="Pipe Culvert",D170="Subsoil Drain"),"",ROUND(MAX(1,N(I170))*(1/SG_Criteria!$B$26)*((G170/1000)*(H170/1000*(1-SG_Criteria!$B$25)))*(((G170/1000)*(H170/1000*(1-SG_Criteria!$B$25)))/((G170/1000)+2*(H170/1000*(1-SG_Criteria!$B$25))))^(2/3)*(1/Design_Selector!$B$11)^0.5,3))</f>
        <v/>
      </c>
      <c r="BD170" s="11" t="str">
        <f aca="false">IF(BC170="","",ROUND(BC170/(MAX(1,N(I170))*G170/1000*(H170/1000*(1-SG_Criteria!$B$25))),2))</f>
        <v/>
      </c>
      <c r="BE170" s="33" t="str">
        <f aca="false">IF(D170="","",IF(LEN(IF(AND(OR(E170="Roadside drain",E170="Entrance culvert"),OR(G170&lt;SG_Criteria!$B$15,H170&lt;SG_Criteria!$B$16)),"FAIL: below PUB min "&amp;SG_Criteria!$B$15&amp;"x"&amp;SG_Criteria!$B$16&amp;" for roadside drain. ","")&amp;IF(AND(E170="Common drain",G170&lt;SG_Criteria!$B$17),"FAIL: common drain W &lt; "&amp;SG_Criteria!$B$17&amp;" mm. ","")&amp;IF(AND(O170&lt;&gt;"",IFERROR(VALUE(MID(O170,2,2)),0)&lt;SG_Criteria!$B$19),"FAIL: grade below C"&amp;SG_Criteria!$B$19&amp;". ","")&amp;IF(AND(P170&lt;&gt;"",P170&lt;SG_Criteria!$B$20),"FAIL: cover &lt; "&amp;SG_Criteria!$B$20&amp;" mm. ","")&amp;IF(AND(F170="Open",H170&gt;SG_Criteria!$B$18),"NOTE: safety railing required (D &gt; "&amp;SG_Criteria!$B$18&amp;" mm). ","")&amp;IF(AND(E170="Entrance culvert",H170&lt;600),"NOTE: check hinged grating rule for culverts &lt; 600 deep (PUB Add. 3). ",""))=0,"OK",IF(AND(OR(E170="Roadside drain",E170="Entrance culvert"),OR(G170&lt;SG_Criteria!$B$15,H170&lt;SG_Criteria!$B$16)),"FAIL: below PUB min "&amp;SG_Criteria!$B$15&amp;"x"&amp;SG_Criteria!$B$16&amp;" for roadside drain. ","")&amp;IF(AND(E170="Common drain",G170&lt;SG_Criteria!$B$17),"FAIL: common drain W &lt; "&amp;SG_Criteria!$B$17&amp;" mm. ","")&amp;IF(AND(O170&lt;&gt;"",IFERROR(VALUE(MID(O170,2,2)),0)&lt;SG_Criteria!$B$19),"FAIL: grade below C"&amp;SG_Criteria!$B$19&amp;". ","")&amp;IF(AND(P170&lt;&gt;"",P170&lt;SG_Criteria!$B$20),"FAIL: cover &lt; "&amp;SG_Criteria!$B$20&amp;" mm. ","")&amp;IF(AND(F170="Open",H170&gt;SG_Criteria!$B$18),"NOTE: safety railing required (D &gt; "&amp;SG_Criteria!$B$18&amp;" mm). ","")&amp;IF(AND(E170="Entrance culvert",H170&lt;600),"NOTE: check hinged grating rule for culverts &lt; 600 deep (PUB Add. 3). ","")))</f>
        <v/>
      </c>
      <c r="BF170" s="9"/>
      <c r="BG170" s="9"/>
      <c r="BH170" s="9"/>
      <c r="BI170" s="10" t="str">
        <f aca="false">IF(BH170="","",IFERROR(VLOOKUP(BH170,Projects!$A$5:$D$504,2,0),"Ref not in Projects"))</f>
        <v/>
      </c>
      <c r="BJ170" s="10" t="str">
        <f aca="false">IF(BH170="","",IFERROR(VLOOKUP(BH170,Projects!$A$5:$D$504,4,0),"Ref not in Projects"))</f>
        <v/>
      </c>
      <c r="BK170" s="9"/>
      <c r="BL170" s="9"/>
      <c r="BM170" s="9"/>
      <c r="BN170" s="40"/>
      <c r="BO170" s="9"/>
      <c r="BP170" s="40"/>
      <c r="BQ170" s="9"/>
      <c r="BR170" s="40"/>
      <c r="BS170" s="9"/>
      <c r="BT170" s="9"/>
      <c r="BU170" s="9"/>
      <c r="BV170" s="40"/>
      <c r="BW170" s="40"/>
      <c r="BX170" s="36" t="str">
        <f aca="false">IF(BW170="","",EDATE(BW170,SG_Criteria!$B$54*12))</f>
        <v/>
      </c>
      <c r="BY170" s="33" t="str">
        <f aca="true">IF(A170="","",IF(BW170="","NOTE: not reviewed yet",IF(TODAY()&gt;BX170,"NOTE: review overdue","OK")))</f>
        <v/>
      </c>
      <c r="BZ170" s="37" t="str">
        <f aca="false">IF(A170="","",ROUND((IF(LEN(D170)&gt;0,1,0)+IF(LEN(E170)&gt;0,1,0)+IF(LEN(F170)&gt;0,1,0)+IF(LEN(G170)&gt;0,1,0)+IF(LEN(H170)&gt;0,1,0)+IF(LEN(J170)&gt;0,1,0)+IF(LEN(K170)&gt;0,1,0)+IF(LEN(M170)&gt;0,1,0)+IF(LEN(O170)&gt;0,1,0)+IF(LEN(P170)&gt;0,1,0)+IF(LEN(Q170)&gt;0,1,0)+IF(LEN(S170)&gt;0,1,0)+IF(LEN(AC170)&gt;0,1,0)+IF(LEN(AV170)&gt;0,1,0)+IF(LEN(AW170)&gt;0,1,0)+IF(LEN(AG170)&gt;0,1,0)+IF(LEN(AI170)&gt;0,1,0)+IF(LEN(AJ170)&gt;0,1,0)+IF(LEN(AK170)&gt;0,1,0)+IF(LEN(AL170)&gt;0,1,0)+IF(LEN(AU170)&gt;0,1,0)+IF(LEN(BH170)&gt;0,1,0)+IF(LEN(BU170)&gt;0,1,0))/23,2))</f>
        <v/>
      </c>
      <c r="CA170" s="10" t="str">
        <f aca="false">IF(D170="","",IF(AND(AJ170="Approved",ISERROR(SEARCH("FAIL",BE170))),"Y","N"))</f>
        <v/>
      </c>
      <c r="CB170" s="10" t="str">
        <f aca="false">IF(D170="","",D170&amp;"|"&amp;G170&amp;"|"&amp;H170&amp;"|"&amp;M170&amp;"|"&amp;CA170)</f>
        <v/>
      </c>
    </row>
    <row r="171" customFormat="false" ht="15" hidden="false" customHeight="false" outlineLevel="0" collapsed="false">
      <c r="A171" s="10" t="str">
        <f aca="false">IF(D171="","","DRN-"&amp;IFERROR(VLOOKUP(D171,Lists!$A$4:$B$27,2,0),"??")&amp;"-"&amp;TEXT(G171,"0000")&amp;"x"&amp;TEXT(H171,"0000")&amp;IF(N(I171)&gt;1,"-"&amp;I171&amp;"C","")&amp;"-"&amp;IFERROR(VLOOKUP(M171,Lists!$J$4:$K$19,2,0),"??")&amp;"-"&amp;AI171)</f>
        <v/>
      </c>
      <c r="B171" s="10" t="str">
        <f aca="false">IF(D171="","",D171&amp;" "&amp;G171&amp;"W x "&amp;H171&amp;"D"&amp;IF(N(I171)&gt;1," ("&amp;I171&amp;" cells)","")&amp;", "&amp;E171&amp;", "&amp;M171&amp;", "&amp;F171)</f>
        <v/>
      </c>
      <c r="C171" s="9"/>
      <c r="D171" s="9"/>
      <c r="E171" s="9"/>
      <c r="F171" s="9"/>
      <c r="G171" s="38"/>
      <c r="H171" s="38"/>
      <c r="I171" s="38"/>
      <c r="J171" s="38"/>
      <c r="K171" s="38"/>
      <c r="L171" s="38"/>
      <c r="M171" s="9"/>
      <c r="N171" s="9"/>
      <c r="O171" s="9"/>
      <c r="P171" s="38"/>
      <c r="Q171" s="9"/>
      <c r="R171" s="9"/>
      <c r="S171" s="9"/>
      <c r="T171" s="9"/>
      <c r="U171" s="9"/>
      <c r="V171" s="9"/>
      <c r="W171" s="9"/>
      <c r="X171" s="9"/>
      <c r="Y171" s="9"/>
      <c r="Z171" s="9"/>
      <c r="AA171" s="9"/>
      <c r="AB171" s="39"/>
      <c r="AC171" s="9"/>
      <c r="AD171" s="38"/>
      <c r="AE171" s="9"/>
      <c r="AF171" s="39"/>
      <c r="AG171" s="9"/>
      <c r="AH171" s="9"/>
      <c r="AI171" s="9"/>
      <c r="AJ171" s="9"/>
      <c r="AK171" s="9"/>
      <c r="AL171" s="9"/>
      <c r="AM171" s="9"/>
      <c r="AN171" s="10" t="str">
        <f aca="false">IF(A171="","",SG_Criteria!$B$6&amp;SG_Criteria!$B$7&amp;"\"&amp;A171&amp;"\")</f>
        <v/>
      </c>
      <c r="AO171" s="10" t="str">
        <f aca="false">IF(A171="","",A171&amp;"_CAD.dwg")</f>
        <v/>
      </c>
      <c r="AP171" s="10" t="str">
        <f aca="false">IF(A171="","",A171&amp;"_DWG.pdf")</f>
        <v/>
      </c>
      <c r="AQ171" s="10" t="str">
        <f aca="false">IF(A171="","",IF(AM171="Y",A171&amp;"_STAAD.std","n/a"))</f>
        <v/>
      </c>
      <c r="AR171" s="10" t="str">
        <f aca="false">IF(A171="","",A171&amp;"_CALC.xlsx")</f>
        <v/>
      </c>
      <c r="AS171" s="10" t="str">
        <f aca="false">IF(A171="","",A171&amp;"_CALC.pdf")</f>
        <v/>
      </c>
      <c r="AT171" s="9"/>
      <c r="AU171" s="9"/>
      <c r="AV171" s="39"/>
      <c r="AW171" s="39"/>
      <c r="AX171" s="39"/>
      <c r="AY171" s="39"/>
      <c r="AZ171" s="39"/>
      <c r="BA171" s="12" t="str">
        <f aca="false">IF(A171="","",IF(COUNTIF(Rebar_Schedule!$A$5:$A$2004,A171)=0,"",ROUND(SUMIF(Rebar_Schedule!$A$5:$A$2004,A171,Rebar_Schedule!$K$5:$K$2004),1)))</f>
        <v/>
      </c>
      <c r="BB171" s="33" t="str">
        <f aca="false">IF(A171="","",IF(BA171="","No rebar schedule yet",IF(ABS(BA171-N(AW171))/MAX(N(AW171),1)&gt;SG_Criteria!$B$55,"NOTE: register rebar differs from schedule by "&amp;TEXT(ABS(BA171-N(AW171))/MAX(N(AW171),1),"0%"),"OK")))</f>
        <v/>
      </c>
      <c r="BC171" s="34" t="str">
        <f aca="false">IF(OR(D171="",G171="",H171="",D171="Sump",D171="Drop Inlet Chamber",D171="Silt Trap",D171="Pipe Culvert",D171="Subsoil Drain"),"",ROUND(MAX(1,N(I171))*(1/SG_Criteria!$B$26)*((G171/1000)*(H171/1000*(1-SG_Criteria!$B$25)))*(((G171/1000)*(H171/1000*(1-SG_Criteria!$B$25)))/((G171/1000)+2*(H171/1000*(1-SG_Criteria!$B$25))))^(2/3)*(1/Design_Selector!$B$11)^0.5,3))</f>
        <v/>
      </c>
      <c r="BD171" s="11" t="str">
        <f aca="false">IF(BC171="","",ROUND(BC171/(MAX(1,N(I171))*G171/1000*(H171/1000*(1-SG_Criteria!$B$25))),2))</f>
        <v/>
      </c>
      <c r="BE171" s="33" t="str">
        <f aca="false">IF(D171="","",IF(LEN(IF(AND(OR(E171="Roadside drain",E171="Entrance culvert"),OR(G171&lt;SG_Criteria!$B$15,H171&lt;SG_Criteria!$B$16)),"FAIL: below PUB min "&amp;SG_Criteria!$B$15&amp;"x"&amp;SG_Criteria!$B$16&amp;" for roadside drain. ","")&amp;IF(AND(E171="Common drain",G171&lt;SG_Criteria!$B$17),"FAIL: common drain W &lt; "&amp;SG_Criteria!$B$17&amp;" mm. ","")&amp;IF(AND(O171&lt;&gt;"",IFERROR(VALUE(MID(O171,2,2)),0)&lt;SG_Criteria!$B$19),"FAIL: grade below C"&amp;SG_Criteria!$B$19&amp;". ","")&amp;IF(AND(P171&lt;&gt;"",P171&lt;SG_Criteria!$B$20),"FAIL: cover &lt; "&amp;SG_Criteria!$B$20&amp;" mm. ","")&amp;IF(AND(F171="Open",H171&gt;SG_Criteria!$B$18),"NOTE: safety railing required (D &gt; "&amp;SG_Criteria!$B$18&amp;" mm). ","")&amp;IF(AND(E171="Entrance culvert",H171&lt;600),"NOTE: check hinged grating rule for culverts &lt; 600 deep (PUB Add. 3). ",""))=0,"OK",IF(AND(OR(E171="Roadside drain",E171="Entrance culvert"),OR(G171&lt;SG_Criteria!$B$15,H171&lt;SG_Criteria!$B$16)),"FAIL: below PUB min "&amp;SG_Criteria!$B$15&amp;"x"&amp;SG_Criteria!$B$16&amp;" for roadside drain. ","")&amp;IF(AND(E171="Common drain",G171&lt;SG_Criteria!$B$17),"FAIL: common drain W &lt; "&amp;SG_Criteria!$B$17&amp;" mm. ","")&amp;IF(AND(O171&lt;&gt;"",IFERROR(VALUE(MID(O171,2,2)),0)&lt;SG_Criteria!$B$19),"FAIL: grade below C"&amp;SG_Criteria!$B$19&amp;". ","")&amp;IF(AND(P171&lt;&gt;"",P171&lt;SG_Criteria!$B$20),"FAIL: cover &lt; "&amp;SG_Criteria!$B$20&amp;" mm. ","")&amp;IF(AND(F171="Open",H171&gt;SG_Criteria!$B$18),"NOTE: safety railing required (D &gt; "&amp;SG_Criteria!$B$18&amp;" mm). ","")&amp;IF(AND(E171="Entrance culvert",H171&lt;600),"NOTE: check hinged grating rule for culverts &lt; 600 deep (PUB Add. 3). ","")))</f>
        <v/>
      </c>
      <c r="BF171" s="9"/>
      <c r="BG171" s="9"/>
      <c r="BH171" s="9"/>
      <c r="BI171" s="10" t="str">
        <f aca="false">IF(BH171="","",IFERROR(VLOOKUP(BH171,Projects!$A$5:$D$504,2,0),"Ref not in Projects"))</f>
        <v/>
      </c>
      <c r="BJ171" s="10" t="str">
        <f aca="false">IF(BH171="","",IFERROR(VLOOKUP(BH171,Projects!$A$5:$D$504,4,0),"Ref not in Projects"))</f>
        <v/>
      </c>
      <c r="BK171" s="9"/>
      <c r="BL171" s="9"/>
      <c r="BM171" s="9"/>
      <c r="BN171" s="40"/>
      <c r="BO171" s="9"/>
      <c r="BP171" s="40"/>
      <c r="BQ171" s="9"/>
      <c r="BR171" s="40"/>
      <c r="BS171" s="9"/>
      <c r="BT171" s="9"/>
      <c r="BU171" s="9"/>
      <c r="BV171" s="40"/>
      <c r="BW171" s="40"/>
      <c r="BX171" s="36" t="str">
        <f aca="false">IF(BW171="","",EDATE(BW171,SG_Criteria!$B$54*12))</f>
        <v/>
      </c>
      <c r="BY171" s="33" t="str">
        <f aca="true">IF(A171="","",IF(BW171="","NOTE: not reviewed yet",IF(TODAY()&gt;BX171,"NOTE: review overdue","OK")))</f>
        <v/>
      </c>
      <c r="BZ171" s="37" t="str">
        <f aca="false">IF(A171="","",ROUND((IF(LEN(D171)&gt;0,1,0)+IF(LEN(E171)&gt;0,1,0)+IF(LEN(F171)&gt;0,1,0)+IF(LEN(G171)&gt;0,1,0)+IF(LEN(H171)&gt;0,1,0)+IF(LEN(J171)&gt;0,1,0)+IF(LEN(K171)&gt;0,1,0)+IF(LEN(M171)&gt;0,1,0)+IF(LEN(O171)&gt;0,1,0)+IF(LEN(P171)&gt;0,1,0)+IF(LEN(Q171)&gt;0,1,0)+IF(LEN(S171)&gt;0,1,0)+IF(LEN(AC171)&gt;0,1,0)+IF(LEN(AV171)&gt;0,1,0)+IF(LEN(AW171)&gt;0,1,0)+IF(LEN(AG171)&gt;0,1,0)+IF(LEN(AI171)&gt;0,1,0)+IF(LEN(AJ171)&gt;0,1,0)+IF(LEN(AK171)&gt;0,1,0)+IF(LEN(AL171)&gt;0,1,0)+IF(LEN(AU171)&gt;0,1,0)+IF(LEN(BH171)&gt;0,1,0)+IF(LEN(BU171)&gt;0,1,0))/23,2))</f>
        <v/>
      </c>
      <c r="CA171" s="10" t="str">
        <f aca="false">IF(D171="","",IF(AND(AJ171="Approved",ISERROR(SEARCH("FAIL",BE171))),"Y","N"))</f>
        <v/>
      </c>
      <c r="CB171" s="10" t="str">
        <f aca="false">IF(D171="","",D171&amp;"|"&amp;G171&amp;"|"&amp;H171&amp;"|"&amp;M171&amp;"|"&amp;CA171)</f>
        <v/>
      </c>
    </row>
    <row r="172" customFormat="false" ht="15" hidden="false" customHeight="false" outlineLevel="0" collapsed="false">
      <c r="A172" s="10" t="str">
        <f aca="false">IF(D172="","","DRN-"&amp;IFERROR(VLOOKUP(D172,Lists!$A$4:$B$27,2,0),"??")&amp;"-"&amp;TEXT(G172,"0000")&amp;"x"&amp;TEXT(H172,"0000")&amp;IF(N(I172)&gt;1,"-"&amp;I172&amp;"C","")&amp;"-"&amp;IFERROR(VLOOKUP(M172,Lists!$J$4:$K$19,2,0),"??")&amp;"-"&amp;AI172)</f>
        <v/>
      </c>
      <c r="B172" s="10" t="str">
        <f aca="false">IF(D172="","",D172&amp;" "&amp;G172&amp;"W x "&amp;H172&amp;"D"&amp;IF(N(I172)&gt;1," ("&amp;I172&amp;" cells)","")&amp;", "&amp;E172&amp;", "&amp;M172&amp;", "&amp;F172)</f>
        <v/>
      </c>
      <c r="C172" s="9"/>
      <c r="D172" s="9"/>
      <c r="E172" s="9"/>
      <c r="F172" s="9"/>
      <c r="G172" s="38"/>
      <c r="H172" s="38"/>
      <c r="I172" s="38"/>
      <c r="J172" s="38"/>
      <c r="K172" s="38"/>
      <c r="L172" s="38"/>
      <c r="M172" s="9"/>
      <c r="N172" s="9"/>
      <c r="O172" s="9"/>
      <c r="P172" s="38"/>
      <c r="Q172" s="9"/>
      <c r="R172" s="9"/>
      <c r="S172" s="9"/>
      <c r="T172" s="9"/>
      <c r="U172" s="9"/>
      <c r="V172" s="9"/>
      <c r="W172" s="9"/>
      <c r="X172" s="9"/>
      <c r="Y172" s="9"/>
      <c r="Z172" s="9"/>
      <c r="AA172" s="9"/>
      <c r="AB172" s="39"/>
      <c r="AC172" s="9"/>
      <c r="AD172" s="38"/>
      <c r="AE172" s="9"/>
      <c r="AF172" s="39"/>
      <c r="AG172" s="9"/>
      <c r="AH172" s="9"/>
      <c r="AI172" s="9"/>
      <c r="AJ172" s="9"/>
      <c r="AK172" s="9"/>
      <c r="AL172" s="9"/>
      <c r="AM172" s="9"/>
      <c r="AN172" s="10" t="str">
        <f aca="false">IF(A172="","",SG_Criteria!$B$6&amp;SG_Criteria!$B$7&amp;"\"&amp;A172&amp;"\")</f>
        <v/>
      </c>
      <c r="AO172" s="10" t="str">
        <f aca="false">IF(A172="","",A172&amp;"_CAD.dwg")</f>
        <v/>
      </c>
      <c r="AP172" s="10" t="str">
        <f aca="false">IF(A172="","",A172&amp;"_DWG.pdf")</f>
        <v/>
      </c>
      <c r="AQ172" s="10" t="str">
        <f aca="false">IF(A172="","",IF(AM172="Y",A172&amp;"_STAAD.std","n/a"))</f>
        <v/>
      </c>
      <c r="AR172" s="10" t="str">
        <f aca="false">IF(A172="","",A172&amp;"_CALC.xlsx")</f>
        <v/>
      </c>
      <c r="AS172" s="10" t="str">
        <f aca="false">IF(A172="","",A172&amp;"_CALC.pdf")</f>
        <v/>
      </c>
      <c r="AT172" s="9"/>
      <c r="AU172" s="9"/>
      <c r="AV172" s="39"/>
      <c r="AW172" s="39"/>
      <c r="AX172" s="39"/>
      <c r="AY172" s="39"/>
      <c r="AZ172" s="39"/>
      <c r="BA172" s="12" t="str">
        <f aca="false">IF(A172="","",IF(COUNTIF(Rebar_Schedule!$A$5:$A$2004,A172)=0,"",ROUND(SUMIF(Rebar_Schedule!$A$5:$A$2004,A172,Rebar_Schedule!$K$5:$K$2004),1)))</f>
        <v/>
      </c>
      <c r="BB172" s="33" t="str">
        <f aca="false">IF(A172="","",IF(BA172="","No rebar schedule yet",IF(ABS(BA172-N(AW172))/MAX(N(AW172),1)&gt;SG_Criteria!$B$55,"NOTE: register rebar differs from schedule by "&amp;TEXT(ABS(BA172-N(AW172))/MAX(N(AW172),1),"0%"),"OK")))</f>
        <v/>
      </c>
      <c r="BC172" s="34" t="str">
        <f aca="false">IF(OR(D172="",G172="",H172="",D172="Sump",D172="Drop Inlet Chamber",D172="Silt Trap",D172="Pipe Culvert",D172="Subsoil Drain"),"",ROUND(MAX(1,N(I172))*(1/SG_Criteria!$B$26)*((G172/1000)*(H172/1000*(1-SG_Criteria!$B$25)))*(((G172/1000)*(H172/1000*(1-SG_Criteria!$B$25)))/((G172/1000)+2*(H172/1000*(1-SG_Criteria!$B$25))))^(2/3)*(1/Design_Selector!$B$11)^0.5,3))</f>
        <v/>
      </c>
      <c r="BD172" s="11" t="str">
        <f aca="false">IF(BC172="","",ROUND(BC172/(MAX(1,N(I172))*G172/1000*(H172/1000*(1-SG_Criteria!$B$25))),2))</f>
        <v/>
      </c>
      <c r="BE172" s="33" t="str">
        <f aca="false">IF(D172="","",IF(LEN(IF(AND(OR(E172="Roadside drain",E172="Entrance culvert"),OR(G172&lt;SG_Criteria!$B$15,H172&lt;SG_Criteria!$B$16)),"FAIL: below PUB min "&amp;SG_Criteria!$B$15&amp;"x"&amp;SG_Criteria!$B$16&amp;" for roadside drain. ","")&amp;IF(AND(E172="Common drain",G172&lt;SG_Criteria!$B$17),"FAIL: common drain W &lt; "&amp;SG_Criteria!$B$17&amp;" mm. ","")&amp;IF(AND(O172&lt;&gt;"",IFERROR(VALUE(MID(O172,2,2)),0)&lt;SG_Criteria!$B$19),"FAIL: grade below C"&amp;SG_Criteria!$B$19&amp;". ","")&amp;IF(AND(P172&lt;&gt;"",P172&lt;SG_Criteria!$B$20),"FAIL: cover &lt; "&amp;SG_Criteria!$B$20&amp;" mm. ","")&amp;IF(AND(F172="Open",H172&gt;SG_Criteria!$B$18),"NOTE: safety railing required (D &gt; "&amp;SG_Criteria!$B$18&amp;" mm). ","")&amp;IF(AND(E172="Entrance culvert",H172&lt;600),"NOTE: check hinged grating rule for culverts &lt; 600 deep (PUB Add. 3). ",""))=0,"OK",IF(AND(OR(E172="Roadside drain",E172="Entrance culvert"),OR(G172&lt;SG_Criteria!$B$15,H172&lt;SG_Criteria!$B$16)),"FAIL: below PUB min "&amp;SG_Criteria!$B$15&amp;"x"&amp;SG_Criteria!$B$16&amp;" for roadside drain. ","")&amp;IF(AND(E172="Common drain",G172&lt;SG_Criteria!$B$17),"FAIL: common drain W &lt; "&amp;SG_Criteria!$B$17&amp;" mm. ","")&amp;IF(AND(O172&lt;&gt;"",IFERROR(VALUE(MID(O172,2,2)),0)&lt;SG_Criteria!$B$19),"FAIL: grade below C"&amp;SG_Criteria!$B$19&amp;". ","")&amp;IF(AND(P172&lt;&gt;"",P172&lt;SG_Criteria!$B$20),"FAIL: cover &lt; "&amp;SG_Criteria!$B$20&amp;" mm. ","")&amp;IF(AND(F172="Open",H172&gt;SG_Criteria!$B$18),"NOTE: safety railing required (D &gt; "&amp;SG_Criteria!$B$18&amp;" mm). ","")&amp;IF(AND(E172="Entrance culvert",H172&lt;600),"NOTE: check hinged grating rule for culverts &lt; 600 deep (PUB Add. 3). ","")))</f>
        <v/>
      </c>
      <c r="BF172" s="9"/>
      <c r="BG172" s="9"/>
      <c r="BH172" s="9"/>
      <c r="BI172" s="10" t="str">
        <f aca="false">IF(BH172="","",IFERROR(VLOOKUP(BH172,Projects!$A$5:$D$504,2,0),"Ref not in Projects"))</f>
        <v/>
      </c>
      <c r="BJ172" s="10" t="str">
        <f aca="false">IF(BH172="","",IFERROR(VLOOKUP(BH172,Projects!$A$5:$D$504,4,0),"Ref not in Projects"))</f>
        <v/>
      </c>
      <c r="BK172" s="9"/>
      <c r="BL172" s="9"/>
      <c r="BM172" s="9"/>
      <c r="BN172" s="40"/>
      <c r="BO172" s="9"/>
      <c r="BP172" s="40"/>
      <c r="BQ172" s="9"/>
      <c r="BR172" s="40"/>
      <c r="BS172" s="9"/>
      <c r="BT172" s="9"/>
      <c r="BU172" s="9"/>
      <c r="BV172" s="40"/>
      <c r="BW172" s="40"/>
      <c r="BX172" s="36" t="str">
        <f aca="false">IF(BW172="","",EDATE(BW172,SG_Criteria!$B$54*12))</f>
        <v/>
      </c>
      <c r="BY172" s="33" t="str">
        <f aca="true">IF(A172="","",IF(BW172="","NOTE: not reviewed yet",IF(TODAY()&gt;BX172,"NOTE: review overdue","OK")))</f>
        <v/>
      </c>
      <c r="BZ172" s="37" t="str">
        <f aca="false">IF(A172="","",ROUND((IF(LEN(D172)&gt;0,1,0)+IF(LEN(E172)&gt;0,1,0)+IF(LEN(F172)&gt;0,1,0)+IF(LEN(G172)&gt;0,1,0)+IF(LEN(H172)&gt;0,1,0)+IF(LEN(J172)&gt;0,1,0)+IF(LEN(K172)&gt;0,1,0)+IF(LEN(M172)&gt;0,1,0)+IF(LEN(O172)&gt;0,1,0)+IF(LEN(P172)&gt;0,1,0)+IF(LEN(Q172)&gt;0,1,0)+IF(LEN(S172)&gt;0,1,0)+IF(LEN(AC172)&gt;0,1,0)+IF(LEN(AV172)&gt;0,1,0)+IF(LEN(AW172)&gt;0,1,0)+IF(LEN(AG172)&gt;0,1,0)+IF(LEN(AI172)&gt;0,1,0)+IF(LEN(AJ172)&gt;0,1,0)+IF(LEN(AK172)&gt;0,1,0)+IF(LEN(AL172)&gt;0,1,0)+IF(LEN(AU172)&gt;0,1,0)+IF(LEN(BH172)&gt;0,1,0)+IF(LEN(BU172)&gt;0,1,0))/23,2))</f>
        <v/>
      </c>
      <c r="CA172" s="10" t="str">
        <f aca="false">IF(D172="","",IF(AND(AJ172="Approved",ISERROR(SEARCH("FAIL",BE172))),"Y","N"))</f>
        <v/>
      </c>
      <c r="CB172" s="10" t="str">
        <f aca="false">IF(D172="","",D172&amp;"|"&amp;G172&amp;"|"&amp;H172&amp;"|"&amp;M172&amp;"|"&amp;CA172)</f>
        <v/>
      </c>
    </row>
    <row r="173" customFormat="false" ht="15" hidden="false" customHeight="false" outlineLevel="0" collapsed="false">
      <c r="A173" s="10" t="str">
        <f aca="false">IF(D173="","","DRN-"&amp;IFERROR(VLOOKUP(D173,Lists!$A$4:$B$27,2,0),"??")&amp;"-"&amp;TEXT(G173,"0000")&amp;"x"&amp;TEXT(H173,"0000")&amp;IF(N(I173)&gt;1,"-"&amp;I173&amp;"C","")&amp;"-"&amp;IFERROR(VLOOKUP(M173,Lists!$J$4:$K$19,2,0),"??")&amp;"-"&amp;AI173)</f>
        <v/>
      </c>
      <c r="B173" s="10" t="str">
        <f aca="false">IF(D173="","",D173&amp;" "&amp;G173&amp;"W x "&amp;H173&amp;"D"&amp;IF(N(I173)&gt;1," ("&amp;I173&amp;" cells)","")&amp;", "&amp;E173&amp;", "&amp;M173&amp;", "&amp;F173)</f>
        <v/>
      </c>
      <c r="C173" s="9"/>
      <c r="D173" s="9"/>
      <c r="E173" s="9"/>
      <c r="F173" s="9"/>
      <c r="G173" s="38"/>
      <c r="H173" s="38"/>
      <c r="I173" s="38"/>
      <c r="J173" s="38"/>
      <c r="K173" s="38"/>
      <c r="L173" s="38"/>
      <c r="M173" s="9"/>
      <c r="N173" s="9"/>
      <c r="O173" s="9"/>
      <c r="P173" s="38"/>
      <c r="Q173" s="9"/>
      <c r="R173" s="9"/>
      <c r="S173" s="9"/>
      <c r="T173" s="9"/>
      <c r="U173" s="9"/>
      <c r="V173" s="9"/>
      <c r="W173" s="9"/>
      <c r="X173" s="9"/>
      <c r="Y173" s="9"/>
      <c r="Z173" s="9"/>
      <c r="AA173" s="9"/>
      <c r="AB173" s="39"/>
      <c r="AC173" s="9"/>
      <c r="AD173" s="38"/>
      <c r="AE173" s="9"/>
      <c r="AF173" s="39"/>
      <c r="AG173" s="9"/>
      <c r="AH173" s="9"/>
      <c r="AI173" s="9"/>
      <c r="AJ173" s="9"/>
      <c r="AK173" s="9"/>
      <c r="AL173" s="9"/>
      <c r="AM173" s="9"/>
      <c r="AN173" s="10" t="str">
        <f aca="false">IF(A173="","",SG_Criteria!$B$6&amp;SG_Criteria!$B$7&amp;"\"&amp;A173&amp;"\")</f>
        <v/>
      </c>
      <c r="AO173" s="10" t="str">
        <f aca="false">IF(A173="","",A173&amp;"_CAD.dwg")</f>
        <v/>
      </c>
      <c r="AP173" s="10" t="str">
        <f aca="false">IF(A173="","",A173&amp;"_DWG.pdf")</f>
        <v/>
      </c>
      <c r="AQ173" s="10" t="str">
        <f aca="false">IF(A173="","",IF(AM173="Y",A173&amp;"_STAAD.std","n/a"))</f>
        <v/>
      </c>
      <c r="AR173" s="10" t="str">
        <f aca="false">IF(A173="","",A173&amp;"_CALC.xlsx")</f>
        <v/>
      </c>
      <c r="AS173" s="10" t="str">
        <f aca="false">IF(A173="","",A173&amp;"_CALC.pdf")</f>
        <v/>
      </c>
      <c r="AT173" s="9"/>
      <c r="AU173" s="9"/>
      <c r="AV173" s="39"/>
      <c r="AW173" s="39"/>
      <c r="AX173" s="39"/>
      <c r="AY173" s="39"/>
      <c r="AZ173" s="39"/>
      <c r="BA173" s="12" t="str">
        <f aca="false">IF(A173="","",IF(COUNTIF(Rebar_Schedule!$A$5:$A$2004,A173)=0,"",ROUND(SUMIF(Rebar_Schedule!$A$5:$A$2004,A173,Rebar_Schedule!$K$5:$K$2004),1)))</f>
        <v/>
      </c>
      <c r="BB173" s="33" t="str">
        <f aca="false">IF(A173="","",IF(BA173="","No rebar schedule yet",IF(ABS(BA173-N(AW173))/MAX(N(AW173),1)&gt;SG_Criteria!$B$55,"NOTE: register rebar differs from schedule by "&amp;TEXT(ABS(BA173-N(AW173))/MAX(N(AW173),1),"0%"),"OK")))</f>
        <v/>
      </c>
      <c r="BC173" s="34" t="str">
        <f aca="false">IF(OR(D173="",G173="",H173="",D173="Sump",D173="Drop Inlet Chamber",D173="Silt Trap",D173="Pipe Culvert",D173="Subsoil Drain"),"",ROUND(MAX(1,N(I173))*(1/SG_Criteria!$B$26)*((G173/1000)*(H173/1000*(1-SG_Criteria!$B$25)))*(((G173/1000)*(H173/1000*(1-SG_Criteria!$B$25)))/((G173/1000)+2*(H173/1000*(1-SG_Criteria!$B$25))))^(2/3)*(1/Design_Selector!$B$11)^0.5,3))</f>
        <v/>
      </c>
      <c r="BD173" s="11" t="str">
        <f aca="false">IF(BC173="","",ROUND(BC173/(MAX(1,N(I173))*G173/1000*(H173/1000*(1-SG_Criteria!$B$25))),2))</f>
        <v/>
      </c>
      <c r="BE173" s="33" t="str">
        <f aca="false">IF(D173="","",IF(LEN(IF(AND(OR(E173="Roadside drain",E173="Entrance culvert"),OR(G173&lt;SG_Criteria!$B$15,H173&lt;SG_Criteria!$B$16)),"FAIL: below PUB min "&amp;SG_Criteria!$B$15&amp;"x"&amp;SG_Criteria!$B$16&amp;" for roadside drain. ","")&amp;IF(AND(E173="Common drain",G173&lt;SG_Criteria!$B$17),"FAIL: common drain W &lt; "&amp;SG_Criteria!$B$17&amp;" mm. ","")&amp;IF(AND(O173&lt;&gt;"",IFERROR(VALUE(MID(O173,2,2)),0)&lt;SG_Criteria!$B$19),"FAIL: grade below C"&amp;SG_Criteria!$B$19&amp;". ","")&amp;IF(AND(P173&lt;&gt;"",P173&lt;SG_Criteria!$B$20),"FAIL: cover &lt; "&amp;SG_Criteria!$B$20&amp;" mm. ","")&amp;IF(AND(F173="Open",H173&gt;SG_Criteria!$B$18),"NOTE: safety railing required (D &gt; "&amp;SG_Criteria!$B$18&amp;" mm). ","")&amp;IF(AND(E173="Entrance culvert",H173&lt;600),"NOTE: check hinged grating rule for culverts &lt; 600 deep (PUB Add. 3). ",""))=0,"OK",IF(AND(OR(E173="Roadside drain",E173="Entrance culvert"),OR(G173&lt;SG_Criteria!$B$15,H173&lt;SG_Criteria!$B$16)),"FAIL: below PUB min "&amp;SG_Criteria!$B$15&amp;"x"&amp;SG_Criteria!$B$16&amp;" for roadside drain. ","")&amp;IF(AND(E173="Common drain",G173&lt;SG_Criteria!$B$17),"FAIL: common drain W &lt; "&amp;SG_Criteria!$B$17&amp;" mm. ","")&amp;IF(AND(O173&lt;&gt;"",IFERROR(VALUE(MID(O173,2,2)),0)&lt;SG_Criteria!$B$19),"FAIL: grade below C"&amp;SG_Criteria!$B$19&amp;". ","")&amp;IF(AND(P173&lt;&gt;"",P173&lt;SG_Criteria!$B$20),"FAIL: cover &lt; "&amp;SG_Criteria!$B$20&amp;" mm. ","")&amp;IF(AND(F173="Open",H173&gt;SG_Criteria!$B$18),"NOTE: safety railing required (D &gt; "&amp;SG_Criteria!$B$18&amp;" mm). ","")&amp;IF(AND(E173="Entrance culvert",H173&lt;600),"NOTE: check hinged grating rule for culverts &lt; 600 deep (PUB Add. 3). ","")))</f>
        <v/>
      </c>
      <c r="BF173" s="9"/>
      <c r="BG173" s="9"/>
      <c r="BH173" s="9"/>
      <c r="BI173" s="10" t="str">
        <f aca="false">IF(BH173="","",IFERROR(VLOOKUP(BH173,Projects!$A$5:$D$504,2,0),"Ref not in Projects"))</f>
        <v/>
      </c>
      <c r="BJ173" s="10" t="str">
        <f aca="false">IF(BH173="","",IFERROR(VLOOKUP(BH173,Projects!$A$5:$D$504,4,0),"Ref not in Projects"))</f>
        <v/>
      </c>
      <c r="BK173" s="9"/>
      <c r="BL173" s="9"/>
      <c r="BM173" s="9"/>
      <c r="BN173" s="40"/>
      <c r="BO173" s="9"/>
      <c r="BP173" s="40"/>
      <c r="BQ173" s="9"/>
      <c r="BR173" s="40"/>
      <c r="BS173" s="9"/>
      <c r="BT173" s="9"/>
      <c r="BU173" s="9"/>
      <c r="BV173" s="40"/>
      <c r="BW173" s="40"/>
      <c r="BX173" s="36" t="str">
        <f aca="false">IF(BW173="","",EDATE(BW173,SG_Criteria!$B$54*12))</f>
        <v/>
      </c>
      <c r="BY173" s="33" t="str">
        <f aca="true">IF(A173="","",IF(BW173="","NOTE: not reviewed yet",IF(TODAY()&gt;BX173,"NOTE: review overdue","OK")))</f>
        <v/>
      </c>
      <c r="BZ173" s="37" t="str">
        <f aca="false">IF(A173="","",ROUND((IF(LEN(D173)&gt;0,1,0)+IF(LEN(E173)&gt;0,1,0)+IF(LEN(F173)&gt;0,1,0)+IF(LEN(G173)&gt;0,1,0)+IF(LEN(H173)&gt;0,1,0)+IF(LEN(J173)&gt;0,1,0)+IF(LEN(K173)&gt;0,1,0)+IF(LEN(M173)&gt;0,1,0)+IF(LEN(O173)&gt;0,1,0)+IF(LEN(P173)&gt;0,1,0)+IF(LEN(Q173)&gt;0,1,0)+IF(LEN(S173)&gt;0,1,0)+IF(LEN(AC173)&gt;0,1,0)+IF(LEN(AV173)&gt;0,1,0)+IF(LEN(AW173)&gt;0,1,0)+IF(LEN(AG173)&gt;0,1,0)+IF(LEN(AI173)&gt;0,1,0)+IF(LEN(AJ173)&gt;0,1,0)+IF(LEN(AK173)&gt;0,1,0)+IF(LEN(AL173)&gt;0,1,0)+IF(LEN(AU173)&gt;0,1,0)+IF(LEN(BH173)&gt;0,1,0)+IF(LEN(BU173)&gt;0,1,0))/23,2))</f>
        <v/>
      </c>
      <c r="CA173" s="10" t="str">
        <f aca="false">IF(D173="","",IF(AND(AJ173="Approved",ISERROR(SEARCH("FAIL",BE173))),"Y","N"))</f>
        <v/>
      </c>
      <c r="CB173" s="10" t="str">
        <f aca="false">IF(D173="","",D173&amp;"|"&amp;G173&amp;"|"&amp;H173&amp;"|"&amp;M173&amp;"|"&amp;CA173)</f>
        <v/>
      </c>
    </row>
    <row r="174" customFormat="false" ht="15" hidden="false" customHeight="false" outlineLevel="0" collapsed="false">
      <c r="A174" s="10" t="str">
        <f aca="false">IF(D174="","","DRN-"&amp;IFERROR(VLOOKUP(D174,Lists!$A$4:$B$27,2,0),"??")&amp;"-"&amp;TEXT(G174,"0000")&amp;"x"&amp;TEXT(H174,"0000")&amp;IF(N(I174)&gt;1,"-"&amp;I174&amp;"C","")&amp;"-"&amp;IFERROR(VLOOKUP(M174,Lists!$J$4:$K$19,2,0),"??")&amp;"-"&amp;AI174)</f>
        <v/>
      </c>
      <c r="B174" s="10" t="str">
        <f aca="false">IF(D174="","",D174&amp;" "&amp;G174&amp;"W x "&amp;H174&amp;"D"&amp;IF(N(I174)&gt;1," ("&amp;I174&amp;" cells)","")&amp;", "&amp;E174&amp;", "&amp;M174&amp;", "&amp;F174)</f>
        <v/>
      </c>
      <c r="C174" s="9"/>
      <c r="D174" s="9"/>
      <c r="E174" s="9"/>
      <c r="F174" s="9"/>
      <c r="G174" s="38"/>
      <c r="H174" s="38"/>
      <c r="I174" s="38"/>
      <c r="J174" s="38"/>
      <c r="K174" s="38"/>
      <c r="L174" s="38"/>
      <c r="M174" s="9"/>
      <c r="N174" s="9"/>
      <c r="O174" s="9"/>
      <c r="P174" s="38"/>
      <c r="Q174" s="9"/>
      <c r="R174" s="9"/>
      <c r="S174" s="9"/>
      <c r="T174" s="9"/>
      <c r="U174" s="9"/>
      <c r="V174" s="9"/>
      <c r="W174" s="9"/>
      <c r="X174" s="9"/>
      <c r="Y174" s="9"/>
      <c r="Z174" s="9"/>
      <c r="AA174" s="9"/>
      <c r="AB174" s="39"/>
      <c r="AC174" s="9"/>
      <c r="AD174" s="38"/>
      <c r="AE174" s="9"/>
      <c r="AF174" s="39"/>
      <c r="AG174" s="9"/>
      <c r="AH174" s="9"/>
      <c r="AI174" s="9"/>
      <c r="AJ174" s="9"/>
      <c r="AK174" s="9"/>
      <c r="AL174" s="9"/>
      <c r="AM174" s="9"/>
      <c r="AN174" s="10" t="str">
        <f aca="false">IF(A174="","",SG_Criteria!$B$6&amp;SG_Criteria!$B$7&amp;"\"&amp;A174&amp;"\")</f>
        <v/>
      </c>
      <c r="AO174" s="10" t="str">
        <f aca="false">IF(A174="","",A174&amp;"_CAD.dwg")</f>
        <v/>
      </c>
      <c r="AP174" s="10" t="str">
        <f aca="false">IF(A174="","",A174&amp;"_DWG.pdf")</f>
        <v/>
      </c>
      <c r="AQ174" s="10" t="str">
        <f aca="false">IF(A174="","",IF(AM174="Y",A174&amp;"_STAAD.std","n/a"))</f>
        <v/>
      </c>
      <c r="AR174" s="10" t="str">
        <f aca="false">IF(A174="","",A174&amp;"_CALC.xlsx")</f>
        <v/>
      </c>
      <c r="AS174" s="10" t="str">
        <f aca="false">IF(A174="","",A174&amp;"_CALC.pdf")</f>
        <v/>
      </c>
      <c r="AT174" s="9"/>
      <c r="AU174" s="9"/>
      <c r="AV174" s="39"/>
      <c r="AW174" s="39"/>
      <c r="AX174" s="39"/>
      <c r="AY174" s="39"/>
      <c r="AZ174" s="39"/>
      <c r="BA174" s="12" t="str">
        <f aca="false">IF(A174="","",IF(COUNTIF(Rebar_Schedule!$A$5:$A$2004,A174)=0,"",ROUND(SUMIF(Rebar_Schedule!$A$5:$A$2004,A174,Rebar_Schedule!$K$5:$K$2004),1)))</f>
        <v/>
      </c>
      <c r="BB174" s="33" t="str">
        <f aca="false">IF(A174="","",IF(BA174="","No rebar schedule yet",IF(ABS(BA174-N(AW174))/MAX(N(AW174),1)&gt;SG_Criteria!$B$55,"NOTE: register rebar differs from schedule by "&amp;TEXT(ABS(BA174-N(AW174))/MAX(N(AW174),1),"0%"),"OK")))</f>
        <v/>
      </c>
      <c r="BC174" s="34" t="str">
        <f aca="false">IF(OR(D174="",G174="",H174="",D174="Sump",D174="Drop Inlet Chamber",D174="Silt Trap",D174="Pipe Culvert",D174="Subsoil Drain"),"",ROUND(MAX(1,N(I174))*(1/SG_Criteria!$B$26)*((G174/1000)*(H174/1000*(1-SG_Criteria!$B$25)))*(((G174/1000)*(H174/1000*(1-SG_Criteria!$B$25)))/((G174/1000)+2*(H174/1000*(1-SG_Criteria!$B$25))))^(2/3)*(1/Design_Selector!$B$11)^0.5,3))</f>
        <v/>
      </c>
      <c r="BD174" s="11" t="str">
        <f aca="false">IF(BC174="","",ROUND(BC174/(MAX(1,N(I174))*G174/1000*(H174/1000*(1-SG_Criteria!$B$25))),2))</f>
        <v/>
      </c>
      <c r="BE174" s="33" t="str">
        <f aca="false">IF(D174="","",IF(LEN(IF(AND(OR(E174="Roadside drain",E174="Entrance culvert"),OR(G174&lt;SG_Criteria!$B$15,H174&lt;SG_Criteria!$B$16)),"FAIL: below PUB min "&amp;SG_Criteria!$B$15&amp;"x"&amp;SG_Criteria!$B$16&amp;" for roadside drain. ","")&amp;IF(AND(E174="Common drain",G174&lt;SG_Criteria!$B$17),"FAIL: common drain W &lt; "&amp;SG_Criteria!$B$17&amp;" mm. ","")&amp;IF(AND(O174&lt;&gt;"",IFERROR(VALUE(MID(O174,2,2)),0)&lt;SG_Criteria!$B$19),"FAIL: grade below C"&amp;SG_Criteria!$B$19&amp;". ","")&amp;IF(AND(P174&lt;&gt;"",P174&lt;SG_Criteria!$B$20),"FAIL: cover &lt; "&amp;SG_Criteria!$B$20&amp;" mm. ","")&amp;IF(AND(F174="Open",H174&gt;SG_Criteria!$B$18),"NOTE: safety railing required (D &gt; "&amp;SG_Criteria!$B$18&amp;" mm). ","")&amp;IF(AND(E174="Entrance culvert",H174&lt;600),"NOTE: check hinged grating rule for culverts &lt; 600 deep (PUB Add. 3). ",""))=0,"OK",IF(AND(OR(E174="Roadside drain",E174="Entrance culvert"),OR(G174&lt;SG_Criteria!$B$15,H174&lt;SG_Criteria!$B$16)),"FAIL: below PUB min "&amp;SG_Criteria!$B$15&amp;"x"&amp;SG_Criteria!$B$16&amp;" for roadside drain. ","")&amp;IF(AND(E174="Common drain",G174&lt;SG_Criteria!$B$17),"FAIL: common drain W &lt; "&amp;SG_Criteria!$B$17&amp;" mm. ","")&amp;IF(AND(O174&lt;&gt;"",IFERROR(VALUE(MID(O174,2,2)),0)&lt;SG_Criteria!$B$19),"FAIL: grade below C"&amp;SG_Criteria!$B$19&amp;". ","")&amp;IF(AND(P174&lt;&gt;"",P174&lt;SG_Criteria!$B$20),"FAIL: cover &lt; "&amp;SG_Criteria!$B$20&amp;" mm. ","")&amp;IF(AND(F174="Open",H174&gt;SG_Criteria!$B$18),"NOTE: safety railing required (D &gt; "&amp;SG_Criteria!$B$18&amp;" mm). ","")&amp;IF(AND(E174="Entrance culvert",H174&lt;600),"NOTE: check hinged grating rule for culverts &lt; 600 deep (PUB Add. 3). ","")))</f>
        <v/>
      </c>
      <c r="BF174" s="9"/>
      <c r="BG174" s="9"/>
      <c r="BH174" s="9"/>
      <c r="BI174" s="10" t="str">
        <f aca="false">IF(BH174="","",IFERROR(VLOOKUP(BH174,Projects!$A$5:$D$504,2,0),"Ref not in Projects"))</f>
        <v/>
      </c>
      <c r="BJ174" s="10" t="str">
        <f aca="false">IF(BH174="","",IFERROR(VLOOKUP(BH174,Projects!$A$5:$D$504,4,0),"Ref not in Projects"))</f>
        <v/>
      </c>
      <c r="BK174" s="9"/>
      <c r="BL174" s="9"/>
      <c r="BM174" s="9"/>
      <c r="BN174" s="40"/>
      <c r="BO174" s="9"/>
      <c r="BP174" s="40"/>
      <c r="BQ174" s="9"/>
      <c r="BR174" s="40"/>
      <c r="BS174" s="9"/>
      <c r="BT174" s="9"/>
      <c r="BU174" s="9"/>
      <c r="BV174" s="40"/>
      <c r="BW174" s="40"/>
      <c r="BX174" s="36" t="str">
        <f aca="false">IF(BW174="","",EDATE(BW174,SG_Criteria!$B$54*12))</f>
        <v/>
      </c>
      <c r="BY174" s="33" t="str">
        <f aca="true">IF(A174="","",IF(BW174="","NOTE: not reviewed yet",IF(TODAY()&gt;BX174,"NOTE: review overdue","OK")))</f>
        <v/>
      </c>
      <c r="BZ174" s="37" t="str">
        <f aca="false">IF(A174="","",ROUND((IF(LEN(D174)&gt;0,1,0)+IF(LEN(E174)&gt;0,1,0)+IF(LEN(F174)&gt;0,1,0)+IF(LEN(G174)&gt;0,1,0)+IF(LEN(H174)&gt;0,1,0)+IF(LEN(J174)&gt;0,1,0)+IF(LEN(K174)&gt;0,1,0)+IF(LEN(M174)&gt;0,1,0)+IF(LEN(O174)&gt;0,1,0)+IF(LEN(P174)&gt;0,1,0)+IF(LEN(Q174)&gt;0,1,0)+IF(LEN(S174)&gt;0,1,0)+IF(LEN(AC174)&gt;0,1,0)+IF(LEN(AV174)&gt;0,1,0)+IF(LEN(AW174)&gt;0,1,0)+IF(LEN(AG174)&gt;0,1,0)+IF(LEN(AI174)&gt;0,1,0)+IF(LEN(AJ174)&gt;0,1,0)+IF(LEN(AK174)&gt;0,1,0)+IF(LEN(AL174)&gt;0,1,0)+IF(LEN(AU174)&gt;0,1,0)+IF(LEN(BH174)&gt;0,1,0)+IF(LEN(BU174)&gt;0,1,0))/23,2))</f>
        <v/>
      </c>
      <c r="CA174" s="10" t="str">
        <f aca="false">IF(D174="","",IF(AND(AJ174="Approved",ISERROR(SEARCH("FAIL",BE174))),"Y","N"))</f>
        <v/>
      </c>
      <c r="CB174" s="10" t="str">
        <f aca="false">IF(D174="","",D174&amp;"|"&amp;G174&amp;"|"&amp;H174&amp;"|"&amp;M174&amp;"|"&amp;CA174)</f>
        <v/>
      </c>
    </row>
    <row r="175" customFormat="false" ht="15" hidden="false" customHeight="false" outlineLevel="0" collapsed="false">
      <c r="A175" s="10" t="str">
        <f aca="false">IF(D175="","","DRN-"&amp;IFERROR(VLOOKUP(D175,Lists!$A$4:$B$27,2,0),"??")&amp;"-"&amp;TEXT(G175,"0000")&amp;"x"&amp;TEXT(H175,"0000")&amp;IF(N(I175)&gt;1,"-"&amp;I175&amp;"C","")&amp;"-"&amp;IFERROR(VLOOKUP(M175,Lists!$J$4:$K$19,2,0),"??")&amp;"-"&amp;AI175)</f>
        <v/>
      </c>
      <c r="B175" s="10" t="str">
        <f aca="false">IF(D175="","",D175&amp;" "&amp;G175&amp;"W x "&amp;H175&amp;"D"&amp;IF(N(I175)&gt;1," ("&amp;I175&amp;" cells)","")&amp;", "&amp;E175&amp;", "&amp;M175&amp;", "&amp;F175)</f>
        <v/>
      </c>
      <c r="C175" s="9"/>
      <c r="D175" s="9"/>
      <c r="E175" s="9"/>
      <c r="F175" s="9"/>
      <c r="G175" s="38"/>
      <c r="H175" s="38"/>
      <c r="I175" s="38"/>
      <c r="J175" s="38"/>
      <c r="K175" s="38"/>
      <c r="L175" s="38"/>
      <c r="M175" s="9"/>
      <c r="N175" s="9"/>
      <c r="O175" s="9"/>
      <c r="P175" s="38"/>
      <c r="Q175" s="9"/>
      <c r="R175" s="9"/>
      <c r="S175" s="9"/>
      <c r="T175" s="9"/>
      <c r="U175" s="9"/>
      <c r="V175" s="9"/>
      <c r="W175" s="9"/>
      <c r="X175" s="9"/>
      <c r="Y175" s="9"/>
      <c r="Z175" s="9"/>
      <c r="AA175" s="9"/>
      <c r="AB175" s="39"/>
      <c r="AC175" s="9"/>
      <c r="AD175" s="38"/>
      <c r="AE175" s="9"/>
      <c r="AF175" s="39"/>
      <c r="AG175" s="9"/>
      <c r="AH175" s="9"/>
      <c r="AI175" s="9"/>
      <c r="AJ175" s="9"/>
      <c r="AK175" s="9"/>
      <c r="AL175" s="9"/>
      <c r="AM175" s="9"/>
      <c r="AN175" s="10" t="str">
        <f aca="false">IF(A175="","",SG_Criteria!$B$6&amp;SG_Criteria!$B$7&amp;"\"&amp;A175&amp;"\")</f>
        <v/>
      </c>
      <c r="AO175" s="10" t="str">
        <f aca="false">IF(A175="","",A175&amp;"_CAD.dwg")</f>
        <v/>
      </c>
      <c r="AP175" s="10" t="str">
        <f aca="false">IF(A175="","",A175&amp;"_DWG.pdf")</f>
        <v/>
      </c>
      <c r="AQ175" s="10" t="str">
        <f aca="false">IF(A175="","",IF(AM175="Y",A175&amp;"_STAAD.std","n/a"))</f>
        <v/>
      </c>
      <c r="AR175" s="10" t="str">
        <f aca="false">IF(A175="","",A175&amp;"_CALC.xlsx")</f>
        <v/>
      </c>
      <c r="AS175" s="10" t="str">
        <f aca="false">IF(A175="","",A175&amp;"_CALC.pdf")</f>
        <v/>
      </c>
      <c r="AT175" s="9"/>
      <c r="AU175" s="9"/>
      <c r="AV175" s="39"/>
      <c r="AW175" s="39"/>
      <c r="AX175" s="39"/>
      <c r="AY175" s="39"/>
      <c r="AZ175" s="39"/>
      <c r="BA175" s="12" t="str">
        <f aca="false">IF(A175="","",IF(COUNTIF(Rebar_Schedule!$A$5:$A$2004,A175)=0,"",ROUND(SUMIF(Rebar_Schedule!$A$5:$A$2004,A175,Rebar_Schedule!$K$5:$K$2004),1)))</f>
        <v/>
      </c>
      <c r="BB175" s="33" t="str">
        <f aca="false">IF(A175="","",IF(BA175="","No rebar schedule yet",IF(ABS(BA175-N(AW175))/MAX(N(AW175),1)&gt;SG_Criteria!$B$55,"NOTE: register rebar differs from schedule by "&amp;TEXT(ABS(BA175-N(AW175))/MAX(N(AW175),1),"0%"),"OK")))</f>
        <v/>
      </c>
      <c r="BC175" s="34" t="str">
        <f aca="false">IF(OR(D175="",G175="",H175="",D175="Sump",D175="Drop Inlet Chamber",D175="Silt Trap",D175="Pipe Culvert",D175="Subsoil Drain"),"",ROUND(MAX(1,N(I175))*(1/SG_Criteria!$B$26)*((G175/1000)*(H175/1000*(1-SG_Criteria!$B$25)))*(((G175/1000)*(H175/1000*(1-SG_Criteria!$B$25)))/((G175/1000)+2*(H175/1000*(1-SG_Criteria!$B$25))))^(2/3)*(1/Design_Selector!$B$11)^0.5,3))</f>
        <v/>
      </c>
      <c r="BD175" s="11" t="str">
        <f aca="false">IF(BC175="","",ROUND(BC175/(MAX(1,N(I175))*G175/1000*(H175/1000*(1-SG_Criteria!$B$25))),2))</f>
        <v/>
      </c>
      <c r="BE175" s="33" t="str">
        <f aca="false">IF(D175="","",IF(LEN(IF(AND(OR(E175="Roadside drain",E175="Entrance culvert"),OR(G175&lt;SG_Criteria!$B$15,H175&lt;SG_Criteria!$B$16)),"FAIL: below PUB min "&amp;SG_Criteria!$B$15&amp;"x"&amp;SG_Criteria!$B$16&amp;" for roadside drain. ","")&amp;IF(AND(E175="Common drain",G175&lt;SG_Criteria!$B$17),"FAIL: common drain W &lt; "&amp;SG_Criteria!$B$17&amp;" mm. ","")&amp;IF(AND(O175&lt;&gt;"",IFERROR(VALUE(MID(O175,2,2)),0)&lt;SG_Criteria!$B$19),"FAIL: grade below C"&amp;SG_Criteria!$B$19&amp;". ","")&amp;IF(AND(P175&lt;&gt;"",P175&lt;SG_Criteria!$B$20),"FAIL: cover &lt; "&amp;SG_Criteria!$B$20&amp;" mm. ","")&amp;IF(AND(F175="Open",H175&gt;SG_Criteria!$B$18),"NOTE: safety railing required (D &gt; "&amp;SG_Criteria!$B$18&amp;" mm). ","")&amp;IF(AND(E175="Entrance culvert",H175&lt;600),"NOTE: check hinged grating rule for culverts &lt; 600 deep (PUB Add. 3). ",""))=0,"OK",IF(AND(OR(E175="Roadside drain",E175="Entrance culvert"),OR(G175&lt;SG_Criteria!$B$15,H175&lt;SG_Criteria!$B$16)),"FAIL: below PUB min "&amp;SG_Criteria!$B$15&amp;"x"&amp;SG_Criteria!$B$16&amp;" for roadside drain. ","")&amp;IF(AND(E175="Common drain",G175&lt;SG_Criteria!$B$17),"FAIL: common drain W &lt; "&amp;SG_Criteria!$B$17&amp;" mm. ","")&amp;IF(AND(O175&lt;&gt;"",IFERROR(VALUE(MID(O175,2,2)),0)&lt;SG_Criteria!$B$19),"FAIL: grade below C"&amp;SG_Criteria!$B$19&amp;". ","")&amp;IF(AND(P175&lt;&gt;"",P175&lt;SG_Criteria!$B$20),"FAIL: cover &lt; "&amp;SG_Criteria!$B$20&amp;" mm. ","")&amp;IF(AND(F175="Open",H175&gt;SG_Criteria!$B$18),"NOTE: safety railing required (D &gt; "&amp;SG_Criteria!$B$18&amp;" mm). ","")&amp;IF(AND(E175="Entrance culvert",H175&lt;600),"NOTE: check hinged grating rule for culverts &lt; 600 deep (PUB Add. 3). ","")))</f>
        <v/>
      </c>
      <c r="BF175" s="9"/>
      <c r="BG175" s="9"/>
      <c r="BH175" s="9"/>
      <c r="BI175" s="10" t="str">
        <f aca="false">IF(BH175="","",IFERROR(VLOOKUP(BH175,Projects!$A$5:$D$504,2,0),"Ref not in Projects"))</f>
        <v/>
      </c>
      <c r="BJ175" s="10" t="str">
        <f aca="false">IF(BH175="","",IFERROR(VLOOKUP(BH175,Projects!$A$5:$D$504,4,0),"Ref not in Projects"))</f>
        <v/>
      </c>
      <c r="BK175" s="9"/>
      <c r="BL175" s="9"/>
      <c r="BM175" s="9"/>
      <c r="BN175" s="40"/>
      <c r="BO175" s="9"/>
      <c r="BP175" s="40"/>
      <c r="BQ175" s="9"/>
      <c r="BR175" s="40"/>
      <c r="BS175" s="9"/>
      <c r="BT175" s="9"/>
      <c r="BU175" s="9"/>
      <c r="BV175" s="40"/>
      <c r="BW175" s="40"/>
      <c r="BX175" s="36" t="str">
        <f aca="false">IF(BW175="","",EDATE(BW175,SG_Criteria!$B$54*12))</f>
        <v/>
      </c>
      <c r="BY175" s="33" t="str">
        <f aca="true">IF(A175="","",IF(BW175="","NOTE: not reviewed yet",IF(TODAY()&gt;BX175,"NOTE: review overdue","OK")))</f>
        <v/>
      </c>
      <c r="BZ175" s="37" t="str">
        <f aca="false">IF(A175="","",ROUND((IF(LEN(D175)&gt;0,1,0)+IF(LEN(E175)&gt;0,1,0)+IF(LEN(F175)&gt;0,1,0)+IF(LEN(G175)&gt;0,1,0)+IF(LEN(H175)&gt;0,1,0)+IF(LEN(J175)&gt;0,1,0)+IF(LEN(K175)&gt;0,1,0)+IF(LEN(M175)&gt;0,1,0)+IF(LEN(O175)&gt;0,1,0)+IF(LEN(P175)&gt;0,1,0)+IF(LEN(Q175)&gt;0,1,0)+IF(LEN(S175)&gt;0,1,0)+IF(LEN(AC175)&gt;0,1,0)+IF(LEN(AV175)&gt;0,1,0)+IF(LEN(AW175)&gt;0,1,0)+IF(LEN(AG175)&gt;0,1,0)+IF(LEN(AI175)&gt;0,1,0)+IF(LEN(AJ175)&gt;0,1,0)+IF(LEN(AK175)&gt;0,1,0)+IF(LEN(AL175)&gt;0,1,0)+IF(LEN(AU175)&gt;0,1,0)+IF(LEN(BH175)&gt;0,1,0)+IF(LEN(BU175)&gt;0,1,0))/23,2))</f>
        <v/>
      </c>
      <c r="CA175" s="10" t="str">
        <f aca="false">IF(D175="","",IF(AND(AJ175="Approved",ISERROR(SEARCH("FAIL",BE175))),"Y","N"))</f>
        <v/>
      </c>
      <c r="CB175" s="10" t="str">
        <f aca="false">IF(D175="","",D175&amp;"|"&amp;G175&amp;"|"&amp;H175&amp;"|"&amp;M175&amp;"|"&amp;CA175)</f>
        <v/>
      </c>
    </row>
    <row r="176" customFormat="false" ht="15" hidden="false" customHeight="false" outlineLevel="0" collapsed="false">
      <c r="A176" s="10" t="str">
        <f aca="false">IF(D176="","","DRN-"&amp;IFERROR(VLOOKUP(D176,Lists!$A$4:$B$27,2,0),"??")&amp;"-"&amp;TEXT(G176,"0000")&amp;"x"&amp;TEXT(H176,"0000")&amp;IF(N(I176)&gt;1,"-"&amp;I176&amp;"C","")&amp;"-"&amp;IFERROR(VLOOKUP(M176,Lists!$J$4:$K$19,2,0),"??")&amp;"-"&amp;AI176)</f>
        <v/>
      </c>
      <c r="B176" s="10" t="str">
        <f aca="false">IF(D176="","",D176&amp;" "&amp;G176&amp;"W x "&amp;H176&amp;"D"&amp;IF(N(I176)&gt;1," ("&amp;I176&amp;" cells)","")&amp;", "&amp;E176&amp;", "&amp;M176&amp;", "&amp;F176)</f>
        <v/>
      </c>
      <c r="C176" s="9"/>
      <c r="D176" s="9"/>
      <c r="E176" s="9"/>
      <c r="F176" s="9"/>
      <c r="G176" s="38"/>
      <c r="H176" s="38"/>
      <c r="I176" s="38"/>
      <c r="J176" s="38"/>
      <c r="K176" s="38"/>
      <c r="L176" s="38"/>
      <c r="M176" s="9"/>
      <c r="N176" s="9"/>
      <c r="O176" s="9"/>
      <c r="P176" s="38"/>
      <c r="Q176" s="9"/>
      <c r="R176" s="9"/>
      <c r="S176" s="9"/>
      <c r="T176" s="9"/>
      <c r="U176" s="9"/>
      <c r="V176" s="9"/>
      <c r="W176" s="9"/>
      <c r="X176" s="9"/>
      <c r="Y176" s="9"/>
      <c r="Z176" s="9"/>
      <c r="AA176" s="9"/>
      <c r="AB176" s="39"/>
      <c r="AC176" s="9"/>
      <c r="AD176" s="38"/>
      <c r="AE176" s="9"/>
      <c r="AF176" s="39"/>
      <c r="AG176" s="9"/>
      <c r="AH176" s="9"/>
      <c r="AI176" s="9"/>
      <c r="AJ176" s="9"/>
      <c r="AK176" s="9"/>
      <c r="AL176" s="9"/>
      <c r="AM176" s="9"/>
      <c r="AN176" s="10" t="str">
        <f aca="false">IF(A176="","",SG_Criteria!$B$6&amp;SG_Criteria!$B$7&amp;"\"&amp;A176&amp;"\")</f>
        <v/>
      </c>
      <c r="AO176" s="10" t="str">
        <f aca="false">IF(A176="","",A176&amp;"_CAD.dwg")</f>
        <v/>
      </c>
      <c r="AP176" s="10" t="str">
        <f aca="false">IF(A176="","",A176&amp;"_DWG.pdf")</f>
        <v/>
      </c>
      <c r="AQ176" s="10" t="str">
        <f aca="false">IF(A176="","",IF(AM176="Y",A176&amp;"_STAAD.std","n/a"))</f>
        <v/>
      </c>
      <c r="AR176" s="10" t="str">
        <f aca="false">IF(A176="","",A176&amp;"_CALC.xlsx")</f>
        <v/>
      </c>
      <c r="AS176" s="10" t="str">
        <f aca="false">IF(A176="","",A176&amp;"_CALC.pdf")</f>
        <v/>
      </c>
      <c r="AT176" s="9"/>
      <c r="AU176" s="9"/>
      <c r="AV176" s="39"/>
      <c r="AW176" s="39"/>
      <c r="AX176" s="39"/>
      <c r="AY176" s="39"/>
      <c r="AZ176" s="39"/>
      <c r="BA176" s="12" t="str">
        <f aca="false">IF(A176="","",IF(COUNTIF(Rebar_Schedule!$A$5:$A$2004,A176)=0,"",ROUND(SUMIF(Rebar_Schedule!$A$5:$A$2004,A176,Rebar_Schedule!$K$5:$K$2004),1)))</f>
        <v/>
      </c>
      <c r="BB176" s="33" t="str">
        <f aca="false">IF(A176="","",IF(BA176="","No rebar schedule yet",IF(ABS(BA176-N(AW176))/MAX(N(AW176),1)&gt;SG_Criteria!$B$55,"NOTE: register rebar differs from schedule by "&amp;TEXT(ABS(BA176-N(AW176))/MAX(N(AW176),1),"0%"),"OK")))</f>
        <v/>
      </c>
      <c r="BC176" s="34" t="str">
        <f aca="false">IF(OR(D176="",G176="",H176="",D176="Sump",D176="Drop Inlet Chamber",D176="Silt Trap",D176="Pipe Culvert",D176="Subsoil Drain"),"",ROUND(MAX(1,N(I176))*(1/SG_Criteria!$B$26)*((G176/1000)*(H176/1000*(1-SG_Criteria!$B$25)))*(((G176/1000)*(H176/1000*(1-SG_Criteria!$B$25)))/((G176/1000)+2*(H176/1000*(1-SG_Criteria!$B$25))))^(2/3)*(1/Design_Selector!$B$11)^0.5,3))</f>
        <v/>
      </c>
      <c r="BD176" s="11" t="str">
        <f aca="false">IF(BC176="","",ROUND(BC176/(MAX(1,N(I176))*G176/1000*(H176/1000*(1-SG_Criteria!$B$25))),2))</f>
        <v/>
      </c>
      <c r="BE176" s="33" t="str">
        <f aca="false">IF(D176="","",IF(LEN(IF(AND(OR(E176="Roadside drain",E176="Entrance culvert"),OR(G176&lt;SG_Criteria!$B$15,H176&lt;SG_Criteria!$B$16)),"FAIL: below PUB min "&amp;SG_Criteria!$B$15&amp;"x"&amp;SG_Criteria!$B$16&amp;" for roadside drain. ","")&amp;IF(AND(E176="Common drain",G176&lt;SG_Criteria!$B$17),"FAIL: common drain W &lt; "&amp;SG_Criteria!$B$17&amp;" mm. ","")&amp;IF(AND(O176&lt;&gt;"",IFERROR(VALUE(MID(O176,2,2)),0)&lt;SG_Criteria!$B$19),"FAIL: grade below C"&amp;SG_Criteria!$B$19&amp;". ","")&amp;IF(AND(P176&lt;&gt;"",P176&lt;SG_Criteria!$B$20),"FAIL: cover &lt; "&amp;SG_Criteria!$B$20&amp;" mm. ","")&amp;IF(AND(F176="Open",H176&gt;SG_Criteria!$B$18),"NOTE: safety railing required (D &gt; "&amp;SG_Criteria!$B$18&amp;" mm). ","")&amp;IF(AND(E176="Entrance culvert",H176&lt;600),"NOTE: check hinged grating rule for culverts &lt; 600 deep (PUB Add. 3). ",""))=0,"OK",IF(AND(OR(E176="Roadside drain",E176="Entrance culvert"),OR(G176&lt;SG_Criteria!$B$15,H176&lt;SG_Criteria!$B$16)),"FAIL: below PUB min "&amp;SG_Criteria!$B$15&amp;"x"&amp;SG_Criteria!$B$16&amp;" for roadside drain. ","")&amp;IF(AND(E176="Common drain",G176&lt;SG_Criteria!$B$17),"FAIL: common drain W &lt; "&amp;SG_Criteria!$B$17&amp;" mm. ","")&amp;IF(AND(O176&lt;&gt;"",IFERROR(VALUE(MID(O176,2,2)),0)&lt;SG_Criteria!$B$19),"FAIL: grade below C"&amp;SG_Criteria!$B$19&amp;". ","")&amp;IF(AND(P176&lt;&gt;"",P176&lt;SG_Criteria!$B$20),"FAIL: cover &lt; "&amp;SG_Criteria!$B$20&amp;" mm. ","")&amp;IF(AND(F176="Open",H176&gt;SG_Criteria!$B$18),"NOTE: safety railing required (D &gt; "&amp;SG_Criteria!$B$18&amp;" mm). ","")&amp;IF(AND(E176="Entrance culvert",H176&lt;600),"NOTE: check hinged grating rule for culverts &lt; 600 deep (PUB Add. 3). ","")))</f>
        <v/>
      </c>
      <c r="BF176" s="9"/>
      <c r="BG176" s="9"/>
      <c r="BH176" s="9"/>
      <c r="BI176" s="10" t="str">
        <f aca="false">IF(BH176="","",IFERROR(VLOOKUP(BH176,Projects!$A$5:$D$504,2,0),"Ref not in Projects"))</f>
        <v/>
      </c>
      <c r="BJ176" s="10" t="str">
        <f aca="false">IF(BH176="","",IFERROR(VLOOKUP(BH176,Projects!$A$5:$D$504,4,0),"Ref not in Projects"))</f>
        <v/>
      </c>
      <c r="BK176" s="9"/>
      <c r="BL176" s="9"/>
      <c r="BM176" s="9"/>
      <c r="BN176" s="40"/>
      <c r="BO176" s="9"/>
      <c r="BP176" s="40"/>
      <c r="BQ176" s="9"/>
      <c r="BR176" s="40"/>
      <c r="BS176" s="9"/>
      <c r="BT176" s="9"/>
      <c r="BU176" s="9"/>
      <c r="BV176" s="40"/>
      <c r="BW176" s="40"/>
      <c r="BX176" s="36" t="str">
        <f aca="false">IF(BW176="","",EDATE(BW176,SG_Criteria!$B$54*12))</f>
        <v/>
      </c>
      <c r="BY176" s="33" t="str">
        <f aca="true">IF(A176="","",IF(BW176="","NOTE: not reviewed yet",IF(TODAY()&gt;BX176,"NOTE: review overdue","OK")))</f>
        <v/>
      </c>
      <c r="BZ176" s="37" t="str">
        <f aca="false">IF(A176="","",ROUND((IF(LEN(D176)&gt;0,1,0)+IF(LEN(E176)&gt;0,1,0)+IF(LEN(F176)&gt;0,1,0)+IF(LEN(G176)&gt;0,1,0)+IF(LEN(H176)&gt;0,1,0)+IF(LEN(J176)&gt;0,1,0)+IF(LEN(K176)&gt;0,1,0)+IF(LEN(M176)&gt;0,1,0)+IF(LEN(O176)&gt;0,1,0)+IF(LEN(P176)&gt;0,1,0)+IF(LEN(Q176)&gt;0,1,0)+IF(LEN(S176)&gt;0,1,0)+IF(LEN(AC176)&gt;0,1,0)+IF(LEN(AV176)&gt;0,1,0)+IF(LEN(AW176)&gt;0,1,0)+IF(LEN(AG176)&gt;0,1,0)+IF(LEN(AI176)&gt;0,1,0)+IF(LEN(AJ176)&gt;0,1,0)+IF(LEN(AK176)&gt;0,1,0)+IF(LEN(AL176)&gt;0,1,0)+IF(LEN(AU176)&gt;0,1,0)+IF(LEN(BH176)&gt;0,1,0)+IF(LEN(BU176)&gt;0,1,0))/23,2))</f>
        <v/>
      </c>
      <c r="CA176" s="10" t="str">
        <f aca="false">IF(D176="","",IF(AND(AJ176="Approved",ISERROR(SEARCH("FAIL",BE176))),"Y","N"))</f>
        <v/>
      </c>
      <c r="CB176" s="10" t="str">
        <f aca="false">IF(D176="","",D176&amp;"|"&amp;G176&amp;"|"&amp;H176&amp;"|"&amp;M176&amp;"|"&amp;CA176)</f>
        <v/>
      </c>
    </row>
    <row r="177" customFormat="false" ht="15" hidden="false" customHeight="false" outlineLevel="0" collapsed="false">
      <c r="A177" s="10" t="str">
        <f aca="false">IF(D177="","","DRN-"&amp;IFERROR(VLOOKUP(D177,Lists!$A$4:$B$27,2,0),"??")&amp;"-"&amp;TEXT(G177,"0000")&amp;"x"&amp;TEXT(H177,"0000")&amp;IF(N(I177)&gt;1,"-"&amp;I177&amp;"C","")&amp;"-"&amp;IFERROR(VLOOKUP(M177,Lists!$J$4:$K$19,2,0),"??")&amp;"-"&amp;AI177)</f>
        <v/>
      </c>
      <c r="B177" s="10" t="str">
        <f aca="false">IF(D177="","",D177&amp;" "&amp;G177&amp;"W x "&amp;H177&amp;"D"&amp;IF(N(I177)&gt;1," ("&amp;I177&amp;" cells)","")&amp;", "&amp;E177&amp;", "&amp;M177&amp;", "&amp;F177)</f>
        <v/>
      </c>
      <c r="C177" s="9"/>
      <c r="D177" s="9"/>
      <c r="E177" s="9"/>
      <c r="F177" s="9"/>
      <c r="G177" s="38"/>
      <c r="H177" s="38"/>
      <c r="I177" s="38"/>
      <c r="J177" s="38"/>
      <c r="K177" s="38"/>
      <c r="L177" s="38"/>
      <c r="M177" s="9"/>
      <c r="N177" s="9"/>
      <c r="O177" s="9"/>
      <c r="P177" s="38"/>
      <c r="Q177" s="9"/>
      <c r="R177" s="9"/>
      <c r="S177" s="9"/>
      <c r="T177" s="9"/>
      <c r="U177" s="9"/>
      <c r="V177" s="9"/>
      <c r="W177" s="9"/>
      <c r="X177" s="9"/>
      <c r="Y177" s="9"/>
      <c r="Z177" s="9"/>
      <c r="AA177" s="9"/>
      <c r="AB177" s="39"/>
      <c r="AC177" s="9"/>
      <c r="AD177" s="38"/>
      <c r="AE177" s="9"/>
      <c r="AF177" s="39"/>
      <c r="AG177" s="9"/>
      <c r="AH177" s="9"/>
      <c r="AI177" s="9"/>
      <c r="AJ177" s="9"/>
      <c r="AK177" s="9"/>
      <c r="AL177" s="9"/>
      <c r="AM177" s="9"/>
      <c r="AN177" s="10" t="str">
        <f aca="false">IF(A177="","",SG_Criteria!$B$6&amp;SG_Criteria!$B$7&amp;"\"&amp;A177&amp;"\")</f>
        <v/>
      </c>
      <c r="AO177" s="10" t="str">
        <f aca="false">IF(A177="","",A177&amp;"_CAD.dwg")</f>
        <v/>
      </c>
      <c r="AP177" s="10" t="str">
        <f aca="false">IF(A177="","",A177&amp;"_DWG.pdf")</f>
        <v/>
      </c>
      <c r="AQ177" s="10" t="str">
        <f aca="false">IF(A177="","",IF(AM177="Y",A177&amp;"_STAAD.std","n/a"))</f>
        <v/>
      </c>
      <c r="AR177" s="10" t="str">
        <f aca="false">IF(A177="","",A177&amp;"_CALC.xlsx")</f>
        <v/>
      </c>
      <c r="AS177" s="10" t="str">
        <f aca="false">IF(A177="","",A177&amp;"_CALC.pdf")</f>
        <v/>
      </c>
      <c r="AT177" s="9"/>
      <c r="AU177" s="9"/>
      <c r="AV177" s="39"/>
      <c r="AW177" s="39"/>
      <c r="AX177" s="39"/>
      <c r="AY177" s="39"/>
      <c r="AZ177" s="39"/>
      <c r="BA177" s="12" t="str">
        <f aca="false">IF(A177="","",IF(COUNTIF(Rebar_Schedule!$A$5:$A$2004,A177)=0,"",ROUND(SUMIF(Rebar_Schedule!$A$5:$A$2004,A177,Rebar_Schedule!$K$5:$K$2004),1)))</f>
        <v/>
      </c>
      <c r="BB177" s="33" t="str">
        <f aca="false">IF(A177="","",IF(BA177="","No rebar schedule yet",IF(ABS(BA177-N(AW177))/MAX(N(AW177),1)&gt;SG_Criteria!$B$55,"NOTE: register rebar differs from schedule by "&amp;TEXT(ABS(BA177-N(AW177))/MAX(N(AW177),1),"0%"),"OK")))</f>
        <v/>
      </c>
      <c r="BC177" s="34" t="str">
        <f aca="false">IF(OR(D177="",G177="",H177="",D177="Sump",D177="Drop Inlet Chamber",D177="Silt Trap",D177="Pipe Culvert",D177="Subsoil Drain"),"",ROUND(MAX(1,N(I177))*(1/SG_Criteria!$B$26)*((G177/1000)*(H177/1000*(1-SG_Criteria!$B$25)))*(((G177/1000)*(H177/1000*(1-SG_Criteria!$B$25)))/((G177/1000)+2*(H177/1000*(1-SG_Criteria!$B$25))))^(2/3)*(1/Design_Selector!$B$11)^0.5,3))</f>
        <v/>
      </c>
      <c r="BD177" s="11" t="str">
        <f aca="false">IF(BC177="","",ROUND(BC177/(MAX(1,N(I177))*G177/1000*(H177/1000*(1-SG_Criteria!$B$25))),2))</f>
        <v/>
      </c>
      <c r="BE177" s="33" t="str">
        <f aca="false">IF(D177="","",IF(LEN(IF(AND(OR(E177="Roadside drain",E177="Entrance culvert"),OR(G177&lt;SG_Criteria!$B$15,H177&lt;SG_Criteria!$B$16)),"FAIL: below PUB min "&amp;SG_Criteria!$B$15&amp;"x"&amp;SG_Criteria!$B$16&amp;" for roadside drain. ","")&amp;IF(AND(E177="Common drain",G177&lt;SG_Criteria!$B$17),"FAIL: common drain W &lt; "&amp;SG_Criteria!$B$17&amp;" mm. ","")&amp;IF(AND(O177&lt;&gt;"",IFERROR(VALUE(MID(O177,2,2)),0)&lt;SG_Criteria!$B$19),"FAIL: grade below C"&amp;SG_Criteria!$B$19&amp;". ","")&amp;IF(AND(P177&lt;&gt;"",P177&lt;SG_Criteria!$B$20),"FAIL: cover &lt; "&amp;SG_Criteria!$B$20&amp;" mm. ","")&amp;IF(AND(F177="Open",H177&gt;SG_Criteria!$B$18),"NOTE: safety railing required (D &gt; "&amp;SG_Criteria!$B$18&amp;" mm). ","")&amp;IF(AND(E177="Entrance culvert",H177&lt;600),"NOTE: check hinged grating rule for culverts &lt; 600 deep (PUB Add. 3). ",""))=0,"OK",IF(AND(OR(E177="Roadside drain",E177="Entrance culvert"),OR(G177&lt;SG_Criteria!$B$15,H177&lt;SG_Criteria!$B$16)),"FAIL: below PUB min "&amp;SG_Criteria!$B$15&amp;"x"&amp;SG_Criteria!$B$16&amp;" for roadside drain. ","")&amp;IF(AND(E177="Common drain",G177&lt;SG_Criteria!$B$17),"FAIL: common drain W &lt; "&amp;SG_Criteria!$B$17&amp;" mm. ","")&amp;IF(AND(O177&lt;&gt;"",IFERROR(VALUE(MID(O177,2,2)),0)&lt;SG_Criteria!$B$19),"FAIL: grade below C"&amp;SG_Criteria!$B$19&amp;". ","")&amp;IF(AND(P177&lt;&gt;"",P177&lt;SG_Criteria!$B$20),"FAIL: cover &lt; "&amp;SG_Criteria!$B$20&amp;" mm. ","")&amp;IF(AND(F177="Open",H177&gt;SG_Criteria!$B$18),"NOTE: safety railing required (D &gt; "&amp;SG_Criteria!$B$18&amp;" mm). ","")&amp;IF(AND(E177="Entrance culvert",H177&lt;600),"NOTE: check hinged grating rule for culverts &lt; 600 deep (PUB Add. 3). ","")))</f>
        <v/>
      </c>
      <c r="BF177" s="9"/>
      <c r="BG177" s="9"/>
      <c r="BH177" s="9"/>
      <c r="BI177" s="10" t="str">
        <f aca="false">IF(BH177="","",IFERROR(VLOOKUP(BH177,Projects!$A$5:$D$504,2,0),"Ref not in Projects"))</f>
        <v/>
      </c>
      <c r="BJ177" s="10" t="str">
        <f aca="false">IF(BH177="","",IFERROR(VLOOKUP(BH177,Projects!$A$5:$D$504,4,0),"Ref not in Projects"))</f>
        <v/>
      </c>
      <c r="BK177" s="9"/>
      <c r="BL177" s="9"/>
      <c r="BM177" s="9"/>
      <c r="BN177" s="40"/>
      <c r="BO177" s="9"/>
      <c r="BP177" s="40"/>
      <c r="BQ177" s="9"/>
      <c r="BR177" s="40"/>
      <c r="BS177" s="9"/>
      <c r="BT177" s="9"/>
      <c r="BU177" s="9"/>
      <c r="BV177" s="40"/>
      <c r="BW177" s="40"/>
      <c r="BX177" s="36" t="str">
        <f aca="false">IF(BW177="","",EDATE(BW177,SG_Criteria!$B$54*12))</f>
        <v/>
      </c>
      <c r="BY177" s="33" t="str">
        <f aca="true">IF(A177="","",IF(BW177="","NOTE: not reviewed yet",IF(TODAY()&gt;BX177,"NOTE: review overdue","OK")))</f>
        <v/>
      </c>
      <c r="BZ177" s="37" t="str">
        <f aca="false">IF(A177="","",ROUND((IF(LEN(D177)&gt;0,1,0)+IF(LEN(E177)&gt;0,1,0)+IF(LEN(F177)&gt;0,1,0)+IF(LEN(G177)&gt;0,1,0)+IF(LEN(H177)&gt;0,1,0)+IF(LEN(J177)&gt;0,1,0)+IF(LEN(K177)&gt;0,1,0)+IF(LEN(M177)&gt;0,1,0)+IF(LEN(O177)&gt;0,1,0)+IF(LEN(P177)&gt;0,1,0)+IF(LEN(Q177)&gt;0,1,0)+IF(LEN(S177)&gt;0,1,0)+IF(LEN(AC177)&gt;0,1,0)+IF(LEN(AV177)&gt;0,1,0)+IF(LEN(AW177)&gt;0,1,0)+IF(LEN(AG177)&gt;0,1,0)+IF(LEN(AI177)&gt;0,1,0)+IF(LEN(AJ177)&gt;0,1,0)+IF(LEN(AK177)&gt;0,1,0)+IF(LEN(AL177)&gt;0,1,0)+IF(LEN(AU177)&gt;0,1,0)+IF(LEN(BH177)&gt;0,1,0)+IF(LEN(BU177)&gt;0,1,0))/23,2))</f>
        <v/>
      </c>
      <c r="CA177" s="10" t="str">
        <f aca="false">IF(D177="","",IF(AND(AJ177="Approved",ISERROR(SEARCH("FAIL",BE177))),"Y","N"))</f>
        <v/>
      </c>
      <c r="CB177" s="10" t="str">
        <f aca="false">IF(D177="","",D177&amp;"|"&amp;G177&amp;"|"&amp;H177&amp;"|"&amp;M177&amp;"|"&amp;CA177)</f>
        <v/>
      </c>
    </row>
    <row r="178" customFormat="false" ht="15" hidden="false" customHeight="false" outlineLevel="0" collapsed="false">
      <c r="A178" s="10" t="str">
        <f aca="false">IF(D178="","","DRN-"&amp;IFERROR(VLOOKUP(D178,Lists!$A$4:$B$27,2,0),"??")&amp;"-"&amp;TEXT(G178,"0000")&amp;"x"&amp;TEXT(H178,"0000")&amp;IF(N(I178)&gt;1,"-"&amp;I178&amp;"C","")&amp;"-"&amp;IFERROR(VLOOKUP(M178,Lists!$J$4:$K$19,2,0),"??")&amp;"-"&amp;AI178)</f>
        <v/>
      </c>
      <c r="B178" s="10" t="str">
        <f aca="false">IF(D178="","",D178&amp;" "&amp;G178&amp;"W x "&amp;H178&amp;"D"&amp;IF(N(I178)&gt;1," ("&amp;I178&amp;" cells)","")&amp;", "&amp;E178&amp;", "&amp;M178&amp;", "&amp;F178)</f>
        <v/>
      </c>
      <c r="C178" s="9"/>
      <c r="D178" s="9"/>
      <c r="E178" s="9"/>
      <c r="F178" s="9"/>
      <c r="G178" s="38"/>
      <c r="H178" s="38"/>
      <c r="I178" s="38"/>
      <c r="J178" s="38"/>
      <c r="K178" s="38"/>
      <c r="L178" s="38"/>
      <c r="M178" s="9"/>
      <c r="N178" s="9"/>
      <c r="O178" s="9"/>
      <c r="P178" s="38"/>
      <c r="Q178" s="9"/>
      <c r="R178" s="9"/>
      <c r="S178" s="9"/>
      <c r="T178" s="9"/>
      <c r="U178" s="9"/>
      <c r="V178" s="9"/>
      <c r="W178" s="9"/>
      <c r="X178" s="9"/>
      <c r="Y178" s="9"/>
      <c r="Z178" s="9"/>
      <c r="AA178" s="9"/>
      <c r="AB178" s="39"/>
      <c r="AC178" s="9"/>
      <c r="AD178" s="38"/>
      <c r="AE178" s="9"/>
      <c r="AF178" s="39"/>
      <c r="AG178" s="9"/>
      <c r="AH178" s="9"/>
      <c r="AI178" s="9"/>
      <c r="AJ178" s="9"/>
      <c r="AK178" s="9"/>
      <c r="AL178" s="9"/>
      <c r="AM178" s="9"/>
      <c r="AN178" s="10" t="str">
        <f aca="false">IF(A178="","",SG_Criteria!$B$6&amp;SG_Criteria!$B$7&amp;"\"&amp;A178&amp;"\")</f>
        <v/>
      </c>
      <c r="AO178" s="10" t="str">
        <f aca="false">IF(A178="","",A178&amp;"_CAD.dwg")</f>
        <v/>
      </c>
      <c r="AP178" s="10" t="str">
        <f aca="false">IF(A178="","",A178&amp;"_DWG.pdf")</f>
        <v/>
      </c>
      <c r="AQ178" s="10" t="str">
        <f aca="false">IF(A178="","",IF(AM178="Y",A178&amp;"_STAAD.std","n/a"))</f>
        <v/>
      </c>
      <c r="AR178" s="10" t="str">
        <f aca="false">IF(A178="","",A178&amp;"_CALC.xlsx")</f>
        <v/>
      </c>
      <c r="AS178" s="10" t="str">
        <f aca="false">IF(A178="","",A178&amp;"_CALC.pdf")</f>
        <v/>
      </c>
      <c r="AT178" s="9"/>
      <c r="AU178" s="9"/>
      <c r="AV178" s="39"/>
      <c r="AW178" s="39"/>
      <c r="AX178" s="39"/>
      <c r="AY178" s="39"/>
      <c r="AZ178" s="39"/>
      <c r="BA178" s="12" t="str">
        <f aca="false">IF(A178="","",IF(COUNTIF(Rebar_Schedule!$A$5:$A$2004,A178)=0,"",ROUND(SUMIF(Rebar_Schedule!$A$5:$A$2004,A178,Rebar_Schedule!$K$5:$K$2004),1)))</f>
        <v/>
      </c>
      <c r="BB178" s="33" t="str">
        <f aca="false">IF(A178="","",IF(BA178="","No rebar schedule yet",IF(ABS(BA178-N(AW178))/MAX(N(AW178),1)&gt;SG_Criteria!$B$55,"NOTE: register rebar differs from schedule by "&amp;TEXT(ABS(BA178-N(AW178))/MAX(N(AW178),1),"0%"),"OK")))</f>
        <v/>
      </c>
      <c r="BC178" s="34" t="str">
        <f aca="false">IF(OR(D178="",G178="",H178="",D178="Sump",D178="Drop Inlet Chamber",D178="Silt Trap",D178="Pipe Culvert",D178="Subsoil Drain"),"",ROUND(MAX(1,N(I178))*(1/SG_Criteria!$B$26)*((G178/1000)*(H178/1000*(1-SG_Criteria!$B$25)))*(((G178/1000)*(H178/1000*(1-SG_Criteria!$B$25)))/((G178/1000)+2*(H178/1000*(1-SG_Criteria!$B$25))))^(2/3)*(1/Design_Selector!$B$11)^0.5,3))</f>
        <v/>
      </c>
      <c r="BD178" s="11" t="str">
        <f aca="false">IF(BC178="","",ROUND(BC178/(MAX(1,N(I178))*G178/1000*(H178/1000*(1-SG_Criteria!$B$25))),2))</f>
        <v/>
      </c>
      <c r="BE178" s="33" t="str">
        <f aca="false">IF(D178="","",IF(LEN(IF(AND(OR(E178="Roadside drain",E178="Entrance culvert"),OR(G178&lt;SG_Criteria!$B$15,H178&lt;SG_Criteria!$B$16)),"FAIL: below PUB min "&amp;SG_Criteria!$B$15&amp;"x"&amp;SG_Criteria!$B$16&amp;" for roadside drain. ","")&amp;IF(AND(E178="Common drain",G178&lt;SG_Criteria!$B$17),"FAIL: common drain W &lt; "&amp;SG_Criteria!$B$17&amp;" mm. ","")&amp;IF(AND(O178&lt;&gt;"",IFERROR(VALUE(MID(O178,2,2)),0)&lt;SG_Criteria!$B$19),"FAIL: grade below C"&amp;SG_Criteria!$B$19&amp;". ","")&amp;IF(AND(P178&lt;&gt;"",P178&lt;SG_Criteria!$B$20),"FAIL: cover &lt; "&amp;SG_Criteria!$B$20&amp;" mm. ","")&amp;IF(AND(F178="Open",H178&gt;SG_Criteria!$B$18),"NOTE: safety railing required (D &gt; "&amp;SG_Criteria!$B$18&amp;" mm). ","")&amp;IF(AND(E178="Entrance culvert",H178&lt;600),"NOTE: check hinged grating rule for culverts &lt; 600 deep (PUB Add. 3). ",""))=0,"OK",IF(AND(OR(E178="Roadside drain",E178="Entrance culvert"),OR(G178&lt;SG_Criteria!$B$15,H178&lt;SG_Criteria!$B$16)),"FAIL: below PUB min "&amp;SG_Criteria!$B$15&amp;"x"&amp;SG_Criteria!$B$16&amp;" for roadside drain. ","")&amp;IF(AND(E178="Common drain",G178&lt;SG_Criteria!$B$17),"FAIL: common drain W &lt; "&amp;SG_Criteria!$B$17&amp;" mm. ","")&amp;IF(AND(O178&lt;&gt;"",IFERROR(VALUE(MID(O178,2,2)),0)&lt;SG_Criteria!$B$19),"FAIL: grade below C"&amp;SG_Criteria!$B$19&amp;". ","")&amp;IF(AND(P178&lt;&gt;"",P178&lt;SG_Criteria!$B$20),"FAIL: cover &lt; "&amp;SG_Criteria!$B$20&amp;" mm. ","")&amp;IF(AND(F178="Open",H178&gt;SG_Criteria!$B$18),"NOTE: safety railing required (D &gt; "&amp;SG_Criteria!$B$18&amp;" mm). ","")&amp;IF(AND(E178="Entrance culvert",H178&lt;600),"NOTE: check hinged grating rule for culverts &lt; 600 deep (PUB Add. 3). ","")))</f>
        <v/>
      </c>
      <c r="BF178" s="9"/>
      <c r="BG178" s="9"/>
      <c r="BH178" s="9"/>
      <c r="BI178" s="10" t="str">
        <f aca="false">IF(BH178="","",IFERROR(VLOOKUP(BH178,Projects!$A$5:$D$504,2,0),"Ref not in Projects"))</f>
        <v/>
      </c>
      <c r="BJ178" s="10" t="str">
        <f aca="false">IF(BH178="","",IFERROR(VLOOKUP(BH178,Projects!$A$5:$D$504,4,0),"Ref not in Projects"))</f>
        <v/>
      </c>
      <c r="BK178" s="9"/>
      <c r="BL178" s="9"/>
      <c r="BM178" s="9"/>
      <c r="BN178" s="40"/>
      <c r="BO178" s="9"/>
      <c r="BP178" s="40"/>
      <c r="BQ178" s="9"/>
      <c r="BR178" s="40"/>
      <c r="BS178" s="9"/>
      <c r="BT178" s="9"/>
      <c r="BU178" s="9"/>
      <c r="BV178" s="40"/>
      <c r="BW178" s="40"/>
      <c r="BX178" s="36" t="str">
        <f aca="false">IF(BW178="","",EDATE(BW178,SG_Criteria!$B$54*12))</f>
        <v/>
      </c>
      <c r="BY178" s="33" t="str">
        <f aca="true">IF(A178="","",IF(BW178="","NOTE: not reviewed yet",IF(TODAY()&gt;BX178,"NOTE: review overdue","OK")))</f>
        <v/>
      </c>
      <c r="BZ178" s="37" t="str">
        <f aca="false">IF(A178="","",ROUND((IF(LEN(D178)&gt;0,1,0)+IF(LEN(E178)&gt;0,1,0)+IF(LEN(F178)&gt;0,1,0)+IF(LEN(G178)&gt;0,1,0)+IF(LEN(H178)&gt;0,1,0)+IF(LEN(J178)&gt;0,1,0)+IF(LEN(K178)&gt;0,1,0)+IF(LEN(M178)&gt;0,1,0)+IF(LEN(O178)&gt;0,1,0)+IF(LEN(P178)&gt;0,1,0)+IF(LEN(Q178)&gt;0,1,0)+IF(LEN(S178)&gt;0,1,0)+IF(LEN(AC178)&gt;0,1,0)+IF(LEN(AV178)&gt;0,1,0)+IF(LEN(AW178)&gt;0,1,0)+IF(LEN(AG178)&gt;0,1,0)+IF(LEN(AI178)&gt;0,1,0)+IF(LEN(AJ178)&gt;0,1,0)+IF(LEN(AK178)&gt;0,1,0)+IF(LEN(AL178)&gt;0,1,0)+IF(LEN(AU178)&gt;0,1,0)+IF(LEN(BH178)&gt;0,1,0)+IF(LEN(BU178)&gt;0,1,0))/23,2))</f>
        <v/>
      </c>
      <c r="CA178" s="10" t="str">
        <f aca="false">IF(D178="","",IF(AND(AJ178="Approved",ISERROR(SEARCH("FAIL",BE178))),"Y","N"))</f>
        <v/>
      </c>
      <c r="CB178" s="10" t="str">
        <f aca="false">IF(D178="","",D178&amp;"|"&amp;G178&amp;"|"&amp;H178&amp;"|"&amp;M178&amp;"|"&amp;CA178)</f>
        <v/>
      </c>
    </row>
    <row r="179" customFormat="false" ht="15" hidden="false" customHeight="false" outlineLevel="0" collapsed="false">
      <c r="A179" s="10" t="str">
        <f aca="false">IF(D179="","","DRN-"&amp;IFERROR(VLOOKUP(D179,Lists!$A$4:$B$27,2,0),"??")&amp;"-"&amp;TEXT(G179,"0000")&amp;"x"&amp;TEXT(H179,"0000")&amp;IF(N(I179)&gt;1,"-"&amp;I179&amp;"C","")&amp;"-"&amp;IFERROR(VLOOKUP(M179,Lists!$J$4:$K$19,2,0),"??")&amp;"-"&amp;AI179)</f>
        <v/>
      </c>
      <c r="B179" s="10" t="str">
        <f aca="false">IF(D179="","",D179&amp;" "&amp;G179&amp;"W x "&amp;H179&amp;"D"&amp;IF(N(I179)&gt;1," ("&amp;I179&amp;" cells)","")&amp;", "&amp;E179&amp;", "&amp;M179&amp;", "&amp;F179)</f>
        <v/>
      </c>
      <c r="C179" s="9"/>
      <c r="D179" s="9"/>
      <c r="E179" s="9"/>
      <c r="F179" s="9"/>
      <c r="G179" s="38"/>
      <c r="H179" s="38"/>
      <c r="I179" s="38"/>
      <c r="J179" s="38"/>
      <c r="K179" s="38"/>
      <c r="L179" s="38"/>
      <c r="M179" s="9"/>
      <c r="N179" s="9"/>
      <c r="O179" s="9"/>
      <c r="P179" s="38"/>
      <c r="Q179" s="9"/>
      <c r="R179" s="9"/>
      <c r="S179" s="9"/>
      <c r="T179" s="9"/>
      <c r="U179" s="9"/>
      <c r="V179" s="9"/>
      <c r="W179" s="9"/>
      <c r="X179" s="9"/>
      <c r="Y179" s="9"/>
      <c r="Z179" s="9"/>
      <c r="AA179" s="9"/>
      <c r="AB179" s="39"/>
      <c r="AC179" s="9"/>
      <c r="AD179" s="38"/>
      <c r="AE179" s="9"/>
      <c r="AF179" s="39"/>
      <c r="AG179" s="9"/>
      <c r="AH179" s="9"/>
      <c r="AI179" s="9"/>
      <c r="AJ179" s="9"/>
      <c r="AK179" s="9"/>
      <c r="AL179" s="9"/>
      <c r="AM179" s="9"/>
      <c r="AN179" s="10" t="str">
        <f aca="false">IF(A179="","",SG_Criteria!$B$6&amp;SG_Criteria!$B$7&amp;"\"&amp;A179&amp;"\")</f>
        <v/>
      </c>
      <c r="AO179" s="10" t="str">
        <f aca="false">IF(A179="","",A179&amp;"_CAD.dwg")</f>
        <v/>
      </c>
      <c r="AP179" s="10" t="str">
        <f aca="false">IF(A179="","",A179&amp;"_DWG.pdf")</f>
        <v/>
      </c>
      <c r="AQ179" s="10" t="str">
        <f aca="false">IF(A179="","",IF(AM179="Y",A179&amp;"_STAAD.std","n/a"))</f>
        <v/>
      </c>
      <c r="AR179" s="10" t="str">
        <f aca="false">IF(A179="","",A179&amp;"_CALC.xlsx")</f>
        <v/>
      </c>
      <c r="AS179" s="10" t="str">
        <f aca="false">IF(A179="","",A179&amp;"_CALC.pdf")</f>
        <v/>
      </c>
      <c r="AT179" s="9"/>
      <c r="AU179" s="9"/>
      <c r="AV179" s="39"/>
      <c r="AW179" s="39"/>
      <c r="AX179" s="39"/>
      <c r="AY179" s="39"/>
      <c r="AZ179" s="39"/>
      <c r="BA179" s="12" t="str">
        <f aca="false">IF(A179="","",IF(COUNTIF(Rebar_Schedule!$A$5:$A$2004,A179)=0,"",ROUND(SUMIF(Rebar_Schedule!$A$5:$A$2004,A179,Rebar_Schedule!$K$5:$K$2004),1)))</f>
        <v/>
      </c>
      <c r="BB179" s="33" t="str">
        <f aca="false">IF(A179="","",IF(BA179="","No rebar schedule yet",IF(ABS(BA179-N(AW179))/MAX(N(AW179),1)&gt;SG_Criteria!$B$55,"NOTE: register rebar differs from schedule by "&amp;TEXT(ABS(BA179-N(AW179))/MAX(N(AW179),1),"0%"),"OK")))</f>
        <v/>
      </c>
      <c r="BC179" s="34" t="str">
        <f aca="false">IF(OR(D179="",G179="",H179="",D179="Sump",D179="Drop Inlet Chamber",D179="Silt Trap",D179="Pipe Culvert",D179="Subsoil Drain"),"",ROUND(MAX(1,N(I179))*(1/SG_Criteria!$B$26)*((G179/1000)*(H179/1000*(1-SG_Criteria!$B$25)))*(((G179/1000)*(H179/1000*(1-SG_Criteria!$B$25)))/((G179/1000)+2*(H179/1000*(1-SG_Criteria!$B$25))))^(2/3)*(1/Design_Selector!$B$11)^0.5,3))</f>
        <v/>
      </c>
      <c r="BD179" s="11" t="str">
        <f aca="false">IF(BC179="","",ROUND(BC179/(MAX(1,N(I179))*G179/1000*(H179/1000*(1-SG_Criteria!$B$25))),2))</f>
        <v/>
      </c>
      <c r="BE179" s="33" t="str">
        <f aca="false">IF(D179="","",IF(LEN(IF(AND(OR(E179="Roadside drain",E179="Entrance culvert"),OR(G179&lt;SG_Criteria!$B$15,H179&lt;SG_Criteria!$B$16)),"FAIL: below PUB min "&amp;SG_Criteria!$B$15&amp;"x"&amp;SG_Criteria!$B$16&amp;" for roadside drain. ","")&amp;IF(AND(E179="Common drain",G179&lt;SG_Criteria!$B$17),"FAIL: common drain W &lt; "&amp;SG_Criteria!$B$17&amp;" mm. ","")&amp;IF(AND(O179&lt;&gt;"",IFERROR(VALUE(MID(O179,2,2)),0)&lt;SG_Criteria!$B$19),"FAIL: grade below C"&amp;SG_Criteria!$B$19&amp;". ","")&amp;IF(AND(P179&lt;&gt;"",P179&lt;SG_Criteria!$B$20),"FAIL: cover &lt; "&amp;SG_Criteria!$B$20&amp;" mm. ","")&amp;IF(AND(F179="Open",H179&gt;SG_Criteria!$B$18),"NOTE: safety railing required (D &gt; "&amp;SG_Criteria!$B$18&amp;" mm). ","")&amp;IF(AND(E179="Entrance culvert",H179&lt;600),"NOTE: check hinged grating rule for culverts &lt; 600 deep (PUB Add. 3). ",""))=0,"OK",IF(AND(OR(E179="Roadside drain",E179="Entrance culvert"),OR(G179&lt;SG_Criteria!$B$15,H179&lt;SG_Criteria!$B$16)),"FAIL: below PUB min "&amp;SG_Criteria!$B$15&amp;"x"&amp;SG_Criteria!$B$16&amp;" for roadside drain. ","")&amp;IF(AND(E179="Common drain",G179&lt;SG_Criteria!$B$17),"FAIL: common drain W &lt; "&amp;SG_Criteria!$B$17&amp;" mm. ","")&amp;IF(AND(O179&lt;&gt;"",IFERROR(VALUE(MID(O179,2,2)),0)&lt;SG_Criteria!$B$19),"FAIL: grade below C"&amp;SG_Criteria!$B$19&amp;". ","")&amp;IF(AND(P179&lt;&gt;"",P179&lt;SG_Criteria!$B$20),"FAIL: cover &lt; "&amp;SG_Criteria!$B$20&amp;" mm. ","")&amp;IF(AND(F179="Open",H179&gt;SG_Criteria!$B$18),"NOTE: safety railing required (D &gt; "&amp;SG_Criteria!$B$18&amp;" mm). ","")&amp;IF(AND(E179="Entrance culvert",H179&lt;600),"NOTE: check hinged grating rule for culverts &lt; 600 deep (PUB Add. 3). ","")))</f>
        <v/>
      </c>
      <c r="BF179" s="9"/>
      <c r="BG179" s="9"/>
      <c r="BH179" s="9"/>
      <c r="BI179" s="10" t="str">
        <f aca="false">IF(BH179="","",IFERROR(VLOOKUP(BH179,Projects!$A$5:$D$504,2,0),"Ref not in Projects"))</f>
        <v/>
      </c>
      <c r="BJ179" s="10" t="str">
        <f aca="false">IF(BH179="","",IFERROR(VLOOKUP(BH179,Projects!$A$5:$D$504,4,0),"Ref not in Projects"))</f>
        <v/>
      </c>
      <c r="BK179" s="9"/>
      <c r="BL179" s="9"/>
      <c r="BM179" s="9"/>
      <c r="BN179" s="40"/>
      <c r="BO179" s="9"/>
      <c r="BP179" s="40"/>
      <c r="BQ179" s="9"/>
      <c r="BR179" s="40"/>
      <c r="BS179" s="9"/>
      <c r="BT179" s="9"/>
      <c r="BU179" s="9"/>
      <c r="BV179" s="40"/>
      <c r="BW179" s="40"/>
      <c r="BX179" s="36" t="str">
        <f aca="false">IF(BW179="","",EDATE(BW179,SG_Criteria!$B$54*12))</f>
        <v/>
      </c>
      <c r="BY179" s="33" t="str">
        <f aca="true">IF(A179="","",IF(BW179="","NOTE: not reviewed yet",IF(TODAY()&gt;BX179,"NOTE: review overdue","OK")))</f>
        <v/>
      </c>
      <c r="BZ179" s="37" t="str">
        <f aca="false">IF(A179="","",ROUND((IF(LEN(D179)&gt;0,1,0)+IF(LEN(E179)&gt;0,1,0)+IF(LEN(F179)&gt;0,1,0)+IF(LEN(G179)&gt;0,1,0)+IF(LEN(H179)&gt;0,1,0)+IF(LEN(J179)&gt;0,1,0)+IF(LEN(K179)&gt;0,1,0)+IF(LEN(M179)&gt;0,1,0)+IF(LEN(O179)&gt;0,1,0)+IF(LEN(P179)&gt;0,1,0)+IF(LEN(Q179)&gt;0,1,0)+IF(LEN(S179)&gt;0,1,0)+IF(LEN(AC179)&gt;0,1,0)+IF(LEN(AV179)&gt;0,1,0)+IF(LEN(AW179)&gt;0,1,0)+IF(LEN(AG179)&gt;0,1,0)+IF(LEN(AI179)&gt;0,1,0)+IF(LEN(AJ179)&gt;0,1,0)+IF(LEN(AK179)&gt;0,1,0)+IF(LEN(AL179)&gt;0,1,0)+IF(LEN(AU179)&gt;0,1,0)+IF(LEN(BH179)&gt;0,1,0)+IF(LEN(BU179)&gt;0,1,0))/23,2))</f>
        <v/>
      </c>
      <c r="CA179" s="10" t="str">
        <f aca="false">IF(D179="","",IF(AND(AJ179="Approved",ISERROR(SEARCH("FAIL",BE179))),"Y","N"))</f>
        <v/>
      </c>
      <c r="CB179" s="10" t="str">
        <f aca="false">IF(D179="","",D179&amp;"|"&amp;G179&amp;"|"&amp;H179&amp;"|"&amp;M179&amp;"|"&amp;CA179)</f>
        <v/>
      </c>
    </row>
    <row r="180" customFormat="false" ht="15" hidden="false" customHeight="false" outlineLevel="0" collapsed="false">
      <c r="A180" s="10" t="str">
        <f aca="false">IF(D180="","","DRN-"&amp;IFERROR(VLOOKUP(D180,Lists!$A$4:$B$27,2,0),"??")&amp;"-"&amp;TEXT(G180,"0000")&amp;"x"&amp;TEXT(H180,"0000")&amp;IF(N(I180)&gt;1,"-"&amp;I180&amp;"C","")&amp;"-"&amp;IFERROR(VLOOKUP(M180,Lists!$J$4:$K$19,2,0),"??")&amp;"-"&amp;AI180)</f>
        <v/>
      </c>
      <c r="B180" s="10" t="str">
        <f aca="false">IF(D180="","",D180&amp;" "&amp;G180&amp;"W x "&amp;H180&amp;"D"&amp;IF(N(I180)&gt;1," ("&amp;I180&amp;" cells)","")&amp;", "&amp;E180&amp;", "&amp;M180&amp;", "&amp;F180)</f>
        <v/>
      </c>
      <c r="C180" s="9"/>
      <c r="D180" s="9"/>
      <c r="E180" s="9"/>
      <c r="F180" s="9"/>
      <c r="G180" s="38"/>
      <c r="H180" s="38"/>
      <c r="I180" s="38"/>
      <c r="J180" s="38"/>
      <c r="K180" s="38"/>
      <c r="L180" s="38"/>
      <c r="M180" s="9"/>
      <c r="N180" s="9"/>
      <c r="O180" s="9"/>
      <c r="P180" s="38"/>
      <c r="Q180" s="9"/>
      <c r="R180" s="9"/>
      <c r="S180" s="9"/>
      <c r="T180" s="9"/>
      <c r="U180" s="9"/>
      <c r="V180" s="9"/>
      <c r="W180" s="9"/>
      <c r="X180" s="9"/>
      <c r="Y180" s="9"/>
      <c r="Z180" s="9"/>
      <c r="AA180" s="9"/>
      <c r="AB180" s="39"/>
      <c r="AC180" s="9"/>
      <c r="AD180" s="38"/>
      <c r="AE180" s="9"/>
      <c r="AF180" s="39"/>
      <c r="AG180" s="9"/>
      <c r="AH180" s="9"/>
      <c r="AI180" s="9"/>
      <c r="AJ180" s="9"/>
      <c r="AK180" s="9"/>
      <c r="AL180" s="9"/>
      <c r="AM180" s="9"/>
      <c r="AN180" s="10" t="str">
        <f aca="false">IF(A180="","",SG_Criteria!$B$6&amp;SG_Criteria!$B$7&amp;"\"&amp;A180&amp;"\")</f>
        <v/>
      </c>
      <c r="AO180" s="10" t="str">
        <f aca="false">IF(A180="","",A180&amp;"_CAD.dwg")</f>
        <v/>
      </c>
      <c r="AP180" s="10" t="str">
        <f aca="false">IF(A180="","",A180&amp;"_DWG.pdf")</f>
        <v/>
      </c>
      <c r="AQ180" s="10" t="str">
        <f aca="false">IF(A180="","",IF(AM180="Y",A180&amp;"_STAAD.std","n/a"))</f>
        <v/>
      </c>
      <c r="AR180" s="10" t="str">
        <f aca="false">IF(A180="","",A180&amp;"_CALC.xlsx")</f>
        <v/>
      </c>
      <c r="AS180" s="10" t="str">
        <f aca="false">IF(A180="","",A180&amp;"_CALC.pdf")</f>
        <v/>
      </c>
      <c r="AT180" s="9"/>
      <c r="AU180" s="9"/>
      <c r="AV180" s="39"/>
      <c r="AW180" s="39"/>
      <c r="AX180" s="39"/>
      <c r="AY180" s="39"/>
      <c r="AZ180" s="39"/>
      <c r="BA180" s="12" t="str">
        <f aca="false">IF(A180="","",IF(COUNTIF(Rebar_Schedule!$A$5:$A$2004,A180)=0,"",ROUND(SUMIF(Rebar_Schedule!$A$5:$A$2004,A180,Rebar_Schedule!$K$5:$K$2004),1)))</f>
        <v/>
      </c>
      <c r="BB180" s="33" t="str">
        <f aca="false">IF(A180="","",IF(BA180="","No rebar schedule yet",IF(ABS(BA180-N(AW180))/MAX(N(AW180),1)&gt;SG_Criteria!$B$55,"NOTE: register rebar differs from schedule by "&amp;TEXT(ABS(BA180-N(AW180))/MAX(N(AW180),1),"0%"),"OK")))</f>
        <v/>
      </c>
      <c r="BC180" s="34" t="str">
        <f aca="false">IF(OR(D180="",G180="",H180="",D180="Sump",D180="Drop Inlet Chamber",D180="Silt Trap",D180="Pipe Culvert",D180="Subsoil Drain"),"",ROUND(MAX(1,N(I180))*(1/SG_Criteria!$B$26)*((G180/1000)*(H180/1000*(1-SG_Criteria!$B$25)))*(((G180/1000)*(H180/1000*(1-SG_Criteria!$B$25)))/((G180/1000)+2*(H180/1000*(1-SG_Criteria!$B$25))))^(2/3)*(1/Design_Selector!$B$11)^0.5,3))</f>
        <v/>
      </c>
      <c r="BD180" s="11" t="str">
        <f aca="false">IF(BC180="","",ROUND(BC180/(MAX(1,N(I180))*G180/1000*(H180/1000*(1-SG_Criteria!$B$25))),2))</f>
        <v/>
      </c>
      <c r="BE180" s="33" t="str">
        <f aca="false">IF(D180="","",IF(LEN(IF(AND(OR(E180="Roadside drain",E180="Entrance culvert"),OR(G180&lt;SG_Criteria!$B$15,H180&lt;SG_Criteria!$B$16)),"FAIL: below PUB min "&amp;SG_Criteria!$B$15&amp;"x"&amp;SG_Criteria!$B$16&amp;" for roadside drain. ","")&amp;IF(AND(E180="Common drain",G180&lt;SG_Criteria!$B$17),"FAIL: common drain W &lt; "&amp;SG_Criteria!$B$17&amp;" mm. ","")&amp;IF(AND(O180&lt;&gt;"",IFERROR(VALUE(MID(O180,2,2)),0)&lt;SG_Criteria!$B$19),"FAIL: grade below C"&amp;SG_Criteria!$B$19&amp;". ","")&amp;IF(AND(P180&lt;&gt;"",P180&lt;SG_Criteria!$B$20),"FAIL: cover &lt; "&amp;SG_Criteria!$B$20&amp;" mm. ","")&amp;IF(AND(F180="Open",H180&gt;SG_Criteria!$B$18),"NOTE: safety railing required (D &gt; "&amp;SG_Criteria!$B$18&amp;" mm). ","")&amp;IF(AND(E180="Entrance culvert",H180&lt;600),"NOTE: check hinged grating rule for culverts &lt; 600 deep (PUB Add. 3). ",""))=0,"OK",IF(AND(OR(E180="Roadside drain",E180="Entrance culvert"),OR(G180&lt;SG_Criteria!$B$15,H180&lt;SG_Criteria!$B$16)),"FAIL: below PUB min "&amp;SG_Criteria!$B$15&amp;"x"&amp;SG_Criteria!$B$16&amp;" for roadside drain. ","")&amp;IF(AND(E180="Common drain",G180&lt;SG_Criteria!$B$17),"FAIL: common drain W &lt; "&amp;SG_Criteria!$B$17&amp;" mm. ","")&amp;IF(AND(O180&lt;&gt;"",IFERROR(VALUE(MID(O180,2,2)),0)&lt;SG_Criteria!$B$19),"FAIL: grade below C"&amp;SG_Criteria!$B$19&amp;". ","")&amp;IF(AND(P180&lt;&gt;"",P180&lt;SG_Criteria!$B$20),"FAIL: cover &lt; "&amp;SG_Criteria!$B$20&amp;" mm. ","")&amp;IF(AND(F180="Open",H180&gt;SG_Criteria!$B$18),"NOTE: safety railing required (D &gt; "&amp;SG_Criteria!$B$18&amp;" mm). ","")&amp;IF(AND(E180="Entrance culvert",H180&lt;600),"NOTE: check hinged grating rule for culverts &lt; 600 deep (PUB Add. 3). ","")))</f>
        <v/>
      </c>
      <c r="BF180" s="9"/>
      <c r="BG180" s="9"/>
      <c r="BH180" s="9"/>
      <c r="BI180" s="10" t="str">
        <f aca="false">IF(BH180="","",IFERROR(VLOOKUP(BH180,Projects!$A$5:$D$504,2,0),"Ref not in Projects"))</f>
        <v/>
      </c>
      <c r="BJ180" s="10" t="str">
        <f aca="false">IF(BH180="","",IFERROR(VLOOKUP(BH180,Projects!$A$5:$D$504,4,0),"Ref not in Projects"))</f>
        <v/>
      </c>
      <c r="BK180" s="9"/>
      <c r="BL180" s="9"/>
      <c r="BM180" s="9"/>
      <c r="BN180" s="40"/>
      <c r="BO180" s="9"/>
      <c r="BP180" s="40"/>
      <c r="BQ180" s="9"/>
      <c r="BR180" s="40"/>
      <c r="BS180" s="9"/>
      <c r="BT180" s="9"/>
      <c r="BU180" s="9"/>
      <c r="BV180" s="40"/>
      <c r="BW180" s="40"/>
      <c r="BX180" s="36" t="str">
        <f aca="false">IF(BW180="","",EDATE(BW180,SG_Criteria!$B$54*12))</f>
        <v/>
      </c>
      <c r="BY180" s="33" t="str">
        <f aca="true">IF(A180="","",IF(BW180="","NOTE: not reviewed yet",IF(TODAY()&gt;BX180,"NOTE: review overdue","OK")))</f>
        <v/>
      </c>
      <c r="BZ180" s="37" t="str">
        <f aca="false">IF(A180="","",ROUND((IF(LEN(D180)&gt;0,1,0)+IF(LEN(E180)&gt;0,1,0)+IF(LEN(F180)&gt;0,1,0)+IF(LEN(G180)&gt;0,1,0)+IF(LEN(H180)&gt;0,1,0)+IF(LEN(J180)&gt;0,1,0)+IF(LEN(K180)&gt;0,1,0)+IF(LEN(M180)&gt;0,1,0)+IF(LEN(O180)&gt;0,1,0)+IF(LEN(P180)&gt;0,1,0)+IF(LEN(Q180)&gt;0,1,0)+IF(LEN(S180)&gt;0,1,0)+IF(LEN(AC180)&gt;0,1,0)+IF(LEN(AV180)&gt;0,1,0)+IF(LEN(AW180)&gt;0,1,0)+IF(LEN(AG180)&gt;0,1,0)+IF(LEN(AI180)&gt;0,1,0)+IF(LEN(AJ180)&gt;0,1,0)+IF(LEN(AK180)&gt;0,1,0)+IF(LEN(AL180)&gt;0,1,0)+IF(LEN(AU180)&gt;0,1,0)+IF(LEN(BH180)&gt;0,1,0)+IF(LEN(BU180)&gt;0,1,0))/23,2))</f>
        <v/>
      </c>
      <c r="CA180" s="10" t="str">
        <f aca="false">IF(D180="","",IF(AND(AJ180="Approved",ISERROR(SEARCH("FAIL",BE180))),"Y","N"))</f>
        <v/>
      </c>
      <c r="CB180" s="10" t="str">
        <f aca="false">IF(D180="","",D180&amp;"|"&amp;G180&amp;"|"&amp;H180&amp;"|"&amp;M180&amp;"|"&amp;CA180)</f>
        <v/>
      </c>
    </row>
    <row r="181" customFormat="false" ht="15" hidden="false" customHeight="false" outlineLevel="0" collapsed="false">
      <c r="A181" s="10" t="str">
        <f aca="false">IF(D181="","","DRN-"&amp;IFERROR(VLOOKUP(D181,Lists!$A$4:$B$27,2,0),"??")&amp;"-"&amp;TEXT(G181,"0000")&amp;"x"&amp;TEXT(H181,"0000")&amp;IF(N(I181)&gt;1,"-"&amp;I181&amp;"C","")&amp;"-"&amp;IFERROR(VLOOKUP(M181,Lists!$J$4:$K$19,2,0),"??")&amp;"-"&amp;AI181)</f>
        <v/>
      </c>
      <c r="B181" s="10" t="str">
        <f aca="false">IF(D181="","",D181&amp;" "&amp;G181&amp;"W x "&amp;H181&amp;"D"&amp;IF(N(I181)&gt;1," ("&amp;I181&amp;" cells)","")&amp;", "&amp;E181&amp;", "&amp;M181&amp;", "&amp;F181)</f>
        <v/>
      </c>
      <c r="C181" s="9"/>
      <c r="D181" s="9"/>
      <c r="E181" s="9"/>
      <c r="F181" s="9"/>
      <c r="G181" s="38"/>
      <c r="H181" s="38"/>
      <c r="I181" s="38"/>
      <c r="J181" s="38"/>
      <c r="K181" s="38"/>
      <c r="L181" s="38"/>
      <c r="M181" s="9"/>
      <c r="N181" s="9"/>
      <c r="O181" s="9"/>
      <c r="P181" s="38"/>
      <c r="Q181" s="9"/>
      <c r="R181" s="9"/>
      <c r="S181" s="9"/>
      <c r="T181" s="9"/>
      <c r="U181" s="9"/>
      <c r="V181" s="9"/>
      <c r="W181" s="9"/>
      <c r="X181" s="9"/>
      <c r="Y181" s="9"/>
      <c r="Z181" s="9"/>
      <c r="AA181" s="9"/>
      <c r="AB181" s="39"/>
      <c r="AC181" s="9"/>
      <c r="AD181" s="38"/>
      <c r="AE181" s="9"/>
      <c r="AF181" s="39"/>
      <c r="AG181" s="9"/>
      <c r="AH181" s="9"/>
      <c r="AI181" s="9"/>
      <c r="AJ181" s="9"/>
      <c r="AK181" s="9"/>
      <c r="AL181" s="9"/>
      <c r="AM181" s="9"/>
      <c r="AN181" s="10" t="str">
        <f aca="false">IF(A181="","",SG_Criteria!$B$6&amp;SG_Criteria!$B$7&amp;"\"&amp;A181&amp;"\")</f>
        <v/>
      </c>
      <c r="AO181" s="10" t="str">
        <f aca="false">IF(A181="","",A181&amp;"_CAD.dwg")</f>
        <v/>
      </c>
      <c r="AP181" s="10" t="str">
        <f aca="false">IF(A181="","",A181&amp;"_DWG.pdf")</f>
        <v/>
      </c>
      <c r="AQ181" s="10" t="str">
        <f aca="false">IF(A181="","",IF(AM181="Y",A181&amp;"_STAAD.std","n/a"))</f>
        <v/>
      </c>
      <c r="AR181" s="10" t="str">
        <f aca="false">IF(A181="","",A181&amp;"_CALC.xlsx")</f>
        <v/>
      </c>
      <c r="AS181" s="10" t="str">
        <f aca="false">IF(A181="","",A181&amp;"_CALC.pdf")</f>
        <v/>
      </c>
      <c r="AT181" s="9"/>
      <c r="AU181" s="9"/>
      <c r="AV181" s="39"/>
      <c r="AW181" s="39"/>
      <c r="AX181" s="39"/>
      <c r="AY181" s="39"/>
      <c r="AZ181" s="39"/>
      <c r="BA181" s="12" t="str">
        <f aca="false">IF(A181="","",IF(COUNTIF(Rebar_Schedule!$A$5:$A$2004,A181)=0,"",ROUND(SUMIF(Rebar_Schedule!$A$5:$A$2004,A181,Rebar_Schedule!$K$5:$K$2004),1)))</f>
        <v/>
      </c>
      <c r="BB181" s="33" t="str">
        <f aca="false">IF(A181="","",IF(BA181="","No rebar schedule yet",IF(ABS(BA181-N(AW181))/MAX(N(AW181),1)&gt;SG_Criteria!$B$55,"NOTE: register rebar differs from schedule by "&amp;TEXT(ABS(BA181-N(AW181))/MAX(N(AW181),1),"0%"),"OK")))</f>
        <v/>
      </c>
      <c r="BC181" s="34" t="str">
        <f aca="false">IF(OR(D181="",G181="",H181="",D181="Sump",D181="Drop Inlet Chamber",D181="Silt Trap",D181="Pipe Culvert",D181="Subsoil Drain"),"",ROUND(MAX(1,N(I181))*(1/SG_Criteria!$B$26)*((G181/1000)*(H181/1000*(1-SG_Criteria!$B$25)))*(((G181/1000)*(H181/1000*(1-SG_Criteria!$B$25)))/((G181/1000)+2*(H181/1000*(1-SG_Criteria!$B$25))))^(2/3)*(1/Design_Selector!$B$11)^0.5,3))</f>
        <v/>
      </c>
      <c r="BD181" s="11" t="str">
        <f aca="false">IF(BC181="","",ROUND(BC181/(MAX(1,N(I181))*G181/1000*(H181/1000*(1-SG_Criteria!$B$25))),2))</f>
        <v/>
      </c>
      <c r="BE181" s="33" t="str">
        <f aca="false">IF(D181="","",IF(LEN(IF(AND(OR(E181="Roadside drain",E181="Entrance culvert"),OR(G181&lt;SG_Criteria!$B$15,H181&lt;SG_Criteria!$B$16)),"FAIL: below PUB min "&amp;SG_Criteria!$B$15&amp;"x"&amp;SG_Criteria!$B$16&amp;" for roadside drain. ","")&amp;IF(AND(E181="Common drain",G181&lt;SG_Criteria!$B$17),"FAIL: common drain W &lt; "&amp;SG_Criteria!$B$17&amp;" mm. ","")&amp;IF(AND(O181&lt;&gt;"",IFERROR(VALUE(MID(O181,2,2)),0)&lt;SG_Criteria!$B$19),"FAIL: grade below C"&amp;SG_Criteria!$B$19&amp;". ","")&amp;IF(AND(P181&lt;&gt;"",P181&lt;SG_Criteria!$B$20),"FAIL: cover &lt; "&amp;SG_Criteria!$B$20&amp;" mm. ","")&amp;IF(AND(F181="Open",H181&gt;SG_Criteria!$B$18),"NOTE: safety railing required (D &gt; "&amp;SG_Criteria!$B$18&amp;" mm). ","")&amp;IF(AND(E181="Entrance culvert",H181&lt;600),"NOTE: check hinged grating rule for culverts &lt; 600 deep (PUB Add. 3). ",""))=0,"OK",IF(AND(OR(E181="Roadside drain",E181="Entrance culvert"),OR(G181&lt;SG_Criteria!$B$15,H181&lt;SG_Criteria!$B$16)),"FAIL: below PUB min "&amp;SG_Criteria!$B$15&amp;"x"&amp;SG_Criteria!$B$16&amp;" for roadside drain. ","")&amp;IF(AND(E181="Common drain",G181&lt;SG_Criteria!$B$17),"FAIL: common drain W &lt; "&amp;SG_Criteria!$B$17&amp;" mm. ","")&amp;IF(AND(O181&lt;&gt;"",IFERROR(VALUE(MID(O181,2,2)),0)&lt;SG_Criteria!$B$19),"FAIL: grade below C"&amp;SG_Criteria!$B$19&amp;". ","")&amp;IF(AND(P181&lt;&gt;"",P181&lt;SG_Criteria!$B$20),"FAIL: cover &lt; "&amp;SG_Criteria!$B$20&amp;" mm. ","")&amp;IF(AND(F181="Open",H181&gt;SG_Criteria!$B$18),"NOTE: safety railing required (D &gt; "&amp;SG_Criteria!$B$18&amp;" mm). ","")&amp;IF(AND(E181="Entrance culvert",H181&lt;600),"NOTE: check hinged grating rule for culverts &lt; 600 deep (PUB Add. 3). ","")))</f>
        <v/>
      </c>
      <c r="BF181" s="9"/>
      <c r="BG181" s="9"/>
      <c r="BH181" s="9"/>
      <c r="BI181" s="10" t="str">
        <f aca="false">IF(BH181="","",IFERROR(VLOOKUP(BH181,Projects!$A$5:$D$504,2,0),"Ref not in Projects"))</f>
        <v/>
      </c>
      <c r="BJ181" s="10" t="str">
        <f aca="false">IF(BH181="","",IFERROR(VLOOKUP(BH181,Projects!$A$5:$D$504,4,0),"Ref not in Projects"))</f>
        <v/>
      </c>
      <c r="BK181" s="9"/>
      <c r="BL181" s="9"/>
      <c r="BM181" s="9"/>
      <c r="BN181" s="40"/>
      <c r="BO181" s="9"/>
      <c r="BP181" s="40"/>
      <c r="BQ181" s="9"/>
      <c r="BR181" s="40"/>
      <c r="BS181" s="9"/>
      <c r="BT181" s="9"/>
      <c r="BU181" s="9"/>
      <c r="BV181" s="40"/>
      <c r="BW181" s="40"/>
      <c r="BX181" s="36" t="str">
        <f aca="false">IF(BW181="","",EDATE(BW181,SG_Criteria!$B$54*12))</f>
        <v/>
      </c>
      <c r="BY181" s="33" t="str">
        <f aca="true">IF(A181="","",IF(BW181="","NOTE: not reviewed yet",IF(TODAY()&gt;BX181,"NOTE: review overdue","OK")))</f>
        <v/>
      </c>
      <c r="BZ181" s="37" t="str">
        <f aca="false">IF(A181="","",ROUND((IF(LEN(D181)&gt;0,1,0)+IF(LEN(E181)&gt;0,1,0)+IF(LEN(F181)&gt;0,1,0)+IF(LEN(G181)&gt;0,1,0)+IF(LEN(H181)&gt;0,1,0)+IF(LEN(J181)&gt;0,1,0)+IF(LEN(K181)&gt;0,1,0)+IF(LEN(M181)&gt;0,1,0)+IF(LEN(O181)&gt;0,1,0)+IF(LEN(P181)&gt;0,1,0)+IF(LEN(Q181)&gt;0,1,0)+IF(LEN(S181)&gt;0,1,0)+IF(LEN(AC181)&gt;0,1,0)+IF(LEN(AV181)&gt;0,1,0)+IF(LEN(AW181)&gt;0,1,0)+IF(LEN(AG181)&gt;0,1,0)+IF(LEN(AI181)&gt;0,1,0)+IF(LEN(AJ181)&gt;0,1,0)+IF(LEN(AK181)&gt;0,1,0)+IF(LEN(AL181)&gt;0,1,0)+IF(LEN(AU181)&gt;0,1,0)+IF(LEN(BH181)&gt;0,1,0)+IF(LEN(BU181)&gt;0,1,0))/23,2))</f>
        <v/>
      </c>
      <c r="CA181" s="10" t="str">
        <f aca="false">IF(D181="","",IF(AND(AJ181="Approved",ISERROR(SEARCH("FAIL",BE181))),"Y","N"))</f>
        <v/>
      </c>
      <c r="CB181" s="10" t="str">
        <f aca="false">IF(D181="","",D181&amp;"|"&amp;G181&amp;"|"&amp;H181&amp;"|"&amp;M181&amp;"|"&amp;CA181)</f>
        <v/>
      </c>
    </row>
    <row r="182" customFormat="false" ht="15" hidden="false" customHeight="false" outlineLevel="0" collapsed="false">
      <c r="A182" s="10" t="str">
        <f aca="false">IF(D182="","","DRN-"&amp;IFERROR(VLOOKUP(D182,Lists!$A$4:$B$27,2,0),"??")&amp;"-"&amp;TEXT(G182,"0000")&amp;"x"&amp;TEXT(H182,"0000")&amp;IF(N(I182)&gt;1,"-"&amp;I182&amp;"C","")&amp;"-"&amp;IFERROR(VLOOKUP(M182,Lists!$J$4:$K$19,2,0),"??")&amp;"-"&amp;AI182)</f>
        <v/>
      </c>
      <c r="B182" s="10" t="str">
        <f aca="false">IF(D182="","",D182&amp;" "&amp;G182&amp;"W x "&amp;H182&amp;"D"&amp;IF(N(I182)&gt;1," ("&amp;I182&amp;" cells)","")&amp;", "&amp;E182&amp;", "&amp;M182&amp;", "&amp;F182)</f>
        <v/>
      </c>
      <c r="C182" s="9"/>
      <c r="D182" s="9"/>
      <c r="E182" s="9"/>
      <c r="F182" s="9"/>
      <c r="G182" s="38"/>
      <c r="H182" s="38"/>
      <c r="I182" s="38"/>
      <c r="J182" s="38"/>
      <c r="K182" s="38"/>
      <c r="L182" s="38"/>
      <c r="M182" s="9"/>
      <c r="N182" s="9"/>
      <c r="O182" s="9"/>
      <c r="P182" s="38"/>
      <c r="Q182" s="9"/>
      <c r="R182" s="9"/>
      <c r="S182" s="9"/>
      <c r="T182" s="9"/>
      <c r="U182" s="9"/>
      <c r="V182" s="9"/>
      <c r="W182" s="9"/>
      <c r="X182" s="9"/>
      <c r="Y182" s="9"/>
      <c r="Z182" s="9"/>
      <c r="AA182" s="9"/>
      <c r="AB182" s="39"/>
      <c r="AC182" s="9"/>
      <c r="AD182" s="38"/>
      <c r="AE182" s="9"/>
      <c r="AF182" s="39"/>
      <c r="AG182" s="9"/>
      <c r="AH182" s="9"/>
      <c r="AI182" s="9"/>
      <c r="AJ182" s="9"/>
      <c r="AK182" s="9"/>
      <c r="AL182" s="9"/>
      <c r="AM182" s="9"/>
      <c r="AN182" s="10" t="str">
        <f aca="false">IF(A182="","",SG_Criteria!$B$6&amp;SG_Criteria!$B$7&amp;"\"&amp;A182&amp;"\")</f>
        <v/>
      </c>
      <c r="AO182" s="10" t="str">
        <f aca="false">IF(A182="","",A182&amp;"_CAD.dwg")</f>
        <v/>
      </c>
      <c r="AP182" s="10" t="str">
        <f aca="false">IF(A182="","",A182&amp;"_DWG.pdf")</f>
        <v/>
      </c>
      <c r="AQ182" s="10" t="str">
        <f aca="false">IF(A182="","",IF(AM182="Y",A182&amp;"_STAAD.std","n/a"))</f>
        <v/>
      </c>
      <c r="AR182" s="10" t="str">
        <f aca="false">IF(A182="","",A182&amp;"_CALC.xlsx")</f>
        <v/>
      </c>
      <c r="AS182" s="10" t="str">
        <f aca="false">IF(A182="","",A182&amp;"_CALC.pdf")</f>
        <v/>
      </c>
      <c r="AT182" s="9"/>
      <c r="AU182" s="9"/>
      <c r="AV182" s="39"/>
      <c r="AW182" s="39"/>
      <c r="AX182" s="39"/>
      <c r="AY182" s="39"/>
      <c r="AZ182" s="39"/>
      <c r="BA182" s="12" t="str">
        <f aca="false">IF(A182="","",IF(COUNTIF(Rebar_Schedule!$A$5:$A$2004,A182)=0,"",ROUND(SUMIF(Rebar_Schedule!$A$5:$A$2004,A182,Rebar_Schedule!$K$5:$K$2004),1)))</f>
        <v/>
      </c>
      <c r="BB182" s="33" t="str">
        <f aca="false">IF(A182="","",IF(BA182="","No rebar schedule yet",IF(ABS(BA182-N(AW182))/MAX(N(AW182),1)&gt;SG_Criteria!$B$55,"NOTE: register rebar differs from schedule by "&amp;TEXT(ABS(BA182-N(AW182))/MAX(N(AW182),1),"0%"),"OK")))</f>
        <v/>
      </c>
      <c r="BC182" s="34" t="str">
        <f aca="false">IF(OR(D182="",G182="",H182="",D182="Sump",D182="Drop Inlet Chamber",D182="Silt Trap",D182="Pipe Culvert",D182="Subsoil Drain"),"",ROUND(MAX(1,N(I182))*(1/SG_Criteria!$B$26)*((G182/1000)*(H182/1000*(1-SG_Criteria!$B$25)))*(((G182/1000)*(H182/1000*(1-SG_Criteria!$B$25)))/((G182/1000)+2*(H182/1000*(1-SG_Criteria!$B$25))))^(2/3)*(1/Design_Selector!$B$11)^0.5,3))</f>
        <v/>
      </c>
      <c r="BD182" s="11" t="str">
        <f aca="false">IF(BC182="","",ROUND(BC182/(MAX(1,N(I182))*G182/1000*(H182/1000*(1-SG_Criteria!$B$25))),2))</f>
        <v/>
      </c>
      <c r="BE182" s="33" t="str">
        <f aca="false">IF(D182="","",IF(LEN(IF(AND(OR(E182="Roadside drain",E182="Entrance culvert"),OR(G182&lt;SG_Criteria!$B$15,H182&lt;SG_Criteria!$B$16)),"FAIL: below PUB min "&amp;SG_Criteria!$B$15&amp;"x"&amp;SG_Criteria!$B$16&amp;" for roadside drain. ","")&amp;IF(AND(E182="Common drain",G182&lt;SG_Criteria!$B$17),"FAIL: common drain W &lt; "&amp;SG_Criteria!$B$17&amp;" mm. ","")&amp;IF(AND(O182&lt;&gt;"",IFERROR(VALUE(MID(O182,2,2)),0)&lt;SG_Criteria!$B$19),"FAIL: grade below C"&amp;SG_Criteria!$B$19&amp;". ","")&amp;IF(AND(P182&lt;&gt;"",P182&lt;SG_Criteria!$B$20),"FAIL: cover &lt; "&amp;SG_Criteria!$B$20&amp;" mm. ","")&amp;IF(AND(F182="Open",H182&gt;SG_Criteria!$B$18),"NOTE: safety railing required (D &gt; "&amp;SG_Criteria!$B$18&amp;" mm). ","")&amp;IF(AND(E182="Entrance culvert",H182&lt;600),"NOTE: check hinged grating rule for culverts &lt; 600 deep (PUB Add. 3). ",""))=0,"OK",IF(AND(OR(E182="Roadside drain",E182="Entrance culvert"),OR(G182&lt;SG_Criteria!$B$15,H182&lt;SG_Criteria!$B$16)),"FAIL: below PUB min "&amp;SG_Criteria!$B$15&amp;"x"&amp;SG_Criteria!$B$16&amp;" for roadside drain. ","")&amp;IF(AND(E182="Common drain",G182&lt;SG_Criteria!$B$17),"FAIL: common drain W &lt; "&amp;SG_Criteria!$B$17&amp;" mm. ","")&amp;IF(AND(O182&lt;&gt;"",IFERROR(VALUE(MID(O182,2,2)),0)&lt;SG_Criteria!$B$19),"FAIL: grade below C"&amp;SG_Criteria!$B$19&amp;". ","")&amp;IF(AND(P182&lt;&gt;"",P182&lt;SG_Criteria!$B$20),"FAIL: cover &lt; "&amp;SG_Criteria!$B$20&amp;" mm. ","")&amp;IF(AND(F182="Open",H182&gt;SG_Criteria!$B$18),"NOTE: safety railing required (D &gt; "&amp;SG_Criteria!$B$18&amp;" mm). ","")&amp;IF(AND(E182="Entrance culvert",H182&lt;600),"NOTE: check hinged grating rule for culverts &lt; 600 deep (PUB Add. 3). ","")))</f>
        <v/>
      </c>
      <c r="BF182" s="9"/>
      <c r="BG182" s="9"/>
      <c r="BH182" s="9"/>
      <c r="BI182" s="10" t="str">
        <f aca="false">IF(BH182="","",IFERROR(VLOOKUP(BH182,Projects!$A$5:$D$504,2,0),"Ref not in Projects"))</f>
        <v/>
      </c>
      <c r="BJ182" s="10" t="str">
        <f aca="false">IF(BH182="","",IFERROR(VLOOKUP(BH182,Projects!$A$5:$D$504,4,0),"Ref not in Projects"))</f>
        <v/>
      </c>
      <c r="BK182" s="9"/>
      <c r="BL182" s="9"/>
      <c r="BM182" s="9"/>
      <c r="BN182" s="40"/>
      <c r="BO182" s="9"/>
      <c r="BP182" s="40"/>
      <c r="BQ182" s="9"/>
      <c r="BR182" s="40"/>
      <c r="BS182" s="9"/>
      <c r="BT182" s="9"/>
      <c r="BU182" s="9"/>
      <c r="BV182" s="40"/>
      <c r="BW182" s="40"/>
      <c r="BX182" s="36" t="str">
        <f aca="false">IF(BW182="","",EDATE(BW182,SG_Criteria!$B$54*12))</f>
        <v/>
      </c>
      <c r="BY182" s="33" t="str">
        <f aca="true">IF(A182="","",IF(BW182="","NOTE: not reviewed yet",IF(TODAY()&gt;BX182,"NOTE: review overdue","OK")))</f>
        <v/>
      </c>
      <c r="BZ182" s="37" t="str">
        <f aca="false">IF(A182="","",ROUND((IF(LEN(D182)&gt;0,1,0)+IF(LEN(E182)&gt;0,1,0)+IF(LEN(F182)&gt;0,1,0)+IF(LEN(G182)&gt;0,1,0)+IF(LEN(H182)&gt;0,1,0)+IF(LEN(J182)&gt;0,1,0)+IF(LEN(K182)&gt;0,1,0)+IF(LEN(M182)&gt;0,1,0)+IF(LEN(O182)&gt;0,1,0)+IF(LEN(P182)&gt;0,1,0)+IF(LEN(Q182)&gt;0,1,0)+IF(LEN(S182)&gt;0,1,0)+IF(LEN(AC182)&gt;0,1,0)+IF(LEN(AV182)&gt;0,1,0)+IF(LEN(AW182)&gt;0,1,0)+IF(LEN(AG182)&gt;0,1,0)+IF(LEN(AI182)&gt;0,1,0)+IF(LEN(AJ182)&gt;0,1,0)+IF(LEN(AK182)&gt;0,1,0)+IF(LEN(AL182)&gt;0,1,0)+IF(LEN(AU182)&gt;0,1,0)+IF(LEN(BH182)&gt;0,1,0)+IF(LEN(BU182)&gt;0,1,0))/23,2))</f>
        <v/>
      </c>
      <c r="CA182" s="10" t="str">
        <f aca="false">IF(D182="","",IF(AND(AJ182="Approved",ISERROR(SEARCH("FAIL",BE182))),"Y","N"))</f>
        <v/>
      </c>
      <c r="CB182" s="10" t="str">
        <f aca="false">IF(D182="","",D182&amp;"|"&amp;G182&amp;"|"&amp;H182&amp;"|"&amp;M182&amp;"|"&amp;CA182)</f>
        <v/>
      </c>
    </row>
    <row r="183" customFormat="false" ht="15" hidden="false" customHeight="false" outlineLevel="0" collapsed="false">
      <c r="A183" s="10" t="str">
        <f aca="false">IF(D183="","","DRN-"&amp;IFERROR(VLOOKUP(D183,Lists!$A$4:$B$27,2,0),"??")&amp;"-"&amp;TEXT(G183,"0000")&amp;"x"&amp;TEXT(H183,"0000")&amp;IF(N(I183)&gt;1,"-"&amp;I183&amp;"C","")&amp;"-"&amp;IFERROR(VLOOKUP(M183,Lists!$J$4:$K$19,2,0),"??")&amp;"-"&amp;AI183)</f>
        <v/>
      </c>
      <c r="B183" s="10" t="str">
        <f aca="false">IF(D183="","",D183&amp;" "&amp;G183&amp;"W x "&amp;H183&amp;"D"&amp;IF(N(I183)&gt;1," ("&amp;I183&amp;" cells)","")&amp;", "&amp;E183&amp;", "&amp;M183&amp;", "&amp;F183)</f>
        <v/>
      </c>
      <c r="C183" s="9"/>
      <c r="D183" s="9"/>
      <c r="E183" s="9"/>
      <c r="F183" s="9"/>
      <c r="G183" s="38"/>
      <c r="H183" s="38"/>
      <c r="I183" s="38"/>
      <c r="J183" s="38"/>
      <c r="K183" s="38"/>
      <c r="L183" s="38"/>
      <c r="M183" s="9"/>
      <c r="N183" s="9"/>
      <c r="O183" s="9"/>
      <c r="P183" s="38"/>
      <c r="Q183" s="9"/>
      <c r="R183" s="9"/>
      <c r="S183" s="9"/>
      <c r="T183" s="9"/>
      <c r="U183" s="9"/>
      <c r="V183" s="9"/>
      <c r="W183" s="9"/>
      <c r="X183" s="9"/>
      <c r="Y183" s="9"/>
      <c r="Z183" s="9"/>
      <c r="AA183" s="9"/>
      <c r="AB183" s="39"/>
      <c r="AC183" s="9"/>
      <c r="AD183" s="38"/>
      <c r="AE183" s="9"/>
      <c r="AF183" s="39"/>
      <c r="AG183" s="9"/>
      <c r="AH183" s="9"/>
      <c r="AI183" s="9"/>
      <c r="AJ183" s="9"/>
      <c r="AK183" s="9"/>
      <c r="AL183" s="9"/>
      <c r="AM183" s="9"/>
      <c r="AN183" s="10" t="str">
        <f aca="false">IF(A183="","",SG_Criteria!$B$6&amp;SG_Criteria!$B$7&amp;"\"&amp;A183&amp;"\")</f>
        <v/>
      </c>
      <c r="AO183" s="10" t="str">
        <f aca="false">IF(A183="","",A183&amp;"_CAD.dwg")</f>
        <v/>
      </c>
      <c r="AP183" s="10" t="str">
        <f aca="false">IF(A183="","",A183&amp;"_DWG.pdf")</f>
        <v/>
      </c>
      <c r="AQ183" s="10" t="str">
        <f aca="false">IF(A183="","",IF(AM183="Y",A183&amp;"_STAAD.std","n/a"))</f>
        <v/>
      </c>
      <c r="AR183" s="10" t="str">
        <f aca="false">IF(A183="","",A183&amp;"_CALC.xlsx")</f>
        <v/>
      </c>
      <c r="AS183" s="10" t="str">
        <f aca="false">IF(A183="","",A183&amp;"_CALC.pdf")</f>
        <v/>
      </c>
      <c r="AT183" s="9"/>
      <c r="AU183" s="9"/>
      <c r="AV183" s="39"/>
      <c r="AW183" s="39"/>
      <c r="AX183" s="39"/>
      <c r="AY183" s="39"/>
      <c r="AZ183" s="39"/>
      <c r="BA183" s="12" t="str">
        <f aca="false">IF(A183="","",IF(COUNTIF(Rebar_Schedule!$A$5:$A$2004,A183)=0,"",ROUND(SUMIF(Rebar_Schedule!$A$5:$A$2004,A183,Rebar_Schedule!$K$5:$K$2004),1)))</f>
        <v/>
      </c>
      <c r="BB183" s="33" t="str">
        <f aca="false">IF(A183="","",IF(BA183="","No rebar schedule yet",IF(ABS(BA183-N(AW183))/MAX(N(AW183),1)&gt;SG_Criteria!$B$55,"NOTE: register rebar differs from schedule by "&amp;TEXT(ABS(BA183-N(AW183))/MAX(N(AW183),1),"0%"),"OK")))</f>
        <v/>
      </c>
      <c r="BC183" s="34" t="str">
        <f aca="false">IF(OR(D183="",G183="",H183="",D183="Sump",D183="Drop Inlet Chamber",D183="Silt Trap",D183="Pipe Culvert",D183="Subsoil Drain"),"",ROUND(MAX(1,N(I183))*(1/SG_Criteria!$B$26)*((G183/1000)*(H183/1000*(1-SG_Criteria!$B$25)))*(((G183/1000)*(H183/1000*(1-SG_Criteria!$B$25)))/((G183/1000)+2*(H183/1000*(1-SG_Criteria!$B$25))))^(2/3)*(1/Design_Selector!$B$11)^0.5,3))</f>
        <v/>
      </c>
      <c r="BD183" s="11" t="str">
        <f aca="false">IF(BC183="","",ROUND(BC183/(MAX(1,N(I183))*G183/1000*(H183/1000*(1-SG_Criteria!$B$25))),2))</f>
        <v/>
      </c>
      <c r="BE183" s="33" t="str">
        <f aca="false">IF(D183="","",IF(LEN(IF(AND(OR(E183="Roadside drain",E183="Entrance culvert"),OR(G183&lt;SG_Criteria!$B$15,H183&lt;SG_Criteria!$B$16)),"FAIL: below PUB min "&amp;SG_Criteria!$B$15&amp;"x"&amp;SG_Criteria!$B$16&amp;" for roadside drain. ","")&amp;IF(AND(E183="Common drain",G183&lt;SG_Criteria!$B$17),"FAIL: common drain W &lt; "&amp;SG_Criteria!$B$17&amp;" mm. ","")&amp;IF(AND(O183&lt;&gt;"",IFERROR(VALUE(MID(O183,2,2)),0)&lt;SG_Criteria!$B$19),"FAIL: grade below C"&amp;SG_Criteria!$B$19&amp;". ","")&amp;IF(AND(P183&lt;&gt;"",P183&lt;SG_Criteria!$B$20),"FAIL: cover &lt; "&amp;SG_Criteria!$B$20&amp;" mm. ","")&amp;IF(AND(F183="Open",H183&gt;SG_Criteria!$B$18),"NOTE: safety railing required (D &gt; "&amp;SG_Criteria!$B$18&amp;" mm). ","")&amp;IF(AND(E183="Entrance culvert",H183&lt;600),"NOTE: check hinged grating rule for culverts &lt; 600 deep (PUB Add. 3). ",""))=0,"OK",IF(AND(OR(E183="Roadside drain",E183="Entrance culvert"),OR(G183&lt;SG_Criteria!$B$15,H183&lt;SG_Criteria!$B$16)),"FAIL: below PUB min "&amp;SG_Criteria!$B$15&amp;"x"&amp;SG_Criteria!$B$16&amp;" for roadside drain. ","")&amp;IF(AND(E183="Common drain",G183&lt;SG_Criteria!$B$17),"FAIL: common drain W &lt; "&amp;SG_Criteria!$B$17&amp;" mm. ","")&amp;IF(AND(O183&lt;&gt;"",IFERROR(VALUE(MID(O183,2,2)),0)&lt;SG_Criteria!$B$19),"FAIL: grade below C"&amp;SG_Criteria!$B$19&amp;". ","")&amp;IF(AND(P183&lt;&gt;"",P183&lt;SG_Criteria!$B$20),"FAIL: cover &lt; "&amp;SG_Criteria!$B$20&amp;" mm. ","")&amp;IF(AND(F183="Open",H183&gt;SG_Criteria!$B$18),"NOTE: safety railing required (D &gt; "&amp;SG_Criteria!$B$18&amp;" mm). ","")&amp;IF(AND(E183="Entrance culvert",H183&lt;600),"NOTE: check hinged grating rule for culverts &lt; 600 deep (PUB Add. 3). ","")))</f>
        <v/>
      </c>
      <c r="BF183" s="9"/>
      <c r="BG183" s="9"/>
      <c r="BH183" s="9"/>
      <c r="BI183" s="10" t="str">
        <f aca="false">IF(BH183="","",IFERROR(VLOOKUP(BH183,Projects!$A$5:$D$504,2,0),"Ref not in Projects"))</f>
        <v/>
      </c>
      <c r="BJ183" s="10" t="str">
        <f aca="false">IF(BH183="","",IFERROR(VLOOKUP(BH183,Projects!$A$5:$D$504,4,0),"Ref not in Projects"))</f>
        <v/>
      </c>
      <c r="BK183" s="9"/>
      <c r="BL183" s="9"/>
      <c r="BM183" s="9"/>
      <c r="BN183" s="40"/>
      <c r="BO183" s="9"/>
      <c r="BP183" s="40"/>
      <c r="BQ183" s="9"/>
      <c r="BR183" s="40"/>
      <c r="BS183" s="9"/>
      <c r="BT183" s="9"/>
      <c r="BU183" s="9"/>
      <c r="BV183" s="40"/>
      <c r="BW183" s="40"/>
      <c r="BX183" s="36" t="str">
        <f aca="false">IF(BW183="","",EDATE(BW183,SG_Criteria!$B$54*12))</f>
        <v/>
      </c>
      <c r="BY183" s="33" t="str">
        <f aca="true">IF(A183="","",IF(BW183="","NOTE: not reviewed yet",IF(TODAY()&gt;BX183,"NOTE: review overdue","OK")))</f>
        <v/>
      </c>
      <c r="BZ183" s="37" t="str">
        <f aca="false">IF(A183="","",ROUND((IF(LEN(D183)&gt;0,1,0)+IF(LEN(E183)&gt;0,1,0)+IF(LEN(F183)&gt;0,1,0)+IF(LEN(G183)&gt;0,1,0)+IF(LEN(H183)&gt;0,1,0)+IF(LEN(J183)&gt;0,1,0)+IF(LEN(K183)&gt;0,1,0)+IF(LEN(M183)&gt;0,1,0)+IF(LEN(O183)&gt;0,1,0)+IF(LEN(P183)&gt;0,1,0)+IF(LEN(Q183)&gt;0,1,0)+IF(LEN(S183)&gt;0,1,0)+IF(LEN(AC183)&gt;0,1,0)+IF(LEN(AV183)&gt;0,1,0)+IF(LEN(AW183)&gt;0,1,0)+IF(LEN(AG183)&gt;0,1,0)+IF(LEN(AI183)&gt;0,1,0)+IF(LEN(AJ183)&gt;0,1,0)+IF(LEN(AK183)&gt;0,1,0)+IF(LEN(AL183)&gt;0,1,0)+IF(LEN(AU183)&gt;0,1,0)+IF(LEN(BH183)&gt;0,1,0)+IF(LEN(BU183)&gt;0,1,0))/23,2))</f>
        <v/>
      </c>
      <c r="CA183" s="10" t="str">
        <f aca="false">IF(D183="","",IF(AND(AJ183="Approved",ISERROR(SEARCH("FAIL",BE183))),"Y","N"))</f>
        <v/>
      </c>
      <c r="CB183" s="10" t="str">
        <f aca="false">IF(D183="","",D183&amp;"|"&amp;G183&amp;"|"&amp;H183&amp;"|"&amp;M183&amp;"|"&amp;CA183)</f>
        <v/>
      </c>
    </row>
    <row r="184" customFormat="false" ht="15" hidden="false" customHeight="false" outlineLevel="0" collapsed="false">
      <c r="A184" s="10" t="str">
        <f aca="false">IF(D184="","","DRN-"&amp;IFERROR(VLOOKUP(D184,Lists!$A$4:$B$27,2,0),"??")&amp;"-"&amp;TEXT(G184,"0000")&amp;"x"&amp;TEXT(H184,"0000")&amp;IF(N(I184)&gt;1,"-"&amp;I184&amp;"C","")&amp;"-"&amp;IFERROR(VLOOKUP(M184,Lists!$J$4:$K$19,2,0),"??")&amp;"-"&amp;AI184)</f>
        <v/>
      </c>
      <c r="B184" s="10" t="str">
        <f aca="false">IF(D184="","",D184&amp;" "&amp;G184&amp;"W x "&amp;H184&amp;"D"&amp;IF(N(I184)&gt;1," ("&amp;I184&amp;" cells)","")&amp;", "&amp;E184&amp;", "&amp;M184&amp;", "&amp;F184)</f>
        <v/>
      </c>
      <c r="C184" s="9"/>
      <c r="D184" s="9"/>
      <c r="E184" s="9"/>
      <c r="F184" s="9"/>
      <c r="G184" s="38"/>
      <c r="H184" s="38"/>
      <c r="I184" s="38"/>
      <c r="J184" s="38"/>
      <c r="K184" s="38"/>
      <c r="L184" s="38"/>
      <c r="M184" s="9"/>
      <c r="N184" s="9"/>
      <c r="O184" s="9"/>
      <c r="P184" s="38"/>
      <c r="Q184" s="9"/>
      <c r="R184" s="9"/>
      <c r="S184" s="9"/>
      <c r="T184" s="9"/>
      <c r="U184" s="9"/>
      <c r="V184" s="9"/>
      <c r="W184" s="9"/>
      <c r="X184" s="9"/>
      <c r="Y184" s="9"/>
      <c r="Z184" s="9"/>
      <c r="AA184" s="9"/>
      <c r="AB184" s="39"/>
      <c r="AC184" s="9"/>
      <c r="AD184" s="38"/>
      <c r="AE184" s="9"/>
      <c r="AF184" s="39"/>
      <c r="AG184" s="9"/>
      <c r="AH184" s="9"/>
      <c r="AI184" s="9"/>
      <c r="AJ184" s="9"/>
      <c r="AK184" s="9"/>
      <c r="AL184" s="9"/>
      <c r="AM184" s="9"/>
      <c r="AN184" s="10" t="str">
        <f aca="false">IF(A184="","",SG_Criteria!$B$6&amp;SG_Criteria!$B$7&amp;"\"&amp;A184&amp;"\")</f>
        <v/>
      </c>
      <c r="AO184" s="10" t="str">
        <f aca="false">IF(A184="","",A184&amp;"_CAD.dwg")</f>
        <v/>
      </c>
      <c r="AP184" s="10" t="str">
        <f aca="false">IF(A184="","",A184&amp;"_DWG.pdf")</f>
        <v/>
      </c>
      <c r="AQ184" s="10" t="str">
        <f aca="false">IF(A184="","",IF(AM184="Y",A184&amp;"_STAAD.std","n/a"))</f>
        <v/>
      </c>
      <c r="AR184" s="10" t="str">
        <f aca="false">IF(A184="","",A184&amp;"_CALC.xlsx")</f>
        <v/>
      </c>
      <c r="AS184" s="10" t="str">
        <f aca="false">IF(A184="","",A184&amp;"_CALC.pdf")</f>
        <v/>
      </c>
      <c r="AT184" s="9"/>
      <c r="AU184" s="9"/>
      <c r="AV184" s="39"/>
      <c r="AW184" s="39"/>
      <c r="AX184" s="39"/>
      <c r="AY184" s="39"/>
      <c r="AZ184" s="39"/>
      <c r="BA184" s="12" t="str">
        <f aca="false">IF(A184="","",IF(COUNTIF(Rebar_Schedule!$A$5:$A$2004,A184)=0,"",ROUND(SUMIF(Rebar_Schedule!$A$5:$A$2004,A184,Rebar_Schedule!$K$5:$K$2004),1)))</f>
        <v/>
      </c>
      <c r="BB184" s="33" t="str">
        <f aca="false">IF(A184="","",IF(BA184="","No rebar schedule yet",IF(ABS(BA184-N(AW184))/MAX(N(AW184),1)&gt;SG_Criteria!$B$55,"NOTE: register rebar differs from schedule by "&amp;TEXT(ABS(BA184-N(AW184))/MAX(N(AW184),1),"0%"),"OK")))</f>
        <v/>
      </c>
      <c r="BC184" s="34" t="str">
        <f aca="false">IF(OR(D184="",G184="",H184="",D184="Sump",D184="Drop Inlet Chamber",D184="Silt Trap",D184="Pipe Culvert",D184="Subsoil Drain"),"",ROUND(MAX(1,N(I184))*(1/SG_Criteria!$B$26)*((G184/1000)*(H184/1000*(1-SG_Criteria!$B$25)))*(((G184/1000)*(H184/1000*(1-SG_Criteria!$B$25)))/((G184/1000)+2*(H184/1000*(1-SG_Criteria!$B$25))))^(2/3)*(1/Design_Selector!$B$11)^0.5,3))</f>
        <v/>
      </c>
      <c r="BD184" s="11" t="str">
        <f aca="false">IF(BC184="","",ROUND(BC184/(MAX(1,N(I184))*G184/1000*(H184/1000*(1-SG_Criteria!$B$25))),2))</f>
        <v/>
      </c>
      <c r="BE184" s="33" t="str">
        <f aca="false">IF(D184="","",IF(LEN(IF(AND(OR(E184="Roadside drain",E184="Entrance culvert"),OR(G184&lt;SG_Criteria!$B$15,H184&lt;SG_Criteria!$B$16)),"FAIL: below PUB min "&amp;SG_Criteria!$B$15&amp;"x"&amp;SG_Criteria!$B$16&amp;" for roadside drain. ","")&amp;IF(AND(E184="Common drain",G184&lt;SG_Criteria!$B$17),"FAIL: common drain W &lt; "&amp;SG_Criteria!$B$17&amp;" mm. ","")&amp;IF(AND(O184&lt;&gt;"",IFERROR(VALUE(MID(O184,2,2)),0)&lt;SG_Criteria!$B$19),"FAIL: grade below C"&amp;SG_Criteria!$B$19&amp;". ","")&amp;IF(AND(P184&lt;&gt;"",P184&lt;SG_Criteria!$B$20),"FAIL: cover &lt; "&amp;SG_Criteria!$B$20&amp;" mm. ","")&amp;IF(AND(F184="Open",H184&gt;SG_Criteria!$B$18),"NOTE: safety railing required (D &gt; "&amp;SG_Criteria!$B$18&amp;" mm). ","")&amp;IF(AND(E184="Entrance culvert",H184&lt;600),"NOTE: check hinged grating rule for culverts &lt; 600 deep (PUB Add. 3). ",""))=0,"OK",IF(AND(OR(E184="Roadside drain",E184="Entrance culvert"),OR(G184&lt;SG_Criteria!$B$15,H184&lt;SG_Criteria!$B$16)),"FAIL: below PUB min "&amp;SG_Criteria!$B$15&amp;"x"&amp;SG_Criteria!$B$16&amp;" for roadside drain. ","")&amp;IF(AND(E184="Common drain",G184&lt;SG_Criteria!$B$17),"FAIL: common drain W &lt; "&amp;SG_Criteria!$B$17&amp;" mm. ","")&amp;IF(AND(O184&lt;&gt;"",IFERROR(VALUE(MID(O184,2,2)),0)&lt;SG_Criteria!$B$19),"FAIL: grade below C"&amp;SG_Criteria!$B$19&amp;". ","")&amp;IF(AND(P184&lt;&gt;"",P184&lt;SG_Criteria!$B$20),"FAIL: cover &lt; "&amp;SG_Criteria!$B$20&amp;" mm. ","")&amp;IF(AND(F184="Open",H184&gt;SG_Criteria!$B$18),"NOTE: safety railing required (D &gt; "&amp;SG_Criteria!$B$18&amp;" mm). ","")&amp;IF(AND(E184="Entrance culvert",H184&lt;600),"NOTE: check hinged grating rule for culverts &lt; 600 deep (PUB Add. 3). ","")))</f>
        <v/>
      </c>
      <c r="BF184" s="9"/>
      <c r="BG184" s="9"/>
      <c r="BH184" s="9"/>
      <c r="BI184" s="10" t="str">
        <f aca="false">IF(BH184="","",IFERROR(VLOOKUP(BH184,Projects!$A$5:$D$504,2,0),"Ref not in Projects"))</f>
        <v/>
      </c>
      <c r="BJ184" s="10" t="str">
        <f aca="false">IF(BH184="","",IFERROR(VLOOKUP(BH184,Projects!$A$5:$D$504,4,0),"Ref not in Projects"))</f>
        <v/>
      </c>
      <c r="BK184" s="9"/>
      <c r="BL184" s="9"/>
      <c r="BM184" s="9"/>
      <c r="BN184" s="40"/>
      <c r="BO184" s="9"/>
      <c r="BP184" s="40"/>
      <c r="BQ184" s="9"/>
      <c r="BR184" s="40"/>
      <c r="BS184" s="9"/>
      <c r="BT184" s="9"/>
      <c r="BU184" s="9"/>
      <c r="BV184" s="40"/>
      <c r="BW184" s="40"/>
      <c r="BX184" s="36" t="str">
        <f aca="false">IF(BW184="","",EDATE(BW184,SG_Criteria!$B$54*12))</f>
        <v/>
      </c>
      <c r="BY184" s="33" t="str">
        <f aca="true">IF(A184="","",IF(BW184="","NOTE: not reviewed yet",IF(TODAY()&gt;BX184,"NOTE: review overdue","OK")))</f>
        <v/>
      </c>
      <c r="BZ184" s="37" t="str">
        <f aca="false">IF(A184="","",ROUND((IF(LEN(D184)&gt;0,1,0)+IF(LEN(E184)&gt;0,1,0)+IF(LEN(F184)&gt;0,1,0)+IF(LEN(G184)&gt;0,1,0)+IF(LEN(H184)&gt;0,1,0)+IF(LEN(J184)&gt;0,1,0)+IF(LEN(K184)&gt;0,1,0)+IF(LEN(M184)&gt;0,1,0)+IF(LEN(O184)&gt;0,1,0)+IF(LEN(P184)&gt;0,1,0)+IF(LEN(Q184)&gt;0,1,0)+IF(LEN(S184)&gt;0,1,0)+IF(LEN(AC184)&gt;0,1,0)+IF(LEN(AV184)&gt;0,1,0)+IF(LEN(AW184)&gt;0,1,0)+IF(LEN(AG184)&gt;0,1,0)+IF(LEN(AI184)&gt;0,1,0)+IF(LEN(AJ184)&gt;0,1,0)+IF(LEN(AK184)&gt;0,1,0)+IF(LEN(AL184)&gt;0,1,0)+IF(LEN(AU184)&gt;0,1,0)+IF(LEN(BH184)&gt;0,1,0)+IF(LEN(BU184)&gt;0,1,0))/23,2))</f>
        <v/>
      </c>
      <c r="CA184" s="10" t="str">
        <f aca="false">IF(D184="","",IF(AND(AJ184="Approved",ISERROR(SEARCH("FAIL",BE184))),"Y","N"))</f>
        <v/>
      </c>
      <c r="CB184" s="10" t="str">
        <f aca="false">IF(D184="","",D184&amp;"|"&amp;G184&amp;"|"&amp;H184&amp;"|"&amp;M184&amp;"|"&amp;CA184)</f>
        <v/>
      </c>
    </row>
    <row r="185" customFormat="false" ht="15" hidden="false" customHeight="false" outlineLevel="0" collapsed="false">
      <c r="A185" s="10" t="str">
        <f aca="false">IF(D185="","","DRN-"&amp;IFERROR(VLOOKUP(D185,Lists!$A$4:$B$27,2,0),"??")&amp;"-"&amp;TEXT(G185,"0000")&amp;"x"&amp;TEXT(H185,"0000")&amp;IF(N(I185)&gt;1,"-"&amp;I185&amp;"C","")&amp;"-"&amp;IFERROR(VLOOKUP(M185,Lists!$J$4:$K$19,2,0),"??")&amp;"-"&amp;AI185)</f>
        <v/>
      </c>
      <c r="B185" s="10" t="str">
        <f aca="false">IF(D185="","",D185&amp;" "&amp;G185&amp;"W x "&amp;H185&amp;"D"&amp;IF(N(I185)&gt;1," ("&amp;I185&amp;" cells)","")&amp;", "&amp;E185&amp;", "&amp;M185&amp;", "&amp;F185)</f>
        <v/>
      </c>
      <c r="C185" s="9"/>
      <c r="D185" s="9"/>
      <c r="E185" s="9"/>
      <c r="F185" s="9"/>
      <c r="G185" s="38"/>
      <c r="H185" s="38"/>
      <c r="I185" s="38"/>
      <c r="J185" s="38"/>
      <c r="K185" s="38"/>
      <c r="L185" s="38"/>
      <c r="M185" s="9"/>
      <c r="N185" s="9"/>
      <c r="O185" s="9"/>
      <c r="P185" s="38"/>
      <c r="Q185" s="9"/>
      <c r="R185" s="9"/>
      <c r="S185" s="9"/>
      <c r="T185" s="9"/>
      <c r="U185" s="9"/>
      <c r="V185" s="9"/>
      <c r="W185" s="9"/>
      <c r="X185" s="9"/>
      <c r="Y185" s="9"/>
      <c r="Z185" s="9"/>
      <c r="AA185" s="9"/>
      <c r="AB185" s="39"/>
      <c r="AC185" s="9"/>
      <c r="AD185" s="38"/>
      <c r="AE185" s="9"/>
      <c r="AF185" s="39"/>
      <c r="AG185" s="9"/>
      <c r="AH185" s="9"/>
      <c r="AI185" s="9"/>
      <c r="AJ185" s="9"/>
      <c r="AK185" s="9"/>
      <c r="AL185" s="9"/>
      <c r="AM185" s="9"/>
      <c r="AN185" s="10" t="str">
        <f aca="false">IF(A185="","",SG_Criteria!$B$6&amp;SG_Criteria!$B$7&amp;"\"&amp;A185&amp;"\")</f>
        <v/>
      </c>
      <c r="AO185" s="10" t="str">
        <f aca="false">IF(A185="","",A185&amp;"_CAD.dwg")</f>
        <v/>
      </c>
      <c r="AP185" s="10" t="str">
        <f aca="false">IF(A185="","",A185&amp;"_DWG.pdf")</f>
        <v/>
      </c>
      <c r="AQ185" s="10" t="str">
        <f aca="false">IF(A185="","",IF(AM185="Y",A185&amp;"_STAAD.std","n/a"))</f>
        <v/>
      </c>
      <c r="AR185" s="10" t="str">
        <f aca="false">IF(A185="","",A185&amp;"_CALC.xlsx")</f>
        <v/>
      </c>
      <c r="AS185" s="10" t="str">
        <f aca="false">IF(A185="","",A185&amp;"_CALC.pdf")</f>
        <v/>
      </c>
      <c r="AT185" s="9"/>
      <c r="AU185" s="9"/>
      <c r="AV185" s="39"/>
      <c r="AW185" s="39"/>
      <c r="AX185" s="39"/>
      <c r="AY185" s="39"/>
      <c r="AZ185" s="39"/>
      <c r="BA185" s="12" t="str">
        <f aca="false">IF(A185="","",IF(COUNTIF(Rebar_Schedule!$A$5:$A$2004,A185)=0,"",ROUND(SUMIF(Rebar_Schedule!$A$5:$A$2004,A185,Rebar_Schedule!$K$5:$K$2004),1)))</f>
        <v/>
      </c>
      <c r="BB185" s="33" t="str">
        <f aca="false">IF(A185="","",IF(BA185="","No rebar schedule yet",IF(ABS(BA185-N(AW185))/MAX(N(AW185),1)&gt;SG_Criteria!$B$55,"NOTE: register rebar differs from schedule by "&amp;TEXT(ABS(BA185-N(AW185))/MAX(N(AW185),1),"0%"),"OK")))</f>
        <v/>
      </c>
      <c r="BC185" s="34" t="str">
        <f aca="false">IF(OR(D185="",G185="",H185="",D185="Sump",D185="Drop Inlet Chamber",D185="Silt Trap",D185="Pipe Culvert",D185="Subsoil Drain"),"",ROUND(MAX(1,N(I185))*(1/SG_Criteria!$B$26)*((G185/1000)*(H185/1000*(1-SG_Criteria!$B$25)))*(((G185/1000)*(H185/1000*(1-SG_Criteria!$B$25)))/((G185/1000)+2*(H185/1000*(1-SG_Criteria!$B$25))))^(2/3)*(1/Design_Selector!$B$11)^0.5,3))</f>
        <v/>
      </c>
      <c r="BD185" s="11" t="str">
        <f aca="false">IF(BC185="","",ROUND(BC185/(MAX(1,N(I185))*G185/1000*(H185/1000*(1-SG_Criteria!$B$25))),2))</f>
        <v/>
      </c>
      <c r="BE185" s="33" t="str">
        <f aca="false">IF(D185="","",IF(LEN(IF(AND(OR(E185="Roadside drain",E185="Entrance culvert"),OR(G185&lt;SG_Criteria!$B$15,H185&lt;SG_Criteria!$B$16)),"FAIL: below PUB min "&amp;SG_Criteria!$B$15&amp;"x"&amp;SG_Criteria!$B$16&amp;" for roadside drain. ","")&amp;IF(AND(E185="Common drain",G185&lt;SG_Criteria!$B$17),"FAIL: common drain W &lt; "&amp;SG_Criteria!$B$17&amp;" mm. ","")&amp;IF(AND(O185&lt;&gt;"",IFERROR(VALUE(MID(O185,2,2)),0)&lt;SG_Criteria!$B$19),"FAIL: grade below C"&amp;SG_Criteria!$B$19&amp;". ","")&amp;IF(AND(P185&lt;&gt;"",P185&lt;SG_Criteria!$B$20),"FAIL: cover &lt; "&amp;SG_Criteria!$B$20&amp;" mm. ","")&amp;IF(AND(F185="Open",H185&gt;SG_Criteria!$B$18),"NOTE: safety railing required (D &gt; "&amp;SG_Criteria!$B$18&amp;" mm). ","")&amp;IF(AND(E185="Entrance culvert",H185&lt;600),"NOTE: check hinged grating rule for culverts &lt; 600 deep (PUB Add. 3). ",""))=0,"OK",IF(AND(OR(E185="Roadside drain",E185="Entrance culvert"),OR(G185&lt;SG_Criteria!$B$15,H185&lt;SG_Criteria!$B$16)),"FAIL: below PUB min "&amp;SG_Criteria!$B$15&amp;"x"&amp;SG_Criteria!$B$16&amp;" for roadside drain. ","")&amp;IF(AND(E185="Common drain",G185&lt;SG_Criteria!$B$17),"FAIL: common drain W &lt; "&amp;SG_Criteria!$B$17&amp;" mm. ","")&amp;IF(AND(O185&lt;&gt;"",IFERROR(VALUE(MID(O185,2,2)),0)&lt;SG_Criteria!$B$19),"FAIL: grade below C"&amp;SG_Criteria!$B$19&amp;". ","")&amp;IF(AND(P185&lt;&gt;"",P185&lt;SG_Criteria!$B$20),"FAIL: cover &lt; "&amp;SG_Criteria!$B$20&amp;" mm. ","")&amp;IF(AND(F185="Open",H185&gt;SG_Criteria!$B$18),"NOTE: safety railing required (D &gt; "&amp;SG_Criteria!$B$18&amp;" mm). ","")&amp;IF(AND(E185="Entrance culvert",H185&lt;600),"NOTE: check hinged grating rule for culverts &lt; 600 deep (PUB Add. 3). ","")))</f>
        <v/>
      </c>
      <c r="BF185" s="9"/>
      <c r="BG185" s="9"/>
      <c r="BH185" s="9"/>
      <c r="BI185" s="10" t="str">
        <f aca="false">IF(BH185="","",IFERROR(VLOOKUP(BH185,Projects!$A$5:$D$504,2,0),"Ref not in Projects"))</f>
        <v/>
      </c>
      <c r="BJ185" s="10" t="str">
        <f aca="false">IF(BH185="","",IFERROR(VLOOKUP(BH185,Projects!$A$5:$D$504,4,0),"Ref not in Projects"))</f>
        <v/>
      </c>
      <c r="BK185" s="9"/>
      <c r="BL185" s="9"/>
      <c r="BM185" s="9"/>
      <c r="BN185" s="40"/>
      <c r="BO185" s="9"/>
      <c r="BP185" s="40"/>
      <c r="BQ185" s="9"/>
      <c r="BR185" s="40"/>
      <c r="BS185" s="9"/>
      <c r="BT185" s="9"/>
      <c r="BU185" s="9"/>
      <c r="BV185" s="40"/>
      <c r="BW185" s="40"/>
      <c r="BX185" s="36" t="str">
        <f aca="false">IF(BW185="","",EDATE(BW185,SG_Criteria!$B$54*12))</f>
        <v/>
      </c>
      <c r="BY185" s="33" t="str">
        <f aca="true">IF(A185="","",IF(BW185="","NOTE: not reviewed yet",IF(TODAY()&gt;BX185,"NOTE: review overdue","OK")))</f>
        <v/>
      </c>
      <c r="BZ185" s="37" t="str">
        <f aca="false">IF(A185="","",ROUND((IF(LEN(D185)&gt;0,1,0)+IF(LEN(E185)&gt;0,1,0)+IF(LEN(F185)&gt;0,1,0)+IF(LEN(G185)&gt;0,1,0)+IF(LEN(H185)&gt;0,1,0)+IF(LEN(J185)&gt;0,1,0)+IF(LEN(K185)&gt;0,1,0)+IF(LEN(M185)&gt;0,1,0)+IF(LEN(O185)&gt;0,1,0)+IF(LEN(P185)&gt;0,1,0)+IF(LEN(Q185)&gt;0,1,0)+IF(LEN(S185)&gt;0,1,0)+IF(LEN(AC185)&gt;0,1,0)+IF(LEN(AV185)&gt;0,1,0)+IF(LEN(AW185)&gt;0,1,0)+IF(LEN(AG185)&gt;0,1,0)+IF(LEN(AI185)&gt;0,1,0)+IF(LEN(AJ185)&gt;0,1,0)+IF(LEN(AK185)&gt;0,1,0)+IF(LEN(AL185)&gt;0,1,0)+IF(LEN(AU185)&gt;0,1,0)+IF(LEN(BH185)&gt;0,1,0)+IF(LEN(BU185)&gt;0,1,0))/23,2))</f>
        <v/>
      </c>
      <c r="CA185" s="10" t="str">
        <f aca="false">IF(D185="","",IF(AND(AJ185="Approved",ISERROR(SEARCH("FAIL",BE185))),"Y","N"))</f>
        <v/>
      </c>
      <c r="CB185" s="10" t="str">
        <f aca="false">IF(D185="","",D185&amp;"|"&amp;G185&amp;"|"&amp;H185&amp;"|"&amp;M185&amp;"|"&amp;CA185)</f>
        <v/>
      </c>
    </row>
    <row r="186" customFormat="false" ht="15" hidden="false" customHeight="false" outlineLevel="0" collapsed="false">
      <c r="A186" s="10" t="str">
        <f aca="false">IF(D186="","","DRN-"&amp;IFERROR(VLOOKUP(D186,Lists!$A$4:$B$27,2,0),"??")&amp;"-"&amp;TEXT(G186,"0000")&amp;"x"&amp;TEXT(H186,"0000")&amp;IF(N(I186)&gt;1,"-"&amp;I186&amp;"C","")&amp;"-"&amp;IFERROR(VLOOKUP(M186,Lists!$J$4:$K$19,2,0),"??")&amp;"-"&amp;AI186)</f>
        <v/>
      </c>
      <c r="B186" s="10" t="str">
        <f aca="false">IF(D186="","",D186&amp;" "&amp;G186&amp;"W x "&amp;H186&amp;"D"&amp;IF(N(I186)&gt;1," ("&amp;I186&amp;" cells)","")&amp;", "&amp;E186&amp;", "&amp;M186&amp;", "&amp;F186)</f>
        <v/>
      </c>
      <c r="C186" s="9"/>
      <c r="D186" s="9"/>
      <c r="E186" s="9"/>
      <c r="F186" s="9"/>
      <c r="G186" s="38"/>
      <c r="H186" s="38"/>
      <c r="I186" s="38"/>
      <c r="J186" s="38"/>
      <c r="K186" s="38"/>
      <c r="L186" s="38"/>
      <c r="M186" s="9"/>
      <c r="N186" s="9"/>
      <c r="O186" s="9"/>
      <c r="P186" s="38"/>
      <c r="Q186" s="9"/>
      <c r="R186" s="9"/>
      <c r="S186" s="9"/>
      <c r="T186" s="9"/>
      <c r="U186" s="9"/>
      <c r="V186" s="9"/>
      <c r="W186" s="9"/>
      <c r="X186" s="9"/>
      <c r="Y186" s="9"/>
      <c r="Z186" s="9"/>
      <c r="AA186" s="9"/>
      <c r="AB186" s="39"/>
      <c r="AC186" s="9"/>
      <c r="AD186" s="38"/>
      <c r="AE186" s="9"/>
      <c r="AF186" s="39"/>
      <c r="AG186" s="9"/>
      <c r="AH186" s="9"/>
      <c r="AI186" s="9"/>
      <c r="AJ186" s="9"/>
      <c r="AK186" s="9"/>
      <c r="AL186" s="9"/>
      <c r="AM186" s="9"/>
      <c r="AN186" s="10" t="str">
        <f aca="false">IF(A186="","",SG_Criteria!$B$6&amp;SG_Criteria!$B$7&amp;"\"&amp;A186&amp;"\")</f>
        <v/>
      </c>
      <c r="AO186" s="10" t="str">
        <f aca="false">IF(A186="","",A186&amp;"_CAD.dwg")</f>
        <v/>
      </c>
      <c r="AP186" s="10" t="str">
        <f aca="false">IF(A186="","",A186&amp;"_DWG.pdf")</f>
        <v/>
      </c>
      <c r="AQ186" s="10" t="str">
        <f aca="false">IF(A186="","",IF(AM186="Y",A186&amp;"_STAAD.std","n/a"))</f>
        <v/>
      </c>
      <c r="AR186" s="10" t="str">
        <f aca="false">IF(A186="","",A186&amp;"_CALC.xlsx")</f>
        <v/>
      </c>
      <c r="AS186" s="10" t="str">
        <f aca="false">IF(A186="","",A186&amp;"_CALC.pdf")</f>
        <v/>
      </c>
      <c r="AT186" s="9"/>
      <c r="AU186" s="9"/>
      <c r="AV186" s="39"/>
      <c r="AW186" s="39"/>
      <c r="AX186" s="39"/>
      <c r="AY186" s="39"/>
      <c r="AZ186" s="39"/>
      <c r="BA186" s="12" t="str">
        <f aca="false">IF(A186="","",IF(COUNTIF(Rebar_Schedule!$A$5:$A$2004,A186)=0,"",ROUND(SUMIF(Rebar_Schedule!$A$5:$A$2004,A186,Rebar_Schedule!$K$5:$K$2004),1)))</f>
        <v/>
      </c>
      <c r="BB186" s="33" t="str">
        <f aca="false">IF(A186="","",IF(BA186="","No rebar schedule yet",IF(ABS(BA186-N(AW186))/MAX(N(AW186),1)&gt;SG_Criteria!$B$55,"NOTE: register rebar differs from schedule by "&amp;TEXT(ABS(BA186-N(AW186))/MAX(N(AW186),1),"0%"),"OK")))</f>
        <v/>
      </c>
      <c r="BC186" s="34" t="str">
        <f aca="false">IF(OR(D186="",G186="",H186="",D186="Sump",D186="Drop Inlet Chamber",D186="Silt Trap",D186="Pipe Culvert",D186="Subsoil Drain"),"",ROUND(MAX(1,N(I186))*(1/SG_Criteria!$B$26)*((G186/1000)*(H186/1000*(1-SG_Criteria!$B$25)))*(((G186/1000)*(H186/1000*(1-SG_Criteria!$B$25)))/((G186/1000)+2*(H186/1000*(1-SG_Criteria!$B$25))))^(2/3)*(1/Design_Selector!$B$11)^0.5,3))</f>
        <v/>
      </c>
      <c r="BD186" s="11" t="str">
        <f aca="false">IF(BC186="","",ROUND(BC186/(MAX(1,N(I186))*G186/1000*(H186/1000*(1-SG_Criteria!$B$25))),2))</f>
        <v/>
      </c>
      <c r="BE186" s="33" t="str">
        <f aca="false">IF(D186="","",IF(LEN(IF(AND(OR(E186="Roadside drain",E186="Entrance culvert"),OR(G186&lt;SG_Criteria!$B$15,H186&lt;SG_Criteria!$B$16)),"FAIL: below PUB min "&amp;SG_Criteria!$B$15&amp;"x"&amp;SG_Criteria!$B$16&amp;" for roadside drain. ","")&amp;IF(AND(E186="Common drain",G186&lt;SG_Criteria!$B$17),"FAIL: common drain W &lt; "&amp;SG_Criteria!$B$17&amp;" mm. ","")&amp;IF(AND(O186&lt;&gt;"",IFERROR(VALUE(MID(O186,2,2)),0)&lt;SG_Criteria!$B$19),"FAIL: grade below C"&amp;SG_Criteria!$B$19&amp;". ","")&amp;IF(AND(P186&lt;&gt;"",P186&lt;SG_Criteria!$B$20),"FAIL: cover &lt; "&amp;SG_Criteria!$B$20&amp;" mm. ","")&amp;IF(AND(F186="Open",H186&gt;SG_Criteria!$B$18),"NOTE: safety railing required (D &gt; "&amp;SG_Criteria!$B$18&amp;" mm). ","")&amp;IF(AND(E186="Entrance culvert",H186&lt;600),"NOTE: check hinged grating rule for culverts &lt; 600 deep (PUB Add. 3). ",""))=0,"OK",IF(AND(OR(E186="Roadside drain",E186="Entrance culvert"),OR(G186&lt;SG_Criteria!$B$15,H186&lt;SG_Criteria!$B$16)),"FAIL: below PUB min "&amp;SG_Criteria!$B$15&amp;"x"&amp;SG_Criteria!$B$16&amp;" for roadside drain. ","")&amp;IF(AND(E186="Common drain",G186&lt;SG_Criteria!$B$17),"FAIL: common drain W &lt; "&amp;SG_Criteria!$B$17&amp;" mm. ","")&amp;IF(AND(O186&lt;&gt;"",IFERROR(VALUE(MID(O186,2,2)),0)&lt;SG_Criteria!$B$19),"FAIL: grade below C"&amp;SG_Criteria!$B$19&amp;". ","")&amp;IF(AND(P186&lt;&gt;"",P186&lt;SG_Criteria!$B$20),"FAIL: cover &lt; "&amp;SG_Criteria!$B$20&amp;" mm. ","")&amp;IF(AND(F186="Open",H186&gt;SG_Criteria!$B$18),"NOTE: safety railing required (D &gt; "&amp;SG_Criteria!$B$18&amp;" mm). ","")&amp;IF(AND(E186="Entrance culvert",H186&lt;600),"NOTE: check hinged grating rule for culverts &lt; 600 deep (PUB Add. 3). ","")))</f>
        <v/>
      </c>
      <c r="BF186" s="9"/>
      <c r="BG186" s="9"/>
      <c r="BH186" s="9"/>
      <c r="BI186" s="10" t="str">
        <f aca="false">IF(BH186="","",IFERROR(VLOOKUP(BH186,Projects!$A$5:$D$504,2,0),"Ref not in Projects"))</f>
        <v/>
      </c>
      <c r="BJ186" s="10" t="str">
        <f aca="false">IF(BH186="","",IFERROR(VLOOKUP(BH186,Projects!$A$5:$D$504,4,0),"Ref not in Projects"))</f>
        <v/>
      </c>
      <c r="BK186" s="9"/>
      <c r="BL186" s="9"/>
      <c r="BM186" s="9"/>
      <c r="BN186" s="40"/>
      <c r="BO186" s="9"/>
      <c r="BP186" s="40"/>
      <c r="BQ186" s="9"/>
      <c r="BR186" s="40"/>
      <c r="BS186" s="9"/>
      <c r="BT186" s="9"/>
      <c r="BU186" s="9"/>
      <c r="BV186" s="40"/>
      <c r="BW186" s="40"/>
      <c r="BX186" s="36" t="str">
        <f aca="false">IF(BW186="","",EDATE(BW186,SG_Criteria!$B$54*12))</f>
        <v/>
      </c>
      <c r="BY186" s="33" t="str">
        <f aca="true">IF(A186="","",IF(BW186="","NOTE: not reviewed yet",IF(TODAY()&gt;BX186,"NOTE: review overdue","OK")))</f>
        <v/>
      </c>
      <c r="BZ186" s="37" t="str">
        <f aca="false">IF(A186="","",ROUND((IF(LEN(D186)&gt;0,1,0)+IF(LEN(E186)&gt;0,1,0)+IF(LEN(F186)&gt;0,1,0)+IF(LEN(G186)&gt;0,1,0)+IF(LEN(H186)&gt;0,1,0)+IF(LEN(J186)&gt;0,1,0)+IF(LEN(K186)&gt;0,1,0)+IF(LEN(M186)&gt;0,1,0)+IF(LEN(O186)&gt;0,1,0)+IF(LEN(P186)&gt;0,1,0)+IF(LEN(Q186)&gt;0,1,0)+IF(LEN(S186)&gt;0,1,0)+IF(LEN(AC186)&gt;0,1,0)+IF(LEN(AV186)&gt;0,1,0)+IF(LEN(AW186)&gt;0,1,0)+IF(LEN(AG186)&gt;0,1,0)+IF(LEN(AI186)&gt;0,1,0)+IF(LEN(AJ186)&gt;0,1,0)+IF(LEN(AK186)&gt;0,1,0)+IF(LEN(AL186)&gt;0,1,0)+IF(LEN(AU186)&gt;0,1,0)+IF(LEN(BH186)&gt;0,1,0)+IF(LEN(BU186)&gt;0,1,0))/23,2))</f>
        <v/>
      </c>
      <c r="CA186" s="10" t="str">
        <f aca="false">IF(D186="","",IF(AND(AJ186="Approved",ISERROR(SEARCH("FAIL",BE186))),"Y","N"))</f>
        <v/>
      </c>
      <c r="CB186" s="10" t="str">
        <f aca="false">IF(D186="","",D186&amp;"|"&amp;G186&amp;"|"&amp;H186&amp;"|"&amp;M186&amp;"|"&amp;CA186)</f>
        <v/>
      </c>
    </row>
    <row r="187" customFormat="false" ht="15" hidden="false" customHeight="false" outlineLevel="0" collapsed="false">
      <c r="A187" s="10" t="str">
        <f aca="false">IF(D187="","","DRN-"&amp;IFERROR(VLOOKUP(D187,Lists!$A$4:$B$27,2,0),"??")&amp;"-"&amp;TEXT(G187,"0000")&amp;"x"&amp;TEXT(H187,"0000")&amp;IF(N(I187)&gt;1,"-"&amp;I187&amp;"C","")&amp;"-"&amp;IFERROR(VLOOKUP(M187,Lists!$J$4:$K$19,2,0),"??")&amp;"-"&amp;AI187)</f>
        <v/>
      </c>
      <c r="B187" s="10" t="str">
        <f aca="false">IF(D187="","",D187&amp;" "&amp;G187&amp;"W x "&amp;H187&amp;"D"&amp;IF(N(I187)&gt;1," ("&amp;I187&amp;" cells)","")&amp;", "&amp;E187&amp;", "&amp;M187&amp;", "&amp;F187)</f>
        <v/>
      </c>
      <c r="C187" s="9"/>
      <c r="D187" s="9"/>
      <c r="E187" s="9"/>
      <c r="F187" s="9"/>
      <c r="G187" s="38"/>
      <c r="H187" s="38"/>
      <c r="I187" s="38"/>
      <c r="J187" s="38"/>
      <c r="K187" s="38"/>
      <c r="L187" s="38"/>
      <c r="M187" s="9"/>
      <c r="N187" s="9"/>
      <c r="O187" s="9"/>
      <c r="P187" s="38"/>
      <c r="Q187" s="9"/>
      <c r="R187" s="9"/>
      <c r="S187" s="9"/>
      <c r="T187" s="9"/>
      <c r="U187" s="9"/>
      <c r="V187" s="9"/>
      <c r="W187" s="9"/>
      <c r="X187" s="9"/>
      <c r="Y187" s="9"/>
      <c r="Z187" s="9"/>
      <c r="AA187" s="9"/>
      <c r="AB187" s="39"/>
      <c r="AC187" s="9"/>
      <c r="AD187" s="38"/>
      <c r="AE187" s="9"/>
      <c r="AF187" s="39"/>
      <c r="AG187" s="9"/>
      <c r="AH187" s="9"/>
      <c r="AI187" s="9"/>
      <c r="AJ187" s="9"/>
      <c r="AK187" s="9"/>
      <c r="AL187" s="9"/>
      <c r="AM187" s="9"/>
      <c r="AN187" s="10" t="str">
        <f aca="false">IF(A187="","",SG_Criteria!$B$6&amp;SG_Criteria!$B$7&amp;"\"&amp;A187&amp;"\")</f>
        <v/>
      </c>
      <c r="AO187" s="10" t="str">
        <f aca="false">IF(A187="","",A187&amp;"_CAD.dwg")</f>
        <v/>
      </c>
      <c r="AP187" s="10" t="str">
        <f aca="false">IF(A187="","",A187&amp;"_DWG.pdf")</f>
        <v/>
      </c>
      <c r="AQ187" s="10" t="str">
        <f aca="false">IF(A187="","",IF(AM187="Y",A187&amp;"_STAAD.std","n/a"))</f>
        <v/>
      </c>
      <c r="AR187" s="10" t="str">
        <f aca="false">IF(A187="","",A187&amp;"_CALC.xlsx")</f>
        <v/>
      </c>
      <c r="AS187" s="10" t="str">
        <f aca="false">IF(A187="","",A187&amp;"_CALC.pdf")</f>
        <v/>
      </c>
      <c r="AT187" s="9"/>
      <c r="AU187" s="9"/>
      <c r="AV187" s="39"/>
      <c r="AW187" s="39"/>
      <c r="AX187" s="39"/>
      <c r="AY187" s="39"/>
      <c r="AZ187" s="39"/>
      <c r="BA187" s="12" t="str">
        <f aca="false">IF(A187="","",IF(COUNTIF(Rebar_Schedule!$A$5:$A$2004,A187)=0,"",ROUND(SUMIF(Rebar_Schedule!$A$5:$A$2004,A187,Rebar_Schedule!$K$5:$K$2004),1)))</f>
        <v/>
      </c>
      <c r="BB187" s="33" t="str">
        <f aca="false">IF(A187="","",IF(BA187="","No rebar schedule yet",IF(ABS(BA187-N(AW187))/MAX(N(AW187),1)&gt;SG_Criteria!$B$55,"NOTE: register rebar differs from schedule by "&amp;TEXT(ABS(BA187-N(AW187))/MAX(N(AW187),1),"0%"),"OK")))</f>
        <v/>
      </c>
      <c r="BC187" s="34" t="str">
        <f aca="false">IF(OR(D187="",G187="",H187="",D187="Sump",D187="Drop Inlet Chamber",D187="Silt Trap",D187="Pipe Culvert",D187="Subsoil Drain"),"",ROUND(MAX(1,N(I187))*(1/SG_Criteria!$B$26)*((G187/1000)*(H187/1000*(1-SG_Criteria!$B$25)))*(((G187/1000)*(H187/1000*(1-SG_Criteria!$B$25)))/((G187/1000)+2*(H187/1000*(1-SG_Criteria!$B$25))))^(2/3)*(1/Design_Selector!$B$11)^0.5,3))</f>
        <v/>
      </c>
      <c r="BD187" s="11" t="str">
        <f aca="false">IF(BC187="","",ROUND(BC187/(MAX(1,N(I187))*G187/1000*(H187/1000*(1-SG_Criteria!$B$25))),2))</f>
        <v/>
      </c>
      <c r="BE187" s="33" t="str">
        <f aca="false">IF(D187="","",IF(LEN(IF(AND(OR(E187="Roadside drain",E187="Entrance culvert"),OR(G187&lt;SG_Criteria!$B$15,H187&lt;SG_Criteria!$B$16)),"FAIL: below PUB min "&amp;SG_Criteria!$B$15&amp;"x"&amp;SG_Criteria!$B$16&amp;" for roadside drain. ","")&amp;IF(AND(E187="Common drain",G187&lt;SG_Criteria!$B$17),"FAIL: common drain W &lt; "&amp;SG_Criteria!$B$17&amp;" mm. ","")&amp;IF(AND(O187&lt;&gt;"",IFERROR(VALUE(MID(O187,2,2)),0)&lt;SG_Criteria!$B$19),"FAIL: grade below C"&amp;SG_Criteria!$B$19&amp;". ","")&amp;IF(AND(P187&lt;&gt;"",P187&lt;SG_Criteria!$B$20),"FAIL: cover &lt; "&amp;SG_Criteria!$B$20&amp;" mm. ","")&amp;IF(AND(F187="Open",H187&gt;SG_Criteria!$B$18),"NOTE: safety railing required (D &gt; "&amp;SG_Criteria!$B$18&amp;" mm). ","")&amp;IF(AND(E187="Entrance culvert",H187&lt;600),"NOTE: check hinged grating rule for culverts &lt; 600 deep (PUB Add. 3). ",""))=0,"OK",IF(AND(OR(E187="Roadside drain",E187="Entrance culvert"),OR(G187&lt;SG_Criteria!$B$15,H187&lt;SG_Criteria!$B$16)),"FAIL: below PUB min "&amp;SG_Criteria!$B$15&amp;"x"&amp;SG_Criteria!$B$16&amp;" for roadside drain. ","")&amp;IF(AND(E187="Common drain",G187&lt;SG_Criteria!$B$17),"FAIL: common drain W &lt; "&amp;SG_Criteria!$B$17&amp;" mm. ","")&amp;IF(AND(O187&lt;&gt;"",IFERROR(VALUE(MID(O187,2,2)),0)&lt;SG_Criteria!$B$19),"FAIL: grade below C"&amp;SG_Criteria!$B$19&amp;". ","")&amp;IF(AND(P187&lt;&gt;"",P187&lt;SG_Criteria!$B$20),"FAIL: cover &lt; "&amp;SG_Criteria!$B$20&amp;" mm. ","")&amp;IF(AND(F187="Open",H187&gt;SG_Criteria!$B$18),"NOTE: safety railing required (D &gt; "&amp;SG_Criteria!$B$18&amp;" mm). ","")&amp;IF(AND(E187="Entrance culvert",H187&lt;600),"NOTE: check hinged grating rule for culverts &lt; 600 deep (PUB Add. 3). ","")))</f>
        <v/>
      </c>
      <c r="BF187" s="9"/>
      <c r="BG187" s="9"/>
      <c r="BH187" s="9"/>
      <c r="BI187" s="10" t="str">
        <f aca="false">IF(BH187="","",IFERROR(VLOOKUP(BH187,Projects!$A$5:$D$504,2,0),"Ref not in Projects"))</f>
        <v/>
      </c>
      <c r="BJ187" s="10" t="str">
        <f aca="false">IF(BH187="","",IFERROR(VLOOKUP(BH187,Projects!$A$5:$D$504,4,0),"Ref not in Projects"))</f>
        <v/>
      </c>
      <c r="BK187" s="9"/>
      <c r="BL187" s="9"/>
      <c r="BM187" s="9"/>
      <c r="BN187" s="40"/>
      <c r="BO187" s="9"/>
      <c r="BP187" s="40"/>
      <c r="BQ187" s="9"/>
      <c r="BR187" s="40"/>
      <c r="BS187" s="9"/>
      <c r="BT187" s="9"/>
      <c r="BU187" s="9"/>
      <c r="BV187" s="40"/>
      <c r="BW187" s="40"/>
      <c r="BX187" s="36" t="str">
        <f aca="false">IF(BW187="","",EDATE(BW187,SG_Criteria!$B$54*12))</f>
        <v/>
      </c>
      <c r="BY187" s="33" t="str">
        <f aca="true">IF(A187="","",IF(BW187="","NOTE: not reviewed yet",IF(TODAY()&gt;BX187,"NOTE: review overdue","OK")))</f>
        <v/>
      </c>
      <c r="BZ187" s="37" t="str">
        <f aca="false">IF(A187="","",ROUND((IF(LEN(D187)&gt;0,1,0)+IF(LEN(E187)&gt;0,1,0)+IF(LEN(F187)&gt;0,1,0)+IF(LEN(G187)&gt;0,1,0)+IF(LEN(H187)&gt;0,1,0)+IF(LEN(J187)&gt;0,1,0)+IF(LEN(K187)&gt;0,1,0)+IF(LEN(M187)&gt;0,1,0)+IF(LEN(O187)&gt;0,1,0)+IF(LEN(P187)&gt;0,1,0)+IF(LEN(Q187)&gt;0,1,0)+IF(LEN(S187)&gt;0,1,0)+IF(LEN(AC187)&gt;0,1,0)+IF(LEN(AV187)&gt;0,1,0)+IF(LEN(AW187)&gt;0,1,0)+IF(LEN(AG187)&gt;0,1,0)+IF(LEN(AI187)&gt;0,1,0)+IF(LEN(AJ187)&gt;0,1,0)+IF(LEN(AK187)&gt;0,1,0)+IF(LEN(AL187)&gt;0,1,0)+IF(LEN(AU187)&gt;0,1,0)+IF(LEN(BH187)&gt;0,1,0)+IF(LEN(BU187)&gt;0,1,0))/23,2))</f>
        <v/>
      </c>
      <c r="CA187" s="10" t="str">
        <f aca="false">IF(D187="","",IF(AND(AJ187="Approved",ISERROR(SEARCH("FAIL",BE187))),"Y","N"))</f>
        <v/>
      </c>
      <c r="CB187" s="10" t="str">
        <f aca="false">IF(D187="","",D187&amp;"|"&amp;G187&amp;"|"&amp;H187&amp;"|"&amp;M187&amp;"|"&amp;CA187)</f>
        <v/>
      </c>
    </row>
    <row r="188" customFormat="false" ht="15" hidden="false" customHeight="false" outlineLevel="0" collapsed="false">
      <c r="A188" s="10" t="str">
        <f aca="false">IF(D188="","","DRN-"&amp;IFERROR(VLOOKUP(D188,Lists!$A$4:$B$27,2,0),"??")&amp;"-"&amp;TEXT(G188,"0000")&amp;"x"&amp;TEXT(H188,"0000")&amp;IF(N(I188)&gt;1,"-"&amp;I188&amp;"C","")&amp;"-"&amp;IFERROR(VLOOKUP(M188,Lists!$J$4:$K$19,2,0),"??")&amp;"-"&amp;AI188)</f>
        <v/>
      </c>
      <c r="B188" s="10" t="str">
        <f aca="false">IF(D188="","",D188&amp;" "&amp;G188&amp;"W x "&amp;H188&amp;"D"&amp;IF(N(I188)&gt;1," ("&amp;I188&amp;" cells)","")&amp;", "&amp;E188&amp;", "&amp;M188&amp;", "&amp;F188)</f>
        <v/>
      </c>
      <c r="C188" s="9"/>
      <c r="D188" s="9"/>
      <c r="E188" s="9"/>
      <c r="F188" s="9"/>
      <c r="G188" s="38"/>
      <c r="H188" s="38"/>
      <c r="I188" s="38"/>
      <c r="J188" s="38"/>
      <c r="K188" s="38"/>
      <c r="L188" s="38"/>
      <c r="M188" s="9"/>
      <c r="N188" s="9"/>
      <c r="O188" s="9"/>
      <c r="P188" s="38"/>
      <c r="Q188" s="9"/>
      <c r="R188" s="9"/>
      <c r="S188" s="9"/>
      <c r="T188" s="9"/>
      <c r="U188" s="9"/>
      <c r="V188" s="9"/>
      <c r="W188" s="9"/>
      <c r="X188" s="9"/>
      <c r="Y188" s="9"/>
      <c r="Z188" s="9"/>
      <c r="AA188" s="9"/>
      <c r="AB188" s="39"/>
      <c r="AC188" s="9"/>
      <c r="AD188" s="38"/>
      <c r="AE188" s="9"/>
      <c r="AF188" s="39"/>
      <c r="AG188" s="9"/>
      <c r="AH188" s="9"/>
      <c r="AI188" s="9"/>
      <c r="AJ188" s="9"/>
      <c r="AK188" s="9"/>
      <c r="AL188" s="9"/>
      <c r="AM188" s="9"/>
      <c r="AN188" s="10" t="str">
        <f aca="false">IF(A188="","",SG_Criteria!$B$6&amp;SG_Criteria!$B$7&amp;"\"&amp;A188&amp;"\")</f>
        <v/>
      </c>
      <c r="AO188" s="10" t="str">
        <f aca="false">IF(A188="","",A188&amp;"_CAD.dwg")</f>
        <v/>
      </c>
      <c r="AP188" s="10" t="str">
        <f aca="false">IF(A188="","",A188&amp;"_DWG.pdf")</f>
        <v/>
      </c>
      <c r="AQ188" s="10" t="str">
        <f aca="false">IF(A188="","",IF(AM188="Y",A188&amp;"_STAAD.std","n/a"))</f>
        <v/>
      </c>
      <c r="AR188" s="10" t="str">
        <f aca="false">IF(A188="","",A188&amp;"_CALC.xlsx")</f>
        <v/>
      </c>
      <c r="AS188" s="10" t="str">
        <f aca="false">IF(A188="","",A188&amp;"_CALC.pdf")</f>
        <v/>
      </c>
      <c r="AT188" s="9"/>
      <c r="AU188" s="9"/>
      <c r="AV188" s="39"/>
      <c r="AW188" s="39"/>
      <c r="AX188" s="39"/>
      <c r="AY188" s="39"/>
      <c r="AZ188" s="39"/>
      <c r="BA188" s="12" t="str">
        <f aca="false">IF(A188="","",IF(COUNTIF(Rebar_Schedule!$A$5:$A$2004,A188)=0,"",ROUND(SUMIF(Rebar_Schedule!$A$5:$A$2004,A188,Rebar_Schedule!$K$5:$K$2004),1)))</f>
        <v/>
      </c>
      <c r="BB188" s="33" t="str">
        <f aca="false">IF(A188="","",IF(BA188="","No rebar schedule yet",IF(ABS(BA188-N(AW188))/MAX(N(AW188),1)&gt;SG_Criteria!$B$55,"NOTE: register rebar differs from schedule by "&amp;TEXT(ABS(BA188-N(AW188))/MAX(N(AW188),1),"0%"),"OK")))</f>
        <v/>
      </c>
      <c r="BC188" s="34" t="str">
        <f aca="false">IF(OR(D188="",G188="",H188="",D188="Sump",D188="Drop Inlet Chamber",D188="Silt Trap",D188="Pipe Culvert",D188="Subsoil Drain"),"",ROUND(MAX(1,N(I188))*(1/SG_Criteria!$B$26)*((G188/1000)*(H188/1000*(1-SG_Criteria!$B$25)))*(((G188/1000)*(H188/1000*(1-SG_Criteria!$B$25)))/((G188/1000)+2*(H188/1000*(1-SG_Criteria!$B$25))))^(2/3)*(1/Design_Selector!$B$11)^0.5,3))</f>
        <v/>
      </c>
      <c r="BD188" s="11" t="str">
        <f aca="false">IF(BC188="","",ROUND(BC188/(MAX(1,N(I188))*G188/1000*(H188/1000*(1-SG_Criteria!$B$25))),2))</f>
        <v/>
      </c>
      <c r="BE188" s="33" t="str">
        <f aca="false">IF(D188="","",IF(LEN(IF(AND(OR(E188="Roadside drain",E188="Entrance culvert"),OR(G188&lt;SG_Criteria!$B$15,H188&lt;SG_Criteria!$B$16)),"FAIL: below PUB min "&amp;SG_Criteria!$B$15&amp;"x"&amp;SG_Criteria!$B$16&amp;" for roadside drain. ","")&amp;IF(AND(E188="Common drain",G188&lt;SG_Criteria!$B$17),"FAIL: common drain W &lt; "&amp;SG_Criteria!$B$17&amp;" mm. ","")&amp;IF(AND(O188&lt;&gt;"",IFERROR(VALUE(MID(O188,2,2)),0)&lt;SG_Criteria!$B$19),"FAIL: grade below C"&amp;SG_Criteria!$B$19&amp;". ","")&amp;IF(AND(P188&lt;&gt;"",P188&lt;SG_Criteria!$B$20),"FAIL: cover &lt; "&amp;SG_Criteria!$B$20&amp;" mm. ","")&amp;IF(AND(F188="Open",H188&gt;SG_Criteria!$B$18),"NOTE: safety railing required (D &gt; "&amp;SG_Criteria!$B$18&amp;" mm). ","")&amp;IF(AND(E188="Entrance culvert",H188&lt;600),"NOTE: check hinged grating rule for culverts &lt; 600 deep (PUB Add. 3). ",""))=0,"OK",IF(AND(OR(E188="Roadside drain",E188="Entrance culvert"),OR(G188&lt;SG_Criteria!$B$15,H188&lt;SG_Criteria!$B$16)),"FAIL: below PUB min "&amp;SG_Criteria!$B$15&amp;"x"&amp;SG_Criteria!$B$16&amp;" for roadside drain. ","")&amp;IF(AND(E188="Common drain",G188&lt;SG_Criteria!$B$17),"FAIL: common drain W &lt; "&amp;SG_Criteria!$B$17&amp;" mm. ","")&amp;IF(AND(O188&lt;&gt;"",IFERROR(VALUE(MID(O188,2,2)),0)&lt;SG_Criteria!$B$19),"FAIL: grade below C"&amp;SG_Criteria!$B$19&amp;". ","")&amp;IF(AND(P188&lt;&gt;"",P188&lt;SG_Criteria!$B$20),"FAIL: cover &lt; "&amp;SG_Criteria!$B$20&amp;" mm. ","")&amp;IF(AND(F188="Open",H188&gt;SG_Criteria!$B$18),"NOTE: safety railing required (D &gt; "&amp;SG_Criteria!$B$18&amp;" mm). ","")&amp;IF(AND(E188="Entrance culvert",H188&lt;600),"NOTE: check hinged grating rule for culverts &lt; 600 deep (PUB Add. 3). ","")))</f>
        <v/>
      </c>
      <c r="BF188" s="9"/>
      <c r="BG188" s="9"/>
      <c r="BH188" s="9"/>
      <c r="BI188" s="10" t="str">
        <f aca="false">IF(BH188="","",IFERROR(VLOOKUP(BH188,Projects!$A$5:$D$504,2,0),"Ref not in Projects"))</f>
        <v/>
      </c>
      <c r="BJ188" s="10" t="str">
        <f aca="false">IF(BH188="","",IFERROR(VLOOKUP(BH188,Projects!$A$5:$D$504,4,0),"Ref not in Projects"))</f>
        <v/>
      </c>
      <c r="BK188" s="9"/>
      <c r="BL188" s="9"/>
      <c r="BM188" s="9"/>
      <c r="BN188" s="40"/>
      <c r="BO188" s="9"/>
      <c r="BP188" s="40"/>
      <c r="BQ188" s="9"/>
      <c r="BR188" s="40"/>
      <c r="BS188" s="9"/>
      <c r="BT188" s="9"/>
      <c r="BU188" s="9"/>
      <c r="BV188" s="40"/>
      <c r="BW188" s="40"/>
      <c r="BX188" s="36" t="str">
        <f aca="false">IF(BW188="","",EDATE(BW188,SG_Criteria!$B$54*12))</f>
        <v/>
      </c>
      <c r="BY188" s="33" t="str">
        <f aca="true">IF(A188="","",IF(BW188="","NOTE: not reviewed yet",IF(TODAY()&gt;BX188,"NOTE: review overdue","OK")))</f>
        <v/>
      </c>
      <c r="BZ188" s="37" t="str">
        <f aca="false">IF(A188="","",ROUND((IF(LEN(D188)&gt;0,1,0)+IF(LEN(E188)&gt;0,1,0)+IF(LEN(F188)&gt;0,1,0)+IF(LEN(G188)&gt;0,1,0)+IF(LEN(H188)&gt;0,1,0)+IF(LEN(J188)&gt;0,1,0)+IF(LEN(K188)&gt;0,1,0)+IF(LEN(M188)&gt;0,1,0)+IF(LEN(O188)&gt;0,1,0)+IF(LEN(P188)&gt;0,1,0)+IF(LEN(Q188)&gt;0,1,0)+IF(LEN(S188)&gt;0,1,0)+IF(LEN(AC188)&gt;0,1,0)+IF(LEN(AV188)&gt;0,1,0)+IF(LEN(AW188)&gt;0,1,0)+IF(LEN(AG188)&gt;0,1,0)+IF(LEN(AI188)&gt;0,1,0)+IF(LEN(AJ188)&gt;0,1,0)+IF(LEN(AK188)&gt;0,1,0)+IF(LEN(AL188)&gt;0,1,0)+IF(LEN(AU188)&gt;0,1,0)+IF(LEN(BH188)&gt;0,1,0)+IF(LEN(BU188)&gt;0,1,0))/23,2))</f>
        <v/>
      </c>
      <c r="CA188" s="10" t="str">
        <f aca="false">IF(D188="","",IF(AND(AJ188="Approved",ISERROR(SEARCH("FAIL",BE188))),"Y","N"))</f>
        <v/>
      </c>
      <c r="CB188" s="10" t="str">
        <f aca="false">IF(D188="","",D188&amp;"|"&amp;G188&amp;"|"&amp;H188&amp;"|"&amp;M188&amp;"|"&amp;CA188)</f>
        <v/>
      </c>
    </row>
    <row r="189" customFormat="false" ht="15" hidden="false" customHeight="false" outlineLevel="0" collapsed="false">
      <c r="A189" s="10" t="str">
        <f aca="false">IF(D189="","","DRN-"&amp;IFERROR(VLOOKUP(D189,Lists!$A$4:$B$27,2,0),"??")&amp;"-"&amp;TEXT(G189,"0000")&amp;"x"&amp;TEXT(H189,"0000")&amp;IF(N(I189)&gt;1,"-"&amp;I189&amp;"C","")&amp;"-"&amp;IFERROR(VLOOKUP(M189,Lists!$J$4:$K$19,2,0),"??")&amp;"-"&amp;AI189)</f>
        <v/>
      </c>
      <c r="B189" s="10" t="str">
        <f aca="false">IF(D189="","",D189&amp;" "&amp;G189&amp;"W x "&amp;H189&amp;"D"&amp;IF(N(I189)&gt;1," ("&amp;I189&amp;" cells)","")&amp;", "&amp;E189&amp;", "&amp;M189&amp;", "&amp;F189)</f>
        <v/>
      </c>
      <c r="C189" s="9"/>
      <c r="D189" s="9"/>
      <c r="E189" s="9"/>
      <c r="F189" s="9"/>
      <c r="G189" s="38"/>
      <c r="H189" s="38"/>
      <c r="I189" s="38"/>
      <c r="J189" s="38"/>
      <c r="K189" s="38"/>
      <c r="L189" s="38"/>
      <c r="M189" s="9"/>
      <c r="N189" s="9"/>
      <c r="O189" s="9"/>
      <c r="P189" s="38"/>
      <c r="Q189" s="9"/>
      <c r="R189" s="9"/>
      <c r="S189" s="9"/>
      <c r="T189" s="9"/>
      <c r="U189" s="9"/>
      <c r="V189" s="9"/>
      <c r="W189" s="9"/>
      <c r="X189" s="9"/>
      <c r="Y189" s="9"/>
      <c r="Z189" s="9"/>
      <c r="AA189" s="9"/>
      <c r="AB189" s="39"/>
      <c r="AC189" s="9"/>
      <c r="AD189" s="38"/>
      <c r="AE189" s="9"/>
      <c r="AF189" s="39"/>
      <c r="AG189" s="9"/>
      <c r="AH189" s="9"/>
      <c r="AI189" s="9"/>
      <c r="AJ189" s="9"/>
      <c r="AK189" s="9"/>
      <c r="AL189" s="9"/>
      <c r="AM189" s="9"/>
      <c r="AN189" s="10" t="str">
        <f aca="false">IF(A189="","",SG_Criteria!$B$6&amp;SG_Criteria!$B$7&amp;"\"&amp;A189&amp;"\")</f>
        <v/>
      </c>
      <c r="AO189" s="10" t="str">
        <f aca="false">IF(A189="","",A189&amp;"_CAD.dwg")</f>
        <v/>
      </c>
      <c r="AP189" s="10" t="str">
        <f aca="false">IF(A189="","",A189&amp;"_DWG.pdf")</f>
        <v/>
      </c>
      <c r="AQ189" s="10" t="str">
        <f aca="false">IF(A189="","",IF(AM189="Y",A189&amp;"_STAAD.std","n/a"))</f>
        <v/>
      </c>
      <c r="AR189" s="10" t="str">
        <f aca="false">IF(A189="","",A189&amp;"_CALC.xlsx")</f>
        <v/>
      </c>
      <c r="AS189" s="10" t="str">
        <f aca="false">IF(A189="","",A189&amp;"_CALC.pdf")</f>
        <v/>
      </c>
      <c r="AT189" s="9"/>
      <c r="AU189" s="9"/>
      <c r="AV189" s="39"/>
      <c r="AW189" s="39"/>
      <c r="AX189" s="39"/>
      <c r="AY189" s="39"/>
      <c r="AZ189" s="39"/>
      <c r="BA189" s="12" t="str">
        <f aca="false">IF(A189="","",IF(COUNTIF(Rebar_Schedule!$A$5:$A$2004,A189)=0,"",ROUND(SUMIF(Rebar_Schedule!$A$5:$A$2004,A189,Rebar_Schedule!$K$5:$K$2004),1)))</f>
        <v/>
      </c>
      <c r="BB189" s="33" t="str">
        <f aca="false">IF(A189="","",IF(BA189="","No rebar schedule yet",IF(ABS(BA189-N(AW189))/MAX(N(AW189),1)&gt;SG_Criteria!$B$55,"NOTE: register rebar differs from schedule by "&amp;TEXT(ABS(BA189-N(AW189))/MAX(N(AW189),1),"0%"),"OK")))</f>
        <v/>
      </c>
      <c r="BC189" s="34" t="str">
        <f aca="false">IF(OR(D189="",G189="",H189="",D189="Sump",D189="Drop Inlet Chamber",D189="Silt Trap",D189="Pipe Culvert",D189="Subsoil Drain"),"",ROUND(MAX(1,N(I189))*(1/SG_Criteria!$B$26)*((G189/1000)*(H189/1000*(1-SG_Criteria!$B$25)))*(((G189/1000)*(H189/1000*(1-SG_Criteria!$B$25)))/((G189/1000)+2*(H189/1000*(1-SG_Criteria!$B$25))))^(2/3)*(1/Design_Selector!$B$11)^0.5,3))</f>
        <v/>
      </c>
      <c r="BD189" s="11" t="str">
        <f aca="false">IF(BC189="","",ROUND(BC189/(MAX(1,N(I189))*G189/1000*(H189/1000*(1-SG_Criteria!$B$25))),2))</f>
        <v/>
      </c>
      <c r="BE189" s="33" t="str">
        <f aca="false">IF(D189="","",IF(LEN(IF(AND(OR(E189="Roadside drain",E189="Entrance culvert"),OR(G189&lt;SG_Criteria!$B$15,H189&lt;SG_Criteria!$B$16)),"FAIL: below PUB min "&amp;SG_Criteria!$B$15&amp;"x"&amp;SG_Criteria!$B$16&amp;" for roadside drain. ","")&amp;IF(AND(E189="Common drain",G189&lt;SG_Criteria!$B$17),"FAIL: common drain W &lt; "&amp;SG_Criteria!$B$17&amp;" mm. ","")&amp;IF(AND(O189&lt;&gt;"",IFERROR(VALUE(MID(O189,2,2)),0)&lt;SG_Criteria!$B$19),"FAIL: grade below C"&amp;SG_Criteria!$B$19&amp;". ","")&amp;IF(AND(P189&lt;&gt;"",P189&lt;SG_Criteria!$B$20),"FAIL: cover &lt; "&amp;SG_Criteria!$B$20&amp;" mm. ","")&amp;IF(AND(F189="Open",H189&gt;SG_Criteria!$B$18),"NOTE: safety railing required (D &gt; "&amp;SG_Criteria!$B$18&amp;" mm). ","")&amp;IF(AND(E189="Entrance culvert",H189&lt;600),"NOTE: check hinged grating rule for culverts &lt; 600 deep (PUB Add. 3). ",""))=0,"OK",IF(AND(OR(E189="Roadside drain",E189="Entrance culvert"),OR(G189&lt;SG_Criteria!$B$15,H189&lt;SG_Criteria!$B$16)),"FAIL: below PUB min "&amp;SG_Criteria!$B$15&amp;"x"&amp;SG_Criteria!$B$16&amp;" for roadside drain. ","")&amp;IF(AND(E189="Common drain",G189&lt;SG_Criteria!$B$17),"FAIL: common drain W &lt; "&amp;SG_Criteria!$B$17&amp;" mm. ","")&amp;IF(AND(O189&lt;&gt;"",IFERROR(VALUE(MID(O189,2,2)),0)&lt;SG_Criteria!$B$19),"FAIL: grade below C"&amp;SG_Criteria!$B$19&amp;". ","")&amp;IF(AND(P189&lt;&gt;"",P189&lt;SG_Criteria!$B$20),"FAIL: cover &lt; "&amp;SG_Criteria!$B$20&amp;" mm. ","")&amp;IF(AND(F189="Open",H189&gt;SG_Criteria!$B$18),"NOTE: safety railing required (D &gt; "&amp;SG_Criteria!$B$18&amp;" mm). ","")&amp;IF(AND(E189="Entrance culvert",H189&lt;600),"NOTE: check hinged grating rule for culverts &lt; 600 deep (PUB Add. 3). ","")))</f>
        <v/>
      </c>
      <c r="BF189" s="9"/>
      <c r="BG189" s="9"/>
      <c r="BH189" s="9"/>
      <c r="BI189" s="10" t="str">
        <f aca="false">IF(BH189="","",IFERROR(VLOOKUP(BH189,Projects!$A$5:$D$504,2,0),"Ref not in Projects"))</f>
        <v/>
      </c>
      <c r="BJ189" s="10" t="str">
        <f aca="false">IF(BH189="","",IFERROR(VLOOKUP(BH189,Projects!$A$5:$D$504,4,0),"Ref not in Projects"))</f>
        <v/>
      </c>
      <c r="BK189" s="9"/>
      <c r="BL189" s="9"/>
      <c r="BM189" s="9"/>
      <c r="BN189" s="40"/>
      <c r="BO189" s="9"/>
      <c r="BP189" s="40"/>
      <c r="BQ189" s="9"/>
      <c r="BR189" s="40"/>
      <c r="BS189" s="9"/>
      <c r="BT189" s="9"/>
      <c r="BU189" s="9"/>
      <c r="BV189" s="40"/>
      <c r="BW189" s="40"/>
      <c r="BX189" s="36" t="str">
        <f aca="false">IF(BW189="","",EDATE(BW189,SG_Criteria!$B$54*12))</f>
        <v/>
      </c>
      <c r="BY189" s="33" t="str">
        <f aca="true">IF(A189="","",IF(BW189="","NOTE: not reviewed yet",IF(TODAY()&gt;BX189,"NOTE: review overdue","OK")))</f>
        <v/>
      </c>
      <c r="BZ189" s="37" t="str">
        <f aca="false">IF(A189="","",ROUND((IF(LEN(D189)&gt;0,1,0)+IF(LEN(E189)&gt;0,1,0)+IF(LEN(F189)&gt;0,1,0)+IF(LEN(G189)&gt;0,1,0)+IF(LEN(H189)&gt;0,1,0)+IF(LEN(J189)&gt;0,1,0)+IF(LEN(K189)&gt;0,1,0)+IF(LEN(M189)&gt;0,1,0)+IF(LEN(O189)&gt;0,1,0)+IF(LEN(P189)&gt;0,1,0)+IF(LEN(Q189)&gt;0,1,0)+IF(LEN(S189)&gt;0,1,0)+IF(LEN(AC189)&gt;0,1,0)+IF(LEN(AV189)&gt;0,1,0)+IF(LEN(AW189)&gt;0,1,0)+IF(LEN(AG189)&gt;0,1,0)+IF(LEN(AI189)&gt;0,1,0)+IF(LEN(AJ189)&gt;0,1,0)+IF(LEN(AK189)&gt;0,1,0)+IF(LEN(AL189)&gt;0,1,0)+IF(LEN(AU189)&gt;0,1,0)+IF(LEN(BH189)&gt;0,1,0)+IF(LEN(BU189)&gt;0,1,0))/23,2))</f>
        <v/>
      </c>
      <c r="CA189" s="10" t="str">
        <f aca="false">IF(D189="","",IF(AND(AJ189="Approved",ISERROR(SEARCH("FAIL",BE189))),"Y","N"))</f>
        <v/>
      </c>
      <c r="CB189" s="10" t="str">
        <f aca="false">IF(D189="","",D189&amp;"|"&amp;G189&amp;"|"&amp;H189&amp;"|"&amp;M189&amp;"|"&amp;CA189)</f>
        <v/>
      </c>
    </row>
    <row r="190" customFormat="false" ht="15" hidden="false" customHeight="false" outlineLevel="0" collapsed="false">
      <c r="A190" s="10" t="str">
        <f aca="false">IF(D190="","","DRN-"&amp;IFERROR(VLOOKUP(D190,Lists!$A$4:$B$27,2,0),"??")&amp;"-"&amp;TEXT(G190,"0000")&amp;"x"&amp;TEXT(H190,"0000")&amp;IF(N(I190)&gt;1,"-"&amp;I190&amp;"C","")&amp;"-"&amp;IFERROR(VLOOKUP(M190,Lists!$J$4:$K$19,2,0),"??")&amp;"-"&amp;AI190)</f>
        <v/>
      </c>
      <c r="B190" s="10" t="str">
        <f aca="false">IF(D190="","",D190&amp;" "&amp;G190&amp;"W x "&amp;H190&amp;"D"&amp;IF(N(I190)&gt;1," ("&amp;I190&amp;" cells)","")&amp;", "&amp;E190&amp;", "&amp;M190&amp;", "&amp;F190)</f>
        <v/>
      </c>
      <c r="C190" s="9"/>
      <c r="D190" s="9"/>
      <c r="E190" s="9"/>
      <c r="F190" s="9"/>
      <c r="G190" s="38"/>
      <c r="H190" s="38"/>
      <c r="I190" s="38"/>
      <c r="J190" s="38"/>
      <c r="K190" s="38"/>
      <c r="L190" s="38"/>
      <c r="M190" s="9"/>
      <c r="N190" s="9"/>
      <c r="O190" s="9"/>
      <c r="P190" s="38"/>
      <c r="Q190" s="9"/>
      <c r="R190" s="9"/>
      <c r="S190" s="9"/>
      <c r="T190" s="9"/>
      <c r="U190" s="9"/>
      <c r="V190" s="9"/>
      <c r="W190" s="9"/>
      <c r="X190" s="9"/>
      <c r="Y190" s="9"/>
      <c r="Z190" s="9"/>
      <c r="AA190" s="9"/>
      <c r="AB190" s="39"/>
      <c r="AC190" s="9"/>
      <c r="AD190" s="38"/>
      <c r="AE190" s="9"/>
      <c r="AF190" s="39"/>
      <c r="AG190" s="9"/>
      <c r="AH190" s="9"/>
      <c r="AI190" s="9"/>
      <c r="AJ190" s="9"/>
      <c r="AK190" s="9"/>
      <c r="AL190" s="9"/>
      <c r="AM190" s="9"/>
      <c r="AN190" s="10" t="str">
        <f aca="false">IF(A190="","",SG_Criteria!$B$6&amp;SG_Criteria!$B$7&amp;"\"&amp;A190&amp;"\")</f>
        <v/>
      </c>
      <c r="AO190" s="10" t="str">
        <f aca="false">IF(A190="","",A190&amp;"_CAD.dwg")</f>
        <v/>
      </c>
      <c r="AP190" s="10" t="str">
        <f aca="false">IF(A190="","",A190&amp;"_DWG.pdf")</f>
        <v/>
      </c>
      <c r="AQ190" s="10" t="str">
        <f aca="false">IF(A190="","",IF(AM190="Y",A190&amp;"_STAAD.std","n/a"))</f>
        <v/>
      </c>
      <c r="AR190" s="10" t="str">
        <f aca="false">IF(A190="","",A190&amp;"_CALC.xlsx")</f>
        <v/>
      </c>
      <c r="AS190" s="10" t="str">
        <f aca="false">IF(A190="","",A190&amp;"_CALC.pdf")</f>
        <v/>
      </c>
      <c r="AT190" s="9"/>
      <c r="AU190" s="9"/>
      <c r="AV190" s="39"/>
      <c r="AW190" s="39"/>
      <c r="AX190" s="39"/>
      <c r="AY190" s="39"/>
      <c r="AZ190" s="39"/>
      <c r="BA190" s="12" t="str">
        <f aca="false">IF(A190="","",IF(COUNTIF(Rebar_Schedule!$A$5:$A$2004,A190)=0,"",ROUND(SUMIF(Rebar_Schedule!$A$5:$A$2004,A190,Rebar_Schedule!$K$5:$K$2004),1)))</f>
        <v/>
      </c>
      <c r="BB190" s="33" t="str">
        <f aca="false">IF(A190="","",IF(BA190="","No rebar schedule yet",IF(ABS(BA190-N(AW190))/MAX(N(AW190),1)&gt;SG_Criteria!$B$55,"NOTE: register rebar differs from schedule by "&amp;TEXT(ABS(BA190-N(AW190))/MAX(N(AW190),1),"0%"),"OK")))</f>
        <v/>
      </c>
      <c r="BC190" s="34" t="str">
        <f aca="false">IF(OR(D190="",G190="",H190="",D190="Sump",D190="Drop Inlet Chamber",D190="Silt Trap",D190="Pipe Culvert",D190="Subsoil Drain"),"",ROUND(MAX(1,N(I190))*(1/SG_Criteria!$B$26)*((G190/1000)*(H190/1000*(1-SG_Criteria!$B$25)))*(((G190/1000)*(H190/1000*(1-SG_Criteria!$B$25)))/((G190/1000)+2*(H190/1000*(1-SG_Criteria!$B$25))))^(2/3)*(1/Design_Selector!$B$11)^0.5,3))</f>
        <v/>
      </c>
      <c r="BD190" s="11" t="str">
        <f aca="false">IF(BC190="","",ROUND(BC190/(MAX(1,N(I190))*G190/1000*(H190/1000*(1-SG_Criteria!$B$25))),2))</f>
        <v/>
      </c>
      <c r="BE190" s="33" t="str">
        <f aca="false">IF(D190="","",IF(LEN(IF(AND(OR(E190="Roadside drain",E190="Entrance culvert"),OR(G190&lt;SG_Criteria!$B$15,H190&lt;SG_Criteria!$B$16)),"FAIL: below PUB min "&amp;SG_Criteria!$B$15&amp;"x"&amp;SG_Criteria!$B$16&amp;" for roadside drain. ","")&amp;IF(AND(E190="Common drain",G190&lt;SG_Criteria!$B$17),"FAIL: common drain W &lt; "&amp;SG_Criteria!$B$17&amp;" mm. ","")&amp;IF(AND(O190&lt;&gt;"",IFERROR(VALUE(MID(O190,2,2)),0)&lt;SG_Criteria!$B$19),"FAIL: grade below C"&amp;SG_Criteria!$B$19&amp;". ","")&amp;IF(AND(P190&lt;&gt;"",P190&lt;SG_Criteria!$B$20),"FAIL: cover &lt; "&amp;SG_Criteria!$B$20&amp;" mm. ","")&amp;IF(AND(F190="Open",H190&gt;SG_Criteria!$B$18),"NOTE: safety railing required (D &gt; "&amp;SG_Criteria!$B$18&amp;" mm). ","")&amp;IF(AND(E190="Entrance culvert",H190&lt;600),"NOTE: check hinged grating rule for culverts &lt; 600 deep (PUB Add. 3). ",""))=0,"OK",IF(AND(OR(E190="Roadside drain",E190="Entrance culvert"),OR(G190&lt;SG_Criteria!$B$15,H190&lt;SG_Criteria!$B$16)),"FAIL: below PUB min "&amp;SG_Criteria!$B$15&amp;"x"&amp;SG_Criteria!$B$16&amp;" for roadside drain. ","")&amp;IF(AND(E190="Common drain",G190&lt;SG_Criteria!$B$17),"FAIL: common drain W &lt; "&amp;SG_Criteria!$B$17&amp;" mm. ","")&amp;IF(AND(O190&lt;&gt;"",IFERROR(VALUE(MID(O190,2,2)),0)&lt;SG_Criteria!$B$19),"FAIL: grade below C"&amp;SG_Criteria!$B$19&amp;". ","")&amp;IF(AND(P190&lt;&gt;"",P190&lt;SG_Criteria!$B$20),"FAIL: cover &lt; "&amp;SG_Criteria!$B$20&amp;" mm. ","")&amp;IF(AND(F190="Open",H190&gt;SG_Criteria!$B$18),"NOTE: safety railing required (D &gt; "&amp;SG_Criteria!$B$18&amp;" mm). ","")&amp;IF(AND(E190="Entrance culvert",H190&lt;600),"NOTE: check hinged grating rule for culverts &lt; 600 deep (PUB Add. 3). ","")))</f>
        <v/>
      </c>
      <c r="BF190" s="9"/>
      <c r="BG190" s="9"/>
      <c r="BH190" s="9"/>
      <c r="BI190" s="10" t="str">
        <f aca="false">IF(BH190="","",IFERROR(VLOOKUP(BH190,Projects!$A$5:$D$504,2,0),"Ref not in Projects"))</f>
        <v/>
      </c>
      <c r="BJ190" s="10" t="str">
        <f aca="false">IF(BH190="","",IFERROR(VLOOKUP(BH190,Projects!$A$5:$D$504,4,0),"Ref not in Projects"))</f>
        <v/>
      </c>
      <c r="BK190" s="9"/>
      <c r="BL190" s="9"/>
      <c r="BM190" s="9"/>
      <c r="BN190" s="40"/>
      <c r="BO190" s="9"/>
      <c r="BP190" s="40"/>
      <c r="BQ190" s="9"/>
      <c r="BR190" s="40"/>
      <c r="BS190" s="9"/>
      <c r="BT190" s="9"/>
      <c r="BU190" s="9"/>
      <c r="BV190" s="40"/>
      <c r="BW190" s="40"/>
      <c r="BX190" s="36" t="str">
        <f aca="false">IF(BW190="","",EDATE(BW190,SG_Criteria!$B$54*12))</f>
        <v/>
      </c>
      <c r="BY190" s="33" t="str">
        <f aca="true">IF(A190="","",IF(BW190="","NOTE: not reviewed yet",IF(TODAY()&gt;BX190,"NOTE: review overdue","OK")))</f>
        <v/>
      </c>
      <c r="BZ190" s="37" t="str">
        <f aca="false">IF(A190="","",ROUND((IF(LEN(D190)&gt;0,1,0)+IF(LEN(E190)&gt;0,1,0)+IF(LEN(F190)&gt;0,1,0)+IF(LEN(G190)&gt;0,1,0)+IF(LEN(H190)&gt;0,1,0)+IF(LEN(J190)&gt;0,1,0)+IF(LEN(K190)&gt;0,1,0)+IF(LEN(M190)&gt;0,1,0)+IF(LEN(O190)&gt;0,1,0)+IF(LEN(P190)&gt;0,1,0)+IF(LEN(Q190)&gt;0,1,0)+IF(LEN(S190)&gt;0,1,0)+IF(LEN(AC190)&gt;0,1,0)+IF(LEN(AV190)&gt;0,1,0)+IF(LEN(AW190)&gt;0,1,0)+IF(LEN(AG190)&gt;0,1,0)+IF(LEN(AI190)&gt;0,1,0)+IF(LEN(AJ190)&gt;0,1,0)+IF(LEN(AK190)&gt;0,1,0)+IF(LEN(AL190)&gt;0,1,0)+IF(LEN(AU190)&gt;0,1,0)+IF(LEN(BH190)&gt;0,1,0)+IF(LEN(BU190)&gt;0,1,0))/23,2))</f>
        <v/>
      </c>
      <c r="CA190" s="10" t="str">
        <f aca="false">IF(D190="","",IF(AND(AJ190="Approved",ISERROR(SEARCH("FAIL",BE190))),"Y","N"))</f>
        <v/>
      </c>
      <c r="CB190" s="10" t="str">
        <f aca="false">IF(D190="","",D190&amp;"|"&amp;G190&amp;"|"&amp;H190&amp;"|"&amp;M190&amp;"|"&amp;CA190)</f>
        <v/>
      </c>
    </row>
    <row r="191" customFormat="false" ht="15" hidden="false" customHeight="false" outlineLevel="0" collapsed="false">
      <c r="A191" s="10" t="str">
        <f aca="false">IF(D191="","","DRN-"&amp;IFERROR(VLOOKUP(D191,Lists!$A$4:$B$27,2,0),"??")&amp;"-"&amp;TEXT(G191,"0000")&amp;"x"&amp;TEXT(H191,"0000")&amp;IF(N(I191)&gt;1,"-"&amp;I191&amp;"C","")&amp;"-"&amp;IFERROR(VLOOKUP(M191,Lists!$J$4:$K$19,2,0),"??")&amp;"-"&amp;AI191)</f>
        <v/>
      </c>
      <c r="B191" s="10" t="str">
        <f aca="false">IF(D191="","",D191&amp;" "&amp;G191&amp;"W x "&amp;H191&amp;"D"&amp;IF(N(I191)&gt;1," ("&amp;I191&amp;" cells)","")&amp;", "&amp;E191&amp;", "&amp;M191&amp;", "&amp;F191)</f>
        <v/>
      </c>
      <c r="C191" s="9"/>
      <c r="D191" s="9"/>
      <c r="E191" s="9"/>
      <c r="F191" s="9"/>
      <c r="G191" s="38"/>
      <c r="H191" s="38"/>
      <c r="I191" s="38"/>
      <c r="J191" s="38"/>
      <c r="K191" s="38"/>
      <c r="L191" s="38"/>
      <c r="M191" s="9"/>
      <c r="N191" s="9"/>
      <c r="O191" s="9"/>
      <c r="P191" s="38"/>
      <c r="Q191" s="9"/>
      <c r="R191" s="9"/>
      <c r="S191" s="9"/>
      <c r="T191" s="9"/>
      <c r="U191" s="9"/>
      <c r="V191" s="9"/>
      <c r="W191" s="9"/>
      <c r="X191" s="9"/>
      <c r="Y191" s="9"/>
      <c r="Z191" s="9"/>
      <c r="AA191" s="9"/>
      <c r="AB191" s="39"/>
      <c r="AC191" s="9"/>
      <c r="AD191" s="38"/>
      <c r="AE191" s="9"/>
      <c r="AF191" s="39"/>
      <c r="AG191" s="9"/>
      <c r="AH191" s="9"/>
      <c r="AI191" s="9"/>
      <c r="AJ191" s="9"/>
      <c r="AK191" s="9"/>
      <c r="AL191" s="9"/>
      <c r="AM191" s="9"/>
      <c r="AN191" s="10" t="str">
        <f aca="false">IF(A191="","",SG_Criteria!$B$6&amp;SG_Criteria!$B$7&amp;"\"&amp;A191&amp;"\")</f>
        <v/>
      </c>
      <c r="AO191" s="10" t="str">
        <f aca="false">IF(A191="","",A191&amp;"_CAD.dwg")</f>
        <v/>
      </c>
      <c r="AP191" s="10" t="str">
        <f aca="false">IF(A191="","",A191&amp;"_DWG.pdf")</f>
        <v/>
      </c>
      <c r="AQ191" s="10" t="str">
        <f aca="false">IF(A191="","",IF(AM191="Y",A191&amp;"_STAAD.std","n/a"))</f>
        <v/>
      </c>
      <c r="AR191" s="10" t="str">
        <f aca="false">IF(A191="","",A191&amp;"_CALC.xlsx")</f>
        <v/>
      </c>
      <c r="AS191" s="10" t="str">
        <f aca="false">IF(A191="","",A191&amp;"_CALC.pdf")</f>
        <v/>
      </c>
      <c r="AT191" s="9"/>
      <c r="AU191" s="9"/>
      <c r="AV191" s="39"/>
      <c r="AW191" s="39"/>
      <c r="AX191" s="39"/>
      <c r="AY191" s="39"/>
      <c r="AZ191" s="39"/>
      <c r="BA191" s="12" t="str">
        <f aca="false">IF(A191="","",IF(COUNTIF(Rebar_Schedule!$A$5:$A$2004,A191)=0,"",ROUND(SUMIF(Rebar_Schedule!$A$5:$A$2004,A191,Rebar_Schedule!$K$5:$K$2004),1)))</f>
        <v/>
      </c>
      <c r="BB191" s="33" t="str">
        <f aca="false">IF(A191="","",IF(BA191="","No rebar schedule yet",IF(ABS(BA191-N(AW191))/MAX(N(AW191),1)&gt;SG_Criteria!$B$55,"NOTE: register rebar differs from schedule by "&amp;TEXT(ABS(BA191-N(AW191))/MAX(N(AW191),1),"0%"),"OK")))</f>
        <v/>
      </c>
      <c r="BC191" s="34" t="str">
        <f aca="false">IF(OR(D191="",G191="",H191="",D191="Sump",D191="Drop Inlet Chamber",D191="Silt Trap",D191="Pipe Culvert",D191="Subsoil Drain"),"",ROUND(MAX(1,N(I191))*(1/SG_Criteria!$B$26)*((G191/1000)*(H191/1000*(1-SG_Criteria!$B$25)))*(((G191/1000)*(H191/1000*(1-SG_Criteria!$B$25)))/((G191/1000)+2*(H191/1000*(1-SG_Criteria!$B$25))))^(2/3)*(1/Design_Selector!$B$11)^0.5,3))</f>
        <v/>
      </c>
      <c r="BD191" s="11" t="str">
        <f aca="false">IF(BC191="","",ROUND(BC191/(MAX(1,N(I191))*G191/1000*(H191/1000*(1-SG_Criteria!$B$25))),2))</f>
        <v/>
      </c>
      <c r="BE191" s="33" t="str">
        <f aca="false">IF(D191="","",IF(LEN(IF(AND(OR(E191="Roadside drain",E191="Entrance culvert"),OR(G191&lt;SG_Criteria!$B$15,H191&lt;SG_Criteria!$B$16)),"FAIL: below PUB min "&amp;SG_Criteria!$B$15&amp;"x"&amp;SG_Criteria!$B$16&amp;" for roadside drain. ","")&amp;IF(AND(E191="Common drain",G191&lt;SG_Criteria!$B$17),"FAIL: common drain W &lt; "&amp;SG_Criteria!$B$17&amp;" mm. ","")&amp;IF(AND(O191&lt;&gt;"",IFERROR(VALUE(MID(O191,2,2)),0)&lt;SG_Criteria!$B$19),"FAIL: grade below C"&amp;SG_Criteria!$B$19&amp;". ","")&amp;IF(AND(P191&lt;&gt;"",P191&lt;SG_Criteria!$B$20),"FAIL: cover &lt; "&amp;SG_Criteria!$B$20&amp;" mm. ","")&amp;IF(AND(F191="Open",H191&gt;SG_Criteria!$B$18),"NOTE: safety railing required (D &gt; "&amp;SG_Criteria!$B$18&amp;" mm). ","")&amp;IF(AND(E191="Entrance culvert",H191&lt;600),"NOTE: check hinged grating rule for culverts &lt; 600 deep (PUB Add. 3). ",""))=0,"OK",IF(AND(OR(E191="Roadside drain",E191="Entrance culvert"),OR(G191&lt;SG_Criteria!$B$15,H191&lt;SG_Criteria!$B$16)),"FAIL: below PUB min "&amp;SG_Criteria!$B$15&amp;"x"&amp;SG_Criteria!$B$16&amp;" for roadside drain. ","")&amp;IF(AND(E191="Common drain",G191&lt;SG_Criteria!$B$17),"FAIL: common drain W &lt; "&amp;SG_Criteria!$B$17&amp;" mm. ","")&amp;IF(AND(O191&lt;&gt;"",IFERROR(VALUE(MID(O191,2,2)),0)&lt;SG_Criteria!$B$19),"FAIL: grade below C"&amp;SG_Criteria!$B$19&amp;". ","")&amp;IF(AND(P191&lt;&gt;"",P191&lt;SG_Criteria!$B$20),"FAIL: cover &lt; "&amp;SG_Criteria!$B$20&amp;" mm. ","")&amp;IF(AND(F191="Open",H191&gt;SG_Criteria!$B$18),"NOTE: safety railing required (D &gt; "&amp;SG_Criteria!$B$18&amp;" mm). ","")&amp;IF(AND(E191="Entrance culvert",H191&lt;600),"NOTE: check hinged grating rule for culverts &lt; 600 deep (PUB Add. 3). ","")))</f>
        <v/>
      </c>
      <c r="BF191" s="9"/>
      <c r="BG191" s="9"/>
      <c r="BH191" s="9"/>
      <c r="BI191" s="10" t="str">
        <f aca="false">IF(BH191="","",IFERROR(VLOOKUP(BH191,Projects!$A$5:$D$504,2,0),"Ref not in Projects"))</f>
        <v/>
      </c>
      <c r="BJ191" s="10" t="str">
        <f aca="false">IF(BH191="","",IFERROR(VLOOKUP(BH191,Projects!$A$5:$D$504,4,0),"Ref not in Projects"))</f>
        <v/>
      </c>
      <c r="BK191" s="9"/>
      <c r="BL191" s="9"/>
      <c r="BM191" s="9"/>
      <c r="BN191" s="40"/>
      <c r="BO191" s="9"/>
      <c r="BP191" s="40"/>
      <c r="BQ191" s="9"/>
      <c r="BR191" s="40"/>
      <c r="BS191" s="9"/>
      <c r="BT191" s="9"/>
      <c r="BU191" s="9"/>
      <c r="BV191" s="40"/>
      <c r="BW191" s="40"/>
      <c r="BX191" s="36" t="str">
        <f aca="false">IF(BW191="","",EDATE(BW191,SG_Criteria!$B$54*12))</f>
        <v/>
      </c>
      <c r="BY191" s="33" t="str">
        <f aca="true">IF(A191="","",IF(BW191="","NOTE: not reviewed yet",IF(TODAY()&gt;BX191,"NOTE: review overdue","OK")))</f>
        <v/>
      </c>
      <c r="BZ191" s="37" t="str">
        <f aca="false">IF(A191="","",ROUND((IF(LEN(D191)&gt;0,1,0)+IF(LEN(E191)&gt;0,1,0)+IF(LEN(F191)&gt;0,1,0)+IF(LEN(G191)&gt;0,1,0)+IF(LEN(H191)&gt;0,1,0)+IF(LEN(J191)&gt;0,1,0)+IF(LEN(K191)&gt;0,1,0)+IF(LEN(M191)&gt;0,1,0)+IF(LEN(O191)&gt;0,1,0)+IF(LEN(P191)&gt;0,1,0)+IF(LEN(Q191)&gt;0,1,0)+IF(LEN(S191)&gt;0,1,0)+IF(LEN(AC191)&gt;0,1,0)+IF(LEN(AV191)&gt;0,1,0)+IF(LEN(AW191)&gt;0,1,0)+IF(LEN(AG191)&gt;0,1,0)+IF(LEN(AI191)&gt;0,1,0)+IF(LEN(AJ191)&gt;0,1,0)+IF(LEN(AK191)&gt;0,1,0)+IF(LEN(AL191)&gt;0,1,0)+IF(LEN(AU191)&gt;0,1,0)+IF(LEN(BH191)&gt;0,1,0)+IF(LEN(BU191)&gt;0,1,0))/23,2))</f>
        <v/>
      </c>
      <c r="CA191" s="10" t="str">
        <f aca="false">IF(D191="","",IF(AND(AJ191="Approved",ISERROR(SEARCH("FAIL",BE191))),"Y","N"))</f>
        <v/>
      </c>
      <c r="CB191" s="10" t="str">
        <f aca="false">IF(D191="","",D191&amp;"|"&amp;G191&amp;"|"&amp;H191&amp;"|"&amp;M191&amp;"|"&amp;CA191)</f>
        <v/>
      </c>
    </row>
    <row r="192" customFormat="false" ht="15" hidden="false" customHeight="false" outlineLevel="0" collapsed="false">
      <c r="A192" s="10" t="str">
        <f aca="false">IF(D192="","","DRN-"&amp;IFERROR(VLOOKUP(D192,Lists!$A$4:$B$27,2,0),"??")&amp;"-"&amp;TEXT(G192,"0000")&amp;"x"&amp;TEXT(H192,"0000")&amp;IF(N(I192)&gt;1,"-"&amp;I192&amp;"C","")&amp;"-"&amp;IFERROR(VLOOKUP(M192,Lists!$J$4:$K$19,2,0),"??")&amp;"-"&amp;AI192)</f>
        <v/>
      </c>
      <c r="B192" s="10" t="str">
        <f aca="false">IF(D192="","",D192&amp;" "&amp;G192&amp;"W x "&amp;H192&amp;"D"&amp;IF(N(I192)&gt;1," ("&amp;I192&amp;" cells)","")&amp;", "&amp;E192&amp;", "&amp;M192&amp;", "&amp;F192)</f>
        <v/>
      </c>
      <c r="C192" s="9"/>
      <c r="D192" s="9"/>
      <c r="E192" s="9"/>
      <c r="F192" s="9"/>
      <c r="G192" s="38"/>
      <c r="H192" s="38"/>
      <c r="I192" s="38"/>
      <c r="J192" s="38"/>
      <c r="K192" s="38"/>
      <c r="L192" s="38"/>
      <c r="M192" s="9"/>
      <c r="N192" s="9"/>
      <c r="O192" s="9"/>
      <c r="P192" s="38"/>
      <c r="Q192" s="9"/>
      <c r="R192" s="9"/>
      <c r="S192" s="9"/>
      <c r="T192" s="9"/>
      <c r="U192" s="9"/>
      <c r="V192" s="9"/>
      <c r="W192" s="9"/>
      <c r="X192" s="9"/>
      <c r="Y192" s="9"/>
      <c r="Z192" s="9"/>
      <c r="AA192" s="9"/>
      <c r="AB192" s="39"/>
      <c r="AC192" s="9"/>
      <c r="AD192" s="38"/>
      <c r="AE192" s="9"/>
      <c r="AF192" s="39"/>
      <c r="AG192" s="9"/>
      <c r="AH192" s="9"/>
      <c r="AI192" s="9"/>
      <c r="AJ192" s="9"/>
      <c r="AK192" s="9"/>
      <c r="AL192" s="9"/>
      <c r="AM192" s="9"/>
      <c r="AN192" s="10" t="str">
        <f aca="false">IF(A192="","",SG_Criteria!$B$6&amp;SG_Criteria!$B$7&amp;"\"&amp;A192&amp;"\")</f>
        <v/>
      </c>
      <c r="AO192" s="10" t="str">
        <f aca="false">IF(A192="","",A192&amp;"_CAD.dwg")</f>
        <v/>
      </c>
      <c r="AP192" s="10" t="str">
        <f aca="false">IF(A192="","",A192&amp;"_DWG.pdf")</f>
        <v/>
      </c>
      <c r="AQ192" s="10" t="str">
        <f aca="false">IF(A192="","",IF(AM192="Y",A192&amp;"_STAAD.std","n/a"))</f>
        <v/>
      </c>
      <c r="AR192" s="10" t="str">
        <f aca="false">IF(A192="","",A192&amp;"_CALC.xlsx")</f>
        <v/>
      </c>
      <c r="AS192" s="10" t="str">
        <f aca="false">IF(A192="","",A192&amp;"_CALC.pdf")</f>
        <v/>
      </c>
      <c r="AT192" s="9"/>
      <c r="AU192" s="9"/>
      <c r="AV192" s="39"/>
      <c r="AW192" s="39"/>
      <c r="AX192" s="39"/>
      <c r="AY192" s="39"/>
      <c r="AZ192" s="39"/>
      <c r="BA192" s="12" t="str">
        <f aca="false">IF(A192="","",IF(COUNTIF(Rebar_Schedule!$A$5:$A$2004,A192)=0,"",ROUND(SUMIF(Rebar_Schedule!$A$5:$A$2004,A192,Rebar_Schedule!$K$5:$K$2004),1)))</f>
        <v/>
      </c>
      <c r="BB192" s="33" t="str">
        <f aca="false">IF(A192="","",IF(BA192="","No rebar schedule yet",IF(ABS(BA192-N(AW192))/MAX(N(AW192),1)&gt;SG_Criteria!$B$55,"NOTE: register rebar differs from schedule by "&amp;TEXT(ABS(BA192-N(AW192))/MAX(N(AW192),1),"0%"),"OK")))</f>
        <v/>
      </c>
      <c r="BC192" s="34" t="str">
        <f aca="false">IF(OR(D192="",G192="",H192="",D192="Sump",D192="Drop Inlet Chamber",D192="Silt Trap",D192="Pipe Culvert",D192="Subsoil Drain"),"",ROUND(MAX(1,N(I192))*(1/SG_Criteria!$B$26)*((G192/1000)*(H192/1000*(1-SG_Criteria!$B$25)))*(((G192/1000)*(H192/1000*(1-SG_Criteria!$B$25)))/((G192/1000)+2*(H192/1000*(1-SG_Criteria!$B$25))))^(2/3)*(1/Design_Selector!$B$11)^0.5,3))</f>
        <v/>
      </c>
      <c r="BD192" s="11" t="str">
        <f aca="false">IF(BC192="","",ROUND(BC192/(MAX(1,N(I192))*G192/1000*(H192/1000*(1-SG_Criteria!$B$25))),2))</f>
        <v/>
      </c>
      <c r="BE192" s="33" t="str">
        <f aca="false">IF(D192="","",IF(LEN(IF(AND(OR(E192="Roadside drain",E192="Entrance culvert"),OR(G192&lt;SG_Criteria!$B$15,H192&lt;SG_Criteria!$B$16)),"FAIL: below PUB min "&amp;SG_Criteria!$B$15&amp;"x"&amp;SG_Criteria!$B$16&amp;" for roadside drain. ","")&amp;IF(AND(E192="Common drain",G192&lt;SG_Criteria!$B$17),"FAIL: common drain W &lt; "&amp;SG_Criteria!$B$17&amp;" mm. ","")&amp;IF(AND(O192&lt;&gt;"",IFERROR(VALUE(MID(O192,2,2)),0)&lt;SG_Criteria!$B$19),"FAIL: grade below C"&amp;SG_Criteria!$B$19&amp;". ","")&amp;IF(AND(P192&lt;&gt;"",P192&lt;SG_Criteria!$B$20),"FAIL: cover &lt; "&amp;SG_Criteria!$B$20&amp;" mm. ","")&amp;IF(AND(F192="Open",H192&gt;SG_Criteria!$B$18),"NOTE: safety railing required (D &gt; "&amp;SG_Criteria!$B$18&amp;" mm). ","")&amp;IF(AND(E192="Entrance culvert",H192&lt;600),"NOTE: check hinged grating rule for culverts &lt; 600 deep (PUB Add. 3). ",""))=0,"OK",IF(AND(OR(E192="Roadside drain",E192="Entrance culvert"),OR(G192&lt;SG_Criteria!$B$15,H192&lt;SG_Criteria!$B$16)),"FAIL: below PUB min "&amp;SG_Criteria!$B$15&amp;"x"&amp;SG_Criteria!$B$16&amp;" for roadside drain. ","")&amp;IF(AND(E192="Common drain",G192&lt;SG_Criteria!$B$17),"FAIL: common drain W &lt; "&amp;SG_Criteria!$B$17&amp;" mm. ","")&amp;IF(AND(O192&lt;&gt;"",IFERROR(VALUE(MID(O192,2,2)),0)&lt;SG_Criteria!$B$19),"FAIL: grade below C"&amp;SG_Criteria!$B$19&amp;". ","")&amp;IF(AND(P192&lt;&gt;"",P192&lt;SG_Criteria!$B$20),"FAIL: cover &lt; "&amp;SG_Criteria!$B$20&amp;" mm. ","")&amp;IF(AND(F192="Open",H192&gt;SG_Criteria!$B$18),"NOTE: safety railing required (D &gt; "&amp;SG_Criteria!$B$18&amp;" mm). ","")&amp;IF(AND(E192="Entrance culvert",H192&lt;600),"NOTE: check hinged grating rule for culverts &lt; 600 deep (PUB Add. 3). ","")))</f>
        <v/>
      </c>
      <c r="BF192" s="9"/>
      <c r="BG192" s="9"/>
      <c r="BH192" s="9"/>
      <c r="BI192" s="10" t="str">
        <f aca="false">IF(BH192="","",IFERROR(VLOOKUP(BH192,Projects!$A$5:$D$504,2,0),"Ref not in Projects"))</f>
        <v/>
      </c>
      <c r="BJ192" s="10" t="str">
        <f aca="false">IF(BH192="","",IFERROR(VLOOKUP(BH192,Projects!$A$5:$D$504,4,0),"Ref not in Projects"))</f>
        <v/>
      </c>
      <c r="BK192" s="9"/>
      <c r="BL192" s="9"/>
      <c r="BM192" s="9"/>
      <c r="BN192" s="40"/>
      <c r="BO192" s="9"/>
      <c r="BP192" s="40"/>
      <c r="BQ192" s="9"/>
      <c r="BR192" s="40"/>
      <c r="BS192" s="9"/>
      <c r="BT192" s="9"/>
      <c r="BU192" s="9"/>
      <c r="BV192" s="40"/>
      <c r="BW192" s="40"/>
      <c r="BX192" s="36" t="str">
        <f aca="false">IF(BW192="","",EDATE(BW192,SG_Criteria!$B$54*12))</f>
        <v/>
      </c>
      <c r="BY192" s="33" t="str">
        <f aca="true">IF(A192="","",IF(BW192="","NOTE: not reviewed yet",IF(TODAY()&gt;BX192,"NOTE: review overdue","OK")))</f>
        <v/>
      </c>
      <c r="BZ192" s="37" t="str">
        <f aca="false">IF(A192="","",ROUND((IF(LEN(D192)&gt;0,1,0)+IF(LEN(E192)&gt;0,1,0)+IF(LEN(F192)&gt;0,1,0)+IF(LEN(G192)&gt;0,1,0)+IF(LEN(H192)&gt;0,1,0)+IF(LEN(J192)&gt;0,1,0)+IF(LEN(K192)&gt;0,1,0)+IF(LEN(M192)&gt;0,1,0)+IF(LEN(O192)&gt;0,1,0)+IF(LEN(P192)&gt;0,1,0)+IF(LEN(Q192)&gt;0,1,0)+IF(LEN(S192)&gt;0,1,0)+IF(LEN(AC192)&gt;0,1,0)+IF(LEN(AV192)&gt;0,1,0)+IF(LEN(AW192)&gt;0,1,0)+IF(LEN(AG192)&gt;0,1,0)+IF(LEN(AI192)&gt;0,1,0)+IF(LEN(AJ192)&gt;0,1,0)+IF(LEN(AK192)&gt;0,1,0)+IF(LEN(AL192)&gt;0,1,0)+IF(LEN(AU192)&gt;0,1,0)+IF(LEN(BH192)&gt;0,1,0)+IF(LEN(BU192)&gt;0,1,0))/23,2))</f>
        <v/>
      </c>
      <c r="CA192" s="10" t="str">
        <f aca="false">IF(D192="","",IF(AND(AJ192="Approved",ISERROR(SEARCH("FAIL",BE192))),"Y","N"))</f>
        <v/>
      </c>
      <c r="CB192" s="10" t="str">
        <f aca="false">IF(D192="","",D192&amp;"|"&amp;G192&amp;"|"&amp;H192&amp;"|"&amp;M192&amp;"|"&amp;CA192)</f>
        <v/>
      </c>
    </row>
    <row r="193" customFormat="false" ht="15" hidden="false" customHeight="false" outlineLevel="0" collapsed="false">
      <c r="A193" s="10" t="str">
        <f aca="false">IF(D193="","","DRN-"&amp;IFERROR(VLOOKUP(D193,Lists!$A$4:$B$27,2,0),"??")&amp;"-"&amp;TEXT(G193,"0000")&amp;"x"&amp;TEXT(H193,"0000")&amp;IF(N(I193)&gt;1,"-"&amp;I193&amp;"C","")&amp;"-"&amp;IFERROR(VLOOKUP(M193,Lists!$J$4:$K$19,2,0),"??")&amp;"-"&amp;AI193)</f>
        <v/>
      </c>
      <c r="B193" s="10" t="str">
        <f aca="false">IF(D193="","",D193&amp;" "&amp;G193&amp;"W x "&amp;H193&amp;"D"&amp;IF(N(I193)&gt;1," ("&amp;I193&amp;" cells)","")&amp;", "&amp;E193&amp;", "&amp;M193&amp;", "&amp;F193)</f>
        <v/>
      </c>
      <c r="C193" s="9"/>
      <c r="D193" s="9"/>
      <c r="E193" s="9"/>
      <c r="F193" s="9"/>
      <c r="G193" s="38"/>
      <c r="H193" s="38"/>
      <c r="I193" s="38"/>
      <c r="J193" s="38"/>
      <c r="K193" s="38"/>
      <c r="L193" s="38"/>
      <c r="M193" s="9"/>
      <c r="N193" s="9"/>
      <c r="O193" s="9"/>
      <c r="P193" s="38"/>
      <c r="Q193" s="9"/>
      <c r="R193" s="9"/>
      <c r="S193" s="9"/>
      <c r="T193" s="9"/>
      <c r="U193" s="9"/>
      <c r="V193" s="9"/>
      <c r="W193" s="9"/>
      <c r="X193" s="9"/>
      <c r="Y193" s="9"/>
      <c r="Z193" s="9"/>
      <c r="AA193" s="9"/>
      <c r="AB193" s="39"/>
      <c r="AC193" s="9"/>
      <c r="AD193" s="38"/>
      <c r="AE193" s="9"/>
      <c r="AF193" s="39"/>
      <c r="AG193" s="9"/>
      <c r="AH193" s="9"/>
      <c r="AI193" s="9"/>
      <c r="AJ193" s="9"/>
      <c r="AK193" s="9"/>
      <c r="AL193" s="9"/>
      <c r="AM193" s="9"/>
      <c r="AN193" s="10" t="str">
        <f aca="false">IF(A193="","",SG_Criteria!$B$6&amp;SG_Criteria!$B$7&amp;"\"&amp;A193&amp;"\")</f>
        <v/>
      </c>
      <c r="AO193" s="10" t="str">
        <f aca="false">IF(A193="","",A193&amp;"_CAD.dwg")</f>
        <v/>
      </c>
      <c r="AP193" s="10" t="str">
        <f aca="false">IF(A193="","",A193&amp;"_DWG.pdf")</f>
        <v/>
      </c>
      <c r="AQ193" s="10" t="str">
        <f aca="false">IF(A193="","",IF(AM193="Y",A193&amp;"_STAAD.std","n/a"))</f>
        <v/>
      </c>
      <c r="AR193" s="10" t="str">
        <f aca="false">IF(A193="","",A193&amp;"_CALC.xlsx")</f>
        <v/>
      </c>
      <c r="AS193" s="10" t="str">
        <f aca="false">IF(A193="","",A193&amp;"_CALC.pdf")</f>
        <v/>
      </c>
      <c r="AT193" s="9"/>
      <c r="AU193" s="9"/>
      <c r="AV193" s="39"/>
      <c r="AW193" s="39"/>
      <c r="AX193" s="39"/>
      <c r="AY193" s="39"/>
      <c r="AZ193" s="39"/>
      <c r="BA193" s="12" t="str">
        <f aca="false">IF(A193="","",IF(COUNTIF(Rebar_Schedule!$A$5:$A$2004,A193)=0,"",ROUND(SUMIF(Rebar_Schedule!$A$5:$A$2004,A193,Rebar_Schedule!$K$5:$K$2004),1)))</f>
        <v/>
      </c>
      <c r="BB193" s="33" t="str">
        <f aca="false">IF(A193="","",IF(BA193="","No rebar schedule yet",IF(ABS(BA193-N(AW193))/MAX(N(AW193),1)&gt;SG_Criteria!$B$55,"NOTE: register rebar differs from schedule by "&amp;TEXT(ABS(BA193-N(AW193))/MAX(N(AW193),1),"0%"),"OK")))</f>
        <v/>
      </c>
      <c r="BC193" s="34" t="str">
        <f aca="false">IF(OR(D193="",G193="",H193="",D193="Sump",D193="Drop Inlet Chamber",D193="Silt Trap",D193="Pipe Culvert",D193="Subsoil Drain"),"",ROUND(MAX(1,N(I193))*(1/SG_Criteria!$B$26)*((G193/1000)*(H193/1000*(1-SG_Criteria!$B$25)))*(((G193/1000)*(H193/1000*(1-SG_Criteria!$B$25)))/((G193/1000)+2*(H193/1000*(1-SG_Criteria!$B$25))))^(2/3)*(1/Design_Selector!$B$11)^0.5,3))</f>
        <v/>
      </c>
      <c r="BD193" s="11" t="str">
        <f aca="false">IF(BC193="","",ROUND(BC193/(MAX(1,N(I193))*G193/1000*(H193/1000*(1-SG_Criteria!$B$25))),2))</f>
        <v/>
      </c>
      <c r="BE193" s="33" t="str">
        <f aca="false">IF(D193="","",IF(LEN(IF(AND(OR(E193="Roadside drain",E193="Entrance culvert"),OR(G193&lt;SG_Criteria!$B$15,H193&lt;SG_Criteria!$B$16)),"FAIL: below PUB min "&amp;SG_Criteria!$B$15&amp;"x"&amp;SG_Criteria!$B$16&amp;" for roadside drain. ","")&amp;IF(AND(E193="Common drain",G193&lt;SG_Criteria!$B$17),"FAIL: common drain W &lt; "&amp;SG_Criteria!$B$17&amp;" mm. ","")&amp;IF(AND(O193&lt;&gt;"",IFERROR(VALUE(MID(O193,2,2)),0)&lt;SG_Criteria!$B$19),"FAIL: grade below C"&amp;SG_Criteria!$B$19&amp;". ","")&amp;IF(AND(P193&lt;&gt;"",P193&lt;SG_Criteria!$B$20),"FAIL: cover &lt; "&amp;SG_Criteria!$B$20&amp;" mm. ","")&amp;IF(AND(F193="Open",H193&gt;SG_Criteria!$B$18),"NOTE: safety railing required (D &gt; "&amp;SG_Criteria!$B$18&amp;" mm). ","")&amp;IF(AND(E193="Entrance culvert",H193&lt;600),"NOTE: check hinged grating rule for culverts &lt; 600 deep (PUB Add. 3). ",""))=0,"OK",IF(AND(OR(E193="Roadside drain",E193="Entrance culvert"),OR(G193&lt;SG_Criteria!$B$15,H193&lt;SG_Criteria!$B$16)),"FAIL: below PUB min "&amp;SG_Criteria!$B$15&amp;"x"&amp;SG_Criteria!$B$16&amp;" for roadside drain. ","")&amp;IF(AND(E193="Common drain",G193&lt;SG_Criteria!$B$17),"FAIL: common drain W &lt; "&amp;SG_Criteria!$B$17&amp;" mm. ","")&amp;IF(AND(O193&lt;&gt;"",IFERROR(VALUE(MID(O193,2,2)),0)&lt;SG_Criteria!$B$19),"FAIL: grade below C"&amp;SG_Criteria!$B$19&amp;". ","")&amp;IF(AND(P193&lt;&gt;"",P193&lt;SG_Criteria!$B$20),"FAIL: cover &lt; "&amp;SG_Criteria!$B$20&amp;" mm. ","")&amp;IF(AND(F193="Open",H193&gt;SG_Criteria!$B$18),"NOTE: safety railing required (D &gt; "&amp;SG_Criteria!$B$18&amp;" mm). ","")&amp;IF(AND(E193="Entrance culvert",H193&lt;600),"NOTE: check hinged grating rule for culverts &lt; 600 deep (PUB Add. 3). ","")))</f>
        <v/>
      </c>
      <c r="BF193" s="9"/>
      <c r="BG193" s="9"/>
      <c r="BH193" s="9"/>
      <c r="BI193" s="10" t="str">
        <f aca="false">IF(BH193="","",IFERROR(VLOOKUP(BH193,Projects!$A$5:$D$504,2,0),"Ref not in Projects"))</f>
        <v/>
      </c>
      <c r="BJ193" s="10" t="str">
        <f aca="false">IF(BH193="","",IFERROR(VLOOKUP(BH193,Projects!$A$5:$D$504,4,0),"Ref not in Projects"))</f>
        <v/>
      </c>
      <c r="BK193" s="9"/>
      <c r="BL193" s="9"/>
      <c r="BM193" s="9"/>
      <c r="BN193" s="40"/>
      <c r="BO193" s="9"/>
      <c r="BP193" s="40"/>
      <c r="BQ193" s="9"/>
      <c r="BR193" s="40"/>
      <c r="BS193" s="9"/>
      <c r="BT193" s="9"/>
      <c r="BU193" s="9"/>
      <c r="BV193" s="40"/>
      <c r="BW193" s="40"/>
      <c r="BX193" s="36" t="str">
        <f aca="false">IF(BW193="","",EDATE(BW193,SG_Criteria!$B$54*12))</f>
        <v/>
      </c>
      <c r="BY193" s="33" t="str">
        <f aca="true">IF(A193="","",IF(BW193="","NOTE: not reviewed yet",IF(TODAY()&gt;BX193,"NOTE: review overdue","OK")))</f>
        <v/>
      </c>
      <c r="BZ193" s="37" t="str">
        <f aca="false">IF(A193="","",ROUND((IF(LEN(D193)&gt;0,1,0)+IF(LEN(E193)&gt;0,1,0)+IF(LEN(F193)&gt;0,1,0)+IF(LEN(G193)&gt;0,1,0)+IF(LEN(H193)&gt;0,1,0)+IF(LEN(J193)&gt;0,1,0)+IF(LEN(K193)&gt;0,1,0)+IF(LEN(M193)&gt;0,1,0)+IF(LEN(O193)&gt;0,1,0)+IF(LEN(P193)&gt;0,1,0)+IF(LEN(Q193)&gt;0,1,0)+IF(LEN(S193)&gt;0,1,0)+IF(LEN(AC193)&gt;0,1,0)+IF(LEN(AV193)&gt;0,1,0)+IF(LEN(AW193)&gt;0,1,0)+IF(LEN(AG193)&gt;0,1,0)+IF(LEN(AI193)&gt;0,1,0)+IF(LEN(AJ193)&gt;0,1,0)+IF(LEN(AK193)&gt;0,1,0)+IF(LEN(AL193)&gt;0,1,0)+IF(LEN(AU193)&gt;0,1,0)+IF(LEN(BH193)&gt;0,1,0)+IF(LEN(BU193)&gt;0,1,0))/23,2))</f>
        <v/>
      </c>
      <c r="CA193" s="10" t="str">
        <f aca="false">IF(D193="","",IF(AND(AJ193="Approved",ISERROR(SEARCH("FAIL",BE193))),"Y","N"))</f>
        <v/>
      </c>
      <c r="CB193" s="10" t="str">
        <f aca="false">IF(D193="","",D193&amp;"|"&amp;G193&amp;"|"&amp;H193&amp;"|"&amp;M193&amp;"|"&amp;CA193)</f>
        <v/>
      </c>
    </row>
    <row r="194" customFormat="false" ht="15" hidden="false" customHeight="false" outlineLevel="0" collapsed="false">
      <c r="A194" s="10" t="str">
        <f aca="false">IF(D194="","","DRN-"&amp;IFERROR(VLOOKUP(D194,Lists!$A$4:$B$27,2,0),"??")&amp;"-"&amp;TEXT(G194,"0000")&amp;"x"&amp;TEXT(H194,"0000")&amp;IF(N(I194)&gt;1,"-"&amp;I194&amp;"C","")&amp;"-"&amp;IFERROR(VLOOKUP(M194,Lists!$J$4:$K$19,2,0),"??")&amp;"-"&amp;AI194)</f>
        <v/>
      </c>
      <c r="B194" s="10" t="str">
        <f aca="false">IF(D194="","",D194&amp;" "&amp;G194&amp;"W x "&amp;H194&amp;"D"&amp;IF(N(I194)&gt;1," ("&amp;I194&amp;" cells)","")&amp;", "&amp;E194&amp;", "&amp;M194&amp;", "&amp;F194)</f>
        <v/>
      </c>
      <c r="C194" s="9"/>
      <c r="D194" s="9"/>
      <c r="E194" s="9"/>
      <c r="F194" s="9"/>
      <c r="G194" s="38"/>
      <c r="H194" s="38"/>
      <c r="I194" s="38"/>
      <c r="J194" s="38"/>
      <c r="K194" s="38"/>
      <c r="L194" s="38"/>
      <c r="M194" s="9"/>
      <c r="N194" s="9"/>
      <c r="O194" s="9"/>
      <c r="P194" s="38"/>
      <c r="Q194" s="9"/>
      <c r="R194" s="9"/>
      <c r="S194" s="9"/>
      <c r="T194" s="9"/>
      <c r="U194" s="9"/>
      <c r="V194" s="9"/>
      <c r="W194" s="9"/>
      <c r="X194" s="9"/>
      <c r="Y194" s="9"/>
      <c r="Z194" s="9"/>
      <c r="AA194" s="9"/>
      <c r="AB194" s="39"/>
      <c r="AC194" s="9"/>
      <c r="AD194" s="38"/>
      <c r="AE194" s="9"/>
      <c r="AF194" s="39"/>
      <c r="AG194" s="9"/>
      <c r="AH194" s="9"/>
      <c r="AI194" s="9"/>
      <c r="AJ194" s="9"/>
      <c r="AK194" s="9"/>
      <c r="AL194" s="9"/>
      <c r="AM194" s="9"/>
      <c r="AN194" s="10" t="str">
        <f aca="false">IF(A194="","",SG_Criteria!$B$6&amp;SG_Criteria!$B$7&amp;"\"&amp;A194&amp;"\")</f>
        <v/>
      </c>
      <c r="AO194" s="10" t="str">
        <f aca="false">IF(A194="","",A194&amp;"_CAD.dwg")</f>
        <v/>
      </c>
      <c r="AP194" s="10" t="str">
        <f aca="false">IF(A194="","",A194&amp;"_DWG.pdf")</f>
        <v/>
      </c>
      <c r="AQ194" s="10" t="str">
        <f aca="false">IF(A194="","",IF(AM194="Y",A194&amp;"_STAAD.std","n/a"))</f>
        <v/>
      </c>
      <c r="AR194" s="10" t="str">
        <f aca="false">IF(A194="","",A194&amp;"_CALC.xlsx")</f>
        <v/>
      </c>
      <c r="AS194" s="10" t="str">
        <f aca="false">IF(A194="","",A194&amp;"_CALC.pdf")</f>
        <v/>
      </c>
      <c r="AT194" s="9"/>
      <c r="AU194" s="9"/>
      <c r="AV194" s="39"/>
      <c r="AW194" s="39"/>
      <c r="AX194" s="39"/>
      <c r="AY194" s="39"/>
      <c r="AZ194" s="39"/>
      <c r="BA194" s="12" t="str">
        <f aca="false">IF(A194="","",IF(COUNTIF(Rebar_Schedule!$A$5:$A$2004,A194)=0,"",ROUND(SUMIF(Rebar_Schedule!$A$5:$A$2004,A194,Rebar_Schedule!$K$5:$K$2004),1)))</f>
        <v/>
      </c>
      <c r="BB194" s="33" t="str">
        <f aca="false">IF(A194="","",IF(BA194="","No rebar schedule yet",IF(ABS(BA194-N(AW194))/MAX(N(AW194),1)&gt;SG_Criteria!$B$55,"NOTE: register rebar differs from schedule by "&amp;TEXT(ABS(BA194-N(AW194))/MAX(N(AW194),1),"0%"),"OK")))</f>
        <v/>
      </c>
      <c r="BC194" s="34" t="str">
        <f aca="false">IF(OR(D194="",G194="",H194="",D194="Sump",D194="Drop Inlet Chamber",D194="Silt Trap",D194="Pipe Culvert",D194="Subsoil Drain"),"",ROUND(MAX(1,N(I194))*(1/SG_Criteria!$B$26)*((G194/1000)*(H194/1000*(1-SG_Criteria!$B$25)))*(((G194/1000)*(H194/1000*(1-SG_Criteria!$B$25)))/((G194/1000)+2*(H194/1000*(1-SG_Criteria!$B$25))))^(2/3)*(1/Design_Selector!$B$11)^0.5,3))</f>
        <v/>
      </c>
      <c r="BD194" s="11" t="str">
        <f aca="false">IF(BC194="","",ROUND(BC194/(MAX(1,N(I194))*G194/1000*(H194/1000*(1-SG_Criteria!$B$25))),2))</f>
        <v/>
      </c>
      <c r="BE194" s="33" t="str">
        <f aca="false">IF(D194="","",IF(LEN(IF(AND(OR(E194="Roadside drain",E194="Entrance culvert"),OR(G194&lt;SG_Criteria!$B$15,H194&lt;SG_Criteria!$B$16)),"FAIL: below PUB min "&amp;SG_Criteria!$B$15&amp;"x"&amp;SG_Criteria!$B$16&amp;" for roadside drain. ","")&amp;IF(AND(E194="Common drain",G194&lt;SG_Criteria!$B$17),"FAIL: common drain W &lt; "&amp;SG_Criteria!$B$17&amp;" mm. ","")&amp;IF(AND(O194&lt;&gt;"",IFERROR(VALUE(MID(O194,2,2)),0)&lt;SG_Criteria!$B$19),"FAIL: grade below C"&amp;SG_Criteria!$B$19&amp;". ","")&amp;IF(AND(P194&lt;&gt;"",P194&lt;SG_Criteria!$B$20),"FAIL: cover &lt; "&amp;SG_Criteria!$B$20&amp;" mm. ","")&amp;IF(AND(F194="Open",H194&gt;SG_Criteria!$B$18),"NOTE: safety railing required (D &gt; "&amp;SG_Criteria!$B$18&amp;" mm). ","")&amp;IF(AND(E194="Entrance culvert",H194&lt;600),"NOTE: check hinged grating rule for culverts &lt; 600 deep (PUB Add. 3). ",""))=0,"OK",IF(AND(OR(E194="Roadside drain",E194="Entrance culvert"),OR(G194&lt;SG_Criteria!$B$15,H194&lt;SG_Criteria!$B$16)),"FAIL: below PUB min "&amp;SG_Criteria!$B$15&amp;"x"&amp;SG_Criteria!$B$16&amp;" for roadside drain. ","")&amp;IF(AND(E194="Common drain",G194&lt;SG_Criteria!$B$17),"FAIL: common drain W &lt; "&amp;SG_Criteria!$B$17&amp;" mm. ","")&amp;IF(AND(O194&lt;&gt;"",IFERROR(VALUE(MID(O194,2,2)),0)&lt;SG_Criteria!$B$19),"FAIL: grade below C"&amp;SG_Criteria!$B$19&amp;". ","")&amp;IF(AND(P194&lt;&gt;"",P194&lt;SG_Criteria!$B$20),"FAIL: cover &lt; "&amp;SG_Criteria!$B$20&amp;" mm. ","")&amp;IF(AND(F194="Open",H194&gt;SG_Criteria!$B$18),"NOTE: safety railing required (D &gt; "&amp;SG_Criteria!$B$18&amp;" mm). ","")&amp;IF(AND(E194="Entrance culvert",H194&lt;600),"NOTE: check hinged grating rule for culverts &lt; 600 deep (PUB Add. 3). ","")))</f>
        <v/>
      </c>
      <c r="BF194" s="9"/>
      <c r="BG194" s="9"/>
      <c r="BH194" s="9"/>
      <c r="BI194" s="10" t="str">
        <f aca="false">IF(BH194="","",IFERROR(VLOOKUP(BH194,Projects!$A$5:$D$504,2,0),"Ref not in Projects"))</f>
        <v/>
      </c>
      <c r="BJ194" s="10" t="str">
        <f aca="false">IF(BH194="","",IFERROR(VLOOKUP(BH194,Projects!$A$5:$D$504,4,0),"Ref not in Projects"))</f>
        <v/>
      </c>
      <c r="BK194" s="9"/>
      <c r="BL194" s="9"/>
      <c r="BM194" s="9"/>
      <c r="BN194" s="40"/>
      <c r="BO194" s="9"/>
      <c r="BP194" s="40"/>
      <c r="BQ194" s="9"/>
      <c r="BR194" s="40"/>
      <c r="BS194" s="9"/>
      <c r="BT194" s="9"/>
      <c r="BU194" s="9"/>
      <c r="BV194" s="40"/>
      <c r="BW194" s="40"/>
      <c r="BX194" s="36" t="str">
        <f aca="false">IF(BW194="","",EDATE(BW194,SG_Criteria!$B$54*12))</f>
        <v/>
      </c>
      <c r="BY194" s="33" t="str">
        <f aca="true">IF(A194="","",IF(BW194="","NOTE: not reviewed yet",IF(TODAY()&gt;BX194,"NOTE: review overdue","OK")))</f>
        <v/>
      </c>
      <c r="BZ194" s="37" t="str">
        <f aca="false">IF(A194="","",ROUND((IF(LEN(D194)&gt;0,1,0)+IF(LEN(E194)&gt;0,1,0)+IF(LEN(F194)&gt;0,1,0)+IF(LEN(G194)&gt;0,1,0)+IF(LEN(H194)&gt;0,1,0)+IF(LEN(J194)&gt;0,1,0)+IF(LEN(K194)&gt;0,1,0)+IF(LEN(M194)&gt;0,1,0)+IF(LEN(O194)&gt;0,1,0)+IF(LEN(P194)&gt;0,1,0)+IF(LEN(Q194)&gt;0,1,0)+IF(LEN(S194)&gt;0,1,0)+IF(LEN(AC194)&gt;0,1,0)+IF(LEN(AV194)&gt;0,1,0)+IF(LEN(AW194)&gt;0,1,0)+IF(LEN(AG194)&gt;0,1,0)+IF(LEN(AI194)&gt;0,1,0)+IF(LEN(AJ194)&gt;0,1,0)+IF(LEN(AK194)&gt;0,1,0)+IF(LEN(AL194)&gt;0,1,0)+IF(LEN(AU194)&gt;0,1,0)+IF(LEN(BH194)&gt;0,1,0)+IF(LEN(BU194)&gt;0,1,0))/23,2))</f>
        <v/>
      </c>
      <c r="CA194" s="10" t="str">
        <f aca="false">IF(D194="","",IF(AND(AJ194="Approved",ISERROR(SEARCH("FAIL",BE194))),"Y","N"))</f>
        <v/>
      </c>
      <c r="CB194" s="10" t="str">
        <f aca="false">IF(D194="","",D194&amp;"|"&amp;G194&amp;"|"&amp;H194&amp;"|"&amp;M194&amp;"|"&amp;CA194)</f>
        <v/>
      </c>
    </row>
    <row r="195" customFormat="false" ht="15" hidden="false" customHeight="false" outlineLevel="0" collapsed="false">
      <c r="A195" s="10" t="str">
        <f aca="false">IF(D195="","","DRN-"&amp;IFERROR(VLOOKUP(D195,Lists!$A$4:$B$27,2,0),"??")&amp;"-"&amp;TEXT(G195,"0000")&amp;"x"&amp;TEXT(H195,"0000")&amp;IF(N(I195)&gt;1,"-"&amp;I195&amp;"C","")&amp;"-"&amp;IFERROR(VLOOKUP(M195,Lists!$J$4:$K$19,2,0),"??")&amp;"-"&amp;AI195)</f>
        <v/>
      </c>
      <c r="B195" s="10" t="str">
        <f aca="false">IF(D195="","",D195&amp;" "&amp;G195&amp;"W x "&amp;H195&amp;"D"&amp;IF(N(I195)&gt;1," ("&amp;I195&amp;" cells)","")&amp;", "&amp;E195&amp;", "&amp;M195&amp;", "&amp;F195)</f>
        <v/>
      </c>
      <c r="C195" s="9"/>
      <c r="D195" s="9"/>
      <c r="E195" s="9"/>
      <c r="F195" s="9"/>
      <c r="G195" s="38"/>
      <c r="H195" s="38"/>
      <c r="I195" s="38"/>
      <c r="J195" s="38"/>
      <c r="K195" s="38"/>
      <c r="L195" s="38"/>
      <c r="M195" s="9"/>
      <c r="N195" s="9"/>
      <c r="O195" s="9"/>
      <c r="P195" s="38"/>
      <c r="Q195" s="9"/>
      <c r="R195" s="9"/>
      <c r="S195" s="9"/>
      <c r="T195" s="9"/>
      <c r="U195" s="9"/>
      <c r="V195" s="9"/>
      <c r="W195" s="9"/>
      <c r="X195" s="9"/>
      <c r="Y195" s="9"/>
      <c r="Z195" s="9"/>
      <c r="AA195" s="9"/>
      <c r="AB195" s="39"/>
      <c r="AC195" s="9"/>
      <c r="AD195" s="38"/>
      <c r="AE195" s="9"/>
      <c r="AF195" s="39"/>
      <c r="AG195" s="9"/>
      <c r="AH195" s="9"/>
      <c r="AI195" s="9"/>
      <c r="AJ195" s="9"/>
      <c r="AK195" s="9"/>
      <c r="AL195" s="9"/>
      <c r="AM195" s="9"/>
      <c r="AN195" s="10" t="str">
        <f aca="false">IF(A195="","",SG_Criteria!$B$6&amp;SG_Criteria!$B$7&amp;"\"&amp;A195&amp;"\")</f>
        <v/>
      </c>
      <c r="AO195" s="10" t="str">
        <f aca="false">IF(A195="","",A195&amp;"_CAD.dwg")</f>
        <v/>
      </c>
      <c r="AP195" s="10" t="str">
        <f aca="false">IF(A195="","",A195&amp;"_DWG.pdf")</f>
        <v/>
      </c>
      <c r="AQ195" s="10" t="str">
        <f aca="false">IF(A195="","",IF(AM195="Y",A195&amp;"_STAAD.std","n/a"))</f>
        <v/>
      </c>
      <c r="AR195" s="10" t="str">
        <f aca="false">IF(A195="","",A195&amp;"_CALC.xlsx")</f>
        <v/>
      </c>
      <c r="AS195" s="10" t="str">
        <f aca="false">IF(A195="","",A195&amp;"_CALC.pdf")</f>
        <v/>
      </c>
      <c r="AT195" s="9"/>
      <c r="AU195" s="9"/>
      <c r="AV195" s="39"/>
      <c r="AW195" s="39"/>
      <c r="AX195" s="39"/>
      <c r="AY195" s="39"/>
      <c r="AZ195" s="39"/>
      <c r="BA195" s="12" t="str">
        <f aca="false">IF(A195="","",IF(COUNTIF(Rebar_Schedule!$A$5:$A$2004,A195)=0,"",ROUND(SUMIF(Rebar_Schedule!$A$5:$A$2004,A195,Rebar_Schedule!$K$5:$K$2004),1)))</f>
        <v/>
      </c>
      <c r="BB195" s="33" t="str">
        <f aca="false">IF(A195="","",IF(BA195="","No rebar schedule yet",IF(ABS(BA195-N(AW195))/MAX(N(AW195),1)&gt;SG_Criteria!$B$55,"NOTE: register rebar differs from schedule by "&amp;TEXT(ABS(BA195-N(AW195))/MAX(N(AW195),1),"0%"),"OK")))</f>
        <v/>
      </c>
      <c r="BC195" s="34" t="str">
        <f aca="false">IF(OR(D195="",G195="",H195="",D195="Sump",D195="Drop Inlet Chamber",D195="Silt Trap",D195="Pipe Culvert",D195="Subsoil Drain"),"",ROUND(MAX(1,N(I195))*(1/SG_Criteria!$B$26)*((G195/1000)*(H195/1000*(1-SG_Criteria!$B$25)))*(((G195/1000)*(H195/1000*(1-SG_Criteria!$B$25)))/((G195/1000)+2*(H195/1000*(1-SG_Criteria!$B$25))))^(2/3)*(1/Design_Selector!$B$11)^0.5,3))</f>
        <v/>
      </c>
      <c r="BD195" s="11" t="str">
        <f aca="false">IF(BC195="","",ROUND(BC195/(MAX(1,N(I195))*G195/1000*(H195/1000*(1-SG_Criteria!$B$25))),2))</f>
        <v/>
      </c>
      <c r="BE195" s="33" t="str">
        <f aca="false">IF(D195="","",IF(LEN(IF(AND(OR(E195="Roadside drain",E195="Entrance culvert"),OR(G195&lt;SG_Criteria!$B$15,H195&lt;SG_Criteria!$B$16)),"FAIL: below PUB min "&amp;SG_Criteria!$B$15&amp;"x"&amp;SG_Criteria!$B$16&amp;" for roadside drain. ","")&amp;IF(AND(E195="Common drain",G195&lt;SG_Criteria!$B$17),"FAIL: common drain W &lt; "&amp;SG_Criteria!$B$17&amp;" mm. ","")&amp;IF(AND(O195&lt;&gt;"",IFERROR(VALUE(MID(O195,2,2)),0)&lt;SG_Criteria!$B$19),"FAIL: grade below C"&amp;SG_Criteria!$B$19&amp;". ","")&amp;IF(AND(P195&lt;&gt;"",P195&lt;SG_Criteria!$B$20),"FAIL: cover &lt; "&amp;SG_Criteria!$B$20&amp;" mm. ","")&amp;IF(AND(F195="Open",H195&gt;SG_Criteria!$B$18),"NOTE: safety railing required (D &gt; "&amp;SG_Criteria!$B$18&amp;" mm). ","")&amp;IF(AND(E195="Entrance culvert",H195&lt;600),"NOTE: check hinged grating rule for culverts &lt; 600 deep (PUB Add. 3). ",""))=0,"OK",IF(AND(OR(E195="Roadside drain",E195="Entrance culvert"),OR(G195&lt;SG_Criteria!$B$15,H195&lt;SG_Criteria!$B$16)),"FAIL: below PUB min "&amp;SG_Criteria!$B$15&amp;"x"&amp;SG_Criteria!$B$16&amp;" for roadside drain. ","")&amp;IF(AND(E195="Common drain",G195&lt;SG_Criteria!$B$17),"FAIL: common drain W &lt; "&amp;SG_Criteria!$B$17&amp;" mm. ","")&amp;IF(AND(O195&lt;&gt;"",IFERROR(VALUE(MID(O195,2,2)),0)&lt;SG_Criteria!$B$19),"FAIL: grade below C"&amp;SG_Criteria!$B$19&amp;". ","")&amp;IF(AND(P195&lt;&gt;"",P195&lt;SG_Criteria!$B$20),"FAIL: cover &lt; "&amp;SG_Criteria!$B$20&amp;" mm. ","")&amp;IF(AND(F195="Open",H195&gt;SG_Criteria!$B$18),"NOTE: safety railing required (D &gt; "&amp;SG_Criteria!$B$18&amp;" mm). ","")&amp;IF(AND(E195="Entrance culvert",H195&lt;600),"NOTE: check hinged grating rule for culverts &lt; 600 deep (PUB Add. 3). ","")))</f>
        <v/>
      </c>
      <c r="BF195" s="9"/>
      <c r="BG195" s="9"/>
      <c r="BH195" s="9"/>
      <c r="BI195" s="10" t="str">
        <f aca="false">IF(BH195="","",IFERROR(VLOOKUP(BH195,Projects!$A$5:$D$504,2,0),"Ref not in Projects"))</f>
        <v/>
      </c>
      <c r="BJ195" s="10" t="str">
        <f aca="false">IF(BH195="","",IFERROR(VLOOKUP(BH195,Projects!$A$5:$D$504,4,0),"Ref not in Projects"))</f>
        <v/>
      </c>
      <c r="BK195" s="9"/>
      <c r="BL195" s="9"/>
      <c r="BM195" s="9"/>
      <c r="BN195" s="40"/>
      <c r="BO195" s="9"/>
      <c r="BP195" s="40"/>
      <c r="BQ195" s="9"/>
      <c r="BR195" s="40"/>
      <c r="BS195" s="9"/>
      <c r="BT195" s="9"/>
      <c r="BU195" s="9"/>
      <c r="BV195" s="40"/>
      <c r="BW195" s="40"/>
      <c r="BX195" s="36" t="str">
        <f aca="false">IF(BW195="","",EDATE(BW195,SG_Criteria!$B$54*12))</f>
        <v/>
      </c>
      <c r="BY195" s="33" t="str">
        <f aca="true">IF(A195="","",IF(BW195="","NOTE: not reviewed yet",IF(TODAY()&gt;BX195,"NOTE: review overdue","OK")))</f>
        <v/>
      </c>
      <c r="BZ195" s="37" t="str">
        <f aca="false">IF(A195="","",ROUND((IF(LEN(D195)&gt;0,1,0)+IF(LEN(E195)&gt;0,1,0)+IF(LEN(F195)&gt;0,1,0)+IF(LEN(G195)&gt;0,1,0)+IF(LEN(H195)&gt;0,1,0)+IF(LEN(J195)&gt;0,1,0)+IF(LEN(K195)&gt;0,1,0)+IF(LEN(M195)&gt;0,1,0)+IF(LEN(O195)&gt;0,1,0)+IF(LEN(P195)&gt;0,1,0)+IF(LEN(Q195)&gt;0,1,0)+IF(LEN(S195)&gt;0,1,0)+IF(LEN(AC195)&gt;0,1,0)+IF(LEN(AV195)&gt;0,1,0)+IF(LEN(AW195)&gt;0,1,0)+IF(LEN(AG195)&gt;0,1,0)+IF(LEN(AI195)&gt;0,1,0)+IF(LEN(AJ195)&gt;0,1,0)+IF(LEN(AK195)&gt;0,1,0)+IF(LEN(AL195)&gt;0,1,0)+IF(LEN(AU195)&gt;0,1,0)+IF(LEN(BH195)&gt;0,1,0)+IF(LEN(BU195)&gt;0,1,0))/23,2))</f>
        <v/>
      </c>
      <c r="CA195" s="10" t="str">
        <f aca="false">IF(D195="","",IF(AND(AJ195="Approved",ISERROR(SEARCH("FAIL",BE195))),"Y","N"))</f>
        <v/>
      </c>
      <c r="CB195" s="10" t="str">
        <f aca="false">IF(D195="","",D195&amp;"|"&amp;G195&amp;"|"&amp;H195&amp;"|"&amp;M195&amp;"|"&amp;CA195)</f>
        <v/>
      </c>
    </row>
    <row r="196" customFormat="false" ht="15" hidden="false" customHeight="false" outlineLevel="0" collapsed="false">
      <c r="A196" s="10" t="str">
        <f aca="false">IF(D196="","","DRN-"&amp;IFERROR(VLOOKUP(D196,Lists!$A$4:$B$27,2,0),"??")&amp;"-"&amp;TEXT(G196,"0000")&amp;"x"&amp;TEXT(H196,"0000")&amp;IF(N(I196)&gt;1,"-"&amp;I196&amp;"C","")&amp;"-"&amp;IFERROR(VLOOKUP(M196,Lists!$J$4:$K$19,2,0),"??")&amp;"-"&amp;AI196)</f>
        <v/>
      </c>
      <c r="B196" s="10" t="str">
        <f aca="false">IF(D196="","",D196&amp;" "&amp;G196&amp;"W x "&amp;H196&amp;"D"&amp;IF(N(I196)&gt;1," ("&amp;I196&amp;" cells)","")&amp;", "&amp;E196&amp;", "&amp;M196&amp;", "&amp;F196)</f>
        <v/>
      </c>
      <c r="C196" s="9"/>
      <c r="D196" s="9"/>
      <c r="E196" s="9"/>
      <c r="F196" s="9"/>
      <c r="G196" s="38"/>
      <c r="H196" s="38"/>
      <c r="I196" s="38"/>
      <c r="J196" s="38"/>
      <c r="K196" s="38"/>
      <c r="L196" s="38"/>
      <c r="M196" s="9"/>
      <c r="N196" s="9"/>
      <c r="O196" s="9"/>
      <c r="P196" s="38"/>
      <c r="Q196" s="9"/>
      <c r="R196" s="9"/>
      <c r="S196" s="9"/>
      <c r="T196" s="9"/>
      <c r="U196" s="9"/>
      <c r="V196" s="9"/>
      <c r="W196" s="9"/>
      <c r="X196" s="9"/>
      <c r="Y196" s="9"/>
      <c r="Z196" s="9"/>
      <c r="AA196" s="9"/>
      <c r="AB196" s="39"/>
      <c r="AC196" s="9"/>
      <c r="AD196" s="38"/>
      <c r="AE196" s="9"/>
      <c r="AF196" s="39"/>
      <c r="AG196" s="9"/>
      <c r="AH196" s="9"/>
      <c r="AI196" s="9"/>
      <c r="AJ196" s="9"/>
      <c r="AK196" s="9"/>
      <c r="AL196" s="9"/>
      <c r="AM196" s="9"/>
      <c r="AN196" s="10" t="str">
        <f aca="false">IF(A196="","",SG_Criteria!$B$6&amp;SG_Criteria!$B$7&amp;"\"&amp;A196&amp;"\")</f>
        <v/>
      </c>
      <c r="AO196" s="10" t="str">
        <f aca="false">IF(A196="","",A196&amp;"_CAD.dwg")</f>
        <v/>
      </c>
      <c r="AP196" s="10" t="str">
        <f aca="false">IF(A196="","",A196&amp;"_DWG.pdf")</f>
        <v/>
      </c>
      <c r="AQ196" s="10" t="str">
        <f aca="false">IF(A196="","",IF(AM196="Y",A196&amp;"_STAAD.std","n/a"))</f>
        <v/>
      </c>
      <c r="AR196" s="10" t="str">
        <f aca="false">IF(A196="","",A196&amp;"_CALC.xlsx")</f>
        <v/>
      </c>
      <c r="AS196" s="10" t="str">
        <f aca="false">IF(A196="","",A196&amp;"_CALC.pdf")</f>
        <v/>
      </c>
      <c r="AT196" s="9"/>
      <c r="AU196" s="9"/>
      <c r="AV196" s="39"/>
      <c r="AW196" s="39"/>
      <c r="AX196" s="39"/>
      <c r="AY196" s="39"/>
      <c r="AZ196" s="39"/>
      <c r="BA196" s="12" t="str">
        <f aca="false">IF(A196="","",IF(COUNTIF(Rebar_Schedule!$A$5:$A$2004,A196)=0,"",ROUND(SUMIF(Rebar_Schedule!$A$5:$A$2004,A196,Rebar_Schedule!$K$5:$K$2004),1)))</f>
        <v/>
      </c>
      <c r="BB196" s="33" t="str">
        <f aca="false">IF(A196="","",IF(BA196="","No rebar schedule yet",IF(ABS(BA196-N(AW196))/MAX(N(AW196),1)&gt;SG_Criteria!$B$55,"NOTE: register rebar differs from schedule by "&amp;TEXT(ABS(BA196-N(AW196))/MAX(N(AW196),1),"0%"),"OK")))</f>
        <v/>
      </c>
      <c r="BC196" s="34" t="str">
        <f aca="false">IF(OR(D196="",G196="",H196="",D196="Sump",D196="Drop Inlet Chamber",D196="Silt Trap",D196="Pipe Culvert",D196="Subsoil Drain"),"",ROUND(MAX(1,N(I196))*(1/SG_Criteria!$B$26)*((G196/1000)*(H196/1000*(1-SG_Criteria!$B$25)))*(((G196/1000)*(H196/1000*(1-SG_Criteria!$B$25)))/((G196/1000)+2*(H196/1000*(1-SG_Criteria!$B$25))))^(2/3)*(1/Design_Selector!$B$11)^0.5,3))</f>
        <v/>
      </c>
      <c r="BD196" s="11" t="str">
        <f aca="false">IF(BC196="","",ROUND(BC196/(MAX(1,N(I196))*G196/1000*(H196/1000*(1-SG_Criteria!$B$25))),2))</f>
        <v/>
      </c>
      <c r="BE196" s="33" t="str">
        <f aca="false">IF(D196="","",IF(LEN(IF(AND(OR(E196="Roadside drain",E196="Entrance culvert"),OR(G196&lt;SG_Criteria!$B$15,H196&lt;SG_Criteria!$B$16)),"FAIL: below PUB min "&amp;SG_Criteria!$B$15&amp;"x"&amp;SG_Criteria!$B$16&amp;" for roadside drain. ","")&amp;IF(AND(E196="Common drain",G196&lt;SG_Criteria!$B$17),"FAIL: common drain W &lt; "&amp;SG_Criteria!$B$17&amp;" mm. ","")&amp;IF(AND(O196&lt;&gt;"",IFERROR(VALUE(MID(O196,2,2)),0)&lt;SG_Criteria!$B$19),"FAIL: grade below C"&amp;SG_Criteria!$B$19&amp;". ","")&amp;IF(AND(P196&lt;&gt;"",P196&lt;SG_Criteria!$B$20),"FAIL: cover &lt; "&amp;SG_Criteria!$B$20&amp;" mm. ","")&amp;IF(AND(F196="Open",H196&gt;SG_Criteria!$B$18),"NOTE: safety railing required (D &gt; "&amp;SG_Criteria!$B$18&amp;" mm). ","")&amp;IF(AND(E196="Entrance culvert",H196&lt;600),"NOTE: check hinged grating rule for culverts &lt; 600 deep (PUB Add. 3). ",""))=0,"OK",IF(AND(OR(E196="Roadside drain",E196="Entrance culvert"),OR(G196&lt;SG_Criteria!$B$15,H196&lt;SG_Criteria!$B$16)),"FAIL: below PUB min "&amp;SG_Criteria!$B$15&amp;"x"&amp;SG_Criteria!$B$16&amp;" for roadside drain. ","")&amp;IF(AND(E196="Common drain",G196&lt;SG_Criteria!$B$17),"FAIL: common drain W &lt; "&amp;SG_Criteria!$B$17&amp;" mm. ","")&amp;IF(AND(O196&lt;&gt;"",IFERROR(VALUE(MID(O196,2,2)),0)&lt;SG_Criteria!$B$19),"FAIL: grade below C"&amp;SG_Criteria!$B$19&amp;". ","")&amp;IF(AND(P196&lt;&gt;"",P196&lt;SG_Criteria!$B$20),"FAIL: cover &lt; "&amp;SG_Criteria!$B$20&amp;" mm. ","")&amp;IF(AND(F196="Open",H196&gt;SG_Criteria!$B$18),"NOTE: safety railing required (D &gt; "&amp;SG_Criteria!$B$18&amp;" mm). ","")&amp;IF(AND(E196="Entrance culvert",H196&lt;600),"NOTE: check hinged grating rule for culverts &lt; 600 deep (PUB Add. 3). ","")))</f>
        <v/>
      </c>
      <c r="BF196" s="9"/>
      <c r="BG196" s="9"/>
      <c r="BH196" s="9"/>
      <c r="BI196" s="10" t="str">
        <f aca="false">IF(BH196="","",IFERROR(VLOOKUP(BH196,Projects!$A$5:$D$504,2,0),"Ref not in Projects"))</f>
        <v/>
      </c>
      <c r="BJ196" s="10" t="str">
        <f aca="false">IF(BH196="","",IFERROR(VLOOKUP(BH196,Projects!$A$5:$D$504,4,0),"Ref not in Projects"))</f>
        <v/>
      </c>
      <c r="BK196" s="9"/>
      <c r="BL196" s="9"/>
      <c r="BM196" s="9"/>
      <c r="BN196" s="40"/>
      <c r="BO196" s="9"/>
      <c r="BP196" s="40"/>
      <c r="BQ196" s="9"/>
      <c r="BR196" s="40"/>
      <c r="BS196" s="9"/>
      <c r="BT196" s="9"/>
      <c r="BU196" s="9"/>
      <c r="BV196" s="40"/>
      <c r="BW196" s="40"/>
      <c r="BX196" s="36" t="str">
        <f aca="false">IF(BW196="","",EDATE(BW196,SG_Criteria!$B$54*12))</f>
        <v/>
      </c>
      <c r="BY196" s="33" t="str">
        <f aca="true">IF(A196="","",IF(BW196="","NOTE: not reviewed yet",IF(TODAY()&gt;BX196,"NOTE: review overdue","OK")))</f>
        <v/>
      </c>
      <c r="BZ196" s="37" t="str">
        <f aca="false">IF(A196="","",ROUND((IF(LEN(D196)&gt;0,1,0)+IF(LEN(E196)&gt;0,1,0)+IF(LEN(F196)&gt;0,1,0)+IF(LEN(G196)&gt;0,1,0)+IF(LEN(H196)&gt;0,1,0)+IF(LEN(J196)&gt;0,1,0)+IF(LEN(K196)&gt;0,1,0)+IF(LEN(M196)&gt;0,1,0)+IF(LEN(O196)&gt;0,1,0)+IF(LEN(P196)&gt;0,1,0)+IF(LEN(Q196)&gt;0,1,0)+IF(LEN(S196)&gt;0,1,0)+IF(LEN(AC196)&gt;0,1,0)+IF(LEN(AV196)&gt;0,1,0)+IF(LEN(AW196)&gt;0,1,0)+IF(LEN(AG196)&gt;0,1,0)+IF(LEN(AI196)&gt;0,1,0)+IF(LEN(AJ196)&gt;0,1,0)+IF(LEN(AK196)&gt;0,1,0)+IF(LEN(AL196)&gt;0,1,0)+IF(LEN(AU196)&gt;0,1,0)+IF(LEN(BH196)&gt;0,1,0)+IF(LEN(BU196)&gt;0,1,0))/23,2))</f>
        <v/>
      </c>
      <c r="CA196" s="10" t="str">
        <f aca="false">IF(D196="","",IF(AND(AJ196="Approved",ISERROR(SEARCH("FAIL",BE196))),"Y","N"))</f>
        <v/>
      </c>
      <c r="CB196" s="10" t="str">
        <f aca="false">IF(D196="","",D196&amp;"|"&amp;G196&amp;"|"&amp;H196&amp;"|"&amp;M196&amp;"|"&amp;CA196)</f>
        <v/>
      </c>
    </row>
    <row r="197" customFormat="false" ht="15" hidden="false" customHeight="false" outlineLevel="0" collapsed="false">
      <c r="A197" s="10" t="str">
        <f aca="false">IF(D197="","","DRN-"&amp;IFERROR(VLOOKUP(D197,Lists!$A$4:$B$27,2,0),"??")&amp;"-"&amp;TEXT(G197,"0000")&amp;"x"&amp;TEXT(H197,"0000")&amp;IF(N(I197)&gt;1,"-"&amp;I197&amp;"C","")&amp;"-"&amp;IFERROR(VLOOKUP(M197,Lists!$J$4:$K$19,2,0),"??")&amp;"-"&amp;AI197)</f>
        <v/>
      </c>
      <c r="B197" s="10" t="str">
        <f aca="false">IF(D197="","",D197&amp;" "&amp;G197&amp;"W x "&amp;H197&amp;"D"&amp;IF(N(I197)&gt;1," ("&amp;I197&amp;" cells)","")&amp;", "&amp;E197&amp;", "&amp;M197&amp;", "&amp;F197)</f>
        <v/>
      </c>
      <c r="C197" s="9"/>
      <c r="D197" s="9"/>
      <c r="E197" s="9"/>
      <c r="F197" s="9"/>
      <c r="G197" s="38"/>
      <c r="H197" s="38"/>
      <c r="I197" s="38"/>
      <c r="J197" s="38"/>
      <c r="K197" s="38"/>
      <c r="L197" s="38"/>
      <c r="M197" s="9"/>
      <c r="N197" s="9"/>
      <c r="O197" s="9"/>
      <c r="P197" s="38"/>
      <c r="Q197" s="9"/>
      <c r="R197" s="9"/>
      <c r="S197" s="9"/>
      <c r="T197" s="9"/>
      <c r="U197" s="9"/>
      <c r="V197" s="9"/>
      <c r="W197" s="9"/>
      <c r="X197" s="9"/>
      <c r="Y197" s="9"/>
      <c r="Z197" s="9"/>
      <c r="AA197" s="9"/>
      <c r="AB197" s="39"/>
      <c r="AC197" s="9"/>
      <c r="AD197" s="38"/>
      <c r="AE197" s="9"/>
      <c r="AF197" s="39"/>
      <c r="AG197" s="9"/>
      <c r="AH197" s="9"/>
      <c r="AI197" s="9"/>
      <c r="AJ197" s="9"/>
      <c r="AK197" s="9"/>
      <c r="AL197" s="9"/>
      <c r="AM197" s="9"/>
      <c r="AN197" s="10" t="str">
        <f aca="false">IF(A197="","",SG_Criteria!$B$6&amp;SG_Criteria!$B$7&amp;"\"&amp;A197&amp;"\")</f>
        <v/>
      </c>
      <c r="AO197" s="10" t="str">
        <f aca="false">IF(A197="","",A197&amp;"_CAD.dwg")</f>
        <v/>
      </c>
      <c r="AP197" s="10" t="str">
        <f aca="false">IF(A197="","",A197&amp;"_DWG.pdf")</f>
        <v/>
      </c>
      <c r="AQ197" s="10" t="str">
        <f aca="false">IF(A197="","",IF(AM197="Y",A197&amp;"_STAAD.std","n/a"))</f>
        <v/>
      </c>
      <c r="AR197" s="10" t="str">
        <f aca="false">IF(A197="","",A197&amp;"_CALC.xlsx")</f>
        <v/>
      </c>
      <c r="AS197" s="10" t="str">
        <f aca="false">IF(A197="","",A197&amp;"_CALC.pdf")</f>
        <v/>
      </c>
      <c r="AT197" s="9"/>
      <c r="AU197" s="9"/>
      <c r="AV197" s="39"/>
      <c r="AW197" s="39"/>
      <c r="AX197" s="39"/>
      <c r="AY197" s="39"/>
      <c r="AZ197" s="39"/>
      <c r="BA197" s="12" t="str">
        <f aca="false">IF(A197="","",IF(COUNTIF(Rebar_Schedule!$A$5:$A$2004,A197)=0,"",ROUND(SUMIF(Rebar_Schedule!$A$5:$A$2004,A197,Rebar_Schedule!$K$5:$K$2004),1)))</f>
        <v/>
      </c>
      <c r="BB197" s="33" t="str">
        <f aca="false">IF(A197="","",IF(BA197="","No rebar schedule yet",IF(ABS(BA197-N(AW197))/MAX(N(AW197),1)&gt;SG_Criteria!$B$55,"NOTE: register rebar differs from schedule by "&amp;TEXT(ABS(BA197-N(AW197))/MAX(N(AW197),1),"0%"),"OK")))</f>
        <v/>
      </c>
      <c r="BC197" s="34" t="str">
        <f aca="false">IF(OR(D197="",G197="",H197="",D197="Sump",D197="Drop Inlet Chamber",D197="Silt Trap",D197="Pipe Culvert",D197="Subsoil Drain"),"",ROUND(MAX(1,N(I197))*(1/SG_Criteria!$B$26)*((G197/1000)*(H197/1000*(1-SG_Criteria!$B$25)))*(((G197/1000)*(H197/1000*(1-SG_Criteria!$B$25)))/((G197/1000)+2*(H197/1000*(1-SG_Criteria!$B$25))))^(2/3)*(1/Design_Selector!$B$11)^0.5,3))</f>
        <v/>
      </c>
      <c r="BD197" s="11" t="str">
        <f aca="false">IF(BC197="","",ROUND(BC197/(MAX(1,N(I197))*G197/1000*(H197/1000*(1-SG_Criteria!$B$25))),2))</f>
        <v/>
      </c>
      <c r="BE197" s="33" t="str">
        <f aca="false">IF(D197="","",IF(LEN(IF(AND(OR(E197="Roadside drain",E197="Entrance culvert"),OR(G197&lt;SG_Criteria!$B$15,H197&lt;SG_Criteria!$B$16)),"FAIL: below PUB min "&amp;SG_Criteria!$B$15&amp;"x"&amp;SG_Criteria!$B$16&amp;" for roadside drain. ","")&amp;IF(AND(E197="Common drain",G197&lt;SG_Criteria!$B$17),"FAIL: common drain W &lt; "&amp;SG_Criteria!$B$17&amp;" mm. ","")&amp;IF(AND(O197&lt;&gt;"",IFERROR(VALUE(MID(O197,2,2)),0)&lt;SG_Criteria!$B$19),"FAIL: grade below C"&amp;SG_Criteria!$B$19&amp;". ","")&amp;IF(AND(P197&lt;&gt;"",P197&lt;SG_Criteria!$B$20),"FAIL: cover &lt; "&amp;SG_Criteria!$B$20&amp;" mm. ","")&amp;IF(AND(F197="Open",H197&gt;SG_Criteria!$B$18),"NOTE: safety railing required (D &gt; "&amp;SG_Criteria!$B$18&amp;" mm). ","")&amp;IF(AND(E197="Entrance culvert",H197&lt;600),"NOTE: check hinged grating rule for culverts &lt; 600 deep (PUB Add. 3). ",""))=0,"OK",IF(AND(OR(E197="Roadside drain",E197="Entrance culvert"),OR(G197&lt;SG_Criteria!$B$15,H197&lt;SG_Criteria!$B$16)),"FAIL: below PUB min "&amp;SG_Criteria!$B$15&amp;"x"&amp;SG_Criteria!$B$16&amp;" for roadside drain. ","")&amp;IF(AND(E197="Common drain",G197&lt;SG_Criteria!$B$17),"FAIL: common drain W &lt; "&amp;SG_Criteria!$B$17&amp;" mm. ","")&amp;IF(AND(O197&lt;&gt;"",IFERROR(VALUE(MID(O197,2,2)),0)&lt;SG_Criteria!$B$19),"FAIL: grade below C"&amp;SG_Criteria!$B$19&amp;". ","")&amp;IF(AND(P197&lt;&gt;"",P197&lt;SG_Criteria!$B$20),"FAIL: cover &lt; "&amp;SG_Criteria!$B$20&amp;" mm. ","")&amp;IF(AND(F197="Open",H197&gt;SG_Criteria!$B$18),"NOTE: safety railing required (D &gt; "&amp;SG_Criteria!$B$18&amp;" mm). ","")&amp;IF(AND(E197="Entrance culvert",H197&lt;600),"NOTE: check hinged grating rule for culverts &lt; 600 deep (PUB Add. 3). ","")))</f>
        <v/>
      </c>
      <c r="BF197" s="9"/>
      <c r="BG197" s="9"/>
      <c r="BH197" s="9"/>
      <c r="BI197" s="10" t="str">
        <f aca="false">IF(BH197="","",IFERROR(VLOOKUP(BH197,Projects!$A$5:$D$504,2,0),"Ref not in Projects"))</f>
        <v/>
      </c>
      <c r="BJ197" s="10" t="str">
        <f aca="false">IF(BH197="","",IFERROR(VLOOKUP(BH197,Projects!$A$5:$D$504,4,0),"Ref not in Projects"))</f>
        <v/>
      </c>
      <c r="BK197" s="9"/>
      <c r="BL197" s="9"/>
      <c r="BM197" s="9"/>
      <c r="BN197" s="40"/>
      <c r="BO197" s="9"/>
      <c r="BP197" s="40"/>
      <c r="BQ197" s="9"/>
      <c r="BR197" s="40"/>
      <c r="BS197" s="9"/>
      <c r="BT197" s="9"/>
      <c r="BU197" s="9"/>
      <c r="BV197" s="40"/>
      <c r="BW197" s="40"/>
      <c r="BX197" s="36" t="str">
        <f aca="false">IF(BW197="","",EDATE(BW197,SG_Criteria!$B$54*12))</f>
        <v/>
      </c>
      <c r="BY197" s="33" t="str">
        <f aca="true">IF(A197="","",IF(BW197="","NOTE: not reviewed yet",IF(TODAY()&gt;BX197,"NOTE: review overdue","OK")))</f>
        <v/>
      </c>
      <c r="BZ197" s="37" t="str">
        <f aca="false">IF(A197="","",ROUND((IF(LEN(D197)&gt;0,1,0)+IF(LEN(E197)&gt;0,1,0)+IF(LEN(F197)&gt;0,1,0)+IF(LEN(G197)&gt;0,1,0)+IF(LEN(H197)&gt;0,1,0)+IF(LEN(J197)&gt;0,1,0)+IF(LEN(K197)&gt;0,1,0)+IF(LEN(M197)&gt;0,1,0)+IF(LEN(O197)&gt;0,1,0)+IF(LEN(P197)&gt;0,1,0)+IF(LEN(Q197)&gt;0,1,0)+IF(LEN(S197)&gt;0,1,0)+IF(LEN(AC197)&gt;0,1,0)+IF(LEN(AV197)&gt;0,1,0)+IF(LEN(AW197)&gt;0,1,0)+IF(LEN(AG197)&gt;0,1,0)+IF(LEN(AI197)&gt;0,1,0)+IF(LEN(AJ197)&gt;0,1,0)+IF(LEN(AK197)&gt;0,1,0)+IF(LEN(AL197)&gt;0,1,0)+IF(LEN(AU197)&gt;0,1,0)+IF(LEN(BH197)&gt;0,1,0)+IF(LEN(BU197)&gt;0,1,0))/23,2))</f>
        <v/>
      </c>
      <c r="CA197" s="10" t="str">
        <f aca="false">IF(D197="","",IF(AND(AJ197="Approved",ISERROR(SEARCH("FAIL",BE197))),"Y","N"))</f>
        <v/>
      </c>
      <c r="CB197" s="10" t="str">
        <f aca="false">IF(D197="","",D197&amp;"|"&amp;G197&amp;"|"&amp;H197&amp;"|"&amp;M197&amp;"|"&amp;CA197)</f>
        <v/>
      </c>
    </row>
    <row r="198" customFormat="false" ht="15" hidden="false" customHeight="false" outlineLevel="0" collapsed="false">
      <c r="A198" s="10" t="str">
        <f aca="false">IF(D198="","","DRN-"&amp;IFERROR(VLOOKUP(D198,Lists!$A$4:$B$27,2,0),"??")&amp;"-"&amp;TEXT(G198,"0000")&amp;"x"&amp;TEXT(H198,"0000")&amp;IF(N(I198)&gt;1,"-"&amp;I198&amp;"C","")&amp;"-"&amp;IFERROR(VLOOKUP(M198,Lists!$J$4:$K$19,2,0),"??")&amp;"-"&amp;AI198)</f>
        <v/>
      </c>
      <c r="B198" s="10" t="str">
        <f aca="false">IF(D198="","",D198&amp;" "&amp;G198&amp;"W x "&amp;H198&amp;"D"&amp;IF(N(I198)&gt;1," ("&amp;I198&amp;" cells)","")&amp;", "&amp;E198&amp;", "&amp;M198&amp;", "&amp;F198)</f>
        <v/>
      </c>
      <c r="C198" s="9"/>
      <c r="D198" s="9"/>
      <c r="E198" s="9"/>
      <c r="F198" s="9"/>
      <c r="G198" s="38"/>
      <c r="H198" s="38"/>
      <c r="I198" s="38"/>
      <c r="J198" s="38"/>
      <c r="K198" s="38"/>
      <c r="L198" s="38"/>
      <c r="M198" s="9"/>
      <c r="N198" s="9"/>
      <c r="O198" s="9"/>
      <c r="P198" s="38"/>
      <c r="Q198" s="9"/>
      <c r="R198" s="9"/>
      <c r="S198" s="9"/>
      <c r="T198" s="9"/>
      <c r="U198" s="9"/>
      <c r="V198" s="9"/>
      <c r="W198" s="9"/>
      <c r="X198" s="9"/>
      <c r="Y198" s="9"/>
      <c r="Z198" s="9"/>
      <c r="AA198" s="9"/>
      <c r="AB198" s="39"/>
      <c r="AC198" s="9"/>
      <c r="AD198" s="38"/>
      <c r="AE198" s="9"/>
      <c r="AF198" s="39"/>
      <c r="AG198" s="9"/>
      <c r="AH198" s="9"/>
      <c r="AI198" s="9"/>
      <c r="AJ198" s="9"/>
      <c r="AK198" s="9"/>
      <c r="AL198" s="9"/>
      <c r="AM198" s="9"/>
      <c r="AN198" s="10" t="str">
        <f aca="false">IF(A198="","",SG_Criteria!$B$6&amp;SG_Criteria!$B$7&amp;"\"&amp;A198&amp;"\")</f>
        <v/>
      </c>
      <c r="AO198" s="10" t="str">
        <f aca="false">IF(A198="","",A198&amp;"_CAD.dwg")</f>
        <v/>
      </c>
      <c r="AP198" s="10" t="str">
        <f aca="false">IF(A198="","",A198&amp;"_DWG.pdf")</f>
        <v/>
      </c>
      <c r="AQ198" s="10" t="str">
        <f aca="false">IF(A198="","",IF(AM198="Y",A198&amp;"_STAAD.std","n/a"))</f>
        <v/>
      </c>
      <c r="AR198" s="10" t="str">
        <f aca="false">IF(A198="","",A198&amp;"_CALC.xlsx")</f>
        <v/>
      </c>
      <c r="AS198" s="10" t="str">
        <f aca="false">IF(A198="","",A198&amp;"_CALC.pdf")</f>
        <v/>
      </c>
      <c r="AT198" s="9"/>
      <c r="AU198" s="9"/>
      <c r="AV198" s="39"/>
      <c r="AW198" s="39"/>
      <c r="AX198" s="39"/>
      <c r="AY198" s="39"/>
      <c r="AZ198" s="39"/>
      <c r="BA198" s="12" t="str">
        <f aca="false">IF(A198="","",IF(COUNTIF(Rebar_Schedule!$A$5:$A$2004,A198)=0,"",ROUND(SUMIF(Rebar_Schedule!$A$5:$A$2004,A198,Rebar_Schedule!$K$5:$K$2004),1)))</f>
        <v/>
      </c>
      <c r="BB198" s="33" t="str">
        <f aca="false">IF(A198="","",IF(BA198="","No rebar schedule yet",IF(ABS(BA198-N(AW198))/MAX(N(AW198),1)&gt;SG_Criteria!$B$55,"NOTE: register rebar differs from schedule by "&amp;TEXT(ABS(BA198-N(AW198))/MAX(N(AW198),1),"0%"),"OK")))</f>
        <v/>
      </c>
      <c r="BC198" s="34" t="str">
        <f aca="false">IF(OR(D198="",G198="",H198="",D198="Sump",D198="Drop Inlet Chamber",D198="Silt Trap",D198="Pipe Culvert",D198="Subsoil Drain"),"",ROUND(MAX(1,N(I198))*(1/SG_Criteria!$B$26)*((G198/1000)*(H198/1000*(1-SG_Criteria!$B$25)))*(((G198/1000)*(H198/1000*(1-SG_Criteria!$B$25)))/((G198/1000)+2*(H198/1000*(1-SG_Criteria!$B$25))))^(2/3)*(1/Design_Selector!$B$11)^0.5,3))</f>
        <v/>
      </c>
      <c r="BD198" s="11" t="str">
        <f aca="false">IF(BC198="","",ROUND(BC198/(MAX(1,N(I198))*G198/1000*(H198/1000*(1-SG_Criteria!$B$25))),2))</f>
        <v/>
      </c>
      <c r="BE198" s="33" t="str">
        <f aca="false">IF(D198="","",IF(LEN(IF(AND(OR(E198="Roadside drain",E198="Entrance culvert"),OR(G198&lt;SG_Criteria!$B$15,H198&lt;SG_Criteria!$B$16)),"FAIL: below PUB min "&amp;SG_Criteria!$B$15&amp;"x"&amp;SG_Criteria!$B$16&amp;" for roadside drain. ","")&amp;IF(AND(E198="Common drain",G198&lt;SG_Criteria!$B$17),"FAIL: common drain W &lt; "&amp;SG_Criteria!$B$17&amp;" mm. ","")&amp;IF(AND(O198&lt;&gt;"",IFERROR(VALUE(MID(O198,2,2)),0)&lt;SG_Criteria!$B$19),"FAIL: grade below C"&amp;SG_Criteria!$B$19&amp;". ","")&amp;IF(AND(P198&lt;&gt;"",P198&lt;SG_Criteria!$B$20),"FAIL: cover &lt; "&amp;SG_Criteria!$B$20&amp;" mm. ","")&amp;IF(AND(F198="Open",H198&gt;SG_Criteria!$B$18),"NOTE: safety railing required (D &gt; "&amp;SG_Criteria!$B$18&amp;" mm). ","")&amp;IF(AND(E198="Entrance culvert",H198&lt;600),"NOTE: check hinged grating rule for culverts &lt; 600 deep (PUB Add. 3). ",""))=0,"OK",IF(AND(OR(E198="Roadside drain",E198="Entrance culvert"),OR(G198&lt;SG_Criteria!$B$15,H198&lt;SG_Criteria!$B$16)),"FAIL: below PUB min "&amp;SG_Criteria!$B$15&amp;"x"&amp;SG_Criteria!$B$16&amp;" for roadside drain. ","")&amp;IF(AND(E198="Common drain",G198&lt;SG_Criteria!$B$17),"FAIL: common drain W &lt; "&amp;SG_Criteria!$B$17&amp;" mm. ","")&amp;IF(AND(O198&lt;&gt;"",IFERROR(VALUE(MID(O198,2,2)),0)&lt;SG_Criteria!$B$19),"FAIL: grade below C"&amp;SG_Criteria!$B$19&amp;". ","")&amp;IF(AND(P198&lt;&gt;"",P198&lt;SG_Criteria!$B$20),"FAIL: cover &lt; "&amp;SG_Criteria!$B$20&amp;" mm. ","")&amp;IF(AND(F198="Open",H198&gt;SG_Criteria!$B$18),"NOTE: safety railing required (D &gt; "&amp;SG_Criteria!$B$18&amp;" mm). ","")&amp;IF(AND(E198="Entrance culvert",H198&lt;600),"NOTE: check hinged grating rule for culverts &lt; 600 deep (PUB Add. 3). ","")))</f>
        <v/>
      </c>
      <c r="BF198" s="9"/>
      <c r="BG198" s="9"/>
      <c r="BH198" s="9"/>
      <c r="BI198" s="10" t="str">
        <f aca="false">IF(BH198="","",IFERROR(VLOOKUP(BH198,Projects!$A$5:$D$504,2,0),"Ref not in Projects"))</f>
        <v/>
      </c>
      <c r="BJ198" s="10" t="str">
        <f aca="false">IF(BH198="","",IFERROR(VLOOKUP(BH198,Projects!$A$5:$D$504,4,0),"Ref not in Projects"))</f>
        <v/>
      </c>
      <c r="BK198" s="9"/>
      <c r="BL198" s="9"/>
      <c r="BM198" s="9"/>
      <c r="BN198" s="40"/>
      <c r="BO198" s="9"/>
      <c r="BP198" s="40"/>
      <c r="BQ198" s="9"/>
      <c r="BR198" s="40"/>
      <c r="BS198" s="9"/>
      <c r="BT198" s="9"/>
      <c r="BU198" s="9"/>
      <c r="BV198" s="40"/>
      <c r="BW198" s="40"/>
      <c r="BX198" s="36" t="str">
        <f aca="false">IF(BW198="","",EDATE(BW198,SG_Criteria!$B$54*12))</f>
        <v/>
      </c>
      <c r="BY198" s="33" t="str">
        <f aca="true">IF(A198="","",IF(BW198="","NOTE: not reviewed yet",IF(TODAY()&gt;BX198,"NOTE: review overdue","OK")))</f>
        <v/>
      </c>
      <c r="BZ198" s="37" t="str">
        <f aca="false">IF(A198="","",ROUND((IF(LEN(D198)&gt;0,1,0)+IF(LEN(E198)&gt;0,1,0)+IF(LEN(F198)&gt;0,1,0)+IF(LEN(G198)&gt;0,1,0)+IF(LEN(H198)&gt;0,1,0)+IF(LEN(J198)&gt;0,1,0)+IF(LEN(K198)&gt;0,1,0)+IF(LEN(M198)&gt;0,1,0)+IF(LEN(O198)&gt;0,1,0)+IF(LEN(P198)&gt;0,1,0)+IF(LEN(Q198)&gt;0,1,0)+IF(LEN(S198)&gt;0,1,0)+IF(LEN(AC198)&gt;0,1,0)+IF(LEN(AV198)&gt;0,1,0)+IF(LEN(AW198)&gt;0,1,0)+IF(LEN(AG198)&gt;0,1,0)+IF(LEN(AI198)&gt;0,1,0)+IF(LEN(AJ198)&gt;0,1,0)+IF(LEN(AK198)&gt;0,1,0)+IF(LEN(AL198)&gt;0,1,0)+IF(LEN(AU198)&gt;0,1,0)+IF(LEN(BH198)&gt;0,1,0)+IF(LEN(BU198)&gt;0,1,0))/23,2))</f>
        <v/>
      </c>
      <c r="CA198" s="10" t="str">
        <f aca="false">IF(D198="","",IF(AND(AJ198="Approved",ISERROR(SEARCH("FAIL",BE198))),"Y","N"))</f>
        <v/>
      </c>
      <c r="CB198" s="10" t="str">
        <f aca="false">IF(D198="","",D198&amp;"|"&amp;G198&amp;"|"&amp;H198&amp;"|"&amp;M198&amp;"|"&amp;CA198)</f>
        <v/>
      </c>
    </row>
    <row r="199" customFormat="false" ht="15" hidden="false" customHeight="false" outlineLevel="0" collapsed="false">
      <c r="A199" s="10" t="str">
        <f aca="false">IF(D199="","","DRN-"&amp;IFERROR(VLOOKUP(D199,Lists!$A$4:$B$27,2,0),"??")&amp;"-"&amp;TEXT(G199,"0000")&amp;"x"&amp;TEXT(H199,"0000")&amp;IF(N(I199)&gt;1,"-"&amp;I199&amp;"C","")&amp;"-"&amp;IFERROR(VLOOKUP(M199,Lists!$J$4:$K$19,2,0),"??")&amp;"-"&amp;AI199)</f>
        <v/>
      </c>
      <c r="B199" s="10" t="str">
        <f aca="false">IF(D199="","",D199&amp;" "&amp;G199&amp;"W x "&amp;H199&amp;"D"&amp;IF(N(I199)&gt;1," ("&amp;I199&amp;" cells)","")&amp;", "&amp;E199&amp;", "&amp;M199&amp;", "&amp;F199)</f>
        <v/>
      </c>
      <c r="C199" s="9"/>
      <c r="D199" s="9"/>
      <c r="E199" s="9"/>
      <c r="F199" s="9"/>
      <c r="G199" s="38"/>
      <c r="H199" s="38"/>
      <c r="I199" s="38"/>
      <c r="J199" s="38"/>
      <c r="K199" s="38"/>
      <c r="L199" s="38"/>
      <c r="M199" s="9"/>
      <c r="N199" s="9"/>
      <c r="O199" s="9"/>
      <c r="P199" s="38"/>
      <c r="Q199" s="9"/>
      <c r="R199" s="9"/>
      <c r="S199" s="9"/>
      <c r="T199" s="9"/>
      <c r="U199" s="9"/>
      <c r="V199" s="9"/>
      <c r="W199" s="9"/>
      <c r="X199" s="9"/>
      <c r="Y199" s="9"/>
      <c r="Z199" s="9"/>
      <c r="AA199" s="9"/>
      <c r="AB199" s="39"/>
      <c r="AC199" s="9"/>
      <c r="AD199" s="38"/>
      <c r="AE199" s="9"/>
      <c r="AF199" s="39"/>
      <c r="AG199" s="9"/>
      <c r="AH199" s="9"/>
      <c r="AI199" s="9"/>
      <c r="AJ199" s="9"/>
      <c r="AK199" s="9"/>
      <c r="AL199" s="9"/>
      <c r="AM199" s="9"/>
      <c r="AN199" s="10" t="str">
        <f aca="false">IF(A199="","",SG_Criteria!$B$6&amp;SG_Criteria!$B$7&amp;"\"&amp;A199&amp;"\")</f>
        <v/>
      </c>
      <c r="AO199" s="10" t="str">
        <f aca="false">IF(A199="","",A199&amp;"_CAD.dwg")</f>
        <v/>
      </c>
      <c r="AP199" s="10" t="str">
        <f aca="false">IF(A199="","",A199&amp;"_DWG.pdf")</f>
        <v/>
      </c>
      <c r="AQ199" s="10" t="str">
        <f aca="false">IF(A199="","",IF(AM199="Y",A199&amp;"_STAAD.std","n/a"))</f>
        <v/>
      </c>
      <c r="AR199" s="10" t="str">
        <f aca="false">IF(A199="","",A199&amp;"_CALC.xlsx")</f>
        <v/>
      </c>
      <c r="AS199" s="10" t="str">
        <f aca="false">IF(A199="","",A199&amp;"_CALC.pdf")</f>
        <v/>
      </c>
      <c r="AT199" s="9"/>
      <c r="AU199" s="9"/>
      <c r="AV199" s="39"/>
      <c r="AW199" s="39"/>
      <c r="AX199" s="39"/>
      <c r="AY199" s="39"/>
      <c r="AZ199" s="39"/>
      <c r="BA199" s="12" t="str">
        <f aca="false">IF(A199="","",IF(COUNTIF(Rebar_Schedule!$A$5:$A$2004,A199)=0,"",ROUND(SUMIF(Rebar_Schedule!$A$5:$A$2004,A199,Rebar_Schedule!$K$5:$K$2004),1)))</f>
        <v/>
      </c>
      <c r="BB199" s="33" t="str">
        <f aca="false">IF(A199="","",IF(BA199="","No rebar schedule yet",IF(ABS(BA199-N(AW199))/MAX(N(AW199),1)&gt;SG_Criteria!$B$55,"NOTE: register rebar differs from schedule by "&amp;TEXT(ABS(BA199-N(AW199))/MAX(N(AW199),1),"0%"),"OK")))</f>
        <v/>
      </c>
      <c r="BC199" s="34" t="str">
        <f aca="false">IF(OR(D199="",G199="",H199="",D199="Sump",D199="Drop Inlet Chamber",D199="Silt Trap",D199="Pipe Culvert",D199="Subsoil Drain"),"",ROUND(MAX(1,N(I199))*(1/SG_Criteria!$B$26)*((G199/1000)*(H199/1000*(1-SG_Criteria!$B$25)))*(((G199/1000)*(H199/1000*(1-SG_Criteria!$B$25)))/((G199/1000)+2*(H199/1000*(1-SG_Criteria!$B$25))))^(2/3)*(1/Design_Selector!$B$11)^0.5,3))</f>
        <v/>
      </c>
      <c r="BD199" s="11" t="str">
        <f aca="false">IF(BC199="","",ROUND(BC199/(MAX(1,N(I199))*G199/1000*(H199/1000*(1-SG_Criteria!$B$25))),2))</f>
        <v/>
      </c>
      <c r="BE199" s="33" t="str">
        <f aca="false">IF(D199="","",IF(LEN(IF(AND(OR(E199="Roadside drain",E199="Entrance culvert"),OR(G199&lt;SG_Criteria!$B$15,H199&lt;SG_Criteria!$B$16)),"FAIL: below PUB min "&amp;SG_Criteria!$B$15&amp;"x"&amp;SG_Criteria!$B$16&amp;" for roadside drain. ","")&amp;IF(AND(E199="Common drain",G199&lt;SG_Criteria!$B$17),"FAIL: common drain W &lt; "&amp;SG_Criteria!$B$17&amp;" mm. ","")&amp;IF(AND(O199&lt;&gt;"",IFERROR(VALUE(MID(O199,2,2)),0)&lt;SG_Criteria!$B$19),"FAIL: grade below C"&amp;SG_Criteria!$B$19&amp;". ","")&amp;IF(AND(P199&lt;&gt;"",P199&lt;SG_Criteria!$B$20),"FAIL: cover &lt; "&amp;SG_Criteria!$B$20&amp;" mm. ","")&amp;IF(AND(F199="Open",H199&gt;SG_Criteria!$B$18),"NOTE: safety railing required (D &gt; "&amp;SG_Criteria!$B$18&amp;" mm). ","")&amp;IF(AND(E199="Entrance culvert",H199&lt;600),"NOTE: check hinged grating rule for culverts &lt; 600 deep (PUB Add. 3). ",""))=0,"OK",IF(AND(OR(E199="Roadside drain",E199="Entrance culvert"),OR(G199&lt;SG_Criteria!$B$15,H199&lt;SG_Criteria!$B$16)),"FAIL: below PUB min "&amp;SG_Criteria!$B$15&amp;"x"&amp;SG_Criteria!$B$16&amp;" for roadside drain. ","")&amp;IF(AND(E199="Common drain",G199&lt;SG_Criteria!$B$17),"FAIL: common drain W &lt; "&amp;SG_Criteria!$B$17&amp;" mm. ","")&amp;IF(AND(O199&lt;&gt;"",IFERROR(VALUE(MID(O199,2,2)),0)&lt;SG_Criteria!$B$19),"FAIL: grade below C"&amp;SG_Criteria!$B$19&amp;". ","")&amp;IF(AND(P199&lt;&gt;"",P199&lt;SG_Criteria!$B$20),"FAIL: cover &lt; "&amp;SG_Criteria!$B$20&amp;" mm. ","")&amp;IF(AND(F199="Open",H199&gt;SG_Criteria!$B$18),"NOTE: safety railing required (D &gt; "&amp;SG_Criteria!$B$18&amp;" mm). ","")&amp;IF(AND(E199="Entrance culvert",H199&lt;600),"NOTE: check hinged grating rule for culverts &lt; 600 deep (PUB Add. 3). ","")))</f>
        <v/>
      </c>
      <c r="BF199" s="9"/>
      <c r="BG199" s="9"/>
      <c r="BH199" s="9"/>
      <c r="BI199" s="10" t="str">
        <f aca="false">IF(BH199="","",IFERROR(VLOOKUP(BH199,Projects!$A$5:$D$504,2,0),"Ref not in Projects"))</f>
        <v/>
      </c>
      <c r="BJ199" s="10" t="str">
        <f aca="false">IF(BH199="","",IFERROR(VLOOKUP(BH199,Projects!$A$5:$D$504,4,0),"Ref not in Projects"))</f>
        <v/>
      </c>
      <c r="BK199" s="9"/>
      <c r="BL199" s="9"/>
      <c r="BM199" s="9"/>
      <c r="BN199" s="40"/>
      <c r="BO199" s="9"/>
      <c r="BP199" s="40"/>
      <c r="BQ199" s="9"/>
      <c r="BR199" s="40"/>
      <c r="BS199" s="9"/>
      <c r="BT199" s="9"/>
      <c r="BU199" s="9"/>
      <c r="BV199" s="40"/>
      <c r="BW199" s="40"/>
      <c r="BX199" s="36" t="str">
        <f aca="false">IF(BW199="","",EDATE(BW199,SG_Criteria!$B$54*12))</f>
        <v/>
      </c>
      <c r="BY199" s="33" t="str">
        <f aca="true">IF(A199="","",IF(BW199="","NOTE: not reviewed yet",IF(TODAY()&gt;BX199,"NOTE: review overdue","OK")))</f>
        <v/>
      </c>
      <c r="BZ199" s="37" t="str">
        <f aca="false">IF(A199="","",ROUND((IF(LEN(D199)&gt;0,1,0)+IF(LEN(E199)&gt;0,1,0)+IF(LEN(F199)&gt;0,1,0)+IF(LEN(G199)&gt;0,1,0)+IF(LEN(H199)&gt;0,1,0)+IF(LEN(J199)&gt;0,1,0)+IF(LEN(K199)&gt;0,1,0)+IF(LEN(M199)&gt;0,1,0)+IF(LEN(O199)&gt;0,1,0)+IF(LEN(P199)&gt;0,1,0)+IF(LEN(Q199)&gt;0,1,0)+IF(LEN(S199)&gt;0,1,0)+IF(LEN(AC199)&gt;0,1,0)+IF(LEN(AV199)&gt;0,1,0)+IF(LEN(AW199)&gt;0,1,0)+IF(LEN(AG199)&gt;0,1,0)+IF(LEN(AI199)&gt;0,1,0)+IF(LEN(AJ199)&gt;0,1,0)+IF(LEN(AK199)&gt;0,1,0)+IF(LEN(AL199)&gt;0,1,0)+IF(LEN(AU199)&gt;0,1,0)+IF(LEN(BH199)&gt;0,1,0)+IF(LEN(BU199)&gt;0,1,0))/23,2))</f>
        <v/>
      </c>
      <c r="CA199" s="10" t="str">
        <f aca="false">IF(D199="","",IF(AND(AJ199="Approved",ISERROR(SEARCH("FAIL",BE199))),"Y","N"))</f>
        <v/>
      </c>
      <c r="CB199" s="10" t="str">
        <f aca="false">IF(D199="","",D199&amp;"|"&amp;G199&amp;"|"&amp;H199&amp;"|"&amp;M199&amp;"|"&amp;CA199)</f>
        <v/>
      </c>
    </row>
    <row r="200" customFormat="false" ht="15" hidden="false" customHeight="false" outlineLevel="0" collapsed="false">
      <c r="A200" s="10" t="str">
        <f aca="false">IF(D200="","","DRN-"&amp;IFERROR(VLOOKUP(D200,Lists!$A$4:$B$27,2,0),"??")&amp;"-"&amp;TEXT(G200,"0000")&amp;"x"&amp;TEXT(H200,"0000")&amp;IF(N(I200)&gt;1,"-"&amp;I200&amp;"C","")&amp;"-"&amp;IFERROR(VLOOKUP(M200,Lists!$J$4:$K$19,2,0),"??")&amp;"-"&amp;AI200)</f>
        <v/>
      </c>
      <c r="B200" s="10" t="str">
        <f aca="false">IF(D200="","",D200&amp;" "&amp;G200&amp;"W x "&amp;H200&amp;"D"&amp;IF(N(I200)&gt;1," ("&amp;I200&amp;" cells)","")&amp;", "&amp;E200&amp;", "&amp;M200&amp;", "&amp;F200)</f>
        <v/>
      </c>
      <c r="C200" s="9"/>
      <c r="D200" s="9"/>
      <c r="E200" s="9"/>
      <c r="F200" s="9"/>
      <c r="G200" s="38"/>
      <c r="H200" s="38"/>
      <c r="I200" s="38"/>
      <c r="J200" s="38"/>
      <c r="K200" s="38"/>
      <c r="L200" s="38"/>
      <c r="M200" s="9"/>
      <c r="N200" s="9"/>
      <c r="O200" s="9"/>
      <c r="P200" s="38"/>
      <c r="Q200" s="9"/>
      <c r="R200" s="9"/>
      <c r="S200" s="9"/>
      <c r="T200" s="9"/>
      <c r="U200" s="9"/>
      <c r="V200" s="9"/>
      <c r="W200" s="9"/>
      <c r="X200" s="9"/>
      <c r="Y200" s="9"/>
      <c r="Z200" s="9"/>
      <c r="AA200" s="9"/>
      <c r="AB200" s="39"/>
      <c r="AC200" s="9"/>
      <c r="AD200" s="38"/>
      <c r="AE200" s="9"/>
      <c r="AF200" s="39"/>
      <c r="AG200" s="9"/>
      <c r="AH200" s="9"/>
      <c r="AI200" s="9"/>
      <c r="AJ200" s="9"/>
      <c r="AK200" s="9"/>
      <c r="AL200" s="9"/>
      <c r="AM200" s="9"/>
      <c r="AN200" s="10" t="str">
        <f aca="false">IF(A200="","",SG_Criteria!$B$6&amp;SG_Criteria!$B$7&amp;"\"&amp;A200&amp;"\")</f>
        <v/>
      </c>
      <c r="AO200" s="10" t="str">
        <f aca="false">IF(A200="","",A200&amp;"_CAD.dwg")</f>
        <v/>
      </c>
      <c r="AP200" s="10" t="str">
        <f aca="false">IF(A200="","",A200&amp;"_DWG.pdf")</f>
        <v/>
      </c>
      <c r="AQ200" s="10" t="str">
        <f aca="false">IF(A200="","",IF(AM200="Y",A200&amp;"_STAAD.std","n/a"))</f>
        <v/>
      </c>
      <c r="AR200" s="10" t="str">
        <f aca="false">IF(A200="","",A200&amp;"_CALC.xlsx")</f>
        <v/>
      </c>
      <c r="AS200" s="10" t="str">
        <f aca="false">IF(A200="","",A200&amp;"_CALC.pdf")</f>
        <v/>
      </c>
      <c r="AT200" s="9"/>
      <c r="AU200" s="9"/>
      <c r="AV200" s="39"/>
      <c r="AW200" s="39"/>
      <c r="AX200" s="39"/>
      <c r="AY200" s="39"/>
      <c r="AZ200" s="39"/>
      <c r="BA200" s="12" t="str">
        <f aca="false">IF(A200="","",IF(COUNTIF(Rebar_Schedule!$A$5:$A$2004,A200)=0,"",ROUND(SUMIF(Rebar_Schedule!$A$5:$A$2004,A200,Rebar_Schedule!$K$5:$K$2004),1)))</f>
        <v/>
      </c>
      <c r="BB200" s="33" t="str">
        <f aca="false">IF(A200="","",IF(BA200="","No rebar schedule yet",IF(ABS(BA200-N(AW200))/MAX(N(AW200),1)&gt;SG_Criteria!$B$55,"NOTE: register rebar differs from schedule by "&amp;TEXT(ABS(BA200-N(AW200))/MAX(N(AW200),1),"0%"),"OK")))</f>
        <v/>
      </c>
      <c r="BC200" s="34" t="str">
        <f aca="false">IF(OR(D200="",G200="",H200="",D200="Sump",D200="Drop Inlet Chamber",D200="Silt Trap",D200="Pipe Culvert",D200="Subsoil Drain"),"",ROUND(MAX(1,N(I200))*(1/SG_Criteria!$B$26)*((G200/1000)*(H200/1000*(1-SG_Criteria!$B$25)))*(((G200/1000)*(H200/1000*(1-SG_Criteria!$B$25)))/((G200/1000)+2*(H200/1000*(1-SG_Criteria!$B$25))))^(2/3)*(1/Design_Selector!$B$11)^0.5,3))</f>
        <v/>
      </c>
      <c r="BD200" s="11" t="str">
        <f aca="false">IF(BC200="","",ROUND(BC200/(MAX(1,N(I200))*G200/1000*(H200/1000*(1-SG_Criteria!$B$25))),2))</f>
        <v/>
      </c>
      <c r="BE200" s="33" t="str">
        <f aca="false">IF(D200="","",IF(LEN(IF(AND(OR(E200="Roadside drain",E200="Entrance culvert"),OR(G200&lt;SG_Criteria!$B$15,H200&lt;SG_Criteria!$B$16)),"FAIL: below PUB min "&amp;SG_Criteria!$B$15&amp;"x"&amp;SG_Criteria!$B$16&amp;" for roadside drain. ","")&amp;IF(AND(E200="Common drain",G200&lt;SG_Criteria!$B$17),"FAIL: common drain W &lt; "&amp;SG_Criteria!$B$17&amp;" mm. ","")&amp;IF(AND(O200&lt;&gt;"",IFERROR(VALUE(MID(O200,2,2)),0)&lt;SG_Criteria!$B$19),"FAIL: grade below C"&amp;SG_Criteria!$B$19&amp;". ","")&amp;IF(AND(P200&lt;&gt;"",P200&lt;SG_Criteria!$B$20),"FAIL: cover &lt; "&amp;SG_Criteria!$B$20&amp;" mm. ","")&amp;IF(AND(F200="Open",H200&gt;SG_Criteria!$B$18),"NOTE: safety railing required (D &gt; "&amp;SG_Criteria!$B$18&amp;" mm). ","")&amp;IF(AND(E200="Entrance culvert",H200&lt;600),"NOTE: check hinged grating rule for culverts &lt; 600 deep (PUB Add. 3). ",""))=0,"OK",IF(AND(OR(E200="Roadside drain",E200="Entrance culvert"),OR(G200&lt;SG_Criteria!$B$15,H200&lt;SG_Criteria!$B$16)),"FAIL: below PUB min "&amp;SG_Criteria!$B$15&amp;"x"&amp;SG_Criteria!$B$16&amp;" for roadside drain. ","")&amp;IF(AND(E200="Common drain",G200&lt;SG_Criteria!$B$17),"FAIL: common drain W &lt; "&amp;SG_Criteria!$B$17&amp;" mm. ","")&amp;IF(AND(O200&lt;&gt;"",IFERROR(VALUE(MID(O200,2,2)),0)&lt;SG_Criteria!$B$19),"FAIL: grade below C"&amp;SG_Criteria!$B$19&amp;". ","")&amp;IF(AND(P200&lt;&gt;"",P200&lt;SG_Criteria!$B$20),"FAIL: cover &lt; "&amp;SG_Criteria!$B$20&amp;" mm. ","")&amp;IF(AND(F200="Open",H200&gt;SG_Criteria!$B$18),"NOTE: safety railing required (D &gt; "&amp;SG_Criteria!$B$18&amp;" mm). ","")&amp;IF(AND(E200="Entrance culvert",H200&lt;600),"NOTE: check hinged grating rule for culverts &lt; 600 deep (PUB Add. 3). ","")))</f>
        <v/>
      </c>
      <c r="BF200" s="9"/>
      <c r="BG200" s="9"/>
      <c r="BH200" s="9"/>
      <c r="BI200" s="10" t="str">
        <f aca="false">IF(BH200="","",IFERROR(VLOOKUP(BH200,Projects!$A$5:$D$504,2,0),"Ref not in Projects"))</f>
        <v/>
      </c>
      <c r="BJ200" s="10" t="str">
        <f aca="false">IF(BH200="","",IFERROR(VLOOKUP(BH200,Projects!$A$5:$D$504,4,0),"Ref not in Projects"))</f>
        <v/>
      </c>
      <c r="BK200" s="9"/>
      <c r="BL200" s="9"/>
      <c r="BM200" s="9"/>
      <c r="BN200" s="40"/>
      <c r="BO200" s="9"/>
      <c r="BP200" s="40"/>
      <c r="BQ200" s="9"/>
      <c r="BR200" s="40"/>
      <c r="BS200" s="9"/>
      <c r="BT200" s="9"/>
      <c r="BU200" s="9"/>
      <c r="BV200" s="40"/>
      <c r="BW200" s="40"/>
      <c r="BX200" s="36" t="str">
        <f aca="false">IF(BW200="","",EDATE(BW200,SG_Criteria!$B$54*12))</f>
        <v/>
      </c>
      <c r="BY200" s="33" t="str">
        <f aca="true">IF(A200="","",IF(BW200="","NOTE: not reviewed yet",IF(TODAY()&gt;BX200,"NOTE: review overdue","OK")))</f>
        <v/>
      </c>
      <c r="BZ200" s="37" t="str">
        <f aca="false">IF(A200="","",ROUND((IF(LEN(D200)&gt;0,1,0)+IF(LEN(E200)&gt;0,1,0)+IF(LEN(F200)&gt;0,1,0)+IF(LEN(G200)&gt;0,1,0)+IF(LEN(H200)&gt;0,1,0)+IF(LEN(J200)&gt;0,1,0)+IF(LEN(K200)&gt;0,1,0)+IF(LEN(M200)&gt;0,1,0)+IF(LEN(O200)&gt;0,1,0)+IF(LEN(P200)&gt;0,1,0)+IF(LEN(Q200)&gt;0,1,0)+IF(LEN(S200)&gt;0,1,0)+IF(LEN(AC200)&gt;0,1,0)+IF(LEN(AV200)&gt;0,1,0)+IF(LEN(AW200)&gt;0,1,0)+IF(LEN(AG200)&gt;0,1,0)+IF(LEN(AI200)&gt;0,1,0)+IF(LEN(AJ200)&gt;0,1,0)+IF(LEN(AK200)&gt;0,1,0)+IF(LEN(AL200)&gt;0,1,0)+IF(LEN(AU200)&gt;0,1,0)+IF(LEN(BH200)&gt;0,1,0)+IF(LEN(BU200)&gt;0,1,0))/23,2))</f>
        <v/>
      </c>
      <c r="CA200" s="10" t="str">
        <f aca="false">IF(D200="","",IF(AND(AJ200="Approved",ISERROR(SEARCH("FAIL",BE200))),"Y","N"))</f>
        <v/>
      </c>
      <c r="CB200" s="10" t="str">
        <f aca="false">IF(D200="","",D200&amp;"|"&amp;G200&amp;"|"&amp;H200&amp;"|"&amp;M200&amp;"|"&amp;CA200)</f>
        <v/>
      </c>
    </row>
    <row r="201" customFormat="false" ht="15" hidden="false" customHeight="false" outlineLevel="0" collapsed="false">
      <c r="A201" s="10" t="str">
        <f aca="false">IF(D201="","","DRN-"&amp;IFERROR(VLOOKUP(D201,Lists!$A$4:$B$27,2,0),"??")&amp;"-"&amp;TEXT(G201,"0000")&amp;"x"&amp;TEXT(H201,"0000")&amp;IF(N(I201)&gt;1,"-"&amp;I201&amp;"C","")&amp;"-"&amp;IFERROR(VLOOKUP(M201,Lists!$J$4:$K$19,2,0),"??")&amp;"-"&amp;AI201)</f>
        <v/>
      </c>
      <c r="B201" s="10" t="str">
        <f aca="false">IF(D201="","",D201&amp;" "&amp;G201&amp;"W x "&amp;H201&amp;"D"&amp;IF(N(I201)&gt;1," ("&amp;I201&amp;" cells)","")&amp;", "&amp;E201&amp;", "&amp;M201&amp;", "&amp;F201)</f>
        <v/>
      </c>
      <c r="C201" s="9"/>
      <c r="D201" s="9"/>
      <c r="E201" s="9"/>
      <c r="F201" s="9"/>
      <c r="G201" s="38"/>
      <c r="H201" s="38"/>
      <c r="I201" s="38"/>
      <c r="J201" s="38"/>
      <c r="K201" s="38"/>
      <c r="L201" s="38"/>
      <c r="M201" s="9"/>
      <c r="N201" s="9"/>
      <c r="O201" s="9"/>
      <c r="P201" s="38"/>
      <c r="Q201" s="9"/>
      <c r="R201" s="9"/>
      <c r="S201" s="9"/>
      <c r="T201" s="9"/>
      <c r="U201" s="9"/>
      <c r="V201" s="9"/>
      <c r="W201" s="9"/>
      <c r="X201" s="9"/>
      <c r="Y201" s="9"/>
      <c r="Z201" s="9"/>
      <c r="AA201" s="9"/>
      <c r="AB201" s="39"/>
      <c r="AC201" s="9"/>
      <c r="AD201" s="38"/>
      <c r="AE201" s="9"/>
      <c r="AF201" s="39"/>
      <c r="AG201" s="9"/>
      <c r="AH201" s="9"/>
      <c r="AI201" s="9"/>
      <c r="AJ201" s="9"/>
      <c r="AK201" s="9"/>
      <c r="AL201" s="9"/>
      <c r="AM201" s="9"/>
      <c r="AN201" s="10" t="str">
        <f aca="false">IF(A201="","",SG_Criteria!$B$6&amp;SG_Criteria!$B$7&amp;"\"&amp;A201&amp;"\")</f>
        <v/>
      </c>
      <c r="AO201" s="10" t="str">
        <f aca="false">IF(A201="","",A201&amp;"_CAD.dwg")</f>
        <v/>
      </c>
      <c r="AP201" s="10" t="str">
        <f aca="false">IF(A201="","",A201&amp;"_DWG.pdf")</f>
        <v/>
      </c>
      <c r="AQ201" s="10" t="str">
        <f aca="false">IF(A201="","",IF(AM201="Y",A201&amp;"_STAAD.std","n/a"))</f>
        <v/>
      </c>
      <c r="AR201" s="10" t="str">
        <f aca="false">IF(A201="","",A201&amp;"_CALC.xlsx")</f>
        <v/>
      </c>
      <c r="AS201" s="10" t="str">
        <f aca="false">IF(A201="","",A201&amp;"_CALC.pdf")</f>
        <v/>
      </c>
      <c r="AT201" s="9"/>
      <c r="AU201" s="9"/>
      <c r="AV201" s="39"/>
      <c r="AW201" s="39"/>
      <c r="AX201" s="39"/>
      <c r="AY201" s="39"/>
      <c r="AZ201" s="39"/>
      <c r="BA201" s="12" t="str">
        <f aca="false">IF(A201="","",IF(COUNTIF(Rebar_Schedule!$A$5:$A$2004,A201)=0,"",ROUND(SUMIF(Rebar_Schedule!$A$5:$A$2004,A201,Rebar_Schedule!$K$5:$K$2004),1)))</f>
        <v/>
      </c>
      <c r="BB201" s="33" t="str">
        <f aca="false">IF(A201="","",IF(BA201="","No rebar schedule yet",IF(ABS(BA201-N(AW201))/MAX(N(AW201),1)&gt;SG_Criteria!$B$55,"NOTE: register rebar differs from schedule by "&amp;TEXT(ABS(BA201-N(AW201))/MAX(N(AW201),1),"0%"),"OK")))</f>
        <v/>
      </c>
      <c r="BC201" s="34" t="str">
        <f aca="false">IF(OR(D201="",G201="",H201="",D201="Sump",D201="Drop Inlet Chamber",D201="Silt Trap",D201="Pipe Culvert",D201="Subsoil Drain"),"",ROUND(MAX(1,N(I201))*(1/SG_Criteria!$B$26)*((G201/1000)*(H201/1000*(1-SG_Criteria!$B$25)))*(((G201/1000)*(H201/1000*(1-SG_Criteria!$B$25)))/((G201/1000)+2*(H201/1000*(1-SG_Criteria!$B$25))))^(2/3)*(1/Design_Selector!$B$11)^0.5,3))</f>
        <v/>
      </c>
      <c r="BD201" s="11" t="str">
        <f aca="false">IF(BC201="","",ROUND(BC201/(MAX(1,N(I201))*G201/1000*(H201/1000*(1-SG_Criteria!$B$25))),2))</f>
        <v/>
      </c>
      <c r="BE201" s="33" t="str">
        <f aca="false">IF(D201="","",IF(LEN(IF(AND(OR(E201="Roadside drain",E201="Entrance culvert"),OR(G201&lt;SG_Criteria!$B$15,H201&lt;SG_Criteria!$B$16)),"FAIL: below PUB min "&amp;SG_Criteria!$B$15&amp;"x"&amp;SG_Criteria!$B$16&amp;" for roadside drain. ","")&amp;IF(AND(E201="Common drain",G201&lt;SG_Criteria!$B$17),"FAIL: common drain W &lt; "&amp;SG_Criteria!$B$17&amp;" mm. ","")&amp;IF(AND(O201&lt;&gt;"",IFERROR(VALUE(MID(O201,2,2)),0)&lt;SG_Criteria!$B$19),"FAIL: grade below C"&amp;SG_Criteria!$B$19&amp;". ","")&amp;IF(AND(P201&lt;&gt;"",P201&lt;SG_Criteria!$B$20),"FAIL: cover &lt; "&amp;SG_Criteria!$B$20&amp;" mm. ","")&amp;IF(AND(F201="Open",H201&gt;SG_Criteria!$B$18),"NOTE: safety railing required (D &gt; "&amp;SG_Criteria!$B$18&amp;" mm). ","")&amp;IF(AND(E201="Entrance culvert",H201&lt;600),"NOTE: check hinged grating rule for culverts &lt; 600 deep (PUB Add. 3). ",""))=0,"OK",IF(AND(OR(E201="Roadside drain",E201="Entrance culvert"),OR(G201&lt;SG_Criteria!$B$15,H201&lt;SG_Criteria!$B$16)),"FAIL: below PUB min "&amp;SG_Criteria!$B$15&amp;"x"&amp;SG_Criteria!$B$16&amp;" for roadside drain. ","")&amp;IF(AND(E201="Common drain",G201&lt;SG_Criteria!$B$17),"FAIL: common drain W &lt; "&amp;SG_Criteria!$B$17&amp;" mm. ","")&amp;IF(AND(O201&lt;&gt;"",IFERROR(VALUE(MID(O201,2,2)),0)&lt;SG_Criteria!$B$19),"FAIL: grade below C"&amp;SG_Criteria!$B$19&amp;". ","")&amp;IF(AND(P201&lt;&gt;"",P201&lt;SG_Criteria!$B$20),"FAIL: cover &lt; "&amp;SG_Criteria!$B$20&amp;" mm. ","")&amp;IF(AND(F201="Open",H201&gt;SG_Criteria!$B$18),"NOTE: safety railing required (D &gt; "&amp;SG_Criteria!$B$18&amp;" mm). ","")&amp;IF(AND(E201="Entrance culvert",H201&lt;600),"NOTE: check hinged grating rule for culverts &lt; 600 deep (PUB Add. 3). ","")))</f>
        <v/>
      </c>
      <c r="BF201" s="9"/>
      <c r="BG201" s="9"/>
      <c r="BH201" s="9"/>
      <c r="BI201" s="10" t="str">
        <f aca="false">IF(BH201="","",IFERROR(VLOOKUP(BH201,Projects!$A$5:$D$504,2,0),"Ref not in Projects"))</f>
        <v/>
      </c>
      <c r="BJ201" s="10" t="str">
        <f aca="false">IF(BH201="","",IFERROR(VLOOKUP(BH201,Projects!$A$5:$D$504,4,0),"Ref not in Projects"))</f>
        <v/>
      </c>
      <c r="BK201" s="9"/>
      <c r="BL201" s="9"/>
      <c r="BM201" s="9"/>
      <c r="BN201" s="40"/>
      <c r="BO201" s="9"/>
      <c r="BP201" s="40"/>
      <c r="BQ201" s="9"/>
      <c r="BR201" s="40"/>
      <c r="BS201" s="9"/>
      <c r="BT201" s="9"/>
      <c r="BU201" s="9"/>
      <c r="BV201" s="40"/>
      <c r="BW201" s="40"/>
      <c r="BX201" s="36" t="str">
        <f aca="false">IF(BW201="","",EDATE(BW201,SG_Criteria!$B$54*12))</f>
        <v/>
      </c>
      <c r="BY201" s="33" t="str">
        <f aca="true">IF(A201="","",IF(BW201="","NOTE: not reviewed yet",IF(TODAY()&gt;BX201,"NOTE: review overdue","OK")))</f>
        <v/>
      </c>
      <c r="BZ201" s="37" t="str">
        <f aca="false">IF(A201="","",ROUND((IF(LEN(D201)&gt;0,1,0)+IF(LEN(E201)&gt;0,1,0)+IF(LEN(F201)&gt;0,1,0)+IF(LEN(G201)&gt;0,1,0)+IF(LEN(H201)&gt;0,1,0)+IF(LEN(J201)&gt;0,1,0)+IF(LEN(K201)&gt;0,1,0)+IF(LEN(M201)&gt;0,1,0)+IF(LEN(O201)&gt;0,1,0)+IF(LEN(P201)&gt;0,1,0)+IF(LEN(Q201)&gt;0,1,0)+IF(LEN(S201)&gt;0,1,0)+IF(LEN(AC201)&gt;0,1,0)+IF(LEN(AV201)&gt;0,1,0)+IF(LEN(AW201)&gt;0,1,0)+IF(LEN(AG201)&gt;0,1,0)+IF(LEN(AI201)&gt;0,1,0)+IF(LEN(AJ201)&gt;0,1,0)+IF(LEN(AK201)&gt;0,1,0)+IF(LEN(AL201)&gt;0,1,0)+IF(LEN(AU201)&gt;0,1,0)+IF(LEN(BH201)&gt;0,1,0)+IF(LEN(BU201)&gt;0,1,0))/23,2))</f>
        <v/>
      </c>
      <c r="CA201" s="10" t="str">
        <f aca="false">IF(D201="","",IF(AND(AJ201="Approved",ISERROR(SEARCH("FAIL",BE201))),"Y","N"))</f>
        <v/>
      </c>
      <c r="CB201" s="10" t="str">
        <f aca="false">IF(D201="","",D201&amp;"|"&amp;G201&amp;"|"&amp;H201&amp;"|"&amp;M201&amp;"|"&amp;CA201)</f>
        <v/>
      </c>
    </row>
    <row r="202" customFormat="false" ht="15" hidden="false" customHeight="false" outlineLevel="0" collapsed="false">
      <c r="A202" s="10" t="str">
        <f aca="false">IF(D202="","","DRN-"&amp;IFERROR(VLOOKUP(D202,Lists!$A$4:$B$27,2,0),"??")&amp;"-"&amp;TEXT(G202,"0000")&amp;"x"&amp;TEXT(H202,"0000")&amp;IF(N(I202)&gt;1,"-"&amp;I202&amp;"C","")&amp;"-"&amp;IFERROR(VLOOKUP(M202,Lists!$J$4:$K$19,2,0),"??")&amp;"-"&amp;AI202)</f>
        <v/>
      </c>
      <c r="B202" s="10" t="str">
        <f aca="false">IF(D202="","",D202&amp;" "&amp;G202&amp;"W x "&amp;H202&amp;"D"&amp;IF(N(I202)&gt;1," ("&amp;I202&amp;" cells)","")&amp;", "&amp;E202&amp;", "&amp;M202&amp;", "&amp;F202)</f>
        <v/>
      </c>
      <c r="C202" s="9"/>
      <c r="D202" s="9"/>
      <c r="E202" s="9"/>
      <c r="F202" s="9"/>
      <c r="G202" s="38"/>
      <c r="H202" s="38"/>
      <c r="I202" s="38"/>
      <c r="J202" s="38"/>
      <c r="K202" s="38"/>
      <c r="L202" s="38"/>
      <c r="M202" s="9"/>
      <c r="N202" s="9"/>
      <c r="O202" s="9"/>
      <c r="P202" s="38"/>
      <c r="Q202" s="9"/>
      <c r="R202" s="9"/>
      <c r="S202" s="9"/>
      <c r="T202" s="9"/>
      <c r="U202" s="9"/>
      <c r="V202" s="9"/>
      <c r="W202" s="9"/>
      <c r="X202" s="9"/>
      <c r="Y202" s="9"/>
      <c r="Z202" s="9"/>
      <c r="AA202" s="9"/>
      <c r="AB202" s="39"/>
      <c r="AC202" s="9"/>
      <c r="AD202" s="38"/>
      <c r="AE202" s="9"/>
      <c r="AF202" s="39"/>
      <c r="AG202" s="9"/>
      <c r="AH202" s="9"/>
      <c r="AI202" s="9"/>
      <c r="AJ202" s="9"/>
      <c r="AK202" s="9"/>
      <c r="AL202" s="9"/>
      <c r="AM202" s="9"/>
      <c r="AN202" s="10" t="str">
        <f aca="false">IF(A202="","",SG_Criteria!$B$6&amp;SG_Criteria!$B$7&amp;"\"&amp;A202&amp;"\")</f>
        <v/>
      </c>
      <c r="AO202" s="10" t="str">
        <f aca="false">IF(A202="","",A202&amp;"_CAD.dwg")</f>
        <v/>
      </c>
      <c r="AP202" s="10" t="str">
        <f aca="false">IF(A202="","",A202&amp;"_DWG.pdf")</f>
        <v/>
      </c>
      <c r="AQ202" s="10" t="str">
        <f aca="false">IF(A202="","",IF(AM202="Y",A202&amp;"_STAAD.std","n/a"))</f>
        <v/>
      </c>
      <c r="AR202" s="10" t="str">
        <f aca="false">IF(A202="","",A202&amp;"_CALC.xlsx")</f>
        <v/>
      </c>
      <c r="AS202" s="10" t="str">
        <f aca="false">IF(A202="","",A202&amp;"_CALC.pdf")</f>
        <v/>
      </c>
      <c r="AT202" s="9"/>
      <c r="AU202" s="9"/>
      <c r="AV202" s="39"/>
      <c r="AW202" s="39"/>
      <c r="AX202" s="39"/>
      <c r="AY202" s="39"/>
      <c r="AZ202" s="39"/>
      <c r="BA202" s="12" t="str">
        <f aca="false">IF(A202="","",IF(COUNTIF(Rebar_Schedule!$A$5:$A$2004,A202)=0,"",ROUND(SUMIF(Rebar_Schedule!$A$5:$A$2004,A202,Rebar_Schedule!$K$5:$K$2004),1)))</f>
        <v/>
      </c>
      <c r="BB202" s="33" t="str">
        <f aca="false">IF(A202="","",IF(BA202="","No rebar schedule yet",IF(ABS(BA202-N(AW202))/MAX(N(AW202),1)&gt;SG_Criteria!$B$55,"NOTE: register rebar differs from schedule by "&amp;TEXT(ABS(BA202-N(AW202))/MAX(N(AW202),1),"0%"),"OK")))</f>
        <v/>
      </c>
      <c r="BC202" s="34" t="str">
        <f aca="false">IF(OR(D202="",G202="",H202="",D202="Sump",D202="Drop Inlet Chamber",D202="Silt Trap",D202="Pipe Culvert",D202="Subsoil Drain"),"",ROUND(MAX(1,N(I202))*(1/SG_Criteria!$B$26)*((G202/1000)*(H202/1000*(1-SG_Criteria!$B$25)))*(((G202/1000)*(H202/1000*(1-SG_Criteria!$B$25)))/((G202/1000)+2*(H202/1000*(1-SG_Criteria!$B$25))))^(2/3)*(1/Design_Selector!$B$11)^0.5,3))</f>
        <v/>
      </c>
      <c r="BD202" s="11" t="str">
        <f aca="false">IF(BC202="","",ROUND(BC202/(MAX(1,N(I202))*G202/1000*(H202/1000*(1-SG_Criteria!$B$25))),2))</f>
        <v/>
      </c>
      <c r="BE202" s="33" t="str">
        <f aca="false">IF(D202="","",IF(LEN(IF(AND(OR(E202="Roadside drain",E202="Entrance culvert"),OR(G202&lt;SG_Criteria!$B$15,H202&lt;SG_Criteria!$B$16)),"FAIL: below PUB min "&amp;SG_Criteria!$B$15&amp;"x"&amp;SG_Criteria!$B$16&amp;" for roadside drain. ","")&amp;IF(AND(E202="Common drain",G202&lt;SG_Criteria!$B$17),"FAIL: common drain W &lt; "&amp;SG_Criteria!$B$17&amp;" mm. ","")&amp;IF(AND(O202&lt;&gt;"",IFERROR(VALUE(MID(O202,2,2)),0)&lt;SG_Criteria!$B$19),"FAIL: grade below C"&amp;SG_Criteria!$B$19&amp;". ","")&amp;IF(AND(P202&lt;&gt;"",P202&lt;SG_Criteria!$B$20),"FAIL: cover &lt; "&amp;SG_Criteria!$B$20&amp;" mm. ","")&amp;IF(AND(F202="Open",H202&gt;SG_Criteria!$B$18),"NOTE: safety railing required (D &gt; "&amp;SG_Criteria!$B$18&amp;" mm). ","")&amp;IF(AND(E202="Entrance culvert",H202&lt;600),"NOTE: check hinged grating rule for culverts &lt; 600 deep (PUB Add. 3). ",""))=0,"OK",IF(AND(OR(E202="Roadside drain",E202="Entrance culvert"),OR(G202&lt;SG_Criteria!$B$15,H202&lt;SG_Criteria!$B$16)),"FAIL: below PUB min "&amp;SG_Criteria!$B$15&amp;"x"&amp;SG_Criteria!$B$16&amp;" for roadside drain. ","")&amp;IF(AND(E202="Common drain",G202&lt;SG_Criteria!$B$17),"FAIL: common drain W &lt; "&amp;SG_Criteria!$B$17&amp;" mm. ","")&amp;IF(AND(O202&lt;&gt;"",IFERROR(VALUE(MID(O202,2,2)),0)&lt;SG_Criteria!$B$19),"FAIL: grade below C"&amp;SG_Criteria!$B$19&amp;". ","")&amp;IF(AND(P202&lt;&gt;"",P202&lt;SG_Criteria!$B$20),"FAIL: cover &lt; "&amp;SG_Criteria!$B$20&amp;" mm. ","")&amp;IF(AND(F202="Open",H202&gt;SG_Criteria!$B$18),"NOTE: safety railing required (D &gt; "&amp;SG_Criteria!$B$18&amp;" mm). ","")&amp;IF(AND(E202="Entrance culvert",H202&lt;600),"NOTE: check hinged grating rule for culverts &lt; 600 deep (PUB Add. 3). ","")))</f>
        <v/>
      </c>
      <c r="BF202" s="9"/>
      <c r="BG202" s="9"/>
      <c r="BH202" s="9"/>
      <c r="BI202" s="10" t="str">
        <f aca="false">IF(BH202="","",IFERROR(VLOOKUP(BH202,Projects!$A$5:$D$504,2,0),"Ref not in Projects"))</f>
        <v/>
      </c>
      <c r="BJ202" s="10" t="str">
        <f aca="false">IF(BH202="","",IFERROR(VLOOKUP(BH202,Projects!$A$5:$D$504,4,0),"Ref not in Projects"))</f>
        <v/>
      </c>
      <c r="BK202" s="9"/>
      <c r="BL202" s="9"/>
      <c r="BM202" s="9"/>
      <c r="BN202" s="40"/>
      <c r="BO202" s="9"/>
      <c r="BP202" s="40"/>
      <c r="BQ202" s="9"/>
      <c r="BR202" s="40"/>
      <c r="BS202" s="9"/>
      <c r="BT202" s="9"/>
      <c r="BU202" s="9"/>
      <c r="BV202" s="40"/>
      <c r="BW202" s="40"/>
      <c r="BX202" s="36" t="str">
        <f aca="false">IF(BW202="","",EDATE(BW202,SG_Criteria!$B$54*12))</f>
        <v/>
      </c>
      <c r="BY202" s="33" t="str">
        <f aca="true">IF(A202="","",IF(BW202="","NOTE: not reviewed yet",IF(TODAY()&gt;BX202,"NOTE: review overdue","OK")))</f>
        <v/>
      </c>
      <c r="BZ202" s="37" t="str">
        <f aca="false">IF(A202="","",ROUND((IF(LEN(D202)&gt;0,1,0)+IF(LEN(E202)&gt;0,1,0)+IF(LEN(F202)&gt;0,1,0)+IF(LEN(G202)&gt;0,1,0)+IF(LEN(H202)&gt;0,1,0)+IF(LEN(J202)&gt;0,1,0)+IF(LEN(K202)&gt;0,1,0)+IF(LEN(M202)&gt;0,1,0)+IF(LEN(O202)&gt;0,1,0)+IF(LEN(P202)&gt;0,1,0)+IF(LEN(Q202)&gt;0,1,0)+IF(LEN(S202)&gt;0,1,0)+IF(LEN(AC202)&gt;0,1,0)+IF(LEN(AV202)&gt;0,1,0)+IF(LEN(AW202)&gt;0,1,0)+IF(LEN(AG202)&gt;0,1,0)+IF(LEN(AI202)&gt;0,1,0)+IF(LEN(AJ202)&gt;0,1,0)+IF(LEN(AK202)&gt;0,1,0)+IF(LEN(AL202)&gt;0,1,0)+IF(LEN(AU202)&gt;0,1,0)+IF(LEN(BH202)&gt;0,1,0)+IF(LEN(BU202)&gt;0,1,0))/23,2))</f>
        <v/>
      </c>
      <c r="CA202" s="10" t="str">
        <f aca="false">IF(D202="","",IF(AND(AJ202="Approved",ISERROR(SEARCH("FAIL",BE202))),"Y","N"))</f>
        <v/>
      </c>
      <c r="CB202" s="10" t="str">
        <f aca="false">IF(D202="","",D202&amp;"|"&amp;G202&amp;"|"&amp;H202&amp;"|"&amp;M202&amp;"|"&amp;CA202)</f>
        <v/>
      </c>
    </row>
    <row r="203" customFormat="false" ht="15" hidden="false" customHeight="false" outlineLevel="0" collapsed="false">
      <c r="A203" s="10" t="str">
        <f aca="false">IF(D203="","","DRN-"&amp;IFERROR(VLOOKUP(D203,Lists!$A$4:$B$27,2,0),"??")&amp;"-"&amp;TEXT(G203,"0000")&amp;"x"&amp;TEXT(H203,"0000")&amp;IF(N(I203)&gt;1,"-"&amp;I203&amp;"C","")&amp;"-"&amp;IFERROR(VLOOKUP(M203,Lists!$J$4:$K$19,2,0),"??")&amp;"-"&amp;AI203)</f>
        <v/>
      </c>
      <c r="B203" s="10" t="str">
        <f aca="false">IF(D203="","",D203&amp;" "&amp;G203&amp;"W x "&amp;H203&amp;"D"&amp;IF(N(I203)&gt;1," ("&amp;I203&amp;" cells)","")&amp;", "&amp;E203&amp;", "&amp;M203&amp;", "&amp;F203)</f>
        <v/>
      </c>
      <c r="C203" s="9"/>
      <c r="D203" s="9"/>
      <c r="E203" s="9"/>
      <c r="F203" s="9"/>
      <c r="G203" s="38"/>
      <c r="H203" s="38"/>
      <c r="I203" s="38"/>
      <c r="J203" s="38"/>
      <c r="K203" s="38"/>
      <c r="L203" s="38"/>
      <c r="M203" s="9"/>
      <c r="N203" s="9"/>
      <c r="O203" s="9"/>
      <c r="P203" s="38"/>
      <c r="Q203" s="9"/>
      <c r="R203" s="9"/>
      <c r="S203" s="9"/>
      <c r="T203" s="9"/>
      <c r="U203" s="9"/>
      <c r="V203" s="9"/>
      <c r="W203" s="9"/>
      <c r="X203" s="9"/>
      <c r="Y203" s="9"/>
      <c r="Z203" s="9"/>
      <c r="AA203" s="9"/>
      <c r="AB203" s="39"/>
      <c r="AC203" s="9"/>
      <c r="AD203" s="38"/>
      <c r="AE203" s="9"/>
      <c r="AF203" s="39"/>
      <c r="AG203" s="9"/>
      <c r="AH203" s="9"/>
      <c r="AI203" s="9"/>
      <c r="AJ203" s="9"/>
      <c r="AK203" s="9"/>
      <c r="AL203" s="9"/>
      <c r="AM203" s="9"/>
      <c r="AN203" s="10" t="str">
        <f aca="false">IF(A203="","",SG_Criteria!$B$6&amp;SG_Criteria!$B$7&amp;"\"&amp;A203&amp;"\")</f>
        <v/>
      </c>
      <c r="AO203" s="10" t="str">
        <f aca="false">IF(A203="","",A203&amp;"_CAD.dwg")</f>
        <v/>
      </c>
      <c r="AP203" s="10" t="str">
        <f aca="false">IF(A203="","",A203&amp;"_DWG.pdf")</f>
        <v/>
      </c>
      <c r="AQ203" s="10" t="str">
        <f aca="false">IF(A203="","",IF(AM203="Y",A203&amp;"_STAAD.std","n/a"))</f>
        <v/>
      </c>
      <c r="AR203" s="10" t="str">
        <f aca="false">IF(A203="","",A203&amp;"_CALC.xlsx")</f>
        <v/>
      </c>
      <c r="AS203" s="10" t="str">
        <f aca="false">IF(A203="","",A203&amp;"_CALC.pdf")</f>
        <v/>
      </c>
      <c r="AT203" s="9"/>
      <c r="AU203" s="9"/>
      <c r="AV203" s="39"/>
      <c r="AW203" s="39"/>
      <c r="AX203" s="39"/>
      <c r="AY203" s="39"/>
      <c r="AZ203" s="39"/>
      <c r="BA203" s="12" t="str">
        <f aca="false">IF(A203="","",IF(COUNTIF(Rebar_Schedule!$A$5:$A$2004,A203)=0,"",ROUND(SUMIF(Rebar_Schedule!$A$5:$A$2004,A203,Rebar_Schedule!$K$5:$K$2004),1)))</f>
        <v/>
      </c>
      <c r="BB203" s="33" t="str">
        <f aca="false">IF(A203="","",IF(BA203="","No rebar schedule yet",IF(ABS(BA203-N(AW203))/MAX(N(AW203),1)&gt;SG_Criteria!$B$55,"NOTE: register rebar differs from schedule by "&amp;TEXT(ABS(BA203-N(AW203))/MAX(N(AW203),1),"0%"),"OK")))</f>
        <v/>
      </c>
      <c r="BC203" s="34" t="str">
        <f aca="false">IF(OR(D203="",G203="",H203="",D203="Sump",D203="Drop Inlet Chamber",D203="Silt Trap",D203="Pipe Culvert",D203="Subsoil Drain"),"",ROUND(MAX(1,N(I203))*(1/SG_Criteria!$B$26)*((G203/1000)*(H203/1000*(1-SG_Criteria!$B$25)))*(((G203/1000)*(H203/1000*(1-SG_Criteria!$B$25)))/((G203/1000)+2*(H203/1000*(1-SG_Criteria!$B$25))))^(2/3)*(1/Design_Selector!$B$11)^0.5,3))</f>
        <v/>
      </c>
      <c r="BD203" s="11" t="str">
        <f aca="false">IF(BC203="","",ROUND(BC203/(MAX(1,N(I203))*G203/1000*(H203/1000*(1-SG_Criteria!$B$25))),2))</f>
        <v/>
      </c>
      <c r="BE203" s="33" t="str">
        <f aca="false">IF(D203="","",IF(LEN(IF(AND(OR(E203="Roadside drain",E203="Entrance culvert"),OR(G203&lt;SG_Criteria!$B$15,H203&lt;SG_Criteria!$B$16)),"FAIL: below PUB min "&amp;SG_Criteria!$B$15&amp;"x"&amp;SG_Criteria!$B$16&amp;" for roadside drain. ","")&amp;IF(AND(E203="Common drain",G203&lt;SG_Criteria!$B$17),"FAIL: common drain W &lt; "&amp;SG_Criteria!$B$17&amp;" mm. ","")&amp;IF(AND(O203&lt;&gt;"",IFERROR(VALUE(MID(O203,2,2)),0)&lt;SG_Criteria!$B$19),"FAIL: grade below C"&amp;SG_Criteria!$B$19&amp;". ","")&amp;IF(AND(P203&lt;&gt;"",P203&lt;SG_Criteria!$B$20),"FAIL: cover &lt; "&amp;SG_Criteria!$B$20&amp;" mm. ","")&amp;IF(AND(F203="Open",H203&gt;SG_Criteria!$B$18),"NOTE: safety railing required (D &gt; "&amp;SG_Criteria!$B$18&amp;" mm). ","")&amp;IF(AND(E203="Entrance culvert",H203&lt;600),"NOTE: check hinged grating rule for culverts &lt; 600 deep (PUB Add. 3). ",""))=0,"OK",IF(AND(OR(E203="Roadside drain",E203="Entrance culvert"),OR(G203&lt;SG_Criteria!$B$15,H203&lt;SG_Criteria!$B$16)),"FAIL: below PUB min "&amp;SG_Criteria!$B$15&amp;"x"&amp;SG_Criteria!$B$16&amp;" for roadside drain. ","")&amp;IF(AND(E203="Common drain",G203&lt;SG_Criteria!$B$17),"FAIL: common drain W &lt; "&amp;SG_Criteria!$B$17&amp;" mm. ","")&amp;IF(AND(O203&lt;&gt;"",IFERROR(VALUE(MID(O203,2,2)),0)&lt;SG_Criteria!$B$19),"FAIL: grade below C"&amp;SG_Criteria!$B$19&amp;". ","")&amp;IF(AND(P203&lt;&gt;"",P203&lt;SG_Criteria!$B$20),"FAIL: cover &lt; "&amp;SG_Criteria!$B$20&amp;" mm. ","")&amp;IF(AND(F203="Open",H203&gt;SG_Criteria!$B$18),"NOTE: safety railing required (D &gt; "&amp;SG_Criteria!$B$18&amp;" mm). ","")&amp;IF(AND(E203="Entrance culvert",H203&lt;600),"NOTE: check hinged grating rule for culverts &lt; 600 deep (PUB Add. 3). ","")))</f>
        <v/>
      </c>
      <c r="BF203" s="9"/>
      <c r="BG203" s="9"/>
      <c r="BH203" s="9"/>
      <c r="BI203" s="10" t="str">
        <f aca="false">IF(BH203="","",IFERROR(VLOOKUP(BH203,Projects!$A$5:$D$504,2,0),"Ref not in Projects"))</f>
        <v/>
      </c>
      <c r="BJ203" s="10" t="str">
        <f aca="false">IF(BH203="","",IFERROR(VLOOKUP(BH203,Projects!$A$5:$D$504,4,0),"Ref not in Projects"))</f>
        <v/>
      </c>
      <c r="BK203" s="9"/>
      <c r="BL203" s="9"/>
      <c r="BM203" s="9"/>
      <c r="BN203" s="40"/>
      <c r="BO203" s="9"/>
      <c r="BP203" s="40"/>
      <c r="BQ203" s="9"/>
      <c r="BR203" s="40"/>
      <c r="BS203" s="9"/>
      <c r="BT203" s="9"/>
      <c r="BU203" s="9"/>
      <c r="BV203" s="40"/>
      <c r="BW203" s="40"/>
      <c r="BX203" s="36" t="str">
        <f aca="false">IF(BW203="","",EDATE(BW203,SG_Criteria!$B$54*12))</f>
        <v/>
      </c>
      <c r="BY203" s="33" t="str">
        <f aca="true">IF(A203="","",IF(BW203="","NOTE: not reviewed yet",IF(TODAY()&gt;BX203,"NOTE: review overdue","OK")))</f>
        <v/>
      </c>
      <c r="BZ203" s="37" t="str">
        <f aca="false">IF(A203="","",ROUND((IF(LEN(D203)&gt;0,1,0)+IF(LEN(E203)&gt;0,1,0)+IF(LEN(F203)&gt;0,1,0)+IF(LEN(G203)&gt;0,1,0)+IF(LEN(H203)&gt;0,1,0)+IF(LEN(J203)&gt;0,1,0)+IF(LEN(K203)&gt;0,1,0)+IF(LEN(M203)&gt;0,1,0)+IF(LEN(O203)&gt;0,1,0)+IF(LEN(P203)&gt;0,1,0)+IF(LEN(Q203)&gt;0,1,0)+IF(LEN(S203)&gt;0,1,0)+IF(LEN(AC203)&gt;0,1,0)+IF(LEN(AV203)&gt;0,1,0)+IF(LEN(AW203)&gt;0,1,0)+IF(LEN(AG203)&gt;0,1,0)+IF(LEN(AI203)&gt;0,1,0)+IF(LEN(AJ203)&gt;0,1,0)+IF(LEN(AK203)&gt;0,1,0)+IF(LEN(AL203)&gt;0,1,0)+IF(LEN(AU203)&gt;0,1,0)+IF(LEN(BH203)&gt;0,1,0)+IF(LEN(BU203)&gt;0,1,0))/23,2))</f>
        <v/>
      </c>
      <c r="CA203" s="10" t="str">
        <f aca="false">IF(D203="","",IF(AND(AJ203="Approved",ISERROR(SEARCH("FAIL",BE203))),"Y","N"))</f>
        <v/>
      </c>
      <c r="CB203" s="10" t="str">
        <f aca="false">IF(D203="","",D203&amp;"|"&amp;G203&amp;"|"&amp;H203&amp;"|"&amp;M203&amp;"|"&amp;CA203)</f>
        <v/>
      </c>
    </row>
    <row r="204" customFormat="false" ht="15" hidden="false" customHeight="false" outlineLevel="0" collapsed="false">
      <c r="A204" s="10" t="str">
        <f aca="false">IF(D204="","","DRN-"&amp;IFERROR(VLOOKUP(D204,Lists!$A$4:$B$27,2,0),"??")&amp;"-"&amp;TEXT(G204,"0000")&amp;"x"&amp;TEXT(H204,"0000")&amp;IF(N(I204)&gt;1,"-"&amp;I204&amp;"C","")&amp;"-"&amp;IFERROR(VLOOKUP(M204,Lists!$J$4:$K$19,2,0),"??")&amp;"-"&amp;AI204)</f>
        <v/>
      </c>
      <c r="B204" s="10" t="str">
        <f aca="false">IF(D204="","",D204&amp;" "&amp;G204&amp;"W x "&amp;H204&amp;"D"&amp;IF(N(I204)&gt;1," ("&amp;I204&amp;" cells)","")&amp;", "&amp;E204&amp;", "&amp;M204&amp;", "&amp;F204)</f>
        <v/>
      </c>
      <c r="C204" s="9"/>
      <c r="D204" s="9"/>
      <c r="E204" s="9"/>
      <c r="F204" s="9"/>
      <c r="G204" s="38"/>
      <c r="H204" s="38"/>
      <c r="I204" s="38"/>
      <c r="J204" s="38"/>
      <c r="K204" s="38"/>
      <c r="L204" s="38"/>
      <c r="M204" s="9"/>
      <c r="N204" s="9"/>
      <c r="O204" s="9"/>
      <c r="P204" s="38"/>
      <c r="Q204" s="9"/>
      <c r="R204" s="9"/>
      <c r="S204" s="9"/>
      <c r="T204" s="9"/>
      <c r="U204" s="9"/>
      <c r="V204" s="9"/>
      <c r="W204" s="9"/>
      <c r="X204" s="9"/>
      <c r="Y204" s="9"/>
      <c r="Z204" s="9"/>
      <c r="AA204" s="9"/>
      <c r="AB204" s="39"/>
      <c r="AC204" s="9"/>
      <c r="AD204" s="38"/>
      <c r="AE204" s="9"/>
      <c r="AF204" s="39"/>
      <c r="AG204" s="9"/>
      <c r="AH204" s="9"/>
      <c r="AI204" s="9"/>
      <c r="AJ204" s="9"/>
      <c r="AK204" s="9"/>
      <c r="AL204" s="9"/>
      <c r="AM204" s="9"/>
      <c r="AN204" s="10" t="str">
        <f aca="false">IF(A204="","",SG_Criteria!$B$6&amp;SG_Criteria!$B$7&amp;"\"&amp;A204&amp;"\")</f>
        <v/>
      </c>
      <c r="AO204" s="10" t="str">
        <f aca="false">IF(A204="","",A204&amp;"_CAD.dwg")</f>
        <v/>
      </c>
      <c r="AP204" s="10" t="str">
        <f aca="false">IF(A204="","",A204&amp;"_DWG.pdf")</f>
        <v/>
      </c>
      <c r="AQ204" s="10" t="str">
        <f aca="false">IF(A204="","",IF(AM204="Y",A204&amp;"_STAAD.std","n/a"))</f>
        <v/>
      </c>
      <c r="AR204" s="10" t="str">
        <f aca="false">IF(A204="","",A204&amp;"_CALC.xlsx")</f>
        <v/>
      </c>
      <c r="AS204" s="10" t="str">
        <f aca="false">IF(A204="","",A204&amp;"_CALC.pdf")</f>
        <v/>
      </c>
      <c r="AT204" s="9"/>
      <c r="AU204" s="9"/>
      <c r="AV204" s="39"/>
      <c r="AW204" s="39"/>
      <c r="AX204" s="39"/>
      <c r="AY204" s="39"/>
      <c r="AZ204" s="39"/>
      <c r="BA204" s="12" t="str">
        <f aca="false">IF(A204="","",IF(COUNTIF(Rebar_Schedule!$A$5:$A$2004,A204)=0,"",ROUND(SUMIF(Rebar_Schedule!$A$5:$A$2004,A204,Rebar_Schedule!$K$5:$K$2004),1)))</f>
        <v/>
      </c>
      <c r="BB204" s="33" t="str">
        <f aca="false">IF(A204="","",IF(BA204="","No rebar schedule yet",IF(ABS(BA204-N(AW204))/MAX(N(AW204),1)&gt;SG_Criteria!$B$55,"NOTE: register rebar differs from schedule by "&amp;TEXT(ABS(BA204-N(AW204))/MAX(N(AW204),1),"0%"),"OK")))</f>
        <v/>
      </c>
      <c r="BC204" s="34" t="str">
        <f aca="false">IF(OR(D204="",G204="",H204="",D204="Sump",D204="Drop Inlet Chamber",D204="Silt Trap",D204="Pipe Culvert",D204="Subsoil Drain"),"",ROUND(MAX(1,N(I204))*(1/SG_Criteria!$B$26)*((G204/1000)*(H204/1000*(1-SG_Criteria!$B$25)))*(((G204/1000)*(H204/1000*(1-SG_Criteria!$B$25)))/((G204/1000)+2*(H204/1000*(1-SG_Criteria!$B$25))))^(2/3)*(1/Design_Selector!$B$11)^0.5,3))</f>
        <v/>
      </c>
      <c r="BD204" s="11" t="str">
        <f aca="false">IF(BC204="","",ROUND(BC204/(MAX(1,N(I204))*G204/1000*(H204/1000*(1-SG_Criteria!$B$25))),2))</f>
        <v/>
      </c>
      <c r="BE204" s="33" t="str">
        <f aca="false">IF(D204="","",IF(LEN(IF(AND(OR(E204="Roadside drain",E204="Entrance culvert"),OR(G204&lt;SG_Criteria!$B$15,H204&lt;SG_Criteria!$B$16)),"FAIL: below PUB min "&amp;SG_Criteria!$B$15&amp;"x"&amp;SG_Criteria!$B$16&amp;" for roadside drain. ","")&amp;IF(AND(E204="Common drain",G204&lt;SG_Criteria!$B$17),"FAIL: common drain W &lt; "&amp;SG_Criteria!$B$17&amp;" mm. ","")&amp;IF(AND(O204&lt;&gt;"",IFERROR(VALUE(MID(O204,2,2)),0)&lt;SG_Criteria!$B$19),"FAIL: grade below C"&amp;SG_Criteria!$B$19&amp;". ","")&amp;IF(AND(P204&lt;&gt;"",P204&lt;SG_Criteria!$B$20),"FAIL: cover &lt; "&amp;SG_Criteria!$B$20&amp;" mm. ","")&amp;IF(AND(F204="Open",H204&gt;SG_Criteria!$B$18),"NOTE: safety railing required (D &gt; "&amp;SG_Criteria!$B$18&amp;" mm). ","")&amp;IF(AND(E204="Entrance culvert",H204&lt;600),"NOTE: check hinged grating rule for culverts &lt; 600 deep (PUB Add. 3). ",""))=0,"OK",IF(AND(OR(E204="Roadside drain",E204="Entrance culvert"),OR(G204&lt;SG_Criteria!$B$15,H204&lt;SG_Criteria!$B$16)),"FAIL: below PUB min "&amp;SG_Criteria!$B$15&amp;"x"&amp;SG_Criteria!$B$16&amp;" for roadside drain. ","")&amp;IF(AND(E204="Common drain",G204&lt;SG_Criteria!$B$17),"FAIL: common drain W &lt; "&amp;SG_Criteria!$B$17&amp;" mm. ","")&amp;IF(AND(O204&lt;&gt;"",IFERROR(VALUE(MID(O204,2,2)),0)&lt;SG_Criteria!$B$19),"FAIL: grade below C"&amp;SG_Criteria!$B$19&amp;". ","")&amp;IF(AND(P204&lt;&gt;"",P204&lt;SG_Criteria!$B$20),"FAIL: cover &lt; "&amp;SG_Criteria!$B$20&amp;" mm. ","")&amp;IF(AND(F204="Open",H204&gt;SG_Criteria!$B$18),"NOTE: safety railing required (D &gt; "&amp;SG_Criteria!$B$18&amp;" mm). ","")&amp;IF(AND(E204="Entrance culvert",H204&lt;600),"NOTE: check hinged grating rule for culverts &lt; 600 deep (PUB Add. 3). ","")))</f>
        <v/>
      </c>
      <c r="BF204" s="9"/>
      <c r="BG204" s="9"/>
      <c r="BH204" s="9"/>
      <c r="BI204" s="10" t="str">
        <f aca="false">IF(BH204="","",IFERROR(VLOOKUP(BH204,Projects!$A$5:$D$504,2,0),"Ref not in Projects"))</f>
        <v/>
      </c>
      <c r="BJ204" s="10" t="str">
        <f aca="false">IF(BH204="","",IFERROR(VLOOKUP(BH204,Projects!$A$5:$D$504,4,0),"Ref not in Projects"))</f>
        <v/>
      </c>
      <c r="BK204" s="9"/>
      <c r="BL204" s="9"/>
      <c r="BM204" s="9"/>
      <c r="BN204" s="40"/>
      <c r="BO204" s="9"/>
      <c r="BP204" s="40"/>
      <c r="BQ204" s="9"/>
      <c r="BR204" s="40"/>
      <c r="BS204" s="9"/>
      <c r="BT204" s="9"/>
      <c r="BU204" s="9"/>
      <c r="BV204" s="40"/>
      <c r="BW204" s="40"/>
      <c r="BX204" s="36" t="str">
        <f aca="false">IF(BW204="","",EDATE(BW204,SG_Criteria!$B$54*12))</f>
        <v/>
      </c>
      <c r="BY204" s="33" t="str">
        <f aca="true">IF(A204="","",IF(BW204="","NOTE: not reviewed yet",IF(TODAY()&gt;BX204,"NOTE: review overdue","OK")))</f>
        <v/>
      </c>
      <c r="BZ204" s="37" t="str">
        <f aca="false">IF(A204="","",ROUND((IF(LEN(D204)&gt;0,1,0)+IF(LEN(E204)&gt;0,1,0)+IF(LEN(F204)&gt;0,1,0)+IF(LEN(G204)&gt;0,1,0)+IF(LEN(H204)&gt;0,1,0)+IF(LEN(J204)&gt;0,1,0)+IF(LEN(K204)&gt;0,1,0)+IF(LEN(M204)&gt;0,1,0)+IF(LEN(O204)&gt;0,1,0)+IF(LEN(P204)&gt;0,1,0)+IF(LEN(Q204)&gt;0,1,0)+IF(LEN(S204)&gt;0,1,0)+IF(LEN(AC204)&gt;0,1,0)+IF(LEN(AV204)&gt;0,1,0)+IF(LEN(AW204)&gt;0,1,0)+IF(LEN(AG204)&gt;0,1,0)+IF(LEN(AI204)&gt;0,1,0)+IF(LEN(AJ204)&gt;0,1,0)+IF(LEN(AK204)&gt;0,1,0)+IF(LEN(AL204)&gt;0,1,0)+IF(LEN(AU204)&gt;0,1,0)+IF(LEN(BH204)&gt;0,1,0)+IF(LEN(BU204)&gt;0,1,0))/23,2))</f>
        <v/>
      </c>
      <c r="CA204" s="10" t="str">
        <f aca="false">IF(D204="","",IF(AND(AJ204="Approved",ISERROR(SEARCH("FAIL",BE204))),"Y","N"))</f>
        <v/>
      </c>
      <c r="CB204" s="10" t="str">
        <f aca="false">IF(D204="","",D204&amp;"|"&amp;G204&amp;"|"&amp;H204&amp;"|"&amp;M204&amp;"|"&amp;CA204)</f>
        <v/>
      </c>
    </row>
    <row r="205" customFormat="false" ht="15" hidden="false" customHeight="false" outlineLevel="0" collapsed="false">
      <c r="A205" s="10" t="str">
        <f aca="false">IF(D205="","","DRN-"&amp;IFERROR(VLOOKUP(D205,Lists!$A$4:$B$27,2,0),"??")&amp;"-"&amp;TEXT(G205,"0000")&amp;"x"&amp;TEXT(H205,"0000")&amp;IF(N(I205)&gt;1,"-"&amp;I205&amp;"C","")&amp;"-"&amp;IFERROR(VLOOKUP(M205,Lists!$J$4:$K$19,2,0),"??")&amp;"-"&amp;AI205)</f>
        <v/>
      </c>
      <c r="B205" s="10" t="str">
        <f aca="false">IF(D205="","",D205&amp;" "&amp;G205&amp;"W x "&amp;H205&amp;"D"&amp;IF(N(I205)&gt;1," ("&amp;I205&amp;" cells)","")&amp;", "&amp;E205&amp;", "&amp;M205&amp;", "&amp;F205)</f>
        <v/>
      </c>
      <c r="C205" s="9"/>
      <c r="D205" s="9"/>
      <c r="E205" s="9"/>
      <c r="F205" s="9"/>
      <c r="G205" s="38"/>
      <c r="H205" s="38"/>
      <c r="I205" s="38"/>
      <c r="J205" s="38"/>
      <c r="K205" s="38"/>
      <c r="L205" s="38"/>
      <c r="M205" s="9"/>
      <c r="N205" s="9"/>
      <c r="O205" s="9"/>
      <c r="P205" s="38"/>
      <c r="Q205" s="9"/>
      <c r="R205" s="9"/>
      <c r="S205" s="9"/>
      <c r="T205" s="9"/>
      <c r="U205" s="9"/>
      <c r="V205" s="9"/>
      <c r="W205" s="9"/>
      <c r="X205" s="9"/>
      <c r="Y205" s="9"/>
      <c r="Z205" s="9"/>
      <c r="AA205" s="9"/>
      <c r="AB205" s="39"/>
      <c r="AC205" s="9"/>
      <c r="AD205" s="38"/>
      <c r="AE205" s="9"/>
      <c r="AF205" s="39"/>
      <c r="AG205" s="9"/>
      <c r="AH205" s="9"/>
      <c r="AI205" s="9"/>
      <c r="AJ205" s="9"/>
      <c r="AK205" s="9"/>
      <c r="AL205" s="9"/>
      <c r="AM205" s="9"/>
      <c r="AN205" s="10" t="str">
        <f aca="false">IF(A205="","",SG_Criteria!$B$6&amp;SG_Criteria!$B$7&amp;"\"&amp;A205&amp;"\")</f>
        <v/>
      </c>
      <c r="AO205" s="10" t="str">
        <f aca="false">IF(A205="","",A205&amp;"_CAD.dwg")</f>
        <v/>
      </c>
      <c r="AP205" s="10" t="str">
        <f aca="false">IF(A205="","",A205&amp;"_DWG.pdf")</f>
        <v/>
      </c>
      <c r="AQ205" s="10" t="str">
        <f aca="false">IF(A205="","",IF(AM205="Y",A205&amp;"_STAAD.std","n/a"))</f>
        <v/>
      </c>
      <c r="AR205" s="10" t="str">
        <f aca="false">IF(A205="","",A205&amp;"_CALC.xlsx")</f>
        <v/>
      </c>
      <c r="AS205" s="10" t="str">
        <f aca="false">IF(A205="","",A205&amp;"_CALC.pdf")</f>
        <v/>
      </c>
      <c r="AT205" s="9"/>
      <c r="AU205" s="9"/>
      <c r="AV205" s="39"/>
      <c r="AW205" s="39"/>
      <c r="AX205" s="39"/>
      <c r="AY205" s="39"/>
      <c r="AZ205" s="39"/>
      <c r="BA205" s="12" t="str">
        <f aca="false">IF(A205="","",IF(COUNTIF(Rebar_Schedule!$A$5:$A$2004,A205)=0,"",ROUND(SUMIF(Rebar_Schedule!$A$5:$A$2004,A205,Rebar_Schedule!$K$5:$K$2004),1)))</f>
        <v/>
      </c>
      <c r="BB205" s="33" t="str">
        <f aca="false">IF(A205="","",IF(BA205="","No rebar schedule yet",IF(ABS(BA205-N(AW205))/MAX(N(AW205),1)&gt;SG_Criteria!$B$55,"NOTE: register rebar differs from schedule by "&amp;TEXT(ABS(BA205-N(AW205))/MAX(N(AW205),1),"0%"),"OK")))</f>
        <v/>
      </c>
      <c r="BC205" s="34" t="str">
        <f aca="false">IF(OR(D205="",G205="",H205="",D205="Sump",D205="Drop Inlet Chamber",D205="Silt Trap",D205="Pipe Culvert",D205="Subsoil Drain"),"",ROUND(MAX(1,N(I205))*(1/SG_Criteria!$B$26)*((G205/1000)*(H205/1000*(1-SG_Criteria!$B$25)))*(((G205/1000)*(H205/1000*(1-SG_Criteria!$B$25)))/((G205/1000)+2*(H205/1000*(1-SG_Criteria!$B$25))))^(2/3)*(1/Design_Selector!$B$11)^0.5,3))</f>
        <v/>
      </c>
      <c r="BD205" s="11" t="str">
        <f aca="false">IF(BC205="","",ROUND(BC205/(MAX(1,N(I205))*G205/1000*(H205/1000*(1-SG_Criteria!$B$25))),2))</f>
        <v/>
      </c>
      <c r="BE205" s="33" t="str">
        <f aca="false">IF(D205="","",IF(LEN(IF(AND(OR(E205="Roadside drain",E205="Entrance culvert"),OR(G205&lt;SG_Criteria!$B$15,H205&lt;SG_Criteria!$B$16)),"FAIL: below PUB min "&amp;SG_Criteria!$B$15&amp;"x"&amp;SG_Criteria!$B$16&amp;" for roadside drain. ","")&amp;IF(AND(E205="Common drain",G205&lt;SG_Criteria!$B$17),"FAIL: common drain W &lt; "&amp;SG_Criteria!$B$17&amp;" mm. ","")&amp;IF(AND(O205&lt;&gt;"",IFERROR(VALUE(MID(O205,2,2)),0)&lt;SG_Criteria!$B$19),"FAIL: grade below C"&amp;SG_Criteria!$B$19&amp;". ","")&amp;IF(AND(P205&lt;&gt;"",P205&lt;SG_Criteria!$B$20),"FAIL: cover &lt; "&amp;SG_Criteria!$B$20&amp;" mm. ","")&amp;IF(AND(F205="Open",H205&gt;SG_Criteria!$B$18),"NOTE: safety railing required (D &gt; "&amp;SG_Criteria!$B$18&amp;" mm). ","")&amp;IF(AND(E205="Entrance culvert",H205&lt;600),"NOTE: check hinged grating rule for culverts &lt; 600 deep (PUB Add. 3). ",""))=0,"OK",IF(AND(OR(E205="Roadside drain",E205="Entrance culvert"),OR(G205&lt;SG_Criteria!$B$15,H205&lt;SG_Criteria!$B$16)),"FAIL: below PUB min "&amp;SG_Criteria!$B$15&amp;"x"&amp;SG_Criteria!$B$16&amp;" for roadside drain. ","")&amp;IF(AND(E205="Common drain",G205&lt;SG_Criteria!$B$17),"FAIL: common drain W &lt; "&amp;SG_Criteria!$B$17&amp;" mm. ","")&amp;IF(AND(O205&lt;&gt;"",IFERROR(VALUE(MID(O205,2,2)),0)&lt;SG_Criteria!$B$19),"FAIL: grade below C"&amp;SG_Criteria!$B$19&amp;". ","")&amp;IF(AND(P205&lt;&gt;"",P205&lt;SG_Criteria!$B$20),"FAIL: cover &lt; "&amp;SG_Criteria!$B$20&amp;" mm. ","")&amp;IF(AND(F205="Open",H205&gt;SG_Criteria!$B$18),"NOTE: safety railing required (D &gt; "&amp;SG_Criteria!$B$18&amp;" mm). ","")&amp;IF(AND(E205="Entrance culvert",H205&lt;600),"NOTE: check hinged grating rule for culverts &lt; 600 deep (PUB Add. 3). ","")))</f>
        <v/>
      </c>
      <c r="BF205" s="9"/>
      <c r="BG205" s="9"/>
      <c r="BH205" s="9"/>
      <c r="BI205" s="10" t="str">
        <f aca="false">IF(BH205="","",IFERROR(VLOOKUP(BH205,Projects!$A$5:$D$504,2,0),"Ref not in Projects"))</f>
        <v/>
      </c>
      <c r="BJ205" s="10" t="str">
        <f aca="false">IF(BH205="","",IFERROR(VLOOKUP(BH205,Projects!$A$5:$D$504,4,0),"Ref not in Projects"))</f>
        <v/>
      </c>
      <c r="BK205" s="9"/>
      <c r="BL205" s="9"/>
      <c r="BM205" s="9"/>
      <c r="BN205" s="40"/>
      <c r="BO205" s="9"/>
      <c r="BP205" s="40"/>
      <c r="BQ205" s="9"/>
      <c r="BR205" s="40"/>
      <c r="BS205" s="9"/>
      <c r="BT205" s="9"/>
      <c r="BU205" s="9"/>
      <c r="BV205" s="40"/>
      <c r="BW205" s="40"/>
      <c r="BX205" s="36" t="str">
        <f aca="false">IF(BW205="","",EDATE(BW205,SG_Criteria!$B$54*12))</f>
        <v/>
      </c>
      <c r="BY205" s="33" t="str">
        <f aca="true">IF(A205="","",IF(BW205="","NOTE: not reviewed yet",IF(TODAY()&gt;BX205,"NOTE: review overdue","OK")))</f>
        <v/>
      </c>
      <c r="BZ205" s="37" t="str">
        <f aca="false">IF(A205="","",ROUND((IF(LEN(D205)&gt;0,1,0)+IF(LEN(E205)&gt;0,1,0)+IF(LEN(F205)&gt;0,1,0)+IF(LEN(G205)&gt;0,1,0)+IF(LEN(H205)&gt;0,1,0)+IF(LEN(J205)&gt;0,1,0)+IF(LEN(K205)&gt;0,1,0)+IF(LEN(M205)&gt;0,1,0)+IF(LEN(O205)&gt;0,1,0)+IF(LEN(P205)&gt;0,1,0)+IF(LEN(Q205)&gt;0,1,0)+IF(LEN(S205)&gt;0,1,0)+IF(LEN(AC205)&gt;0,1,0)+IF(LEN(AV205)&gt;0,1,0)+IF(LEN(AW205)&gt;0,1,0)+IF(LEN(AG205)&gt;0,1,0)+IF(LEN(AI205)&gt;0,1,0)+IF(LEN(AJ205)&gt;0,1,0)+IF(LEN(AK205)&gt;0,1,0)+IF(LEN(AL205)&gt;0,1,0)+IF(LEN(AU205)&gt;0,1,0)+IF(LEN(BH205)&gt;0,1,0)+IF(LEN(BU205)&gt;0,1,0))/23,2))</f>
        <v/>
      </c>
      <c r="CA205" s="10" t="str">
        <f aca="false">IF(D205="","",IF(AND(AJ205="Approved",ISERROR(SEARCH("FAIL",BE205))),"Y","N"))</f>
        <v/>
      </c>
      <c r="CB205" s="10" t="str">
        <f aca="false">IF(D205="","",D205&amp;"|"&amp;G205&amp;"|"&amp;H205&amp;"|"&amp;M205&amp;"|"&amp;CA205)</f>
        <v/>
      </c>
    </row>
    <row r="206" customFormat="false" ht="15" hidden="false" customHeight="false" outlineLevel="0" collapsed="false">
      <c r="A206" s="10" t="str">
        <f aca="false">IF(D206="","","DRN-"&amp;IFERROR(VLOOKUP(D206,Lists!$A$4:$B$27,2,0),"??")&amp;"-"&amp;TEXT(G206,"0000")&amp;"x"&amp;TEXT(H206,"0000")&amp;IF(N(I206)&gt;1,"-"&amp;I206&amp;"C","")&amp;"-"&amp;IFERROR(VLOOKUP(M206,Lists!$J$4:$K$19,2,0),"??")&amp;"-"&amp;AI206)</f>
        <v/>
      </c>
      <c r="B206" s="10" t="str">
        <f aca="false">IF(D206="","",D206&amp;" "&amp;G206&amp;"W x "&amp;H206&amp;"D"&amp;IF(N(I206)&gt;1," ("&amp;I206&amp;" cells)","")&amp;", "&amp;E206&amp;", "&amp;M206&amp;", "&amp;F206)</f>
        <v/>
      </c>
      <c r="C206" s="9"/>
      <c r="D206" s="9"/>
      <c r="E206" s="9"/>
      <c r="F206" s="9"/>
      <c r="G206" s="38"/>
      <c r="H206" s="38"/>
      <c r="I206" s="38"/>
      <c r="J206" s="38"/>
      <c r="K206" s="38"/>
      <c r="L206" s="38"/>
      <c r="M206" s="9"/>
      <c r="N206" s="9"/>
      <c r="O206" s="9"/>
      <c r="P206" s="38"/>
      <c r="Q206" s="9"/>
      <c r="R206" s="9"/>
      <c r="S206" s="9"/>
      <c r="T206" s="9"/>
      <c r="U206" s="9"/>
      <c r="V206" s="9"/>
      <c r="W206" s="9"/>
      <c r="X206" s="9"/>
      <c r="Y206" s="9"/>
      <c r="Z206" s="9"/>
      <c r="AA206" s="9"/>
      <c r="AB206" s="39"/>
      <c r="AC206" s="9"/>
      <c r="AD206" s="38"/>
      <c r="AE206" s="9"/>
      <c r="AF206" s="39"/>
      <c r="AG206" s="9"/>
      <c r="AH206" s="9"/>
      <c r="AI206" s="9"/>
      <c r="AJ206" s="9"/>
      <c r="AK206" s="9"/>
      <c r="AL206" s="9"/>
      <c r="AM206" s="9"/>
      <c r="AN206" s="10" t="str">
        <f aca="false">IF(A206="","",SG_Criteria!$B$6&amp;SG_Criteria!$B$7&amp;"\"&amp;A206&amp;"\")</f>
        <v/>
      </c>
      <c r="AO206" s="10" t="str">
        <f aca="false">IF(A206="","",A206&amp;"_CAD.dwg")</f>
        <v/>
      </c>
      <c r="AP206" s="10" t="str">
        <f aca="false">IF(A206="","",A206&amp;"_DWG.pdf")</f>
        <v/>
      </c>
      <c r="AQ206" s="10" t="str">
        <f aca="false">IF(A206="","",IF(AM206="Y",A206&amp;"_STAAD.std","n/a"))</f>
        <v/>
      </c>
      <c r="AR206" s="10" t="str">
        <f aca="false">IF(A206="","",A206&amp;"_CALC.xlsx")</f>
        <v/>
      </c>
      <c r="AS206" s="10" t="str">
        <f aca="false">IF(A206="","",A206&amp;"_CALC.pdf")</f>
        <v/>
      </c>
      <c r="AT206" s="9"/>
      <c r="AU206" s="9"/>
      <c r="AV206" s="39"/>
      <c r="AW206" s="39"/>
      <c r="AX206" s="39"/>
      <c r="AY206" s="39"/>
      <c r="AZ206" s="39"/>
      <c r="BA206" s="12" t="str">
        <f aca="false">IF(A206="","",IF(COUNTIF(Rebar_Schedule!$A$5:$A$2004,A206)=0,"",ROUND(SUMIF(Rebar_Schedule!$A$5:$A$2004,A206,Rebar_Schedule!$K$5:$K$2004),1)))</f>
        <v/>
      </c>
      <c r="BB206" s="33" t="str">
        <f aca="false">IF(A206="","",IF(BA206="","No rebar schedule yet",IF(ABS(BA206-N(AW206))/MAX(N(AW206),1)&gt;SG_Criteria!$B$55,"NOTE: register rebar differs from schedule by "&amp;TEXT(ABS(BA206-N(AW206))/MAX(N(AW206),1),"0%"),"OK")))</f>
        <v/>
      </c>
      <c r="BC206" s="34" t="str">
        <f aca="false">IF(OR(D206="",G206="",H206="",D206="Sump",D206="Drop Inlet Chamber",D206="Silt Trap",D206="Pipe Culvert",D206="Subsoil Drain"),"",ROUND(MAX(1,N(I206))*(1/SG_Criteria!$B$26)*((G206/1000)*(H206/1000*(1-SG_Criteria!$B$25)))*(((G206/1000)*(H206/1000*(1-SG_Criteria!$B$25)))/((G206/1000)+2*(H206/1000*(1-SG_Criteria!$B$25))))^(2/3)*(1/Design_Selector!$B$11)^0.5,3))</f>
        <v/>
      </c>
      <c r="BD206" s="11" t="str">
        <f aca="false">IF(BC206="","",ROUND(BC206/(MAX(1,N(I206))*G206/1000*(H206/1000*(1-SG_Criteria!$B$25))),2))</f>
        <v/>
      </c>
      <c r="BE206" s="33" t="str">
        <f aca="false">IF(D206="","",IF(LEN(IF(AND(OR(E206="Roadside drain",E206="Entrance culvert"),OR(G206&lt;SG_Criteria!$B$15,H206&lt;SG_Criteria!$B$16)),"FAIL: below PUB min "&amp;SG_Criteria!$B$15&amp;"x"&amp;SG_Criteria!$B$16&amp;" for roadside drain. ","")&amp;IF(AND(E206="Common drain",G206&lt;SG_Criteria!$B$17),"FAIL: common drain W &lt; "&amp;SG_Criteria!$B$17&amp;" mm. ","")&amp;IF(AND(O206&lt;&gt;"",IFERROR(VALUE(MID(O206,2,2)),0)&lt;SG_Criteria!$B$19),"FAIL: grade below C"&amp;SG_Criteria!$B$19&amp;". ","")&amp;IF(AND(P206&lt;&gt;"",P206&lt;SG_Criteria!$B$20),"FAIL: cover &lt; "&amp;SG_Criteria!$B$20&amp;" mm. ","")&amp;IF(AND(F206="Open",H206&gt;SG_Criteria!$B$18),"NOTE: safety railing required (D &gt; "&amp;SG_Criteria!$B$18&amp;" mm). ","")&amp;IF(AND(E206="Entrance culvert",H206&lt;600),"NOTE: check hinged grating rule for culverts &lt; 600 deep (PUB Add. 3). ",""))=0,"OK",IF(AND(OR(E206="Roadside drain",E206="Entrance culvert"),OR(G206&lt;SG_Criteria!$B$15,H206&lt;SG_Criteria!$B$16)),"FAIL: below PUB min "&amp;SG_Criteria!$B$15&amp;"x"&amp;SG_Criteria!$B$16&amp;" for roadside drain. ","")&amp;IF(AND(E206="Common drain",G206&lt;SG_Criteria!$B$17),"FAIL: common drain W &lt; "&amp;SG_Criteria!$B$17&amp;" mm. ","")&amp;IF(AND(O206&lt;&gt;"",IFERROR(VALUE(MID(O206,2,2)),0)&lt;SG_Criteria!$B$19),"FAIL: grade below C"&amp;SG_Criteria!$B$19&amp;". ","")&amp;IF(AND(P206&lt;&gt;"",P206&lt;SG_Criteria!$B$20),"FAIL: cover &lt; "&amp;SG_Criteria!$B$20&amp;" mm. ","")&amp;IF(AND(F206="Open",H206&gt;SG_Criteria!$B$18),"NOTE: safety railing required (D &gt; "&amp;SG_Criteria!$B$18&amp;" mm). ","")&amp;IF(AND(E206="Entrance culvert",H206&lt;600),"NOTE: check hinged grating rule for culverts &lt; 600 deep (PUB Add. 3). ","")))</f>
        <v/>
      </c>
      <c r="BF206" s="9"/>
      <c r="BG206" s="9"/>
      <c r="BH206" s="9"/>
      <c r="BI206" s="10" t="str">
        <f aca="false">IF(BH206="","",IFERROR(VLOOKUP(BH206,Projects!$A$5:$D$504,2,0),"Ref not in Projects"))</f>
        <v/>
      </c>
      <c r="BJ206" s="10" t="str">
        <f aca="false">IF(BH206="","",IFERROR(VLOOKUP(BH206,Projects!$A$5:$D$504,4,0),"Ref not in Projects"))</f>
        <v/>
      </c>
      <c r="BK206" s="9"/>
      <c r="BL206" s="9"/>
      <c r="BM206" s="9"/>
      <c r="BN206" s="40"/>
      <c r="BO206" s="9"/>
      <c r="BP206" s="40"/>
      <c r="BQ206" s="9"/>
      <c r="BR206" s="40"/>
      <c r="BS206" s="9"/>
      <c r="BT206" s="9"/>
      <c r="BU206" s="9"/>
      <c r="BV206" s="40"/>
      <c r="BW206" s="40"/>
      <c r="BX206" s="36" t="str">
        <f aca="false">IF(BW206="","",EDATE(BW206,SG_Criteria!$B$54*12))</f>
        <v/>
      </c>
      <c r="BY206" s="33" t="str">
        <f aca="true">IF(A206="","",IF(BW206="","NOTE: not reviewed yet",IF(TODAY()&gt;BX206,"NOTE: review overdue","OK")))</f>
        <v/>
      </c>
      <c r="BZ206" s="37" t="str">
        <f aca="false">IF(A206="","",ROUND((IF(LEN(D206)&gt;0,1,0)+IF(LEN(E206)&gt;0,1,0)+IF(LEN(F206)&gt;0,1,0)+IF(LEN(G206)&gt;0,1,0)+IF(LEN(H206)&gt;0,1,0)+IF(LEN(J206)&gt;0,1,0)+IF(LEN(K206)&gt;0,1,0)+IF(LEN(M206)&gt;0,1,0)+IF(LEN(O206)&gt;0,1,0)+IF(LEN(P206)&gt;0,1,0)+IF(LEN(Q206)&gt;0,1,0)+IF(LEN(S206)&gt;0,1,0)+IF(LEN(AC206)&gt;0,1,0)+IF(LEN(AV206)&gt;0,1,0)+IF(LEN(AW206)&gt;0,1,0)+IF(LEN(AG206)&gt;0,1,0)+IF(LEN(AI206)&gt;0,1,0)+IF(LEN(AJ206)&gt;0,1,0)+IF(LEN(AK206)&gt;0,1,0)+IF(LEN(AL206)&gt;0,1,0)+IF(LEN(AU206)&gt;0,1,0)+IF(LEN(BH206)&gt;0,1,0)+IF(LEN(BU206)&gt;0,1,0))/23,2))</f>
        <v/>
      </c>
      <c r="CA206" s="10" t="str">
        <f aca="false">IF(D206="","",IF(AND(AJ206="Approved",ISERROR(SEARCH("FAIL",BE206))),"Y","N"))</f>
        <v/>
      </c>
      <c r="CB206" s="10" t="str">
        <f aca="false">IF(D206="","",D206&amp;"|"&amp;G206&amp;"|"&amp;H206&amp;"|"&amp;M206&amp;"|"&amp;CA206)</f>
        <v/>
      </c>
    </row>
    <row r="207" customFormat="false" ht="15" hidden="false" customHeight="false" outlineLevel="0" collapsed="false">
      <c r="A207" s="10" t="str">
        <f aca="false">IF(D207="","","DRN-"&amp;IFERROR(VLOOKUP(D207,Lists!$A$4:$B$27,2,0),"??")&amp;"-"&amp;TEXT(G207,"0000")&amp;"x"&amp;TEXT(H207,"0000")&amp;IF(N(I207)&gt;1,"-"&amp;I207&amp;"C","")&amp;"-"&amp;IFERROR(VLOOKUP(M207,Lists!$J$4:$K$19,2,0),"??")&amp;"-"&amp;AI207)</f>
        <v/>
      </c>
      <c r="B207" s="10" t="str">
        <f aca="false">IF(D207="","",D207&amp;" "&amp;G207&amp;"W x "&amp;H207&amp;"D"&amp;IF(N(I207)&gt;1," ("&amp;I207&amp;" cells)","")&amp;", "&amp;E207&amp;", "&amp;M207&amp;", "&amp;F207)</f>
        <v/>
      </c>
      <c r="C207" s="9"/>
      <c r="D207" s="9"/>
      <c r="E207" s="9"/>
      <c r="F207" s="9"/>
      <c r="G207" s="38"/>
      <c r="H207" s="38"/>
      <c r="I207" s="38"/>
      <c r="J207" s="38"/>
      <c r="K207" s="38"/>
      <c r="L207" s="38"/>
      <c r="M207" s="9"/>
      <c r="N207" s="9"/>
      <c r="O207" s="9"/>
      <c r="P207" s="38"/>
      <c r="Q207" s="9"/>
      <c r="R207" s="9"/>
      <c r="S207" s="9"/>
      <c r="T207" s="9"/>
      <c r="U207" s="9"/>
      <c r="V207" s="9"/>
      <c r="W207" s="9"/>
      <c r="X207" s="9"/>
      <c r="Y207" s="9"/>
      <c r="Z207" s="9"/>
      <c r="AA207" s="9"/>
      <c r="AB207" s="39"/>
      <c r="AC207" s="9"/>
      <c r="AD207" s="38"/>
      <c r="AE207" s="9"/>
      <c r="AF207" s="39"/>
      <c r="AG207" s="9"/>
      <c r="AH207" s="9"/>
      <c r="AI207" s="9"/>
      <c r="AJ207" s="9"/>
      <c r="AK207" s="9"/>
      <c r="AL207" s="9"/>
      <c r="AM207" s="9"/>
      <c r="AN207" s="10" t="str">
        <f aca="false">IF(A207="","",SG_Criteria!$B$6&amp;SG_Criteria!$B$7&amp;"\"&amp;A207&amp;"\")</f>
        <v/>
      </c>
      <c r="AO207" s="10" t="str">
        <f aca="false">IF(A207="","",A207&amp;"_CAD.dwg")</f>
        <v/>
      </c>
      <c r="AP207" s="10" t="str">
        <f aca="false">IF(A207="","",A207&amp;"_DWG.pdf")</f>
        <v/>
      </c>
      <c r="AQ207" s="10" t="str">
        <f aca="false">IF(A207="","",IF(AM207="Y",A207&amp;"_STAAD.std","n/a"))</f>
        <v/>
      </c>
      <c r="AR207" s="10" t="str">
        <f aca="false">IF(A207="","",A207&amp;"_CALC.xlsx")</f>
        <v/>
      </c>
      <c r="AS207" s="10" t="str">
        <f aca="false">IF(A207="","",A207&amp;"_CALC.pdf")</f>
        <v/>
      </c>
      <c r="AT207" s="9"/>
      <c r="AU207" s="9"/>
      <c r="AV207" s="39"/>
      <c r="AW207" s="39"/>
      <c r="AX207" s="39"/>
      <c r="AY207" s="39"/>
      <c r="AZ207" s="39"/>
      <c r="BA207" s="12" t="str">
        <f aca="false">IF(A207="","",IF(COUNTIF(Rebar_Schedule!$A$5:$A$2004,A207)=0,"",ROUND(SUMIF(Rebar_Schedule!$A$5:$A$2004,A207,Rebar_Schedule!$K$5:$K$2004),1)))</f>
        <v/>
      </c>
      <c r="BB207" s="33" t="str">
        <f aca="false">IF(A207="","",IF(BA207="","No rebar schedule yet",IF(ABS(BA207-N(AW207))/MAX(N(AW207),1)&gt;SG_Criteria!$B$55,"NOTE: register rebar differs from schedule by "&amp;TEXT(ABS(BA207-N(AW207))/MAX(N(AW207),1),"0%"),"OK")))</f>
        <v/>
      </c>
      <c r="BC207" s="34" t="str">
        <f aca="false">IF(OR(D207="",G207="",H207="",D207="Sump",D207="Drop Inlet Chamber",D207="Silt Trap",D207="Pipe Culvert",D207="Subsoil Drain"),"",ROUND(MAX(1,N(I207))*(1/SG_Criteria!$B$26)*((G207/1000)*(H207/1000*(1-SG_Criteria!$B$25)))*(((G207/1000)*(H207/1000*(1-SG_Criteria!$B$25)))/((G207/1000)+2*(H207/1000*(1-SG_Criteria!$B$25))))^(2/3)*(1/Design_Selector!$B$11)^0.5,3))</f>
        <v/>
      </c>
      <c r="BD207" s="11" t="str">
        <f aca="false">IF(BC207="","",ROUND(BC207/(MAX(1,N(I207))*G207/1000*(H207/1000*(1-SG_Criteria!$B$25))),2))</f>
        <v/>
      </c>
      <c r="BE207" s="33" t="str">
        <f aca="false">IF(D207="","",IF(LEN(IF(AND(OR(E207="Roadside drain",E207="Entrance culvert"),OR(G207&lt;SG_Criteria!$B$15,H207&lt;SG_Criteria!$B$16)),"FAIL: below PUB min "&amp;SG_Criteria!$B$15&amp;"x"&amp;SG_Criteria!$B$16&amp;" for roadside drain. ","")&amp;IF(AND(E207="Common drain",G207&lt;SG_Criteria!$B$17),"FAIL: common drain W &lt; "&amp;SG_Criteria!$B$17&amp;" mm. ","")&amp;IF(AND(O207&lt;&gt;"",IFERROR(VALUE(MID(O207,2,2)),0)&lt;SG_Criteria!$B$19),"FAIL: grade below C"&amp;SG_Criteria!$B$19&amp;". ","")&amp;IF(AND(P207&lt;&gt;"",P207&lt;SG_Criteria!$B$20),"FAIL: cover &lt; "&amp;SG_Criteria!$B$20&amp;" mm. ","")&amp;IF(AND(F207="Open",H207&gt;SG_Criteria!$B$18),"NOTE: safety railing required (D &gt; "&amp;SG_Criteria!$B$18&amp;" mm). ","")&amp;IF(AND(E207="Entrance culvert",H207&lt;600),"NOTE: check hinged grating rule for culverts &lt; 600 deep (PUB Add. 3). ",""))=0,"OK",IF(AND(OR(E207="Roadside drain",E207="Entrance culvert"),OR(G207&lt;SG_Criteria!$B$15,H207&lt;SG_Criteria!$B$16)),"FAIL: below PUB min "&amp;SG_Criteria!$B$15&amp;"x"&amp;SG_Criteria!$B$16&amp;" for roadside drain. ","")&amp;IF(AND(E207="Common drain",G207&lt;SG_Criteria!$B$17),"FAIL: common drain W &lt; "&amp;SG_Criteria!$B$17&amp;" mm. ","")&amp;IF(AND(O207&lt;&gt;"",IFERROR(VALUE(MID(O207,2,2)),0)&lt;SG_Criteria!$B$19),"FAIL: grade below C"&amp;SG_Criteria!$B$19&amp;". ","")&amp;IF(AND(P207&lt;&gt;"",P207&lt;SG_Criteria!$B$20),"FAIL: cover &lt; "&amp;SG_Criteria!$B$20&amp;" mm. ","")&amp;IF(AND(F207="Open",H207&gt;SG_Criteria!$B$18),"NOTE: safety railing required (D &gt; "&amp;SG_Criteria!$B$18&amp;" mm). ","")&amp;IF(AND(E207="Entrance culvert",H207&lt;600),"NOTE: check hinged grating rule for culverts &lt; 600 deep (PUB Add. 3). ","")))</f>
        <v/>
      </c>
      <c r="BF207" s="9"/>
      <c r="BG207" s="9"/>
      <c r="BH207" s="9"/>
      <c r="BI207" s="10" t="str">
        <f aca="false">IF(BH207="","",IFERROR(VLOOKUP(BH207,Projects!$A$5:$D$504,2,0),"Ref not in Projects"))</f>
        <v/>
      </c>
      <c r="BJ207" s="10" t="str">
        <f aca="false">IF(BH207="","",IFERROR(VLOOKUP(BH207,Projects!$A$5:$D$504,4,0),"Ref not in Projects"))</f>
        <v/>
      </c>
      <c r="BK207" s="9"/>
      <c r="BL207" s="9"/>
      <c r="BM207" s="9"/>
      <c r="BN207" s="40"/>
      <c r="BO207" s="9"/>
      <c r="BP207" s="40"/>
      <c r="BQ207" s="9"/>
      <c r="BR207" s="40"/>
      <c r="BS207" s="9"/>
      <c r="BT207" s="9"/>
      <c r="BU207" s="9"/>
      <c r="BV207" s="40"/>
      <c r="BW207" s="40"/>
      <c r="BX207" s="36" t="str">
        <f aca="false">IF(BW207="","",EDATE(BW207,SG_Criteria!$B$54*12))</f>
        <v/>
      </c>
      <c r="BY207" s="33" t="str">
        <f aca="true">IF(A207="","",IF(BW207="","NOTE: not reviewed yet",IF(TODAY()&gt;BX207,"NOTE: review overdue","OK")))</f>
        <v/>
      </c>
      <c r="BZ207" s="37" t="str">
        <f aca="false">IF(A207="","",ROUND((IF(LEN(D207)&gt;0,1,0)+IF(LEN(E207)&gt;0,1,0)+IF(LEN(F207)&gt;0,1,0)+IF(LEN(G207)&gt;0,1,0)+IF(LEN(H207)&gt;0,1,0)+IF(LEN(J207)&gt;0,1,0)+IF(LEN(K207)&gt;0,1,0)+IF(LEN(M207)&gt;0,1,0)+IF(LEN(O207)&gt;0,1,0)+IF(LEN(P207)&gt;0,1,0)+IF(LEN(Q207)&gt;0,1,0)+IF(LEN(S207)&gt;0,1,0)+IF(LEN(AC207)&gt;0,1,0)+IF(LEN(AV207)&gt;0,1,0)+IF(LEN(AW207)&gt;0,1,0)+IF(LEN(AG207)&gt;0,1,0)+IF(LEN(AI207)&gt;0,1,0)+IF(LEN(AJ207)&gt;0,1,0)+IF(LEN(AK207)&gt;0,1,0)+IF(LEN(AL207)&gt;0,1,0)+IF(LEN(AU207)&gt;0,1,0)+IF(LEN(BH207)&gt;0,1,0)+IF(LEN(BU207)&gt;0,1,0))/23,2))</f>
        <v/>
      </c>
      <c r="CA207" s="10" t="str">
        <f aca="false">IF(D207="","",IF(AND(AJ207="Approved",ISERROR(SEARCH("FAIL",BE207))),"Y","N"))</f>
        <v/>
      </c>
      <c r="CB207" s="10" t="str">
        <f aca="false">IF(D207="","",D207&amp;"|"&amp;G207&amp;"|"&amp;H207&amp;"|"&amp;M207&amp;"|"&amp;CA207)</f>
        <v/>
      </c>
    </row>
    <row r="208" customFormat="false" ht="15" hidden="false" customHeight="false" outlineLevel="0" collapsed="false">
      <c r="A208" s="10" t="str">
        <f aca="false">IF(D208="","","DRN-"&amp;IFERROR(VLOOKUP(D208,Lists!$A$4:$B$27,2,0),"??")&amp;"-"&amp;TEXT(G208,"0000")&amp;"x"&amp;TEXT(H208,"0000")&amp;IF(N(I208)&gt;1,"-"&amp;I208&amp;"C","")&amp;"-"&amp;IFERROR(VLOOKUP(M208,Lists!$J$4:$K$19,2,0),"??")&amp;"-"&amp;AI208)</f>
        <v/>
      </c>
      <c r="B208" s="10" t="str">
        <f aca="false">IF(D208="","",D208&amp;" "&amp;G208&amp;"W x "&amp;H208&amp;"D"&amp;IF(N(I208)&gt;1," ("&amp;I208&amp;" cells)","")&amp;", "&amp;E208&amp;", "&amp;M208&amp;", "&amp;F208)</f>
        <v/>
      </c>
      <c r="C208" s="9"/>
      <c r="D208" s="9"/>
      <c r="E208" s="9"/>
      <c r="F208" s="9"/>
      <c r="G208" s="38"/>
      <c r="H208" s="38"/>
      <c r="I208" s="38"/>
      <c r="J208" s="38"/>
      <c r="K208" s="38"/>
      <c r="L208" s="38"/>
      <c r="M208" s="9"/>
      <c r="N208" s="9"/>
      <c r="O208" s="9"/>
      <c r="P208" s="38"/>
      <c r="Q208" s="9"/>
      <c r="R208" s="9"/>
      <c r="S208" s="9"/>
      <c r="T208" s="9"/>
      <c r="U208" s="9"/>
      <c r="V208" s="9"/>
      <c r="W208" s="9"/>
      <c r="X208" s="9"/>
      <c r="Y208" s="9"/>
      <c r="Z208" s="9"/>
      <c r="AA208" s="9"/>
      <c r="AB208" s="39"/>
      <c r="AC208" s="9"/>
      <c r="AD208" s="38"/>
      <c r="AE208" s="9"/>
      <c r="AF208" s="39"/>
      <c r="AG208" s="9"/>
      <c r="AH208" s="9"/>
      <c r="AI208" s="9"/>
      <c r="AJ208" s="9"/>
      <c r="AK208" s="9"/>
      <c r="AL208" s="9"/>
      <c r="AM208" s="9"/>
      <c r="AN208" s="10" t="str">
        <f aca="false">IF(A208="","",SG_Criteria!$B$6&amp;SG_Criteria!$B$7&amp;"\"&amp;A208&amp;"\")</f>
        <v/>
      </c>
      <c r="AO208" s="10" t="str">
        <f aca="false">IF(A208="","",A208&amp;"_CAD.dwg")</f>
        <v/>
      </c>
      <c r="AP208" s="10" t="str">
        <f aca="false">IF(A208="","",A208&amp;"_DWG.pdf")</f>
        <v/>
      </c>
      <c r="AQ208" s="10" t="str">
        <f aca="false">IF(A208="","",IF(AM208="Y",A208&amp;"_STAAD.std","n/a"))</f>
        <v/>
      </c>
      <c r="AR208" s="10" t="str">
        <f aca="false">IF(A208="","",A208&amp;"_CALC.xlsx")</f>
        <v/>
      </c>
      <c r="AS208" s="10" t="str">
        <f aca="false">IF(A208="","",A208&amp;"_CALC.pdf")</f>
        <v/>
      </c>
      <c r="AT208" s="9"/>
      <c r="AU208" s="9"/>
      <c r="AV208" s="39"/>
      <c r="AW208" s="39"/>
      <c r="AX208" s="39"/>
      <c r="AY208" s="39"/>
      <c r="AZ208" s="39"/>
      <c r="BA208" s="12" t="str">
        <f aca="false">IF(A208="","",IF(COUNTIF(Rebar_Schedule!$A$5:$A$2004,A208)=0,"",ROUND(SUMIF(Rebar_Schedule!$A$5:$A$2004,A208,Rebar_Schedule!$K$5:$K$2004),1)))</f>
        <v/>
      </c>
      <c r="BB208" s="33" t="str">
        <f aca="false">IF(A208="","",IF(BA208="","No rebar schedule yet",IF(ABS(BA208-N(AW208))/MAX(N(AW208),1)&gt;SG_Criteria!$B$55,"NOTE: register rebar differs from schedule by "&amp;TEXT(ABS(BA208-N(AW208))/MAX(N(AW208),1),"0%"),"OK")))</f>
        <v/>
      </c>
      <c r="BC208" s="34" t="str">
        <f aca="false">IF(OR(D208="",G208="",H208="",D208="Sump",D208="Drop Inlet Chamber",D208="Silt Trap",D208="Pipe Culvert",D208="Subsoil Drain"),"",ROUND(MAX(1,N(I208))*(1/SG_Criteria!$B$26)*((G208/1000)*(H208/1000*(1-SG_Criteria!$B$25)))*(((G208/1000)*(H208/1000*(1-SG_Criteria!$B$25)))/((G208/1000)+2*(H208/1000*(1-SG_Criteria!$B$25))))^(2/3)*(1/Design_Selector!$B$11)^0.5,3))</f>
        <v/>
      </c>
      <c r="BD208" s="11" t="str">
        <f aca="false">IF(BC208="","",ROUND(BC208/(MAX(1,N(I208))*G208/1000*(H208/1000*(1-SG_Criteria!$B$25))),2))</f>
        <v/>
      </c>
      <c r="BE208" s="33" t="str">
        <f aca="false">IF(D208="","",IF(LEN(IF(AND(OR(E208="Roadside drain",E208="Entrance culvert"),OR(G208&lt;SG_Criteria!$B$15,H208&lt;SG_Criteria!$B$16)),"FAIL: below PUB min "&amp;SG_Criteria!$B$15&amp;"x"&amp;SG_Criteria!$B$16&amp;" for roadside drain. ","")&amp;IF(AND(E208="Common drain",G208&lt;SG_Criteria!$B$17),"FAIL: common drain W &lt; "&amp;SG_Criteria!$B$17&amp;" mm. ","")&amp;IF(AND(O208&lt;&gt;"",IFERROR(VALUE(MID(O208,2,2)),0)&lt;SG_Criteria!$B$19),"FAIL: grade below C"&amp;SG_Criteria!$B$19&amp;". ","")&amp;IF(AND(P208&lt;&gt;"",P208&lt;SG_Criteria!$B$20),"FAIL: cover &lt; "&amp;SG_Criteria!$B$20&amp;" mm. ","")&amp;IF(AND(F208="Open",H208&gt;SG_Criteria!$B$18),"NOTE: safety railing required (D &gt; "&amp;SG_Criteria!$B$18&amp;" mm). ","")&amp;IF(AND(E208="Entrance culvert",H208&lt;600),"NOTE: check hinged grating rule for culverts &lt; 600 deep (PUB Add. 3). ",""))=0,"OK",IF(AND(OR(E208="Roadside drain",E208="Entrance culvert"),OR(G208&lt;SG_Criteria!$B$15,H208&lt;SG_Criteria!$B$16)),"FAIL: below PUB min "&amp;SG_Criteria!$B$15&amp;"x"&amp;SG_Criteria!$B$16&amp;" for roadside drain. ","")&amp;IF(AND(E208="Common drain",G208&lt;SG_Criteria!$B$17),"FAIL: common drain W &lt; "&amp;SG_Criteria!$B$17&amp;" mm. ","")&amp;IF(AND(O208&lt;&gt;"",IFERROR(VALUE(MID(O208,2,2)),0)&lt;SG_Criteria!$B$19),"FAIL: grade below C"&amp;SG_Criteria!$B$19&amp;". ","")&amp;IF(AND(P208&lt;&gt;"",P208&lt;SG_Criteria!$B$20),"FAIL: cover &lt; "&amp;SG_Criteria!$B$20&amp;" mm. ","")&amp;IF(AND(F208="Open",H208&gt;SG_Criteria!$B$18),"NOTE: safety railing required (D &gt; "&amp;SG_Criteria!$B$18&amp;" mm). ","")&amp;IF(AND(E208="Entrance culvert",H208&lt;600),"NOTE: check hinged grating rule for culverts &lt; 600 deep (PUB Add. 3). ","")))</f>
        <v/>
      </c>
      <c r="BF208" s="9"/>
      <c r="BG208" s="9"/>
      <c r="BH208" s="9"/>
      <c r="BI208" s="10" t="str">
        <f aca="false">IF(BH208="","",IFERROR(VLOOKUP(BH208,Projects!$A$5:$D$504,2,0),"Ref not in Projects"))</f>
        <v/>
      </c>
      <c r="BJ208" s="10" t="str">
        <f aca="false">IF(BH208="","",IFERROR(VLOOKUP(BH208,Projects!$A$5:$D$504,4,0),"Ref not in Projects"))</f>
        <v/>
      </c>
      <c r="BK208" s="9"/>
      <c r="BL208" s="9"/>
      <c r="BM208" s="9"/>
      <c r="BN208" s="40"/>
      <c r="BO208" s="9"/>
      <c r="BP208" s="40"/>
      <c r="BQ208" s="9"/>
      <c r="BR208" s="40"/>
      <c r="BS208" s="9"/>
      <c r="BT208" s="9"/>
      <c r="BU208" s="9"/>
      <c r="BV208" s="40"/>
      <c r="BW208" s="40"/>
      <c r="BX208" s="36" t="str">
        <f aca="false">IF(BW208="","",EDATE(BW208,SG_Criteria!$B$54*12))</f>
        <v/>
      </c>
      <c r="BY208" s="33" t="str">
        <f aca="true">IF(A208="","",IF(BW208="","NOTE: not reviewed yet",IF(TODAY()&gt;BX208,"NOTE: review overdue","OK")))</f>
        <v/>
      </c>
      <c r="BZ208" s="37" t="str">
        <f aca="false">IF(A208="","",ROUND((IF(LEN(D208)&gt;0,1,0)+IF(LEN(E208)&gt;0,1,0)+IF(LEN(F208)&gt;0,1,0)+IF(LEN(G208)&gt;0,1,0)+IF(LEN(H208)&gt;0,1,0)+IF(LEN(J208)&gt;0,1,0)+IF(LEN(K208)&gt;0,1,0)+IF(LEN(M208)&gt;0,1,0)+IF(LEN(O208)&gt;0,1,0)+IF(LEN(P208)&gt;0,1,0)+IF(LEN(Q208)&gt;0,1,0)+IF(LEN(S208)&gt;0,1,0)+IF(LEN(AC208)&gt;0,1,0)+IF(LEN(AV208)&gt;0,1,0)+IF(LEN(AW208)&gt;0,1,0)+IF(LEN(AG208)&gt;0,1,0)+IF(LEN(AI208)&gt;0,1,0)+IF(LEN(AJ208)&gt;0,1,0)+IF(LEN(AK208)&gt;0,1,0)+IF(LEN(AL208)&gt;0,1,0)+IF(LEN(AU208)&gt;0,1,0)+IF(LEN(BH208)&gt;0,1,0)+IF(LEN(BU208)&gt;0,1,0))/23,2))</f>
        <v/>
      </c>
      <c r="CA208" s="10" t="str">
        <f aca="false">IF(D208="","",IF(AND(AJ208="Approved",ISERROR(SEARCH("FAIL",BE208))),"Y","N"))</f>
        <v/>
      </c>
      <c r="CB208" s="10" t="str">
        <f aca="false">IF(D208="","",D208&amp;"|"&amp;G208&amp;"|"&amp;H208&amp;"|"&amp;M208&amp;"|"&amp;CA208)</f>
        <v/>
      </c>
    </row>
    <row r="209" customFormat="false" ht="15" hidden="false" customHeight="false" outlineLevel="0" collapsed="false">
      <c r="A209" s="10" t="str">
        <f aca="false">IF(D209="","","DRN-"&amp;IFERROR(VLOOKUP(D209,Lists!$A$4:$B$27,2,0),"??")&amp;"-"&amp;TEXT(G209,"0000")&amp;"x"&amp;TEXT(H209,"0000")&amp;IF(N(I209)&gt;1,"-"&amp;I209&amp;"C","")&amp;"-"&amp;IFERROR(VLOOKUP(M209,Lists!$J$4:$K$19,2,0),"??")&amp;"-"&amp;AI209)</f>
        <v/>
      </c>
      <c r="B209" s="10" t="str">
        <f aca="false">IF(D209="","",D209&amp;" "&amp;G209&amp;"W x "&amp;H209&amp;"D"&amp;IF(N(I209)&gt;1," ("&amp;I209&amp;" cells)","")&amp;", "&amp;E209&amp;", "&amp;M209&amp;", "&amp;F209)</f>
        <v/>
      </c>
      <c r="C209" s="9"/>
      <c r="D209" s="9"/>
      <c r="E209" s="9"/>
      <c r="F209" s="9"/>
      <c r="G209" s="38"/>
      <c r="H209" s="38"/>
      <c r="I209" s="38"/>
      <c r="J209" s="38"/>
      <c r="K209" s="38"/>
      <c r="L209" s="38"/>
      <c r="M209" s="9"/>
      <c r="N209" s="9"/>
      <c r="O209" s="9"/>
      <c r="P209" s="38"/>
      <c r="Q209" s="9"/>
      <c r="R209" s="9"/>
      <c r="S209" s="9"/>
      <c r="T209" s="9"/>
      <c r="U209" s="9"/>
      <c r="V209" s="9"/>
      <c r="W209" s="9"/>
      <c r="X209" s="9"/>
      <c r="Y209" s="9"/>
      <c r="Z209" s="9"/>
      <c r="AA209" s="9"/>
      <c r="AB209" s="39"/>
      <c r="AC209" s="9"/>
      <c r="AD209" s="38"/>
      <c r="AE209" s="9"/>
      <c r="AF209" s="39"/>
      <c r="AG209" s="9"/>
      <c r="AH209" s="9"/>
      <c r="AI209" s="9"/>
      <c r="AJ209" s="9"/>
      <c r="AK209" s="9"/>
      <c r="AL209" s="9"/>
      <c r="AM209" s="9"/>
      <c r="AN209" s="10" t="str">
        <f aca="false">IF(A209="","",SG_Criteria!$B$6&amp;SG_Criteria!$B$7&amp;"\"&amp;A209&amp;"\")</f>
        <v/>
      </c>
      <c r="AO209" s="10" t="str">
        <f aca="false">IF(A209="","",A209&amp;"_CAD.dwg")</f>
        <v/>
      </c>
      <c r="AP209" s="10" t="str">
        <f aca="false">IF(A209="","",A209&amp;"_DWG.pdf")</f>
        <v/>
      </c>
      <c r="AQ209" s="10" t="str">
        <f aca="false">IF(A209="","",IF(AM209="Y",A209&amp;"_STAAD.std","n/a"))</f>
        <v/>
      </c>
      <c r="AR209" s="10" t="str">
        <f aca="false">IF(A209="","",A209&amp;"_CALC.xlsx")</f>
        <v/>
      </c>
      <c r="AS209" s="10" t="str">
        <f aca="false">IF(A209="","",A209&amp;"_CALC.pdf")</f>
        <v/>
      </c>
      <c r="AT209" s="9"/>
      <c r="AU209" s="9"/>
      <c r="AV209" s="39"/>
      <c r="AW209" s="39"/>
      <c r="AX209" s="39"/>
      <c r="AY209" s="39"/>
      <c r="AZ209" s="39"/>
      <c r="BA209" s="12" t="str">
        <f aca="false">IF(A209="","",IF(COUNTIF(Rebar_Schedule!$A$5:$A$2004,A209)=0,"",ROUND(SUMIF(Rebar_Schedule!$A$5:$A$2004,A209,Rebar_Schedule!$K$5:$K$2004),1)))</f>
        <v/>
      </c>
      <c r="BB209" s="33" t="str">
        <f aca="false">IF(A209="","",IF(BA209="","No rebar schedule yet",IF(ABS(BA209-N(AW209))/MAX(N(AW209),1)&gt;SG_Criteria!$B$55,"NOTE: register rebar differs from schedule by "&amp;TEXT(ABS(BA209-N(AW209))/MAX(N(AW209),1),"0%"),"OK")))</f>
        <v/>
      </c>
      <c r="BC209" s="34" t="str">
        <f aca="false">IF(OR(D209="",G209="",H209="",D209="Sump",D209="Drop Inlet Chamber",D209="Silt Trap",D209="Pipe Culvert",D209="Subsoil Drain"),"",ROUND(MAX(1,N(I209))*(1/SG_Criteria!$B$26)*((G209/1000)*(H209/1000*(1-SG_Criteria!$B$25)))*(((G209/1000)*(H209/1000*(1-SG_Criteria!$B$25)))/((G209/1000)+2*(H209/1000*(1-SG_Criteria!$B$25))))^(2/3)*(1/Design_Selector!$B$11)^0.5,3))</f>
        <v/>
      </c>
      <c r="BD209" s="11" t="str">
        <f aca="false">IF(BC209="","",ROUND(BC209/(MAX(1,N(I209))*G209/1000*(H209/1000*(1-SG_Criteria!$B$25))),2))</f>
        <v/>
      </c>
      <c r="BE209" s="33" t="str">
        <f aca="false">IF(D209="","",IF(LEN(IF(AND(OR(E209="Roadside drain",E209="Entrance culvert"),OR(G209&lt;SG_Criteria!$B$15,H209&lt;SG_Criteria!$B$16)),"FAIL: below PUB min "&amp;SG_Criteria!$B$15&amp;"x"&amp;SG_Criteria!$B$16&amp;" for roadside drain. ","")&amp;IF(AND(E209="Common drain",G209&lt;SG_Criteria!$B$17),"FAIL: common drain W &lt; "&amp;SG_Criteria!$B$17&amp;" mm. ","")&amp;IF(AND(O209&lt;&gt;"",IFERROR(VALUE(MID(O209,2,2)),0)&lt;SG_Criteria!$B$19),"FAIL: grade below C"&amp;SG_Criteria!$B$19&amp;". ","")&amp;IF(AND(P209&lt;&gt;"",P209&lt;SG_Criteria!$B$20),"FAIL: cover &lt; "&amp;SG_Criteria!$B$20&amp;" mm. ","")&amp;IF(AND(F209="Open",H209&gt;SG_Criteria!$B$18),"NOTE: safety railing required (D &gt; "&amp;SG_Criteria!$B$18&amp;" mm). ","")&amp;IF(AND(E209="Entrance culvert",H209&lt;600),"NOTE: check hinged grating rule for culverts &lt; 600 deep (PUB Add. 3). ",""))=0,"OK",IF(AND(OR(E209="Roadside drain",E209="Entrance culvert"),OR(G209&lt;SG_Criteria!$B$15,H209&lt;SG_Criteria!$B$16)),"FAIL: below PUB min "&amp;SG_Criteria!$B$15&amp;"x"&amp;SG_Criteria!$B$16&amp;" for roadside drain. ","")&amp;IF(AND(E209="Common drain",G209&lt;SG_Criteria!$B$17),"FAIL: common drain W &lt; "&amp;SG_Criteria!$B$17&amp;" mm. ","")&amp;IF(AND(O209&lt;&gt;"",IFERROR(VALUE(MID(O209,2,2)),0)&lt;SG_Criteria!$B$19),"FAIL: grade below C"&amp;SG_Criteria!$B$19&amp;". ","")&amp;IF(AND(P209&lt;&gt;"",P209&lt;SG_Criteria!$B$20),"FAIL: cover &lt; "&amp;SG_Criteria!$B$20&amp;" mm. ","")&amp;IF(AND(F209="Open",H209&gt;SG_Criteria!$B$18),"NOTE: safety railing required (D &gt; "&amp;SG_Criteria!$B$18&amp;" mm). ","")&amp;IF(AND(E209="Entrance culvert",H209&lt;600),"NOTE: check hinged grating rule for culverts &lt; 600 deep (PUB Add. 3). ","")))</f>
        <v/>
      </c>
      <c r="BF209" s="9"/>
      <c r="BG209" s="9"/>
      <c r="BH209" s="9"/>
      <c r="BI209" s="10" t="str">
        <f aca="false">IF(BH209="","",IFERROR(VLOOKUP(BH209,Projects!$A$5:$D$504,2,0),"Ref not in Projects"))</f>
        <v/>
      </c>
      <c r="BJ209" s="10" t="str">
        <f aca="false">IF(BH209="","",IFERROR(VLOOKUP(BH209,Projects!$A$5:$D$504,4,0),"Ref not in Projects"))</f>
        <v/>
      </c>
      <c r="BK209" s="9"/>
      <c r="BL209" s="9"/>
      <c r="BM209" s="9"/>
      <c r="BN209" s="40"/>
      <c r="BO209" s="9"/>
      <c r="BP209" s="40"/>
      <c r="BQ209" s="9"/>
      <c r="BR209" s="40"/>
      <c r="BS209" s="9"/>
      <c r="BT209" s="9"/>
      <c r="BU209" s="9"/>
      <c r="BV209" s="40"/>
      <c r="BW209" s="40"/>
      <c r="BX209" s="36" t="str">
        <f aca="false">IF(BW209="","",EDATE(BW209,SG_Criteria!$B$54*12))</f>
        <v/>
      </c>
      <c r="BY209" s="33" t="str">
        <f aca="true">IF(A209="","",IF(BW209="","NOTE: not reviewed yet",IF(TODAY()&gt;BX209,"NOTE: review overdue","OK")))</f>
        <v/>
      </c>
      <c r="BZ209" s="37" t="str">
        <f aca="false">IF(A209="","",ROUND((IF(LEN(D209)&gt;0,1,0)+IF(LEN(E209)&gt;0,1,0)+IF(LEN(F209)&gt;0,1,0)+IF(LEN(G209)&gt;0,1,0)+IF(LEN(H209)&gt;0,1,0)+IF(LEN(J209)&gt;0,1,0)+IF(LEN(K209)&gt;0,1,0)+IF(LEN(M209)&gt;0,1,0)+IF(LEN(O209)&gt;0,1,0)+IF(LEN(P209)&gt;0,1,0)+IF(LEN(Q209)&gt;0,1,0)+IF(LEN(S209)&gt;0,1,0)+IF(LEN(AC209)&gt;0,1,0)+IF(LEN(AV209)&gt;0,1,0)+IF(LEN(AW209)&gt;0,1,0)+IF(LEN(AG209)&gt;0,1,0)+IF(LEN(AI209)&gt;0,1,0)+IF(LEN(AJ209)&gt;0,1,0)+IF(LEN(AK209)&gt;0,1,0)+IF(LEN(AL209)&gt;0,1,0)+IF(LEN(AU209)&gt;0,1,0)+IF(LEN(BH209)&gt;0,1,0)+IF(LEN(BU209)&gt;0,1,0))/23,2))</f>
        <v/>
      </c>
      <c r="CA209" s="10" t="str">
        <f aca="false">IF(D209="","",IF(AND(AJ209="Approved",ISERROR(SEARCH("FAIL",BE209))),"Y","N"))</f>
        <v/>
      </c>
      <c r="CB209" s="10" t="str">
        <f aca="false">IF(D209="","",D209&amp;"|"&amp;G209&amp;"|"&amp;H209&amp;"|"&amp;M209&amp;"|"&amp;CA209)</f>
        <v/>
      </c>
    </row>
    <row r="210" customFormat="false" ht="15" hidden="false" customHeight="false" outlineLevel="0" collapsed="false">
      <c r="A210" s="10" t="str">
        <f aca="false">IF(D210="","","DRN-"&amp;IFERROR(VLOOKUP(D210,Lists!$A$4:$B$27,2,0),"??")&amp;"-"&amp;TEXT(G210,"0000")&amp;"x"&amp;TEXT(H210,"0000")&amp;IF(N(I210)&gt;1,"-"&amp;I210&amp;"C","")&amp;"-"&amp;IFERROR(VLOOKUP(M210,Lists!$J$4:$K$19,2,0),"??")&amp;"-"&amp;AI210)</f>
        <v/>
      </c>
      <c r="B210" s="10" t="str">
        <f aca="false">IF(D210="","",D210&amp;" "&amp;G210&amp;"W x "&amp;H210&amp;"D"&amp;IF(N(I210)&gt;1," ("&amp;I210&amp;" cells)","")&amp;", "&amp;E210&amp;", "&amp;M210&amp;", "&amp;F210)</f>
        <v/>
      </c>
      <c r="C210" s="9"/>
      <c r="D210" s="9"/>
      <c r="E210" s="9"/>
      <c r="F210" s="9"/>
      <c r="G210" s="38"/>
      <c r="H210" s="38"/>
      <c r="I210" s="38"/>
      <c r="J210" s="38"/>
      <c r="K210" s="38"/>
      <c r="L210" s="38"/>
      <c r="M210" s="9"/>
      <c r="N210" s="9"/>
      <c r="O210" s="9"/>
      <c r="P210" s="38"/>
      <c r="Q210" s="9"/>
      <c r="R210" s="9"/>
      <c r="S210" s="9"/>
      <c r="T210" s="9"/>
      <c r="U210" s="9"/>
      <c r="V210" s="9"/>
      <c r="W210" s="9"/>
      <c r="X210" s="9"/>
      <c r="Y210" s="9"/>
      <c r="Z210" s="9"/>
      <c r="AA210" s="9"/>
      <c r="AB210" s="39"/>
      <c r="AC210" s="9"/>
      <c r="AD210" s="38"/>
      <c r="AE210" s="9"/>
      <c r="AF210" s="39"/>
      <c r="AG210" s="9"/>
      <c r="AH210" s="9"/>
      <c r="AI210" s="9"/>
      <c r="AJ210" s="9"/>
      <c r="AK210" s="9"/>
      <c r="AL210" s="9"/>
      <c r="AM210" s="9"/>
      <c r="AN210" s="10" t="str">
        <f aca="false">IF(A210="","",SG_Criteria!$B$6&amp;SG_Criteria!$B$7&amp;"\"&amp;A210&amp;"\")</f>
        <v/>
      </c>
      <c r="AO210" s="10" t="str">
        <f aca="false">IF(A210="","",A210&amp;"_CAD.dwg")</f>
        <v/>
      </c>
      <c r="AP210" s="10" t="str">
        <f aca="false">IF(A210="","",A210&amp;"_DWG.pdf")</f>
        <v/>
      </c>
      <c r="AQ210" s="10" t="str">
        <f aca="false">IF(A210="","",IF(AM210="Y",A210&amp;"_STAAD.std","n/a"))</f>
        <v/>
      </c>
      <c r="AR210" s="10" t="str">
        <f aca="false">IF(A210="","",A210&amp;"_CALC.xlsx")</f>
        <v/>
      </c>
      <c r="AS210" s="10" t="str">
        <f aca="false">IF(A210="","",A210&amp;"_CALC.pdf")</f>
        <v/>
      </c>
      <c r="AT210" s="9"/>
      <c r="AU210" s="9"/>
      <c r="AV210" s="39"/>
      <c r="AW210" s="39"/>
      <c r="AX210" s="39"/>
      <c r="AY210" s="39"/>
      <c r="AZ210" s="39"/>
      <c r="BA210" s="12" t="str">
        <f aca="false">IF(A210="","",IF(COUNTIF(Rebar_Schedule!$A$5:$A$2004,A210)=0,"",ROUND(SUMIF(Rebar_Schedule!$A$5:$A$2004,A210,Rebar_Schedule!$K$5:$K$2004),1)))</f>
        <v/>
      </c>
      <c r="BB210" s="33" t="str">
        <f aca="false">IF(A210="","",IF(BA210="","No rebar schedule yet",IF(ABS(BA210-N(AW210))/MAX(N(AW210),1)&gt;SG_Criteria!$B$55,"NOTE: register rebar differs from schedule by "&amp;TEXT(ABS(BA210-N(AW210))/MAX(N(AW210),1),"0%"),"OK")))</f>
        <v/>
      </c>
      <c r="BC210" s="34" t="str">
        <f aca="false">IF(OR(D210="",G210="",H210="",D210="Sump",D210="Drop Inlet Chamber",D210="Silt Trap",D210="Pipe Culvert",D210="Subsoil Drain"),"",ROUND(MAX(1,N(I210))*(1/SG_Criteria!$B$26)*((G210/1000)*(H210/1000*(1-SG_Criteria!$B$25)))*(((G210/1000)*(H210/1000*(1-SG_Criteria!$B$25)))/((G210/1000)+2*(H210/1000*(1-SG_Criteria!$B$25))))^(2/3)*(1/Design_Selector!$B$11)^0.5,3))</f>
        <v/>
      </c>
      <c r="BD210" s="11" t="str">
        <f aca="false">IF(BC210="","",ROUND(BC210/(MAX(1,N(I210))*G210/1000*(H210/1000*(1-SG_Criteria!$B$25))),2))</f>
        <v/>
      </c>
      <c r="BE210" s="33" t="str">
        <f aca="false">IF(D210="","",IF(LEN(IF(AND(OR(E210="Roadside drain",E210="Entrance culvert"),OR(G210&lt;SG_Criteria!$B$15,H210&lt;SG_Criteria!$B$16)),"FAIL: below PUB min "&amp;SG_Criteria!$B$15&amp;"x"&amp;SG_Criteria!$B$16&amp;" for roadside drain. ","")&amp;IF(AND(E210="Common drain",G210&lt;SG_Criteria!$B$17),"FAIL: common drain W &lt; "&amp;SG_Criteria!$B$17&amp;" mm. ","")&amp;IF(AND(O210&lt;&gt;"",IFERROR(VALUE(MID(O210,2,2)),0)&lt;SG_Criteria!$B$19),"FAIL: grade below C"&amp;SG_Criteria!$B$19&amp;". ","")&amp;IF(AND(P210&lt;&gt;"",P210&lt;SG_Criteria!$B$20),"FAIL: cover &lt; "&amp;SG_Criteria!$B$20&amp;" mm. ","")&amp;IF(AND(F210="Open",H210&gt;SG_Criteria!$B$18),"NOTE: safety railing required (D &gt; "&amp;SG_Criteria!$B$18&amp;" mm). ","")&amp;IF(AND(E210="Entrance culvert",H210&lt;600),"NOTE: check hinged grating rule for culverts &lt; 600 deep (PUB Add. 3). ",""))=0,"OK",IF(AND(OR(E210="Roadside drain",E210="Entrance culvert"),OR(G210&lt;SG_Criteria!$B$15,H210&lt;SG_Criteria!$B$16)),"FAIL: below PUB min "&amp;SG_Criteria!$B$15&amp;"x"&amp;SG_Criteria!$B$16&amp;" for roadside drain. ","")&amp;IF(AND(E210="Common drain",G210&lt;SG_Criteria!$B$17),"FAIL: common drain W &lt; "&amp;SG_Criteria!$B$17&amp;" mm. ","")&amp;IF(AND(O210&lt;&gt;"",IFERROR(VALUE(MID(O210,2,2)),0)&lt;SG_Criteria!$B$19),"FAIL: grade below C"&amp;SG_Criteria!$B$19&amp;". ","")&amp;IF(AND(P210&lt;&gt;"",P210&lt;SG_Criteria!$B$20),"FAIL: cover &lt; "&amp;SG_Criteria!$B$20&amp;" mm. ","")&amp;IF(AND(F210="Open",H210&gt;SG_Criteria!$B$18),"NOTE: safety railing required (D &gt; "&amp;SG_Criteria!$B$18&amp;" mm). ","")&amp;IF(AND(E210="Entrance culvert",H210&lt;600),"NOTE: check hinged grating rule for culverts &lt; 600 deep (PUB Add. 3). ","")))</f>
        <v/>
      </c>
      <c r="BF210" s="9"/>
      <c r="BG210" s="9"/>
      <c r="BH210" s="9"/>
      <c r="BI210" s="10" t="str">
        <f aca="false">IF(BH210="","",IFERROR(VLOOKUP(BH210,Projects!$A$5:$D$504,2,0),"Ref not in Projects"))</f>
        <v/>
      </c>
      <c r="BJ210" s="10" t="str">
        <f aca="false">IF(BH210="","",IFERROR(VLOOKUP(BH210,Projects!$A$5:$D$504,4,0),"Ref not in Projects"))</f>
        <v/>
      </c>
      <c r="BK210" s="9"/>
      <c r="BL210" s="9"/>
      <c r="BM210" s="9"/>
      <c r="BN210" s="40"/>
      <c r="BO210" s="9"/>
      <c r="BP210" s="40"/>
      <c r="BQ210" s="9"/>
      <c r="BR210" s="40"/>
      <c r="BS210" s="9"/>
      <c r="BT210" s="9"/>
      <c r="BU210" s="9"/>
      <c r="BV210" s="40"/>
      <c r="BW210" s="40"/>
      <c r="BX210" s="36" t="str">
        <f aca="false">IF(BW210="","",EDATE(BW210,SG_Criteria!$B$54*12))</f>
        <v/>
      </c>
      <c r="BY210" s="33" t="str">
        <f aca="true">IF(A210="","",IF(BW210="","NOTE: not reviewed yet",IF(TODAY()&gt;BX210,"NOTE: review overdue","OK")))</f>
        <v/>
      </c>
      <c r="BZ210" s="37" t="str">
        <f aca="false">IF(A210="","",ROUND((IF(LEN(D210)&gt;0,1,0)+IF(LEN(E210)&gt;0,1,0)+IF(LEN(F210)&gt;0,1,0)+IF(LEN(G210)&gt;0,1,0)+IF(LEN(H210)&gt;0,1,0)+IF(LEN(J210)&gt;0,1,0)+IF(LEN(K210)&gt;0,1,0)+IF(LEN(M210)&gt;0,1,0)+IF(LEN(O210)&gt;0,1,0)+IF(LEN(P210)&gt;0,1,0)+IF(LEN(Q210)&gt;0,1,0)+IF(LEN(S210)&gt;0,1,0)+IF(LEN(AC210)&gt;0,1,0)+IF(LEN(AV210)&gt;0,1,0)+IF(LEN(AW210)&gt;0,1,0)+IF(LEN(AG210)&gt;0,1,0)+IF(LEN(AI210)&gt;0,1,0)+IF(LEN(AJ210)&gt;0,1,0)+IF(LEN(AK210)&gt;0,1,0)+IF(LEN(AL210)&gt;0,1,0)+IF(LEN(AU210)&gt;0,1,0)+IF(LEN(BH210)&gt;0,1,0)+IF(LEN(BU210)&gt;0,1,0))/23,2))</f>
        <v/>
      </c>
      <c r="CA210" s="10" t="str">
        <f aca="false">IF(D210="","",IF(AND(AJ210="Approved",ISERROR(SEARCH("FAIL",BE210))),"Y","N"))</f>
        <v/>
      </c>
      <c r="CB210" s="10" t="str">
        <f aca="false">IF(D210="","",D210&amp;"|"&amp;G210&amp;"|"&amp;H210&amp;"|"&amp;M210&amp;"|"&amp;CA210)</f>
        <v/>
      </c>
    </row>
    <row r="211" customFormat="false" ht="15" hidden="false" customHeight="false" outlineLevel="0" collapsed="false">
      <c r="A211" s="10" t="str">
        <f aca="false">IF(D211="","","DRN-"&amp;IFERROR(VLOOKUP(D211,Lists!$A$4:$B$27,2,0),"??")&amp;"-"&amp;TEXT(G211,"0000")&amp;"x"&amp;TEXT(H211,"0000")&amp;IF(N(I211)&gt;1,"-"&amp;I211&amp;"C","")&amp;"-"&amp;IFERROR(VLOOKUP(M211,Lists!$J$4:$K$19,2,0),"??")&amp;"-"&amp;AI211)</f>
        <v/>
      </c>
      <c r="B211" s="10" t="str">
        <f aca="false">IF(D211="","",D211&amp;" "&amp;G211&amp;"W x "&amp;H211&amp;"D"&amp;IF(N(I211)&gt;1," ("&amp;I211&amp;" cells)","")&amp;", "&amp;E211&amp;", "&amp;M211&amp;", "&amp;F211)</f>
        <v/>
      </c>
      <c r="C211" s="9"/>
      <c r="D211" s="9"/>
      <c r="E211" s="9"/>
      <c r="F211" s="9"/>
      <c r="G211" s="38"/>
      <c r="H211" s="38"/>
      <c r="I211" s="38"/>
      <c r="J211" s="38"/>
      <c r="K211" s="38"/>
      <c r="L211" s="38"/>
      <c r="M211" s="9"/>
      <c r="N211" s="9"/>
      <c r="O211" s="9"/>
      <c r="P211" s="38"/>
      <c r="Q211" s="9"/>
      <c r="R211" s="9"/>
      <c r="S211" s="9"/>
      <c r="T211" s="9"/>
      <c r="U211" s="9"/>
      <c r="V211" s="9"/>
      <c r="W211" s="9"/>
      <c r="X211" s="9"/>
      <c r="Y211" s="9"/>
      <c r="Z211" s="9"/>
      <c r="AA211" s="9"/>
      <c r="AB211" s="39"/>
      <c r="AC211" s="9"/>
      <c r="AD211" s="38"/>
      <c r="AE211" s="9"/>
      <c r="AF211" s="39"/>
      <c r="AG211" s="9"/>
      <c r="AH211" s="9"/>
      <c r="AI211" s="9"/>
      <c r="AJ211" s="9"/>
      <c r="AK211" s="9"/>
      <c r="AL211" s="9"/>
      <c r="AM211" s="9"/>
      <c r="AN211" s="10" t="str">
        <f aca="false">IF(A211="","",SG_Criteria!$B$6&amp;SG_Criteria!$B$7&amp;"\"&amp;A211&amp;"\")</f>
        <v/>
      </c>
      <c r="AO211" s="10" t="str">
        <f aca="false">IF(A211="","",A211&amp;"_CAD.dwg")</f>
        <v/>
      </c>
      <c r="AP211" s="10" t="str">
        <f aca="false">IF(A211="","",A211&amp;"_DWG.pdf")</f>
        <v/>
      </c>
      <c r="AQ211" s="10" t="str">
        <f aca="false">IF(A211="","",IF(AM211="Y",A211&amp;"_STAAD.std","n/a"))</f>
        <v/>
      </c>
      <c r="AR211" s="10" t="str">
        <f aca="false">IF(A211="","",A211&amp;"_CALC.xlsx")</f>
        <v/>
      </c>
      <c r="AS211" s="10" t="str">
        <f aca="false">IF(A211="","",A211&amp;"_CALC.pdf")</f>
        <v/>
      </c>
      <c r="AT211" s="9"/>
      <c r="AU211" s="9"/>
      <c r="AV211" s="39"/>
      <c r="AW211" s="39"/>
      <c r="AX211" s="39"/>
      <c r="AY211" s="39"/>
      <c r="AZ211" s="39"/>
      <c r="BA211" s="12" t="str">
        <f aca="false">IF(A211="","",IF(COUNTIF(Rebar_Schedule!$A$5:$A$2004,A211)=0,"",ROUND(SUMIF(Rebar_Schedule!$A$5:$A$2004,A211,Rebar_Schedule!$K$5:$K$2004),1)))</f>
        <v/>
      </c>
      <c r="BB211" s="33" t="str">
        <f aca="false">IF(A211="","",IF(BA211="","No rebar schedule yet",IF(ABS(BA211-N(AW211))/MAX(N(AW211),1)&gt;SG_Criteria!$B$55,"NOTE: register rebar differs from schedule by "&amp;TEXT(ABS(BA211-N(AW211))/MAX(N(AW211),1),"0%"),"OK")))</f>
        <v/>
      </c>
      <c r="BC211" s="34" t="str">
        <f aca="false">IF(OR(D211="",G211="",H211="",D211="Sump",D211="Drop Inlet Chamber",D211="Silt Trap",D211="Pipe Culvert",D211="Subsoil Drain"),"",ROUND(MAX(1,N(I211))*(1/SG_Criteria!$B$26)*((G211/1000)*(H211/1000*(1-SG_Criteria!$B$25)))*(((G211/1000)*(H211/1000*(1-SG_Criteria!$B$25)))/((G211/1000)+2*(H211/1000*(1-SG_Criteria!$B$25))))^(2/3)*(1/Design_Selector!$B$11)^0.5,3))</f>
        <v/>
      </c>
      <c r="BD211" s="11" t="str">
        <f aca="false">IF(BC211="","",ROUND(BC211/(MAX(1,N(I211))*G211/1000*(H211/1000*(1-SG_Criteria!$B$25))),2))</f>
        <v/>
      </c>
      <c r="BE211" s="33" t="str">
        <f aca="false">IF(D211="","",IF(LEN(IF(AND(OR(E211="Roadside drain",E211="Entrance culvert"),OR(G211&lt;SG_Criteria!$B$15,H211&lt;SG_Criteria!$B$16)),"FAIL: below PUB min "&amp;SG_Criteria!$B$15&amp;"x"&amp;SG_Criteria!$B$16&amp;" for roadside drain. ","")&amp;IF(AND(E211="Common drain",G211&lt;SG_Criteria!$B$17),"FAIL: common drain W &lt; "&amp;SG_Criteria!$B$17&amp;" mm. ","")&amp;IF(AND(O211&lt;&gt;"",IFERROR(VALUE(MID(O211,2,2)),0)&lt;SG_Criteria!$B$19),"FAIL: grade below C"&amp;SG_Criteria!$B$19&amp;". ","")&amp;IF(AND(P211&lt;&gt;"",P211&lt;SG_Criteria!$B$20),"FAIL: cover &lt; "&amp;SG_Criteria!$B$20&amp;" mm. ","")&amp;IF(AND(F211="Open",H211&gt;SG_Criteria!$B$18),"NOTE: safety railing required (D &gt; "&amp;SG_Criteria!$B$18&amp;" mm). ","")&amp;IF(AND(E211="Entrance culvert",H211&lt;600),"NOTE: check hinged grating rule for culverts &lt; 600 deep (PUB Add. 3). ",""))=0,"OK",IF(AND(OR(E211="Roadside drain",E211="Entrance culvert"),OR(G211&lt;SG_Criteria!$B$15,H211&lt;SG_Criteria!$B$16)),"FAIL: below PUB min "&amp;SG_Criteria!$B$15&amp;"x"&amp;SG_Criteria!$B$16&amp;" for roadside drain. ","")&amp;IF(AND(E211="Common drain",G211&lt;SG_Criteria!$B$17),"FAIL: common drain W &lt; "&amp;SG_Criteria!$B$17&amp;" mm. ","")&amp;IF(AND(O211&lt;&gt;"",IFERROR(VALUE(MID(O211,2,2)),0)&lt;SG_Criteria!$B$19),"FAIL: grade below C"&amp;SG_Criteria!$B$19&amp;". ","")&amp;IF(AND(P211&lt;&gt;"",P211&lt;SG_Criteria!$B$20),"FAIL: cover &lt; "&amp;SG_Criteria!$B$20&amp;" mm. ","")&amp;IF(AND(F211="Open",H211&gt;SG_Criteria!$B$18),"NOTE: safety railing required (D &gt; "&amp;SG_Criteria!$B$18&amp;" mm). ","")&amp;IF(AND(E211="Entrance culvert",H211&lt;600),"NOTE: check hinged grating rule for culverts &lt; 600 deep (PUB Add. 3). ","")))</f>
        <v/>
      </c>
      <c r="BF211" s="9"/>
      <c r="BG211" s="9"/>
      <c r="BH211" s="9"/>
      <c r="BI211" s="10" t="str">
        <f aca="false">IF(BH211="","",IFERROR(VLOOKUP(BH211,Projects!$A$5:$D$504,2,0),"Ref not in Projects"))</f>
        <v/>
      </c>
      <c r="BJ211" s="10" t="str">
        <f aca="false">IF(BH211="","",IFERROR(VLOOKUP(BH211,Projects!$A$5:$D$504,4,0),"Ref not in Projects"))</f>
        <v/>
      </c>
      <c r="BK211" s="9"/>
      <c r="BL211" s="9"/>
      <c r="BM211" s="9"/>
      <c r="BN211" s="40"/>
      <c r="BO211" s="9"/>
      <c r="BP211" s="40"/>
      <c r="BQ211" s="9"/>
      <c r="BR211" s="40"/>
      <c r="BS211" s="9"/>
      <c r="BT211" s="9"/>
      <c r="BU211" s="9"/>
      <c r="BV211" s="40"/>
      <c r="BW211" s="40"/>
      <c r="BX211" s="36" t="str">
        <f aca="false">IF(BW211="","",EDATE(BW211,SG_Criteria!$B$54*12))</f>
        <v/>
      </c>
      <c r="BY211" s="33" t="str">
        <f aca="true">IF(A211="","",IF(BW211="","NOTE: not reviewed yet",IF(TODAY()&gt;BX211,"NOTE: review overdue","OK")))</f>
        <v/>
      </c>
      <c r="BZ211" s="37" t="str">
        <f aca="false">IF(A211="","",ROUND((IF(LEN(D211)&gt;0,1,0)+IF(LEN(E211)&gt;0,1,0)+IF(LEN(F211)&gt;0,1,0)+IF(LEN(G211)&gt;0,1,0)+IF(LEN(H211)&gt;0,1,0)+IF(LEN(J211)&gt;0,1,0)+IF(LEN(K211)&gt;0,1,0)+IF(LEN(M211)&gt;0,1,0)+IF(LEN(O211)&gt;0,1,0)+IF(LEN(P211)&gt;0,1,0)+IF(LEN(Q211)&gt;0,1,0)+IF(LEN(S211)&gt;0,1,0)+IF(LEN(AC211)&gt;0,1,0)+IF(LEN(AV211)&gt;0,1,0)+IF(LEN(AW211)&gt;0,1,0)+IF(LEN(AG211)&gt;0,1,0)+IF(LEN(AI211)&gt;0,1,0)+IF(LEN(AJ211)&gt;0,1,0)+IF(LEN(AK211)&gt;0,1,0)+IF(LEN(AL211)&gt;0,1,0)+IF(LEN(AU211)&gt;0,1,0)+IF(LEN(BH211)&gt;0,1,0)+IF(LEN(BU211)&gt;0,1,0))/23,2))</f>
        <v/>
      </c>
      <c r="CA211" s="10" t="str">
        <f aca="false">IF(D211="","",IF(AND(AJ211="Approved",ISERROR(SEARCH("FAIL",BE211))),"Y","N"))</f>
        <v/>
      </c>
      <c r="CB211" s="10" t="str">
        <f aca="false">IF(D211="","",D211&amp;"|"&amp;G211&amp;"|"&amp;H211&amp;"|"&amp;M211&amp;"|"&amp;CA211)</f>
        <v/>
      </c>
    </row>
    <row r="212" customFormat="false" ht="15" hidden="false" customHeight="false" outlineLevel="0" collapsed="false">
      <c r="A212" s="10" t="str">
        <f aca="false">IF(D212="","","DRN-"&amp;IFERROR(VLOOKUP(D212,Lists!$A$4:$B$27,2,0),"??")&amp;"-"&amp;TEXT(G212,"0000")&amp;"x"&amp;TEXT(H212,"0000")&amp;IF(N(I212)&gt;1,"-"&amp;I212&amp;"C","")&amp;"-"&amp;IFERROR(VLOOKUP(M212,Lists!$J$4:$K$19,2,0),"??")&amp;"-"&amp;AI212)</f>
        <v/>
      </c>
      <c r="B212" s="10" t="str">
        <f aca="false">IF(D212="","",D212&amp;" "&amp;G212&amp;"W x "&amp;H212&amp;"D"&amp;IF(N(I212)&gt;1," ("&amp;I212&amp;" cells)","")&amp;", "&amp;E212&amp;", "&amp;M212&amp;", "&amp;F212)</f>
        <v/>
      </c>
      <c r="C212" s="9"/>
      <c r="D212" s="9"/>
      <c r="E212" s="9"/>
      <c r="F212" s="9"/>
      <c r="G212" s="38"/>
      <c r="H212" s="38"/>
      <c r="I212" s="38"/>
      <c r="J212" s="38"/>
      <c r="K212" s="38"/>
      <c r="L212" s="38"/>
      <c r="M212" s="9"/>
      <c r="N212" s="9"/>
      <c r="O212" s="9"/>
      <c r="P212" s="38"/>
      <c r="Q212" s="9"/>
      <c r="R212" s="9"/>
      <c r="S212" s="9"/>
      <c r="T212" s="9"/>
      <c r="U212" s="9"/>
      <c r="V212" s="9"/>
      <c r="W212" s="9"/>
      <c r="X212" s="9"/>
      <c r="Y212" s="9"/>
      <c r="Z212" s="9"/>
      <c r="AA212" s="9"/>
      <c r="AB212" s="39"/>
      <c r="AC212" s="9"/>
      <c r="AD212" s="38"/>
      <c r="AE212" s="9"/>
      <c r="AF212" s="39"/>
      <c r="AG212" s="9"/>
      <c r="AH212" s="9"/>
      <c r="AI212" s="9"/>
      <c r="AJ212" s="9"/>
      <c r="AK212" s="9"/>
      <c r="AL212" s="9"/>
      <c r="AM212" s="9"/>
      <c r="AN212" s="10" t="str">
        <f aca="false">IF(A212="","",SG_Criteria!$B$6&amp;SG_Criteria!$B$7&amp;"\"&amp;A212&amp;"\")</f>
        <v/>
      </c>
      <c r="AO212" s="10" t="str">
        <f aca="false">IF(A212="","",A212&amp;"_CAD.dwg")</f>
        <v/>
      </c>
      <c r="AP212" s="10" t="str">
        <f aca="false">IF(A212="","",A212&amp;"_DWG.pdf")</f>
        <v/>
      </c>
      <c r="AQ212" s="10" t="str">
        <f aca="false">IF(A212="","",IF(AM212="Y",A212&amp;"_STAAD.std","n/a"))</f>
        <v/>
      </c>
      <c r="AR212" s="10" t="str">
        <f aca="false">IF(A212="","",A212&amp;"_CALC.xlsx")</f>
        <v/>
      </c>
      <c r="AS212" s="10" t="str">
        <f aca="false">IF(A212="","",A212&amp;"_CALC.pdf")</f>
        <v/>
      </c>
      <c r="AT212" s="9"/>
      <c r="AU212" s="9"/>
      <c r="AV212" s="39"/>
      <c r="AW212" s="39"/>
      <c r="AX212" s="39"/>
      <c r="AY212" s="39"/>
      <c r="AZ212" s="39"/>
      <c r="BA212" s="12" t="str">
        <f aca="false">IF(A212="","",IF(COUNTIF(Rebar_Schedule!$A$5:$A$2004,A212)=0,"",ROUND(SUMIF(Rebar_Schedule!$A$5:$A$2004,A212,Rebar_Schedule!$K$5:$K$2004),1)))</f>
        <v/>
      </c>
      <c r="BB212" s="33" t="str">
        <f aca="false">IF(A212="","",IF(BA212="","No rebar schedule yet",IF(ABS(BA212-N(AW212))/MAX(N(AW212),1)&gt;SG_Criteria!$B$55,"NOTE: register rebar differs from schedule by "&amp;TEXT(ABS(BA212-N(AW212))/MAX(N(AW212),1),"0%"),"OK")))</f>
        <v/>
      </c>
      <c r="BC212" s="34" t="str">
        <f aca="false">IF(OR(D212="",G212="",H212="",D212="Sump",D212="Drop Inlet Chamber",D212="Silt Trap",D212="Pipe Culvert",D212="Subsoil Drain"),"",ROUND(MAX(1,N(I212))*(1/SG_Criteria!$B$26)*((G212/1000)*(H212/1000*(1-SG_Criteria!$B$25)))*(((G212/1000)*(H212/1000*(1-SG_Criteria!$B$25)))/((G212/1000)+2*(H212/1000*(1-SG_Criteria!$B$25))))^(2/3)*(1/Design_Selector!$B$11)^0.5,3))</f>
        <v/>
      </c>
      <c r="BD212" s="11" t="str">
        <f aca="false">IF(BC212="","",ROUND(BC212/(MAX(1,N(I212))*G212/1000*(H212/1000*(1-SG_Criteria!$B$25))),2))</f>
        <v/>
      </c>
      <c r="BE212" s="33" t="str">
        <f aca="false">IF(D212="","",IF(LEN(IF(AND(OR(E212="Roadside drain",E212="Entrance culvert"),OR(G212&lt;SG_Criteria!$B$15,H212&lt;SG_Criteria!$B$16)),"FAIL: below PUB min "&amp;SG_Criteria!$B$15&amp;"x"&amp;SG_Criteria!$B$16&amp;" for roadside drain. ","")&amp;IF(AND(E212="Common drain",G212&lt;SG_Criteria!$B$17),"FAIL: common drain W &lt; "&amp;SG_Criteria!$B$17&amp;" mm. ","")&amp;IF(AND(O212&lt;&gt;"",IFERROR(VALUE(MID(O212,2,2)),0)&lt;SG_Criteria!$B$19),"FAIL: grade below C"&amp;SG_Criteria!$B$19&amp;". ","")&amp;IF(AND(P212&lt;&gt;"",P212&lt;SG_Criteria!$B$20),"FAIL: cover &lt; "&amp;SG_Criteria!$B$20&amp;" mm. ","")&amp;IF(AND(F212="Open",H212&gt;SG_Criteria!$B$18),"NOTE: safety railing required (D &gt; "&amp;SG_Criteria!$B$18&amp;" mm). ","")&amp;IF(AND(E212="Entrance culvert",H212&lt;600),"NOTE: check hinged grating rule for culverts &lt; 600 deep (PUB Add. 3). ",""))=0,"OK",IF(AND(OR(E212="Roadside drain",E212="Entrance culvert"),OR(G212&lt;SG_Criteria!$B$15,H212&lt;SG_Criteria!$B$16)),"FAIL: below PUB min "&amp;SG_Criteria!$B$15&amp;"x"&amp;SG_Criteria!$B$16&amp;" for roadside drain. ","")&amp;IF(AND(E212="Common drain",G212&lt;SG_Criteria!$B$17),"FAIL: common drain W &lt; "&amp;SG_Criteria!$B$17&amp;" mm. ","")&amp;IF(AND(O212&lt;&gt;"",IFERROR(VALUE(MID(O212,2,2)),0)&lt;SG_Criteria!$B$19),"FAIL: grade below C"&amp;SG_Criteria!$B$19&amp;". ","")&amp;IF(AND(P212&lt;&gt;"",P212&lt;SG_Criteria!$B$20),"FAIL: cover &lt; "&amp;SG_Criteria!$B$20&amp;" mm. ","")&amp;IF(AND(F212="Open",H212&gt;SG_Criteria!$B$18),"NOTE: safety railing required (D &gt; "&amp;SG_Criteria!$B$18&amp;" mm). ","")&amp;IF(AND(E212="Entrance culvert",H212&lt;600),"NOTE: check hinged grating rule for culverts &lt; 600 deep (PUB Add. 3). ","")))</f>
        <v/>
      </c>
      <c r="BF212" s="9"/>
      <c r="BG212" s="9"/>
      <c r="BH212" s="9"/>
      <c r="BI212" s="10" t="str">
        <f aca="false">IF(BH212="","",IFERROR(VLOOKUP(BH212,Projects!$A$5:$D$504,2,0),"Ref not in Projects"))</f>
        <v/>
      </c>
      <c r="BJ212" s="10" t="str">
        <f aca="false">IF(BH212="","",IFERROR(VLOOKUP(BH212,Projects!$A$5:$D$504,4,0),"Ref not in Projects"))</f>
        <v/>
      </c>
      <c r="BK212" s="9"/>
      <c r="BL212" s="9"/>
      <c r="BM212" s="9"/>
      <c r="BN212" s="40"/>
      <c r="BO212" s="9"/>
      <c r="BP212" s="40"/>
      <c r="BQ212" s="9"/>
      <c r="BR212" s="40"/>
      <c r="BS212" s="9"/>
      <c r="BT212" s="9"/>
      <c r="BU212" s="9"/>
      <c r="BV212" s="40"/>
      <c r="BW212" s="40"/>
      <c r="BX212" s="36" t="str">
        <f aca="false">IF(BW212="","",EDATE(BW212,SG_Criteria!$B$54*12))</f>
        <v/>
      </c>
      <c r="BY212" s="33" t="str">
        <f aca="true">IF(A212="","",IF(BW212="","NOTE: not reviewed yet",IF(TODAY()&gt;BX212,"NOTE: review overdue","OK")))</f>
        <v/>
      </c>
      <c r="BZ212" s="37" t="str">
        <f aca="false">IF(A212="","",ROUND((IF(LEN(D212)&gt;0,1,0)+IF(LEN(E212)&gt;0,1,0)+IF(LEN(F212)&gt;0,1,0)+IF(LEN(G212)&gt;0,1,0)+IF(LEN(H212)&gt;0,1,0)+IF(LEN(J212)&gt;0,1,0)+IF(LEN(K212)&gt;0,1,0)+IF(LEN(M212)&gt;0,1,0)+IF(LEN(O212)&gt;0,1,0)+IF(LEN(P212)&gt;0,1,0)+IF(LEN(Q212)&gt;0,1,0)+IF(LEN(S212)&gt;0,1,0)+IF(LEN(AC212)&gt;0,1,0)+IF(LEN(AV212)&gt;0,1,0)+IF(LEN(AW212)&gt;0,1,0)+IF(LEN(AG212)&gt;0,1,0)+IF(LEN(AI212)&gt;0,1,0)+IF(LEN(AJ212)&gt;0,1,0)+IF(LEN(AK212)&gt;0,1,0)+IF(LEN(AL212)&gt;0,1,0)+IF(LEN(AU212)&gt;0,1,0)+IF(LEN(BH212)&gt;0,1,0)+IF(LEN(BU212)&gt;0,1,0))/23,2))</f>
        <v/>
      </c>
      <c r="CA212" s="10" t="str">
        <f aca="false">IF(D212="","",IF(AND(AJ212="Approved",ISERROR(SEARCH("FAIL",BE212))),"Y","N"))</f>
        <v/>
      </c>
      <c r="CB212" s="10" t="str">
        <f aca="false">IF(D212="","",D212&amp;"|"&amp;G212&amp;"|"&amp;H212&amp;"|"&amp;M212&amp;"|"&amp;CA212)</f>
        <v/>
      </c>
    </row>
    <row r="213" customFormat="false" ht="15" hidden="false" customHeight="false" outlineLevel="0" collapsed="false">
      <c r="A213" s="10" t="str">
        <f aca="false">IF(D213="","","DRN-"&amp;IFERROR(VLOOKUP(D213,Lists!$A$4:$B$27,2,0),"??")&amp;"-"&amp;TEXT(G213,"0000")&amp;"x"&amp;TEXT(H213,"0000")&amp;IF(N(I213)&gt;1,"-"&amp;I213&amp;"C","")&amp;"-"&amp;IFERROR(VLOOKUP(M213,Lists!$J$4:$K$19,2,0),"??")&amp;"-"&amp;AI213)</f>
        <v/>
      </c>
      <c r="B213" s="10" t="str">
        <f aca="false">IF(D213="","",D213&amp;" "&amp;G213&amp;"W x "&amp;H213&amp;"D"&amp;IF(N(I213)&gt;1," ("&amp;I213&amp;" cells)","")&amp;", "&amp;E213&amp;", "&amp;M213&amp;", "&amp;F213)</f>
        <v/>
      </c>
      <c r="C213" s="9"/>
      <c r="D213" s="9"/>
      <c r="E213" s="9"/>
      <c r="F213" s="9"/>
      <c r="G213" s="38"/>
      <c r="H213" s="38"/>
      <c r="I213" s="38"/>
      <c r="J213" s="38"/>
      <c r="K213" s="38"/>
      <c r="L213" s="38"/>
      <c r="M213" s="9"/>
      <c r="N213" s="9"/>
      <c r="O213" s="9"/>
      <c r="P213" s="38"/>
      <c r="Q213" s="9"/>
      <c r="R213" s="9"/>
      <c r="S213" s="9"/>
      <c r="T213" s="9"/>
      <c r="U213" s="9"/>
      <c r="V213" s="9"/>
      <c r="W213" s="9"/>
      <c r="X213" s="9"/>
      <c r="Y213" s="9"/>
      <c r="Z213" s="9"/>
      <c r="AA213" s="9"/>
      <c r="AB213" s="39"/>
      <c r="AC213" s="9"/>
      <c r="AD213" s="38"/>
      <c r="AE213" s="9"/>
      <c r="AF213" s="39"/>
      <c r="AG213" s="9"/>
      <c r="AH213" s="9"/>
      <c r="AI213" s="9"/>
      <c r="AJ213" s="9"/>
      <c r="AK213" s="9"/>
      <c r="AL213" s="9"/>
      <c r="AM213" s="9"/>
      <c r="AN213" s="10" t="str">
        <f aca="false">IF(A213="","",SG_Criteria!$B$6&amp;SG_Criteria!$B$7&amp;"\"&amp;A213&amp;"\")</f>
        <v/>
      </c>
      <c r="AO213" s="10" t="str">
        <f aca="false">IF(A213="","",A213&amp;"_CAD.dwg")</f>
        <v/>
      </c>
      <c r="AP213" s="10" t="str">
        <f aca="false">IF(A213="","",A213&amp;"_DWG.pdf")</f>
        <v/>
      </c>
      <c r="AQ213" s="10" t="str">
        <f aca="false">IF(A213="","",IF(AM213="Y",A213&amp;"_STAAD.std","n/a"))</f>
        <v/>
      </c>
      <c r="AR213" s="10" t="str">
        <f aca="false">IF(A213="","",A213&amp;"_CALC.xlsx")</f>
        <v/>
      </c>
      <c r="AS213" s="10" t="str">
        <f aca="false">IF(A213="","",A213&amp;"_CALC.pdf")</f>
        <v/>
      </c>
      <c r="AT213" s="9"/>
      <c r="AU213" s="9"/>
      <c r="AV213" s="39"/>
      <c r="AW213" s="39"/>
      <c r="AX213" s="39"/>
      <c r="AY213" s="39"/>
      <c r="AZ213" s="39"/>
      <c r="BA213" s="12" t="str">
        <f aca="false">IF(A213="","",IF(COUNTIF(Rebar_Schedule!$A$5:$A$2004,A213)=0,"",ROUND(SUMIF(Rebar_Schedule!$A$5:$A$2004,A213,Rebar_Schedule!$K$5:$K$2004),1)))</f>
        <v/>
      </c>
      <c r="BB213" s="33" t="str">
        <f aca="false">IF(A213="","",IF(BA213="","No rebar schedule yet",IF(ABS(BA213-N(AW213))/MAX(N(AW213),1)&gt;SG_Criteria!$B$55,"NOTE: register rebar differs from schedule by "&amp;TEXT(ABS(BA213-N(AW213))/MAX(N(AW213),1),"0%"),"OK")))</f>
        <v/>
      </c>
      <c r="BC213" s="34" t="str">
        <f aca="false">IF(OR(D213="",G213="",H213="",D213="Sump",D213="Drop Inlet Chamber",D213="Silt Trap",D213="Pipe Culvert",D213="Subsoil Drain"),"",ROUND(MAX(1,N(I213))*(1/SG_Criteria!$B$26)*((G213/1000)*(H213/1000*(1-SG_Criteria!$B$25)))*(((G213/1000)*(H213/1000*(1-SG_Criteria!$B$25)))/((G213/1000)+2*(H213/1000*(1-SG_Criteria!$B$25))))^(2/3)*(1/Design_Selector!$B$11)^0.5,3))</f>
        <v/>
      </c>
      <c r="BD213" s="11" t="str">
        <f aca="false">IF(BC213="","",ROUND(BC213/(MAX(1,N(I213))*G213/1000*(H213/1000*(1-SG_Criteria!$B$25))),2))</f>
        <v/>
      </c>
      <c r="BE213" s="33" t="str">
        <f aca="false">IF(D213="","",IF(LEN(IF(AND(OR(E213="Roadside drain",E213="Entrance culvert"),OR(G213&lt;SG_Criteria!$B$15,H213&lt;SG_Criteria!$B$16)),"FAIL: below PUB min "&amp;SG_Criteria!$B$15&amp;"x"&amp;SG_Criteria!$B$16&amp;" for roadside drain. ","")&amp;IF(AND(E213="Common drain",G213&lt;SG_Criteria!$B$17),"FAIL: common drain W &lt; "&amp;SG_Criteria!$B$17&amp;" mm. ","")&amp;IF(AND(O213&lt;&gt;"",IFERROR(VALUE(MID(O213,2,2)),0)&lt;SG_Criteria!$B$19),"FAIL: grade below C"&amp;SG_Criteria!$B$19&amp;". ","")&amp;IF(AND(P213&lt;&gt;"",P213&lt;SG_Criteria!$B$20),"FAIL: cover &lt; "&amp;SG_Criteria!$B$20&amp;" mm. ","")&amp;IF(AND(F213="Open",H213&gt;SG_Criteria!$B$18),"NOTE: safety railing required (D &gt; "&amp;SG_Criteria!$B$18&amp;" mm). ","")&amp;IF(AND(E213="Entrance culvert",H213&lt;600),"NOTE: check hinged grating rule for culverts &lt; 600 deep (PUB Add. 3). ",""))=0,"OK",IF(AND(OR(E213="Roadside drain",E213="Entrance culvert"),OR(G213&lt;SG_Criteria!$B$15,H213&lt;SG_Criteria!$B$16)),"FAIL: below PUB min "&amp;SG_Criteria!$B$15&amp;"x"&amp;SG_Criteria!$B$16&amp;" for roadside drain. ","")&amp;IF(AND(E213="Common drain",G213&lt;SG_Criteria!$B$17),"FAIL: common drain W &lt; "&amp;SG_Criteria!$B$17&amp;" mm. ","")&amp;IF(AND(O213&lt;&gt;"",IFERROR(VALUE(MID(O213,2,2)),0)&lt;SG_Criteria!$B$19),"FAIL: grade below C"&amp;SG_Criteria!$B$19&amp;". ","")&amp;IF(AND(P213&lt;&gt;"",P213&lt;SG_Criteria!$B$20),"FAIL: cover &lt; "&amp;SG_Criteria!$B$20&amp;" mm. ","")&amp;IF(AND(F213="Open",H213&gt;SG_Criteria!$B$18),"NOTE: safety railing required (D &gt; "&amp;SG_Criteria!$B$18&amp;" mm). ","")&amp;IF(AND(E213="Entrance culvert",H213&lt;600),"NOTE: check hinged grating rule for culverts &lt; 600 deep (PUB Add. 3). ","")))</f>
        <v/>
      </c>
      <c r="BF213" s="9"/>
      <c r="BG213" s="9"/>
      <c r="BH213" s="9"/>
      <c r="BI213" s="10" t="str">
        <f aca="false">IF(BH213="","",IFERROR(VLOOKUP(BH213,Projects!$A$5:$D$504,2,0),"Ref not in Projects"))</f>
        <v/>
      </c>
      <c r="BJ213" s="10" t="str">
        <f aca="false">IF(BH213="","",IFERROR(VLOOKUP(BH213,Projects!$A$5:$D$504,4,0),"Ref not in Projects"))</f>
        <v/>
      </c>
      <c r="BK213" s="9"/>
      <c r="BL213" s="9"/>
      <c r="BM213" s="9"/>
      <c r="BN213" s="40"/>
      <c r="BO213" s="9"/>
      <c r="BP213" s="40"/>
      <c r="BQ213" s="9"/>
      <c r="BR213" s="40"/>
      <c r="BS213" s="9"/>
      <c r="BT213" s="9"/>
      <c r="BU213" s="9"/>
      <c r="BV213" s="40"/>
      <c r="BW213" s="40"/>
      <c r="BX213" s="36" t="str">
        <f aca="false">IF(BW213="","",EDATE(BW213,SG_Criteria!$B$54*12))</f>
        <v/>
      </c>
      <c r="BY213" s="33" t="str">
        <f aca="true">IF(A213="","",IF(BW213="","NOTE: not reviewed yet",IF(TODAY()&gt;BX213,"NOTE: review overdue","OK")))</f>
        <v/>
      </c>
      <c r="BZ213" s="37" t="str">
        <f aca="false">IF(A213="","",ROUND((IF(LEN(D213)&gt;0,1,0)+IF(LEN(E213)&gt;0,1,0)+IF(LEN(F213)&gt;0,1,0)+IF(LEN(G213)&gt;0,1,0)+IF(LEN(H213)&gt;0,1,0)+IF(LEN(J213)&gt;0,1,0)+IF(LEN(K213)&gt;0,1,0)+IF(LEN(M213)&gt;0,1,0)+IF(LEN(O213)&gt;0,1,0)+IF(LEN(P213)&gt;0,1,0)+IF(LEN(Q213)&gt;0,1,0)+IF(LEN(S213)&gt;0,1,0)+IF(LEN(AC213)&gt;0,1,0)+IF(LEN(AV213)&gt;0,1,0)+IF(LEN(AW213)&gt;0,1,0)+IF(LEN(AG213)&gt;0,1,0)+IF(LEN(AI213)&gt;0,1,0)+IF(LEN(AJ213)&gt;0,1,0)+IF(LEN(AK213)&gt;0,1,0)+IF(LEN(AL213)&gt;0,1,0)+IF(LEN(AU213)&gt;0,1,0)+IF(LEN(BH213)&gt;0,1,0)+IF(LEN(BU213)&gt;0,1,0))/23,2))</f>
        <v/>
      </c>
      <c r="CA213" s="10" t="str">
        <f aca="false">IF(D213="","",IF(AND(AJ213="Approved",ISERROR(SEARCH("FAIL",BE213))),"Y","N"))</f>
        <v/>
      </c>
      <c r="CB213" s="10" t="str">
        <f aca="false">IF(D213="","",D213&amp;"|"&amp;G213&amp;"|"&amp;H213&amp;"|"&amp;M213&amp;"|"&amp;CA213)</f>
        <v/>
      </c>
    </row>
    <row r="214" customFormat="false" ht="15" hidden="false" customHeight="false" outlineLevel="0" collapsed="false">
      <c r="A214" s="10" t="str">
        <f aca="false">IF(D214="","","DRN-"&amp;IFERROR(VLOOKUP(D214,Lists!$A$4:$B$27,2,0),"??")&amp;"-"&amp;TEXT(G214,"0000")&amp;"x"&amp;TEXT(H214,"0000")&amp;IF(N(I214)&gt;1,"-"&amp;I214&amp;"C","")&amp;"-"&amp;IFERROR(VLOOKUP(M214,Lists!$J$4:$K$19,2,0),"??")&amp;"-"&amp;AI214)</f>
        <v/>
      </c>
      <c r="B214" s="10" t="str">
        <f aca="false">IF(D214="","",D214&amp;" "&amp;G214&amp;"W x "&amp;H214&amp;"D"&amp;IF(N(I214)&gt;1," ("&amp;I214&amp;" cells)","")&amp;", "&amp;E214&amp;", "&amp;M214&amp;", "&amp;F214)</f>
        <v/>
      </c>
      <c r="C214" s="9"/>
      <c r="D214" s="9"/>
      <c r="E214" s="9"/>
      <c r="F214" s="9"/>
      <c r="G214" s="38"/>
      <c r="H214" s="38"/>
      <c r="I214" s="38"/>
      <c r="J214" s="38"/>
      <c r="K214" s="38"/>
      <c r="L214" s="38"/>
      <c r="M214" s="9"/>
      <c r="N214" s="9"/>
      <c r="O214" s="9"/>
      <c r="P214" s="38"/>
      <c r="Q214" s="9"/>
      <c r="R214" s="9"/>
      <c r="S214" s="9"/>
      <c r="T214" s="9"/>
      <c r="U214" s="9"/>
      <c r="V214" s="9"/>
      <c r="W214" s="9"/>
      <c r="X214" s="9"/>
      <c r="Y214" s="9"/>
      <c r="Z214" s="9"/>
      <c r="AA214" s="9"/>
      <c r="AB214" s="39"/>
      <c r="AC214" s="9"/>
      <c r="AD214" s="38"/>
      <c r="AE214" s="9"/>
      <c r="AF214" s="39"/>
      <c r="AG214" s="9"/>
      <c r="AH214" s="9"/>
      <c r="AI214" s="9"/>
      <c r="AJ214" s="9"/>
      <c r="AK214" s="9"/>
      <c r="AL214" s="9"/>
      <c r="AM214" s="9"/>
      <c r="AN214" s="10" t="str">
        <f aca="false">IF(A214="","",SG_Criteria!$B$6&amp;SG_Criteria!$B$7&amp;"\"&amp;A214&amp;"\")</f>
        <v/>
      </c>
      <c r="AO214" s="10" t="str">
        <f aca="false">IF(A214="","",A214&amp;"_CAD.dwg")</f>
        <v/>
      </c>
      <c r="AP214" s="10" t="str">
        <f aca="false">IF(A214="","",A214&amp;"_DWG.pdf")</f>
        <v/>
      </c>
      <c r="AQ214" s="10" t="str">
        <f aca="false">IF(A214="","",IF(AM214="Y",A214&amp;"_STAAD.std","n/a"))</f>
        <v/>
      </c>
      <c r="AR214" s="10" t="str">
        <f aca="false">IF(A214="","",A214&amp;"_CALC.xlsx")</f>
        <v/>
      </c>
      <c r="AS214" s="10" t="str">
        <f aca="false">IF(A214="","",A214&amp;"_CALC.pdf")</f>
        <v/>
      </c>
      <c r="AT214" s="9"/>
      <c r="AU214" s="9"/>
      <c r="AV214" s="39"/>
      <c r="AW214" s="39"/>
      <c r="AX214" s="39"/>
      <c r="AY214" s="39"/>
      <c r="AZ214" s="39"/>
      <c r="BA214" s="12" t="str">
        <f aca="false">IF(A214="","",IF(COUNTIF(Rebar_Schedule!$A$5:$A$2004,A214)=0,"",ROUND(SUMIF(Rebar_Schedule!$A$5:$A$2004,A214,Rebar_Schedule!$K$5:$K$2004),1)))</f>
        <v/>
      </c>
      <c r="BB214" s="33" t="str">
        <f aca="false">IF(A214="","",IF(BA214="","No rebar schedule yet",IF(ABS(BA214-N(AW214))/MAX(N(AW214),1)&gt;SG_Criteria!$B$55,"NOTE: register rebar differs from schedule by "&amp;TEXT(ABS(BA214-N(AW214))/MAX(N(AW214),1),"0%"),"OK")))</f>
        <v/>
      </c>
      <c r="BC214" s="34" t="str">
        <f aca="false">IF(OR(D214="",G214="",H214="",D214="Sump",D214="Drop Inlet Chamber",D214="Silt Trap",D214="Pipe Culvert",D214="Subsoil Drain"),"",ROUND(MAX(1,N(I214))*(1/SG_Criteria!$B$26)*((G214/1000)*(H214/1000*(1-SG_Criteria!$B$25)))*(((G214/1000)*(H214/1000*(1-SG_Criteria!$B$25)))/((G214/1000)+2*(H214/1000*(1-SG_Criteria!$B$25))))^(2/3)*(1/Design_Selector!$B$11)^0.5,3))</f>
        <v/>
      </c>
      <c r="BD214" s="11" t="str">
        <f aca="false">IF(BC214="","",ROUND(BC214/(MAX(1,N(I214))*G214/1000*(H214/1000*(1-SG_Criteria!$B$25))),2))</f>
        <v/>
      </c>
      <c r="BE214" s="33" t="str">
        <f aca="false">IF(D214="","",IF(LEN(IF(AND(OR(E214="Roadside drain",E214="Entrance culvert"),OR(G214&lt;SG_Criteria!$B$15,H214&lt;SG_Criteria!$B$16)),"FAIL: below PUB min "&amp;SG_Criteria!$B$15&amp;"x"&amp;SG_Criteria!$B$16&amp;" for roadside drain. ","")&amp;IF(AND(E214="Common drain",G214&lt;SG_Criteria!$B$17),"FAIL: common drain W &lt; "&amp;SG_Criteria!$B$17&amp;" mm. ","")&amp;IF(AND(O214&lt;&gt;"",IFERROR(VALUE(MID(O214,2,2)),0)&lt;SG_Criteria!$B$19),"FAIL: grade below C"&amp;SG_Criteria!$B$19&amp;". ","")&amp;IF(AND(P214&lt;&gt;"",P214&lt;SG_Criteria!$B$20),"FAIL: cover &lt; "&amp;SG_Criteria!$B$20&amp;" mm. ","")&amp;IF(AND(F214="Open",H214&gt;SG_Criteria!$B$18),"NOTE: safety railing required (D &gt; "&amp;SG_Criteria!$B$18&amp;" mm). ","")&amp;IF(AND(E214="Entrance culvert",H214&lt;600),"NOTE: check hinged grating rule for culverts &lt; 600 deep (PUB Add. 3). ",""))=0,"OK",IF(AND(OR(E214="Roadside drain",E214="Entrance culvert"),OR(G214&lt;SG_Criteria!$B$15,H214&lt;SG_Criteria!$B$16)),"FAIL: below PUB min "&amp;SG_Criteria!$B$15&amp;"x"&amp;SG_Criteria!$B$16&amp;" for roadside drain. ","")&amp;IF(AND(E214="Common drain",G214&lt;SG_Criteria!$B$17),"FAIL: common drain W &lt; "&amp;SG_Criteria!$B$17&amp;" mm. ","")&amp;IF(AND(O214&lt;&gt;"",IFERROR(VALUE(MID(O214,2,2)),0)&lt;SG_Criteria!$B$19),"FAIL: grade below C"&amp;SG_Criteria!$B$19&amp;". ","")&amp;IF(AND(P214&lt;&gt;"",P214&lt;SG_Criteria!$B$20),"FAIL: cover &lt; "&amp;SG_Criteria!$B$20&amp;" mm. ","")&amp;IF(AND(F214="Open",H214&gt;SG_Criteria!$B$18),"NOTE: safety railing required (D &gt; "&amp;SG_Criteria!$B$18&amp;" mm). ","")&amp;IF(AND(E214="Entrance culvert",H214&lt;600),"NOTE: check hinged grating rule for culverts &lt; 600 deep (PUB Add. 3). ","")))</f>
        <v/>
      </c>
      <c r="BF214" s="9"/>
      <c r="BG214" s="9"/>
      <c r="BH214" s="9"/>
      <c r="BI214" s="10" t="str">
        <f aca="false">IF(BH214="","",IFERROR(VLOOKUP(BH214,Projects!$A$5:$D$504,2,0),"Ref not in Projects"))</f>
        <v/>
      </c>
      <c r="BJ214" s="10" t="str">
        <f aca="false">IF(BH214="","",IFERROR(VLOOKUP(BH214,Projects!$A$5:$D$504,4,0),"Ref not in Projects"))</f>
        <v/>
      </c>
      <c r="BK214" s="9"/>
      <c r="BL214" s="9"/>
      <c r="BM214" s="9"/>
      <c r="BN214" s="40"/>
      <c r="BO214" s="9"/>
      <c r="BP214" s="40"/>
      <c r="BQ214" s="9"/>
      <c r="BR214" s="40"/>
      <c r="BS214" s="9"/>
      <c r="BT214" s="9"/>
      <c r="BU214" s="9"/>
      <c r="BV214" s="40"/>
      <c r="BW214" s="40"/>
      <c r="BX214" s="36" t="str">
        <f aca="false">IF(BW214="","",EDATE(BW214,SG_Criteria!$B$54*12))</f>
        <v/>
      </c>
      <c r="BY214" s="33" t="str">
        <f aca="true">IF(A214="","",IF(BW214="","NOTE: not reviewed yet",IF(TODAY()&gt;BX214,"NOTE: review overdue","OK")))</f>
        <v/>
      </c>
      <c r="BZ214" s="37" t="str">
        <f aca="false">IF(A214="","",ROUND((IF(LEN(D214)&gt;0,1,0)+IF(LEN(E214)&gt;0,1,0)+IF(LEN(F214)&gt;0,1,0)+IF(LEN(G214)&gt;0,1,0)+IF(LEN(H214)&gt;0,1,0)+IF(LEN(J214)&gt;0,1,0)+IF(LEN(K214)&gt;0,1,0)+IF(LEN(M214)&gt;0,1,0)+IF(LEN(O214)&gt;0,1,0)+IF(LEN(P214)&gt;0,1,0)+IF(LEN(Q214)&gt;0,1,0)+IF(LEN(S214)&gt;0,1,0)+IF(LEN(AC214)&gt;0,1,0)+IF(LEN(AV214)&gt;0,1,0)+IF(LEN(AW214)&gt;0,1,0)+IF(LEN(AG214)&gt;0,1,0)+IF(LEN(AI214)&gt;0,1,0)+IF(LEN(AJ214)&gt;0,1,0)+IF(LEN(AK214)&gt;0,1,0)+IF(LEN(AL214)&gt;0,1,0)+IF(LEN(AU214)&gt;0,1,0)+IF(LEN(BH214)&gt;0,1,0)+IF(LEN(BU214)&gt;0,1,0))/23,2))</f>
        <v/>
      </c>
      <c r="CA214" s="10" t="str">
        <f aca="false">IF(D214="","",IF(AND(AJ214="Approved",ISERROR(SEARCH("FAIL",BE214))),"Y","N"))</f>
        <v/>
      </c>
      <c r="CB214" s="10" t="str">
        <f aca="false">IF(D214="","",D214&amp;"|"&amp;G214&amp;"|"&amp;H214&amp;"|"&amp;M214&amp;"|"&amp;CA214)</f>
        <v/>
      </c>
    </row>
    <row r="215" customFormat="false" ht="15" hidden="false" customHeight="false" outlineLevel="0" collapsed="false">
      <c r="A215" s="10" t="str">
        <f aca="false">IF(D215="","","DRN-"&amp;IFERROR(VLOOKUP(D215,Lists!$A$4:$B$27,2,0),"??")&amp;"-"&amp;TEXT(G215,"0000")&amp;"x"&amp;TEXT(H215,"0000")&amp;IF(N(I215)&gt;1,"-"&amp;I215&amp;"C","")&amp;"-"&amp;IFERROR(VLOOKUP(M215,Lists!$J$4:$K$19,2,0),"??")&amp;"-"&amp;AI215)</f>
        <v/>
      </c>
      <c r="B215" s="10" t="str">
        <f aca="false">IF(D215="","",D215&amp;" "&amp;G215&amp;"W x "&amp;H215&amp;"D"&amp;IF(N(I215)&gt;1," ("&amp;I215&amp;" cells)","")&amp;", "&amp;E215&amp;", "&amp;M215&amp;", "&amp;F215)</f>
        <v/>
      </c>
      <c r="C215" s="9"/>
      <c r="D215" s="9"/>
      <c r="E215" s="9"/>
      <c r="F215" s="9"/>
      <c r="G215" s="38"/>
      <c r="H215" s="38"/>
      <c r="I215" s="38"/>
      <c r="J215" s="38"/>
      <c r="K215" s="38"/>
      <c r="L215" s="38"/>
      <c r="M215" s="9"/>
      <c r="N215" s="9"/>
      <c r="O215" s="9"/>
      <c r="P215" s="38"/>
      <c r="Q215" s="9"/>
      <c r="R215" s="9"/>
      <c r="S215" s="9"/>
      <c r="T215" s="9"/>
      <c r="U215" s="9"/>
      <c r="V215" s="9"/>
      <c r="W215" s="9"/>
      <c r="X215" s="9"/>
      <c r="Y215" s="9"/>
      <c r="Z215" s="9"/>
      <c r="AA215" s="9"/>
      <c r="AB215" s="39"/>
      <c r="AC215" s="9"/>
      <c r="AD215" s="38"/>
      <c r="AE215" s="9"/>
      <c r="AF215" s="39"/>
      <c r="AG215" s="9"/>
      <c r="AH215" s="9"/>
      <c r="AI215" s="9"/>
      <c r="AJ215" s="9"/>
      <c r="AK215" s="9"/>
      <c r="AL215" s="9"/>
      <c r="AM215" s="9"/>
      <c r="AN215" s="10" t="str">
        <f aca="false">IF(A215="","",SG_Criteria!$B$6&amp;SG_Criteria!$B$7&amp;"\"&amp;A215&amp;"\")</f>
        <v/>
      </c>
      <c r="AO215" s="10" t="str">
        <f aca="false">IF(A215="","",A215&amp;"_CAD.dwg")</f>
        <v/>
      </c>
      <c r="AP215" s="10" t="str">
        <f aca="false">IF(A215="","",A215&amp;"_DWG.pdf")</f>
        <v/>
      </c>
      <c r="AQ215" s="10" t="str">
        <f aca="false">IF(A215="","",IF(AM215="Y",A215&amp;"_STAAD.std","n/a"))</f>
        <v/>
      </c>
      <c r="AR215" s="10" t="str">
        <f aca="false">IF(A215="","",A215&amp;"_CALC.xlsx")</f>
        <v/>
      </c>
      <c r="AS215" s="10" t="str">
        <f aca="false">IF(A215="","",A215&amp;"_CALC.pdf")</f>
        <v/>
      </c>
      <c r="AT215" s="9"/>
      <c r="AU215" s="9"/>
      <c r="AV215" s="39"/>
      <c r="AW215" s="39"/>
      <c r="AX215" s="39"/>
      <c r="AY215" s="39"/>
      <c r="AZ215" s="39"/>
      <c r="BA215" s="12" t="str">
        <f aca="false">IF(A215="","",IF(COUNTIF(Rebar_Schedule!$A$5:$A$2004,A215)=0,"",ROUND(SUMIF(Rebar_Schedule!$A$5:$A$2004,A215,Rebar_Schedule!$K$5:$K$2004),1)))</f>
        <v/>
      </c>
      <c r="BB215" s="33" t="str">
        <f aca="false">IF(A215="","",IF(BA215="","No rebar schedule yet",IF(ABS(BA215-N(AW215))/MAX(N(AW215),1)&gt;SG_Criteria!$B$55,"NOTE: register rebar differs from schedule by "&amp;TEXT(ABS(BA215-N(AW215))/MAX(N(AW215),1),"0%"),"OK")))</f>
        <v/>
      </c>
      <c r="BC215" s="34" t="str">
        <f aca="false">IF(OR(D215="",G215="",H215="",D215="Sump",D215="Drop Inlet Chamber",D215="Silt Trap",D215="Pipe Culvert",D215="Subsoil Drain"),"",ROUND(MAX(1,N(I215))*(1/SG_Criteria!$B$26)*((G215/1000)*(H215/1000*(1-SG_Criteria!$B$25)))*(((G215/1000)*(H215/1000*(1-SG_Criteria!$B$25)))/((G215/1000)+2*(H215/1000*(1-SG_Criteria!$B$25))))^(2/3)*(1/Design_Selector!$B$11)^0.5,3))</f>
        <v/>
      </c>
      <c r="BD215" s="11" t="str">
        <f aca="false">IF(BC215="","",ROUND(BC215/(MAX(1,N(I215))*G215/1000*(H215/1000*(1-SG_Criteria!$B$25))),2))</f>
        <v/>
      </c>
      <c r="BE215" s="33" t="str">
        <f aca="false">IF(D215="","",IF(LEN(IF(AND(OR(E215="Roadside drain",E215="Entrance culvert"),OR(G215&lt;SG_Criteria!$B$15,H215&lt;SG_Criteria!$B$16)),"FAIL: below PUB min "&amp;SG_Criteria!$B$15&amp;"x"&amp;SG_Criteria!$B$16&amp;" for roadside drain. ","")&amp;IF(AND(E215="Common drain",G215&lt;SG_Criteria!$B$17),"FAIL: common drain W &lt; "&amp;SG_Criteria!$B$17&amp;" mm. ","")&amp;IF(AND(O215&lt;&gt;"",IFERROR(VALUE(MID(O215,2,2)),0)&lt;SG_Criteria!$B$19),"FAIL: grade below C"&amp;SG_Criteria!$B$19&amp;". ","")&amp;IF(AND(P215&lt;&gt;"",P215&lt;SG_Criteria!$B$20),"FAIL: cover &lt; "&amp;SG_Criteria!$B$20&amp;" mm. ","")&amp;IF(AND(F215="Open",H215&gt;SG_Criteria!$B$18),"NOTE: safety railing required (D &gt; "&amp;SG_Criteria!$B$18&amp;" mm). ","")&amp;IF(AND(E215="Entrance culvert",H215&lt;600),"NOTE: check hinged grating rule for culverts &lt; 600 deep (PUB Add. 3). ",""))=0,"OK",IF(AND(OR(E215="Roadside drain",E215="Entrance culvert"),OR(G215&lt;SG_Criteria!$B$15,H215&lt;SG_Criteria!$B$16)),"FAIL: below PUB min "&amp;SG_Criteria!$B$15&amp;"x"&amp;SG_Criteria!$B$16&amp;" for roadside drain. ","")&amp;IF(AND(E215="Common drain",G215&lt;SG_Criteria!$B$17),"FAIL: common drain W &lt; "&amp;SG_Criteria!$B$17&amp;" mm. ","")&amp;IF(AND(O215&lt;&gt;"",IFERROR(VALUE(MID(O215,2,2)),0)&lt;SG_Criteria!$B$19),"FAIL: grade below C"&amp;SG_Criteria!$B$19&amp;". ","")&amp;IF(AND(P215&lt;&gt;"",P215&lt;SG_Criteria!$B$20),"FAIL: cover &lt; "&amp;SG_Criteria!$B$20&amp;" mm. ","")&amp;IF(AND(F215="Open",H215&gt;SG_Criteria!$B$18),"NOTE: safety railing required (D &gt; "&amp;SG_Criteria!$B$18&amp;" mm). ","")&amp;IF(AND(E215="Entrance culvert",H215&lt;600),"NOTE: check hinged grating rule for culverts &lt; 600 deep (PUB Add. 3). ","")))</f>
        <v/>
      </c>
      <c r="BF215" s="9"/>
      <c r="BG215" s="9"/>
      <c r="BH215" s="9"/>
      <c r="BI215" s="10" t="str">
        <f aca="false">IF(BH215="","",IFERROR(VLOOKUP(BH215,Projects!$A$5:$D$504,2,0),"Ref not in Projects"))</f>
        <v/>
      </c>
      <c r="BJ215" s="10" t="str">
        <f aca="false">IF(BH215="","",IFERROR(VLOOKUP(BH215,Projects!$A$5:$D$504,4,0),"Ref not in Projects"))</f>
        <v/>
      </c>
      <c r="BK215" s="9"/>
      <c r="BL215" s="9"/>
      <c r="BM215" s="9"/>
      <c r="BN215" s="40"/>
      <c r="BO215" s="9"/>
      <c r="BP215" s="40"/>
      <c r="BQ215" s="9"/>
      <c r="BR215" s="40"/>
      <c r="BS215" s="9"/>
      <c r="BT215" s="9"/>
      <c r="BU215" s="9"/>
      <c r="BV215" s="40"/>
      <c r="BW215" s="40"/>
      <c r="BX215" s="36" t="str">
        <f aca="false">IF(BW215="","",EDATE(BW215,SG_Criteria!$B$54*12))</f>
        <v/>
      </c>
      <c r="BY215" s="33" t="str">
        <f aca="true">IF(A215="","",IF(BW215="","NOTE: not reviewed yet",IF(TODAY()&gt;BX215,"NOTE: review overdue","OK")))</f>
        <v/>
      </c>
      <c r="BZ215" s="37" t="str">
        <f aca="false">IF(A215="","",ROUND((IF(LEN(D215)&gt;0,1,0)+IF(LEN(E215)&gt;0,1,0)+IF(LEN(F215)&gt;0,1,0)+IF(LEN(G215)&gt;0,1,0)+IF(LEN(H215)&gt;0,1,0)+IF(LEN(J215)&gt;0,1,0)+IF(LEN(K215)&gt;0,1,0)+IF(LEN(M215)&gt;0,1,0)+IF(LEN(O215)&gt;0,1,0)+IF(LEN(P215)&gt;0,1,0)+IF(LEN(Q215)&gt;0,1,0)+IF(LEN(S215)&gt;0,1,0)+IF(LEN(AC215)&gt;0,1,0)+IF(LEN(AV215)&gt;0,1,0)+IF(LEN(AW215)&gt;0,1,0)+IF(LEN(AG215)&gt;0,1,0)+IF(LEN(AI215)&gt;0,1,0)+IF(LEN(AJ215)&gt;0,1,0)+IF(LEN(AK215)&gt;0,1,0)+IF(LEN(AL215)&gt;0,1,0)+IF(LEN(AU215)&gt;0,1,0)+IF(LEN(BH215)&gt;0,1,0)+IF(LEN(BU215)&gt;0,1,0))/23,2))</f>
        <v/>
      </c>
      <c r="CA215" s="10" t="str">
        <f aca="false">IF(D215="","",IF(AND(AJ215="Approved",ISERROR(SEARCH("FAIL",BE215))),"Y","N"))</f>
        <v/>
      </c>
      <c r="CB215" s="10" t="str">
        <f aca="false">IF(D215="","",D215&amp;"|"&amp;G215&amp;"|"&amp;H215&amp;"|"&amp;M215&amp;"|"&amp;CA215)</f>
        <v/>
      </c>
    </row>
    <row r="216" customFormat="false" ht="15" hidden="false" customHeight="false" outlineLevel="0" collapsed="false">
      <c r="A216" s="10" t="str">
        <f aca="false">IF(D216="","","DRN-"&amp;IFERROR(VLOOKUP(D216,Lists!$A$4:$B$27,2,0),"??")&amp;"-"&amp;TEXT(G216,"0000")&amp;"x"&amp;TEXT(H216,"0000")&amp;IF(N(I216)&gt;1,"-"&amp;I216&amp;"C","")&amp;"-"&amp;IFERROR(VLOOKUP(M216,Lists!$J$4:$K$19,2,0),"??")&amp;"-"&amp;AI216)</f>
        <v/>
      </c>
      <c r="B216" s="10" t="str">
        <f aca="false">IF(D216="","",D216&amp;" "&amp;G216&amp;"W x "&amp;H216&amp;"D"&amp;IF(N(I216)&gt;1," ("&amp;I216&amp;" cells)","")&amp;", "&amp;E216&amp;", "&amp;M216&amp;", "&amp;F216)</f>
        <v/>
      </c>
      <c r="C216" s="9"/>
      <c r="D216" s="9"/>
      <c r="E216" s="9"/>
      <c r="F216" s="9"/>
      <c r="G216" s="38"/>
      <c r="H216" s="38"/>
      <c r="I216" s="38"/>
      <c r="J216" s="38"/>
      <c r="K216" s="38"/>
      <c r="L216" s="38"/>
      <c r="M216" s="9"/>
      <c r="N216" s="9"/>
      <c r="O216" s="9"/>
      <c r="P216" s="38"/>
      <c r="Q216" s="9"/>
      <c r="R216" s="9"/>
      <c r="S216" s="9"/>
      <c r="T216" s="9"/>
      <c r="U216" s="9"/>
      <c r="V216" s="9"/>
      <c r="W216" s="9"/>
      <c r="X216" s="9"/>
      <c r="Y216" s="9"/>
      <c r="Z216" s="9"/>
      <c r="AA216" s="9"/>
      <c r="AB216" s="39"/>
      <c r="AC216" s="9"/>
      <c r="AD216" s="38"/>
      <c r="AE216" s="9"/>
      <c r="AF216" s="39"/>
      <c r="AG216" s="9"/>
      <c r="AH216" s="9"/>
      <c r="AI216" s="9"/>
      <c r="AJ216" s="9"/>
      <c r="AK216" s="9"/>
      <c r="AL216" s="9"/>
      <c r="AM216" s="9"/>
      <c r="AN216" s="10" t="str">
        <f aca="false">IF(A216="","",SG_Criteria!$B$6&amp;SG_Criteria!$B$7&amp;"\"&amp;A216&amp;"\")</f>
        <v/>
      </c>
      <c r="AO216" s="10" t="str">
        <f aca="false">IF(A216="","",A216&amp;"_CAD.dwg")</f>
        <v/>
      </c>
      <c r="AP216" s="10" t="str">
        <f aca="false">IF(A216="","",A216&amp;"_DWG.pdf")</f>
        <v/>
      </c>
      <c r="AQ216" s="10" t="str">
        <f aca="false">IF(A216="","",IF(AM216="Y",A216&amp;"_STAAD.std","n/a"))</f>
        <v/>
      </c>
      <c r="AR216" s="10" t="str">
        <f aca="false">IF(A216="","",A216&amp;"_CALC.xlsx")</f>
        <v/>
      </c>
      <c r="AS216" s="10" t="str">
        <f aca="false">IF(A216="","",A216&amp;"_CALC.pdf")</f>
        <v/>
      </c>
      <c r="AT216" s="9"/>
      <c r="AU216" s="9"/>
      <c r="AV216" s="39"/>
      <c r="AW216" s="39"/>
      <c r="AX216" s="39"/>
      <c r="AY216" s="39"/>
      <c r="AZ216" s="39"/>
      <c r="BA216" s="12" t="str">
        <f aca="false">IF(A216="","",IF(COUNTIF(Rebar_Schedule!$A$5:$A$2004,A216)=0,"",ROUND(SUMIF(Rebar_Schedule!$A$5:$A$2004,A216,Rebar_Schedule!$K$5:$K$2004),1)))</f>
        <v/>
      </c>
      <c r="BB216" s="33" t="str">
        <f aca="false">IF(A216="","",IF(BA216="","No rebar schedule yet",IF(ABS(BA216-N(AW216))/MAX(N(AW216),1)&gt;SG_Criteria!$B$55,"NOTE: register rebar differs from schedule by "&amp;TEXT(ABS(BA216-N(AW216))/MAX(N(AW216),1),"0%"),"OK")))</f>
        <v/>
      </c>
      <c r="BC216" s="34" t="str">
        <f aca="false">IF(OR(D216="",G216="",H216="",D216="Sump",D216="Drop Inlet Chamber",D216="Silt Trap",D216="Pipe Culvert",D216="Subsoil Drain"),"",ROUND(MAX(1,N(I216))*(1/SG_Criteria!$B$26)*((G216/1000)*(H216/1000*(1-SG_Criteria!$B$25)))*(((G216/1000)*(H216/1000*(1-SG_Criteria!$B$25)))/((G216/1000)+2*(H216/1000*(1-SG_Criteria!$B$25))))^(2/3)*(1/Design_Selector!$B$11)^0.5,3))</f>
        <v/>
      </c>
      <c r="BD216" s="11" t="str">
        <f aca="false">IF(BC216="","",ROUND(BC216/(MAX(1,N(I216))*G216/1000*(H216/1000*(1-SG_Criteria!$B$25))),2))</f>
        <v/>
      </c>
      <c r="BE216" s="33" t="str">
        <f aca="false">IF(D216="","",IF(LEN(IF(AND(OR(E216="Roadside drain",E216="Entrance culvert"),OR(G216&lt;SG_Criteria!$B$15,H216&lt;SG_Criteria!$B$16)),"FAIL: below PUB min "&amp;SG_Criteria!$B$15&amp;"x"&amp;SG_Criteria!$B$16&amp;" for roadside drain. ","")&amp;IF(AND(E216="Common drain",G216&lt;SG_Criteria!$B$17),"FAIL: common drain W &lt; "&amp;SG_Criteria!$B$17&amp;" mm. ","")&amp;IF(AND(O216&lt;&gt;"",IFERROR(VALUE(MID(O216,2,2)),0)&lt;SG_Criteria!$B$19),"FAIL: grade below C"&amp;SG_Criteria!$B$19&amp;". ","")&amp;IF(AND(P216&lt;&gt;"",P216&lt;SG_Criteria!$B$20),"FAIL: cover &lt; "&amp;SG_Criteria!$B$20&amp;" mm. ","")&amp;IF(AND(F216="Open",H216&gt;SG_Criteria!$B$18),"NOTE: safety railing required (D &gt; "&amp;SG_Criteria!$B$18&amp;" mm). ","")&amp;IF(AND(E216="Entrance culvert",H216&lt;600),"NOTE: check hinged grating rule for culverts &lt; 600 deep (PUB Add. 3). ",""))=0,"OK",IF(AND(OR(E216="Roadside drain",E216="Entrance culvert"),OR(G216&lt;SG_Criteria!$B$15,H216&lt;SG_Criteria!$B$16)),"FAIL: below PUB min "&amp;SG_Criteria!$B$15&amp;"x"&amp;SG_Criteria!$B$16&amp;" for roadside drain. ","")&amp;IF(AND(E216="Common drain",G216&lt;SG_Criteria!$B$17),"FAIL: common drain W &lt; "&amp;SG_Criteria!$B$17&amp;" mm. ","")&amp;IF(AND(O216&lt;&gt;"",IFERROR(VALUE(MID(O216,2,2)),0)&lt;SG_Criteria!$B$19),"FAIL: grade below C"&amp;SG_Criteria!$B$19&amp;". ","")&amp;IF(AND(P216&lt;&gt;"",P216&lt;SG_Criteria!$B$20),"FAIL: cover &lt; "&amp;SG_Criteria!$B$20&amp;" mm. ","")&amp;IF(AND(F216="Open",H216&gt;SG_Criteria!$B$18),"NOTE: safety railing required (D &gt; "&amp;SG_Criteria!$B$18&amp;" mm). ","")&amp;IF(AND(E216="Entrance culvert",H216&lt;600),"NOTE: check hinged grating rule for culverts &lt; 600 deep (PUB Add. 3). ","")))</f>
        <v/>
      </c>
      <c r="BF216" s="9"/>
      <c r="BG216" s="9"/>
      <c r="BH216" s="9"/>
      <c r="BI216" s="10" t="str">
        <f aca="false">IF(BH216="","",IFERROR(VLOOKUP(BH216,Projects!$A$5:$D$504,2,0),"Ref not in Projects"))</f>
        <v/>
      </c>
      <c r="BJ216" s="10" t="str">
        <f aca="false">IF(BH216="","",IFERROR(VLOOKUP(BH216,Projects!$A$5:$D$504,4,0),"Ref not in Projects"))</f>
        <v/>
      </c>
      <c r="BK216" s="9"/>
      <c r="BL216" s="9"/>
      <c r="BM216" s="9"/>
      <c r="BN216" s="40"/>
      <c r="BO216" s="9"/>
      <c r="BP216" s="40"/>
      <c r="BQ216" s="9"/>
      <c r="BR216" s="40"/>
      <c r="BS216" s="9"/>
      <c r="BT216" s="9"/>
      <c r="BU216" s="9"/>
      <c r="BV216" s="40"/>
      <c r="BW216" s="40"/>
      <c r="BX216" s="36" t="str">
        <f aca="false">IF(BW216="","",EDATE(BW216,SG_Criteria!$B$54*12))</f>
        <v/>
      </c>
      <c r="BY216" s="33" t="str">
        <f aca="true">IF(A216="","",IF(BW216="","NOTE: not reviewed yet",IF(TODAY()&gt;BX216,"NOTE: review overdue","OK")))</f>
        <v/>
      </c>
      <c r="BZ216" s="37" t="str">
        <f aca="false">IF(A216="","",ROUND((IF(LEN(D216)&gt;0,1,0)+IF(LEN(E216)&gt;0,1,0)+IF(LEN(F216)&gt;0,1,0)+IF(LEN(G216)&gt;0,1,0)+IF(LEN(H216)&gt;0,1,0)+IF(LEN(J216)&gt;0,1,0)+IF(LEN(K216)&gt;0,1,0)+IF(LEN(M216)&gt;0,1,0)+IF(LEN(O216)&gt;0,1,0)+IF(LEN(P216)&gt;0,1,0)+IF(LEN(Q216)&gt;0,1,0)+IF(LEN(S216)&gt;0,1,0)+IF(LEN(AC216)&gt;0,1,0)+IF(LEN(AV216)&gt;0,1,0)+IF(LEN(AW216)&gt;0,1,0)+IF(LEN(AG216)&gt;0,1,0)+IF(LEN(AI216)&gt;0,1,0)+IF(LEN(AJ216)&gt;0,1,0)+IF(LEN(AK216)&gt;0,1,0)+IF(LEN(AL216)&gt;0,1,0)+IF(LEN(AU216)&gt;0,1,0)+IF(LEN(BH216)&gt;0,1,0)+IF(LEN(BU216)&gt;0,1,0))/23,2))</f>
        <v/>
      </c>
      <c r="CA216" s="10" t="str">
        <f aca="false">IF(D216="","",IF(AND(AJ216="Approved",ISERROR(SEARCH("FAIL",BE216))),"Y","N"))</f>
        <v/>
      </c>
      <c r="CB216" s="10" t="str">
        <f aca="false">IF(D216="","",D216&amp;"|"&amp;G216&amp;"|"&amp;H216&amp;"|"&amp;M216&amp;"|"&amp;CA216)</f>
        <v/>
      </c>
    </row>
    <row r="217" customFormat="false" ht="15" hidden="false" customHeight="false" outlineLevel="0" collapsed="false">
      <c r="A217" s="10" t="str">
        <f aca="false">IF(D217="","","DRN-"&amp;IFERROR(VLOOKUP(D217,Lists!$A$4:$B$27,2,0),"??")&amp;"-"&amp;TEXT(G217,"0000")&amp;"x"&amp;TEXT(H217,"0000")&amp;IF(N(I217)&gt;1,"-"&amp;I217&amp;"C","")&amp;"-"&amp;IFERROR(VLOOKUP(M217,Lists!$J$4:$K$19,2,0),"??")&amp;"-"&amp;AI217)</f>
        <v/>
      </c>
      <c r="B217" s="10" t="str">
        <f aca="false">IF(D217="","",D217&amp;" "&amp;G217&amp;"W x "&amp;H217&amp;"D"&amp;IF(N(I217)&gt;1," ("&amp;I217&amp;" cells)","")&amp;", "&amp;E217&amp;", "&amp;M217&amp;", "&amp;F217)</f>
        <v/>
      </c>
      <c r="C217" s="9"/>
      <c r="D217" s="9"/>
      <c r="E217" s="9"/>
      <c r="F217" s="9"/>
      <c r="G217" s="38"/>
      <c r="H217" s="38"/>
      <c r="I217" s="38"/>
      <c r="J217" s="38"/>
      <c r="K217" s="38"/>
      <c r="L217" s="38"/>
      <c r="M217" s="9"/>
      <c r="N217" s="9"/>
      <c r="O217" s="9"/>
      <c r="P217" s="38"/>
      <c r="Q217" s="9"/>
      <c r="R217" s="9"/>
      <c r="S217" s="9"/>
      <c r="T217" s="9"/>
      <c r="U217" s="9"/>
      <c r="V217" s="9"/>
      <c r="W217" s="9"/>
      <c r="X217" s="9"/>
      <c r="Y217" s="9"/>
      <c r="Z217" s="9"/>
      <c r="AA217" s="9"/>
      <c r="AB217" s="39"/>
      <c r="AC217" s="9"/>
      <c r="AD217" s="38"/>
      <c r="AE217" s="9"/>
      <c r="AF217" s="39"/>
      <c r="AG217" s="9"/>
      <c r="AH217" s="9"/>
      <c r="AI217" s="9"/>
      <c r="AJ217" s="9"/>
      <c r="AK217" s="9"/>
      <c r="AL217" s="9"/>
      <c r="AM217" s="9"/>
      <c r="AN217" s="10" t="str">
        <f aca="false">IF(A217="","",SG_Criteria!$B$6&amp;SG_Criteria!$B$7&amp;"\"&amp;A217&amp;"\")</f>
        <v/>
      </c>
      <c r="AO217" s="10" t="str">
        <f aca="false">IF(A217="","",A217&amp;"_CAD.dwg")</f>
        <v/>
      </c>
      <c r="AP217" s="10" t="str">
        <f aca="false">IF(A217="","",A217&amp;"_DWG.pdf")</f>
        <v/>
      </c>
      <c r="AQ217" s="10" t="str">
        <f aca="false">IF(A217="","",IF(AM217="Y",A217&amp;"_STAAD.std","n/a"))</f>
        <v/>
      </c>
      <c r="AR217" s="10" t="str">
        <f aca="false">IF(A217="","",A217&amp;"_CALC.xlsx")</f>
        <v/>
      </c>
      <c r="AS217" s="10" t="str">
        <f aca="false">IF(A217="","",A217&amp;"_CALC.pdf")</f>
        <v/>
      </c>
      <c r="AT217" s="9"/>
      <c r="AU217" s="9"/>
      <c r="AV217" s="39"/>
      <c r="AW217" s="39"/>
      <c r="AX217" s="39"/>
      <c r="AY217" s="39"/>
      <c r="AZ217" s="39"/>
      <c r="BA217" s="12" t="str">
        <f aca="false">IF(A217="","",IF(COUNTIF(Rebar_Schedule!$A$5:$A$2004,A217)=0,"",ROUND(SUMIF(Rebar_Schedule!$A$5:$A$2004,A217,Rebar_Schedule!$K$5:$K$2004),1)))</f>
        <v/>
      </c>
      <c r="BB217" s="33" t="str">
        <f aca="false">IF(A217="","",IF(BA217="","No rebar schedule yet",IF(ABS(BA217-N(AW217))/MAX(N(AW217),1)&gt;SG_Criteria!$B$55,"NOTE: register rebar differs from schedule by "&amp;TEXT(ABS(BA217-N(AW217))/MAX(N(AW217),1),"0%"),"OK")))</f>
        <v/>
      </c>
      <c r="BC217" s="34" t="str">
        <f aca="false">IF(OR(D217="",G217="",H217="",D217="Sump",D217="Drop Inlet Chamber",D217="Silt Trap",D217="Pipe Culvert",D217="Subsoil Drain"),"",ROUND(MAX(1,N(I217))*(1/SG_Criteria!$B$26)*((G217/1000)*(H217/1000*(1-SG_Criteria!$B$25)))*(((G217/1000)*(H217/1000*(1-SG_Criteria!$B$25)))/((G217/1000)+2*(H217/1000*(1-SG_Criteria!$B$25))))^(2/3)*(1/Design_Selector!$B$11)^0.5,3))</f>
        <v/>
      </c>
      <c r="BD217" s="11" t="str">
        <f aca="false">IF(BC217="","",ROUND(BC217/(MAX(1,N(I217))*G217/1000*(H217/1000*(1-SG_Criteria!$B$25))),2))</f>
        <v/>
      </c>
      <c r="BE217" s="33" t="str">
        <f aca="false">IF(D217="","",IF(LEN(IF(AND(OR(E217="Roadside drain",E217="Entrance culvert"),OR(G217&lt;SG_Criteria!$B$15,H217&lt;SG_Criteria!$B$16)),"FAIL: below PUB min "&amp;SG_Criteria!$B$15&amp;"x"&amp;SG_Criteria!$B$16&amp;" for roadside drain. ","")&amp;IF(AND(E217="Common drain",G217&lt;SG_Criteria!$B$17),"FAIL: common drain W &lt; "&amp;SG_Criteria!$B$17&amp;" mm. ","")&amp;IF(AND(O217&lt;&gt;"",IFERROR(VALUE(MID(O217,2,2)),0)&lt;SG_Criteria!$B$19),"FAIL: grade below C"&amp;SG_Criteria!$B$19&amp;". ","")&amp;IF(AND(P217&lt;&gt;"",P217&lt;SG_Criteria!$B$20),"FAIL: cover &lt; "&amp;SG_Criteria!$B$20&amp;" mm. ","")&amp;IF(AND(F217="Open",H217&gt;SG_Criteria!$B$18),"NOTE: safety railing required (D &gt; "&amp;SG_Criteria!$B$18&amp;" mm). ","")&amp;IF(AND(E217="Entrance culvert",H217&lt;600),"NOTE: check hinged grating rule for culverts &lt; 600 deep (PUB Add. 3). ",""))=0,"OK",IF(AND(OR(E217="Roadside drain",E217="Entrance culvert"),OR(G217&lt;SG_Criteria!$B$15,H217&lt;SG_Criteria!$B$16)),"FAIL: below PUB min "&amp;SG_Criteria!$B$15&amp;"x"&amp;SG_Criteria!$B$16&amp;" for roadside drain. ","")&amp;IF(AND(E217="Common drain",G217&lt;SG_Criteria!$B$17),"FAIL: common drain W &lt; "&amp;SG_Criteria!$B$17&amp;" mm. ","")&amp;IF(AND(O217&lt;&gt;"",IFERROR(VALUE(MID(O217,2,2)),0)&lt;SG_Criteria!$B$19),"FAIL: grade below C"&amp;SG_Criteria!$B$19&amp;". ","")&amp;IF(AND(P217&lt;&gt;"",P217&lt;SG_Criteria!$B$20),"FAIL: cover &lt; "&amp;SG_Criteria!$B$20&amp;" mm. ","")&amp;IF(AND(F217="Open",H217&gt;SG_Criteria!$B$18),"NOTE: safety railing required (D &gt; "&amp;SG_Criteria!$B$18&amp;" mm). ","")&amp;IF(AND(E217="Entrance culvert",H217&lt;600),"NOTE: check hinged grating rule for culverts &lt; 600 deep (PUB Add. 3). ","")))</f>
        <v/>
      </c>
      <c r="BF217" s="9"/>
      <c r="BG217" s="9"/>
      <c r="BH217" s="9"/>
      <c r="BI217" s="10" t="str">
        <f aca="false">IF(BH217="","",IFERROR(VLOOKUP(BH217,Projects!$A$5:$D$504,2,0),"Ref not in Projects"))</f>
        <v/>
      </c>
      <c r="BJ217" s="10" t="str">
        <f aca="false">IF(BH217="","",IFERROR(VLOOKUP(BH217,Projects!$A$5:$D$504,4,0),"Ref not in Projects"))</f>
        <v/>
      </c>
      <c r="BK217" s="9"/>
      <c r="BL217" s="9"/>
      <c r="BM217" s="9"/>
      <c r="BN217" s="40"/>
      <c r="BO217" s="9"/>
      <c r="BP217" s="40"/>
      <c r="BQ217" s="9"/>
      <c r="BR217" s="40"/>
      <c r="BS217" s="9"/>
      <c r="BT217" s="9"/>
      <c r="BU217" s="9"/>
      <c r="BV217" s="40"/>
      <c r="BW217" s="40"/>
      <c r="BX217" s="36" t="str">
        <f aca="false">IF(BW217="","",EDATE(BW217,SG_Criteria!$B$54*12))</f>
        <v/>
      </c>
      <c r="BY217" s="33" t="str">
        <f aca="true">IF(A217="","",IF(BW217="","NOTE: not reviewed yet",IF(TODAY()&gt;BX217,"NOTE: review overdue","OK")))</f>
        <v/>
      </c>
      <c r="BZ217" s="37" t="str">
        <f aca="false">IF(A217="","",ROUND((IF(LEN(D217)&gt;0,1,0)+IF(LEN(E217)&gt;0,1,0)+IF(LEN(F217)&gt;0,1,0)+IF(LEN(G217)&gt;0,1,0)+IF(LEN(H217)&gt;0,1,0)+IF(LEN(J217)&gt;0,1,0)+IF(LEN(K217)&gt;0,1,0)+IF(LEN(M217)&gt;0,1,0)+IF(LEN(O217)&gt;0,1,0)+IF(LEN(P217)&gt;0,1,0)+IF(LEN(Q217)&gt;0,1,0)+IF(LEN(S217)&gt;0,1,0)+IF(LEN(AC217)&gt;0,1,0)+IF(LEN(AV217)&gt;0,1,0)+IF(LEN(AW217)&gt;0,1,0)+IF(LEN(AG217)&gt;0,1,0)+IF(LEN(AI217)&gt;0,1,0)+IF(LEN(AJ217)&gt;0,1,0)+IF(LEN(AK217)&gt;0,1,0)+IF(LEN(AL217)&gt;0,1,0)+IF(LEN(AU217)&gt;0,1,0)+IF(LEN(BH217)&gt;0,1,0)+IF(LEN(BU217)&gt;0,1,0))/23,2))</f>
        <v/>
      </c>
      <c r="CA217" s="10" t="str">
        <f aca="false">IF(D217="","",IF(AND(AJ217="Approved",ISERROR(SEARCH("FAIL",BE217))),"Y","N"))</f>
        <v/>
      </c>
      <c r="CB217" s="10" t="str">
        <f aca="false">IF(D217="","",D217&amp;"|"&amp;G217&amp;"|"&amp;H217&amp;"|"&amp;M217&amp;"|"&amp;CA217)</f>
        <v/>
      </c>
    </row>
    <row r="218" customFormat="false" ht="15" hidden="false" customHeight="false" outlineLevel="0" collapsed="false">
      <c r="A218" s="10" t="str">
        <f aca="false">IF(D218="","","DRN-"&amp;IFERROR(VLOOKUP(D218,Lists!$A$4:$B$27,2,0),"??")&amp;"-"&amp;TEXT(G218,"0000")&amp;"x"&amp;TEXT(H218,"0000")&amp;IF(N(I218)&gt;1,"-"&amp;I218&amp;"C","")&amp;"-"&amp;IFERROR(VLOOKUP(M218,Lists!$J$4:$K$19,2,0),"??")&amp;"-"&amp;AI218)</f>
        <v/>
      </c>
      <c r="B218" s="10" t="str">
        <f aca="false">IF(D218="","",D218&amp;" "&amp;G218&amp;"W x "&amp;H218&amp;"D"&amp;IF(N(I218)&gt;1," ("&amp;I218&amp;" cells)","")&amp;", "&amp;E218&amp;", "&amp;M218&amp;", "&amp;F218)</f>
        <v/>
      </c>
      <c r="C218" s="9"/>
      <c r="D218" s="9"/>
      <c r="E218" s="9"/>
      <c r="F218" s="9"/>
      <c r="G218" s="38"/>
      <c r="H218" s="38"/>
      <c r="I218" s="38"/>
      <c r="J218" s="38"/>
      <c r="K218" s="38"/>
      <c r="L218" s="38"/>
      <c r="M218" s="9"/>
      <c r="N218" s="9"/>
      <c r="O218" s="9"/>
      <c r="P218" s="38"/>
      <c r="Q218" s="9"/>
      <c r="R218" s="9"/>
      <c r="S218" s="9"/>
      <c r="T218" s="9"/>
      <c r="U218" s="9"/>
      <c r="V218" s="9"/>
      <c r="W218" s="9"/>
      <c r="X218" s="9"/>
      <c r="Y218" s="9"/>
      <c r="Z218" s="9"/>
      <c r="AA218" s="9"/>
      <c r="AB218" s="39"/>
      <c r="AC218" s="9"/>
      <c r="AD218" s="38"/>
      <c r="AE218" s="9"/>
      <c r="AF218" s="39"/>
      <c r="AG218" s="9"/>
      <c r="AH218" s="9"/>
      <c r="AI218" s="9"/>
      <c r="AJ218" s="9"/>
      <c r="AK218" s="9"/>
      <c r="AL218" s="9"/>
      <c r="AM218" s="9"/>
      <c r="AN218" s="10" t="str">
        <f aca="false">IF(A218="","",SG_Criteria!$B$6&amp;SG_Criteria!$B$7&amp;"\"&amp;A218&amp;"\")</f>
        <v/>
      </c>
      <c r="AO218" s="10" t="str">
        <f aca="false">IF(A218="","",A218&amp;"_CAD.dwg")</f>
        <v/>
      </c>
      <c r="AP218" s="10" t="str">
        <f aca="false">IF(A218="","",A218&amp;"_DWG.pdf")</f>
        <v/>
      </c>
      <c r="AQ218" s="10" t="str">
        <f aca="false">IF(A218="","",IF(AM218="Y",A218&amp;"_STAAD.std","n/a"))</f>
        <v/>
      </c>
      <c r="AR218" s="10" t="str">
        <f aca="false">IF(A218="","",A218&amp;"_CALC.xlsx")</f>
        <v/>
      </c>
      <c r="AS218" s="10" t="str">
        <f aca="false">IF(A218="","",A218&amp;"_CALC.pdf")</f>
        <v/>
      </c>
      <c r="AT218" s="9"/>
      <c r="AU218" s="9"/>
      <c r="AV218" s="39"/>
      <c r="AW218" s="39"/>
      <c r="AX218" s="39"/>
      <c r="AY218" s="39"/>
      <c r="AZ218" s="39"/>
      <c r="BA218" s="12" t="str">
        <f aca="false">IF(A218="","",IF(COUNTIF(Rebar_Schedule!$A$5:$A$2004,A218)=0,"",ROUND(SUMIF(Rebar_Schedule!$A$5:$A$2004,A218,Rebar_Schedule!$K$5:$K$2004),1)))</f>
        <v/>
      </c>
      <c r="BB218" s="33" t="str">
        <f aca="false">IF(A218="","",IF(BA218="","No rebar schedule yet",IF(ABS(BA218-N(AW218))/MAX(N(AW218),1)&gt;SG_Criteria!$B$55,"NOTE: register rebar differs from schedule by "&amp;TEXT(ABS(BA218-N(AW218))/MAX(N(AW218),1),"0%"),"OK")))</f>
        <v/>
      </c>
      <c r="BC218" s="34" t="str">
        <f aca="false">IF(OR(D218="",G218="",H218="",D218="Sump",D218="Drop Inlet Chamber",D218="Silt Trap",D218="Pipe Culvert",D218="Subsoil Drain"),"",ROUND(MAX(1,N(I218))*(1/SG_Criteria!$B$26)*((G218/1000)*(H218/1000*(1-SG_Criteria!$B$25)))*(((G218/1000)*(H218/1000*(1-SG_Criteria!$B$25)))/((G218/1000)+2*(H218/1000*(1-SG_Criteria!$B$25))))^(2/3)*(1/Design_Selector!$B$11)^0.5,3))</f>
        <v/>
      </c>
      <c r="BD218" s="11" t="str">
        <f aca="false">IF(BC218="","",ROUND(BC218/(MAX(1,N(I218))*G218/1000*(H218/1000*(1-SG_Criteria!$B$25))),2))</f>
        <v/>
      </c>
      <c r="BE218" s="33" t="str">
        <f aca="false">IF(D218="","",IF(LEN(IF(AND(OR(E218="Roadside drain",E218="Entrance culvert"),OR(G218&lt;SG_Criteria!$B$15,H218&lt;SG_Criteria!$B$16)),"FAIL: below PUB min "&amp;SG_Criteria!$B$15&amp;"x"&amp;SG_Criteria!$B$16&amp;" for roadside drain. ","")&amp;IF(AND(E218="Common drain",G218&lt;SG_Criteria!$B$17),"FAIL: common drain W &lt; "&amp;SG_Criteria!$B$17&amp;" mm. ","")&amp;IF(AND(O218&lt;&gt;"",IFERROR(VALUE(MID(O218,2,2)),0)&lt;SG_Criteria!$B$19),"FAIL: grade below C"&amp;SG_Criteria!$B$19&amp;". ","")&amp;IF(AND(P218&lt;&gt;"",P218&lt;SG_Criteria!$B$20),"FAIL: cover &lt; "&amp;SG_Criteria!$B$20&amp;" mm. ","")&amp;IF(AND(F218="Open",H218&gt;SG_Criteria!$B$18),"NOTE: safety railing required (D &gt; "&amp;SG_Criteria!$B$18&amp;" mm). ","")&amp;IF(AND(E218="Entrance culvert",H218&lt;600),"NOTE: check hinged grating rule for culverts &lt; 600 deep (PUB Add. 3). ",""))=0,"OK",IF(AND(OR(E218="Roadside drain",E218="Entrance culvert"),OR(G218&lt;SG_Criteria!$B$15,H218&lt;SG_Criteria!$B$16)),"FAIL: below PUB min "&amp;SG_Criteria!$B$15&amp;"x"&amp;SG_Criteria!$B$16&amp;" for roadside drain. ","")&amp;IF(AND(E218="Common drain",G218&lt;SG_Criteria!$B$17),"FAIL: common drain W &lt; "&amp;SG_Criteria!$B$17&amp;" mm. ","")&amp;IF(AND(O218&lt;&gt;"",IFERROR(VALUE(MID(O218,2,2)),0)&lt;SG_Criteria!$B$19),"FAIL: grade below C"&amp;SG_Criteria!$B$19&amp;". ","")&amp;IF(AND(P218&lt;&gt;"",P218&lt;SG_Criteria!$B$20),"FAIL: cover &lt; "&amp;SG_Criteria!$B$20&amp;" mm. ","")&amp;IF(AND(F218="Open",H218&gt;SG_Criteria!$B$18),"NOTE: safety railing required (D &gt; "&amp;SG_Criteria!$B$18&amp;" mm). ","")&amp;IF(AND(E218="Entrance culvert",H218&lt;600),"NOTE: check hinged grating rule for culverts &lt; 600 deep (PUB Add. 3). ","")))</f>
        <v/>
      </c>
      <c r="BF218" s="9"/>
      <c r="BG218" s="9"/>
      <c r="BH218" s="9"/>
      <c r="BI218" s="10" t="str">
        <f aca="false">IF(BH218="","",IFERROR(VLOOKUP(BH218,Projects!$A$5:$D$504,2,0),"Ref not in Projects"))</f>
        <v/>
      </c>
      <c r="BJ218" s="10" t="str">
        <f aca="false">IF(BH218="","",IFERROR(VLOOKUP(BH218,Projects!$A$5:$D$504,4,0),"Ref not in Projects"))</f>
        <v/>
      </c>
      <c r="BK218" s="9"/>
      <c r="BL218" s="9"/>
      <c r="BM218" s="9"/>
      <c r="BN218" s="40"/>
      <c r="BO218" s="9"/>
      <c r="BP218" s="40"/>
      <c r="BQ218" s="9"/>
      <c r="BR218" s="40"/>
      <c r="BS218" s="9"/>
      <c r="BT218" s="9"/>
      <c r="BU218" s="9"/>
      <c r="BV218" s="40"/>
      <c r="BW218" s="40"/>
      <c r="BX218" s="36" t="str">
        <f aca="false">IF(BW218="","",EDATE(BW218,SG_Criteria!$B$54*12))</f>
        <v/>
      </c>
      <c r="BY218" s="33" t="str">
        <f aca="true">IF(A218="","",IF(BW218="","NOTE: not reviewed yet",IF(TODAY()&gt;BX218,"NOTE: review overdue","OK")))</f>
        <v/>
      </c>
      <c r="BZ218" s="37" t="str">
        <f aca="false">IF(A218="","",ROUND((IF(LEN(D218)&gt;0,1,0)+IF(LEN(E218)&gt;0,1,0)+IF(LEN(F218)&gt;0,1,0)+IF(LEN(G218)&gt;0,1,0)+IF(LEN(H218)&gt;0,1,0)+IF(LEN(J218)&gt;0,1,0)+IF(LEN(K218)&gt;0,1,0)+IF(LEN(M218)&gt;0,1,0)+IF(LEN(O218)&gt;0,1,0)+IF(LEN(P218)&gt;0,1,0)+IF(LEN(Q218)&gt;0,1,0)+IF(LEN(S218)&gt;0,1,0)+IF(LEN(AC218)&gt;0,1,0)+IF(LEN(AV218)&gt;0,1,0)+IF(LEN(AW218)&gt;0,1,0)+IF(LEN(AG218)&gt;0,1,0)+IF(LEN(AI218)&gt;0,1,0)+IF(LEN(AJ218)&gt;0,1,0)+IF(LEN(AK218)&gt;0,1,0)+IF(LEN(AL218)&gt;0,1,0)+IF(LEN(AU218)&gt;0,1,0)+IF(LEN(BH218)&gt;0,1,0)+IF(LEN(BU218)&gt;0,1,0))/23,2))</f>
        <v/>
      </c>
      <c r="CA218" s="10" t="str">
        <f aca="false">IF(D218="","",IF(AND(AJ218="Approved",ISERROR(SEARCH("FAIL",BE218))),"Y","N"))</f>
        <v/>
      </c>
      <c r="CB218" s="10" t="str">
        <f aca="false">IF(D218="","",D218&amp;"|"&amp;G218&amp;"|"&amp;H218&amp;"|"&amp;M218&amp;"|"&amp;CA218)</f>
        <v/>
      </c>
    </row>
    <row r="219" customFormat="false" ht="15" hidden="false" customHeight="false" outlineLevel="0" collapsed="false">
      <c r="A219" s="10" t="str">
        <f aca="false">IF(D219="","","DRN-"&amp;IFERROR(VLOOKUP(D219,Lists!$A$4:$B$27,2,0),"??")&amp;"-"&amp;TEXT(G219,"0000")&amp;"x"&amp;TEXT(H219,"0000")&amp;IF(N(I219)&gt;1,"-"&amp;I219&amp;"C","")&amp;"-"&amp;IFERROR(VLOOKUP(M219,Lists!$J$4:$K$19,2,0),"??")&amp;"-"&amp;AI219)</f>
        <v/>
      </c>
      <c r="B219" s="10" t="str">
        <f aca="false">IF(D219="","",D219&amp;" "&amp;G219&amp;"W x "&amp;H219&amp;"D"&amp;IF(N(I219)&gt;1," ("&amp;I219&amp;" cells)","")&amp;", "&amp;E219&amp;", "&amp;M219&amp;", "&amp;F219)</f>
        <v/>
      </c>
      <c r="C219" s="9"/>
      <c r="D219" s="9"/>
      <c r="E219" s="9"/>
      <c r="F219" s="9"/>
      <c r="G219" s="38"/>
      <c r="H219" s="38"/>
      <c r="I219" s="38"/>
      <c r="J219" s="38"/>
      <c r="K219" s="38"/>
      <c r="L219" s="38"/>
      <c r="M219" s="9"/>
      <c r="N219" s="9"/>
      <c r="O219" s="9"/>
      <c r="P219" s="38"/>
      <c r="Q219" s="9"/>
      <c r="R219" s="9"/>
      <c r="S219" s="9"/>
      <c r="T219" s="9"/>
      <c r="U219" s="9"/>
      <c r="V219" s="9"/>
      <c r="W219" s="9"/>
      <c r="X219" s="9"/>
      <c r="Y219" s="9"/>
      <c r="Z219" s="9"/>
      <c r="AA219" s="9"/>
      <c r="AB219" s="39"/>
      <c r="AC219" s="9"/>
      <c r="AD219" s="38"/>
      <c r="AE219" s="9"/>
      <c r="AF219" s="39"/>
      <c r="AG219" s="9"/>
      <c r="AH219" s="9"/>
      <c r="AI219" s="9"/>
      <c r="AJ219" s="9"/>
      <c r="AK219" s="9"/>
      <c r="AL219" s="9"/>
      <c r="AM219" s="9"/>
      <c r="AN219" s="10" t="str">
        <f aca="false">IF(A219="","",SG_Criteria!$B$6&amp;SG_Criteria!$B$7&amp;"\"&amp;A219&amp;"\")</f>
        <v/>
      </c>
      <c r="AO219" s="10" t="str">
        <f aca="false">IF(A219="","",A219&amp;"_CAD.dwg")</f>
        <v/>
      </c>
      <c r="AP219" s="10" t="str">
        <f aca="false">IF(A219="","",A219&amp;"_DWG.pdf")</f>
        <v/>
      </c>
      <c r="AQ219" s="10" t="str">
        <f aca="false">IF(A219="","",IF(AM219="Y",A219&amp;"_STAAD.std","n/a"))</f>
        <v/>
      </c>
      <c r="AR219" s="10" t="str">
        <f aca="false">IF(A219="","",A219&amp;"_CALC.xlsx")</f>
        <v/>
      </c>
      <c r="AS219" s="10" t="str">
        <f aca="false">IF(A219="","",A219&amp;"_CALC.pdf")</f>
        <v/>
      </c>
      <c r="AT219" s="9"/>
      <c r="AU219" s="9"/>
      <c r="AV219" s="39"/>
      <c r="AW219" s="39"/>
      <c r="AX219" s="39"/>
      <c r="AY219" s="39"/>
      <c r="AZ219" s="39"/>
      <c r="BA219" s="12" t="str">
        <f aca="false">IF(A219="","",IF(COUNTIF(Rebar_Schedule!$A$5:$A$2004,A219)=0,"",ROUND(SUMIF(Rebar_Schedule!$A$5:$A$2004,A219,Rebar_Schedule!$K$5:$K$2004),1)))</f>
        <v/>
      </c>
      <c r="BB219" s="33" t="str">
        <f aca="false">IF(A219="","",IF(BA219="","No rebar schedule yet",IF(ABS(BA219-N(AW219))/MAX(N(AW219),1)&gt;SG_Criteria!$B$55,"NOTE: register rebar differs from schedule by "&amp;TEXT(ABS(BA219-N(AW219))/MAX(N(AW219),1),"0%"),"OK")))</f>
        <v/>
      </c>
      <c r="BC219" s="34" t="str">
        <f aca="false">IF(OR(D219="",G219="",H219="",D219="Sump",D219="Drop Inlet Chamber",D219="Silt Trap",D219="Pipe Culvert",D219="Subsoil Drain"),"",ROUND(MAX(1,N(I219))*(1/SG_Criteria!$B$26)*((G219/1000)*(H219/1000*(1-SG_Criteria!$B$25)))*(((G219/1000)*(H219/1000*(1-SG_Criteria!$B$25)))/((G219/1000)+2*(H219/1000*(1-SG_Criteria!$B$25))))^(2/3)*(1/Design_Selector!$B$11)^0.5,3))</f>
        <v/>
      </c>
      <c r="BD219" s="11" t="str">
        <f aca="false">IF(BC219="","",ROUND(BC219/(MAX(1,N(I219))*G219/1000*(H219/1000*(1-SG_Criteria!$B$25))),2))</f>
        <v/>
      </c>
      <c r="BE219" s="33" t="str">
        <f aca="false">IF(D219="","",IF(LEN(IF(AND(OR(E219="Roadside drain",E219="Entrance culvert"),OR(G219&lt;SG_Criteria!$B$15,H219&lt;SG_Criteria!$B$16)),"FAIL: below PUB min "&amp;SG_Criteria!$B$15&amp;"x"&amp;SG_Criteria!$B$16&amp;" for roadside drain. ","")&amp;IF(AND(E219="Common drain",G219&lt;SG_Criteria!$B$17),"FAIL: common drain W &lt; "&amp;SG_Criteria!$B$17&amp;" mm. ","")&amp;IF(AND(O219&lt;&gt;"",IFERROR(VALUE(MID(O219,2,2)),0)&lt;SG_Criteria!$B$19),"FAIL: grade below C"&amp;SG_Criteria!$B$19&amp;". ","")&amp;IF(AND(P219&lt;&gt;"",P219&lt;SG_Criteria!$B$20),"FAIL: cover &lt; "&amp;SG_Criteria!$B$20&amp;" mm. ","")&amp;IF(AND(F219="Open",H219&gt;SG_Criteria!$B$18),"NOTE: safety railing required (D &gt; "&amp;SG_Criteria!$B$18&amp;" mm). ","")&amp;IF(AND(E219="Entrance culvert",H219&lt;600),"NOTE: check hinged grating rule for culverts &lt; 600 deep (PUB Add. 3). ",""))=0,"OK",IF(AND(OR(E219="Roadside drain",E219="Entrance culvert"),OR(G219&lt;SG_Criteria!$B$15,H219&lt;SG_Criteria!$B$16)),"FAIL: below PUB min "&amp;SG_Criteria!$B$15&amp;"x"&amp;SG_Criteria!$B$16&amp;" for roadside drain. ","")&amp;IF(AND(E219="Common drain",G219&lt;SG_Criteria!$B$17),"FAIL: common drain W &lt; "&amp;SG_Criteria!$B$17&amp;" mm. ","")&amp;IF(AND(O219&lt;&gt;"",IFERROR(VALUE(MID(O219,2,2)),0)&lt;SG_Criteria!$B$19),"FAIL: grade below C"&amp;SG_Criteria!$B$19&amp;". ","")&amp;IF(AND(P219&lt;&gt;"",P219&lt;SG_Criteria!$B$20),"FAIL: cover &lt; "&amp;SG_Criteria!$B$20&amp;" mm. ","")&amp;IF(AND(F219="Open",H219&gt;SG_Criteria!$B$18),"NOTE: safety railing required (D &gt; "&amp;SG_Criteria!$B$18&amp;" mm). ","")&amp;IF(AND(E219="Entrance culvert",H219&lt;600),"NOTE: check hinged grating rule for culverts &lt; 600 deep (PUB Add. 3). ","")))</f>
        <v/>
      </c>
      <c r="BF219" s="9"/>
      <c r="BG219" s="9"/>
      <c r="BH219" s="9"/>
      <c r="BI219" s="10" t="str">
        <f aca="false">IF(BH219="","",IFERROR(VLOOKUP(BH219,Projects!$A$5:$D$504,2,0),"Ref not in Projects"))</f>
        <v/>
      </c>
      <c r="BJ219" s="10" t="str">
        <f aca="false">IF(BH219="","",IFERROR(VLOOKUP(BH219,Projects!$A$5:$D$504,4,0),"Ref not in Projects"))</f>
        <v/>
      </c>
      <c r="BK219" s="9"/>
      <c r="BL219" s="9"/>
      <c r="BM219" s="9"/>
      <c r="BN219" s="40"/>
      <c r="BO219" s="9"/>
      <c r="BP219" s="40"/>
      <c r="BQ219" s="9"/>
      <c r="BR219" s="40"/>
      <c r="BS219" s="9"/>
      <c r="BT219" s="9"/>
      <c r="BU219" s="9"/>
      <c r="BV219" s="40"/>
      <c r="BW219" s="40"/>
      <c r="BX219" s="36" t="str">
        <f aca="false">IF(BW219="","",EDATE(BW219,SG_Criteria!$B$54*12))</f>
        <v/>
      </c>
      <c r="BY219" s="33" t="str">
        <f aca="true">IF(A219="","",IF(BW219="","NOTE: not reviewed yet",IF(TODAY()&gt;BX219,"NOTE: review overdue","OK")))</f>
        <v/>
      </c>
      <c r="BZ219" s="37" t="str">
        <f aca="false">IF(A219="","",ROUND((IF(LEN(D219)&gt;0,1,0)+IF(LEN(E219)&gt;0,1,0)+IF(LEN(F219)&gt;0,1,0)+IF(LEN(G219)&gt;0,1,0)+IF(LEN(H219)&gt;0,1,0)+IF(LEN(J219)&gt;0,1,0)+IF(LEN(K219)&gt;0,1,0)+IF(LEN(M219)&gt;0,1,0)+IF(LEN(O219)&gt;0,1,0)+IF(LEN(P219)&gt;0,1,0)+IF(LEN(Q219)&gt;0,1,0)+IF(LEN(S219)&gt;0,1,0)+IF(LEN(AC219)&gt;0,1,0)+IF(LEN(AV219)&gt;0,1,0)+IF(LEN(AW219)&gt;0,1,0)+IF(LEN(AG219)&gt;0,1,0)+IF(LEN(AI219)&gt;0,1,0)+IF(LEN(AJ219)&gt;0,1,0)+IF(LEN(AK219)&gt;0,1,0)+IF(LEN(AL219)&gt;0,1,0)+IF(LEN(AU219)&gt;0,1,0)+IF(LEN(BH219)&gt;0,1,0)+IF(LEN(BU219)&gt;0,1,0))/23,2))</f>
        <v/>
      </c>
      <c r="CA219" s="10" t="str">
        <f aca="false">IF(D219="","",IF(AND(AJ219="Approved",ISERROR(SEARCH("FAIL",BE219))),"Y","N"))</f>
        <v/>
      </c>
      <c r="CB219" s="10" t="str">
        <f aca="false">IF(D219="","",D219&amp;"|"&amp;G219&amp;"|"&amp;H219&amp;"|"&amp;M219&amp;"|"&amp;CA219)</f>
        <v/>
      </c>
    </row>
    <row r="220" customFormat="false" ht="15" hidden="false" customHeight="false" outlineLevel="0" collapsed="false">
      <c r="A220" s="10" t="str">
        <f aca="false">IF(D220="","","DRN-"&amp;IFERROR(VLOOKUP(D220,Lists!$A$4:$B$27,2,0),"??")&amp;"-"&amp;TEXT(G220,"0000")&amp;"x"&amp;TEXT(H220,"0000")&amp;IF(N(I220)&gt;1,"-"&amp;I220&amp;"C","")&amp;"-"&amp;IFERROR(VLOOKUP(M220,Lists!$J$4:$K$19,2,0),"??")&amp;"-"&amp;AI220)</f>
        <v/>
      </c>
      <c r="B220" s="10" t="str">
        <f aca="false">IF(D220="","",D220&amp;" "&amp;G220&amp;"W x "&amp;H220&amp;"D"&amp;IF(N(I220)&gt;1," ("&amp;I220&amp;" cells)","")&amp;", "&amp;E220&amp;", "&amp;M220&amp;", "&amp;F220)</f>
        <v/>
      </c>
      <c r="C220" s="9"/>
      <c r="D220" s="9"/>
      <c r="E220" s="9"/>
      <c r="F220" s="9"/>
      <c r="G220" s="38"/>
      <c r="H220" s="38"/>
      <c r="I220" s="38"/>
      <c r="J220" s="38"/>
      <c r="K220" s="38"/>
      <c r="L220" s="38"/>
      <c r="M220" s="9"/>
      <c r="N220" s="9"/>
      <c r="O220" s="9"/>
      <c r="P220" s="38"/>
      <c r="Q220" s="9"/>
      <c r="R220" s="9"/>
      <c r="S220" s="9"/>
      <c r="T220" s="9"/>
      <c r="U220" s="9"/>
      <c r="V220" s="9"/>
      <c r="W220" s="9"/>
      <c r="X220" s="9"/>
      <c r="Y220" s="9"/>
      <c r="Z220" s="9"/>
      <c r="AA220" s="9"/>
      <c r="AB220" s="39"/>
      <c r="AC220" s="9"/>
      <c r="AD220" s="38"/>
      <c r="AE220" s="9"/>
      <c r="AF220" s="39"/>
      <c r="AG220" s="9"/>
      <c r="AH220" s="9"/>
      <c r="AI220" s="9"/>
      <c r="AJ220" s="9"/>
      <c r="AK220" s="9"/>
      <c r="AL220" s="9"/>
      <c r="AM220" s="9"/>
      <c r="AN220" s="10" t="str">
        <f aca="false">IF(A220="","",SG_Criteria!$B$6&amp;SG_Criteria!$B$7&amp;"\"&amp;A220&amp;"\")</f>
        <v/>
      </c>
      <c r="AO220" s="10" t="str">
        <f aca="false">IF(A220="","",A220&amp;"_CAD.dwg")</f>
        <v/>
      </c>
      <c r="AP220" s="10" t="str">
        <f aca="false">IF(A220="","",A220&amp;"_DWG.pdf")</f>
        <v/>
      </c>
      <c r="AQ220" s="10" t="str">
        <f aca="false">IF(A220="","",IF(AM220="Y",A220&amp;"_STAAD.std","n/a"))</f>
        <v/>
      </c>
      <c r="AR220" s="10" t="str">
        <f aca="false">IF(A220="","",A220&amp;"_CALC.xlsx")</f>
        <v/>
      </c>
      <c r="AS220" s="10" t="str">
        <f aca="false">IF(A220="","",A220&amp;"_CALC.pdf")</f>
        <v/>
      </c>
      <c r="AT220" s="9"/>
      <c r="AU220" s="9"/>
      <c r="AV220" s="39"/>
      <c r="AW220" s="39"/>
      <c r="AX220" s="39"/>
      <c r="AY220" s="39"/>
      <c r="AZ220" s="39"/>
      <c r="BA220" s="12" t="str">
        <f aca="false">IF(A220="","",IF(COUNTIF(Rebar_Schedule!$A$5:$A$2004,A220)=0,"",ROUND(SUMIF(Rebar_Schedule!$A$5:$A$2004,A220,Rebar_Schedule!$K$5:$K$2004),1)))</f>
        <v/>
      </c>
      <c r="BB220" s="33" t="str">
        <f aca="false">IF(A220="","",IF(BA220="","No rebar schedule yet",IF(ABS(BA220-N(AW220))/MAX(N(AW220),1)&gt;SG_Criteria!$B$55,"NOTE: register rebar differs from schedule by "&amp;TEXT(ABS(BA220-N(AW220))/MAX(N(AW220),1),"0%"),"OK")))</f>
        <v/>
      </c>
      <c r="BC220" s="34" t="str">
        <f aca="false">IF(OR(D220="",G220="",H220="",D220="Sump",D220="Drop Inlet Chamber",D220="Silt Trap",D220="Pipe Culvert",D220="Subsoil Drain"),"",ROUND(MAX(1,N(I220))*(1/SG_Criteria!$B$26)*((G220/1000)*(H220/1000*(1-SG_Criteria!$B$25)))*(((G220/1000)*(H220/1000*(1-SG_Criteria!$B$25)))/((G220/1000)+2*(H220/1000*(1-SG_Criteria!$B$25))))^(2/3)*(1/Design_Selector!$B$11)^0.5,3))</f>
        <v/>
      </c>
      <c r="BD220" s="11" t="str">
        <f aca="false">IF(BC220="","",ROUND(BC220/(MAX(1,N(I220))*G220/1000*(H220/1000*(1-SG_Criteria!$B$25))),2))</f>
        <v/>
      </c>
      <c r="BE220" s="33" t="str">
        <f aca="false">IF(D220="","",IF(LEN(IF(AND(OR(E220="Roadside drain",E220="Entrance culvert"),OR(G220&lt;SG_Criteria!$B$15,H220&lt;SG_Criteria!$B$16)),"FAIL: below PUB min "&amp;SG_Criteria!$B$15&amp;"x"&amp;SG_Criteria!$B$16&amp;" for roadside drain. ","")&amp;IF(AND(E220="Common drain",G220&lt;SG_Criteria!$B$17),"FAIL: common drain W &lt; "&amp;SG_Criteria!$B$17&amp;" mm. ","")&amp;IF(AND(O220&lt;&gt;"",IFERROR(VALUE(MID(O220,2,2)),0)&lt;SG_Criteria!$B$19),"FAIL: grade below C"&amp;SG_Criteria!$B$19&amp;". ","")&amp;IF(AND(P220&lt;&gt;"",P220&lt;SG_Criteria!$B$20),"FAIL: cover &lt; "&amp;SG_Criteria!$B$20&amp;" mm. ","")&amp;IF(AND(F220="Open",H220&gt;SG_Criteria!$B$18),"NOTE: safety railing required (D &gt; "&amp;SG_Criteria!$B$18&amp;" mm). ","")&amp;IF(AND(E220="Entrance culvert",H220&lt;600),"NOTE: check hinged grating rule for culverts &lt; 600 deep (PUB Add. 3). ",""))=0,"OK",IF(AND(OR(E220="Roadside drain",E220="Entrance culvert"),OR(G220&lt;SG_Criteria!$B$15,H220&lt;SG_Criteria!$B$16)),"FAIL: below PUB min "&amp;SG_Criteria!$B$15&amp;"x"&amp;SG_Criteria!$B$16&amp;" for roadside drain. ","")&amp;IF(AND(E220="Common drain",G220&lt;SG_Criteria!$B$17),"FAIL: common drain W &lt; "&amp;SG_Criteria!$B$17&amp;" mm. ","")&amp;IF(AND(O220&lt;&gt;"",IFERROR(VALUE(MID(O220,2,2)),0)&lt;SG_Criteria!$B$19),"FAIL: grade below C"&amp;SG_Criteria!$B$19&amp;". ","")&amp;IF(AND(P220&lt;&gt;"",P220&lt;SG_Criteria!$B$20),"FAIL: cover &lt; "&amp;SG_Criteria!$B$20&amp;" mm. ","")&amp;IF(AND(F220="Open",H220&gt;SG_Criteria!$B$18),"NOTE: safety railing required (D &gt; "&amp;SG_Criteria!$B$18&amp;" mm). ","")&amp;IF(AND(E220="Entrance culvert",H220&lt;600),"NOTE: check hinged grating rule for culverts &lt; 600 deep (PUB Add. 3). ","")))</f>
        <v/>
      </c>
      <c r="BF220" s="9"/>
      <c r="BG220" s="9"/>
      <c r="BH220" s="9"/>
      <c r="BI220" s="10" t="str">
        <f aca="false">IF(BH220="","",IFERROR(VLOOKUP(BH220,Projects!$A$5:$D$504,2,0),"Ref not in Projects"))</f>
        <v/>
      </c>
      <c r="BJ220" s="10" t="str">
        <f aca="false">IF(BH220="","",IFERROR(VLOOKUP(BH220,Projects!$A$5:$D$504,4,0),"Ref not in Projects"))</f>
        <v/>
      </c>
      <c r="BK220" s="9"/>
      <c r="BL220" s="9"/>
      <c r="BM220" s="9"/>
      <c r="BN220" s="40"/>
      <c r="BO220" s="9"/>
      <c r="BP220" s="40"/>
      <c r="BQ220" s="9"/>
      <c r="BR220" s="40"/>
      <c r="BS220" s="9"/>
      <c r="BT220" s="9"/>
      <c r="BU220" s="9"/>
      <c r="BV220" s="40"/>
      <c r="BW220" s="40"/>
      <c r="BX220" s="36" t="str">
        <f aca="false">IF(BW220="","",EDATE(BW220,SG_Criteria!$B$54*12))</f>
        <v/>
      </c>
      <c r="BY220" s="33" t="str">
        <f aca="true">IF(A220="","",IF(BW220="","NOTE: not reviewed yet",IF(TODAY()&gt;BX220,"NOTE: review overdue","OK")))</f>
        <v/>
      </c>
      <c r="BZ220" s="37" t="str">
        <f aca="false">IF(A220="","",ROUND((IF(LEN(D220)&gt;0,1,0)+IF(LEN(E220)&gt;0,1,0)+IF(LEN(F220)&gt;0,1,0)+IF(LEN(G220)&gt;0,1,0)+IF(LEN(H220)&gt;0,1,0)+IF(LEN(J220)&gt;0,1,0)+IF(LEN(K220)&gt;0,1,0)+IF(LEN(M220)&gt;0,1,0)+IF(LEN(O220)&gt;0,1,0)+IF(LEN(P220)&gt;0,1,0)+IF(LEN(Q220)&gt;0,1,0)+IF(LEN(S220)&gt;0,1,0)+IF(LEN(AC220)&gt;0,1,0)+IF(LEN(AV220)&gt;0,1,0)+IF(LEN(AW220)&gt;0,1,0)+IF(LEN(AG220)&gt;0,1,0)+IF(LEN(AI220)&gt;0,1,0)+IF(LEN(AJ220)&gt;0,1,0)+IF(LEN(AK220)&gt;0,1,0)+IF(LEN(AL220)&gt;0,1,0)+IF(LEN(AU220)&gt;0,1,0)+IF(LEN(BH220)&gt;0,1,0)+IF(LEN(BU220)&gt;0,1,0))/23,2))</f>
        <v/>
      </c>
      <c r="CA220" s="10" t="str">
        <f aca="false">IF(D220="","",IF(AND(AJ220="Approved",ISERROR(SEARCH("FAIL",BE220))),"Y","N"))</f>
        <v/>
      </c>
      <c r="CB220" s="10" t="str">
        <f aca="false">IF(D220="","",D220&amp;"|"&amp;G220&amp;"|"&amp;H220&amp;"|"&amp;M220&amp;"|"&amp;CA220)</f>
        <v/>
      </c>
    </row>
    <row r="221" customFormat="false" ht="15" hidden="false" customHeight="false" outlineLevel="0" collapsed="false">
      <c r="A221" s="10" t="str">
        <f aca="false">IF(D221="","","DRN-"&amp;IFERROR(VLOOKUP(D221,Lists!$A$4:$B$27,2,0),"??")&amp;"-"&amp;TEXT(G221,"0000")&amp;"x"&amp;TEXT(H221,"0000")&amp;IF(N(I221)&gt;1,"-"&amp;I221&amp;"C","")&amp;"-"&amp;IFERROR(VLOOKUP(M221,Lists!$J$4:$K$19,2,0),"??")&amp;"-"&amp;AI221)</f>
        <v/>
      </c>
      <c r="B221" s="10" t="str">
        <f aca="false">IF(D221="","",D221&amp;" "&amp;G221&amp;"W x "&amp;H221&amp;"D"&amp;IF(N(I221)&gt;1," ("&amp;I221&amp;" cells)","")&amp;", "&amp;E221&amp;", "&amp;M221&amp;", "&amp;F221)</f>
        <v/>
      </c>
      <c r="C221" s="9"/>
      <c r="D221" s="9"/>
      <c r="E221" s="9"/>
      <c r="F221" s="9"/>
      <c r="G221" s="38"/>
      <c r="H221" s="38"/>
      <c r="I221" s="38"/>
      <c r="J221" s="38"/>
      <c r="K221" s="38"/>
      <c r="L221" s="38"/>
      <c r="M221" s="9"/>
      <c r="N221" s="9"/>
      <c r="O221" s="9"/>
      <c r="P221" s="38"/>
      <c r="Q221" s="9"/>
      <c r="R221" s="9"/>
      <c r="S221" s="9"/>
      <c r="T221" s="9"/>
      <c r="U221" s="9"/>
      <c r="V221" s="9"/>
      <c r="W221" s="9"/>
      <c r="X221" s="9"/>
      <c r="Y221" s="9"/>
      <c r="Z221" s="9"/>
      <c r="AA221" s="9"/>
      <c r="AB221" s="39"/>
      <c r="AC221" s="9"/>
      <c r="AD221" s="38"/>
      <c r="AE221" s="9"/>
      <c r="AF221" s="39"/>
      <c r="AG221" s="9"/>
      <c r="AH221" s="9"/>
      <c r="AI221" s="9"/>
      <c r="AJ221" s="9"/>
      <c r="AK221" s="9"/>
      <c r="AL221" s="9"/>
      <c r="AM221" s="9"/>
      <c r="AN221" s="10" t="str">
        <f aca="false">IF(A221="","",SG_Criteria!$B$6&amp;SG_Criteria!$B$7&amp;"\"&amp;A221&amp;"\")</f>
        <v/>
      </c>
      <c r="AO221" s="10" t="str">
        <f aca="false">IF(A221="","",A221&amp;"_CAD.dwg")</f>
        <v/>
      </c>
      <c r="AP221" s="10" t="str">
        <f aca="false">IF(A221="","",A221&amp;"_DWG.pdf")</f>
        <v/>
      </c>
      <c r="AQ221" s="10" t="str">
        <f aca="false">IF(A221="","",IF(AM221="Y",A221&amp;"_STAAD.std","n/a"))</f>
        <v/>
      </c>
      <c r="AR221" s="10" t="str">
        <f aca="false">IF(A221="","",A221&amp;"_CALC.xlsx")</f>
        <v/>
      </c>
      <c r="AS221" s="10" t="str">
        <f aca="false">IF(A221="","",A221&amp;"_CALC.pdf")</f>
        <v/>
      </c>
      <c r="AT221" s="9"/>
      <c r="AU221" s="9"/>
      <c r="AV221" s="39"/>
      <c r="AW221" s="39"/>
      <c r="AX221" s="39"/>
      <c r="AY221" s="39"/>
      <c r="AZ221" s="39"/>
      <c r="BA221" s="12" t="str">
        <f aca="false">IF(A221="","",IF(COUNTIF(Rebar_Schedule!$A$5:$A$2004,A221)=0,"",ROUND(SUMIF(Rebar_Schedule!$A$5:$A$2004,A221,Rebar_Schedule!$K$5:$K$2004),1)))</f>
        <v/>
      </c>
      <c r="BB221" s="33" t="str">
        <f aca="false">IF(A221="","",IF(BA221="","No rebar schedule yet",IF(ABS(BA221-N(AW221))/MAX(N(AW221),1)&gt;SG_Criteria!$B$55,"NOTE: register rebar differs from schedule by "&amp;TEXT(ABS(BA221-N(AW221))/MAX(N(AW221),1),"0%"),"OK")))</f>
        <v/>
      </c>
      <c r="BC221" s="34" t="str">
        <f aca="false">IF(OR(D221="",G221="",H221="",D221="Sump",D221="Drop Inlet Chamber",D221="Silt Trap",D221="Pipe Culvert",D221="Subsoil Drain"),"",ROUND(MAX(1,N(I221))*(1/SG_Criteria!$B$26)*((G221/1000)*(H221/1000*(1-SG_Criteria!$B$25)))*(((G221/1000)*(H221/1000*(1-SG_Criteria!$B$25)))/((G221/1000)+2*(H221/1000*(1-SG_Criteria!$B$25))))^(2/3)*(1/Design_Selector!$B$11)^0.5,3))</f>
        <v/>
      </c>
      <c r="BD221" s="11" t="str">
        <f aca="false">IF(BC221="","",ROUND(BC221/(MAX(1,N(I221))*G221/1000*(H221/1000*(1-SG_Criteria!$B$25))),2))</f>
        <v/>
      </c>
      <c r="BE221" s="33" t="str">
        <f aca="false">IF(D221="","",IF(LEN(IF(AND(OR(E221="Roadside drain",E221="Entrance culvert"),OR(G221&lt;SG_Criteria!$B$15,H221&lt;SG_Criteria!$B$16)),"FAIL: below PUB min "&amp;SG_Criteria!$B$15&amp;"x"&amp;SG_Criteria!$B$16&amp;" for roadside drain. ","")&amp;IF(AND(E221="Common drain",G221&lt;SG_Criteria!$B$17),"FAIL: common drain W &lt; "&amp;SG_Criteria!$B$17&amp;" mm. ","")&amp;IF(AND(O221&lt;&gt;"",IFERROR(VALUE(MID(O221,2,2)),0)&lt;SG_Criteria!$B$19),"FAIL: grade below C"&amp;SG_Criteria!$B$19&amp;". ","")&amp;IF(AND(P221&lt;&gt;"",P221&lt;SG_Criteria!$B$20),"FAIL: cover &lt; "&amp;SG_Criteria!$B$20&amp;" mm. ","")&amp;IF(AND(F221="Open",H221&gt;SG_Criteria!$B$18),"NOTE: safety railing required (D &gt; "&amp;SG_Criteria!$B$18&amp;" mm). ","")&amp;IF(AND(E221="Entrance culvert",H221&lt;600),"NOTE: check hinged grating rule for culverts &lt; 600 deep (PUB Add. 3). ",""))=0,"OK",IF(AND(OR(E221="Roadside drain",E221="Entrance culvert"),OR(G221&lt;SG_Criteria!$B$15,H221&lt;SG_Criteria!$B$16)),"FAIL: below PUB min "&amp;SG_Criteria!$B$15&amp;"x"&amp;SG_Criteria!$B$16&amp;" for roadside drain. ","")&amp;IF(AND(E221="Common drain",G221&lt;SG_Criteria!$B$17),"FAIL: common drain W &lt; "&amp;SG_Criteria!$B$17&amp;" mm. ","")&amp;IF(AND(O221&lt;&gt;"",IFERROR(VALUE(MID(O221,2,2)),0)&lt;SG_Criteria!$B$19),"FAIL: grade below C"&amp;SG_Criteria!$B$19&amp;". ","")&amp;IF(AND(P221&lt;&gt;"",P221&lt;SG_Criteria!$B$20),"FAIL: cover &lt; "&amp;SG_Criteria!$B$20&amp;" mm. ","")&amp;IF(AND(F221="Open",H221&gt;SG_Criteria!$B$18),"NOTE: safety railing required (D &gt; "&amp;SG_Criteria!$B$18&amp;" mm). ","")&amp;IF(AND(E221="Entrance culvert",H221&lt;600),"NOTE: check hinged grating rule for culverts &lt; 600 deep (PUB Add. 3). ","")))</f>
        <v/>
      </c>
      <c r="BF221" s="9"/>
      <c r="BG221" s="9"/>
      <c r="BH221" s="9"/>
      <c r="BI221" s="10" t="str">
        <f aca="false">IF(BH221="","",IFERROR(VLOOKUP(BH221,Projects!$A$5:$D$504,2,0),"Ref not in Projects"))</f>
        <v/>
      </c>
      <c r="BJ221" s="10" t="str">
        <f aca="false">IF(BH221="","",IFERROR(VLOOKUP(BH221,Projects!$A$5:$D$504,4,0),"Ref not in Projects"))</f>
        <v/>
      </c>
      <c r="BK221" s="9"/>
      <c r="BL221" s="9"/>
      <c r="BM221" s="9"/>
      <c r="BN221" s="40"/>
      <c r="BO221" s="9"/>
      <c r="BP221" s="40"/>
      <c r="BQ221" s="9"/>
      <c r="BR221" s="40"/>
      <c r="BS221" s="9"/>
      <c r="BT221" s="9"/>
      <c r="BU221" s="9"/>
      <c r="BV221" s="40"/>
      <c r="BW221" s="40"/>
      <c r="BX221" s="36" t="str">
        <f aca="false">IF(BW221="","",EDATE(BW221,SG_Criteria!$B$54*12))</f>
        <v/>
      </c>
      <c r="BY221" s="33" t="str">
        <f aca="true">IF(A221="","",IF(BW221="","NOTE: not reviewed yet",IF(TODAY()&gt;BX221,"NOTE: review overdue","OK")))</f>
        <v/>
      </c>
      <c r="BZ221" s="37" t="str">
        <f aca="false">IF(A221="","",ROUND((IF(LEN(D221)&gt;0,1,0)+IF(LEN(E221)&gt;0,1,0)+IF(LEN(F221)&gt;0,1,0)+IF(LEN(G221)&gt;0,1,0)+IF(LEN(H221)&gt;0,1,0)+IF(LEN(J221)&gt;0,1,0)+IF(LEN(K221)&gt;0,1,0)+IF(LEN(M221)&gt;0,1,0)+IF(LEN(O221)&gt;0,1,0)+IF(LEN(P221)&gt;0,1,0)+IF(LEN(Q221)&gt;0,1,0)+IF(LEN(S221)&gt;0,1,0)+IF(LEN(AC221)&gt;0,1,0)+IF(LEN(AV221)&gt;0,1,0)+IF(LEN(AW221)&gt;0,1,0)+IF(LEN(AG221)&gt;0,1,0)+IF(LEN(AI221)&gt;0,1,0)+IF(LEN(AJ221)&gt;0,1,0)+IF(LEN(AK221)&gt;0,1,0)+IF(LEN(AL221)&gt;0,1,0)+IF(LEN(AU221)&gt;0,1,0)+IF(LEN(BH221)&gt;0,1,0)+IF(LEN(BU221)&gt;0,1,0))/23,2))</f>
        <v/>
      </c>
      <c r="CA221" s="10" t="str">
        <f aca="false">IF(D221="","",IF(AND(AJ221="Approved",ISERROR(SEARCH("FAIL",BE221))),"Y","N"))</f>
        <v/>
      </c>
      <c r="CB221" s="10" t="str">
        <f aca="false">IF(D221="","",D221&amp;"|"&amp;G221&amp;"|"&amp;H221&amp;"|"&amp;M221&amp;"|"&amp;CA221)</f>
        <v/>
      </c>
    </row>
    <row r="222" customFormat="false" ht="15" hidden="false" customHeight="false" outlineLevel="0" collapsed="false">
      <c r="A222" s="10" t="str">
        <f aca="false">IF(D222="","","DRN-"&amp;IFERROR(VLOOKUP(D222,Lists!$A$4:$B$27,2,0),"??")&amp;"-"&amp;TEXT(G222,"0000")&amp;"x"&amp;TEXT(H222,"0000")&amp;IF(N(I222)&gt;1,"-"&amp;I222&amp;"C","")&amp;"-"&amp;IFERROR(VLOOKUP(M222,Lists!$J$4:$K$19,2,0),"??")&amp;"-"&amp;AI222)</f>
        <v/>
      </c>
      <c r="B222" s="10" t="str">
        <f aca="false">IF(D222="","",D222&amp;" "&amp;G222&amp;"W x "&amp;H222&amp;"D"&amp;IF(N(I222)&gt;1," ("&amp;I222&amp;" cells)","")&amp;", "&amp;E222&amp;", "&amp;M222&amp;", "&amp;F222)</f>
        <v/>
      </c>
      <c r="C222" s="9"/>
      <c r="D222" s="9"/>
      <c r="E222" s="9"/>
      <c r="F222" s="9"/>
      <c r="G222" s="38"/>
      <c r="H222" s="38"/>
      <c r="I222" s="38"/>
      <c r="J222" s="38"/>
      <c r="K222" s="38"/>
      <c r="L222" s="38"/>
      <c r="M222" s="9"/>
      <c r="N222" s="9"/>
      <c r="O222" s="9"/>
      <c r="P222" s="38"/>
      <c r="Q222" s="9"/>
      <c r="R222" s="9"/>
      <c r="S222" s="9"/>
      <c r="T222" s="9"/>
      <c r="U222" s="9"/>
      <c r="V222" s="9"/>
      <c r="W222" s="9"/>
      <c r="X222" s="9"/>
      <c r="Y222" s="9"/>
      <c r="Z222" s="9"/>
      <c r="AA222" s="9"/>
      <c r="AB222" s="39"/>
      <c r="AC222" s="9"/>
      <c r="AD222" s="38"/>
      <c r="AE222" s="9"/>
      <c r="AF222" s="39"/>
      <c r="AG222" s="9"/>
      <c r="AH222" s="9"/>
      <c r="AI222" s="9"/>
      <c r="AJ222" s="9"/>
      <c r="AK222" s="9"/>
      <c r="AL222" s="9"/>
      <c r="AM222" s="9"/>
      <c r="AN222" s="10" t="str">
        <f aca="false">IF(A222="","",SG_Criteria!$B$6&amp;SG_Criteria!$B$7&amp;"\"&amp;A222&amp;"\")</f>
        <v/>
      </c>
      <c r="AO222" s="10" t="str">
        <f aca="false">IF(A222="","",A222&amp;"_CAD.dwg")</f>
        <v/>
      </c>
      <c r="AP222" s="10" t="str">
        <f aca="false">IF(A222="","",A222&amp;"_DWG.pdf")</f>
        <v/>
      </c>
      <c r="AQ222" s="10" t="str">
        <f aca="false">IF(A222="","",IF(AM222="Y",A222&amp;"_STAAD.std","n/a"))</f>
        <v/>
      </c>
      <c r="AR222" s="10" t="str">
        <f aca="false">IF(A222="","",A222&amp;"_CALC.xlsx")</f>
        <v/>
      </c>
      <c r="AS222" s="10" t="str">
        <f aca="false">IF(A222="","",A222&amp;"_CALC.pdf")</f>
        <v/>
      </c>
      <c r="AT222" s="9"/>
      <c r="AU222" s="9"/>
      <c r="AV222" s="39"/>
      <c r="AW222" s="39"/>
      <c r="AX222" s="39"/>
      <c r="AY222" s="39"/>
      <c r="AZ222" s="39"/>
      <c r="BA222" s="12" t="str">
        <f aca="false">IF(A222="","",IF(COUNTIF(Rebar_Schedule!$A$5:$A$2004,A222)=0,"",ROUND(SUMIF(Rebar_Schedule!$A$5:$A$2004,A222,Rebar_Schedule!$K$5:$K$2004),1)))</f>
        <v/>
      </c>
      <c r="BB222" s="33" t="str">
        <f aca="false">IF(A222="","",IF(BA222="","No rebar schedule yet",IF(ABS(BA222-N(AW222))/MAX(N(AW222),1)&gt;SG_Criteria!$B$55,"NOTE: register rebar differs from schedule by "&amp;TEXT(ABS(BA222-N(AW222))/MAX(N(AW222),1),"0%"),"OK")))</f>
        <v/>
      </c>
      <c r="BC222" s="34" t="str">
        <f aca="false">IF(OR(D222="",G222="",H222="",D222="Sump",D222="Drop Inlet Chamber",D222="Silt Trap",D222="Pipe Culvert",D222="Subsoil Drain"),"",ROUND(MAX(1,N(I222))*(1/SG_Criteria!$B$26)*((G222/1000)*(H222/1000*(1-SG_Criteria!$B$25)))*(((G222/1000)*(H222/1000*(1-SG_Criteria!$B$25)))/((G222/1000)+2*(H222/1000*(1-SG_Criteria!$B$25))))^(2/3)*(1/Design_Selector!$B$11)^0.5,3))</f>
        <v/>
      </c>
      <c r="BD222" s="11" t="str">
        <f aca="false">IF(BC222="","",ROUND(BC222/(MAX(1,N(I222))*G222/1000*(H222/1000*(1-SG_Criteria!$B$25))),2))</f>
        <v/>
      </c>
      <c r="BE222" s="33" t="str">
        <f aca="false">IF(D222="","",IF(LEN(IF(AND(OR(E222="Roadside drain",E222="Entrance culvert"),OR(G222&lt;SG_Criteria!$B$15,H222&lt;SG_Criteria!$B$16)),"FAIL: below PUB min "&amp;SG_Criteria!$B$15&amp;"x"&amp;SG_Criteria!$B$16&amp;" for roadside drain. ","")&amp;IF(AND(E222="Common drain",G222&lt;SG_Criteria!$B$17),"FAIL: common drain W &lt; "&amp;SG_Criteria!$B$17&amp;" mm. ","")&amp;IF(AND(O222&lt;&gt;"",IFERROR(VALUE(MID(O222,2,2)),0)&lt;SG_Criteria!$B$19),"FAIL: grade below C"&amp;SG_Criteria!$B$19&amp;". ","")&amp;IF(AND(P222&lt;&gt;"",P222&lt;SG_Criteria!$B$20),"FAIL: cover &lt; "&amp;SG_Criteria!$B$20&amp;" mm. ","")&amp;IF(AND(F222="Open",H222&gt;SG_Criteria!$B$18),"NOTE: safety railing required (D &gt; "&amp;SG_Criteria!$B$18&amp;" mm). ","")&amp;IF(AND(E222="Entrance culvert",H222&lt;600),"NOTE: check hinged grating rule for culverts &lt; 600 deep (PUB Add. 3). ",""))=0,"OK",IF(AND(OR(E222="Roadside drain",E222="Entrance culvert"),OR(G222&lt;SG_Criteria!$B$15,H222&lt;SG_Criteria!$B$16)),"FAIL: below PUB min "&amp;SG_Criteria!$B$15&amp;"x"&amp;SG_Criteria!$B$16&amp;" for roadside drain. ","")&amp;IF(AND(E222="Common drain",G222&lt;SG_Criteria!$B$17),"FAIL: common drain W &lt; "&amp;SG_Criteria!$B$17&amp;" mm. ","")&amp;IF(AND(O222&lt;&gt;"",IFERROR(VALUE(MID(O222,2,2)),0)&lt;SG_Criteria!$B$19),"FAIL: grade below C"&amp;SG_Criteria!$B$19&amp;". ","")&amp;IF(AND(P222&lt;&gt;"",P222&lt;SG_Criteria!$B$20),"FAIL: cover &lt; "&amp;SG_Criteria!$B$20&amp;" mm. ","")&amp;IF(AND(F222="Open",H222&gt;SG_Criteria!$B$18),"NOTE: safety railing required (D &gt; "&amp;SG_Criteria!$B$18&amp;" mm). ","")&amp;IF(AND(E222="Entrance culvert",H222&lt;600),"NOTE: check hinged grating rule for culverts &lt; 600 deep (PUB Add. 3). ","")))</f>
        <v/>
      </c>
      <c r="BF222" s="9"/>
      <c r="BG222" s="9"/>
      <c r="BH222" s="9"/>
      <c r="BI222" s="10" t="str">
        <f aca="false">IF(BH222="","",IFERROR(VLOOKUP(BH222,Projects!$A$5:$D$504,2,0),"Ref not in Projects"))</f>
        <v/>
      </c>
      <c r="BJ222" s="10" t="str">
        <f aca="false">IF(BH222="","",IFERROR(VLOOKUP(BH222,Projects!$A$5:$D$504,4,0),"Ref not in Projects"))</f>
        <v/>
      </c>
      <c r="BK222" s="9"/>
      <c r="BL222" s="9"/>
      <c r="BM222" s="9"/>
      <c r="BN222" s="40"/>
      <c r="BO222" s="9"/>
      <c r="BP222" s="40"/>
      <c r="BQ222" s="9"/>
      <c r="BR222" s="40"/>
      <c r="BS222" s="9"/>
      <c r="BT222" s="9"/>
      <c r="BU222" s="9"/>
      <c r="BV222" s="40"/>
      <c r="BW222" s="40"/>
      <c r="BX222" s="36" t="str">
        <f aca="false">IF(BW222="","",EDATE(BW222,SG_Criteria!$B$54*12))</f>
        <v/>
      </c>
      <c r="BY222" s="33" t="str">
        <f aca="true">IF(A222="","",IF(BW222="","NOTE: not reviewed yet",IF(TODAY()&gt;BX222,"NOTE: review overdue","OK")))</f>
        <v/>
      </c>
      <c r="BZ222" s="37" t="str">
        <f aca="false">IF(A222="","",ROUND((IF(LEN(D222)&gt;0,1,0)+IF(LEN(E222)&gt;0,1,0)+IF(LEN(F222)&gt;0,1,0)+IF(LEN(G222)&gt;0,1,0)+IF(LEN(H222)&gt;0,1,0)+IF(LEN(J222)&gt;0,1,0)+IF(LEN(K222)&gt;0,1,0)+IF(LEN(M222)&gt;0,1,0)+IF(LEN(O222)&gt;0,1,0)+IF(LEN(P222)&gt;0,1,0)+IF(LEN(Q222)&gt;0,1,0)+IF(LEN(S222)&gt;0,1,0)+IF(LEN(AC222)&gt;0,1,0)+IF(LEN(AV222)&gt;0,1,0)+IF(LEN(AW222)&gt;0,1,0)+IF(LEN(AG222)&gt;0,1,0)+IF(LEN(AI222)&gt;0,1,0)+IF(LEN(AJ222)&gt;0,1,0)+IF(LEN(AK222)&gt;0,1,0)+IF(LEN(AL222)&gt;0,1,0)+IF(LEN(AU222)&gt;0,1,0)+IF(LEN(BH222)&gt;0,1,0)+IF(LEN(BU222)&gt;0,1,0))/23,2))</f>
        <v/>
      </c>
      <c r="CA222" s="10" t="str">
        <f aca="false">IF(D222="","",IF(AND(AJ222="Approved",ISERROR(SEARCH("FAIL",BE222))),"Y","N"))</f>
        <v/>
      </c>
      <c r="CB222" s="10" t="str">
        <f aca="false">IF(D222="","",D222&amp;"|"&amp;G222&amp;"|"&amp;H222&amp;"|"&amp;M222&amp;"|"&amp;CA222)</f>
        <v/>
      </c>
    </row>
    <row r="223" customFormat="false" ht="15" hidden="false" customHeight="false" outlineLevel="0" collapsed="false">
      <c r="A223" s="10" t="str">
        <f aca="false">IF(D223="","","DRN-"&amp;IFERROR(VLOOKUP(D223,Lists!$A$4:$B$27,2,0),"??")&amp;"-"&amp;TEXT(G223,"0000")&amp;"x"&amp;TEXT(H223,"0000")&amp;IF(N(I223)&gt;1,"-"&amp;I223&amp;"C","")&amp;"-"&amp;IFERROR(VLOOKUP(M223,Lists!$J$4:$K$19,2,0),"??")&amp;"-"&amp;AI223)</f>
        <v/>
      </c>
      <c r="B223" s="10" t="str">
        <f aca="false">IF(D223="","",D223&amp;" "&amp;G223&amp;"W x "&amp;H223&amp;"D"&amp;IF(N(I223)&gt;1," ("&amp;I223&amp;" cells)","")&amp;", "&amp;E223&amp;", "&amp;M223&amp;", "&amp;F223)</f>
        <v/>
      </c>
      <c r="C223" s="9"/>
      <c r="D223" s="9"/>
      <c r="E223" s="9"/>
      <c r="F223" s="9"/>
      <c r="G223" s="38"/>
      <c r="H223" s="38"/>
      <c r="I223" s="38"/>
      <c r="J223" s="38"/>
      <c r="K223" s="38"/>
      <c r="L223" s="38"/>
      <c r="M223" s="9"/>
      <c r="N223" s="9"/>
      <c r="O223" s="9"/>
      <c r="P223" s="38"/>
      <c r="Q223" s="9"/>
      <c r="R223" s="9"/>
      <c r="S223" s="9"/>
      <c r="T223" s="9"/>
      <c r="U223" s="9"/>
      <c r="V223" s="9"/>
      <c r="W223" s="9"/>
      <c r="X223" s="9"/>
      <c r="Y223" s="9"/>
      <c r="Z223" s="9"/>
      <c r="AA223" s="9"/>
      <c r="AB223" s="39"/>
      <c r="AC223" s="9"/>
      <c r="AD223" s="38"/>
      <c r="AE223" s="9"/>
      <c r="AF223" s="39"/>
      <c r="AG223" s="9"/>
      <c r="AH223" s="9"/>
      <c r="AI223" s="9"/>
      <c r="AJ223" s="9"/>
      <c r="AK223" s="9"/>
      <c r="AL223" s="9"/>
      <c r="AM223" s="9"/>
      <c r="AN223" s="10" t="str">
        <f aca="false">IF(A223="","",SG_Criteria!$B$6&amp;SG_Criteria!$B$7&amp;"\"&amp;A223&amp;"\")</f>
        <v/>
      </c>
      <c r="AO223" s="10" t="str">
        <f aca="false">IF(A223="","",A223&amp;"_CAD.dwg")</f>
        <v/>
      </c>
      <c r="AP223" s="10" t="str">
        <f aca="false">IF(A223="","",A223&amp;"_DWG.pdf")</f>
        <v/>
      </c>
      <c r="AQ223" s="10" t="str">
        <f aca="false">IF(A223="","",IF(AM223="Y",A223&amp;"_STAAD.std","n/a"))</f>
        <v/>
      </c>
      <c r="AR223" s="10" t="str">
        <f aca="false">IF(A223="","",A223&amp;"_CALC.xlsx")</f>
        <v/>
      </c>
      <c r="AS223" s="10" t="str">
        <f aca="false">IF(A223="","",A223&amp;"_CALC.pdf")</f>
        <v/>
      </c>
      <c r="AT223" s="9"/>
      <c r="AU223" s="9"/>
      <c r="AV223" s="39"/>
      <c r="AW223" s="39"/>
      <c r="AX223" s="39"/>
      <c r="AY223" s="39"/>
      <c r="AZ223" s="39"/>
      <c r="BA223" s="12" t="str">
        <f aca="false">IF(A223="","",IF(COUNTIF(Rebar_Schedule!$A$5:$A$2004,A223)=0,"",ROUND(SUMIF(Rebar_Schedule!$A$5:$A$2004,A223,Rebar_Schedule!$K$5:$K$2004),1)))</f>
        <v/>
      </c>
      <c r="BB223" s="33" t="str">
        <f aca="false">IF(A223="","",IF(BA223="","No rebar schedule yet",IF(ABS(BA223-N(AW223))/MAX(N(AW223),1)&gt;SG_Criteria!$B$55,"NOTE: register rebar differs from schedule by "&amp;TEXT(ABS(BA223-N(AW223))/MAX(N(AW223),1),"0%"),"OK")))</f>
        <v/>
      </c>
      <c r="BC223" s="34" t="str">
        <f aca="false">IF(OR(D223="",G223="",H223="",D223="Sump",D223="Drop Inlet Chamber",D223="Silt Trap",D223="Pipe Culvert",D223="Subsoil Drain"),"",ROUND(MAX(1,N(I223))*(1/SG_Criteria!$B$26)*((G223/1000)*(H223/1000*(1-SG_Criteria!$B$25)))*(((G223/1000)*(H223/1000*(1-SG_Criteria!$B$25)))/((G223/1000)+2*(H223/1000*(1-SG_Criteria!$B$25))))^(2/3)*(1/Design_Selector!$B$11)^0.5,3))</f>
        <v/>
      </c>
      <c r="BD223" s="11" t="str">
        <f aca="false">IF(BC223="","",ROUND(BC223/(MAX(1,N(I223))*G223/1000*(H223/1000*(1-SG_Criteria!$B$25))),2))</f>
        <v/>
      </c>
      <c r="BE223" s="33" t="str">
        <f aca="false">IF(D223="","",IF(LEN(IF(AND(OR(E223="Roadside drain",E223="Entrance culvert"),OR(G223&lt;SG_Criteria!$B$15,H223&lt;SG_Criteria!$B$16)),"FAIL: below PUB min "&amp;SG_Criteria!$B$15&amp;"x"&amp;SG_Criteria!$B$16&amp;" for roadside drain. ","")&amp;IF(AND(E223="Common drain",G223&lt;SG_Criteria!$B$17),"FAIL: common drain W &lt; "&amp;SG_Criteria!$B$17&amp;" mm. ","")&amp;IF(AND(O223&lt;&gt;"",IFERROR(VALUE(MID(O223,2,2)),0)&lt;SG_Criteria!$B$19),"FAIL: grade below C"&amp;SG_Criteria!$B$19&amp;". ","")&amp;IF(AND(P223&lt;&gt;"",P223&lt;SG_Criteria!$B$20),"FAIL: cover &lt; "&amp;SG_Criteria!$B$20&amp;" mm. ","")&amp;IF(AND(F223="Open",H223&gt;SG_Criteria!$B$18),"NOTE: safety railing required (D &gt; "&amp;SG_Criteria!$B$18&amp;" mm). ","")&amp;IF(AND(E223="Entrance culvert",H223&lt;600),"NOTE: check hinged grating rule for culverts &lt; 600 deep (PUB Add. 3). ",""))=0,"OK",IF(AND(OR(E223="Roadside drain",E223="Entrance culvert"),OR(G223&lt;SG_Criteria!$B$15,H223&lt;SG_Criteria!$B$16)),"FAIL: below PUB min "&amp;SG_Criteria!$B$15&amp;"x"&amp;SG_Criteria!$B$16&amp;" for roadside drain. ","")&amp;IF(AND(E223="Common drain",G223&lt;SG_Criteria!$B$17),"FAIL: common drain W &lt; "&amp;SG_Criteria!$B$17&amp;" mm. ","")&amp;IF(AND(O223&lt;&gt;"",IFERROR(VALUE(MID(O223,2,2)),0)&lt;SG_Criteria!$B$19),"FAIL: grade below C"&amp;SG_Criteria!$B$19&amp;". ","")&amp;IF(AND(P223&lt;&gt;"",P223&lt;SG_Criteria!$B$20),"FAIL: cover &lt; "&amp;SG_Criteria!$B$20&amp;" mm. ","")&amp;IF(AND(F223="Open",H223&gt;SG_Criteria!$B$18),"NOTE: safety railing required (D &gt; "&amp;SG_Criteria!$B$18&amp;" mm). ","")&amp;IF(AND(E223="Entrance culvert",H223&lt;600),"NOTE: check hinged grating rule for culverts &lt; 600 deep (PUB Add. 3). ","")))</f>
        <v/>
      </c>
      <c r="BF223" s="9"/>
      <c r="BG223" s="9"/>
      <c r="BH223" s="9"/>
      <c r="BI223" s="10" t="str">
        <f aca="false">IF(BH223="","",IFERROR(VLOOKUP(BH223,Projects!$A$5:$D$504,2,0),"Ref not in Projects"))</f>
        <v/>
      </c>
      <c r="BJ223" s="10" t="str">
        <f aca="false">IF(BH223="","",IFERROR(VLOOKUP(BH223,Projects!$A$5:$D$504,4,0),"Ref not in Projects"))</f>
        <v/>
      </c>
      <c r="BK223" s="9"/>
      <c r="BL223" s="9"/>
      <c r="BM223" s="9"/>
      <c r="BN223" s="40"/>
      <c r="BO223" s="9"/>
      <c r="BP223" s="40"/>
      <c r="BQ223" s="9"/>
      <c r="BR223" s="40"/>
      <c r="BS223" s="9"/>
      <c r="BT223" s="9"/>
      <c r="BU223" s="9"/>
      <c r="BV223" s="40"/>
      <c r="BW223" s="40"/>
      <c r="BX223" s="36" t="str">
        <f aca="false">IF(BW223="","",EDATE(BW223,SG_Criteria!$B$54*12))</f>
        <v/>
      </c>
      <c r="BY223" s="33" t="str">
        <f aca="true">IF(A223="","",IF(BW223="","NOTE: not reviewed yet",IF(TODAY()&gt;BX223,"NOTE: review overdue","OK")))</f>
        <v/>
      </c>
      <c r="BZ223" s="37" t="str">
        <f aca="false">IF(A223="","",ROUND((IF(LEN(D223)&gt;0,1,0)+IF(LEN(E223)&gt;0,1,0)+IF(LEN(F223)&gt;0,1,0)+IF(LEN(G223)&gt;0,1,0)+IF(LEN(H223)&gt;0,1,0)+IF(LEN(J223)&gt;0,1,0)+IF(LEN(K223)&gt;0,1,0)+IF(LEN(M223)&gt;0,1,0)+IF(LEN(O223)&gt;0,1,0)+IF(LEN(P223)&gt;0,1,0)+IF(LEN(Q223)&gt;0,1,0)+IF(LEN(S223)&gt;0,1,0)+IF(LEN(AC223)&gt;0,1,0)+IF(LEN(AV223)&gt;0,1,0)+IF(LEN(AW223)&gt;0,1,0)+IF(LEN(AG223)&gt;0,1,0)+IF(LEN(AI223)&gt;0,1,0)+IF(LEN(AJ223)&gt;0,1,0)+IF(LEN(AK223)&gt;0,1,0)+IF(LEN(AL223)&gt;0,1,0)+IF(LEN(AU223)&gt;0,1,0)+IF(LEN(BH223)&gt;0,1,0)+IF(LEN(BU223)&gt;0,1,0))/23,2))</f>
        <v/>
      </c>
      <c r="CA223" s="10" t="str">
        <f aca="false">IF(D223="","",IF(AND(AJ223="Approved",ISERROR(SEARCH("FAIL",BE223))),"Y","N"))</f>
        <v/>
      </c>
      <c r="CB223" s="10" t="str">
        <f aca="false">IF(D223="","",D223&amp;"|"&amp;G223&amp;"|"&amp;H223&amp;"|"&amp;M223&amp;"|"&amp;CA223)</f>
        <v/>
      </c>
    </row>
    <row r="224" customFormat="false" ht="15" hidden="false" customHeight="false" outlineLevel="0" collapsed="false">
      <c r="A224" s="10" t="str">
        <f aca="false">IF(D224="","","DRN-"&amp;IFERROR(VLOOKUP(D224,Lists!$A$4:$B$27,2,0),"??")&amp;"-"&amp;TEXT(G224,"0000")&amp;"x"&amp;TEXT(H224,"0000")&amp;IF(N(I224)&gt;1,"-"&amp;I224&amp;"C","")&amp;"-"&amp;IFERROR(VLOOKUP(M224,Lists!$J$4:$K$19,2,0),"??")&amp;"-"&amp;AI224)</f>
        <v/>
      </c>
      <c r="B224" s="10" t="str">
        <f aca="false">IF(D224="","",D224&amp;" "&amp;G224&amp;"W x "&amp;H224&amp;"D"&amp;IF(N(I224)&gt;1," ("&amp;I224&amp;" cells)","")&amp;", "&amp;E224&amp;", "&amp;M224&amp;", "&amp;F224)</f>
        <v/>
      </c>
      <c r="C224" s="9"/>
      <c r="D224" s="9"/>
      <c r="E224" s="9"/>
      <c r="F224" s="9"/>
      <c r="G224" s="38"/>
      <c r="H224" s="38"/>
      <c r="I224" s="38"/>
      <c r="J224" s="38"/>
      <c r="K224" s="38"/>
      <c r="L224" s="38"/>
      <c r="M224" s="9"/>
      <c r="N224" s="9"/>
      <c r="O224" s="9"/>
      <c r="P224" s="38"/>
      <c r="Q224" s="9"/>
      <c r="R224" s="9"/>
      <c r="S224" s="9"/>
      <c r="T224" s="9"/>
      <c r="U224" s="9"/>
      <c r="V224" s="9"/>
      <c r="W224" s="9"/>
      <c r="X224" s="9"/>
      <c r="Y224" s="9"/>
      <c r="Z224" s="9"/>
      <c r="AA224" s="9"/>
      <c r="AB224" s="39"/>
      <c r="AC224" s="9"/>
      <c r="AD224" s="38"/>
      <c r="AE224" s="9"/>
      <c r="AF224" s="39"/>
      <c r="AG224" s="9"/>
      <c r="AH224" s="9"/>
      <c r="AI224" s="9"/>
      <c r="AJ224" s="9"/>
      <c r="AK224" s="9"/>
      <c r="AL224" s="9"/>
      <c r="AM224" s="9"/>
      <c r="AN224" s="10" t="str">
        <f aca="false">IF(A224="","",SG_Criteria!$B$6&amp;SG_Criteria!$B$7&amp;"\"&amp;A224&amp;"\")</f>
        <v/>
      </c>
      <c r="AO224" s="10" t="str">
        <f aca="false">IF(A224="","",A224&amp;"_CAD.dwg")</f>
        <v/>
      </c>
      <c r="AP224" s="10" t="str">
        <f aca="false">IF(A224="","",A224&amp;"_DWG.pdf")</f>
        <v/>
      </c>
      <c r="AQ224" s="10" t="str">
        <f aca="false">IF(A224="","",IF(AM224="Y",A224&amp;"_STAAD.std","n/a"))</f>
        <v/>
      </c>
      <c r="AR224" s="10" t="str">
        <f aca="false">IF(A224="","",A224&amp;"_CALC.xlsx")</f>
        <v/>
      </c>
      <c r="AS224" s="10" t="str">
        <f aca="false">IF(A224="","",A224&amp;"_CALC.pdf")</f>
        <v/>
      </c>
      <c r="AT224" s="9"/>
      <c r="AU224" s="9"/>
      <c r="AV224" s="39"/>
      <c r="AW224" s="39"/>
      <c r="AX224" s="39"/>
      <c r="AY224" s="39"/>
      <c r="AZ224" s="39"/>
      <c r="BA224" s="12" t="str">
        <f aca="false">IF(A224="","",IF(COUNTIF(Rebar_Schedule!$A$5:$A$2004,A224)=0,"",ROUND(SUMIF(Rebar_Schedule!$A$5:$A$2004,A224,Rebar_Schedule!$K$5:$K$2004),1)))</f>
        <v/>
      </c>
      <c r="BB224" s="33" t="str">
        <f aca="false">IF(A224="","",IF(BA224="","No rebar schedule yet",IF(ABS(BA224-N(AW224))/MAX(N(AW224),1)&gt;SG_Criteria!$B$55,"NOTE: register rebar differs from schedule by "&amp;TEXT(ABS(BA224-N(AW224))/MAX(N(AW224),1),"0%"),"OK")))</f>
        <v/>
      </c>
      <c r="BC224" s="34" t="str">
        <f aca="false">IF(OR(D224="",G224="",H224="",D224="Sump",D224="Drop Inlet Chamber",D224="Silt Trap",D224="Pipe Culvert",D224="Subsoil Drain"),"",ROUND(MAX(1,N(I224))*(1/SG_Criteria!$B$26)*((G224/1000)*(H224/1000*(1-SG_Criteria!$B$25)))*(((G224/1000)*(H224/1000*(1-SG_Criteria!$B$25)))/((G224/1000)+2*(H224/1000*(1-SG_Criteria!$B$25))))^(2/3)*(1/Design_Selector!$B$11)^0.5,3))</f>
        <v/>
      </c>
      <c r="BD224" s="11" t="str">
        <f aca="false">IF(BC224="","",ROUND(BC224/(MAX(1,N(I224))*G224/1000*(H224/1000*(1-SG_Criteria!$B$25))),2))</f>
        <v/>
      </c>
      <c r="BE224" s="33" t="str">
        <f aca="false">IF(D224="","",IF(LEN(IF(AND(OR(E224="Roadside drain",E224="Entrance culvert"),OR(G224&lt;SG_Criteria!$B$15,H224&lt;SG_Criteria!$B$16)),"FAIL: below PUB min "&amp;SG_Criteria!$B$15&amp;"x"&amp;SG_Criteria!$B$16&amp;" for roadside drain. ","")&amp;IF(AND(E224="Common drain",G224&lt;SG_Criteria!$B$17),"FAIL: common drain W &lt; "&amp;SG_Criteria!$B$17&amp;" mm. ","")&amp;IF(AND(O224&lt;&gt;"",IFERROR(VALUE(MID(O224,2,2)),0)&lt;SG_Criteria!$B$19),"FAIL: grade below C"&amp;SG_Criteria!$B$19&amp;". ","")&amp;IF(AND(P224&lt;&gt;"",P224&lt;SG_Criteria!$B$20),"FAIL: cover &lt; "&amp;SG_Criteria!$B$20&amp;" mm. ","")&amp;IF(AND(F224="Open",H224&gt;SG_Criteria!$B$18),"NOTE: safety railing required (D &gt; "&amp;SG_Criteria!$B$18&amp;" mm). ","")&amp;IF(AND(E224="Entrance culvert",H224&lt;600),"NOTE: check hinged grating rule for culverts &lt; 600 deep (PUB Add. 3). ",""))=0,"OK",IF(AND(OR(E224="Roadside drain",E224="Entrance culvert"),OR(G224&lt;SG_Criteria!$B$15,H224&lt;SG_Criteria!$B$16)),"FAIL: below PUB min "&amp;SG_Criteria!$B$15&amp;"x"&amp;SG_Criteria!$B$16&amp;" for roadside drain. ","")&amp;IF(AND(E224="Common drain",G224&lt;SG_Criteria!$B$17),"FAIL: common drain W &lt; "&amp;SG_Criteria!$B$17&amp;" mm. ","")&amp;IF(AND(O224&lt;&gt;"",IFERROR(VALUE(MID(O224,2,2)),0)&lt;SG_Criteria!$B$19),"FAIL: grade below C"&amp;SG_Criteria!$B$19&amp;". ","")&amp;IF(AND(P224&lt;&gt;"",P224&lt;SG_Criteria!$B$20),"FAIL: cover &lt; "&amp;SG_Criteria!$B$20&amp;" mm. ","")&amp;IF(AND(F224="Open",H224&gt;SG_Criteria!$B$18),"NOTE: safety railing required (D &gt; "&amp;SG_Criteria!$B$18&amp;" mm). ","")&amp;IF(AND(E224="Entrance culvert",H224&lt;600),"NOTE: check hinged grating rule for culverts &lt; 600 deep (PUB Add. 3). ","")))</f>
        <v/>
      </c>
      <c r="BF224" s="9"/>
      <c r="BG224" s="9"/>
      <c r="BH224" s="9"/>
      <c r="BI224" s="10" t="str">
        <f aca="false">IF(BH224="","",IFERROR(VLOOKUP(BH224,Projects!$A$5:$D$504,2,0),"Ref not in Projects"))</f>
        <v/>
      </c>
      <c r="BJ224" s="10" t="str">
        <f aca="false">IF(BH224="","",IFERROR(VLOOKUP(BH224,Projects!$A$5:$D$504,4,0),"Ref not in Projects"))</f>
        <v/>
      </c>
      <c r="BK224" s="9"/>
      <c r="BL224" s="9"/>
      <c r="BM224" s="9"/>
      <c r="BN224" s="40"/>
      <c r="BO224" s="9"/>
      <c r="BP224" s="40"/>
      <c r="BQ224" s="9"/>
      <c r="BR224" s="40"/>
      <c r="BS224" s="9"/>
      <c r="BT224" s="9"/>
      <c r="BU224" s="9"/>
      <c r="BV224" s="40"/>
      <c r="BW224" s="40"/>
      <c r="BX224" s="36" t="str">
        <f aca="false">IF(BW224="","",EDATE(BW224,SG_Criteria!$B$54*12))</f>
        <v/>
      </c>
      <c r="BY224" s="33" t="str">
        <f aca="true">IF(A224="","",IF(BW224="","NOTE: not reviewed yet",IF(TODAY()&gt;BX224,"NOTE: review overdue","OK")))</f>
        <v/>
      </c>
      <c r="BZ224" s="37" t="str">
        <f aca="false">IF(A224="","",ROUND((IF(LEN(D224)&gt;0,1,0)+IF(LEN(E224)&gt;0,1,0)+IF(LEN(F224)&gt;0,1,0)+IF(LEN(G224)&gt;0,1,0)+IF(LEN(H224)&gt;0,1,0)+IF(LEN(J224)&gt;0,1,0)+IF(LEN(K224)&gt;0,1,0)+IF(LEN(M224)&gt;0,1,0)+IF(LEN(O224)&gt;0,1,0)+IF(LEN(P224)&gt;0,1,0)+IF(LEN(Q224)&gt;0,1,0)+IF(LEN(S224)&gt;0,1,0)+IF(LEN(AC224)&gt;0,1,0)+IF(LEN(AV224)&gt;0,1,0)+IF(LEN(AW224)&gt;0,1,0)+IF(LEN(AG224)&gt;0,1,0)+IF(LEN(AI224)&gt;0,1,0)+IF(LEN(AJ224)&gt;0,1,0)+IF(LEN(AK224)&gt;0,1,0)+IF(LEN(AL224)&gt;0,1,0)+IF(LEN(AU224)&gt;0,1,0)+IF(LEN(BH224)&gt;0,1,0)+IF(LEN(BU224)&gt;0,1,0))/23,2))</f>
        <v/>
      </c>
      <c r="CA224" s="10" t="str">
        <f aca="false">IF(D224="","",IF(AND(AJ224="Approved",ISERROR(SEARCH("FAIL",BE224))),"Y","N"))</f>
        <v/>
      </c>
      <c r="CB224" s="10" t="str">
        <f aca="false">IF(D224="","",D224&amp;"|"&amp;G224&amp;"|"&amp;H224&amp;"|"&amp;M224&amp;"|"&amp;CA224)</f>
        <v/>
      </c>
    </row>
    <row r="225" customFormat="false" ht="15" hidden="false" customHeight="false" outlineLevel="0" collapsed="false">
      <c r="A225" s="10" t="str">
        <f aca="false">IF(D225="","","DRN-"&amp;IFERROR(VLOOKUP(D225,Lists!$A$4:$B$27,2,0),"??")&amp;"-"&amp;TEXT(G225,"0000")&amp;"x"&amp;TEXT(H225,"0000")&amp;IF(N(I225)&gt;1,"-"&amp;I225&amp;"C","")&amp;"-"&amp;IFERROR(VLOOKUP(M225,Lists!$J$4:$K$19,2,0),"??")&amp;"-"&amp;AI225)</f>
        <v/>
      </c>
      <c r="B225" s="10" t="str">
        <f aca="false">IF(D225="","",D225&amp;" "&amp;G225&amp;"W x "&amp;H225&amp;"D"&amp;IF(N(I225)&gt;1," ("&amp;I225&amp;" cells)","")&amp;", "&amp;E225&amp;", "&amp;M225&amp;", "&amp;F225)</f>
        <v/>
      </c>
      <c r="C225" s="9"/>
      <c r="D225" s="9"/>
      <c r="E225" s="9"/>
      <c r="F225" s="9"/>
      <c r="G225" s="38"/>
      <c r="H225" s="38"/>
      <c r="I225" s="38"/>
      <c r="J225" s="38"/>
      <c r="K225" s="38"/>
      <c r="L225" s="38"/>
      <c r="M225" s="9"/>
      <c r="N225" s="9"/>
      <c r="O225" s="9"/>
      <c r="P225" s="38"/>
      <c r="Q225" s="9"/>
      <c r="R225" s="9"/>
      <c r="S225" s="9"/>
      <c r="T225" s="9"/>
      <c r="U225" s="9"/>
      <c r="V225" s="9"/>
      <c r="W225" s="9"/>
      <c r="X225" s="9"/>
      <c r="Y225" s="9"/>
      <c r="Z225" s="9"/>
      <c r="AA225" s="9"/>
      <c r="AB225" s="39"/>
      <c r="AC225" s="9"/>
      <c r="AD225" s="38"/>
      <c r="AE225" s="9"/>
      <c r="AF225" s="39"/>
      <c r="AG225" s="9"/>
      <c r="AH225" s="9"/>
      <c r="AI225" s="9"/>
      <c r="AJ225" s="9"/>
      <c r="AK225" s="9"/>
      <c r="AL225" s="9"/>
      <c r="AM225" s="9"/>
      <c r="AN225" s="10" t="str">
        <f aca="false">IF(A225="","",SG_Criteria!$B$6&amp;SG_Criteria!$B$7&amp;"\"&amp;A225&amp;"\")</f>
        <v/>
      </c>
      <c r="AO225" s="10" t="str">
        <f aca="false">IF(A225="","",A225&amp;"_CAD.dwg")</f>
        <v/>
      </c>
      <c r="AP225" s="10" t="str">
        <f aca="false">IF(A225="","",A225&amp;"_DWG.pdf")</f>
        <v/>
      </c>
      <c r="AQ225" s="10" t="str">
        <f aca="false">IF(A225="","",IF(AM225="Y",A225&amp;"_STAAD.std","n/a"))</f>
        <v/>
      </c>
      <c r="AR225" s="10" t="str">
        <f aca="false">IF(A225="","",A225&amp;"_CALC.xlsx")</f>
        <v/>
      </c>
      <c r="AS225" s="10" t="str">
        <f aca="false">IF(A225="","",A225&amp;"_CALC.pdf")</f>
        <v/>
      </c>
      <c r="AT225" s="9"/>
      <c r="AU225" s="9"/>
      <c r="AV225" s="39"/>
      <c r="AW225" s="39"/>
      <c r="AX225" s="39"/>
      <c r="AY225" s="39"/>
      <c r="AZ225" s="39"/>
      <c r="BA225" s="12" t="str">
        <f aca="false">IF(A225="","",IF(COUNTIF(Rebar_Schedule!$A$5:$A$2004,A225)=0,"",ROUND(SUMIF(Rebar_Schedule!$A$5:$A$2004,A225,Rebar_Schedule!$K$5:$K$2004),1)))</f>
        <v/>
      </c>
      <c r="BB225" s="33" t="str">
        <f aca="false">IF(A225="","",IF(BA225="","No rebar schedule yet",IF(ABS(BA225-N(AW225))/MAX(N(AW225),1)&gt;SG_Criteria!$B$55,"NOTE: register rebar differs from schedule by "&amp;TEXT(ABS(BA225-N(AW225))/MAX(N(AW225),1),"0%"),"OK")))</f>
        <v/>
      </c>
      <c r="BC225" s="34" t="str">
        <f aca="false">IF(OR(D225="",G225="",H225="",D225="Sump",D225="Drop Inlet Chamber",D225="Silt Trap",D225="Pipe Culvert",D225="Subsoil Drain"),"",ROUND(MAX(1,N(I225))*(1/SG_Criteria!$B$26)*((G225/1000)*(H225/1000*(1-SG_Criteria!$B$25)))*(((G225/1000)*(H225/1000*(1-SG_Criteria!$B$25)))/((G225/1000)+2*(H225/1000*(1-SG_Criteria!$B$25))))^(2/3)*(1/Design_Selector!$B$11)^0.5,3))</f>
        <v/>
      </c>
      <c r="BD225" s="11" t="str">
        <f aca="false">IF(BC225="","",ROUND(BC225/(MAX(1,N(I225))*G225/1000*(H225/1000*(1-SG_Criteria!$B$25))),2))</f>
        <v/>
      </c>
      <c r="BE225" s="33" t="str">
        <f aca="false">IF(D225="","",IF(LEN(IF(AND(OR(E225="Roadside drain",E225="Entrance culvert"),OR(G225&lt;SG_Criteria!$B$15,H225&lt;SG_Criteria!$B$16)),"FAIL: below PUB min "&amp;SG_Criteria!$B$15&amp;"x"&amp;SG_Criteria!$B$16&amp;" for roadside drain. ","")&amp;IF(AND(E225="Common drain",G225&lt;SG_Criteria!$B$17),"FAIL: common drain W &lt; "&amp;SG_Criteria!$B$17&amp;" mm. ","")&amp;IF(AND(O225&lt;&gt;"",IFERROR(VALUE(MID(O225,2,2)),0)&lt;SG_Criteria!$B$19),"FAIL: grade below C"&amp;SG_Criteria!$B$19&amp;". ","")&amp;IF(AND(P225&lt;&gt;"",P225&lt;SG_Criteria!$B$20),"FAIL: cover &lt; "&amp;SG_Criteria!$B$20&amp;" mm. ","")&amp;IF(AND(F225="Open",H225&gt;SG_Criteria!$B$18),"NOTE: safety railing required (D &gt; "&amp;SG_Criteria!$B$18&amp;" mm). ","")&amp;IF(AND(E225="Entrance culvert",H225&lt;600),"NOTE: check hinged grating rule for culverts &lt; 600 deep (PUB Add. 3). ",""))=0,"OK",IF(AND(OR(E225="Roadside drain",E225="Entrance culvert"),OR(G225&lt;SG_Criteria!$B$15,H225&lt;SG_Criteria!$B$16)),"FAIL: below PUB min "&amp;SG_Criteria!$B$15&amp;"x"&amp;SG_Criteria!$B$16&amp;" for roadside drain. ","")&amp;IF(AND(E225="Common drain",G225&lt;SG_Criteria!$B$17),"FAIL: common drain W &lt; "&amp;SG_Criteria!$B$17&amp;" mm. ","")&amp;IF(AND(O225&lt;&gt;"",IFERROR(VALUE(MID(O225,2,2)),0)&lt;SG_Criteria!$B$19),"FAIL: grade below C"&amp;SG_Criteria!$B$19&amp;". ","")&amp;IF(AND(P225&lt;&gt;"",P225&lt;SG_Criteria!$B$20),"FAIL: cover &lt; "&amp;SG_Criteria!$B$20&amp;" mm. ","")&amp;IF(AND(F225="Open",H225&gt;SG_Criteria!$B$18),"NOTE: safety railing required (D &gt; "&amp;SG_Criteria!$B$18&amp;" mm). ","")&amp;IF(AND(E225="Entrance culvert",H225&lt;600),"NOTE: check hinged grating rule for culverts &lt; 600 deep (PUB Add. 3). ","")))</f>
        <v/>
      </c>
      <c r="BF225" s="9"/>
      <c r="BG225" s="9"/>
      <c r="BH225" s="9"/>
      <c r="BI225" s="10" t="str">
        <f aca="false">IF(BH225="","",IFERROR(VLOOKUP(BH225,Projects!$A$5:$D$504,2,0),"Ref not in Projects"))</f>
        <v/>
      </c>
      <c r="BJ225" s="10" t="str">
        <f aca="false">IF(BH225="","",IFERROR(VLOOKUP(BH225,Projects!$A$5:$D$504,4,0),"Ref not in Projects"))</f>
        <v/>
      </c>
      <c r="BK225" s="9"/>
      <c r="BL225" s="9"/>
      <c r="BM225" s="9"/>
      <c r="BN225" s="40"/>
      <c r="BO225" s="9"/>
      <c r="BP225" s="40"/>
      <c r="BQ225" s="9"/>
      <c r="BR225" s="40"/>
      <c r="BS225" s="9"/>
      <c r="BT225" s="9"/>
      <c r="BU225" s="9"/>
      <c r="BV225" s="40"/>
      <c r="BW225" s="40"/>
      <c r="BX225" s="36" t="str">
        <f aca="false">IF(BW225="","",EDATE(BW225,SG_Criteria!$B$54*12))</f>
        <v/>
      </c>
      <c r="BY225" s="33" t="str">
        <f aca="true">IF(A225="","",IF(BW225="","NOTE: not reviewed yet",IF(TODAY()&gt;BX225,"NOTE: review overdue","OK")))</f>
        <v/>
      </c>
      <c r="BZ225" s="37" t="str">
        <f aca="false">IF(A225="","",ROUND((IF(LEN(D225)&gt;0,1,0)+IF(LEN(E225)&gt;0,1,0)+IF(LEN(F225)&gt;0,1,0)+IF(LEN(G225)&gt;0,1,0)+IF(LEN(H225)&gt;0,1,0)+IF(LEN(J225)&gt;0,1,0)+IF(LEN(K225)&gt;0,1,0)+IF(LEN(M225)&gt;0,1,0)+IF(LEN(O225)&gt;0,1,0)+IF(LEN(P225)&gt;0,1,0)+IF(LEN(Q225)&gt;0,1,0)+IF(LEN(S225)&gt;0,1,0)+IF(LEN(AC225)&gt;0,1,0)+IF(LEN(AV225)&gt;0,1,0)+IF(LEN(AW225)&gt;0,1,0)+IF(LEN(AG225)&gt;0,1,0)+IF(LEN(AI225)&gt;0,1,0)+IF(LEN(AJ225)&gt;0,1,0)+IF(LEN(AK225)&gt;0,1,0)+IF(LEN(AL225)&gt;0,1,0)+IF(LEN(AU225)&gt;0,1,0)+IF(LEN(BH225)&gt;0,1,0)+IF(LEN(BU225)&gt;0,1,0))/23,2))</f>
        <v/>
      </c>
      <c r="CA225" s="10" t="str">
        <f aca="false">IF(D225="","",IF(AND(AJ225="Approved",ISERROR(SEARCH("FAIL",BE225))),"Y","N"))</f>
        <v/>
      </c>
      <c r="CB225" s="10" t="str">
        <f aca="false">IF(D225="","",D225&amp;"|"&amp;G225&amp;"|"&amp;H225&amp;"|"&amp;M225&amp;"|"&amp;CA225)</f>
        <v/>
      </c>
    </row>
    <row r="226" customFormat="false" ht="15" hidden="false" customHeight="false" outlineLevel="0" collapsed="false">
      <c r="A226" s="10" t="str">
        <f aca="false">IF(D226="","","DRN-"&amp;IFERROR(VLOOKUP(D226,Lists!$A$4:$B$27,2,0),"??")&amp;"-"&amp;TEXT(G226,"0000")&amp;"x"&amp;TEXT(H226,"0000")&amp;IF(N(I226)&gt;1,"-"&amp;I226&amp;"C","")&amp;"-"&amp;IFERROR(VLOOKUP(M226,Lists!$J$4:$K$19,2,0),"??")&amp;"-"&amp;AI226)</f>
        <v/>
      </c>
      <c r="B226" s="10" t="str">
        <f aca="false">IF(D226="","",D226&amp;" "&amp;G226&amp;"W x "&amp;H226&amp;"D"&amp;IF(N(I226)&gt;1," ("&amp;I226&amp;" cells)","")&amp;", "&amp;E226&amp;", "&amp;M226&amp;", "&amp;F226)</f>
        <v/>
      </c>
      <c r="C226" s="9"/>
      <c r="D226" s="9"/>
      <c r="E226" s="9"/>
      <c r="F226" s="9"/>
      <c r="G226" s="38"/>
      <c r="H226" s="38"/>
      <c r="I226" s="38"/>
      <c r="J226" s="38"/>
      <c r="K226" s="38"/>
      <c r="L226" s="38"/>
      <c r="M226" s="9"/>
      <c r="N226" s="9"/>
      <c r="O226" s="9"/>
      <c r="P226" s="38"/>
      <c r="Q226" s="9"/>
      <c r="R226" s="9"/>
      <c r="S226" s="9"/>
      <c r="T226" s="9"/>
      <c r="U226" s="9"/>
      <c r="V226" s="9"/>
      <c r="W226" s="9"/>
      <c r="X226" s="9"/>
      <c r="Y226" s="9"/>
      <c r="Z226" s="9"/>
      <c r="AA226" s="9"/>
      <c r="AB226" s="39"/>
      <c r="AC226" s="9"/>
      <c r="AD226" s="38"/>
      <c r="AE226" s="9"/>
      <c r="AF226" s="39"/>
      <c r="AG226" s="9"/>
      <c r="AH226" s="9"/>
      <c r="AI226" s="9"/>
      <c r="AJ226" s="9"/>
      <c r="AK226" s="9"/>
      <c r="AL226" s="9"/>
      <c r="AM226" s="9"/>
      <c r="AN226" s="10" t="str">
        <f aca="false">IF(A226="","",SG_Criteria!$B$6&amp;SG_Criteria!$B$7&amp;"\"&amp;A226&amp;"\")</f>
        <v/>
      </c>
      <c r="AO226" s="10" t="str">
        <f aca="false">IF(A226="","",A226&amp;"_CAD.dwg")</f>
        <v/>
      </c>
      <c r="AP226" s="10" t="str">
        <f aca="false">IF(A226="","",A226&amp;"_DWG.pdf")</f>
        <v/>
      </c>
      <c r="AQ226" s="10" t="str">
        <f aca="false">IF(A226="","",IF(AM226="Y",A226&amp;"_STAAD.std","n/a"))</f>
        <v/>
      </c>
      <c r="AR226" s="10" t="str">
        <f aca="false">IF(A226="","",A226&amp;"_CALC.xlsx")</f>
        <v/>
      </c>
      <c r="AS226" s="10" t="str">
        <f aca="false">IF(A226="","",A226&amp;"_CALC.pdf")</f>
        <v/>
      </c>
      <c r="AT226" s="9"/>
      <c r="AU226" s="9"/>
      <c r="AV226" s="39"/>
      <c r="AW226" s="39"/>
      <c r="AX226" s="39"/>
      <c r="AY226" s="39"/>
      <c r="AZ226" s="39"/>
      <c r="BA226" s="12" t="str">
        <f aca="false">IF(A226="","",IF(COUNTIF(Rebar_Schedule!$A$5:$A$2004,A226)=0,"",ROUND(SUMIF(Rebar_Schedule!$A$5:$A$2004,A226,Rebar_Schedule!$K$5:$K$2004),1)))</f>
        <v/>
      </c>
      <c r="BB226" s="33" t="str">
        <f aca="false">IF(A226="","",IF(BA226="","No rebar schedule yet",IF(ABS(BA226-N(AW226))/MAX(N(AW226),1)&gt;SG_Criteria!$B$55,"NOTE: register rebar differs from schedule by "&amp;TEXT(ABS(BA226-N(AW226))/MAX(N(AW226),1),"0%"),"OK")))</f>
        <v/>
      </c>
      <c r="BC226" s="34" t="str">
        <f aca="false">IF(OR(D226="",G226="",H226="",D226="Sump",D226="Drop Inlet Chamber",D226="Silt Trap",D226="Pipe Culvert",D226="Subsoil Drain"),"",ROUND(MAX(1,N(I226))*(1/SG_Criteria!$B$26)*((G226/1000)*(H226/1000*(1-SG_Criteria!$B$25)))*(((G226/1000)*(H226/1000*(1-SG_Criteria!$B$25)))/((G226/1000)+2*(H226/1000*(1-SG_Criteria!$B$25))))^(2/3)*(1/Design_Selector!$B$11)^0.5,3))</f>
        <v/>
      </c>
      <c r="BD226" s="11" t="str">
        <f aca="false">IF(BC226="","",ROUND(BC226/(MAX(1,N(I226))*G226/1000*(H226/1000*(1-SG_Criteria!$B$25))),2))</f>
        <v/>
      </c>
      <c r="BE226" s="33" t="str">
        <f aca="false">IF(D226="","",IF(LEN(IF(AND(OR(E226="Roadside drain",E226="Entrance culvert"),OR(G226&lt;SG_Criteria!$B$15,H226&lt;SG_Criteria!$B$16)),"FAIL: below PUB min "&amp;SG_Criteria!$B$15&amp;"x"&amp;SG_Criteria!$B$16&amp;" for roadside drain. ","")&amp;IF(AND(E226="Common drain",G226&lt;SG_Criteria!$B$17),"FAIL: common drain W &lt; "&amp;SG_Criteria!$B$17&amp;" mm. ","")&amp;IF(AND(O226&lt;&gt;"",IFERROR(VALUE(MID(O226,2,2)),0)&lt;SG_Criteria!$B$19),"FAIL: grade below C"&amp;SG_Criteria!$B$19&amp;". ","")&amp;IF(AND(P226&lt;&gt;"",P226&lt;SG_Criteria!$B$20),"FAIL: cover &lt; "&amp;SG_Criteria!$B$20&amp;" mm. ","")&amp;IF(AND(F226="Open",H226&gt;SG_Criteria!$B$18),"NOTE: safety railing required (D &gt; "&amp;SG_Criteria!$B$18&amp;" mm). ","")&amp;IF(AND(E226="Entrance culvert",H226&lt;600),"NOTE: check hinged grating rule for culverts &lt; 600 deep (PUB Add. 3). ",""))=0,"OK",IF(AND(OR(E226="Roadside drain",E226="Entrance culvert"),OR(G226&lt;SG_Criteria!$B$15,H226&lt;SG_Criteria!$B$16)),"FAIL: below PUB min "&amp;SG_Criteria!$B$15&amp;"x"&amp;SG_Criteria!$B$16&amp;" for roadside drain. ","")&amp;IF(AND(E226="Common drain",G226&lt;SG_Criteria!$B$17),"FAIL: common drain W &lt; "&amp;SG_Criteria!$B$17&amp;" mm. ","")&amp;IF(AND(O226&lt;&gt;"",IFERROR(VALUE(MID(O226,2,2)),0)&lt;SG_Criteria!$B$19),"FAIL: grade below C"&amp;SG_Criteria!$B$19&amp;". ","")&amp;IF(AND(P226&lt;&gt;"",P226&lt;SG_Criteria!$B$20),"FAIL: cover &lt; "&amp;SG_Criteria!$B$20&amp;" mm. ","")&amp;IF(AND(F226="Open",H226&gt;SG_Criteria!$B$18),"NOTE: safety railing required (D &gt; "&amp;SG_Criteria!$B$18&amp;" mm). ","")&amp;IF(AND(E226="Entrance culvert",H226&lt;600),"NOTE: check hinged grating rule for culverts &lt; 600 deep (PUB Add. 3). ","")))</f>
        <v/>
      </c>
      <c r="BF226" s="9"/>
      <c r="BG226" s="9"/>
      <c r="BH226" s="9"/>
      <c r="BI226" s="10" t="str">
        <f aca="false">IF(BH226="","",IFERROR(VLOOKUP(BH226,Projects!$A$5:$D$504,2,0),"Ref not in Projects"))</f>
        <v/>
      </c>
      <c r="BJ226" s="10" t="str">
        <f aca="false">IF(BH226="","",IFERROR(VLOOKUP(BH226,Projects!$A$5:$D$504,4,0),"Ref not in Projects"))</f>
        <v/>
      </c>
      <c r="BK226" s="9"/>
      <c r="BL226" s="9"/>
      <c r="BM226" s="9"/>
      <c r="BN226" s="40"/>
      <c r="BO226" s="9"/>
      <c r="BP226" s="40"/>
      <c r="BQ226" s="9"/>
      <c r="BR226" s="40"/>
      <c r="BS226" s="9"/>
      <c r="BT226" s="9"/>
      <c r="BU226" s="9"/>
      <c r="BV226" s="40"/>
      <c r="BW226" s="40"/>
      <c r="BX226" s="36" t="str">
        <f aca="false">IF(BW226="","",EDATE(BW226,SG_Criteria!$B$54*12))</f>
        <v/>
      </c>
      <c r="BY226" s="33" t="str">
        <f aca="true">IF(A226="","",IF(BW226="","NOTE: not reviewed yet",IF(TODAY()&gt;BX226,"NOTE: review overdue","OK")))</f>
        <v/>
      </c>
      <c r="BZ226" s="37" t="str">
        <f aca="false">IF(A226="","",ROUND((IF(LEN(D226)&gt;0,1,0)+IF(LEN(E226)&gt;0,1,0)+IF(LEN(F226)&gt;0,1,0)+IF(LEN(G226)&gt;0,1,0)+IF(LEN(H226)&gt;0,1,0)+IF(LEN(J226)&gt;0,1,0)+IF(LEN(K226)&gt;0,1,0)+IF(LEN(M226)&gt;0,1,0)+IF(LEN(O226)&gt;0,1,0)+IF(LEN(P226)&gt;0,1,0)+IF(LEN(Q226)&gt;0,1,0)+IF(LEN(S226)&gt;0,1,0)+IF(LEN(AC226)&gt;0,1,0)+IF(LEN(AV226)&gt;0,1,0)+IF(LEN(AW226)&gt;0,1,0)+IF(LEN(AG226)&gt;0,1,0)+IF(LEN(AI226)&gt;0,1,0)+IF(LEN(AJ226)&gt;0,1,0)+IF(LEN(AK226)&gt;0,1,0)+IF(LEN(AL226)&gt;0,1,0)+IF(LEN(AU226)&gt;0,1,0)+IF(LEN(BH226)&gt;0,1,0)+IF(LEN(BU226)&gt;0,1,0))/23,2))</f>
        <v/>
      </c>
      <c r="CA226" s="10" t="str">
        <f aca="false">IF(D226="","",IF(AND(AJ226="Approved",ISERROR(SEARCH("FAIL",BE226))),"Y","N"))</f>
        <v/>
      </c>
      <c r="CB226" s="10" t="str">
        <f aca="false">IF(D226="","",D226&amp;"|"&amp;G226&amp;"|"&amp;H226&amp;"|"&amp;M226&amp;"|"&amp;CA226)</f>
        <v/>
      </c>
    </row>
    <row r="227" customFormat="false" ht="15" hidden="false" customHeight="false" outlineLevel="0" collapsed="false">
      <c r="A227" s="10" t="str">
        <f aca="false">IF(D227="","","DRN-"&amp;IFERROR(VLOOKUP(D227,Lists!$A$4:$B$27,2,0),"??")&amp;"-"&amp;TEXT(G227,"0000")&amp;"x"&amp;TEXT(H227,"0000")&amp;IF(N(I227)&gt;1,"-"&amp;I227&amp;"C","")&amp;"-"&amp;IFERROR(VLOOKUP(M227,Lists!$J$4:$K$19,2,0),"??")&amp;"-"&amp;AI227)</f>
        <v/>
      </c>
      <c r="B227" s="10" t="str">
        <f aca="false">IF(D227="","",D227&amp;" "&amp;G227&amp;"W x "&amp;H227&amp;"D"&amp;IF(N(I227)&gt;1," ("&amp;I227&amp;" cells)","")&amp;", "&amp;E227&amp;", "&amp;M227&amp;", "&amp;F227)</f>
        <v/>
      </c>
      <c r="C227" s="9"/>
      <c r="D227" s="9"/>
      <c r="E227" s="9"/>
      <c r="F227" s="9"/>
      <c r="G227" s="38"/>
      <c r="H227" s="38"/>
      <c r="I227" s="38"/>
      <c r="J227" s="38"/>
      <c r="K227" s="38"/>
      <c r="L227" s="38"/>
      <c r="M227" s="9"/>
      <c r="N227" s="9"/>
      <c r="O227" s="9"/>
      <c r="P227" s="38"/>
      <c r="Q227" s="9"/>
      <c r="R227" s="9"/>
      <c r="S227" s="9"/>
      <c r="T227" s="9"/>
      <c r="U227" s="9"/>
      <c r="V227" s="9"/>
      <c r="W227" s="9"/>
      <c r="X227" s="9"/>
      <c r="Y227" s="9"/>
      <c r="Z227" s="9"/>
      <c r="AA227" s="9"/>
      <c r="AB227" s="39"/>
      <c r="AC227" s="9"/>
      <c r="AD227" s="38"/>
      <c r="AE227" s="9"/>
      <c r="AF227" s="39"/>
      <c r="AG227" s="9"/>
      <c r="AH227" s="9"/>
      <c r="AI227" s="9"/>
      <c r="AJ227" s="9"/>
      <c r="AK227" s="9"/>
      <c r="AL227" s="9"/>
      <c r="AM227" s="9"/>
      <c r="AN227" s="10" t="str">
        <f aca="false">IF(A227="","",SG_Criteria!$B$6&amp;SG_Criteria!$B$7&amp;"\"&amp;A227&amp;"\")</f>
        <v/>
      </c>
      <c r="AO227" s="10" t="str">
        <f aca="false">IF(A227="","",A227&amp;"_CAD.dwg")</f>
        <v/>
      </c>
      <c r="AP227" s="10" t="str">
        <f aca="false">IF(A227="","",A227&amp;"_DWG.pdf")</f>
        <v/>
      </c>
      <c r="AQ227" s="10" t="str">
        <f aca="false">IF(A227="","",IF(AM227="Y",A227&amp;"_STAAD.std","n/a"))</f>
        <v/>
      </c>
      <c r="AR227" s="10" t="str">
        <f aca="false">IF(A227="","",A227&amp;"_CALC.xlsx")</f>
        <v/>
      </c>
      <c r="AS227" s="10" t="str">
        <f aca="false">IF(A227="","",A227&amp;"_CALC.pdf")</f>
        <v/>
      </c>
      <c r="AT227" s="9"/>
      <c r="AU227" s="9"/>
      <c r="AV227" s="39"/>
      <c r="AW227" s="39"/>
      <c r="AX227" s="39"/>
      <c r="AY227" s="39"/>
      <c r="AZ227" s="39"/>
      <c r="BA227" s="12" t="str">
        <f aca="false">IF(A227="","",IF(COUNTIF(Rebar_Schedule!$A$5:$A$2004,A227)=0,"",ROUND(SUMIF(Rebar_Schedule!$A$5:$A$2004,A227,Rebar_Schedule!$K$5:$K$2004),1)))</f>
        <v/>
      </c>
      <c r="BB227" s="33" t="str">
        <f aca="false">IF(A227="","",IF(BA227="","No rebar schedule yet",IF(ABS(BA227-N(AW227))/MAX(N(AW227),1)&gt;SG_Criteria!$B$55,"NOTE: register rebar differs from schedule by "&amp;TEXT(ABS(BA227-N(AW227))/MAX(N(AW227),1),"0%"),"OK")))</f>
        <v/>
      </c>
      <c r="BC227" s="34" t="str">
        <f aca="false">IF(OR(D227="",G227="",H227="",D227="Sump",D227="Drop Inlet Chamber",D227="Silt Trap",D227="Pipe Culvert",D227="Subsoil Drain"),"",ROUND(MAX(1,N(I227))*(1/SG_Criteria!$B$26)*((G227/1000)*(H227/1000*(1-SG_Criteria!$B$25)))*(((G227/1000)*(H227/1000*(1-SG_Criteria!$B$25)))/((G227/1000)+2*(H227/1000*(1-SG_Criteria!$B$25))))^(2/3)*(1/Design_Selector!$B$11)^0.5,3))</f>
        <v/>
      </c>
      <c r="BD227" s="11" t="str">
        <f aca="false">IF(BC227="","",ROUND(BC227/(MAX(1,N(I227))*G227/1000*(H227/1000*(1-SG_Criteria!$B$25))),2))</f>
        <v/>
      </c>
      <c r="BE227" s="33" t="str">
        <f aca="false">IF(D227="","",IF(LEN(IF(AND(OR(E227="Roadside drain",E227="Entrance culvert"),OR(G227&lt;SG_Criteria!$B$15,H227&lt;SG_Criteria!$B$16)),"FAIL: below PUB min "&amp;SG_Criteria!$B$15&amp;"x"&amp;SG_Criteria!$B$16&amp;" for roadside drain. ","")&amp;IF(AND(E227="Common drain",G227&lt;SG_Criteria!$B$17),"FAIL: common drain W &lt; "&amp;SG_Criteria!$B$17&amp;" mm. ","")&amp;IF(AND(O227&lt;&gt;"",IFERROR(VALUE(MID(O227,2,2)),0)&lt;SG_Criteria!$B$19),"FAIL: grade below C"&amp;SG_Criteria!$B$19&amp;". ","")&amp;IF(AND(P227&lt;&gt;"",P227&lt;SG_Criteria!$B$20),"FAIL: cover &lt; "&amp;SG_Criteria!$B$20&amp;" mm. ","")&amp;IF(AND(F227="Open",H227&gt;SG_Criteria!$B$18),"NOTE: safety railing required (D &gt; "&amp;SG_Criteria!$B$18&amp;" mm). ","")&amp;IF(AND(E227="Entrance culvert",H227&lt;600),"NOTE: check hinged grating rule for culverts &lt; 600 deep (PUB Add. 3). ",""))=0,"OK",IF(AND(OR(E227="Roadside drain",E227="Entrance culvert"),OR(G227&lt;SG_Criteria!$B$15,H227&lt;SG_Criteria!$B$16)),"FAIL: below PUB min "&amp;SG_Criteria!$B$15&amp;"x"&amp;SG_Criteria!$B$16&amp;" for roadside drain. ","")&amp;IF(AND(E227="Common drain",G227&lt;SG_Criteria!$B$17),"FAIL: common drain W &lt; "&amp;SG_Criteria!$B$17&amp;" mm. ","")&amp;IF(AND(O227&lt;&gt;"",IFERROR(VALUE(MID(O227,2,2)),0)&lt;SG_Criteria!$B$19),"FAIL: grade below C"&amp;SG_Criteria!$B$19&amp;". ","")&amp;IF(AND(P227&lt;&gt;"",P227&lt;SG_Criteria!$B$20),"FAIL: cover &lt; "&amp;SG_Criteria!$B$20&amp;" mm. ","")&amp;IF(AND(F227="Open",H227&gt;SG_Criteria!$B$18),"NOTE: safety railing required (D &gt; "&amp;SG_Criteria!$B$18&amp;" mm). ","")&amp;IF(AND(E227="Entrance culvert",H227&lt;600),"NOTE: check hinged grating rule for culverts &lt; 600 deep (PUB Add. 3). ","")))</f>
        <v/>
      </c>
      <c r="BF227" s="9"/>
      <c r="BG227" s="9"/>
      <c r="BH227" s="9"/>
      <c r="BI227" s="10" t="str">
        <f aca="false">IF(BH227="","",IFERROR(VLOOKUP(BH227,Projects!$A$5:$D$504,2,0),"Ref not in Projects"))</f>
        <v/>
      </c>
      <c r="BJ227" s="10" t="str">
        <f aca="false">IF(BH227="","",IFERROR(VLOOKUP(BH227,Projects!$A$5:$D$504,4,0),"Ref not in Projects"))</f>
        <v/>
      </c>
      <c r="BK227" s="9"/>
      <c r="BL227" s="9"/>
      <c r="BM227" s="9"/>
      <c r="BN227" s="40"/>
      <c r="BO227" s="9"/>
      <c r="BP227" s="40"/>
      <c r="BQ227" s="9"/>
      <c r="BR227" s="40"/>
      <c r="BS227" s="9"/>
      <c r="BT227" s="9"/>
      <c r="BU227" s="9"/>
      <c r="BV227" s="40"/>
      <c r="BW227" s="40"/>
      <c r="BX227" s="36" t="str">
        <f aca="false">IF(BW227="","",EDATE(BW227,SG_Criteria!$B$54*12))</f>
        <v/>
      </c>
      <c r="BY227" s="33" t="str">
        <f aca="true">IF(A227="","",IF(BW227="","NOTE: not reviewed yet",IF(TODAY()&gt;BX227,"NOTE: review overdue","OK")))</f>
        <v/>
      </c>
      <c r="BZ227" s="37" t="str">
        <f aca="false">IF(A227="","",ROUND((IF(LEN(D227)&gt;0,1,0)+IF(LEN(E227)&gt;0,1,0)+IF(LEN(F227)&gt;0,1,0)+IF(LEN(G227)&gt;0,1,0)+IF(LEN(H227)&gt;0,1,0)+IF(LEN(J227)&gt;0,1,0)+IF(LEN(K227)&gt;0,1,0)+IF(LEN(M227)&gt;0,1,0)+IF(LEN(O227)&gt;0,1,0)+IF(LEN(P227)&gt;0,1,0)+IF(LEN(Q227)&gt;0,1,0)+IF(LEN(S227)&gt;0,1,0)+IF(LEN(AC227)&gt;0,1,0)+IF(LEN(AV227)&gt;0,1,0)+IF(LEN(AW227)&gt;0,1,0)+IF(LEN(AG227)&gt;0,1,0)+IF(LEN(AI227)&gt;0,1,0)+IF(LEN(AJ227)&gt;0,1,0)+IF(LEN(AK227)&gt;0,1,0)+IF(LEN(AL227)&gt;0,1,0)+IF(LEN(AU227)&gt;0,1,0)+IF(LEN(BH227)&gt;0,1,0)+IF(LEN(BU227)&gt;0,1,0))/23,2))</f>
        <v/>
      </c>
      <c r="CA227" s="10" t="str">
        <f aca="false">IF(D227="","",IF(AND(AJ227="Approved",ISERROR(SEARCH("FAIL",BE227))),"Y","N"))</f>
        <v/>
      </c>
      <c r="CB227" s="10" t="str">
        <f aca="false">IF(D227="","",D227&amp;"|"&amp;G227&amp;"|"&amp;H227&amp;"|"&amp;M227&amp;"|"&amp;CA227)</f>
        <v/>
      </c>
    </row>
    <row r="228" customFormat="false" ht="15" hidden="false" customHeight="false" outlineLevel="0" collapsed="false">
      <c r="A228" s="10" t="str">
        <f aca="false">IF(D228="","","DRN-"&amp;IFERROR(VLOOKUP(D228,Lists!$A$4:$B$27,2,0),"??")&amp;"-"&amp;TEXT(G228,"0000")&amp;"x"&amp;TEXT(H228,"0000")&amp;IF(N(I228)&gt;1,"-"&amp;I228&amp;"C","")&amp;"-"&amp;IFERROR(VLOOKUP(M228,Lists!$J$4:$K$19,2,0),"??")&amp;"-"&amp;AI228)</f>
        <v/>
      </c>
      <c r="B228" s="10" t="str">
        <f aca="false">IF(D228="","",D228&amp;" "&amp;G228&amp;"W x "&amp;H228&amp;"D"&amp;IF(N(I228)&gt;1," ("&amp;I228&amp;" cells)","")&amp;", "&amp;E228&amp;", "&amp;M228&amp;", "&amp;F228)</f>
        <v/>
      </c>
      <c r="C228" s="9"/>
      <c r="D228" s="9"/>
      <c r="E228" s="9"/>
      <c r="F228" s="9"/>
      <c r="G228" s="38"/>
      <c r="H228" s="38"/>
      <c r="I228" s="38"/>
      <c r="J228" s="38"/>
      <c r="K228" s="38"/>
      <c r="L228" s="38"/>
      <c r="M228" s="9"/>
      <c r="N228" s="9"/>
      <c r="O228" s="9"/>
      <c r="P228" s="38"/>
      <c r="Q228" s="9"/>
      <c r="R228" s="9"/>
      <c r="S228" s="9"/>
      <c r="T228" s="9"/>
      <c r="U228" s="9"/>
      <c r="V228" s="9"/>
      <c r="W228" s="9"/>
      <c r="X228" s="9"/>
      <c r="Y228" s="9"/>
      <c r="Z228" s="9"/>
      <c r="AA228" s="9"/>
      <c r="AB228" s="39"/>
      <c r="AC228" s="9"/>
      <c r="AD228" s="38"/>
      <c r="AE228" s="9"/>
      <c r="AF228" s="39"/>
      <c r="AG228" s="9"/>
      <c r="AH228" s="9"/>
      <c r="AI228" s="9"/>
      <c r="AJ228" s="9"/>
      <c r="AK228" s="9"/>
      <c r="AL228" s="9"/>
      <c r="AM228" s="9"/>
      <c r="AN228" s="10" t="str">
        <f aca="false">IF(A228="","",SG_Criteria!$B$6&amp;SG_Criteria!$B$7&amp;"\"&amp;A228&amp;"\")</f>
        <v/>
      </c>
      <c r="AO228" s="10" t="str">
        <f aca="false">IF(A228="","",A228&amp;"_CAD.dwg")</f>
        <v/>
      </c>
      <c r="AP228" s="10" t="str">
        <f aca="false">IF(A228="","",A228&amp;"_DWG.pdf")</f>
        <v/>
      </c>
      <c r="AQ228" s="10" t="str">
        <f aca="false">IF(A228="","",IF(AM228="Y",A228&amp;"_STAAD.std","n/a"))</f>
        <v/>
      </c>
      <c r="AR228" s="10" t="str">
        <f aca="false">IF(A228="","",A228&amp;"_CALC.xlsx")</f>
        <v/>
      </c>
      <c r="AS228" s="10" t="str">
        <f aca="false">IF(A228="","",A228&amp;"_CALC.pdf")</f>
        <v/>
      </c>
      <c r="AT228" s="9"/>
      <c r="AU228" s="9"/>
      <c r="AV228" s="39"/>
      <c r="AW228" s="39"/>
      <c r="AX228" s="39"/>
      <c r="AY228" s="39"/>
      <c r="AZ228" s="39"/>
      <c r="BA228" s="12" t="str">
        <f aca="false">IF(A228="","",IF(COUNTIF(Rebar_Schedule!$A$5:$A$2004,A228)=0,"",ROUND(SUMIF(Rebar_Schedule!$A$5:$A$2004,A228,Rebar_Schedule!$K$5:$K$2004),1)))</f>
        <v/>
      </c>
      <c r="BB228" s="33" t="str">
        <f aca="false">IF(A228="","",IF(BA228="","No rebar schedule yet",IF(ABS(BA228-N(AW228))/MAX(N(AW228),1)&gt;SG_Criteria!$B$55,"NOTE: register rebar differs from schedule by "&amp;TEXT(ABS(BA228-N(AW228))/MAX(N(AW228),1),"0%"),"OK")))</f>
        <v/>
      </c>
      <c r="BC228" s="34" t="str">
        <f aca="false">IF(OR(D228="",G228="",H228="",D228="Sump",D228="Drop Inlet Chamber",D228="Silt Trap",D228="Pipe Culvert",D228="Subsoil Drain"),"",ROUND(MAX(1,N(I228))*(1/SG_Criteria!$B$26)*((G228/1000)*(H228/1000*(1-SG_Criteria!$B$25)))*(((G228/1000)*(H228/1000*(1-SG_Criteria!$B$25)))/((G228/1000)+2*(H228/1000*(1-SG_Criteria!$B$25))))^(2/3)*(1/Design_Selector!$B$11)^0.5,3))</f>
        <v/>
      </c>
      <c r="BD228" s="11" t="str">
        <f aca="false">IF(BC228="","",ROUND(BC228/(MAX(1,N(I228))*G228/1000*(H228/1000*(1-SG_Criteria!$B$25))),2))</f>
        <v/>
      </c>
      <c r="BE228" s="33" t="str">
        <f aca="false">IF(D228="","",IF(LEN(IF(AND(OR(E228="Roadside drain",E228="Entrance culvert"),OR(G228&lt;SG_Criteria!$B$15,H228&lt;SG_Criteria!$B$16)),"FAIL: below PUB min "&amp;SG_Criteria!$B$15&amp;"x"&amp;SG_Criteria!$B$16&amp;" for roadside drain. ","")&amp;IF(AND(E228="Common drain",G228&lt;SG_Criteria!$B$17),"FAIL: common drain W &lt; "&amp;SG_Criteria!$B$17&amp;" mm. ","")&amp;IF(AND(O228&lt;&gt;"",IFERROR(VALUE(MID(O228,2,2)),0)&lt;SG_Criteria!$B$19),"FAIL: grade below C"&amp;SG_Criteria!$B$19&amp;". ","")&amp;IF(AND(P228&lt;&gt;"",P228&lt;SG_Criteria!$B$20),"FAIL: cover &lt; "&amp;SG_Criteria!$B$20&amp;" mm. ","")&amp;IF(AND(F228="Open",H228&gt;SG_Criteria!$B$18),"NOTE: safety railing required (D &gt; "&amp;SG_Criteria!$B$18&amp;" mm). ","")&amp;IF(AND(E228="Entrance culvert",H228&lt;600),"NOTE: check hinged grating rule for culverts &lt; 600 deep (PUB Add. 3). ",""))=0,"OK",IF(AND(OR(E228="Roadside drain",E228="Entrance culvert"),OR(G228&lt;SG_Criteria!$B$15,H228&lt;SG_Criteria!$B$16)),"FAIL: below PUB min "&amp;SG_Criteria!$B$15&amp;"x"&amp;SG_Criteria!$B$16&amp;" for roadside drain. ","")&amp;IF(AND(E228="Common drain",G228&lt;SG_Criteria!$B$17),"FAIL: common drain W &lt; "&amp;SG_Criteria!$B$17&amp;" mm. ","")&amp;IF(AND(O228&lt;&gt;"",IFERROR(VALUE(MID(O228,2,2)),0)&lt;SG_Criteria!$B$19),"FAIL: grade below C"&amp;SG_Criteria!$B$19&amp;". ","")&amp;IF(AND(P228&lt;&gt;"",P228&lt;SG_Criteria!$B$20),"FAIL: cover &lt; "&amp;SG_Criteria!$B$20&amp;" mm. ","")&amp;IF(AND(F228="Open",H228&gt;SG_Criteria!$B$18),"NOTE: safety railing required (D &gt; "&amp;SG_Criteria!$B$18&amp;" mm). ","")&amp;IF(AND(E228="Entrance culvert",H228&lt;600),"NOTE: check hinged grating rule for culverts &lt; 600 deep (PUB Add. 3). ","")))</f>
        <v/>
      </c>
      <c r="BF228" s="9"/>
      <c r="BG228" s="9"/>
      <c r="BH228" s="9"/>
      <c r="BI228" s="10" t="str">
        <f aca="false">IF(BH228="","",IFERROR(VLOOKUP(BH228,Projects!$A$5:$D$504,2,0),"Ref not in Projects"))</f>
        <v/>
      </c>
      <c r="BJ228" s="10" t="str">
        <f aca="false">IF(BH228="","",IFERROR(VLOOKUP(BH228,Projects!$A$5:$D$504,4,0),"Ref not in Projects"))</f>
        <v/>
      </c>
      <c r="BK228" s="9"/>
      <c r="BL228" s="9"/>
      <c r="BM228" s="9"/>
      <c r="BN228" s="40"/>
      <c r="BO228" s="9"/>
      <c r="BP228" s="40"/>
      <c r="BQ228" s="9"/>
      <c r="BR228" s="40"/>
      <c r="BS228" s="9"/>
      <c r="BT228" s="9"/>
      <c r="BU228" s="9"/>
      <c r="BV228" s="40"/>
      <c r="BW228" s="40"/>
      <c r="BX228" s="36" t="str">
        <f aca="false">IF(BW228="","",EDATE(BW228,SG_Criteria!$B$54*12))</f>
        <v/>
      </c>
      <c r="BY228" s="33" t="str">
        <f aca="true">IF(A228="","",IF(BW228="","NOTE: not reviewed yet",IF(TODAY()&gt;BX228,"NOTE: review overdue","OK")))</f>
        <v/>
      </c>
      <c r="BZ228" s="37" t="str">
        <f aca="false">IF(A228="","",ROUND((IF(LEN(D228)&gt;0,1,0)+IF(LEN(E228)&gt;0,1,0)+IF(LEN(F228)&gt;0,1,0)+IF(LEN(G228)&gt;0,1,0)+IF(LEN(H228)&gt;0,1,0)+IF(LEN(J228)&gt;0,1,0)+IF(LEN(K228)&gt;0,1,0)+IF(LEN(M228)&gt;0,1,0)+IF(LEN(O228)&gt;0,1,0)+IF(LEN(P228)&gt;0,1,0)+IF(LEN(Q228)&gt;0,1,0)+IF(LEN(S228)&gt;0,1,0)+IF(LEN(AC228)&gt;0,1,0)+IF(LEN(AV228)&gt;0,1,0)+IF(LEN(AW228)&gt;0,1,0)+IF(LEN(AG228)&gt;0,1,0)+IF(LEN(AI228)&gt;0,1,0)+IF(LEN(AJ228)&gt;0,1,0)+IF(LEN(AK228)&gt;0,1,0)+IF(LEN(AL228)&gt;0,1,0)+IF(LEN(AU228)&gt;0,1,0)+IF(LEN(BH228)&gt;0,1,0)+IF(LEN(BU228)&gt;0,1,0))/23,2))</f>
        <v/>
      </c>
      <c r="CA228" s="10" t="str">
        <f aca="false">IF(D228="","",IF(AND(AJ228="Approved",ISERROR(SEARCH("FAIL",BE228))),"Y","N"))</f>
        <v/>
      </c>
      <c r="CB228" s="10" t="str">
        <f aca="false">IF(D228="","",D228&amp;"|"&amp;G228&amp;"|"&amp;H228&amp;"|"&amp;M228&amp;"|"&amp;CA228)</f>
        <v/>
      </c>
    </row>
    <row r="229" customFormat="false" ht="15" hidden="false" customHeight="false" outlineLevel="0" collapsed="false">
      <c r="A229" s="10" t="str">
        <f aca="false">IF(D229="","","DRN-"&amp;IFERROR(VLOOKUP(D229,Lists!$A$4:$B$27,2,0),"??")&amp;"-"&amp;TEXT(G229,"0000")&amp;"x"&amp;TEXT(H229,"0000")&amp;IF(N(I229)&gt;1,"-"&amp;I229&amp;"C","")&amp;"-"&amp;IFERROR(VLOOKUP(M229,Lists!$J$4:$K$19,2,0),"??")&amp;"-"&amp;AI229)</f>
        <v/>
      </c>
      <c r="B229" s="10" t="str">
        <f aca="false">IF(D229="","",D229&amp;" "&amp;G229&amp;"W x "&amp;H229&amp;"D"&amp;IF(N(I229)&gt;1," ("&amp;I229&amp;" cells)","")&amp;", "&amp;E229&amp;", "&amp;M229&amp;", "&amp;F229)</f>
        <v/>
      </c>
      <c r="C229" s="9"/>
      <c r="D229" s="9"/>
      <c r="E229" s="9"/>
      <c r="F229" s="9"/>
      <c r="G229" s="38"/>
      <c r="H229" s="38"/>
      <c r="I229" s="38"/>
      <c r="J229" s="38"/>
      <c r="K229" s="38"/>
      <c r="L229" s="38"/>
      <c r="M229" s="9"/>
      <c r="N229" s="9"/>
      <c r="O229" s="9"/>
      <c r="P229" s="38"/>
      <c r="Q229" s="9"/>
      <c r="R229" s="9"/>
      <c r="S229" s="9"/>
      <c r="T229" s="9"/>
      <c r="U229" s="9"/>
      <c r="V229" s="9"/>
      <c r="W229" s="9"/>
      <c r="X229" s="9"/>
      <c r="Y229" s="9"/>
      <c r="Z229" s="9"/>
      <c r="AA229" s="9"/>
      <c r="AB229" s="39"/>
      <c r="AC229" s="9"/>
      <c r="AD229" s="38"/>
      <c r="AE229" s="9"/>
      <c r="AF229" s="39"/>
      <c r="AG229" s="9"/>
      <c r="AH229" s="9"/>
      <c r="AI229" s="9"/>
      <c r="AJ229" s="9"/>
      <c r="AK229" s="9"/>
      <c r="AL229" s="9"/>
      <c r="AM229" s="9"/>
      <c r="AN229" s="10" t="str">
        <f aca="false">IF(A229="","",SG_Criteria!$B$6&amp;SG_Criteria!$B$7&amp;"\"&amp;A229&amp;"\")</f>
        <v/>
      </c>
      <c r="AO229" s="10" t="str">
        <f aca="false">IF(A229="","",A229&amp;"_CAD.dwg")</f>
        <v/>
      </c>
      <c r="AP229" s="10" t="str">
        <f aca="false">IF(A229="","",A229&amp;"_DWG.pdf")</f>
        <v/>
      </c>
      <c r="AQ229" s="10" t="str">
        <f aca="false">IF(A229="","",IF(AM229="Y",A229&amp;"_STAAD.std","n/a"))</f>
        <v/>
      </c>
      <c r="AR229" s="10" t="str">
        <f aca="false">IF(A229="","",A229&amp;"_CALC.xlsx")</f>
        <v/>
      </c>
      <c r="AS229" s="10" t="str">
        <f aca="false">IF(A229="","",A229&amp;"_CALC.pdf")</f>
        <v/>
      </c>
      <c r="AT229" s="9"/>
      <c r="AU229" s="9"/>
      <c r="AV229" s="39"/>
      <c r="AW229" s="39"/>
      <c r="AX229" s="39"/>
      <c r="AY229" s="39"/>
      <c r="AZ229" s="39"/>
      <c r="BA229" s="12" t="str">
        <f aca="false">IF(A229="","",IF(COUNTIF(Rebar_Schedule!$A$5:$A$2004,A229)=0,"",ROUND(SUMIF(Rebar_Schedule!$A$5:$A$2004,A229,Rebar_Schedule!$K$5:$K$2004),1)))</f>
        <v/>
      </c>
      <c r="BB229" s="33" t="str">
        <f aca="false">IF(A229="","",IF(BA229="","No rebar schedule yet",IF(ABS(BA229-N(AW229))/MAX(N(AW229),1)&gt;SG_Criteria!$B$55,"NOTE: register rebar differs from schedule by "&amp;TEXT(ABS(BA229-N(AW229))/MAX(N(AW229),1),"0%"),"OK")))</f>
        <v/>
      </c>
      <c r="BC229" s="34" t="str">
        <f aca="false">IF(OR(D229="",G229="",H229="",D229="Sump",D229="Drop Inlet Chamber",D229="Silt Trap",D229="Pipe Culvert",D229="Subsoil Drain"),"",ROUND(MAX(1,N(I229))*(1/SG_Criteria!$B$26)*((G229/1000)*(H229/1000*(1-SG_Criteria!$B$25)))*(((G229/1000)*(H229/1000*(1-SG_Criteria!$B$25)))/((G229/1000)+2*(H229/1000*(1-SG_Criteria!$B$25))))^(2/3)*(1/Design_Selector!$B$11)^0.5,3))</f>
        <v/>
      </c>
      <c r="BD229" s="11" t="str">
        <f aca="false">IF(BC229="","",ROUND(BC229/(MAX(1,N(I229))*G229/1000*(H229/1000*(1-SG_Criteria!$B$25))),2))</f>
        <v/>
      </c>
      <c r="BE229" s="33" t="str">
        <f aca="false">IF(D229="","",IF(LEN(IF(AND(OR(E229="Roadside drain",E229="Entrance culvert"),OR(G229&lt;SG_Criteria!$B$15,H229&lt;SG_Criteria!$B$16)),"FAIL: below PUB min "&amp;SG_Criteria!$B$15&amp;"x"&amp;SG_Criteria!$B$16&amp;" for roadside drain. ","")&amp;IF(AND(E229="Common drain",G229&lt;SG_Criteria!$B$17),"FAIL: common drain W &lt; "&amp;SG_Criteria!$B$17&amp;" mm. ","")&amp;IF(AND(O229&lt;&gt;"",IFERROR(VALUE(MID(O229,2,2)),0)&lt;SG_Criteria!$B$19),"FAIL: grade below C"&amp;SG_Criteria!$B$19&amp;". ","")&amp;IF(AND(P229&lt;&gt;"",P229&lt;SG_Criteria!$B$20),"FAIL: cover &lt; "&amp;SG_Criteria!$B$20&amp;" mm. ","")&amp;IF(AND(F229="Open",H229&gt;SG_Criteria!$B$18),"NOTE: safety railing required (D &gt; "&amp;SG_Criteria!$B$18&amp;" mm). ","")&amp;IF(AND(E229="Entrance culvert",H229&lt;600),"NOTE: check hinged grating rule for culverts &lt; 600 deep (PUB Add. 3). ",""))=0,"OK",IF(AND(OR(E229="Roadside drain",E229="Entrance culvert"),OR(G229&lt;SG_Criteria!$B$15,H229&lt;SG_Criteria!$B$16)),"FAIL: below PUB min "&amp;SG_Criteria!$B$15&amp;"x"&amp;SG_Criteria!$B$16&amp;" for roadside drain. ","")&amp;IF(AND(E229="Common drain",G229&lt;SG_Criteria!$B$17),"FAIL: common drain W &lt; "&amp;SG_Criteria!$B$17&amp;" mm. ","")&amp;IF(AND(O229&lt;&gt;"",IFERROR(VALUE(MID(O229,2,2)),0)&lt;SG_Criteria!$B$19),"FAIL: grade below C"&amp;SG_Criteria!$B$19&amp;". ","")&amp;IF(AND(P229&lt;&gt;"",P229&lt;SG_Criteria!$B$20),"FAIL: cover &lt; "&amp;SG_Criteria!$B$20&amp;" mm. ","")&amp;IF(AND(F229="Open",H229&gt;SG_Criteria!$B$18),"NOTE: safety railing required (D &gt; "&amp;SG_Criteria!$B$18&amp;" mm). ","")&amp;IF(AND(E229="Entrance culvert",H229&lt;600),"NOTE: check hinged grating rule for culverts &lt; 600 deep (PUB Add. 3). ","")))</f>
        <v/>
      </c>
      <c r="BF229" s="9"/>
      <c r="BG229" s="9"/>
      <c r="BH229" s="9"/>
      <c r="BI229" s="10" t="str">
        <f aca="false">IF(BH229="","",IFERROR(VLOOKUP(BH229,Projects!$A$5:$D$504,2,0),"Ref not in Projects"))</f>
        <v/>
      </c>
      <c r="BJ229" s="10" t="str">
        <f aca="false">IF(BH229="","",IFERROR(VLOOKUP(BH229,Projects!$A$5:$D$504,4,0),"Ref not in Projects"))</f>
        <v/>
      </c>
      <c r="BK229" s="9"/>
      <c r="BL229" s="9"/>
      <c r="BM229" s="9"/>
      <c r="BN229" s="40"/>
      <c r="BO229" s="9"/>
      <c r="BP229" s="40"/>
      <c r="BQ229" s="9"/>
      <c r="BR229" s="40"/>
      <c r="BS229" s="9"/>
      <c r="BT229" s="9"/>
      <c r="BU229" s="9"/>
      <c r="BV229" s="40"/>
      <c r="BW229" s="40"/>
      <c r="BX229" s="36" t="str">
        <f aca="false">IF(BW229="","",EDATE(BW229,SG_Criteria!$B$54*12))</f>
        <v/>
      </c>
      <c r="BY229" s="33" t="str">
        <f aca="true">IF(A229="","",IF(BW229="","NOTE: not reviewed yet",IF(TODAY()&gt;BX229,"NOTE: review overdue","OK")))</f>
        <v/>
      </c>
      <c r="BZ229" s="37" t="str">
        <f aca="false">IF(A229="","",ROUND((IF(LEN(D229)&gt;0,1,0)+IF(LEN(E229)&gt;0,1,0)+IF(LEN(F229)&gt;0,1,0)+IF(LEN(G229)&gt;0,1,0)+IF(LEN(H229)&gt;0,1,0)+IF(LEN(J229)&gt;0,1,0)+IF(LEN(K229)&gt;0,1,0)+IF(LEN(M229)&gt;0,1,0)+IF(LEN(O229)&gt;0,1,0)+IF(LEN(P229)&gt;0,1,0)+IF(LEN(Q229)&gt;0,1,0)+IF(LEN(S229)&gt;0,1,0)+IF(LEN(AC229)&gt;0,1,0)+IF(LEN(AV229)&gt;0,1,0)+IF(LEN(AW229)&gt;0,1,0)+IF(LEN(AG229)&gt;0,1,0)+IF(LEN(AI229)&gt;0,1,0)+IF(LEN(AJ229)&gt;0,1,0)+IF(LEN(AK229)&gt;0,1,0)+IF(LEN(AL229)&gt;0,1,0)+IF(LEN(AU229)&gt;0,1,0)+IF(LEN(BH229)&gt;0,1,0)+IF(LEN(BU229)&gt;0,1,0))/23,2))</f>
        <v/>
      </c>
      <c r="CA229" s="10" t="str">
        <f aca="false">IF(D229="","",IF(AND(AJ229="Approved",ISERROR(SEARCH("FAIL",BE229))),"Y","N"))</f>
        <v/>
      </c>
      <c r="CB229" s="10" t="str">
        <f aca="false">IF(D229="","",D229&amp;"|"&amp;G229&amp;"|"&amp;H229&amp;"|"&amp;M229&amp;"|"&amp;CA229)</f>
        <v/>
      </c>
    </row>
    <row r="230" customFormat="false" ht="15" hidden="false" customHeight="false" outlineLevel="0" collapsed="false">
      <c r="A230" s="10" t="str">
        <f aca="false">IF(D230="","","DRN-"&amp;IFERROR(VLOOKUP(D230,Lists!$A$4:$B$27,2,0),"??")&amp;"-"&amp;TEXT(G230,"0000")&amp;"x"&amp;TEXT(H230,"0000")&amp;IF(N(I230)&gt;1,"-"&amp;I230&amp;"C","")&amp;"-"&amp;IFERROR(VLOOKUP(M230,Lists!$J$4:$K$19,2,0),"??")&amp;"-"&amp;AI230)</f>
        <v/>
      </c>
      <c r="B230" s="10" t="str">
        <f aca="false">IF(D230="","",D230&amp;" "&amp;G230&amp;"W x "&amp;H230&amp;"D"&amp;IF(N(I230)&gt;1," ("&amp;I230&amp;" cells)","")&amp;", "&amp;E230&amp;", "&amp;M230&amp;", "&amp;F230)</f>
        <v/>
      </c>
      <c r="C230" s="9"/>
      <c r="D230" s="9"/>
      <c r="E230" s="9"/>
      <c r="F230" s="9"/>
      <c r="G230" s="38"/>
      <c r="H230" s="38"/>
      <c r="I230" s="38"/>
      <c r="J230" s="38"/>
      <c r="K230" s="38"/>
      <c r="L230" s="38"/>
      <c r="M230" s="9"/>
      <c r="N230" s="9"/>
      <c r="O230" s="9"/>
      <c r="P230" s="38"/>
      <c r="Q230" s="9"/>
      <c r="R230" s="9"/>
      <c r="S230" s="9"/>
      <c r="T230" s="9"/>
      <c r="U230" s="9"/>
      <c r="V230" s="9"/>
      <c r="W230" s="9"/>
      <c r="X230" s="9"/>
      <c r="Y230" s="9"/>
      <c r="Z230" s="9"/>
      <c r="AA230" s="9"/>
      <c r="AB230" s="39"/>
      <c r="AC230" s="9"/>
      <c r="AD230" s="38"/>
      <c r="AE230" s="9"/>
      <c r="AF230" s="39"/>
      <c r="AG230" s="9"/>
      <c r="AH230" s="9"/>
      <c r="AI230" s="9"/>
      <c r="AJ230" s="9"/>
      <c r="AK230" s="9"/>
      <c r="AL230" s="9"/>
      <c r="AM230" s="9"/>
      <c r="AN230" s="10" t="str">
        <f aca="false">IF(A230="","",SG_Criteria!$B$6&amp;SG_Criteria!$B$7&amp;"\"&amp;A230&amp;"\")</f>
        <v/>
      </c>
      <c r="AO230" s="10" t="str">
        <f aca="false">IF(A230="","",A230&amp;"_CAD.dwg")</f>
        <v/>
      </c>
      <c r="AP230" s="10" t="str">
        <f aca="false">IF(A230="","",A230&amp;"_DWG.pdf")</f>
        <v/>
      </c>
      <c r="AQ230" s="10" t="str">
        <f aca="false">IF(A230="","",IF(AM230="Y",A230&amp;"_STAAD.std","n/a"))</f>
        <v/>
      </c>
      <c r="AR230" s="10" t="str">
        <f aca="false">IF(A230="","",A230&amp;"_CALC.xlsx")</f>
        <v/>
      </c>
      <c r="AS230" s="10" t="str">
        <f aca="false">IF(A230="","",A230&amp;"_CALC.pdf")</f>
        <v/>
      </c>
      <c r="AT230" s="9"/>
      <c r="AU230" s="9"/>
      <c r="AV230" s="39"/>
      <c r="AW230" s="39"/>
      <c r="AX230" s="39"/>
      <c r="AY230" s="39"/>
      <c r="AZ230" s="39"/>
      <c r="BA230" s="12" t="str">
        <f aca="false">IF(A230="","",IF(COUNTIF(Rebar_Schedule!$A$5:$A$2004,A230)=0,"",ROUND(SUMIF(Rebar_Schedule!$A$5:$A$2004,A230,Rebar_Schedule!$K$5:$K$2004),1)))</f>
        <v/>
      </c>
      <c r="BB230" s="33" t="str">
        <f aca="false">IF(A230="","",IF(BA230="","No rebar schedule yet",IF(ABS(BA230-N(AW230))/MAX(N(AW230),1)&gt;SG_Criteria!$B$55,"NOTE: register rebar differs from schedule by "&amp;TEXT(ABS(BA230-N(AW230))/MAX(N(AW230),1),"0%"),"OK")))</f>
        <v/>
      </c>
      <c r="BC230" s="34" t="str">
        <f aca="false">IF(OR(D230="",G230="",H230="",D230="Sump",D230="Drop Inlet Chamber",D230="Silt Trap",D230="Pipe Culvert",D230="Subsoil Drain"),"",ROUND(MAX(1,N(I230))*(1/SG_Criteria!$B$26)*((G230/1000)*(H230/1000*(1-SG_Criteria!$B$25)))*(((G230/1000)*(H230/1000*(1-SG_Criteria!$B$25)))/((G230/1000)+2*(H230/1000*(1-SG_Criteria!$B$25))))^(2/3)*(1/Design_Selector!$B$11)^0.5,3))</f>
        <v/>
      </c>
      <c r="BD230" s="11" t="str">
        <f aca="false">IF(BC230="","",ROUND(BC230/(MAX(1,N(I230))*G230/1000*(H230/1000*(1-SG_Criteria!$B$25))),2))</f>
        <v/>
      </c>
      <c r="BE230" s="33" t="str">
        <f aca="false">IF(D230="","",IF(LEN(IF(AND(OR(E230="Roadside drain",E230="Entrance culvert"),OR(G230&lt;SG_Criteria!$B$15,H230&lt;SG_Criteria!$B$16)),"FAIL: below PUB min "&amp;SG_Criteria!$B$15&amp;"x"&amp;SG_Criteria!$B$16&amp;" for roadside drain. ","")&amp;IF(AND(E230="Common drain",G230&lt;SG_Criteria!$B$17),"FAIL: common drain W &lt; "&amp;SG_Criteria!$B$17&amp;" mm. ","")&amp;IF(AND(O230&lt;&gt;"",IFERROR(VALUE(MID(O230,2,2)),0)&lt;SG_Criteria!$B$19),"FAIL: grade below C"&amp;SG_Criteria!$B$19&amp;". ","")&amp;IF(AND(P230&lt;&gt;"",P230&lt;SG_Criteria!$B$20),"FAIL: cover &lt; "&amp;SG_Criteria!$B$20&amp;" mm. ","")&amp;IF(AND(F230="Open",H230&gt;SG_Criteria!$B$18),"NOTE: safety railing required (D &gt; "&amp;SG_Criteria!$B$18&amp;" mm). ","")&amp;IF(AND(E230="Entrance culvert",H230&lt;600),"NOTE: check hinged grating rule for culverts &lt; 600 deep (PUB Add. 3). ",""))=0,"OK",IF(AND(OR(E230="Roadside drain",E230="Entrance culvert"),OR(G230&lt;SG_Criteria!$B$15,H230&lt;SG_Criteria!$B$16)),"FAIL: below PUB min "&amp;SG_Criteria!$B$15&amp;"x"&amp;SG_Criteria!$B$16&amp;" for roadside drain. ","")&amp;IF(AND(E230="Common drain",G230&lt;SG_Criteria!$B$17),"FAIL: common drain W &lt; "&amp;SG_Criteria!$B$17&amp;" mm. ","")&amp;IF(AND(O230&lt;&gt;"",IFERROR(VALUE(MID(O230,2,2)),0)&lt;SG_Criteria!$B$19),"FAIL: grade below C"&amp;SG_Criteria!$B$19&amp;". ","")&amp;IF(AND(P230&lt;&gt;"",P230&lt;SG_Criteria!$B$20),"FAIL: cover &lt; "&amp;SG_Criteria!$B$20&amp;" mm. ","")&amp;IF(AND(F230="Open",H230&gt;SG_Criteria!$B$18),"NOTE: safety railing required (D &gt; "&amp;SG_Criteria!$B$18&amp;" mm). ","")&amp;IF(AND(E230="Entrance culvert",H230&lt;600),"NOTE: check hinged grating rule for culverts &lt; 600 deep (PUB Add. 3). ","")))</f>
        <v/>
      </c>
      <c r="BF230" s="9"/>
      <c r="BG230" s="9"/>
      <c r="BH230" s="9"/>
      <c r="BI230" s="10" t="str">
        <f aca="false">IF(BH230="","",IFERROR(VLOOKUP(BH230,Projects!$A$5:$D$504,2,0),"Ref not in Projects"))</f>
        <v/>
      </c>
      <c r="BJ230" s="10" t="str">
        <f aca="false">IF(BH230="","",IFERROR(VLOOKUP(BH230,Projects!$A$5:$D$504,4,0),"Ref not in Projects"))</f>
        <v/>
      </c>
      <c r="BK230" s="9"/>
      <c r="BL230" s="9"/>
      <c r="BM230" s="9"/>
      <c r="BN230" s="40"/>
      <c r="BO230" s="9"/>
      <c r="BP230" s="40"/>
      <c r="BQ230" s="9"/>
      <c r="BR230" s="40"/>
      <c r="BS230" s="9"/>
      <c r="BT230" s="9"/>
      <c r="BU230" s="9"/>
      <c r="BV230" s="40"/>
      <c r="BW230" s="40"/>
      <c r="BX230" s="36" t="str">
        <f aca="false">IF(BW230="","",EDATE(BW230,SG_Criteria!$B$54*12))</f>
        <v/>
      </c>
      <c r="BY230" s="33" t="str">
        <f aca="true">IF(A230="","",IF(BW230="","NOTE: not reviewed yet",IF(TODAY()&gt;BX230,"NOTE: review overdue","OK")))</f>
        <v/>
      </c>
      <c r="BZ230" s="37" t="str">
        <f aca="false">IF(A230="","",ROUND((IF(LEN(D230)&gt;0,1,0)+IF(LEN(E230)&gt;0,1,0)+IF(LEN(F230)&gt;0,1,0)+IF(LEN(G230)&gt;0,1,0)+IF(LEN(H230)&gt;0,1,0)+IF(LEN(J230)&gt;0,1,0)+IF(LEN(K230)&gt;0,1,0)+IF(LEN(M230)&gt;0,1,0)+IF(LEN(O230)&gt;0,1,0)+IF(LEN(P230)&gt;0,1,0)+IF(LEN(Q230)&gt;0,1,0)+IF(LEN(S230)&gt;0,1,0)+IF(LEN(AC230)&gt;0,1,0)+IF(LEN(AV230)&gt;0,1,0)+IF(LEN(AW230)&gt;0,1,0)+IF(LEN(AG230)&gt;0,1,0)+IF(LEN(AI230)&gt;0,1,0)+IF(LEN(AJ230)&gt;0,1,0)+IF(LEN(AK230)&gt;0,1,0)+IF(LEN(AL230)&gt;0,1,0)+IF(LEN(AU230)&gt;0,1,0)+IF(LEN(BH230)&gt;0,1,0)+IF(LEN(BU230)&gt;0,1,0))/23,2))</f>
        <v/>
      </c>
      <c r="CA230" s="10" t="str">
        <f aca="false">IF(D230="","",IF(AND(AJ230="Approved",ISERROR(SEARCH("FAIL",BE230))),"Y","N"))</f>
        <v/>
      </c>
      <c r="CB230" s="10" t="str">
        <f aca="false">IF(D230="","",D230&amp;"|"&amp;G230&amp;"|"&amp;H230&amp;"|"&amp;M230&amp;"|"&amp;CA230)</f>
        <v/>
      </c>
    </row>
    <row r="231" customFormat="false" ht="15" hidden="false" customHeight="false" outlineLevel="0" collapsed="false">
      <c r="A231" s="10" t="str">
        <f aca="false">IF(D231="","","DRN-"&amp;IFERROR(VLOOKUP(D231,Lists!$A$4:$B$27,2,0),"??")&amp;"-"&amp;TEXT(G231,"0000")&amp;"x"&amp;TEXT(H231,"0000")&amp;IF(N(I231)&gt;1,"-"&amp;I231&amp;"C","")&amp;"-"&amp;IFERROR(VLOOKUP(M231,Lists!$J$4:$K$19,2,0),"??")&amp;"-"&amp;AI231)</f>
        <v/>
      </c>
      <c r="B231" s="10" t="str">
        <f aca="false">IF(D231="","",D231&amp;" "&amp;G231&amp;"W x "&amp;H231&amp;"D"&amp;IF(N(I231)&gt;1," ("&amp;I231&amp;" cells)","")&amp;", "&amp;E231&amp;", "&amp;M231&amp;", "&amp;F231)</f>
        <v/>
      </c>
      <c r="C231" s="9"/>
      <c r="D231" s="9"/>
      <c r="E231" s="9"/>
      <c r="F231" s="9"/>
      <c r="G231" s="38"/>
      <c r="H231" s="38"/>
      <c r="I231" s="38"/>
      <c r="J231" s="38"/>
      <c r="K231" s="38"/>
      <c r="L231" s="38"/>
      <c r="M231" s="9"/>
      <c r="N231" s="9"/>
      <c r="O231" s="9"/>
      <c r="P231" s="38"/>
      <c r="Q231" s="9"/>
      <c r="R231" s="9"/>
      <c r="S231" s="9"/>
      <c r="T231" s="9"/>
      <c r="U231" s="9"/>
      <c r="V231" s="9"/>
      <c r="W231" s="9"/>
      <c r="X231" s="9"/>
      <c r="Y231" s="9"/>
      <c r="Z231" s="9"/>
      <c r="AA231" s="9"/>
      <c r="AB231" s="39"/>
      <c r="AC231" s="9"/>
      <c r="AD231" s="38"/>
      <c r="AE231" s="9"/>
      <c r="AF231" s="39"/>
      <c r="AG231" s="9"/>
      <c r="AH231" s="9"/>
      <c r="AI231" s="9"/>
      <c r="AJ231" s="9"/>
      <c r="AK231" s="9"/>
      <c r="AL231" s="9"/>
      <c r="AM231" s="9"/>
      <c r="AN231" s="10" t="str">
        <f aca="false">IF(A231="","",SG_Criteria!$B$6&amp;SG_Criteria!$B$7&amp;"\"&amp;A231&amp;"\")</f>
        <v/>
      </c>
      <c r="AO231" s="10" t="str">
        <f aca="false">IF(A231="","",A231&amp;"_CAD.dwg")</f>
        <v/>
      </c>
      <c r="AP231" s="10" t="str">
        <f aca="false">IF(A231="","",A231&amp;"_DWG.pdf")</f>
        <v/>
      </c>
      <c r="AQ231" s="10" t="str">
        <f aca="false">IF(A231="","",IF(AM231="Y",A231&amp;"_STAAD.std","n/a"))</f>
        <v/>
      </c>
      <c r="AR231" s="10" t="str">
        <f aca="false">IF(A231="","",A231&amp;"_CALC.xlsx")</f>
        <v/>
      </c>
      <c r="AS231" s="10" t="str">
        <f aca="false">IF(A231="","",A231&amp;"_CALC.pdf")</f>
        <v/>
      </c>
      <c r="AT231" s="9"/>
      <c r="AU231" s="9"/>
      <c r="AV231" s="39"/>
      <c r="AW231" s="39"/>
      <c r="AX231" s="39"/>
      <c r="AY231" s="39"/>
      <c r="AZ231" s="39"/>
      <c r="BA231" s="12" t="str">
        <f aca="false">IF(A231="","",IF(COUNTIF(Rebar_Schedule!$A$5:$A$2004,A231)=0,"",ROUND(SUMIF(Rebar_Schedule!$A$5:$A$2004,A231,Rebar_Schedule!$K$5:$K$2004),1)))</f>
        <v/>
      </c>
      <c r="BB231" s="33" t="str">
        <f aca="false">IF(A231="","",IF(BA231="","No rebar schedule yet",IF(ABS(BA231-N(AW231))/MAX(N(AW231),1)&gt;SG_Criteria!$B$55,"NOTE: register rebar differs from schedule by "&amp;TEXT(ABS(BA231-N(AW231))/MAX(N(AW231),1),"0%"),"OK")))</f>
        <v/>
      </c>
      <c r="BC231" s="34" t="str">
        <f aca="false">IF(OR(D231="",G231="",H231="",D231="Sump",D231="Drop Inlet Chamber",D231="Silt Trap",D231="Pipe Culvert",D231="Subsoil Drain"),"",ROUND(MAX(1,N(I231))*(1/SG_Criteria!$B$26)*((G231/1000)*(H231/1000*(1-SG_Criteria!$B$25)))*(((G231/1000)*(H231/1000*(1-SG_Criteria!$B$25)))/((G231/1000)+2*(H231/1000*(1-SG_Criteria!$B$25))))^(2/3)*(1/Design_Selector!$B$11)^0.5,3))</f>
        <v/>
      </c>
      <c r="BD231" s="11" t="str">
        <f aca="false">IF(BC231="","",ROUND(BC231/(MAX(1,N(I231))*G231/1000*(H231/1000*(1-SG_Criteria!$B$25))),2))</f>
        <v/>
      </c>
      <c r="BE231" s="33" t="str">
        <f aca="false">IF(D231="","",IF(LEN(IF(AND(OR(E231="Roadside drain",E231="Entrance culvert"),OR(G231&lt;SG_Criteria!$B$15,H231&lt;SG_Criteria!$B$16)),"FAIL: below PUB min "&amp;SG_Criteria!$B$15&amp;"x"&amp;SG_Criteria!$B$16&amp;" for roadside drain. ","")&amp;IF(AND(E231="Common drain",G231&lt;SG_Criteria!$B$17),"FAIL: common drain W &lt; "&amp;SG_Criteria!$B$17&amp;" mm. ","")&amp;IF(AND(O231&lt;&gt;"",IFERROR(VALUE(MID(O231,2,2)),0)&lt;SG_Criteria!$B$19),"FAIL: grade below C"&amp;SG_Criteria!$B$19&amp;". ","")&amp;IF(AND(P231&lt;&gt;"",P231&lt;SG_Criteria!$B$20),"FAIL: cover &lt; "&amp;SG_Criteria!$B$20&amp;" mm. ","")&amp;IF(AND(F231="Open",H231&gt;SG_Criteria!$B$18),"NOTE: safety railing required (D &gt; "&amp;SG_Criteria!$B$18&amp;" mm). ","")&amp;IF(AND(E231="Entrance culvert",H231&lt;600),"NOTE: check hinged grating rule for culverts &lt; 600 deep (PUB Add. 3). ",""))=0,"OK",IF(AND(OR(E231="Roadside drain",E231="Entrance culvert"),OR(G231&lt;SG_Criteria!$B$15,H231&lt;SG_Criteria!$B$16)),"FAIL: below PUB min "&amp;SG_Criteria!$B$15&amp;"x"&amp;SG_Criteria!$B$16&amp;" for roadside drain. ","")&amp;IF(AND(E231="Common drain",G231&lt;SG_Criteria!$B$17),"FAIL: common drain W &lt; "&amp;SG_Criteria!$B$17&amp;" mm. ","")&amp;IF(AND(O231&lt;&gt;"",IFERROR(VALUE(MID(O231,2,2)),0)&lt;SG_Criteria!$B$19),"FAIL: grade below C"&amp;SG_Criteria!$B$19&amp;". ","")&amp;IF(AND(P231&lt;&gt;"",P231&lt;SG_Criteria!$B$20),"FAIL: cover &lt; "&amp;SG_Criteria!$B$20&amp;" mm. ","")&amp;IF(AND(F231="Open",H231&gt;SG_Criteria!$B$18),"NOTE: safety railing required (D &gt; "&amp;SG_Criteria!$B$18&amp;" mm). ","")&amp;IF(AND(E231="Entrance culvert",H231&lt;600),"NOTE: check hinged grating rule for culverts &lt; 600 deep (PUB Add. 3). ","")))</f>
        <v/>
      </c>
      <c r="BF231" s="9"/>
      <c r="BG231" s="9"/>
      <c r="BH231" s="9"/>
      <c r="BI231" s="10" t="str">
        <f aca="false">IF(BH231="","",IFERROR(VLOOKUP(BH231,Projects!$A$5:$D$504,2,0),"Ref not in Projects"))</f>
        <v/>
      </c>
      <c r="BJ231" s="10" t="str">
        <f aca="false">IF(BH231="","",IFERROR(VLOOKUP(BH231,Projects!$A$5:$D$504,4,0),"Ref not in Projects"))</f>
        <v/>
      </c>
      <c r="BK231" s="9"/>
      <c r="BL231" s="9"/>
      <c r="BM231" s="9"/>
      <c r="BN231" s="40"/>
      <c r="BO231" s="9"/>
      <c r="BP231" s="40"/>
      <c r="BQ231" s="9"/>
      <c r="BR231" s="40"/>
      <c r="BS231" s="9"/>
      <c r="BT231" s="9"/>
      <c r="BU231" s="9"/>
      <c r="BV231" s="40"/>
      <c r="BW231" s="40"/>
      <c r="BX231" s="36" t="str">
        <f aca="false">IF(BW231="","",EDATE(BW231,SG_Criteria!$B$54*12))</f>
        <v/>
      </c>
      <c r="BY231" s="33" t="str">
        <f aca="true">IF(A231="","",IF(BW231="","NOTE: not reviewed yet",IF(TODAY()&gt;BX231,"NOTE: review overdue","OK")))</f>
        <v/>
      </c>
      <c r="BZ231" s="37" t="str">
        <f aca="false">IF(A231="","",ROUND((IF(LEN(D231)&gt;0,1,0)+IF(LEN(E231)&gt;0,1,0)+IF(LEN(F231)&gt;0,1,0)+IF(LEN(G231)&gt;0,1,0)+IF(LEN(H231)&gt;0,1,0)+IF(LEN(J231)&gt;0,1,0)+IF(LEN(K231)&gt;0,1,0)+IF(LEN(M231)&gt;0,1,0)+IF(LEN(O231)&gt;0,1,0)+IF(LEN(P231)&gt;0,1,0)+IF(LEN(Q231)&gt;0,1,0)+IF(LEN(S231)&gt;0,1,0)+IF(LEN(AC231)&gt;0,1,0)+IF(LEN(AV231)&gt;0,1,0)+IF(LEN(AW231)&gt;0,1,0)+IF(LEN(AG231)&gt;0,1,0)+IF(LEN(AI231)&gt;0,1,0)+IF(LEN(AJ231)&gt;0,1,0)+IF(LEN(AK231)&gt;0,1,0)+IF(LEN(AL231)&gt;0,1,0)+IF(LEN(AU231)&gt;0,1,0)+IF(LEN(BH231)&gt;0,1,0)+IF(LEN(BU231)&gt;0,1,0))/23,2))</f>
        <v/>
      </c>
      <c r="CA231" s="10" t="str">
        <f aca="false">IF(D231="","",IF(AND(AJ231="Approved",ISERROR(SEARCH("FAIL",BE231))),"Y","N"))</f>
        <v/>
      </c>
      <c r="CB231" s="10" t="str">
        <f aca="false">IF(D231="","",D231&amp;"|"&amp;G231&amp;"|"&amp;H231&amp;"|"&amp;M231&amp;"|"&amp;CA231)</f>
        <v/>
      </c>
    </row>
    <row r="232" customFormat="false" ht="15" hidden="false" customHeight="false" outlineLevel="0" collapsed="false">
      <c r="A232" s="10" t="str">
        <f aca="false">IF(D232="","","DRN-"&amp;IFERROR(VLOOKUP(D232,Lists!$A$4:$B$27,2,0),"??")&amp;"-"&amp;TEXT(G232,"0000")&amp;"x"&amp;TEXT(H232,"0000")&amp;IF(N(I232)&gt;1,"-"&amp;I232&amp;"C","")&amp;"-"&amp;IFERROR(VLOOKUP(M232,Lists!$J$4:$K$19,2,0),"??")&amp;"-"&amp;AI232)</f>
        <v/>
      </c>
      <c r="B232" s="10" t="str">
        <f aca="false">IF(D232="","",D232&amp;" "&amp;G232&amp;"W x "&amp;H232&amp;"D"&amp;IF(N(I232)&gt;1," ("&amp;I232&amp;" cells)","")&amp;", "&amp;E232&amp;", "&amp;M232&amp;", "&amp;F232)</f>
        <v/>
      </c>
      <c r="C232" s="9"/>
      <c r="D232" s="9"/>
      <c r="E232" s="9"/>
      <c r="F232" s="9"/>
      <c r="G232" s="38"/>
      <c r="H232" s="38"/>
      <c r="I232" s="38"/>
      <c r="J232" s="38"/>
      <c r="K232" s="38"/>
      <c r="L232" s="38"/>
      <c r="M232" s="9"/>
      <c r="N232" s="9"/>
      <c r="O232" s="9"/>
      <c r="P232" s="38"/>
      <c r="Q232" s="9"/>
      <c r="R232" s="9"/>
      <c r="S232" s="9"/>
      <c r="T232" s="9"/>
      <c r="U232" s="9"/>
      <c r="V232" s="9"/>
      <c r="W232" s="9"/>
      <c r="X232" s="9"/>
      <c r="Y232" s="9"/>
      <c r="Z232" s="9"/>
      <c r="AA232" s="9"/>
      <c r="AB232" s="39"/>
      <c r="AC232" s="9"/>
      <c r="AD232" s="38"/>
      <c r="AE232" s="9"/>
      <c r="AF232" s="39"/>
      <c r="AG232" s="9"/>
      <c r="AH232" s="9"/>
      <c r="AI232" s="9"/>
      <c r="AJ232" s="9"/>
      <c r="AK232" s="9"/>
      <c r="AL232" s="9"/>
      <c r="AM232" s="9"/>
      <c r="AN232" s="10" t="str">
        <f aca="false">IF(A232="","",SG_Criteria!$B$6&amp;SG_Criteria!$B$7&amp;"\"&amp;A232&amp;"\")</f>
        <v/>
      </c>
      <c r="AO232" s="10" t="str">
        <f aca="false">IF(A232="","",A232&amp;"_CAD.dwg")</f>
        <v/>
      </c>
      <c r="AP232" s="10" t="str">
        <f aca="false">IF(A232="","",A232&amp;"_DWG.pdf")</f>
        <v/>
      </c>
      <c r="AQ232" s="10" t="str">
        <f aca="false">IF(A232="","",IF(AM232="Y",A232&amp;"_STAAD.std","n/a"))</f>
        <v/>
      </c>
      <c r="AR232" s="10" t="str">
        <f aca="false">IF(A232="","",A232&amp;"_CALC.xlsx")</f>
        <v/>
      </c>
      <c r="AS232" s="10" t="str">
        <f aca="false">IF(A232="","",A232&amp;"_CALC.pdf")</f>
        <v/>
      </c>
      <c r="AT232" s="9"/>
      <c r="AU232" s="9"/>
      <c r="AV232" s="39"/>
      <c r="AW232" s="39"/>
      <c r="AX232" s="39"/>
      <c r="AY232" s="39"/>
      <c r="AZ232" s="39"/>
      <c r="BA232" s="12" t="str">
        <f aca="false">IF(A232="","",IF(COUNTIF(Rebar_Schedule!$A$5:$A$2004,A232)=0,"",ROUND(SUMIF(Rebar_Schedule!$A$5:$A$2004,A232,Rebar_Schedule!$K$5:$K$2004),1)))</f>
        <v/>
      </c>
      <c r="BB232" s="33" t="str">
        <f aca="false">IF(A232="","",IF(BA232="","No rebar schedule yet",IF(ABS(BA232-N(AW232))/MAX(N(AW232),1)&gt;SG_Criteria!$B$55,"NOTE: register rebar differs from schedule by "&amp;TEXT(ABS(BA232-N(AW232))/MAX(N(AW232),1),"0%"),"OK")))</f>
        <v/>
      </c>
      <c r="BC232" s="34" t="str">
        <f aca="false">IF(OR(D232="",G232="",H232="",D232="Sump",D232="Drop Inlet Chamber",D232="Silt Trap",D232="Pipe Culvert",D232="Subsoil Drain"),"",ROUND(MAX(1,N(I232))*(1/SG_Criteria!$B$26)*((G232/1000)*(H232/1000*(1-SG_Criteria!$B$25)))*(((G232/1000)*(H232/1000*(1-SG_Criteria!$B$25)))/((G232/1000)+2*(H232/1000*(1-SG_Criteria!$B$25))))^(2/3)*(1/Design_Selector!$B$11)^0.5,3))</f>
        <v/>
      </c>
      <c r="BD232" s="11" t="str">
        <f aca="false">IF(BC232="","",ROUND(BC232/(MAX(1,N(I232))*G232/1000*(H232/1000*(1-SG_Criteria!$B$25))),2))</f>
        <v/>
      </c>
      <c r="BE232" s="33" t="str">
        <f aca="false">IF(D232="","",IF(LEN(IF(AND(OR(E232="Roadside drain",E232="Entrance culvert"),OR(G232&lt;SG_Criteria!$B$15,H232&lt;SG_Criteria!$B$16)),"FAIL: below PUB min "&amp;SG_Criteria!$B$15&amp;"x"&amp;SG_Criteria!$B$16&amp;" for roadside drain. ","")&amp;IF(AND(E232="Common drain",G232&lt;SG_Criteria!$B$17),"FAIL: common drain W &lt; "&amp;SG_Criteria!$B$17&amp;" mm. ","")&amp;IF(AND(O232&lt;&gt;"",IFERROR(VALUE(MID(O232,2,2)),0)&lt;SG_Criteria!$B$19),"FAIL: grade below C"&amp;SG_Criteria!$B$19&amp;". ","")&amp;IF(AND(P232&lt;&gt;"",P232&lt;SG_Criteria!$B$20),"FAIL: cover &lt; "&amp;SG_Criteria!$B$20&amp;" mm. ","")&amp;IF(AND(F232="Open",H232&gt;SG_Criteria!$B$18),"NOTE: safety railing required (D &gt; "&amp;SG_Criteria!$B$18&amp;" mm). ","")&amp;IF(AND(E232="Entrance culvert",H232&lt;600),"NOTE: check hinged grating rule for culverts &lt; 600 deep (PUB Add. 3). ",""))=0,"OK",IF(AND(OR(E232="Roadside drain",E232="Entrance culvert"),OR(G232&lt;SG_Criteria!$B$15,H232&lt;SG_Criteria!$B$16)),"FAIL: below PUB min "&amp;SG_Criteria!$B$15&amp;"x"&amp;SG_Criteria!$B$16&amp;" for roadside drain. ","")&amp;IF(AND(E232="Common drain",G232&lt;SG_Criteria!$B$17),"FAIL: common drain W &lt; "&amp;SG_Criteria!$B$17&amp;" mm. ","")&amp;IF(AND(O232&lt;&gt;"",IFERROR(VALUE(MID(O232,2,2)),0)&lt;SG_Criteria!$B$19),"FAIL: grade below C"&amp;SG_Criteria!$B$19&amp;". ","")&amp;IF(AND(P232&lt;&gt;"",P232&lt;SG_Criteria!$B$20),"FAIL: cover &lt; "&amp;SG_Criteria!$B$20&amp;" mm. ","")&amp;IF(AND(F232="Open",H232&gt;SG_Criteria!$B$18),"NOTE: safety railing required (D &gt; "&amp;SG_Criteria!$B$18&amp;" mm). ","")&amp;IF(AND(E232="Entrance culvert",H232&lt;600),"NOTE: check hinged grating rule for culverts &lt; 600 deep (PUB Add. 3). ","")))</f>
        <v/>
      </c>
      <c r="BF232" s="9"/>
      <c r="BG232" s="9"/>
      <c r="BH232" s="9"/>
      <c r="BI232" s="10" t="str">
        <f aca="false">IF(BH232="","",IFERROR(VLOOKUP(BH232,Projects!$A$5:$D$504,2,0),"Ref not in Projects"))</f>
        <v/>
      </c>
      <c r="BJ232" s="10" t="str">
        <f aca="false">IF(BH232="","",IFERROR(VLOOKUP(BH232,Projects!$A$5:$D$504,4,0),"Ref not in Projects"))</f>
        <v/>
      </c>
      <c r="BK232" s="9"/>
      <c r="BL232" s="9"/>
      <c r="BM232" s="9"/>
      <c r="BN232" s="40"/>
      <c r="BO232" s="9"/>
      <c r="BP232" s="40"/>
      <c r="BQ232" s="9"/>
      <c r="BR232" s="40"/>
      <c r="BS232" s="9"/>
      <c r="BT232" s="9"/>
      <c r="BU232" s="9"/>
      <c r="BV232" s="40"/>
      <c r="BW232" s="40"/>
      <c r="BX232" s="36" t="str">
        <f aca="false">IF(BW232="","",EDATE(BW232,SG_Criteria!$B$54*12))</f>
        <v/>
      </c>
      <c r="BY232" s="33" t="str">
        <f aca="true">IF(A232="","",IF(BW232="","NOTE: not reviewed yet",IF(TODAY()&gt;BX232,"NOTE: review overdue","OK")))</f>
        <v/>
      </c>
      <c r="BZ232" s="37" t="str">
        <f aca="false">IF(A232="","",ROUND((IF(LEN(D232)&gt;0,1,0)+IF(LEN(E232)&gt;0,1,0)+IF(LEN(F232)&gt;0,1,0)+IF(LEN(G232)&gt;0,1,0)+IF(LEN(H232)&gt;0,1,0)+IF(LEN(J232)&gt;0,1,0)+IF(LEN(K232)&gt;0,1,0)+IF(LEN(M232)&gt;0,1,0)+IF(LEN(O232)&gt;0,1,0)+IF(LEN(P232)&gt;0,1,0)+IF(LEN(Q232)&gt;0,1,0)+IF(LEN(S232)&gt;0,1,0)+IF(LEN(AC232)&gt;0,1,0)+IF(LEN(AV232)&gt;0,1,0)+IF(LEN(AW232)&gt;0,1,0)+IF(LEN(AG232)&gt;0,1,0)+IF(LEN(AI232)&gt;0,1,0)+IF(LEN(AJ232)&gt;0,1,0)+IF(LEN(AK232)&gt;0,1,0)+IF(LEN(AL232)&gt;0,1,0)+IF(LEN(AU232)&gt;0,1,0)+IF(LEN(BH232)&gt;0,1,0)+IF(LEN(BU232)&gt;0,1,0))/23,2))</f>
        <v/>
      </c>
      <c r="CA232" s="10" t="str">
        <f aca="false">IF(D232="","",IF(AND(AJ232="Approved",ISERROR(SEARCH("FAIL",BE232))),"Y","N"))</f>
        <v/>
      </c>
      <c r="CB232" s="10" t="str">
        <f aca="false">IF(D232="","",D232&amp;"|"&amp;G232&amp;"|"&amp;H232&amp;"|"&amp;M232&amp;"|"&amp;CA232)</f>
        <v/>
      </c>
    </row>
    <row r="233" customFormat="false" ht="15" hidden="false" customHeight="false" outlineLevel="0" collapsed="false">
      <c r="A233" s="10" t="str">
        <f aca="false">IF(D233="","","DRN-"&amp;IFERROR(VLOOKUP(D233,Lists!$A$4:$B$27,2,0),"??")&amp;"-"&amp;TEXT(G233,"0000")&amp;"x"&amp;TEXT(H233,"0000")&amp;IF(N(I233)&gt;1,"-"&amp;I233&amp;"C","")&amp;"-"&amp;IFERROR(VLOOKUP(M233,Lists!$J$4:$K$19,2,0),"??")&amp;"-"&amp;AI233)</f>
        <v/>
      </c>
      <c r="B233" s="10" t="str">
        <f aca="false">IF(D233="","",D233&amp;" "&amp;G233&amp;"W x "&amp;H233&amp;"D"&amp;IF(N(I233)&gt;1," ("&amp;I233&amp;" cells)","")&amp;", "&amp;E233&amp;", "&amp;M233&amp;", "&amp;F233)</f>
        <v/>
      </c>
      <c r="C233" s="9"/>
      <c r="D233" s="9"/>
      <c r="E233" s="9"/>
      <c r="F233" s="9"/>
      <c r="G233" s="38"/>
      <c r="H233" s="38"/>
      <c r="I233" s="38"/>
      <c r="J233" s="38"/>
      <c r="K233" s="38"/>
      <c r="L233" s="38"/>
      <c r="M233" s="9"/>
      <c r="N233" s="9"/>
      <c r="O233" s="9"/>
      <c r="P233" s="38"/>
      <c r="Q233" s="9"/>
      <c r="R233" s="9"/>
      <c r="S233" s="9"/>
      <c r="T233" s="9"/>
      <c r="U233" s="9"/>
      <c r="V233" s="9"/>
      <c r="W233" s="9"/>
      <c r="X233" s="9"/>
      <c r="Y233" s="9"/>
      <c r="Z233" s="9"/>
      <c r="AA233" s="9"/>
      <c r="AB233" s="39"/>
      <c r="AC233" s="9"/>
      <c r="AD233" s="38"/>
      <c r="AE233" s="9"/>
      <c r="AF233" s="39"/>
      <c r="AG233" s="9"/>
      <c r="AH233" s="9"/>
      <c r="AI233" s="9"/>
      <c r="AJ233" s="9"/>
      <c r="AK233" s="9"/>
      <c r="AL233" s="9"/>
      <c r="AM233" s="9"/>
      <c r="AN233" s="10" t="str">
        <f aca="false">IF(A233="","",SG_Criteria!$B$6&amp;SG_Criteria!$B$7&amp;"\"&amp;A233&amp;"\")</f>
        <v/>
      </c>
      <c r="AO233" s="10" t="str">
        <f aca="false">IF(A233="","",A233&amp;"_CAD.dwg")</f>
        <v/>
      </c>
      <c r="AP233" s="10" t="str">
        <f aca="false">IF(A233="","",A233&amp;"_DWG.pdf")</f>
        <v/>
      </c>
      <c r="AQ233" s="10" t="str">
        <f aca="false">IF(A233="","",IF(AM233="Y",A233&amp;"_STAAD.std","n/a"))</f>
        <v/>
      </c>
      <c r="AR233" s="10" t="str">
        <f aca="false">IF(A233="","",A233&amp;"_CALC.xlsx")</f>
        <v/>
      </c>
      <c r="AS233" s="10" t="str">
        <f aca="false">IF(A233="","",A233&amp;"_CALC.pdf")</f>
        <v/>
      </c>
      <c r="AT233" s="9"/>
      <c r="AU233" s="9"/>
      <c r="AV233" s="39"/>
      <c r="AW233" s="39"/>
      <c r="AX233" s="39"/>
      <c r="AY233" s="39"/>
      <c r="AZ233" s="39"/>
      <c r="BA233" s="12" t="str">
        <f aca="false">IF(A233="","",IF(COUNTIF(Rebar_Schedule!$A$5:$A$2004,A233)=0,"",ROUND(SUMIF(Rebar_Schedule!$A$5:$A$2004,A233,Rebar_Schedule!$K$5:$K$2004),1)))</f>
        <v/>
      </c>
      <c r="BB233" s="33" t="str">
        <f aca="false">IF(A233="","",IF(BA233="","No rebar schedule yet",IF(ABS(BA233-N(AW233))/MAX(N(AW233),1)&gt;SG_Criteria!$B$55,"NOTE: register rebar differs from schedule by "&amp;TEXT(ABS(BA233-N(AW233))/MAX(N(AW233),1),"0%"),"OK")))</f>
        <v/>
      </c>
      <c r="BC233" s="34" t="str">
        <f aca="false">IF(OR(D233="",G233="",H233="",D233="Sump",D233="Drop Inlet Chamber",D233="Silt Trap",D233="Pipe Culvert",D233="Subsoil Drain"),"",ROUND(MAX(1,N(I233))*(1/SG_Criteria!$B$26)*((G233/1000)*(H233/1000*(1-SG_Criteria!$B$25)))*(((G233/1000)*(H233/1000*(1-SG_Criteria!$B$25)))/((G233/1000)+2*(H233/1000*(1-SG_Criteria!$B$25))))^(2/3)*(1/Design_Selector!$B$11)^0.5,3))</f>
        <v/>
      </c>
      <c r="BD233" s="11" t="str">
        <f aca="false">IF(BC233="","",ROUND(BC233/(MAX(1,N(I233))*G233/1000*(H233/1000*(1-SG_Criteria!$B$25))),2))</f>
        <v/>
      </c>
      <c r="BE233" s="33" t="str">
        <f aca="false">IF(D233="","",IF(LEN(IF(AND(OR(E233="Roadside drain",E233="Entrance culvert"),OR(G233&lt;SG_Criteria!$B$15,H233&lt;SG_Criteria!$B$16)),"FAIL: below PUB min "&amp;SG_Criteria!$B$15&amp;"x"&amp;SG_Criteria!$B$16&amp;" for roadside drain. ","")&amp;IF(AND(E233="Common drain",G233&lt;SG_Criteria!$B$17),"FAIL: common drain W &lt; "&amp;SG_Criteria!$B$17&amp;" mm. ","")&amp;IF(AND(O233&lt;&gt;"",IFERROR(VALUE(MID(O233,2,2)),0)&lt;SG_Criteria!$B$19),"FAIL: grade below C"&amp;SG_Criteria!$B$19&amp;". ","")&amp;IF(AND(P233&lt;&gt;"",P233&lt;SG_Criteria!$B$20),"FAIL: cover &lt; "&amp;SG_Criteria!$B$20&amp;" mm. ","")&amp;IF(AND(F233="Open",H233&gt;SG_Criteria!$B$18),"NOTE: safety railing required (D &gt; "&amp;SG_Criteria!$B$18&amp;" mm). ","")&amp;IF(AND(E233="Entrance culvert",H233&lt;600),"NOTE: check hinged grating rule for culverts &lt; 600 deep (PUB Add. 3). ",""))=0,"OK",IF(AND(OR(E233="Roadside drain",E233="Entrance culvert"),OR(G233&lt;SG_Criteria!$B$15,H233&lt;SG_Criteria!$B$16)),"FAIL: below PUB min "&amp;SG_Criteria!$B$15&amp;"x"&amp;SG_Criteria!$B$16&amp;" for roadside drain. ","")&amp;IF(AND(E233="Common drain",G233&lt;SG_Criteria!$B$17),"FAIL: common drain W &lt; "&amp;SG_Criteria!$B$17&amp;" mm. ","")&amp;IF(AND(O233&lt;&gt;"",IFERROR(VALUE(MID(O233,2,2)),0)&lt;SG_Criteria!$B$19),"FAIL: grade below C"&amp;SG_Criteria!$B$19&amp;". ","")&amp;IF(AND(P233&lt;&gt;"",P233&lt;SG_Criteria!$B$20),"FAIL: cover &lt; "&amp;SG_Criteria!$B$20&amp;" mm. ","")&amp;IF(AND(F233="Open",H233&gt;SG_Criteria!$B$18),"NOTE: safety railing required (D &gt; "&amp;SG_Criteria!$B$18&amp;" mm). ","")&amp;IF(AND(E233="Entrance culvert",H233&lt;600),"NOTE: check hinged grating rule for culverts &lt; 600 deep (PUB Add. 3). ","")))</f>
        <v/>
      </c>
      <c r="BF233" s="9"/>
      <c r="BG233" s="9"/>
      <c r="BH233" s="9"/>
      <c r="BI233" s="10" t="str">
        <f aca="false">IF(BH233="","",IFERROR(VLOOKUP(BH233,Projects!$A$5:$D$504,2,0),"Ref not in Projects"))</f>
        <v/>
      </c>
      <c r="BJ233" s="10" t="str">
        <f aca="false">IF(BH233="","",IFERROR(VLOOKUP(BH233,Projects!$A$5:$D$504,4,0),"Ref not in Projects"))</f>
        <v/>
      </c>
      <c r="BK233" s="9"/>
      <c r="BL233" s="9"/>
      <c r="BM233" s="9"/>
      <c r="BN233" s="40"/>
      <c r="BO233" s="9"/>
      <c r="BP233" s="40"/>
      <c r="BQ233" s="9"/>
      <c r="BR233" s="40"/>
      <c r="BS233" s="9"/>
      <c r="BT233" s="9"/>
      <c r="BU233" s="9"/>
      <c r="BV233" s="40"/>
      <c r="BW233" s="40"/>
      <c r="BX233" s="36" t="str">
        <f aca="false">IF(BW233="","",EDATE(BW233,SG_Criteria!$B$54*12))</f>
        <v/>
      </c>
      <c r="BY233" s="33" t="str">
        <f aca="true">IF(A233="","",IF(BW233="","NOTE: not reviewed yet",IF(TODAY()&gt;BX233,"NOTE: review overdue","OK")))</f>
        <v/>
      </c>
      <c r="BZ233" s="37" t="str">
        <f aca="false">IF(A233="","",ROUND((IF(LEN(D233)&gt;0,1,0)+IF(LEN(E233)&gt;0,1,0)+IF(LEN(F233)&gt;0,1,0)+IF(LEN(G233)&gt;0,1,0)+IF(LEN(H233)&gt;0,1,0)+IF(LEN(J233)&gt;0,1,0)+IF(LEN(K233)&gt;0,1,0)+IF(LEN(M233)&gt;0,1,0)+IF(LEN(O233)&gt;0,1,0)+IF(LEN(P233)&gt;0,1,0)+IF(LEN(Q233)&gt;0,1,0)+IF(LEN(S233)&gt;0,1,0)+IF(LEN(AC233)&gt;0,1,0)+IF(LEN(AV233)&gt;0,1,0)+IF(LEN(AW233)&gt;0,1,0)+IF(LEN(AG233)&gt;0,1,0)+IF(LEN(AI233)&gt;0,1,0)+IF(LEN(AJ233)&gt;0,1,0)+IF(LEN(AK233)&gt;0,1,0)+IF(LEN(AL233)&gt;0,1,0)+IF(LEN(AU233)&gt;0,1,0)+IF(LEN(BH233)&gt;0,1,0)+IF(LEN(BU233)&gt;0,1,0))/23,2))</f>
        <v/>
      </c>
      <c r="CA233" s="10" t="str">
        <f aca="false">IF(D233="","",IF(AND(AJ233="Approved",ISERROR(SEARCH("FAIL",BE233))),"Y","N"))</f>
        <v/>
      </c>
      <c r="CB233" s="10" t="str">
        <f aca="false">IF(D233="","",D233&amp;"|"&amp;G233&amp;"|"&amp;H233&amp;"|"&amp;M233&amp;"|"&amp;CA233)</f>
        <v/>
      </c>
    </row>
    <row r="234" customFormat="false" ht="15" hidden="false" customHeight="false" outlineLevel="0" collapsed="false">
      <c r="A234" s="10" t="str">
        <f aca="false">IF(D234="","","DRN-"&amp;IFERROR(VLOOKUP(D234,Lists!$A$4:$B$27,2,0),"??")&amp;"-"&amp;TEXT(G234,"0000")&amp;"x"&amp;TEXT(H234,"0000")&amp;IF(N(I234)&gt;1,"-"&amp;I234&amp;"C","")&amp;"-"&amp;IFERROR(VLOOKUP(M234,Lists!$J$4:$K$19,2,0),"??")&amp;"-"&amp;AI234)</f>
        <v/>
      </c>
      <c r="B234" s="10" t="str">
        <f aca="false">IF(D234="","",D234&amp;" "&amp;G234&amp;"W x "&amp;H234&amp;"D"&amp;IF(N(I234)&gt;1," ("&amp;I234&amp;" cells)","")&amp;", "&amp;E234&amp;", "&amp;M234&amp;", "&amp;F234)</f>
        <v/>
      </c>
      <c r="C234" s="9"/>
      <c r="D234" s="9"/>
      <c r="E234" s="9"/>
      <c r="F234" s="9"/>
      <c r="G234" s="38"/>
      <c r="H234" s="38"/>
      <c r="I234" s="38"/>
      <c r="J234" s="38"/>
      <c r="K234" s="38"/>
      <c r="L234" s="38"/>
      <c r="M234" s="9"/>
      <c r="N234" s="9"/>
      <c r="O234" s="9"/>
      <c r="P234" s="38"/>
      <c r="Q234" s="9"/>
      <c r="R234" s="9"/>
      <c r="S234" s="9"/>
      <c r="T234" s="9"/>
      <c r="U234" s="9"/>
      <c r="V234" s="9"/>
      <c r="W234" s="9"/>
      <c r="X234" s="9"/>
      <c r="Y234" s="9"/>
      <c r="Z234" s="9"/>
      <c r="AA234" s="9"/>
      <c r="AB234" s="39"/>
      <c r="AC234" s="9"/>
      <c r="AD234" s="38"/>
      <c r="AE234" s="9"/>
      <c r="AF234" s="39"/>
      <c r="AG234" s="9"/>
      <c r="AH234" s="9"/>
      <c r="AI234" s="9"/>
      <c r="AJ234" s="9"/>
      <c r="AK234" s="9"/>
      <c r="AL234" s="9"/>
      <c r="AM234" s="9"/>
      <c r="AN234" s="10" t="str">
        <f aca="false">IF(A234="","",SG_Criteria!$B$6&amp;SG_Criteria!$B$7&amp;"\"&amp;A234&amp;"\")</f>
        <v/>
      </c>
      <c r="AO234" s="10" t="str">
        <f aca="false">IF(A234="","",A234&amp;"_CAD.dwg")</f>
        <v/>
      </c>
      <c r="AP234" s="10" t="str">
        <f aca="false">IF(A234="","",A234&amp;"_DWG.pdf")</f>
        <v/>
      </c>
      <c r="AQ234" s="10" t="str">
        <f aca="false">IF(A234="","",IF(AM234="Y",A234&amp;"_STAAD.std","n/a"))</f>
        <v/>
      </c>
      <c r="AR234" s="10" t="str">
        <f aca="false">IF(A234="","",A234&amp;"_CALC.xlsx")</f>
        <v/>
      </c>
      <c r="AS234" s="10" t="str">
        <f aca="false">IF(A234="","",A234&amp;"_CALC.pdf")</f>
        <v/>
      </c>
      <c r="AT234" s="9"/>
      <c r="AU234" s="9"/>
      <c r="AV234" s="39"/>
      <c r="AW234" s="39"/>
      <c r="AX234" s="39"/>
      <c r="AY234" s="39"/>
      <c r="AZ234" s="39"/>
      <c r="BA234" s="12" t="str">
        <f aca="false">IF(A234="","",IF(COUNTIF(Rebar_Schedule!$A$5:$A$2004,A234)=0,"",ROUND(SUMIF(Rebar_Schedule!$A$5:$A$2004,A234,Rebar_Schedule!$K$5:$K$2004),1)))</f>
        <v/>
      </c>
      <c r="BB234" s="33" t="str">
        <f aca="false">IF(A234="","",IF(BA234="","No rebar schedule yet",IF(ABS(BA234-N(AW234))/MAX(N(AW234),1)&gt;SG_Criteria!$B$55,"NOTE: register rebar differs from schedule by "&amp;TEXT(ABS(BA234-N(AW234))/MAX(N(AW234),1),"0%"),"OK")))</f>
        <v/>
      </c>
      <c r="BC234" s="34" t="str">
        <f aca="false">IF(OR(D234="",G234="",H234="",D234="Sump",D234="Drop Inlet Chamber",D234="Silt Trap",D234="Pipe Culvert",D234="Subsoil Drain"),"",ROUND(MAX(1,N(I234))*(1/SG_Criteria!$B$26)*((G234/1000)*(H234/1000*(1-SG_Criteria!$B$25)))*(((G234/1000)*(H234/1000*(1-SG_Criteria!$B$25)))/((G234/1000)+2*(H234/1000*(1-SG_Criteria!$B$25))))^(2/3)*(1/Design_Selector!$B$11)^0.5,3))</f>
        <v/>
      </c>
      <c r="BD234" s="11" t="str">
        <f aca="false">IF(BC234="","",ROUND(BC234/(MAX(1,N(I234))*G234/1000*(H234/1000*(1-SG_Criteria!$B$25))),2))</f>
        <v/>
      </c>
      <c r="BE234" s="33" t="str">
        <f aca="false">IF(D234="","",IF(LEN(IF(AND(OR(E234="Roadside drain",E234="Entrance culvert"),OR(G234&lt;SG_Criteria!$B$15,H234&lt;SG_Criteria!$B$16)),"FAIL: below PUB min "&amp;SG_Criteria!$B$15&amp;"x"&amp;SG_Criteria!$B$16&amp;" for roadside drain. ","")&amp;IF(AND(E234="Common drain",G234&lt;SG_Criteria!$B$17),"FAIL: common drain W &lt; "&amp;SG_Criteria!$B$17&amp;" mm. ","")&amp;IF(AND(O234&lt;&gt;"",IFERROR(VALUE(MID(O234,2,2)),0)&lt;SG_Criteria!$B$19),"FAIL: grade below C"&amp;SG_Criteria!$B$19&amp;". ","")&amp;IF(AND(P234&lt;&gt;"",P234&lt;SG_Criteria!$B$20),"FAIL: cover &lt; "&amp;SG_Criteria!$B$20&amp;" mm. ","")&amp;IF(AND(F234="Open",H234&gt;SG_Criteria!$B$18),"NOTE: safety railing required (D &gt; "&amp;SG_Criteria!$B$18&amp;" mm). ","")&amp;IF(AND(E234="Entrance culvert",H234&lt;600),"NOTE: check hinged grating rule for culverts &lt; 600 deep (PUB Add. 3). ",""))=0,"OK",IF(AND(OR(E234="Roadside drain",E234="Entrance culvert"),OR(G234&lt;SG_Criteria!$B$15,H234&lt;SG_Criteria!$B$16)),"FAIL: below PUB min "&amp;SG_Criteria!$B$15&amp;"x"&amp;SG_Criteria!$B$16&amp;" for roadside drain. ","")&amp;IF(AND(E234="Common drain",G234&lt;SG_Criteria!$B$17),"FAIL: common drain W &lt; "&amp;SG_Criteria!$B$17&amp;" mm. ","")&amp;IF(AND(O234&lt;&gt;"",IFERROR(VALUE(MID(O234,2,2)),0)&lt;SG_Criteria!$B$19),"FAIL: grade below C"&amp;SG_Criteria!$B$19&amp;". ","")&amp;IF(AND(P234&lt;&gt;"",P234&lt;SG_Criteria!$B$20),"FAIL: cover &lt; "&amp;SG_Criteria!$B$20&amp;" mm. ","")&amp;IF(AND(F234="Open",H234&gt;SG_Criteria!$B$18),"NOTE: safety railing required (D &gt; "&amp;SG_Criteria!$B$18&amp;" mm). ","")&amp;IF(AND(E234="Entrance culvert",H234&lt;600),"NOTE: check hinged grating rule for culverts &lt; 600 deep (PUB Add. 3). ","")))</f>
        <v/>
      </c>
      <c r="BF234" s="9"/>
      <c r="BG234" s="9"/>
      <c r="BH234" s="9"/>
      <c r="BI234" s="10" t="str">
        <f aca="false">IF(BH234="","",IFERROR(VLOOKUP(BH234,Projects!$A$5:$D$504,2,0),"Ref not in Projects"))</f>
        <v/>
      </c>
      <c r="BJ234" s="10" t="str">
        <f aca="false">IF(BH234="","",IFERROR(VLOOKUP(BH234,Projects!$A$5:$D$504,4,0),"Ref not in Projects"))</f>
        <v/>
      </c>
      <c r="BK234" s="9"/>
      <c r="BL234" s="9"/>
      <c r="BM234" s="9"/>
      <c r="BN234" s="40"/>
      <c r="BO234" s="9"/>
      <c r="BP234" s="40"/>
      <c r="BQ234" s="9"/>
      <c r="BR234" s="40"/>
      <c r="BS234" s="9"/>
      <c r="BT234" s="9"/>
      <c r="BU234" s="9"/>
      <c r="BV234" s="40"/>
      <c r="BW234" s="40"/>
      <c r="BX234" s="36" t="str">
        <f aca="false">IF(BW234="","",EDATE(BW234,SG_Criteria!$B$54*12))</f>
        <v/>
      </c>
      <c r="BY234" s="33" t="str">
        <f aca="true">IF(A234="","",IF(BW234="","NOTE: not reviewed yet",IF(TODAY()&gt;BX234,"NOTE: review overdue","OK")))</f>
        <v/>
      </c>
      <c r="BZ234" s="37" t="str">
        <f aca="false">IF(A234="","",ROUND((IF(LEN(D234)&gt;0,1,0)+IF(LEN(E234)&gt;0,1,0)+IF(LEN(F234)&gt;0,1,0)+IF(LEN(G234)&gt;0,1,0)+IF(LEN(H234)&gt;0,1,0)+IF(LEN(J234)&gt;0,1,0)+IF(LEN(K234)&gt;0,1,0)+IF(LEN(M234)&gt;0,1,0)+IF(LEN(O234)&gt;0,1,0)+IF(LEN(P234)&gt;0,1,0)+IF(LEN(Q234)&gt;0,1,0)+IF(LEN(S234)&gt;0,1,0)+IF(LEN(AC234)&gt;0,1,0)+IF(LEN(AV234)&gt;0,1,0)+IF(LEN(AW234)&gt;0,1,0)+IF(LEN(AG234)&gt;0,1,0)+IF(LEN(AI234)&gt;0,1,0)+IF(LEN(AJ234)&gt;0,1,0)+IF(LEN(AK234)&gt;0,1,0)+IF(LEN(AL234)&gt;0,1,0)+IF(LEN(AU234)&gt;0,1,0)+IF(LEN(BH234)&gt;0,1,0)+IF(LEN(BU234)&gt;0,1,0))/23,2))</f>
        <v/>
      </c>
      <c r="CA234" s="10" t="str">
        <f aca="false">IF(D234="","",IF(AND(AJ234="Approved",ISERROR(SEARCH("FAIL",BE234))),"Y","N"))</f>
        <v/>
      </c>
      <c r="CB234" s="10" t="str">
        <f aca="false">IF(D234="","",D234&amp;"|"&amp;G234&amp;"|"&amp;H234&amp;"|"&amp;M234&amp;"|"&amp;CA234)</f>
        <v/>
      </c>
    </row>
    <row r="235" customFormat="false" ht="15" hidden="false" customHeight="false" outlineLevel="0" collapsed="false">
      <c r="A235" s="10" t="str">
        <f aca="false">IF(D235="","","DRN-"&amp;IFERROR(VLOOKUP(D235,Lists!$A$4:$B$27,2,0),"??")&amp;"-"&amp;TEXT(G235,"0000")&amp;"x"&amp;TEXT(H235,"0000")&amp;IF(N(I235)&gt;1,"-"&amp;I235&amp;"C","")&amp;"-"&amp;IFERROR(VLOOKUP(M235,Lists!$J$4:$K$19,2,0),"??")&amp;"-"&amp;AI235)</f>
        <v/>
      </c>
      <c r="B235" s="10" t="str">
        <f aca="false">IF(D235="","",D235&amp;" "&amp;G235&amp;"W x "&amp;H235&amp;"D"&amp;IF(N(I235)&gt;1," ("&amp;I235&amp;" cells)","")&amp;", "&amp;E235&amp;", "&amp;M235&amp;", "&amp;F235)</f>
        <v/>
      </c>
      <c r="C235" s="9"/>
      <c r="D235" s="9"/>
      <c r="E235" s="9"/>
      <c r="F235" s="9"/>
      <c r="G235" s="38"/>
      <c r="H235" s="38"/>
      <c r="I235" s="38"/>
      <c r="J235" s="38"/>
      <c r="K235" s="38"/>
      <c r="L235" s="38"/>
      <c r="M235" s="9"/>
      <c r="N235" s="9"/>
      <c r="O235" s="9"/>
      <c r="P235" s="38"/>
      <c r="Q235" s="9"/>
      <c r="R235" s="9"/>
      <c r="S235" s="9"/>
      <c r="T235" s="9"/>
      <c r="U235" s="9"/>
      <c r="V235" s="9"/>
      <c r="W235" s="9"/>
      <c r="X235" s="9"/>
      <c r="Y235" s="9"/>
      <c r="Z235" s="9"/>
      <c r="AA235" s="9"/>
      <c r="AB235" s="39"/>
      <c r="AC235" s="9"/>
      <c r="AD235" s="38"/>
      <c r="AE235" s="9"/>
      <c r="AF235" s="39"/>
      <c r="AG235" s="9"/>
      <c r="AH235" s="9"/>
      <c r="AI235" s="9"/>
      <c r="AJ235" s="9"/>
      <c r="AK235" s="9"/>
      <c r="AL235" s="9"/>
      <c r="AM235" s="9"/>
      <c r="AN235" s="10" t="str">
        <f aca="false">IF(A235="","",SG_Criteria!$B$6&amp;SG_Criteria!$B$7&amp;"\"&amp;A235&amp;"\")</f>
        <v/>
      </c>
      <c r="AO235" s="10" t="str">
        <f aca="false">IF(A235="","",A235&amp;"_CAD.dwg")</f>
        <v/>
      </c>
      <c r="AP235" s="10" t="str">
        <f aca="false">IF(A235="","",A235&amp;"_DWG.pdf")</f>
        <v/>
      </c>
      <c r="AQ235" s="10" t="str">
        <f aca="false">IF(A235="","",IF(AM235="Y",A235&amp;"_STAAD.std","n/a"))</f>
        <v/>
      </c>
      <c r="AR235" s="10" t="str">
        <f aca="false">IF(A235="","",A235&amp;"_CALC.xlsx")</f>
        <v/>
      </c>
      <c r="AS235" s="10" t="str">
        <f aca="false">IF(A235="","",A235&amp;"_CALC.pdf")</f>
        <v/>
      </c>
      <c r="AT235" s="9"/>
      <c r="AU235" s="9"/>
      <c r="AV235" s="39"/>
      <c r="AW235" s="39"/>
      <c r="AX235" s="39"/>
      <c r="AY235" s="39"/>
      <c r="AZ235" s="39"/>
      <c r="BA235" s="12" t="str">
        <f aca="false">IF(A235="","",IF(COUNTIF(Rebar_Schedule!$A$5:$A$2004,A235)=0,"",ROUND(SUMIF(Rebar_Schedule!$A$5:$A$2004,A235,Rebar_Schedule!$K$5:$K$2004),1)))</f>
        <v/>
      </c>
      <c r="BB235" s="33" t="str">
        <f aca="false">IF(A235="","",IF(BA235="","No rebar schedule yet",IF(ABS(BA235-N(AW235))/MAX(N(AW235),1)&gt;SG_Criteria!$B$55,"NOTE: register rebar differs from schedule by "&amp;TEXT(ABS(BA235-N(AW235))/MAX(N(AW235),1),"0%"),"OK")))</f>
        <v/>
      </c>
      <c r="BC235" s="34" t="str">
        <f aca="false">IF(OR(D235="",G235="",H235="",D235="Sump",D235="Drop Inlet Chamber",D235="Silt Trap",D235="Pipe Culvert",D235="Subsoil Drain"),"",ROUND(MAX(1,N(I235))*(1/SG_Criteria!$B$26)*((G235/1000)*(H235/1000*(1-SG_Criteria!$B$25)))*(((G235/1000)*(H235/1000*(1-SG_Criteria!$B$25)))/((G235/1000)+2*(H235/1000*(1-SG_Criteria!$B$25))))^(2/3)*(1/Design_Selector!$B$11)^0.5,3))</f>
        <v/>
      </c>
      <c r="BD235" s="11" t="str">
        <f aca="false">IF(BC235="","",ROUND(BC235/(MAX(1,N(I235))*G235/1000*(H235/1000*(1-SG_Criteria!$B$25))),2))</f>
        <v/>
      </c>
      <c r="BE235" s="33" t="str">
        <f aca="false">IF(D235="","",IF(LEN(IF(AND(OR(E235="Roadside drain",E235="Entrance culvert"),OR(G235&lt;SG_Criteria!$B$15,H235&lt;SG_Criteria!$B$16)),"FAIL: below PUB min "&amp;SG_Criteria!$B$15&amp;"x"&amp;SG_Criteria!$B$16&amp;" for roadside drain. ","")&amp;IF(AND(E235="Common drain",G235&lt;SG_Criteria!$B$17),"FAIL: common drain W &lt; "&amp;SG_Criteria!$B$17&amp;" mm. ","")&amp;IF(AND(O235&lt;&gt;"",IFERROR(VALUE(MID(O235,2,2)),0)&lt;SG_Criteria!$B$19),"FAIL: grade below C"&amp;SG_Criteria!$B$19&amp;". ","")&amp;IF(AND(P235&lt;&gt;"",P235&lt;SG_Criteria!$B$20),"FAIL: cover &lt; "&amp;SG_Criteria!$B$20&amp;" mm. ","")&amp;IF(AND(F235="Open",H235&gt;SG_Criteria!$B$18),"NOTE: safety railing required (D &gt; "&amp;SG_Criteria!$B$18&amp;" mm). ","")&amp;IF(AND(E235="Entrance culvert",H235&lt;600),"NOTE: check hinged grating rule for culverts &lt; 600 deep (PUB Add. 3). ",""))=0,"OK",IF(AND(OR(E235="Roadside drain",E235="Entrance culvert"),OR(G235&lt;SG_Criteria!$B$15,H235&lt;SG_Criteria!$B$16)),"FAIL: below PUB min "&amp;SG_Criteria!$B$15&amp;"x"&amp;SG_Criteria!$B$16&amp;" for roadside drain. ","")&amp;IF(AND(E235="Common drain",G235&lt;SG_Criteria!$B$17),"FAIL: common drain W &lt; "&amp;SG_Criteria!$B$17&amp;" mm. ","")&amp;IF(AND(O235&lt;&gt;"",IFERROR(VALUE(MID(O235,2,2)),0)&lt;SG_Criteria!$B$19),"FAIL: grade below C"&amp;SG_Criteria!$B$19&amp;". ","")&amp;IF(AND(P235&lt;&gt;"",P235&lt;SG_Criteria!$B$20),"FAIL: cover &lt; "&amp;SG_Criteria!$B$20&amp;" mm. ","")&amp;IF(AND(F235="Open",H235&gt;SG_Criteria!$B$18),"NOTE: safety railing required (D &gt; "&amp;SG_Criteria!$B$18&amp;" mm). ","")&amp;IF(AND(E235="Entrance culvert",H235&lt;600),"NOTE: check hinged grating rule for culverts &lt; 600 deep (PUB Add. 3). ","")))</f>
        <v/>
      </c>
      <c r="BF235" s="9"/>
      <c r="BG235" s="9"/>
      <c r="BH235" s="9"/>
      <c r="BI235" s="10" t="str">
        <f aca="false">IF(BH235="","",IFERROR(VLOOKUP(BH235,Projects!$A$5:$D$504,2,0),"Ref not in Projects"))</f>
        <v/>
      </c>
      <c r="BJ235" s="10" t="str">
        <f aca="false">IF(BH235="","",IFERROR(VLOOKUP(BH235,Projects!$A$5:$D$504,4,0),"Ref not in Projects"))</f>
        <v/>
      </c>
      <c r="BK235" s="9"/>
      <c r="BL235" s="9"/>
      <c r="BM235" s="9"/>
      <c r="BN235" s="40"/>
      <c r="BO235" s="9"/>
      <c r="BP235" s="40"/>
      <c r="BQ235" s="9"/>
      <c r="BR235" s="40"/>
      <c r="BS235" s="9"/>
      <c r="BT235" s="9"/>
      <c r="BU235" s="9"/>
      <c r="BV235" s="40"/>
      <c r="BW235" s="40"/>
      <c r="BX235" s="36" t="str">
        <f aca="false">IF(BW235="","",EDATE(BW235,SG_Criteria!$B$54*12))</f>
        <v/>
      </c>
      <c r="BY235" s="33" t="str">
        <f aca="true">IF(A235="","",IF(BW235="","NOTE: not reviewed yet",IF(TODAY()&gt;BX235,"NOTE: review overdue","OK")))</f>
        <v/>
      </c>
      <c r="BZ235" s="37" t="str">
        <f aca="false">IF(A235="","",ROUND((IF(LEN(D235)&gt;0,1,0)+IF(LEN(E235)&gt;0,1,0)+IF(LEN(F235)&gt;0,1,0)+IF(LEN(G235)&gt;0,1,0)+IF(LEN(H235)&gt;0,1,0)+IF(LEN(J235)&gt;0,1,0)+IF(LEN(K235)&gt;0,1,0)+IF(LEN(M235)&gt;0,1,0)+IF(LEN(O235)&gt;0,1,0)+IF(LEN(P235)&gt;0,1,0)+IF(LEN(Q235)&gt;0,1,0)+IF(LEN(S235)&gt;0,1,0)+IF(LEN(AC235)&gt;0,1,0)+IF(LEN(AV235)&gt;0,1,0)+IF(LEN(AW235)&gt;0,1,0)+IF(LEN(AG235)&gt;0,1,0)+IF(LEN(AI235)&gt;0,1,0)+IF(LEN(AJ235)&gt;0,1,0)+IF(LEN(AK235)&gt;0,1,0)+IF(LEN(AL235)&gt;0,1,0)+IF(LEN(AU235)&gt;0,1,0)+IF(LEN(BH235)&gt;0,1,0)+IF(LEN(BU235)&gt;0,1,0))/23,2))</f>
        <v/>
      </c>
      <c r="CA235" s="10" t="str">
        <f aca="false">IF(D235="","",IF(AND(AJ235="Approved",ISERROR(SEARCH("FAIL",BE235))),"Y","N"))</f>
        <v/>
      </c>
      <c r="CB235" s="10" t="str">
        <f aca="false">IF(D235="","",D235&amp;"|"&amp;G235&amp;"|"&amp;H235&amp;"|"&amp;M235&amp;"|"&amp;CA235)</f>
        <v/>
      </c>
    </row>
    <row r="236" customFormat="false" ht="15" hidden="false" customHeight="false" outlineLevel="0" collapsed="false">
      <c r="A236" s="10" t="str">
        <f aca="false">IF(D236="","","DRN-"&amp;IFERROR(VLOOKUP(D236,Lists!$A$4:$B$27,2,0),"??")&amp;"-"&amp;TEXT(G236,"0000")&amp;"x"&amp;TEXT(H236,"0000")&amp;IF(N(I236)&gt;1,"-"&amp;I236&amp;"C","")&amp;"-"&amp;IFERROR(VLOOKUP(M236,Lists!$J$4:$K$19,2,0),"??")&amp;"-"&amp;AI236)</f>
        <v/>
      </c>
      <c r="B236" s="10" t="str">
        <f aca="false">IF(D236="","",D236&amp;" "&amp;G236&amp;"W x "&amp;H236&amp;"D"&amp;IF(N(I236)&gt;1," ("&amp;I236&amp;" cells)","")&amp;", "&amp;E236&amp;", "&amp;M236&amp;", "&amp;F236)</f>
        <v/>
      </c>
      <c r="C236" s="9"/>
      <c r="D236" s="9"/>
      <c r="E236" s="9"/>
      <c r="F236" s="9"/>
      <c r="G236" s="38"/>
      <c r="H236" s="38"/>
      <c r="I236" s="38"/>
      <c r="J236" s="38"/>
      <c r="K236" s="38"/>
      <c r="L236" s="38"/>
      <c r="M236" s="9"/>
      <c r="N236" s="9"/>
      <c r="O236" s="9"/>
      <c r="P236" s="38"/>
      <c r="Q236" s="9"/>
      <c r="R236" s="9"/>
      <c r="S236" s="9"/>
      <c r="T236" s="9"/>
      <c r="U236" s="9"/>
      <c r="V236" s="9"/>
      <c r="W236" s="9"/>
      <c r="X236" s="9"/>
      <c r="Y236" s="9"/>
      <c r="Z236" s="9"/>
      <c r="AA236" s="9"/>
      <c r="AB236" s="39"/>
      <c r="AC236" s="9"/>
      <c r="AD236" s="38"/>
      <c r="AE236" s="9"/>
      <c r="AF236" s="39"/>
      <c r="AG236" s="9"/>
      <c r="AH236" s="9"/>
      <c r="AI236" s="9"/>
      <c r="AJ236" s="9"/>
      <c r="AK236" s="9"/>
      <c r="AL236" s="9"/>
      <c r="AM236" s="9"/>
      <c r="AN236" s="10" t="str">
        <f aca="false">IF(A236="","",SG_Criteria!$B$6&amp;SG_Criteria!$B$7&amp;"\"&amp;A236&amp;"\")</f>
        <v/>
      </c>
      <c r="AO236" s="10" t="str">
        <f aca="false">IF(A236="","",A236&amp;"_CAD.dwg")</f>
        <v/>
      </c>
      <c r="AP236" s="10" t="str">
        <f aca="false">IF(A236="","",A236&amp;"_DWG.pdf")</f>
        <v/>
      </c>
      <c r="AQ236" s="10" t="str">
        <f aca="false">IF(A236="","",IF(AM236="Y",A236&amp;"_STAAD.std","n/a"))</f>
        <v/>
      </c>
      <c r="AR236" s="10" t="str">
        <f aca="false">IF(A236="","",A236&amp;"_CALC.xlsx")</f>
        <v/>
      </c>
      <c r="AS236" s="10" t="str">
        <f aca="false">IF(A236="","",A236&amp;"_CALC.pdf")</f>
        <v/>
      </c>
      <c r="AT236" s="9"/>
      <c r="AU236" s="9"/>
      <c r="AV236" s="39"/>
      <c r="AW236" s="39"/>
      <c r="AX236" s="39"/>
      <c r="AY236" s="39"/>
      <c r="AZ236" s="39"/>
      <c r="BA236" s="12" t="str">
        <f aca="false">IF(A236="","",IF(COUNTIF(Rebar_Schedule!$A$5:$A$2004,A236)=0,"",ROUND(SUMIF(Rebar_Schedule!$A$5:$A$2004,A236,Rebar_Schedule!$K$5:$K$2004),1)))</f>
        <v/>
      </c>
      <c r="BB236" s="33" t="str">
        <f aca="false">IF(A236="","",IF(BA236="","No rebar schedule yet",IF(ABS(BA236-N(AW236))/MAX(N(AW236),1)&gt;SG_Criteria!$B$55,"NOTE: register rebar differs from schedule by "&amp;TEXT(ABS(BA236-N(AW236))/MAX(N(AW236),1),"0%"),"OK")))</f>
        <v/>
      </c>
      <c r="BC236" s="34" t="str">
        <f aca="false">IF(OR(D236="",G236="",H236="",D236="Sump",D236="Drop Inlet Chamber",D236="Silt Trap",D236="Pipe Culvert",D236="Subsoil Drain"),"",ROUND(MAX(1,N(I236))*(1/SG_Criteria!$B$26)*((G236/1000)*(H236/1000*(1-SG_Criteria!$B$25)))*(((G236/1000)*(H236/1000*(1-SG_Criteria!$B$25)))/((G236/1000)+2*(H236/1000*(1-SG_Criteria!$B$25))))^(2/3)*(1/Design_Selector!$B$11)^0.5,3))</f>
        <v/>
      </c>
      <c r="BD236" s="11" t="str">
        <f aca="false">IF(BC236="","",ROUND(BC236/(MAX(1,N(I236))*G236/1000*(H236/1000*(1-SG_Criteria!$B$25))),2))</f>
        <v/>
      </c>
      <c r="BE236" s="33" t="str">
        <f aca="false">IF(D236="","",IF(LEN(IF(AND(OR(E236="Roadside drain",E236="Entrance culvert"),OR(G236&lt;SG_Criteria!$B$15,H236&lt;SG_Criteria!$B$16)),"FAIL: below PUB min "&amp;SG_Criteria!$B$15&amp;"x"&amp;SG_Criteria!$B$16&amp;" for roadside drain. ","")&amp;IF(AND(E236="Common drain",G236&lt;SG_Criteria!$B$17),"FAIL: common drain W &lt; "&amp;SG_Criteria!$B$17&amp;" mm. ","")&amp;IF(AND(O236&lt;&gt;"",IFERROR(VALUE(MID(O236,2,2)),0)&lt;SG_Criteria!$B$19),"FAIL: grade below C"&amp;SG_Criteria!$B$19&amp;". ","")&amp;IF(AND(P236&lt;&gt;"",P236&lt;SG_Criteria!$B$20),"FAIL: cover &lt; "&amp;SG_Criteria!$B$20&amp;" mm. ","")&amp;IF(AND(F236="Open",H236&gt;SG_Criteria!$B$18),"NOTE: safety railing required (D &gt; "&amp;SG_Criteria!$B$18&amp;" mm). ","")&amp;IF(AND(E236="Entrance culvert",H236&lt;600),"NOTE: check hinged grating rule for culverts &lt; 600 deep (PUB Add. 3). ",""))=0,"OK",IF(AND(OR(E236="Roadside drain",E236="Entrance culvert"),OR(G236&lt;SG_Criteria!$B$15,H236&lt;SG_Criteria!$B$16)),"FAIL: below PUB min "&amp;SG_Criteria!$B$15&amp;"x"&amp;SG_Criteria!$B$16&amp;" for roadside drain. ","")&amp;IF(AND(E236="Common drain",G236&lt;SG_Criteria!$B$17),"FAIL: common drain W &lt; "&amp;SG_Criteria!$B$17&amp;" mm. ","")&amp;IF(AND(O236&lt;&gt;"",IFERROR(VALUE(MID(O236,2,2)),0)&lt;SG_Criteria!$B$19),"FAIL: grade below C"&amp;SG_Criteria!$B$19&amp;". ","")&amp;IF(AND(P236&lt;&gt;"",P236&lt;SG_Criteria!$B$20),"FAIL: cover &lt; "&amp;SG_Criteria!$B$20&amp;" mm. ","")&amp;IF(AND(F236="Open",H236&gt;SG_Criteria!$B$18),"NOTE: safety railing required (D &gt; "&amp;SG_Criteria!$B$18&amp;" mm). ","")&amp;IF(AND(E236="Entrance culvert",H236&lt;600),"NOTE: check hinged grating rule for culverts &lt; 600 deep (PUB Add. 3). ","")))</f>
        <v/>
      </c>
      <c r="BF236" s="9"/>
      <c r="BG236" s="9"/>
      <c r="BH236" s="9"/>
      <c r="BI236" s="10" t="str">
        <f aca="false">IF(BH236="","",IFERROR(VLOOKUP(BH236,Projects!$A$5:$D$504,2,0),"Ref not in Projects"))</f>
        <v/>
      </c>
      <c r="BJ236" s="10" t="str">
        <f aca="false">IF(BH236="","",IFERROR(VLOOKUP(BH236,Projects!$A$5:$D$504,4,0),"Ref not in Projects"))</f>
        <v/>
      </c>
      <c r="BK236" s="9"/>
      <c r="BL236" s="9"/>
      <c r="BM236" s="9"/>
      <c r="BN236" s="40"/>
      <c r="BO236" s="9"/>
      <c r="BP236" s="40"/>
      <c r="BQ236" s="9"/>
      <c r="BR236" s="40"/>
      <c r="BS236" s="9"/>
      <c r="BT236" s="9"/>
      <c r="BU236" s="9"/>
      <c r="BV236" s="40"/>
      <c r="BW236" s="40"/>
      <c r="BX236" s="36" t="str">
        <f aca="false">IF(BW236="","",EDATE(BW236,SG_Criteria!$B$54*12))</f>
        <v/>
      </c>
      <c r="BY236" s="33" t="str">
        <f aca="true">IF(A236="","",IF(BW236="","NOTE: not reviewed yet",IF(TODAY()&gt;BX236,"NOTE: review overdue","OK")))</f>
        <v/>
      </c>
      <c r="BZ236" s="37" t="str">
        <f aca="false">IF(A236="","",ROUND((IF(LEN(D236)&gt;0,1,0)+IF(LEN(E236)&gt;0,1,0)+IF(LEN(F236)&gt;0,1,0)+IF(LEN(G236)&gt;0,1,0)+IF(LEN(H236)&gt;0,1,0)+IF(LEN(J236)&gt;0,1,0)+IF(LEN(K236)&gt;0,1,0)+IF(LEN(M236)&gt;0,1,0)+IF(LEN(O236)&gt;0,1,0)+IF(LEN(P236)&gt;0,1,0)+IF(LEN(Q236)&gt;0,1,0)+IF(LEN(S236)&gt;0,1,0)+IF(LEN(AC236)&gt;0,1,0)+IF(LEN(AV236)&gt;0,1,0)+IF(LEN(AW236)&gt;0,1,0)+IF(LEN(AG236)&gt;0,1,0)+IF(LEN(AI236)&gt;0,1,0)+IF(LEN(AJ236)&gt;0,1,0)+IF(LEN(AK236)&gt;0,1,0)+IF(LEN(AL236)&gt;0,1,0)+IF(LEN(AU236)&gt;0,1,0)+IF(LEN(BH236)&gt;0,1,0)+IF(LEN(BU236)&gt;0,1,0))/23,2))</f>
        <v/>
      </c>
      <c r="CA236" s="10" t="str">
        <f aca="false">IF(D236="","",IF(AND(AJ236="Approved",ISERROR(SEARCH("FAIL",BE236))),"Y","N"))</f>
        <v/>
      </c>
      <c r="CB236" s="10" t="str">
        <f aca="false">IF(D236="","",D236&amp;"|"&amp;G236&amp;"|"&amp;H236&amp;"|"&amp;M236&amp;"|"&amp;CA236)</f>
        <v/>
      </c>
    </row>
    <row r="237" customFormat="false" ht="15" hidden="false" customHeight="false" outlineLevel="0" collapsed="false">
      <c r="A237" s="10" t="str">
        <f aca="false">IF(D237="","","DRN-"&amp;IFERROR(VLOOKUP(D237,Lists!$A$4:$B$27,2,0),"??")&amp;"-"&amp;TEXT(G237,"0000")&amp;"x"&amp;TEXT(H237,"0000")&amp;IF(N(I237)&gt;1,"-"&amp;I237&amp;"C","")&amp;"-"&amp;IFERROR(VLOOKUP(M237,Lists!$J$4:$K$19,2,0),"??")&amp;"-"&amp;AI237)</f>
        <v/>
      </c>
      <c r="B237" s="10" t="str">
        <f aca="false">IF(D237="","",D237&amp;" "&amp;G237&amp;"W x "&amp;H237&amp;"D"&amp;IF(N(I237)&gt;1," ("&amp;I237&amp;" cells)","")&amp;", "&amp;E237&amp;", "&amp;M237&amp;", "&amp;F237)</f>
        <v/>
      </c>
      <c r="C237" s="9"/>
      <c r="D237" s="9"/>
      <c r="E237" s="9"/>
      <c r="F237" s="9"/>
      <c r="G237" s="38"/>
      <c r="H237" s="38"/>
      <c r="I237" s="38"/>
      <c r="J237" s="38"/>
      <c r="K237" s="38"/>
      <c r="L237" s="38"/>
      <c r="M237" s="9"/>
      <c r="N237" s="9"/>
      <c r="O237" s="9"/>
      <c r="P237" s="38"/>
      <c r="Q237" s="9"/>
      <c r="R237" s="9"/>
      <c r="S237" s="9"/>
      <c r="T237" s="9"/>
      <c r="U237" s="9"/>
      <c r="V237" s="9"/>
      <c r="W237" s="9"/>
      <c r="X237" s="9"/>
      <c r="Y237" s="9"/>
      <c r="Z237" s="9"/>
      <c r="AA237" s="9"/>
      <c r="AB237" s="39"/>
      <c r="AC237" s="9"/>
      <c r="AD237" s="38"/>
      <c r="AE237" s="9"/>
      <c r="AF237" s="39"/>
      <c r="AG237" s="9"/>
      <c r="AH237" s="9"/>
      <c r="AI237" s="9"/>
      <c r="AJ237" s="9"/>
      <c r="AK237" s="9"/>
      <c r="AL237" s="9"/>
      <c r="AM237" s="9"/>
      <c r="AN237" s="10" t="str">
        <f aca="false">IF(A237="","",SG_Criteria!$B$6&amp;SG_Criteria!$B$7&amp;"\"&amp;A237&amp;"\")</f>
        <v/>
      </c>
      <c r="AO237" s="10" t="str">
        <f aca="false">IF(A237="","",A237&amp;"_CAD.dwg")</f>
        <v/>
      </c>
      <c r="AP237" s="10" t="str">
        <f aca="false">IF(A237="","",A237&amp;"_DWG.pdf")</f>
        <v/>
      </c>
      <c r="AQ237" s="10" t="str">
        <f aca="false">IF(A237="","",IF(AM237="Y",A237&amp;"_STAAD.std","n/a"))</f>
        <v/>
      </c>
      <c r="AR237" s="10" t="str">
        <f aca="false">IF(A237="","",A237&amp;"_CALC.xlsx")</f>
        <v/>
      </c>
      <c r="AS237" s="10" t="str">
        <f aca="false">IF(A237="","",A237&amp;"_CALC.pdf")</f>
        <v/>
      </c>
      <c r="AT237" s="9"/>
      <c r="AU237" s="9"/>
      <c r="AV237" s="39"/>
      <c r="AW237" s="39"/>
      <c r="AX237" s="39"/>
      <c r="AY237" s="39"/>
      <c r="AZ237" s="39"/>
      <c r="BA237" s="12" t="str">
        <f aca="false">IF(A237="","",IF(COUNTIF(Rebar_Schedule!$A$5:$A$2004,A237)=0,"",ROUND(SUMIF(Rebar_Schedule!$A$5:$A$2004,A237,Rebar_Schedule!$K$5:$K$2004),1)))</f>
        <v/>
      </c>
      <c r="BB237" s="33" t="str">
        <f aca="false">IF(A237="","",IF(BA237="","No rebar schedule yet",IF(ABS(BA237-N(AW237))/MAX(N(AW237),1)&gt;SG_Criteria!$B$55,"NOTE: register rebar differs from schedule by "&amp;TEXT(ABS(BA237-N(AW237))/MAX(N(AW237),1),"0%"),"OK")))</f>
        <v/>
      </c>
      <c r="BC237" s="34" t="str">
        <f aca="false">IF(OR(D237="",G237="",H237="",D237="Sump",D237="Drop Inlet Chamber",D237="Silt Trap",D237="Pipe Culvert",D237="Subsoil Drain"),"",ROUND(MAX(1,N(I237))*(1/SG_Criteria!$B$26)*((G237/1000)*(H237/1000*(1-SG_Criteria!$B$25)))*(((G237/1000)*(H237/1000*(1-SG_Criteria!$B$25)))/((G237/1000)+2*(H237/1000*(1-SG_Criteria!$B$25))))^(2/3)*(1/Design_Selector!$B$11)^0.5,3))</f>
        <v/>
      </c>
      <c r="BD237" s="11" t="str">
        <f aca="false">IF(BC237="","",ROUND(BC237/(MAX(1,N(I237))*G237/1000*(H237/1000*(1-SG_Criteria!$B$25))),2))</f>
        <v/>
      </c>
      <c r="BE237" s="33" t="str">
        <f aca="false">IF(D237="","",IF(LEN(IF(AND(OR(E237="Roadside drain",E237="Entrance culvert"),OR(G237&lt;SG_Criteria!$B$15,H237&lt;SG_Criteria!$B$16)),"FAIL: below PUB min "&amp;SG_Criteria!$B$15&amp;"x"&amp;SG_Criteria!$B$16&amp;" for roadside drain. ","")&amp;IF(AND(E237="Common drain",G237&lt;SG_Criteria!$B$17),"FAIL: common drain W &lt; "&amp;SG_Criteria!$B$17&amp;" mm. ","")&amp;IF(AND(O237&lt;&gt;"",IFERROR(VALUE(MID(O237,2,2)),0)&lt;SG_Criteria!$B$19),"FAIL: grade below C"&amp;SG_Criteria!$B$19&amp;". ","")&amp;IF(AND(P237&lt;&gt;"",P237&lt;SG_Criteria!$B$20),"FAIL: cover &lt; "&amp;SG_Criteria!$B$20&amp;" mm. ","")&amp;IF(AND(F237="Open",H237&gt;SG_Criteria!$B$18),"NOTE: safety railing required (D &gt; "&amp;SG_Criteria!$B$18&amp;" mm). ","")&amp;IF(AND(E237="Entrance culvert",H237&lt;600),"NOTE: check hinged grating rule for culverts &lt; 600 deep (PUB Add. 3). ",""))=0,"OK",IF(AND(OR(E237="Roadside drain",E237="Entrance culvert"),OR(G237&lt;SG_Criteria!$B$15,H237&lt;SG_Criteria!$B$16)),"FAIL: below PUB min "&amp;SG_Criteria!$B$15&amp;"x"&amp;SG_Criteria!$B$16&amp;" for roadside drain. ","")&amp;IF(AND(E237="Common drain",G237&lt;SG_Criteria!$B$17),"FAIL: common drain W &lt; "&amp;SG_Criteria!$B$17&amp;" mm. ","")&amp;IF(AND(O237&lt;&gt;"",IFERROR(VALUE(MID(O237,2,2)),0)&lt;SG_Criteria!$B$19),"FAIL: grade below C"&amp;SG_Criteria!$B$19&amp;". ","")&amp;IF(AND(P237&lt;&gt;"",P237&lt;SG_Criteria!$B$20),"FAIL: cover &lt; "&amp;SG_Criteria!$B$20&amp;" mm. ","")&amp;IF(AND(F237="Open",H237&gt;SG_Criteria!$B$18),"NOTE: safety railing required (D &gt; "&amp;SG_Criteria!$B$18&amp;" mm). ","")&amp;IF(AND(E237="Entrance culvert",H237&lt;600),"NOTE: check hinged grating rule for culverts &lt; 600 deep (PUB Add. 3). ","")))</f>
        <v/>
      </c>
      <c r="BF237" s="9"/>
      <c r="BG237" s="9"/>
      <c r="BH237" s="9"/>
      <c r="BI237" s="10" t="str">
        <f aca="false">IF(BH237="","",IFERROR(VLOOKUP(BH237,Projects!$A$5:$D$504,2,0),"Ref not in Projects"))</f>
        <v/>
      </c>
      <c r="BJ237" s="10" t="str">
        <f aca="false">IF(BH237="","",IFERROR(VLOOKUP(BH237,Projects!$A$5:$D$504,4,0),"Ref not in Projects"))</f>
        <v/>
      </c>
      <c r="BK237" s="9"/>
      <c r="BL237" s="9"/>
      <c r="BM237" s="9"/>
      <c r="BN237" s="40"/>
      <c r="BO237" s="9"/>
      <c r="BP237" s="40"/>
      <c r="BQ237" s="9"/>
      <c r="BR237" s="40"/>
      <c r="BS237" s="9"/>
      <c r="BT237" s="9"/>
      <c r="BU237" s="9"/>
      <c r="BV237" s="40"/>
      <c r="BW237" s="40"/>
      <c r="BX237" s="36" t="str">
        <f aca="false">IF(BW237="","",EDATE(BW237,SG_Criteria!$B$54*12))</f>
        <v/>
      </c>
      <c r="BY237" s="33" t="str">
        <f aca="true">IF(A237="","",IF(BW237="","NOTE: not reviewed yet",IF(TODAY()&gt;BX237,"NOTE: review overdue","OK")))</f>
        <v/>
      </c>
      <c r="BZ237" s="37" t="str">
        <f aca="false">IF(A237="","",ROUND((IF(LEN(D237)&gt;0,1,0)+IF(LEN(E237)&gt;0,1,0)+IF(LEN(F237)&gt;0,1,0)+IF(LEN(G237)&gt;0,1,0)+IF(LEN(H237)&gt;0,1,0)+IF(LEN(J237)&gt;0,1,0)+IF(LEN(K237)&gt;0,1,0)+IF(LEN(M237)&gt;0,1,0)+IF(LEN(O237)&gt;0,1,0)+IF(LEN(P237)&gt;0,1,0)+IF(LEN(Q237)&gt;0,1,0)+IF(LEN(S237)&gt;0,1,0)+IF(LEN(AC237)&gt;0,1,0)+IF(LEN(AV237)&gt;0,1,0)+IF(LEN(AW237)&gt;0,1,0)+IF(LEN(AG237)&gt;0,1,0)+IF(LEN(AI237)&gt;0,1,0)+IF(LEN(AJ237)&gt;0,1,0)+IF(LEN(AK237)&gt;0,1,0)+IF(LEN(AL237)&gt;0,1,0)+IF(LEN(AU237)&gt;0,1,0)+IF(LEN(BH237)&gt;0,1,0)+IF(LEN(BU237)&gt;0,1,0))/23,2))</f>
        <v/>
      </c>
      <c r="CA237" s="10" t="str">
        <f aca="false">IF(D237="","",IF(AND(AJ237="Approved",ISERROR(SEARCH("FAIL",BE237))),"Y","N"))</f>
        <v/>
      </c>
      <c r="CB237" s="10" t="str">
        <f aca="false">IF(D237="","",D237&amp;"|"&amp;G237&amp;"|"&amp;H237&amp;"|"&amp;M237&amp;"|"&amp;CA237)</f>
        <v/>
      </c>
    </row>
    <row r="238" customFormat="false" ht="15" hidden="false" customHeight="false" outlineLevel="0" collapsed="false">
      <c r="A238" s="10" t="str">
        <f aca="false">IF(D238="","","DRN-"&amp;IFERROR(VLOOKUP(D238,Lists!$A$4:$B$27,2,0),"??")&amp;"-"&amp;TEXT(G238,"0000")&amp;"x"&amp;TEXT(H238,"0000")&amp;IF(N(I238)&gt;1,"-"&amp;I238&amp;"C","")&amp;"-"&amp;IFERROR(VLOOKUP(M238,Lists!$J$4:$K$19,2,0),"??")&amp;"-"&amp;AI238)</f>
        <v/>
      </c>
      <c r="B238" s="10" t="str">
        <f aca="false">IF(D238="","",D238&amp;" "&amp;G238&amp;"W x "&amp;H238&amp;"D"&amp;IF(N(I238)&gt;1," ("&amp;I238&amp;" cells)","")&amp;", "&amp;E238&amp;", "&amp;M238&amp;", "&amp;F238)</f>
        <v/>
      </c>
      <c r="C238" s="9"/>
      <c r="D238" s="9"/>
      <c r="E238" s="9"/>
      <c r="F238" s="9"/>
      <c r="G238" s="38"/>
      <c r="H238" s="38"/>
      <c r="I238" s="38"/>
      <c r="J238" s="38"/>
      <c r="K238" s="38"/>
      <c r="L238" s="38"/>
      <c r="M238" s="9"/>
      <c r="N238" s="9"/>
      <c r="O238" s="9"/>
      <c r="P238" s="38"/>
      <c r="Q238" s="9"/>
      <c r="R238" s="9"/>
      <c r="S238" s="9"/>
      <c r="T238" s="9"/>
      <c r="U238" s="9"/>
      <c r="V238" s="9"/>
      <c r="W238" s="9"/>
      <c r="X238" s="9"/>
      <c r="Y238" s="9"/>
      <c r="Z238" s="9"/>
      <c r="AA238" s="9"/>
      <c r="AB238" s="39"/>
      <c r="AC238" s="9"/>
      <c r="AD238" s="38"/>
      <c r="AE238" s="9"/>
      <c r="AF238" s="39"/>
      <c r="AG238" s="9"/>
      <c r="AH238" s="9"/>
      <c r="AI238" s="9"/>
      <c r="AJ238" s="9"/>
      <c r="AK238" s="9"/>
      <c r="AL238" s="9"/>
      <c r="AM238" s="9"/>
      <c r="AN238" s="10" t="str">
        <f aca="false">IF(A238="","",SG_Criteria!$B$6&amp;SG_Criteria!$B$7&amp;"\"&amp;A238&amp;"\")</f>
        <v/>
      </c>
      <c r="AO238" s="10" t="str">
        <f aca="false">IF(A238="","",A238&amp;"_CAD.dwg")</f>
        <v/>
      </c>
      <c r="AP238" s="10" t="str">
        <f aca="false">IF(A238="","",A238&amp;"_DWG.pdf")</f>
        <v/>
      </c>
      <c r="AQ238" s="10" t="str">
        <f aca="false">IF(A238="","",IF(AM238="Y",A238&amp;"_STAAD.std","n/a"))</f>
        <v/>
      </c>
      <c r="AR238" s="10" t="str">
        <f aca="false">IF(A238="","",A238&amp;"_CALC.xlsx")</f>
        <v/>
      </c>
      <c r="AS238" s="10" t="str">
        <f aca="false">IF(A238="","",A238&amp;"_CALC.pdf")</f>
        <v/>
      </c>
      <c r="AT238" s="9"/>
      <c r="AU238" s="9"/>
      <c r="AV238" s="39"/>
      <c r="AW238" s="39"/>
      <c r="AX238" s="39"/>
      <c r="AY238" s="39"/>
      <c r="AZ238" s="39"/>
      <c r="BA238" s="12" t="str">
        <f aca="false">IF(A238="","",IF(COUNTIF(Rebar_Schedule!$A$5:$A$2004,A238)=0,"",ROUND(SUMIF(Rebar_Schedule!$A$5:$A$2004,A238,Rebar_Schedule!$K$5:$K$2004),1)))</f>
        <v/>
      </c>
      <c r="BB238" s="33" t="str">
        <f aca="false">IF(A238="","",IF(BA238="","No rebar schedule yet",IF(ABS(BA238-N(AW238))/MAX(N(AW238),1)&gt;SG_Criteria!$B$55,"NOTE: register rebar differs from schedule by "&amp;TEXT(ABS(BA238-N(AW238))/MAX(N(AW238),1),"0%"),"OK")))</f>
        <v/>
      </c>
      <c r="BC238" s="34" t="str">
        <f aca="false">IF(OR(D238="",G238="",H238="",D238="Sump",D238="Drop Inlet Chamber",D238="Silt Trap",D238="Pipe Culvert",D238="Subsoil Drain"),"",ROUND(MAX(1,N(I238))*(1/SG_Criteria!$B$26)*((G238/1000)*(H238/1000*(1-SG_Criteria!$B$25)))*(((G238/1000)*(H238/1000*(1-SG_Criteria!$B$25)))/((G238/1000)+2*(H238/1000*(1-SG_Criteria!$B$25))))^(2/3)*(1/Design_Selector!$B$11)^0.5,3))</f>
        <v/>
      </c>
      <c r="BD238" s="11" t="str">
        <f aca="false">IF(BC238="","",ROUND(BC238/(MAX(1,N(I238))*G238/1000*(H238/1000*(1-SG_Criteria!$B$25))),2))</f>
        <v/>
      </c>
      <c r="BE238" s="33" t="str">
        <f aca="false">IF(D238="","",IF(LEN(IF(AND(OR(E238="Roadside drain",E238="Entrance culvert"),OR(G238&lt;SG_Criteria!$B$15,H238&lt;SG_Criteria!$B$16)),"FAIL: below PUB min "&amp;SG_Criteria!$B$15&amp;"x"&amp;SG_Criteria!$B$16&amp;" for roadside drain. ","")&amp;IF(AND(E238="Common drain",G238&lt;SG_Criteria!$B$17),"FAIL: common drain W &lt; "&amp;SG_Criteria!$B$17&amp;" mm. ","")&amp;IF(AND(O238&lt;&gt;"",IFERROR(VALUE(MID(O238,2,2)),0)&lt;SG_Criteria!$B$19),"FAIL: grade below C"&amp;SG_Criteria!$B$19&amp;". ","")&amp;IF(AND(P238&lt;&gt;"",P238&lt;SG_Criteria!$B$20),"FAIL: cover &lt; "&amp;SG_Criteria!$B$20&amp;" mm. ","")&amp;IF(AND(F238="Open",H238&gt;SG_Criteria!$B$18),"NOTE: safety railing required (D &gt; "&amp;SG_Criteria!$B$18&amp;" mm). ","")&amp;IF(AND(E238="Entrance culvert",H238&lt;600),"NOTE: check hinged grating rule for culverts &lt; 600 deep (PUB Add. 3). ",""))=0,"OK",IF(AND(OR(E238="Roadside drain",E238="Entrance culvert"),OR(G238&lt;SG_Criteria!$B$15,H238&lt;SG_Criteria!$B$16)),"FAIL: below PUB min "&amp;SG_Criteria!$B$15&amp;"x"&amp;SG_Criteria!$B$16&amp;" for roadside drain. ","")&amp;IF(AND(E238="Common drain",G238&lt;SG_Criteria!$B$17),"FAIL: common drain W &lt; "&amp;SG_Criteria!$B$17&amp;" mm. ","")&amp;IF(AND(O238&lt;&gt;"",IFERROR(VALUE(MID(O238,2,2)),0)&lt;SG_Criteria!$B$19),"FAIL: grade below C"&amp;SG_Criteria!$B$19&amp;". ","")&amp;IF(AND(P238&lt;&gt;"",P238&lt;SG_Criteria!$B$20),"FAIL: cover &lt; "&amp;SG_Criteria!$B$20&amp;" mm. ","")&amp;IF(AND(F238="Open",H238&gt;SG_Criteria!$B$18),"NOTE: safety railing required (D &gt; "&amp;SG_Criteria!$B$18&amp;" mm). ","")&amp;IF(AND(E238="Entrance culvert",H238&lt;600),"NOTE: check hinged grating rule for culverts &lt; 600 deep (PUB Add. 3). ","")))</f>
        <v/>
      </c>
      <c r="BF238" s="9"/>
      <c r="BG238" s="9"/>
      <c r="BH238" s="9"/>
      <c r="BI238" s="10" t="str">
        <f aca="false">IF(BH238="","",IFERROR(VLOOKUP(BH238,Projects!$A$5:$D$504,2,0),"Ref not in Projects"))</f>
        <v/>
      </c>
      <c r="BJ238" s="10" t="str">
        <f aca="false">IF(BH238="","",IFERROR(VLOOKUP(BH238,Projects!$A$5:$D$504,4,0),"Ref not in Projects"))</f>
        <v/>
      </c>
      <c r="BK238" s="9"/>
      <c r="BL238" s="9"/>
      <c r="BM238" s="9"/>
      <c r="BN238" s="40"/>
      <c r="BO238" s="9"/>
      <c r="BP238" s="40"/>
      <c r="BQ238" s="9"/>
      <c r="BR238" s="40"/>
      <c r="BS238" s="9"/>
      <c r="BT238" s="9"/>
      <c r="BU238" s="9"/>
      <c r="BV238" s="40"/>
      <c r="BW238" s="40"/>
      <c r="BX238" s="36" t="str">
        <f aca="false">IF(BW238="","",EDATE(BW238,SG_Criteria!$B$54*12))</f>
        <v/>
      </c>
      <c r="BY238" s="33" t="str">
        <f aca="true">IF(A238="","",IF(BW238="","NOTE: not reviewed yet",IF(TODAY()&gt;BX238,"NOTE: review overdue","OK")))</f>
        <v/>
      </c>
      <c r="BZ238" s="37" t="str">
        <f aca="false">IF(A238="","",ROUND((IF(LEN(D238)&gt;0,1,0)+IF(LEN(E238)&gt;0,1,0)+IF(LEN(F238)&gt;0,1,0)+IF(LEN(G238)&gt;0,1,0)+IF(LEN(H238)&gt;0,1,0)+IF(LEN(J238)&gt;0,1,0)+IF(LEN(K238)&gt;0,1,0)+IF(LEN(M238)&gt;0,1,0)+IF(LEN(O238)&gt;0,1,0)+IF(LEN(P238)&gt;0,1,0)+IF(LEN(Q238)&gt;0,1,0)+IF(LEN(S238)&gt;0,1,0)+IF(LEN(AC238)&gt;0,1,0)+IF(LEN(AV238)&gt;0,1,0)+IF(LEN(AW238)&gt;0,1,0)+IF(LEN(AG238)&gt;0,1,0)+IF(LEN(AI238)&gt;0,1,0)+IF(LEN(AJ238)&gt;0,1,0)+IF(LEN(AK238)&gt;0,1,0)+IF(LEN(AL238)&gt;0,1,0)+IF(LEN(AU238)&gt;0,1,0)+IF(LEN(BH238)&gt;0,1,0)+IF(LEN(BU238)&gt;0,1,0))/23,2))</f>
        <v/>
      </c>
      <c r="CA238" s="10" t="str">
        <f aca="false">IF(D238="","",IF(AND(AJ238="Approved",ISERROR(SEARCH("FAIL",BE238))),"Y","N"))</f>
        <v/>
      </c>
      <c r="CB238" s="10" t="str">
        <f aca="false">IF(D238="","",D238&amp;"|"&amp;G238&amp;"|"&amp;H238&amp;"|"&amp;M238&amp;"|"&amp;CA238)</f>
        <v/>
      </c>
    </row>
    <row r="239" customFormat="false" ht="15" hidden="false" customHeight="false" outlineLevel="0" collapsed="false">
      <c r="A239" s="10" t="str">
        <f aca="false">IF(D239="","","DRN-"&amp;IFERROR(VLOOKUP(D239,Lists!$A$4:$B$27,2,0),"??")&amp;"-"&amp;TEXT(G239,"0000")&amp;"x"&amp;TEXT(H239,"0000")&amp;IF(N(I239)&gt;1,"-"&amp;I239&amp;"C","")&amp;"-"&amp;IFERROR(VLOOKUP(M239,Lists!$J$4:$K$19,2,0),"??")&amp;"-"&amp;AI239)</f>
        <v/>
      </c>
      <c r="B239" s="10" t="str">
        <f aca="false">IF(D239="","",D239&amp;" "&amp;G239&amp;"W x "&amp;H239&amp;"D"&amp;IF(N(I239)&gt;1," ("&amp;I239&amp;" cells)","")&amp;", "&amp;E239&amp;", "&amp;M239&amp;", "&amp;F239)</f>
        <v/>
      </c>
      <c r="C239" s="9"/>
      <c r="D239" s="9"/>
      <c r="E239" s="9"/>
      <c r="F239" s="9"/>
      <c r="G239" s="38"/>
      <c r="H239" s="38"/>
      <c r="I239" s="38"/>
      <c r="J239" s="38"/>
      <c r="K239" s="38"/>
      <c r="L239" s="38"/>
      <c r="M239" s="9"/>
      <c r="N239" s="9"/>
      <c r="O239" s="9"/>
      <c r="P239" s="38"/>
      <c r="Q239" s="9"/>
      <c r="R239" s="9"/>
      <c r="S239" s="9"/>
      <c r="T239" s="9"/>
      <c r="U239" s="9"/>
      <c r="V239" s="9"/>
      <c r="W239" s="9"/>
      <c r="X239" s="9"/>
      <c r="Y239" s="9"/>
      <c r="Z239" s="9"/>
      <c r="AA239" s="9"/>
      <c r="AB239" s="39"/>
      <c r="AC239" s="9"/>
      <c r="AD239" s="38"/>
      <c r="AE239" s="9"/>
      <c r="AF239" s="39"/>
      <c r="AG239" s="9"/>
      <c r="AH239" s="9"/>
      <c r="AI239" s="9"/>
      <c r="AJ239" s="9"/>
      <c r="AK239" s="9"/>
      <c r="AL239" s="9"/>
      <c r="AM239" s="9"/>
      <c r="AN239" s="10" t="str">
        <f aca="false">IF(A239="","",SG_Criteria!$B$6&amp;SG_Criteria!$B$7&amp;"\"&amp;A239&amp;"\")</f>
        <v/>
      </c>
      <c r="AO239" s="10" t="str">
        <f aca="false">IF(A239="","",A239&amp;"_CAD.dwg")</f>
        <v/>
      </c>
      <c r="AP239" s="10" t="str">
        <f aca="false">IF(A239="","",A239&amp;"_DWG.pdf")</f>
        <v/>
      </c>
      <c r="AQ239" s="10" t="str">
        <f aca="false">IF(A239="","",IF(AM239="Y",A239&amp;"_STAAD.std","n/a"))</f>
        <v/>
      </c>
      <c r="AR239" s="10" t="str">
        <f aca="false">IF(A239="","",A239&amp;"_CALC.xlsx")</f>
        <v/>
      </c>
      <c r="AS239" s="10" t="str">
        <f aca="false">IF(A239="","",A239&amp;"_CALC.pdf")</f>
        <v/>
      </c>
      <c r="AT239" s="9"/>
      <c r="AU239" s="9"/>
      <c r="AV239" s="39"/>
      <c r="AW239" s="39"/>
      <c r="AX239" s="39"/>
      <c r="AY239" s="39"/>
      <c r="AZ239" s="39"/>
      <c r="BA239" s="12" t="str">
        <f aca="false">IF(A239="","",IF(COUNTIF(Rebar_Schedule!$A$5:$A$2004,A239)=0,"",ROUND(SUMIF(Rebar_Schedule!$A$5:$A$2004,A239,Rebar_Schedule!$K$5:$K$2004),1)))</f>
        <v/>
      </c>
      <c r="BB239" s="33" t="str">
        <f aca="false">IF(A239="","",IF(BA239="","No rebar schedule yet",IF(ABS(BA239-N(AW239))/MAX(N(AW239),1)&gt;SG_Criteria!$B$55,"NOTE: register rebar differs from schedule by "&amp;TEXT(ABS(BA239-N(AW239))/MAX(N(AW239),1),"0%"),"OK")))</f>
        <v/>
      </c>
      <c r="BC239" s="34" t="str">
        <f aca="false">IF(OR(D239="",G239="",H239="",D239="Sump",D239="Drop Inlet Chamber",D239="Silt Trap",D239="Pipe Culvert",D239="Subsoil Drain"),"",ROUND(MAX(1,N(I239))*(1/SG_Criteria!$B$26)*((G239/1000)*(H239/1000*(1-SG_Criteria!$B$25)))*(((G239/1000)*(H239/1000*(1-SG_Criteria!$B$25)))/((G239/1000)+2*(H239/1000*(1-SG_Criteria!$B$25))))^(2/3)*(1/Design_Selector!$B$11)^0.5,3))</f>
        <v/>
      </c>
      <c r="BD239" s="11" t="str">
        <f aca="false">IF(BC239="","",ROUND(BC239/(MAX(1,N(I239))*G239/1000*(H239/1000*(1-SG_Criteria!$B$25))),2))</f>
        <v/>
      </c>
      <c r="BE239" s="33" t="str">
        <f aca="false">IF(D239="","",IF(LEN(IF(AND(OR(E239="Roadside drain",E239="Entrance culvert"),OR(G239&lt;SG_Criteria!$B$15,H239&lt;SG_Criteria!$B$16)),"FAIL: below PUB min "&amp;SG_Criteria!$B$15&amp;"x"&amp;SG_Criteria!$B$16&amp;" for roadside drain. ","")&amp;IF(AND(E239="Common drain",G239&lt;SG_Criteria!$B$17),"FAIL: common drain W &lt; "&amp;SG_Criteria!$B$17&amp;" mm. ","")&amp;IF(AND(O239&lt;&gt;"",IFERROR(VALUE(MID(O239,2,2)),0)&lt;SG_Criteria!$B$19),"FAIL: grade below C"&amp;SG_Criteria!$B$19&amp;". ","")&amp;IF(AND(P239&lt;&gt;"",P239&lt;SG_Criteria!$B$20),"FAIL: cover &lt; "&amp;SG_Criteria!$B$20&amp;" mm. ","")&amp;IF(AND(F239="Open",H239&gt;SG_Criteria!$B$18),"NOTE: safety railing required (D &gt; "&amp;SG_Criteria!$B$18&amp;" mm). ","")&amp;IF(AND(E239="Entrance culvert",H239&lt;600),"NOTE: check hinged grating rule for culverts &lt; 600 deep (PUB Add. 3). ",""))=0,"OK",IF(AND(OR(E239="Roadside drain",E239="Entrance culvert"),OR(G239&lt;SG_Criteria!$B$15,H239&lt;SG_Criteria!$B$16)),"FAIL: below PUB min "&amp;SG_Criteria!$B$15&amp;"x"&amp;SG_Criteria!$B$16&amp;" for roadside drain. ","")&amp;IF(AND(E239="Common drain",G239&lt;SG_Criteria!$B$17),"FAIL: common drain W &lt; "&amp;SG_Criteria!$B$17&amp;" mm. ","")&amp;IF(AND(O239&lt;&gt;"",IFERROR(VALUE(MID(O239,2,2)),0)&lt;SG_Criteria!$B$19),"FAIL: grade below C"&amp;SG_Criteria!$B$19&amp;". ","")&amp;IF(AND(P239&lt;&gt;"",P239&lt;SG_Criteria!$B$20),"FAIL: cover &lt; "&amp;SG_Criteria!$B$20&amp;" mm. ","")&amp;IF(AND(F239="Open",H239&gt;SG_Criteria!$B$18),"NOTE: safety railing required (D &gt; "&amp;SG_Criteria!$B$18&amp;" mm). ","")&amp;IF(AND(E239="Entrance culvert",H239&lt;600),"NOTE: check hinged grating rule for culverts &lt; 600 deep (PUB Add. 3). ","")))</f>
        <v/>
      </c>
      <c r="BF239" s="9"/>
      <c r="BG239" s="9"/>
      <c r="BH239" s="9"/>
      <c r="BI239" s="10" t="str">
        <f aca="false">IF(BH239="","",IFERROR(VLOOKUP(BH239,Projects!$A$5:$D$504,2,0),"Ref not in Projects"))</f>
        <v/>
      </c>
      <c r="BJ239" s="10" t="str">
        <f aca="false">IF(BH239="","",IFERROR(VLOOKUP(BH239,Projects!$A$5:$D$504,4,0),"Ref not in Projects"))</f>
        <v/>
      </c>
      <c r="BK239" s="9"/>
      <c r="BL239" s="9"/>
      <c r="BM239" s="9"/>
      <c r="BN239" s="40"/>
      <c r="BO239" s="9"/>
      <c r="BP239" s="40"/>
      <c r="BQ239" s="9"/>
      <c r="BR239" s="40"/>
      <c r="BS239" s="9"/>
      <c r="BT239" s="9"/>
      <c r="BU239" s="9"/>
      <c r="BV239" s="40"/>
      <c r="BW239" s="40"/>
      <c r="BX239" s="36" t="str">
        <f aca="false">IF(BW239="","",EDATE(BW239,SG_Criteria!$B$54*12))</f>
        <v/>
      </c>
      <c r="BY239" s="33" t="str">
        <f aca="true">IF(A239="","",IF(BW239="","NOTE: not reviewed yet",IF(TODAY()&gt;BX239,"NOTE: review overdue","OK")))</f>
        <v/>
      </c>
      <c r="BZ239" s="37" t="str">
        <f aca="false">IF(A239="","",ROUND((IF(LEN(D239)&gt;0,1,0)+IF(LEN(E239)&gt;0,1,0)+IF(LEN(F239)&gt;0,1,0)+IF(LEN(G239)&gt;0,1,0)+IF(LEN(H239)&gt;0,1,0)+IF(LEN(J239)&gt;0,1,0)+IF(LEN(K239)&gt;0,1,0)+IF(LEN(M239)&gt;0,1,0)+IF(LEN(O239)&gt;0,1,0)+IF(LEN(P239)&gt;0,1,0)+IF(LEN(Q239)&gt;0,1,0)+IF(LEN(S239)&gt;0,1,0)+IF(LEN(AC239)&gt;0,1,0)+IF(LEN(AV239)&gt;0,1,0)+IF(LEN(AW239)&gt;0,1,0)+IF(LEN(AG239)&gt;0,1,0)+IF(LEN(AI239)&gt;0,1,0)+IF(LEN(AJ239)&gt;0,1,0)+IF(LEN(AK239)&gt;0,1,0)+IF(LEN(AL239)&gt;0,1,0)+IF(LEN(AU239)&gt;0,1,0)+IF(LEN(BH239)&gt;0,1,0)+IF(LEN(BU239)&gt;0,1,0))/23,2))</f>
        <v/>
      </c>
      <c r="CA239" s="10" t="str">
        <f aca="false">IF(D239="","",IF(AND(AJ239="Approved",ISERROR(SEARCH("FAIL",BE239))),"Y","N"))</f>
        <v/>
      </c>
      <c r="CB239" s="10" t="str">
        <f aca="false">IF(D239="","",D239&amp;"|"&amp;G239&amp;"|"&amp;H239&amp;"|"&amp;M239&amp;"|"&amp;CA239)</f>
        <v/>
      </c>
    </row>
    <row r="240" customFormat="false" ht="15" hidden="false" customHeight="false" outlineLevel="0" collapsed="false">
      <c r="A240" s="10" t="str">
        <f aca="false">IF(D240="","","DRN-"&amp;IFERROR(VLOOKUP(D240,Lists!$A$4:$B$27,2,0),"??")&amp;"-"&amp;TEXT(G240,"0000")&amp;"x"&amp;TEXT(H240,"0000")&amp;IF(N(I240)&gt;1,"-"&amp;I240&amp;"C","")&amp;"-"&amp;IFERROR(VLOOKUP(M240,Lists!$J$4:$K$19,2,0),"??")&amp;"-"&amp;AI240)</f>
        <v/>
      </c>
      <c r="B240" s="10" t="str">
        <f aca="false">IF(D240="","",D240&amp;" "&amp;G240&amp;"W x "&amp;H240&amp;"D"&amp;IF(N(I240)&gt;1," ("&amp;I240&amp;" cells)","")&amp;", "&amp;E240&amp;", "&amp;M240&amp;", "&amp;F240)</f>
        <v/>
      </c>
      <c r="C240" s="9"/>
      <c r="D240" s="9"/>
      <c r="E240" s="9"/>
      <c r="F240" s="9"/>
      <c r="G240" s="38"/>
      <c r="H240" s="38"/>
      <c r="I240" s="38"/>
      <c r="J240" s="38"/>
      <c r="K240" s="38"/>
      <c r="L240" s="38"/>
      <c r="M240" s="9"/>
      <c r="N240" s="9"/>
      <c r="O240" s="9"/>
      <c r="P240" s="38"/>
      <c r="Q240" s="9"/>
      <c r="R240" s="9"/>
      <c r="S240" s="9"/>
      <c r="T240" s="9"/>
      <c r="U240" s="9"/>
      <c r="V240" s="9"/>
      <c r="W240" s="9"/>
      <c r="X240" s="9"/>
      <c r="Y240" s="9"/>
      <c r="Z240" s="9"/>
      <c r="AA240" s="9"/>
      <c r="AB240" s="39"/>
      <c r="AC240" s="9"/>
      <c r="AD240" s="38"/>
      <c r="AE240" s="9"/>
      <c r="AF240" s="39"/>
      <c r="AG240" s="9"/>
      <c r="AH240" s="9"/>
      <c r="AI240" s="9"/>
      <c r="AJ240" s="9"/>
      <c r="AK240" s="9"/>
      <c r="AL240" s="9"/>
      <c r="AM240" s="9"/>
      <c r="AN240" s="10" t="str">
        <f aca="false">IF(A240="","",SG_Criteria!$B$6&amp;SG_Criteria!$B$7&amp;"\"&amp;A240&amp;"\")</f>
        <v/>
      </c>
      <c r="AO240" s="10" t="str">
        <f aca="false">IF(A240="","",A240&amp;"_CAD.dwg")</f>
        <v/>
      </c>
      <c r="AP240" s="10" t="str">
        <f aca="false">IF(A240="","",A240&amp;"_DWG.pdf")</f>
        <v/>
      </c>
      <c r="AQ240" s="10" t="str">
        <f aca="false">IF(A240="","",IF(AM240="Y",A240&amp;"_STAAD.std","n/a"))</f>
        <v/>
      </c>
      <c r="AR240" s="10" t="str">
        <f aca="false">IF(A240="","",A240&amp;"_CALC.xlsx")</f>
        <v/>
      </c>
      <c r="AS240" s="10" t="str">
        <f aca="false">IF(A240="","",A240&amp;"_CALC.pdf")</f>
        <v/>
      </c>
      <c r="AT240" s="9"/>
      <c r="AU240" s="9"/>
      <c r="AV240" s="39"/>
      <c r="AW240" s="39"/>
      <c r="AX240" s="39"/>
      <c r="AY240" s="39"/>
      <c r="AZ240" s="39"/>
      <c r="BA240" s="12" t="str">
        <f aca="false">IF(A240="","",IF(COUNTIF(Rebar_Schedule!$A$5:$A$2004,A240)=0,"",ROUND(SUMIF(Rebar_Schedule!$A$5:$A$2004,A240,Rebar_Schedule!$K$5:$K$2004),1)))</f>
        <v/>
      </c>
      <c r="BB240" s="33" t="str">
        <f aca="false">IF(A240="","",IF(BA240="","No rebar schedule yet",IF(ABS(BA240-N(AW240))/MAX(N(AW240),1)&gt;SG_Criteria!$B$55,"NOTE: register rebar differs from schedule by "&amp;TEXT(ABS(BA240-N(AW240))/MAX(N(AW240),1),"0%"),"OK")))</f>
        <v/>
      </c>
      <c r="BC240" s="34" t="str">
        <f aca="false">IF(OR(D240="",G240="",H240="",D240="Sump",D240="Drop Inlet Chamber",D240="Silt Trap",D240="Pipe Culvert",D240="Subsoil Drain"),"",ROUND(MAX(1,N(I240))*(1/SG_Criteria!$B$26)*((G240/1000)*(H240/1000*(1-SG_Criteria!$B$25)))*(((G240/1000)*(H240/1000*(1-SG_Criteria!$B$25)))/((G240/1000)+2*(H240/1000*(1-SG_Criteria!$B$25))))^(2/3)*(1/Design_Selector!$B$11)^0.5,3))</f>
        <v/>
      </c>
      <c r="BD240" s="11" t="str">
        <f aca="false">IF(BC240="","",ROUND(BC240/(MAX(1,N(I240))*G240/1000*(H240/1000*(1-SG_Criteria!$B$25))),2))</f>
        <v/>
      </c>
      <c r="BE240" s="33" t="str">
        <f aca="false">IF(D240="","",IF(LEN(IF(AND(OR(E240="Roadside drain",E240="Entrance culvert"),OR(G240&lt;SG_Criteria!$B$15,H240&lt;SG_Criteria!$B$16)),"FAIL: below PUB min "&amp;SG_Criteria!$B$15&amp;"x"&amp;SG_Criteria!$B$16&amp;" for roadside drain. ","")&amp;IF(AND(E240="Common drain",G240&lt;SG_Criteria!$B$17),"FAIL: common drain W &lt; "&amp;SG_Criteria!$B$17&amp;" mm. ","")&amp;IF(AND(O240&lt;&gt;"",IFERROR(VALUE(MID(O240,2,2)),0)&lt;SG_Criteria!$B$19),"FAIL: grade below C"&amp;SG_Criteria!$B$19&amp;". ","")&amp;IF(AND(P240&lt;&gt;"",P240&lt;SG_Criteria!$B$20),"FAIL: cover &lt; "&amp;SG_Criteria!$B$20&amp;" mm. ","")&amp;IF(AND(F240="Open",H240&gt;SG_Criteria!$B$18),"NOTE: safety railing required (D &gt; "&amp;SG_Criteria!$B$18&amp;" mm). ","")&amp;IF(AND(E240="Entrance culvert",H240&lt;600),"NOTE: check hinged grating rule for culverts &lt; 600 deep (PUB Add. 3). ",""))=0,"OK",IF(AND(OR(E240="Roadside drain",E240="Entrance culvert"),OR(G240&lt;SG_Criteria!$B$15,H240&lt;SG_Criteria!$B$16)),"FAIL: below PUB min "&amp;SG_Criteria!$B$15&amp;"x"&amp;SG_Criteria!$B$16&amp;" for roadside drain. ","")&amp;IF(AND(E240="Common drain",G240&lt;SG_Criteria!$B$17),"FAIL: common drain W &lt; "&amp;SG_Criteria!$B$17&amp;" mm. ","")&amp;IF(AND(O240&lt;&gt;"",IFERROR(VALUE(MID(O240,2,2)),0)&lt;SG_Criteria!$B$19),"FAIL: grade below C"&amp;SG_Criteria!$B$19&amp;". ","")&amp;IF(AND(P240&lt;&gt;"",P240&lt;SG_Criteria!$B$20),"FAIL: cover &lt; "&amp;SG_Criteria!$B$20&amp;" mm. ","")&amp;IF(AND(F240="Open",H240&gt;SG_Criteria!$B$18),"NOTE: safety railing required (D &gt; "&amp;SG_Criteria!$B$18&amp;" mm). ","")&amp;IF(AND(E240="Entrance culvert",H240&lt;600),"NOTE: check hinged grating rule for culverts &lt; 600 deep (PUB Add. 3). ","")))</f>
        <v/>
      </c>
      <c r="BF240" s="9"/>
      <c r="BG240" s="9"/>
      <c r="BH240" s="9"/>
      <c r="BI240" s="10" t="str">
        <f aca="false">IF(BH240="","",IFERROR(VLOOKUP(BH240,Projects!$A$5:$D$504,2,0),"Ref not in Projects"))</f>
        <v/>
      </c>
      <c r="BJ240" s="10" t="str">
        <f aca="false">IF(BH240="","",IFERROR(VLOOKUP(BH240,Projects!$A$5:$D$504,4,0),"Ref not in Projects"))</f>
        <v/>
      </c>
      <c r="BK240" s="9"/>
      <c r="BL240" s="9"/>
      <c r="BM240" s="9"/>
      <c r="BN240" s="40"/>
      <c r="BO240" s="9"/>
      <c r="BP240" s="40"/>
      <c r="BQ240" s="9"/>
      <c r="BR240" s="40"/>
      <c r="BS240" s="9"/>
      <c r="BT240" s="9"/>
      <c r="BU240" s="9"/>
      <c r="BV240" s="40"/>
      <c r="BW240" s="40"/>
      <c r="BX240" s="36" t="str">
        <f aca="false">IF(BW240="","",EDATE(BW240,SG_Criteria!$B$54*12))</f>
        <v/>
      </c>
      <c r="BY240" s="33" t="str">
        <f aca="true">IF(A240="","",IF(BW240="","NOTE: not reviewed yet",IF(TODAY()&gt;BX240,"NOTE: review overdue","OK")))</f>
        <v/>
      </c>
      <c r="BZ240" s="37" t="str">
        <f aca="false">IF(A240="","",ROUND((IF(LEN(D240)&gt;0,1,0)+IF(LEN(E240)&gt;0,1,0)+IF(LEN(F240)&gt;0,1,0)+IF(LEN(G240)&gt;0,1,0)+IF(LEN(H240)&gt;0,1,0)+IF(LEN(J240)&gt;0,1,0)+IF(LEN(K240)&gt;0,1,0)+IF(LEN(M240)&gt;0,1,0)+IF(LEN(O240)&gt;0,1,0)+IF(LEN(P240)&gt;0,1,0)+IF(LEN(Q240)&gt;0,1,0)+IF(LEN(S240)&gt;0,1,0)+IF(LEN(AC240)&gt;0,1,0)+IF(LEN(AV240)&gt;0,1,0)+IF(LEN(AW240)&gt;0,1,0)+IF(LEN(AG240)&gt;0,1,0)+IF(LEN(AI240)&gt;0,1,0)+IF(LEN(AJ240)&gt;0,1,0)+IF(LEN(AK240)&gt;0,1,0)+IF(LEN(AL240)&gt;0,1,0)+IF(LEN(AU240)&gt;0,1,0)+IF(LEN(BH240)&gt;0,1,0)+IF(LEN(BU240)&gt;0,1,0))/23,2))</f>
        <v/>
      </c>
      <c r="CA240" s="10" t="str">
        <f aca="false">IF(D240="","",IF(AND(AJ240="Approved",ISERROR(SEARCH("FAIL",BE240))),"Y","N"))</f>
        <v/>
      </c>
      <c r="CB240" s="10" t="str">
        <f aca="false">IF(D240="","",D240&amp;"|"&amp;G240&amp;"|"&amp;H240&amp;"|"&amp;M240&amp;"|"&amp;CA240)</f>
        <v/>
      </c>
    </row>
    <row r="241" customFormat="false" ht="15" hidden="false" customHeight="false" outlineLevel="0" collapsed="false">
      <c r="A241" s="10" t="str">
        <f aca="false">IF(D241="","","DRN-"&amp;IFERROR(VLOOKUP(D241,Lists!$A$4:$B$27,2,0),"??")&amp;"-"&amp;TEXT(G241,"0000")&amp;"x"&amp;TEXT(H241,"0000")&amp;IF(N(I241)&gt;1,"-"&amp;I241&amp;"C","")&amp;"-"&amp;IFERROR(VLOOKUP(M241,Lists!$J$4:$K$19,2,0),"??")&amp;"-"&amp;AI241)</f>
        <v/>
      </c>
      <c r="B241" s="10" t="str">
        <f aca="false">IF(D241="","",D241&amp;" "&amp;G241&amp;"W x "&amp;H241&amp;"D"&amp;IF(N(I241)&gt;1," ("&amp;I241&amp;" cells)","")&amp;", "&amp;E241&amp;", "&amp;M241&amp;", "&amp;F241)</f>
        <v/>
      </c>
      <c r="C241" s="9"/>
      <c r="D241" s="9"/>
      <c r="E241" s="9"/>
      <c r="F241" s="9"/>
      <c r="G241" s="38"/>
      <c r="H241" s="38"/>
      <c r="I241" s="38"/>
      <c r="J241" s="38"/>
      <c r="K241" s="38"/>
      <c r="L241" s="38"/>
      <c r="M241" s="9"/>
      <c r="N241" s="9"/>
      <c r="O241" s="9"/>
      <c r="P241" s="38"/>
      <c r="Q241" s="9"/>
      <c r="R241" s="9"/>
      <c r="S241" s="9"/>
      <c r="T241" s="9"/>
      <c r="U241" s="9"/>
      <c r="V241" s="9"/>
      <c r="W241" s="9"/>
      <c r="X241" s="9"/>
      <c r="Y241" s="9"/>
      <c r="Z241" s="9"/>
      <c r="AA241" s="9"/>
      <c r="AB241" s="39"/>
      <c r="AC241" s="9"/>
      <c r="AD241" s="38"/>
      <c r="AE241" s="9"/>
      <c r="AF241" s="39"/>
      <c r="AG241" s="9"/>
      <c r="AH241" s="9"/>
      <c r="AI241" s="9"/>
      <c r="AJ241" s="9"/>
      <c r="AK241" s="9"/>
      <c r="AL241" s="9"/>
      <c r="AM241" s="9"/>
      <c r="AN241" s="10" t="str">
        <f aca="false">IF(A241="","",SG_Criteria!$B$6&amp;SG_Criteria!$B$7&amp;"\"&amp;A241&amp;"\")</f>
        <v/>
      </c>
      <c r="AO241" s="10" t="str">
        <f aca="false">IF(A241="","",A241&amp;"_CAD.dwg")</f>
        <v/>
      </c>
      <c r="AP241" s="10" t="str">
        <f aca="false">IF(A241="","",A241&amp;"_DWG.pdf")</f>
        <v/>
      </c>
      <c r="AQ241" s="10" t="str">
        <f aca="false">IF(A241="","",IF(AM241="Y",A241&amp;"_STAAD.std","n/a"))</f>
        <v/>
      </c>
      <c r="AR241" s="10" t="str">
        <f aca="false">IF(A241="","",A241&amp;"_CALC.xlsx")</f>
        <v/>
      </c>
      <c r="AS241" s="10" t="str">
        <f aca="false">IF(A241="","",A241&amp;"_CALC.pdf")</f>
        <v/>
      </c>
      <c r="AT241" s="9"/>
      <c r="AU241" s="9"/>
      <c r="AV241" s="39"/>
      <c r="AW241" s="39"/>
      <c r="AX241" s="39"/>
      <c r="AY241" s="39"/>
      <c r="AZ241" s="39"/>
      <c r="BA241" s="12" t="str">
        <f aca="false">IF(A241="","",IF(COUNTIF(Rebar_Schedule!$A$5:$A$2004,A241)=0,"",ROUND(SUMIF(Rebar_Schedule!$A$5:$A$2004,A241,Rebar_Schedule!$K$5:$K$2004),1)))</f>
        <v/>
      </c>
      <c r="BB241" s="33" t="str">
        <f aca="false">IF(A241="","",IF(BA241="","No rebar schedule yet",IF(ABS(BA241-N(AW241))/MAX(N(AW241),1)&gt;SG_Criteria!$B$55,"NOTE: register rebar differs from schedule by "&amp;TEXT(ABS(BA241-N(AW241))/MAX(N(AW241),1),"0%"),"OK")))</f>
        <v/>
      </c>
      <c r="BC241" s="34" t="str">
        <f aca="false">IF(OR(D241="",G241="",H241="",D241="Sump",D241="Drop Inlet Chamber",D241="Silt Trap",D241="Pipe Culvert",D241="Subsoil Drain"),"",ROUND(MAX(1,N(I241))*(1/SG_Criteria!$B$26)*((G241/1000)*(H241/1000*(1-SG_Criteria!$B$25)))*(((G241/1000)*(H241/1000*(1-SG_Criteria!$B$25)))/((G241/1000)+2*(H241/1000*(1-SG_Criteria!$B$25))))^(2/3)*(1/Design_Selector!$B$11)^0.5,3))</f>
        <v/>
      </c>
      <c r="BD241" s="11" t="str">
        <f aca="false">IF(BC241="","",ROUND(BC241/(MAX(1,N(I241))*G241/1000*(H241/1000*(1-SG_Criteria!$B$25))),2))</f>
        <v/>
      </c>
      <c r="BE241" s="33" t="str">
        <f aca="false">IF(D241="","",IF(LEN(IF(AND(OR(E241="Roadside drain",E241="Entrance culvert"),OR(G241&lt;SG_Criteria!$B$15,H241&lt;SG_Criteria!$B$16)),"FAIL: below PUB min "&amp;SG_Criteria!$B$15&amp;"x"&amp;SG_Criteria!$B$16&amp;" for roadside drain. ","")&amp;IF(AND(E241="Common drain",G241&lt;SG_Criteria!$B$17),"FAIL: common drain W &lt; "&amp;SG_Criteria!$B$17&amp;" mm. ","")&amp;IF(AND(O241&lt;&gt;"",IFERROR(VALUE(MID(O241,2,2)),0)&lt;SG_Criteria!$B$19),"FAIL: grade below C"&amp;SG_Criteria!$B$19&amp;". ","")&amp;IF(AND(P241&lt;&gt;"",P241&lt;SG_Criteria!$B$20),"FAIL: cover &lt; "&amp;SG_Criteria!$B$20&amp;" mm. ","")&amp;IF(AND(F241="Open",H241&gt;SG_Criteria!$B$18),"NOTE: safety railing required (D &gt; "&amp;SG_Criteria!$B$18&amp;" mm). ","")&amp;IF(AND(E241="Entrance culvert",H241&lt;600),"NOTE: check hinged grating rule for culverts &lt; 600 deep (PUB Add. 3). ",""))=0,"OK",IF(AND(OR(E241="Roadside drain",E241="Entrance culvert"),OR(G241&lt;SG_Criteria!$B$15,H241&lt;SG_Criteria!$B$16)),"FAIL: below PUB min "&amp;SG_Criteria!$B$15&amp;"x"&amp;SG_Criteria!$B$16&amp;" for roadside drain. ","")&amp;IF(AND(E241="Common drain",G241&lt;SG_Criteria!$B$17),"FAIL: common drain W &lt; "&amp;SG_Criteria!$B$17&amp;" mm. ","")&amp;IF(AND(O241&lt;&gt;"",IFERROR(VALUE(MID(O241,2,2)),0)&lt;SG_Criteria!$B$19),"FAIL: grade below C"&amp;SG_Criteria!$B$19&amp;". ","")&amp;IF(AND(P241&lt;&gt;"",P241&lt;SG_Criteria!$B$20),"FAIL: cover &lt; "&amp;SG_Criteria!$B$20&amp;" mm. ","")&amp;IF(AND(F241="Open",H241&gt;SG_Criteria!$B$18),"NOTE: safety railing required (D &gt; "&amp;SG_Criteria!$B$18&amp;" mm). ","")&amp;IF(AND(E241="Entrance culvert",H241&lt;600),"NOTE: check hinged grating rule for culverts &lt; 600 deep (PUB Add. 3). ","")))</f>
        <v/>
      </c>
      <c r="BF241" s="9"/>
      <c r="BG241" s="9"/>
      <c r="BH241" s="9"/>
      <c r="BI241" s="10" t="str">
        <f aca="false">IF(BH241="","",IFERROR(VLOOKUP(BH241,Projects!$A$5:$D$504,2,0),"Ref not in Projects"))</f>
        <v/>
      </c>
      <c r="BJ241" s="10" t="str">
        <f aca="false">IF(BH241="","",IFERROR(VLOOKUP(BH241,Projects!$A$5:$D$504,4,0),"Ref not in Projects"))</f>
        <v/>
      </c>
      <c r="BK241" s="9"/>
      <c r="BL241" s="9"/>
      <c r="BM241" s="9"/>
      <c r="BN241" s="40"/>
      <c r="BO241" s="9"/>
      <c r="BP241" s="40"/>
      <c r="BQ241" s="9"/>
      <c r="BR241" s="40"/>
      <c r="BS241" s="9"/>
      <c r="BT241" s="9"/>
      <c r="BU241" s="9"/>
      <c r="BV241" s="40"/>
      <c r="BW241" s="40"/>
      <c r="BX241" s="36" t="str">
        <f aca="false">IF(BW241="","",EDATE(BW241,SG_Criteria!$B$54*12))</f>
        <v/>
      </c>
      <c r="BY241" s="33" t="str">
        <f aca="true">IF(A241="","",IF(BW241="","NOTE: not reviewed yet",IF(TODAY()&gt;BX241,"NOTE: review overdue","OK")))</f>
        <v/>
      </c>
      <c r="BZ241" s="37" t="str">
        <f aca="false">IF(A241="","",ROUND((IF(LEN(D241)&gt;0,1,0)+IF(LEN(E241)&gt;0,1,0)+IF(LEN(F241)&gt;0,1,0)+IF(LEN(G241)&gt;0,1,0)+IF(LEN(H241)&gt;0,1,0)+IF(LEN(J241)&gt;0,1,0)+IF(LEN(K241)&gt;0,1,0)+IF(LEN(M241)&gt;0,1,0)+IF(LEN(O241)&gt;0,1,0)+IF(LEN(P241)&gt;0,1,0)+IF(LEN(Q241)&gt;0,1,0)+IF(LEN(S241)&gt;0,1,0)+IF(LEN(AC241)&gt;0,1,0)+IF(LEN(AV241)&gt;0,1,0)+IF(LEN(AW241)&gt;0,1,0)+IF(LEN(AG241)&gt;0,1,0)+IF(LEN(AI241)&gt;0,1,0)+IF(LEN(AJ241)&gt;0,1,0)+IF(LEN(AK241)&gt;0,1,0)+IF(LEN(AL241)&gt;0,1,0)+IF(LEN(AU241)&gt;0,1,0)+IF(LEN(BH241)&gt;0,1,0)+IF(LEN(BU241)&gt;0,1,0))/23,2))</f>
        <v/>
      </c>
      <c r="CA241" s="10" t="str">
        <f aca="false">IF(D241="","",IF(AND(AJ241="Approved",ISERROR(SEARCH("FAIL",BE241))),"Y","N"))</f>
        <v/>
      </c>
      <c r="CB241" s="10" t="str">
        <f aca="false">IF(D241="","",D241&amp;"|"&amp;G241&amp;"|"&amp;H241&amp;"|"&amp;M241&amp;"|"&amp;CA241)</f>
        <v/>
      </c>
    </row>
    <row r="242" customFormat="false" ht="15" hidden="false" customHeight="false" outlineLevel="0" collapsed="false">
      <c r="A242" s="10" t="str">
        <f aca="false">IF(D242="","","DRN-"&amp;IFERROR(VLOOKUP(D242,Lists!$A$4:$B$27,2,0),"??")&amp;"-"&amp;TEXT(G242,"0000")&amp;"x"&amp;TEXT(H242,"0000")&amp;IF(N(I242)&gt;1,"-"&amp;I242&amp;"C","")&amp;"-"&amp;IFERROR(VLOOKUP(M242,Lists!$J$4:$K$19,2,0),"??")&amp;"-"&amp;AI242)</f>
        <v/>
      </c>
      <c r="B242" s="10" t="str">
        <f aca="false">IF(D242="","",D242&amp;" "&amp;G242&amp;"W x "&amp;H242&amp;"D"&amp;IF(N(I242)&gt;1," ("&amp;I242&amp;" cells)","")&amp;", "&amp;E242&amp;", "&amp;M242&amp;", "&amp;F242)</f>
        <v/>
      </c>
      <c r="C242" s="9"/>
      <c r="D242" s="9"/>
      <c r="E242" s="9"/>
      <c r="F242" s="9"/>
      <c r="G242" s="38"/>
      <c r="H242" s="38"/>
      <c r="I242" s="38"/>
      <c r="J242" s="38"/>
      <c r="K242" s="38"/>
      <c r="L242" s="38"/>
      <c r="M242" s="9"/>
      <c r="N242" s="9"/>
      <c r="O242" s="9"/>
      <c r="P242" s="38"/>
      <c r="Q242" s="9"/>
      <c r="R242" s="9"/>
      <c r="S242" s="9"/>
      <c r="T242" s="9"/>
      <c r="U242" s="9"/>
      <c r="V242" s="9"/>
      <c r="W242" s="9"/>
      <c r="X242" s="9"/>
      <c r="Y242" s="9"/>
      <c r="Z242" s="9"/>
      <c r="AA242" s="9"/>
      <c r="AB242" s="39"/>
      <c r="AC242" s="9"/>
      <c r="AD242" s="38"/>
      <c r="AE242" s="9"/>
      <c r="AF242" s="39"/>
      <c r="AG242" s="9"/>
      <c r="AH242" s="9"/>
      <c r="AI242" s="9"/>
      <c r="AJ242" s="9"/>
      <c r="AK242" s="9"/>
      <c r="AL242" s="9"/>
      <c r="AM242" s="9"/>
      <c r="AN242" s="10" t="str">
        <f aca="false">IF(A242="","",SG_Criteria!$B$6&amp;SG_Criteria!$B$7&amp;"\"&amp;A242&amp;"\")</f>
        <v/>
      </c>
      <c r="AO242" s="10" t="str">
        <f aca="false">IF(A242="","",A242&amp;"_CAD.dwg")</f>
        <v/>
      </c>
      <c r="AP242" s="10" t="str">
        <f aca="false">IF(A242="","",A242&amp;"_DWG.pdf")</f>
        <v/>
      </c>
      <c r="AQ242" s="10" t="str">
        <f aca="false">IF(A242="","",IF(AM242="Y",A242&amp;"_STAAD.std","n/a"))</f>
        <v/>
      </c>
      <c r="AR242" s="10" t="str">
        <f aca="false">IF(A242="","",A242&amp;"_CALC.xlsx")</f>
        <v/>
      </c>
      <c r="AS242" s="10" t="str">
        <f aca="false">IF(A242="","",A242&amp;"_CALC.pdf")</f>
        <v/>
      </c>
      <c r="AT242" s="9"/>
      <c r="AU242" s="9"/>
      <c r="AV242" s="39"/>
      <c r="AW242" s="39"/>
      <c r="AX242" s="39"/>
      <c r="AY242" s="39"/>
      <c r="AZ242" s="39"/>
      <c r="BA242" s="12" t="str">
        <f aca="false">IF(A242="","",IF(COUNTIF(Rebar_Schedule!$A$5:$A$2004,A242)=0,"",ROUND(SUMIF(Rebar_Schedule!$A$5:$A$2004,A242,Rebar_Schedule!$K$5:$K$2004),1)))</f>
        <v/>
      </c>
      <c r="BB242" s="33" t="str">
        <f aca="false">IF(A242="","",IF(BA242="","No rebar schedule yet",IF(ABS(BA242-N(AW242))/MAX(N(AW242),1)&gt;SG_Criteria!$B$55,"NOTE: register rebar differs from schedule by "&amp;TEXT(ABS(BA242-N(AW242))/MAX(N(AW242),1),"0%"),"OK")))</f>
        <v/>
      </c>
      <c r="BC242" s="34" t="str">
        <f aca="false">IF(OR(D242="",G242="",H242="",D242="Sump",D242="Drop Inlet Chamber",D242="Silt Trap",D242="Pipe Culvert",D242="Subsoil Drain"),"",ROUND(MAX(1,N(I242))*(1/SG_Criteria!$B$26)*((G242/1000)*(H242/1000*(1-SG_Criteria!$B$25)))*(((G242/1000)*(H242/1000*(1-SG_Criteria!$B$25)))/((G242/1000)+2*(H242/1000*(1-SG_Criteria!$B$25))))^(2/3)*(1/Design_Selector!$B$11)^0.5,3))</f>
        <v/>
      </c>
      <c r="BD242" s="11" t="str">
        <f aca="false">IF(BC242="","",ROUND(BC242/(MAX(1,N(I242))*G242/1000*(H242/1000*(1-SG_Criteria!$B$25))),2))</f>
        <v/>
      </c>
      <c r="BE242" s="33" t="str">
        <f aca="false">IF(D242="","",IF(LEN(IF(AND(OR(E242="Roadside drain",E242="Entrance culvert"),OR(G242&lt;SG_Criteria!$B$15,H242&lt;SG_Criteria!$B$16)),"FAIL: below PUB min "&amp;SG_Criteria!$B$15&amp;"x"&amp;SG_Criteria!$B$16&amp;" for roadside drain. ","")&amp;IF(AND(E242="Common drain",G242&lt;SG_Criteria!$B$17),"FAIL: common drain W &lt; "&amp;SG_Criteria!$B$17&amp;" mm. ","")&amp;IF(AND(O242&lt;&gt;"",IFERROR(VALUE(MID(O242,2,2)),0)&lt;SG_Criteria!$B$19),"FAIL: grade below C"&amp;SG_Criteria!$B$19&amp;". ","")&amp;IF(AND(P242&lt;&gt;"",P242&lt;SG_Criteria!$B$20),"FAIL: cover &lt; "&amp;SG_Criteria!$B$20&amp;" mm. ","")&amp;IF(AND(F242="Open",H242&gt;SG_Criteria!$B$18),"NOTE: safety railing required (D &gt; "&amp;SG_Criteria!$B$18&amp;" mm). ","")&amp;IF(AND(E242="Entrance culvert",H242&lt;600),"NOTE: check hinged grating rule for culverts &lt; 600 deep (PUB Add. 3). ",""))=0,"OK",IF(AND(OR(E242="Roadside drain",E242="Entrance culvert"),OR(G242&lt;SG_Criteria!$B$15,H242&lt;SG_Criteria!$B$16)),"FAIL: below PUB min "&amp;SG_Criteria!$B$15&amp;"x"&amp;SG_Criteria!$B$16&amp;" for roadside drain. ","")&amp;IF(AND(E242="Common drain",G242&lt;SG_Criteria!$B$17),"FAIL: common drain W &lt; "&amp;SG_Criteria!$B$17&amp;" mm. ","")&amp;IF(AND(O242&lt;&gt;"",IFERROR(VALUE(MID(O242,2,2)),0)&lt;SG_Criteria!$B$19),"FAIL: grade below C"&amp;SG_Criteria!$B$19&amp;". ","")&amp;IF(AND(P242&lt;&gt;"",P242&lt;SG_Criteria!$B$20),"FAIL: cover &lt; "&amp;SG_Criteria!$B$20&amp;" mm. ","")&amp;IF(AND(F242="Open",H242&gt;SG_Criteria!$B$18),"NOTE: safety railing required (D &gt; "&amp;SG_Criteria!$B$18&amp;" mm). ","")&amp;IF(AND(E242="Entrance culvert",H242&lt;600),"NOTE: check hinged grating rule for culverts &lt; 600 deep (PUB Add. 3). ","")))</f>
        <v/>
      </c>
      <c r="BF242" s="9"/>
      <c r="BG242" s="9"/>
      <c r="BH242" s="9"/>
      <c r="BI242" s="10" t="str">
        <f aca="false">IF(BH242="","",IFERROR(VLOOKUP(BH242,Projects!$A$5:$D$504,2,0),"Ref not in Projects"))</f>
        <v/>
      </c>
      <c r="BJ242" s="10" t="str">
        <f aca="false">IF(BH242="","",IFERROR(VLOOKUP(BH242,Projects!$A$5:$D$504,4,0),"Ref not in Projects"))</f>
        <v/>
      </c>
      <c r="BK242" s="9"/>
      <c r="BL242" s="9"/>
      <c r="BM242" s="9"/>
      <c r="BN242" s="40"/>
      <c r="BO242" s="9"/>
      <c r="BP242" s="40"/>
      <c r="BQ242" s="9"/>
      <c r="BR242" s="40"/>
      <c r="BS242" s="9"/>
      <c r="BT242" s="9"/>
      <c r="BU242" s="9"/>
      <c r="BV242" s="40"/>
      <c r="BW242" s="40"/>
      <c r="BX242" s="36" t="str">
        <f aca="false">IF(BW242="","",EDATE(BW242,SG_Criteria!$B$54*12))</f>
        <v/>
      </c>
      <c r="BY242" s="33" t="str">
        <f aca="true">IF(A242="","",IF(BW242="","NOTE: not reviewed yet",IF(TODAY()&gt;BX242,"NOTE: review overdue","OK")))</f>
        <v/>
      </c>
      <c r="BZ242" s="37" t="str">
        <f aca="false">IF(A242="","",ROUND((IF(LEN(D242)&gt;0,1,0)+IF(LEN(E242)&gt;0,1,0)+IF(LEN(F242)&gt;0,1,0)+IF(LEN(G242)&gt;0,1,0)+IF(LEN(H242)&gt;0,1,0)+IF(LEN(J242)&gt;0,1,0)+IF(LEN(K242)&gt;0,1,0)+IF(LEN(M242)&gt;0,1,0)+IF(LEN(O242)&gt;0,1,0)+IF(LEN(P242)&gt;0,1,0)+IF(LEN(Q242)&gt;0,1,0)+IF(LEN(S242)&gt;0,1,0)+IF(LEN(AC242)&gt;0,1,0)+IF(LEN(AV242)&gt;0,1,0)+IF(LEN(AW242)&gt;0,1,0)+IF(LEN(AG242)&gt;0,1,0)+IF(LEN(AI242)&gt;0,1,0)+IF(LEN(AJ242)&gt;0,1,0)+IF(LEN(AK242)&gt;0,1,0)+IF(LEN(AL242)&gt;0,1,0)+IF(LEN(AU242)&gt;0,1,0)+IF(LEN(BH242)&gt;0,1,0)+IF(LEN(BU242)&gt;0,1,0))/23,2))</f>
        <v/>
      </c>
      <c r="CA242" s="10" t="str">
        <f aca="false">IF(D242="","",IF(AND(AJ242="Approved",ISERROR(SEARCH("FAIL",BE242))),"Y","N"))</f>
        <v/>
      </c>
      <c r="CB242" s="10" t="str">
        <f aca="false">IF(D242="","",D242&amp;"|"&amp;G242&amp;"|"&amp;H242&amp;"|"&amp;M242&amp;"|"&amp;CA242)</f>
        <v/>
      </c>
    </row>
    <row r="243" customFormat="false" ht="15" hidden="false" customHeight="false" outlineLevel="0" collapsed="false">
      <c r="A243" s="10" t="str">
        <f aca="false">IF(D243="","","DRN-"&amp;IFERROR(VLOOKUP(D243,Lists!$A$4:$B$27,2,0),"??")&amp;"-"&amp;TEXT(G243,"0000")&amp;"x"&amp;TEXT(H243,"0000")&amp;IF(N(I243)&gt;1,"-"&amp;I243&amp;"C","")&amp;"-"&amp;IFERROR(VLOOKUP(M243,Lists!$J$4:$K$19,2,0),"??")&amp;"-"&amp;AI243)</f>
        <v/>
      </c>
      <c r="B243" s="10" t="str">
        <f aca="false">IF(D243="","",D243&amp;" "&amp;G243&amp;"W x "&amp;H243&amp;"D"&amp;IF(N(I243)&gt;1," ("&amp;I243&amp;" cells)","")&amp;", "&amp;E243&amp;", "&amp;M243&amp;", "&amp;F243)</f>
        <v/>
      </c>
      <c r="C243" s="9"/>
      <c r="D243" s="9"/>
      <c r="E243" s="9"/>
      <c r="F243" s="9"/>
      <c r="G243" s="38"/>
      <c r="H243" s="38"/>
      <c r="I243" s="38"/>
      <c r="J243" s="38"/>
      <c r="K243" s="38"/>
      <c r="L243" s="38"/>
      <c r="M243" s="9"/>
      <c r="N243" s="9"/>
      <c r="O243" s="9"/>
      <c r="P243" s="38"/>
      <c r="Q243" s="9"/>
      <c r="R243" s="9"/>
      <c r="S243" s="9"/>
      <c r="T243" s="9"/>
      <c r="U243" s="9"/>
      <c r="V243" s="9"/>
      <c r="W243" s="9"/>
      <c r="X243" s="9"/>
      <c r="Y243" s="9"/>
      <c r="Z243" s="9"/>
      <c r="AA243" s="9"/>
      <c r="AB243" s="39"/>
      <c r="AC243" s="9"/>
      <c r="AD243" s="38"/>
      <c r="AE243" s="9"/>
      <c r="AF243" s="39"/>
      <c r="AG243" s="9"/>
      <c r="AH243" s="9"/>
      <c r="AI243" s="9"/>
      <c r="AJ243" s="9"/>
      <c r="AK243" s="9"/>
      <c r="AL243" s="9"/>
      <c r="AM243" s="9"/>
      <c r="AN243" s="10" t="str">
        <f aca="false">IF(A243="","",SG_Criteria!$B$6&amp;SG_Criteria!$B$7&amp;"\"&amp;A243&amp;"\")</f>
        <v/>
      </c>
      <c r="AO243" s="10" t="str">
        <f aca="false">IF(A243="","",A243&amp;"_CAD.dwg")</f>
        <v/>
      </c>
      <c r="AP243" s="10" t="str">
        <f aca="false">IF(A243="","",A243&amp;"_DWG.pdf")</f>
        <v/>
      </c>
      <c r="AQ243" s="10" t="str">
        <f aca="false">IF(A243="","",IF(AM243="Y",A243&amp;"_STAAD.std","n/a"))</f>
        <v/>
      </c>
      <c r="AR243" s="10" t="str">
        <f aca="false">IF(A243="","",A243&amp;"_CALC.xlsx")</f>
        <v/>
      </c>
      <c r="AS243" s="10" t="str">
        <f aca="false">IF(A243="","",A243&amp;"_CALC.pdf")</f>
        <v/>
      </c>
      <c r="AT243" s="9"/>
      <c r="AU243" s="9"/>
      <c r="AV243" s="39"/>
      <c r="AW243" s="39"/>
      <c r="AX243" s="39"/>
      <c r="AY243" s="39"/>
      <c r="AZ243" s="39"/>
      <c r="BA243" s="12" t="str">
        <f aca="false">IF(A243="","",IF(COUNTIF(Rebar_Schedule!$A$5:$A$2004,A243)=0,"",ROUND(SUMIF(Rebar_Schedule!$A$5:$A$2004,A243,Rebar_Schedule!$K$5:$K$2004),1)))</f>
        <v/>
      </c>
      <c r="BB243" s="33" t="str">
        <f aca="false">IF(A243="","",IF(BA243="","No rebar schedule yet",IF(ABS(BA243-N(AW243))/MAX(N(AW243),1)&gt;SG_Criteria!$B$55,"NOTE: register rebar differs from schedule by "&amp;TEXT(ABS(BA243-N(AW243))/MAX(N(AW243),1),"0%"),"OK")))</f>
        <v/>
      </c>
      <c r="BC243" s="34" t="str">
        <f aca="false">IF(OR(D243="",G243="",H243="",D243="Sump",D243="Drop Inlet Chamber",D243="Silt Trap",D243="Pipe Culvert",D243="Subsoil Drain"),"",ROUND(MAX(1,N(I243))*(1/SG_Criteria!$B$26)*((G243/1000)*(H243/1000*(1-SG_Criteria!$B$25)))*(((G243/1000)*(H243/1000*(1-SG_Criteria!$B$25)))/((G243/1000)+2*(H243/1000*(1-SG_Criteria!$B$25))))^(2/3)*(1/Design_Selector!$B$11)^0.5,3))</f>
        <v/>
      </c>
      <c r="BD243" s="11" t="str">
        <f aca="false">IF(BC243="","",ROUND(BC243/(MAX(1,N(I243))*G243/1000*(H243/1000*(1-SG_Criteria!$B$25))),2))</f>
        <v/>
      </c>
      <c r="BE243" s="33" t="str">
        <f aca="false">IF(D243="","",IF(LEN(IF(AND(OR(E243="Roadside drain",E243="Entrance culvert"),OR(G243&lt;SG_Criteria!$B$15,H243&lt;SG_Criteria!$B$16)),"FAIL: below PUB min "&amp;SG_Criteria!$B$15&amp;"x"&amp;SG_Criteria!$B$16&amp;" for roadside drain. ","")&amp;IF(AND(E243="Common drain",G243&lt;SG_Criteria!$B$17),"FAIL: common drain W &lt; "&amp;SG_Criteria!$B$17&amp;" mm. ","")&amp;IF(AND(O243&lt;&gt;"",IFERROR(VALUE(MID(O243,2,2)),0)&lt;SG_Criteria!$B$19),"FAIL: grade below C"&amp;SG_Criteria!$B$19&amp;". ","")&amp;IF(AND(P243&lt;&gt;"",P243&lt;SG_Criteria!$B$20),"FAIL: cover &lt; "&amp;SG_Criteria!$B$20&amp;" mm. ","")&amp;IF(AND(F243="Open",H243&gt;SG_Criteria!$B$18),"NOTE: safety railing required (D &gt; "&amp;SG_Criteria!$B$18&amp;" mm). ","")&amp;IF(AND(E243="Entrance culvert",H243&lt;600),"NOTE: check hinged grating rule for culverts &lt; 600 deep (PUB Add. 3). ",""))=0,"OK",IF(AND(OR(E243="Roadside drain",E243="Entrance culvert"),OR(G243&lt;SG_Criteria!$B$15,H243&lt;SG_Criteria!$B$16)),"FAIL: below PUB min "&amp;SG_Criteria!$B$15&amp;"x"&amp;SG_Criteria!$B$16&amp;" for roadside drain. ","")&amp;IF(AND(E243="Common drain",G243&lt;SG_Criteria!$B$17),"FAIL: common drain W &lt; "&amp;SG_Criteria!$B$17&amp;" mm. ","")&amp;IF(AND(O243&lt;&gt;"",IFERROR(VALUE(MID(O243,2,2)),0)&lt;SG_Criteria!$B$19),"FAIL: grade below C"&amp;SG_Criteria!$B$19&amp;". ","")&amp;IF(AND(P243&lt;&gt;"",P243&lt;SG_Criteria!$B$20),"FAIL: cover &lt; "&amp;SG_Criteria!$B$20&amp;" mm. ","")&amp;IF(AND(F243="Open",H243&gt;SG_Criteria!$B$18),"NOTE: safety railing required (D &gt; "&amp;SG_Criteria!$B$18&amp;" mm). ","")&amp;IF(AND(E243="Entrance culvert",H243&lt;600),"NOTE: check hinged grating rule for culverts &lt; 600 deep (PUB Add. 3). ","")))</f>
        <v/>
      </c>
      <c r="BF243" s="9"/>
      <c r="BG243" s="9"/>
      <c r="BH243" s="9"/>
      <c r="BI243" s="10" t="str">
        <f aca="false">IF(BH243="","",IFERROR(VLOOKUP(BH243,Projects!$A$5:$D$504,2,0),"Ref not in Projects"))</f>
        <v/>
      </c>
      <c r="BJ243" s="10" t="str">
        <f aca="false">IF(BH243="","",IFERROR(VLOOKUP(BH243,Projects!$A$5:$D$504,4,0),"Ref not in Projects"))</f>
        <v/>
      </c>
      <c r="BK243" s="9"/>
      <c r="BL243" s="9"/>
      <c r="BM243" s="9"/>
      <c r="BN243" s="40"/>
      <c r="BO243" s="9"/>
      <c r="BP243" s="40"/>
      <c r="BQ243" s="9"/>
      <c r="BR243" s="40"/>
      <c r="BS243" s="9"/>
      <c r="BT243" s="9"/>
      <c r="BU243" s="9"/>
      <c r="BV243" s="40"/>
      <c r="BW243" s="40"/>
      <c r="BX243" s="36" t="str">
        <f aca="false">IF(BW243="","",EDATE(BW243,SG_Criteria!$B$54*12))</f>
        <v/>
      </c>
      <c r="BY243" s="33" t="str">
        <f aca="true">IF(A243="","",IF(BW243="","NOTE: not reviewed yet",IF(TODAY()&gt;BX243,"NOTE: review overdue","OK")))</f>
        <v/>
      </c>
      <c r="BZ243" s="37" t="str">
        <f aca="false">IF(A243="","",ROUND((IF(LEN(D243)&gt;0,1,0)+IF(LEN(E243)&gt;0,1,0)+IF(LEN(F243)&gt;0,1,0)+IF(LEN(G243)&gt;0,1,0)+IF(LEN(H243)&gt;0,1,0)+IF(LEN(J243)&gt;0,1,0)+IF(LEN(K243)&gt;0,1,0)+IF(LEN(M243)&gt;0,1,0)+IF(LEN(O243)&gt;0,1,0)+IF(LEN(P243)&gt;0,1,0)+IF(LEN(Q243)&gt;0,1,0)+IF(LEN(S243)&gt;0,1,0)+IF(LEN(AC243)&gt;0,1,0)+IF(LEN(AV243)&gt;0,1,0)+IF(LEN(AW243)&gt;0,1,0)+IF(LEN(AG243)&gt;0,1,0)+IF(LEN(AI243)&gt;0,1,0)+IF(LEN(AJ243)&gt;0,1,0)+IF(LEN(AK243)&gt;0,1,0)+IF(LEN(AL243)&gt;0,1,0)+IF(LEN(AU243)&gt;0,1,0)+IF(LEN(BH243)&gt;0,1,0)+IF(LEN(BU243)&gt;0,1,0))/23,2))</f>
        <v/>
      </c>
      <c r="CA243" s="10" t="str">
        <f aca="false">IF(D243="","",IF(AND(AJ243="Approved",ISERROR(SEARCH("FAIL",BE243))),"Y","N"))</f>
        <v/>
      </c>
      <c r="CB243" s="10" t="str">
        <f aca="false">IF(D243="","",D243&amp;"|"&amp;G243&amp;"|"&amp;H243&amp;"|"&amp;M243&amp;"|"&amp;CA243)</f>
        <v/>
      </c>
    </row>
    <row r="244" customFormat="false" ht="15" hidden="false" customHeight="false" outlineLevel="0" collapsed="false">
      <c r="A244" s="10" t="str">
        <f aca="false">IF(D244="","","DRN-"&amp;IFERROR(VLOOKUP(D244,Lists!$A$4:$B$27,2,0),"??")&amp;"-"&amp;TEXT(G244,"0000")&amp;"x"&amp;TEXT(H244,"0000")&amp;IF(N(I244)&gt;1,"-"&amp;I244&amp;"C","")&amp;"-"&amp;IFERROR(VLOOKUP(M244,Lists!$J$4:$K$19,2,0),"??")&amp;"-"&amp;AI244)</f>
        <v/>
      </c>
      <c r="B244" s="10" t="str">
        <f aca="false">IF(D244="","",D244&amp;" "&amp;G244&amp;"W x "&amp;H244&amp;"D"&amp;IF(N(I244)&gt;1," ("&amp;I244&amp;" cells)","")&amp;", "&amp;E244&amp;", "&amp;M244&amp;", "&amp;F244)</f>
        <v/>
      </c>
      <c r="C244" s="9"/>
      <c r="D244" s="9"/>
      <c r="E244" s="9"/>
      <c r="F244" s="9"/>
      <c r="G244" s="38"/>
      <c r="H244" s="38"/>
      <c r="I244" s="38"/>
      <c r="J244" s="38"/>
      <c r="K244" s="38"/>
      <c r="L244" s="38"/>
      <c r="M244" s="9"/>
      <c r="N244" s="9"/>
      <c r="O244" s="9"/>
      <c r="P244" s="38"/>
      <c r="Q244" s="9"/>
      <c r="R244" s="9"/>
      <c r="S244" s="9"/>
      <c r="T244" s="9"/>
      <c r="U244" s="9"/>
      <c r="V244" s="9"/>
      <c r="W244" s="9"/>
      <c r="X244" s="9"/>
      <c r="Y244" s="9"/>
      <c r="Z244" s="9"/>
      <c r="AA244" s="9"/>
      <c r="AB244" s="39"/>
      <c r="AC244" s="9"/>
      <c r="AD244" s="38"/>
      <c r="AE244" s="9"/>
      <c r="AF244" s="39"/>
      <c r="AG244" s="9"/>
      <c r="AH244" s="9"/>
      <c r="AI244" s="9"/>
      <c r="AJ244" s="9"/>
      <c r="AK244" s="9"/>
      <c r="AL244" s="9"/>
      <c r="AM244" s="9"/>
      <c r="AN244" s="10" t="str">
        <f aca="false">IF(A244="","",SG_Criteria!$B$6&amp;SG_Criteria!$B$7&amp;"\"&amp;A244&amp;"\")</f>
        <v/>
      </c>
      <c r="AO244" s="10" t="str">
        <f aca="false">IF(A244="","",A244&amp;"_CAD.dwg")</f>
        <v/>
      </c>
      <c r="AP244" s="10" t="str">
        <f aca="false">IF(A244="","",A244&amp;"_DWG.pdf")</f>
        <v/>
      </c>
      <c r="AQ244" s="10" t="str">
        <f aca="false">IF(A244="","",IF(AM244="Y",A244&amp;"_STAAD.std","n/a"))</f>
        <v/>
      </c>
      <c r="AR244" s="10" t="str">
        <f aca="false">IF(A244="","",A244&amp;"_CALC.xlsx")</f>
        <v/>
      </c>
      <c r="AS244" s="10" t="str">
        <f aca="false">IF(A244="","",A244&amp;"_CALC.pdf")</f>
        <v/>
      </c>
      <c r="AT244" s="9"/>
      <c r="AU244" s="9"/>
      <c r="AV244" s="39"/>
      <c r="AW244" s="39"/>
      <c r="AX244" s="39"/>
      <c r="AY244" s="39"/>
      <c r="AZ244" s="39"/>
      <c r="BA244" s="12" t="str">
        <f aca="false">IF(A244="","",IF(COUNTIF(Rebar_Schedule!$A$5:$A$2004,A244)=0,"",ROUND(SUMIF(Rebar_Schedule!$A$5:$A$2004,A244,Rebar_Schedule!$K$5:$K$2004),1)))</f>
        <v/>
      </c>
      <c r="BB244" s="33" t="str">
        <f aca="false">IF(A244="","",IF(BA244="","No rebar schedule yet",IF(ABS(BA244-N(AW244))/MAX(N(AW244),1)&gt;SG_Criteria!$B$55,"NOTE: register rebar differs from schedule by "&amp;TEXT(ABS(BA244-N(AW244))/MAX(N(AW244),1),"0%"),"OK")))</f>
        <v/>
      </c>
      <c r="BC244" s="34" t="str">
        <f aca="false">IF(OR(D244="",G244="",H244="",D244="Sump",D244="Drop Inlet Chamber",D244="Silt Trap",D244="Pipe Culvert",D244="Subsoil Drain"),"",ROUND(MAX(1,N(I244))*(1/SG_Criteria!$B$26)*((G244/1000)*(H244/1000*(1-SG_Criteria!$B$25)))*(((G244/1000)*(H244/1000*(1-SG_Criteria!$B$25)))/((G244/1000)+2*(H244/1000*(1-SG_Criteria!$B$25))))^(2/3)*(1/Design_Selector!$B$11)^0.5,3))</f>
        <v/>
      </c>
      <c r="BD244" s="11" t="str">
        <f aca="false">IF(BC244="","",ROUND(BC244/(MAX(1,N(I244))*G244/1000*(H244/1000*(1-SG_Criteria!$B$25))),2))</f>
        <v/>
      </c>
      <c r="BE244" s="33" t="str">
        <f aca="false">IF(D244="","",IF(LEN(IF(AND(OR(E244="Roadside drain",E244="Entrance culvert"),OR(G244&lt;SG_Criteria!$B$15,H244&lt;SG_Criteria!$B$16)),"FAIL: below PUB min "&amp;SG_Criteria!$B$15&amp;"x"&amp;SG_Criteria!$B$16&amp;" for roadside drain. ","")&amp;IF(AND(E244="Common drain",G244&lt;SG_Criteria!$B$17),"FAIL: common drain W &lt; "&amp;SG_Criteria!$B$17&amp;" mm. ","")&amp;IF(AND(O244&lt;&gt;"",IFERROR(VALUE(MID(O244,2,2)),0)&lt;SG_Criteria!$B$19),"FAIL: grade below C"&amp;SG_Criteria!$B$19&amp;". ","")&amp;IF(AND(P244&lt;&gt;"",P244&lt;SG_Criteria!$B$20),"FAIL: cover &lt; "&amp;SG_Criteria!$B$20&amp;" mm. ","")&amp;IF(AND(F244="Open",H244&gt;SG_Criteria!$B$18),"NOTE: safety railing required (D &gt; "&amp;SG_Criteria!$B$18&amp;" mm). ","")&amp;IF(AND(E244="Entrance culvert",H244&lt;600),"NOTE: check hinged grating rule for culverts &lt; 600 deep (PUB Add. 3). ",""))=0,"OK",IF(AND(OR(E244="Roadside drain",E244="Entrance culvert"),OR(G244&lt;SG_Criteria!$B$15,H244&lt;SG_Criteria!$B$16)),"FAIL: below PUB min "&amp;SG_Criteria!$B$15&amp;"x"&amp;SG_Criteria!$B$16&amp;" for roadside drain. ","")&amp;IF(AND(E244="Common drain",G244&lt;SG_Criteria!$B$17),"FAIL: common drain W &lt; "&amp;SG_Criteria!$B$17&amp;" mm. ","")&amp;IF(AND(O244&lt;&gt;"",IFERROR(VALUE(MID(O244,2,2)),0)&lt;SG_Criteria!$B$19),"FAIL: grade below C"&amp;SG_Criteria!$B$19&amp;". ","")&amp;IF(AND(P244&lt;&gt;"",P244&lt;SG_Criteria!$B$20),"FAIL: cover &lt; "&amp;SG_Criteria!$B$20&amp;" mm. ","")&amp;IF(AND(F244="Open",H244&gt;SG_Criteria!$B$18),"NOTE: safety railing required (D &gt; "&amp;SG_Criteria!$B$18&amp;" mm). ","")&amp;IF(AND(E244="Entrance culvert",H244&lt;600),"NOTE: check hinged grating rule for culverts &lt; 600 deep (PUB Add. 3). ","")))</f>
        <v/>
      </c>
      <c r="BF244" s="9"/>
      <c r="BG244" s="9"/>
      <c r="BH244" s="9"/>
      <c r="BI244" s="10" t="str">
        <f aca="false">IF(BH244="","",IFERROR(VLOOKUP(BH244,Projects!$A$5:$D$504,2,0),"Ref not in Projects"))</f>
        <v/>
      </c>
      <c r="BJ244" s="10" t="str">
        <f aca="false">IF(BH244="","",IFERROR(VLOOKUP(BH244,Projects!$A$5:$D$504,4,0),"Ref not in Projects"))</f>
        <v/>
      </c>
      <c r="BK244" s="9"/>
      <c r="BL244" s="9"/>
      <c r="BM244" s="9"/>
      <c r="BN244" s="40"/>
      <c r="BO244" s="9"/>
      <c r="BP244" s="40"/>
      <c r="BQ244" s="9"/>
      <c r="BR244" s="40"/>
      <c r="BS244" s="9"/>
      <c r="BT244" s="9"/>
      <c r="BU244" s="9"/>
      <c r="BV244" s="40"/>
      <c r="BW244" s="40"/>
      <c r="BX244" s="36" t="str">
        <f aca="false">IF(BW244="","",EDATE(BW244,SG_Criteria!$B$54*12))</f>
        <v/>
      </c>
      <c r="BY244" s="33" t="str">
        <f aca="true">IF(A244="","",IF(BW244="","NOTE: not reviewed yet",IF(TODAY()&gt;BX244,"NOTE: review overdue","OK")))</f>
        <v/>
      </c>
      <c r="BZ244" s="37" t="str">
        <f aca="false">IF(A244="","",ROUND((IF(LEN(D244)&gt;0,1,0)+IF(LEN(E244)&gt;0,1,0)+IF(LEN(F244)&gt;0,1,0)+IF(LEN(G244)&gt;0,1,0)+IF(LEN(H244)&gt;0,1,0)+IF(LEN(J244)&gt;0,1,0)+IF(LEN(K244)&gt;0,1,0)+IF(LEN(M244)&gt;0,1,0)+IF(LEN(O244)&gt;0,1,0)+IF(LEN(P244)&gt;0,1,0)+IF(LEN(Q244)&gt;0,1,0)+IF(LEN(S244)&gt;0,1,0)+IF(LEN(AC244)&gt;0,1,0)+IF(LEN(AV244)&gt;0,1,0)+IF(LEN(AW244)&gt;0,1,0)+IF(LEN(AG244)&gt;0,1,0)+IF(LEN(AI244)&gt;0,1,0)+IF(LEN(AJ244)&gt;0,1,0)+IF(LEN(AK244)&gt;0,1,0)+IF(LEN(AL244)&gt;0,1,0)+IF(LEN(AU244)&gt;0,1,0)+IF(LEN(BH244)&gt;0,1,0)+IF(LEN(BU244)&gt;0,1,0))/23,2))</f>
        <v/>
      </c>
      <c r="CA244" s="10" t="str">
        <f aca="false">IF(D244="","",IF(AND(AJ244="Approved",ISERROR(SEARCH("FAIL",BE244))),"Y","N"))</f>
        <v/>
      </c>
      <c r="CB244" s="10" t="str">
        <f aca="false">IF(D244="","",D244&amp;"|"&amp;G244&amp;"|"&amp;H244&amp;"|"&amp;M244&amp;"|"&amp;CA244)</f>
        <v/>
      </c>
    </row>
    <row r="245" customFormat="false" ht="15" hidden="false" customHeight="false" outlineLevel="0" collapsed="false">
      <c r="A245" s="10" t="str">
        <f aca="false">IF(D245="","","DRN-"&amp;IFERROR(VLOOKUP(D245,Lists!$A$4:$B$27,2,0),"??")&amp;"-"&amp;TEXT(G245,"0000")&amp;"x"&amp;TEXT(H245,"0000")&amp;IF(N(I245)&gt;1,"-"&amp;I245&amp;"C","")&amp;"-"&amp;IFERROR(VLOOKUP(M245,Lists!$J$4:$K$19,2,0),"??")&amp;"-"&amp;AI245)</f>
        <v/>
      </c>
      <c r="B245" s="10" t="str">
        <f aca="false">IF(D245="","",D245&amp;" "&amp;G245&amp;"W x "&amp;H245&amp;"D"&amp;IF(N(I245)&gt;1," ("&amp;I245&amp;" cells)","")&amp;", "&amp;E245&amp;", "&amp;M245&amp;", "&amp;F245)</f>
        <v/>
      </c>
      <c r="C245" s="9"/>
      <c r="D245" s="9"/>
      <c r="E245" s="9"/>
      <c r="F245" s="9"/>
      <c r="G245" s="38"/>
      <c r="H245" s="38"/>
      <c r="I245" s="38"/>
      <c r="J245" s="38"/>
      <c r="K245" s="38"/>
      <c r="L245" s="38"/>
      <c r="M245" s="9"/>
      <c r="N245" s="9"/>
      <c r="O245" s="9"/>
      <c r="P245" s="38"/>
      <c r="Q245" s="9"/>
      <c r="R245" s="9"/>
      <c r="S245" s="9"/>
      <c r="T245" s="9"/>
      <c r="U245" s="9"/>
      <c r="V245" s="9"/>
      <c r="W245" s="9"/>
      <c r="X245" s="9"/>
      <c r="Y245" s="9"/>
      <c r="Z245" s="9"/>
      <c r="AA245" s="9"/>
      <c r="AB245" s="39"/>
      <c r="AC245" s="9"/>
      <c r="AD245" s="38"/>
      <c r="AE245" s="9"/>
      <c r="AF245" s="39"/>
      <c r="AG245" s="9"/>
      <c r="AH245" s="9"/>
      <c r="AI245" s="9"/>
      <c r="AJ245" s="9"/>
      <c r="AK245" s="9"/>
      <c r="AL245" s="9"/>
      <c r="AM245" s="9"/>
      <c r="AN245" s="10" t="str">
        <f aca="false">IF(A245="","",SG_Criteria!$B$6&amp;SG_Criteria!$B$7&amp;"\"&amp;A245&amp;"\")</f>
        <v/>
      </c>
      <c r="AO245" s="10" t="str">
        <f aca="false">IF(A245="","",A245&amp;"_CAD.dwg")</f>
        <v/>
      </c>
      <c r="AP245" s="10" t="str">
        <f aca="false">IF(A245="","",A245&amp;"_DWG.pdf")</f>
        <v/>
      </c>
      <c r="AQ245" s="10" t="str">
        <f aca="false">IF(A245="","",IF(AM245="Y",A245&amp;"_STAAD.std","n/a"))</f>
        <v/>
      </c>
      <c r="AR245" s="10" t="str">
        <f aca="false">IF(A245="","",A245&amp;"_CALC.xlsx")</f>
        <v/>
      </c>
      <c r="AS245" s="10" t="str">
        <f aca="false">IF(A245="","",A245&amp;"_CALC.pdf")</f>
        <v/>
      </c>
      <c r="AT245" s="9"/>
      <c r="AU245" s="9"/>
      <c r="AV245" s="39"/>
      <c r="AW245" s="39"/>
      <c r="AX245" s="39"/>
      <c r="AY245" s="39"/>
      <c r="AZ245" s="39"/>
      <c r="BA245" s="12" t="str">
        <f aca="false">IF(A245="","",IF(COUNTIF(Rebar_Schedule!$A$5:$A$2004,A245)=0,"",ROUND(SUMIF(Rebar_Schedule!$A$5:$A$2004,A245,Rebar_Schedule!$K$5:$K$2004),1)))</f>
        <v/>
      </c>
      <c r="BB245" s="33" t="str">
        <f aca="false">IF(A245="","",IF(BA245="","No rebar schedule yet",IF(ABS(BA245-N(AW245))/MAX(N(AW245),1)&gt;SG_Criteria!$B$55,"NOTE: register rebar differs from schedule by "&amp;TEXT(ABS(BA245-N(AW245))/MAX(N(AW245),1),"0%"),"OK")))</f>
        <v/>
      </c>
      <c r="BC245" s="34" t="str">
        <f aca="false">IF(OR(D245="",G245="",H245="",D245="Sump",D245="Drop Inlet Chamber",D245="Silt Trap",D245="Pipe Culvert",D245="Subsoil Drain"),"",ROUND(MAX(1,N(I245))*(1/SG_Criteria!$B$26)*((G245/1000)*(H245/1000*(1-SG_Criteria!$B$25)))*(((G245/1000)*(H245/1000*(1-SG_Criteria!$B$25)))/((G245/1000)+2*(H245/1000*(1-SG_Criteria!$B$25))))^(2/3)*(1/Design_Selector!$B$11)^0.5,3))</f>
        <v/>
      </c>
      <c r="BD245" s="11" t="str">
        <f aca="false">IF(BC245="","",ROUND(BC245/(MAX(1,N(I245))*G245/1000*(H245/1000*(1-SG_Criteria!$B$25))),2))</f>
        <v/>
      </c>
      <c r="BE245" s="33" t="str">
        <f aca="false">IF(D245="","",IF(LEN(IF(AND(OR(E245="Roadside drain",E245="Entrance culvert"),OR(G245&lt;SG_Criteria!$B$15,H245&lt;SG_Criteria!$B$16)),"FAIL: below PUB min "&amp;SG_Criteria!$B$15&amp;"x"&amp;SG_Criteria!$B$16&amp;" for roadside drain. ","")&amp;IF(AND(E245="Common drain",G245&lt;SG_Criteria!$B$17),"FAIL: common drain W &lt; "&amp;SG_Criteria!$B$17&amp;" mm. ","")&amp;IF(AND(O245&lt;&gt;"",IFERROR(VALUE(MID(O245,2,2)),0)&lt;SG_Criteria!$B$19),"FAIL: grade below C"&amp;SG_Criteria!$B$19&amp;". ","")&amp;IF(AND(P245&lt;&gt;"",P245&lt;SG_Criteria!$B$20),"FAIL: cover &lt; "&amp;SG_Criteria!$B$20&amp;" mm. ","")&amp;IF(AND(F245="Open",H245&gt;SG_Criteria!$B$18),"NOTE: safety railing required (D &gt; "&amp;SG_Criteria!$B$18&amp;" mm). ","")&amp;IF(AND(E245="Entrance culvert",H245&lt;600),"NOTE: check hinged grating rule for culverts &lt; 600 deep (PUB Add. 3). ",""))=0,"OK",IF(AND(OR(E245="Roadside drain",E245="Entrance culvert"),OR(G245&lt;SG_Criteria!$B$15,H245&lt;SG_Criteria!$B$16)),"FAIL: below PUB min "&amp;SG_Criteria!$B$15&amp;"x"&amp;SG_Criteria!$B$16&amp;" for roadside drain. ","")&amp;IF(AND(E245="Common drain",G245&lt;SG_Criteria!$B$17),"FAIL: common drain W &lt; "&amp;SG_Criteria!$B$17&amp;" mm. ","")&amp;IF(AND(O245&lt;&gt;"",IFERROR(VALUE(MID(O245,2,2)),0)&lt;SG_Criteria!$B$19),"FAIL: grade below C"&amp;SG_Criteria!$B$19&amp;". ","")&amp;IF(AND(P245&lt;&gt;"",P245&lt;SG_Criteria!$B$20),"FAIL: cover &lt; "&amp;SG_Criteria!$B$20&amp;" mm. ","")&amp;IF(AND(F245="Open",H245&gt;SG_Criteria!$B$18),"NOTE: safety railing required (D &gt; "&amp;SG_Criteria!$B$18&amp;" mm). ","")&amp;IF(AND(E245="Entrance culvert",H245&lt;600),"NOTE: check hinged grating rule for culverts &lt; 600 deep (PUB Add. 3). ","")))</f>
        <v/>
      </c>
      <c r="BF245" s="9"/>
      <c r="BG245" s="9"/>
      <c r="BH245" s="9"/>
      <c r="BI245" s="10" t="str">
        <f aca="false">IF(BH245="","",IFERROR(VLOOKUP(BH245,Projects!$A$5:$D$504,2,0),"Ref not in Projects"))</f>
        <v/>
      </c>
      <c r="BJ245" s="10" t="str">
        <f aca="false">IF(BH245="","",IFERROR(VLOOKUP(BH245,Projects!$A$5:$D$504,4,0),"Ref not in Projects"))</f>
        <v/>
      </c>
      <c r="BK245" s="9"/>
      <c r="BL245" s="9"/>
      <c r="BM245" s="9"/>
      <c r="BN245" s="40"/>
      <c r="BO245" s="9"/>
      <c r="BP245" s="40"/>
      <c r="BQ245" s="9"/>
      <c r="BR245" s="40"/>
      <c r="BS245" s="9"/>
      <c r="BT245" s="9"/>
      <c r="BU245" s="9"/>
      <c r="BV245" s="40"/>
      <c r="BW245" s="40"/>
      <c r="BX245" s="36" t="str">
        <f aca="false">IF(BW245="","",EDATE(BW245,SG_Criteria!$B$54*12))</f>
        <v/>
      </c>
      <c r="BY245" s="33" t="str">
        <f aca="true">IF(A245="","",IF(BW245="","NOTE: not reviewed yet",IF(TODAY()&gt;BX245,"NOTE: review overdue","OK")))</f>
        <v/>
      </c>
      <c r="BZ245" s="37" t="str">
        <f aca="false">IF(A245="","",ROUND((IF(LEN(D245)&gt;0,1,0)+IF(LEN(E245)&gt;0,1,0)+IF(LEN(F245)&gt;0,1,0)+IF(LEN(G245)&gt;0,1,0)+IF(LEN(H245)&gt;0,1,0)+IF(LEN(J245)&gt;0,1,0)+IF(LEN(K245)&gt;0,1,0)+IF(LEN(M245)&gt;0,1,0)+IF(LEN(O245)&gt;0,1,0)+IF(LEN(P245)&gt;0,1,0)+IF(LEN(Q245)&gt;0,1,0)+IF(LEN(S245)&gt;0,1,0)+IF(LEN(AC245)&gt;0,1,0)+IF(LEN(AV245)&gt;0,1,0)+IF(LEN(AW245)&gt;0,1,0)+IF(LEN(AG245)&gt;0,1,0)+IF(LEN(AI245)&gt;0,1,0)+IF(LEN(AJ245)&gt;0,1,0)+IF(LEN(AK245)&gt;0,1,0)+IF(LEN(AL245)&gt;0,1,0)+IF(LEN(AU245)&gt;0,1,0)+IF(LEN(BH245)&gt;0,1,0)+IF(LEN(BU245)&gt;0,1,0))/23,2))</f>
        <v/>
      </c>
      <c r="CA245" s="10" t="str">
        <f aca="false">IF(D245="","",IF(AND(AJ245="Approved",ISERROR(SEARCH("FAIL",BE245))),"Y","N"))</f>
        <v/>
      </c>
      <c r="CB245" s="10" t="str">
        <f aca="false">IF(D245="","",D245&amp;"|"&amp;G245&amp;"|"&amp;H245&amp;"|"&amp;M245&amp;"|"&amp;CA245)</f>
        <v/>
      </c>
    </row>
    <row r="246" customFormat="false" ht="15" hidden="false" customHeight="false" outlineLevel="0" collapsed="false">
      <c r="A246" s="10" t="str">
        <f aca="false">IF(D246="","","DRN-"&amp;IFERROR(VLOOKUP(D246,Lists!$A$4:$B$27,2,0),"??")&amp;"-"&amp;TEXT(G246,"0000")&amp;"x"&amp;TEXT(H246,"0000")&amp;IF(N(I246)&gt;1,"-"&amp;I246&amp;"C","")&amp;"-"&amp;IFERROR(VLOOKUP(M246,Lists!$J$4:$K$19,2,0),"??")&amp;"-"&amp;AI246)</f>
        <v/>
      </c>
      <c r="B246" s="10" t="str">
        <f aca="false">IF(D246="","",D246&amp;" "&amp;G246&amp;"W x "&amp;H246&amp;"D"&amp;IF(N(I246)&gt;1," ("&amp;I246&amp;" cells)","")&amp;", "&amp;E246&amp;", "&amp;M246&amp;", "&amp;F246)</f>
        <v/>
      </c>
      <c r="C246" s="9"/>
      <c r="D246" s="9"/>
      <c r="E246" s="9"/>
      <c r="F246" s="9"/>
      <c r="G246" s="38"/>
      <c r="H246" s="38"/>
      <c r="I246" s="38"/>
      <c r="J246" s="38"/>
      <c r="K246" s="38"/>
      <c r="L246" s="38"/>
      <c r="M246" s="9"/>
      <c r="N246" s="9"/>
      <c r="O246" s="9"/>
      <c r="P246" s="38"/>
      <c r="Q246" s="9"/>
      <c r="R246" s="9"/>
      <c r="S246" s="9"/>
      <c r="T246" s="9"/>
      <c r="U246" s="9"/>
      <c r="V246" s="9"/>
      <c r="W246" s="9"/>
      <c r="X246" s="9"/>
      <c r="Y246" s="9"/>
      <c r="Z246" s="9"/>
      <c r="AA246" s="9"/>
      <c r="AB246" s="39"/>
      <c r="AC246" s="9"/>
      <c r="AD246" s="38"/>
      <c r="AE246" s="9"/>
      <c r="AF246" s="39"/>
      <c r="AG246" s="9"/>
      <c r="AH246" s="9"/>
      <c r="AI246" s="9"/>
      <c r="AJ246" s="9"/>
      <c r="AK246" s="9"/>
      <c r="AL246" s="9"/>
      <c r="AM246" s="9"/>
      <c r="AN246" s="10" t="str">
        <f aca="false">IF(A246="","",SG_Criteria!$B$6&amp;SG_Criteria!$B$7&amp;"\"&amp;A246&amp;"\")</f>
        <v/>
      </c>
      <c r="AO246" s="10" t="str">
        <f aca="false">IF(A246="","",A246&amp;"_CAD.dwg")</f>
        <v/>
      </c>
      <c r="AP246" s="10" t="str">
        <f aca="false">IF(A246="","",A246&amp;"_DWG.pdf")</f>
        <v/>
      </c>
      <c r="AQ246" s="10" t="str">
        <f aca="false">IF(A246="","",IF(AM246="Y",A246&amp;"_STAAD.std","n/a"))</f>
        <v/>
      </c>
      <c r="AR246" s="10" t="str">
        <f aca="false">IF(A246="","",A246&amp;"_CALC.xlsx")</f>
        <v/>
      </c>
      <c r="AS246" s="10" t="str">
        <f aca="false">IF(A246="","",A246&amp;"_CALC.pdf")</f>
        <v/>
      </c>
      <c r="AT246" s="9"/>
      <c r="AU246" s="9"/>
      <c r="AV246" s="39"/>
      <c r="AW246" s="39"/>
      <c r="AX246" s="39"/>
      <c r="AY246" s="39"/>
      <c r="AZ246" s="39"/>
      <c r="BA246" s="12" t="str">
        <f aca="false">IF(A246="","",IF(COUNTIF(Rebar_Schedule!$A$5:$A$2004,A246)=0,"",ROUND(SUMIF(Rebar_Schedule!$A$5:$A$2004,A246,Rebar_Schedule!$K$5:$K$2004),1)))</f>
        <v/>
      </c>
      <c r="BB246" s="33" t="str">
        <f aca="false">IF(A246="","",IF(BA246="","No rebar schedule yet",IF(ABS(BA246-N(AW246))/MAX(N(AW246),1)&gt;SG_Criteria!$B$55,"NOTE: register rebar differs from schedule by "&amp;TEXT(ABS(BA246-N(AW246))/MAX(N(AW246),1),"0%"),"OK")))</f>
        <v/>
      </c>
      <c r="BC246" s="34" t="str">
        <f aca="false">IF(OR(D246="",G246="",H246="",D246="Sump",D246="Drop Inlet Chamber",D246="Silt Trap",D246="Pipe Culvert",D246="Subsoil Drain"),"",ROUND(MAX(1,N(I246))*(1/SG_Criteria!$B$26)*((G246/1000)*(H246/1000*(1-SG_Criteria!$B$25)))*(((G246/1000)*(H246/1000*(1-SG_Criteria!$B$25)))/((G246/1000)+2*(H246/1000*(1-SG_Criteria!$B$25))))^(2/3)*(1/Design_Selector!$B$11)^0.5,3))</f>
        <v/>
      </c>
      <c r="BD246" s="11" t="str">
        <f aca="false">IF(BC246="","",ROUND(BC246/(MAX(1,N(I246))*G246/1000*(H246/1000*(1-SG_Criteria!$B$25))),2))</f>
        <v/>
      </c>
      <c r="BE246" s="33" t="str">
        <f aca="false">IF(D246="","",IF(LEN(IF(AND(OR(E246="Roadside drain",E246="Entrance culvert"),OR(G246&lt;SG_Criteria!$B$15,H246&lt;SG_Criteria!$B$16)),"FAIL: below PUB min "&amp;SG_Criteria!$B$15&amp;"x"&amp;SG_Criteria!$B$16&amp;" for roadside drain. ","")&amp;IF(AND(E246="Common drain",G246&lt;SG_Criteria!$B$17),"FAIL: common drain W &lt; "&amp;SG_Criteria!$B$17&amp;" mm. ","")&amp;IF(AND(O246&lt;&gt;"",IFERROR(VALUE(MID(O246,2,2)),0)&lt;SG_Criteria!$B$19),"FAIL: grade below C"&amp;SG_Criteria!$B$19&amp;". ","")&amp;IF(AND(P246&lt;&gt;"",P246&lt;SG_Criteria!$B$20),"FAIL: cover &lt; "&amp;SG_Criteria!$B$20&amp;" mm. ","")&amp;IF(AND(F246="Open",H246&gt;SG_Criteria!$B$18),"NOTE: safety railing required (D &gt; "&amp;SG_Criteria!$B$18&amp;" mm). ","")&amp;IF(AND(E246="Entrance culvert",H246&lt;600),"NOTE: check hinged grating rule for culverts &lt; 600 deep (PUB Add. 3). ",""))=0,"OK",IF(AND(OR(E246="Roadside drain",E246="Entrance culvert"),OR(G246&lt;SG_Criteria!$B$15,H246&lt;SG_Criteria!$B$16)),"FAIL: below PUB min "&amp;SG_Criteria!$B$15&amp;"x"&amp;SG_Criteria!$B$16&amp;" for roadside drain. ","")&amp;IF(AND(E246="Common drain",G246&lt;SG_Criteria!$B$17),"FAIL: common drain W &lt; "&amp;SG_Criteria!$B$17&amp;" mm. ","")&amp;IF(AND(O246&lt;&gt;"",IFERROR(VALUE(MID(O246,2,2)),0)&lt;SG_Criteria!$B$19),"FAIL: grade below C"&amp;SG_Criteria!$B$19&amp;". ","")&amp;IF(AND(P246&lt;&gt;"",P246&lt;SG_Criteria!$B$20),"FAIL: cover &lt; "&amp;SG_Criteria!$B$20&amp;" mm. ","")&amp;IF(AND(F246="Open",H246&gt;SG_Criteria!$B$18),"NOTE: safety railing required (D &gt; "&amp;SG_Criteria!$B$18&amp;" mm). ","")&amp;IF(AND(E246="Entrance culvert",H246&lt;600),"NOTE: check hinged grating rule for culverts &lt; 600 deep (PUB Add. 3). ","")))</f>
        <v/>
      </c>
      <c r="BF246" s="9"/>
      <c r="BG246" s="9"/>
      <c r="BH246" s="9"/>
      <c r="BI246" s="10" t="str">
        <f aca="false">IF(BH246="","",IFERROR(VLOOKUP(BH246,Projects!$A$5:$D$504,2,0),"Ref not in Projects"))</f>
        <v/>
      </c>
      <c r="BJ246" s="10" t="str">
        <f aca="false">IF(BH246="","",IFERROR(VLOOKUP(BH246,Projects!$A$5:$D$504,4,0),"Ref not in Projects"))</f>
        <v/>
      </c>
      <c r="BK246" s="9"/>
      <c r="BL246" s="9"/>
      <c r="BM246" s="9"/>
      <c r="BN246" s="40"/>
      <c r="BO246" s="9"/>
      <c r="BP246" s="40"/>
      <c r="BQ246" s="9"/>
      <c r="BR246" s="40"/>
      <c r="BS246" s="9"/>
      <c r="BT246" s="9"/>
      <c r="BU246" s="9"/>
      <c r="BV246" s="40"/>
      <c r="BW246" s="40"/>
      <c r="BX246" s="36" t="str">
        <f aca="false">IF(BW246="","",EDATE(BW246,SG_Criteria!$B$54*12))</f>
        <v/>
      </c>
      <c r="BY246" s="33" t="str">
        <f aca="true">IF(A246="","",IF(BW246="","NOTE: not reviewed yet",IF(TODAY()&gt;BX246,"NOTE: review overdue","OK")))</f>
        <v/>
      </c>
      <c r="BZ246" s="37" t="str">
        <f aca="false">IF(A246="","",ROUND((IF(LEN(D246)&gt;0,1,0)+IF(LEN(E246)&gt;0,1,0)+IF(LEN(F246)&gt;0,1,0)+IF(LEN(G246)&gt;0,1,0)+IF(LEN(H246)&gt;0,1,0)+IF(LEN(J246)&gt;0,1,0)+IF(LEN(K246)&gt;0,1,0)+IF(LEN(M246)&gt;0,1,0)+IF(LEN(O246)&gt;0,1,0)+IF(LEN(P246)&gt;0,1,0)+IF(LEN(Q246)&gt;0,1,0)+IF(LEN(S246)&gt;0,1,0)+IF(LEN(AC246)&gt;0,1,0)+IF(LEN(AV246)&gt;0,1,0)+IF(LEN(AW246)&gt;0,1,0)+IF(LEN(AG246)&gt;0,1,0)+IF(LEN(AI246)&gt;0,1,0)+IF(LEN(AJ246)&gt;0,1,0)+IF(LEN(AK246)&gt;0,1,0)+IF(LEN(AL246)&gt;0,1,0)+IF(LEN(AU246)&gt;0,1,0)+IF(LEN(BH246)&gt;0,1,0)+IF(LEN(BU246)&gt;0,1,0))/23,2))</f>
        <v/>
      </c>
      <c r="CA246" s="10" t="str">
        <f aca="false">IF(D246="","",IF(AND(AJ246="Approved",ISERROR(SEARCH("FAIL",BE246))),"Y","N"))</f>
        <v/>
      </c>
      <c r="CB246" s="10" t="str">
        <f aca="false">IF(D246="","",D246&amp;"|"&amp;G246&amp;"|"&amp;H246&amp;"|"&amp;M246&amp;"|"&amp;CA246)</f>
        <v/>
      </c>
    </row>
    <row r="247" customFormat="false" ht="15" hidden="false" customHeight="false" outlineLevel="0" collapsed="false">
      <c r="A247" s="10" t="str">
        <f aca="false">IF(D247="","","DRN-"&amp;IFERROR(VLOOKUP(D247,Lists!$A$4:$B$27,2,0),"??")&amp;"-"&amp;TEXT(G247,"0000")&amp;"x"&amp;TEXT(H247,"0000")&amp;IF(N(I247)&gt;1,"-"&amp;I247&amp;"C","")&amp;"-"&amp;IFERROR(VLOOKUP(M247,Lists!$J$4:$K$19,2,0),"??")&amp;"-"&amp;AI247)</f>
        <v/>
      </c>
      <c r="B247" s="10" t="str">
        <f aca="false">IF(D247="","",D247&amp;" "&amp;G247&amp;"W x "&amp;H247&amp;"D"&amp;IF(N(I247)&gt;1," ("&amp;I247&amp;" cells)","")&amp;", "&amp;E247&amp;", "&amp;M247&amp;", "&amp;F247)</f>
        <v/>
      </c>
      <c r="C247" s="9"/>
      <c r="D247" s="9"/>
      <c r="E247" s="9"/>
      <c r="F247" s="9"/>
      <c r="G247" s="38"/>
      <c r="H247" s="38"/>
      <c r="I247" s="38"/>
      <c r="J247" s="38"/>
      <c r="K247" s="38"/>
      <c r="L247" s="38"/>
      <c r="M247" s="9"/>
      <c r="N247" s="9"/>
      <c r="O247" s="9"/>
      <c r="P247" s="38"/>
      <c r="Q247" s="9"/>
      <c r="R247" s="9"/>
      <c r="S247" s="9"/>
      <c r="T247" s="9"/>
      <c r="U247" s="9"/>
      <c r="V247" s="9"/>
      <c r="W247" s="9"/>
      <c r="X247" s="9"/>
      <c r="Y247" s="9"/>
      <c r="Z247" s="9"/>
      <c r="AA247" s="9"/>
      <c r="AB247" s="39"/>
      <c r="AC247" s="9"/>
      <c r="AD247" s="38"/>
      <c r="AE247" s="9"/>
      <c r="AF247" s="39"/>
      <c r="AG247" s="9"/>
      <c r="AH247" s="9"/>
      <c r="AI247" s="9"/>
      <c r="AJ247" s="9"/>
      <c r="AK247" s="9"/>
      <c r="AL247" s="9"/>
      <c r="AM247" s="9"/>
      <c r="AN247" s="10" t="str">
        <f aca="false">IF(A247="","",SG_Criteria!$B$6&amp;SG_Criteria!$B$7&amp;"\"&amp;A247&amp;"\")</f>
        <v/>
      </c>
      <c r="AO247" s="10" t="str">
        <f aca="false">IF(A247="","",A247&amp;"_CAD.dwg")</f>
        <v/>
      </c>
      <c r="AP247" s="10" t="str">
        <f aca="false">IF(A247="","",A247&amp;"_DWG.pdf")</f>
        <v/>
      </c>
      <c r="AQ247" s="10" t="str">
        <f aca="false">IF(A247="","",IF(AM247="Y",A247&amp;"_STAAD.std","n/a"))</f>
        <v/>
      </c>
      <c r="AR247" s="10" t="str">
        <f aca="false">IF(A247="","",A247&amp;"_CALC.xlsx")</f>
        <v/>
      </c>
      <c r="AS247" s="10" t="str">
        <f aca="false">IF(A247="","",A247&amp;"_CALC.pdf")</f>
        <v/>
      </c>
      <c r="AT247" s="9"/>
      <c r="AU247" s="9"/>
      <c r="AV247" s="39"/>
      <c r="AW247" s="39"/>
      <c r="AX247" s="39"/>
      <c r="AY247" s="39"/>
      <c r="AZ247" s="39"/>
      <c r="BA247" s="12" t="str">
        <f aca="false">IF(A247="","",IF(COUNTIF(Rebar_Schedule!$A$5:$A$2004,A247)=0,"",ROUND(SUMIF(Rebar_Schedule!$A$5:$A$2004,A247,Rebar_Schedule!$K$5:$K$2004),1)))</f>
        <v/>
      </c>
      <c r="BB247" s="33" t="str">
        <f aca="false">IF(A247="","",IF(BA247="","No rebar schedule yet",IF(ABS(BA247-N(AW247))/MAX(N(AW247),1)&gt;SG_Criteria!$B$55,"NOTE: register rebar differs from schedule by "&amp;TEXT(ABS(BA247-N(AW247))/MAX(N(AW247),1),"0%"),"OK")))</f>
        <v/>
      </c>
      <c r="BC247" s="34" t="str">
        <f aca="false">IF(OR(D247="",G247="",H247="",D247="Sump",D247="Drop Inlet Chamber",D247="Silt Trap",D247="Pipe Culvert",D247="Subsoil Drain"),"",ROUND(MAX(1,N(I247))*(1/SG_Criteria!$B$26)*((G247/1000)*(H247/1000*(1-SG_Criteria!$B$25)))*(((G247/1000)*(H247/1000*(1-SG_Criteria!$B$25)))/((G247/1000)+2*(H247/1000*(1-SG_Criteria!$B$25))))^(2/3)*(1/Design_Selector!$B$11)^0.5,3))</f>
        <v/>
      </c>
      <c r="BD247" s="11" t="str">
        <f aca="false">IF(BC247="","",ROUND(BC247/(MAX(1,N(I247))*G247/1000*(H247/1000*(1-SG_Criteria!$B$25))),2))</f>
        <v/>
      </c>
      <c r="BE247" s="33" t="str">
        <f aca="false">IF(D247="","",IF(LEN(IF(AND(OR(E247="Roadside drain",E247="Entrance culvert"),OR(G247&lt;SG_Criteria!$B$15,H247&lt;SG_Criteria!$B$16)),"FAIL: below PUB min "&amp;SG_Criteria!$B$15&amp;"x"&amp;SG_Criteria!$B$16&amp;" for roadside drain. ","")&amp;IF(AND(E247="Common drain",G247&lt;SG_Criteria!$B$17),"FAIL: common drain W &lt; "&amp;SG_Criteria!$B$17&amp;" mm. ","")&amp;IF(AND(O247&lt;&gt;"",IFERROR(VALUE(MID(O247,2,2)),0)&lt;SG_Criteria!$B$19),"FAIL: grade below C"&amp;SG_Criteria!$B$19&amp;". ","")&amp;IF(AND(P247&lt;&gt;"",P247&lt;SG_Criteria!$B$20),"FAIL: cover &lt; "&amp;SG_Criteria!$B$20&amp;" mm. ","")&amp;IF(AND(F247="Open",H247&gt;SG_Criteria!$B$18),"NOTE: safety railing required (D &gt; "&amp;SG_Criteria!$B$18&amp;" mm). ","")&amp;IF(AND(E247="Entrance culvert",H247&lt;600),"NOTE: check hinged grating rule for culverts &lt; 600 deep (PUB Add. 3). ",""))=0,"OK",IF(AND(OR(E247="Roadside drain",E247="Entrance culvert"),OR(G247&lt;SG_Criteria!$B$15,H247&lt;SG_Criteria!$B$16)),"FAIL: below PUB min "&amp;SG_Criteria!$B$15&amp;"x"&amp;SG_Criteria!$B$16&amp;" for roadside drain. ","")&amp;IF(AND(E247="Common drain",G247&lt;SG_Criteria!$B$17),"FAIL: common drain W &lt; "&amp;SG_Criteria!$B$17&amp;" mm. ","")&amp;IF(AND(O247&lt;&gt;"",IFERROR(VALUE(MID(O247,2,2)),0)&lt;SG_Criteria!$B$19),"FAIL: grade below C"&amp;SG_Criteria!$B$19&amp;". ","")&amp;IF(AND(P247&lt;&gt;"",P247&lt;SG_Criteria!$B$20),"FAIL: cover &lt; "&amp;SG_Criteria!$B$20&amp;" mm. ","")&amp;IF(AND(F247="Open",H247&gt;SG_Criteria!$B$18),"NOTE: safety railing required (D &gt; "&amp;SG_Criteria!$B$18&amp;" mm). ","")&amp;IF(AND(E247="Entrance culvert",H247&lt;600),"NOTE: check hinged grating rule for culverts &lt; 600 deep (PUB Add. 3). ","")))</f>
        <v/>
      </c>
      <c r="BF247" s="9"/>
      <c r="BG247" s="9"/>
      <c r="BH247" s="9"/>
      <c r="BI247" s="10" t="str">
        <f aca="false">IF(BH247="","",IFERROR(VLOOKUP(BH247,Projects!$A$5:$D$504,2,0),"Ref not in Projects"))</f>
        <v/>
      </c>
      <c r="BJ247" s="10" t="str">
        <f aca="false">IF(BH247="","",IFERROR(VLOOKUP(BH247,Projects!$A$5:$D$504,4,0),"Ref not in Projects"))</f>
        <v/>
      </c>
      <c r="BK247" s="9"/>
      <c r="BL247" s="9"/>
      <c r="BM247" s="9"/>
      <c r="BN247" s="40"/>
      <c r="BO247" s="9"/>
      <c r="BP247" s="40"/>
      <c r="BQ247" s="9"/>
      <c r="BR247" s="40"/>
      <c r="BS247" s="9"/>
      <c r="BT247" s="9"/>
      <c r="BU247" s="9"/>
      <c r="BV247" s="40"/>
      <c r="BW247" s="40"/>
      <c r="BX247" s="36" t="str">
        <f aca="false">IF(BW247="","",EDATE(BW247,SG_Criteria!$B$54*12))</f>
        <v/>
      </c>
      <c r="BY247" s="33" t="str">
        <f aca="true">IF(A247="","",IF(BW247="","NOTE: not reviewed yet",IF(TODAY()&gt;BX247,"NOTE: review overdue","OK")))</f>
        <v/>
      </c>
      <c r="BZ247" s="37" t="str">
        <f aca="false">IF(A247="","",ROUND((IF(LEN(D247)&gt;0,1,0)+IF(LEN(E247)&gt;0,1,0)+IF(LEN(F247)&gt;0,1,0)+IF(LEN(G247)&gt;0,1,0)+IF(LEN(H247)&gt;0,1,0)+IF(LEN(J247)&gt;0,1,0)+IF(LEN(K247)&gt;0,1,0)+IF(LEN(M247)&gt;0,1,0)+IF(LEN(O247)&gt;0,1,0)+IF(LEN(P247)&gt;0,1,0)+IF(LEN(Q247)&gt;0,1,0)+IF(LEN(S247)&gt;0,1,0)+IF(LEN(AC247)&gt;0,1,0)+IF(LEN(AV247)&gt;0,1,0)+IF(LEN(AW247)&gt;0,1,0)+IF(LEN(AG247)&gt;0,1,0)+IF(LEN(AI247)&gt;0,1,0)+IF(LEN(AJ247)&gt;0,1,0)+IF(LEN(AK247)&gt;0,1,0)+IF(LEN(AL247)&gt;0,1,0)+IF(LEN(AU247)&gt;0,1,0)+IF(LEN(BH247)&gt;0,1,0)+IF(LEN(BU247)&gt;0,1,0))/23,2))</f>
        <v/>
      </c>
      <c r="CA247" s="10" t="str">
        <f aca="false">IF(D247="","",IF(AND(AJ247="Approved",ISERROR(SEARCH("FAIL",BE247))),"Y","N"))</f>
        <v/>
      </c>
      <c r="CB247" s="10" t="str">
        <f aca="false">IF(D247="","",D247&amp;"|"&amp;G247&amp;"|"&amp;H247&amp;"|"&amp;M247&amp;"|"&amp;CA247)</f>
        <v/>
      </c>
    </row>
    <row r="248" customFormat="false" ht="15" hidden="false" customHeight="false" outlineLevel="0" collapsed="false">
      <c r="A248" s="10" t="str">
        <f aca="false">IF(D248="","","DRN-"&amp;IFERROR(VLOOKUP(D248,Lists!$A$4:$B$27,2,0),"??")&amp;"-"&amp;TEXT(G248,"0000")&amp;"x"&amp;TEXT(H248,"0000")&amp;IF(N(I248)&gt;1,"-"&amp;I248&amp;"C","")&amp;"-"&amp;IFERROR(VLOOKUP(M248,Lists!$J$4:$K$19,2,0),"??")&amp;"-"&amp;AI248)</f>
        <v/>
      </c>
      <c r="B248" s="10" t="str">
        <f aca="false">IF(D248="","",D248&amp;" "&amp;G248&amp;"W x "&amp;H248&amp;"D"&amp;IF(N(I248)&gt;1," ("&amp;I248&amp;" cells)","")&amp;", "&amp;E248&amp;", "&amp;M248&amp;", "&amp;F248)</f>
        <v/>
      </c>
      <c r="C248" s="9"/>
      <c r="D248" s="9"/>
      <c r="E248" s="9"/>
      <c r="F248" s="9"/>
      <c r="G248" s="38"/>
      <c r="H248" s="38"/>
      <c r="I248" s="38"/>
      <c r="J248" s="38"/>
      <c r="K248" s="38"/>
      <c r="L248" s="38"/>
      <c r="M248" s="9"/>
      <c r="N248" s="9"/>
      <c r="O248" s="9"/>
      <c r="P248" s="38"/>
      <c r="Q248" s="9"/>
      <c r="R248" s="9"/>
      <c r="S248" s="9"/>
      <c r="T248" s="9"/>
      <c r="U248" s="9"/>
      <c r="V248" s="9"/>
      <c r="W248" s="9"/>
      <c r="X248" s="9"/>
      <c r="Y248" s="9"/>
      <c r="Z248" s="9"/>
      <c r="AA248" s="9"/>
      <c r="AB248" s="39"/>
      <c r="AC248" s="9"/>
      <c r="AD248" s="38"/>
      <c r="AE248" s="9"/>
      <c r="AF248" s="39"/>
      <c r="AG248" s="9"/>
      <c r="AH248" s="9"/>
      <c r="AI248" s="9"/>
      <c r="AJ248" s="9"/>
      <c r="AK248" s="9"/>
      <c r="AL248" s="9"/>
      <c r="AM248" s="9"/>
      <c r="AN248" s="10" t="str">
        <f aca="false">IF(A248="","",SG_Criteria!$B$6&amp;SG_Criteria!$B$7&amp;"\"&amp;A248&amp;"\")</f>
        <v/>
      </c>
      <c r="AO248" s="10" t="str">
        <f aca="false">IF(A248="","",A248&amp;"_CAD.dwg")</f>
        <v/>
      </c>
      <c r="AP248" s="10" t="str">
        <f aca="false">IF(A248="","",A248&amp;"_DWG.pdf")</f>
        <v/>
      </c>
      <c r="AQ248" s="10" t="str">
        <f aca="false">IF(A248="","",IF(AM248="Y",A248&amp;"_STAAD.std","n/a"))</f>
        <v/>
      </c>
      <c r="AR248" s="10" t="str">
        <f aca="false">IF(A248="","",A248&amp;"_CALC.xlsx")</f>
        <v/>
      </c>
      <c r="AS248" s="10" t="str">
        <f aca="false">IF(A248="","",A248&amp;"_CALC.pdf")</f>
        <v/>
      </c>
      <c r="AT248" s="9"/>
      <c r="AU248" s="9"/>
      <c r="AV248" s="39"/>
      <c r="AW248" s="39"/>
      <c r="AX248" s="39"/>
      <c r="AY248" s="39"/>
      <c r="AZ248" s="39"/>
      <c r="BA248" s="12" t="str">
        <f aca="false">IF(A248="","",IF(COUNTIF(Rebar_Schedule!$A$5:$A$2004,A248)=0,"",ROUND(SUMIF(Rebar_Schedule!$A$5:$A$2004,A248,Rebar_Schedule!$K$5:$K$2004),1)))</f>
        <v/>
      </c>
      <c r="BB248" s="33" t="str">
        <f aca="false">IF(A248="","",IF(BA248="","No rebar schedule yet",IF(ABS(BA248-N(AW248))/MAX(N(AW248),1)&gt;SG_Criteria!$B$55,"NOTE: register rebar differs from schedule by "&amp;TEXT(ABS(BA248-N(AW248))/MAX(N(AW248),1),"0%"),"OK")))</f>
        <v/>
      </c>
      <c r="BC248" s="34" t="str">
        <f aca="false">IF(OR(D248="",G248="",H248="",D248="Sump",D248="Drop Inlet Chamber",D248="Silt Trap",D248="Pipe Culvert",D248="Subsoil Drain"),"",ROUND(MAX(1,N(I248))*(1/SG_Criteria!$B$26)*((G248/1000)*(H248/1000*(1-SG_Criteria!$B$25)))*(((G248/1000)*(H248/1000*(1-SG_Criteria!$B$25)))/((G248/1000)+2*(H248/1000*(1-SG_Criteria!$B$25))))^(2/3)*(1/Design_Selector!$B$11)^0.5,3))</f>
        <v/>
      </c>
      <c r="BD248" s="11" t="str">
        <f aca="false">IF(BC248="","",ROUND(BC248/(MAX(1,N(I248))*G248/1000*(H248/1000*(1-SG_Criteria!$B$25))),2))</f>
        <v/>
      </c>
      <c r="BE248" s="33" t="str">
        <f aca="false">IF(D248="","",IF(LEN(IF(AND(OR(E248="Roadside drain",E248="Entrance culvert"),OR(G248&lt;SG_Criteria!$B$15,H248&lt;SG_Criteria!$B$16)),"FAIL: below PUB min "&amp;SG_Criteria!$B$15&amp;"x"&amp;SG_Criteria!$B$16&amp;" for roadside drain. ","")&amp;IF(AND(E248="Common drain",G248&lt;SG_Criteria!$B$17),"FAIL: common drain W &lt; "&amp;SG_Criteria!$B$17&amp;" mm. ","")&amp;IF(AND(O248&lt;&gt;"",IFERROR(VALUE(MID(O248,2,2)),0)&lt;SG_Criteria!$B$19),"FAIL: grade below C"&amp;SG_Criteria!$B$19&amp;". ","")&amp;IF(AND(P248&lt;&gt;"",P248&lt;SG_Criteria!$B$20),"FAIL: cover &lt; "&amp;SG_Criteria!$B$20&amp;" mm. ","")&amp;IF(AND(F248="Open",H248&gt;SG_Criteria!$B$18),"NOTE: safety railing required (D &gt; "&amp;SG_Criteria!$B$18&amp;" mm). ","")&amp;IF(AND(E248="Entrance culvert",H248&lt;600),"NOTE: check hinged grating rule for culverts &lt; 600 deep (PUB Add. 3). ",""))=0,"OK",IF(AND(OR(E248="Roadside drain",E248="Entrance culvert"),OR(G248&lt;SG_Criteria!$B$15,H248&lt;SG_Criteria!$B$16)),"FAIL: below PUB min "&amp;SG_Criteria!$B$15&amp;"x"&amp;SG_Criteria!$B$16&amp;" for roadside drain. ","")&amp;IF(AND(E248="Common drain",G248&lt;SG_Criteria!$B$17),"FAIL: common drain W &lt; "&amp;SG_Criteria!$B$17&amp;" mm. ","")&amp;IF(AND(O248&lt;&gt;"",IFERROR(VALUE(MID(O248,2,2)),0)&lt;SG_Criteria!$B$19),"FAIL: grade below C"&amp;SG_Criteria!$B$19&amp;". ","")&amp;IF(AND(P248&lt;&gt;"",P248&lt;SG_Criteria!$B$20),"FAIL: cover &lt; "&amp;SG_Criteria!$B$20&amp;" mm. ","")&amp;IF(AND(F248="Open",H248&gt;SG_Criteria!$B$18),"NOTE: safety railing required (D &gt; "&amp;SG_Criteria!$B$18&amp;" mm). ","")&amp;IF(AND(E248="Entrance culvert",H248&lt;600),"NOTE: check hinged grating rule for culverts &lt; 600 deep (PUB Add. 3). ","")))</f>
        <v/>
      </c>
      <c r="BF248" s="9"/>
      <c r="BG248" s="9"/>
      <c r="BH248" s="9"/>
      <c r="BI248" s="10" t="str">
        <f aca="false">IF(BH248="","",IFERROR(VLOOKUP(BH248,Projects!$A$5:$D$504,2,0),"Ref not in Projects"))</f>
        <v/>
      </c>
      <c r="BJ248" s="10" t="str">
        <f aca="false">IF(BH248="","",IFERROR(VLOOKUP(BH248,Projects!$A$5:$D$504,4,0),"Ref not in Projects"))</f>
        <v/>
      </c>
      <c r="BK248" s="9"/>
      <c r="BL248" s="9"/>
      <c r="BM248" s="9"/>
      <c r="BN248" s="40"/>
      <c r="BO248" s="9"/>
      <c r="BP248" s="40"/>
      <c r="BQ248" s="9"/>
      <c r="BR248" s="40"/>
      <c r="BS248" s="9"/>
      <c r="BT248" s="9"/>
      <c r="BU248" s="9"/>
      <c r="BV248" s="40"/>
      <c r="BW248" s="40"/>
      <c r="BX248" s="36" t="str">
        <f aca="false">IF(BW248="","",EDATE(BW248,SG_Criteria!$B$54*12))</f>
        <v/>
      </c>
      <c r="BY248" s="33" t="str">
        <f aca="true">IF(A248="","",IF(BW248="","NOTE: not reviewed yet",IF(TODAY()&gt;BX248,"NOTE: review overdue","OK")))</f>
        <v/>
      </c>
      <c r="BZ248" s="37" t="str">
        <f aca="false">IF(A248="","",ROUND((IF(LEN(D248)&gt;0,1,0)+IF(LEN(E248)&gt;0,1,0)+IF(LEN(F248)&gt;0,1,0)+IF(LEN(G248)&gt;0,1,0)+IF(LEN(H248)&gt;0,1,0)+IF(LEN(J248)&gt;0,1,0)+IF(LEN(K248)&gt;0,1,0)+IF(LEN(M248)&gt;0,1,0)+IF(LEN(O248)&gt;0,1,0)+IF(LEN(P248)&gt;0,1,0)+IF(LEN(Q248)&gt;0,1,0)+IF(LEN(S248)&gt;0,1,0)+IF(LEN(AC248)&gt;0,1,0)+IF(LEN(AV248)&gt;0,1,0)+IF(LEN(AW248)&gt;0,1,0)+IF(LEN(AG248)&gt;0,1,0)+IF(LEN(AI248)&gt;0,1,0)+IF(LEN(AJ248)&gt;0,1,0)+IF(LEN(AK248)&gt;0,1,0)+IF(LEN(AL248)&gt;0,1,0)+IF(LEN(AU248)&gt;0,1,0)+IF(LEN(BH248)&gt;0,1,0)+IF(LEN(BU248)&gt;0,1,0))/23,2))</f>
        <v/>
      </c>
      <c r="CA248" s="10" t="str">
        <f aca="false">IF(D248="","",IF(AND(AJ248="Approved",ISERROR(SEARCH("FAIL",BE248))),"Y","N"))</f>
        <v/>
      </c>
      <c r="CB248" s="10" t="str">
        <f aca="false">IF(D248="","",D248&amp;"|"&amp;G248&amp;"|"&amp;H248&amp;"|"&amp;M248&amp;"|"&amp;CA248)</f>
        <v/>
      </c>
    </row>
    <row r="249" customFormat="false" ht="15" hidden="false" customHeight="false" outlineLevel="0" collapsed="false">
      <c r="A249" s="10" t="str">
        <f aca="false">IF(D249="","","DRN-"&amp;IFERROR(VLOOKUP(D249,Lists!$A$4:$B$27,2,0),"??")&amp;"-"&amp;TEXT(G249,"0000")&amp;"x"&amp;TEXT(H249,"0000")&amp;IF(N(I249)&gt;1,"-"&amp;I249&amp;"C","")&amp;"-"&amp;IFERROR(VLOOKUP(M249,Lists!$J$4:$K$19,2,0),"??")&amp;"-"&amp;AI249)</f>
        <v/>
      </c>
      <c r="B249" s="10" t="str">
        <f aca="false">IF(D249="","",D249&amp;" "&amp;G249&amp;"W x "&amp;H249&amp;"D"&amp;IF(N(I249)&gt;1," ("&amp;I249&amp;" cells)","")&amp;", "&amp;E249&amp;", "&amp;M249&amp;", "&amp;F249)</f>
        <v/>
      </c>
      <c r="C249" s="9"/>
      <c r="D249" s="9"/>
      <c r="E249" s="9"/>
      <c r="F249" s="9"/>
      <c r="G249" s="38"/>
      <c r="H249" s="38"/>
      <c r="I249" s="38"/>
      <c r="J249" s="38"/>
      <c r="K249" s="38"/>
      <c r="L249" s="38"/>
      <c r="M249" s="9"/>
      <c r="N249" s="9"/>
      <c r="O249" s="9"/>
      <c r="P249" s="38"/>
      <c r="Q249" s="9"/>
      <c r="R249" s="9"/>
      <c r="S249" s="9"/>
      <c r="T249" s="9"/>
      <c r="U249" s="9"/>
      <c r="V249" s="9"/>
      <c r="W249" s="9"/>
      <c r="X249" s="9"/>
      <c r="Y249" s="9"/>
      <c r="Z249" s="9"/>
      <c r="AA249" s="9"/>
      <c r="AB249" s="39"/>
      <c r="AC249" s="9"/>
      <c r="AD249" s="38"/>
      <c r="AE249" s="9"/>
      <c r="AF249" s="39"/>
      <c r="AG249" s="9"/>
      <c r="AH249" s="9"/>
      <c r="AI249" s="9"/>
      <c r="AJ249" s="9"/>
      <c r="AK249" s="9"/>
      <c r="AL249" s="9"/>
      <c r="AM249" s="9"/>
      <c r="AN249" s="10" t="str">
        <f aca="false">IF(A249="","",SG_Criteria!$B$6&amp;SG_Criteria!$B$7&amp;"\"&amp;A249&amp;"\")</f>
        <v/>
      </c>
      <c r="AO249" s="10" t="str">
        <f aca="false">IF(A249="","",A249&amp;"_CAD.dwg")</f>
        <v/>
      </c>
      <c r="AP249" s="10" t="str">
        <f aca="false">IF(A249="","",A249&amp;"_DWG.pdf")</f>
        <v/>
      </c>
      <c r="AQ249" s="10" t="str">
        <f aca="false">IF(A249="","",IF(AM249="Y",A249&amp;"_STAAD.std","n/a"))</f>
        <v/>
      </c>
      <c r="AR249" s="10" t="str">
        <f aca="false">IF(A249="","",A249&amp;"_CALC.xlsx")</f>
        <v/>
      </c>
      <c r="AS249" s="10" t="str">
        <f aca="false">IF(A249="","",A249&amp;"_CALC.pdf")</f>
        <v/>
      </c>
      <c r="AT249" s="9"/>
      <c r="AU249" s="9"/>
      <c r="AV249" s="39"/>
      <c r="AW249" s="39"/>
      <c r="AX249" s="39"/>
      <c r="AY249" s="39"/>
      <c r="AZ249" s="39"/>
      <c r="BA249" s="12" t="str">
        <f aca="false">IF(A249="","",IF(COUNTIF(Rebar_Schedule!$A$5:$A$2004,A249)=0,"",ROUND(SUMIF(Rebar_Schedule!$A$5:$A$2004,A249,Rebar_Schedule!$K$5:$K$2004),1)))</f>
        <v/>
      </c>
      <c r="BB249" s="33" t="str">
        <f aca="false">IF(A249="","",IF(BA249="","No rebar schedule yet",IF(ABS(BA249-N(AW249))/MAX(N(AW249),1)&gt;SG_Criteria!$B$55,"NOTE: register rebar differs from schedule by "&amp;TEXT(ABS(BA249-N(AW249))/MAX(N(AW249),1),"0%"),"OK")))</f>
        <v/>
      </c>
      <c r="BC249" s="34" t="str">
        <f aca="false">IF(OR(D249="",G249="",H249="",D249="Sump",D249="Drop Inlet Chamber",D249="Silt Trap",D249="Pipe Culvert",D249="Subsoil Drain"),"",ROUND(MAX(1,N(I249))*(1/SG_Criteria!$B$26)*((G249/1000)*(H249/1000*(1-SG_Criteria!$B$25)))*(((G249/1000)*(H249/1000*(1-SG_Criteria!$B$25)))/((G249/1000)+2*(H249/1000*(1-SG_Criteria!$B$25))))^(2/3)*(1/Design_Selector!$B$11)^0.5,3))</f>
        <v/>
      </c>
      <c r="BD249" s="11" t="str">
        <f aca="false">IF(BC249="","",ROUND(BC249/(MAX(1,N(I249))*G249/1000*(H249/1000*(1-SG_Criteria!$B$25))),2))</f>
        <v/>
      </c>
      <c r="BE249" s="33" t="str">
        <f aca="false">IF(D249="","",IF(LEN(IF(AND(OR(E249="Roadside drain",E249="Entrance culvert"),OR(G249&lt;SG_Criteria!$B$15,H249&lt;SG_Criteria!$B$16)),"FAIL: below PUB min "&amp;SG_Criteria!$B$15&amp;"x"&amp;SG_Criteria!$B$16&amp;" for roadside drain. ","")&amp;IF(AND(E249="Common drain",G249&lt;SG_Criteria!$B$17),"FAIL: common drain W &lt; "&amp;SG_Criteria!$B$17&amp;" mm. ","")&amp;IF(AND(O249&lt;&gt;"",IFERROR(VALUE(MID(O249,2,2)),0)&lt;SG_Criteria!$B$19),"FAIL: grade below C"&amp;SG_Criteria!$B$19&amp;". ","")&amp;IF(AND(P249&lt;&gt;"",P249&lt;SG_Criteria!$B$20),"FAIL: cover &lt; "&amp;SG_Criteria!$B$20&amp;" mm. ","")&amp;IF(AND(F249="Open",H249&gt;SG_Criteria!$B$18),"NOTE: safety railing required (D &gt; "&amp;SG_Criteria!$B$18&amp;" mm). ","")&amp;IF(AND(E249="Entrance culvert",H249&lt;600),"NOTE: check hinged grating rule for culverts &lt; 600 deep (PUB Add. 3). ",""))=0,"OK",IF(AND(OR(E249="Roadside drain",E249="Entrance culvert"),OR(G249&lt;SG_Criteria!$B$15,H249&lt;SG_Criteria!$B$16)),"FAIL: below PUB min "&amp;SG_Criteria!$B$15&amp;"x"&amp;SG_Criteria!$B$16&amp;" for roadside drain. ","")&amp;IF(AND(E249="Common drain",G249&lt;SG_Criteria!$B$17),"FAIL: common drain W &lt; "&amp;SG_Criteria!$B$17&amp;" mm. ","")&amp;IF(AND(O249&lt;&gt;"",IFERROR(VALUE(MID(O249,2,2)),0)&lt;SG_Criteria!$B$19),"FAIL: grade below C"&amp;SG_Criteria!$B$19&amp;". ","")&amp;IF(AND(P249&lt;&gt;"",P249&lt;SG_Criteria!$B$20),"FAIL: cover &lt; "&amp;SG_Criteria!$B$20&amp;" mm. ","")&amp;IF(AND(F249="Open",H249&gt;SG_Criteria!$B$18),"NOTE: safety railing required (D &gt; "&amp;SG_Criteria!$B$18&amp;" mm). ","")&amp;IF(AND(E249="Entrance culvert",H249&lt;600),"NOTE: check hinged grating rule for culverts &lt; 600 deep (PUB Add. 3). ","")))</f>
        <v/>
      </c>
      <c r="BF249" s="9"/>
      <c r="BG249" s="9"/>
      <c r="BH249" s="9"/>
      <c r="BI249" s="10" t="str">
        <f aca="false">IF(BH249="","",IFERROR(VLOOKUP(BH249,Projects!$A$5:$D$504,2,0),"Ref not in Projects"))</f>
        <v/>
      </c>
      <c r="BJ249" s="10" t="str">
        <f aca="false">IF(BH249="","",IFERROR(VLOOKUP(BH249,Projects!$A$5:$D$504,4,0),"Ref not in Projects"))</f>
        <v/>
      </c>
      <c r="BK249" s="9"/>
      <c r="BL249" s="9"/>
      <c r="BM249" s="9"/>
      <c r="BN249" s="40"/>
      <c r="BO249" s="9"/>
      <c r="BP249" s="40"/>
      <c r="BQ249" s="9"/>
      <c r="BR249" s="40"/>
      <c r="BS249" s="9"/>
      <c r="BT249" s="9"/>
      <c r="BU249" s="9"/>
      <c r="BV249" s="40"/>
      <c r="BW249" s="40"/>
      <c r="BX249" s="36" t="str">
        <f aca="false">IF(BW249="","",EDATE(BW249,SG_Criteria!$B$54*12))</f>
        <v/>
      </c>
      <c r="BY249" s="33" t="str">
        <f aca="true">IF(A249="","",IF(BW249="","NOTE: not reviewed yet",IF(TODAY()&gt;BX249,"NOTE: review overdue","OK")))</f>
        <v/>
      </c>
      <c r="BZ249" s="37" t="str">
        <f aca="false">IF(A249="","",ROUND((IF(LEN(D249)&gt;0,1,0)+IF(LEN(E249)&gt;0,1,0)+IF(LEN(F249)&gt;0,1,0)+IF(LEN(G249)&gt;0,1,0)+IF(LEN(H249)&gt;0,1,0)+IF(LEN(J249)&gt;0,1,0)+IF(LEN(K249)&gt;0,1,0)+IF(LEN(M249)&gt;0,1,0)+IF(LEN(O249)&gt;0,1,0)+IF(LEN(P249)&gt;0,1,0)+IF(LEN(Q249)&gt;0,1,0)+IF(LEN(S249)&gt;0,1,0)+IF(LEN(AC249)&gt;0,1,0)+IF(LEN(AV249)&gt;0,1,0)+IF(LEN(AW249)&gt;0,1,0)+IF(LEN(AG249)&gt;0,1,0)+IF(LEN(AI249)&gt;0,1,0)+IF(LEN(AJ249)&gt;0,1,0)+IF(LEN(AK249)&gt;0,1,0)+IF(LEN(AL249)&gt;0,1,0)+IF(LEN(AU249)&gt;0,1,0)+IF(LEN(BH249)&gt;0,1,0)+IF(LEN(BU249)&gt;0,1,0))/23,2))</f>
        <v/>
      </c>
      <c r="CA249" s="10" t="str">
        <f aca="false">IF(D249="","",IF(AND(AJ249="Approved",ISERROR(SEARCH("FAIL",BE249))),"Y","N"))</f>
        <v/>
      </c>
      <c r="CB249" s="10" t="str">
        <f aca="false">IF(D249="","",D249&amp;"|"&amp;G249&amp;"|"&amp;H249&amp;"|"&amp;M249&amp;"|"&amp;CA249)</f>
        <v/>
      </c>
    </row>
    <row r="250" customFormat="false" ht="15" hidden="false" customHeight="false" outlineLevel="0" collapsed="false">
      <c r="A250" s="10" t="str">
        <f aca="false">IF(D250="","","DRN-"&amp;IFERROR(VLOOKUP(D250,Lists!$A$4:$B$27,2,0),"??")&amp;"-"&amp;TEXT(G250,"0000")&amp;"x"&amp;TEXT(H250,"0000")&amp;IF(N(I250)&gt;1,"-"&amp;I250&amp;"C","")&amp;"-"&amp;IFERROR(VLOOKUP(M250,Lists!$J$4:$K$19,2,0),"??")&amp;"-"&amp;AI250)</f>
        <v/>
      </c>
      <c r="B250" s="10" t="str">
        <f aca="false">IF(D250="","",D250&amp;" "&amp;G250&amp;"W x "&amp;H250&amp;"D"&amp;IF(N(I250)&gt;1," ("&amp;I250&amp;" cells)","")&amp;", "&amp;E250&amp;", "&amp;M250&amp;", "&amp;F250)</f>
        <v/>
      </c>
      <c r="C250" s="9"/>
      <c r="D250" s="9"/>
      <c r="E250" s="9"/>
      <c r="F250" s="9"/>
      <c r="G250" s="38"/>
      <c r="H250" s="38"/>
      <c r="I250" s="38"/>
      <c r="J250" s="38"/>
      <c r="K250" s="38"/>
      <c r="L250" s="38"/>
      <c r="M250" s="9"/>
      <c r="N250" s="9"/>
      <c r="O250" s="9"/>
      <c r="P250" s="38"/>
      <c r="Q250" s="9"/>
      <c r="R250" s="9"/>
      <c r="S250" s="9"/>
      <c r="T250" s="9"/>
      <c r="U250" s="9"/>
      <c r="V250" s="9"/>
      <c r="W250" s="9"/>
      <c r="X250" s="9"/>
      <c r="Y250" s="9"/>
      <c r="Z250" s="9"/>
      <c r="AA250" s="9"/>
      <c r="AB250" s="39"/>
      <c r="AC250" s="9"/>
      <c r="AD250" s="38"/>
      <c r="AE250" s="9"/>
      <c r="AF250" s="39"/>
      <c r="AG250" s="9"/>
      <c r="AH250" s="9"/>
      <c r="AI250" s="9"/>
      <c r="AJ250" s="9"/>
      <c r="AK250" s="9"/>
      <c r="AL250" s="9"/>
      <c r="AM250" s="9"/>
      <c r="AN250" s="10" t="str">
        <f aca="false">IF(A250="","",SG_Criteria!$B$6&amp;SG_Criteria!$B$7&amp;"\"&amp;A250&amp;"\")</f>
        <v/>
      </c>
      <c r="AO250" s="10" t="str">
        <f aca="false">IF(A250="","",A250&amp;"_CAD.dwg")</f>
        <v/>
      </c>
      <c r="AP250" s="10" t="str">
        <f aca="false">IF(A250="","",A250&amp;"_DWG.pdf")</f>
        <v/>
      </c>
      <c r="AQ250" s="10" t="str">
        <f aca="false">IF(A250="","",IF(AM250="Y",A250&amp;"_STAAD.std","n/a"))</f>
        <v/>
      </c>
      <c r="AR250" s="10" t="str">
        <f aca="false">IF(A250="","",A250&amp;"_CALC.xlsx")</f>
        <v/>
      </c>
      <c r="AS250" s="10" t="str">
        <f aca="false">IF(A250="","",A250&amp;"_CALC.pdf")</f>
        <v/>
      </c>
      <c r="AT250" s="9"/>
      <c r="AU250" s="9"/>
      <c r="AV250" s="39"/>
      <c r="AW250" s="39"/>
      <c r="AX250" s="39"/>
      <c r="AY250" s="39"/>
      <c r="AZ250" s="39"/>
      <c r="BA250" s="12" t="str">
        <f aca="false">IF(A250="","",IF(COUNTIF(Rebar_Schedule!$A$5:$A$2004,A250)=0,"",ROUND(SUMIF(Rebar_Schedule!$A$5:$A$2004,A250,Rebar_Schedule!$K$5:$K$2004),1)))</f>
        <v/>
      </c>
      <c r="BB250" s="33" t="str">
        <f aca="false">IF(A250="","",IF(BA250="","No rebar schedule yet",IF(ABS(BA250-N(AW250))/MAX(N(AW250),1)&gt;SG_Criteria!$B$55,"NOTE: register rebar differs from schedule by "&amp;TEXT(ABS(BA250-N(AW250))/MAX(N(AW250),1),"0%"),"OK")))</f>
        <v/>
      </c>
      <c r="BC250" s="34" t="str">
        <f aca="false">IF(OR(D250="",G250="",H250="",D250="Sump",D250="Drop Inlet Chamber",D250="Silt Trap",D250="Pipe Culvert",D250="Subsoil Drain"),"",ROUND(MAX(1,N(I250))*(1/SG_Criteria!$B$26)*((G250/1000)*(H250/1000*(1-SG_Criteria!$B$25)))*(((G250/1000)*(H250/1000*(1-SG_Criteria!$B$25)))/((G250/1000)+2*(H250/1000*(1-SG_Criteria!$B$25))))^(2/3)*(1/Design_Selector!$B$11)^0.5,3))</f>
        <v/>
      </c>
      <c r="BD250" s="11" t="str">
        <f aca="false">IF(BC250="","",ROUND(BC250/(MAX(1,N(I250))*G250/1000*(H250/1000*(1-SG_Criteria!$B$25))),2))</f>
        <v/>
      </c>
      <c r="BE250" s="33" t="str">
        <f aca="false">IF(D250="","",IF(LEN(IF(AND(OR(E250="Roadside drain",E250="Entrance culvert"),OR(G250&lt;SG_Criteria!$B$15,H250&lt;SG_Criteria!$B$16)),"FAIL: below PUB min "&amp;SG_Criteria!$B$15&amp;"x"&amp;SG_Criteria!$B$16&amp;" for roadside drain. ","")&amp;IF(AND(E250="Common drain",G250&lt;SG_Criteria!$B$17),"FAIL: common drain W &lt; "&amp;SG_Criteria!$B$17&amp;" mm. ","")&amp;IF(AND(O250&lt;&gt;"",IFERROR(VALUE(MID(O250,2,2)),0)&lt;SG_Criteria!$B$19),"FAIL: grade below C"&amp;SG_Criteria!$B$19&amp;". ","")&amp;IF(AND(P250&lt;&gt;"",P250&lt;SG_Criteria!$B$20),"FAIL: cover &lt; "&amp;SG_Criteria!$B$20&amp;" mm. ","")&amp;IF(AND(F250="Open",H250&gt;SG_Criteria!$B$18),"NOTE: safety railing required (D &gt; "&amp;SG_Criteria!$B$18&amp;" mm). ","")&amp;IF(AND(E250="Entrance culvert",H250&lt;600),"NOTE: check hinged grating rule for culverts &lt; 600 deep (PUB Add. 3). ",""))=0,"OK",IF(AND(OR(E250="Roadside drain",E250="Entrance culvert"),OR(G250&lt;SG_Criteria!$B$15,H250&lt;SG_Criteria!$B$16)),"FAIL: below PUB min "&amp;SG_Criteria!$B$15&amp;"x"&amp;SG_Criteria!$B$16&amp;" for roadside drain. ","")&amp;IF(AND(E250="Common drain",G250&lt;SG_Criteria!$B$17),"FAIL: common drain W &lt; "&amp;SG_Criteria!$B$17&amp;" mm. ","")&amp;IF(AND(O250&lt;&gt;"",IFERROR(VALUE(MID(O250,2,2)),0)&lt;SG_Criteria!$B$19),"FAIL: grade below C"&amp;SG_Criteria!$B$19&amp;". ","")&amp;IF(AND(P250&lt;&gt;"",P250&lt;SG_Criteria!$B$20),"FAIL: cover &lt; "&amp;SG_Criteria!$B$20&amp;" mm. ","")&amp;IF(AND(F250="Open",H250&gt;SG_Criteria!$B$18),"NOTE: safety railing required (D &gt; "&amp;SG_Criteria!$B$18&amp;" mm). ","")&amp;IF(AND(E250="Entrance culvert",H250&lt;600),"NOTE: check hinged grating rule for culverts &lt; 600 deep (PUB Add. 3). ","")))</f>
        <v/>
      </c>
      <c r="BF250" s="9"/>
      <c r="BG250" s="9"/>
      <c r="BH250" s="9"/>
      <c r="BI250" s="10" t="str">
        <f aca="false">IF(BH250="","",IFERROR(VLOOKUP(BH250,Projects!$A$5:$D$504,2,0),"Ref not in Projects"))</f>
        <v/>
      </c>
      <c r="BJ250" s="10" t="str">
        <f aca="false">IF(BH250="","",IFERROR(VLOOKUP(BH250,Projects!$A$5:$D$504,4,0),"Ref not in Projects"))</f>
        <v/>
      </c>
      <c r="BK250" s="9"/>
      <c r="BL250" s="9"/>
      <c r="BM250" s="9"/>
      <c r="BN250" s="40"/>
      <c r="BO250" s="9"/>
      <c r="BP250" s="40"/>
      <c r="BQ250" s="9"/>
      <c r="BR250" s="40"/>
      <c r="BS250" s="9"/>
      <c r="BT250" s="9"/>
      <c r="BU250" s="9"/>
      <c r="BV250" s="40"/>
      <c r="BW250" s="40"/>
      <c r="BX250" s="36" t="str">
        <f aca="false">IF(BW250="","",EDATE(BW250,SG_Criteria!$B$54*12))</f>
        <v/>
      </c>
      <c r="BY250" s="33" t="str">
        <f aca="true">IF(A250="","",IF(BW250="","NOTE: not reviewed yet",IF(TODAY()&gt;BX250,"NOTE: review overdue","OK")))</f>
        <v/>
      </c>
      <c r="BZ250" s="37" t="str">
        <f aca="false">IF(A250="","",ROUND((IF(LEN(D250)&gt;0,1,0)+IF(LEN(E250)&gt;0,1,0)+IF(LEN(F250)&gt;0,1,0)+IF(LEN(G250)&gt;0,1,0)+IF(LEN(H250)&gt;0,1,0)+IF(LEN(J250)&gt;0,1,0)+IF(LEN(K250)&gt;0,1,0)+IF(LEN(M250)&gt;0,1,0)+IF(LEN(O250)&gt;0,1,0)+IF(LEN(P250)&gt;0,1,0)+IF(LEN(Q250)&gt;0,1,0)+IF(LEN(S250)&gt;0,1,0)+IF(LEN(AC250)&gt;0,1,0)+IF(LEN(AV250)&gt;0,1,0)+IF(LEN(AW250)&gt;0,1,0)+IF(LEN(AG250)&gt;0,1,0)+IF(LEN(AI250)&gt;0,1,0)+IF(LEN(AJ250)&gt;0,1,0)+IF(LEN(AK250)&gt;0,1,0)+IF(LEN(AL250)&gt;0,1,0)+IF(LEN(AU250)&gt;0,1,0)+IF(LEN(BH250)&gt;0,1,0)+IF(LEN(BU250)&gt;0,1,0))/23,2))</f>
        <v/>
      </c>
      <c r="CA250" s="10" t="str">
        <f aca="false">IF(D250="","",IF(AND(AJ250="Approved",ISERROR(SEARCH("FAIL",BE250))),"Y","N"))</f>
        <v/>
      </c>
      <c r="CB250" s="10" t="str">
        <f aca="false">IF(D250="","",D250&amp;"|"&amp;G250&amp;"|"&amp;H250&amp;"|"&amp;M250&amp;"|"&amp;CA250)</f>
        <v/>
      </c>
    </row>
    <row r="251" customFormat="false" ht="15" hidden="false" customHeight="false" outlineLevel="0" collapsed="false">
      <c r="A251" s="10" t="str">
        <f aca="false">IF(D251="","","DRN-"&amp;IFERROR(VLOOKUP(D251,Lists!$A$4:$B$27,2,0),"??")&amp;"-"&amp;TEXT(G251,"0000")&amp;"x"&amp;TEXT(H251,"0000")&amp;IF(N(I251)&gt;1,"-"&amp;I251&amp;"C","")&amp;"-"&amp;IFERROR(VLOOKUP(M251,Lists!$J$4:$K$19,2,0),"??")&amp;"-"&amp;AI251)</f>
        <v/>
      </c>
      <c r="B251" s="10" t="str">
        <f aca="false">IF(D251="","",D251&amp;" "&amp;G251&amp;"W x "&amp;H251&amp;"D"&amp;IF(N(I251)&gt;1," ("&amp;I251&amp;" cells)","")&amp;", "&amp;E251&amp;", "&amp;M251&amp;", "&amp;F251)</f>
        <v/>
      </c>
      <c r="C251" s="9"/>
      <c r="D251" s="9"/>
      <c r="E251" s="9"/>
      <c r="F251" s="9"/>
      <c r="G251" s="38"/>
      <c r="H251" s="38"/>
      <c r="I251" s="38"/>
      <c r="J251" s="38"/>
      <c r="K251" s="38"/>
      <c r="L251" s="38"/>
      <c r="M251" s="9"/>
      <c r="N251" s="9"/>
      <c r="O251" s="9"/>
      <c r="P251" s="38"/>
      <c r="Q251" s="9"/>
      <c r="R251" s="9"/>
      <c r="S251" s="9"/>
      <c r="T251" s="9"/>
      <c r="U251" s="9"/>
      <c r="V251" s="9"/>
      <c r="W251" s="9"/>
      <c r="X251" s="9"/>
      <c r="Y251" s="9"/>
      <c r="Z251" s="9"/>
      <c r="AA251" s="9"/>
      <c r="AB251" s="39"/>
      <c r="AC251" s="9"/>
      <c r="AD251" s="38"/>
      <c r="AE251" s="9"/>
      <c r="AF251" s="39"/>
      <c r="AG251" s="9"/>
      <c r="AH251" s="9"/>
      <c r="AI251" s="9"/>
      <c r="AJ251" s="9"/>
      <c r="AK251" s="9"/>
      <c r="AL251" s="9"/>
      <c r="AM251" s="9"/>
      <c r="AN251" s="10" t="str">
        <f aca="false">IF(A251="","",SG_Criteria!$B$6&amp;SG_Criteria!$B$7&amp;"\"&amp;A251&amp;"\")</f>
        <v/>
      </c>
      <c r="AO251" s="10" t="str">
        <f aca="false">IF(A251="","",A251&amp;"_CAD.dwg")</f>
        <v/>
      </c>
      <c r="AP251" s="10" t="str">
        <f aca="false">IF(A251="","",A251&amp;"_DWG.pdf")</f>
        <v/>
      </c>
      <c r="AQ251" s="10" t="str">
        <f aca="false">IF(A251="","",IF(AM251="Y",A251&amp;"_STAAD.std","n/a"))</f>
        <v/>
      </c>
      <c r="AR251" s="10" t="str">
        <f aca="false">IF(A251="","",A251&amp;"_CALC.xlsx")</f>
        <v/>
      </c>
      <c r="AS251" s="10" t="str">
        <f aca="false">IF(A251="","",A251&amp;"_CALC.pdf")</f>
        <v/>
      </c>
      <c r="AT251" s="9"/>
      <c r="AU251" s="9"/>
      <c r="AV251" s="39"/>
      <c r="AW251" s="39"/>
      <c r="AX251" s="39"/>
      <c r="AY251" s="39"/>
      <c r="AZ251" s="39"/>
      <c r="BA251" s="12" t="str">
        <f aca="false">IF(A251="","",IF(COUNTIF(Rebar_Schedule!$A$5:$A$2004,A251)=0,"",ROUND(SUMIF(Rebar_Schedule!$A$5:$A$2004,A251,Rebar_Schedule!$K$5:$K$2004),1)))</f>
        <v/>
      </c>
      <c r="BB251" s="33" t="str">
        <f aca="false">IF(A251="","",IF(BA251="","No rebar schedule yet",IF(ABS(BA251-N(AW251))/MAX(N(AW251),1)&gt;SG_Criteria!$B$55,"NOTE: register rebar differs from schedule by "&amp;TEXT(ABS(BA251-N(AW251))/MAX(N(AW251),1),"0%"),"OK")))</f>
        <v/>
      </c>
      <c r="BC251" s="34" t="str">
        <f aca="false">IF(OR(D251="",G251="",H251="",D251="Sump",D251="Drop Inlet Chamber",D251="Silt Trap",D251="Pipe Culvert",D251="Subsoil Drain"),"",ROUND(MAX(1,N(I251))*(1/SG_Criteria!$B$26)*((G251/1000)*(H251/1000*(1-SG_Criteria!$B$25)))*(((G251/1000)*(H251/1000*(1-SG_Criteria!$B$25)))/((G251/1000)+2*(H251/1000*(1-SG_Criteria!$B$25))))^(2/3)*(1/Design_Selector!$B$11)^0.5,3))</f>
        <v/>
      </c>
      <c r="BD251" s="11" t="str">
        <f aca="false">IF(BC251="","",ROUND(BC251/(MAX(1,N(I251))*G251/1000*(H251/1000*(1-SG_Criteria!$B$25))),2))</f>
        <v/>
      </c>
      <c r="BE251" s="33" t="str">
        <f aca="false">IF(D251="","",IF(LEN(IF(AND(OR(E251="Roadside drain",E251="Entrance culvert"),OR(G251&lt;SG_Criteria!$B$15,H251&lt;SG_Criteria!$B$16)),"FAIL: below PUB min "&amp;SG_Criteria!$B$15&amp;"x"&amp;SG_Criteria!$B$16&amp;" for roadside drain. ","")&amp;IF(AND(E251="Common drain",G251&lt;SG_Criteria!$B$17),"FAIL: common drain W &lt; "&amp;SG_Criteria!$B$17&amp;" mm. ","")&amp;IF(AND(O251&lt;&gt;"",IFERROR(VALUE(MID(O251,2,2)),0)&lt;SG_Criteria!$B$19),"FAIL: grade below C"&amp;SG_Criteria!$B$19&amp;". ","")&amp;IF(AND(P251&lt;&gt;"",P251&lt;SG_Criteria!$B$20),"FAIL: cover &lt; "&amp;SG_Criteria!$B$20&amp;" mm. ","")&amp;IF(AND(F251="Open",H251&gt;SG_Criteria!$B$18),"NOTE: safety railing required (D &gt; "&amp;SG_Criteria!$B$18&amp;" mm). ","")&amp;IF(AND(E251="Entrance culvert",H251&lt;600),"NOTE: check hinged grating rule for culverts &lt; 600 deep (PUB Add. 3). ",""))=0,"OK",IF(AND(OR(E251="Roadside drain",E251="Entrance culvert"),OR(G251&lt;SG_Criteria!$B$15,H251&lt;SG_Criteria!$B$16)),"FAIL: below PUB min "&amp;SG_Criteria!$B$15&amp;"x"&amp;SG_Criteria!$B$16&amp;" for roadside drain. ","")&amp;IF(AND(E251="Common drain",G251&lt;SG_Criteria!$B$17),"FAIL: common drain W &lt; "&amp;SG_Criteria!$B$17&amp;" mm. ","")&amp;IF(AND(O251&lt;&gt;"",IFERROR(VALUE(MID(O251,2,2)),0)&lt;SG_Criteria!$B$19),"FAIL: grade below C"&amp;SG_Criteria!$B$19&amp;". ","")&amp;IF(AND(P251&lt;&gt;"",P251&lt;SG_Criteria!$B$20),"FAIL: cover &lt; "&amp;SG_Criteria!$B$20&amp;" mm. ","")&amp;IF(AND(F251="Open",H251&gt;SG_Criteria!$B$18),"NOTE: safety railing required (D &gt; "&amp;SG_Criteria!$B$18&amp;" mm). ","")&amp;IF(AND(E251="Entrance culvert",H251&lt;600),"NOTE: check hinged grating rule for culverts &lt; 600 deep (PUB Add. 3). ","")))</f>
        <v/>
      </c>
      <c r="BF251" s="9"/>
      <c r="BG251" s="9"/>
      <c r="BH251" s="9"/>
      <c r="BI251" s="10" t="str">
        <f aca="false">IF(BH251="","",IFERROR(VLOOKUP(BH251,Projects!$A$5:$D$504,2,0),"Ref not in Projects"))</f>
        <v/>
      </c>
      <c r="BJ251" s="10" t="str">
        <f aca="false">IF(BH251="","",IFERROR(VLOOKUP(BH251,Projects!$A$5:$D$504,4,0),"Ref not in Projects"))</f>
        <v/>
      </c>
      <c r="BK251" s="9"/>
      <c r="BL251" s="9"/>
      <c r="BM251" s="9"/>
      <c r="BN251" s="40"/>
      <c r="BO251" s="9"/>
      <c r="BP251" s="40"/>
      <c r="BQ251" s="9"/>
      <c r="BR251" s="40"/>
      <c r="BS251" s="9"/>
      <c r="BT251" s="9"/>
      <c r="BU251" s="9"/>
      <c r="BV251" s="40"/>
      <c r="BW251" s="40"/>
      <c r="BX251" s="36" t="str">
        <f aca="false">IF(BW251="","",EDATE(BW251,SG_Criteria!$B$54*12))</f>
        <v/>
      </c>
      <c r="BY251" s="33" t="str">
        <f aca="true">IF(A251="","",IF(BW251="","NOTE: not reviewed yet",IF(TODAY()&gt;BX251,"NOTE: review overdue","OK")))</f>
        <v/>
      </c>
      <c r="BZ251" s="37" t="str">
        <f aca="false">IF(A251="","",ROUND((IF(LEN(D251)&gt;0,1,0)+IF(LEN(E251)&gt;0,1,0)+IF(LEN(F251)&gt;0,1,0)+IF(LEN(G251)&gt;0,1,0)+IF(LEN(H251)&gt;0,1,0)+IF(LEN(J251)&gt;0,1,0)+IF(LEN(K251)&gt;0,1,0)+IF(LEN(M251)&gt;0,1,0)+IF(LEN(O251)&gt;0,1,0)+IF(LEN(P251)&gt;0,1,0)+IF(LEN(Q251)&gt;0,1,0)+IF(LEN(S251)&gt;0,1,0)+IF(LEN(AC251)&gt;0,1,0)+IF(LEN(AV251)&gt;0,1,0)+IF(LEN(AW251)&gt;0,1,0)+IF(LEN(AG251)&gt;0,1,0)+IF(LEN(AI251)&gt;0,1,0)+IF(LEN(AJ251)&gt;0,1,0)+IF(LEN(AK251)&gt;0,1,0)+IF(LEN(AL251)&gt;0,1,0)+IF(LEN(AU251)&gt;0,1,0)+IF(LEN(BH251)&gt;0,1,0)+IF(LEN(BU251)&gt;0,1,0))/23,2))</f>
        <v/>
      </c>
      <c r="CA251" s="10" t="str">
        <f aca="false">IF(D251="","",IF(AND(AJ251="Approved",ISERROR(SEARCH("FAIL",BE251))),"Y","N"))</f>
        <v/>
      </c>
      <c r="CB251" s="10" t="str">
        <f aca="false">IF(D251="","",D251&amp;"|"&amp;G251&amp;"|"&amp;H251&amp;"|"&amp;M251&amp;"|"&amp;CA251)</f>
        <v/>
      </c>
    </row>
    <row r="252" customFormat="false" ht="15" hidden="false" customHeight="false" outlineLevel="0" collapsed="false">
      <c r="A252" s="10" t="str">
        <f aca="false">IF(D252="","","DRN-"&amp;IFERROR(VLOOKUP(D252,Lists!$A$4:$B$27,2,0),"??")&amp;"-"&amp;TEXT(G252,"0000")&amp;"x"&amp;TEXT(H252,"0000")&amp;IF(N(I252)&gt;1,"-"&amp;I252&amp;"C","")&amp;"-"&amp;IFERROR(VLOOKUP(M252,Lists!$J$4:$K$19,2,0),"??")&amp;"-"&amp;AI252)</f>
        <v/>
      </c>
      <c r="B252" s="10" t="str">
        <f aca="false">IF(D252="","",D252&amp;" "&amp;G252&amp;"W x "&amp;H252&amp;"D"&amp;IF(N(I252)&gt;1," ("&amp;I252&amp;" cells)","")&amp;", "&amp;E252&amp;", "&amp;M252&amp;", "&amp;F252)</f>
        <v/>
      </c>
      <c r="C252" s="9"/>
      <c r="D252" s="9"/>
      <c r="E252" s="9"/>
      <c r="F252" s="9"/>
      <c r="G252" s="38"/>
      <c r="H252" s="38"/>
      <c r="I252" s="38"/>
      <c r="J252" s="38"/>
      <c r="K252" s="38"/>
      <c r="L252" s="38"/>
      <c r="M252" s="9"/>
      <c r="N252" s="9"/>
      <c r="O252" s="9"/>
      <c r="P252" s="38"/>
      <c r="Q252" s="9"/>
      <c r="R252" s="9"/>
      <c r="S252" s="9"/>
      <c r="T252" s="9"/>
      <c r="U252" s="9"/>
      <c r="V252" s="9"/>
      <c r="W252" s="9"/>
      <c r="X252" s="9"/>
      <c r="Y252" s="9"/>
      <c r="Z252" s="9"/>
      <c r="AA252" s="9"/>
      <c r="AB252" s="39"/>
      <c r="AC252" s="9"/>
      <c r="AD252" s="38"/>
      <c r="AE252" s="9"/>
      <c r="AF252" s="39"/>
      <c r="AG252" s="9"/>
      <c r="AH252" s="9"/>
      <c r="AI252" s="9"/>
      <c r="AJ252" s="9"/>
      <c r="AK252" s="9"/>
      <c r="AL252" s="9"/>
      <c r="AM252" s="9"/>
      <c r="AN252" s="10" t="str">
        <f aca="false">IF(A252="","",SG_Criteria!$B$6&amp;SG_Criteria!$B$7&amp;"\"&amp;A252&amp;"\")</f>
        <v/>
      </c>
      <c r="AO252" s="10" t="str">
        <f aca="false">IF(A252="","",A252&amp;"_CAD.dwg")</f>
        <v/>
      </c>
      <c r="AP252" s="10" t="str">
        <f aca="false">IF(A252="","",A252&amp;"_DWG.pdf")</f>
        <v/>
      </c>
      <c r="AQ252" s="10" t="str">
        <f aca="false">IF(A252="","",IF(AM252="Y",A252&amp;"_STAAD.std","n/a"))</f>
        <v/>
      </c>
      <c r="AR252" s="10" t="str">
        <f aca="false">IF(A252="","",A252&amp;"_CALC.xlsx")</f>
        <v/>
      </c>
      <c r="AS252" s="10" t="str">
        <f aca="false">IF(A252="","",A252&amp;"_CALC.pdf")</f>
        <v/>
      </c>
      <c r="AT252" s="9"/>
      <c r="AU252" s="9"/>
      <c r="AV252" s="39"/>
      <c r="AW252" s="39"/>
      <c r="AX252" s="39"/>
      <c r="AY252" s="39"/>
      <c r="AZ252" s="39"/>
      <c r="BA252" s="12" t="str">
        <f aca="false">IF(A252="","",IF(COUNTIF(Rebar_Schedule!$A$5:$A$2004,A252)=0,"",ROUND(SUMIF(Rebar_Schedule!$A$5:$A$2004,A252,Rebar_Schedule!$K$5:$K$2004),1)))</f>
        <v/>
      </c>
      <c r="BB252" s="33" t="str">
        <f aca="false">IF(A252="","",IF(BA252="","No rebar schedule yet",IF(ABS(BA252-N(AW252))/MAX(N(AW252),1)&gt;SG_Criteria!$B$55,"NOTE: register rebar differs from schedule by "&amp;TEXT(ABS(BA252-N(AW252))/MAX(N(AW252),1),"0%"),"OK")))</f>
        <v/>
      </c>
      <c r="BC252" s="34" t="str">
        <f aca="false">IF(OR(D252="",G252="",H252="",D252="Sump",D252="Drop Inlet Chamber",D252="Silt Trap",D252="Pipe Culvert",D252="Subsoil Drain"),"",ROUND(MAX(1,N(I252))*(1/SG_Criteria!$B$26)*((G252/1000)*(H252/1000*(1-SG_Criteria!$B$25)))*(((G252/1000)*(H252/1000*(1-SG_Criteria!$B$25)))/((G252/1000)+2*(H252/1000*(1-SG_Criteria!$B$25))))^(2/3)*(1/Design_Selector!$B$11)^0.5,3))</f>
        <v/>
      </c>
      <c r="BD252" s="11" t="str">
        <f aca="false">IF(BC252="","",ROUND(BC252/(MAX(1,N(I252))*G252/1000*(H252/1000*(1-SG_Criteria!$B$25))),2))</f>
        <v/>
      </c>
      <c r="BE252" s="33" t="str">
        <f aca="false">IF(D252="","",IF(LEN(IF(AND(OR(E252="Roadside drain",E252="Entrance culvert"),OR(G252&lt;SG_Criteria!$B$15,H252&lt;SG_Criteria!$B$16)),"FAIL: below PUB min "&amp;SG_Criteria!$B$15&amp;"x"&amp;SG_Criteria!$B$16&amp;" for roadside drain. ","")&amp;IF(AND(E252="Common drain",G252&lt;SG_Criteria!$B$17),"FAIL: common drain W &lt; "&amp;SG_Criteria!$B$17&amp;" mm. ","")&amp;IF(AND(O252&lt;&gt;"",IFERROR(VALUE(MID(O252,2,2)),0)&lt;SG_Criteria!$B$19),"FAIL: grade below C"&amp;SG_Criteria!$B$19&amp;". ","")&amp;IF(AND(P252&lt;&gt;"",P252&lt;SG_Criteria!$B$20),"FAIL: cover &lt; "&amp;SG_Criteria!$B$20&amp;" mm. ","")&amp;IF(AND(F252="Open",H252&gt;SG_Criteria!$B$18),"NOTE: safety railing required (D &gt; "&amp;SG_Criteria!$B$18&amp;" mm). ","")&amp;IF(AND(E252="Entrance culvert",H252&lt;600),"NOTE: check hinged grating rule for culverts &lt; 600 deep (PUB Add. 3). ",""))=0,"OK",IF(AND(OR(E252="Roadside drain",E252="Entrance culvert"),OR(G252&lt;SG_Criteria!$B$15,H252&lt;SG_Criteria!$B$16)),"FAIL: below PUB min "&amp;SG_Criteria!$B$15&amp;"x"&amp;SG_Criteria!$B$16&amp;" for roadside drain. ","")&amp;IF(AND(E252="Common drain",G252&lt;SG_Criteria!$B$17),"FAIL: common drain W &lt; "&amp;SG_Criteria!$B$17&amp;" mm. ","")&amp;IF(AND(O252&lt;&gt;"",IFERROR(VALUE(MID(O252,2,2)),0)&lt;SG_Criteria!$B$19),"FAIL: grade below C"&amp;SG_Criteria!$B$19&amp;". ","")&amp;IF(AND(P252&lt;&gt;"",P252&lt;SG_Criteria!$B$20),"FAIL: cover &lt; "&amp;SG_Criteria!$B$20&amp;" mm. ","")&amp;IF(AND(F252="Open",H252&gt;SG_Criteria!$B$18),"NOTE: safety railing required (D &gt; "&amp;SG_Criteria!$B$18&amp;" mm). ","")&amp;IF(AND(E252="Entrance culvert",H252&lt;600),"NOTE: check hinged grating rule for culverts &lt; 600 deep (PUB Add. 3). ","")))</f>
        <v/>
      </c>
      <c r="BF252" s="9"/>
      <c r="BG252" s="9"/>
      <c r="BH252" s="9"/>
      <c r="BI252" s="10" t="str">
        <f aca="false">IF(BH252="","",IFERROR(VLOOKUP(BH252,Projects!$A$5:$D$504,2,0),"Ref not in Projects"))</f>
        <v/>
      </c>
      <c r="BJ252" s="10" t="str">
        <f aca="false">IF(BH252="","",IFERROR(VLOOKUP(BH252,Projects!$A$5:$D$504,4,0),"Ref not in Projects"))</f>
        <v/>
      </c>
      <c r="BK252" s="9"/>
      <c r="BL252" s="9"/>
      <c r="BM252" s="9"/>
      <c r="BN252" s="40"/>
      <c r="BO252" s="9"/>
      <c r="BP252" s="40"/>
      <c r="BQ252" s="9"/>
      <c r="BR252" s="40"/>
      <c r="BS252" s="9"/>
      <c r="BT252" s="9"/>
      <c r="BU252" s="9"/>
      <c r="BV252" s="40"/>
      <c r="BW252" s="40"/>
      <c r="BX252" s="36" t="str">
        <f aca="false">IF(BW252="","",EDATE(BW252,SG_Criteria!$B$54*12))</f>
        <v/>
      </c>
      <c r="BY252" s="33" t="str">
        <f aca="true">IF(A252="","",IF(BW252="","NOTE: not reviewed yet",IF(TODAY()&gt;BX252,"NOTE: review overdue","OK")))</f>
        <v/>
      </c>
      <c r="BZ252" s="37" t="str">
        <f aca="false">IF(A252="","",ROUND((IF(LEN(D252)&gt;0,1,0)+IF(LEN(E252)&gt;0,1,0)+IF(LEN(F252)&gt;0,1,0)+IF(LEN(G252)&gt;0,1,0)+IF(LEN(H252)&gt;0,1,0)+IF(LEN(J252)&gt;0,1,0)+IF(LEN(K252)&gt;0,1,0)+IF(LEN(M252)&gt;0,1,0)+IF(LEN(O252)&gt;0,1,0)+IF(LEN(P252)&gt;0,1,0)+IF(LEN(Q252)&gt;0,1,0)+IF(LEN(S252)&gt;0,1,0)+IF(LEN(AC252)&gt;0,1,0)+IF(LEN(AV252)&gt;0,1,0)+IF(LEN(AW252)&gt;0,1,0)+IF(LEN(AG252)&gt;0,1,0)+IF(LEN(AI252)&gt;0,1,0)+IF(LEN(AJ252)&gt;0,1,0)+IF(LEN(AK252)&gt;0,1,0)+IF(LEN(AL252)&gt;0,1,0)+IF(LEN(AU252)&gt;0,1,0)+IF(LEN(BH252)&gt;0,1,0)+IF(LEN(BU252)&gt;0,1,0))/23,2))</f>
        <v/>
      </c>
      <c r="CA252" s="10" t="str">
        <f aca="false">IF(D252="","",IF(AND(AJ252="Approved",ISERROR(SEARCH("FAIL",BE252))),"Y","N"))</f>
        <v/>
      </c>
      <c r="CB252" s="10" t="str">
        <f aca="false">IF(D252="","",D252&amp;"|"&amp;G252&amp;"|"&amp;H252&amp;"|"&amp;M252&amp;"|"&amp;CA252)</f>
        <v/>
      </c>
    </row>
    <row r="253" customFormat="false" ht="15" hidden="false" customHeight="false" outlineLevel="0" collapsed="false">
      <c r="A253" s="10" t="str">
        <f aca="false">IF(D253="","","DRN-"&amp;IFERROR(VLOOKUP(D253,Lists!$A$4:$B$27,2,0),"??")&amp;"-"&amp;TEXT(G253,"0000")&amp;"x"&amp;TEXT(H253,"0000")&amp;IF(N(I253)&gt;1,"-"&amp;I253&amp;"C","")&amp;"-"&amp;IFERROR(VLOOKUP(M253,Lists!$J$4:$K$19,2,0),"??")&amp;"-"&amp;AI253)</f>
        <v/>
      </c>
      <c r="B253" s="10" t="str">
        <f aca="false">IF(D253="","",D253&amp;" "&amp;G253&amp;"W x "&amp;H253&amp;"D"&amp;IF(N(I253)&gt;1," ("&amp;I253&amp;" cells)","")&amp;", "&amp;E253&amp;", "&amp;M253&amp;", "&amp;F253)</f>
        <v/>
      </c>
      <c r="C253" s="9"/>
      <c r="D253" s="9"/>
      <c r="E253" s="9"/>
      <c r="F253" s="9"/>
      <c r="G253" s="38"/>
      <c r="H253" s="38"/>
      <c r="I253" s="38"/>
      <c r="J253" s="38"/>
      <c r="K253" s="38"/>
      <c r="L253" s="38"/>
      <c r="M253" s="9"/>
      <c r="N253" s="9"/>
      <c r="O253" s="9"/>
      <c r="P253" s="38"/>
      <c r="Q253" s="9"/>
      <c r="R253" s="9"/>
      <c r="S253" s="9"/>
      <c r="T253" s="9"/>
      <c r="U253" s="9"/>
      <c r="V253" s="9"/>
      <c r="W253" s="9"/>
      <c r="X253" s="9"/>
      <c r="Y253" s="9"/>
      <c r="Z253" s="9"/>
      <c r="AA253" s="9"/>
      <c r="AB253" s="39"/>
      <c r="AC253" s="9"/>
      <c r="AD253" s="38"/>
      <c r="AE253" s="9"/>
      <c r="AF253" s="39"/>
      <c r="AG253" s="9"/>
      <c r="AH253" s="9"/>
      <c r="AI253" s="9"/>
      <c r="AJ253" s="9"/>
      <c r="AK253" s="9"/>
      <c r="AL253" s="9"/>
      <c r="AM253" s="9"/>
      <c r="AN253" s="10" t="str">
        <f aca="false">IF(A253="","",SG_Criteria!$B$6&amp;SG_Criteria!$B$7&amp;"\"&amp;A253&amp;"\")</f>
        <v/>
      </c>
      <c r="AO253" s="10" t="str">
        <f aca="false">IF(A253="","",A253&amp;"_CAD.dwg")</f>
        <v/>
      </c>
      <c r="AP253" s="10" t="str">
        <f aca="false">IF(A253="","",A253&amp;"_DWG.pdf")</f>
        <v/>
      </c>
      <c r="AQ253" s="10" t="str">
        <f aca="false">IF(A253="","",IF(AM253="Y",A253&amp;"_STAAD.std","n/a"))</f>
        <v/>
      </c>
      <c r="AR253" s="10" t="str">
        <f aca="false">IF(A253="","",A253&amp;"_CALC.xlsx")</f>
        <v/>
      </c>
      <c r="AS253" s="10" t="str">
        <f aca="false">IF(A253="","",A253&amp;"_CALC.pdf")</f>
        <v/>
      </c>
      <c r="AT253" s="9"/>
      <c r="AU253" s="9"/>
      <c r="AV253" s="39"/>
      <c r="AW253" s="39"/>
      <c r="AX253" s="39"/>
      <c r="AY253" s="39"/>
      <c r="AZ253" s="39"/>
      <c r="BA253" s="12" t="str">
        <f aca="false">IF(A253="","",IF(COUNTIF(Rebar_Schedule!$A$5:$A$2004,A253)=0,"",ROUND(SUMIF(Rebar_Schedule!$A$5:$A$2004,A253,Rebar_Schedule!$K$5:$K$2004),1)))</f>
        <v/>
      </c>
      <c r="BB253" s="33" t="str">
        <f aca="false">IF(A253="","",IF(BA253="","No rebar schedule yet",IF(ABS(BA253-N(AW253))/MAX(N(AW253),1)&gt;SG_Criteria!$B$55,"NOTE: register rebar differs from schedule by "&amp;TEXT(ABS(BA253-N(AW253))/MAX(N(AW253),1),"0%"),"OK")))</f>
        <v/>
      </c>
      <c r="BC253" s="34" t="str">
        <f aca="false">IF(OR(D253="",G253="",H253="",D253="Sump",D253="Drop Inlet Chamber",D253="Silt Trap",D253="Pipe Culvert",D253="Subsoil Drain"),"",ROUND(MAX(1,N(I253))*(1/SG_Criteria!$B$26)*((G253/1000)*(H253/1000*(1-SG_Criteria!$B$25)))*(((G253/1000)*(H253/1000*(1-SG_Criteria!$B$25)))/((G253/1000)+2*(H253/1000*(1-SG_Criteria!$B$25))))^(2/3)*(1/Design_Selector!$B$11)^0.5,3))</f>
        <v/>
      </c>
      <c r="BD253" s="11" t="str">
        <f aca="false">IF(BC253="","",ROUND(BC253/(MAX(1,N(I253))*G253/1000*(H253/1000*(1-SG_Criteria!$B$25))),2))</f>
        <v/>
      </c>
      <c r="BE253" s="33" t="str">
        <f aca="false">IF(D253="","",IF(LEN(IF(AND(OR(E253="Roadside drain",E253="Entrance culvert"),OR(G253&lt;SG_Criteria!$B$15,H253&lt;SG_Criteria!$B$16)),"FAIL: below PUB min "&amp;SG_Criteria!$B$15&amp;"x"&amp;SG_Criteria!$B$16&amp;" for roadside drain. ","")&amp;IF(AND(E253="Common drain",G253&lt;SG_Criteria!$B$17),"FAIL: common drain W &lt; "&amp;SG_Criteria!$B$17&amp;" mm. ","")&amp;IF(AND(O253&lt;&gt;"",IFERROR(VALUE(MID(O253,2,2)),0)&lt;SG_Criteria!$B$19),"FAIL: grade below C"&amp;SG_Criteria!$B$19&amp;". ","")&amp;IF(AND(P253&lt;&gt;"",P253&lt;SG_Criteria!$B$20),"FAIL: cover &lt; "&amp;SG_Criteria!$B$20&amp;" mm. ","")&amp;IF(AND(F253="Open",H253&gt;SG_Criteria!$B$18),"NOTE: safety railing required (D &gt; "&amp;SG_Criteria!$B$18&amp;" mm). ","")&amp;IF(AND(E253="Entrance culvert",H253&lt;600),"NOTE: check hinged grating rule for culverts &lt; 600 deep (PUB Add. 3). ",""))=0,"OK",IF(AND(OR(E253="Roadside drain",E253="Entrance culvert"),OR(G253&lt;SG_Criteria!$B$15,H253&lt;SG_Criteria!$B$16)),"FAIL: below PUB min "&amp;SG_Criteria!$B$15&amp;"x"&amp;SG_Criteria!$B$16&amp;" for roadside drain. ","")&amp;IF(AND(E253="Common drain",G253&lt;SG_Criteria!$B$17),"FAIL: common drain W &lt; "&amp;SG_Criteria!$B$17&amp;" mm. ","")&amp;IF(AND(O253&lt;&gt;"",IFERROR(VALUE(MID(O253,2,2)),0)&lt;SG_Criteria!$B$19),"FAIL: grade below C"&amp;SG_Criteria!$B$19&amp;". ","")&amp;IF(AND(P253&lt;&gt;"",P253&lt;SG_Criteria!$B$20),"FAIL: cover &lt; "&amp;SG_Criteria!$B$20&amp;" mm. ","")&amp;IF(AND(F253="Open",H253&gt;SG_Criteria!$B$18),"NOTE: safety railing required (D &gt; "&amp;SG_Criteria!$B$18&amp;" mm). ","")&amp;IF(AND(E253="Entrance culvert",H253&lt;600),"NOTE: check hinged grating rule for culverts &lt; 600 deep (PUB Add. 3). ","")))</f>
        <v/>
      </c>
      <c r="BF253" s="9"/>
      <c r="BG253" s="9"/>
      <c r="BH253" s="9"/>
      <c r="BI253" s="10" t="str">
        <f aca="false">IF(BH253="","",IFERROR(VLOOKUP(BH253,Projects!$A$5:$D$504,2,0),"Ref not in Projects"))</f>
        <v/>
      </c>
      <c r="BJ253" s="10" t="str">
        <f aca="false">IF(BH253="","",IFERROR(VLOOKUP(BH253,Projects!$A$5:$D$504,4,0),"Ref not in Projects"))</f>
        <v/>
      </c>
      <c r="BK253" s="9"/>
      <c r="BL253" s="9"/>
      <c r="BM253" s="9"/>
      <c r="BN253" s="40"/>
      <c r="BO253" s="9"/>
      <c r="BP253" s="40"/>
      <c r="BQ253" s="9"/>
      <c r="BR253" s="40"/>
      <c r="BS253" s="9"/>
      <c r="BT253" s="9"/>
      <c r="BU253" s="9"/>
      <c r="BV253" s="40"/>
      <c r="BW253" s="40"/>
      <c r="BX253" s="36" t="str">
        <f aca="false">IF(BW253="","",EDATE(BW253,SG_Criteria!$B$54*12))</f>
        <v/>
      </c>
      <c r="BY253" s="33" t="str">
        <f aca="true">IF(A253="","",IF(BW253="","NOTE: not reviewed yet",IF(TODAY()&gt;BX253,"NOTE: review overdue","OK")))</f>
        <v/>
      </c>
      <c r="BZ253" s="37" t="str">
        <f aca="false">IF(A253="","",ROUND((IF(LEN(D253)&gt;0,1,0)+IF(LEN(E253)&gt;0,1,0)+IF(LEN(F253)&gt;0,1,0)+IF(LEN(G253)&gt;0,1,0)+IF(LEN(H253)&gt;0,1,0)+IF(LEN(J253)&gt;0,1,0)+IF(LEN(K253)&gt;0,1,0)+IF(LEN(M253)&gt;0,1,0)+IF(LEN(O253)&gt;0,1,0)+IF(LEN(P253)&gt;0,1,0)+IF(LEN(Q253)&gt;0,1,0)+IF(LEN(S253)&gt;0,1,0)+IF(LEN(AC253)&gt;0,1,0)+IF(LEN(AV253)&gt;0,1,0)+IF(LEN(AW253)&gt;0,1,0)+IF(LEN(AG253)&gt;0,1,0)+IF(LEN(AI253)&gt;0,1,0)+IF(LEN(AJ253)&gt;0,1,0)+IF(LEN(AK253)&gt;0,1,0)+IF(LEN(AL253)&gt;0,1,0)+IF(LEN(AU253)&gt;0,1,0)+IF(LEN(BH253)&gt;0,1,0)+IF(LEN(BU253)&gt;0,1,0))/23,2))</f>
        <v/>
      </c>
      <c r="CA253" s="10" t="str">
        <f aca="false">IF(D253="","",IF(AND(AJ253="Approved",ISERROR(SEARCH("FAIL",BE253))),"Y","N"))</f>
        <v/>
      </c>
      <c r="CB253" s="10" t="str">
        <f aca="false">IF(D253="","",D253&amp;"|"&amp;G253&amp;"|"&amp;H253&amp;"|"&amp;M253&amp;"|"&amp;CA253)</f>
        <v/>
      </c>
    </row>
    <row r="254" customFormat="false" ht="15" hidden="false" customHeight="false" outlineLevel="0" collapsed="false">
      <c r="A254" s="10" t="str">
        <f aca="false">IF(D254="","","DRN-"&amp;IFERROR(VLOOKUP(D254,Lists!$A$4:$B$27,2,0),"??")&amp;"-"&amp;TEXT(G254,"0000")&amp;"x"&amp;TEXT(H254,"0000")&amp;IF(N(I254)&gt;1,"-"&amp;I254&amp;"C","")&amp;"-"&amp;IFERROR(VLOOKUP(M254,Lists!$J$4:$K$19,2,0),"??")&amp;"-"&amp;AI254)</f>
        <v/>
      </c>
      <c r="B254" s="10" t="str">
        <f aca="false">IF(D254="","",D254&amp;" "&amp;G254&amp;"W x "&amp;H254&amp;"D"&amp;IF(N(I254)&gt;1," ("&amp;I254&amp;" cells)","")&amp;", "&amp;E254&amp;", "&amp;M254&amp;", "&amp;F254)</f>
        <v/>
      </c>
      <c r="C254" s="9"/>
      <c r="D254" s="9"/>
      <c r="E254" s="9"/>
      <c r="F254" s="9"/>
      <c r="G254" s="38"/>
      <c r="H254" s="38"/>
      <c r="I254" s="38"/>
      <c r="J254" s="38"/>
      <c r="K254" s="38"/>
      <c r="L254" s="38"/>
      <c r="M254" s="9"/>
      <c r="N254" s="9"/>
      <c r="O254" s="9"/>
      <c r="P254" s="38"/>
      <c r="Q254" s="9"/>
      <c r="R254" s="9"/>
      <c r="S254" s="9"/>
      <c r="T254" s="9"/>
      <c r="U254" s="9"/>
      <c r="V254" s="9"/>
      <c r="W254" s="9"/>
      <c r="X254" s="9"/>
      <c r="Y254" s="9"/>
      <c r="Z254" s="9"/>
      <c r="AA254" s="9"/>
      <c r="AB254" s="39"/>
      <c r="AC254" s="9"/>
      <c r="AD254" s="38"/>
      <c r="AE254" s="9"/>
      <c r="AF254" s="39"/>
      <c r="AG254" s="9"/>
      <c r="AH254" s="9"/>
      <c r="AI254" s="9"/>
      <c r="AJ254" s="9"/>
      <c r="AK254" s="9"/>
      <c r="AL254" s="9"/>
      <c r="AM254" s="9"/>
      <c r="AN254" s="10" t="str">
        <f aca="false">IF(A254="","",SG_Criteria!$B$6&amp;SG_Criteria!$B$7&amp;"\"&amp;A254&amp;"\")</f>
        <v/>
      </c>
      <c r="AO254" s="10" t="str">
        <f aca="false">IF(A254="","",A254&amp;"_CAD.dwg")</f>
        <v/>
      </c>
      <c r="AP254" s="10" t="str">
        <f aca="false">IF(A254="","",A254&amp;"_DWG.pdf")</f>
        <v/>
      </c>
      <c r="AQ254" s="10" t="str">
        <f aca="false">IF(A254="","",IF(AM254="Y",A254&amp;"_STAAD.std","n/a"))</f>
        <v/>
      </c>
      <c r="AR254" s="10" t="str">
        <f aca="false">IF(A254="","",A254&amp;"_CALC.xlsx")</f>
        <v/>
      </c>
      <c r="AS254" s="10" t="str">
        <f aca="false">IF(A254="","",A254&amp;"_CALC.pdf")</f>
        <v/>
      </c>
      <c r="AT254" s="9"/>
      <c r="AU254" s="9"/>
      <c r="AV254" s="39"/>
      <c r="AW254" s="39"/>
      <c r="AX254" s="39"/>
      <c r="AY254" s="39"/>
      <c r="AZ254" s="39"/>
      <c r="BA254" s="12" t="str">
        <f aca="false">IF(A254="","",IF(COUNTIF(Rebar_Schedule!$A$5:$A$2004,A254)=0,"",ROUND(SUMIF(Rebar_Schedule!$A$5:$A$2004,A254,Rebar_Schedule!$K$5:$K$2004),1)))</f>
        <v/>
      </c>
      <c r="BB254" s="33" t="str">
        <f aca="false">IF(A254="","",IF(BA254="","No rebar schedule yet",IF(ABS(BA254-N(AW254))/MAX(N(AW254),1)&gt;SG_Criteria!$B$55,"NOTE: register rebar differs from schedule by "&amp;TEXT(ABS(BA254-N(AW254))/MAX(N(AW254),1),"0%"),"OK")))</f>
        <v/>
      </c>
      <c r="BC254" s="34" t="str">
        <f aca="false">IF(OR(D254="",G254="",H254="",D254="Sump",D254="Drop Inlet Chamber",D254="Silt Trap",D254="Pipe Culvert",D254="Subsoil Drain"),"",ROUND(MAX(1,N(I254))*(1/SG_Criteria!$B$26)*((G254/1000)*(H254/1000*(1-SG_Criteria!$B$25)))*(((G254/1000)*(H254/1000*(1-SG_Criteria!$B$25)))/((G254/1000)+2*(H254/1000*(1-SG_Criteria!$B$25))))^(2/3)*(1/Design_Selector!$B$11)^0.5,3))</f>
        <v/>
      </c>
      <c r="BD254" s="11" t="str">
        <f aca="false">IF(BC254="","",ROUND(BC254/(MAX(1,N(I254))*G254/1000*(H254/1000*(1-SG_Criteria!$B$25))),2))</f>
        <v/>
      </c>
      <c r="BE254" s="33" t="str">
        <f aca="false">IF(D254="","",IF(LEN(IF(AND(OR(E254="Roadside drain",E254="Entrance culvert"),OR(G254&lt;SG_Criteria!$B$15,H254&lt;SG_Criteria!$B$16)),"FAIL: below PUB min "&amp;SG_Criteria!$B$15&amp;"x"&amp;SG_Criteria!$B$16&amp;" for roadside drain. ","")&amp;IF(AND(E254="Common drain",G254&lt;SG_Criteria!$B$17),"FAIL: common drain W &lt; "&amp;SG_Criteria!$B$17&amp;" mm. ","")&amp;IF(AND(O254&lt;&gt;"",IFERROR(VALUE(MID(O254,2,2)),0)&lt;SG_Criteria!$B$19),"FAIL: grade below C"&amp;SG_Criteria!$B$19&amp;". ","")&amp;IF(AND(P254&lt;&gt;"",P254&lt;SG_Criteria!$B$20),"FAIL: cover &lt; "&amp;SG_Criteria!$B$20&amp;" mm. ","")&amp;IF(AND(F254="Open",H254&gt;SG_Criteria!$B$18),"NOTE: safety railing required (D &gt; "&amp;SG_Criteria!$B$18&amp;" mm). ","")&amp;IF(AND(E254="Entrance culvert",H254&lt;600),"NOTE: check hinged grating rule for culverts &lt; 600 deep (PUB Add. 3). ",""))=0,"OK",IF(AND(OR(E254="Roadside drain",E254="Entrance culvert"),OR(G254&lt;SG_Criteria!$B$15,H254&lt;SG_Criteria!$B$16)),"FAIL: below PUB min "&amp;SG_Criteria!$B$15&amp;"x"&amp;SG_Criteria!$B$16&amp;" for roadside drain. ","")&amp;IF(AND(E254="Common drain",G254&lt;SG_Criteria!$B$17),"FAIL: common drain W &lt; "&amp;SG_Criteria!$B$17&amp;" mm. ","")&amp;IF(AND(O254&lt;&gt;"",IFERROR(VALUE(MID(O254,2,2)),0)&lt;SG_Criteria!$B$19),"FAIL: grade below C"&amp;SG_Criteria!$B$19&amp;". ","")&amp;IF(AND(P254&lt;&gt;"",P254&lt;SG_Criteria!$B$20),"FAIL: cover &lt; "&amp;SG_Criteria!$B$20&amp;" mm. ","")&amp;IF(AND(F254="Open",H254&gt;SG_Criteria!$B$18),"NOTE: safety railing required (D &gt; "&amp;SG_Criteria!$B$18&amp;" mm). ","")&amp;IF(AND(E254="Entrance culvert",H254&lt;600),"NOTE: check hinged grating rule for culverts &lt; 600 deep (PUB Add. 3). ","")))</f>
        <v/>
      </c>
      <c r="BF254" s="9"/>
      <c r="BG254" s="9"/>
      <c r="BH254" s="9"/>
      <c r="BI254" s="10" t="str">
        <f aca="false">IF(BH254="","",IFERROR(VLOOKUP(BH254,Projects!$A$5:$D$504,2,0),"Ref not in Projects"))</f>
        <v/>
      </c>
      <c r="BJ254" s="10" t="str">
        <f aca="false">IF(BH254="","",IFERROR(VLOOKUP(BH254,Projects!$A$5:$D$504,4,0),"Ref not in Projects"))</f>
        <v/>
      </c>
      <c r="BK254" s="9"/>
      <c r="BL254" s="9"/>
      <c r="BM254" s="9"/>
      <c r="BN254" s="40"/>
      <c r="BO254" s="9"/>
      <c r="BP254" s="40"/>
      <c r="BQ254" s="9"/>
      <c r="BR254" s="40"/>
      <c r="BS254" s="9"/>
      <c r="BT254" s="9"/>
      <c r="BU254" s="9"/>
      <c r="BV254" s="40"/>
      <c r="BW254" s="40"/>
      <c r="BX254" s="36" t="str">
        <f aca="false">IF(BW254="","",EDATE(BW254,SG_Criteria!$B$54*12))</f>
        <v/>
      </c>
      <c r="BY254" s="33" t="str">
        <f aca="true">IF(A254="","",IF(BW254="","NOTE: not reviewed yet",IF(TODAY()&gt;BX254,"NOTE: review overdue","OK")))</f>
        <v/>
      </c>
      <c r="BZ254" s="37" t="str">
        <f aca="false">IF(A254="","",ROUND((IF(LEN(D254)&gt;0,1,0)+IF(LEN(E254)&gt;0,1,0)+IF(LEN(F254)&gt;0,1,0)+IF(LEN(G254)&gt;0,1,0)+IF(LEN(H254)&gt;0,1,0)+IF(LEN(J254)&gt;0,1,0)+IF(LEN(K254)&gt;0,1,0)+IF(LEN(M254)&gt;0,1,0)+IF(LEN(O254)&gt;0,1,0)+IF(LEN(P254)&gt;0,1,0)+IF(LEN(Q254)&gt;0,1,0)+IF(LEN(S254)&gt;0,1,0)+IF(LEN(AC254)&gt;0,1,0)+IF(LEN(AV254)&gt;0,1,0)+IF(LEN(AW254)&gt;0,1,0)+IF(LEN(AG254)&gt;0,1,0)+IF(LEN(AI254)&gt;0,1,0)+IF(LEN(AJ254)&gt;0,1,0)+IF(LEN(AK254)&gt;0,1,0)+IF(LEN(AL254)&gt;0,1,0)+IF(LEN(AU254)&gt;0,1,0)+IF(LEN(BH254)&gt;0,1,0)+IF(LEN(BU254)&gt;0,1,0))/23,2))</f>
        <v/>
      </c>
      <c r="CA254" s="10" t="str">
        <f aca="false">IF(D254="","",IF(AND(AJ254="Approved",ISERROR(SEARCH("FAIL",BE254))),"Y","N"))</f>
        <v/>
      </c>
      <c r="CB254" s="10" t="str">
        <f aca="false">IF(D254="","",D254&amp;"|"&amp;G254&amp;"|"&amp;H254&amp;"|"&amp;M254&amp;"|"&amp;CA254)</f>
        <v/>
      </c>
    </row>
    <row r="255" customFormat="false" ht="15" hidden="false" customHeight="false" outlineLevel="0" collapsed="false">
      <c r="A255" s="10" t="str">
        <f aca="false">IF(D255="","","DRN-"&amp;IFERROR(VLOOKUP(D255,Lists!$A$4:$B$27,2,0),"??")&amp;"-"&amp;TEXT(G255,"0000")&amp;"x"&amp;TEXT(H255,"0000")&amp;IF(N(I255)&gt;1,"-"&amp;I255&amp;"C","")&amp;"-"&amp;IFERROR(VLOOKUP(M255,Lists!$J$4:$K$19,2,0),"??")&amp;"-"&amp;AI255)</f>
        <v/>
      </c>
      <c r="B255" s="10" t="str">
        <f aca="false">IF(D255="","",D255&amp;" "&amp;G255&amp;"W x "&amp;H255&amp;"D"&amp;IF(N(I255)&gt;1," ("&amp;I255&amp;" cells)","")&amp;", "&amp;E255&amp;", "&amp;M255&amp;", "&amp;F255)</f>
        <v/>
      </c>
      <c r="C255" s="9"/>
      <c r="D255" s="9"/>
      <c r="E255" s="9"/>
      <c r="F255" s="9"/>
      <c r="G255" s="38"/>
      <c r="H255" s="38"/>
      <c r="I255" s="38"/>
      <c r="J255" s="38"/>
      <c r="K255" s="38"/>
      <c r="L255" s="38"/>
      <c r="M255" s="9"/>
      <c r="N255" s="9"/>
      <c r="O255" s="9"/>
      <c r="P255" s="38"/>
      <c r="Q255" s="9"/>
      <c r="R255" s="9"/>
      <c r="S255" s="9"/>
      <c r="T255" s="9"/>
      <c r="U255" s="9"/>
      <c r="V255" s="9"/>
      <c r="W255" s="9"/>
      <c r="X255" s="9"/>
      <c r="Y255" s="9"/>
      <c r="Z255" s="9"/>
      <c r="AA255" s="9"/>
      <c r="AB255" s="39"/>
      <c r="AC255" s="9"/>
      <c r="AD255" s="38"/>
      <c r="AE255" s="9"/>
      <c r="AF255" s="39"/>
      <c r="AG255" s="9"/>
      <c r="AH255" s="9"/>
      <c r="AI255" s="9"/>
      <c r="AJ255" s="9"/>
      <c r="AK255" s="9"/>
      <c r="AL255" s="9"/>
      <c r="AM255" s="9"/>
      <c r="AN255" s="10" t="str">
        <f aca="false">IF(A255="","",SG_Criteria!$B$6&amp;SG_Criteria!$B$7&amp;"\"&amp;A255&amp;"\")</f>
        <v/>
      </c>
      <c r="AO255" s="10" t="str">
        <f aca="false">IF(A255="","",A255&amp;"_CAD.dwg")</f>
        <v/>
      </c>
      <c r="AP255" s="10" t="str">
        <f aca="false">IF(A255="","",A255&amp;"_DWG.pdf")</f>
        <v/>
      </c>
      <c r="AQ255" s="10" t="str">
        <f aca="false">IF(A255="","",IF(AM255="Y",A255&amp;"_STAAD.std","n/a"))</f>
        <v/>
      </c>
      <c r="AR255" s="10" t="str">
        <f aca="false">IF(A255="","",A255&amp;"_CALC.xlsx")</f>
        <v/>
      </c>
      <c r="AS255" s="10" t="str">
        <f aca="false">IF(A255="","",A255&amp;"_CALC.pdf")</f>
        <v/>
      </c>
      <c r="AT255" s="9"/>
      <c r="AU255" s="9"/>
      <c r="AV255" s="39"/>
      <c r="AW255" s="39"/>
      <c r="AX255" s="39"/>
      <c r="AY255" s="39"/>
      <c r="AZ255" s="39"/>
      <c r="BA255" s="12" t="str">
        <f aca="false">IF(A255="","",IF(COUNTIF(Rebar_Schedule!$A$5:$A$2004,A255)=0,"",ROUND(SUMIF(Rebar_Schedule!$A$5:$A$2004,A255,Rebar_Schedule!$K$5:$K$2004),1)))</f>
        <v/>
      </c>
      <c r="BB255" s="33" t="str">
        <f aca="false">IF(A255="","",IF(BA255="","No rebar schedule yet",IF(ABS(BA255-N(AW255))/MAX(N(AW255),1)&gt;SG_Criteria!$B$55,"NOTE: register rebar differs from schedule by "&amp;TEXT(ABS(BA255-N(AW255))/MAX(N(AW255),1),"0%"),"OK")))</f>
        <v/>
      </c>
      <c r="BC255" s="34" t="str">
        <f aca="false">IF(OR(D255="",G255="",H255="",D255="Sump",D255="Drop Inlet Chamber",D255="Silt Trap",D255="Pipe Culvert",D255="Subsoil Drain"),"",ROUND(MAX(1,N(I255))*(1/SG_Criteria!$B$26)*((G255/1000)*(H255/1000*(1-SG_Criteria!$B$25)))*(((G255/1000)*(H255/1000*(1-SG_Criteria!$B$25)))/((G255/1000)+2*(H255/1000*(1-SG_Criteria!$B$25))))^(2/3)*(1/Design_Selector!$B$11)^0.5,3))</f>
        <v/>
      </c>
      <c r="BD255" s="11" t="str">
        <f aca="false">IF(BC255="","",ROUND(BC255/(MAX(1,N(I255))*G255/1000*(H255/1000*(1-SG_Criteria!$B$25))),2))</f>
        <v/>
      </c>
      <c r="BE255" s="33" t="str">
        <f aca="false">IF(D255="","",IF(LEN(IF(AND(OR(E255="Roadside drain",E255="Entrance culvert"),OR(G255&lt;SG_Criteria!$B$15,H255&lt;SG_Criteria!$B$16)),"FAIL: below PUB min "&amp;SG_Criteria!$B$15&amp;"x"&amp;SG_Criteria!$B$16&amp;" for roadside drain. ","")&amp;IF(AND(E255="Common drain",G255&lt;SG_Criteria!$B$17),"FAIL: common drain W &lt; "&amp;SG_Criteria!$B$17&amp;" mm. ","")&amp;IF(AND(O255&lt;&gt;"",IFERROR(VALUE(MID(O255,2,2)),0)&lt;SG_Criteria!$B$19),"FAIL: grade below C"&amp;SG_Criteria!$B$19&amp;". ","")&amp;IF(AND(P255&lt;&gt;"",P255&lt;SG_Criteria!$B$20),"FAIL: cover &lt; "&amp;SG_Criteria!$B$20&amp;" mm. ","")&amp;IF(AND(F255="Open",H255&gt;SG_Criteria!$B$18),"NOTE: safety railing required (D &gt; "&amp;SG_Criteria!$B$18&amp;" mm). ","")&amp;IF(AND(E255="Entrance culvert",H255&lt;600),"NOTE: check hinged grating rule for culverts &lt; 600 deep (PUB Add. 3). ",""))=0,"OK",IF(AND(OR(E255="Roadside drain",E255="Entrance culvert"),OR(G255&lt;SG_Criteria!$B$15,H255&lt;SG_Criteria!$B$16)),"FAIL: below PUB min "&amp;SG_Criteria!$B$15&amp;"x"&amp;SG_Criteria!$B$16&amp;" for roadside drain. ","")&amp;IF(AND(E255="Common drain",G255&lt;SG_Criteria!$B$17),"FAIL: common drain W &lt; "&amp;SG_Criteria!$B$17&amp;" mm. ","")&amp;IF(AND(O255&lt;&gt;"",IFERROR(VALUE(MID(O255,2,2)),0)&lt;SG_Criteria!$B$19),"FAIL: grade below C"&amp;SG_Criteria!$B$19&amp;". ","")&amp;IF(AND(P255&lt;&gt;"",P255&lt;SG_Criteria!$B$20),"FAIL: cover &lt; "&amp;SG_Criteria!$B$20&amp;" mm. ","")&amp;IF(AND(F255="Open",H255&gt;SG_Criteria!$B$18),"NOTE: safety railing required (D &gt; "&amp;SG_Criteria!$B$18&amp;" mm). ","")&amp;IF(AND(E255="Entrance culvert",H255&lt;600),"NOTE: check hinged grating rule for culverts &lt; 600 deep (PUB Add. 3). ","")))</f>
        <v/>
      </c>
      <c r="BF255" s="9"/>
      <c r="BG255" s="9"/>
      <c r="BH255" s="9"/>
      <c r="BI255" s="10" t="str">
        <f aca="false">IF(BH255="","",IFERROR(VLOOKUP(BH255,Projects!$A$5:$D$504,2,0),"Ref not in Projects"))</f>
        <v/>
      </c>
      <c r="BJ255" s="10" t="str">
        <f aca="false">IF(BH255="","",IFERROR(VLOOKUP(BH255,Projects!$A$5:$D$504,4,0),"Ref not in Projects"))</f>
        <v/>
      </c>
      <c r="BK255" s="9"/>
      <c r="BL255" s="9"/>
      <c r="BM255" s="9"/>
      <c r="BN255" s="40"/>
      <c r="BO255" s="9"/>
      <c r="BP255" s="40"/>
      <c r="BQ255" s="9"/>
      <c r="BR255" s="40"/>
      <c r="BS255" s="9"/>
      <c r="BT255" s="9"/>
      <c r="BU255" s="9"/>
      <c r="BV255" s="40"/>
      <c r="BW255" s="40"/>
      <c r="BX255" s="36" t="str">
        <f aca="false">IF(BW255="","",EDATE(BW255,SG_Criteria!$B$54*12))</f>
        <v/>
      </c>
      <c r="BY255" s="33" t="str">
        <f aca="true">IF(A255="","",IF(BW255="","NOTE: not reviewed yet",IF(TODAY()&gt;BX255,"NOTE: review overdue","OK")))</f>
        <v/>
      </c>
      <c r="BZ255" s="37" t="str">
        <f aca="false">IF(A255="","",ROUND((IF(LEN(D255)&gt;0,1,0)+IF(LEN(E255)&gt;0,1,0)+IF(LEN(F255)&gt;0,1,0)+IF(LEN(G255)&gt;0,1,0)+IF(LEN(H255)&gt;0,1,0)+IF(LEN(J255)&gt;0,1,0)+IF(LEN(K255)&gt;0,1,0)+IF(LEN(M255)&gt;0,1,0)+IF(LEN(O255)&gt;0,1,0)+IF(LEN(P255)&gt;0,1,0)+IF(LEN(Q255)&gt;0,1,0)+IF(LEN(S255)&gt;0,1,0)+IF(LEN(AC255)&gt;0,1,0)+IF(LEN(AV255)&gt;0,1,0)+IF(LEN(AW255)&gt;0,1,0)+IF(LEN(AG255)&gt;0,1,0)+IF(LEN(AI255)&gt;0,1,0)+IF(LEN(AJ255)&gt;0,1,0)+IF(LEN(AK255)&gt;0,1,0)+IF(LEN(AL255)&gt;0,1,0)+IF(LEN(AU255)&gt;0,1,0)+IF(LEN(BH255)&gt;0,1,0)+IF(LEN(BU255)&gt;0,1,0))/23,2))</f>
        <v/>
      </c>
      <c r="CA255" s="10" t="str">
        <f aca="false">IF(D255="","",IF(AND(AJ255="Approved",ISERROR(SEARCH("FAIL",BE255))),"Y","N"))</f>
        <v/>
      </c>
      <c r="CB255" s="10" t="str">
        <f aca="false">IF(D255="","",D255&amp;"|"&amp;G255&amp;"|"&amp;H255&amp;"|"&amp;M255&amp;"|"&amp;CA255)</f>
        <v/>
      </c>
    </row>
    <row r="256" customFormat="false" ht="15" hidden="false" customHeight="false" outlineLevel="0" collapsed="false">
      <c r="A256" s="10" t="str">
        <f aca="false">IF(D256="","","DRN-"&amp;IFERROR(VLOOKUP(D256,Lists!$A$4:$B$27,2,0),"??")&amp;"-"&amp;TEXT(G256,"0000")&amp;"x"&amp;TEXT(H256,"0000")&amp;IF(N(I256)&gt;1,"-"&amp;I256&amp;"C","")&amp;"-"&amp;IFERROR(VLOOKUP(M256,Lists!$J$4:$K$19,2,0),"??")&amp;"-"&amp;AI256)</f>
        <v/>
      </c>
      <c r="B256" s="10" t="str">
        <f aca="false">IF(D256="","",D256&amp;" "&amp;G256&amp;"W x "&amp;H256&amp;"D"&amp;IF(N(I256)&gt;1," ("&amp;I256&amp;" cells)","")&amp;", "&amp;E256&amp;", "&amp;M256&amp;", "&amp;F256)</f>
        <v/>
      </c>
      <c r="C256" s="9"/>
      <c r="D256" s="9"/>
      <c r="E256" s="9"/>
      <c r="F256" s="9"/>
      <c r="G256" s="38"/>
      <c r="H256" s="38"/>
      <c r="I256" s="38"/>
      <c r="J256" s="38"/>
      <c r="K256" s="38"/>
      <c r="L256" s="38"/>
      <c r="M256" s="9"/>
      <c r="N256" s="9"/>
      <c r="O256" s="9"/>
      <c r="P256" s="38"/>
      <c r="Q256" s="9"/>
      <c r="R256" s="9"/>
      <c r="S256" s="9"/>
      <c r="T256" s="9"/>
      <c r="U256" s="9"/>
      <c r="V256" s="9"/>
      <c r="W256" s="9"/>
      <c r="X256" s="9"/>
      <c r="Y256" s="9"/>
      <c r="Z256" s="9"/>
      <c r="AA256" s="9"/>
      <c r="AB256" s="39"/>
      <c r="AC256" s="9"/>
      <c r="AD256" s="38"/>
      <c r="AE256" s="9"/>
      <c r="AF256" s="39"/>
      <c r="AG256" s="9"/>
      <c r="AH256" s="9"/>
      <c r="AI256" s="9"/>
      <c r="AJ256" s="9"/>
      <c r="AK256" s="9"/>
      <c r="AL256" s="9"/>
      <c r="AM256" s="9"/>
      <c r="AN256" s="10" t="str">
        <f aca="false">IF(A256="","",SG_Criteria!$B$6&amp;SG_Criteria!$B$7&amp;"\"&amp;A256&amp;"\")</f>
        <v/>
      </c>
      <c r="AO256" s="10" t="str">
        <f aca="false">IF(A256="","",A256&amp;"_CAD.dwg")</f>
        <v/>
      </c>
      <c r="AP256" s="10" t="str">
        <f aca="false">IF(A256="","",A256&amp;"_DWG.pdf")</f>
        <v/>
      </c>
      <c r="AQ256" s="10" t="str">
        <f aca="false">IF(A256="","",IF(AM256="Y",A256&amp;"_STAAD.std","n/a"))</f>
        <v/>
      </c>
      <c r="AR256" s="10" t="str">
        <f aca="false">IF(A256="","",A256&amp;"_CALC.xlsx")</f>
        <v/>
      </c>
      <c r="AS256" s="10" t="str">
        <f aca="false">IF(A256="","",A256&amp;"_CALC.pdf")</f>
        <v/>
      </c>
      <c r="AT256" s="9"/>
      <c r="AU256" s="9"/>
      <c r="AV256" s="39"/>
      <c r="AW256" s="39"/>
      <c r="AX256" s="39"/>
      <c r="AY256" s="39"/>
      <c r="AZ256" s="39"/>
      <c r="BA256" s="12" t="str">
        <f aca="false">IF(A256="","",IF(COUNTIF(Rebar_Schedule!$A$5:$A$2004,A256)=0,"",ROUND(SUMIF(Rebar_Schedule!$A$5:$A$2004,A256,Rebar_Schedule!$K$5:$K$2004),1)))</f>
        <v/>
      </c>
      <c r="BB256" s="33" t="str">
        <f aca="false">IF(A256="","",IF(BA256="","No rebar schedule yet",IF(ABS(BA256-N(AW256))/MAX(N(AW256),1)&gt;SG_Criteria!$B$55,"NOTE: register rebar differs from schedule by "&amp;TEXT(ABS(BA256-N(AW256))/MAX(N(AW256),1),"0%"),"OK")))</f>
        <v/>
      </c>
      <c r="BC256" s="34" t="str">
        <f aca="false">IF(OR(D256="",G256="",H256="",D256="Sump",D256="Drop Inlet Chamber",D256="Silt Trap",D256="Pipe Culvert",D256="Subsoil Drain"),"",ROUND(MAX(1,N(I256))*(1/SG_Criteria!$B$26)*((G256/1000)*(H256/1000*(1-SG_Criteria!$B$25)))*(((G256/1000)*(H256/1000*(1-SG_Criteria!$B$25)))/((G256/1000)+2*(H256/1000*(1-SG_Criteria!$B$25))))^(2/3)*(1/Design_Selector!$B$11)^0.5,3))</f>
        <v/>
      </c>
      <c r="BD256" s="11" t="str">
        <f aca="false">IF(BC256="","",ROUND(BC256/(MAX(1,N(I256))*G256/1000*(H256/1000*(1-SG_Criteria!$B$25))),2))</f>
        <v/>
      </c>
      <c r="BE256" s="33" t="str">
        <f aca="false">IF(D256="","",IF(LEN(IF(AND(OR(E256="Roadside drain",E256="Entrance culvert"),OR(G256&lt;SG_Criteria!$B$15,H256&lt;SG_Criteria!$B$16)),"FAIL: below PUB min "&amp;SG_Criteria!$B$15&amp;"x"&amp;SG_Criteria!$B$16&amp;" for roadside drain. ","")&amp;IF(AND(E256="Common drain",G256&lt;SG_Criteria!$B$17),"FAIL: common drain W &lt; "&amp;SG_Criteria!$B$17&amp;" mm. ","")&amp;IF(AND(O256&lt;&gt;"",IFERROR(VALUE(MID(O256,2,2)),0)&lt;SG_Criteria!$B$19),"FAIL: grade below C"&amp;SG_Criteria!$B$19&amp;". ","")&amp;IF(AND(P256&lt;&gt;"",P256&lt;SG_Criteria!$B$20),"FAIL: cover &lt; "&amp;SG_Criteria!$B$20&amp;" mm. ","")&amp;IF(AND(F256="Open",H256&gt;SG_Criteria!$B$18),"NOTE: safety railing required (D &gt; "&amp;SG_Criteria!$B$18&amp;" mm). ","")&amp;IF(AND(E256="Entrance culvert",H256&lt;600),"NOTE: check hinged grating rule for culverts &lt; 600 deep (PUB Add. 3). ",""))=0,"OK",IF(AND(OR(E256="Roadside drain",E256="Entrance culvert"),OR(G256&lt;SG_Criteria!$B$15,H256&lt;SG_Criteria!$B$16)),"FAIL: below PUB min "&amp;SG_Criteria!$B$15&amp;"x"&amp;SG_Criteria!$B$16&amp;" for roadside drain. ","")&amp;IF(AND(E256="Common drain",G256&lt;SG_Criteria!$B$17),"FAIL: common drain W &lt; "&amp;SG_Criteria!$B$17&amp;" mm. ","")&amp;IF(AND(O256&lt;&gt;"",IFERROR(VALUE(MID(O256,2,2)),0)&lt;SG_Criteria!$B$19),"FAIL: grade below C"&amp;SG_Criteria!$B$19&amp;". ","")&amp;IF(AND(P256&lt;&gt;"",P256&lt;SG_Criteria!$B$20),"FAIL: cover &lt; "&amp;SG_Criteria!$B$20&amp;" mm. ","")&amp;IF(AND(F256="Open",H256&gt;SG_Criteria!$B$18),"NOTE: safety railing required (D &gt; "&amp;SG_Criteria!$B$18&amp;" mm). ","")&amp;IF(AND(E256="Entrance culvert",H256&lt;600),"NOTE: check hinged grating rule for culverts &lt; 600 deep (PUB Add. 3). ","")))</f>
        <v/>
      </c>
      <c r="BF256" s="9"/>
      <c r="BG256" s="9"/>
      <c r="BH256" s="9"/>
      <c r="BI256" s="10" t="str">
        <f aca="false">IF(BH256="","",IFERROR(VLOOKUP(BH256,Projects!$A$5:$D$504,2,0),"Ref not in Projects"))</f>
        <v/>
      </c>
      <c r="BJ256" s="10" t="str">
        <f aca="false">IF(BH256="","",IFERROR(VLOOKUP(BH256,Projects!$A$5:$D$504,4,0),"Ref not in Projects"))</f>
        <v/>
      </c>
      <c r="BK256" s="9"/>
      <c r="BL256" s="9"/>
      <c r="BM256" s="9"/>
      <c r="BN256" s="40"/>
      <c r="BO256" s="9"/>
      <c r="BP256" s="40"/>
      <c r="BQ256" s="9"/>
      <c r="BR256" s="40"/>
      <c r="BS256" s="9"/>
      <c r="BT256" s="9"/>
      <c r="BU256" s="9"/>
      <c r="BV256" s="40"/>
      <c r="BW256" s="40"/>
      <c r="BX256" s="36" t="str">
        <f aca="false">IF(BW256="","",EDATE(BW256,SG_Criteria!$B$54*12))</f>
        <v/>
      </c>
      <c r="BY256" s="33" t="str">
        <f aca="true">IF(A256="","",IF(BW256="","NOTE: not reviewed yet",IF(TODAY()&gt;BX256,"NOTE: review overdue","OK")))</f>
        <v/>
      </c>
      <c r="BZ256" s="37" t="str">
        <f aca="false">IF(A256="","",ROUND((IF(LEN(D256)&gt;0,1,0)+IF(LEN(E256)&gt;0,1,0)+IF(LEN(F256)&gt;0,1,0)+IF(LEN(G256)&gt;0,1,0)+IF(LEN(H256)&gt;0,1,0)+IF(LEN(J256)&gt;0,1,0)+IF(LEN(K256)&gt;0,1,0)+IF(LEN(M256)&gt;0,1,0)+IF(LEN(O256)&gt;0,1,0)+IF(LEN(P256)&gt;0,1,0)+IF(LEN(Q256)&gt;0,1,0)+IF(LEN(S256)&gt;0,1,0)+IF(LEN(AC256)&gt;0,1,0)+IF(LEN(AV256)&gt;0,1,0)+IF(LEN(AW256)&gt;0,1,0)+IF(LEN(AG256)&gt;0,1,0)+IF(LEN(AI256)&gt;0,1,0)+IF(LEN(AJ256)&gt;0,1,0)+IF(LEN(AK256)&gt;0,1,0)+IF(LEN(AL256)&gt;0,1,0)+IF(LEN(AU256)&gt;0,1,0)+IF(LEN(BH256)&gt;0,1,0)+IF(LEN(BU256)&gt;0,1,0))/23,2))</f>
        <v/>
      </c>
      <c r="CA256" s="10" t="str">
        <f aca="false">IF(D256="","",IF(AND(AJ256="Approved",ISERROR(SEARCH("FAIL",BE256))),"Y","N"))</f>
        <v/>
      </c>
      <c r="CB256" s="10" t="str">
        <f aca="false">IF(D256="","",D256&amp;"|"&amp;G256&amp;"|"&amp;H256&amp;"|"&amp;M256&amp;"|"&amp;CA256)</f>
        <v/>
      </c>
    </row>
    <row r="257" customFormat="false" ht="15" hidden="false" customHeight="false" outlineLevel="0" collapsed="false">
      <c r="A257" s="10" t="str">
        <f aca="false">IF(D257="","","DRN-"&amp;IFERROR(VLOOKUP(D257,Lists!$A$4:$B$27,2,0),"??")&amp;"-"&amp;TEXT(G257,"0000")&amp;"x"&amp;TEXT(H257,"0000")&amp;IF(N(I257)&gt;1,"-"&amp;I257&amp;"C","")&amp;"-"&amp;IFERROR(VLOOKUP(M257,Lists!$J$4:$K$19,2,0),"??")&amp;"-"&amp;AI257)</f>
        <v/>
      </c>
      <c r="B257" s="10" t="str">
        <f aca="false">IF(D257="","",D257&amp;" "&amp;G257&amp;"W x "&amp;H257&amp;"D"&amp;IF(N(I257)&gt;1," ("&amp;I257&amp;" cells)","")&amp;", "&amp;E257&amp;", "&amp;M257&amp;", "&amp;F257)</f>
        <v/>
      </c>
      <c r="C257" s="9"/>
      <c r="D257" s="9"/>
      <c r="E257" s="9"/>
      <c r="F257" s="9"/>
      <c r="G257" s="38"/>
      <c r="H257" s="38"/>
      <c r="I257" s="38"/>
      <c r="J257" s="38"/>
      <c r="K257" s="38"/>
      <c r="L257" s="38"/>
      <c r="M257" s="9"/>
      <c r="N257" s="9"/>
      <c r="O257" s="9"/>
      <c r="P257" s="38"/>
      <c r="Q257" s="9"/>
      <c r="R257" s="9"/>
      <c r="S257" s="9"/>
      <c r="T257" s="9"/>
      <c r="U257" s="9"/>
      <c r="V257" s="9"/>
      <c r="W257" s="9"/>
      <c r="X257" s="9"/>
      <c r="Y257" s="9"/>
      <c r="Z257" s="9"/>
      <c r="AA257" s="9"/>
      <c r="AB257" s="39"/>
      <c r="AC257" s="9"/>
      <c r="AD257" s="38"/>
      <c r="AE257" s="9"/>
      <c r="AF257" s="39"/>
      <c r="AG257" s="9"/>
      <c r="AH257" s="9"/>
      <c r="AI257" s="9"/>
      <c r="AJ257" s="9"/>
      <c r="AK257" s="9"/>
      <c r="AL257" s="9"/>
      <c r="AM257" s="9"/>
      <c r="AN257" s="10" t="str">
        <f aca="false">IF(A257="","",SG_Criteria!$B$6&amp;SG_Criteria!$B$7&amp;"\"&amp;A257&amp;"\")</f>
        <v/>
      </c>
      <c r="AO257" s="10" t="str">
        <f aca="false">IF(A257="","",A257&amp;"_CAD.dwg")</f>
        <v/>
      </c>
      <c r="AP257" s="10" t="str">
        <f aca="false">IF(A257="","",A257&amp;"_DWG.pdf")</f>
        <v/>
      </c>
      <c r="AQ257" s="10" t="str">
        <f aca="false">IF(A257="","",IF(AM257="Y",A257&amp;"_STAAD.std","n/a"))</f>
        <v/>
      </c>
      <c r="AR257" s="10" t="str">
        <f aca="false">IF(A257="","",A257&amp;"_CALC.xlsx")</f>
        <v/>
      </c>
      <c r="AS257" s="10" t="str">
        <f aca="false">IF(A257="","",A257&amp;"_CALC.pdf")</f>
        <v/>
      </c>
      <c r="AT257" s="9"/>
      <c r="AU257" s="9"/>
      <c r="AV257" s="39"/>
      <c r="AW257" s="39"/>
      <c r="AX257" s="39"/>
      <c r="AY257" s="39"/>
      <c r="AZ257" s="39"/>
      <c r="BA257" s="12" t="str">
        <f aca="false">IF(A257="","",IF(COUNTIF(Rebar_Schedule!$A$5:$A$2004,A257)=0,"",ROUND(SUMIF(Rebar_Schedule!$A$5:$A$2004,A257,Rebar_Schedule!$K$5:$K$2004),1)))</f>
        <v/>
      </c>
      <c r="BB257" s="33" t="str">
        <f aca="false">IF(A257="","",IF(BA257="","No rebar schedule yet",IF(ABS(BA257-N(AW257))/MAX(N(AW257),1)&gt;SG_Criteria!$B$55,"NOTE: register rebar differs from schedule by "&amp;TEXT(ABS(BA257-N(AW257))/MAX(N(AW257),1),"0%"),"OK")))</f>
        <v/>
      </c>
      <c r="BC257" s="34" t="str">
        <f aca="false">IF(OR(D257="",G257="",H257="",D257="Sump",D257="Drop Inlet Chamber",D257="Silt Trap",D257="Pipe Culvert",D257="Subsoil Drain"),"",ROUND(MAX(1,N(I257))*(1/SG_Criteria!$B$26)*((G257/1000)*(H257/1000*(1-SG_Criteria!$B$25)))*(((G257/1000)*(H257/1000*(1-SG_Criteria!$B$25)))/((G257/1000)+2*(H257/1000*(1-SG_Criteria!$B$25))))^(2/3)*(1/Design_Selector!$B$11)^0.5,3))</f>
        <v/>
      </c>
      <c r="BD257" s="11" t="str">
        <f aca="false">IF(BC257="","",ROUND(BC257/(MAX(1,N(I257))*G257/1000*(H257/1000*(1-SG_Criteria!$B$25))),2))</f>
        <v/>
      </c>
      <c r="BE257" s="33" t="str">
        <f aca="false">IF(D257="","",IF(LEN(IF(AND(OR(E257="Roadside drain",E257="Entrance culvert"),OR(G257&lt;SG_Criteria!$B$15,H257&lt;SG_Criteria!$B$16)),"FAIL: below PUB min "&amp;SG_Criteria!$B$15&amp;"x"&amp;SG_Criteria!$B$16&amp;" for roadside drain. ","")&amp;IF(AND(E257="Common drain",G257&lt;SG_Criteria!$B$17),"FAIL: common drain W &lt; "&amp;SG_Criteria!$B$17&amp;" mm. ","")&amp;IF(AND(O257&lt;&gt;"",IFERROR(VALUE(MID(O257,2,2)),0)&lt;SG_Criteria!$B$19),"FAIL: grade below C"&amp;SG_Criteria!$B$19&amp;". ","")&amp;IF(AND(P257&lt;&gt;"",P257&lt;SG_Criteria!$B$20),"FAIL: cover &lt; "&amp;SG_Criteria!$B$20&amp;" mm. ","")&amp;IF(AND(F257="Open",H257&gt;SG_Criteria!$B$18),"NOTE: safety railing required (D &gt; "&amp;SG_Criteria!$B$18&amp;" mm). ","")&amp;IF(AND(E257="Entrance culvert",H257&lt;600),"NOTE: check hinged grating rule for culverts &lt; 600 deep (PUB Add. 3). ",""))=0,"OK",IF(AND(OR(E257="Roadside drain",E257="Entrance culvert"),OR(G257&lt;SG_Criteria!$B$15,H257&lt;SG_Criteria!$B$16)),"FAIL: below PUB min "&amp;SG_Criteria!$B$15&amp;"x"&amp;SG_Criteria!$B$16&amp;" for roadside drain. ","")&amp;IF(AND(E257="Common drain",G257&lt;SG_Criteria!$B$17),"FAIL: common drain W &lt; "&amp;SG_Criteria!$B$17&amp;" mm. ","")&amp;IF(AND(O257&lt;&gt;"",IFERROR(VALUE(MID(O257,2,2)),0)&lt;SG_Criteria!$B$19),"FAIL: grade below C"&amp;SG_Criteria!$B$19&amp;". ","")&amp;IF(AND(P257&lt;&gt;"",P257&lt;SG_Criteria!$B$20),"FAIL: cover &lt; "&amp;SG_Criteria!$B$20&amp;" mm. ","")&amp;IF(AND(F257="Open",H257&gt;SG_Criteria!$B$18),"NOTE: safety railing required (D &gt; "&amp;SG_Criteria!$B$18&amp;" mm). ","")&amp;IF(AND(E257="Entrance culvert",H257&lt;600),"NOTE: check hinged grating rule for culverts &lt; 600 deep (PUB Add. 3). ","")))</f>
        <v/>
      </c>
      <c r="BF257" s="9"/>
      <c r="BG257" s="9"/>
      <c r="BH257" s="9"/>
      <c r="BI257" s="10" t="str">
        <f aca="false">IF(BH257="","",IFERROR(VLOOKUP(BH257,Projects!$A$5:$D$504,2,0),"Ref not in Projects"))</f>
        <v/>
      </c>
      <c r="BJ257" s="10" t="str">
        <f aca="false">IF(BH257="","",IFERROR(VLOOKUP(BH257,Projects!$A$5:$D$504,4,0),"Ref not in Projects"))</f>
        <v/>
      </c>
      <c r="BK257" s="9"/>
      <c r="BL257" s="9"/>
      <c r="BM257" s="9"/>
      <c r="BN257" s="40"/>
      <c r="BO257" s="9"/>
      <c r="BP257" s="40"/>
      <c r="BQ257" s="9"/>
      <c r="BR257" s="40"/>
      <c r="BS257" s="9"/>
      <c r="BT257" s="9"/>
      <c r="BU257" s="9"/>
      <c r="BV257" s="40"/>
      <c r="BW257" s="40"/>
      <c r="BX257" s="36" t="str">
        <f aca="false">IF(BW257="","",EDATE(BW257,SG_Criteria!$B$54*12))</f>
        <v/>
      </c>
      <c r="BY257" s="33" t="str">
        <f aca="true">IF(A257="","",IF(BW257="","NOTE: not reviewed yet",IF(TODAY()&gt;BX257,"NOTE: review overdue","OK")))</f>
        <v/>
      </c>
      <c r="BZ257" s="37" t="str">
        <f aca="false">IF(A257="","",ROUND((IF(LEN(D257)&gt;0,1,0)+IF(LEN(E257)&gt;0,1,0)+IF(LEN(F257)&gt;0,1,0)+IF(LEN(G257)&gt;0,1,0)+IF(LEN(H257)&gt;0,1,0)+IF(LEN(J257)&gt;0,1,0)+IF(LEN(K257)&gt;0,1,0)+IF(LEN(M257)&gt;0,1,0)+IF(LEN(O257)&gt;0,1,0)+IF(LEN(P257)&gt;0,1,0)+IF(LEN(Q257)&gt;0,1,0)+IF(LEN(S257)&gt;0,1,0)+IF(LEN(AC257)&gt;0,1,0)+IF(LEN(AV257)&gt;0,1,0)+IF(LEN(AW257)&gt;0,1,0)+IF(LEN(AG257)&gt;0,1,0)+IF(LEN(AI257)&gt;0,1,0)+IF(LEN(AJ257)&gt;0,1,0)+IF(LEN(AK257)&gt;0,1,0)+IF(LEN(AL257)&gt;0,1,0)+IF(LEN(AU257)&gt;0,1,0)+IF(LEN(BH257)&gt;0,1,0)+IF(LEN(BU257)&gt;0,1,0))/23,2))</f>
        <v/>
      </c>
      <c r="CA257" s="10" t="str">
        <f aca="false">IF(D257="","",IF(AND(AJ257="Approved",ISERROR(SEARCH("FAIL",BE257))),"Y","N"))</f>
        <v/>
      </c>
      <c r="CB257" s="10" t="str">
        <f aca="false">IF(D257="","",D257&amp;"|"&amp;G257&amp;"|"&amp;H257&amp;"|"&amp;M257&amp;"|"&amp;CA257)</f>
        <v/>
      </c>
    </row>
    <row r="258" customFormat="false" ht="15" hidden="false" customHeight="false" outlineLevel="0" collapsed="false">
      <c r="A258" s="10" t="str">
        <f aca="false">IF(D258="","","DRN-"&amp;IFERROR(VLOOKUP(D258,Lists!$A$4:$B$27,2,0),"??")&amp;"-"&amp;TEXT(G258,"0000")&amp;"x"&amp;TEXT(H258,"0000")&amp;IF(N(I258)&gt;1,"-"&amp;I258&amp;"C","")&amp;"-"&amp;IFERROR(VLOOKUP(M258,Lists!$J$4:$K$19,2,0),"??")&amp;"-"&amp;AI258)</f>
        <v/>
      </c>
      <c r="B258" s="10" t="str">
        <f aca="false">IF(D258="","",D258&amp;" "&amp;G258&amp;"W x "&amp;H258&amp;"D"&amp;IF(N(I258)&gt;1," ("&amp;I258&amp;" cells)","")&amp;", "&amp;E258&amp;", "&amp;M258&amp;", "&amp;F258)</f>
        <v/>
      </c>
      <c r="C258" s="9"/>
      <c r="D258" s="9"/>
      <c r="E258" s="9"/>
      <c r="F258" s="9"/>
      <c r="G258" s="38"/>
      <c r="H258" s="38"/>
      <c r="I258" s="38"/>
      <c r="J258" s="38"/>
      <c r="K258" s="38"/>
      <c r="L258" s="38"/>
      <c r="M258" s="9"/>
      <c r="N258" s="9"/>
      <c r="O258" s="9"/>
      <c r="P258" s="38"/>
      <c r="Q258" s="9"/>
      <c r="R258" s="9"/>
      <c r="S258" s="9"/>
      <c r="T258" s="9"/>
      <c r="U258" s="9"/>
      <c r="V258" s="9"/>
      <c r="W258" s="9"/>
      <c r="X258" s="9"/>
      <c r="Y258" s="9"/>
      <c r="Z258" s="9"/>
      <c r="AA258" s="9"/>
      <c r="AB258" s="39"/>
      <c r="AC258" s="9"/>
      <c r="AD258" s="38"/>
      <c r="AE258" s="9"/>
      <c r="AF258" s="39"/>
      <c r="AG258" s="9"/>
      <c r="AH258" s="9"/>
      <c r="AI258" s="9"/>
      <c r="AJ258" s="9"/>
      <c r="AK258" s="9"/>
      <c r="AL258" s="9"/>
      <c r="AM258" s="9"/>
      <c r="AN258" s="10" t="str">
        <f aca="false">IF(A258="","",SG_Criteria!$B$6&amp;SG_Criteria!$B$7&amp;"\"&amp;A258&amp;"\")</f>
        <v/>
      </c>
      <c r="AO258" s="10" t="str">
        <f aca="false">IF(A258="","",A258&amp;"_CAD.dwg")</f>
        <v/>
      </c>
      <c r="AP258" s="10" t="str">
        <f aca="false">IF(A258="","",A258&amp;"_DWG.pdf")</f>
        <v/>
      </c>
      <c r="AQ258" s="10" t="str">
        <f aca="false">IF(A258="","",IF(AM258="Y",A258&amp;"_STAAD.std","n/a"))</f>
        <v/>
      </c>
      <c r="AR258" s="10" t="str">
        <f aca="false">IF(A258="","",A258&amp;"_CALC.xlsx")</f>
        <v/>
      </c>
      <c r="AS258" s="10" t="str">
        <f aca="false">IF(A258="","",A258&amp;"_CALC.pdf")</f>
        <v/>
      </c>
      <c r="AT258" s="9"/>
      <c r="AU258" s="9"/>
      <c r="AV258" s="39"/>
      <c r="AW258" s="39"/>
      <c r="AX258" s="39"/>
      <c r="AY258" s="39"/>
      <c r="AZ258" s="39"/>
      <c r="BA258" s="12" t="str">
        <f aca="false">IF(A258="","",IF(COUNTIF(Rebar_Schedule!$A$5:$A$2004,A258)=0,"",ROUND(SUMIF(Rebar_Schedule!$A$5:$A$2004,A258,Rebar_Schedule!$K$5:$K$2004),1)))</f>
        <v/>
      </c>
      <c r="BB258" s="33" t="str">
        <f aca="false">IF(A258="","",IF(BA258="","No rebar schedule yet",IF(ABS(BA258-N(AW258))/MAX(N(AW258),1)&gt;SG_Criteria!$B$55,"NOTE: register rebar differs from schedule by "&amp;TEXT(ABS(BA258-N(AW258))/MAX(N(AW258),1),"0%"),"OK")))</f>
        <v/>
      </c>
      <c r="BC258" s="34" t="str">
        <f aca="false">IF(OR(D258="",G258="",H258="",D258="Sump",D258="Drop Inlet Chamber",D258="Silt Trap",D258="Pipe Culvert",D258="Subsoil Drain"),"",ROUND(MAX(1,N(I258))*(1/SG_Criteria!$B$26)*((G258/1000)*(H258/1000*(1-SG_Criteria!$B$25)))*(((G258/1000)*(H258/1000*(1-SG_Criteria!$B$25)))/((G258/1000)+2*(H258/1000*(1-SG_Criteria!$B$25))))^(2/3)*(1/Design_Selector!$B$11)^0.5,3))</f>
        <v/>
      </c>
      <c r="BD258" s="11" t="str">
        <f aca="false">IF(BC258="","",ROUND(BC258/(MAX(1,N(I258))*G258/1000*(H258/1000*(1-SG_Criteria!$B$25))),2))</f>
        <v/>
      </c>
      <c r="BE258" s="33" t="str">
        <f aca="false">IF(D258="","",IF(LEN(IF(AND(OR(E258="Roadside drain",E258="Entrance culvert"),OR(G258&lt;SG_Criteria!$B$15,H258&lt;SG_Criteria!$B$16)),"FAIL: below PUB min "&amp;SG_Criteria!$B$15&amp;"x"&amp;SG_Criteria!$B$16&amp;" for roadside drain. ","")&amp;IF(AND(E258="Common drain",G258&lt;SG_Criteria!$B$17),"FAIL: common drain W &lt; "&amp;SG_Criteria!$B$17&amp;" mm. ","")&amp;IF(AND(O258&lt;&gt;"",IFERROR(VALUE(MID(O258,2,2)),0)&lt;SG_Criteria!$B$19),"FAIL: grade below C"&amp;SG_Criteria!$B$19&amp;". ","")&amp;IF(AND(P258&lt;&gt;"",P258&lt;SG_Criteria!$B$20),"FAIL: cover &lt; "&amp;SG_Criteria!$B$20&amp;" mm. ","")&amp;IF(AND(F258="Open",H258&gt;SG_Criteria!$B$18),"NOTE: safety railing required (D &gt; "&amp;SG_Criteria!$B$18&amp;" mm). ","")&amp;IF(AND(E258="Entrance culvert",H258&lt;600),"NOTE: check hinged grating rule for culverts &lt; 600 deep (PUB Add. 3). ",""))=0,"OK",IF(AND(OR(E258="Roadside drain",E258="Entrance culvert"),OR(G258&lt;SG_Criteria!$B$15,H258&lt;SG_Criteria!$B$16)),"FAIL: below PUB min "&amp;SG_Criteria!$B$15&amp;"x"&amp;SG_Criteria!$B$16&amp;" for roadside drain. ","")&amp;IF(AND(E258="Common drain",G258&lt;SG_Criteria!$B$17),"FAIL: common drain W &lt; "&amp;SG_Criteria!$B$17&amp;" mm. ","")&amp;IF(AND(O258&lt;&gt;"",IFERROR(VALUE(MID(O258,2,2)),0)&lt;SG_Criteria!$B$19),"FAIL: grade below C"&amp;SG_Criteria!$B$19&amp;". ","")&amp;IF(AND(P258&lt;&gt;"",P258&lt;SG_Criteria!$B$20),"FAIL: cover &lt; "&amp;SG_Criteria!$B$20&amp;" mm. ","")&amp;IF(AND(F258="Open",H258&gt;SG_Criteria!$B$18),"NOTE: safety railing required (D &gt; "&amp;SG_Criteria!$B$18&amp;" mm). ","")&amp;IF(AND(E258="Entrance culvert",H258&lt;600),"NOTE: check hinged grating rule for culverts &lt; 600 deep (PUB Add. 3). ","")))</f>
        <v/>
      </c>
      <c r="BF258" s="9"/>
      <c r="BG258" s="9"/>
      <c r="BH258" s="9"/>
      <c r="BI258" s="10" t="str">
        <f aca="false">IF(BH258="","",IFERROR(VLOOKUP(BH258,Projects!$A$5:$D$504,2,0),"Ref not in Projects"))</f>
        <v/>
      </c>
      <c r="BJ258" s="10" t="str">
        <f aca="false">IF(BH258="","",IFERROR(VLOOKUP(BH258,Projects!$A$5:$D$504,4,0),"Ref not in Projects"))</f>
        <v/>
      </c>
      <c r="BK258" s="9"/>
      <c r="BL258" s="9"/>
      <c r="BM258" s="9"/>
      <c r="BN258" s="40"/>
      <c r="BO258" s="9"/>
      <c r="BP258" s="40"/>
      <c r="BQ258" s="9"/>
      <c r="BR258" s="40"/>
      <c r="BS258" s="9"/>
      <c r="BT258" s="9"/>
      <c r="BU258" s="9"/>
      <c r="BV258" s="40"/>
      <c r="BW258" s="40"/>
      <c r="BX258" s="36" t="str">
        <f aca="false">IF(BW258="","",EDATE(BW258,SG_Criteria!$B$54*12))</f>
        <v/>
      </c>
      <c r="BY258" s="33" t="str">
        <f aca="true">IF(A258="","",IF(BW258="","NOTE: not reviewed yet",IF(TODAY()&gt;BX258,"NOTE: review overdue","OK")))</f>
        <v/>
      </c>
      <c r="BZ258" s="37" t="str">
        <f aca="false">IF(A258="","",ROUND((IF(LEN(D258)&gt;0,1,0)+IF(LEN(E258)&gt;0,1,0)+IF(LEN(F258)&gt;0,1,0)+IF(LEN(G258)&gt;0,1,0)+IF(LEN(H258)&gt;0,1,0)+IF(LEN(J258)&gt;0,1,0)+IF(LEN(K258)&gt;0,1,0)+IF(LEN(M258)&gt;0,1,0)+IF(LEN(O258)&gt;0,1,0)+IF(LEN(P258)&gt;0,1,0)+IF(LEN(Q258)&gt;0,1,0)+IF(LEN(S258)&gt;0,1,0)+IF(LEN(AC258)&gt;0,1,0)+IF(LEN(AV258)&gt;0,1,0)+IF(LEN(AW258)&gt;0,1,0)+IF(LEN(AG258)&gt;0,1,0)+IF(LEN(AI258)&gt;0,1,0)+IF(LEN(AJ258)&gt;0,1,0)+IF(LEN(AK258)&gt;0,1,0)+IF(LEN(AL258)&gt;0,1,0)+IF(LEN(AU258)&gt;0,1,0)+IF(LEN(BH258)&gt;0,1,0)+IF(LEN(BU258)&gt;0,1,0))/23,2))</f>
        <v/>
      </c>
      <c r="CA258" s="10" t="str">
        <f aca="false">IF(D258="","",IF(AND(AJ258="Approved",ISERROR(SEARCH("FAIL",BE258))),"Y","N"))</f>
        <v/>
      </c>
      <c r="CB258" s="10" t="str">
        <f aca="false">IF(D258="","",D258&amp;"|"&amp;G258&amp;"|"&amp;H258&amp;"|"&amp;M258&amp;"|"&amp;CA258)</f>
        <v/>
      </c>
    </row>
    <row r="259" customFormat="false" ht="15" hidden="false" customHeight="false" outlineLevel="0" collapsed="false">
      <c r="A259" s="10" t="str">
        <f aca="false">IF(D259="","","DRN-"&amp;IFERROR(VLOOKUP(D259,Lists!$A$4:$B$27,2,0),"??")&amp;"-"&amp;TEXT(G259,"0000")&amp;"x"&amp;TEXT(H259,"0000")&amp;IF(N(I259)&gt;1,"-"&amp;I259&amp;"C","")&amp;"-"&amp;IFERROR(VLOOKUP(M259,Lists!$J$4:$K$19,2,0),"??")&amp;"-"&amp;AI259)</f>
        <v/>
      </c>
      <c r="B259" s="10" t="str">
        <f aca="false">IF(D259="","",D259&amp;" "&amp;G259&amp;"W x "&amp;H259&amp;"D"&amp;IF(N(I259)&gt;1," ("&amp;I259&amp;" cells)","")&amp;", "&amp;E259&amp;", "&amp;M259&amp;", "&amp;F259)</f>
        <v/>
      </c>
      <c r="C259" s="9"/>
      <c r="D259" s="9"/>
      <c r="E259" s="9"/>
      <c r="F259" s="9"/>
      <c r="G259" s="38"/>
      <c r="H259" s="38"/>
      <c r="I259" s="38"/>
      <c r="J259" s="38"/>
      <c r="K259" s="38"/>
      <c r="L259" s="38"/>
      <c r="M259" s="9"/>
      <c r="N259" s="9"/>
      <c r="O259" s="9"/>
      <c r="P259" s="38"/>
      <c r="Q259" s="9"/>
      <c r="R259" s="9"/>
      <c r="S259" s="9"/>
      <c r="T259" s="9"/>
      <c r="U259" s="9"/>
      <c r="V259" s="9"/>
      <c r="W259" s="9"/>
      <c r="X259" s="9"/>
      <c r="Y259" s="9"/>
      <c r="Z259" s="9"/>
      <c r="AA259" s="9"/>
      <c r="AB259" s="39"/>
      <c r="AC259" s="9"/>
      <c r="AD259" s="38"/>
      <c r="AE259" s="9"/>
      <c r="AF259" s="39"/>
      <c r="AG259" s="9"/>
      <c r="AH259" s="9"/>
      <c r="AI259" s="9"/>
      <c r="AJ259" s="9"/>
      <c r="AK259" s="9"/>
      <c r="AL259" s="9"/>
      <c r="AM259" s="9"/>
      <c r="AN259" s="10" t="str">
        <f aca="false">IF(A259="","",SG_Criteria!$B$6&amp;SG_Criteria!$B$7&amp;"\"&amp;A259&amp;"\")</f>
        <v/>
      </c>
      <c r="AO259" s="10" t="str">
        <f aca="false">IF(A259="","",A259&amp;"_CAD.dwg")</f>
        <v/>
      </c>
      <c r="AP259" s="10" t="str">
        <f aca="false">IF(A259="","",A259&amp;"_DWG.pdf")</f>
        <v/>
      </c>
      <c r="AQ259" s="10" t="str">
        <f aca="false">IF(A259="","",IF(AM259="Y",A259&amp;"_STAAD.std","n/a"))</f>
        <v/>
      </c>
      <c r="AR259" s="10" t="str">
        <f aca="false">IF(A259="","",A259&amp;"_CALC.xlsx")</f>
        <v/>
      </c>
      <c r="AS259" s="10" t="str">
        <f aca="false">IF(A259="","",A259&amp;"_CALC.pdf")</f>
        <v/>
      </c>
      <c r="AT259" s="9"/>
      <c r="AU259" s="9"/>
      <c r="AV259" s="39"/>
      <c r="AW259" s="39"/>
      <c r="AX259" s="39"/>
      <c r="AY259" s="39"/>
      <c r="AZ259" s="39"/>
      <c r="BA259" s="12" t="str">
        <f aca="false">IF(A259="","",IF(COUNTIF(Rebar_Schedule!$A$5:$A$2004,A259)=0,"",ROUND(SUMIF(Rebar_Schedule!$A$5:$A$2004,A259,Rebar_Schedule!$K$5:$K$2004),1)))</f>
        <v/>
      </c>
      <c r="BB259" s="33" t="str">
        <f aca="false">IF(A259="","",IF(BA259="","No rebar schedule yet",IF(ABS(BA259-N(AW259))/MAX(N(AW259),1)&gt;SG_Criteria!$B$55,"NOTE: register rebar differs from schedule by "&amp;TEXT(ABS(BA259-N(AW259))/MAX(N(AW259),1),"0%"),"OK")))</f>
        <v/>
      </c>
      <c r="BC259" s="34" t="str">
        <f aca="false">IF(OR(D259="",G259="",H259="",D259="Sump",D259="Drop Inlet Chamber",D259="Silt Trap",D259="Pipe Culvert",D259="Subsoil Drain"),"",ROUND(MAX(1,N(I259))*(1/SG_Criteria!$B$26)*((G259/1000)*(H259/1000*(1-SG_Criteria!$B$25)))*(((G259/1000)*(H259/1000*(1-SG_Criteria!$B$25)))/((G259/1000)+2*(H259/1000*(1-SG_Criteria!$B$25))))^(2/3)*(1/Design_Selector!$B$11)^0.5,3))</f>
        <v/>
      </c>
      <c r="BD259" s="11" t="str">
        <f aca="false">IF(BC259="","",ROUND(BC259/(MAX(1,N(I259))*G259/1000*(H259/1000*(1-SG_Criteria!$B$25))),2))</f>
        <v/>
      </c>
      <c r="BE259" s="33" t="str">
        <f aca="false">IF(D259="","",IF(LEN(IF(AND(OR(E259="Roadside drain",E259="Entrance culvert"),OR(G259&lt;SG_Criteria!$B$15,H259&lt;SG_Criteria!$B$16)),"FAIL: below PUB min "&amp;SG_Criteria!$B$15&amp;"x"&amp;SG_Criteria!$B$16&amp;" for roadside drain. ","")&amp;IF(AND(E259="Common drain",G259&lt;SG_Criteria!$B$17),"FAIL: common drain W &lt; "&amp;SG_Criteria!$B$17&amp;" mm. ","")&amp;IF(AND(O259&lt;&gt;"",IFERROR(VALUE(MID(O259,2,2)),0)&lt;SG_Criteria!$B$19),"FAIL: grade below C"&amp;SG_Criteria!$B$19&amp;". ","")&amp;IF(AND(P259&lt;&gt;"",P259&lt;SG_Criteria!$B$20),"FAIL: cover &lt; "&amp;SG_Criteria!$B$20&amp;" mm. ","")&amp;IF(AND(F259="Open",H259&gt;SG_Criteria!$B$18),"NOTE: safety railing required (D &gt; "&amp;SG_Criteria!$B$18&amp;" mm). ","")&amp;IF(AND(E259="Entrance culvert",H259&lt;600),"NOTE: check hinged grating rule for culverts &lt; 600 deep (PUB Add. 3). ",""))=0,"OK",IF(AND(OR(E259="Roadside drain",E259="Entrance culvert"),OR(G259&lt;SG_Criteria!$B$15,H259&lt;SG_Criteria!$B$16)),"FAIL: below PUB min "&amp;SG_Criteria!$B$15&amp;"x"&amp;SG_Criteria!$B$16&amp;" for roadside drain. ","")&amp;IF(AND(E259="Common drain",G259&lt;SG_Criteria!$B$17),"FAIL: common drain W &lt; "&amp;SG_Criteria!$B$17&amp;" mm. ","")&amp;IF(AND(O259&lt;&gt;"",IFERROR(VALUE(MID(O259,2,2)),0)&lt;SG_Criteria!$B$19),"FAIL: grade below C"&amp;SG_Criteria!$B$19&amp;". ","")&amp;IF(AND(P259&lt;&gt;"",P259&lt;SG_Criteria!$B$20),"FAIL: cover &lt; "&amp;SG_Criteria!$B$20&amp;" mm. ","")&amp;IF(AND(F259="Open",H259&gt;SG_Criteria!$B$18),"NOTE: safety railing required (D &gt; "&amp;SG_Criteria!$B$18&amp;" mm). ","")&amp;IF(AND(E259="Entrance culvert",H259&lt;600),"NOTE: check hinged grating rule for culverts &lt; 600 deep (PUB Add. 3). ","")))</f>
        <v/>
      </c>
      <c r="BF259" s="9"/>
      <c r="BG259" s="9"/>
      <c r="BH259" s="9"/>
      <c r="BI259" s="10" t="str">
        <f aca="false">IF(BH259="","",IFERROR(VLOOKUP(BH259,Projects!$A$5:$D$504,2,0),"Ref not in Projects"))</f>
        <v/>
      </c>
      <c r="BJ259" s="10" t="str">
        <f aca="false">IF(BH259="","",IFERROR(VLOOKUP(BH259,Projects!$A$5:$D$504,4,0),"Ref not in Projects"))</f>
        <v/>
      </c>
      <c r="BK259" s="9"/>
      <c r="BL259" s="9"/>
      <c r="BM259" s="9"/>
      <c r="BN259" s="40"/>
      <c r="BO259" s="9"/>
      <c r="BP259" s="40"/>
      <c r="BQ259" s="9"/>
      <c r="BR259" s="40"/>
      <c r="BS259" s="9"/>
      <c r="BT259" s="9"/>
      <c r="BU259" s="9"/>
      <c r="BV259" s="40"/>
      <c r="BW259" s="40"/>
      <c r="BX259" s="36" t="str">
        <f aca="false">IF(BW259="","",EDATE(BW259,SG_Criteria!$B$54*12))</f>
        <v/>
      </c>
      <c r="BY259" s="33" t="str">
        <f aca="true">IF(A259="","",IF(BW259="","NOTE: not reviewed yet",IF(TODAY()&gt;BX259,"NOTE: review overdue","OK")))</f>
        <v/>
      </c>
      <c r="BZ259" s="37" t="str">
        <f aca="false">IF(A259="","",ROUND((IF(LEN(D259)&gt;0,1,0)+IF(LEN(E259)&gt;0,1,0)+IF(LEN(F259)&gt;0,1,0)+IF(LEN(G259)&gt;0,1,0)+IF(LEN(H259)&gt;0,1,0)+IF(LEN(J259)&gt;0,1,0)+IF(LEN(K259)&gt;0,1,0)+IF(LEN(M259)&gt;0,1,0)+IF(LEN(O259)&gt;0,1,0)+IF(LEN(P259)&gt;0,1,0)+IF(LEN(Q259)&gt;0,1,0)+IF(LEN(S259)&gt;0,1,0)+IF(LEN(AC259)&gt;0,1,0)+IF(LEN(AV259)&gt;0,1,0)+IF(LEN(AW259)&gt;0,1,0)+IF(LEN(AG259)&gt;0,1,0)+IF(LEN(AI259)&gt;0,1,0)+IF(LEN(AJ259)&gt;0,1,0)+IF(LEN(AK259)&gt;0,1,0)+IF(LEN(AL259)&gt;0,1,0)+IF(LEN(AU259)&gt;0,1,0)+IF(LEN(BH259)&gt;0,1,0)+IF(LEN(BU259)&gt;0,1,0))/23,2))</f>
        <v/>
      </c>
      <c r="CA259" s="10" t="str">
        <f aca="false">IF(D259="","",IF(AND(AJ259="Approved",ISERROR(SEARCH("FAIL",BE259))),"Y","N"))</f>
        <v/>
      </c>
      <c r="CB259" s="10" t="str">
        <f aca="false">IF(D259="","",D259&amp;"|"&amp;G259&amp;"|"&amp;H259&amp;"|"&amp;M259&amp;"|"&amp;CA259)</f>
        <v/>
      </c>
    </row>
    <row r="260" customFormat="false" ht="15" hidden="false" customHeight="false" outlineLevel="0" collapsed="false">
      <c r="A260" s="10" t="str">
        <f aca="false">IF(D260="","","DRN-"&amp;IFERROR(VLOOKUP(D260,Lists!$A$4:$B$27,2,0),"??")&amp;"-"&amp;TEXT(G260,"0000")&amp;"x"&amp;TEXT(H260,"0000")&amp;IF(N(I260)&gt;1,"-"&amp;I260&amp;"C","")&amp;"-"&amp;IFERROR(VLOOKUP(M260,Lists!$J$4:$K$19,2,0),"??")&amp;"-"&amp;AI260)</f>
        <v/>
      </c>
      <c r="B260" s="10" t="str">
        <f aca="false">IF(D260="","",D260&amp;" "&amp;G260&amp;"W x "&amp;H260&amp;"D"&amp;IF(N(I260)&gt;1," ("&amp;I260&amp;" cells)","")&amp;", "&amp;E260&amp;", "&amp;M260&amp;", "&amp;F260)</f>
        <v/>
      </c>
      <c r="C260" s="9"/>
      <c r="D260" s="9"/>
      <c r="E260" s="9"/>
      <c r="F260" s="9"/>
      <c r="G260" s="38"/>
      <c r="H260" s="38"/>
      <c r="I260" s="38"/>
      <c r="J260" s="38"/>
      <c r="K260" s="38"/>
      <c r="L260" s="38"/>
      <c r="M260" s="9"/>
      <c r="N260" s="9"/>
      <c r="O260" s="9"/>
      <c r="P260" s="38"/>
      <c r="Q260" s="9"/>
      <c r="R260" s="9"/>
      <c r="S260" s="9"/>
      <c r="T260" s="9"/>
      <c r="U260" s="9"/>
      <c r="V260" s="9"/>
      <c r="W260" s="9"/>
      <c r="X260" s="9"/>
      <c r="Y260" s="9"/>
      <c r="Z260" s="9"/>
      <c r="AA260" s="9"/>
      <c r="AB260" s="39"/>
      <c r="AC260" s="9"/>
      <c r="AD260" s="38"/>
      <c r="AE260" s="9"/>
      <c r="AF260" s="39"/>
      <c r="AG260" s="9"/>
      <c r="AH260" s="9"/>
      <c r="AI260" s="9"/>
      <c r="AJ260" s="9"/>
      <c r="AK260" s="9"/>
      <c r="AL260" s="9"/>
      <c r="AM260" s="9"/>
      <c r="AN260" s="10" t="str">
        <f aca="false">IF(A260="","",SG_Criteria!$B$6&amp;SG_Criteria!$B$7&amp;"\"&amp;A260&amp;"\")</f>
        <v/>
      </c>
      <c r="AO260" s="10" t="str">
        <f aca="false">IF(A260="","",A260&amp;"_CAD.dwg")</f>
        <v/>
      </c>
      <c r="AP260" s="10" t="str">
        <f aca="false">IF(A260="","",A260&amp;"_DWG.pdf")</f>
        <v/>
      </c>
      <c r="AQ260" s="10" t="str">
        <f aca="false">IF(A260="","",IF(AM260="Y",A260&amp;"_STAAD.std","n/a"))</f>
        <v/>
      </c>
      <c r="AR260" s="10" t="str">
        <f aca="false">IF(A260="","",A260&amp;"_CALC.xlsx")</f>
        <v/>
      </c>
      <c r="AS260" s="10" t="str">
        <f aca="false">IF(A260="","",A260&amp;"_CALC.pdf")</f>
        <v/>
      </c>
      <c r="AT260" s="9"/>
      <c r="AU260" s="9"/>
      <c r="AV260" s="39"/>
      <c r="AW260" s="39"/>
      <c r="AX260" s="39"/>
      <c r="AY260" s="39"/>
      <c r="AZ260" s="39"/>
      <c r="BA260" s="12" t="str">
        <f aca="false">IF(A260="","",IF(COUNTIF(Rebar_Schedule!$A$5:$A$2004,A260)=0,"",ROUND(SUMIF(Rebar_Schedule!$A$5:$A$2004,A260,Rebar_Schedule!$K$5:$K$2004),1)))</f>
        <v/>
      </c>
      <c r="BB260" s="33" t="str">
        <f aca="false">IF(A260="","",IF(BA260="","No rebar schedule yet",IF(ABS(BA260-N(AW260))/MAX(N(AW260),1)&gt;SG_Criteria!$B$55,"NOTE: register rebar differs from schedule by "&amp;TEXT(ABS(BA260-N(AW260))/MAX(N(AW260),1),"0%"),"OK")))</f>
        <v/>
      </c>
      <c r="BC260" s="34" t="str">
        <f aca="false">IF(OR(D260="",G260="",H260="",D260="Sump",D260="Drop Inlet Chamber",D260="Silt Trap",D260="Pipe Culvert",D260="Subsoil Drain"),"",ROUND(MAX(1,N(I260))*(1/SG_Criteria!$B$26)*((G260/1000)*(H260/1000*(1-SG_Criteria!$B$25)))*(((G260/1000)*(H260/1000*(1-SG_Criteria!$B$25)))/((G260/1000)+2*(H260/1000*(1-SG_Criteria!$B$25))))^(2/3)*(1/Design_Selector!$B$11)^0.5,3))</f>
        <v/>
      </c>
      <c r="BD260" s="11" t="str">
        <f aca="false">IF(BC260="","",ROUND(BC260/(MAX(1,N(I260))*G260/1000*(H260/1000*(1-SG_Criteria!$B$25))),2))</f>
        <v/>
      </c>
      <c r="BE260" s="33" t="str">
        <f aca="false">IF(D260="","",IF(LEN(IF(AND(OR(E260="Roadside drain",E260="Entrance culvert"),OR(G260&lt;SG_Criteria!$B$15,H260&lt;SG_Criteria!$B$16)),"FAIL: below PUB min "&amp;SG_Criteria!$B$15&amp;"x"&amp;SG_Criteria!$B$16&amp;" for roadside drain. ","")&amp;IF(AND(E260="Common drain",G260&lt;SG_Criteria!$B$17),"FAIL: common drain W &lt; "&amp;SG_Criteria!$B$17&amp;" mm. ","")&amp;IF(AND(O260&lt;&gt;"",IFERROR(VALUE(MID(O260,2,2)),0)&lt;SG_Criteria!$B$19),"FAIL: grade below C"&amp;SG_Criteria!$B$19&amp;". ","")&amp;IF(AND(P260&lt;&gt;"",P260&lt;SG_Criteria!$B$20),"FAIL: cover &lt; "&amp;SG_Criteria!$B$20&amp;" mm. ","")&amp;IF(AND(F260="Open",H260&gt;SG_Criteria!$B$18),"NOTE: safety railing required (D &gt; "&amp;SG_Criteria!$B$18&amp;" mm). ","")&amp;IF(AND(E260="Entrance culvert",H260&lt;600),"NOTE: check hinged grating rule for culverts &lt; 600 deep (PUB Add. 3). ",""))=0,"OK",IF(AND(OR(E260="Roadside drain",E260="Entrance culvert"),OR(G260&lt;SG_Criteria!$B$15,H260&lt;SG_Criteria!$B$16)),"FAIL: below PUB min "&amp;SG_Criteria!$B$15&amp;"x"&amp;SG_Criteria!$B$16&amp;" for roadside drain. ","")&amp;IF(AND(E260="Common drain",G260&lt;SG_Criteria!$B$17),"FAIL: common drain W &lt; "&amp;SG_Criteria!$B$17&amp;" mm. ","")&amp;IF(AND(O260&lt;&gt;"",IFERROR(VALUE(MID(O260,2,2)),0)&lt;SG_Criteria!$B$19),"FAIL: grade below C"&amp;SG_Criteria!$B$19&amp;". ","")&amp;IF(AND(P260&lt;&gt;"",P260&lt;SG_Criteria!$B$20),"FAIL: cover &lt; "&amp;SG_Criteria!$B$20&amp;" mm. ","")&amp;IF(AND(F260="Open",H260&gt;SG_Criteria!$B$18),"NOTE: safety railing required (D &gt; "&amp;SG_Criteria!$B$18&amp;" mm). ","")&amp;IF(AND(E260="Entrance culvert",H260&lt;600),"NOTE: check hinged grating rule for culverts &lt; 600 deep (PUB Add. 3). ","")))</f>
        <v/>
      </c>
      <c r="BF260" s="9"/>
      <c r="BG260" s="9"/>
      <c r="BH260" s="9"/>
      <c r="BI260" s="10" t="str">
        <f aca="false">IF(BH260="","",IFERROR(VLOOKUP(BH260,Projects!$A$5:$D$504,2,0),"Ref not in Projects"))</f>
        <v/>
      </c>
      <c r="BJ260" s="10" t="str">
        <f aca="false">IF(BH260="","",IFERROR(VLOOKUP(BH260,Projects!$A$5:$D$504,4,0),"Ref not in Projects"))</f>
        <v/>
      </c>
      <c r="BK260" s="9"/>
      <c r="BL260" s="9"/>
      <c r="BM260" s="9"/>
      <c r="BN260" s="40"/>
      <c r="BO260" s="9"/>
      <c r="BP260" s="40"/>
      <c r="BQ260" s="9"/>
      <c r="BR260" s="40"/>
      <c r="BS260" s="9"/>
      <c r="BT260" s="9"/>
      <c r="BU260" s="9"/>
      <c r="BV260" s="40"/>
      <c r="BW260" s="40"/>
      <c r="BX260" s="36" t="str">
        <f aca="false">IF(BW260="","",EDATE(BW260,SG_Criteria!$B$54*12))</f>
        <v/>
      </c>
      <c r="BY260" s="33" t="str">
        <f aca="true">IF(A260="","",IF(BW260="","NOTE: not reviewed yet",IF(TODAY()&gt;BX260,"NOTE: review overdue","OK")))</f>
        <v/>
      </c>
      <c r="BZ260" s="37" t="str">
        <f aca="false">IF(A260="","",ROUND((IF(LEN(D260)&gt;0,1,0)+IF(LEN(E260)&gt;0,1,0)+IF(LEN(F260)&gt;0,1,0)+IF(LEN(G260)&gt;0,1,0)+IF(LEN(H260)&gt;0,1,0)+IF(LEN(J260)&gt;0,1,0)+IF(LEN(K260)&gt;0,1,0)+IF(LEN(M260)&gt;0,1,0)+IF(LEN(O260)&gt;0,1,0)+IF(LEN(P260)&gt;0,1,0)+IF(LEN(Q260)&gt;0,1,0)+IF(LEN(S260)&gt;0,1,0)+IF(LEN(AC260)&gt;0,1,0)+IF(LEN(AV260)&gt;0,1,0)+IF(LEN(AW260)&gt;0,1,0)+IF(LEN(AG260)&gt;0,1,0)+IF(LEN(AI260)&gt;0,1,0)+IF(LEN(AJ260)&gt;0,1,0)+IF(LEN(AK260)&gt;0,1,0)+IF(LEN(AL260)&gt;0,1,0)+IF(LEN(AU260)&gt;0,1,0)+IF(LEN(BH260)&gt;0,1,0)+IF(LEN(BU260)&gt;0,1,0))/23,2))</f>
        <v/>
      </c>
      <c r="CA260" s="10" t="str">
        <f aca="false">IF(D260="","",IF(AND(AJ260="Approved",ISERROR(SEARCH("FAIL",BE260))),"Y","N"))</f>
        <v/>
      </c>
      <c r="CB260" s="10" t="str">
        <f aca="false">IF(D260="","",D260&amp;"|"&amp;G260&amp;"|"&amp;H260&amp;"|"&amp;M260&amp;"|"&amp;CA260)</f>
        <v/>
      </c>
    </row>
    <row r="261" customFormat="false" ht="15" hidden="false" customHeight="false" outlineLevel="0" collapsed="false">
      <c r="A261" s="10" t="str">
        <f aca="false">IF(D261="","","DRN-"&amp;IFERROR(VLOOKUP(D261,Lists!$A$4:$B$27,2,0),"??")&amp;"-"&amp;TEXT(G261,"0000")&amp;"x"&amp;TEXT(H261,"0000")&amp;IF(N(I261)&gt;1,"-"&amp;I261&amp;"C","")&amp;"-"&amp;IFERROR(VLOOKUP(M261,Lists!$J$4:$K$19,2,0),"??")&amp;"-"&amp;AI261)</f>
        <v/>
      </c>
      <c r="B261" s="10" t="str">
        <f aca="false">IF(D261="","",D261&amp;" "&amp;G261&amp;"W x "&amp;H261&amp;"D"&amp;IF(N(I261)&gt;1," ("&amp;I261&amp;" cells)","")&amp;", "&amp;E261&amp;", "&amp;M261&amp;", "&amp;F261)</f>
        <v/>
      </c>
      <c r="C261" s="9"/>
      <c r="D261" s="9"/>
      <c r="E261" s="9"/>
      <c r="F261" s="9"/>
      <c r="G261" s="38"/>
      <c r="H261" s="38"/>
      <c r="I261" s="38"/>
      <c r="J261" s="38"/>
      <c r="K261" s="38"/>
      <c r="L261" s="38"/>
      <c r="M261" s="9"/>
      <c r="N261" s="9"/>
      <c r="O261" s="9"/>
      <c r="P261" s="38"/>
      <c r="Q261" s="9"/>
      <c r="R261" s="9"/>
      <c r="S261" s="9"/>
      <c r="T261" s="9"/>
      <c r="U261" s="9"/>
      <c r="V261" s="9"/>
      <c r="W261" s="9"/>
      <c r="X261" s="9"/>
      <c r="Y261" s="9"/>
      <c r="Z261" s="9"/>
      <c r="AA261" s="9"/>
      <c r="AB261" s="39"/>
      <c r="AC261" s="9"/>
      <c r="AD261" s="38"/>
      <c r="AE261" s="9"/>
      <c r="AF261" s="39"/>
      <c r="AG261" s="9"/>
      <c r="AH261" s="9"/>
      <c r="AI261" s="9"/>
      <c r="AJ261" s="9"/>
      <c r="AK261" s="9"/>
      <c r="AL261" s="9"/>
      <c r="AM261" s="9"/>
      <c r="AN261" s="10" t="str">
        <f aca="false">IF(A261="","",SG_Criteria!$B$6&amp;SG_Criteria!$B$7&amp;"\"&amp;A261&amp;"\")</f>
        <v/>
      </c>
      <c r="AO261" s="10" t="str">
        <f aca="false">IF(A261="","",A261&amp;"_CAD.dwg")</f>
        <v/>
      </c>
      <c r="AP261" s="10" t="str">
        <f aca="false">IF(A261="","",A261&amp;"_DWG.pdf")</f>
        <v/>
      </c>
      <c r="AQ261" s="10" t="str">
        <f aca="false">IF(A261="","",IF(AM261="Y",A261&amp;"_STAAD.std","n/a"))</f>
        <v/>
      </c>
      <c r="AR261" s="10" t="str">
        <f aca="false">IF(A261="","",A261&amp;"_CALC.xlsx")</f>
        <v/>
      </c>
      <c r="AS261" s="10" t="str">
        <f aca="false">IF(A261="","",A261&amp;"_CALC.pdf")</f>
        <v/>
      </c>
      <c r="AT261" s="9"/>
      <c r="AU261" s="9"/>
      <c r="AV261" s="39"/>
      <c r="AW261" s="39"/>
      <c r="AX261" s="39"/>
      <c r="AY261" s="39"/>
      <c r="AZ261" s="39"/>
      <c r="BA261" s="12" t="str">
        <f aca="false">IF(A261="","",IF(COUNTIF(Rebar_Schedule!$A$5:$A$2004,A261)=0,"",ROUND(SUMIF(Rebar_Schedule!$A$5:$A$2004,A261,Rebar_Schedule!$K$5:$K$2004),1)))</f>
        <v/>
      </c>
      <c r="BB261" s="33" t="str">
        <f aca="false">IF(A261="","",IF(BA261="","No rebar schedule yet",IF(ABS(BA261-N(AW261))/MAX(N(AW261),1)&gt;SG_Criteria!$B$55,"NOTE: register rebar differs from schedule by "&amp;TEXT(ABS(BA261-N(AW261))/MAX(N(AW261),1),"0%"),"OK")))</f>
        <v/>
      </c>
      <c r="BC261" s="34" t="str">
        <f aca="false">IF(OR(D261="",G261="",H261="",D261="Sump",D261="Drop Inlet Chamber",D261="Silt Trap",D261="Pipe Culvert",D261="Subsoil Drain"),"",ROUND(MAX(1,N(I261))*(1/SG_Criteria!$B$26)*((G261/1000)*(H261/1000*(1-SG_Criteria!$B$25)))*(((G261/1000)*(H261/1000*(1-SG_Criteria!$B$25)))/((G261/1000)+2*(H261/1000*(1-SG_Criteria!$B$25))))^(2/3)*(1/Design_Selector!$B$11)^0.5,3))</f>
        <v/>
      </c>
      <c r="BD261" s="11" t="str">
        <f aca="false">IF(BC261="","",ROUND(BC261/(MAX(1,N(I261))*G261/1000*(H261/1000*(1-SG_Criteria!$B$25))),2))</f>
        <v/>
      </c>
      <c r="BE261" s="33" t="str">
        <f aca="false">IF(D261="","",IF(LEN(IF(AND(OR(E261="Roadside drain",E261="Entrance culvert"),OR(G261&lt;SG_Criteria!$B$15,H261&lt;SG_Criteria!$B$16)),"FAIL: below PUB min "&amp;SG_Criteria!$B$15&amp;"x"&amp;SG_Criteria!$B$16&amp;" for roadside drain. ","")&amp;IF(AND(E261="Common drain",G261&lt;SG_Criteria!$B$17),"FAIL: common drain W &lt; "&amp;SG_Criteria!$B$17&amp;" mm. ","")&amp;IF(AND(O261&lt;&gt;"",IFERROR(VALUE(MID(O261,2,2)),0)&lt;SG_Criteria!$B$19),"FAIL: grade below C"&amp;SG_Criteria!$B$19&amp;". ","")&amp;IF(AND(P261&lt;&gt;"",P261&lt;SG_Criteria!$B$20),"FAIL: cover &lt; "&amp;SG_Criteria!$B$20&amp;" mm. ","")&amp;IF(AND(F261="Open",H261&gt;SG_Criteria!$B$18),"NOTE: safety railing required (D &gt; "&amp;SG_Criteria!$B$18&amp;" mm). ","")&amp;IF(AND(E261="Entrance culvert",H261&lt;600),"NOTE: check hinged grating rule for culverts &lt; 600 deep (PUB Add. 3). ",""))=0,"OK",IF(AND(OR(E261="Roadside drain",E261="Entrance culvert"),OR(G261&lt;SG_Criteria!$B$15,H261&lt;SG_Criteria!$B$16)),"FAIL: below PUB min "&amp;SG_Criteria!$B$15&amp;"x"&amp;SG_Criteria!$B$16&amp;" for roadside drain. ","")&amp;IF(AND(E261="Common drain",G261&lt;SG_Criteria!$B$17),"FAIL: common drain W &lt; "&amp;SG_Criteria!$B$17&amp;" mm. ","")&amp;IF(AND(O261&lt;&gt;"",IFERROR(VALUE(MID(O261,2,2)),0)&lt;SG_Criteria!$B$19),"FAIL: grade below C"&amp;SG_Criteria!$B$19&amp;". ","")&amp;IF(AND(P261&lt;&gt;"",P261&lt;SG_Criteria!$B$20),"FAIL: cover &lt; "&amp;SG_Criteria!$B$20&amp;" mm. ","")&amp;IF(AND(F261="Open",H261&gt;SG_Criteria!$B$18),"NOTE: safety railing required (D &gt; "&amp;SG_Criteria!$B$18&amp;" mm). ","")&amp;IF(AND(E261="Entrance culvert",H261&lt;600),"NOTE: check hinged grating rule for culverts &lt; 600 deep (PUB Add. 3). ","")))</f>
        <v/>
      </c>
      <c r="BF261" s="9"/>
      <c r="BG261" s="9"/>
      <c r="BH261" s="9"/>
      <c r="BI261" s="10" t="str">
        <f aca="false">IF(BH261="","",IFERROR(VLOOKUP(BH261,Projects!$A$5:$D$504,2,0),"Ref not in Projects"))</f>
        <v/>
      </c>
      <c r="BJ261" s="10" t="str">
        <f aca="false">IF(BH261="","",IFERROR(VLOOKUP(BH261,Projects!$A$5:$D$504,4,0),"Ref not in Projects"))</f>
        <v/>
      </c>
      <c r="BK261" s="9"/>
      <c r="BL261" s="9"/>
      <c r="BM261" s="9"/>
      <c r="BN261" s="40"/>
      <c r="BO261" s="9"/>
      <c r="BP261" s="40"/>
      <c r="BQ261" s="9"/>
      <c r="BR261" s="40"/>
      <c r="BS261" s="9"/>
      <c r="BT261" s="9"/>
      <c r="BU261" s="9"/>
      <c r="BV261" s="40"/>
      <c r="BW261" s="40"/>
      <c r="BX261" s="36" t="str">
        <f aca="false">IF(BW261="","",EDATE(BW261,SG_Criteria!$B$54*12))</f>
        <v/>
      </c>
      <c r="BY261" s="33" t="str">
        <f aca="true">IF(A261="","",IF(BW261="","NOTE: not reviewed yet",IF(TODAY()&gt;BX261,"NOTE: review overdue","OK")))</f>
        <v/>
      </c>
      <c r="BZ261" s="37" t="str">
        <f aca="false">IF(A261="","",ROUND((IF(LEN(D261)&gt;0,1,0)+IF(LEN(E261)&gt;0,1,0)+IF(LEN(F261)&gt;0,1,0)+IF(LEN(G261)&gt;0,1,0)+IF(LEN(H261)&gt;0,1,0)+IF(LEN(J261)&gt;0,1,0)+IF(LEN(K261)&gt;0,1,0)+IF(LEN(M261)&gt;0,1,0)+IF(LEN(O261)&gt;0,1,0)+IF(LEN(P261)&gt;0,1,0)+IF(LEN(Q261)&gt;0,1,0)+IF(LEN(S261)&gt;0,1,0)+IF(LEN(AC261)&gt;0,1,0)+IF(LEN(AV261)&gt;0,1,0)+IF(LEN(AW261)&gt;0,1,0)+IF(LEN(AG261)&gt;0,1,0)+IF(LEN(AI261)&gt;0,1,0)+IF(LEN(AJ261)&gt;0,1,0)+IF(LEN(AK261)&gt;0,1,0)+IF(LEN(AL261)&gt;0,1,0)+IF(LEN(AU261)&gt;0,1,0)+IF(LEN(BH261)&gt;0,1,0)+IF(LEN(BU261)&gt;0,1,0))/23,2))</f>
        <v/>
      </c>
      <c r="CA261" s="10" t="str">
        <f aca="false">IF(D261="","",IF(AND(AJ261="Approved",ISERROR(SEARCH("FAIL",BE261))),"Y","N"))</f>
        <v/>
      </c>
      <c r="CB261" s="10" t="str">
        <f aca="false">IF(D261="","",D261&amp;"|"&amp;G261&amp;"|"&amp;H261&amp;"|"&amp;M261&amp;"|"&amp;CA261)</f>
        <v/>
      </c>
    </row>
    <row r="262" customFormat="false" ht="15" hidden="false" customHeight="false" outlineLevel="0" collapsed="false">
      <c r="A262" s="10" t="str">
        <f aca="false">IF(D262="","","DRN-"&amp;IFERROR(VLOOKUP(D262,Lists!$A$4:$B$27,2,0),"??")&amp;"-"&amp;TEXT(G262,"0000")&amp;"x"&amp;TEXT(H262,"0000")&amp;IF(N(I262)&gt;1,"-"&amp;I262&amp;"C","")&amp;"-"&amp;IFERROR(VLOOKUP(M262,Lists!$J$4:$K$19,2,0),"??")&amp;"-"&amp;AI262)</f>
        <v/>
      </c>
      <c r="B262" s="10" t="str">
        <f aca="false">IF(D262="","",D262&amp;" "&amp;G262&amp;"W x "&amp;H262&amp;"D"&amp;IF(N(I262)&gt;1," ("&amp;I262&amp;" cells)","")&amp;", "&amp;E262&amp;", "&amp;M262&amp;", "&amp;F262)</f>
        <v/>
      </c>
      <c r="C262" s="9"/>
      <c r="D262" s="9"/>
      <c r="E262" s="9"/>
      <c r="F262" s="9"/>
      <c r="G262" s="38"/>
      <c r="H262" s="38"/>
      <c r="I262" s="38"/>
      <c r="J262" s="38"/>
      <c r="K262" s="38"/>
      <c r="L262" s="38"/>
      <c r="M262" s="9"/>
      <c r="N262" s="9"/>
      <c r="O262" s="9"/>
      <c r="P262" s="38"/>
      <c r="Q262" s="9"/>
      <c r="R262" s="9"/>
      <c r="S262" s="9"/>
      <c r="T262" s="9"/>
      <c r="U262" s="9"/>
      <c r="V262" s="9"/>
      <c r="W262" s="9"/>
      <c r="X262" s="9"/>
      <c r="Y262" s="9"/>
      <c r="Z262" s="9"/>
      <c r="AA262" s="9"/>
      <c r="AB262" s="39"/>
      <c r="AC262" s="9"/>
      <c r="AD262" s="38"/>
      <c r="AE262" s="9"/>
      <c r="AF262" s="39"/>
      <c r="AG262" s="9"/>
      <c r="AH262" s="9"/>
      <c r="AI262" s="9"/>
      <c r="AJ262" s="9"/>
      <c r="AK262" s="9"/>
      <c r="AL262" s="9"/>
      <c r="AM262" s="9"/>
      <c r="AN262" s="10" t="str">
        <f aca="false">IF(A262="","",SG_Criteria!$B$6&amp;SG_Criteria!$B$7&amp;"\"&amp;A262&amp;"\")</f>
        <v/>
      </c>
      <c r="AO262" s="10" t="str">
        <f aca="false">IF(A262="","",A262&amp;"_CAD.dwg")</f>
        <v/>
      </c>
      <c r="AP262" s="10" t="str">
        <f aca="false">IF(A262="","",A262&amp;"_DWG.pdf")</f>
        <v/>
      </c>
      <c r="AQ262" s="10" t="str">
        <f aca="false">IF(A262="","",IF(AM262="Y",A262&amp;"_STAAD.std","n/a"))</f>
        <v/>
      </c>
      <c r="AR262" s="10" t="str">
        <f aca="false">IF(A262="","",A262&amp;"_CALC.xlsx")</f>
        <v/>
      </c>
      <c r="AS262" s="10" t="str">
        <f aca="false">IF(A262="","",A262&amp;"_CALC.pdf")</f>
        <v/>
      </c>
      <c r="AT262" s="9"/>
      <c r="AU262" s="9"/>
      <c r="AV262" s="39"/>
      <c r="AW262" s="39"/>
      <c r="AX262" s="39"/>
      <c r="AY262" s="39"/>
      <c r="AZ262" s="39"/>
      <c r="BA262" s="12" t="str">
        <f aca="false">IF(A262="","",IF(COUNTIF(Rebar_Schedule!$A$5:$A$2004,A262)=0,"",ROUND(SUMIF(Rebar_Schedule!$A$5:$A$2004,A262,Rebar_Schedule!$K$5:$K$2004),1)))</f>
        <v/>
      </c>
      <c r="BB262" s="33" t="str">
        <f aca="false">IF(A262="","",IF(BA262="","No rebar schedule yet",IF(ABS(BA262-N(AW262))/MAX(N(AW262),1)&gt;SG_Criteria!$B$55,"NOTE: register rebar differs from schedule by "&amp;TEXT(ABS(BA262-N(AW262))/MAX(N(AW262),1),"0%"),"OK")))</f>
        <v/>
      </c>
      <c r="BC262" s="34" t="str">
        <f aca="false">IF(OR(D262="",G262="",H262="",D262="Sump",D262="Drop Inlet Chamber",D262="Silt Trap",D262="Pipe Culvert",D262="Subsoil Drain"),"",ROUND(MAX(1,N(I262))*(1/SG_Criteria!$B$26)*((G262/1000)*(H262/1000*(1-SG_Criteria!$B$25)))*(((G262/1000)*(H262/1000*(1-SG_Criteria!$B$25)))/((G262/1000)+2*(H262/1000*(1-SG_Criteria!$B$25))))^(2/3)*(1/Design_Selector!$B$11)^0.5,3))</f>
        <v/>
      </c>
      <c r="BD262" s="11" t="str">
        <f aca="false">IF(BC262="","",ROUND(BC262/(MAX(1,N(I262))*G262/1000*(H262/1000*(1-SG_Criteria!$B$25))),2))</f>
        <v/>
      </c>
      <c r="BE262" s="33" t="str">
        <f aca="false">IF(D262="","",IF(LEN(IF(AND(OR(E262="Roadside drain",E262="Entrance culvert"),OR(G262&lt;SG_Criteria!$B$15,H262&lt;SG_Criteria!$B$16)),"FAIL: below PUB min "&amp;SG_Criteria!$B$15&amp;"x"&amp;SG_Criteria!$B$16&amp;" for roadside drain. ","")&amp;IF(AND(E262="Common drain",G262&lt;SG_Criteria!$B$17),"FAIL: common drain W &lt; "&amp;SG_Criteria!$B$17&amp;" mm. ","")&amp;IF(AND(O262&lt;&gt;"",IFERROR(VALUE(MID(O262,2,2)),0)&lt;SG_Criteria!$B$19),"FAIL: grade below C"&amp;SG_Criteria!$B$19&amp;". ","")&amp;IF(AND(P262&lt;&gt;"",P262&lt;SG_Criteria!$B$20),"FAIL: cover &lt; "&amp;SG_Criteria!$B$20&amp;" mm. ","")&amp;IF(AND(F262="Open",H262&gt;SG_Criteria!$B$18),"NOTE: safety railing required (D &gt; "&amp;SG_Criteria!$B$18&amp;" mm). ","")&amp;IF(AND(E262="Entrance culvert",H262&lt;600),"NOTE: check hinged grating rule for culverts &lt; 600 deep (PUB Add. 3). ",""))=0,"OK",IF(AND(OR(E262="Roadside drain",E262="Entrance culvert"),OR(G262&lt;SG_Criteria!$B$15,H262&lt;SG_Criteria!$B$16)),"FAIL: below PUB min "&amp;SG_Criteria!$B$15&amp;"x"&amp;SG_Criteria!$B$16&amp;" for roadside drain. ","")&amp;IF(AND(E262="Common drain",G262&lt;SG_Criteria!$B$17),"FAIL: common drain W &lt; "&amp;SG_Criteria!$B$17&amp;" mm. ","")&amp;IF(AND(O262&lt;&gt;"",IFERROR(VALUE(MID(O262,2,2)),0)&lt;SG_Criteria!$B$19),"FAIL: grade below C"&amp;SG_Criteria!$B$19&amp;". ","")&amp;IF(AND(P262&lt;&gt;"",P262&lt;SG_Criteria!$B$20),"FAIL: cover &lt; "&amp;SG_Criteria!$B$20&amp;" mm. ","")&amp;IF(AND(F262="Open",H262&gt;SG_Criteria!$B$18),"NOTE: safety railing required (D &gt; "&amp;SG_Criteria!$B$18&amp;" mm). ","")&amp;IF(AND(E262="Entrance culvert",H262&lt;600),"NOTE: check hinged grating rule for culverts &lt; 600 deep (PUB Add. 3). ","")))</f>
        <v/>
      </c>
      <c r="BF262" s="9"/>
      <c r="BG262" s="9"/>
      <c r="BH262" s="9"/>
      <c r="BI262" s="10" t="str">
        <f aca="false">IF(BH262="","",IFERROR(VLOOKUP(BH262,Projects!$A$5:$D$504,2,0),"Ref not in Projects"))</f>
        <v/>
      </c>
      <c r="BJ262" s="10" t="str">
        <f aca="false">IF(BH262="","",IFERROR(VLOOKUP(BH262,Projects!$A$5:$D$504,4,0),"Ref not in Projects"))</f>
        <v/>
      </c>
      <c r="BK262" s="9"/>
      <c r="BL262" s="9"/>
      <c r="BM262" s="9"/>
      <c r="BN262" s="40"/>
      <c r="BO262" s="9"/>
      <c r="BP262" s="40"/>
      <c r="BQ262" s="9"/>
      <c r="BR262" s="40"/>
      <c r="BS262" s="9"/>
      <c r="BT262" s="9"/>
      <c r="BU262" s="9"/>
      <c r="BV262" s="40"/>
      <c r="BW262" s="40"/>
      <c r="BX262" s="36" t="str">
        <f aca="false">IF(BW262="","",EDATE(BW262,SG_Criteria!$B$54*12))</f>
        <v/>
      </c>
      <c r="BY262" s="33" t="str">
        <f aca="true">IF(A262="","",IF(BW262="","NOTE: not reviewed yet",IF(TODAY()&gt;BX262,"NOTE: review overdue","OK")))</f>
        <v/>
      </c>
      <c r="BZ262" s="37" t="str">
        <f aca="false">IF(A262="","",ROUND((IF(LEN(D262)&gt;0,1,0)+IF(LEN(E262)&gt;0,1,0)+IF(LEN(F262)&gt;0,1,0)+IF(LEN(G262)&gt;0,1,0)+IF(LEN(H262)&gt;0,1,0)+IF(LEN(J262)&gt;0,1,0)+IF(LEN(K262)&gt;0,1,0)+IF(LEN(M262)&gt;0,1,0)+IF(LEN(O262)&gt;0,1,0)+IF(LEN(P262)&gt;0,1,0)+IF(LEN(Q262)&gt;0,1,0)+IF(LEN(S262)&gt;0,1,0)+IF(LEN(AC262)&gt;0,1,0)+IF(LEN(AV262)&gt;0,1,0)+IF(LEN(AW262)&gt;0,1,0)+IF(LEN(AG262)&gt;0,1,0)+IF(LEN(AI262)&gt;0,1,0)+IF(LEN(AJ262)&gt;0,1,0)+IF(LEN(AK262)&gt;0,1,0)+IF(LEN(AL262)&gt;0,1,0)+IF(LEN(AU262)&gt;0,1,0)+IF(LEN(BH262)&gt;0,1,0)+IF(LEN(BU262)&gt;0,1,0))/23,2))</f>
        <v/>
      </c>
      <c r="CA262" s="10" t="str">
        <f aca="false">IF(D262="","",IF(AND(AJ262="Approved",ISERROR(SEARCH("FAIL",BE262))),"Y","N"))</f>
        <v/>
      </c>
      <c r="CB262" s="10" t="str">
        <f aca="false">IF(D262="","",D262&amp;"|"&amp;G262&amp;"|"&amp;H262&amp;"|"&amp;M262&amp;"|"&amp;CA262)</f>
        <v/>
      </c>
    </row>
    <row r="263" customFormat="false" ht="15" hidden="false" customHeight="false" outlineLevel="0" collapsed="false">
      <c r="A263" s="10" t="str">
        <f aca="false">IF(D263="","","DRN-"&amp;IFERROR(VLOOKUP(D263,Lists!$A$4:$B$27,2,0),"??")&amp;"-"&amp;TEXT(G263,"0000")&amp;"x"&amp;TEXT(H263,"0000")&amp;IF(N(I263)&gt;1,"-"&amp;I263&amp;"C","")&amp;"-"&amp;IFERROR(VLOOKUP(M263,Lists!$J$4:$K$19,2,0),"??")&amp;"-"&amp;AI263)</f>
        <v/>
      </c>
      <c r="B263" s="10" t="str">
        <f aca="false">IF(D263="","",D263&amp;" "&amp;G263&amp;"W x "&amp;H263&amp;"D"&amp;IF(N(I263)&gt;1," ("&amp;I263&amp;" cells)","")&amp;", "&amp;E263&amp;", "&amp;M263&amp;", "&amp;F263)</f>
        <v/>
      </c>
      <c r="C263" s="9"/>
      <c r="D263" s="9"/>
      <c r="E263" s="9"/>
      <c r="F263" s="9"/>
      <c r="G263" s="38"/>
      <c r="H263" s="38"/>
      <c r="I263" s="38"/>
      <c r="J263" s="38"/>
      <c r="K263" s="38"/>
      <c r="L263" s="38"/>
      <c r="M263" s="9"/>
      <c r="N263" s="9"/>
      <c r="O263" s="9"/>
      <c r="P263" s="38"/>
      <c r="Q263" s="9"/>
      <c r="R263" s="9"/>
      <c r="S263" s="9"/>
      <c r="T263" s="9"/>
      <c r="U263" s="9"/>
      <c r="V263" s="9"/>
      <c r="W263" s="9"/>
      <c r="X263" s="9"/>
      <c r="Y263" s="9"/>
      <c r="Z263" s="9"/>
      <c r="AA263" s="9"/>
      <c r="AB263" s="39"/>
      <c r="AC263" s="9"/>
      <c r="AD263" s="38"/>
      <c r="AE263" s="9"/>
      <c r="AF263" s="39"/>
      <c r="AG263" s="9"/>
      <c r="AH263" s="9"/>
      <c r="AI263" s="9"/>
      <c r="AJ263" s="9"/>
      <c r="AK263" s="9"/>
      <c r="AL263" s="9"/>
      <c r="AM263" s="9"/>
      <c r="AN263" s="10" t="str">
        <f aca="false">IF(A263="","",SG_Criteria!$B$6&amp;SG_Criteria!$B$7&amp;"\"&amp;A263&amp;"\")</f>
        <v/>
      </c>
      <c r="AO263" s="10" t="str">
        <f aca="false">IF(A263="","",A263&amp;"_CAD.dwg")</f>
        <v/>
      </c>
      <c r="AP263" s="10" t="str">
        <f aca="false">IF(A263="","",A263&amp;"_DWG.pdf")</f>
        <v/>
      </c>
      <c r="AQ263" s="10" t="str">
        <f aca="false">IF(A263="","",IF(AM263="Y",A263&amp;"_STAAD.std","n/a"))</f>
        <v/>
      </c>
      <c r="AR263" s="10" t="str">
        <f aca="false">IF(A263="","",A263&amp;"_CALC.xlsx")</f>
        <v/>
      </c>
      <c r="AS263" s="10" t="str">
        <f aca="false">IF(A263="","",A263&amp;"_CALC.pdf")</f>
        <v/>
      </c>
      <c r="AT263" s="9"/>
      <c r="AU263" s="9"/>
      <c r="AV263" s="39"/>
      <c r="AW263" s="39"/>
      <c r="AX263" s="39"/>
      <c r="AY263" s="39"/>
      <c r="AZ263" s="39"/>
      <c r="BA263" s="12" t="str">
        <f aca="false">IF(A263="","",IF(COUNTIF(Rebar_Schedule!$A$5:$A$2004,A263)=0,"",ROUND(SUMIF(Rebar_Schedule!$A$5:$A$2004,A263,Rebar_Schedule!$K$5:$K$2004),1)))</f>
        <v/>
      </c>
      <c r="BB263" s="33" t="str">
        <f aca="false">IF(A263="","",IF(BA263="","No rebar schedule yet",IF(ABS(BA263-N(AW263))/MAX(N(AW263),1)&gt;SG_Criteria!$B$55,"NOTE: register rebar differs from schedule by "&amp;TEXT(ABS(BA263-N(AW263))/MAX(N(AW263),1),"0%"),"OK")))</f>
        <v/>
      </c>
      <c r="BC263" s="34" t="str">
        <f aca="false">IF(OR(D263="",G263="",H263="",D263="Sump",D263="Drop Inlet Chamber",D263="Silt Trap",D263="Pipe Culvert",D263="Subsoil Drain"),"",ROUND(MAX(1,N(I263))*(1/SG_Criteria!$B$26)*((G263/1000)*(H263/1000*(1-SG_Criteria!$B$25)))*(((G263/1000)*(H263/1000*(1-SG_Criteria!$B$25)))/((G263/1000)+2*(H263/1000*(1-SG_Criteria!$B$25))))^(2/3)*(1/Design_Selector!$B$11)^0.5,3))</f>
        <v/>
      </c>
      <c r="BD263" s="11" t="str">
        <f aca="false">IF(BC263="","",ROUND(BC263/(MAX(1,N(I263))*G263/1000*(H263/1000*(1-SG_Criteria!$B$25))),2))</f>
        <v/>
      </c>
      <c r="BE263" s="33" t="str">
        <f aca="false">IF(D263="","",IF(LEN(IF(AND(OR(E263="Roadside drain",E263="Entrance culvert"),OR(G263&lt;SG_Criteria!$B$15,H263&lt;SG_Criteria!$B$16)),"FAIL: below PUB min "&amp;SG_Criteria!$B$15&amp;"x"&amp;SG_Criteria!$B$16&amp;" for roadside drain. ","")&amp;IF(AND(E263="Common drain",G263&lt;SG_Criteria!$B$17),"FAIL: common drain W &lt; "&amp;SG_Criteria!$B$17&amp;" mm. ","")&amp;IF(AND(O263&lt;&gt;"",IFERROR(VALUE(MID(O263,2,2)),0)&lt;SG_Criteria!$B$19),"FAIL: grade below C"&amp;SG_Criteria!$B$19&amp;". ","")&amp;IF(AND(P263&lt;&gt;"",P263&lt;SG_Criteria!$B$20),"FAIL: cover &lt; "&amp;SG_Criteria!$B$20&amp;" mm. ","")&amp;IF(AND(F263="Open",H263&gt;SG_Criteria!$B$18),"NOTE: safety railing required (D &gt; "&amp;SG_Criteria!$B$18&amp;" mm). ","")&amp;IF(AND(E263="Entrance culvert",H263&lt;600),"NOTE: check hinged grating rule for culverts &lt; 600 deep (PUB Add. 3). ",""))=0,"OK",IF(AND(OR(E263="Roadside drain",E263="Entrance culvert"),OR(G263&lt;SG_Criteria!$B$15,H263&lt;SG_Criteria!$B$16)),"FAIL: below PUB min "&amp;SG_Criteria!$B$15&amp;"x"&amp;SG_Criteria!$B$16&amp;" for roadside drain. ","")&amp;IF(AND(E263="Common drain",G263&lt;SG_Criteria!$B$17),"FAIL: common drain W &lt; "&amp;SG_Criteria!$B$17&amp;" mm. ","")&amp;IF(AND(O263&lt;&gt;"",IFERROR(VALUE(MID(O263,2,2)),0)&lt;SG_Criteria!$B$19),"FAIL: grade below C"&amp;SG_Criteria!$B$19&amp;". ","")&amp;IF(AND(P263&lt;&gt;"",P263&lt;SG_Criteria!$B$20),"FAIL: cover &lt; "&amp;SG_Criteria!$B$20&amp;" mm. ","")&amp;IF(AND(F263="Open",H263&gt;SG_Criteria!$B$18),"NOTE: safety railing required (D &gt; "&amp;SG_Criteria!$B$18&amp;" mm). ","")&amp;IF(AND(E263="Entrance culvert",H263&lt;600),"NOTE: check hinged grating rule for culverts &lt; 600 deep (PUB Add. 3). ","")))</f>
        <v/>
      </c>
      <c r="BF263" s="9"/>
      <c r="BG263" s="9"/>
      <c r="BH263" s="9"/>
      <c r="BI263" s="10" t="str">
        <f aca="false">IF(BH263="","",IFERROR(VLOOKUP(BH263,Projects!$A$5:$D$504,2,0),"Ref not in Projects"))</f>
        <v/>
      </c>
      <c r="BJ263" s="10" t="str">
        <f aca="false">IF(BH263="","",IFERROR(VLOOKUP(BH263,Projects!$A$5:$D$504,4,0),"Ref not in Projects"))</f>
        <v/>
      </c>
      <c r="BK263" s="9"/>
      <c r="BL263" s="9"/>
      <c r="BM263" s="9"/>
      <c r="BN263" s="40"/>
      <c r="BO263" s="9"/>
      <c r="BP263" s="40"/>
      <c r="BQ263" s="9"/>
      <c r="BR263" s="40"/>
      <c r="BS263" s="9"/>
      <c r="BT263" s="9"/>
      <c r="BU263" s="9"/>
      <c r="BV263" s="40"/>
      <c r="BW263" s="40"/>
      <c r="BX263" s="36" t="str">
        <f aca="false">IF(BW263="","",EDATE(BW263,SG_Criteria!$B$54*12))</f>
        <v/>
      </c>
      <c r="BY263" s="33" t="str">
        <f aca="true">IF(A263="","",IF(BW263="","NOTE: not reviewed yet",IF(TODAY()&gt;BX263,"NOTE: review overdue","OK")))</f>
        <v/>
      </c>
      <c r="BZ263" s="37" t="str">
        <f aca="false">IF(A263="","",ROUND((IF(LEN(D263)&gt;0,1,0)+IF(LEN(E263)&gt;0,1,0)+IF(LEN(F263)&gt;0,1,0)+IF(LEN(G263)&gt;0,1,0)+IF(LEN(H263)&gt;0,1,0)+IF(LEN(J263)&gt;0,1,0)+IF(LEN(K263)&gt;0,1,0)+IF(LEN(M263)&gt;0,1,0)+IF(LEN(O263)&gt;0,1,0)+IF(LEN(P263)&gt;0,1,0)+IF(LEN(Q263)&gt;0,1,0)+IF(LEN(S263)&gt;0,1,0)+IF(LEN(AC263)&gt;0,1,0)+IF(LEN(AV263)&gt;0,1,0)+IF(LEN(AW263)&gt;0,1,0)+IF(LEN(AG263)&gt;0,1,0)+IF(LEN(AI263)&gt;0,1,0)+IF(LEN(AJ263)&gt;0,1,0)+IF(LEN(AK263)&gt;0,1,0)+IF(LEN(AL263)&gt;0,1,0)+IF(LEN(AU263)&gt;0,1,0)+IF(LEN(BH263)&gt;0,1,0)+IF(LEN(BU263)&gt;0,1,0))/23,2))</f>
        <v/>
      </c>
      <c r="CA263" s="10" t="str">
        <f aca="false">IF(D263="","",IF(AND(AJ263="Approved",ISERROR(SEARCH("FAIL",BE263))),"Y","N"))</f>
        <v/>
      </c>
      <c r="CB263" s="10" t="str">
        <f aca="false">IF(D263="","",D263&amp;"|"&amp;G263&amp;"|"&amp;H263&amp;"|"&amp;M263&amp;"|"&amp;CA263)</f>
        <v/>
      </c>
    </row>
    <row r="264" customFormat="false" ht="15" hidden="false" customHeight="false" outlineLevel="0" collapsed="false">
      <c r="A264" s="10" t="str">
        <f aca="false">IF(D264="","","DRN-"&amp;IFERROR(VLOOKUP(D264,Lists!$A$4:$B$27,2,0),"??")&amp;"-"&amp;TEXT(G264,"0000")&amp;"x"&amp;TEXT(H264,"0000")&amp;IF(N(I264)&gt;1,"-"&amp;I264&amp;"C","")&amp;"-"&amp;IFERROR(VLOOKUP(M264,Lists!$J$4:$K$19,2,0),"??")&amp;"-"&amp;AI264)</f>
        <v/>
      </c>
      <c r="B264" s="10" t="str">
        <f aca="false">IF(D264="","",D264&amp;" "&amp;G264&amp;"W x "&amp;H264&amp;"D"&amp;IF(N(I264)&gt;1," ("&amp;I264&amp;" cells)","")&amp;", "&amp;E264&amp;", "&amp;M264&amp;", "&amp;F264)</f>
        <v/>
      </c>
      <c r="C264" s="9"/>
      <c r="D264" s="9"/>
      <c r="E264" s="9"/>
      <c r="F264" s="9"/>
      <c r="G264" s="38"/>
      <c r="H264" s="38"/>
      <c r="I264" s="38"/>
      <c r="J264" s="38"/>
      <c r="K264" s="38"/>
      <c r="L264" s="38"/>
      <c r="M264" s="9"/>
      <c r="N264" s="9"/>
      <c r="O264" s="9"/>
      <c r="P264" s="38"/>
      <c r="Q264" s="9"/>
      <c r="R264" s="9"/>
      <c r="S264" s="9"/>
      <c r="T264" s="9"/>
      <c r="U264" s="9"/>
      <c r="V264" s="9"/>
      <c r="W264" s="9"/>
      <c r="X264" s="9"/>
      <c r="Y264" s="9"/>
      <c r="Z264" s="9"/>
      <c r="AA264" s="9"/>
      <c r="AB264" s="39"/>
      <c r="AC264" s="9"/>
      <c r="AD264" s="38"/>
      <c r="AE264" s="9"/>
      <c r="AF264" s="39"/>
      <c r="AG264" s="9"/>
      <c r="AH264" s="9"/>
      <c r="AI264" s="9"/>
      <c r="AJ264" s="9"/>
      <c r="AK264" s="9"/>
      <c r="AL264" s="9"/>
      <c r="AM264" s="9"/>
      <c r="AN264" s="10" t="str">
        <f aca="false">IF(A264="","",SG_Criteria!$B$6&amp;SG_Criteria!$B$7&amp;"\"&amp;A264&amp;"\")</f>
        <v/>
      </c>
      <c r="AO264" s="10" t="str">
        <f aca="false">IF(A264="","",A264&amp;"_CAD.dwg")</f>
        <v/>
      </c>
      <c r="AP264" s="10" t="str">
        <f aca="false">IF(A264="","",A264&amp;"_DWG.pdf")</f>
        <v/>
      </c>
      <c r="AQ264" s="10" t="str">
        <f aca="false">IF(A264="","",IF(AM264="Y",A264&amp;"_STAAD.std","n/a"))</f>
        <v/>
      </c>
      <c r="AR264" s="10" t="str">
        <f aca="false">IF(A264="","",A264&amp;"_CALC.xlsx")</f>
        <v/>
      </c>
      <c r="AS264" s="10" t="str">
        <f aca="false">IF(A264="","",A264&amp;"_CALC.pdf")</f>
        <v/>
      </c>
      <c r="AT264" s="9"/>
      <c r="AU264" s="9"/>
      <c r="AV264" s="39"/>
      <c r="AW264" s="39"/>
      <c r="AX264" s="39"/>
      <c r="AY264" s="39"/>
      <c r="AZ264" s="39"/>
      <c r="BA264" s="12" t="str">
        <f aca="false">IF(A264="","",IF(COUNTIF(Rebar_Schedule!$A$5:$A$2004,A264)=0,"",ROUND(SUMIF(Rebar_Schedule!$A$5:$A$2004,A264,Rebar_Schedule!$K$5:$K$2004),1)))</f>
        <v/>
      </c>
      <c r="BB264" s="33" t="str">
        <f aca="false">IF(A264="","",IF(BA264="","No rebar schedule yet",IF(ABS(BA264-N(AW264))/MAX(N(AW264),1)&gt;SG_Criteria!$B$55,"NOTE: register rebar differs from schedule by "&amp;TEXT(ABS(BA264-N(AW264))/MAX(N(AW264),1),"0%"),"OK")))</f>
        <v/>
      </c>
      <c r="BC264" s="34" t="str">
        <f aca="false">IF(OR(D264="",G264="",H264="",D264="Sump",D264="Drop Inlet Chamber",D264="Silt Trap",D264="Pipe Culvert",D264="Subsoil Drain"),"",ROUND(MAX(1,N(I264))*(1/SG_Criteria!$B$26)*((G264/1000)*(H264/1000*(1-SG_Criteria!$B$25)))*(((G264/1000)*(H264/1000*(1-SG_Criteria!$B$25)))/((G264/1000)+2*(H264/1000*(1-SG_Criteria!$B$25))))^(2/3)*(1/Design_Selector!$B$11)^0.5,3))</f>
        <v/>
      </c>
      <c r="BD264" s="11" t="str">
        <f aca="false">IF(BC264="","",ROUND(BC264/(MAX(1,N(I264))*G264/1000*(H264/1000*(1-SG_Criteria!$B$25))),2))</f>
        <v/>
      </c>
      <c r="BE264" s="33" t="str">
        <f aca="false">IF(D264="","",IF(LEN(IF(AND(OR(E264="Roadside drain",E264="Entrance culvert"),OR(G264&lt;SG_Criteria!$B$15,H264&lt;SG_Criteria!$B$16)),"FAIL: below PUB min "&amp;SG_Criteria!$B$15&amp;"x"&amp;SG_Criteria!$B$16&amp;" for roadside drain. ","")&amp;IF(AND(E264="Common drain",G264&lt;SG_Criteria!$B$17),"FAIL: common drain W &lt; "&amp;SG_Criteria!$B$17&amp;" mm. ","")&amp;IF(AND(O264&lt;&gt;"",IFERROR(VALUE(MID(O264,2,2)),0)&lt;SG_Criteria!$B$19),"FAIL: grade below C"&amp;SG_Criteria!$B$19&amp;". ","")&amp;IF(AND(P264&lt;&gt;"",P264&lt;SG_Criteria!$B$20),"FAIL: cover &lt; "&amp;SG_Criteria!$B$20&amp;" mm. ","")&amp;IF(AND(F264="Open",H264&gt;SG_Criteria!$B$18),"NOTE: safety railing required (D &gt; "&amp;SG_Criteria!$B$18&amp;" mm). ","")&amp;IF(AND(E264="Entrance culvert",H264&lt;600),"NOTE: check hinged grating rule for culverts &lt; 600 deep (PUB Add. 3). ",""))=0,"OK",IF(AND(OR(E264="Roadside drain",E264="Entrance culvert"),OR(G264&lt;SG_Criteria!$B$15,H264&lt;SG_Criteria!$B$16)),"FAIL: below PUB min "&amp;SG_Criteria!$B$15&amp;"x"&amp;SG_Criteria!$B$16&amp;" for roadside drain. ","")&amp;IF(AND(E264="Common drain",G264&lt;SG_Criteria!$B$17),"FAIL: common drain W &lt; "&amp;SG_Criteria!$B$17&amp;" mm. ","")&amp;IF(AND(O264&lt;&gt;"",IFERROR(VALUE(MID(O264,2,2)),0)&lt;SG_Criteria!$B$19),"FAIL: grade below C"&amp;SG_Criteria!$B$19&amp;". ","")&amp;IF(AND(P264&lt;&gt;"",P264&lt;SG_Criteria!$B$20),"FAIL: cover &lt; "&amp;SG_Criteria!$B$20&amp;" mm. ","")&amp;IF(AND(F264="Open",H264&gt;SG_Criteria!$B$18),"NOTE: safety railing required (D &gt; "&amp;SG_Criteria!$B$18&amp;" mm). ","")&amp;IF(AND(E264="Entrance culvert",H264&lt;600),"NOTE: check hinged grating rule for culverts &lt; 600 deep (PUB Add. 3). ","")))</f>
        <v/>
      </c>
      <c r="BF264" s="9"/>
      <c r="BG264" s="9"/>
      <c r="BH264" s="9"/>
      <c r="BI264" s="10" t="str">
        <f aca="false">IF(BH264="","",IFERROR(VLOOKUP(BH264,Projects!$A$5:$D$504,2,0),"Ref not in Projects"))</f>
        <v/>
      </c>
      <c r="BJ264" s="10" t="str">
        <f aca="false">IF(BH264="","",IFERROR(VLOOKUP(BH264,Projects!$A$5:$D$504,4,0),"Ref not in Projects"))</f>
        <v/>
      </c>
      <c r="BK264" s="9"/>
      <c r="BL264" s="9"/>
      <c r="BM264" s="9"/>
      <c r="BN264" s="40"/>
      <c r="BO264" s="9"/>
      <c r="BP264" s="40"/>
      <c r="BQ264" s="9"/>
      <c r="BR264" s="40"/>
      <c r="BS264" s="9"/>
      <c r="BT264" s="9"/>
      <c r="BU264" s="9"/>
      <c r="BV264" s="40"/>
      <c r="BW264" s="40"/>
      <c r="BX264" s="36" t="str">
        <f aca="false">IF(BW264="","",EDATE(BW264,SG_Criteria!$B$54*12))</f>
        <v/>
      </c>
      <c r="BY264" s="33" t="str">
        <f aca="true">IF(A264="","",IF(BW264="","NOTE: not reviewed yet",IF(TODAY()&gt;BX264,"NOTE: review overdue","OK")))</f>
        <v/>
      </c>
      <c r="BZ264" s="37" t="str">
        <f aca="false">IF(A264="","",ROUND((IF(LEN(D264)&gt;0,1,0)+IF(LEN(E264)&gt;0,1,0)+IF(LEN(F264)&gt;0,1,0)+IF(LEN(G264)&gt;0,1,0)+IF(LEN(H264)&gt;0,1,0)+IF(LEN(J264)&gt;0,1,0)+IF(LEN(K264)&gt;0,1,0)+IF(LEN(M264)&gt;0,1,0)+IF(LEN(O264)&gt;0,1,0)+IF(LEN(P264)&gt;0,1,0)+IF(LEN(Q264)&gt;0,1,0)+IF(LEN(S264)&gt;0,1,0)+IF(LEN(AC264)&gt;0,1,0)+IF(LEN(AV264)&gt;0,1,0)+IF(LEN(AW264)&gt;0,1,0)+IF(LEN(AG264)&gt;0,1,0)+IF(LEN(AI264)&gt;0,1,0)+IF(LEN(AJ264)&gt;0,1,0)+IF(LEN(AK264)&gt;0,1,0)+IF(LEN(AL264)&gt;0,1,0)+IF(LEN(AU264)&gt;0,1,0)+IF(LEN(BH264)&gt;0,1,0)+IF(LEN(BU264)&gt;0,1,0))/23,2))</f>
        <v/>
      </c>
      <c r="CA264" s="10" t="str">
        <f aca="false">IF(D264="","",IF(AND(AJ264="Approved",ISERROR(SEARCH("FAIL",BE264))),"Y","N"))</f>
        <v/>
      </c>
      <c r="CB264" s="10" t="str">
        <f aca="false">IF(D264="","",D264&amp;"|"&amp;G264&amp;"|"&amp;H264&amp;"|"&amp;M264&amp;"|"&amp;CA264)</f>
        <v/>
      </c>
    </row>
    <row r="265" customFormat="false" ht="15" hidden="false" customHeight="false" outlineLevel="0" collapsed="false">
      <c r="A265" s="10" t="str">
        <f aca="false">IF(D265="","","DRN-"&amp;IFERROR(VLOOKUP(D265,Lists!$A$4:$B$27,2,0),"??")&amp;"-"&amp;TEXT(G265,"0000")&amp;"x"&amp;TEXT(H265,"0000")&amp;IF(N(I265)&gt;1,"-"&amp;I265&amp;"C","")&amp;"-"&amp;IFERROR(VLOOKUP(M265,Lists!$J$4:$K$19,2,0),"??")&amp;"-"&amp;AI265)</f>
        <v/>
      </c>
      <c r="B265" s="10" t="str">
        <f aca="false">IF(D265="","",D265&amp;" "&amp;G265&amp;"W x "&amp;H265&amp;"D"&amp;IF(N(I265)&gt;1," ("&amp;I265&amp;" cells)","")&amp;", "&amp;E265&amp;", "&amp;M265&amp;", "&amp;F265)</f>
        <v/>
      </c>
      <c r="C265" s="9"/>
      <c r="D265" s="9"/>
      <c r="E265" s="9"/>
      <c r="F265" s="9"/>
      <c r="G265" s="38"/>
      <c r="H265" s="38"/>
      <c r="I265" s="38"/>
      <c r="J265" s="38"/>
      <c r="K265" s="38"/>
      <c r="L265" s="38"/>
      <c r="M265" s="9"/>
      <c r="N265" s="9"/>
      <c r="O265" s="9"/>
      <c r="P265" s="38"/>
      <c r="Q265" s="9"/>
      <c r="R265" s="9"/>
      <c r="S265" s="9"/>
      <c r="T265" s="9"/>
      <c r="U265" s="9"/>
      <c r="V265" s="9"/>
      <c r="W265" s="9"/>
      <c r="X265" s="9"/>
      <c r="Y265" s="9"/>
      <c r="Z265" s="9"/>
      <c r="AA265" s="9"/>
      <c r="AB265" s="39"/>
      <c r="AC265" s="9"/>
      <c r="AD265" s="38"/>
      <c r="AE265" s="9"/>
      <c r="AF265" s="39"/>
      <c r="AG265" s="9"/>
      <c r="AH265" s="9"/>
      <c r="AI265" s="9"/>
      <c r="AJ265" s="9"/>
      <c r="AK265" s="9"/>
      <c r="AL265" s="9"/>
      <c r="AM265" s="9"/>
      <c r="AN265" s="10" t="str">
        <f aca="false">IF(A265="","",SG_Criteria!$B$6&amp;SG_Criteria!$B$7&amp;"\"&amp;A265&amp;"\")</f>
        <v/>
      </c>
      <c r="AO265" s="10" t="str">
        <f aca="false">IF(A265="","",A265&amp;"_CAD.dwg")</f>
        <v/>
      </c>
      <c r="AP265" s="10" t="str">
        <f aca="false">IF(A265="","",A265&amp;"_DWG.pdf")</f>
        <v/>
      </c>
      <c r="AQ265" s="10" t="str">
        <f aca="false">IF(A265="","",IF(AM265="Y",A265&amp;"_STAAD.std","n/a"))</f>
        <v/>
      </c>
      <c r="AR265" s="10" t="str">
        <f aca="false">IF(A265="","",A265&amp;"_CALC.xlsx")</f>
        <v/>
      </c>
      <c r="AS265" s="10" t="str">
        <f aca="false">IF(A265="","",A265&amp;"_CALC.pdf")</f>
        <v/>
      </c>
      <c r="AT265" s="9"/>
      <c r="AU265" s="9"/>
      <c r="AV265" s="39"/>
      <c r="AW265" s="39"/>
      <c r="AX265" s="39"/>
      <c r="AY265" s="39"/>
      <c r="AZ265" s="39"/>
      <c r="BA265" s="12" t="str">
        <f aca="false">IF(A265="","",IF(COUNTIF(Rebar_Schedule!$A$5:$A$2004,A265)=0,"",ROUND(SUMIF(Rebar_Schedule!$A$5:$A$2004,A265,Rebar_Schedule!$K$5:$K$2004),1)))</f>
        <v/>
      </c>
      <c r="BB265" s="33" t="str">
        <f aca="false">IF(A265="","",IF(BA265="","No rebar schedule yet",IF(ABS(BA265-N(AW265))/MAX(N(AW265),1)&gt;SG_Criteria!$B$55,"NOTE: register rebar differs from schedule by "&amp;TEXT(ABS(BA265-N(AW265))/MAX(N(AW265),1),"0%"),"OK")))</f>
        <v/>
      </c>
      <c r="BC265" s="34" t="str">
        <f aca="false">IF(OR(D265="",G265="",H265="",D265="Sump",D265="Drop Inlet Chamber",D265="Silt Trap",D265="Pipe Culvert",D265="Subsoil Drain"),"",ROUND(MAX(1,N(I265))*(1/SG_Criteria!$B$26)*((G265/1000)*(H265/1000*(1-SG_Criteria!$B$25)))*(((G265/1000)*(H265/1000*(1-SG_Criteria!$B$25)))/((G265/1000)+2*(H265/1000*(1-SG_Criteria!$B$25))))^(2/3)*(1/Design_Selector!$B$11)^0.5,3))</f>
        <v/>
      </c>
      <c r="BD265" s="11" t="str">
        <f aca="false">IF(BC265="","",ROUND(BC265/(MAX(1,N(I265))*G265/1000*(H265/1000*(1-SG_Criteria!$B$25))),2))</f>
        <v/>
      </c>
      <c r="BE265" s="33" t="str">
        <f aca="false">IF(D265="","",IF(LEN(IF(AND(OR(E265="Roadside drain",E265="Entrance culvert"),OR(G265&lt;SG_Criteria!$B$15,H265&lt;SG_Criteria!$B$16)),"FAIL: below PUB min "&amp;SG_Criteria!$B$15&amp;"x"&amp;SG_Criteria!$B$16&amp;" for roadside drain. ","")&amp;IF(AND(E265="Common drain",G265&lt;SG_Criteria!$B$17),"FAIL: common drain W &lt; "&amp;SG_Criteria!$B$17&amp;" mm. ","")&amp;IF(AND(O265&lt;&gt;"",IFERROR(VALUE(MID(O265,2,2)),0)&lt;SG_Criteria!$B$19),"FAIL: grade below C"&amp;SG_Criteria!$B$19&amp;". ","")&amp;IF(AND(P265&lt;&gt;"",P265&lt;SG_Criteria!$B$20),"FAIL: cover &lt; "&amp;SG_Criteria!$B$20&amp;" mm. ","")&amp;IF(AND(F265="Open",H265&gt;SG_Criteria!$B$18),"NOTE: safety railing required (D &gt; "&amp;SG_Criteria!$B$18&amp;" mm). ","")&amp;IF(AND(E265="Entrance culvert",H265&lt;600),"NOTE: check hinged grating rule for culverts &lt; 600 deep (PUB Add. 3). ",""))=0,"OK",IF(AND(OR(E265="Roadside drain",E265="Entrance culvert"),OR(G265&lt;SG_Criteria!$B$15,H265&lt;SG_Criteria!$B$16)),"FAIL: below PUB min "&amp;SG_Criteria!$B$15&amp;"x"&amp;SG_Criteria!$B$16&amp;" for roadside drain. ","")&amp;IF(AND(E265="Common drain",G265&lt;SG_Criteria!$B$17),"FAIL: common drain W &lt; "&amp;SG_Criteria!$B$17&amp;" mm. ","")&amp;IF(AND(O265&lt;&gt;"",IFERROR(VALUE(MID(O265,2,2)),0)&lt;SG_Criteria!$B$19),"FAIL: grade below C"&amp;SG_Criteria!$B$19&amp;". ","")&amp;IF(AND(P265&lt;&gt;"",P265&lt;SG_Criteria!$B$20),"FAIL: cover &lt; "&amp;SG_Criteria!$B$20&amp;" mm. ","")&amp;IF(AND(F265="Open",H265&gt;SG_Criteria!$B$18),"NOTE: safety railing required (D &gt; "&amp;SG_Criteria!$B$18&amp;" mm). ","")&amp;IF(AND(E265="Entrance culvert",H265&lt;600),"NOTE: check hinged grating rule for culverts &lt; 600 deep (PUB Add. 3). ","")))</f>
        <v/>
      </c>
      <c r="BF265" s="9"/>
      <c r="BG265" s="9"/>
      <c r="BH265" s="9"/>
      <c r="BI265" s="10" t="str">
        <f aca="false">IF(BH265="","",IFERROR(VLOOKUP(BH265,Projects!$A$5:$D$504,2,0),"Ref not in Projects"))</f>
        <v/>
      </c>
      <c r="BJ265" s="10" t="str">
        <f aca="false">IF(BH265="","",IFERROR(VLOOKUP(BH265,Projects!$A$5:$D$504,4,0),"Ref not in Projects"))</f>
        <v/>
      </c>
      <c r="BK265" s="9"/>
      <c r="BL265" s="9"/>
      <c r="BM265" s="9"/>
      <c r="BN265" s="40"/>
      <c r="BO265" s="9"/>
      <c r="BP265" s="40"/>
      <c r="BQ265" s="9"/>
      <c r="BR265" s="40"/>
      <c r="BS265" s="9"/>
      <c r="BT265" s="9"/>
      <c r="BU265" s="9"/>
      <c r="BV265" s="40"/>
      <c r="BW265" s="40"/>
      <c r="BX265" s="36" t="str">
        <f aca="false">IF(BW265="","",EDATE(BW265,SG_Criteria!$B$54*12))</f>
        <v/>
      </c>
      <c r="BY265" s="33" t="str">
        <f aca="true">IF(A265="","",IF(BW265="","NOTE: not reviewed yet",IF(TODAY()&gt;BX265,"NOTE: review overdue","OK")))</f>
        <v/>
      </c>
      <c r="BZ265" s="37" t="str">
        <f aca="false">IF(A265="","",ROUND((IF(LEN(D265)&gt;0,1,0)+IF(LEN(E265)&gt;0,1,0)+IF(LEN(F265)&gt;0,1,0)+IF(LEN(G265)&gt;0,1,0)+IF(LEN(H265)&gt;0,1,0)+IF(LEN(J265)&gt;0,1,0)+IF(LEN(K265)&gt;0,1,0)+IF(LEN(M265)&gt;0,1,0)+IF(LEN(O265)&gt;0,1,0)+IF(LEN(P265)&gt;0,1,0)+IF(LEN(Q265)&gt;0,1,0)+IF(LEN(S265)&gt;0,1,0)+IF(LEN(AC265)&gt;0,1,0)+IF(LEN(AV265)&gt;0,1,0)+IF(LEN(AW265)&gt;0,1,0)+IF(LEN(AG265)&gt;0,1,0)+IF(LEN(AI265)&gt;0,1,0)+IF(LEN(AJ265)&gt;0,1,0)+IF(LEN(AK265)&gt;0,1,0)+IF(LEN(AL265)&gt;0,1,0)+IF(LEN(AU265)&gt;0,1,0)+IF(LEN(BH265)&gt;0,1,0)+IF(LEN(BU265)&gt;0,1,0))/23,2))</f>
        <v/>
      </c>
      <c r="CA265" s="10" t="str">
        <f aca="false">IF(D265="","",IF(AND(AJ265="Approved",ISERROR(SEARCH("FAIL",BE265))),"Y","N"))</f>
        <v/>
      </c>
      <c r="CB265" s="10" t="str">
        <f aca="false">IF(D265="","",D265&amp;"|"&amp;G265&amp;"|"&amp;H265&amp;"|"&amp;M265&amp;"|"&amp;CA265)</f>
        <v/>
      </c>
    </row>
    <row r="266" customFormat="false" ht="15" hidden="false" customHeight="false" outlineLevel="0" collapsed="false">
      <c r="A266" s="10" t="str">
        <f aca="false">IF(D266="","","DRN-"&amp;IFERROR(VLOOKUP(D266,Lists!$A$4:$B$27,2,0),"??")&amp;"-"&amp;TEXT(G266,"0000")&amp;"x"&amp;TEXT(H266,"0000")&amp;IF(N(I266)&gt;1,"-"&amp;I266&amp;"C","")&amp;"-"&amp;IFERROR(VLOOKUP(M266,Lists!$J$4:$K$19,2,0),"??")&amp;"-"&amp;AI266)</f>
        <v/>
      </c>
      <c r="B266" s="10" t="str">
        <f aca="false">IF(D266="","",D266&amp;" "&amp;G266&amp;"W x "&amp;H266&amp;"D"&amp;IF(N(I266)&gt;1," ("&amp;I266&amp;" cells)","")&amp;", "&amp;E266&amp;", "&amp;M266&amp;", "&amp;F266)</f>
        <v/>
      </c>
      <c r="C266" s="9"/>
      <c r="D266" s="9"/>
      <c r="E266" s="9"/>
      <c r="F266" s="9"/>
      <c r="G266" s="38"/>
      <c r="H266" s="38"/>
      <c r="I266" s="38"/>
      <c r="J266" s="38"/>
      <c r="K266" s="38"/>
      <c r="L266" s="38"/>
      <c r="M266" s="9"/>
      <c r="N266" s="9"/>
      <c r="O266" s="9"/>
      <c r="P266" s="38"/>
      <c r="Q266" s="9"/>
      <c r="R266" s="9"/>
      <c r="S266" s="9"/>
      <c r="T266" s="9"/>
      <c r="U266" s="9"/>
      <c r="V266" s="9"/>
      <c r="W266" s="9"/>
      <c r="X266" s="9"/>
      <c r="Y266" s="9"/>
      <c r="Z266" s="9"/>
      <c r="AA266" s="9"/>
      <c r="AB266" s="39"/>
      <c r="AC266" s="9"/>
      <c r="AD266" s="38"/>
      <c r="AE266" s="9"/>
      <c r="AF266" s="39"/>
      <c r="AG266" s="9"/>
      <c r="AH266" s="9"/>
      <c r="AI266" s="9"/>
      <c r="AJ266" s="9"/>
      <c r="AK266" s="9"/>
      <c r="AL266" s="9"/>
      <c r="AM266" s="9"/>
      <c r="AN266" s="10" t="str">
        <f aca="false">IF(A266="","",SG_Criteria!$B$6&amp;SG_Criteria!$B$7&amp;"\"&amp;A266&amp;"\")</f>
        <v/>
      </c>
      <c r="AO266" s="10" t="str">
        <f aca="false">IF(A266="","",A266&amp;"_CAD.dwg")</f>
        <v/>
      </c>
      <c r="AP266" s="10" t="str">
        <f aca="false">IF(A266="","",A266&amp;"_DWG.pdf")</f>
        <v/>
      </c>
      <c r="AQ266" s="10" t="str">
        <f aca="false">IF(A266="","",IF(AM266="Y",A266&amp;"_STAAD.std","n/a"))</f>
        <v/>
      </c>
      <c r="AR266" s="10" t="str">
        <f aca="false">IF(A266="","",A266&amp;"_CALC.xlsx")</f>
        <v/>
      </c>
      <c r="AS266" s="10" t="str">
        <f aca="false">IF(A266="","",A266&amp;"_CALC.pdf")</f>
        <v/>
      </c>
      <c r="AT266" s="9"/>
      <c r="AU266" s="9"/>
      <c r="AV266" s="39"/>
      <c r="AW266" s="39"/>
      <c r="AX266" s="39"/>
      <c r="AY266" s="39"/>
      <c r="AZ266" s="39"/>
      <c r="BA266" s="12" t="str">
        <f aca="false">IF(A266="","",IF(COUNTIF(Rebar_Schedule!$A$5:$A$2004,A266)=0,"",ROUND(SUMIF(Rebar_Schedule!$A$5:$A$2004,A266,Rebar_Schedule!$K$5:$K$2004),1)))</f>
        <v/>
      </c>
      <c r="BB266" s="33" t="str">
        <f aca="false">IF(A266="","",IF(BA266="","No rebar schedule yet",IF(ABS(BA266-N(AW266))/MAX(N(AW266),1)&gt;SG_Criteria!$B$55,"NOTE: register rebar differs from schedule by "&amp;TEXT(ABS(BA266-N(AW266))/MAX(N(AW266),1),"0%"),"OK")))</f>
        <v/>
      </c>
      <c r="BC266" s="34" t="str">
        <f aca="false">IF(OR(D266="",G266="",H266="",D266="Sump",D266="Drop Inlet Chamber",D266="Silt Trap",D266="Pipe Culvert",D266="Subsoil Drain"),"",ROUND(MAX(1,N(I266))*(1/SG_Criteria!$B$26)*((G266/1000)*(H266/1000*(1-SG_Criteria!$B$25)))*(((G266/1000)*(H266/1000*(1-SG_Criteria!$B$25)))/((G266/1000)+2*(H266/1000*(1-SG_Criteria!$B$25))))^(2/3)*(1/Design_Selector!$B$11)^0.5,3))</f>
        <v/>
      </c>
      <c r="BD266" s="11" t="str">
        <f aca="false">IF(BC266="","",ROUND(BC266/(MAX(1,N(I266))*G266/1000*(H266/1000*(1-SG_Criteria!$B$25))),2))</f>
        <v/>
      </c>
      <c r="BE266" s="33" t="str">
        <f aca="false">IF(D266="","",IF(LEN(IF(AND(OR(E266="Roadside drain",E266="Entrance culvert"),OR(G266&lt;SG_Criteria!$B$15,H266&lt;SG_Criteria!$B$16)),"FAIL: below PUB min "&amp;SG_Criteria!$B$15&amp;"x"&amp;SG_Criteria!$B$16&amp;" for roadside drain. ","")&amp;IF(AND(E266="Common drain",G266&lt;SG_Criteria!$B$17),"FAIL: common drain W &lt; "&amp;SG_Criteria!$B$17&amp;" mm. ","")&amp;IF(AND(O266&lt;&gt;"",IFERROR(VALUE(MID(O266,2,2)),0)&lt;SG_Criteria!$B$19),"FAIL: grade below C"&amp;SG_Criteria!$B$19&amp;". ","")&amp;IF(AND(P266&lt;&gt;"",P266&lt;SG_Criteria!$B$20),"FAIL: cover &lt; "&amp;SG_Criteria!$B$20&amp;" mm. ","")&amp;IF(AND(F266="Open",H266&gt;SG_Criteria!$B$18),"NOTE: safety railing required (D &gt; "&amp;SG_Criteria!$B$18&amp;" mm). ","")&amp;IF(AND(E266="Entrance culvert",H266&lt;600),"NOTE: check hinged grating rule for culverts &lt; 600 deep (PUB Add. 3). ",""))=0,"OK",IF(AND(OR(E266="Roadside drain",E266="Entrance culvert"),OR(G266&lt;SG_Criteria!$B$15,H266&lt;SG_Criteria!$B$16)),"FAIL: below PUB min "&amp;SG_Criteria!$B$15&amp;"x"&amp;SG_Criteria!$B$16&amp;" for roadside drain. ","")&amp;IF(AND(E266="Common drain",G266&lt;SG_Criteria!$B$17),"FAIL: common drain W &lt; "&amp;SG_Criteria!$B$17&amp;" mm. ","")&amp;IF(AND(O266&lt;&gt;"",IFERROR(VALUE(MID(O266,2,2)),0)&lt;SG_Criteria!$B$19),"FAIL: grade below C"&amp;SG_Criteria!$B$19&amp;". ","")&amp;IF(AND(P266&lt;&gt;"",P266&lt;SG_Criteria!$B$20),"FAIL: cover &lt; "&amp;SG_Criteria!$B$20&amp;" mm. ","")&amp;IF(AND(F266="Open",H266&gt;SG_Criteria!$B$18),"NOTE: safety railing required (D &gt; "&amp;SG_Criteria!$B$18&amp;" mm). ","")&amp;IF(AND(E266="Entrance culvert",H266&lt;600),"NOTE: check hinged grating rule for culverts &lt; 600 deep (PUB Add. 3). ","")))</f>
        <v/>
      </c>
      <c r="BF266" s="9"/>
      <c r="BG266" s="9"/>
      <c r="BH266" s="9"/>
      <c r="BI266" s="10" t="str">
        <f aca="false">IF(BH266="","",IFERROR(VLOOKUP(BH266,Projects!$A$5:$D$504,2,0),"Ref not in Projects"))</f>
        <v/>
      </c>
      <c r="BJ266" s="10" t="str">
        <f aca="false">IF(BH266="","",IFERROR(VLOOKUP(BH266,Projects!$A$5:$D$504,4,0),"Ref not in Projects"))</f>
        <v/>
      </c>
      <c r="BK266" s="9"/>
      <c r="BL266" s="9"/>
      <c r="BM266" s="9"/>
      <c r="BN266" s="40"/>
      <c r="BO266" s="9"/>
      <c r="BP266" s="40"/>
      <c r="BQ266" s="9"/>
      <c r="BR266" s="40"/>
      <c r="BS266" s="9"/>
      <c r="BT266" s="9"/>
      <c r="BU266" s="9"/>
      <c r="BV266" s="40"/>
      <c r="BW266" s="40"/>
      <c r="BX266" s="36" t="str">
        <f aca="false">IF(BW266="","",EDATE(BW266,SG_Criteria!$B$54*12))</f>
        <v/>
      </c>
      <c r="BY266" s="33" t="str">
        <f aca="true">IF(A266="","",IF(BW266="","NOTE: not reviewed yet",IF(TODAY()&gt;BX266,"NOTE: review overdue","OK")))</f>
        <v/>
      </c>
      <c r="BZ266" s="37" t="str">
        <f aca="false">IF(A266="","",ROUND((IF(LEN(D266)&gt;0,1,0)+IF(LEN(E266)&gt;0,1,0)+IF(LEN(F266)&gt;0,1,0)+IF(LEN(G266)&gt;0,1,0)+IF(LEN(H266)&gt;0,1,0)+IF(LEN(J266)&gt;0,1,0)+IF(LEN(K266)&gt;0,1,0)+IF(LEN(M266)&gt;0,1,0)+IF(LEN(O266)&gt;0,1,0)+IF(LEN(P266)&gt;0,1,0)+IF(LEN(Q266)&gt;0,1,0)+IF(LEN(S266)&gt;0,1,0)+IF(LEN(AC266)&gt;0,1,0)+IF(LEN(AV266)&gt;0,1,0)+IF(LEN(AW266)&gt;0,1,0)+IF(LEN(AG266)&gt;0,1,0)+IF(LEN(AI266)&gt;0,1,0)+IF(LEN(AJ266)&gt;0,1,0)+IF(LEN(AK266)&gt;0,1,0)+IF(LEN(AL266)&gt;0,1,0)+IF(LEN(AU266)&gt;0,1,0)+IF(LEN(BH266)&gt;0,1,0)+IF(LEN(BU266)&gt;0,1,0))/23,2))</f>
        <v/>
      </c>
      <c r="CA266" s="10" t="str">
        <f aca="false">IF(D266="","",IF(AND(AJ266="Approved",ISERROR(SEARCH("FAIL",BE266))),"Y","N"))</f>
        <v/>
      </c>
      <c r="CB266" s="10" t="str">
        <f aca="false">IF(D266="","",D266&amp;"|"&amp;G266&amp;"|"&amp;H266&amp;"|"&amp;M266&amp;"|"&amp;CA266)</f>
        <v/>
      </c>
    </row>
    <row r="267" customFormat="false" ht="15" hidden="false" customHeight="false" outlineLevel="0" collapsed="false">
      <c r="A267" s="10" t="str">
        <f aca="false">IF(D267="","","DRN-"&amp;IFERROR(VLOOKUP(D267,Lists!$A$4:$B$27,2,0),"??")&amp;"-"&amp;TEXT(G267,"0000")&amp;"x"&amp;TEXT(H267,"0000")&amp;IF(N(I267)&gt;1,"-"&amp;I267&amp;"C","")&amp;"-"&amp;IFERROR(VLOOKUP(M267,Lists!$J$4:$K$19,2,0),"??")&amp;"-"&amp;AI267)</f>
        <v/>
      </c>
      <c r="B267" s="10" t="str">
        <f aca="false">IF(D267="","",D267&amp;" "&amp;G267&amp;"W x "&amp;H267&amp;"D"&amp;IF(N(I267)&gt;1," ("&amp;I267&amp;" cells)","")&amp;", "&amp;E267&amp;", "&amp;M267&amp;", "&amp;F267)</f>
        <v/>
      </c>
      <c r="C267" s="9"/>
      <c r="D267" s="9"/>
      <c r="E267" s="9"/>
      <c r="F267" s="9"/>
      <c r="G267" s="38"/>
      <c r="H267" s="38"/>
      <c r="I267" s="38"/>
      <c r="J267" s="38"/>
      <c r="K267" s="38"/>
      <c r="L267" s="38"/>
      <c r="M267" s="9"/>
      <c r="N267" s="9"/>
      <c r="O267" s="9"/>
      <c r="P267" s="38"/>
      <c r="Q267" s="9"/>
      <c r="R267" s="9"/>
      <c r="S267" s="9"/>
      <c r="T267" s="9"/>
      <c r="U267" s="9"/>
      <c r="V267" s="9"/>
      <c r="W267" s="9"/>
      <c r="X267" s="9"/>
      <c r="Y267" s="9"/>
      <c r="Z267" s="9"/>
      <c r="AA267" s="9"/>
      <c r="AB267" s="39"/>
      <c r="AC267" s="9"/>
      <c r="AD267" s="38"/>
      <c r="AE267" s="9"/>
      <c r="AF267" s="39"/>
      <c r="AG267" s="9"/>
      <c r="AH267" s="9"/>
      <c r="AI267" s="9"/>
      <c r="AJ267" s="9"/>
      <c r="AK267" s="9"/>
      <c r="AL267" s="9"/>
      <c r="AM267" s="9"/>
      <c r="AN267" s="10" t="str">
        <f aca="false">IF(A267="","",SG_Criteria!$B$6&amp;SG_Criteria!$B$7&amp;"\"&amp;A267&amp;"\")</f>
        <v/>
      </c>
      <c r="AO267" s="10" t="str">
        <f aca="false">IF(A267="","",A267&amp;"_CAD.dwg")</f>
        <v/>
      </c>
      <c r="AP267" s="10" t="str">
        <f aca="false">IF(A267="","",A267&amp;"_DWG.pdf")</f>
        <v/>
      </c>
      <c r="AQ267" s="10" t="str">
        <f aca="false">IF(A267="","",IF(AM267="Y",A267&amp;"_STAAD.std","n/a"))</f>
        <v/>
      </c>
      <c r="AR267" s="10" t="str">
        <f aca="false">IF(A267="","",A267&amp;"_CALC.xlsx")</f>
        <v/>
      </c>
      <c r="AS267" s="10" t="str">
        <f aca="false">IF(A267="","",A267&amp;"_CALC.pdf")</f>
        <v/>
      </c>
      <c r="AT267" s="9"/>
      <c r="AU267" s="9"/>
      <c r="AV267" s="39"/>
      <c r="AW267" s="39"/>
      <c r="AX267" s="39"/>
      <c r="AY267" s="39"/>
      <c r="AZ267" s="39"/>
      <c r="BA267" s="12" t="str">
        <f aca="false">IF(A267="","",IF(COUNTIF(Rebar_Schedule!$A$5:$A$2004,A267)=0,"",ROUND(SUMIF(Rebar_Schedule!$A$5:$A$2004,A267,Rebar_Schedule!$K$5:$K$2004),1)))</f>
        <v/>
      </c>
      <c r="BB267" s="33" t="str">
        <f aca="false">IF(A267="","",IF(BA267="","No rebar schedule yet",IF(ABS(BA267-N(AW267))/MAX(N(AW267),1)&gt;SG_Criteria!$B$55,"NOTE: register rebar differs from schedule by "&amp;TEXT(ABS(BA267-N(AW267))/MAX(N(AW267),1),"0%"),"OK")))</f>
        <v/>
      </c>
      <c r="BC267" s="34" t="str">
        <f aca="false">IF(OR(D267="",G267="",H267="",D267="Sump",D267="Drop Inlet Chamber",D267="Silt Trap",D267="Pipe Culvert",D267="Subsoil Drain"),"",ROUND(MAX(1,N(I267))*(1/SG_Criteria!$B$26)*((G267/1000)*(H267/1000*(1-SG_Criteria!$B$25)))*(((G267/1000)*(H267/1000*(1-SG_Criteria!$B$25)))/((G267/1000)+2*(H267/1000*(1-SG_Criteria!$B$25))))^(2/3)*(1/Design_Selector!$B$11)^0.5,3))</f>
        <v/>
      </c>
      <c r="BD267" s="11" t="str">
        <f aca="false">IF(BC267="","",ROUND(BC267/(MAX(1,N(I267))*G267/1000*(H267/1000*(1-SG_Criteria!$B$25))),2))</f>
        <v/>
      </c>
      <c r="BE267" s="33" t="str">
        <f aca="false">IF(D267="","",IF(LEN(IF(AND(OR(E267="Roadside drain",E267="Entrance culvert"),OR(G267&lt;SG_Criteria!$B$15,H267&lt;SG_Criteria!$B$16)),"FAIL: below PUB min "&amp;SG_Criteria!$B$15&amp;"x"&amp;SG_Criteria!$B$16&amp;" for roadside drain. ","")&amp;IF(AND(E267="Common drain",G267&lt;SG_Criteria!$B$17),"FAIL: common drain W &lt; "&amp;SG_Criteria!$B$17&amp;" mm. ","")&amp;IF(AND(O267&lt;&gt;"",IFERROR(VALUE(MID(O267,2,2)),0)&lt;SG_Criteria!$B$19),"FAIL: grade below C"&amp;SG_Criteria!$B$19&amp;". ","")&amp;IF(AND(P267&lt;&gt;"",P267&lt;SG_Criteria!$B$20),"FAIL: cover &lt; "&amp;SG_Criteria!$B$20&amp;" mm. ","")&amp;IF(AND(F267="Open",H267&gt;SG_Criteria!$B$18),"NOTE: safety railing required (D &gt; "&amp;SG_Criteria!$B$18&amp;" mm). ","")&amp;IF(AND(E267="Entrance culvert",H267&lt;600),"NOTE: check hinged grating rule for culverts &lt; 600 deep (PUB Add. 3). ",""))=0,"OK",IF(AND(OR(E267="Roadside drain",E267="Entrance culvert"),OR(G267&lt;SG_Criteria!$B$15,H267&lt;SG_Criteria!$B$16)),"FAIL: below PUB min "&amp;SG_Criteria!$B$15&amp;"x"&amp;SG_Criteria!$B$16&amp;" for roadside drain. ","")&amp;IF(AND(E267="Common drain",G267&lt;SG_Criteria!$B$17),"FAIL: common drain W &lt; "&amp;SG_Criteria!$B$17&amp;" mm. ","")&amp;IF(AND(O267&lt;&gt;"",IFERROR(VALUE(MID(O267,2,2)),0)&lt;SG_Criteria!$B$19),"FAIL: grade below C"&amp;SG_Criteria!$B$19&amp;". ","")&amp;IF(AND(P267&lt;&gt;"",P267&lt;SG_Criteria!$B$20),"FAIL: cover &lt; "&amp;SG_Criteria!$B$20&amp;" mm. ","")&amp;IF(AND(F267="Open",H267&gt;SG_Criteria!$B$18),"NOTE: safety railing required (D &gt; "&amp;SG_Criteria!$B$18&amp;" mm). ","")&amp;IF(AND(E267="Entrance culvert",H267&lt;600),"NOTE: check hinged grating rule for culverts &lt; 600 deep (PUB Add. 3). ","")))</f>
        <v/>
      </c>
      <c r="BF267" s="9"/>
      <c r="BG267" s="9"/>
      <c r="BH267" s="9"/>
      <c r="BI267" s="10" t="str">
        <f aca="false">IF(BH267="","",IFERROR(VLOOKUP(BH267,Projects!$A$5:$D$504,2,0),"Ref not in Projects"))</f>
        <v/>
      </c>
      <c r="BJ267" s="10" t="str">
        <f aca="false">IF(BH267="","",IFERROR(VLOOKUP(BH267,Projects!$A$5:$D$504,4,0),"Ref not in Projects"))</f>
        <v/>
      </c>
      <c r="BK267" s="9"/>
      <c r="BL267" s="9"/>
      <c r="BM267" s="9"/>
      <c r="BN267" s="40"/>
      <c r="BO267" s="9"/>
      <c r="BP267" s="40"/>
      <c r="BQ267" s="9"/>
      <c r="BR267" s="40"/>
      <c r="BS267" s="9"/>
      <c r="BT267" s="9"/>
      <c r="BU267" s="9"/>
      <c r="BV267" s="40"/>
      <c r="BW267" s="40"/>
      <c r="BX267" s="36" t="str">
        <f aca="false">IF(BW267="","",EDATE(BW267,SG_Criteria!$B$54*12))</f>
        <v/>
      </c>
      <c r="BY267" s="33" t="str">
        <f aca="true">IF(A267="","",IF(BW267="","NOTE: not reviewed yet",IF(TODAY()&gt;BX267,"NOTE: review overdue","OK")))</f>
        <v/>
      </c>
      <c r="BZ267" s="37" t="str">
        <f aca="false">IF(A267="","",ROUND((IF(LEN(D267)&gt;0,1,0)+IF(LEN(E267)&gt;0,1,0)+IF(LEN(F267)&gt;0,1,0)+IF(LEN(G267)&gt;0,1,0)+IF(LEN(H267)&gt;0,1,0)+IF(LEN(J267)&gt;0,1,0)+IF(LEN(K267)&gt;0,1,0)+IF(LEN(M267)&gt;0,1,0)+IF(LEN(O267)&gt;0,1,0)+IF(LEN(P267)&gt;0,1,0)+IF(LEN(Q267)&gt;0,1,0)+IF(LEN(S267)&gt;0,1,0)+IF(LEN(AC267)&gt;0,1,0)+IF(LEN(AV267)&gt;0,1,0)+IF(LEN(AW267)&gt;0,1,0)+IF(LEN(AG267)&gt;0,1,0)+IF(LEN(AI267)&gt;0,1,0)+IF(LEN(AJ267)&gt;0,1,0)+IF(LEN(AK267)&gt;0,1,0)+IF(LEN(AL267)&gt;0,1,0)+IF(LEN(AU267)&gt;0,1,0)+IF(LEN(BH267)&gt;0,1,0)+IF(LEN(BU267)&gt;0,1,0))/23,2))</f>
        <v/>
      </c>
      <c r="CA267" s="10" t="str">
        <f aca="false">IF(D267="","",IF(AND(AJ267="Approved",ISERROR(SEARCH("FAIL",BE267))),"Y","N"))</f>
        <v/>
      </c>
      <c r="CB267" s="10" t="str">
        <f aca="false">IF(D267="","",D267&amp;"|"&amp;G267&amp;"|"&amp;H267&amp;"|"&amp;M267&amp;"|"&amp;CA267)</f>
        <v/>
      </c>
    </row>
    <row r="268" customFormat="false" ht="15" hidden="false" customHeight="false" outlineLevel="0" collapsed="false">
      <c r="A268" s="10" t="str">
        <f aca="false">IF(D268="","","DRN-"&amp;IFERROR(VLOOKUP(D268,Lists!$A$4:$B$27,2,0),"??")&amp;"-"&amp;TEXT(G268,"0000")&amp;"x"&amp;TEXT(H268,"0000")&amp;IF(N(I268)&gt;1,"-"&amp;I268&amp;"C","")&amp;"-"&amp;IFERROR(VLOOKUP(M268,Lists!$J$4:$K$19,2,0),"??")&amp;"-"&amp;AI268)</f>
        <v/>
      </c>
      <c r="B268" s="10" t="str">
        <f aca="false">IF(D268="","",D268&amp;" "&amp;G268&amp;"W x "&amp;H268&amp;"D"&amp;IF(N(I268)&gt;1," ("&amp;I268&amp;" cells)","")&amp;", "&amp;E268&amp;", "&amp;M268&amp;", "&amp;F268)</f>
        <v/>
      </c>
      <c r="C268" s="9"/>
      <c r="D268" s="9"/>
      <c r="E268" s="9"/>
      <c r="F268" s="9"/>
      <c r="G268" s="38"/>
      <c r="H268" s="38"/>
      <c r="I268" s="38"/>
      <c r="J268" s="38"/>
      <c r="K268" s="38"/>
      <c r="L268" s="38"/>
      <c r="M268" s="9"/>
      <c r="N268" s="9"/>
      <c r="O268" s="9"/>
      <c r="P268" s="38"/>
      <c r="Q268" s="9"/>
      <c r="R268" s="9"/>
      <c r="S268" s="9"/>
      <c r="T268" s="9"/>
      <c r="U268" s="9"/>
      <c r="V268" s="9"/>
      <c r="W268" s="9"/>
      <c r="X268" s="9"/>
      <c r="Y268" s="9"/>
      <c r="Z268" s="9"/>
      <c r="AA268" s="9"/>
      <c r="AB268" s="39"/>
      <c r="AC268" s="9"/>
      <c r="AD268" s="38"/>
      <c r="AE268" s="9"/>
      <c r="AF268" s="39"/>
      <c r="AG268" s="9"/>
      <c r="AH268" s="9"/>
      <c r="AI268" s="9"/>
      <c r="AJ268" s="9"/>
      <c r="AK268" s="9"/>
      <c r="AL268" s="9"/>
      <c r="AM268" s="9"/>
      <c r="AN268" s="10" t="str">
        <f aca="false">IF(A268="","",SG_Criteria!$B$6&amp;SG_Criteria!$B$7&amp;"\"&amp;A268&amp;"\")</f>
        <v/>
      </c>
      <c r="AO268" s="10" t="str">
        <f aca="false">IF(A268="","",A268&amp;"_CAD.dwg")</f>
        <v/>
      </c>
      <c r="AP268" s="10" t="str">
        <f aca="false">IF(A268="","",A268&amp;"_DWG.pdf")</f>
        <v/>
      </c>
      <c r="AQ268" s="10" t="str">
        <f aca="false">IF(A268="","",IF(AM268="Y",A268&amp;"_STAAD.std","n/a"))</f>
        <v/>
      </c>
      <c r="AR268" s="10" t="str">
        <f aca="false">IF(A268="","",A268&amp;"_CALC.xlsx")</f>
        <v/>
      </c>
      <c r="AS268" s="10" t="str">
        <f aca="false">IF(A268="","",A268&amp;"_CALC.pdf")</f>
        <v/>
      </c>
      <c r="AT268" s="9"/>
      <c r="AU268" s="9"/>
      <c r="AV268" s="39"/>
      <c r="AW268" s="39"/>
      <c r="AX268" s="39"/>
      <c r="AY268" s="39"/>
      <c r="AZ268" s="39"/>
      <c r="BA268" s="12" t="str">
        <f aca="false">IF(A268="","",IF(COUNTIF(Rebar_Schedule!$A$5:$A$2004,A268)=0,"",ROUND(SUMIF(Rebar_Schedule!$A$5:$A$2004,A268,Rebar_Schedule!$K$5:$K$2004),1)))</f>
        <v/>
      </c>
      <c r="BB268" s="33" t="str">
        <f aca="false">IF(A268="","",IF(BA268="","No rebar schedule yet",IF(ABS(BA268-N(AW268))/MAX(N(AW268),1)&gt;SG_Criteria!$B$55,"NOTE: register rebar differs from schedule by "&amp;TEXT(ABS(BA268-N(AW268))/MAX(N(AW268),1),"0%"),"OK")))</f>
        <v/>
      </c>
      <c r="BC268" s="34" t="str">
        <f aca="false">IF(OR(D268="",G268="",H268="",D268="Sump",D268="Drop Inlet Chamber",D268="Silt Trap",D268="Pipe Culvert",D268="Subsoil Drain"),"",ROUND(MAX(1,N(I268))*(1/SG_Criteria!$B$26)*((G268/1000)*(H268/1000*(1-SG_Criteria!$B$25)))*(((G268/1000)*(H268/1000*(1-SG_Criteria!$B$25)))/((G268/1000)+2*(H268/1000*(1-SG_Criteria!$B$25))))^(2/3)*(1/Design_Selector!$B$11)^0.5,3))</f>
        <v/>
      </c>
      <c r="BD268" s="11" t="str">
        <f aca="false">IF(BC268="","",ROUND(BC268/(MAX(1,N(I268))*G268/1000*(H268/1000*(1-SG_Criteria!$B$25))),2))</f>
        <v/>
      </c>
      <c r="BE268" s="33" t="str">
        <f aca="false">IF(D268="","",IF(LEN(IF(AND(OR(E268="Roadside drain",E268="Entrance culvert"),OR(G268&lt;SG_Criteria!$B$15,H268&lt;SG_Criteria!$B$16)),"FAIL: below PUB min "&amp;SG_Criteria!$B$15&amp;"x"&amp;SG_Criteria!$B$16&amp;" for roadside drain. ","")&amp;IF(AND(E268="Common drain",G268&lt;SG_Criteria!$B$17),"FAIL: common drain W &lt; "&amp;SG_Criteria!$B$17&amp;" mm. ","")&amp;IF(AND(O268&lt;&gt;"",IFERROR(VALUE(MID(O268,2,2)),0)&lt;SG_Criteria!$B$19),"FAIL: grade below C"&amp;SG_Criteria!$B$19&amp;". ","")&amp;IF(AND(P268&lt;&gt;"",P268&lt;SG_Criteria!$B$20),"FAIL: cover &lt; "&amp;SG_Criteria!$B$20&amp;" mm. ","")&amp;IF(AND(F268="Open",H268&gt;SG_Criteria!$B$18),"NOTE: safety railing required (D &gt; "&amp;SG_Criteria!$B$18&amp;" mm). ","")&amp;IF(AND(E268="Entrance culvert",H268&lt;600),"NOTE: check hinged grating rule for culverts &lt; 600 deep (PUB Add. 3). ",""))=0,"OK",IF(AND(OR(E268="Roadside drain",E268="Entrance culvert"),OR(G268&lt;SG_Criteria!$B$15,H268&lt;SG_Criteria!$B$16)),"FAIL: below PUB min "&amp;SG_Criteria!$B$15&amp;"x"&amp;SG_Criteria!$B$16&amp;" for roadside drain. ","")&amp;IF(AND(E268="Common drain",G268&lt;SG_Criteria!$B$17),"FAIL: common drain W &lt; "&amp;SG_Criteria!$B$17&amp;" mm. ","")&amp;IF(AND(O268&lt;&gt;"",IFERROR(VALUE(MID(O268,2,2)),0)&lt;SG_Criteria!$B$19),"FAIL: grade below C"&amp;SG_Criteria!$B$19&amp;". ","")&amp;IF(AND(P268&lt;&gt;"",P268&lt;SG_Criteria!$B$20),"FAIL: cover &lt; "&amp;SG_Criteria!$B$20&amp;" mm. ","")&amp;IF(AND(F268="Open",H268&gt;SG_Criteria!$B$18),"NOTE: safety railing required (D &gt; "&amp;SG_Criteria!$B$18&amp;" mm). ","")&amp;IF(AND(E268="Entrance culvert",H268&lt;600),"NOTE: check hinged grating rule for culverts &lt; 600 deep (PUB Add. 3). ","")))</f>
        <v/>
      </c>
      <c r="BF268" s="9"/>
      <c r="BG268" s="9"/>
      <c r="BH268" s="9"/>
      <c r="BI268" s="10" t="str">
        <f aca="false">IF(BH268="","",IFERROR(VLOOKUP(BH268,Projects!$A$5:$D$504,2,0),"Ref not in Projects"))</f>
        <v/>
      </c>
      <c r="BJ268" s="10" t="str">
        <f aca="false">IF(BH268="","",IFERROR(VLOOKUP(BH268,Projects!$A$5:$D$504,4,0),"Ref not in Projects"))</f>
        <v/>
      </c>
      <c r="BK268" s="9"/>
      <c r="BL268" s="9"/>
      <c r="BM268" s="9"/>
      <c r="BN268" s="40"/>
      <c r="BO268" s="9"/>
      <c r="BP268" s="40"/>
      <c r="BQ268" s="9"/>
      <c r="BR268" s="40"/>
      <c r="BS268" s="9"/>
      <c r="BT268" s="9"/>
      <c r="BU268" s="9"/>
      <c r="BV268" s="40"/>
      <c r="BW268" s="40"/>
      <c r="BX268" s="36" t="str">
        <f aca="false">IF(BW268="","",EDATE(BW268,SG_Criteria!$B$54*12))</f>
        <v/>
      </c>
      <c r="BY268" s="33" t="str">
        <f aca="true">IF(A268="","",IF(BW268="","NOTE: not reviewed yet",IF(TODAY()&gt;BX268,"NOTE: review overdue","OK")))</f>
        <v/>
      </c>
      <c r="BZ268" s="37" t="str">
        <f aca="false">IF(A268="","",ROUND((IF(LEN(D268)&gt;0,1,0)+IF(LEN(E268)&gt;0,1,0)+IF(LEN(F268)&gt;0,1,0)+IF(LEN(G268)&gt;0,1,0)+IF(LEN(H268)&gt;0,1,0)+IF(LEN(J268)&gt;0,1,0)+IF(LEN(K268)&gt;0,1,0)+IF(LEN(M268)&gt;0,1,0)+IF(LEN(O268)&gt;0,1,0)+IF(LEN(P268)&gt;0,1,0)+IF(LEN(Q268)&gt;0,1,0)+IF(LEN(S268)&gt;0,1,0)+IF(LEN(AC268)&gt;0,1,0)+IF(LEN(AV268)&gt;0,1,0)+IF(LEN(AW268)&gt;0,1,0)+IF(LEN(AG268)&gt;0,1,0)+IF(LEN(AI268)&gt;0,1,0)+IF(LEN(AJ268)&gt;0,1,0)+IF(LEN(AK268)&gt;0,1,0)+IF(LEN(AL268)&gt;0,1,0)+IF(LEN(AU268)&gt;0,1,0)+IF(LEN(BH268)&gt;0,1,0)+IF(LEN(BU268)&gt;0,1,0))/23,2))</f>
        <v/>
      </c>
      <c r="CA268" s="10" t="str">
        <f aca="false">IF(D268="","",IF(AND(AJ268="Approved",ISERROR(SEARCH("FAIL",BE268))),"Y","N"))</f>
        <v/>
      </c>
      <c r="CB268" s="10" t="str">
        <f aca="false">IF(D268="","",D268&amp;"|"&amp;G268&amp;"|"&amp;H268&amp;"|"&amp;M268&amp;"|"&amp;CA268)</f>
        <v/>
      </c>
    </row>
    <row r="269" customFormat="false" ht="15" hidden="false" customHeight="false" outlineLevel="0" collapsed="false">
      <c r="A269" s="10" t="str">
        <f aca="false">IF(D269="","","DRN-"&amp;IFERROR(VLOOKUP(D269,Lists!$A$4:$B$27,2,0),"??")&amp;"-"&amp;TEXT(G269,"0000")&amp;"x"&amp;TEXT(H269,"0000")&amp;IF(N(I269)&gt;1,"-"&amp;I269&amp;"C","")&amp;"-"&amp;IFERROR(VLOOKUP(M269,Lists!$J$4:$K$19,2,0),"??")&amp;"-"&amp;AI269)</f>
        <v/>
      </c>
      <c r="B269" s="10" t="str">
        <f aca="false">IF(D269="","",D269&amp;" "&amp;G269&amp;"W x "&amp;H269&amp;"D"&amp;IF(N(I269)&gt;1," ("&amp;I269&amp;" cells)","")&amp;", "&amp;E269&amp;", "&amp;M269&amp;", "&amp;F269)</f>
        <v/>
      </c>
      <c r="C269" s="9"/>
      <c r="D269" s="9"/>
      <c r="E269" s="9"/>
      <c r="F269" s="9"/>
      <c r="G269" s="38"/>
      <c r="H269" s="38"/>
      <c r="I269" s="38"/>
      <c r="J269" s="38"/>
      <c r="K269" s="38"/>
      <c r="L269" s="38"/>
      <c r="M269" s="9"/>
      <c r="N269" s="9"/>
      <c r="O269" s="9"/>
      <c r="P269" s="38"/>
      <c r="Q269" s="9"/>
      <c r="R269" s="9"/>
      <c r="S269" s="9"/>
      <c r="T269" s="9"/>
      <c r="U269" s="9"/>
      <c r="V269" s="9"/>
      <c r="W269" s="9"/>
      <c r="X269" s="9"/>
      <c r="Y269" s="9"/>
      <c r="Z269" s="9"/>
      <c r="AA269" s="9"/>
      <c r="AB269" s="39"/>
      <c r="AC269" s="9"/>
      <c r="AD269" s="38"/>
      <c r="AE269" s="9"/>
      <c r="AF269" s="39"/>
      <c r="AG269" s="9"/>
      <c r="AH269" s="9"/>
      <c r="AI269" s="9"/>
      <c r="AJ269" s="9"/>
      <c r="AK269" s="9"/>
      <c r="AL269" s="9"/>
      <c r="AM269" s="9"/>
      <c r="AN269" s="10" t="str">
        <f aca="false">IF(A269="","",SG_Criteria!$B$6&amp;SG_Criteria!$B$7&amp;"\"&amp;A269&amp;"\")</f>
        <v/>
      </c>
      <c r="AO269" s="10" t="str">
        <f aca="false">IF(A269="","",A269&amp;"_CAD.dwg")</f>
        <v/>
      </c>
      <c r="AP269" s="10" t="str">
        <f aca="false">IF(A269="","",A269&amp;"_DWG.pdf")</f>
        <v/>
      </c>
      <c r="AQ269" s="10" t="str">
        <f aca="false">IF(A269="","",IF(AM269="Y",A269&amp;"_STAAD.std","n/a"))</f>
        <v/>
      </c>
      <c r="AR269" s="10" t="str">
        <f aca="false">IF(A269="","",A269&amp;"_CALC.xlsx")</f>
        <v/>
      </c>
      <c r="AS269" s="10" t="str">
        <f aca="false">IF(A269="","",A269&amp;"_CALC.pdf")</f>
        <v/>
      </c>
      <c r="AT269" s="9"/>
      <c r="AU269" s="9"/>
      <c r="AV269" s="39"/>
      <c r="AW269" s="39"/>
      <c r="AX269" s="39"/>
      <c r="AY269" s="39"/>
      <c r="AZ269" s="39"/>
      <c r="BA269" s="12" t="str">
        <f aca="false">IF(A269="","",IF(COUNTIF(Rebar_Schedule!$A$5:$A$2004,A269)=0,"",ROUND(SUMIF(Rebar_Schedule!$A$5:$A$2004,A269,Rebar_Schedule!$K$5:$K$2004),1)))</f>
        <v/>
      </c>
      <c r="BB269" s="33" t="str">
        <f aca="false">IF(A269="","",IF(BA269="","No rebar schedule yet",IF(ABS(BA269-N(AW269))/MAX(N(AW269),1)&gt;SG_Criteria!$B$55,"NOTE: register rebar differs from schedule by "&amp;TEXT(ABS(BA269-N(AW269))/MAX(N(AW269),1),"0%"),"OK")))</f>
        <v/>
      </c>
      <c r="BC269" s="34" t="str">
        <f aca="false">IF(OR(D269="",G269="",H269="",D269="Sump",D269="Drop Inlet Chamber",D269="Silt Trap",D269="Pipe Culvert",D269="Subsoil Drain"),"",ROUND(MAX(1,N(I269))*(1/SG_Criteria!$B$26)*((G269/1000)*(H269/1000*(1-SG_Criteria!$B$25)))*(((G269/1000)*(H269/1000*(1-SG_Criteria!$B$25)))/((G269/1000)+2*(H269/1000*(1-SG_Criteria!$B$25))))^(2/3)*(1/Design_Selector!$B$11)^0.5,3))</f>
        <v/>
      </c>
      <c r="BD269" s="11" t="str">
        <f aca="false">IF(BC269="","",ROUND(BC269/(MAX(1,N(I269))*G269/1000*(H269/1000*(1-SG_Criteria!$B$25))),2))</f>
        <v/>
      </c>
      <c r="BE269" s="33" t="str">
        <f aca="false">IF(D269="","",IF(LEN(IF(AND(OR(E269="Roadside drain",E269="Entrance culvert"),OR(G269&lt;SG_Criteria!$B$15,H269&lt;SG_Criteria!$B$16)),"FAIL: below PUB min "&amp;SG_Criteria!$B$15&amp;"x"&amp;SG_Criteria!$B$16&amp;" for roadside drain. ","")&amp;IF(AND(E269="Common drain",G269&lt;SG_Criteria!$B$17),"FAIL: common drain W &lt; "&amp;SG_Criteria!$B$17&amp;" mm. ","")&amp;IF(AND(O269&lt;&gt;"",IFERROR(VALUE(MID(O269,2,2)),0)&lt;SG_Criteria!$B$19),"FAIL: grade below C"&amp;SG_Criteria!$B$19&amp;". ","")&amp;IF(AND(P269&lt;&gt;"",P269&lt;SG_Criteria!$B$20),"FAIL: cover &lt; "&amp;SG_Criteria!$B$20&amp;" mm. ","")&amp;IF(AND(F269="Open",H269&gt;SG_Criteria!$B$18),"NOTE: safety railing required (D &gt; "&amp;SG_Criteria!$B$18&amp;" mm). ","")&amp;IF(AND(E269="Entrance culvert",H269&lt;600),"NOTE: check hinged grating rule for culverts &lt; 600 deep (PUB Add. 3). ",""))=0,"OK",IF(AND(OR(E269="Roadside drain",E269="Entrance culvert"),OR(G269&lt;SG_Criteria!$B$15,H269&lt;SG_Criteria!$B$16)),"FAIL: below PUB min "&amp;SG_Criteria!$B$15&amp;"x"&amp;SG_Criteria!$B$16&amp;" for roadside drain. ","")&amp;IF(AND(E269="Common drain",G269&lt;SG_Criteria!$B$17),"FAIL: common drain W &lt; "&amp;SG_Criteria!$B$17&amp;" mm. ","")&amp;IF(AND(O269&lt;&gt;"",IFERROR(VALUE(MID(O269,2,2)),0)&lt;SG_Criteria!$B$19),"FAIL: grade below C"&amp;SG_Criteria!$B$19&amp;". ","")&amp;IF(AND(P269&lt;&gt;"",P269&lt;SG_Criteria!$B$20),"FAIL: cover &lt; "&amp;SG_Criteria!$B$20&amp;" mm. ","")&amp;IF(AND(F269="Open",H269&gt;SG_Criteria!$B$18),"NOTE: safety railing required (D &gt; "&amp;SG_Criteria!$B$18&amp;" mm). ","")&amp;IF(AND(E269="Entrance culvert",H269&lt;600),"NOTE: check hinged grating rule for culverts &lt; 600 deep (PUB Add. 3). ","")))</f>
        <v/>
      </c>
      <c r="BF269" s="9"/>
      <c r="BG269" s="9"/>
      <c r="BH269" s="9"/>
      <c r="BI269" s="10" t="str">
        <f aca="false">IF(BH269="","",IFERROR(VLOOKUP(BH269,Projects!$A$5:$D$504,2,0),"Ref not in Projects"))</f>
        <v/>
      </c>
      <c r="BJ269" s="10" t="str">
        <f aca="false">IF(BH269="","",IFERROR(VLOOKUP(BH269,Projects!$A$5:$D$504,4,0),"Ref not in Projects"))</f>
        <v/>
      </c>
      <c r="BK269" s="9"/>
      <c r="BL269" s="9"/>
      <c r="BM269" s="9"/>
      <c r="BN269" s="40"/>
      <c r="BO269" s="9"/>
      <c r="BP269" s="40"/>
      <c r="BQ269" s="9"/>
      <c r="BR269" s="40"/>
      <c r="BS269" s="9"/>
      <c r="BT269" s="9"/>
      <c r="BU269" s="9"/>
      <c r="BV269" s="40"/>
      <c r="BW269" s="40"/>
      <c r="BX269" s="36" t="str">
        <f aca="false">IF(BW269="","",EDATE(BW269,SG_Criteria!$B$54*12))</f>
        <v/>
      </c>
      <c r="BY269" s="33" t="str">
        <f aca="true">IF(A269="","",IF(BW269="","NOTE: not reviewed yet",IF(TODAY()&gt;BX269,"NOTE: review overdue","OK")))</f>
        <v/>
      </c>
      <c r="BZ269" s="37" t="str">
        <f aca="false">IF(A269="","",ROUND((IF(LEN(D269)&gt;0,1,0)+IF(LEN(E269)&gt;0,1,0)+IF(LEN(F269)&gt;0,1,0)+IF(LEN(G269)&gt;0,1,0)+IF(LEN(H269)&gt;0,1,0)+IF(LEN(J269)&gt;0,1,0)+IF(LEN(K269)&gt;0,1,0)+IF(LEN(M269)&gt;0,1,0)+IF(LEN(O269)&gt;0,1,0)+IF(LEN(P269)&gt;0,1,0)+IF(LEN(Q269)&gt;0,1,0)+IF(LEN(S269)&gt;0,1,0)+IF(LEN(AC269)&gt;0,1,0)+IF(LEN(AV269)&gt;0,1,0)+IF(LEN(AW269)&gt;0,1,0)+IF(LEN(AG269)&gt;0,1,0)+IF(LEN(AI269)&gt;0,1,0)+IF(LEN(AJ269)&gt;0,1,0)+IF(LEN(AK269)&gt;0,1,0)+IF(LEN(AL269)&gt;0,1,0)+IF(LEN(AU269)&gt;0,1,0)+IF(LEN(BH269)&gt;0,1,0)+IF(LEN(BU269)&gt;0,1,0))/23,2))</f>
        <v/>
      </c>
      <c r="CA269" s="10" t="str">
        <f aca="false">IF(D269="","",IF(AND(AJ269="Approved",ISERROR(SEARCH("FAIL",BE269))),"Y","N"))</f>
        <v/>
      </c>
      <c r="CB269" s="10" t="str">
        <f aca="false">IF(D269="","",D269&amp;"|"&amp;G269&amp;"|"&amp;H269&amp;"|"&amp;M269&amp;"|"&amp;CA269)</f>
        <v/>
      </c>
    </row>
    <row r="270" customFormat="false" ht="15" hidden="false" customHeight="false" outlineLevel="0" collapsed="false">
      <c r="A270" s="10" t="str">
        <f aca="false">IF(D270="","","DRN-"&amp;IFERROR(VLOOKUP(D270,Lists!$A$4:$B$27,2,0),"??")&amp;"-"&amp;TEXT(G270,"0000")&amp;"x"&amp;TEXT(H270,"0000")&amp;IF(N(I270)&gt;1,"-"&amp;I270&amp;"C","")&amp;"-"&amp;IFERROR(VLOOKUP(M270,Lists!$J$4:$K$19,2,0),"??")&amp;"-"&amp;AI270)</f>
        <v/>
      </c>
      <c r="B270" s="10" t="str">
        <f aca="false">IF(D270="","",D270&amp;" "&amp;G270&amp;"W x "&amp;H270&amp;"D"&amp;IF(N(I270)&gt;1," ("&amp;I270&amp;" cells)","")&amp;", "&amp;E270&amp;", "&amp;M270&amp;", "&amp;F270)</f>
        <v/>
      </c>
      <c r="C270" s="9"/>
      <c r="D270" s="9"/>
      <c r="E270" s="9"/>
      <c r="F270" s="9"/>
      <c r="G270" s="38"/>
      <c r="H270" s="38"/>
      <c r="I270" s="38"/>
      <c r="J270" s="38"/>
      <c r="K270" s="38"/>
      <c r="L270" s="38"/>
      <c r="M270" s="9"/>
      <c r="N270" s="9"/>
      <c r="O270" s="9"/>
      <c r="P270" s="38"/>
      <c r="Q270" s="9"/>
      <c r="R270" s="9"/>
      <c r="S270" s="9"/>
      <c r="T270" s="9"/>
      <c r="U270" s="9"/>
      <c r="V270" s="9"/>
      <c r="W270" s="9"/>
      <c r="X270" s="9"/>
      <c r="Y270" s="9"/>
      <c r="Z270" s="9"/>
      <c r="AA270" s="9"/>
      <c r="AB270" s="39"/>
      <c r="AC270" s="9"/>
      <c r="AD270" s="38"/>
      <c r="AE270" s="9"/>
      <c r="AF270" s="39"/>
      <c r="AG270" s="9"/>
      <c r="AH270" s="9"/>
      <c r="AI270" s="9"/>
      <c r="AJ270" s="9"/>
      <c r="AK270" s="9"/>
      <c r="AL270" s="9"/>
      <c r="AM270" s="9"/>
      <c r="AN270" s="10" t="str">
        <f aca="false">IF(A270="","",SG_Criteria!$B$6&amp;SG_Criteria!$B$7&amp;"\"&amp;A270&amp;"\")</f>
        <v/>
      </c>
      <c r="AO270" s="10" t="str">
        <f aca="false">IF(A270="","",A270&amp;"_CAD.dwg")</f>
        <v/>
      </c>
      <c r="AP270" s="10" t="str">
        <f aca="false">IF(A270="","",A270&amp;"_DWG.pdf")</f>
        <v/>
      </c>
      <c r="AQ270" s="10" t="str">
        <f aca="false">IF(A270="","",IF(AM270="Y",A270&amp;"_STAAD.std","n/a"))</f>
        <v/>
      </c>
      <c r="AR270" s="10" t="str">
        <f aca="false">IF(A270="","",A270&amp;"_CALC.xlsx")</f>
        <v/>
      </c>
      <c r="AS270" s="10" t="str">
        <f aca="false">IF(A270="","",A270&amp;"_CALC.pdf")</f>
        <v/>
      </c>
      <c r="AT270" s="9"/>
      <c r="AU270" s="9"/>
      <c r="AV270" s="39"/>
      <c r="AW270" s="39"/>
      <c r="AX270" s="39"/>
      <c r="AY270" s="39"/>
      <c r="AZ270" s="39"/>
      <c r="BA270" s="12" t="str">
        <f aca="false">IF(A270="","",IF(COUNTIF(Rebar_Schedule!$A$5:$A$2004,A270)=0,"",ROUND(SUMIF(Rebar_Schedule!$A$5:$A$2004,A270,Rebar_Schedule!$K$5:$K$2004),1)))</f>
        <v/>
      </c>
      <c r="BB270" s="33" t="str">
        <f aca="false">IF(A270="","",IF(BA270="","No rebar schedule yet",IF(ABS(BA270-N(AW270))/MAX(N(AW270),1)&gt;SG_Criteria!$B$55,"NOTE: register rebar differs from schedule by "&amp;TEXT(ABS(BA270-N(AW270))/MAX(N(AW270),1),"0%"),"OK")))</f>
        <v/>
      </c>
      <c r="BC270" s="34" t="str">
        <f aca="false">IF(OR(D270="",G270="",H270="",D270="Sump",D270="Drop Inlet Chamber",D270="Silt Trap",D270="Pipe Culvert",D270="Subsoil Drain"),"",ROUND(MAX(1,N(I270))*(1/SG_Criteria!$B$26)*((G270/1000)*(H270/1000*(1-SG_Criteria!$B$25)))*(((G270/1000)*(H270/1000*(1-SG_Criteria!$B$25)))/((G270/1000)+2*(H270/1000*(1-SG_Criteria!$B$25))))^(2/3)*(1/Design_Selector!$B$11)^0.5,3))</f>
        <v/>
      </c>
      <c r="BD270" s="11" t="str">
        <f aca="false">IF(BC270="","",ROUND(BC270/(MAX(1,N(I270))*G270/1000*(H270/1000*(1-SG_Criteria!$B$25))),2))</f>
        <v/>
      </c>
      <c r="BE270" s="33" t="str">
        <f aca="false">IF(D270="","",IF(LEN(IF(AND(OR(E270="Roadside drain",E270="Entrance culvert"),OR(G270&lt;SG_Criteria!$B$15,H270&lt;SG_Criteria!$B$16)),"FAIL: below PUB min "&amp;SG_Criteria!$B$15&amp;"x"&amp;SG_Criteria!$B$16&amp;" for roadside drain. ","")&amp;IF(AND(E270="Common drain",G270&lt;SG_Criteria!$B$17),"FAIL: common drain W &lt; "&amp;SG_Criteria!$B$17&amp;" mm. ","")&amp;IF(AND(O270&lt;&gt;"",IFERROR(VALUE(MID(O270,2,2)),0)&lt;SG_Criteria!$B$19),"FAIL: grade below C"&amp;SG_Criteria!$B$19&amp;". ","")&amp;IF(AND(P270&lt;&gt;"",P270&lt;SG_Criteria!$B$20),"FAIL: cover &lt; "&amp;SG_Criteria!$B$20&amp;" mm. ","")&amp;IF(AND(F270="Open",H270&gt;SG_Criteria!$B$18),"NOTE: safety railing required (D &gt; "&amp;SG_Criteria!$B$18&amp;" mm). ","")&amp;IF(AND(E270="Entrance culvert",H270&lt;600),"NOTE: check hinged grating rule for culverts &lt; 600 deep (PUB Add. 3). ",""))=0,"OK",IF(AND(OR(E270="Roadside drain",E270="Entrance culvert"),OR(G270&lt;SG_Criteria!$B$15,H270&lt;SG_Criteria!$B$16)),"FAIL: below PUB min "&amp;SG_Criteria!$B$15&amp;"x"&amp;SG_Criteria!$B$16&amp;" for roadside drain. ","")&amp;IF(AND(E270="Common drain",G270&lt;SG_Criteria!$B$17),"FAIL: common drain W &lt; "&amp;SG_Criteria!$B$17&amp;" mm. ","")&amp;IF(AND(O270&lt;&gt;"",IFERROR(VALUE(MID(O270,2,2)),0)&lt;SG_Criteria!$B$19),"FAIL: grade below C"&amp;SG_Criteria!$B$19&amp;". ","")&amp;IF(AND(P270&lt;&gt;"",P270&lt;SG_Criteria!$B$20),"FAIL: cover &lt; "&amp;SG_Criteria!$B$20&amp;" mm. ","")&amp;IF(AND(F270="Open",H270&gt;SG_Criteria!$B$18),"NOTE: safety railing required (D &gt; "&amp;SG_Criteria!$B$18&amp;" mm). ","")&amp;IF(AND(E270="Entrance culvert",H270&lt;600),"NOTE: check hinged grating rule for culverts &lt; 600 deep (PUB Add. 3). ","")))</f>
        <v/>
      </c>
      <c r="BF270" s="9"/>
      <c r="BG270" s="9"/>
      <c r="BH270" s="9"/>
      <c r="BI270" s="10" t="str">
        <f aca="false">IF(BH270="","",IFERROR(VLOOKUP(BH270,Projects!$A$5:$D$504,2,0),"Ref not in Projects"))</f>
        <v/>
      </c>
      <c r="BJ270" s="10" t="str">
        <f aca="false">IF(BH270="","",IFERROR(VLOOKUP(BH270,Projects!$A$5:$D$504,4,0),"Ref not in Projects"))</f>
        <v/>
      </c>
      <c r="BK270" s="9"/>
      <c r="BL270" s="9"/>
      <c r="BM270" s="9"/>
      <c r="BN270" s="40"/>
      <c r="BO270" s="9"/>
      <c r="BP270" s="40"/>
      <c r="BQ270" s="9"/>
      <c r="BR270" s="40"/>
      <c r="BS270" s="9"/>
      <c r="BT270" s="9"/>
      <c r="BU270" s="9"/>
      <c r="BV270" s="40"/>
      <c r="BW270" s="40"/>
      <c r="BX270" s="36" t="str">
        <f aca="false">IF(BW270="","",EDATE(BW270,SG_Criteria!$B$54*12))</f>
        <v/>
      </c>
      <c r="BY270" s="33" t="str">
        <f aca="true">IF(A270="","",IF(BW270="","NOTE: not reviewed yet",IF(TODAY()&gt;BX270,"NOTE: review overdue","OK")))</f>
        <v/>
      </c>
      <c r="BZ270" s="37" t="str">
        <f aca="false">IF(A270="","",ROUND((IF(LEN(D270)&gt;0,1,0)+IF(LEN(E270)&gt;0,1,0)+IF(LEN(F270)&gt;0,1,0)+IF(LEN(G270)&gt;0,1,0)+IF(LEN(H270)&gt;0,1,0)+IF(LEN(J270)&gt;0,1,0)+IF(LEN(K270)&gt;0,1,0)+IF(LEN(M270)&gt;0,1,0)+IF(LEN(O270)&gt;0,1,0)+IF(LEN(P270)&gt;0,1,0)+IF(LEN(Q270)&gt;0,1,0)+IF(LEN(S270)&gt;0,1,0)+IF(LEN(AC270)&gt;0,1,0)+IF(LEN(AV270)&gt;0,1,0)+IF(LEN(AW270)&gt;0,1,0)+IF(LEN(AG270)&gt;0,1,0)+IF(LEN(AI270)&gt;0,1,0)+IF(LEN(AJ270)&gt;0,1,0)+IF(LEN(AK270)&gt;0,1,0)+IF(LEN(AL270)&gt;0,1,0)+IF(LEN(AU270)&gt;0,1,0)+IF(LEN(BH270)&gt;0,1,0)+IF(LEN(BU270)&gt;0,1,0))/23,2))</f>
        <v/>
      </c>
      <c r="CA270" s="10" t="str">
        <f aca="false">IF(D270="","",IF(AND(AJ270="Approved",ISERROR(SEARCH("FAIL",BE270))),"Y","N"))</f>
        <v/>
      </c>
      <c r="CB270" s="10" t="str">
        <f aca="false">IF(D270="","",D270&amp;"|"&amp;G270&amp;"|"&amp;H270&amp;"|"&amp;M270&amp;"|"&amp;CA270)</f>
        <v/>
      </c>
    </row>
    <row r="271" customFormat="false" ht="15" hidden="false" customHeight="false" outlineLevel="0" collapsed="false">
      <c r="A271" s="10" t="str">
        <f aca="false">IF(D271="","","DRN-"&amp;IFERROR(VLOOKUP(D271,Lists!$A$4:$B$27,2,0),"??")&amp;"-"&amp;TEXT(G271,"0000")&amp;"x"&amp;TEXT(H271,"0000")&amp;IF(N(I271)&gt;1,"-"&amp;I271&amp;"C","")&amp;"-"&amp;IFERROR(VLOOKUP(M271,Lists!$J$4:$K$19,2,0),"??")&amp;"-"&amp;AI271)</f>
        <v/>
      </c>
      <c r="B271" s="10" t="str">
        <f aca="false">IF(D271="","",D271&amp;" "&amp;G271&amp;"W x "&amp;H271&amp;"D"&amp;IF(N(I271)&gt;1," ("&amp;I271&amp;" cells)","")&amp;", "&amp;E271&amp;", "&amp;M271&amp;", "&amp;F271)</f>
        <v/>
      </c>
      <c r="C271" s="9"/>
      <c r="D271" s="9"/>
      <c r="E271" s="9"/>
      <c r="F271" s="9"/>
      <c r="G271" s="38"/>
      <c r="H271" s="38"/>
      <c r="I271" s="38"/>
      <c r="J271" s="38"/>
      <c r="K271" s="38"/>
      <c r="L271" s="38"/>
      <c r="M271" s="9"/>
      <c r="N271" s="9"/>
      <c r="O271" s="9"/>
      <c r="P271" s="38"/>
      <c r="Q271" s="9"/>
      <c r="R271" s="9"/>
      <c r="S271" s="9"/>
      <c r="T271" s="9"/>
      <c r="U271" s="9"/>
      <c r="V271" s="9"/>
      <c r="W271" s="9"/>
      <c r="X271" s="9"/>
      <c r="Y271" s="9"/>
      <c r="Z271" s="9"/>
      <c r="AA271" s="9"/>
      <c r="AB271" s="39"/>
      <c r="AC271" s="9"/>
      <c r="AD271" s="38"/>
      <c r="AE271" s="9"/>
      <c r="AF271" s="39"/>
      <c r="AG271" s="9"/>
      <c r="AH271" s="9"/>
      <c r="AI271" s="9"/>
      <c r="AJ271" s="9"/>
      <c r="AK271" s="9"/>
      <c r="AL271" s="9"/>
      <c r="AM271" s="9"/>
      <c r="AN271" s="10" t="str">
        <f aca="false">IF(A271="","",SG_Criteria!$B$6&amp;SG_Criteria!$B$7&amp;"\"&amp;A271&amp;"\")</f>
        <v/>
      </c>
      <c r="AO271" s="10" t="str">
        <f aca="false">IF(A271="","",A271&amp;"_CAD.dwg")</f>
        <v/>
      </c>
      <c r="AP271" s="10" t="str">
        <f aca="false">IF(A271="","",A271&amp;"_DWG.pdf")</f>
        <v/>
      </c>
      <c r="AQ271" s="10" t="str">
        <f aca="false">IF(A271="","",IF(AM271="Y",A271&amp;"_STAAD.std","n/a"))</f>
        <v/>
      </c>
      <c r="AR271" s="10" t="str">
        <f aca="false">IF(A271="","",A271&amp;"_CALC.xlsx")</f>
        <v/>
      </c>
      <c r="AS271" s="10" t="str">
        <f aca="false">IF(A271="","",A271&amp;"_CALC.pdf")</f>
        <v/>
      </c>
      <c r="AT271" s="9"/>
      <c r="AU271" s="9"/>
      <c r="AV271" s="39"/>
      <c r="AW271" s="39"/>
      <c r="AX271" s="39"/>
      <c r="AY271" s="39"/>
      <c r="AZ271" s="39"/>
      <c r="BA271" s="12" t="str">
        <f aca="false">IF(A271="","",IF(COUNTIF(Rebar_Schedule!$A$5:$A$2004,A271)=0,"",ROUND(SUMIF(Rebar_Schedule!$A$5:$A$2004,A271,Rebar_Schedule!$K$5:$K$2004),1)))</f>
        <v/>
      </c>
      <c r="BB271" s="33" t="str">
        <f aca="false">IF(A271="","",IF(BA271="","No rebar schedule yet",IF(ABS(BA271-N(AW271))/MAX(N(AW271),1)&gt;SG_Criteria!$B$55,"NOTE: register rebar differs from schedule by "&amp;TEXT(ABS(BA271-N(AW271))/MAX(N(AW271),1),"0%"),"OK")))</f>
        <v/>
      </c>
      <c r="BC271" s="34" t="str">
        <f aca="false">IF(OR(D271="",G271="",H271="",D271="Sump",D271="Drop Inlet Chamber",D271="Silt Trap",D271="Pipe Culvert",D271="Subsoil Drain"),"",ROUND(MAX(1,N(I271))*(1/SG_Criteria!$B$26)*((G271/1000)*(H271/1000*(1-SG_Criteria!$B$25)))*(((G271/1000)*(H271/1000*(1-SG_Criteria!$B$25)))/((G271/1000)+2*(H271/1000*(1-SG_Criteria!$B$25))))^(2/3)*(1/Design_Selector!$B$11)^0.5,3))</f>
        <v/>
      </c>
      <c r="BD271" s="11" t="str">
        <f aca="false">IF(BC271="","",ROUND(BC271/(MAX(1,N(I271))*G271/1000*(H271/1000*(1-SG_Criteria!$B$25))),2))</f>
        <v/>
      </c>
      <c r="BE271" s="33" t="str">
        <f aca="false">IF(D271="","",IF(LEN(IF(AND(OR(E271="Roadside drain",E271="Entrance culvert"),OR(G271&lt;SG_Criteria!$B$15,H271&lt;SG_Criteria!$B$16)),"FAIL: below PUB min "&amp;SG_Criteria!$B$15&amp;"x"&amp;SG_Criteria!$B$16&amp;" for roadside drain. ","")&amp;IF(AND(E271="Common drain",G271&lt;SG_Criteria!$B$17),"FAIL: common drain W &lt; "&amp;SG_Criteria!$B$17&amp;" mm. ","")&amp;IF(AND(O271&lt;&gt;"",IFERROR(VALUE(MID(O271,2,2)),0)&lt;SG_Criteria!$B$19),"FAIL: grade below C"&amp;SG_Criteria!$B$19&amp;". ","")&amp;IF(AND(P271&lt;&gt;"",P271&lt;SG_Criteria!$B$20),"FAIL: cover &lt; "&amp;SG_Criteria!$B$20&amp;" mm. ","")&amp;IF(AND(F271="Open",H271&gt;SG_Criteria!$B$18),"NOTE: safety railing required (D &gt; "&amp;SG_Criteria!$B$18&amp;" mm). ","")&amp;IF(AND(E271="Entrance culvert",H271&lt;600),"NOTE: check hinged grating rule for culverts &lt; 600 deep (PUB Add. 3). ",""))=0,"OK",IF(AND(OR(E271="Roadside drain",E271="Entrance culvert"),OR(G271&lt;SG_Criteria!$B$15,H271&lt;SG_Criteria!$B$16)),"FAIL: below PUB min "&amp;SG_Criteria!$B$15&amp;"x"&amp;SG_Criteria!$B$16&amp;" for roadside drain. ","")&amp;IF(AND(E271="Common drain",G271&lt;SG_Criteria!$B$17),"FAIL: common drain W &lt; "&amp;SG_Criteria!$B$17&amp;" mm. ","")&amp;IF(AND(O271&lt;&gt;"",IFERROR(VALUE(MID(O271,2,2)),0)&lt;SG_Criteria!$B$19),"FAIL: grade below C"&amp;SG_Criteria!$B$19&amp;". ","")&amp;IF(AND(P271&lt;&gt;"",P271&lt;SG_Criteria!$B$20),"FAIL: cover &lt; "&amp;SG_Criteria!$B$20&amp;" mm. ","")&amp;IF(AND(F271="Open",H271&gt;SG_Criteria!$B$18),"NOTE: safety railing required (D &gt; "&amp;SG_Criteria!$B$18&amp;" mm). ","")&amp;IF(AND(E271="Entrance culvert",H271&lt;600),"NOTE: check hinged grating rule for culverts &lt; 600 deep (PUB Add. 3). ","")))</f>
        <v/>
      </c>
      <c r="BF271" s="9"/>
      <c r="BG271" s="9"/>
      <c r="BH271" s="9"/>
      <c r="BI271" s="10" t="str">
        <f aca="false">IF(BH271="","",IFERROR(VLOOKUP(BH271,Projects!$A$5:$D$504,2,0),"Ref not in Projects"))</f>
        <v/>
      </c>
      <c r="BJ271" s="10" t="str">
        <f aca="false">IF(BH271="","",IFERROR(VLOOKUP(BH271,Projects!$A$5:$D$504,4,0),"Ref not in Projects"))</f>
        <v/>
      </c>
      <c r="BK271" s="9"/>
      <c r="BL271" s="9"/>
      <c r="BM271" s="9"/>
      <c r="BN271" s="40"/>
      <c r="BO271" s="9"/>
      <c r="BP271" s="40"/>
      <c r="BQ271" s="9"/>
      <c r="BR271" s="40"/>
      <c r="BS271" s="9"/>
      <c r="BT271" s="9"/>
      <c r="BU271" s="9"/>
      <c r="BV271" s="40"/>
      <c r="BW271" s="40"/>
      <c r="BX271" s="36" t="str">
        <f aca="false">IF(BW271="","",EDATE(BW271,SG_Criteria!$B$54*12))</f>
        <v/>
      </c>
      <c r="BY271" s="33" t="str">
        <f aca="true">IF(A271="","",IF(BW271="","NOTE: not reviewed yet",IF(TODAY()&gt;BX271,"NOTE: review overdue","OK")))</f>
        <v/>
      </c>
      <c r="BZ271" s="37" t="str">
        <f aca="false">IF(A271="","",ROUND((IF(LEN(D271)&gt;0,1,0)+IF(LEN(E271)&gt;0,1,0)+IF(LEN(F271)&gt;0,1,0)+IF(LEN(G271)&gt;0,1,0)+IF(LEN(H271)&gt;0,1,0)+IF(LEN(J271)&gt;0,1,0)+IF(LEN(K271)&gt;0,1,0)+IF(LEN(M271)&gt;0,1,0)+IF(LEN(O271)&gt;0,1,0)+IF(LEN(P271)&gt;0,1,0)+IF(LEN(Q271)&gt;0,1,0)+IF(LEN(S271)&gt;0,1,0)+IF(LEN(AC271)&gt;0,1,0)+IF(LEN(AV271)&gt;0,1,0)+IF(LEN(AW271)&gt;0,1,0)+IF(LEN(AG271)&gt;0,1,0)+IF(LEN(AI271)&gt;0,1,0)+IF(LEN(AJ271)&gt;0,1,0)+IF(LEN(AK271)&gt;0,1,0)+IF(LEN(AL271)&gt;0,1,0)+IF(LEN(AU271)&gt;0,1,0)+IF(LEN(BH271)&gt;0,1,0)+IF(LEN(BU271)&gt;0,1,0))/23,2))</f>
        <v/>
      </c>
      <c r="CA271" s="10" t="str">
        <f aca="false">IF(D271="","",IF(AND(AJ271="Approved",ISERROR(SEARCH("FAIL",BE271))),"Y","N"))</f>
        <v/>
      </c>
      <c r="CB271" s="10" t="str">
        <f aca="false">IF(D271="","",D271&amp;"|"&amp;G271&amp;"|"&amp;H271&amp;"|"&amp;M271&amp;"|"&amp;CA271)</f>
        <v/>
      </c>
    </row>
    <row r="272" customFormat="false" ht="15" hidden="false" customHeight="false" outlineLevel="0" collapsed="false">
      <c r="A272" s="10" t="str">
        <f aca="false">IF(D272="","","DRN-"&amp;IFERROR(VLOOKUP(D272,Lists!$A$4:$B$27,2,0),"??")&amp;"-"&amp;TEXT(G272,"0000")&amp;"x"&amp;TEXT(H272,"0000")&amp;IF(N(I272)&gt;1,"-"&amp;I272&amp;"C","")&amp;"-"&amp;IFERROR(VLOOKUP(M272,Lists!$J$4:$K$19,2,0),"??")&amp;"-"&amp;AI272)</f>
        <v/>
      </c>
      <c r="B272" s="10" t="str">
        <f aca="false">IF(D272="","",D272&amp;" "&amp;G272&amp;"W x "&amp;H272&amp;"D"&amp;IF(N(I272)&gt;1," ("&amp;I272&amp;" cells)","")&amp;", "&amp;E272&amp;", "&amp;M272&amp;", "&amp;F272)</f>
        <v/>
      </c>
      <c r="C272" s="9"/>
      <c r="D272" s="9"/>
      <c r="E272" s="9"/>
      <c r="F272" s="9"/>
      <c r="G272" s="38"/>
      <c r="H272" s="38"/>
      <c r="I272" s="38"/>
      <c r="J272" s="38"/>
      <c r="K272" s="38"/>
      <c r="L272" s="38"/>
      <c r="M272" s="9"/>
      <c r="N272" s="9"/>
      <c r="O272" s="9"/>
      <c r="P272" s="38"/>
      <c r="Q272" s="9"/>
      <c r="R272" s="9"/>
      <c r="S272" s="9"/>
      <c r="T272" s="9"/>
      <c r="U272" s="9"/>
      <c r="V272" s="9"/>
      <c r="W272" s="9"/>
      <c r="X272" s="9"/>
      <c r="Y272" s="9"/>
      <c r="Z272" s="9"/>
      <c r="AA272" s="9"/>
      <c r="AB272" s="39"/>
      <c r="AC272" s="9"/>
      <c r="AD272" s="38"/>
      <c r="AE272" s="9"/>
      <c r="AF272" s="39"/>
      <c r="AG272" s="9"/>
      <c r="AH272" s="9"/>
      <c r="AI272" s="9"/>
      <c r="AJ272" s="9"/>
      <c r="AK272" s="9"/>
      <c r="AL272" s="9"/>
      <c r="AM272" s="9"/>
      <c r="AN272" s="10" t="str">
        <f aca="false">IF(A272="","",SG_Criteria!$B$6&amp;SG_Criteria!$B$7&amp;"\"&amp;A272&amp;"\")</f>
        <v/>
      </c>
      <c r="AO272" s="10" t="str">
        <f aca="false">IF(A272="","",A272&amp;"_CAD.dwg")</f>
        <v/>
      </c>
      <c r="AP272" s="10" t="str">
        <f aca="false">IF(A272="","",A272&amp;"_DWG.pdf")</f>
        <v/>
      </c>
      <c r="AQ272" s="10" t="str">
        <f aca="false">IF(A272="","",IF(AM272="Y",A272&amp;"_STAAD.std","n/a"))</f>
        <v/>
      </c>
      <c r="AR272" s="10" t="str">
        <f aca="false">IF(A272="","",A272&amp;"_CALC.xlsx")</f>
        <v/>
      </c>
      <c r="AS272" s="10" t="str">
        <f aca="false">IF(A272="","",A272&amp;"_CALC.pdf")</f>
        <v/>
      </c>
      <c r="AT272" s="9"/>
      <c r="AU272" s="9"/>
      <c r="AV272" s="39"/>
      <c r="AW272" s="39"/>
      <c r="AX272" s="39"/>
      <c r="AY272" s="39"/>
      <c r="AZ272" s="39"/>
      <c r="BA272" s="12" t="str">
        <f aca="false">IF(A272="","",IF(COUNTIF(Rebar_Schedule!$A$5:$A$2004,A272)=0,"",ROUND(SUMIF(Rebar_Schedule!$A$5:$A$2004,A272,Rebar_Schedule!$K$5:$K$2004),1)))</f>
        <v/>
      </c>
      <c r="BB272" s="33" t="str">
        <f aca="false">IF(A272="","",IF(BA272="","No rebar schedule yet",IF(ABS(BA272-N(AW272))/MAX(N(AW272),1)&gt;SG_Criteria!$B$55,"NOTE: register rebar differs from schedule by "&amp;TEXT(ABS(BA272-N(AW272))/MAX(N(AW272),1),"0%"),"OK")))</f>
        <v/>
      </c>
      <c r="BC272" s="34" t="str">
        <f aca="false">IF(OR(D272="",G272="",H272="",D272="Sump",D272="Drop Inlet Chamber",D272="Silt Trap",D272="Pipe Culvert",D272="Subsoil Drain"),"",ROUND(MAX(1,N(I272))*(1/SG_Criteria!$B$26)*((G272/1000)*(H272/1000*(1-SG_Criteria!$B$25)))*(((G272/1000)*(H272/1000*(1-SG_Criteria!$B$25)))/((G272/1000)+2*(H272/1000*(1-SG_Criteria!$B$25))))^(2/3)*(1/Design_Selector!$B$11)^0.5,3))</f>
        <v/>
      </c>
      <c r="BD272" s="11" t="str">
        <f aca="false">IF(BC272="","",ROUND(BC272/(MAX(1,N(I272))*G272/1000*(H272/1000*(1-SG_Criteria!$B$25))),2))</f>
        <v/>
      </c>
      <c r="BE272" s="33" t="str">
        <f aca="false">IF(D272="","",IF(LEN(IF(AND(OR(E272="Roadside drain",E272="Entrance culvert"),OR(G272&lt;SG_Criteria!$B$15,H272&lt;SG_Criteria!$B$16)),"FAIL: below PUB min "&amp;SG_Criteria!$B$15&amp;"x"&amp;SG_Criteria!$B$16&amp;" for roadside drain. ","")&amp;IF(AND(E272="Common drain",G272&lt;SG_Criteria!$B$17),"FAIL: common drain W &lt; "&amp;SG_Criteria!$B$17&amp;" mm. ","")&amp;IF(AND(O272&lt;&gt;"",IFERROR(VALUE(MID(O272,2,2)),0)&lt;SG_Criteria!$B$19),"FAIL: grade below C"&amp;SG_Criteria!$B$19&amp;". ","")&amp;IF(AND(P272&lt;&gt;"",P272&lt;SG_Criteria!$B$20),"FAIL: cover &lt; "&amp;SG_Criteria!$B$20&amp;" mm. ","")&amp;IF(AND(F272="Open",H272&gt;SG_Criteria!$B$18),"NOTE: safety railing required (D &gt; "&amp;SG_Criteria!$B$18&amp;" mm). ","")&amp;IF(AND(E272="Entrance culvert",H272&lt;600),"NOTE: check hinged grating rule for culverts &lt; 600 deep (PUB Add. 3). ",""))=0,"OK",IF(AND(OR(E272="Roadside drain",E272="Entrance culvert"),OR(G272&lt;SG_Criteria!$B$15,H272&lt;SG_Criteria!$B$16)),"FAIL: below PUB min "&amp;SG_Criteria!$B$15&amp;"x"&amp;SG_Criteria!$B$16&amp;" for roadside drain. ","")&amp;IF(AND(E272="Common drain",G272&lt;SG_Criteria!$B$17),"FAIL: common drain W &lt; "&amp;SG_Criteria!$B$17&amp;" mm. ","")&amp;IF(AND(O272&lt;&gt;"",IFERROR(VALUE(MID(O272,2,2)),0)&lt;SG_Criteria!$B$19),"FAIL: grade below C"&amp;SG_Criteria!$B$19&amp;". ","")&amp;IF(AND(P272&lt;&gt;"",P272&lt;SG_Criteria!$B$20),"FAIL: cover &lt; "&amp;SG_Criteria!$B$20&amp;" mm. ","")&amp;IF(AND(F272="Open",H272&gt;SG_Criteria!$B$18),"NOTE: safety railing required (D &gt; "&amp;SG_Criteria!$B$18&amp;" mm). ","")&amp;IF(AND(E272="Entrance culvert",H272&lt;600),"NOTE: check hinged grating rule for culverts &lt; 600 deep (PUB Add. 3). ","")))</f>
        <v/>
      </c>
      <c r="BF272" s="9"/>
      <c r="BG272" s="9"/>
      <c r="BH272" s="9"/>
      <c r="BI272" s="10" t="str">
        <f aca="false">IF(BH272="","",IFERROR(VLOOKUP(BH272,Projects!$A$5:$D$504,2,0),"Ref not in Projects"))</f>
        <v/>
      </c>
      <c r="BJ272" s="10" t="str">
        <f aca="false">IF(BH272="","",IFERROR(VLOOKUP(BH272,Projects!$A$5:$D$504,4,0),"Ref not in Projects"))</f>
        <v/>
      </c>
      <c r="BK272" s="9"/>
      <c r="BL272" s="9"/>
      <c r="BM272" s="9"/>
      <c r="BN272" s="40"/>
      <c r="BO272" s="9"/>
      <c r="BP272" s="40"/>
      <c r="BQ272" s="9"/>
      <c r="BR272" s="40"/>
      <c r="BS272" s="9"/>
      <c r="BT272" s="9"/>
      <c r="BU272" s="9"/>
      <c r="BV272" s="40"/>
      <c r="BW272" s="40"/>
      <c r="BX272" s="36" t="str">
        <f aca="false">IF(BW272="","",EDATE(BW272,SG_Criteria!$B$54*12))</f>
        <v/>
      </c>
      <c r="BY272" s="33" t="str">
        <f aca="true">IF(A272="","",IF(BW272="","NOTE: not reviewed yet",IF(TODAY()&gt;BX272,"NOTE: review overdue","OK")))</f>
        <v/>
      </c>
      <c r="BZ272" s="37" t="str">
        <f aca="false">IF(A272="","",ROUND((IF(LEN(D272)&gt;0,1,0)+IF(LEN(E272)&gt;0,1,0)+IF(LEN(F272)&gt;0,1,0)+IF(LEN(G272)&gt;0,1,0)+IF(LEN(H272)&gt;0,1,0)+IF(LEN(J272)&gt;0,1,0)+IF(LEN(K272)&gt;0,1,0)+IF(LEN(M272)&gt;0,1,0)+IF(LEN(O272)&gt;0,1,0)+IF(LEN(P272)&gt;0,1,0)+IF(LEN(Q272)&gt;0,1,0)+IF(LEN(S272)&gt;0,1,0)+IF(LEN(AC272)&gt;0,1,0)+IF(LEN(AV272)&gt;0,1,0)+IF(LEN(AW272)&gt;0,1,0)+IF(LEN(AG272)&gt;0,1,0)+IF(LEN(AI272)&gt;0,1,0)+IF(LEN(AJ272)&gt;0,1,0)+IF(LEN(AK272)&gt;0,1,0)+IF(LEN(AL272)&gt;0,1,0)+IF(LEN(AU272)&gt;0,1,0)+IF(LEN(BH272)&gt;0,1,0)+IF(LEN(BU272)&gt;0,1,0))/23,2))</f>
        <v/>
      </c>
      <c r="CA272" s="10" t="str">
        <f aca="false">IF(D272="","",IF(AND(AJ272="Approved",ISERROR(SEARCH("FAIL",BE272))),"Y","N"))</f>
        <v/>
      </c>
      <c r="CB272" s="10" t="str">
        <f aca="false">IF(D272="","",D272&amp;"|"&amp;G272&amp;"|"&amp;H272&amp;"|"&amp;M272&amp;"|"&amp;CA272)</f>
        <v/>
      </c>
    </row>
    <row r="273" customFormat="false" ht="15" hidden="false" customHeight="false" outlineLevel="0" collapsed="false">
      <c r="A273" s="10" t="str">
        <f aca="false">IF(D273="","","DRN-"&amp;IFERROR(VLOOKUP(D273,Lists!$A$4:$B$27,2,0),"??")&amp;"-"&amp;TEXT(G273,"0000")&amp;"x"&amp;TEXT(H273,"0000")&amp;IF(N(I273)&gt;1,"-"&amp;I273&amp;"C","")&amp;"-"&amp;IFERROR(VLOOKUP(M273,Lists!$J$4:$K$19,2,0),"??")&amp;"-"&amp;AI273)</f>
        <v/>
      </c>
      <c r="B273" s="10" t="str">
        <f aca="false">IF(D273="","",D273&amp;" "&amp;G273&amp;"W x "&amp;H273&amp;"D"&amp;IF(N(I273)&gt;1," ("&amp;I273&amp;" cells)","")&amp;", "&amp;E273&amp;", "&amp;M273&amp;", "&amp;F273)</f>
        <v/>
      </c>
      <c r="C273" s="9"/>
      <c r="D273" s="9"/>
      <c r="E273" s="9"/>
      <c r="F273" s="9"/>
      <c r="G273" s="38"/>
      <c r="H273" s="38"/>
      <c r="I273" s="38"/>
      <c r="J273" s="38"/>
      <c r="K273" s="38"/>
      <c r="L273" s="38"/>
      <c r="M273" s="9"/>
      <c r="N273" s="9"/>
      <c r="O273" s="9"/>
      <c r="P273" s="38"/>
      <c r="Q273" s="9"/>
      <c r="R273" s="9"/>
      <c r="S273" s="9"/>
      <c r="T273" s="9"/>
      <c r="U273" s="9"/>
      <c r="V273" s="9"/>
      <c r="W273" s="9"/>
      <c r="X273" s="9"/>
      <c r="Y273" s="9"/>
      <c r="Z273" s="9"/>
      <c r="AA273" s="9"/>
      <c r="AB273" s="39"/>
      <c r="AC273" s="9"/>
      <c r="AD273" s="38"/>
      <c r="AE273" s="9"/>
      <c r="AF273" s="39"/>
      <c r="AG273" s="9"/>
      <c r="AH273" s="9"/>
      <c r="AI273" s="9"/>
      <c r="AJ273" s="9"/>
      <c r="AK273" s="9"/>
      <c r="AL273" s="9"/>
      <c r="AM273" s="9"/>
      <c r="AN273" s="10" t="str">
        <f aca="false">IF(A273="","",SG_Criteria!$B$6&amp;SG_Criteria!$B$7&amp;"\"&amp;A273&amp;"\")</f>
        <v/>
      </c>
      <c r="AO273" s="10" t="str">
        <f aca="false">IF(A273="","",A273&amp;"_CAD.dwg")</f>
        <v/>
      </c>
      <c r="AP273" s="10" t="str">
        <f aca="false">IF(A273="","",A273&amp;"_DWG.pdf")</f>
        <v/>
      </c>
      <c r="AQ273" s="10" t="str">
        <f aca="false">IF(A273="","",IF(AM273="Y",A273&amp;"_STAAD.std","n/a"))</f>
        <v/>
      </c>
      <c r="AR273" s="10" t="str">
        <f aca="false">IF(A273="","",A273&amp;"_CALC.xlsx")</f>
        <v/>
      </c>
      <c r="AS273" s="10" t="str">
        <f aca="false">IF(A273="","",A273&amp;"_CALC.pdf")</f>
        <v/>
      </c>
      <c r="AT273" s="9"/>
      <c r="AU273" s="9"/>
      <c r="AV273" s="39"/>
      <c r="AW273" s="39"/>
      <c r="AX273" s="39"/>
      <c r="AY273" s="39"/>
      <c r="AZ273" s="39"/>
      <c r="BA273" s="12" t="str">
        <f aca="false">IF(A273="","",IF(COUNTIF(Rebar_Schedule!$A$5:$A$2004,A273)=0,"",ROUND(SUMIF(Rebar_Schedule!$A$5:$A$2004,A273,Rebar_Schedule!$K$5:$K$2004),1)))</f>
        <v/>
      </c>
      <c r="BB273" s="33" t="str">
        <f aca="false">IF(A273="","",IF(BA273="","No rebar schedule yet",IF(ABS(BA273-N(AW273))/MAX(N(AW273),1)&gt;SG_Criteria!$B$55,"NOTE: register rebar differs from schedule by "&amp;TEXT(ABS(BA273-N(AW273))/MAX(N(AW273),1),"0%"),"OK")))</f>
        <v/>
      </c>
      <c r="BC273" s="34" t="str">
        <f aca="false">IF(OR(D273="",G273="",H273="",D273="Sump",D273="Drop Inlet Chamber",D273="Silt Trap",D273="Pipe Culvert",D273="Subsoil Drain"),"",ROUND(MAX(1,N(I273))*(1/SG_Criteria!$B$26)*((G273/1000)*(H273/1000*(1-SG_Criteria!$B$25)))*(((G273/1000)*(H273/1000*(1-SG_Criteria!$B$25)))/((G273/1000)+2*(H273/1000*(1-SG_Criteria!$B$25))))^(2/3)*(1/Design_Selector!$B$11)^0.5,3))</f>
        <v/>
      </c>
      <c r="BD273" s="11" t="str">
        <f aca="false">IF(BC273="","",ROUND(BC273/(MAX(1,N(I273))*G273/1000*(H273/1000*(1-SG_Criteria!$B$25))),2))</f>
        <v/>
      </c>
      <c r="BE273" s="33" t="str">
        <f aca="false">IF(D273="","",IF(LEN(IF(AND(OR(E273="Roadside drain",E273="Entrance culvert"),OR(G273&lt;SG_Criteria!$B$15,H273&lt;SG_Criteria!$B$16)),"FAIL: below PUB min "&amp;SG_Criteria!$B$15&amp;"x"&amp;SG_Criteria!$B$16&amp;" for roadside drain. ","")&amp;IF(AND(E273="Common drain",G273&lt;SG_Criteria!$B$17),"FAIL: common drain W &lt; "&amp;SG_Criteria!$B$17&amp;" mm. ","")&amp;IF(AND(O273&lt;&gt;"",IFERROR(VALUE(MID(O273,2,2)),0)&lt;SG_Criteria!$B$19),"FAIL: grade below C"&amp;SG_Criteria!$B$19&amp;". ","")&amp;IF(AND(P273&lt;&gt;"",P273&lt;SG_Criteria!$B$20),"FAIL: cover &lt; "&amp;SG_Criteria!$B$20&amp;" mm. ","")&amp;IF(AND(F273="Open",H273&gt;SG_Criteria!$B$18),"NOTE: safety railing required (D &gt; "&amp;SG_Criteria!$B$18&amp;" mm). ","")&amp;IF(AND(E273="Entrance culvert",H273&lt;600),"NOTE: check hinged grating rule for culverts &lt; 600 deep (PUB Add. 3). ",""))=0,"OK",IF(AND(OR(E273="Roadside drain",E273="Entrance culvert"),OR(G273&lt;SG_Criteria!$B$15,H273&lt;SG_Criteria!$B$16)),"FAIL: below PUB min "&amp;SG_Criteria!$B$15&amp;"x"&amp;SG_Criteria!$B$16&amp;" for roadside drain. ","")&amp;IF(AND(E273="Common drain",G273&lt;SG_Criteria!$B$17),"FAIL: common drain W &lt; "&amp;SG_Criteria!$B$17&amp;" mm. ","")&amp;IF(AND(O273&lt;&gt;"",IFERROR(VALUE(MID(O273,2,2)),0)&lt;SG_Criteria!$B$19),"FAIL: grade below C"&amp;SG_Criteria!$B$19&amp;". ","")&amp;IF(AND(P273&lt;&gt;"",P273&lt;SG_Criteria!$B$20),"FAIL: cover &lt; "&amp;SG_Criteria!$B$20&amp;" mm. ","")&amp;IF(AND(F273="Open",H273&gt;SG_Criteria!$B$18),"NOTE: safety railing required (D &gt; "&amp;SG_Criteria!$B$18&amp;" mm). ","")&amp;IF(AND(E273="Entrance culvert",H273&lt;600),"NOTE: check hinged grating rule for culverts &lt; 600 deep (PUB Add. 3). ","")))</f>
        <v/>
      </c>
      <c r="BF273" s="9"/>
      <c r="BG273" s="9"/>
      <c r="BH273" s="9"/>
      <c r="BI273" s="10" t="str">
        <f aca="false">IF(BH273="","",IFERROR(VLOOKUP(BH273,Projects!$A$5:$D$504,2,0),"Ref not in Projects"))</f>
        <v/>
      </c>
      <c r="BJ273" s="10" t="str">
        <f aca="false">IF(BH273="","",IFERROR(VLOOKUP(BH273,Projects!$A$5:$D$504,4,0),"Ref not in Projects"))</f>
        <v/>
      </c>
      <c r="BK273" s="9"/>
      <c r="BL273" s="9"/>
      <c r="BM273" s="9"/>
      <c r="BN273" s="40"/>
      <c r="BO273" s="9"/>
      <c r="BP273" s="40"/>
      <c r="BQ273" s="9"/>
      <c r="BR273" s="40"/>
      <c r="BS273" s="9"/>
      <c r="BT273" s="9"/>
      <c r="BU273" s="9"/>
      <c r="BV273" s="40"/>
      <c r="BW273" s="40"/>
      <c r="BX273" s="36" t="str">
        <f aca="false">IF(BW273="","",EDATE(BW273,SG_Criteria!$B$54*12))</f>
        <v/>
      </c>
      <c r="BY273" s="33" t="str">
        <f aca="true">IF(A273="","",IF(BW273="","NOTE: not reviewed yet",IF(TODAY()&gt;BX273,"NOTE: review overdue","OK")))</f>
        <v/>
      </c>
      <c r="BZ273" s="37" t="str">
        <f aca="false">IF(A273="","",ROUND((IF(LEN(D273)&gt;0,1,0)+IF(LEN(E273)&gt;0,1,0)+IF(LEN(F273)&gt;0,1,0)+IF(LEN(G273)&gt;0,1,0)+IF(LEN(H273)&gt;0,1,0)+IF(LEN(J273)&gt;0,1,0)+IF(LEN(K273)&gt;0,1,0)+IF(LEN(M273)&gt;0,1,0)+IF(LEN(O273)&gt;0,1,0)+IF(LEN(P273)&gt;0,1,0)+IF(LEN(Q273)&gt;0,1,0)+IF(LEN(S273)&gt;0,1,0)+IF(LEN(AC273)&gt;0,1,0)+IF(LEN(AV273)&gt;0,1,0)+IF(LEN(AW273)&gt;0,1,0)+IF(LEN(AG273)&gt;0,1,0)+IF(LEN(AI273)&gt;0,1,0)+IF(LEN(AJ273)&gt;0,1,0)+IF(LEN(AK273)&gt;0,1,0)+IF(LEN(AL273)&gt;0,1,0)+IF(LEN(AU273)&gt;0,1,0)+IF(LEN(BH273)&gt;0,1,0)+IF(LEN(BU273)&gt;0,1,0))/23,2))</f>
        <v/>
      </c>
      <c r="CA273" s="10" t="str">
        <f aca="false">IF(D273="","",IF(AND(AJ273="Approved",ISERROR(SEARCH("FAIL",BE273))),"Y","N"))</f>
        <v/>
      </c>
      <c r="CB273" s="10" t="str">
        <f aca="false">IF(D273="","",D273&amp;"|"&amp;G273&amp;"|"&amp;H273&amp;"|"&amp;M273&amp;"|"&amp;CA273)</f>
        <v/>
      </c>
    </row>
    <row r="274" customFormat="false" ht="15" hidden="false" customHeight="false" outlineLevel="0" collapsed="false">
      <c r="A274" s="10" t="str">
        <f aca="false">IF(D274="","","DRN-"&amp;IFERROR(VLOOKUP(D274,Lists!$A$4:$B$27,2,0),"??")&amp;"-"&amp;TEXT(G274,"0000")&amp;"x"&amp;TEXT(H274,"0000")&amp;IF(N(I274)&gt;1,"-"&amp;I274&amp;"C","")&amp;"-"&amp;IFERROR(VLOOKUP(M274,Lists!$J$4:$K$19,2,0),"??")&amp;"-"&amp;AI274)</f>
        <v/>
      </c>
      <c r="B274" s="10" t="str">
        <f aca="false">IF(D274="","",D274&amp;" "&amp;G274&amp;"W x "&amp;H274&amp;"D"&amp;IF(N(I274)&gt;1," ("&amp;I274&amp;" cells)","")&amp;", "&amp;E274&amp;", "&amp;M274&amp;", "&amp;F274)</f>
        <v/>
      </c>
      <c r="C274" s="9"/>
      <c r="D274" s="9"/>
      <c r="E274" s="9"/>
      <c r="F274" s="9"/>
      <c r="G274" s="38"/>
      <c r="H274" s="38"/>
      <c r="I274" s="38"/>
      <c r="J274" s="38"/>
      <c r="K274" s="38"/>
      <c r="L274" s="38"/>
      <c r="M274" s="9"/>
      <c r="N274" s="9"/>
      <c r="O274" s="9"/>
      <c r="P274" s="38"/>
      <c r="Q274" s="9"/>
      <c r="R274" s="9"/>
      <c r="S274" s="9"/>
      <c r="T274" s="9"/>
      <c r="U274" s="9"/>
      <c r="V274" s="9"/>
      <c r="W274" s="9"/>
      <c r="X274" s="9"/>
      <c r="Y274" s="9"/>
      <c r="Z274" s="9"/>
      <c r="AA274" s="9"/>
      <c r="AB274" s="39"/>
      <c r="AC274" s="9"/>
      <c r="AD274" s="38"/>
      <c r="AE274" s="9"/>
      <c r="AF274" s="39"/>
      <c r="AG274" s="9"/>
      <c r="AH274" s="9"/>
      <c r="AI274" s="9"/>
      <c r="AJ274" s="9"/>
      <c r="AK274" s="9"/>
      <c r="AL274" s="9"/>
      <c r="AM274" s="9"/>
      <c r="AN274" s="10" t="str">
        <f aca="false">IF(A274="","",SG_Criteria!$B$6&amp;SG_Criteria!$B$7&amp;"\"&amp;A274&amp;"\")</f>
        <v/>
      </c>
      <c r="AO274" s="10" t="str">
        <f aca="false">IF(A274="","",A274&amp;"_CAD.dwg")</f>
        <v/>
      </c>
      <c r="AP274" s="10" t="str">
        <f aca="false">IF(A274="","",A274&amp;"_DWG.pdf")</f>
        <v/>
      </c>
      <c r="AQ274" s="10" t="str">
        <f aca="false">IF(A274="","",IF(AM274="Y",A274&amp;"_STAAD.std","n/a"))</f>
        <v/>
      </c>
      <c r="AR274" s="10" t="str">
        <f aca="false">IF(A274="","",A274&amp;"_CALC.xlsx")</f>
        <v/>
      </c>
      <c r="AS274" s="10" t="str">
        <f aca="false">IF(A274="","",A274&amp;"_CALC.pdf")</f>
        <v/>
      </c>
      <c r="AT274" s="9"/>
      <c r="AU274" s="9"/>
      <c r="AV274" s="39"/>
      <c r="AW274" s="39"/>
      <c r="AX274" s="39"/>
      <c r="AY274" s="39"/>
      <c r="AZ274" s="39"/>
      <c r="BA274" s="12" t="str">
        <f aca="false">IF(A274="","",IF(COUNTIF(Rebar_Schedule!$A$5:$A$2004,A274)=0,"",ROUND(SUMIF(Rebar_Schedule!$A$5:$A$2004,A274,Rebar_Schedule!$K$5:$K$2004),1)))</f>
        <v/>
      </c>
      <c r="BB274" s="33" t="str">
        <f aca="false">IF(A274="","",IF(BA274="","No rebar schedule yet",IF(ABS(BA274-N(AW274))/MAX(N(AW274),1)&gt;SG_Criteria!$B$55,"NOTE: register rebar differs from schedule by "&amp;TEXT(ABS(BA274-N(AW274))/MAX(N(AW274),1),"0%"),"OK")))</f>
        <v/>
      </c>
      <c r="BC274" s="34" t="str">
        <f aca="false">IF(OR(D274="",G274="",H274="",D274="Sump",D274="Drop Inlet Chamber",D274="Silt Trap",D274="Pipe Culvert",D274="Subsoil Drain"),"",ROUND(MAX(1,N(I274))*(1/SG_Criteria!$B$26)*((G274/1000)*(H274/1000*(1-SG_Criteria!$B$25)))*(((G274/1000)*(H274/1000*(1-SG_Criteria!$B$25)))/((G274/1000)+2*(H274/1000*(1-SG_Criteria!$B$25))))^(2/3)*(1/Design_Selector!$B$11)^0.5,3))</f>
        <v/>
      </c>
      <c r="BD274" s="11" t="str">
        <f aca="false">IF(BC274="","",ROUND(BC274/(MAX(1,N(I274))*G274/1000*(H274/1000*(1-SG_Criteria!$B$25))),2))</f>
        <v/>
      </c>
      <c r="BE274" s="33" t="str">
        <f aca="false">IF(D274="","",IF(LEN(IF(AND(OR(E274="Roadside drain",E274="Entrance culvert"),OR(G274&lt;SG_Criteria!$B$15,H274&lt;SG_Criteria!$B$16)),"FAIL: below PUB min "&amp;SG_Criteria!$B$15&amp;"x"&amp;SG_Criteria!$B$16&amp;" for roadside drain. ","")&amp;IF(AND(E274="Common drain",G274&lt;SG_Criteria!$B$17),"FAIL: common drain W &lt; "&amp;SG_Criteria!$B$17&amp;" mm. ","")&amp;IF(AND(O274&lt;&gt;"",IFERROR(VALUE(MID(O274,2,2)),0)&lt;SG_Criteria!$B$19),"FAIL: grade below C"&amp;SG_Criteria!$B$19&amp;". ","")&amp;IF(AND(P274&lt;&gt;"",P274&lt;SG_Criteria!$B$20),"FAIL: cover &lt; "&amp;SG_Criteria!$B$20&amp;" mm. ","")&amp;IF(AND(F274="Open",H274&gt;SG_Criteria!$B$18),"NOTE: safety railing required (D &gt; "&amp;SG_Criteria!$B$18&amp;" mm). ","")&amp;IF(AND(E274="Entrance culvert",H274&lt;600),"NOTE: check hinged grating rule for culverts &lt; 600 deep (PUB Add. 3). ",""))=0,"OK",IF(AND(OR(E274="Roadside drain",E274="Entrance culvert"),OR(G274&lt;SG_Criteria!$B$15,H274&lt;SG_Criteria!$B$16)),"FAIL: below PUB min "&amp;SG_Criteria!$B$15&amp;"x"&amp;SG_Criteria!$B$16&amp;" for roadside drain. ","")&amp;IF(AND(E274="Common drain",G274&lt;SG_Criteria!$B$17),"FAIL: common drain W &lt; "&amp;SG_Criteria!$B$17&amp;" mm. ","")&amp;IF(AND(O274&lt;&gt;"",IFERROR(VALUE(MID(O274,2,2)),0)&lt;SG_Criteria!$B$19),"FAIL: grade below C"&amp;SG_Criteria!$B$19&amp;". ","")&amp;IF(AND(P274&lt;&gt;"",P274&lt;SG_Criteria!$B$20),"FAIL: cover &lt; "&amp;SG_Criteria!$B$20&amp;" mm. ","")&amp;IF(AND(F274="Open",H274&gt;SG_Criteria!$B$18),"NOTE: safety railing required (D &gt; "&amp;SG_Criteria!$B$18&amp;" mm). ","")&amp;IF(AND(E274="Entrance culvert",H274&lt;600),"NOTE: check hinged grating rule for culverts &lt; 600 deep (PUB Add. 3). ","")))</f>
        <v/>
      </c>
      <c r="BF274" s="9"/>
      <c r="BG274" s="9"/>
      <c r="BH274" s="9"/>
      <c r="BI274" s="10" t="str">
        <f aca="false">IF(BH274="","",IFERROR(VLOOKUP(BH274,Projects!$A$5:$D$504,2,0),"Ref not in Projects"))</f>
        <v/>
      </c>
      <c r="BJ274" s="10" t="str">
        <f aca="false">IF(BH274="","",IFERROR(VLOOKUP(BH274,Projects!$A$5:$D$504,4,0),"Ref not in Projects"))</f>
        <v/>
      </c>
      <c r="BK274" s="9"/>
      <c r="BL274" s="9"/>
      <c r="BM274" s="9"/>
      <c r="BN274" s="40"/>
      <c r="BO274" s="9"/>
      <c r="BP274" s="40"/>
      <c r="BQ274" s="9"/>
      <c r="BR274" s="40"/>
      <c r="BS274" s="9"/>
      <c r="BT274" s="9"/>
      <c r="BU274" s="9"/>
      <c r="BV274" s="40"/>
      <c r="BW274" s="40"/>
      <c r="BX274" s="36" t="str">
        <f aca="false">IF(BW274="","",EDATE(BW274,SG_Criteria!$B$54*12))</f>
        <v/>
      </c>
      <c r="BY274" s="33" t="str">
        <f aca="true">IF(A274="","",IF(BW274="","NOTE: not reviewed yet",IF(TODAY()&gt;BX274,"NOTE: review overdue","OK")))</f>
        <v/>
      </c>
      <c r="BZ274" s="37" t="str">
        <f aca="false">IF(A274="","",ROUND((IF(LEN(D274)&gt;0,1,0)+IF(LEN(E274)&gt;0,1,0)+IF(LEN(F274)&gt;0,1,0)+IF(LEN(G274)&gt;0,1,0)+IF(LEN(H274)&gt;0,1,0)+IF(LEN(J274)&gt;0,1,0)+IF(LEN(K274)&gt;0,1,0)+IF(LEN(M274)&gt;0,1,0)+IF(LEN(O274)&gt;0,1,0)+IF(LEN(P274)&gt;0,1,0)+IF(LEN(Q274)&gt;0,1,0)+IF(LEN(S274)&gt;0,1,0)+IF(LEN(AC274)&gt;0,1,0)+IF(LEN(AV274)&gt;0,1,0)+IF(LEN(AW274)&gt;0,1,0)+IF(LEN(AG274)&gt;0,1,0)+IF(LEN(AI274)&gt;0,1,0)+IF(LEN(AJ274)&gt;0,1,0)+IF(LEN(AK274)&gt;0,1,0)+IF(LEN(AL274)&gt;0,1,0)+IF(LEN(AU274)&gt;0,1,0)+IF(LEN(BH274)&gt;0,1,0)+IF(LEN(BU274)&gt;0,1,0))/23,2))</f>
        <v/>
      </c>
      <c r="CA274" s="10" t="str">
        <f aca="false">IF(D274="","",IF(AND(AJ274="Approved",ISERROR(SEARCH("FAIL",BE274))),"Y","N"))</f>
        <v/>
      </c>
      <c r="CB274" s="10" t="str">
        <f aca="false">IF(D274="","",D274&amp;"|"&amp;G274&amp;"|"&amp;H274&amp;"|"&amp;M274&amp;"|"&amp;CA274)</f>
        <v/>
      </c>
    </row>
    <row r="275" customFormat="false" ht="15" hidden="false" customHeight="false" outlineLevel="0" collapsed="false">
      <c r="A275" s="10" t="str">
        <f aca="false">IF(D275="","","DRN-"&amp;IFERROR(VLOOKUP(D275,Lists!$A$4:$B$27,2,0),"??")&amp;"-"&amp;TEXT(G275,"0000")&amp;"x"&amp;TEXT(H275,"0000")&amp;IF(N(I275)&gt;1,"-"&amp;I275&amp;"C","")&amp;"-"&amp;IFERROR(VLOOKUP(M275,Lists!$J$4:$K$19,2,0),"??")&amp;"-"&amp;AI275)</f>
        <v/>
      </c>
      <c r="B275" s="10" t="str">
        <f aca="false">IF(D275="","",D275&amp;" "&amp;G275&amp;"W x "&amp;H275&amp;"D"&amp;IF(N(I275)&gt;1," ("&amp;I275&amp;" cells)","")&amp;", "&amp;E275&amp;", "&amp;M275&amp;", "&amp;F275)</f>
        <v/>
      </c>
      <c r="C275" s="9"/>
      <c r="D275" s="9"/>
      <c r="E275" s="9"/>
      <c r="F275" s="9"/>
      <c r="G275" s="38"/>
      <c r="H275" s="38"/>
      <c r="I275" s="38"/>
      <c r="J275" s="38"/>
      <c r="K275" s="38"/>
      <c r="L275" s="38"/>
      <c r="M275" s="9"/>
      <c r="N275" s="9"/>
      <c r="O275" s="9"/>
      <c r="P275" s="38"/>
      <c r="Q275" s="9"/>
      <c r="R275" s="9"/>
      <c r="S275" s="9"/>
      <c r="T275" s="9"/>
      <c r="U275" s="9"/>
      <c r="V275" s="9"/>
      <c r="W275" s="9"/>
      <c r="X275" s="9"/>
      <c r="Y275" s="9"/>
      <c r="Z275" s="9"/>
      <c r="AA275" s="9"/>
      <c r="AB275" s="39"/>
      <c r="AC275" s="9"/>
      <c r="AD275" s="38"/>
      <c r="AE275" s="9"/>
      <c r="AF275" s="39"/>
      <c r="AG275" s="9"/>
      <c r="AH275" s="9"/>
      <c r="AI275" s="9"/>
      <c r="AJ275" s="9"/>
      <c r="AK275" s="9"/>
      <c r="AL275" s="9"/>
      <c r="AM275" s="9"/>
      <c r="AN275" s="10" t="str">
        <f aca="false">IF(A275="","",SG_Criteria!$B$6&amp;SG_Criteria!$B$7&amp;"\"&amp;A275&amp;"\")</f>
        <v/>
      </c>
      <c r="AO275" s="10" t="str">
        <f aca="false">IF(A275="","",A275&amp;"_CAD.dwg")</f>
        <v/>
      </c>
      <c r="AP275" s="10" t="str">
        <f aca="false">IF(A275="","",A275&amp;"_DWG.pdf")</f>
        <v/>
      </c>
      <c r="AQ275" s="10" t="str">
        <f aca="false">IF(A275="","",IF(AM275="Y",A275&amp;"_STAAD.std","n/a"))</f>
        <v/>
      </c>
      <c r="AR275" s="10" t="str">
        <f aca="false">IF(A275="","",A275&amp;"_CALC.xlsx")</f>
        <v/>
      </c>
      <c r="AS275" s="10" t="str">
        <f aca="false">IF(A275="","",A275&amp;"_CALC.pdf")</f>
        <v/>
      </c>
      <c r="AT275" s="9"/>
      <c r="AU275" s="9"/>
      <c r="AV275" s="39"/>
      <c r="AW275" s="39"/>
      <c r="AX275" s="39"/>
      <c r="AY275" s="39"/>
      <c r="AZ275" s="39"/>
      <c r="BA275" s="12" t="str">
        <f aca="false">IF(A275="","",IF(COUNTIF(Rebar_Schedule!$A$5:$A$2004,A275)=0,"",ROUND(SUMIF(Rebar_Schedule!$A$5:$A$2004,A275,Rebar_Schedule!$K$5:$K$2004),1)))</f>
        <v/>
      </c>
      <c r="BB275" s="33" t="str">
        <f aca="false">IF(A275="","",IF(BA275="","No rebar schedule yet",IF(ABS(BA275-N(AW275))/MAX(N(AW275),1)&gt;SG_Criteria!$B$55,"NOTE: register rebar differs from schedule by "&amp;TEXT(ABS(BA275-N(AW275))/MAX(N(AW275),1),"0%"),"OK")))</f>
        <v/>
      </c>
      <c r="BC275" s="34" t="str">
        <f aca="false">IF(OR(D275="",G275="",H275="",D275="Sump",D275="Drop Inlet Chamber",D275="Silt Trap",D275="Pipe Culvert",D275="Subsoil Drain"),"",ROUND(MAX(1,N(I275))*(1/SG_Criteria!$B$26)*((G275/1000)*(H275/1000*(1-SG_Criteria!$B$25)))*(((G275/1000)*(H275/1000*(1-SG_Criteria!$B$25)))/((G275/1000)+2*(H275/1000*(1-SG_Criteria!$B$25))))^(2/3)*(1/Design_Selector!$B$11)^0.5,3))</f>
        <v/>
      </c>
      <c r="BD275" s="11" t="str">
        <f aca="false">IF(BC275="","",ROUND(BC275/(MAX(1,N(I275))*G275/1000*(H275/1000*(1-SG_Criteria!$B$25))),2))</f>
        <v/>
      </c>
      <c r="BE275" s="33" t="str">
        <f aca="false">IF(D275="","",IF(LEN(IF(AND(OR(E275="Roadside drain",E275="Entrance culvert"),OR(G275&lt;SG_Criteria!$B$15,H275&lt;SG_Criteria!$B$16)),"FAIL: below PUB min "&amp;SG_Criteria!$B$15&amp;"x"&amp;SG_Criteria!$B$16&amp;" for roadside drain. ","")&amp;IF(AND(E275="Common drain",G275&lt;SG_Criteria!$B$17),"FAIL: common drain W &lt; "&amp;SG_Criteria!$B$17&amp;" mm. ","")&amp;IF(AND(O275&lt;&gt;"",IFERROR(VALUE(MID(O275,2,2)),0)&lt;SG_Criteria!$B$19),"FAIL: grade below C"&amp;SG_Criteria!$B$19&amp;". ","")&amp;IF(AND(P275&lt;&gt;"",P275&lt;SG_Criteria!$B$20),"FAIL: cover &lt; "&amp;SG_Criteria!$B$20&amp;" mm. ","")&amp;IF(AND(F275="Open",H275&gt;SG_Criteria!$B$18),"NOTE: safety railing required (D &gt; "&amp;SG_Criteria!$B$18&amp;" mm). ","")&amp;IF(AND(E275="Entrance culvert",H275&lt;600),"NOTE: check hinged grating rule for culverts &lt; 600 deep (PUB Add. 3). ",""))=0,"OK",IF(AND(OR(E275="Roadside drain",E275="Entrance culvert"),OR(G275&lt;SG_Criteria!$B$15,H275&lt;SG_Criteria!$B$16)),"FAIL: below PUB min "&amp;SG_Criteria!$B$15&amp;"x"&amp;SG_Criteria!$B$16&amp;" for roadside drain. ","")&amp;IF(AND(E275="Common drain",G275&lt;SG_Criteria!$B$17),"FAIL: common drain W &lt; "&amp;SG_Criteria!$B$17&amp;" mm. ","")&amp;IF(AND(O275&lt;&gt;"",IFERROR(VALUE(MID(O275,2,2)),0)&lt;SG_Criteria!$B$19),"FAIL: grade below C"&amp;SG_Criteria!$B$19&amp;". ","")&amp;IF(AND(P275&lt;&gt;"",P275&lt;SG_Criteria!$B$20),"FAIL: cover &lt; "&amp;SG_Criteria!$B$20&amp;" mm. ","")&amp;IF(AND(F275="Open",H275&gt;SG_Criteria!$B$18),"NOTE: safety railing required (D &gt; "&amp;SG_Criteria!$B$18&amp;" mm). ","")&amp;IF(AND(E275="Entrance culvert",H275&lt;600),"NOTE: check hinged grating rule for culverts &lt; 600 deep (PUB Add. 3). ","")))</f>
        <v/>
      </c>
      <c r="BF275" s="9"/>
      <c r="BG275" s="9"/>
      <c r="BH275" s="9"/>
      <c r="BI275" s="10" t="str">
        <f aca="false">IF(BH275="","",IFERROR(VLOOKUP(BH275,Projects!$A$5:$D$504,2,0),"Ref not in Projects"))</f>
        <v/>
      </c>
      <c r="BJ275" s="10" t="str">
        <f aca="false">IF(BH275="","",IFERROR(VLOOKUP(BH275,Projects!$A$5:$D$504,4,0),"Ref not in Projects"))</f>
        <v/>
      </c>
      <c r="BK275" s="9"/>
      <c r="BL275" s="9"/>
      <c r="BM275" s="9"/>
      <c r="BN275" s="40"/>
      <c r="BO275" s="9"/>
      <c r="BP275" s="40"/>
      <c r="BQ275" s="9"/>
      <c r="BR275" s="40"/>
      <c r="BS275" s="9"/>
      <c r="BT275" s="9"/>
      <c r="BU275" s="9"/>
      <c r="BV275" s="40"/>
      <c r="BW275" s="40"/>
      <c r="BX275" s="36" t="str">
        <f aca="false">IF(BW275="","",EDATE(BW275,SG_Criteria!$B$54*12))</f>
        <v/>
      </c>
      <c r="BY275" s="33" t="str">
        <f aca="true">IF(A275="","",IF(BW275="","NOTE: not reviewed yet",IF(TODAY()&gt;BX275,"NOTE: review overdue","OK")))</f>
        <v/>
      </c>
      <c r="BZ275" s="37" t="str">
        <f aca="false">IF(A275="","",ROUND((IF(LEN(D275)&gt;0,1,0)+IF(LEN(E275)&gt;0,1,0)+IF(LEN(F275)&gt;0,1,0)+IF(LEN(G275)&gt;0,1,0)+IF(LEN(H275)&gt;0,1,0)+IF(LEN(J275)&gt;0,1,0)+IF(LEN(K275)&gt;0,1,0)+IF(LEN(M275)&gt;0,1,0)+IF(LEN(O275)&gt;0,1,0)+IF(LEN(P275)&gt;0,1,0)+IF(LEN(Q275)&gt;0,1,0)+IF(LEN(S275)&gt;0,1,0)+IF(LEN(AC275)&gt;0,1,0)+IF(LEN(AV275)&gt;0,1,0)+IF(LEN(AW275)&gt;0,1,0)+IF(LEN(AG275)&gt;0,1,0)+IF(LEN(AI275)&gt;0,1,0)+IF(LEN(AJ275)&gt;0,1,0)+IF(LEN(AK275)&gt;0,1,0)+IF(LEN(AL275)&gt;0,1,0)+IF(LEN(AU275)&gt;0,1,0)+IF(LEN(BH275)&gt;0,1,0)+IF(LEN(BU275)&gt;0,1,0))/23,2))</f>
        <v/>
      </c>
      <c r="CA275" s="10" t="str">
        <f aca="false">IF(D275="","",IF(AND(AJ275="Approved",ISERROR(SEARCH("FAIL",BE275))),"Y","N"))</f>
        <v/>
      </c>
      <c r="CB275" s="10" t="str">
        <f aca="false">IF(D275="","",D275&amp;"|"&amp;G275&amp;"|"&amp;H275&amp;"|"&amp;M275&amp;"|"&amp;CA275)</f>
        <v/>
      </c>
    </row>
    <row r="276" customFormat="false" ht="15" hidden="false" customHeight="false" outlineLevel="0" collapsed="false">
      <c r="A276" s="10" t="str">
        <f aca="false">IF(D276="","","DRN-"&amp;IFERROR(VLOOKUP(D276,Lists!$A$4:$B$27,2,0),"??")&amp;"-"&amp;TEXT(G276,"0000")&amp;"x"&amp;TEXT(H276,"0000")&amp;IF(N(I276)&gt;1,"-"&amp;I276&amp;"C","")&amp;"-"&amp;IFERROR(VLOOKUP(M276,Lists!$J$4:$K$19,2,0),"??")&amp;"-"&amp;AI276)</f>
        <v/>
      </c>
      <c r="B276" s="10" t="str">
        <f aca="false">IF(D276="","",D276&amp;" "&amp;G276&amp;"W x "&amp;H276&amp;"D"&amp;IF(N(I276)&gt;1," ("&amp;I276&amp;" cells)","")&amp;", "&amp;E276&amp;", "&amp;M276&amp;", "&amp;F276)</f>
        <v/>
      </c>
      <c r="C276" s="9"/>
      <c r="D276" s="9"/>
      <c r="E276" s="9"/>
      <c r="F276" s="9"/>
      <c r="G276" s="38"/>
      <c r="H276" s="38"/>
      <c r="I276" s="38"/>
      <c r="J276" s="38"/>
      <c r="K276" s="38"/>
      <c r="L276" s="38"/>
      <c r="M276" s="9"/>
      <c r="N276" s="9"/>
      <c r="O276" s="9"/>
      <c r="P276" s="38"/>
      <c r="Q276" s="9"/>
      <c r="R276" s="9"/>
      <c r="S276" s="9"/>
      <c r="T276" s="9"/>
      <c r="U276" s="9"/>
      <c r="V276" s="9"/>
      <c r="W276" s="9"/>
      <c r="X276" s="9"/>
      <c r="Y276" s="9"/>
      <c r="Z276" s="9"/>
      <c r="AA276" s="9"/>
      <c r="AB276" s="39"/>
      <c r="AC276" s="9"/>
      <c r="AD276" s="38"/>
      <c r="AE276" s="9"/>
      <c r="AF276" s="39"/>
      <c r="AG276" s="9"/>
      <c r="AH276" s="9"/>
      <c r="AI276" s="9"/>
      <c r="AJ276" s="9"/>
      <c r="AK276" s="9"/>
      <c r="AL276" s="9"/>
      <c r="AM276" s="9"/>
      <c r="AN276" s="10" t="str">
        <f aca="false">IF(A276="","",SG_Criteria!$B$6&amp;SG_Criteria!$B$7&amp;"\"&amp;A276&amp;"\")</f>
        <v/>
      </c>
      <c r="AO276" s="10" t="str">
        <f aca="false">IF(A276="","",A276&amp;"_CAD.dwg")</f>
        <v/>
      </c>
      <c r="AP276" s="10" t="str">
        <f aca="false">IF(A276="","",A276&amp;"_DWG.pdf")</f>
        <v/>
      </c>
      <c r="AQ276" s="10" t="str">
        <f aca="false">IF(A276="","",IF(AM276="Y",A276&amp;"_STAAD.std","n/a"))</f>
        <v/>
      </c>
      <c r="AR276" s="10" t="str">
        <f aca="false">IF(A276="","",A276&amp;"_CALC.xlsx")</f>
        <v/>
      </c>
      <c r="AS276" s="10" t="str">
        <f aca="false">IF(A276="","",A276&amp;"_CALC.pdf")</f>
        <v/>
      </c>
      <c r="AT276" s="9"/>
      <c r="AU276" s="9"/>
      <c r="AV276" s="39"/>
      <c r="AW276" s="39"/>
      <c r="AX276" s="39"/>
      <c r="AY276" s="39"/>
      <c r="AZ276" s="39"/>
      <c r="BA276" s="12" t="str">
        <f aca="false">IF(A276="","",IF(COUNTIF(Rebar_Schedule!$A$5:$A$2004,A276)=0,"",ROUND(SUMIF(Rebar_Schedule!$A$5:$A$2004,A276,Rebar_Schedule!$K$5:$K$2004),1)))</f>
        <v/>
      </c>
      <c r="BB276" s="33" t="str">
        <f aca="false">IF(A276="","",IF(BA276="","No rebar schedule yet",IF(ABS(BA276-N(AW276))/MAX(N(AW276),1)&gt;SG_Criteria!$B$55,"NOTE: register rebar differs from schedule by "&amp;TEXT(ABS(BA276-N(AW276))/MAX(N(AW276),1),"0%"),"OK")))</f>
        <v/>
      </c>
      <c r="BC276" s="34" t="str">
        <f aca="false">IF(OR(D276="",G276="",H276="",D276="Sump",D276="Drop Inlet Chamber",D276="Silt Trap",D276="Pipe Culvert",D276="Subsoil Drain"),"",ROUND(MAX(1,N(I276))*(1/SG_Criteria!$B$26)*((G276/1000)*(H276/1000*(1-SG_Criteria!$B$25)))*(((G276/1000)*(H276/1000*(1-SG_Criteria!$B$25)))/((G276/1000)+2*(H276/1000*(1-SG_Criteria!$B$25))))^(2/3)*(1/Design_Selector!$B$11)^0.5,3))</f>
        <v/>
      </c>
      <c r="BD276" s="11" t="str">
        <f aca="false">IF(BC276="","",ROUND(BC276/(MAX(1,N(I276))*G276/1000*(H276/1000*(1-SG_Criteria!$B$25))),2))</f>
        <v/>
      </c>
      <c r="BE276" s="33" t="str">
        <f aca="false">IF(D276="","",IF(LEN(IF(AND(OR(E276="Roadside drain",E276="Entrance culvert"),OR(G276&lt;SG_Criteria!$B$15,H276&lt;SG_Criteria!$B$16)),"FAIL: below PUB min "&amp;SG_Criteria!$B$15&amp;"x"&amp;SG_Criteria!$B$16&amp;" for roadside drain. ","")&amp;IF(AND(E276="Common drain",G276&lt;SG_Criteria!$B$17),"FAIL: common drain W &lt; "&amp;SG_Criteria!$B$17&amp;" mm. ","")&amp;IF(AND(O276&lt;&gt;"",IFERROR(VALUE(MID(O276,2,2)),0)&lt;SG_Criteria!$B$19),"FAIL: grade below C"&amp;SG_Criteria!$B$19&amp;". ","")&amp;IF(AND(P276&lt;&gt;"",P276&lt;SG_Criteria!$B$20),"FAIL: cover &lt; "&amp;SG_Criteria!$B$20&amp;" mm. ","")&amp;IF(AND(F276="Open",H276&gt;SG_Criteria!$B$18),"NOTE: safety railing required (D &gt; "&amp;SG_Criteria!$B$18&amp;" mm). ","")&amp;IF(AND(E276="Entrance culvert",H276&lt;600),"NOTE: check hinged grating rule for culverts &lt; 600 deep (PUB Add. 3). ",""))=0,"OK",IF(AND(OR(E276="Roadside drain",E276="Entrance culvert"),OR(G276&lt;SG_Criteria!$B$15,H276&lt;SG_Criteria!$B$16)),"FAIL: below PUB min "&amp;SG_Criteria!$B$15&amp;"x"&amp;SG_Criteria!$B$16&amp;" for roadside drain. ","")&amp;IF(AND(E276="Common drain",G276&lt;SG_Criteria!$B$17),"FAIL: common drain W &lt; "&amp;SG_Criteria!$B$17&amp;" mm. ","")&amp;IF(AND(O276&lt;&gt;"",IFERROR(VALUE(MID(O276,2,2)),0)&lt;SG_Criteria!$B$19),"FAIL: grade below C"&amp;SG_Criteria!$B$19&amp;". ","")&amp;IF(AND(P276&lt;&gt;"",P276&lt;SG_Criteria!$B$20),"FAIL: cover &lt; "&amp;SG_Criteria!$B$20&amp;" mm. ","")&amp;IF(AND(F276="Open",H276&gt;SG_Criteria!$B$18),"NOTE: safety railing required (D &gt; "&amp;SG_Criteria!$B$18&amp;" mm). ","")&amp;IF(AND(E276="Entrance culvert",H276&lt;600),"NOTE: check hinged grating rule for culverts &lt; 600 deep (PUB Add. 3). ","")))</f>
        <v/>
      </c>
      <c r="BF276" s="9"/>
      <c r="BG276" s="9"/>
      <c r="BH276" s="9"/>
      <c r="BI276" s="10" t="str">
        <f aca="false">IF(BH276="","",IFERROR(VLOOKUP(BH276,Projects!$A$5:$D$504,2,0),"Ref not in Projects"))</f>
        <v/>
      </c>
      <c r="BJ276" s="10" t="str">
        <f aca="false">IF(BH276="","",IFERROR(VLOOKUP(BH276,Projects!$A$5:$D$504,4,0),"Ref not in Projects"))</f>
        <v/>
      </c>
      <c r="BK276" s="9"/>
      <c r="BL276" s="9"/>
      <c r="BM276" s="9"/>
      <c r="BN276" s="40"/>
      <c r="BO276" s="9"/>
      <c r="BP276" s="40"/>
      <c r="BQ276" s="9"/>
      <c r="BR276" s="40"/>
      <c r="BS276" s="9"/>
      <c r="BT276" s="9"/>
      <c r="BU276" s="9"/>
      <c r="BV276" s="40"/>
      <c r="BW276" s="40"/>
      <c r="BX276" s="36" t="str">
        <f aca="false">IF(BW276="","",EDATE(BW276,SG_Criteria!$B$54*12))</f>
        <v/>
      </c>
      <c r="BY276" s="33" t="str">
        <f aca="true">IF(A276="","",IF(BW276="","NOTE: not reviewed yet",IF(TODAY()&gt;BX276,"NOTE: review overdue","OK")))</f>
        <v/>
      </c>
      <c r="BZ276" s="37" t="str">
        <f aca="false">IF(A276="","",ROUND((IF(LEN(D276)&gt;0,1,0)+IF(LEN(E276)&gt;0,1,0)+IF(LEN(F276)&gt;0,1,0)+IF(LEN(G276)&gt;0,1,0)+IF(LEN(H276)&gt;0,1,0)+IF(LEN(J276)&gt;0,1,0)+IF(LEN(K276)&gt;0,1,0)+IF(LEN(M276)&gt;0,1,0)+IF(LEN(O276)&gt;0,1,0)+IF(LEN(P276)&gt;0,1,0)+IF(LEN(Q276)&gt;0,1,0)+IF(LEN(S276)&gt;0,1,0)+IF(LEN(AC276)&gt;0,1,0)+IF(LEN(AV276)&gt;0,1,0)+IF(LEN(AW276)&gt;0,1,0)+IF(LEN(AG276)&gt;0,1,0)+IF(LEN(AI276)&gt;0,1,0)+IF(LEN(AJ276)&gt;0,1,0)+IF(LEN(AK276)&gt;0,1,0)+IF(LEN(AL276)&gt;0,1,0)+IF(LEN(AU276)&gt;0,1,0)+IF(LEN(BH276)&gt;0,1,0)+IF(LEN(BU276)&gt;0,1,0))/23,2))</f>
        <v/>
      </c>
      <c r="CA276" s="10" t="str">
        <f aca="false">IF(D276="","",IF(AND(AJ276="Approved",ISERROR(SEARCH("FAIL",BE276))),"Y","N"))</f>
        <v/>
      </c>
      <c r="CB276" s="10" t="str">
        <f aca="false">IF(D276="","",D276&amp;"|"&amp;G276&amp;"|"&amp;H276&amp;"|"&amp;M276&amp;"|"&amp;CA276)</f>
        <v/>
      </c>
    </row>
    <row r="277" customFormat="false" ht="15" hidden="false" customHeight="false" outlineLevel="0" collapsed="false">
      <c r="A277" s="10" t="str">
        <f aca="false">IF(D277="","","DRN-"&amp;IFERROR(VLOOKUP(D277,Lists!$A$4:$B$27,2,0),"??")&amp;"-"&amp;TEXT(G277,"0000")&amp;"x"&amp;TEXT(H277,"0000")&amp;IF(N(I277)&gt;1,"-"&amp;I277&amp;"C","")&amp;"-"&amp;IFERROR(VLOOKUP(M277,Lists!$J$4:$K$19,2,0),"??")&amp;"-"&amp;AI277)</f>
        <v/>
      </c>
      <c r="B277" s="10" t="str">
        <f aca="false">IF(D277="","",D277&amp;" "&amp;G277&amp;"W x "&amp;H277&amp;"D"&amp;IF(N(I277)&gt;1," ("&amp;I277&amp;" cells)","")&amp;", "&amp;E277&amp;", "&amp;M277&amp;", "&amp;F277)</f>
        <v/>
      </c>
      <c r="C277" s="9"/>
      <c r="D277" s="9"/>
      <c r="E277" s="9"/>
      <c r="F277" s="9"/>
      <c r="G277" s="38"/>
      <c r="H277" s="38"/>
      <c r="I277" s="38"/>
      <c r="J277" s="38"/>
      <c r="K277" s="38"/>
      <c r="L277" s="38"/>
      <c r="M277" s="9"/>
      <c r="N277" s="9"/>
      <c r="O277" s="9"/>
      <c r="P277" s="38"/>
      <c r="Q277" s="9"/>
      <c r="R277" s="9"/>
      <c r="S277" s="9"/>
      <c r="T277" s="9"/>
      <c r="U277" s="9"/>
      <c r="V277" s="9"/>
      <c r="W277" s="9"/>
      <c r="X277" s="9"/>
      <c r="Y277" s="9"/>
      <c r="Z277" s="9"/>
      <c r="AA277" s="9"/>
      <c r="AB277" s="39"/>
      <c r="AC277" s="9"/>
      <c r="AD277" s="38"/>
      <c r="AE277" s="9"/>
      <c r="AF277" s="39"/>
      <c r="AG277" s="9"/>
      <c r="AH277" s="9"/>
      <c r="AI277" s="9"/>
      <c r="AJ277" s="9"/>
      <c r="AK277" s="9"/>
      <c r="AL277" s="9"/>
      <c r="AM277" s="9"/>
      <c r="AN277" s="10" t="str">
        <f aca="false">IF(A277="","",SG_Criteria!$B$6&amp;SG_Criteria!$B$7&amp;"\"&amp;A277&amp;"\")</f>
        <v/>
      </c>
      <c r="AO277" s="10" t="str">
        <f aca="false">IF(A277="","",A277&amp;"_CAD.dwg")</f>
        <v/>
      </c>
      <c r="AP277" s="10" t="str">
        <f aca="false">IF(A277="","",A277&amp;"_DWG.pdf")</f>
        <v/>
      </c>
      <c r="AQ277" s="10" t="str">
        <f aca="false">IF(A277="","",IF(AM277="Y",A277&amp;"_STAAD.std","n/a"))</f>
        <v/>
      </c>
      <c r="AR277" s="10" t="str">
        <f aca="false">IF(A277="","",A277&amp;"_CALC.xlsx")</f>
        <v/>
      </c>
      <c r="AS277" s="10" t="str">
        <f aca="false">IF(A277="","",A277&amp;"_CALC.pdf")</f>
        <v/>
      </c>
      <c r="AT277" s="9"/>
      <c r="AU277" s="9"/>
      <c r="AV277" s="39"/>
      <c r="AW277" s="39"/>
      <c r="AX277" s="39"/>
      <c r="AY277" s="39"/>
      <c r="AZ277" s="39"/>
      <c r="BA277" s="12" t="str">
        <f aca="false">IF(A277="","",IF(COUNTIF(Rebar_Schedule!$A$5:$A$2004,A277)=0,"",ROUND(SUMIF(Rebar_Schedule!$A$5:$A$2004,A277,Rebar_Schedule!$K$5:$K$2004),1)))</f>
        <v/>
      </c>
      <c r="BB277" s="33" t="str">
        <f aca="false">IF(A277="","",IF(BA277="","No rebar schedule yet",IF(ABS(BA277-N(AW277))/MAX(N(AW277),1)&gt;SG_Criteria!$B$55,"NOTE: register rebar differs from schedule by "&amp;TEXT(ABS(BA277-N(AW277))/MAX(N(AW277),1),"0%"),"OK")))</f>
        <v/>
      </c>
      <c r="BC277" s="34" t="str">
        <f aca="false">IF(OR(D277="",G277="",H277="",D277="Sump",D277="Drop Inlet Chamber",D277="Silt Trap",D277="Pipe Culvert",D277="Subsoil Drain"),"",ROUND(MAX(1,N(I277))*(1/SG_Criteria!$B$26)*((G277/1000)*(H277/1000*(1-SG_Criteria!$B$25)))*(((G277/1000)*(H277/1000*(1-SG_Criteria!$B$25)))/((G277/1000)+2*(H277/1000*(1-SG_Criteria!$B$25))))^(2/3)*(1/Design_Selector!$B$11)^0.5,3))</f>
        <v/>
      </c>
      <c r="BD277" s="11" t="str">
        <f aca="false">IF(BC277="","",ROUND(BC277/(MAX(1,N(I277))*G277/1000*(H277/1000*(1-SG_Criteria!$B$25))),2))</f>
        <v/>
      </c>
      <c r="BE277" s="33" t="str">
        <f aca="false">IF(D277="","",IF(LEN(IF(AND(OR(E277="Roadside drain",E277="Entrance culvert"),OR(G277&lt;SG_Criteria!$B$15,H277&lt;SG_Criteria!$B$16)),"FAIL: below PUB min "&amp;SG_Criteria!$B$15&amp;"x"&amp;SG_Criteria!$B$16&amp;" for roadside drain. ","")&amp;IF(AND(E277="Common drain",G277&lt;SG_Criteria!$B$17),"FAIL: common drain W &lt; "&amp;SG_Criteria!$B$17&amp;" mm. ","")&amp;IF(AND(O277&lt;&gt;"",IFERROR(VALUE(MID(O277,2,2)),0)&lt;SG_Criteria!$B$19),"FAIL: grade below C"&amp;SG_Criteria!$B$19&amp;". ","")&amp;IF(AND(P277&lt;&gt;"",P277&lt;SG_Criteria!$B$20),"FAIL: cover &lt; "&amp;SG_Criteria!$B$20&amp;" mm. ","")&amp;IF(AND(F277="Open",H277&gt;SG_Criteria!$B$18),"NOTE: safety railing required (D &gt; "&amp;SG_Criteria!$B$18&amp;" mm). ","")&amp;IF(AND(E277="Entrance culvert",H277&lt;600),"NOTE: check hinged grating rule for culverts &lt; 600 deep (PUB Add. 3). ",""))=0,"OK",IF(AND(OR(E277="Roadside drain",E277="Entrance culvert"),OR(G277&lt;SG_Criteria!$B$15,H277&lt;SG_Criteria!$B$16)),"FAIL: below PUB min "&amp;SG_Criteria!$B$15&amp;"x"&amp;SG_Criteria!$B$16&amp;" for roadside drain. ","")&amp;IF(AND(E277="Common drain",G277&lt;SG_Criteria!$B$17),"FAIL: common drain W &lt; "&amp;SG_Criteria!$B$17&amp;" mm. ","")&amp;IF(AND(O277&lt;&gt;"",IFERROR(VALUE(MID(O277,2,2)),0)&lt;SG_Criteria!$B$19),"FAIL: grade below C"&amp;SG_Criteria!$B$19&amp;". ","")&amp;IF(AND(P277&lt;&gt;"",P277&lt;SG_Criteria!$B$20),"FAIL: cover &lt; "&amp;SG_Criteria!$B$20&amp;" mm. ","")&amp;IF(AND(F277="Open",H277&gt;SG_Criteria!$B$18),"NOTE: safety railing required (D &gt; "&amp;SG_Criteria!$B$18&amp;" mm). ","")&amp;IF(AND(E277="Entrance culvert",H277&lt;600),"NOTE: check hinged grating rule for culverts &lt; 600 deep (PUB Add. 3). ","")))</f>
        <v/>
      </c>
      <c r="BF277" s="9"/>
      <c r="BG277" s="9"/>
      <c r="BH277" s="9"/>
      <c r="BI277" s="10" t="str">
        <f aca="false">IF(BH277="","",IFERROR(VLOOKUP(BH277,Projects!$A$5:$D$504,2,0),"Ref not in Projects"))</f>
        <v/>
      </c>
      <c r="BJ277" s="10" t="str">
        <f aca="false">IF(BH277="","",IFERROR(VLOOKUP(BH277,Projects!$A$5:$D$504,4,0),"Ref not in Projects"))</f>
        <v/>
      </c>
      <c r="BK277" s="9"/>
      <c r="BL277" s="9"/>
      <c r="BM277" s="9"/>
      <c r="BN277" s="40"/>
      <c r="BO277" s="9"/>
      <c r="BP277" s="40"/>
      <c r="BQ277" s="9"/>
      <c r="BR277" s="40"/>
      <c r="BS277" s="9"/>
      <c r="BT277" s="9"/>
      <c r="BU277" s="9"/>
      <c r="BV277" s="40"/>
      <c r="BW277" s="40"/>
      <c r="BX277" s="36" t="str">
        <f aca="false">IF(BW277="","",EDATE(BW277,SG_Criteria!$B$54*12))</f>
        <v/>
      </c>
      <c r="BY277" s="33" t="str">
        <f aca="true">IF(A277="","",IF(BW277="","NOTE: not reviewed yet",IF(TODAY()&gt;BX277,"NOTE: review overdue","OK")))</f>
        <v/>
      </c>
      <c r="BZ277" s="37" t="str">
        <f aca="false">IF(A277="","",ROUND((IF(LEN(D277)&gt;0,1,0)+IF(LEN(E277)&gt;0,1,0)+IF(LEN(F277)&gt;0,1,0)+IF(LEN(G277)&gt;0,1,0)+IF(LEN(H277)&gt;0,1,0)+IF(LEN(J277)&gt;0,1,0)+IF(LEN(K277)&gt;0,1,0)+IF(LEN(M277)&gt;0,1,0)+IF(LEN(O277)&gt;0,1,0)+IF(LEN(P277)&gt;0,1,0)+IF(LEN(Q277)&gt;0,1,0)+IF(LEN(S277)&gt;0,1,0)+IF(LEN(AC277)&gt;0,1,0)+IF(LEN(AV277)&gt;0,1,0)+IF(LEN(AW277)&gt;0,1,0)+IF(LEN(AG277)&gt;0,1,0)+IF(LEN(AI277)&gt;0,1,0)+IF(LEN(AJ277)&gt;0,1,0)+IF(LEN(AK277)&gt;0,1,0)+IF(LEN(AL277)&gt;0,1,0)+IF(LEN(AU277)&gt;0,1,0)+IF(LEN(BH277)&gt;0,1,0)+IF(LEN(BU277)&gt;0,1,0))/23,2))</f>
        <v/>
      </c>
      <c r="CA277" s="10" t="str">
        <f aca="false">IF(D277="","",IF(AND(AJ277="Approved",ISERROR(SEARCH("FAIL",BE277))),"Y","N"))</f>
        <v/>
      </c>
      <c r="CB277" s="10" t="str">
        <f aca="false">IF(D277="","",D277&amp;"|"&amp;G277&amp;"|"&amp;H277&amp;"|"&amp;M277&amp;"|"&amp;CA277)</f>
        <v/>
      </c>
    </row>
    <row r="278" customFormat="false" ht="15" hidden="false" customHeight="false" outlineLevel="0" collapsed="false">
      <c r="A278" s="10" t="str">
        <f aca="false">IF(D278="","","DRN-"&amp;IFERROR(VLOOKUP(D278,Lists!$A$4:$B$27,2,0),"??")&amp;"-"&amp;TEXT(G278,"0000")&amp;"x"&amp;TEXT(H278,"0000")&amp;IF(N(I278)&gt;1,"-"&amp;I278&amp;"C","")&amp;"-"&amp;IFERROR(VLOOKUP(M278,Lists!$J$4:$K$19,2,0),"??")&amp;"-"&amp;AI278)</f>
        <v/>
      </c>
      <c r="B278" s="10" t="str">
        <f aca="false">IF(D278="","",D278&amp;" "&amp;G278&amp;"W x "&amp;H278&amp;"D"&amp;IF(N(I278)&gt;1," ("&amp;I278&amp;" cells)","")&amp;", "&amp;E278&amp;", "&amp;M278&amp;", "&amp;F278)</f>
        <v/>
      </c>
      <c r="C278" s="9"/>
      <c r="D278" s="9"/>
      <c r="E278" s="9"/>
      <c r="F278" s="9"/>
      <c r="G278" s="38"/>
      <c r="H278" s="38"/>
      <c r="I278" s="38"/>
      <c r="J278" s="38"/>
      <c r="K278" s="38"/>
      <c r="L278" s="38"/>
      <c r="M278" s="9"/>
      <c r="N278" s="9"/>
      <c r="O278" s="9"/>
      <c r="P278" s="38"/>
      <c r="Q278" s="9"/>
      <c r="R278" s="9"/>
      <c r="S278" s="9"/>
      <c r="T278" s="9"/>
      <c r="U278" s="9"/>
      <c r="V278" s="9"/>
      <c r="W278" s="9"/>
      <c r="X278" s="9"/>
      <c r="Y278" s="9"/>
      <c r="Z278" s="9"/>
      <c r="AA278" s="9"/>
      <c r="AB278" s="39"/>
      <c r="AC278" s="9"/>
      <c r="AD278" s="38"/>
      <c r="AE278" s="9"/>
      <c r="AF278" s="39"/>
      <c r="AG278" s="9"/>
      <c r="AH278" s="9"/>
      <c r="AI278" s="9"/>
      <c r="AJ278" s="9"/>
      <c r="AK278" s="9"/>
      <c r="AL278" s="9"/>
      <c r="AM278" s="9"/>
      <c r="AN278" s="10" t="str">
        <f aca="false">IF(A278="","",SG_Criteria!$B$6&amp;SG_Criteria!$B$7&amp;"\"&amp;A278&amp;"\")</f>
        <v/>
      </c>
      <c r="AO278" s="10" t="str">
        <f aca="false">IF(A278="","",A278&amp;"_CAD.dwg")</f>
        <v/>
      </c>
      <c r="AP278" s="10" t="str">
        <f aca="false">IF(A278="","",A278&amp;"_DWG.pdf")</f>
        <v/>
      </c>
      <c r="AQ278" s="10" t="str">
        <f aca="false">IF(A278="","",IF(AM278="Y",A278&amp;"_STAAD.std","n/a"))</f>
        <v/>
      </c>
      <c r="AR278" s="10" t="str">
        <f aca="false">IF(A278="","",A278&amp;"_CALC.xlsx")</f>
        <v/>
      </c>
      <c r="AS278" s="10" t="str">
        <f aca="false">IF(A278="","",A278&amp;"_CALC.pdf")</f>
        <v/>
      </c>
      <c r="AT278" s="9"/>
      <c r="AU278" s="9"/>
      <c r="AV278" s="39"/>
      <c r="AW278" s="39"/>
      <c r="AX278" s="39"/>
      <c r="AY278" s="39"/>
      <c r="AZ278" s="39"/>
      <c r="BA278" s="12" t="str">
        <f aca="false">IF(A278="","",IF(COUNTIF(Rebar_Schedule!$A$5:$A$2004,A278)=0,"",ROUND(SUMIF(Rebar_Schedule!$A$5:$A$2004,A278,Rebar_Schedule!$K$5:$K$2004),1)))</f>
        <v/>
      </c>
      <c r="BB278" s="33" t="str">
        <f aca="false">IF(A278="","",IF(BA278="","No rebar schedule yet",IF(ABS(BA278-N(AW278))/MAX(N(AW278),1)&gt;SG_Criteria!$B$55,"NOTE: register rebar differs from schedule by "&amp;TEXT(ABS(BA278-N(AW278))/MAX(N(AW278),1),"0%"),"OK")))</f>
        <v/>
      </c>
      <c r="BC278" s="34" t="str">
        <f aca="false">IF(OR(D278="",G278="",H278="",D278="Sump",D278="Drop Inlet Chamber",D278="Silt Trap",D278="Pipe Culvert",D278="Subsoil Drain"),"",ROUND(MAX(1,N(I278))*(1/SG_Criteria!$B$26)*((G278/1000)*(H278/1000*(1-SG_Criteria!$B$25)))*(((G278/1000)*(H278/1000*(1-SG_Criteria!$B$25)))/((G278/1000)+2*(H278/1000*(1-SG_Criteria!$B$25))))^(2/3)*(1/Design_Selector!$B$11)^0.5,3))</f>
        <v/>
      </c>
      <c r="BD278" s="11" t="str">
        <f aca="false">IF(BC278="","",ROUND(BC278/(MAX(1,N(I278))*G278/1000*(H278/1000*(1-SG_Criteria!$B$25))),2))</f>
        <v/>
      </c>
      <c r="BE278" s="33" t="str">
        <f aca="false">IF(D278="","",IF(LEN(IF(AND(OR(E278="Roadside drain",E278="Entrance culvert"),OR(G278&lt;SG_Criteria!$B$15,H278&lt;SG_Criteria!$B$16)),"FAIL: below PUB min "&amp;SG_Criteria!$B$15&amp;"x"&amp;SG_Criteria!$B$16&amp;" for roadside drain. ","")&amp;IF(AND(E278="Common drain",G278&lt;SG_Criteria!$B$17),"FAIL: common drain W &lt; "&amp;SG_Criteria!$B$17&amp;" mm. ","")&amp;IF(AND(O278&lt;&gt;"",IFERROR(VALUE(MID(O278,2,2)),0)&lt;SG_Criteria!$B$19),"FAIL: grade below C"&amp;SG_Criteria!$B$19&amp;". ","")&amp;IF(AND(P278&lt;&gt;"",P278&lt;SG_Criteria!$B$20),"FAIL: cover &lt; "&amp;SG_Criteria!$B$20&amp;" mm. ","")&amp;IF(AND(F278="Open",H278&gt;SG_Criteria!$B$18),"NOTE: safety railing required (D &gt; "&amp;SG_Criteria!$B$18&amp;" mm). ","")&amp;IF(AND(E278="Entrance culvert",H278&lt;600),"NOTE: check hinged grating rule for culverts &lt; 600 deep (PUB Add. 3). ",""))=0,"OK",IF(AND(OR(E278="Roadside drain",E278="Entrance culvert"),OR(G278&lt;SG_Criteria!$B$15,H278&lt;SG_Criteria!$B$16)),"FAIL: below PUB min "&amp;SG_Criteria!$B$15&amp;"x"&amp;SG_Criteria!$B$16&amp;" for roadside drain. ","")&amp;IF(AND(E278="Common drain",G278&lt;SG_Criteria!$B$17),"FAIL: common drain W &lt; "&amp;SG_Criteria!$B$17&amp;" mm. ","")&amp;IF(AND(O278&lt;&gt;"",IFERROR(VALUE(MID(O278,2,2)),0)&lt;SG_Criteria!$B$19),"FAIL: grade below C"&amp;SG_Criteria!$B$19&amp;". ","")&amp;IF(AND(P278&lt;&gt;"",P278&lt;SG_Criteria!$B$20),"FAIL: cover &lt; "&amp;SG_Criteria!$B$20&amp;" mm. ","")&amp;IF(AND(F278="Open",H278&gt;SG_Criteria!$B$18),"NOTE: safety railing required (D &gt; "&amp;SG_Criteria!$B$18&amp;" mm). ","")&amp;IF(AND(E278="Entrance culvert",H278&lt;600),"NOTE: check hinged grating rule for culverts &lt; 600 deep (PUB Add. 3). ","")))</f>
        <v/>
      </c>
      <c r="BF278" s="9"/>
      <c r="BG278" s="9"/>
      <c r="BH278" s="9"/>
      <c r="BI278" s="10" t="str">
        <f aca="false">IF(BH278="","",IFERROR(VLOOKUP(BH278,Projects!$A$5:$D$504,2,0),"Ref not in Projects"))</f>
        <v/>
      </c>
      <c r="BJ278" s="10" t="str">
        <f aca="false">IF(BH278="","",IFERROR(VLOOKUP(BH278,Projects!$A$5:$D$504,4,0),"Ref not in Projects"))</f>
        <v/>
      </c>
      <c r="BK278" s="9"/>
      <c r="BL278" s="9"/>
      <c r="BM278" s="9"/>
      <c r="BN278" s="40"/>
      <c r="BO278" s="9"/>
      <c r="BP278" s="40"/>
      <c r="BQ278" s="9"/>
      <c r="BR278" s="40"/>
      <c r="BS278" s="9"/>
      <c r="BT278" s="9"/>
      <c r="BU278" s="9"/>
      <c r="BV278" s="40"/>
      <c r="BW278" s="40"/>
      <c r="BX278" s="36" t="str">
        <f aca="false">IF(BW278="","",EDATE(BW278,SG_Criteria!$B$54*12))</f>
        <v/>
      </c>
      <c r="BY278" s="33" t="str">
        <f aca="true">IF(A278="","",IF(BW278="","NOTE: not reviewed yet",IF(TODAY()&gt;BX278,"NOTE: review overdue","OK")))</f>
        <v/>
      </c>
      <c r="BZ278" s="37" t="str">
        <f aca="false">IF(A278="","",ROUND((IF(LEN(D278)&gt;0,1,0)+IF(LEN(E278)&gt;0,1,0)+IF(LEN(F278)&gt;0,1,0)+IF(LEN(G278)&gt;0,1,0)+IF(LEN(H278)&gt;0,1,0)+IF(LEN(J278)&gt;0,1,0)+IF(LEN(K278)&gt;0,1,0)+IF(LEN(M278)&gt;0,1,0)+IF(LEN(O278)&gt;0,1,0)+IF(LEN(P278)&gt;0,1,0)+IF(LEN(Q278)&gt;0,1,0)+IF(LEN(S278)&gt;0,1,0)+IF(LEN(AC278)&gt;0,1,0)+IF(LEN(AV278)&gt;0,1,0)+IF(LEN(AW278)&gt;0,1,0)+IF(LEN(AG278)&gt;0,1,0)+IF(LEN(AI278)&gt;0,1,0)+IF(LEN(AJ278)&gt;0,1,0)+IF(LEN(AK278)&gt;0,1,0)+IF(LEN(AL278)&gt;0,1,0)+IF(LEN(AU278)&gt;0,1,0)+IF(LEN(BH278)&gt;0,1,0)+IF(LEN(BU278)&gt;0,1,0))/23,2))</f>
        <v/>
      </c>
      <c r="CA278" s="10" t="str">
        <f aca="false">IF(D278="","",IF(AND(AJ278="Approved",ISERROR(SEARCH("FAIL",BE278))),"Y","N"))</f>
        <v/>
      </c>
      <c r="CB278" s="10" t="str">
        <f aca="false">IF(D278="","",D278&amp;"|"&amp;G278&amp;"|"&amp;H278&amp;"|"&amp;M278&amp;"|"&amp;CA278)</f>
        <v/>
      </c>
    </row>
    <row r="279" customFormat="false" ht="15" hidden="false" customHeight="false" outlineLevel="0" collapsed="false">
      <c r="A279" s="10" t="str">
        <f aca="false">IF(D279="","","DRN-"&amp;IFERROR(VLOOKUP(D279,Lists!$A$4:$B$27,2,0),"??")&amp;"-"&amp;TEXT(G279,"0000")&amp;"x"&amp;TEXT(H279,"0000")&amp;IF(N(I279)&gt;1,"-"&amp;I279&amp;"C","")&amp;"-"&amp;IFERROR(VLOOKUP(M279,Lists!$J$4:$K$19,2,0),"??")&amp;"-"&amp;AI279)</f>
        <v/>
      </c>
      <c r="B279" s="10" t="str">
        <f aca="false">IF(D279="","",D279&amp;" "&amp;G279&amp;"W x "&amp;H279&amp;"D"&amp;IF(N(I279)&gt;1," ("&amp;I279&amp;" cells)","")&amp;", "&amp;E279&amp;", "&amp;M279&amp;", "&amp;F279)</f>
        <v/>
      </c>
      <c r="C279" s="9"/>
      <c r="D279" s="9"/>
      <c r="E279" s="9"/>
      <c r="F279" s="9"/>
      <c r="G279" s="38"/>
      <c r="H279" s="38"/>
      <c r="I279" s="38"/>
      <c r="J279" s="38"/>
      <c r="K279" s="38"/>
      <c r="L279" s="38"/>
      <c r="M279" s="9"/>
      <c r="N279" s="9"/>
      <c r="O279" s="9"/>
      <c r="P279" s="38"/>
      <c r="Q279" s="9"/>
      <c r="R279" s="9"/>
      <c r="S279" s="9"/>
      <c r="T279" s="9"/>
      <c r="U279" s="9"/>
      <c r="V279" s="9"/>
      <c r="W279" s="9"/>
      <c r="X279" s="9"/>
      <c r="Y279" s="9"/>
      <c r="Z279" s="9"/>
      <c r="AA279" s="9"/>
      <c r="AB279" s="39"/>
      <c r="AC279" s="9"/>
      <c r="AD279" s="38"/>
      <c r="AE279" s="9"/>
      <c r="AF279" s="39"/>
      <c r="AG279" s="9"/>
      <c r="AH279" s="9"/>
      <c r="AI279" s="9"/>
      <c r="AJ279" s="9"/>
      <c r="AK279" s="9"/>
      <c r="AL279" s="9"/>
      <c r="AM279" s="9"/>
      <c r="AN279" s="10" t="str">
        <f aca="false">IF(A279="","",SG_Criteria!$B$6&amp;SG_Criteria!$B$7&amp;"\"&amp;A279&amp;"\")</f>
        <v/>
      </c>
      <c r="AO279" s="10" t="str">
        <f aca="false">IF(A279="","",A279&amp;"_CAD.dwg")</f>
        <v/>
      </c>
      <c r="AP279" s="10" t="str">
        <f aca="false">IF(A279="","",A279&amp;"_DWG.pdf")</f>
        <v/>
      </c>
      <c r="AQ279" s="10" t="str">
        <f aca="false">IF(A279="","",IF(AM279="Y",A279&amp;"_STAAD.std","n/a"))</f>
        <v/>
      </c>
      <c r="AR279" s="10" t="str">
        <f aca="false">IF(A279="","",A279&amp;"_CALC.xlsx")</f>
        <v/>
      </c>
      <c r="AS279" s="10" t="str">
        <f aca="false">IF(A279="","",A279&amp;"_CALC.pdf")</f>
        <v/>
      </c>
      <c r="AT279" s="9"/>
      <c r="AU279" s="9"/>
      <c r="AV279" s="39"/>
      <c r="AW279" s="39"/>
      <c r="AX279" s="39"/>
      <c r="AY279" s="39"/>
      <c r="AZ279" s="39"/>
      <c r="BA279" s="12" t="str">
        <f aca="false">IF(A279="","",IF(COUNTIF(Rebar_Schedule!$A$5:$A$2004,A279)=0,"",ROUND(SUMIF(Rebar_Schedule!$A$5:$A$2004,A279,Rebar_Schedule!$K$5:$K$2004),1)))</f>
        <v/>
      </c>
      <c r="BB279" s="33" t="str">
        <f aca="false">IF(A279="","",IF(BA279="","No rebar schedule yet",IF(ABS(BA279-N(AW279))/MAX(N(AW279),1)&gt;SG_Criteria!$B$55,"NOTE: register rebar differs from schedule by "&amp;TEXT(ABS(BA279-N(AW279))/MAX(N(AW279),1),"0%"),"OK")))</f>
        <v/>
      </c>
      <c r="BC279" s="34" t="str">
        <f aca="false">IF(OR(D279="",G279="",H279="",D279="Sump",D279="Drop Inlet Chamber",D279="Silt Trap",D279="Pipe Culvert",D279="Subsoil Drain"),"",ROUND(MAX(1,N(I279))*(1/SG_Criteria!$B$26)*((G279/1000)*(H279/1000*(1-SG_Criteria!$B$25)))*(((G279/1000)*(H279/1000*(1-SG_Criteria!$B$25)))/((G279/1000)+2*(H279/1000*(1-SG_Criteria!$B$25))))^(2/3)*(1/Design_Selector!$B$11)^0.5,3))</f>
        <v/>
      </c>
      <c r="BD279" s="11" t="str">
        <f aca="false">IF(BC279="","",ROUND(BC279/(MAX(1,N(I279))*G279/1000*(H279/1000*(1-SG_Criteria!$B$25))),2))</f>
        <v/>
      </c>
      <c r="BE279" s="33" t="str">
        <f aca="false">IF(D279="","",IF(LEN(IF(AND(OR(E279="Roadside drain",E279="Entrance culvert"),OR(G279&lt;SG_Criteria!$B$15,H279&lt;SG_Criteria!$B$16)),"FAIL: below PUB min "&amp;SG_Criteria!$B$15&amp;"x"&amp;SG_Criteria!$B$16&amp;" for roadside drain. ","")&amp;IF(AND(E279="Common drain",G279&lt;SG_Criteria!$B$17),"FAIL: common drain W &lt; "&amp;SG_Criteria!$B$17&amp;" mm. ","")&amp;IF(AND(O279&lt;&gt;"",IFERROR(VALUE(MID(O279,2,2)),0)&lt;SG_Criteria!$B$19),"FAIL: grade below C"&amp;SG_Criteria!$B$19&amp;". ","")&amp;IF(AND(P279&lt;&gt;"",P279&lt;SG_Criteria!$B$20),"FAIL: cover &lt; "&amp;SG_Criteria!$B$20&amp;" mm. ","")&amp;IF(AND(F279="Open",H279&gt;SG_Criteria!$B$18),"NOTE: safety railing required (D &gt; "&amp;SG_Criteria!$B$18&amp;" mm). ","")&amp;IF(AND(E279="Entrance culvert",H279&lt;600),"NOTE: check hinged grating rule for culverts &lt; 600 deep (PUB Add. 3). ",""))=0,"OK",IF(AND(OR(E279="Roadside drain",E279="Entrance culvert"),OR(G279&lt;SG_Criteria!$B$15,H279&lt;SG_Criteria!$B$16)),"FAIL: below PUB min "&amp;SG_Criteria!$B$15&amp;"x"&amp;SG_Criteria!$B$16&amp;" for roadside drain. ","")&amp;IF(AND(E279="Common drain",G279&lt;SG_Criteria!$B$17),"FAIL: common drain W &lt; "&amp;SG_Criteria!$B$17&amp;" mm. ","")&amp;IF(AND(O279&lt;&gt;"",IFERROR(VALUE(MID(O279,2,2)),0)&lt;SG_Criteria!$B$19),"FAIL: grade below C"&amp;SG_Criteria!$B$19&amp;". ","")&amp;IF(AND(P279&lt;&gt;"",P279&lt;SG_Criteria!$B$20),"FAIL: cover &lt; "&amp;SG_Criteria!$B$20&amp;" mm. ","")&amp;IF(AND(F279="Open",H279&gt;SG_Criteria!$B$18),"NOTE: safety railing required (D &gt; "&amp;SG_Criteria!$B$18&amp;" mm). ","")&amp;IF(AND(E279="Entrance culvert",H279&lt;600),"NOTE: check hinged grating rule for culverts &lt; 600 deep (PUB Add. 3). ","")))</f>
        <v/>
      </c>
      <c r="BF279" s="9"/>
      <c r="BG279" s="9"/>
      <c r="BH279" s="9"/>
      <c r="BI279" s="10" t="str">
        <f aca="false">IF(BH279="","",IFERROR(VLOOKUP(BH279,Projects!$A$5:$D$504,2,0),"Ref not in Projects"))</f>
        <v/>
      </c>
      <c r="BJ279" s="10" t="str">
        <f aca="false">IF(BH279="","",IFERROR(VLOOKUP(BH279,Projects!$A$5:$D$504,4,0),"Ref not in Projects"))</f>
        <v/>
      </c>
      <c r="BK279" s="9"/>
      <c r="BL279" s="9"/>
      <c r="BM279" s="9"/>
      <c r="BN279" s="40"/>
      <c r="BO279" s="9"/>
      <c r="BP279" s="40"/>
      <c r="BQ279" s="9"/>
      <c r="BR279" s="40"/>
      <c r="BS279" s="9"/>
      <c r="BT279" s="9"/>
      <c r="BU279" s="9"/>
      <c r="BV279" s="40"/>
      <c r="BW279" s="40"/>
      <c r="BX279" s="36" t="str">
        <f aca="false">IF(BW279="","",EDATE(BW279,SG_Criteria!$B$54*12))</f>
        <v/>
      </c>
      <c r="BY279" s="33" t="str">
        <f aca="true">IF(A279="","",IF(BW279="","NOTE: not reviewed yet",IF(TODAY()&gt;BX279,"NOTE: review overdue","OK")))</f>
        <v/>
      </c>
      <c r="BZ279" s="37" t="str">
        <f aca="false">IF(A279="","",ROUND((IF(LEN(D279)&gt;0,1,0)+IF(LEN(E279)&gt;0,1,0)+IF(LEN(F279)&gt;0,1,0)+IF(LEN(G279)&gt;0,1,0)+IF(LEN(H279)&gt;0,1,0)+IF(LEN(J279)&gt;0,1,0)+IF(LEN(K279)&gt;0,1,0)+IF(LEN(M279)&gt;0,1,0)+IF(LEN(O279)&gt;0,1,0)+IF(LEN(P279)&gt;0,1,0)+IF(LEN(Q279)&gt;0,1,0)+IF(LEN(S279)&gt;0,1,0)+IF(LEN(AC279)&gt;0,1,0)+IF(LEN(AV279)&gt;0,1,0)+IF(LEN(AW279)&gt;0,1,0)+IF(LEN(AG279)&gt;0,1,0)+IF(LEN(AI279)&gt;0,1,0)+IF(LEN(AJ279)&gt;0,1,0)+IF(LEN(AK279)&gt;0,1,0)+IF(LEN(AL279)&gt;0,1,0)+IF(LEN(AU279)&gt;0,1,0)+IF(LEN(BH279)&gt;0,1,0)+IF(LEN(BU279)&gt;0,1,0))/23,2))</f>
        <v/>
      </c>
      <c r="CA279" s="10" t="str">
        <f aca="false">IF(D279="","",IF(AND(AJ279="Approved",ISERROR(SEARCH("FAIL",BE279))),"Y","N"))</f>
        <v/>
      </c>
      <c r="CB279" s="10" t="str">
        <f aca="false">IF(D279="","",D279&amp;"|"&amp;G279&amp;"|"&amp;H279&amp;"|"&amp;M279&amp;"|"&amp;CA279)</f>
        <v/>
      </c>
    </row>
    <row r="280" customFormat="false" ht="15" hidden="false" customHeight="false" outlineLevel="0" collapsed="false">
      <c r="A280" s="10" t="str">
        <f aca="false">IF(D280="","","DRN-"&amp;IFERROR(VLOOKUP(D280,Lists!$A$4:$B$27,2,0),"??")&amp;"-"&amp;TEXT(G280,"0000")&amp;"x"&amp;TEXT(H280,"0000")&amp;IF(N(I280)&gt;1,"-"&amp;I280&amp;"C","")&amp;"-"&amp;IFERROR(VLOOKUP(M280,Lists!$J$4:$K$19,2,0),"??")&amp;"-"&amp;AI280)</f>
        <v/>
      </c>
      <c r="B280" s="10" t="str">
        <f aca="false">IF(D280="","",D280&amp;" "&amp;G280&amp;"W x "&amp;H280&amp;"D"&amp;IF(N(I280)&gt;1," ("&amp;I280&amp;" cells)","")&amp;", "&amp;E280&amp;", "&amp;M280&amp;", "&amp;F280)</f>
        <v/>
      </c>
      <c r="C280" s="9"/>
      <c r="D280" s="9"/>
      <c r="E280" s="9"/>
      <c r="F280" s="9"/>
      <c r="G280" s="38"/>
      <c r="H280" s="38"/>
      <c r="I280" s="38"/>
      <c r="J280" s="38"/>
      <c r="K280" s="38"/>
      <c r="L280" s="38"/>
      <c r="M280" s="9"/>
      <c r="N280" s="9"/>
      <c r="O280" s="9"/>
      <c r="P280" s="38"/>
      <c r="Q280" s="9"/>
      <c r="R280" s="9"/>
      <c r="S280" s="9"/>
      <c r="T280" s="9"/>
      <c r="U280" s="9"/>
      <c r="V280" s="9"/>
      <c r="W280" s="9"/>
      <c r="X280" s="9"/>
      <c r="Y280" s="9"/>
      <c r="Z280" s="9"/>
      <c r="AA280" s="9"/>
      <c r="AB280" s="39"/>
      <c r="AC280" s="9"/>
      <c r="AD280" s="38"/>
      <c r="AE280" s="9"/>
      <c r="AF280" s="39"/>
      <c r="AG280" s="9"/>
      <c r="AH280" s="9"/>
      <c r="AI280" s="9"/>
      <c r="AJ280" s="9"/>
      <c r="AK280" s="9"/>
      <c r="AL280" s="9"/>
      <c r="AM280" s="9"/>
      <c r="AN280" s="10" t="str">
        <f aca="false">IF(A280="","",SG_Criteria!$B$6&amp;SG_Criteria!$B$7&amp;"\"&amp;A280&amp;"\")</f>
        <v/>
      </c>
      <c r="AO280" s="10" t="str">
        <f aca="false">IF(A280="","",A280&amp;"_CAD.dwg")</f>
        <v/>
      </c>
      <c r="AP280" s="10" t="str">
        <f aca="false">IF(A280="","",A280&amp;"_DWG.pdf")</f>
        <v/>
      </c>
      <c r="AQ280" s="10" t="str">
        <f aca="false">IF(A280="","",IF(AM280="Y",A280&amp;"_STAAD.std","n/a"))</f>
        <v/>
      </c>
      <c r="AR280" s="10" t="str">
        <f aca="false">IF(A280="","",A280&amp;"_CALC.xlsx")</f>
        <v/>
      </c>
      <c r="AS280" s="10" t="str">
        <f aca="false">IF(A280="","",A280&amp;"_CALC.pdf")</f>
        <v/>
      </c>
      <c r="AT280" s="9"/>
      <c r="AU280" s="9"/>
      <c r="AV280" s="39"/>
      <c r="AW280" s="39"/>
      <c r="AX280" s="39"/>
      <c r="AY280" s="39"/>
      <c r="AZ280" s="39"/>
      <c r="BA280" s="12" t="str">
        <f aca="false">IF(A280="","",IF(COUNTIF(Rebar_Schedule!$A$5:$A$2004,A280)=0,"",ROUND(SUMIF(Rebar_Schedule!$A$5:$A$2004,A280,Rebar_Schedule!$K$5:$K$2004),1)))</f>
        <v/>
      </c>
      <c r="BB280" s="33" t="str">
        <f aca="false">IF(A280="","",IF(BA280="","No rebar schedule yet",IF(ABS(BA280-N(AW280))/MAX(N(AW280),1)&gt;SG_Criteria!$B$55,"NOTE: register rebar differs from schedule by "&amp;TEXT(ABS(BA280-N(AW280))/MAX(N(AW280),1),"0%"),"OK")))</f>
        <v/>
      </c>
      <c r="BC280" s="34" t="str">
        <f aca="false">IF(OR(D280="",G280="",H280="",D280="Sump",D280="Drop Inlet Chamber",D280="Silt Trap",D280="Pipe Culvert",D280="Subsoil Drain"),"",ROUND(MAX(1,N(I280))*(1/SG_Criteria!$B$26)*((G280/1000)*(H280/1000*(1-SG_Criteria!$B$25)))*(((G280/1000)*(H280/1000*(1-SG_Criteria!$B$25)))/((G280/1000)+2*(H280/1000*(1-SG_Criteria!$B$25))))^(2/3)*(1/Design_Selector!$B$11)^0.5,3))</f>
        <v/>
      </c>
      <c r="BD280" s="11" t="str">
        <f aca="false">IF(BC280="","",ROUND(BC280/(MAX(1,N(I280))*G280/1000*(H280/1000*(1-SG_Criteria!$B$25))),2))</f>
        <v/>
      </c>
      <c r="BE280" s="33" t="str">
        <f aca="false">IF(D280="","",IF(LEN(IF(AND(OR(E280="Roadside drain",E280="Entrance culvert"),OR(G280&lt;SG_Criteria!$B$15,H280&lt;SG_Criteria!$B$16)),"FAIL: below PUB min "&amp;SG_Criteria!$B$15&amp;"x"&amp;SG_Criteria!$B$16&amp;" for roadside drain. ","")&amp;IF(AND(E280="Common drain",G280&lt;SG_Criteria!$B$17),"FAIL: common drain W &lt; "&amp;SG_Criteria!$B$17&amp;" mm. ","")&amp;IF(AND(O280&lt;&gt;"",IFERROR(VALUE(MID(O280,2,2)),0)&lt;SG_Criteria!$B$19),"FAIL: grade below C"&amp;SG_Criteria!$B$19&amp;". ","")&amp;IF(AND(P280&lt;&gt;"",P280&lt;SG_Criteria!$B$20),"FAIL: cover &lt; "&amp;SG_Criteria!$B$20&amp;" mm. ","")&amp;IF(AND(F280="Open",H280&gt;SG_Criteria!$B$18),"NOTE: safety railing required (D &gt; "&amp;SG_Criteria!$B$18&amp;" mm). ","")&amp;IF(AND(E280="Entrance culvert",H280&lt;600),"NOTE: check hinged grating rule for culverts &lt; 600 deep (PUB Add. 3). ",""))=0,"OK",IF(AND(OR(E280="Roadside drain",E280="Entrance culvert"),OR(G280&lt;SG_Criteria!$B$15,H280&lt;SG_Criteria!$B$16)),"FAIL: below PUB min "&amp;SG_Criteria!$B$15&amp;"x"&amp;SG_Criteria!$B$16&amp;" for roadside drain. ","")&amp;IF(AND(E280="Common drain",G280&lt;SG_Criteria!$B$17),"FAIL: common drain W &lt; "&amp;SG_Criteria!$B$17&amp;" mm. ","")&amp;IF(AND(O280&lt;&gt;"",IFERROR(VALUE(MID(O280,2,2)),0)&lt;SG_Criteria!$B$19),"FAIL: grade below C"&amp;SG_Criteria!$B$19&amp;". ","")&amp;IF(AND(P280&lt;&gt;"",P280&lt;SG_Criteria!$B$20),"FAIL: cover &lt; "&amp;SG_Criteria!$B$20&amp;" mm. ","")&amp;IF(AND(F280="Open",H280&gt;SG_Criteria!$B$18),"NOTE: safety railing required (D &gt; "&amp;SG_Criteria!$B$18&amp;" mm). ","")&amp;IF(AND(E280="Entrance culvert",H280&lt;600),"NOTE: check hinged grating rule for culverts &lt; 600 deep (PUB Add. 3). ","")))</f>
        <v/>
      </c>
      <c r="BF280" s="9"/>
      <c r="BG280" s="9"/>
      <c r="BH280" s="9"/>
      <c r="BI280" s="10" t="str">
        <f aca="false">IF(BH280="","",IFERROR(VLOOKUP(BH280,Projects!$A$5:$D$504,2,0),"Ref not in Projects"))</f>
        <v/>
      </c>
      <c r="BJ280" s="10" t="str">
        <f aca="false">IF(BH280="","",IFERROR(VLOOKUP(BH280,Projects!$A$5:$D$504,4,0),"Ref not in Projects"))</f>
        <v/>
      </c>
      <c r="BK280" s="9"/>
      <c r="BL280" s="9"/>
      <c r="BM280" s="9"/>
      <c r="BN280" s="40"/>
      <c r="BO280" s="9"/>
      <c r="BP280" s="40"/>
      <c r="BQ280" s="9"/>
      <c r="BR280" s="40"/>
      <c r="BS280" s="9"/>
      <c r="BT280" s="9"/>
      <c r="BU280" s="9"/>
      <c r="BV280" s="40"/>
      <c r="BW280" s="40"/>
      <c r="BX280" s="36" t="str">
        <f aca="false">IF(BW280="","",EDATE(BW280,SG_Criteria!$B$54*12))</f>
        <v/>
      </c>
      <c r="BY280" s="33" t="str">
        <f aca="true">IF(A280="","",IF(BW280="","NOTE: not reviewed yet",IF(TODAY()&gt;BX280,"NOTE: review overdue","OK")))</f>
        <v/>
      </c>
      <c r="BZ280" s="37" t="str">
        <f aca="false">IF(A280="","",ROUND((IF(LEN(D280)&gt;0,1,0)+IF(LEN(E280)&gt;0,1,0)+IF(LEN(F280)&gt;0,1,0)+IF(LEN(G280)&gt;0,1,0)+IF(LEN(H280)&gt;0,1,0)+IF(LEN(J280)&gt;0,1,0)+IF(LEN(K280)&gt;0,1,0)+IF(LEN(M280)&gt;0,1,0)+IF(LEN(O280)&gt;0,1,0)+IF(LEN(P280)&gt;0,1,0)+IF(LEN(Q280)&gt;0,1,0)+IF(LEN(S280)&gt;0,1,0)+IF(LEN(AC280)&gt;0,1,0)+IF(LEN(AV280)&gt;0,1,0)+IF(LEN(AW280)&gt;0,1,0)+IF(LEN(AG280)&gt;0,1,0)+IF(LEN(AI280)&gt;0,1,0)+IF(LEN(AJ280)&gt;0,1,0)+IF(LEN(AK280)&gt;0,1,0)+IF(LEN(AL280)&gt;0,1,0)+IF(LEN(AU280)&gt;0,1,0)+IF(LEN(BH280)&gt;0,1,0)+IF(LEN(BU280)&gt;0,1,0))/23,2))</f>
        <v/>
      </c>
      <c r="CA280" s="10" t="str">
        <f aca="false">IF(D280="","",IF(AND(AJ280="Approved",ISERROR(SEARCH("FAIL",BE280))),"Y","N"))</f>
        <v/>
      </c>
      <c r="CB280" s="10" t="str">
        <f aca="false">IF(D280="","",D280&amp;"|"&amp;G280&amp;"|"&amp;H280&amp;"|"&amp;M280&amp;"|"&amp;CA280)</f>
        <v/>
      </c>
    </row>
    <row r="281" customFormat="false" ht="15" hidden="false" customHeight="false" outlineLevel="0" collapsed="false">
      <c r="A281" s="10" t="str">
        <f aca="false">IF(D281="","","DRN-"&amp;IFERROR(VLOOKUP(D281,Lists!$A$4:$B$27,2,0),"??")&amp;"-"&amp;TEXT(G281,"0000")&amp;"x"&amp;TEXT(H281,"0000")&amp;IF(N(I281)&gt;1,"-"&amp;I281&amp;"C","")&amp;"-"&amp;IFERROR(VLOOKUP(M281,Lists!$J$4:$K$19,2,0),"??")&amp;"-"&amp;AI281)</f>
        <v/>
      </c>
      <c r="B281" s="10" t="str">
        <f aca="false">IF(D281="","",D281&amp;" "&amp;G281&amp;"W x "&amp;H281&amp;"D"&amp;IF(N(I281)&gt;1," ("&amp;I281&amp;" cells)","")&amp;", "&amp;E281&amp;", "&amp;M281&amp;", "&amp;F281)</f>
        <v/>
      </c>
      <c r="C281" s="9"/>
      <c r="D281" s="9"/>
      <c r="E281" s="9"/>
      <c r="F281" s="9"/>
      <c r="G281" s="38"/>
      <c r="H281" s="38"/>
      <c r="I281" s="38"/>
      <c r="J281" s="38"/>
      <c r="K281" s="38"/>
      <c r="L281" s="38"/>
      <c r="M281" s="9"/>
      <c r="N281" s="9"/>
      <c r="O281" s="9"/>
      <c r="P281" s="38"/>
      <c r="Q281" s="9"/>
      <c r="R281" s="9"/>
      <c r="S281" s="9"/>
      <c r="T281" s="9"/>
      <c r="U281" s="9"/>
      <c r="V281" s="9"/>
      <c r="W281" s="9"/>
      <c r="X281" s="9"/>
      <c r="Y281" s="9"/>
      <c r="Z281" s="9"/>
      <c r="AA281" s="9"/>
      <c r="AB281" s="39"/>
      <c r="AC281" s="9"/>
      <c r="AD281" s="38"/>
      <c r="AE281" s="9"/>
      <c r="AF281" s="39"/>
      <c r="AG281" s="9"/>
      <c r="AH281" s="9"/>
      <c r="AI281" s="9"/>
      <c r="AJ281" s="9"/>
      <c r="AK281" s="9"/>
      <c r="AL281" s="9"/>
      <c r="AM281" s="9"/>
      <c r="AN281" s="10" t="str">
        <f aca="false">IF(A281="","",SG_Criteria!$B$6&amp;SG_Criteria!$B$7&amp;"\"&amp;A281&amp;"\")</f>
        <v/>
      </c>
      <c r="AO281" s="10" t="str">
        <f aca="false">IF(A281="","",A281&amp;"_CAD.dwg")</f>
        <v/>
      </c>
      <c r="AP281" s="10" t="str">
        <f aca="false">IF(A281="","",A281&amp;"_DWG.pdf")</f>
        <v/>
      </c>
      <c r="AQ281" s="10" t="str">
        <f aca="false">IF(A281="","",IF(AM281="Y",A281&amp;"_STAAD.std","n/a"))</f>
        <v/>
      </c>
      <c r="AR281" s="10" t="str">
        <f aca="false">IF(A281="","",A281&amp;"_CALC.xlsx")</f>
        <v/>
      </c>
      <c r="AS281" s="10" t="str">
        <f aca="false">IF(A281="","",A281&amp;"_CALC.pdf")</f>
        <v/>
      </c>
      <c r="AT281" s="9"/>
      <c r="AU281" s="9"/>
      <c r="AV281" s="39"/>
      <c r="AW281" s="39"/>
      <c r="AX281" s="39"/>
      <c r="AY281" s="39"/>
      <c r="AZ281" s="39"/>
      <c r="BA281" s="12" t="str">
        <f aca="false">IF(A281="","",IF(COUNTIF(Rebar_Schedule!$A$5:$A$2004,A281)=0,"",ROUND(SUMIF(Rebar_Schedule!$A$5:$A$2004,A281,Rebar_Schedule!$K$5:$K$2004),1)))</f>
        <v/>
      </c>
      <c r="BB281" s="33" t="str">
        <f aca="false">IF(A281="","",IF(BA281="","No rebar schedule yet",IF(ABS(BA281-N(AW281))/MAX(N(AW281),1)&gt;SG_Criteria!$B$55,"NOTE: register rebar differs from schedule by "&amp;TEXT(ABS(BA281-N(AW281))/MAX(N(AW281),1),"0%"),"OK")))</f>
        <v/>
      </c>
      <c r="BC281" s="34" t="str">
        <f aca="false">IF(OR(D281="",G281="",H281="",D281="Sump",D281="Drop Inlet Chamber",D281="Silt Trap",D281="Pipe Culvert",D281="Subsoil Drain"),"",ROUND(MAX(1,N(I281))*(1/SG_Criteria!$B$26)*((G281/1000)*(H281/1000*(1-SG_Criteria!$B$25)))*(((G281/1000)*(H281/1000*(1-SG_Criteria!$B$25)))/((G281/1000)+2*(H281/1000*(1-SG_Criteria!$B$25))))^(2/3)*(1/Design_Selector!$B$11)^0.5,3))</f>
        <v/>
      </c>
      <c r="BD281" s="11" t="str">
        <f aca="false">IF(BC281="","",ROUND(BC281/(MAX(1,N(I281))*G281/1000*(H281/1000*(1-SG_Criteria!$B$25))),2))</f>
        <v/>
      </c>
      <c r="BE281" s="33" t="str">
        <f aca="false">IF(D281="","",IF(LEN(IF(AND(OR(E281="Roadside drain",E281="Entrance culvert"),OR(G281&lt;SG_Criteria!$B$15,H281&lt;SG_Criteria!$B$16)),"FAIL: below PUB min "&amp;SG_Criteria!$B$15&amp;"x"&amp;SG_Criteria!$B$16&amp;" for roadside drain. ","")&amp;IF(AND(E281="Common drain",G281&lt;SG_Criteria!$B$17),"FAIL: common drain W &lt; "&amp;SG_Criteria!$B$17&amp;" mm. ","")&amp;IF(AND(O281&lt;&gt;"",IFERROR(VALUE(MID(O281,2,2)),0)&lt;SG_Criteria!$B$19),"FAIL: grade below C"&amp;SG_Criteria!$B$19&amp;". ","")&amp;IF(AND(P281&lt;&gt;"",P281&lt;SG_Criteria!$B$20),"FAIL: cover &lt; "&amp;SG_Criteria!$B$20&amp;" mm. ","")&amp;IF(AND(F281="Open",H281&gt;SG_Criteria!$B$18),"NOTE: safety railing required (D &gt; "&amp;SG_Criteria!$B$18&amp;" mm). ","")&amp;IF(AND(E281="Entrance culvert",H281&lt;600),"NOTE: check hinged grating rule for culverts &lt; 600 deep (PUB Add. 3). ",""))=0,"OK",IF(AND(OR(E281="Roadside drain",E281="Entrance culvert"),OR(G281&lt;SG_Criteria!$B$15,H281&lt;SG_Criteria!$B$16)),"FAIL: below PUB min "&amp;SG_Criteria!$B$15&amp;"x"&amp;SG_Criteria!$B$16&amp;" for roadside drain. ","")&amp;IF(AND(E281="Common drain",G281&lt;SG_Criteria!$B$17),"FAIL: common drain W &lt; "&amp;SG_Criteria!$B$17&amp;" mm. ","")&amp;IF(AND(O281&lt;&gt;"",IFERROR(VALUE(MID(O281,2,2)),0)&lt;SG_Criteria!$B$19),"FAIL: grade below C"&amp;SG_Criteria!$B$19&amp;". ","")&amp;IF(AND(P281&lt;&gt;"",P281&lt;SG_Criteria!$B$20),"FAIL: cover &lt; "&amp;SG_Criteria!$B$20&amp;" mm. ","")&amp;IF(AND(F281="Open",H281&gt;SG_Criteria!$B$18),"NOTE: safety railing required (D &gt; "&amp;SG_Criteria!$B$18&amp;" mm). ","")&amp;IF(AND(E281="Entrance culvert",H281&lt;600),"NOTE: check hinged grating rule for culverts &lt; 600 deep (PUB Add. 3). ","")))</f>
        <v/>
      </c>
      <c r="BF281" s="9"/>
      <c r="BG281" s="9"/>
      <c r="BH281" s="9"/>
      <c r="BI281" s="10" t="str">
        <f aca="false">IF(BH281="","",IFERROR(VLOOKUP(BH281,Projects!$A$5:$D$504,2,0),"Ref not in Projects"))</f>
        <v/>
      </c>
      <c r="BJ281" s="10" t="str">
        <f aca="false">IF(BH281="","",IFERROR(VLOOKUP(BH281,Projects!$A$5:$D$504,4,0),"Ref not in Projects"))</f>
        <v/>
      </c>
      <c r="BK281" s="9"/>
      <c r="BL281" s="9"/>
      <c r="BM281" s="9"/>
      <c r="BN281" s="40"/>
      <c r="BO281" s="9"/>
      <c r="BP281" s="40"/>
      <c r="BQ281" s="9"/>
      <c r="BR281" s="40"/>
      <c r="BS281" s="9"/>
      <c r="BT281" s="9"/>
      <c r="BU281" s="9"/>
      <c r="BV281" s="40"/>
      <c r="BW281" s="40"/>
      <c r="BX281" s="36" t="str">
        <f aca="false">IF(BW281="","",EDATE(BW281,SG_Criteria!$B$54*12))</f>
        <v/>
      </c>
      <c r="BY281" s="33" t="str">
        <f aca="true">IF(A281="","",IF(BW281="","NOTE: not reviewed yet",IF(TODAY()&gt;BX281,"NOTE: review overdue","OK")))</f>
        <v/>
      </c>
      <c r="BZ281" s="37" t="str">
        <f aca="false">IF(A281="","",ROUND((IF(LEN(D281)&gt;0,1,0)+IF(LEN(E281)&gt;0,1,0)+IF(LEN(F281)&gt;0,1,0)+IF(LEN(G281)&gt;0,1,0)+IF(LEN(H281)&gt;0,1,0)+IF(LEN(J281)&gt;0,1,0)+IF(LEN(K281)&gt;0,1,0)+IF(LEN(M281)&gt;0,1,0)+IF(LEN(O281)&gt;0,1,0)+IF(LEN(P281)&gt;0,1,0)+IF(LEN(Q281)&gt;0,1,0)+IF(LEN(S281)&gt;0,1,0)+IF(LEN(AC281)&gt;0,1,0)+IF(LEN(AV281)&gt;0,1,0)+IF(LEN(AW281)&gt;0,1,0)+IF(LEN(AG281)&gt;0,1,0)+IF(LEN(AI281)&gt;0,1,0)+IF(LEN(AJ281)&gt;0,1,0)+IF(LEN(AK281)&gt;0,1,0)+IF(LEN(AL281)&gt;0,1,0)+IF(LEN(AU281)&gt;0,1,0)+IF(LEN(BH281)&gt;0,1,0)+IF(LEN(BU281)&gt;0,1,0))/23,2))</f>
        <v/>
      </c>
      <c r="CA281" s="10" t="str">
        <f aca="false">IF(D281="","",IF(AND(AJ281="Approved",ISERROR(SEARCH("FAIL",BE281))),"Y","N"))</f>
        <v/>
      </c>
      <c r="CB281" s="10" t="str">
        <f aca="false">IF(D281="","",D281&amp;"|"&amp;G281&amp;"|"&amp;H281&amp;"|"&amp;M281&amp;"|"&amp;CA281)</f>
        <v/>
      </c>
    </row>
    <row r="282" customFormat="false" ht="15" hidden="false" customHeight="false" outlineLevel="0" collapsed="false">
      <c r="A282" s="10" t="str">
        <f aca="false">IF(D282="","","DRN-"&amp;IFERROR(VLOOKUP(D282,Lists!$A$4:$B$27,2,0),"??")&amp;"-"&amp;TEXT(G282,"0000")&amp;"x"&amp;TEXT(H282,"0000")&amp;IF(N(I282)&gt;1,"-"&amp;I282&amp;"C","")&amp;"-"&amp;IFERROR(VLOOKUP(M282,Lists!$J$4:$K$19,2,0),"??")&amp;"-"&amp;AI282)</f>
        <v/>
      </c>
      <c r="B282" s="10" t="str">
        <f aca="false">IF(D282="","",D282&amp;" "&amp;G282&amp;"W x "&amp;H282&amp;"D"&amp;IF(N(I282)&gt;1," ("&amp;I282&amp;" cells)","")&amp;", "&amp;E282&amp;", "&amp;M282&amp;", "&amp;F282)</f>
        <v/>
      </c>
      <c r="C282" s="9"/>
      <c r="D282" s="9"/>
      <c r="E282" s="9"/>
      <c r="F282" s="9"/>
      <c r="G282" s="38"/>
      <c r="H282" s="38"/>
      <c r="I282" s="38"/>
      <c r="J282" s="38"/>
      <c r="K282" s="38"/>
      <c r="L282" s="38"/>
      <c r="M282" s="9"/>
      <c r="N282" s="9"/>
      <c r="O282" s="9"/>
      <c r="P282" s="38"/>
      <c r="Q282" s="9"/>
      <c r="R282" s="9"/>
      <c r="S282" s="9"/>
      <c r="T282" s="9"/>
      <c r="U282" s="9"/>
      <c r="V282" s="9"/>
      <c r="W282" s="9"/>
      <c r="X282" s="9"/>
      <c r="Y282" s="9"/>
      <c r="Z282" s="9"/>
      <c r="AA282" s="9"/>
      <c r="AB282" s="39"/>
      <c r="AC282" s="9"/>
      <c r="AD282" s="38"/>
      <c r="AE282" s="9"/>
      <c r="AF282" s="39"/>
      <c r="AG282" s="9"/>
      <c r="AH282" s="9"/>
      <c r="AI282" s="9"/>
      <c r="AJ282" s="9"/>
      <c r="AK282" s="9"/>
      <c r="AL282" s="9"/>
      <c r="AM282" s="9"/>
      <c r="AN282" s="10" t="str">
        <f aca="false">IF(A282="","",SG_Criteria!$B$6&amp;SG_Criteria!$B$7&amp;"\"&amp;A282&amp;"\")</f>
        <v/>
      </c>
      <c r="AO282" s="10" t="str">
        <f aca="false">IF(A282="","",A282&amp;"_CAD.dwg")</f>
        <v/>
      </c>
      <c r="AP282" s="10" t="str">
        <f aca="false">IF(A282="","",A282&amp;"_DWG.pdf")</f>
        <v/>
      </c>
      <c r="AQ282" s="10" t="str">
        <f aca="false">IF(A282="","",IF(AM282="Y",A282&amp;"_STAAD.std","n/a"))</f>
        <v/>
      </c>
      <c r="AR282" s="10" t="str">
        <f aca="false">IF(A282="","",A282&amp;"_CALC.xlsx")</f>
        <v/>
      </c>
      <c r="AS282" s="10" t="str">
        <f aca="false">IF(A282="","",A282&amp;"_CALC.pdf")</f>
        <v/>
      </c>
      <c r="AT282" s="9"/>
      <c r="AU282" s="9"/>
      <c r="AV282" s="39"/>
      <c r="AW282" s="39"/>
      <c r="AX282" s="39"/>
      <c r="AY282" s="39"/>
      <c r="AZ282" s="39"/>
      <c r="BA282" s="12" t="str">
        <f aca="false">IF(A282="","",IF(COUNTIF(Rebar_Schedule!$A$5:$A$2004,A282)=0,"",ROUND(SUMIF(Rebar_Schedule!$A$5:$A$2004,A282,Rebar_Schedule!$K$5:$K$2004),1)))</f>
        <v/>
      </c>
      <c r="BB282" s="33" t="str">
        <f aca="false">IF(A282="","",IF(BA282="","No rebar schedule yet",IF(ABS(BA282-N(AW282))/MAX(N(AW282),1)&gt;SG_Criteria!$B$55,"NOTE: register rebar differs from schedule by "&amp;TEXT(ABS(BA282-N(AW282))/MAX(N(AW282),1),"0%"),"OK")))</f>
        <v/>
      </c>
      <c r="BC282" s="34" t="str">
        <f aca="false">IF(OR(D282="",G282="",H282="",D282="Sump",D282="Drop Inlet Chamber",D282="Silt Trap",D282="Pipe Culvert",D282="Subsoil Drain"),"",ROUND(MAX(1,N(I282))*(1/SG_Criteria!$B$26)*((G282/1000)*(H282/1000*(1-SG_Criteria!$B$25)))*(((G282/1000)*(H282/1000*(1-SG_Criteria!$B$25)))/((G282/1000)+2*(H282/1000*(1-SG_Criteria!$B$25))))^(2/3)*(1/Design_Selector!$B$11)^0.5,3))</f>
        <v/>
      </c>
      <c r="BD282" s="11" t="str">
        <f aca="false">IF(BC282="","",ROUND(BC282/(MAX(1,N(I282))*G282/1000*(H282/1000*(1-SG_Criteria!$B$25))),2))</f>
        <v/>
      </c>
      <c r="BE282" s="33" t="str">
        <f aca="false">IF(D282="","",IF(LEN(IF(AND(OR(E282="Roadside drain",E282="Entrance culvert"),OR(G282&lt;SG_Criteria!$B$15,H282&lt;SG_Criteria!$B$16)),"FAIL: below PUB min "&amp;SG_Criteria!$B$15&amp;"x"&amp;SG_Criteria!$B$16&amp;" for roadside drain. ","")&amp;IF(AND(E282="Common drain",G282&lt;SG_Criteria!$B$17),"FAIL: common drain W &lt; "&amp;SG_Criteria!$B$17&amp;" mm. ","")&amp;IF(AND(O282&lt;&gt;"",IFERROR(VALUE(MID(O282,2,2)),0)&lt;SG_Criteria!$B$19),"FAIL: grade below C"&amp;SG_Criteria!$B$19&amp;". ","")&amp;IF(AND(P282&lt;&gt;"",P282&lt;SG_Criteria!$B$20),"FAIL: cover &lt; "&amp;SG_Criteria!$B$20&amp;" mm. ","")&amp;IF(AND(F282="Open",H282&gt;SG_Criteria!$B$18),"NOTE: safety railing required (D &gt; "&amp;SG_Criteria!$B$18&amp;" mm). ","")&amp;IF(AND(E282="Entrance culvert",H282&lt;600),"NOTE: check hinged grating rule for culverts &lt; 600 deep (PUB Add. 3). ",""))=0,"OK",IF(AND(OR(E282="Roadside drain",E282="Entrance culvert"),OR(G282&lt;SG_Criteria!$B$15,H282&lt;SG_Criteria!$B$16)),"FAIL: below PUB min "&amp;SG_Criteria!$B$15&amp;"x"&amp;SG_Criteria!$B$16&amp;" for roadside drain. ","")&amp;IF(AND(E282="Common drain",G282&lt;SG_Criteria!$B$17),"FAIL: common drain W &lt; "&amp;SG_Criteria!$B$17&amp;" mm. ","")&amp;IF(AND(O282&lt;&gt;"",IFERROR(VALUE(MID(O282,2,2)),0)&lt;SG_Criteria!$B$19),"FAIL: grade below C"&amp;SG_Criteria!$B$19&amp;". ","")&amp;IF(AND(P282&lt;&gt;"",P282&lt;SG_Criteria!$B$20),"FAIL: cover &lt; "&amp;SG_Criteria!$B$20&amp;" mm. ","")&amp;IF(AND(F282="Open",H282&gt;SG_Criteria!$B$18),"NOTE: safety railing required (D &gt; "&amp;SG_Criteria!$B$18&amp;" mm). ","")&amp;IF(AND(E282="Entrance culvert",H282&lt;600),"NOTE: check hinged grating rule for culverts &lt; 600 deep (PUB Add. 3). ","")))</f>
        <v/>
      </c>
      <c r="BF282" s="9"/>
      <c r="BG282" s="9"/>
      <c r="BH282" s="9"/>
      <c r="BI282" s="10" t="str">
        <f aca="false">IF(BH282="","",IFERROR(VLOOKUP(BH282,Projects!$A$5:$D$504,2,0),"Ref not in Projects"))</f>
        <v/>
      </c>
      <c r="BJ282" s="10" t="str">
        <f aca="false">IF(BH282="","",IFERROR(VLOOKUP(BH282,Projects!$A$5:$D$504,4,0),"Ref not in Projects"))</f>
        <v/>
      </c>
      <c r="BK282" s="9"/>
      <c r="BL282" s="9"/>
      <c r="BM282" s="9"/>
      <c r="BN282" s="40"/>
      <c r="BO282" s="9"/>
      <c r="BP282" s="40"/>
      <c r="BQ282" s="9"/>
      <c r="BR282" s="40"/>
      <c r="BS282" s="9"/>
      <c r="BT282" s="9"/>
      <c r="BU282" s="9"/>
      <c r="BV282" s="40"/>
      <c r="BW282" s="40"/>
      <c r="BX282" s="36" t="str">
        <f aca="false">IF(BW282="","",EDATE(BW282,SG_Criteria!$B$54*12))</f>
        <v/>
      </c>
      <c r="BY282" s="33" t="str">
        <f aca="true">IF(A282="","",IF(BW282="","NOTE: not reviewed yet",IF(TODAY()&gt;BX282,"NOTE: review overdue","OK")))</f>
        <v/>
      </c>
      <c r="BZ282" s="37" t="str">
        <f aca="false">IF(A282="","",ROUND((IF(LEN(D282)&gt;0,1,0)+IF(LEN(E282)&gt;0,1,0)+IF(LEN(F282)&gt;0,1,0)+IF(LEN(G282)&gt;0,1,0)+IF(LEN(H282)&gt;0,1,0)+IF(LEN(J282)&gt;0,1,0)+IF(LEN(K282)&gt;0,1,0)+IF(LEN(M282)&gt;0,1,0)+IF(LEN(O282)&gt;0,1,0)+IF(LEN(P282)&gt;0,1,0)+IF(LEN(Q282)&gt;0,1,0)+IF(LEN(S282)&gt;0,1,0)+IF(LEN(AC282)&gt;0,1,0)+IF(LEN(AV282)&gt;0,1,0)+IF(LEN(AW282)&gt;0,1,0)+IF(LEN(AG282)&gt;0,1,0)+IF(LEN(AI282)&gt;0,1,0)+IF(LEN(AJ282)&gt;0,1,0)+IF(LEN(AK282)&gt;0,1,0)+IF(LEN(AL282)&gt;0,1,0)+IF(LEN(AU282)&gt;0,1,0)+IF(LEN(BH282)&gt;0,1,0)+IF(LEN(BU282)&gt;0,1,0))/23,2))</f>
        <v/>
      </c>
      <c r="CA282" s="10" t="str">
        <f aca="false">IF(D282="","",IF(AND(AJ282="Approved",ISERROR(SEARCH("FAIL",BE282))),"Y","N"))</f>
        <v/>
      </c>
      <c r="CB282" s="10" t="str">
        <f aca="false">IF(D282="","",D282&amp;"|"&amp;G282&amp;"|"&amp;H282&amp;"|"&amp;M282&amp;"|"&amp;CA282)</f>
        <v/>
      </c>
    </row>
    <row r="283" customFormat="false" ht="15" hidden="false" customHeight="false" outlineLevel="0" collapsed="false">
      <c r="A283" s="10" t="str">
        <f aca="false">IF(D283="","","DRN-"&amp;IFERROR(VLOOKUP(D283,Lists!$A$4:$B$27,2,0),"??")&amp;"-"&amp;TEXT(G283,"0000")&amp;"x"&amp;TEXT(H283,"0000")&amp;IF(N(I283)&gt;1,"-"&amp;I283&amp;"C","")&amp;"-"&amp;IFERROR(VLOOKUP(M283,Lists!$J$4:$K$19,2,0),"??")&amp;"-"&amp;AI283)</f>
        <v/>
      </c>
      <c r="B283" s="10" t="str">
        <f aca="false">IF(D283="","",D283&amp;" "&amp;G283&amp;"W x "&amp;H283&amp;"D"&amp;IF(N(I283)&gt;1," ("&amp;I283&amp;" cells)","")&amp;", "&amp;E283&amp;", "&amp;M283&amp;", "&amp;F283)</f>
        <v/>
      </c>
      <c r="C283" s="9"/>
      <c r="D283" s="9"/>
      <c r="E283" s="9"/>
      <c r="F283" s="9"/>
      <c r="G283" s="38"/>
      <c r="H283" s="38"/>
      <c r="I283" s="38"/>
      <c r="J283" s="38"/>
      <c r="K283" s="38"/>
      <c r="L283" s="38"/>
      <c r="M283" s="9"/>
      <c r="N283" s="9"/>
      <c r="O283" s="9"/>
      <c r="P283" s="38"/>
      <c r="Q283" s="9"/>
      <c r="R283" s="9"/>
      <c r="S283" s="9"/>
      <c r="T283" s="9"/>
      <c r="U283" s="9"/>
      <c r="V283" s="9"/>
      <c r="W283" s="9"/>
      <c r="X283" s="9"/>
      <c r="Y283" s="9"/>
      <c r="Z283" s="9"/>
      <c r="AA283" s="9"/>
      <c r="AB283" s="39"/>
      <c r="AC283" s="9"/>
      <c r="AD283" s="38"/>
      <c r="AE283" s="9"/>
      <c r="AF283" s="39"/>
      <c r="AG283" s="9"/>
      <c r="AH283" s="9"/>
      <c r="AI283" s="9"/>
      <c r="AJ283" s="9"/>
      <c r="AK283" s="9"/>
      <c r="AL283" s="9"/>
      <c r="AM283" s="9"/>
      <c r="AN283" s="10" t="str">
        <f aca="false">IF(A283="","",SG_Criteria!$B$6&amp;SG_Criteria!$B$7&amp;"\"&amp;A283&amp;"\")</f>
        <v/>
      </c>
      <c r="AO283" s="10" t="str">
        <f aca="false">IF(A283="","",A283&amp;"_CAD.dwg")</f>
        <v/>
      </c>
      <c r="AP283" s="10" t="str">
        <f aca="false">IF(A283="","",A283&amp;"_DWG.pdf")</f>
        <v/>
      </c>
      <c r="AQ283" s="10" t="str">
        <f aca="false">IF(A283="","",IF(AM283="Y",A283&amp;"_STAAD.std","n/a"))</f>
        <v/>
      </c>
      <c r="AR283" s="10" t="str">
        <f aca="false">IF(A283="","",A283&amp;"_CALC.xlsx")</f>
        <v/>
      </c>
      <c r="AS283" s="10" t="str">
        <f aca="false">IF(A283="","",A283&amp;"_CALC.pdf")</f>
        <v/>
      </c>
      <c r="AT283" s="9"/>
      <c r="AU283" s="9"/>
      <c r="AV283" s="39"/>
      <c r="AW283" s="39"/>
      <c r="AX283" s="39"/>
      <c r="AY283" s="39"/>
      <c r="AZ283" s="39"/>
      <c r="BA283" s="12" t="str">
        <f aca="false">IF(A283="","",IF(COUNTIF(Rebar_Schedule!$A$5:$A$2004,A283)=0,"",ROUND(SUMIF(Rebar_Schedule!$A$5:$A$2004,A283,Rebar_Schedule!$K$5:$K$2004),1)))</f>
        <v/>
      </c>
      <c r="BB283" s="33" t="str">
        <f aca="false">IF(A283="","",IF(BA283="","No rebar schedule yet",IF(ABS(BA283-N(AW283))/MAX(N(AW283),1)&gt;SG_Criteria!$B$55,"NOTE: register rebar differs from schedule by "&amp;TEXT(ABS(BA283-N(AW283))/MAX(N(AW283),1),"0%"),"OK")))</f>
        <v/>
      </c>
      <c r="BC283" s="34" t="str">
        <f aca="false">IF(OR(D283="",G283="",H283="",D283="Sump",D283="Drop Inlet Chamber",D283="Silt Trap",D283="Pipe Culvert",D283="Subsoil Drain"),"",ROUND(MAX(1,N(I283))*(1/SG_Criteria!$B$26)*((G283/1000)*(H283/1000*(1-SG_Criteria!$B$25)))*(((G283/1000)*(H283/1000*(1-SG_Criteria!$B$25)))/((G283/1000)+2*(H283/1000*(1-SG_Criteria!$B$25))))^(2/3)*(1/Design_Selector!$B$11)^0.5,3))</f>
        <v/>
      </c>
      <c r="BD283" s="11" t="str">
        <f aca="false">IF(BC283="","",ROUND(BC283/(MAX(1,N(I283))*G283/1000*(H283/1000*(1-SG_Criteria!$B$25))),2))</f>
        <v/>
      </c>
      <c r="BE283" s="33" t="str">
        <f aca="false">IF(D283="","",IF(LEN(IF(AND(OR(E283="Roadside drain",E283="Entrance culvert"),OR(G283&lt;SG_Criteria!$B$15,H283&lt;SG_Criteria!$B$16)),"FAIL: below PUB min "&amp;SG_Criteria!$B$15&amp;"x"&amp;SG_Criteria!$B$16&amp;" for roadside drain. ","")&amp;IF(AND(E283="Common drain",G283&lt;SG_Criteria!$B$17),"FAIL: common drain W &lt; "&amp;SG_Criteria!$B$17&amp;" mm. ","")&amp;IF(AND(O283&lt;&gt;"",IFERROR(VALUE(MID(O283,2,2)),0)&lt;SG_Criteria!$B$19),"FAIL: grade below C"&amp;SG_Criteria!$B$19&amp;". ","")&amp;IF(AND(P283&lt;&gt;"",P283&lt;SG_Criteria!$B$20),"FAIL: cover &lt; "&amp;SG_Criteria!$B$20&amp;" mm. ","")&amp;IF(AND(F283="Open",H283&gt;SG_Criteria!$B$18),"NOTE: safety railing required (D &gt; "&amp;SG_Criteria!$B$18&amp;" mm). ","")&amp;IF(AND(E283="Entrance culvert",H283&lt;600),"NOTE: check hinged grating rule for culverts &lt; 600 deep (PUB Add. 3). ",""))=0,"OK",IF(AND(OR(E283="Roadside drain",E283="Entrance culvert"),OR(G283&lt;SG_Criteria!$B$15,H283&lt;SG_Criteria!$B$16)),"FAIL: below PUB min "&amp;SG_Criteria!$B$15&amp;"x"&amp;SG_Criteria!$B$16&amp;" for roadside drain. ","")&amp;IF(AND(E283="Common drain",G283&lt;SG_Criteria!$B$17),"FAIL: common drain W &lt; "&amp;SG_Criteria!$B$17&amp;" mm. ","")&amp;IF(AND(O283&lt;&gt;"",IFERROR(VALUE(MID(O283,2,2)),0)&lt;SG_Criteria!$B$19),"FAIL: grade below C"&amp;SG_Criteria!$B$19&amp;". ","")&amp;IF(AND(P283&lt;&gt;"",P283&lt;SG_Criteria!$B$20),"FAIL: cover &lt; "&amp;SG_Criteria!$B$20&amp;" mm. ","")&amp;IF(AND(F283="Open",H283&gt;SG_Criteria!$B$18),"NOTE: safety railing required (D &gt; "&amp;SG_Criteria!$B$18&amp;" mm). ","")&amp;IF(AND(E283="Entrance culvert",H283&lt;600),"NOTE: check hinged grating rule for culverts &lt; 600 deep (PUB Add. 3). ","")))</f>
        <v/>
      </c>
      <c r="BF283" s="9"/>
      <c r="BG283" s="9"/>
      <c r="BH283" s="9"/>
      <c r="BI283" s="10" t="str">
        <f aca="false">IF(BH283="","",IFERROR(VLOOKUP(BH283,Projects!$A$5:$D$504,2,0),"Ref not in Projects"))</f>
        <v/>
      </c>
      <c r="BJ283" s="10" t="str">
        <f aca="false">IF(BH283="","",IFERROR(VLOOKUP(BH283,Projects!$A$5:$D$504,4,0),"Ref not in Projects"))</f>
        <v/>
      </c>
      <c r="BK283" s="9"/>
      <c r="BL283" s="9"/>
      <c r="BM283" s="9"/>
      <c r="BN283" s="40"/>
      <c r="BO283" s="9"/>
      <c r="BP283" s="40"/>
      <c r="BQ283" s="9"/>
      <c r="BR283" s="40"/>
      <c r="BS283" s="9"/>
      <c r="BT283" s="9"/>
      <c r="BU283" s="9"/>
      <c r="BV283" s="40"/>
      <c r="BW283" s="40"/>
      <c r="BX283" s="36" t="str">
        <f aca="false">IF(BW283="","",EDATE(BW283,SG_Criteria!$B$54*12))</f>
        <v/>
      </c>
      <c r="BY283" s="33" t="str">
        <f aca="true">IF(A283="","",IF(BW283="","NOTE: not reviewed yet",IF(TODAY()&gt;BX283,"NOTE: review overdue","OK")))</f>
        <v/>
      </c>
      <c r="BZ283" s="37" t="str">
        <f aca="false">IF(A283="","",ROUND((IF(LEN(D283)&gt;0,1,0)+IF(LEN(E283)&gt;0,1,0)+IF(LEN(F283)&gt;0,1,0)+IF(LEN(G283)&gt;0,1,0)+IF(LEN(H283)&gt;0,1,0)+IF(LEN(J283)&gt;0,1,0)+IF(LEN(K283)&gt;0,1,0)+IF(LEN(M283)&gt;0,1,0)+IF(LEN(O283)&gt;0,1,0)+IF(LEN(P283)&gt;0,1,0)+IF(LEN(Q283)&gt;0,1,0)+IF(LEN(S283)&gt;0,1,0)+IF(LEN(AC283)&gt;0,1,0)+IF(LEN(AV283)&gt;0,1,0)+IF(LEN(AW283)&gt;0,1,0)+IF(LEN(AG283)&gt;0,1,0)+IF(LEN(AI283)&gt;0,1,0)+IF(LEN(AJ283)&gt;0,1,0)+IF(LEN(AK283)&gt;0,1,0)+IF(LEN(AL283)&gt;0,1,0)+IF(LEN(AU283)&gt;0,1,0)+IF(LEN(BH283)&gt;0,1,0)+IF(LEN(BU283)&gt;0,1,0))/23,2))</f>
        <v/>
      </c>
      <c r="CA283" s="10" t="str">
        <f aca="false">IF(D283="","",IF(AND(AJ283="Approved",ISERROR(SEARCH("FAIL",BE283))),"Y","N"))</f>
        <v/>
      </c>
      <c r="CB283" s="10" t="str">
        <f aca="false">IF(D283="","",D283&amp;"|"&amp;G283&amp;"|"&amp;H283&amp;"|"&amp;M283&amp;"|"&amp;CA283)</f>
        <v/>
      </c>
    </row>
    <row r="284" customFormat="false" ht="15" hidden="false" customHeight="false" outlineLevel="0" collapsed="false">
      <c r="A284" s="10" t="str">
        <f aca="false">IF(D284="","","DRN-"&amp;IFERROR(VLOOKUP(D284,Lists!$A$4:$B$27,2,0),"??")&amp;"-"&amp;TEXT(G284,"0000")&amp;"x"&amp;TEXT(H284,"0000")&amp;IF(N(I284)&gt;1,"-"&amp;I284&amp;"C","")&amp;"-"&amp;IFERROR(VLOOKUP(M284,Lists!$J$4:$K$19,2,0),"??")&amp;"-"&amp;AI284)</f>
        <v/>
      </c>
      <c r="B284" s="10" t="str">
        <f aca="false">IF(D284="","",D284&amp;" "&amp;G284&amp;"W x "&amp;H284&amp;"D"&amp;IF(N(I284)&gt;1," ("&amp;I284&amp;" cells)","")&amp;", "&amp;E284&amp;", "&amp;M284&amp;", "&amp;F284)</f>
        <v/>
      </c>
      <c r="C284" s="9"/>
      <c r="D284" s="9"/>
      <c r="E284" s="9"/>
      <c r="F284" s="9"/>
      <c r="G284" s="38"/>
      <c r="H284" s="38"/>
      <c r="I284" s="38"/>
      <c r="J284" s="38"/>
      <c r="K284" s="38"/>
      <c r="L284" s="38"/>
      <c r="M284" s="9"/>
      <c r="N284" s="9"/>
      <c r="O284" s="9"/>
      <c r="P284" s="38"/>
      <c r="Q284" s="9"/>
      <c r="R284" s="9"/>
      <c r="S284" s="9"/>
      <c r="T284" s="9"/>
      <c r="U284" s="9"/>
      <c r="V284" s="9"/>
      <c r="W284" s="9"/>
      <c r="X284" s="9"/>
      <c r="Y284" s="9"/>
      <c r="Z284" s="9"/>
      <c r="AA284" s="9"/>
      <c r="AB284" s="39"/>
      <c r="AC284" s="9"/>
      <c r="AD284" s="38"/>
      <c r="AE284" s="9"/>
      <c r="AF284" s="39"/>
      <c r="AG284" s="9"/>
      <c r="AH284" s="9"/>
      <c r="AI284" s="9"/>
      <c r="AJ284" s="9"/>
      <c r="AK284" s="9"/>
      <c r="AL284" s="9"/>
      <c r="AM284" s="9"/>
      <c r="AN284" s="10" t="str">
        <f aca="false">IF(A284="","",SG_Criteria!$B$6&amp;SG_Criteria!$B$7&amp;"\"&amp;A284&amp;"\")</f>
        <v/>
      </c>
      <c r="AO284" s="10" t="str">
        <f aca="false">IF(A284="","",A284&amp;"_CAD.dwg")</f>
        <v/>
      </c>
      <c r="AP284" s="10" t="str">
        <f aca="false">IF(A284="","",A284&amp;"_DWG.pdf")</f>
        <v/>
      </c>
      <c r="AQ284" s="10" t="str">
        <f aca="false">IF(A284="","",IF(AM284="Y",A284&amp;"_STAAD.std","n/a"))</f>
        <v/>
      </c>
      <c r="AR284" s="10" t="str">
        <f aca="false">IF(A284="","",A284&amp;"_CALC.xlsx")</f>
        <v/>
      </c>
      <c r="AS284" s="10" t="str">
        <f aca="false">IF(A284="","",A284&amp;"_CALC.pdf")</f>
        <v/>
      </c>
      <c r="AT284" s="9"/>
      <c r="AU284" s="9"/>
      <c r="AV284" s="39"/>
      <c r="AW284" s="39"/>
      <c r="AX284" s="39"/>
      <c r="AY284" s="39"/>
      <c r="AZ284" s="39"/>
      <c r="BA284" s="12" t="str">
        <f aca="false">IF(A284="","",IF(COUNTIF(Rebar_Schedule!$A$5:$A$2004,A284)=0,"",ROUND(SUMIF(Rebar_Schedule!$A$5:$A$2004,A284,Rebar_Schedule!$K$5:$K$2004),1)))</f>
        <v/>
      </c>
      <c r="BB284" s="33" t="str">
        <f aca="false">IF(A284="","",IF(BA284="","No rebar schedule yet",IF(ABS(BA284-N(AW284))/MAX(N(AW284),1)&gt;SG_Criteria!$B$55,"NOTE: register rebar differs from schedule by "&amp;TEXT(ABS(BA284-N(AW284))/MAX(N(AW284),1),"0%"),"OK")))</f>
        <v/>
      </c>
      <c r="BC284" s="34" t="str">
        <f aca="false">IF(OR(D284="",G284="",H284="",D284="Sump",D284="Drop Inlet Chamber",D284="Silt Trap",D284="Pipe Culvert",D284="Subsoil Drain"),"",ROUND(MAX(1,N(I284))*(1/SG_Criteria!$B$26)*((G284/1000)*(H284/1000*(1-SG_Criteria!$B$25)))*(((G284/1000)*(H284/1000*(1-SG_Criteria!$B$25)))/((G284/1000)+2*(H284/1000*(1-SG_Criteria!$B$25))))^(2/3)*(1/Design_Selector!$B$11)^0.5,3))</f>
        <v/>
      </c>
      <c r="BD284" s="11" t="str">
        <f aca="false">IF(BC284="","",ROUND(BC284/(MAX(1,N(I284))*G284/1000*(H284/1000*(1-SG_Criteria!$B$25))),2))</f>
        <v/>
      </c>
      <c r="BE284" s="33" t="str">
        <f aca="false">IF(D284="","",IF(LEN(IF(AND(OR(E284="Roadside drain",E284="Entrance culvert"),OR(G284&lt;SG_Criteria!$B$15,H284&lt;SG_Criteria!$B$16)),"FAIL: below PUB min "&amp;SG_Criteria!$B$15&amp;"x"&amp;SG_Criteria!$B$16&amp;" for roadside drain. ","")&amp;IF(AND(E284="Common drain",G284&lt;SG_Criteria!$B$17),"FAIL: common drain W &lt; "&amp;SG_Criteria!$B$17&amp;" mm. ","")&amp;IF(AND(O284&lt;&gt;"",IFERROR(VALUE(MID(O284,2,2)),0)&lt;SG_Criteria!$B$19),"FAIL: grade below C"&amp;SG_Criteria!$B$19&amp;". ","")&amp;IF(AND(P284&lt;&gt;"",P284&lt;SG_Criteria!$B$20),"FAIL: cover &lt; "&amp;SG_Criteria!$B$20&amp;" mm. ","")&amp;IF(AND(F284="Open",H284&gt;SG_Criteria!$B$18),"NOTE: safety railing required (D &gt; "&amp;SG_Criteria!$B$18&amp;" mm). ","")&amp;IF(AND(E284="Entrance culvert",H284&lt;600),"NOTE: check hinged grating rule for culverts &lt; 600 deep (PUB Add. 3). ",""))=0,"OK",IF(AND(OR(E284="Roadside drain",E284="Entrance culvert"),OR(G284&lt;SG_Criteria!$B$15,H284&lt;SG_Criteria!$B$16)),"FAIL: below PUB min "&amp;SG_Criteria!$B$15&amp;"x"&amp;SG_Criteria!$B$16&amp;" for roadside drain. ","")&amp;IF(AND(E284="Common drain",G284&lt;SG_Criteria!$B$17),"FAIL: common drain W &lt; "&amp;SG_Criteria!$B$17&amp;" mm. ","")&amp;IF(AND(O284&lt;&gt;"",IFERROR(VALUE(MID(O284,2,2)),0)&lt;SG_Criteria!$B$19),"FAIL: grade below C"&amp;SG_Criteria!$B$19&amp;". ","")&amp;IF(AND(P284&lt;&gt;"",P284&lt;SG_Criteria!$B$20),"FAIL: cover &lt; "&amp;SG_Criteria!$B$20&amp;" mm. ","")&amp;IF(AND(F284="Open",H284&gt;SG_Criteria!$B$18),"NOTE: safety railing required (D &gt; "&amp;SG_Criteria!$B$18&amp;" mm). ","")&amp;IF(AND(E284="Entrance culvert",H284&lt;600),"NOTE: check hinged grating rule for culverts &lt; 600 deep (PUB Add. 3). ","")))</f>
        <v/>
      </c>
      <c r="BF284" s="9"/>
      <c r="BG284" s="9"/>
      <c r="BH284" s="9"/>
      <c r="BI284" s="10" t="str">
        <f aca="false">IF(BH284="","",IFERROR(VLOOKUP(BH284,Projects!$A$5:$D$504,2,0),"Ref not in Projects"))</f>
        <v/>
      </c>
      <c r="BJ284" s="10" t="str">
        <f aca="false">IF(BH284="","",IFERROR(VLOOKUP(BH284,Projects!$A$5:$D$504,4,0),"Ref not in Projects"))</f>
        <v/>
      </c>
      <c r="BK284" s="9"/>
      <c r="BL284" s="9"/>
      <c r="BM284" s="9"/>
      <c r="BN284" s="40"/>
      <c r="BO284" s="9"/>
      <c r="BP284" s="40"/>
      <c r="BQ284" s="9"/>
      <c r="BR284" s="40"/>
      <c r="BS284" s="9"/>
      <c r="BT284" s="9"/>
      <c r="BU284" s="9"/>
      <c r="BV284" s="40"/>
      <c r="BW284" s="40"/>
      <c r="BX284" s="36" t="str">
        <f aca="false">IF(BW284="","",EDATE(BW284,SG_Criteria!$B$54*12))</f>
        <v/>
      </c>
      <c r="BY284" s="33" t="str">
        <f aca="true">IF(A284="","",IF(BW284="","NOTE: not reviewed yet",IF(TODAY()&gt;BX284,"NOTE: review overdue","OK")))</f>
        <v/>
      </c>
      <c r="BZ284" s="37" t="str">
        <f aca="false">IF(A284="","",ROUND((IF(LEN(D284)&gt;0,1,0)+IF(LEN(E284)&gt;0,1,0)+IF(LEN(F284)&gt;0,1,0)+IF(LEN(G284)&gt;0,1,0)+IF(LEN(H284)&gt;0,1,0)+IF(LEN(J284)&gt;0,1,0)+IF(LEN(K284)&gt;0,1,0)+IF(LEN(M284)&gt;0,1,0)+IF(LEN(O284)&gt;0,1,0)+IF(LEN(P284)&gt;0,1,0)+IF(LEN(Q284)&gt;0,1,0)+IF(LEN(S284)&gt;0,1,0)+IF(LEN(AC284)&gt;0,1,0)+IF(LEN(AV284)&gt;0,1,0)+IF(LEN(AW284)&gt;0,1,0)+IF(LEN(AG284)&gt;0,1,0)+IF(LEN(AI284)&gt;0,1,0)+IF(LEN(AJ284)&gt;0,1,0)+IF(LEN(AK284)&gt;0,1,0)+IF(LEN(AL284)&gt;0,1,0)+IF(LEN(AU284)&gt;0,1,0)+IF(LEN(BH284)&gt;0,1,0)+IF(LEN(BU284)&gt;0,1,0))/23,2))</f>
        <v/>
      </c>
      <c r="CA284" s="10" t="str">
        <f aca="false">IF(D284="","",IF(AND(AJ284="Approved",ISERROR(SEARCH("FAIL",BE284))),"Y","N"))</f>
        <v/>
      </c>
      <c r="CB284" s="10" t="str">
        <f aca="false">IF(D284="","",D284&amp;"|"&amp;G284&amp;"|"&amp;H284&amp;"|"&amp;M284&amp;"|"&amp;CA284)</f>
        <v/>
      </c>
    </row>
    <row r="285" customFormat="false" ht="15" hidden="false" customHeight="false" outlineLevel="0" collapsed="false">
      <c r="A285" s="10" t="str">
        <f aca="false">IF(D285="","","DRN-"&amp;IFERROR(VLOOKUP(D285,Lists!$A$4:$B$27,2,0),"??")&amp;"-"&amp;TEXT(G285,"0000")&amp;"x"&amp;TEXT(H285,"0000")&amp;IF(N(I285)&gt;1,"-"&amp;I285&amp;"C","")&amp;"-"&amp;IFERROR(VLOOKUP(M285,Lists!$J$4:$K$19,2,0),"??")&amp;"-"&amp;AI285)</f>
        <v/>
      </c>
      <c r="B285" s="10" t="str">
        <f aca="false">IF(D285="","",D285&amp;" "&amp;G285&amp;"W x "&amp;H285&amp;"D"&amp;IF(N(I285)&gt;1," ("&amp;I285&amp;" cells)","")&amp;", "&amp;E285&amp;", "&amp;M285&amp;", "&amp;F285)</f>
        <v/>
      </c>
      <c r="C285" s="9"/>
      <c r="D285" s="9"/>
      <c r="E285" s="9"/>
      <c r="F285" s="9"/>
      <c r="G285" s="38"/>
      <c r="H285" s="38"/>
      <c r="I285" s="38"/>
      <c r="J285" s="38"/>
      <c r="K285" s="38"/>
      <c r="L285" s="38"/>
      <c r="M285" s="9"/>
      <c r="N285" s="9"/>
      <c r="O285" s="9"/>
      <c r="P285" s="38"/>
      <c r="Q285" s="9"/>
      <c r="R285" s="9"/>
      <c r="S285" s="9"/>
      <c r="T285" s="9"/>
      <c r="U285" s="9"/>
      <c r="V285" s="9"/>
      <c r="W285" s="9"/>
      <c r="X285" s="9"/>
      <c r="Y285" s="9"/>
      <c r="Z285" s="9"/>
      <c r="AA285" s="9"/>
      <c r="AB285" s="39"/>
      <c r="AC285" s="9"/>
      <c r="AD285" s="38"/>
      <c r="AE285" s="9"/>
      <c r="AF285" s="39"/>
      <c r="AG285" s="9"/>
      <c r="AH285" s="9"/>
      <c r="AI285" s="9"/>
      <c r="AJ285" s="9"/>
      <c r="AK285" s="9"/>
      <c r="AL285" s="9"/>
      <c r="AM285" s="9"/>
      <c r="AN285" s="10" t="str">
        <f aca="false">IF(A285="","",SG_Criteria!$B$6&amp;SG_Criteria!$B$7&amp;"\"&amp;A285&amp;"\")</f>
        <v/>
      </c>
      <c r="AO285" s="10" t="str">
        <f aca="false">IF(A285="","",A285&amp;"_CAD.dwg")</f>
        <v/>
      </c>
      <c r="AP285" s="10" t="str">
        <f aca="false">IF(A285="","",A285&amp;"_DWG.pdf")</f>
        <v/>
      </c>
      <c r="AQ285" s="10" t="str">
        <f aca="false">IF(A285="","",IF(AM285="Y",A285&amp;"_STAAD.std","n/a"))</f>
        <v/>
      </c>
      <c r="AR285" s="10" t="str">
        <f aca="false">IF(A285="","",A285&amp;"_CALC.xlsx")</f>
        <v/>
      </c>
      <c r="AS285" s="10" t="str">
        <f aca="false">IF(A285="","",A285&amp;"_CALC.pdf")</f>
        <v/>
      </c>
      <c r="AT285" s="9"/>
      <c r="AU285" s="9"/>
      <c r="AV285" s="39"/>
      <c r="AW285" s="39"/>
      <c r="AX285" s="39"/>
      <c r="AY285" s="39"/>
      <c r="AZ285" s="39"/>
      <c r="BA285" s="12" t="str">
        <f aca="false">IF(A285="","",IF(COUNTIF(Rebar_Schedule!$A$5:$A$2004,A285)=0,"",ROUND(SUMIF(Rebar_Schedule!$A$5:$A$2004,A285,Rebar_Schedule!$K$5:$K$2004),1)))</f>
        <v/>
      </c>
      <c r="BB285" s="33" t="str">
        <f aca="false">IF(A285="","",IF(BA285="","No rebar schedule yet",IF(ABS(BA285-N(AW285))/MAX(N(AW285),1)&gt;SG_Criteria!$B$55,"NOTE: register rebar differs from schedule by "&amp;TEXT(ABS(BA285-N(AW285))/MAX(N(AW285),1),"0%"),"OK")))</f>
        <v/>
      </c>
      <c r="BC285" s="34" t="str">
        <f aca="false">IF(OR(D285="",G285="",H285="",D285="Sump",D285="Drop Inlet Chamber",D285="Silt Trap",D285="Pipe Culvert",D285="Subsoil Drain"),"",ROUND(MAX(1,N(I285))*(1/SG_Criteria!$B$26)*((G285/1000)*(H285/1000*(1-SG_Criteria!$B$25)))*(((G285/1000)*(H285/1000*(1-SG_Criteria!$B$25)))/((G285/1000)+2*(H285/1000*(1-SG_Criteria!$B$25))))^(2/3)*(1/Design_Selector!$B$11)^0.5,3))</f>
        <v/>
      </c>
      <c r="BD285" s="11" t="str">
        <f aca="false">IF(BC285="","",ROUND(BC285/(MAX(1,N(I285))*G285/1000*(H285/1000*(1-SG_Criteria!$B$25))),2))</f>
        <v/>
      </c>
      <c r="BE285" s="33" t="str">
        <f aca="false">IF(D285="","",IF(LEN(IF(AND(OR(E285="Roadside drain",E285="Entrance culvert"),OR(G285&lt;SG_Criteria!$B$15,H285&lt;SG_Criteria!$B$16)),"FAIL: below PUB min "&amp;SG_Criteria!$B$15&amp;"x"&amp;SG_Criteria!$B$16&amp;" for roadside drain. ","")&amp;IF(AND(E285="Common drain",G285&lt;SG_Criteria!$B$17),"FAIL: common drain W &lt; "&amp;SG_Criteria!$B$17&amp;" mm. ","")&amp;IF(AND(O285&lt;&gt;"",IFERROR(VALUE(MID(O285,2,2)),0)&lt;SG_Criteria!$B$19),"FAIL: grade below C"&amp;SG_Criteria!$B$19&amp;". ","")&amp;IF(AND(P285&lt;&gt;"",P285&lt;SG_Criteria!$B$20),"FAIL: cover &lt; "&amp;SG_Criteria!$B$20&amp;" mm. ","")&amp;IF(AND(F285="Open",H285&gt;SG_Criteria!$B$18),"NOTE: safety railing required (D &gt; "&amp;SG_Criteria!$B$18&amp;" mm). ","")&amp;IF(AND(E285="Entrance culvert",H285&lt;600),"NOTE: check hinged grating rule for culverts &lt; 600 deep (PUB Add. 3). ",""))=0,"OK",IF(AND(OR(E285="Roadside drain",E285="Entrance culvert"),OR(G285&lt;SG_Criteria!$B$15,H285&lt;SG_Criteria!$B$16)),"FAIL: below PUB min "&amp;SG_Criteria!$B$15&amp;"x"&amp;SG_Criteria!$B$16&amp;" for roadside drain. ","")&amp;IF(AND(E285="Common drain",G285&lt;SG_Criteria!$B$17),"FAIL: common drain W &lt; "&amp;SG_Criteria!$B$17&amp;" mm. ","")&amp;IF(AND(O285&lt;&gt;"",IFERROR(VALUE(MID(O285,2,2)),0)&lt;SG_Criteria!$B$19),"FAIL: grade below C"&amp;SG_Criteria!$B$19&amp;". ","")&amp;IF(AND(P285&lt;&gt;"",P285&lt;SG_Criteria!$B$20),"FAIL: cover &lt; "&amp;SG_Criteria!$B$20&amp;" mm. ","")&amp;IF(AND(F285="Open",H285&gt;SG_Criteria!$B$18),"NOTE: safety railing required (D &gt; "&amp;SG_Criteria!$B$18&amp;" mm). ","")&amp;IF(AND(E285="Entrance culvert",H285&lt;600),"NOTE: check hinged grating rule for culverts &lt; 600 deep (PUB Add. 3). ","")))</f>
        <v/>
      </c>
      <c r="BF285" s="9"/>
      <c r="BG285" s="9"/>
      <c r="BH285" s="9"/>
      <c r="BI285" s="10" t="str">
        <f aca="false">IF(BH285="","",IFERROR(VLOOKUP(BH285,Projects!$A$5:$D$504,2,0),"Ref not in Projects"))</f>
        <v/>
      </c>
      <c r="BJ285" s="10" t="str">
        <f aca="false">IF(BH285="","",IFERROR(VLOOKUP(BH285,Projects!$A$5:$D$504,4,0),"Ref not in Projects"))</f>
        <v/>
      </c>
      <c r="BK285" s="9"/>
      <c r="BL285" s="9"/>
      <c r="BM285" s="9"/>
      <c r="BN285" s="40"/>
      <c r="BO285" s="9"/>
      <c r="BP285" s="40"/>
      <c r="BQ285" s="9"/>
      <c r="BR285" s="40"/>
      <c r="BS285" s="9"/>
      <c r="BT285" s="9"/>
      <c r="BU285" s="9"/>
      <c r="BV285" s="40"/>
      <c r="BW285" s="40"/>
      <c r="BX285" s="36" t="str">
        <f aca="false">IF(BW285="","",EDATE(BW285,SG_Criteria!$B$54*12))</f>
        <v/>
      </c>
      <c r="BY285" s="33" t="str">
        <f aca="true">IF(A285="","",IF(BW285="","NOTE: not reviewed yet",IF(TODAY()&gt;BX285,"NOTE: review overdue","OK")))</f>
        <v/>
      </c>
      <c r="BZ285" s="37" t="str">
        <f aca="false">IF(A285="","",ROUND((IF(LEN(D285)&gt;0,1,0)+IF(LEN(E285)&gt;0,1,0)+IF(LEN(F285)&gt;0,1,0)+IF(LEN(G285)&gt;0,1,0)+IF(LEN(H285)&gt;0,1,0)+IF(LEN(J285)&gt;0,1,0)+IF(LEN(K285)&gt;0,1,0)+IF(LEN(M285)&gt;0,1,0)+IF(LEN(O285)&gt;0,1,0)+IF(LEN(P285)&gt;0,1,0)+IF(LEN(Q285)&gt;0,1,0)+IF(LEN(S285)&gt;0,1,0)+IF(LEN(AC285)&gt;0,1,0)+IF(LEN(AV285)&gt;0,1,0)+IF(LEN(AW285)&gt;0,1,0)+IF(LEN(AG285)&gt;0,1,0)+IF(LEN(AI285)&gt;0,1,0)+IF(LEN(AJ285)&gt;0,1,0)+IF(LEN(AK285)&gt;0,1,0)+IF(LEN(AL285)&gt;0,1,0)+IF(LEN(AU285)&gt;0,1,0)+IF(LEN(BH285)&gt;0,1,0)+IF(LEN(BU285)&gt;0,1,0))/23,2))</f>
        <v/>
      </c>
      <c r="CA285" s="10" t="str">
        <f aca="false">IF(D285="","",IF(AND(AJ285="Approved",ISERROR(SEARCH("FAIL",BE285))),"Y","N"))</f>
        <v/>
      </c>
      <c r="CB285" s="10" t="str">
        <f aca="false">IF(D285="","",D285&amp;"|"&amp;G285&amp;"|"&amp;H285&amp;"|"&amp;M285&amp;"|"&amp;CA285)</f>
        <v/>
      </c>
    </row>
    <row r="286" customFormat="false" ht="15" hidden="false" customHeight="false" outlineLevel="0" collapsed="false">
      <c r="A286" s="10" t="str">
        <f aca="false">IF(D286="","","DRN-"&amp;IFERROR(VLOOKUP(D286,Lists!$A$4:$B$27,2,0),"??")&amp;"-"&amp;TEXT(G286,"0000")&amp;"x"&amp;TEXT(H286,"0000")&amp;IF(N(I286)&gt;1,"-"&amp;I286&amp;"C","")&amp;"-"&amp;IFERROR(VLOOKUP(M286,Lists!$J$4:$K$19,2,0),"??")&amp;"-"&amp;AI286)</f>
        <v/>
      </c>
      <c r="B286" s="10" t="str">
        <f aca="false">IF(D286="","",D286&amp;" "&amp;G286&amp;"W x "&amp;H286&amp;"D"&amp;IF(N(I286)&gt;1," ("&amp;I286&amp;" cells)","")&amp;", "&amp;E286&amp;", "&amp;M286&amp;", "&amp;F286)</f>
        <v/>
      </c>
      <c r="C286" s="9"/>
      <c r="D286" s="9"/>
      <c r="E286" s="9"/>
      <c r="F286" s="9"/>
      <c r="G286" s="38"/>
      <c r="H286" s="38"/>
      <c r="I286" s="38"/>
      <c r="J286" s="38"/>
      <c r="K286" s="38"/>
      <c r="L286" s="38"/>
      <c r="M286" s="9"/>
      <c r="N286" s="9"/>
      <c r="O286" s="9"/>
      <c r="P286" s="38"/>
      <c r="Q286" s="9"/>
      <c r="R286" s="9"/>
      <c r="S286" s="9"/>
      <c r="T286" s="9"/>
      <c r="U286" s="9"/>
      <c r="V286" s="9"/>
      <c r="W286" s="9"/>
      <c r="X286" s="9"/>
      <c r="Y286" s="9"/>
      <c r="Z286" s="9"/>
      <c r="AA286" s="9"/>
      <c r="AB286" s="39"/>
      <c r="AC286" s="9"/>
      <c r="AD286" s="38"/>
      <c r="AE286" s="9"/>
      <c r="AF286" s="39"/>
      <c r="AG286" s="9"/>
      <c r="AH286" s="9"/>
      <c r="AI286" s="9"/>
      <c r="AJ286" s="9"/>
      <c r="AK286" s="9"/>
      <c r="AL286" s="9"/>
      <c r="AM286" s="9"/>
      <c r="AN286" s="10" t="str">
        <f aca="false">IF(A286="","",SG_Criteria!$B$6&amp;SG_Criteria!$B$7&amp;"\"&amp;A286&amp;"\")</f>
        <v/>
      </c>
      <c r="AO286" s="10" t="str">
        <f aca="false">IF(A286="","",A286&amp;"_CAD.dwg")</f>
        <v/>
      </c>
      <c r="AP286" s="10" t="str">
        <f aca="false">IF(A286="","",A286&amp;"_DWG.pdf")</f>
        <v/>
      </c>
      <c r="AQ286" s="10" t="str">
        <f aca="false">IF(A286="","",IF(AM286="Y",A286&amp;"_STAAD.std","n/a"))</f>
        <v/>
      </c>
      <c r="AR286" s="10" t="str">
        <f aca="false">IF(A286="","",A286&amp;"_CALC.xlsx")</f>
        <v/>
      </c>
      <c r="AS286" s="10" t="str">
        <f aca="false">IF(A286="","",A286&amp;"_CALC.pdf")</f>
        <v/>
      </c>
      <c r="AT286" s="9"/>
      <c r="AU286" s="9"/>
      <c r="AV286" s="39"/>
      <c r="AW286" s="39"/>
      <c r="AX286" s="39"/>
      <c r="AY286" s="39"/>
      <c r="AZ286" s="39"/>
      <c r="BA286" s="12" t="str">
        <f aca="false">IF(A286="","",IF(COUNTIF(Rebar_Schedule!$A$5:$A$2004,A286)=0,"",ROUND(SUMIF(Rebar_Schedule!$A$5:$A$2004,A286,Rebar_Schedule!$K$5:$K$2004),1)))</f>
        <v/>
      </c>
      <c r="BB286" s="33" t="str">
        <f aca="false">IF(A286="","",IF(BA286="","No rebar schedule yet",IF(ABS(BA286-N(AW286))/MAX(N(AW286),1)&gt;SG_Criteria!$B$55,"NOTE: register rebar differs from schedule by "&amp;TEXT(ABS(BA286-N(AW286))/MAX(N(AW286),1),"0%"),"OK")))</f>
        <v/>
      </c>
      <c r="BC286" s="34" t="str">
        <f aca="false">IF(OR(D286="",G286="",H286="",D286="Sump",D286="Drop Inlet Chamber",D286="Silt Trap",D286="Pipe Culvert",D286="Subsoil Drain"),"",ROUND(MAX(1,N(I286))*(1/SG_Criteria!$B$26)*((G286/1000)*(H286/1000*(1-SG_Criteria!$B$25)))*(((G286/1000)*(H286/1000*(1-SG_Criteria!$B$25)))/((G286/1000)+2*(H286/1000*(1-SG_Criteria!$B$25))))^(2/3)*(1/Design_Selector!$B$11)^0.5,3))</f>
        <v/>
      </c>
      <c r="BD286" s="11" t="str">
        <f aca="false">IF(BC286="","",ROUND(BC286/(MAX(1,N(I286))*G286/1000*(H286/1000*(1-SG_Criteria!$B$25))),2))</f>
        <v/>
      </c>
      <c r="BE286" s="33" t="str">
        <f aca="false">IF(D286="","",IF(LEN(IF(AND(OR(E286="Roadside drain",E286="Entrance culvert"),OR(G286&lt;SG_Criteria!$B$15,H286&lt;SG_Criteria!$B$16)),"FAIL: below PUB min "&amp;SG_Criteria!$B$15&amp;"x"&amp;SG_Criteria!$B$16&amp;" for roadside drain. ","")&amp;IF(AND(E286="Common drain",G286&lt;SG_Criteria!$B$17),"FAIL: common drain W &lt; "&amp;SG_Criteria!$B$17&amp;" mm. ","")&amp;IF(AND(O286&lt;&gt;"",IFERROR(VALUE(MID(O286,2,2)),0)&lt;SG_Criteria!$B$19),"FAIL: grade below C"&amp;SG_Criteria!$B$19&amp;". ","")&amp;IF(AND(P286&lt;&gt;"",P286&lt;SG_Criteria!$B$20),"FAIL: cover &lt; "&amp;SG_Criteria!$B$20&amp;" mm. ","")&amp;IF(AND(F286="Open",H286&gt;SG_Criteria!$B$18),"NOTE: safety railing required (D &gt; "&amp;SG_Criteria!$B$18&amp;" mm). ","")&amp;IF(AND(E286="Entrance culvert",H286&lt;600),"NOTE: check hinged grating rule for culverts &lt; 600 deep (PUB Add. 3). ",""))=0,"OK",IF(AND(OR(E286="Roadside drain",E286="Entrance culvert"),OR(G286&lt;SG_Criteria!$B$15,H286&lt;SG_Criteria!$B$16)),"FAIL: below PUB min "&amp;SG_Criteria!$B$15&amp;"x"&amp;SG_Criteria!$B$16&amp;" for roadside drain. ","")&amp;IF(AND(E286="Common drain",G286&lt;SG_Criteria!$B$17),"FAIL: common drain W &lt; "&amp;SG_Criteria!$B$17&amp;" mm. ","")&amp;IF(AND(O286&lt;&gt;"",IFERROR(VALUE(MID(O286,2,2)),0)&lt;SG_Criteria!$B$19),"FAIL: grade below C"&amp;SG_Criteria!$B$19&amp;". ","")&amp;IF(AND(P286&lt;&gt;"",P286&lt;SG_Criteria!$B$20),"FAIL: cover &lt; "&amp;SG_Criteria!$B$20&amp;" mm. ","")&amp;IF(AND(F286="Open",H286&gt;SG_Criteria!$B$18),"NOTE: safety railing required (D &gt; "&amp;SG_Criteria!$B$18&amp;" mm). ","")&amp;IF(AND(E286="Entrance culvert",H286&lt;600),"NOTE: check hinged grating rule for culverts &lt; 600 deep (PUB Add. 3). ","")))</f>
        <v/>
      </c>
      <c r="BF286" s="9"/>
      <c r="BG286" s="9"/>
      <c r="BH286" s="9"/>
      <c r="BI286" s="10" t="str">
        <f aca="false">IF(BH286="","",IFERROR(VLOOKUP(BH286,Projects!$A$5:$D$504,2,0),"Ref not in Projects"))</f>
        <v/>
      </c>
      <c r="BJ286" s="10" t="str">
        <f aca="false">IF(BH286="","",IFERROR(VLOOKUP(BH286,Projects!$A$5:$D$504,4,0),"Ref not in Projects"))</f>
        <v/>
      </c>
      <c r="BK286" s="9"/>
      <c r="BL286" s="9"/>
      <c r="BM286" s="9"/>
      <c r="BN286" s="40"/>
      <c r="BO286" s="9"/>
      <c r="BP286" s="40"/>
      <c r="BQ286" s="9"/>
      <c r="BR286" s="40"/>
      <c r="BS286" s="9"/>
      <c r="BT286" s="9"/>
      <c r="BU286" s="9"/>
      <c r="BV286" s="40"/>
      <c r="BW286" s="40"/>
      <c r="BX286" s="36" t="str">
        <f aca="false">IF(BW286="","",EDATE(BW286,SG_Criteria!$B$54*12))</f>
        <v/>
      </c>
      <c r="BY286" s="33" t="str">
        <f aca="true">IF(A286="","",IF(BW286="","NOTE: not reviewed yet",IF(TODAY()&gt;BX286,"NOTE: review overdue","OK")))</f>
        <v/>
      </c>
      <c r="BZ286" s="37" t="str">
        <f aca="false">IF(A286="","",ROUND((IF(LEN(D286)&gt;0,1,0)+IF(LEN(E286)&gt;0,1,0)+IF(LEN(F286)&gt;0,1,0)+IF(LEN(G286)&gt;0,1,0)+IF(LEN(H286)&gt;0,1,0)+IF(LEN(J286)&gt;0,1,0)+IF(LEN(K286)&gt;0,1,0)+IF(LEN(M286)&gt;0,1,0)+IF(LEN(O286)&gt;0,1,0)+IF(LEN(P286)&gt;0,1,0)+IF(LEN(Q286)&gt;0,1,0)+IF(LEN(S286)&gt;0,1,0)+IF(LEN(AC286)&gt;0,1,0)+IF(LEN(AV286)&gt;0,1,0)+IF(LEN(AW286)&gt;0,1,0)+IF(LEN(AG286)&gt;0,1,0)+IF(LEN(AI286)&gt;0,1,0)+IF(LEN(AJ286)&gt;0,1,0)+IF(LEN(AK286)&gt;0,1,0)+IF(LEN(AL286)&gt;0,1,0)+IF(LEN(AU286)&gt;0,1,0)+IF(LEN(BH286)&gt;0,1,0)+IF(LEN(BU286)&gt;0,1,0))/23,2))</f>
        <v/>
      </c>
      <c r="CA286" s="10" t="str">
        <f aca="false">IF(D286="","",IF(AND(AJ286="Approved",ISERROR(SEARCH("FAIL",BE286))),"Y","N"))</f>
        <v/>
      </c>
      <c r="CB286" s="10" t="str">
        <f aca="false">IF(D286="","",D286&amp;"|"&amp;G286&amp;"|"&amp;H286&amp;"|"&amp;M286&amp;"|"&amp;CA286)</f>
        <v/>
      </c>
    </row>
    <row r="287" customFormat="false" ht="15" hidden="false" customHeight="false" outlineLevel="0" collapsed="false">
      <c r="A287" s="10" t="str">
        <f aca="false">IF(D287="","","DRN-"&amp;IFERROR(VLOOKUP(D287,Lists!$A$4:$B$27,2,0),"??")&amp;"-"&amp;TEXT(G287,"0000")&amp;"x"&amp;TEXT(H287,"0000")&amp;IF(N(I287)&gt;1,"-"&amp;I287&amp;"C","")&amp;"-"&amp;IFERROR(VLOOKUP(M287,Lists!$J$4:$K$19,2,0),"??")&amp;"-"&amp;AI287)</f>
        <v/>
      </c>
      <c r="B287" s="10" t="str">
        <f aca="false">IF(D287="","",D287&amp;" "&amp;G287&amp;"W x "&amp;H287&amp;"D"&amp;IF(N(I287)&gt;1," ("&amp;I287&amp;" cells)","")&amp;", "&amp;E287&amp;", "&amp;M287&amp;", "&amp;F287)</f>
        <v/>
      </c>
      <c r="C287" s="9"/>
      <c r="D287" s="9"/>
      <c r="E287" s="9"/>
      <c r="F287" s="9"/>
      <c r="G287" s="38"/>
      <c r="H287" s="38"/>
      <c r="I287" s="38"/>
      <c r="J287" s="38"/>
      <c r="K287" s="38"/>
      <c r="L287" s="38"/>
      <c r="M287" s="9"/>
      <c r="N287" s="9"/>
      <c r="O287" s="9"/>
      <c r="P287" s="38"/>
      <c r="Q287" s="9"/>
      <c r="R287" s="9"/>
      <c r="S287" s="9"/>
      <c r="T287" s="9"/>
      <c r="U287" s="9"/>
      <c r="V287" s="9"/>
      <c r="W287" s="9"/>
      <c r="X287" s="9"/>
      <c r="Y287" s="9"/>
      <c r="Z287" s="9"/>
      <c r="AA287" s="9"/>
      <c r="AB287" s="39"/>
      <c r="AC287" s="9"/>
      <c r="AD287" s="38"/>
      <c r="AE287" s="9"/>
      <c r="AF287" s="39"/>
      <c r="AG287" s="9"/>
      <c r="AH287" s="9"/>
      <c r="AI287" s="9"/>
      <c r="AJ287" s="9"/>
      <c r="AK287" s="9"/>
      <c r="AL287" s="9"/>
      <c r="AM287" s="9"/>
      <c r="AN287" s="10" t="str">
        <f aca="false">IF(A287="","",SG_Criteria!$B$6&amp;SG_Criteria!$B$7&amp;"\"&amp;A287&amp;"\")</f>
        <v/>
      </c>
      <c r="AO287" s="10" t="str">
        <f aca="false">IF(A287="","",A287&amp;"_CAD.dwg")</f>
        <v/>
      </c>
      <c r="AP287" s="10" t="str">
        <f aca="false">IF(A287="","",A287&amp;"_DWG.pdf")</f>
        <v/>
      </c>
      <c r="AQ287" s="10" t="str">
        <f aca="false">IF(A287="","",IF(AM287="Y",A287&amp;"_STAAD.std","n/a"))</f>
        <v/>
      </c>
      <c r="AR287" s="10" t="str">
        <f aca="false">IF(A287="","",A287&amp;"_CALC.xlsx")</f>
        <v/>
      </c>
      <c r="AS287" s="10" t="str">
        <f aca="false">IF(A287="","",A287&amp;"_CALC.pdf")</f>
        <v/>
      </c>
      <c r="AT287" s="9"/>
      <c r="AU287" s="9"/>
      <c r="AV287" s="39"/>
      <c r="AW287" s="39"/>
      <c r="AX287" s="39"/>
      <c r="AY287" s="39"/>
      <c r="AZ287" s="39"/>
      <c r="BA287" s="12" t="str">
        <f aca="false">IF(A287="","",IF(COUNTIF(Rebar_Schedule!$A$5:$A$2004,A287)=0,"",ROUND(SUMIF(Rebar_Schedule!$A$5:$A$2004,A287,Rebar_Schedule!$K$5:$K$2004),1)))</f>
        <v/>
      </c>
      <c r="BB287" s="33" t="str">
        <f aca="false">IF(A287="","",IF(BA287="","No rebar schedule yet",IF(ABS(BA287-N(AW287))/MAX(N(AW287),1)&gt;SG_Criteria!$B$55,"NOTE: register rebar differs from schedule by "&amp;TEXT(ABS(BA287-N(AW287))/MAX(N(AW287),1),"0%"),"OK")))</f>
        <v/>
      </c>
      <c r="BC287" s="34" t="str">
        <f aca="false">IF(OR(D287="",G287="",H287="",D287="Sump",D287="Drop Inlet Chamber",D287="Silt Trap",D287="Pipe Culvert",D287="Subsoil Drain"),"",ROUND(MAX(1,N(I287))*(1/SG_Criteria!$B$26)*((G287/1000)*(H287/1000*(1-SG_Criteria!$B$25)))*(((G287/1000)*(H287/1000*(1-SG_Criteria!$B$25)))/((G287/1000)+2*(H287/1000*(1-SG_Criteria!$B$25))))^(2/3)*(1/Design_Selector!$B$11)^0.5,3))</f>
        <v/>
      </c>
      <c r="BD287" s="11" t="str">
        <f aca="false">IF(BC287="","",ROUND(BC287/(MAX(1,N(I287))*G287/1000*(H287/1000*(1-SG_Criteria!$B$25))),2))</f>
        <v/>
      </c>
      <c r="BE287" s="33" t="str">
        <f aca="false">IF(D287="","",IF(LEN(IF(AND(OR(E287="Roadside drain",E287="Entrance culvert"),OR(G287&lt;SG_Criteria!$B$15,H287&lt;SG_Criteria!$B$16)),"FAIL: below PUB min "&amp;SG_Criteria!$B$15&amp;"x"&amp;SG_Criteria!$B$16&amp;" for roadside drain. ","")&amp;IF(AND(E287="Common drain",G287&lt;SG_Criteria!$B$17),"FAIL: common drain W &lt; "&amp;SG_Criteria!$B$17&amp;" mm. ","")&amp;IF(AND(O287&lt;&gt;"",IFERROR(VALUE(MID(O287,2,2)),0)&lt;SG_Criteria!$B$19),"FAIL: grade below C"&amp;SG_Criteria!$B$19&amp;". ","")&amp;IF(AND(P287&lt;&gt;"",P287&lt;SG_Criteria!$B$20),"FAIL: cover &lt; "&amp;SG_Criteria!$B$20&amp;" mm. ","")&amp;IF(AND(F287="Open",H287&gt;SG_Criteria!$B$18),"NOTE: safety railing required (D &gt; "&amp;SG_Criteria!$B$18&amp;" mm). ","")&amp;IF(AND(E287="Entrance culvert",H287&lt;600),"NOTE: check hinged grating rule for culverts &lt; 600 deep (PUB Add. 3). ",""))=0,"OK",IF(AND(OR(E287="Roadside drain",E287="Entrance culvert"),OR(G287&lt;SG_Criteria!$B$15,H287&lt;SG_Criteria!$B$16)),"FAIL: below PUB min "&amp;SG_Criteria!$B$15&amp;"x"&amp;SG_Criteria!$B$16&amp;" for roadside drain. ","")&amp;IF(AND(E287="Common drain",G287&lt;SG_Criteria!$B$17),"FAIL: common drain W &lt; "&amp;SG_Criteria!$B$17&amp;" mm. ","")&amp;IF(AND(O287&lt;&gt;"",IFERROR(VALUE(MID(O287,2,2)),0)&lt;SG_Criteria!$B$19),"FAIL: grade below C"&amp;SG_Criteria!$B$19&amp;". ","")&amp;IF(AND(P287&lt;&gt;"",P287&lt;SG_Criteria!$B$20),"FAIL: cover &lt; "&amp;SG_Criteria!$B$20&amp;" mm. ","")&amp;IF(AND(F287="Open",H287&gt;SG_Criteria!$B$18),"NOTE: safety railing required (D &gt; "&amp;SG_Criteria!$B$18&amp;" mm). ","")&amp;IF(AND(E287="Entrance culvert",H287&lt;600),"NOTE: check hinged grating rule for culverts &lt; 600 deep (PUB Add. 3). ","")))</f>
        <v/>
      </c>
      <c r="BF287" s="9"/>
      <c r="BG287" s="9"/>
      <c r="BH287" s="9"/>
      <c r="BI287" s="10" t="str">
        <f aca="false">IF(BH287="","",IFERROR(VLOOKUP(BH287,Projects!$A$5:$D$504,2,0),"Ref not in Projects"))</f>
        <v/>
      </c>
      <c r="BJ287" s="10" t="str">
        <f aca="false">IF(BH287="","",IFERROR(VLOOKUP(BH287,Projects!$A$5:$D$504,4,0),"Ref not in Projects"))</f>
        <v/>
      </c>
      <c r="BK287" s="9"/>
      <c r="BL287" s="9"/>
      <c r="BM287" s="9"/>
      <c r="BN287" s="40"/>
      <c r="BO287" s="9"/>
      <c r="BP287" s="40"/>
      <c r="BQ287" s="9"/>
      <c r="BR287" s="40"/>
      <c r="BS287" s="9"/>
      <c r="BT287" s="9"/>
      <c r="BU287" s="9"/>
      <c r="BV287" s="40"/>
      <c r="BW287" s="40"/>
      <c r="BX287" s="36" t="str">
        <f aca="false">IF(BW287="","",EDATE(BW287,SG_Criteria!$B$54*12))</f>
        <v/>
      </c>
      <c r="BY287" s="33" t="str">
        <f aca="true">IF(A287="","",IF(BW287="","NOTE: not reviewed yet",IF(TODAY()&gt;BX287,"NOTE: review overdue","OK")))</f>
        <v/>
      </c>
      <c r="BZ287" s="37" t="str">
        <f aca="false">IF(A287="","",ROUND((IF(LEN(D287)&gt;0,1,0)+IF(LEN(E287)&gt;0,1,0)+IF(LEN(F287)&gt;0,1,0)+IF(LEN(G287)&gt;0,1,0)+IF(LEN(H287)&gt;0,1,0)+IF(LEN(J287)&gt;0,1,0)+IF(LEN(K287)&gt;0,1,0)+IF(LEN(M287)&gt;0,1,0)+IF(LEN(O287)&gt;0,1,0)+IF(LEN(P287)&gt;0,1,0)+IF(LEN(Q287)&gt;0,1,0)+IF(LEN(S287)&gt;0,1,0)+IF(LEN(AC287)&gt;0,1,0)+IF(LEN(AV287)&gt;0,1,0)+IF(LEN(AW287)&gt;0,1,0)+IF(LEN(AG287)&gt;0,1,0)+IF(LEN(AI287)&gt;0,1,0)+IF(LEN(AJ287)&gt;0,1,0)+IF(LEN(AK287)&gt;0,1,0)+IF(LEN(AL287)&gt;0,1,0)+IF(LEN(AU287)&gt;0,1,0)+IF(LEN(BH287)&gt;0,1,0)+IF(LEN(BU287)&gt;0,1,0))/23,2))</f>
        <v/>
      </c>
      <c r="CA287" s="10" t="str">
        <f aca="false">IF(D287="","",IF(AND(AJ287="Approved",ISERROR(SEARCH("FAIL",BE287))),"Y","N"))</f>
        <v/>
      </c>
      <c r="CB287" s="10" t="str">
        <f aca="false">IF(D287="","",D287&amp;"|"&amp;G287&amp;"|"&amp;H287&amp;"|"&amp;M287&amp;"|"&amp;CA287)</f>
        <v/>
      </c>
    </row>
    <row r="288" customFormat="false" ht="15" hidden="false" customHeight="false" outlineLevel="0" collapsed="false">
      <c r="A288" s="10" t="str">
        <f aca="false">IF(D288="","","DRN-"&amp;IFERROR(VLOOKUP(D288,Lists!$A$4:$B$27,2,0),"??")&amp;"-"&amp;TEXT(G288,"0000")&amp;"x"&amp;TEXT(H288,"0000")&amp;IF(N(I288)&gt;1,"-"&amp;I288&amp;"C","")&amp;"-"&amp;IFERROR(VLOOKUP(M288,Lists!$J$4:$K$19,2,0),"??")&amp;"-"&amp;AI288)</f>
        <v/>
      </c>
      <c r="B288" s="10" t="str">
        <f aca="false">IF(D288="","",D288&amp;" "&amp;G288&amp;"W x "&amp;H288&amp;"D"&amp;IF(N(I288)&gt;1," ("&amp;I288&amp;" cells)","")&amp;", "&amp;E288&amp;", "&amp;M288&amp;", "&amp;F288)</f>
        <v/>
      </c>
      <c r="C288" s="9"/>
      <c r="D288" s="9"/>
      <c r="E288" s="9"/>
      <c r="F288" s="9"/>
      <c r="G288" s="38"/>
      <c r="H288" s="38"/>
      <c r="I288" s="38"/>
      <c r="J288" s="38"/>
      <c r="K288" s="38"/>
      <c r="L288" s="38"/>
      <c r="M288" s="9"/>
      <c r="N288" s="9"/>
      <c r="O288" s="9"/>
      <c r="P288" s="38"/>
      <c r="Q288" s="9"/>
      <c r="R288" s="9"/>
      <c r="S288" s="9"/>
      <c r="T288" s="9"/>
      <c r="U288" s="9"/>
      <c r="V288" s="9"/>
      <c r="W288" s="9"/>
      <c r="X288" s="9"/>
      <c r="Y288" s="9"/>
      <c r="Z288" s="9"/>
      <c r="AA288" s="9"/>
      <c r="AB288" s="39"/>
      <c r="AC288" s="9"/>
      <c r="AD288" s="38"/>
      <c r="AE288" s="9"/>
      <c r="AF288" s="39"/>
      <c r="AG288" s="9"/>
      <c r="AH288" s="9"/>
      <c r="AI288" s="9"/>
      <c r="AJ288" s="9"/>
      <c r="AK288" s="9"/>
      <c r="AL288" s="9"/>
      <c r="AM288" s="9"/>
      <c r="AN288" s="10" t="str">
        <f aca="false">IF(A288="","",SG_Criteria!$B$6&amp;SG_Criteria!$B$7&amp;"\"&amp;A288&amp;"\")</f>
        <v/>
      </c>
      <c r="AO288" s="10" t="str">
        <f aca="false">IF(A288="","",A288&amp;"_CAD.dwg")</f>
        <v/>
      </c>
      <c r="AP288" s="10" t="str">
        <f aca="false">IF(A288="","",A288&amp;"_DWG.pdf")</f>
        <v/>
      </c>
      <c r="AQ288" s="10" t="str">
        <f aca="false">IF(A288="","",IF(AM288="Y",A288&amp;"_STAAD.std","n/a"))</f>
        <v/>
      </c>
      <c r="AR288" s="10" t="str">
        <f aca="false">IF(A288="","",A288&amp;"_CALC.xlsx")</f>
        <v/>
      </c>
      <c r="AS288" s="10" t="str">
        <f aca="false">IF(A288="","",A288&amp;"_CALC.pdf")</f>
        <v/>
      </c>
      <c r="AT288" s="9"/>
      <c r="AU288" s="9"/>
      <c r="AV288" s="39"/>
      <c r="AW288" s="39"/>
      <c r="AX288" s="39"/>
      <c r="AY288" s="39"/>
      <c r="AZ288" s="39"/>
      <c r="BA288" s="12" t="str">
        <f aca="false">IF(A288="","",IF(COUNTIF(Rebar_Schedule!$A$5:$A$2004,A288)=0,"",ROUND(SUMIF(Rebar_Schedule!$A$5:$A$2004,A288,Rebar_Schedule!$K$5:$K$2004),1)))</f>
        <v/>
      </c>
      <c r="BB288" s="33" t="str">
        <f aca="false">IF(A288="","",IF(BA288="","No rebar schedule yet",IF(ABS(BA288-N(AW288))/MAX(N(AW288),1)&gt;SG_Criteria!$B$55,"NOTE: register rebar differs from schedule by "&amp;TEXT(ABS(BA288-N(AW288))/MAX(N(AW288),1),"0%"),"OK")))</f>
        <v/>
      </c>
      <c r="BC288" s="34" t="str">
        <f aca="false">IF(OR(D288="",G288="",H288="",D288="Sump",D288="Drop Inlet Chamber",D288="Silt Trap",D288="Pipe Culvert",D288="Subsoil Drain"),"",ROUND(MAX(1,N(I288))*(1/SG_Criteria!$B$26)*((G288/1000)*(H288/1000*(1-SG_Criteria!$B$25)))*(((G288/1000)*(H288/1000*(1-SG_Criteria!$B$25)))/((G288/1000)+2*(H288/1000*(1-SG_Criteria!$B$25))))^(2/3)*(1/Design_Selector!$B$11)^0.5,3))</f>
        <v/>
      </c>
      <c r="BD288" s="11" t="str">
        <f aca="false">IF(BC288="","",ROUND(BC288/(MAX(1,N(I288))*G288/1000*(H288/1000*(1-SG_Criteria!$B$25))),2))</f>
        <v/>
      </c>
      <c r="BE288" s="33" t="str">
        <f aca="false">IF(D288="","",IF(LEN(IF(AND(OR(E288="Roadside drain",E288="Entrance culvert"),OR(G288&lt;SG_Criteria!$B$15,H288&lt;SG_Criteria!$B$16)),"FAIL: below PUB min "&amp;SG_Criteria!$B$15&amp;"x"&amp;SG_Criteria!$B$16&amp;" for roadside drain. ","")&amp;IF(AND(E288="Common drain",G288&lt;SG_Criteria!$B$17),"FAIL: common drain W &lt; "&amp;SG_Criteria!$B$17&amp;" mm. ","")&amp;IF(AND(O288&lt;&gt;"",IFERROR(VALUE(MID(O288,2,2)),0)&lt;SG_Criteria!$B$19),"FAIL: grade below C"&amp;SG_Criteria!$B$19&amp;". ","")&amp;IF(AND(P288&lt;&gt;"",P288&lt;SG_Criteria!$B$20),"FAIL: cover &lt; "&amp;SG_Criteria!$B$20&amp;" mm. ","")&amp;IF(AND(F288="Open",H288&gt;SG_Criteria!$B$18),"NOTE: safety railing required (D &gt; "&amp;SG_Criteria!$B$18&amp;" mm). ","")&amp;IF(AND(E288="Entrance culvert",H288&lt;600),"NOTE: check hinged grating rule for culverts &lt; 600 deep (PUB Add. 3). ",""))=0,"OK",IF(AND(OR(E288="Roadside drain",E288="Entrance culvert"),OR(G288&lt;SG_Criteria!$B$15,H288&lt;SG_Criteria!$B$16)),"FAIL: below PUB min "&amp;SG_Criteria!$B$15&amp;"x"&amp;SG_Criteria!$B$16&amp;" for roadside drain. ","")&amp;IF(AND(E288="Common drain",G288&lt;SG_Criteria!$B$17),"FAIL: common drain W &lt; "&amp;SG_Criteria!$B$17&amp;" mm. ","")&amp;IF(AND(O288&lt;&gt;"",IFERROR(VALUE(MID(O288,2,2)),0)&lt;SG_Criteria!$B$19),"FAIL: grade below C"&amp;SG_Criteria!$B$19&amp;". ","")&amp;IF(AND(P288&lt;&gt;"",P288&lt;SG_Criteria!$B$20),"FAIL: cover &lt; "&amp;SG_Criteria!$B$20&amp;" mm. ","")&amp;IF(AND(F288="Open",H288&gt;SG_Criteria!$B$18),"NOTE: safety railing required (D &gt; "&amp;SG_Criteria!$B$18&amp;" mm). ","")&amp;IF(AND(E288="Entrance culvert",H288&lt;600),"NOTE: check hinged grating rule for culverts &lt; 600 deep (PUB Add. 3). ","")))</f>
        <v/>
      </c>
      <c r="BF288" s="9"/>
      <c r="BG288" s="9"/>
      <c r="BH288" s="9"/>
      <c r="BI288" s="10" t="str">
        <f aca="false">IF(BH288="","",IFERROR(VLOOKUP(BH288,Projects!$A$5:$D$504,2,0),"Ref not in Projects"))</f>
        <v/>
      </c>
      <c r="BJ288" s="10" t="str">
        <f aca="false">IF(BH288="","",IFERROR(VLOOKUP(BH288,Projects!$A$5:$D$504,4,0),"Ref not in Projects"))</f>
        <v/>
      </c>
      <c r="BK288" s="9"/>
      <c r="BL288" s="9"/>
      <c r="BM288" s="9"/>
      <c r="BN288" s="40"/>
      <c r="BO288" s="9"/>
      <c r="BP288" s="40"/>
      <c r="BQ288" s="9"/>
      <c r="BR288" s="40"/>
      <c r="BS288" s="9"/>
      <c r="BT288" s="9"/>
      <c r="BU288" s="9"/>
      <c r="BV288" s="40"/>
      <c r="BW288" s="40"/>
      <c r="BX288" s="36" t="str">
        <f aca="false">IF(BW288="","",EDATE(BW288,SG_Criteria!$B$54*12))</f>
        <v/>
      </c>
      <c r="BY288" s="33" t="str">
        <f aca="true">IF(A288="","",IF(BW288="","NOTE: not reviewed yet",IF(TODAY()&gt;BX288,"NOTE: review overdue","OK")))</f>
        <v/>
      </c>
      <c r="BZ288" s="37" t="str">
        <f aca="false">IF(A288="","",ROUND((IF(LEN(D288)&gt;0,1,0)+IF(LEN(E288)&gt;0,1,0)+IF(LEN(F288)&gt;0,1,0)+IF(LEN(G288)&gt;0,1,0)+IF(LEN(H288)&gt;0,1,0)+IF(LEN(J288)&gt;0,1,0)+IF(LEN(K288)&gt;0,1,0)+IF(LEN(M288)&gt;0,1,0)+IF(LEN(O288)&gt;0,1,0)+IF(LEN(P288)&gt;0,1,0)+IF(LEN(Q288)&gt;0,1,0)+IF(LEN(S288)&gt;0,1,0)+IF(LEN(AC288)&gt;0,1,0)+IF(LEN(AV288)&gt;0,1,0)+IF(LEN(AW288)&gt;0,1,0)+IF(LEN(AG288)&gt;0,1,0)+IF(LEN(AI288)&gt;0,1,0)+IF(LEN(AJ288)&gt;0,1,0)+IF(LEN(AK288)&gt;0,1,0)+IF(LEN(AL288)&gt;0,1,0)+IF(LEN(AU288)&gt;0,1,0)+IF(LEN(BH288)&gt;0,1,0)+IF(LEN(BU288)&gt;0,1,0))/23,2))</f>
        <v/>
      </c>
      <c r="CA288" s="10" t="str">
        <f aca="false">IF(D288="","",IF(AND(AJ288="Approved",ISERROR(SEARCH("FAIL",BE288))),"Y","N"))</f>
        <v/>
      </c>
      <c r="CB288" s="10" t="str">
        <f aca="false">IF(D288="","",D288&amp;"|"&amp;G288&amp;"|"&amp;H288&amp;"|"&amp;M288&amp;"|"&amp;CA288)</f>
        <v/>
      </c>
    </row>
    <row r="289" customFormat="false" ht="15" hidden="false" customHeight="false" outlineLevel="0" collapsed="false">
      <c r="A289" s="10" t="str">
        <f aca="false">IF(D289="","","DRN-"&amp;IFERROR(VLOOKUP(D289,Lists!$A$4:$B$27,2,0),"??")&amp;"-"&amp;TEXT(G289,"0000")&amp;"x"&amp;TEXT(H289,"0000")&amp;IF(N(I289)&gt;1,"-"&amp;I289&amp;"C","")&amp;"-"&amp;IFERROR(VLOOKUP(M289,Lists!$J$4:$K$19,2,0),"??")&amp;"-"&amp;AI289)</f>
        <v/>
      </c>
      <c r="B289" s="10" t="str">
        <f aca="false">IF(D289="","",D289&amp;" "&amp;G289&amp;"W x "&amp;H289&amp;"D"&amp;IF(N(I289)&gt;1," ("&amp;I289&amp;" cells)","")&amp;", "&amp;E289&amp;", "&amp;M289&amp;", "&amp;F289)</f>
        <v/>
      </c>
      <c r="C289" s="9"/>
      <c r="D289" s="9"/>
      <c r="E289" s="9"/>
      <c r="F289" s="9"/>
      <c r="G289" s="38"/>
      <c r="H289" s="38"/>
      <c r="I289" s="38"/>
      <c r="J289" s="38"/>
      <c r="K289" s="38"/>
      <c r="L289" s="38"/>
      <c r="M289" s="9"/>
      <c r="N289" s="9"/>
      <c r="O289" s="9"/>
      <c r="P289" s="38"/>
      <c r="Q289" s="9"/>
      <c r="R289" s="9"/>
      <c r="S289" s="9"/>
      <c r="T289" s="9"/>
      <c r="U289" s="9"/>
      <c r="V289" s="9"/>
      <c r="W289" s="9"/>
      <c r="X289" s="9"/>
      <c r="Y289" s="9"/>
      <c r="Z289" s="9"/>
      <c r="AA289" s="9"/>
      <c r="AB289" s="39"/>
      <c r="AC289" s="9"/>
      <c r="AD289" s="38"/>
      <c r="AE289" s="9"/>
      <c r="AF289" s="39"/>
      <c r="AG289" s="9"/>
      <c r="AH289" s="9"/>
      <c r="AI289" s="9"/>
      <c r="AJ289" s="9"/>
      <c r="AK289" s="9"/>
      <c r="AL289" s="9"/>
      <c r="AM289" s="9"/>
      <c r="AN289" s="10" t="str">
        <f aca="false">IF(A289="","",SG_Criteria!$B$6&amp;SG_Criteria!$B$7&amp;"\"&amp;A289&amp;"\")</f>
        <v/>
      </c>
      <c r="AO289" s="10" t="str">
        <f aca="false">IF(A289="","",A289&amp;"_CAD.dwg")</f>
        <v/>
      </c>
      <c r="AP289" s="10" t="str">
        <f aca="false">IF(A289="","",A289&amp;"_DWG.pdf")</f>
        <v/>
      </c>
      <c r="AQ289" s="10" t="str">
        <f aca="false">IF(A289="","",IF(AM289="Y",A289&amp;"_STAAD.std","n/a"))</f>
        <v/>
      </c>
      <c r="AR289" s="10" t="str">
        <f aca="false">IF(A289="","",A289&amp;"_CALC.xlsx")</f>
        <v/>
      </c>
      <c r="AS289" s="10" t="str">
        <f aca="false">IF(A289="","",A289&amp;"_CALC.pdf")</f>
        <v/>
      </c>
      <c r="AT289" s="9"/>
      <c r="AU289" s="9"/>
      <c r="AV289" s="39"/>
      <c r="AW289" s="39"/>
      <c r="AX289" s="39"/>
      <c r="AY289" s="39"/>
      <c r="AZ289" s="39"/>
      <c r="BA289" s="12" t="str">
        <f aca="false">IF(A289="","",IF(COUNTIF(Rebar_Schedule!$A$5:$A$2004,A289)=0,"",ROUND(SUMIF(Rebar_Schedule!$A$5:$A$2004,A289,Rebar_Schedule!$K$5:$K$2004),1)))</f>
        <v/>
      </c>
      <c r="BB289" s="33" t="str">
        <f aca="false">IF(A289="","",IF(BA289="","No rebar schedule yet",IF(ABS(BA289-N(AW289))/MAX(N(AW289),1)&gt;SG_Criteria!$B$55,"NOTE: register rebar differs from schedule by "&amp;TEXT(ABS(BA289-N(AW289))/MAX(N(AW289),1),"0%"),"OK")))</f>
        <v/>
      </c>
      <c r="BC289" s="34" t="str">
        <f aca="false">IF(OR(D289="",G289="",H289="",D289="Sump",D289="Drop Inlet Chamber",D289="Silt Trap",D289="Pipe Culvert",D289="Subsoil Drain"),"",ROUND(MAX(1,N(I289))*(1/SG_Criteria!$B$26)*((G289/1000)*(H289/1000*(1-SG_Criteria!$B$25)))*(((G289/1000)*(H289/1000*(1-SG_Criteria!$B$25)))/((G289/1000)+2*(H289/1000*(1-SG_Criteria!$B$25))))^(2/3)*(1/Design_Selector!$B$11)^0.5,3))</f>
        <v/>
      </c>
      <c r="BD289" s="11" t="str">
        <f aca="false">IF(BC289="","",ROUND(BC289/(MAX(1,N(I289))*G289/1000*(H289/1000*(1-SG_Criteria!$B$25))),2))</f>
        <v/>
      </c>
      <c r="BE289" s="33" t="str">
        <f aca="false">IF(D289="","",IF(LEN(IF(AND(OR(E289="Roadside drain",E289="Entrance culvert"),OR(G289&lt;SG_Criteria!$B$15,H289&lt;SG_Criteria!$B$16)),"FAIL: below PUB min "&amp;SG_Criteria!$B$15&amp;"x"&amp;SG_Criteria!$B$16&amp;" for roadside drain. ","")&amp;IF(AND(E289="Common drain",G289&lt;SG_Criteria!$B$17),"FAIL: common drain W &lt; "&amp;SG_Criteria!$B$17&amp;" mm. ","")&amp;IF(AND(O289&lt;&gt;"",IFERROR(VALUE(MID(O289,2,2)),0)&lt;SG_Criteria!$B$19),"FAIL: grade below C"&amp;SG_Criteria!$B$19&amp;". ","")&amp;IF(AND(P289&lt;&gt;"",P289&lt;SG_Criteria!$B$20),"FAIL: cover &lt; "&amp;SG_Criteria!$B$20&amp;" mm. ","")&amp;IF(AND(F289="Open",H289&gt;SG_Criteria!$B$18),"NOTE: safety railing required (D &gt; "&amp;SG_Criteria!$B$18&amp;" mm). ","")&amp;IF(AND(E289="Entrance culvert",H289&lt;600),"NOTE: check hinged grating rule for culverts &lt; 600 deep (PUB Add. 3). ",""))=0,"OK",IF(AND(OR(E289="Roadside drain",E289="Entrance culvert"),OR(G289&lt;SG_Criteria!$B$15,H289&lt;SG_Criteria!$B$16)),"FAIL: below PUB min "&amp;SG_Criteria!$B$15&amp;"x"&amp;SG_Criteria!$B$16&amp;" for roadside drain. ","")&amp;IF(AND(E289="Common drain",G289&lt;SG_Criteria!$B$17),"FAIL: common drain W &lt; "&amp;SG_Criteria!$B$17&amp;" mm. ","")&amp;IF(AND(O289&lt;&gt;"",IFERROR(VALUE(MID(O289,2,2)),0)&lt;SG_Criteria!$B$19),"FAIL: grade below C"&amp;SG_Criteria!$B$19&amp;". ","")&amp;IF(AND(P289&lt;&gt;"",P289&lt;SG_Criteria!$B$20),"FAIL: cover &lt; "&amp;SG_Criteria!$B$20&amp;" mm. ","")&amp;IF(AND(F289="Open",H289&gt;SG_Criteria!$B$18),"NOTE: safety railing required (D &gt; "&amp;SG_Criteria!$B$18&amp;" mm). ","")&amp;IF(AND(E289="Entrance culvert",H289&lt;600),"NOTE: check hinged grating rule for culverts &lt; 600 deep (PUB Add. 3). ","")))</f>
        <v/>
      </c>
      <c r="BF289" s="9"/>
      <c r="BG289" s="9"/>
      <c r="BH289" s="9"/>
      <c r="BI289" s="10" t="str">
        <f aca="false">IF(BH289="","",IFERROR(VLOOKUP(BH289,Projects!$A$5:$D$504,2,0),"Ref not in Projects"))</f>
        <v/>
      </c>
      <c r="BJ289" s="10" t="str">
        <f aca="false">IF(BH289="","",IFERROR(VLOOKUP(BH289,Projects!$A$5:$D$504,4,0),"Ref not in Projects"))</f>
        <v/>
      </c>
      <c r="BK289" s="9"/>
      <c r="BL289" s="9"/>
      <c r="BM289" s="9"/>
      <c r="BN289" s="40"/>
      <c r="BO289" s="9"/>
      <c r="BP289" s="40"/>
      <c r="BQ289" s="9"/>
      <c r="BR289" s="40"/>
      <c r="BS289" s="9"/>
      <c r="BT289" s="9"/>
      <c r="BU289" s="9"/>
      <c r="BV289" s="40"/>
      <c r="BW289" s="40"/>
      <c r="BX289" s="36" t="str">
        <f aca="false">IF(BW289="","",EDATE(BW289,SG_Criteria!$B$54*12))</f>
        <v/>
      </c>
      <c r="BY289" s="33" t="str">
        <f aca="true">IF(A289="","",IF(BW289="","NOTE: not reviewed yet",IF(TODAY()&gt;BX289,"NOTE: review overdue","OK")))</f>
        <v/>
      </c>
      <c r="BZ289" s="37" t="str">
        <f aca="false">IF(A289="","",ROUND((IF(LEN(D289)&gt;0,1,0)+IF(LEN(E289)&gt;0,1,0)+IF(LEN(F289)&gt;0,1,0)+IF(LEN(G289)&gt;0,1,0)+IF(LEN(H289)&gt;0,1,0)+IF(LEN(J289)&gt;0,1,0)+IF(LEN(K289)&gt;0,1,0)+IF(LEN(M289)&gt;0,1,0)+IF(LEN(O289)&gt;0,1,0)+IF(LEN(P289)&gt;0,1,0)+IF(LEN(Q289)&gt;0,1,0)+IF(LEN(S289)&gt;0,1,0)+IF(LEN(AC289)&gt;0,1,0)+IF(LEN(AV289)&gt;0,1,0)+IF(LEN(AW289)&gt;0,1,0)+IF(LEN(AG289)&gt;0,1,0)+IF(LEN(AI289)&gt;0,1,0)+IF(LEN(AJ289)&gt;0,1,0)+IF(LEN(AK289)&gt;0,1,0)+IF(LEN(AL289)&gt;0,1,0)+IF(LEN(AU289)&gt;0,1,0)+IF(LEN(BH289)&gt;0,1,0)+IF(LEN(BU289)&gt;0,1,0))/23,2))</f>
        <v/>
      </c>
      <c r="CA289" s="10" t="str">
        <f aca="false">IF(D289="","",IF(AND(AJ289="Approved",ISERROR(SEARCH("FAIL",BE289))),"Y","N"))</f>
        <v/>
      </c>
      <c r="CB289" s="10" t="str">
        <f aca="false">IF(D289="","",D289&amp;"|"&amp;G289&amp;"|"&amp;H289&amp;"|"&amp;M289&amp;"|"&amp;CA289)</f>
        <v/>
      </c>
    </row>
    <row r="290" customFormat="false" ht="15" hidden="false" customHeight="false" outlineLevel="0" collapsed="false">
      <c r="A290" s="10" t="str">
        <f aca="false">IF(D290="","","DRN-"&amp;IFERROR(VLOOKUP(D290,Lists!$A$4:$B$27,2,0),"??")&amp;"-"&amp;TEXT(G290,"0000")&amp;"x"&amp;TEXT(H290,"0000")&amp;IF(N(I290)&gt;1,"-"&amp;I290&amp;"C","")&amp;"-"&amp;IFERROR(VLOOKUP(M290,Lists!$J$4:$K$19,2,0),"??")&amp;"-"&amp;AI290)</f>
        <v/>
      </c>
      <c r="B290" s="10" t="str">
        <f aca="false">IF(D290="","",D290&amp;" "&amp;G290&amp;"W x "&amp;H290&amp;"D"&amp;IF(N(I290)&gt;1," ("&amp;I290&amp;" cells)","")&amp;", "&amp;E290&amp;", "&amp;M290&amp;", "&amp;F290)</f>
        <v/>
      </c>
      <c r="C290" s="9"/>
      <c r="D290" s="9"/>
      <c r="E290" s="9"/>
      <c r="F290" s="9"/>
      <c r="G290" s="38"/>
      <c r="H290" s="38"/>
      <c r="I290" s="38"/>
      <c r="J290" s="38"/>
      <c r="K290" s="38"/>
      <c r="L290" s="38"/>
      <c r="M290" s="9"/>
      <c r="N290" s="9"/>
      <c r="O290" s="9"/>
      <c r="P290" s="38"/>
      <c r="Q290" s="9"/>
      <c r="R290" s="9"/>
      <c r="S290" s="9"/>
      <c r="T290" s="9"/>
      <c r="U290" s="9"/>
      <c r="V290" s="9"/>
      <c r="W290" s="9"/>
      <c r="X290" s="9"/>
      <c r="Y290" s="9"/>
      <c r="Z290" s="9"/>
      <c r="AA290" s="9"/>
      <c r="AB290" s="39"/>
      <c r="AC290" s="9"/>
      <c r="AD290" s="38"/>
      <c r="AE290" s="9"/>
      <c r="AF290" s="39"/>
      <c r="AG290" s="9"/>
      <c r="AH290" s="9"/>
      <c r="AI290" s="9"/>
      <c r="AJ290" s="9"/>
      <c r="AK290" s="9"/>
      <c r="AL290" s="9"/>
      <c r="AM290" s="9"/>
      <c r="AN290" s="10" t="str">
        <f aca="false">IF(A290="","",SG_Criteria!$B$6&amp;SG_Criteria!$B$7&amp;"\"&amp;A290&amp;"\")</f>
        <v/>
      </c>
      <c r="AO290" s="10" t="str">
        <f aca="false">IF(A290="","",A290&amp;"_CAD.dwg")</f>
        <v/>
      </c>
      <c r="AP290" s="10" t="str">
        <f aca="false">IF(A290="","",A290&amp;"_DWG.pdf")</f>
        <v/>
      </c>
      <c r="AQ290" s="10" t="str">
        <f aca="false">IF(A290="","",IF(AM290="Y",A290&amp;"_STAAD.std","n/a"))</f>
        <v/>
      </c>
      <c r="AR290" s="10" t="str">
        <f aca="false">IF(A290="","",A290&amp;"_CALC.xlsx")</f>
        <v/>
      </c>
      <c r="AS290" s="10" t="str">
        <f aca="false">IF(A290="","",A290&amp;"_CALC.pdf")</f>
        <v/>
      </c>
      <c r="AT290" s="9"/>
      <c r="AU290" s="9"/>
      <c r="AV290" s="39"/>
      <c r="AW290" s="39"/>
      <c r="AX290" s="39"/>
      <c r="AY290" s="39"/>
      <c r="AZ290" s="39"/>
      <c r="BA290" s="12" t="str">
        <f aca="false">IF(A290="","",IF(COUNTIF(Rebar_Schedule!$A$5:$A$2004,A290)=0,"",ROUND(SUMIF(Rebar_Schedule!$A$5:$A$2004,A290,Rebar_Schedule!$K$5:$K$2004),1)))</f>
        <v/>
      </c>
      <c r="BB290" s="33" t="str">
        <f aca="false">IF(A290="","",IF(BA290="","No rebar schedule yet",IF(ABS(BA290-N(AW290))/MAX(N(AW290),1)&gt;SG_Criteria!$B$55,"NOTE: register rebar differs from schedule by "&amp;TEXT(ABS(BA290-N(AW290))/MAX(N(AW290),1),"0%"),"OK")))</f>
        <v/>
      </c>
      <c r="BC290" s="34" t="str">
        <f aca="false">IF(OR(D290="",G290="",H290="",D290="Sump",D290="Drop Inlet Chamber",D290="Silt Trap",D290="Pipe Culvert",D290="Subsoil Drain"),"",ROUND(MAX(1,N(I290))*(1/SG_Criteria!$B$26)*((G290/1000)*(H290/1000*(1-SG_Criteria!$B$25)))*(((G290/1000)*(H290/1000*(1-SG_Criteria!$B$25)))/((G290/1000)+2*(H290/1000*(1-SG_Criteria!$B$25))))^(2/3)*(1/Design_Selector!$B$11)^0.5,3))</f>
        <v/>
      </c>
      <c r="BD290" s="11" t="str">
        <f aca="false">IF(BC290="","",ROUND(BC290/(MAX(1,N(I290))*G290/1000*(H290/1000*(1-SG_Criteria!$B$25))),2))</f>
        <v/>
      </c>
      <c r="BE290" s="33" t="str">
        <f aca="false">IF(D290="","",IF(LEN(IF(AND(OR(E290="Roadside drain",E290="Entrance culvert"),OR(G290&lt;SG_Criteria!$B$15,H290&lt;SG_Criteria!$B$16)),"FAIL: below PUB min "&amp;SG_Criteria!$B$15&amp;"x"&amp;SG_Criteria!$B$16&amp;" for roadside drain. ","")&amp;IF(AND(E290="Common drain",G290&lt;SG_Criteria!$B$17),"FAIL: common drain W &lt; "&amp;SG_Criteria!$B$17&amp;" mm. ","")&amp;IF(AND(O290&lt;&gt;"",IFERROR(VALUE(MID(O290,2,2)),0)&lt;SG_Criteria!$B$19),"FAIL: grade below C"&amp;SG_Criteria!$B$19&amp;". ","")&amp;IF(AND(P290&lt;&gt;"",P290&lt;SG_Criteria!$B$20),"FAIL: cover &lt; "&amp;SG_Criteria!$B$20&amp;" mm. ","")&amp;IF(AND(F290="Open",H290&gt;SG_Criteria!$B$18),"NOTE: safety railing required (D &gt; "&amp;SG_Criteria!$B$18&amp;" mm). ","")&amp;IF(AND(E290="Entrance culvert",H290&lt;600),"NOTE: check hinged grating rule for culverts &lt; 600 deep (PUB Add. 3). ",""))=0,"OK",IF(AND(OR(E290="Roadside drain",E290="Entrance culvert"),OR(G290&lt;SG_Criteria!$B$15,H290&lt;SG_Criteria!$B$16)),"FAIL: below PUB min "&amp;SG_Criteria!$B$15&amp;"x"&amp;SG_Criteria!$B$16&amp;" for roadside drain. ","")&amp;IF(AND(E290="Common drain",G290&lt;SG_Criteria!$B$17),"FAIL: common drain W &lt; "&amp;SG_Criteria!$B$17&amp;" mm. ","")&amp;IF(AND(O290&lt;&gt;"",IFERROR(VALUE(MID(O290,2,2)),0)&lt;SG_Criteria!$B$19),"FAIL: grade below C"&amp;SG_Criteria!$B$19&amp;". ","")&amp;IF(AND(P290&lt;&gt;"",P290&lt;SG_Criteria!$B$20),"FAIL: cover &lt; "&amp;SG_Criteria!$B$20&amp;" mm. ","")&amp;IF(AND(F290="Open",H290&gt;SG_Criteria!$B$18),"NOTE: safety railing required (D &gt; "&amp;SG_Criteria!$B$18&amp;" mm). ","")&amp;IF(AND(E290="Entrance culvert",H290&lt;600),"NOTE: check hinged grating rule for culverts &lt; 600 deep (PUB Add. 3). ","")))</f>
        <v/>
      </c>
      <c r="BF290" s="9"/>
      <c r="BG290" s="9"/>
      <c r="BH290" s="9"/>
      <c r="BI290" s="10" t="str">
        <f aca="false">IF(BH290="","",IFERROR(VLOOKUP(BH290,Projects!$A$5:$D$504,2,0),"Ref not in Projects"))</f>
        <v/>
      </c>
      <c r="BJ290" s="10" t="str">
        <f aca="false">IF(BH290="","",IFERROR(VLOOKUP(BH290,Projects!$A$5:$D$504,4,0),"Ref not in Projects"))</f>
        <v/>
      </c>
      <c r="BK290" s="9"/>
      <c r="BL290" s="9"/>
      <c r="BM290" s="9"/>
      <c r="BN290" s="40"/>
      <c r="BO290" s="9"/>
      <c r="BP290" s="40"/>
      <c r="BQ290" s="9"/>
      <c r="BR290" s="40"/>
      <c r="BS290" s="9"/>
      <c r="BT290" s="9"/>
      <c r="BU290" s="9"/>
      <c r="BV290" s="40"/>
      <c r="BW290" s="40"/>
      <c r="BX290" s="36" t="str">
        <f aca="false">IF(BW290="","",EDATE(BW290,SG_Criteria!$B$54*12))</f>
        <v/>
      </c>
      <c r="BY290" s="33" t="str">
        <f aca="true">IF(A290="","",IF(BW290="","NOTE: not reviewed yet",IF(TODAY()&gt;BX290,"NOTE: review overdue","OK")))</f>
        <v/>
      </c>
      <c r="BZ290" s="37" t="str">
        <f aca="false">IF(A290="","",ROUND((IF(LEN(D290)&gt;0,1,0)+IF(LEN(E290)&gt;0,1,0)+IF(LEN(F290)&gt;0,1,0)+IF(LEN(G290)&gt;0,1,0)+IF(LEN(H290)&gt;0,1,0)+IF(LEN(J290)&gt;0,1,0)+IF(LEN(K290)&gt;0,1,0)+IF(LEN(M290)&gt;0,1,0)+IF(LEN(O290)&gt;0,1,0)+IF(LEN(P290)&gt;0,1,0)+IF(LEN(Q290)&gt;0,1,0)+IF(LEN(S290)&gt;0,1,0)+IF(LEN(AC290)&gt;0,1,0)+IF(LEN(AV290)&gt;0,1,0)+IF(LEN(AW290)&gt;0,1,0)+IF(LEN(AG290)&gt;0,1,0)+IF(LEN(AI290)&gt;0,1,0)+IF(LEN(AJ290)&gt;0,1,0)+IF(LEN(AK290)&gt;0,1,0)+IF(LEN(AL290)&gt;0,1,0)+IF(LEN(AU290)&gt;0,1,0)+IF(LEN(BH290)&gt;0,1,0)+IF(LEN(BU290)&gt;0,1,0))/23,2))</f>
        <v/>
      </c>
      <c r="CA290" s="10" t="str">
        <f aca="false">IF(D290="","",IF(AND(AJ290="Approved",ISERROR(SEARCH("FAIL",BE290))),"Y","N"))</f>
        <v/>
      </c>
      <c r="CB290" s="10" t="str">
        <f aca="false">IF(D290="","",D290&amp;"|"&amp;G290&amp;"|"&amp;H290&amp;"|"&amp;M290&amp;"|"&amp;CA290)</f>
        <v/>
      </c>
    </row>
    <row r="291" customFormat="false" ht="15" hidden="false" customHeight="false" outlineLevel="0" collapsed="false">
      <c r="A291" s="10" t="str">
        <f aca="false">IF(D291="","","DRN-"&amp;IFERROR(VLOOKUP(D291,Lists!$A$4:$B$27,2,0),"??")&amp;"-"&amp;TEXT(G291,"0000")&amp;"x"&amp;TEXT(H291,"0000")&amp;IF(N(I291)&gt;1,"-"&amp;I291&amp;"C","")&amp;"-"&amp;IFERROR(VLOOKUP(M291,Lists!$J$4:$K$19,2,0),"??")&amp;"-"&amp;AI291)</f>
        <v/>
      </c>
      <c r="B291" s="10" t="str">
        <f aca="false">IF(D291="","",D291&amp;" "&amp;G291&amp;"W x "&amp;H291&amp;"D"&amp;IF(N(I291)&gt;1," ("&amp;I291&amp;" cells)","")&amp;", "&amp;E291&amp;", "&amp;M291&amp;", "&amp;F291)</f>
        <v/>
      </c>
      <c r="C291" s="9"/>
      <c r="D291" s="9"/>
      <c r="E291" s="9"/>
      <c r="F291" s="9"/>
      <c r="G291" s="38"/>
      <c r="H291" s="38"/>
      <c r="I291" s="38"/>
      <c r="J291" s="38"/>
      <c r="K291" s="38"/>
      <c r="L291" s="38"/>
      <c r="M291" s="9"/>
      <c r="N291" s="9"/>
      <c r="O291" s="9"/>
      <c r="P291" s="38"/>
      <c r="Q291" s="9"/>
      <c r="R291" s="9"/>
      <c r="S291" s="9"/>
      <c r="T291" s="9"/>
      <c r="U291" s="9"/>
      <c r="V291" s="9"/>
      <c r="W291" s="9"/>
      <c r="X291" s="9"/>
      <c r="Y291" s="9"/>
      <c r="Z291" s="9"/>
      <c r="AA291" s="9"/>
      <c r="AB291" s="39"/>
      <c r="AC291" s="9"/>
      <c r="AD291" s="38"/>
      <c r="AE291" s="9"/>
      <c r="AF291" s="39"/>
      <c r="AG291" s="9"/>
      <c r="AH291" s="9"/>
      <c r="AI291" s="9"/>
      <c r="AJ291" s="9"/>
      <c r="AK291" s="9"/>
      <c r="AL291" s="9"/>
      <c r="AM291" s="9"/>
      <c r="AN291" s="10" t="str">
        <f aca="false">IF(A291="","",SG_Criteria!$B$6&amp;SG_Criteria!$B$7&amp;"\"&amp;A291&amp;"\")</f>
        <v/>
      </c>
      <c r="AO291" s="10" t="str">
        <f aca="false">IF(A291="","",A291&amp;"_CAD.dwg")</f>
        <v/>
      </c>
      <c r="AP291" s="10" t="str">
        <f aca="false">IF(A291="","",A291&amp;"_DWG.pdf")</f>
        <v/>
      </c>
      <c r="AQ291" s="10" t="str">
        <f aca="false">IF(A291="","",IF(AM291="Y",A291&amp;"_STAAD.std","n/a"))</f>
        <v/>
      </c>
      <c r="AR291" s="10" t="str">
        <f aca="false">IF(A291="","",A291&amp;"_CALC.xlsx")</f>
        <v/>
      </c>
      <c r="AS291" s="10" t="str">
        <f aca="false">IF(A291="","",A291&amp;"_CALC.pdf")</f>
        <v/>
      </c>
      <c r="AT291" s="9"/>
      <c r="AU291" s="9"/>
      <c r="AV291" s="39"/>
      <c r="AW291" s="39"/>
      <c r="AX291" s="39"/>
      <c r="AY291" s="39"/>
      <c r="AZ291" s="39"/>
      <c r="BA291" s="12" t="str">
        <f aca="false">IF(A291="","",IF(COUNTIF(Rebar_Schedule!$A$5:$A$2004,A291)=0,"",ROUND(SUMIF(Rebar_Schedule!$A$5:$A$2004,A291,Rebar_Schedule!$K$5:$K$2004),1)))</f>
        <v/>
      </c>
      <c r="BB291" s="33" t="str">
        <f aca="false">IF(A291="","",IF(BA291="","No rebar schedule yet",IF(ABS(BA291-N(AW291))/MAX(N(AW291),1)&gt;SG_Criteria!$B$55,"NOTE: register rebar differs from schedule by "&amp;TEXT(ABS(BA291-N(AW291))/MAX(N(AW291),1),"0%"),"OK")))</f>
        <v/>
      </c>
      <c r="BC291" s="34" t="str">
        <f aca="false">IF(OR(D291="",G291="",H291="",D291="Sump",D291="Drop Inlet Chamber",D291="Silt Trap",D291="Pipe Culvert",D291="Subsoil Drain"),"",ROUND(MAX(1,N(I291))*(1/SG_Criteria!$B$26)*((G291/1000)*(H291/1000*(1-SG_Criteria!$B$25)))*(((G291/1000)*(H291/1000*(1-SG_Criteria!$B$25)))/((G291/1000)+2*(H291/1000*(1-SG_Criteria!$B$25))))^(2/3)*(1/Design_Selector!$B$11)^0.5,3))</f>
        <v/>
      </c>
      <c r="BD291" s="11" t="str">
        <f aca="false">IF(BC291="","",ROUND(BC291/(MAX(1,N(I291))*G291/1000*(H291/1000*(1-SG_Criteria!$B$25))),2))</f>
        <v/>
      </c>
      <c r="BE291" s="33" t="str">
        <f aca="false">IF(D291="","",IF(LEN(IF(AND(OR(E291="Roadside drain",E291="Entrance culvert"),OR(G291&lt;SG_Criteria!$B$15,H291&lt;SG_Criteria!$B$16)),"FAIL: below PUB min "&amp;SG_Criteria!$B$15&amp;"x"&amp;SG_Criteria!$B$16&amp;" for roadside drain. ","")&amp;IF(AND(E291="Common drain",G291&lt;SG_Criteria!$B$17),"FAIL: common drain W &lt; "&amp;SG_Criteria!$B$17&amp;" mm. ","")&amp;IF(AND(O291&lt;&gt;"",IFERROR(VALUE(MID(O291,2,2)),0)&lt;SG_Criteria!$B$19),"FAIL: grade below C"&amp;SG_Criteria!$B$19&amp;". ","")&amp;IF(AND(P291&lt;&gt;"",P291&lt;SG_Criteria!$B$20),"FAIL: cover &lt; "&amp;SG_Criteria!$B$20&amp;" mm. ","")&amp;IF(AND(F291="Open",H291&gt;SG_Criteria!$B$18),"NOTE: safety railing required (D &gt; "&amp;SG_Criteria!$B$18&amp;" mm). ","")&amp;IF(AND(E291="Entrance culvert",H291&lt;600),"NOTE: check hinged grating rule for culverts &lt; 600 deep (PUB Add. 3). ",""))=0,"OK",IF(AND(OR(E291="Roadside drain",E291="Entrance culvert"),OR(G291&lt;SG_Criteria!$B$15,H291&lt;SG_Criteria!$B$16)),"FAIL: below PUB min "&amp;SG_Criteria!$B$15&amp;"x"&amp;SG_Criteria!$B$16&amp;" for roadside drain. ","")&amp;IF(AND(E291="Common drain",G291&lt;SG_Criteria!$B$17),"FAIL: common drain W &lt; "&amp;SG_Criteria!$B$17&amp;" mm. ","")&amp;IF(AND(O291&lt;&gt;"",IFERROR(VALUE(MID(O291,2,2)),0)&lt;SG_Criteria!$B$19),"FAIL: grade below C"&amp;SG_Criteria!$B$19&amp;". ","")&amp;IF(AND(P291&lt;&gt;"",P291&lt;SG_Criteria!$B$20),"FAIL: cover &lt; "&amp;SG_Criteria!$B$20&amp;" mm. ","")&amp;IF(AND(F291="Open",H291&gt;SG_Criteria!$B$18),"NOTE: safety railing required (D &gt; "&amp;SG_Criteria!$B$18&amp;" mm). ","")&amp;IF(AND(E291="Entrance culvert",H291&lt;600),"NOTE: check hinged grating rule for culverts &lt; 600 deep (PUB Add. 3). ","")))</f>
        <v/>
      </c>
      <c r="BF291" s="9"/>
      <c r="BG291" s="9"/>
      <c r="BH291" s="9"/>
      <c r="BI291" s="10" t="str">
        <f aca="false">IF(BH291="","",IFERROR(VLOOKUP(BH291,Projects!$A$5:$D$504,2,0),"Ref not in Projects"))</f>
        <v/>
      </c>
      <c r="BJ291" s="10" t="str">
        <f aca="false">IF(BH291="","",IFERROR(VLOOKUP(BH291,Projects!$A$5:$D$504,4,0),"Ref not in Projects"))</f>
        <v/>
      </c>
      <c r="BK291" s="9"/>
      <c r="BL291" s="9"/>
      <c r="BM291" s="9"/>
      <c r="BN291" s="40"/>
      <c r="BO291" s="9"/>
      <c r="BP291" s="40"/>
      <c r="BQ291" s="9"/>
      <c r="BR291" s="40"/>
      <c r="BS291" s="9"/>
      <c r="BT291" s="9"/>
      <c r="BU291" s="9"/>
      <c r="BV291" s="40"/>
      <c r="BW291" s="40"/>
      <c r="BX291" s="36" t="str">
        <f aca="false">IF(BW291="","",EDATE(BW291,SG_Criteria!$B$54*12))</f>
        <v/>
      </c>
      <c r="BY291" s="33" t="str">
        <f aca="true">IF(A291="","",IF(BW291="","NOTE: not reviewed yet",IF(TODAY()&gt;BX291,"NOTE: review overdue","OK")))</f>
        <v/>
      </c>
      <c r="BZ291" s="37" t="str">
        <f aca="false">IF(A291="","",ROUND((IF(LEN(D291)&gt;0,1,0)+IF(LEN(E291)&gt;0,1,0)+IF(LEN(F291)&gt;0,1,0)+IF(LEN(G291)&gt;0,1,0)+IF(LEN(H291)&gt;0,1,0)+IF(LEN(J291)&gt;0,1,0)+IF(LEN(K291)&gt;0,1,0)+IF(LEN(M291)&gt;0,1,0)+IF(LEN(O291)&gt;0,1,0)+IF(LEN(P291)&gt;0,1,0)+IF(LEN(Q291)&gt;0,1,0)+IF(LEN(S291)&gt;0,1,0)+IF(LEN(AC291)&gt;0,1,0)+IF(LEN(AV291)&gt;0,1,0)+IF(LEN(AW291)&gt;0,1,0)+IF(LEN(AG291)&gt;0,1,0)+IF(LEN(AI291)&gt;0,1,0)+IF(LEN(AJ291)&gt;0,1,0)+IF(LEN(AK291)&gt;0,1,0)+IF(LEN(AL291)&gt;0,1,0)+IF(LEN(AU291)&gt;0,1,0)+IF(LEN(BH291)&gt;0,1,0)+IF(LEN(BU291)&gt;0,1,0))/23,2))</f>
        <v/>
      </c>
      <c r="CA291" s="10" t="str">
        <f aca="false">IF(D291="","",IF(AND(AJ291="Approved",ISERROR(SEARCH("FAIL",BE291))),"Y","N"))</f>
        <v/>
      </c>
      <c r="CB291" s="10" t="str">
        <f aca="false">IF(D291="","",D291&amp;"|"&amp;G291&amp;"|"&amp;H291&amp;"|"&amp;M291&amp;"|"&amp;CA291)</f>
        <v/>
      </c>
    </row>
    <row r="292" customFormat="false" ht="15" hidden="false" customHeight="false" outlineLevel="0" collapsed="false">
      <c r="A292" s="10" t="str">
        <f aca="false">IF(D292="","","DRN-"&amp;IFERROR(VLOOKUP(D292,Lists!$A$4:$B$27,2,0),"??")&amp;"-"&amp;TEXT(G292,"0000")&amp;"x"&amp;TEXT(H292,"0000")&amp;IF(N(I292)&gt;1,"-"&amp;I292&amp;"C","")&amp;"-"&amp;IFERROR(VLOOKUP(M292,Lists!$J$4:$K$19,2,0),"??")&amp;"-"&amp;AI292)</f>
        <v/>
      </c>
      <c r="B292" s="10" t="str">
        <f aca="false">IF(D292="","",D292&amp;" "&amp;G292&amp;"W x "&amp;H292&amp;"D"&amp;IF(N(I292)&gt;1," ("&amp;I292&amp;" cells)","")&amp;", "&amp;E292&amp;", "&amp;M292&amp;", "&amp;F292)</f>
        <v/>
      </c>
      <c r="C292" s="9"/>
      <c r="D292" s="9"/>
      <c r="E292" s="9"/>
      <c r="F292" s="9"/>
      <c r="G292" s="38"/>
      <c r="H292" s="38"/>
      <c r="I292" s="38"/>
      <c r="J292" s="38"/>
      <c r="K292" s="38"/>
      <c r="L292" s="38"/>
      <c r="M292" s="9"/>
      <c r="N292" s="9"/>
      <c r="O292" s="9"/>
      <c r="P292" s="38"/>
      <c r="Q292" s="9"/>
      <c r="R292" s="9"/>
      <c r="S292" s="9"/>
      <c r="T292" s="9"/>
      <c r="U292" s="9"/>
      <c r="V292" s="9"/>
      <c r="W292" s="9"/>
      <c r="X292" s="9"/>
      <c r="Y292" s="9"/>
      <c r="Z292" s="9"/>
      <c r="AA292" s="9"/>
      <c r="AB292" s="39"/>
      <c r="AC292" s="9"/>
      <c r="AD292" s="38"/>
      <c r="AE292" s="9"/>
      <c r="AF292" s="39"/>
      <c r="AG292" s="9"/>
      <c r="AH292" s="9"/>
      <c r="AI292" s="9"/>
      <c r="AJ292" s="9"/>
      <c r="AK292" s="9"/>
      <c r="AL292" s="9"/>
      <c r="AM292" s="9"/>
      <c r="AN292" s="10" t="str">
        <f aca="false">IF(A292="","",SG_Criteria!$B$6&amp;SG_Criteria!$B$7&amp;"\"&amp;A292&amp;"\")</f>
        <v/>
      </c>
      <c r="AO292" s="10" t="str">
        <f aca="false">IF(A292="","",A292&amp;"_CAD.dwg")</f>
        <v/>
      </c>
      <c r="AP292" s="10" t="str">
        <f aca="false">IF(A292="","",A292&amp;"_DWG.pdf")</f>
        <v/>
      </c>
      <c r="AQ292" s="10" t="str">
        <f aca="false">IF(A292="","",IF(AM292="Y",A292&amp;"_STAAD.std","n/a"))</f>
        <v/>
      </c>
      <c r="AR292" s="10" t="str">
        <f aca="false">IF(A292="","",A292&amp;"_CALC.xlsx")</f>
        <v/>
      </c>
      <c r="AS292" s="10" t="str">
        <f aca="false">IF(A292="","",A292&amp;"_CALC.pdf")</f>
        <v/>
      </c>
      <c r="AT292" s="9"/>
      <c r="AU292" s="9"/>
      <c r="AV292" s="39"/>
      <c r="AW292" s="39"/>
      <c r="AX292" s="39"/>
      <c r="AY292" s="39"/>
      <c r="AZ292" s="39"/>
      <c r="BA292" s="12" t="str">
        <f aca="false">IF(A292="","",IF(COUNTIF(Rebar_Schedule!$A$5:$A$2004,A292)=0,"",ROUND(SUMIF(Rebar_Schedule!$A$5:$A$2004,A292,Rebar_Schedule!$K$5:$K$2004),1)))</f>
        <v/>
      </c>
      <c r="BB292" s="33" t="str">
        <f aca="false">IF(A292="","",IF(BA292="","No rebar schedule yet",IF(ABS(BA292-N(AW292))/MAX(N(AW292),1)&gt;SG_Criteria!$B$55,"NOTE: register rebar differs from schedule by "&amp;TEXT(ABS(BA292-N(AW292))/MAX(N(AW292),1),"0%"),"OK")))</f>
        <v/>
      </c>
      <c r="BC292" s="34" t="str">
        <f aca="false">IF(OR(D292="",G292="",H292="",D292="Sump",D292="Drop Inlet Chamber",D292="Silt Trap",D292="Pipe Culvert",D292="Subsoil Drain"),"",ROUND(MAX(1,N(I292))*(1/SG_Criteria!$B$26)*((G292/1000)*(H292/1000*(1-SG_Criteria!$B$25)))*(((G292/1000)*(H292/1000*(1-SG_Criteria!$B$25)))/((G292/1000)+2*(H292/1000*(1-SG_Criteria!$B$25))))^(2/3)*(1/Design_Selector!$B$11)^0.5,3))</f>
        <v/>
      </c>
      <c r="BD292" s="11" t="str">
        <f aca="false">IF(BC292="","",ROUND(BC292/(MAX(1,N(I292))*G292/1000*(H292/1000*(1-SG_Criteria!$B$25))),2))</f>
        <v/>
      </c>
      <c r="BE292" s="33" t="str">
        <f aca="false">IF(D292="","",IF(LEN(IF(AND(OR(E292="Roadside drain",E292="Entrance culvert"),OR(G292&lt;SG_Criteria!$B$15,H292&lt;SG_Criteria!$B$16)),"FAIL: below PUB min "&amp;SG_Criteria!$B$15&amp;"x"&amp;SG_Criteria!$B$16&amp;" for roadside drain. ","")&amp;IF(AND(E292="Common drain",G292&lt;SG_Criteria!$B$17),"FAIL: common drain W &lt; "&amp;SG_Criteria!$B$17&amp;" mm. ","")&amp;IF(AND(O292&lt;&gt;"",IFERROR(VALUE(MID(O292,2,2)),0)&lt;SG_Criteria!$B$19),"FAIL: grade below C"&amp;SG_Criteria!$B$19&amp;". ","")&amp;IF(AND(P292&lt;&gt;"",P292&lt;SG_Criteria!$B$20),"FAIL: cover &lt; "&amp;SG_Criteria!$B$20&amp;" mm. ","")&amp;IF(AND(F292="Open",H292&gt;SG_Criteria!$B$18),"NOTE: safety railing required (D &gt; "&amp;SG_Criteria!$B$18&amp;" mm). ","")&amp;IF(AND(E292="Entrance culvert",H292&lt;600),"NOTE: check hinged grating rule for culverts &lt; 600 deep (PUB Add. 3). ",""))=0,"OK",IF(AND(OR(E292="Roadside drain",E292="Entrance culvert"),OR(G292&lt;SG_Criteria!$B$15,H292&lt;SG_Criteria!$B$16)),"FAIL: below PUB min "&amp;SG_Criteria!$B$15&amp;"x"&amp;SG_Criteria!$B$16&amp;" for roadside drain. ","")&amp;IF(AND(E292="Common drain",G292&lt;SG_Criteria!$B$17),"FAIL: common drain W &lt; "&amp;SG_Criteria!$B$17&amp;" mm. ","")&amp;IF(AND(O292&lt;&gt;"",IFERROR(VALUE(MID(O292,2,2)),0)&lt;SG_Criteria!$B$19),"FAIL: grade below C"&amp;SG_Criteria!$B$19&amp;". ","")&amp;IF(AND(P292&lt;&gt;"",P292&lt;SG_Criteria!$B$20),"FAIL: cover &lt; "&amp;SG_Criteria!$B$20&amp;" mm. ","")&amp;IF(AND(F292="Open",H292&gt;SG_Criteria!$B$18),"NOTE: safety railing required (D &gt; "&amp;SG_Criteria!$B$18&amp;" mm). ","")&amp;IF(AND(E292="Entrance culvert",H292&lt;600),"NOTE: check hinged grating rule for culverts &lt; 600 deep (PUB Add. 3). ","")))</f>
        <v/>
      </c>
      <c r="BF292" s="9"/>
      <c r="BG292" s="9"/>
      <c r="BH292" s="9"/>
      <c r="BI292" s="10" t="str">
        <f aca="false">IF(BH292="","",IFERROR(VLOOKUP(BH292,Projects!$A$5:$D$504,2,0),"Ref not in Projects"))</f>
        <v/>
      </c>
      <c r="BJ292" s="10" t="str">
        <f aca="false">IF(BH292="","",IFERROR(VLOOKUP(BH292,Projects!$A$5:$D$504,4,0),"Ref not in Projects"))</f>
        <v/>
      </c>
      <c r="BK292" s="9"/>
      <c r="BL292" s="9"/>
      <c r="BM292" s="9"/>
      <c r="BN292" s="40"/>
      <c r="BO292" s="9"/>
      <c r="BP292" s="40"/>
      <c r="BQ292" s="9"/>
      <c r="BR292" s="40"/>
      <c r="BS292" s="9"/>
      <c r="BT292" s="9"/>
      <c r="BU292" s="9"/>
      <c r="BV292" s="40"/>
      <c r="BW292" s="40"/>
      <c r="BX292" s="36" t="str">
        <f aca="false">IF(BW292="","",EDATE(BW292,SG_Criteria!$B$54*12))</f>
        <v/>
      </c>
      <c r="BY292" s="33" t="str">
        <f aca="true">IF(A292="","",IF(BW292="","NOTE: not reviewed yet",IF(TODAY()&gt;BX292,"NOTE: review overdue","OK")))</f>
        <v/>
      </c>
      <c r="BZ292" s="37" t="str">
        <f aca="false">IF(A292="","",ROUND((IF(LEN(D292)&gt;0,1,0)+IF(LEN(E292)&gt;0,1,0)+IF(LEN(F292)&gt;0,1,0)+IF(LEN(G292)&gt;0,1,0)+IF(LEN(H292)&gt;0,1,0)+IF(LEN(J292)&gt;0,1,0)+IF(LEN(K292)&gt;0,1,0)+IF(LEN(M292)&gt;0,1,0)+IF(LEN(O292)&gt;0,1,0)+IF(LEN(P292)&gt;0,1,0)+IF(LEN(Q292)&gt;0,1,0)+IF(LEN(S292)&gt;0,1,0)+IF(LEN(AC292)&gt;0,1,0)+IF(LEN(AV292)&gt;0,1,0)+IF(LEN(AW292)&gt;0,1,0)+IF(LEN(AG292)&gt;0,1,0)+IF(LEN(AI292)&gt;0,1,0)+IF(LEN(AJ292)&gt;0,1,0)+IF(LEN(AK292)&gt;0,1,0)+IF(LEN(AL292)&gt;0,1,0)+IF(LEN(AU292)&gt;0,1,0)+IF(LEN(BH292)&gt;0,1,0)+IF(LEN(BU292)&gt;0,1,0))/23,2))</f>
        <v/>
      </c>
      <c r="CA292" s="10" t="str">
        <f aca="false">IF(D292="","",IF(AND(AJ292="Approved",ISERROR(SEARCH("FAIL",BE292))),"Y","N"))</f>
        <v/>
      </c>
      <c r="CB292" s="10" t="str">
        <f aca="false">IF(D292="","",D292&amp;"|"&amp;G292&amp;"|"&amp;H292&amp;"|"&amp;M292&amp;"|"&amp;CA292)</f>
        <v/>
      </c>
    </row>
    <row r="293" customFormat="false" ht="15" hidden="false" customHeight="false" outlineLevel="0" collapsed="false">
      <c r="A293" s="10" t="str">
        <f aca="false">IF(D293="","","DRN-"&amp;IFERROR(VLOOKUP(D293,Lists!$A$4:$B$27,2,0),"??")&amp;"-"&amp;TEXT(G293,"0000")&amp;"x"&amp;TEXT(H293,"0000")&amp;IF(N(I293)&gt;1,"-"&amp;I293&amp;"C","")&amp;"-"&amp;IFERROR(VLOOKUP(M293,Lists!$J$4:$K$19,2,0),"??")&amp;"-"&amp;AI293)</f>
        <v/>
      </c>
      <c r="B293" s="10" t="str">
        <f aca="false">IF(D293="","",D293&amp;" "&amp;G293&amp;"W x "&amp;H293&amp;"D"&amp;IF(N(I293)&gt;1," ("&amp;I293&amp;" cells)","")&amp;", "&amp;E293&amp;", "&amp;M293&amp;", "&amp;F293)</f>
        <v/>
      </c>
      <c r="C293" s="9"/>
      <c r="D293" s="9"/>
      <c r="E293" s="9"/>
      <c r="F293" s="9"/>
      <c r="G293" s="38"/>
      <c r="H293" s="38"/>
      <c r="I293" s="38"/>
      <c r="J293" s="38"/>
      <c r="K293" s="38"/>
      <c r="L293" s="38"/>
      <c r="M293" s="9"/>
      <c r="N293" s="9"/>
      <c r="O293" s="9"/>
      <c r="P293" s="38"/>
      <c r="Q293" s="9"/>
      <c r="R293" s="9"/>
      <c r="S293" s="9"/>
      <c r="T293" s="9"/>
      <c r="U293" s="9"/>
      <c r="V293" s="9"/>
      <c r="W293" s="9"/>
      <c r="X293" s="9"/>
      <c r="Y293" s="9"/>
      <c r="Z293" s="9"/>
      <c r="AA293" s="9"/>
      <c r="AB293" s="39"/>
      <c r="AC293" s="9"/>
      <c r="AD293" s="38"/>
      <c r="AE293" s="9"/>
      <c r="AF293" s="39"/>
      <c r="AG293" s="9"/>
      <c r="AH293" s="9"/>
      <c r="AI293" s="9"/>
      <c r="AJ293" s="9"/>
      <c r="AK293" s="9"/>
      <c r="AL293" s="9"/>
      <c r="AM293" s="9"/>
      <c r="AN293" s="10" t="str">
        <f aca="false">IF(A293="","",SG_Criteria!$B$6&amp;SG_Criteria!$B$7&amp;"\"&amp;A293&amp;"\")</f>
        <v/>
      </c>
      <c r="AO293" s="10" t="str">
        <f aca="false">IF(A293="","",A293&amp;"_CAD.dwg")</f>
        <v/>
      </c>
      <c r="AP293" s="10" t="str">
        <f aca="false">IF(A293="","",A293&amp;"_DWG.pdf")</f>
        <v/>
      </c>
      <c r="AQ293" s="10" t="str">
        <f aca="false">IF(A293="","",IF(AM293="Y",A293&amp;"_STAAD.std","n/a"))</f>
        <v/>
      </c>
      <c r="AR293" s="10" t="str">
        <f aca="false">IF(A293="","",A293&amp;"_CALC.xlsx")</f>
        <v/>
      </c>
      <c r="AS293" s="10" t="str">
        <f aca="false">IF(A293="","",A293&amp;"_CALC.pdf")</f>
        <v/>
      </c>
      <c r="AT293" s="9"/>
      <c r="AU293" s="9"/>
      <c r="AV293" s="39"/>
      <c r="AW293" s="39"/>
      <c r="AX293" s="39"/>
      <c r="AY293" s="39"/>
      <c r="AZ293" s="39"/>
      <c r="BA293" s="12" t="str">
        <f aca="false">IF(A293="","",IF(COUNTIF(Rebar_Schedule!$A$5:$A$2004,A293)=0,"",ROUND(SUMIF(Rebar_Schedule!$A$5:$A$2004,A293,Rebar_Schedule!$K$5:$K$2004),1)))</f>
        <v/>
      </c>
      <c r="BB293" s="33" t="str">
        <f aca="false">IF(A293="","",IF(BA293="","No rebar schedule yet",IF(ABS(BA293-N(AW293))/MAX(N(AW293),1)&gt;SG_Criteria!$B$55,"NOTE: register rebar differs from schedule by "&amp;TEXT(ABS(BA293-N(AW293))/MAX(N(AW293),1),"0%"),"OK")))</f>
        <v/>
      </c>
      <c r="BC293" s="34" t="str">
        <f aca="false">IF(OR(D293="",G293="",H293="",D293="Sump",D293="Drop Inlet Chamber",D293="Silt Trap",D293="Pipe Culvert",D293="Subsoil Drain"),"",ROUND(MAX(1,N(I293))*(1/SG_Criteria!$B$26)*((G293/1000)*(H293/1000*(1-SG_Criteria!$B$25)))*(((G293/1000)*(H293/1000*(1-SG_Criteria!$B$25)))/((G293/1000)+2*(H293/1000*(1-SG_Criteria!$B$25))))^(2/3)*(1/Design_Selector!$B$11)^0.5,3))</f>
        <v/>
      </c>
      <c r="BD293" s="11" t="str">
        <f aca="false">IF(BC293="","",ROUND(BC293/(MAX(1,N(I293))*G293/1000*(H293/1000*(1-SG_Criteria!$B$25))),2))</f>
        <v/>
      </c>
      <c r="BE293" s="33" t="str">
        <f aca="false">IF(D293="","",IF(LEN(IF(AND(OR(E293="Roadside drain",E293="Entrance culvert"),OR(G293&lt;SG_Criteria!$B$15,H293&lt;SG_Criteria!$B$16)),"FAIL: below PUB min "&amp;SG_Criteria!$B$15&amp;"x"&amp;SG_Criteria!$B$16&amp;" for roadside drain. ","")&amp;IF(AND(E293="Common drain",G293&lt;SG_Criteria!$B$17),"FAIL: common drain W &lt; "&amp;SG_Criteria!$B$17&amp;" mm. ","")&amp;IF(AND(O293&lt;&gt;"",IFERROR(VALUE(MID(O293,2,2)),0)&lt;SG_Criteria!$B$19),"FAIL: grade below C"&amp;SG_Criteria!$B$19&amp;". ","")&amp;IF(AND(P293&lt;&gt;"",P293&lt;SG_Criteria!$B$20),"FAIL: cover &lt; "&amp;SG_Criteria!$B$20&amp;" mm. ","")&amp;IF(AND(F293="Open",H293&gt;SG_Criteria!$B$18),"NOTE: safety railing required (D &gt; "&amp;SG_Criteria!$B$18&amp;" mm). ","")&amp;IF(AND(E293="Entrance culvert",H293&lt;600),"NOTE: check hinged grating rule for culverts &lt; 600 deep (PUB Add. 3). ",""))=0,"OK",IF(AND(OR(E293="Roadside drain",E293="Entrance culvert"),OR(G293&lt;SG_Criteria!$B$15,H293&lt;SG_Criteria!$B$16)),"FAIL: below PUB min "&amp;SG_Criteria!$B$15&amp;"x"&amp;SG_Criteria!$B$16&amp;" for roadside drain. ","")&amp;IF(AND(E293="Common drain",G293&lt;SG_Criteria!$B$17),"FAIL: common drain W &lt; "&amp;SG_Criteria!$B$17&amp;" mm. ","")&amp;IF(AND(O293&lt;&gt;"",IFERROR(VALUE(MID(O293,2,2)),0)&lt;SG_Criteria!$B$19),"FAIL: grade below C"&amp;SG_Criteria!$B$19&amp;". ","")&amp;IF(AND(P293&lt;&gt;"",P293&lt;SG_Criteria!$B$20),"FAIL: cover &lt; "&amp;SG_Criteria!$B$20&amp;" mm. ","")&amp;IF(AND(F293="Open",H293&gt;SG_Criteria!$B$18),"NOTE: safety railing required (D &gt; "&amp;SG_Criteria!$B$18&amp;" mm). ","")&amp;IF(AND(E293="Entrance culvert",H293&lt;600),"NOTE: check hinged grating rule for culverts &lt; 600 deep (PUB Add. 3). ","")))</f>
        <v/>
      </c>
      <c r="BF293" s="9"/>
      <c r="BG293" s="9"/>
      <c r="BH293" s="9"/>
      <c r="BI293" s="10" t="str">
        <f aca="false">IF(BH293="","",IFERROR(VLOOKUP(BH293,Projects!$A$5:$D$504,2,0),"Ref not in Projects"))</f>
        <v/>
      </c>
      <c r="BJ293" s="10" t="str">
        <f aca="false">IF(BH293="","",IFERROR(VLOOKUP(BH293,Projects!$A$5:$D$504,4,0),"Ref not in Projects"))</f>
        <v/>
      </c>
      <c r="BK293" s="9"/>
      <c r="BL293" s="9"/>
      <c r="BM293" s="9"/>
      <c r="BN293" s="40"/>
      <c r="BO293" s="9"/>
      <c r="BP293" s="40"/>
      <c r="BQ293" s="9"/>
      <c r="BR293" s="40"/>
      <c r="BS293" s="9"/>
      <c r="BT293" s="9"/>
      <c r="BU293" s="9"/>
      <c r="BV293" s="40"/>
      <c r="BW293" s="40"/>
      <c r="BX293" s="36" t="str">
        <f aca="false">IF(BW293="","",EDATE(BW293,SG_Criteria!$B$54*12))</f>
        <v/>
      </c>
      <c r="BY293" s="33" t="str">
        <f aca="true">IF(A293="","",IF(BW293="","NOTE: not reviewed yet",IF(TODAY()&gt;BX293,"NOTE: review overdue","OK")))</f>
        <v/>
      </c>
      <c r="BZ293" s="37" t="str">
        <f aca="false">IF(A293="","",ROUND((IF(LEN(D293)&gt;0,1,0)+IF(LEN(E293)&gt;0,1,0)+IF(LEN(F293)&gt;0,1,0)+IF(LEN(G293)&gt;0,1,0)+IF(LEN(H293)&gt;0,1,0)+IF(LEN(J293)&gt;0,1,0)+IF(LEN(K293)&gt;0,1,0)+IF(LEN(M293)&gt;0,1,0)+IF(LEN(O293)&gt;0,1,0)+IF(LEN(P293)&gt;0,1,0)+IF(LEN(Q293)&gt;0,1,0)+IF(LEN(S293)&gt;0,1,0)+IF(LEN(AC293)&gt;0,1,0)+IF(LEN(AV293)&gt;0,1,0)+IF(LEN(AW293)&gt;0,1,0)+IF(LEN(AG293)&gt;0,1,0)+IF(LEN(AI293)&gt;0,1,0)+IF(LEN(AJ293)&gt;0,1,0)+IF(LEN(AK293)&gt;0,1,0)+IF(LEN(AL293)&gt;0,1,0)+IF(LEN(AU293)&gt;0,1,0)+IF(LEN(BH293)&gt;0,1,0)+IF(LEN(BU293)&gt;0,1,0))/23,2))</f>
        <v/>
      </c>
      <c r="CA293" s="10" t="str">
        <f aca="false">IF(D293="","",IF(AND(AJ293="Approved",ISERROR(SEARCH("FAIL",BE293))),"Y","N"))</f>
        <v/>
      </c>
      <c r="CB293" s="10" t="str">
        <f aca="false">IF(D293="","",D293&amp;"|"&amp;G293&amp;"|"&amp;H293&amp;"|"&amp;M293&amp;"|"&amp;CA293)</f>
        <v/>
      </c>
    </row>
    <row r="294" customFormat="false" ht="15" hidden="false" customHeight="false" outlineLevel="0" collapsed="false">
      <c r="A294" s="10" t="str">
        <f aca="false">IF(D294="","","DRN-"&amp;IFERROR(VLOOKUP(D294,Lists!$A$4:$B$27,2,0),"??")&amp;"-"&amp;TEXT(G294,"0000")&amp;"x"&amp;TEXT(H294,"0000")&amp;IF(N(I294)&gt;1,"-"&amp;I294&amp;"C","")&amp;"-"&amp;IFERROR(VLOOKUP(M294,Lists!$J$4:$K$19,2,0),"??")&amp;"-"&amp;AI294)</f>
        <v/>
      </c>
      <c r="B294" s="10" t="str">
        <f aca="false">IF(D294="","",D294&amp;" "&amp;G294&amp;"W x "&amp;H294&amp;"D"&amp;IF(N(I294)&gt;1," ("&amp;I294&amp;" cells)","")&amp;", "&amp;E294&amp;", "&amp;M294&amp;", "&amp;F294)</f>
        <v/>
      </c>
      <c r="C294" s="9"/>
      <c r="D294" s="9"/>
      <c r="E294" s="9"/>
      <c r="F294" s="9"/>
      <c r="G294" s="38"/>
      <c r="H294" s="38"/>
      <c r="I294" s="38"/>
      <c r="J294" s="38"/>
      <c r="K294" s="38"/>
      <c r="L294" s="38"/>
      <c r="M294" s="9"/>
      <c r="N294" s="9"/>
      <c r="O294" s="9"/>
      <c r="P294" s="38"/>
      <c r="Q294" s="9"/>
      <c r="R294" s="9"/>
      <c r="S294" s="9"/>
      <c r="T294" s="9"/>
      <c r="U294" s="9"/>
      <c r="V294" s="9"/>
      <c r="W294" s="9"/>
      <c r="X294" s="9"/>
      <c r="Y294" s="9"/>
      <c r="Z294" s="9"/>
      <c r="AA294" s="9"/>
      <c r="AB294" s="39"/>
      <c r="AC294" s="9"/>
      <c r="AD294" s="38"/>
      <c r="AE294" s="9"/>
      <c r="AF294" s="39"/>
      <c r="AG294" s="9"/>
      <c r="AH294" s="9"/>
      <c r="AI294" s="9"/>
      <c r="AJ294" s="9"/>
      <c r="AK294" s="9"/>
      <c r="AL294" s="9"/>
      <c r="AM294" s="9"/>
      <c r="AN294" s="10" t="str">
        <f aca="false">IF(A294="","",SG_Criteria!$B$6&amp;SG_Criteria!$B$7&amp;"\"&amp;A294&amp;"\")</f>
        <v/>
      </c>
      <c r="AO294" s="10" t="str">
        <f aca="false">IF(A294="","",A294&amp;"_CAD.dwg")</f>
        <v/>
      </c>
      <c r="AP294" s="10" t="str">
        <f aca="false">IF(A294="","",A294&amp;"_DWG.pdf")</f>
        <v/>
      </c>
      <c r="AQ294" s="10" t="str">
        <f aca="false">IF(A294="","",IF(AM294="Y",A294&amp;"_STAAD.std","n/a"))</f>
        <v/>
      </c>
      <c r="AR294" s="10" t="str">
        <f aca="false">IF(A294="","",A294&amp;"_CALC.xlsx")</f>
        <v/>
      </c>
      <c r="AS294" s="10" t="str">
        <f aca="false">IF(A294="","",A294&amp;"_CALC.pdf")</f>
        <v/>
      </c>
      <c r="AT294" s="9"/>
      <c r="AU294" s="9"/>
      <c r="AV294" s="39"/>
      <c r="AW294" s="39"/>
      <c r="AX294" s="39"/>
      <c r="AY294" s="39"/>
      <c r="AZ294" s="39"/>
      <c r="BA294" s="12" t="str">
        <f aca="false">IF(A294="","",IF(COUNTIF(Rebar_Schedule!$A$5:$A$2004,A294)=0,"",ROUND(SUMIF(Rebar_Schedule!$A$5:$A$2004,A294,Rebar_Schedule!$K$5:$K$2004),1)))</f>
        <v/>
      </c>
      <c r="BB294" s="33" t="str">
        <f aca="false">IF(A294="","",IF(BA294="","No rebar schedule yet",IF(ABS(BA294-N(AW294))/MAX(N(AW294),1)&gt;SG_Criteria!$B$55,"NOTE: register rebar differs from schedule by "&amp;TEXT(ABS(BA294-N(AW294))/MAX(N(AW294),1),"0%"),"OK")))</f>
        <v/>
      </c>
      <c r="BC294" s="34" t="str">
        <f aca="false">IF(OR(D294="",G294="",H294="",D294="Sump",D294="Drop Inlet Chamber",D294="Silt Trap",D294="Pipe Culvert",D294="Subsoil Drain"),"",ROUND(MAX(1,N(I294))*(1/SG_Criteria!$B$26)*((G294/1000)*(H294/1000*(1-SG_Criteria!$B$25)))*(((G294/1000)*(H294/1000*(1-SG_Criteria!$B$25)))/((G294/1000)+2*(H294/1000*(1-SG_Criteria!$B$25))))^(2/3)*(1/Design_Selector!$B$11)^0.5,3))</f>
        <v/>
      </c>
      <c r="BD294" s="11" t="str">
        <f aca="false">IF(BC294="","",ROUND(BC294/(MAX(1,N(I294))*G294/1000*(H294/1000*(1-SG_Criteria!$B$25))),2))</f>
        <v/>
      </c>
      <c r="BE294" s="33" t="str">
        <f aca="false">IF(D294="","",IF(LEN(IF(AND(OR(E294="Roadside drain",E294="Entrance culvert"),OR(G294&lt;SG_Criteria!$B$15,H294&lt;SG_Criteria!$B$16)),"FAIL: below PUB min "&amp;SG_Criteria!$B$15&amp;"x"&amp;SG_Criteria!$B$16&amp;" for roadside drain. ","")&amp;IF(AND(E294="Common drain",G294&lt;SG_Criteria!$B$17),"FAIL: common drain W &lt; "&amp;SG_Criteria!$B$17&amp;" mm. ","")&amp;IF(AND(O294&lt;&gt;"",IFERROR(VALUE(MID(O294,2,2)),0)&lt;SG_Criteria!$B$19),"FAIL: grade below C"&amp;SG_Criteria!$B$19&amp;". ","")&amp;IF(AND(P294&lt;&gt;"",P294&lt;SG_Criteria!$B$20),"FAIL: cover &lt; "&amp;SG_Criteria!$B$20&amp;" mm. ","")&amp;IF(AND(F294="Open",H294&gt;SG_Criteria!$B$18),"NOTE: safety railing required (D &gt; "&amp;SG_Criteria!$B$18&amp;" mm). ","")&amp;IF(AND(E294="Entrance culvert",H294&lt;600),"NOTE: check hinged grating rule for culverts &lt; 600 deep (PUB Add. 3). ",""))=0,"OK",IF(AND(OR(E294="Roadside drain",E294="Entrance culvert"),OR(G294&lt;SG_Criteria!$B$15,H294&lt;SG_Criteria!$B$16)),"FAIL: below PUB min "&amp;SG_Criteria!$B$15&amp;"x"&amp;SG_Criteria!$B$16&amp;" for roadside drain. ","")&amp;IF(AND(E294="Common drain",G294&lt;SG_Criteria!$B$17),"FAIL: common drain W &lt; "&amp;SG_Criteria!$B$17&amp;" mm. ","")&amp;IF(AND(O294&lt;&gt;"",IFERROR(VALUE(MID(O294,2,2)),0)&lt;SG_Criteria!$B$19),"FAIL: grade below C"&amp;SG_Criteria!$B$19&amp;". ","")&amp;IF(AND(P294&lt;&gt;"",P294&lt;SG_Criteria!$B$20),"FAIL: cover &lt; "&amp;SG_Criteria!$B$20&amp;" mm. ","")&amp;IF(AND(F294="Open",H294&gt;SG_Criteria!$B$18),"NOTE: safety railing required (D &gt; "&amp;SG_Criteria!$B$18&amp;" mm). ","")&amp;IF(AND(E294="Entrance culvert",H294&lt;600),"NOTE: check hinged grating rule for culverts &lt; 600 deep (PUB Add. 3). ","")))</f>
        <v/>
      </c>
      <c r="BF294" s="9"/>
      <c r="BG294" s="9"/>
      <c r="BH294" s="9"/>
      <c r="BI294" s="10" t="str">
        <f aca="false">IF(BH294="","",IFERROR(VLOOKUP(BH294,Projects!$A$5:$D$504,2,0),"Ref not in Projects"))</f>
        <v/>
      </c>
      <c r="BJ294" s="10" t="str">
        <f aca="false">IF(BH294="","",IFERROR(VLOOKUP(BH294,Projects!$A$5:$D$504,4,0),"Ref not in Projects"))</f>
        <v/>
      </c>
      <c r="BK294" s="9"/>
      <c r="BL294" s="9"/>
      <c r="BM294" s="9"/>
      <c r="BN294" s="40"/>
      <c r="BO294" s="9"/>
      <c r="BP294" s="40"/>
      <c r="BQ294" s="9"/>
      <c r="BR294" s="40"/>
      <c r="BS294" s="9"/>
      <c r="BT294" s="9"/>
      <c r="BU294" s="9"/>
      <c r="BV294" s="40"/>
      <c r="BW294" s="40"/>
      <c r="BX294" s="36" t="str">
        <f aca="false">IF(BW294="","",EDATE(BW294,SG_Criteria!$B$54*12))</f>
        <v/>
      </c>
      <c r="BY294" s="33" t="str">
        <f aca="true">IF(A294="","",IF(BW294="","NOTE: not reviewed yet",IF(TODAY()&gt;BX294,"NOTE: review overdue","OK")))</f>
        <v/>
      </c>
      <c r="BZ294" s="37" t="str">
        <f aca="false">IF(A294="","",ROUND((IF(LEN(D294)&gt;0,1,0)+IF(LEN(E294)&gt;0,1,0)+IF(LEN(F294)&gt;0,1,0)+IF(LEN(G294)&gt;0,1,0)+IF(LEN(H294)&gt;0,1,0)+IF(LEN(J294)&gt;0,1,0)+IF(LEN(K294)&gt;0,1,0)+IF(LEN(M294)&gt;0,1,0)+IF(LEN(O294)&gt;0,1,0)+IF(LEN(P294)&gt;0,1,0)+IF(LEN(Q294)&gt;0,1,0)+IF(LEN(S294)&gt;0,1,0)+IF(LEN(AC294)&gt;0,1,0)+IF(LEN(AV294)&gt;0,1,0)+IF(LEN(AW294)&gt;0,1,0)+IF(LEN(AG294)&gt;0,1,0)+IF(LEN(AI294)&gt;0,1,0)+IF(LEN(AJ294)&gt;0,1,0)+IF(LEN(AK294)&gt;0,1,0)+IF(LEN(AL294)&gt;0,1,0)+IF(LEN(AU294)&gt;0,1,0)+IF(LEN(BH294)&gt;0,1,0)+IF(LEN(BU294)&gt;0,1,0))/23,2))</f>
        <v/>
      </c>
      <c r="CA294" s="10" t="str">
        <f aca="false">IF(D294="","",IF(AND(AJ294="Approved",ISERROR(SEARCH("FAIL",BE294))),"Y","N"))</f>
        <v/>
      </c>
      <c r="CB294" s="10" t="str">
        <f aca="false">IF(D294="","",D294&amp;"|"&amp;G294&amp;"|"&amp;H294&amp;"|"&amp;M294&amp;"|"&amp;CA294)</f>
        <v/>
      </c>
    </row>
    <row r="295" customFormat="false" ht="15" hidden="false" customHeight="false" outlineLevel="0" collapsed="false">
      <c r="A295" s="10" t="str">
        <f aca="false">IF(D295="","","DRN-"&amp;IFERROR(VLOOKUP(D295,Lists!$A$4:$B$27,2,0),"??")&amp;"-"&amp;TEXT(G295,"0000")&amp;"x"&amp;TEXT(H295,"0000")&amp;IF(N(I295)&gt;1,"-"&amp;I295&amp;"C","")&amp;"-"&amp;IFERROR(VLOOKUP(M295,Lists!$J$4:$K$19,2,0),"??")&amp;"-"&amp;AI295)</f>
        <v/>
      </c>
      <c r="B295" s="10" t="str">
        <f aca="false">IF(D295="","",D295&amp;" "&amp;G295&amp;"W x "&amp;H295&amp;"D"&amp;IF(N(I295)&gt;1," ("&amp;I295&amp;" cells)","")&amp;", "&amp;E295&amp;", "&amp;M295&amp;", "&amp;F295)</f>
        <v/>
      </c>
      <c r="C295" s="9"/>
      <c r="D295" s="9"/>
      <c r="E295" s="9"/>
      <c r="F295" s="9"/>
      <c r="G295" s="38"/>
      <c r="H295" s="38"/>
      <c r="I295" s="38"/>
      <c r="J295" s="38"/>
      <c r="K295" s="38"/>
      <c r="L295" s="38"/>
      <c r="M295" s="9"/>
      <c r="N295" s="9"/>
      <c r="O295" s="9"/>
      <c r="P295" s="38"/>
      <c r="Q295" s="9"/>
      <c r="R295" s="9"/>
      <c r="S295" s="9"/>
      <c r="T295" s="9"/>
      <c r="U295" s="9"/>
      <c r="V295" s="9"/>
      <c r="W295" s="9"/>
      <c r="X295" s="9"/>
      <c r="Y295" s="9"/>
      <c r="Z295" s="9"/>
      <c r="AA295" s="9"/>
      <c r="AB295" s="39"/>
      <c r="AC295" s="9"/>
      <c r="AD295" s="38"/>
      <c r="AE295" s="9"/>
      <c r="AF295" s="39"/>
      <c r="AG295" s="9"/>
      <c r="AH295" s="9"/>
      <c r="AI295" s="9"/>
      <c r="AJ295" s="9"/>
      <c r="AK295" s="9"/>
      <c r="AL295" s="9"/>
      <c r="AM295" s="9"/>
      <c r="AN295" s="10" t="str">
        <f aca="false">IF(A295="","",SG_Criteria!$B$6&amp;SG_Criteria!$B$7&amp;"\"&amp;A295&amp;"\")</f>
        <v/>
      </c>
      <c r="AO295" s="10" t="str">
        <f aca="false">IF(A295="","",A295&amp;"_CAD.dwg")</f>
        <v/>
      </c>
      <c r="AP295" s="10" t="str">
        <f aca="false">IF(A295="","",A295&amp;"_DWG.pdf")</f>
        <v/>
      </c>
      <c r="AQ295" s="10" t="str">
        <f aca="false">IF(A295="","",IF(AM295="Y",A295&amp;"_STAAD.std","n/a"))</f>
        <v/>
      </c>
      <c r="AR295" s="10" t="str">
        <f aca="false">IF(A295="","",A295&amp;"_CALC.xlsx")</f>
        <v/>
      </c>
      <c r="AS295" s="10" t="str">
        <f aca="false">IF(A295="","",A295&amp;"_CALC.pdf")</f>
        <v/>
      </c>
      <c r="AT295" s="9"/>
      <c r="AU295" s="9"/>
      <c r="AV295" s="39"/>
      <c r="AW295" s="39"/>
      <c r="AX295" s="39"/>
      <c r="AY295" s="39"/>
      <c r="AZ295" s="39"/>
      <c r="BA295" s="12" t="str">
        <f aca="false">IF(A295="","",IF(COUNTIF(Rebar_Schedule!$A$5:$A$2004,A295)=0,"",ROUND(SUMIF(Rebar_Schedule!$A$5:$A$2004,A295,Rebar_Schedule!$K$5:$K$2004),1)))</f>
        <v/>
      </c>
      <c r="BB295" s="33" t="str">
        <f aca="false">IF(A295="","",IF(BA295="","No rebar schedule yet",IF(ABS(BA295-N(AW295))/MAX(N(AW295),1)&gt;SG_Criteria!$B$55,"NOTE: register rebar differs from schedule by "&amp;TEXT(ABS(BA295-N(AW295))/MAX(N(AW295),1),"0%"),"OK")))</f>
        <v/>
      </c>
      <c r="BC295" s="34" t="str">
        <f aca="false">IF(OR(D295="",G295="",H295="",D295="Sump",D295="Drop Inlet Chamber",D295="Silt Trap",D295="Pipe Culvert",D295="Subsoil Drain"),"",ROUND(MAX(1,N(I295))*(1/SG_Criteria!$B$26)*((G295/1000)*(H295/1000*(1-SG_Criteria!$B$25)))*(((G295/1000)*(H295/1000*(1-SG_Criteria!$B$25)))/((G295/1000)+2*(H295/1000*(1-SG_Criteria!$B$25))))^(2/3)*(1/Design_Selector!$B$11)^0.5,3))</f>
        <v/>
      </c>
      <c r="BD295" s="11" t="str">
        <f aca="false">IF(BC295="","",ROUND(BC295/(MAX(1,N(I295))*G295/1000*(H295/1000*(1-SG_Criteria!$B$25))),2))</f>
        <v/>
      </c>
      <c r="BE295" s="33" t="str">
        <f aca="false">IF(D295="","",IF(LEN(IF(AND(OR(E295="Roadside drain",E295="Entrance culvert"),OR(G295&lt;SG_Criteria!$B$15,H295&lt;SG_Criteria!$B$16)),"FAIL: below PUB min "&amp;SG_Criteria!$B$15&amp;"x"&amp;SG_Criteria!$B$16&amp;" for roadside drain. ","")&amp;IF(AND(E295="Common drain",G295&lt;SG_Criteria!$B$17),"FAIL: common drain W &lt; "&amp;SG_Criteria!$B$17&amp;" mm. ","")&amp;IF(AND(O295&lt;&gt;"",IFERROR(VALUE(MID(O295,2,2)),0)&lt;SG_Criteria!$B$19),"FAIL: grade below C"&amp;SG_Criteria!$B$19&amp;". ","")&amp;IF(AND(P295&lt;&gt;"",P295&lt;SG_Criteria!$B$20),"FAIL: cover &lt; "&amp;SG_Criteria!$B$20&amp;" mm. ","")&amp;IF(AND(F295="Open",H295&gt;SG_Criteria!$B$18),"NOTE: safety railing required (D &gt; "&amp;SG_Criteria!$B$18&amp;" mm). ","")&amp;IF(AND(E295="Entrance culvert",H295&lt;600),"NOTE: check hinged grating rule for culverts &lt; 600 deep (PUB Add. 3). ",""))=0,"OK",IF(AND(OR(E295="Roadside drain",E295="Entrance culvert"),OR(G295&lt;SG_Criteria!$B$15,H295&lt;SG_Criteria!$B$16)),"FAIL: below PUB min "&amp;SG_Criteria!$B$15&amp;"x"&amp;SG_Criteria!$B$16&amp;" for roadside drain. ","")&amp;IF(AND(E295="Common drain",G295&lt;SG_Criteria!$B$17),"FAIL: common drain W &lt; "&amp;SG_Criteria!$B$17&amp;" mm. ","")&amp;IF(AND(O295&lt;&gt;"",IFERROR(VALUE(MID(O295,2,2)),0)&lt;SG_Criteria!$B$19),"FAIL: grade below C"&amp;SG_Criteria!$B$19&amp;". ","")&amp;IF(AND(P295&lt;&gt;"",P295&lt;SG_Criteria!$B$20),"FAIL: cover &lt; "&amp;SG_Criteria!$B$20&amp;" mm. ","")&amp;IF(AND(F295="Open",H295&gt;SG_Criteria!$B$18),"NOTE: safety railing required (D &gt; "&amp;SG_Criteria!$B$18&amp;" mm). ","")&amp;IF(AND(E295="Entrance culvert",H295&lt;600),"NOTE: check hinged grating rule for culverts &lt; 600 deep (PUB Add. 3). ","")))</f>
        <v/>
      </c>
      <c r="BF295" s="9"/>
      <c r="BG295" s="9"/>
      <c r="BH295" s="9"/>
      <c r="BI295" s="10" t="str">
        <f aca="false">IF(BH295="","",IFERROR(VLOOKUP(BH295,Projects!$A$5:$D$504,2,0),"Ref not in Projects"))</f>
        <v/>
      </c>
      <c r="BJ295" s="10" t="str">
        <f aca="false">IF(BH295="","",IFERROR(VLOOKUP(BH295,Projects!$A$5:$D$504,4,0),"Ref not in Projects"))</f>
        <v/>
      </c>
      <c r="BK295" s="9"/>
      <c r="BL295" s="9"/>
      <c r="BM295" s="9"/>
      <c r="BN295" s="40"/>
      <c r="BO295" s="9"/>
      <c r="BP295" s="40"/>
      <c r="BQ295" s="9"/>
      <c r="BR295" s="40"/>
      <c r="BS295" s="9"/>
      <c r="BT295" s="9"/>
      <c r="BU295" s="9"/>
      <c r="BV295" s="40"/>
      <c r="BW295" s="40"/>
      <c r="BX295" s="36" t="str">
        <f aca="false">IF(BW295="","",EDATE(BW295,SG_Criteria!$B$54*12))</f>
        <v/>
      </c>
      <c r="BY295" s="33" t="str">
        <f aca="true">IF(A295="","",IF(BW295="","NOTE: not reviewed yet",IF(TODAY()&gt;BX295,"NOTE: review overdue","OK")))</f>
        <v/>
      </c>
      <c r="BZ295" s="37" t="str">
        <f aca="false">IF(A295="","",ROUND((IF(LEN(D295)&gt;0,1,0)+IF(LEN(E295)&gt;0,1,0)+IF(LEN(F295)&gt;0,1,0)+IF(LEN(G295)&gt;0,1,0)+IF(LEN(H295)&gt;0,1,0)+IF(LEN(J295)&gt;0,1,0)+IF(LEN(K295)&gt;0,1,0)+IF(LEN(M295)&gt;0,1,0)+IF(LEN(O295)&gt;0,1,0)+IF(LEN(P295)&gt;0,1,0)+IF(LEN(Q295)&gt;0,1,0)+IF(LEN(S295)&gt;0,1,0)+IF(LEN(AC295)&gt;0,1,0)+IF(LEN(AV295)&gt;0,1,0)+IF(LEN(AW295)&gt;0,1,0)+IF(LEN(AG295)&gt;0,1,0)+IF(LEN(AI295)&gt;0,1,0)+IF(LEN(AJ295)&gt;0,1,0)+IF(LEN(AK295)&gt;0,1,0)+IF(LEN(AL295)&gt;0,1,0)+IF(LEN(AU295)&gt;0,1,0)+IF(LEN(BH295)&gt;0,1,0)+IF(LEN(BU295)&gt;0,1,0))/23,2))</f>
        <v/>
      </c>
      <c r="CA295" s="10" t="str">
        <f aca="false">IF(D295="","",IF(AND(AJ295="Approved",ISERROR(SEARCH("FAIL",BE295))),"Y","N"))</f>
        <v/>
      </c>
      <c r="CB295" s="10" t="str">
        <f aca="false">IF(D295="","",D295&amp;"|"&amp;G295&amp;"|"&amp;H295&amp;"|"&amp;M295&amp;"|"&amp;CA295)</f>
        <v/>
      </c>
    </row>
    <row r="296" customFormat="false" ht="15" hidden="false" customHeight="false" outlineLevel="0" collapsed="false">
      <c r="A296" s="10" t="str">
        <f aca="false">IF(D296="","","DRN-"&amp;IFERROR(VLOOKUP(D296,Lists!$A$4:$B$27,2,0),"??")&amp;"-"&amp;TEXT(G296,"0000")&amp;"x"&amp;TEXT(H296,"0000")&amp;IF(N(I296)&gt;1,"-"&amp;I296&amp;"C","")&amp;"-"&amp;IFERROR(VLOOKUP(M296,Lists!$J$4:$K$19,2,0),"??")&amp;"-"&amp;AI296)</f>
        <v/>
      </c>
      <c r="B296" s="10" t="str">
        <f aca="false">IF(D296="","",D296&amp;" "&amp;G296&amp;"W x "&amp;H296&amp;"D"&amp;IF(N(I296)&gt;1," ("&amp;I296&amp;" cells)","")&amp;", "&amp;E296&amp;", "&amp;M296&amp;", "&amp;F296)</f>
        <v/>
      </c>
      <c r="C296" s="9"/>
      <c r="D296" s="9"/>
      <c r="E296" s="9"/>
      <c r="F296" s="9"/>
      <c r="G296" s="38"/>
      <c r="H296" s="38"/>
      <c r="I296" s="38"/>
      <c r="J296" s="38"/>
      <c r="K296" s="38"/>
      <c r="L296" s="38"/>
      <c r="M296" s="9"/>
      <c r="N296" s="9"/>
      <c r="O296" s="9"/>
      <c r="P296" s="38"/>
      <c r="Q296" s="9"/>
      <c r="R296" s="9"/>
      <c r="S296" s="9"/>
      <c r="T296" s="9"/>
      <c r="U296" s="9"/>
      <c r="V296" s="9"/>
      <c r="W296" s="9"/>
      <c r="X296" s="9"/>
      <c r="Y296" s="9"/>
      <c r="Z296" s="9"/>
      <c r="AA296" s="9"/>
      <c r="AB296" s="39"/>
      <c r="AC296" s="9"/>
      <c r="AD296" s="38"/>
      <c r="AE296" s="9"/>
      <c r="AF296" s="39"/>
      <c r="AG296" s="9"/>
      <c r="AH296" s="9"/>
      <c r="AI296" s="9"/>
      <c r="AJ296" s="9"/>
      <c r="AK296" s="9"/>
      <c r="AL296" s="9"/>
      <c r="AM296" s="9"/>
      <c r="AN296" s="10" t="str">
        <f aca="false">IF(A296="","",SG_Criteria!$B$6&amp;SG_Criteria!$B$7&amp;"\"&amp;A296&amp;"\")</f>
        <v/>
      </c>
      <c r="AO296" s="10" t="str">
        <f aca="false">IF(A296="","",A296&amp;"_CAD.dwg")</f>
        <v/>
      </c>
      <c r="AP296" s="10" t="str">
        <f aca="false">IF(A296="","",A296&amp;"_DWG.pdf")</f>
        <v/>
      </c>
      <c r="AQ296" s="10" t="str">
        <f aca="false">IF(A296="","",IF(AM296="Y",A296&amp;"_STAAD.std","n/a"))</f>
        <v/>
      </c>
      <c r="AR296" s="10" t="str">
        <f aca="false">IF(A296="","",A296&amp;"_CALC.xlsx")</f>
        <v/>
      </c>
      <c r="AS296" s="10" t="str">
        <f aca="false">IF(A296="","",A296&amp;"_CALC.pdf")</f>
        <v/>
      </c>
      <c r="AT296" s="9"/>
      <c r="AU296" s="9"/>
      <c r="AV296" s="39"/>
      <c r="AW296" s="39"/>
      <c r="AX296" s="39"/>
      <c r="AY296" s="39"/>
      <c r="AZ296" s="39"/>
      <c r="BA296" s="12" t="str">
        <f aca="false">IF(A296="","",IF(COUNTIF(Rebar_Schedule!$A$5:$A$2004,A296)=0,"",ROUND(SUMIF(Rebar_Schedule!$A$5:$A$2004,A296,Rebar_Schedule!$K$5:$K$2004),1)))</f>
        <v/>
      </c>
      <c r="BB296" s="33" t="str">
        <f aca="false">IF(A296="","",IF(BA296="","No rebar schedule yet",IF(ABS(BA296-N(AW296))/MAX(N(AW296),1)&gt;SG_Criteria!$B$55,"NOTE: register rebar differs from schedule by "&amp;TEXT(ABS(BA296-N(AW296))/MAX(N(AW296),1),"0%"),"OK")))</f>
        <v/>
      </c>
      <c r="BC296" s="34" t="str">
        <f aca="false">IF(OR(D296="",G296="",H296="",D296="Sump",D296="Drop Inlet Chamber",D296="Silt Trap",D296="Pipe Culvert",D296="Subsoil Drain"),"",ROUND(MAX(1,N(I296))*(1/SG_Criteria!$B$26)*((G296/1000)*(H296/1000*(1-SG_Criteria!$B$25)))*(((G296/1000)*(H296/1000*(1-SG_Criteria!$B$25)))/((G296/1000)+2*(H296/1000*(1-SG_Criteria!$B$25))))^(2/3)*(1/Design_Selector!$B$11)^0.5,3))</f>
        <v/>
      </c>
      <c r="BD296" s="11" t="str">
        <f aca="false">IF(BC296="","",ROUND(BC296/(MAX(1,N(I296))*G296/1000*(H296/1000*(1-SG_Criteria!$B$25))),2))</f>
        <v/>
      </c>
      <c r="BE296" s="33" t="str">
        <f aca="false">IF(D296="","",IF(LEN(IF(AND(OR(E296="Roadside drain",E296="Entrance culvert"),OR(G296&lt;SG_Criteria!$B$15,H296&lt;SG_Criteria!$B$16)),"FAIL: below PUB min "&amp;SG_Criteria!$B$15&amp;"x"&amp;SG_Criteria!$B$16&amp;" for roadside drain. ","")&amp;IF(AND(E296="Common drain",G296&lt;SG_Criteria!$B$17),"FAIL: common drain W &lt; "&amp;SG_Criteria!$B$17&amp;" mm. ","")&amp;IF(AND(O296&lt;&gt;"",IFERROR(VALUE(MID(O296,2,2)),0)&lt;SG_Criteria!$B$19),"FAIL: grade below C"&amp;SG_Criteria!$B$19&amp;". ","")&amp;IF(AND(P296&lt;&gt;"",P296&lt;SG_Criteria!$B$20),"FAIL: cover &lt; "&amp;SG_Criteria!$B$20&amp;" mm. ","")&amp;IF(AND(F296="Open",H296&gt;SG_Criteria!$B$18),"NOTE: safety railing required (D &gt; "&amp;SG_Criteria!$B$18&amp;" mm). ","")&amp;IF(AND(E296="Entrance culvert",H296&lt;600),"NOTE: check hinged grating rule for culverts &lt; 600 deep (PUB Add. 3). ",""))=0,"OK",IF(AND(OR(E296="Roadside drain",E296="Entrance culvert"),OR(G296&lt;SG_Criteria!$B$15,H296&lt;SG_Criteria!$B$16)),"FAIL: below PUB min "&amp;SG_Criteria!$B$15&amp;"x"&amp;SG_Criteria!$B$16&amp;" for roadside drain. ","")&amp;IF(AND(E296="Common drain",G296&lt;SG_Criteria!$B$17),"FAIL: common drain W &lt; "&amp;SG_Criteria!$B$17&amp;" mm. ","")&amp;IF(AND(O296&lt;&gt;"",IFERROR(VALUE(MID(O296,2,2)),0)&lt;SG_Criteria!$B$19),"FAIL: grade below C"&amp;SG_Criteria!$B$19&amp;". ","")&amp;IF(AND(P296&lt;&gt;"",P296&lt;SG_Criteria!$B$20),"FAIL: cover &lt; "&amp;SG_Criteria!$B$20&amp;" mm. ","")&amp;IF(AND(F296="Open",H296&gt;SG_Criteria!$B$18),"NOTE: safety railing required (D &gt; "&amp;SG_Criteria!$B$18&amp;" mm). ","")&amp;IF(AND(E296="Entrance culvert",H296&lt;600),"NOTE: check hinged grating rule for culverts &lt; 600 deep (PUB Add. 3). ","")))</f>
        <v/>
      </c>
      <c r="BF296" s="9"/>
      <c r="BG296" s="9"/>
      <c r="BH296" s="9"/>
      <c r="BI296" s="10" t="str">
        <f aca="false">IF(BH296="","",IFERROR(VLOOKUP(BH296,Projects!$A$5:$D$504,2,0),"Ref not in Projects"))</f>
        <v/>
      </c>
      <c r="BJ296" s="10" t="str">
        <f aca="false">IF(BH296="","",IFERROR(VLOOKUP(BH296,Projects!$A$5:$D$504,4,0),"Ref not in Projects"))</f>
        <v/>
      </c>
      <c r="BK296" s="9"/>
      <c r="BL296" s="9"/>
      <c r="BM296" s="9"/>
      <c r="BN296" s="40"/>
      <c r="BO296" s="9"/>
      <c r="BP296" s="40"/>
      <c r="BQ296" s="9"/>
      <c r="BR296" s="40"/>
      <c r="BS296" s="9"/>
      <c r="BT296" s="9"/>
      <c r="BU296" s="9"/>
      <c r="BV296" s="40"/>
      <c r="BW296" s="40"/>
      <c r="BX296" s="36" t="str">
        <f aca="false">IF(BW296="","",EDATE(BW296,SG_Criteria!$B$54*12))</f>
        <v/>
      </c>
      <c r="BY296" s="33" t="str">
        <f aca="true">IF(A296="","",IF(BW296="","NOTE: not reviewed yet",IF(TODAY()&gt;BX296,"NOTE: review overdue","OK")))</f>
        <v/>
      </c>
      <c r="BZ296" s="37" t="str">
        <f aca="false">IF(A296="","",ROUND((IF(LEN(D296)&gt;0,1,0)+IF(LEN(E296)&gt;0,1,0)+IF(LEN(F296)&gt;0,1,0)+IF(LEN(G296)&gt;0,1,0)+IF(LEN(H296)&gt;0,1,0)+IF(LEN(J296)&gt;0,1,0)+IF(LEN(K296)&gt;0,1,0)+IF(LEN(M296)&gt;0,1,0)+IF(LEN(O296)&gt;0,1,0)+IF(LEN(P296)&gt;0,1,0)+IF(LEN(Q296)&gt;0,1,0)+IF(LEN(S296)&gt;0,1,0)+IF(LEN(AC296)&gt;0,1,0)+IF(LEN(AV296)&gt;0,1,0)+IF(LEN(AW296)&gt;0,1,0)+IF(LEN(AG296)&gt;0,1,0)+IF(LEN(AI296)&gt;0,1,0)+IF(LEN(AJ296)&gt;0,1,0)+IF(LEN(AK296)&gt;0,1,0)+IF(LEN(AL296)&gt;0,1,0)+IF(LEN(AU296)&gt;0,1,0)+IF(LEN(BH296)&gt;0,1,0)+IF(LEN(BU296)&gt;0,1,0))/23,2))</f>
        <v/>
      </c>
      <c r="CA296" s="10" t="str">
        <f aca="false">IF(D296="","",IF(AND(AJ296="Approved",ISERROR(SEARCH("FAIL",BE296))),"Y","N"))</f>
        <v/>
      </c>
      <c r="CB296" s="10" t="str">
        <f aca="false">IF(D296="","",D296&amp;"|"&amp;G296&amp;"|"&amp;H296&amp;"|"&amp;M296&amp;"|"&amp;CA296)</f>
        <v/>
      </c>
    </row>
    <row r="297" customFormat="false" ht="15" hidden="false" customHeight="false" outlineLevel="0" collapsed="false">
      <c r="A297" s="10" t="str">
        <f aca="false">IF(D297="","","DRN-"&amp;IFERROR(VLOOKUP(D297,Lists!$A$4:$B$27,2,0),"??")&amp;"-"&amp;TEXT(G297,"0000")&amp;"x"&amp;TEXT(H297,"0000")&amp;IF(N(I297)&gt;1,"-"&amp;I297&amp;"C","")&amp;"-"&amp;IFERROR(VLOOKUP(M297,Lists!$J$4:$K$19,2,0),"??")&amp;"-"&amp;AI297)</f>
        <v/>
      </c>
      <c r="B297" s="10" t="str">
        <f aca="false">IF(D297="","",D297&amp;" "&amp;G297&amp;"W x "&amp;H297&amp;"D"&amp;IF(N(I297)&gt;1," ("&amp;I297&amp;" cells)","")&amp;", "&amp;E297&amp;", "&amp;M297&amp;", "&amp;F297)</f>
        <v/>
      </c>
      <c r="C297" s="9"/>
      <c r="D297" s="9"/>
      <c r="E297" s="9"/>
      <c r="F297" s="9"/>
      <c r="G297" s="38"/>
      <c r="H297" s="38"/>
      <c r="I297" s="38"/>
      <c r="J297" s="38"/>
      <c r="K297" s="38"/>
      <c r="L297" s="38"/>
      <c r="M297" s="9"/>
      <c r="N297" s="9"/>
      <c r="O297" s="9"/>
      <c r="P297" s="38"/>
      <c r="Q297" s="9"/>
      <c r="R297" s="9"/>
      <c r="S297" s="9"/>
      <c r="T297" s="9"/>
      <c r="U297" s="9"/>
      <c r="V297" s="9"/>
      <c r="W297" s="9"/>
      <c r="X297" s="9"/>
      <c r="Y297" s="9"/>
      <c r="Z297" s="9"/>
      <c r="AA297" s="9"/>
      <c r="AB297" s="39"/>
      <c r="AC297" s="9"/>
      <c r="AD297" s="38"/>
      <c r="AE297" s="9"/>
      <c r="AF297" s="39"/>
      <c r="AG297" s="9"/>
      <c r="AH297" s="9"/>
      <c r="AI297" s="9"/>
      <c r="AJ297" s="9"/>
      <c r="AK297" s="9"/>
      <c r="AL297" s="9"/>
      <c r="AM297" s="9"/>
      <c r="AN297" s="10" t="str">
        <f aca="false">IF(A297="","",SG_Criteria!$B$6&amp;SG_Criteria!$B$7&amp;"\"&amp;A297&amp;"\")</f>
        <v/>
      </c>
      <c r="AO297" s="10" t="str">
        <f aca="false">IF(A297="","",A297&amp;"_CAD.dwg")</f>
        <v/>
      </c>
      <c r="AP297" s="10" t="str">
        <f aca="false">IF(A297="","",A297&amp;"_DWG.pdf")</f>
        <v/>
      </c>
      <c r="AQ297" s="10" t="str">
        <f aca="false">IF(A297="","",IF(AM297="Y",A297&amp;"_STAAD.std","n/a"))</f>
        <v/>
      </c>
      <c r="AR297" s="10" t="str">
        <f aca="false">IF(A297="","",A297&amp;"_CALC.xlsx")</f>
        <v/>
      </c>
      <c r="AS297" s="10" t="str">
        <f aca="false">IF(A297="","",A297&amp;"_CALC.pdf")</f>
        <v/>
      </c>
      <c r="AT297" s="9"/>
      <c r="AU297" s="9"/>
      <c r="AV297" s="39"/>
      <c r="AW297" s="39"/>
      <c r="AX297" s="39"/>
      <c r="AY297" s="39"/>
      <c r="AZ297" s="39"/>
      <c r="BA297" s="12" t="str">
        <f aca="false">IF(A297="","",IF(COUNTIF(Rebar_Schedule!$A$5:$A$2004,A297)=0,"",ROUND(SUMIF(Rebar_Schedule!$A$5:$A$2004,A297,Rebar_Schedule!$K$5:$K$2004),1)))</f>
        <v/>
      </c>
      <c r="BB297" s="33" t="str">
        <f aca="false">IF(A297="","",IF(BA297="","No rebar schedule yet",IF(ABS(BA297-N(AW297))/MAX(N(AW297),1)&gt;SG_Criteria!$B$55,"NOTE: register rebar differs from schedule by "&amp;TEXT(ABS(BA297-N(AW297))/MAX(N(AW297),1),"0%"),"OK")))</f>
        <v/>
      </c>
      <c r="BC297" s="34" t="str">
        <f aca="false">IF(OR(D297="",G297="",H297="",D297="Sump",D297="Drop Inlet Chamber",D297="Silt Trap",D297="Pipe Culvert",D297="Subsoil Drain"),"",ROUND(MAX(1,N(I297))*(1/SG_Criteria!$B$26)*((G297/1000)*(H297/1000*(1-SG_Criteria!$B$25)))*(((G297/1000)*(H297/1000*(1-SG_Criteria!$B$25)))/((G297/1000)+2*(H297/1000*(1-SG_Criteria!$B$25))))^(2/3)*(1/Design_Selector!$B$11)^0.5,3))</f>
        <v/>
      </c>
      <c r="BD297" s="11" t="str">
        <f aca="false">IF(BC297="","",ROUND(BC297/(MAX(1,N(I297))*G297/1000*(H297/1000*(1-SG_Criteria!$B$25))),2))</f>
        <v/>
      </c>
      <c r="BE297" s="33" t="str">
        <f aca="false">IF(D297="","",IF(LEN(IF(AND(OR(E297="Roadside drain",E297="Entrance culvert"),OR(G297&lt;SG_Criteria!$B$15,H297&lt;SG_Criteria!$B$16)),"FAIL: below PUB min "&amp;SG_Criteria!$B$15&amp;"x"&amp;SG_Criteria!$B$16&amp;" for roadside drain. ","")&amp;IF(AND(E297="Common drain",G297&lt;SG_Criteria!$B$17),"FAIL: common drain W &lt; "&amp;SG_Criteria!$B$17&amp;" mm. ","")&amp;IF(AND(O297&lt;&gt;"",IFERROR(VALUE(MID(O297,2,2)),0)&lt;SG_Criteria!$B$19),"FAIL: grade below C"&amp;SG_Criteria!$B$19&amp;". ","")&amp;IF(AND(P297&lt;&gt;"",P297&lt;SG_Criteria!$B$20),"FAIL: cover &lt; "&amp;SG_Criteria!$B$20&amp;" mm. ","")&amp;IF(AND(F297="Open",H297&gt;SG_Criteria!$B$18),"NOTE: safety railing required (D &gt; "&amp;SG_Criteria!$B$18&amp;" mm). ","")&amp;IF(AND(E297="Entrance culvert",H297&lt;600),"NOTE: check hinged grating rule for culverts &lt; 600 deep (PUB Add. 3). ",""))=0,"OK",IF(AND(OR(E297="Roadside drain",E297="Entrance culvert"),OR(G297&lt;SG_Criteria!$B$15,H297&lt;SG_Criteria!$B$16)),"FAIL: below PUB min "&amp;SG_Criteria!$B$15&amp;"x"&amp;SG_Criteria!$B$16&amp;" for roadside drain. ","")&amp;IF(AND(E297="Common drain",G297&lt;SG_Criteria!$B$17),"FAIL: common drain W &lt; "&amp;SG_Criteria!$B$17&amp;" mm. ","")&amp;IF(AND(O297&lt;&gt;"",IFERROR(VALUE(MID(O297,2,2)),0)&lt;SG_Criteria!$B$19),"FAIL: grade below C"&amp;SG_Criteria!$B$19&amp;". ","")&amp;IF(AND(P297&lt;&gt;"",P297&lt;SG_Criteria!$B$20),"FAIL: cover &lt; "&amp;SG_Criteria!$B$20&amp;" mm. ","")&amp;IF(AND(F297="Open",H297&gt;SG_Criteria!$B$18),"NOTE: safety railing required (D &gt; "&amp;SG_Criteria!$B$18&amp;" mm). ","")&amp;IF(AND(E297="Entrance culvert",H297&lt;600),"NOTE: check hinged grating rule for culverts &lt; 600 deep (PUB Add. 3). ","")))</f>
        <v/>
      </c>
      <c r="BF297" s="9"/>
      <c r="BG297" s="9"/>
      <c r="BH297" s="9"/>
      <c r="BI297" s="10" t="str">
        <f aca="false">IF(BH297="","",IFERROR(VLOOKUP(BH297,Projects!$A$5:$D$504,2,0),"Ref not in Projects"))</f>
        <v/>
      </c>
      <c r="BJ297" s="10" t="str">
        <f aca="false">IF(BH297="","",IFERROR(VLOOKUP(BH297,Projects!$A$5:$D$504,4,0),"Ref not in Projects"))</f>
        <v/>
      </c>
      <c r="BK297" s="9"/>
      <c r="BL297" s="9"/>
      <c r="BM297" s="9"/>
      <c r="BN297" s="40"/>
      <c r="BO297" s="9"/>
      <c r="BP297" s="40"/>
      <c r="BQ297" s="9"/>
      <c r="BR297" s="40"/>
      <c r="BS297" s="9"/>
      <c r="BT297" s="9"/>
      <c r="BU297" s="9"/>
      <c r="BV297" s="40"/>
      <c r="BW297" s="40"/>
      <c r="BX297" s="36" t="str">
        <f aca="false">IF(BW297="","",EDATE(BW297,SG_Criteria!$B$54*12))</f>
        <v/>
      </c>
      <c r="BY297" s="33" t="str">
        <f aca="true">IF(A297="","",IF(BW297="","NOTE: not reviewed yet",IF(TODAY()&gt;BX297,"NOTE: review overdue","OK")))</f>
        <v/>
      </c>
      <c r="BZ297" s="37" t="str">
        <f aca="false">IF(A297="","",ROUND((IF(LEN(D297)&gt;0,1,0)+IF(LEN(E297)&gt;0,1,0)+IF(LEN(F297)&gt;0,1,0)+IF(LEN(G297)&gt;0,1,0)+IF(LEN(H297)&gt;0,1,0)+IF(LEN(J297)&gt;0,1,0)+IF(LEN(K297)&gt;0,1,0)+IF(LEN(M297)&gt;0,1,0)+IF(LEN(O297)&gt;0,1,0)+IF(LEN(P297)&gt;0,1,0)+IF(LEN(Q297)&gt;0,1,0)+IF(LEN(S297)&gt;0,1,0)+IF(LEN(AC297)&gt;0,1,0)+IF(LEN(AV297)&gt;0,1,0)+IF(LEN(AW297)&gt;0,1,0)+IF(LEN(AG297)&gt;0,1,0)+IF(LEN(AI297)&gt;0,1,0)+IF(LEN(AJ297)&gt;0,1,0)+IF(LEN(AK297)&gt;0,1,0)+IF(LEN(AL297)&gt;0,1,0)+IF(LEN(AU297)&gt;0,1,0)+IF(LEN(BH297)&gt;0,1,0)+IF(LEN(BU297)&gt;0,1,0))/23,2))</f>
        <v/>
      </c>
      <c r="CA297" s="10" t="str">
        <f aca="false">IF(D297="","",IF(AND(AJ297="Approved",ISERROR(SEARCH("FAIL",BE297))),"Y","N"))</f>
        <v/>
      </c>
      <c r="CB297" s="10" t="str">
        <f aca="false">IF(D297="","",D297&amp;"|"&amp;G297&amp;"|"&amp;H297&amp;"|"&amp;M297&amp;"|"&amp;CA297)</f>
        <v/>
      </c>
    </row>
    <row r="298" customFormat="false" ht="15" hidden="false" customHeight="false" outlineLevel="0" collapsed="false">
      <c r="A298" s="10" t="str">
        <f aca="false">IF(D298="","","DRN-"&amp;IFERROR(VLOOKUP(D298,Lists!$A$4:$B$27,2,0),"??")&amp;"-"&amp;TEXT(G298,"0000")&amp;"x"&amp;TEXT(H298,"0000")&amp;IF(N(I298)&gt;1,"-"&amp;I298&amp;"C","")&amp;"-"&amp;IFERROR(VLOOKUP(M298,Lists!$J$4:$K$19,2,0),"??")&amp;"-"&amp;AI298)</f>
        <v/>
      </c>
      <c r="B298" s="10" t="str">
        <f aca="false">IF(D298="","",D298&amp;" "&amp;G298&amp;"W x "&amp;H298&amp;"D"&amp;IF(N(I298)&gt;1," ("&amp;I298&amp;" cells)","")&amp;", "&amp;E298&amp;", "&amp;M298&amp;", "&amp;F298)</f>
        <v/>
      </c>
      <c r="C298" s="9"/>
      <c r="D298" s="9"/>
      <c r="E298" s="9"/>
      <c r="F298" s="9"/>
      <c r="G298" s="38"/>
      <c r="H298" s="38"/>
      <c r="I298" s="38"/>
      <c r="J298" s="38"/>
      <c r="K298" s="38"/>
      <c r="L298" s="38"/>
      <c r="M298" s="9"/>
      <c r="N298" s="9"/>
      <c r="O298" s="9"/>
      <c r="P298" s="38"/>
      <c r="Q298" s="9"/>
      <c r="R298" s="9"/>
      <c r="S298" s="9"/>
      <c r="T298" s="9"/>
      <c r="U298" s="9"/>
      <c r="V298" s="9"/>
      <c r="W298" s="9"/>
      <c r="X298" s="9"/>
      <c r="Y298" s="9"/>
      <c r="Z298" s="9"/>
      <c r="AA298" s="9"/>
      <c r="AB298" s="39"/>
      <c r="AC298" s="9"/>
      <c r="AD298" s="38"/>
      <c r="AE298" s="9"/>
      <c r="AF298" s="39"/>
      <c r="AG298" s="9"/>
      <c r="AH298" s="9"/>
      <c r="AI298" s="9"/>
      <c r="AJ298" s="9"/>
      <c r="AK298" s="9"/>
      <c r="AL298" s="9"/>
      <c r="AM298" s="9"/>
      <c r="AN298" s="10" t="str">
        <f aca="false">IF(A298="","",SG_Criteria!$B$6&amp;SG_Criteria!$B$7&amp;"\"&amp;A298&amp;"\")</f>
        <v/>
      </c>
      <c r="AO298" s="10" t="str">
        <f aca="false">IF(A298="","",A298&amp;"_CAD.dwg")</f>
        <v/>
      </c>
      <c r="AP298" s="10" t="str">
        <f aca="false">IF(A298="","",A298&amp;"_DWG.pdf")</f>
        <v/>
      </c>
      <c r="AQ298" s="10" t="str">
        <f aca="false">IF(A298="","",IF(AM298="Y",A298&amp;"_STAAD.std","n/a"))</f>
        <v/>
      </c>
      <c r="AR298" s="10" t="str">
        <f aca="false">IF(A298="","",A298&amp;"_CALC.xlsx")</f>
        <v/>
      </c>
      <c r="AS298" s="10" t="str">
        <f aca="false">IF(A298="","",A298&amp;"_CALC.pdf")</f>
        <v/>
      </c>
      <c r="AT298" s="9"/>
      <c r="AU298" s="9"/>
      <c r="AV298" s="39"/>
      <c r="AW298" s="39"/>
      <c r="AX298" s="39"/>
      <c r="AY298" s="39"/>
      <c r="AZ298" s="39"/>
      <c r="BA298" s="12" t="str">
        <f aca="false">IF(A298="","",IF(COUNTIF(Rebar_Schedule!$A$5:$A$2004,A298)=0,"",ROUND(SUMIF(Rebar_Schedule!$A$5:$A$2004,A298,Rebar_Schedule!$K$5:$K$2004),1)))</f>
        <v/>
      </c>
      <c r="BB298" s="33" t="str">
        <f aca="false">IF(A298="","",IF(BA298="","No rebar schedule yet",IF(ABS(BA298-N(AW298))/MAX(N(AW298),1)&gt;SG_Criteria!$B$55,"NOTE: register rebar differs from schedule by "&amp;TEXT(ABS(BA298-N(AW298))/MAX(N(AW298),1),"0%"),"OK")))</f>
        <v/>
      </c>
      <c r="BC298" s="34" t="str">
        <f aca="false">IF(OR(D298="",G298="",H298="",D298="Sump",D298="Drop Inlet Chamber",D298="Silt Trap",D298="Pipe Culvert",D298="Subsoil Drain"),"",ROUND(MAX(1,N(I298))*(1/SG_Criteria!$B$26)*((G298/1000)*(H298/1000*(1-SG_Criteria!$B$25)))*(((G298/1000)*(H298/1000*(1-SG_Criteria!$B$25)))/((G298/1000)+2*(H298/1000*(1-SG_Criteria!$B$25))))^(2/3)*(1/Design_Selector!$B$11)^0.5,3))</f>
        <v/>
      </c>
      <c r="BD298" s="11" t="str">
        <f aca="false">IF(BC298="","",ROUND(BC298/(MAX(1,N(I298))*G298/1000*(H298/1000*(1-SG_Criteria!$B$25))),2))</f>
        <v/>
      </c>
      <c r="BE298" s="33" t="str">
        <f aca="false">IF(D298="","",IF(LEN(IF(AND(OR(E298="Roadside drain",E298="Entrance culvert"),OR(G298&lt;SG_Criteria!$B$15,H298&lt;SG_Criteria!$B$16)),"FAIL: below PUB min "&amp;SG_Criteria!$B$15&amp;"x"&amp;SG_Criteria!$B$16&amp;" for roadside drain. ","")&amp;IF(AND(E298="Common drain",G298&lt;SG_Criteria!$B$17),"FAIL: common drain W &lt; "&amp;SG_Criteria!$B$17&amp;" mm. ","")&amp;IF(AND(O298&lt;&gt;"",IFERROR(VALUE(MID(O298,2,2)),0)&lt;SG_Criteria!$B$19),"FAIL: grade below C"&amp;SG_Criteria!$B$19&amp;". ","")&amp;IF(AND(P298&lt;&gt;"",P298&lt;SG_Criteria!$B$20),"FAIL: cover &lt; "&amp;SG_Criteria!$B$20&amp;" mm. ","")&amp;IF(AND(F298="Open",H298&gt;SG_Criteria!$B$18),"NOTE: safety railing required (D &gt; "&amp;SG_Criteria!$B$18&amp;" mm). ","")&amp;IF(AND(E298="Entrance culvert",H298&lt;600),"NOTE: check hinged grating rule for culverts &lt; 600 deep (PUB Add. 3). ",""))=0,"OK",IF(AND(OR(E298="Roadside drain",E298="Entrance culvert"),OR(G298&lt;SG_Criteria!$B$15,H298&lt;SG_Criteria!$B$16)),"FAIL: below PUB min "&amp;SG_Criteria!$B$15&amp;"x"&amp;SG_Criteria!$B$16&amp;" for roadside drain. ","")&amp;IF(AND(E298="Common drain",G298&lt;SG_Criteria!$B$17),"FAIL: common drain W &lt; "&amp;SG_Criteria!$B$17&amp;" mm. ","")&amp;IF(AND(O298&lt;&gt;"",IFERROR(VALUE(MID(O298,2,2)),0)&lt;SG_Criteria!$B$19),"FAIL: grade below C"&amp;SG_Criteria!$B$19&amp;". ","")&amp;IF(AND(P298&lt;&gt;"",P298&lt;SG_Criteria!$B$20),"FAIL: cover &lt; "&amp;SG_Criteria!$B$20&amp;" mm. ","")&amp;IF(AND(F298="Open",H298&gt;SG_Criteria!$B$18),"NOTE: safety railing required (D &gt; "&amp;SG_Criteria!$B$18&amp;" mm). ","")&amp;IF(AND(E298="Entrance culvert",H298&lt;600),"NOTE: check hinged grating rule for culverts &lt; 600 deep (PUB Add. 3). ","")))</f>
        <v/>
      </c>
      <c r="BF298" s="9"/>
      <c r="BG298" s="9"/>
      <c r="BH298" s="9"/>
      <c r="BI298" s="10" t="str">
        <f aca="false">IF(BH298="","",IFERROR(VLOOKUP(BH298,Projects!$A$5:$D$504,2,0),"Ref not in Projects"))</f>
        <v/>
      </c>
      <c r="BJ298" s="10" t="str">
        <f aca="false">IF(BH298="","",IFERROR(VLOOKUP(BH298,Projects!$A$5:$D$504,4,0),"Ref not in Projects"))</f>
        <v/>
      </c>
      <c r="BK298" s="9"/>
      <c r="BL298" s="9"/>
      <c r="BM298" s="9"/>
      <c r="BN298" s="40"/>
      <c r="BO298" s="9"/>
      <c r="BP298" s="40"/>
      <c r="BQ298" s="9"/>
      <c r="BR298" s="40"/>
      <c r="BS298" s="9"/>
      <c r="BT298" s="9"/>
      <c r="BU298" s="9"/>
      <c r="BV298" s="40"/>
      <c r="BW298" s="40"/>
      <c r="BX298" s="36" t="str">
        <f aca="false">IF(BW298="","",EDATE(BW298,SG_Criteria!$B$54*12))</f>
        <v/>
      </c>
      <c r="BY298" s="33" t="str">
        <f aca="true">IF(A298="","",IF(BW298="","NOTE: not reviewed yet",IF(TODAY()&gt;BX298,"NOTE: review overdue","OK")))</f>
        <v/>
      </c>
      <c r="BZ298" s="37" t="str">
        <f aca="false">IF(A298="","",ROUND((IF(LEN(D298)&gt;0,1,0)+IF(LEN(E298)&gt;0,1,0)+IF(LEN(F298)&gt;0,1,0)+IF(LEN(G298)&gt;0,1,0)+IF(LEN(H298)&gt;0,1,0)+IF(LEN(J298)&gt;0,1,0)+IF(LEN(K298)&gt;0,1,0)+IF(LEN(M298)&gt;0,1,0)+IF(LEN(O298)&gt;0,1,0)+IF(LEN(P298)&gt;0,1,0)+IF(LEN(Q298)&gt;0,1,0)+IF(LEN(S298)&gt;0,1,0)+IF(LEN(AC298)&gt;0,1,0)+IF(LEN(AV298)&gt;0,1,0)+IF(LEN(AW298)&gt;0,1,0)+IF(LEN(AG298)&gt;0,1,0)+IF(LEN(AI298)&gt;0,1,0)+IF(LEN(AJ298)&gt;0,1,0)+IF(LEN(AK298)&gt;0,1,0)+IF(LEN(AL298)&gt;0,1,0)+IF(LEN(AU298)&gt;0,1,0)+IF(LEN(BH298)&gt;0,1,0)+IF(LEN(BU298)&gt;0,1,0))/23,2))</f>
        <v/>
      </c>
      <c r="CA298" s="10" t="str">
        <f aca="false">IF(D298="","",IF(AND(AJ298="Approved",ISERROR(SEARCH("FAIL",BE298))),"Y","N"))</f>
        <v/>
      </c>
      <c r="CB298" s="10" t="str">
        <f aca="false">IF(D298="","",D298&amp;"|"&amp;G298&amp;"|"&amp;H298&amp;"|"&amp;M298&amp;"|"&amp;CA298)</f>
        <v/>
      </c>
    </row>
    <row r="299" customFormat="false" ht="15" hidden="false" customHeight="false" outlineLevel="0" collapsed="false">
      <c r="A299" s="10" t="str">
        <f aca="false">IF(D299="","","DRN-"&amp;IFERROR(VLOOKUP(D299,Lists!$A$4:$B$27,2,0),"??")&amp;"-"&amp;TEXT(G299,"0000")&amp;"x"&amp;TEXT(H299,"0000")&amp;IF(N(I299)&gt;1,"-"&amp;I299&amp;"C","")&amp;"-"&amp;IFERROR(VLOOKUP(M299,Lists!$J$4:$K$19,2,0),"??")&amp;"-"&amp;AI299)</f>
        <v/>
      </c>
      <c r="B299" s="10" t="str">
        <f aca="false">IF(D299="","",D299&amp;" "&amp;G299&amp;"W x "&amp;H299&amp;"D"&amp;IF(N(I299)&gt;1," ("&amp;I299&amp;" cells)","")&amp;", "&amp;E299&amp;", "&amp;M299&amp;", "&amp;F299)</f>
        <v/>
      </c>
      <c r="C299" s="9"/>
      <c r="D299" s="9"/>
      <c r="E299" s="9"/>
      <c r="F299" s="9"/>
      <c r="G299" s="38"/>
      <c r="H299" s="38"/>
      <c r="I299" s="38"/>
      <c r="J299" s="38"/>
      <c r="K299" s="38"/>
      <c r="L299" s="38"/>
      <c r="M299" s="9"/>
      <c r="N299" s="9"/>
      <c r="O299" s="9"/>
      <c r="P299" s="38"/>
      <c r="Q299" s="9"/>
      <c r="R299" s="9"/>
      <c r="S299" s="9"/>
      <c r="T299" s="9"/>
      <c r="U299" s="9"/>
      <c r="V299" s="9"/>
      <c r="W299" s="9"/>
      <c r="X299" s="9"/>
      <c r="Y299" s="9"/>
      <c r="Z299" s="9"/>
      <c r="AA299" s="9"/>
      <c r="AB299" s="39"/>
      <c r="AC299" s="9"/>
      <c r="AD299" s="38"/>
      <c r="AE299" s="9"/>
      <c r="AF299" s="39"/>
      <c r="AG299" s="9"/>
      <c r="AH299" s="9"/>
      <c r="AI299" s="9"/>
      <c r="AJ299" s="9"/>
      <c r="AK299" s="9"/>
      <c r="AL299" s="9"/>
      <c r="AM299" s="9"/>
      <c r="AN299" s="10" t="str">
        <f aca="false">IF(A299="","",SG_Criteria!$B$6&amp;SG_Criteria!$B$7&amp;"\"&amp;A299&amp;"\")</f>
        <v/>
      </c>
      <c r="AO299" s="10" t="str">
        <f aca="false">IF(A299="","",A299&amp;"_CAD.dwg")</f>
        <v/>
      </c>
      <c r="AP299" s="10" t="str">
        <f aca="false">IF(A299="","",A299&amp;"_DWG.pdf")</f>
        <v/>
      </c>
      <c r="AQ299" s="10" t="str">
        <f aca="false">IF(A299="","",IF(AM299="Y",A299&amp;"_STAAD.std","n/a"))</f>
        <v/>
      </c>
      <c r="AR299" s="10" t="str">
        <f aca="false">IF(A299="","",A299&amp;"_CALC.xlsx")</f>
        <v/>
      </c>
      <c r="AS299" s="10" t="str">
        <f aca="false">IF(A299="","",A299&amp;"_CALC.pdf")</f>
        <v/>
      </c>
      <c r="AT299" s="9"/>
      <c r="AU299" s="9"/>
      <c r="AV299" s="39"/>
      <c r="AW299" s="39"/>
      <c r="AX299" s="39"/>
      <c r="AY299" s="39"/>
      <c r="AZ299" s="39"/>
      <c r="BA299" s="12" t="str">
        <f aca="false">IF(A299="","",IF(COUNTIF(Rebar_Schedule!$A$5:$A$2004,A299)=0,"",ROUND(SUMIF(Rebar_Schedule!$A$5:$A$2004,A299,Rebar_Schedule!$K$5:$K$2004),1)))</f>
        <v/>
      </c>
      <c r="BB299" s="33" t="str">
        <f aca="false">IF(A299="","",IF(BA299="","No rebar schedule yet",IF(ABS(BA299-N(AW299))/MAX(N(AW299),1)&gt;SG_Criteria!$B$55,"NOTE: register rebar differs from schedule by "&amp;TEXT(ABS(BA299-N(AW299))/MAX(N(AW299),1),"0%"),"OK")))</f>
        <v/>
      </c>
      <c r="BC299" s="34" t="str">
        <f aca="false">IF(OR(D299="",G299="",H299="",D299="Sump",D299="Drop Inlet Chamber",D299="Silt Trap",D299="Pipe Culvert",D299="Subsoil Drain"),"",ROUND(MAX(1,N(I299))*(1/SG_Criteria!$B$26)*((G299/1000)*(H299/1000*(1-SG_Criteria!$B$25)))*(((G299/1000)*(H299/1000*(1-SG_Criteria!$B$25)))/((G299/1000)+2*(H299/1000*(1-SG_Criteria!$B$25))))^(2/3)*(1/Design_Selector!$B$11)^0.5,3))</f>
        <v/>
      </c>
      <c r="BD299" s="11" t="str">
        <f aca="false">IF(BC299="","",ROUND(BC299/(MAX(1,N(I299))*G299/1000*(H299/1000*(1-SG_Criteria!$B$25))),2))</f>
        <v/>
      </c>
      <c r="BE299" s="33" t="str">
        <f aca="false">IF(D299="","",IF(LEN(IF(AND(OR(E299="Roadside drain",E299="Entrance culvert"),OR(G299&lt;SG_Criteria!$B$15,H299&lt;SG_Criteria!$B$16)),"FAIL: below PUB min "&amp;SG_Criteria!$B$15&amp;"x"&amp;SG_Criteria!$B$16&amp;" for roadside drain. ","")&amp;IF(AND(E299="Common drain",G299&lt;SG_Criteria!$B$17),"FAIL: common drain W &lt; "&amp;SG_Criteria!$B$17&amp;" mm. ","")&amp;IF(AND(O299&lt;&gt;"",IFERROR(VALUE(MID(O299,2,2)),0)&lt;SG_Criteria!$B$19),"FAIL: grade below C"&amp;SG_Criteria!$B$19&amp;". ","")&amp;IF(AND(P299&lt;&gt;"",P299&lt;SG_Criteria!$B$20),"FAIL: cover &lt; "&amp;SG_Criteria!$B$20&amp;" mm. ","")&amp;IF(AND(F299="Open",H299&gt;SG_Criteria!$B$18),"NOTE: safety railing required (D &gt; "&amp;SG_Criteria!$B$18&amp;" mm). ","")&amp;IF(AND(E299="Entrance culvert",H299&lt;600),"NOTE: check hinged grating rule for culverts &lt; 600 deep (PUB Add. 3). ",""))=0,"OK",IF(AND(OR(E299="Roadside drain",E299="Entrance culvert"),OR(G299&lt;SG_Criteria!$B$15,H299&lt;SG_Criteria!$B$16)),"FAIL: below PUB min "&amp;SG_Criteria!$B$15&amp;"x"&amp;SG_Criteria!$B$16&amp;" for roadside drain. ","")&amp;IF(AND(E299="Common drain",G299&lt;SG_Criteria!$B$17),"FAIL: common drain W &lt; "&amp;SG_Criteria!$B$17&amp;" mm. ","")&amp;IF(AND(O299&lt;&gt;"",IFERROR(VALUE(MID(O299,2,2)),0)&lt;SG_Criteria!$B$19),"FAIL: grade below C"&amp;SG_Criteria!$B$19&amp;". ","")&amp;IF(AND(P299&lt;&gt;"",P299&lt;SG_Criteria!$B$20),"FAIL: cover &lt; "&amp;SG_Criteria!$B$20&amp;" mm. ","")&amp;IF(AND(F299="Open",H299&gt;SG_Criteria!$B$18),"NOTE: safety railing required (D &gt; "&amp;SG_Criteria!$B$18&amp;" mm). ","")&amp;IF(AND(E299="Entrance culvert",H299&lt;600),"NOTE: check hinged grating rule for culverts &lt; 600 deep (PUB Add. 3). ","")))</f>
        <v/>
      </c>
      <c r="BF299" s="9"/>
      <c r="BG299" s="9"/>
      <c r="BH299" s="9"/>
      <c r="BI299" s="10" t="str">
        <f aca="false">IF(BH299="","",IFERROR(VLOOKUP(BH299,Projects!$A$5:$D$504,2,0),"Ref not in Projects"))</f>
        <v/>
      </c>
      <c r="BJ299" s="10" t="str">
        <f aca="false">IF(BH299="","",IFERROR(VLOOKUP(BH299,Projects!$A$5:$D$504,4,0),"Ref not in Projects"))</f>
        <v/>
      </c>
      <c r="BK299" s="9"/>
      <c r="BL299" s="9"/>
      <c r="BM299" s="9"/>
      <c r="BN299" s="40"/>
      <c r="BO299" s="9"/>
      <c r="BP299" s="40"/>
      <c r="BQ299" s="9"/>
      <c r="BR299" s="40"/>
      <c r="BS299" s="9"/>
      <c r="BT299" s="9"/>
      <c r="BU299" s="9"/>
      <c r="BV299" s="40"/>
      <c r="BW299" s="40"/>
      <c r="BX299" s="36" t="str">
        <f aca="false">IF(BW299="","",EDATE(BW299,SG_Criteria!$B$54*12))</f>
        <v/>
      </c>
      <c r="BY299" s="33" t="str">
        <f aca="true">IF(A299="","",IF(BW299="","NOTE: not reviewed yet",IF(TODAY()&gt;BX299,"NOTE: review overdue","OK")))</f>
        <v/>
      </c>
      <c r="BZ299" s="37" t="str">
        <f aca="false">IF(A299="","",ROUND((IF(LEN(D299)&gt;0,1,0)+IF(LEN(E299)&gt;0,1,0)+IF(LEN(F299)&gt;0,1,0)+IF(LEN(G299)&gt;0,1,0)+IF(LEN(H299)&gt;0,1,0)+IF(LEN(J299)&gt;0,1,0)+IF(LEN(K299)&gt;0,1,0)+IF(LEN(M299)&gt;0,1,0)+IF(LEN(O299)&gt;0,1,0)+IF(LEN(P299)&gt;0,1,0)+IF(LEN(Q299)&gt;0,1,0)+IF(LEN(S299)&gt;0,1,0)+IF(LEN(AC299)&gt;0,1,0)+IF(LEN(AV299)&gt;0,1,0)+IF(LEN(AW299)&gt;0,1,0)+IF(LEN(AG299)&gt;0,1,0)+IF(LEN(AI299)&gt;0,1,0)+IF(LEN(AJ299)&gt;0,1,0)+IF(LEN(AK299)&gt;0,1,0)+IF(LEN(AL299)&gt;0,1,0)+IF(LEN(AU299)&gt;0,1,0)+IF(LEN(BH299)&gt;0,1,0)+IF(LEN(BU299)&gt;0,1,0))/23,2))</f>
        <v/>
      </c>
      <c r="CA299" s="10" t="str">
        <f aca="false">IF(D299="","",IF(AND(AJ299="Approved",ISERROR(SEARCH("FAIL",BE299))),"Y","N"))</f>
        <v/>
      </c>
      <c r="CB299" s="10" t="str">
        <f aca="false">IF(D299="","",D299&amp;"|"&amp;G299&amp;"|"&amp;H299&amp;"|"&amp;M299&amp;"|"&amp;CA299)</f>
        <v/>
      </c>
    </row>
    <row r="300" customFormat="false" ht="15" hidden="false" customHeight="false" outlineLevel="0" collapsed="false">
      <c r="A300" s="10" t="str">
        <f aca="false">IF(D300="","","DRN-"&amp;IFERROR(VLOOKUP(D300,Lists!$A$4:$B$27,2,0),"??")&amp;"-"&amp;TEXT(G300,"0000")&amp;"x"&amp;TEXT(H300,"0000")&amp;IF(N(I300)&gt;1,"-"&amp;I300&amp;"C","")&amp;"-"&amp;IFERROR(VLOOKUP(M300,Lists!$J$4:$K$19,2,0),"??")&amp;"-"&amp;AI300)</f>
        <v/>
      </c>
      <c r="B300" s="10" t="str">
        <f aca="false">IF(D300="","",D300&amp;" "&amp;G300&amp;"W x "&amp;H300&amp;"D"&amp;IF(N(I300)&gt;1," ("&amp;I300&amp;" cells)","")&amp;", "&amp;E300&amp;", "&amp;M300&amp;", "&amp;F300)</f>
        <v/>
      </c>
      <c r="C300" s="9"/>
      <c r="D300" s="9"/>
      <c r="E300" s="9"/>
      <c r="F300" s="9"/>
      <c r="G300" s="38"/>
      <c r="H300" s="38"/>
      <c r="I300" s="38"/>
      <c r="J300" s="38"/>
      <c r="K300" s="38"/>
      <c r="L300" s="38"/>
      <c r="M300" s="9"/>
      <c r="N300" s="9"/>
      <c r="O300" s="9"/>
      <c r="P300" s="38"/>
      <c r="Q300" s="9"/>
      <c r="R300" s="9"/>
      <c r="S300" s="9"/>
      <c r="T300" s="9"/>
      <c r="U300" s="9"/>
      <c r="V300" s="9"/>
      <c r="W300" s="9"/>
      <c r="X300" s="9"/>
      <c r="Y300" s="9"/>
      <c r="Z300" s="9"/>
      <c r="AA300" s="9"/>
      <c r="AB300" s="39"/>
      <c r="AC300" s="9"/>
      <c r="AD300" s="38"/>
      <c r="AE300" s="9"/>
      <c r="AF300" s="39"/>
      <c r="AG300" s="9"/>
      <c r="AH300" s="9"/>
      <c r="AI300" s="9"/>
      <c r="AJ300" s="9"/>
      <c r="AK300" s="9"/>
      <c r="AL300" s="9"/>
      <c r="AM300" s="9"/>
      <c r="AN300" s="10" t="str">
        <f aca="false">IF(A300="","",SG_Criteria!$B$6&amp;SG_Criteria!$B$7&amp;"\"&amp;A300&amp;"\")</f>
        <v/>
      </c>
      <c r="AO300" s="10" t="str">
        <f aca="false">IF(A300="","",A300&amp;"_CAD.dwg")</f>
        <v/>
      </c>
      <c r="AP300" s="10" t="str">
        <f aca="false">IF(A300="","",A300&amp;"_DWG.pdf")</f>
        <v/>
      </c>
      <c r="AQ300" s="10" t="str">
        <f aca="false">IF(A300="","",IF(AM300="Y",A300&amp;"_STAAD.std","n/a"))</f>
        <v/>
      </c>
      <c r="AR300" s="10" t="str">
        <f aca="false">IF(A300="","",A300&amp;"_CALC.xlsx")</f>
        <v/>
      </c>
      <c r="AS300" s="10" t="str">
        <f aca="false">IF(A300="","",A300&amp;"_CALC.pdf")</f>
        <v/>
      </c>
      <c r="AT300" s="9"/>
      <c r="AU300" s="9"/>
      <c r="AV300" s="39"/>
      <c r="AW300" s="39"/>
      <c r="AX300" s="39"/>
      <c r="AY300" s="39"/>
      <c r="AZ300" s="39"/>
      <c r="BA300" s="12" t="str">
        <f aca="false">IF(A300="","",IF(COUNTIF(Rebar_Schedule!$A$5:$A$2004,A300)=0,"",ROUND(SUMIF(Rebar_Schedule!$A$5:$A$2004,A300,Rebar_Schedule!$K$5:$K$2004),1)))</f>
        <v/>
      </c>
      <c r="BB300" s="33" t="str">
        <f aca="false">IF(A300="","",IF(BA300="","No rebar schedule yet",IF(ABS(BA300-N(AW300))/MAX(N(AW300),1)&gt;SG_Criteria!$B$55,"NOTE: register rebar differs from schedule by "&amp;TEXT(ABS(BA300-N(AW300))/MAX(N(AW300),1),"0%"),"OK")))</f>
        <v/>
      </c>
      <c r="BC300" s="34" t="str">
        <f aca="false">IF(OR(D300="",G300="",H300="",D300="Sump",D300="Drop Inlet Chamber",D300="Silt Trap",D300="Pipe Culvert",D300="Subsoil Drain"),"",ROUND(MAX(1,N(I300))*(1/SG_Criteria!$B$26)*((G300/1000)*(H300/1000*(1-SG_Criteria!$B$25)))*(((G300/1000)*(H300/1000*(1-SG_Criteria!$B$25)))/((G300/1000)+2*(H300/1000*(1-SG_Criteria!$B$25))))^(2/3)*(1/Design_Selector!$B$11)^0.5,3))</f>
        <v/>
      </c>
      <c r="BD300" s="11" t="str">
        <f aca="false">IF(BC300="","",ROUND(BC300/(MAX(1,N(I300))*G300/1000*(H300/1000*(1-SG_Criteria!$B$25))),2))</f>
        <v/>
      </c>
      <c r="BE300" s="33" t="str">
        <f aca="false">IF(D300="","",IF(LEN(IF(AND(OR(E300="Roadside drain",E300="Entrance culvert"),OR(G300&lt;SG_Criteria!$B$15,H300&lt;SG_Criteria!$B$16)),"FAIL: below PUB min "&amp;SG_Criteria!$B$15&amp;"x"&amp;SG_Criteria!$B$16&amp;" for roadside drain. ","")&amp;IF(AND(E300="Common drain",G300&lt;SG_Criteria!$B$17),"FAIL: common drain W &lt; "&amp;SG_Criteria!$B$17&amp;" mm. ","")&amp;IF(AND(O300&lt;&gt;"",IFERROR(VALUE(MID(O300,2,2)),0)&lt;SG_Criteria!$B$19),"FAIL: grade below C"&amp;SG_Criteria!$B$19&amp;". ","")&amp;IF(AND(P300&lt;&gt;"",P300&lt;SG_Criteria!$B$20),"FAIL: cover &lt; "&amp;SG_Criteria!$B$20&amp;" mm. ","")&amp;IF(AND(F300="Open",H300&gt;SG_Criteria!$B$18),"NOTE: safety railing required (D &gt; "&amp;SG_Criteria!$B$18&amp;" mm). ","")&amp;IF(AND(E300="Entrance culvert",H300&lt;600),"NOTE: check hinged grating rule for culverts &lt; 600 deep (PUB Add. 3). ",""))=0,"OK",IF(AND(OR(E300="Roadside drain",E300="Entrance culvert"),OR(G300&lt;SG_Criteria!$B$15,H300&lt;SG_Criteria!$B$16)),"FAIL: below PUB min "&amp;SG_Criteria!$B$15&amp;"x"&amp;SG_Criteria!$B$16&amp;" for roadside drain. ","")&amp;IF(AND(E300="Common drain",G300&lt;SG_Criteria!$B$17),"FAIL: common drain W &lt; "&amp;SG_Criteria!$B$17&amp;" mm. ","")&amp;IF(AND(O300&lt;&gt;"",IFERROR(VALUE(MID(O300,2,2)),0)&lt;SG_Criteria!$B$19),"FAIL: grade below C"&amp;SG_Criteria!$B$19&amp;". ","")&amp;IF(AND(P300&lt;&gt;"",P300&lt;SG_Criteria!$B$20),"FAIL: cover &lt; "&amp;SG_Criteria!$B$20&amp;" mm. ","")&amp;IF(AND(F300="Open",H300&gt;SG_Criteria!$B$18),"NOTE: safety railing required (D &gt; "&amp;SG_Criteria!$B$18&amp;" mm). ","")&amp;IF(AND(E300="Entrance culvert",H300&lt;600),"NOTE: check hinged grating rule for culverts &lt; 600 deep (PUB Add. 3). ","")))</f>
        <v/>
      </c>
      <c r="BF300" s="9"/>
      <c r="BG300" s="9"/>
      <c r="BH300" s="9"/>
      <c r="BI300" s="10" t="str">
        <f aca="false">IF(BH300="","",IFERROR(VLOOKUP(BH300,Projects!$A$5:$D$504,2,0),"Ref not in Projects"))</f>
        <v/>
      </c>
      <c r="BJ300" s="10" t="str">
        <f aca="false">IF(BH300="","",IFERROR(VLOOKUP(BH300,Projects!$A$5:$D$504,4,0),"Ref not in Projects"))</f>
        <v/>
      </c>
      <c r="BK300" s="9"/>
      <c r="BL300" s="9"/>
      <c r="BM300" s="9"/>
      <c r="BN300" s="40"/>
      <c r="BO300" s="9"/>
      <c r="BP300" s="40"/>
      <c r="BQ300" s="9"/>
      <c r="BR300" s="40"/>
      <c r="BS300" s="9"/>
      <c r="BT300" s="9"/>
      <c r="BU300" s="9"/>
      <c r="BV300" s="40"/>
      <c r="BW300" s="40"/>
      <c r="BX300" s="36" t="str">
        <f aca="false">IF(BW300="","",EDATE(BW300,SG_Criteria!$B$54*12))</f>
        <v/>
      </c>
      <c r="BY300" s="33" t="str">
        <f aca="true">IF(A300="","",IF(BW300="","NOTE: not reviewed yet",IF(TODAY()&gt;BX300,"NOTE: review overdue","OK")))</f>
        <v/>
      </c>
      <c r="BZ300" s="37" t="str">
        <f aca="false">IF(A300="","",ROUND((IF(LEN(D300)&gt;0,1,0)+IF(LEN(E300)&gt;0,1,0)+IF(LEN(F300)&gt;0,1,0)+IF(LEN(G300)&gt;0,1,0)+IF(LEN(H300)&gt;0,1,0)+IF(LEN(J300)&gt;0,1,0)+IF(LEN(K300)&gt;0,1,0)+IF(LEN(M300)&gt;0,1,0)+IF(LEN(O300)&gt;0,1,0)+IF(LEN(P300)&gt;0,1,0)+IF(LEN(Q300)&gt;0,1,0)+IF(LEN(S300)&gt;0,1,0)+IF(LEN(AC300)&gt;0,1,0)+IF(LEN(AV300)&gt;0,1,0)+IF(LEN(AW300)&gt;0,1,0)+IF(LEN(AG300)&gt;0,1,0)+IF(LEN(AI300)&gt;0,1,0)+IF(LEN(AJ300)&gt;0,1,0)+IF(LEN(AK300)&gt;0,1,0)+IF(LEN(AL300)&gt;0,1,0)+IF(LEN(AU300)&gt;0,1,0)+IF(LEN(BH300)&gt;0,1,0)+IF(LEN(BU300)&gt;0,1,0))/23,2))</f>
        <v/>
      </c>
      <c r="CA300" s="10" t="str">
        <f aca="false">IF(D300="","",IF(AND(AJ300="Approved",ISERROR(SEARCH("FAIL",BE300))),"Y","N"))</f>
        <v/>
      </c>
      <c r="CB300" s="10" t="str">
        <f aca="false">IF(D300="","",D300&amp;"|"&amp;G300&amp;"|"&amp;H300&amp;"|"&amp;M300&amp;"|"&amp;CA300)</f>
        <v/>
      </c>
    </row>
    <row r="301" customFormat="false" ht="15" hidden="false" customHeight="false" outlineLevel="0" collapsed="false">
      <c r="A301" s="10" t="str">
        <f aca="false">IF(D301="","","DRN-"&amp;IFERROR(VLOOKUP(D301,Lists!$A$4:$B$27,2,0),"??")&amp;"-"&amp;TEXT(G301,"0000")&amp;"x"&amp;TEXT(H301,"0000")&amp;IF(N(I301)&gt;1,"-"&amp;I301&amp;"C","")&amp;"-"&amp;IFERROR(VLOOKUP(M301,Lists!$J$4:$K$19,2,0),"??")&amp;"-"&amp;AI301)</f>
        <v/>
      </c>
      <c r="B301" s="10" t="str">
        <f aca="false">IF(D301="","",D301&amp;" "&amp;G301&amp;"W x "&amp;H301&amp;"D"&amp;IF(N(I301)&gt;1," ("&amp;I301&amp;" cells)","")&amp;", "&amp;E301&amp;", "&amp;M301&amp;", "&amp;F301)</f>
        <v/>
      </c>
      <c r="C301" s="9"/>
      <c r="D301" s="9"/>
      <c r="E301" s="9"/>
      <c r="F301" s="9"/>
      <c r="G301" s="38"/>
      <c r="H301" s="38"/>
      <c r="I301" s="38"/>
      <c r="J301" s="38"/>
      <c r="K301" s="38"/>
      <c r="L301" s="38"/>
      <c r="M301" s="9"/>
      <c r="N301" s="9"/>
      <c r="O301" s="9"/>
      <c r="P301" s="38"/>
      <c r="Q301" s="9"/>
      <c r="R301" s="9"/>
      <c r="S301" s="9"/>
      <c r="T301" s="9"/>
      <c r="U301" s="9"/>
      <c r="V301" s="9"/>
      <c r="W301" s="9"/>
      <c r="X301" s="9"/>
      <c r="Y301" s="9"/>
      <c r="Z301" s="9"/>
      <c r="AA301" s="9"/>
      <c r="AB301" s="39"/>
      <c r="AC301" s="9"/>
      <c r="AD301" s="38"/>
      <c r="AE301" s="9"/>
      <c r="AF301" s="39"/>
      <c r="AG301" s="9"/>
      <c r="AH301" s="9"/>
      <c r="AI301" s="9"/>
      <c r="AJ301" s="9"/>
      <c r="AK301" s="9"/>
      <c r="AL301" s="9"/>
      <c r="AM301" s="9"/>
      <c r="AN301" s="10" t="str">
        <f aca="false">IF(A301="","",SG_Criteria!$B$6&amp;SG_Criteria!$B$7&amp;"\"&amp;A301&amp;"\")</f>
        <v/>
      </c>
      <c r="AO301" s="10" t="str">
        <f aca="false">IF(A301="","",A301&amp;"_CAD.dwg")</f>
        <v/>
      </c>
      <c r="AP301" s="10" t="str">
        <f aca="false">IF(A301="","",A301&amp;"_DWG.pdf")</f>
        <v/>
      </c>
      <c r="AQ301" s="10" t="str">
        <f aca="false">IF(A301="","",IF(AM301="Y",A301&amp;"_STAAD.std","n/a"))</f>
        <v/>
      </c>
      <c r="AR301" s="10" t="str">
        <f aca="false">IF(A301="","",A301&amp;"_CALC.xlsx")</f>
        <v/>
      </c>
      <c r="AS301" s="10" t="str">
        <f aca="false">IF(A301="","",A301&amp;"_CALC.pdf")</f>
        <v/>
      </c>
      <c r="AT301" s="9"/>
      <c r="AU301" s="9"/>
      <c r="AV301" s="39"/>
      <c r="AW301" s="39"/>
      <c r="AX301" s="39"/>
      <c r="AY301" s="39"/>
      <c r="AZ301" s="39"/>
      <c r="BA301" s="12" t="str">
        <f aca="false">IF(A301="","",IF(COUNTIF(Rebar_Schedule!$A$5:$A$2004,A301)=0,"",ROUND(SUMIF(Rebar_Schedule!$A$5:$A$2004,A301,Rebar_Schedule!$K$5:$K$2004),1)))</f>
        <v/>
      </c>
      <c r="BB301" s="33" t="str">
        <f aca="false">IF(A301="","",IF(BA301="","No rebar schedule yet",IF(ABS(BA301-N(AW301))/MAX(N(AW301),1)&gt;SG_Criteria!$B$55,"NOTE: register rebar differs from schedule by "&amp;TEXT(ABS(BA301-N(AW301))/MAX(N(AW301),1),"0%"),"OK")))</f>
        <v/>
      </c>
      <c r="BC301" s="34" t="str">
        <f aca="false">IF(OR(D301="",G301="",H301="",D301="Sump",D301="Drop Inlet Chamber",D301="Silt Trap",D301="Pipe Culvert",D301="Subsoil Drain"),"",ROUND(MAX(1,N(I301))*(1/SG_Criteria!$B$26)*((G301/1000)*(H301/1000*(1-SG_Criteria!$B$25)))*(((G301/1000)*(H301/1000*(1-SG_Criteria!$B$25)))/((G301/1000)+2*(H301/1000*(1-SG_Criteria!$B$25))))^(2/3)*(1/Design_Selector!$B$11)^0.5,3))</f>
        <v/>
      </c>
      <c r="BD301" s="11" t="str">
        <f aca="false">IF(BC301="","",ROUND(BC301/(MAX(1,N(I301))*G301/1000*(H301/1000*(1-SG_Criteria!$B$25))),2))</f>
        <v/>
      </c>
      <c r="BE301" s="33" t="str">
        <f aca="false">IF(D301="","",IF(LEN(IF(AND(OR(E301="Roadside drain",E301="Entrance culvert"),OR(G301&lt;SG_Criteria!$B$15,H301&lt;SG_Criteria!$B$16)),"FAIL: below PUB min "&amp;SG_Criteria!$B$15&amp;"x"&amp;SG_Criteria!$B$16&amp;" for roadside drain. ","")&amp;IF(AND(E301="Common drain",G301&lt;SG_Criteria!$B$17),"FAIL: common drain W &lt; "&amp;SG_Criteria!$B$17&amp;" mm. ","")&amp;IF(AND(O301&lt;&gt;"",IFERROR(VALUE(MID(O301,2,2)),0)&lt;SG_Criteria!$B$19),"FAIL: grade below C"&amp;SG_Criteria!$B$19&amp;". ","")&amp;IF(AND(P301&lt;&gt;"",P301&lt;SG_Criteria!$B$20),"FAIL: cover &lt; "&amp;SG_Criteria!$B$20&amp;" mm. ","")&amp;IF(AND(F301="Open",H301&gt;SG_Criteria!$B$18),"NOTE: safety railing required (D &gt; "&amp;SG_Criteria!$B$18&amp;" mm). ","")&amp;IF(AND(E301="Entrance culvert",H301&lt;600),"NOTE: check hinged grating rule for culverts &lt; 600 deep (PUB Add. 3). ",""))=0,"OK",IF(AND(OR(E301="Roadside drain",E301="Entrance culvert"),OR(G301&lt;SG_Criteria!$B$15,H301&lt;SG_Criteria!$B$16)),"FAIL: below PUB min "&amp;SG_Criteria!$B$15&amp;"x"&amp;SG_Criteria!$B$16&amp;" for roadside drain. ","")&amp;IF(AND(E301="Common drain",G301&lt;SG_Criteria!$B$17),"FAIL: common drain W &lt; "&amp;SG_Criteria!$B$17&amp;" mm. ","")&amp;IF(AND(O301&lt;&gt;"",IFERROR(VALUE(MID(O301,2,2)),0)&lt;SG_Criteria!$B$19),"FAIL: grade below C"&amp;SG_Criteria!$B$19&amp;". ","")&amp;IF(AND(P301&lt;&gt;"",P301&lt;SG_Criteria!$B$20),"FAIL: cover &lt; "&amp;SG_Criteria!$B$20&amp;" mm. ","")&amp;IF(AND(F301="Open",H301&gt;SG_Criteria!$B$18),"NOTE: safety railing required (D &gt; "&amp;SG_Criteria!$B$18&amp;" mm). ","")&amp;IF(AND(E301="Entrance culvert",H301&lt;600),"NOTE: check hinged grating rule for culverts &lt; 600 deep (PUB Add. 3). ","")))</f>
        <v/>
      </c>
      <c r="BF301" s="9"/>
      <c r="BG301" s="9"/>
      <c r="BH301" s="9"/>
      <c r="BI301" s="10" t="str">
        <f aca="false">IF(BH301="","",IFERROR(VLOOKUP(BH301,Projects!$A$5:$D$504,2,0),"Ref not in Projects"))</f>
        <v/>
      </c>
      <c r="BJ301" s="10" t="str">
        <f aca="false">IF(BH301="","",IFERROR(VLOOKUP(BH301,Projects!$A$5:$D$504,4,0),"Ref not in Projects"))</f>
        <v/>
      </c>
      <c r="BK301" s="9"/>
      <c r="BL301" s="9"/>
      <c r="BM301" s="9"/>
      <c r="BN301" s="40"/>
      <c r="BO301" s="9"/>
      <c r="BP301" s="40"/>
      <c r="BQ301" s="9"/>
      <c r="BR301" s="40"/>
      <c r="BS301" s="9"/>
      <c r="BT301" s="9"/>
      <c r="BU301" s="9"/>
      <c r="BV301" s="40"/>
      <c r="BW301" s="40"/>
      <c r="BX301" s="36" t="str">
        <f aca="false">IF(BW301="","",EDATE(BW301,SG_Criteria!$B$54*12))</f>
        <v/>
      </c>
      <c r="BY301" s="33" t="str">
        <f aca="true">IF(A301="","",IF(BW301="","NOTE: not reviewed yet",IF(TODAY()&gt;BX301,"NOTE: review overdue","OK")))</f>
        <v/>
      </c>
      <c r="BZ301" s="37" t="str">
        <f aca="false">IF(A301="","",ROUND((IF(LEN(D301)&gt;0,1,0)+IF(LEN(E301)&gt;0,1,0)+IF(LEN(F301)&gt;0,1,0)+IF(LEN(G301)&gt;0,1,0)+IF(LEN(H301)&gt;0,1,0)+IF(LEN(J301)&gt;0,1,0)+IF(LEN(K301)&gt;0,1,0)+IF(LEN(M301)&gt;0,1,0)+IF(LEN(O301)&gt;0,1,0)+IF(LEN(P301)&gt;0,1,0)+IF(LEN(Q301)&gt;0,1,0)+IF(LEN(S301)&gt;0,1,0)+IF(LEN(AC301)&gt;0,1,0)+IF(LEN(AV301)&gt;0,1,0)+IF(LEN(AW301)&gt;0,1,0)+IF(LEN(AG301)&gt;0,1,0)+IF(LEN(AI301)&gt;0,1,0)+IF(LEN(AJ301)&gt;0,1,0)+IF(LEN(AK301)&gt;0,1,0)+IF(LEN(AL301)&gt;0,1,0)+IF(LEN(AU301)&gt;0,1,0)+IF(LEN(BH301)&gt;0,1,0)+IF(LEN(BU301)&gt;0,1,0))/23,2))</f>
        <v/>
      </c>
      <c r="CA301" s="10" t="str">
        <f aca="false">IF(D301="","",IF(AND(AJ301="Approved",ISERROR(SEARCH("FAIL",BE301))),"Y","N"))</f>
        <v/>
      </c>
      <c r="CB301" s="10" t="str">
        <f aca="false">IF(D301="","",D301&amp;"|"&amp;G301&amp;"|"&amp;H301&amp;"|"&amp;M301&amp;"|"&amp;CA301)</f>
        <v/>
      </c>
    </row>
    <row r="302" customFormat="false" ht="15" hidden="false" customHeight="false" outlineLevel="0" collapsed="false">
      <c r="A302" s="10" t="str">
        <f aca="false">IF(D302="","","DRN-"&amp;IFERROR(VLOOKUP(D302,Lists!$A$4:$B$27,2,0),"??")&amp;"-"&amp;TEXT(G302,"0000")&amp;"x"&amp;TEXT(H302,"0000")&amp;IF(N(I302)&gt;1,"-"&amp;I302&amp;"C","")&amp;"-"&amp;IFERROR(VLOOKUP(M302,Lists!$J$4:$K$19,2,0),"??")&amp;"-"&amp;AI302)</f>
        <v/>
      </c>
      <c r="B302" s="10" t="str">
        <f aca="false">IF(D302="","",D302&amp;" "&amp;G302&amp;"W x "&amp;H302&amp;"D"&amp;IF(N(I302)&gt;1," ("&amp;I302&amp;" cells)","")&amp;", "&amp;E302&amp;", "&amp;M302&amp;", "&amp;F302)</f>
        <v/>
      </c>
      <c r="C302" s="9"/>
      <c r="D302" s="9"/>
      <c r="E302" s="9"/>
      <c r="F302" s="9"/>
      <c r="G302" s="38"/>
      <c r="H302" s="38"/>
      <c r="I302" s="38"/>
      <c r="J302" s="38"/>
      <c r="K302" s="38"/>
      <c r="L302" s="38"/>
      <c r="M302" s="9"/>
      <c r="N302" s="9"/>
      <c r="O302" s="9"/>
      <c r="P302" s="38"/>
      <c r="Q302" s="9"/>
      <c r="R302" s="9"/>
      <c r="S302" s="9"/>
      <c r="T302" s="9"/>
      <c r="U302" s="9"/>
      <c r="V302" s="9"/>
      <c r="W302" s="9"/>
      <c r="X302" s="9"/>
      <c r="Y302" s="9"/>
      <c r="Z302" s="9"/>
      <c r="AA302" s="9"/>
      <c r="AB302" s="39"/>
      <c r="AC302" s="9"/>
      <c r="AD302" s="38"/>
      <c r="AE302" s="9"/>
      <c r="AF302" s="39"/>
      <c r="AG302" s="9"/>
      <c r="AH302" s="9"/>
      <c r="AI302" s="9"/>
      <c r="AJ302" s="9"/>
      <c r="AK302" s="9"/>
      <c r="AL302" s="9"/>
      <c r="AM302" s="9"/>
      <c r="AN302" s="10" t="str">
        <f aca="false">IF(A302="","",SG_Criteria!$B$6&amp;SG_Criteria!$B$7&amp;"\"&amp;A302&amp;"\")</f>
        <v/>
      </c>
      <c r="AO302" s="10" t="str">
        <f aca="false">IF(A302="","",A302&amp;"_CAD.dwg")</f>
        <v/>
      </c>
      <c r="AP302" s="10" t="str">
        <f aca="false">IF(A302="","",A302&amp;"_DWG.pdf")</f>
        <v/>
      </c>
      <c r="AQ302" s="10" t="str">
        <f aca="false">IF(A302="","",IF(AM302="Y",A302&amp;"_STAAD.std","n/a"))</f>
        <v/>
      </c>
      <c r="AR302" s="10" t="str">
        <f aca="false">IF(A302="","",A302&amp;"_CALC.xlsx")</f>
        <v/>
      </c>
      <c r="AS302" s="10" t="str">
        <f aca="false">IF(A302="","",A302&amp;"_CALC.pdf")</f>
        <v/>
      </c>
      <c r="AT302" s="9"/>
      <c r="AU302" s="9"/>
      <c r="AV302" s="39"/>
      <c r="AW302" s="39"/>
      <c r="AX302" s="39"/>
      <c r="AY302" s="39"/>
      <c r="AZ302" s="39"/>
      <c r="BA302" s="12" t="str">
        <f aca="false">IF(A302="","",IF(COUNTIF(Rebar_Schedule!$A$5:$A$2004,A302)=0,"",ROUND(SUMIF(Rebar_Schedule!$A$5:$A$2004,A302,Rebar_Schedule!$K$5:$K$2004),1)))</f>
        <v/>
      </c>
      <c r="BB302" s="33" t="str">
        <f aca="false">IF(A302="","",IF(BA302="","No rebar schedule yet",IF(ABS(BA302-N(AW302))/MAX(N(AW302),1)&gt;SG_Criteria!$B$55,"NOTE: register rebar differs from schedule by "&amp;TEXT(ABS(BA302-N(AW302))/MAX(N(AW302),1),"0%"),"OK")))</f>
        <v/>
      </c>
      <c r="BC302" s="34" t="str">
        <f aca="false">IF(OR(D302="",G302="",H302="",D302="Sump",D302="Drop Inlet Chamber",D302="Silt Trap",D302="Pipe Culvert",D302="Subsoil Drain"),"",ROUND(MAX(1,N(I302))*(1/SG_Criteria!$B$26)*((G302/1000)*(H302/1000*(1-SG_Criteria!$B$25)))*(((G302/1000)*(H302/1000*(1-SG_Criteria!$B$25)))/((G302/1000)+2*(H302/1000*(1-SG_Criteria!$B$25))))^(2/3)*(1/Design_Selector!$B$11)^0.5,3))</f>
        <v/>
      </c>
      <c r="BD302" s="11" t="str">
        <f aca="false">IF(BC302="","",ROUND(BC302/(MAX(1,N(I302))*G302/1000*(H302/1000*(1-SG_Criteria!$B$25))),2))</f>
        <v/>
      </c>
      <c r="BE302" s="33" t="str">
        <f aca="false">IF(D302="","",IF(LEN(IF(AND(OR(E302="Roadside drain",E302="Entrance culvert"),OR(G302&lt;SG_Criteria!$B$15,H302&lt;SG_Criteria!$B$16)),"FAIL: below PUB min "&amp;SG_Criteria!$B$15&amp;"x"&amp;SG_Criteria!$B$16&amp;" for roadside drain. ","")&amp;IF(AND(E302="Common drain",G302&lt;SG_Criteria!$B$17),"FAIL: common drain W &lt; "&amp;SG_Criteria!$B$17&amp;" mm. ","")&amp;IF(AND(O302&lt;&gt;"",IFERROR(VALUE(MID(O302,2,2)),0)&lt;SG_Criteria!$B$19),"FAIL: grade below C"&amp;SG_Criteria!$B$19&amp;". ","")&amp;IF(AND(P302&lt;&gt;"",P302&lt;SG_Criteria!$B$20),"FAIL: cover &lt; "&amp;SG_Criteria!$B$20&amp;" mm. ","")&amp;IF(AND(F302="Open",H302&gt;SG_Criteria!$B$18),"NOTE: safety railing required (D &gt; "&amp;SG_Criteria!$B$18&amp;" mm). ","")&amp;IF(AND(E302="Entrance culvert",H302&lt;600),"NOTE: check hinged grating rule for culverts &lt; 600 deep (PUB Add. 3). ",""))=0,"OK",IF(AND(OR(E302="Roadside drain",E302="Entrance culvert"),OR(G302&lt;SG_Criteria!$B$15,H302&lt;SG_Criteria!$B$16)),"FAIL: below PUB min "&amp;SG_Criteria!$B$15&amp;"x"&amp;SG_Criteria!$B$16&amp;" for roadside drain. ","")&amp;IF(AND(E302="Common drain",G302&lt;SG_Criteria!$B$17),"FAIL: common drain W &lt; "&amp;SG_Criteria!$B$17&amp;" mm. ","")&amp;IF(AND(O302&lt;&gt;"",IFERROR(VALUE(MID(O302,2,2)),0)&lt;SG_Criteria!$B$19),"FAIL: grade below C"&amp;SG_Criteria!$B$19&amp;". ","")&amp;IF(AND(P302&lt;&gt;"",P302&lt;SG_Criteria!$B$20),"FAIL: cover &lt; "&amp;SG_Criteria!$B$20&amp;" mm. ","")&amp;IF(AND(F302="Open",H302&gt;SG_Criteria!$B$18),"NOTE: safety railing required (D &gt; "&amp;SG_Criteria!$B$18&amp;" mm). ","")&amp;IF(AND(E302="Entrance culvert",H302&lt;600),"NOTE: check hinged grating rule for culverts &lt; 600 deep (PUB Add. 3). ","")))</f>
        <v/>
      </c>
      <c r="BF302" s="9"/>
      <c r="BG302" s="9"/>
      <c r="BH302" s="9"/>
      <c r="BI302" s="10" t="str">
        <f aca="false">IF(BH302="","",IFERROR(VLOOKUP(BH302,Projects!$A$5:$D$504,2,0),"Ref not in Projects"))</f>
        <v/>
      </c>
      <c r="BJ302" s="10" t="str">
        <f aca="false">IF(BH302="","",IFERROR(VLOOKUP(BH302,Projects!$A$5:$D$504,4,0),"Ref not in Projects"))</f>
        <v/>
      </c>
      <c r="BK302" s="9"/>
      <c r="BL302" s="9"/>
      <c r="BM302" s="9"/>
      <c r="BN302" s="40"/>
      <c r="BO302" s="9"/>
      <c r="BP302" s="40"/>
      <c r="BQ302" s="9"/>
      <c r="BR302" s="40"/>
      <c r="BS302" s="9"/>
      <c r="BT302" s="9"/>
      <c r="BU302" s="9"/>
      <c r="BV302" s="40"/>
      <c r="BW302" s="40"/>
      <c r="BX302" s="36" t="str">
        <f aca="false">IF(BW302="","",EDATE(BW302,SG_Criteria!$B$54*12))</f>
        <v/>
      </c>
      <c r="BY302" s="33" t="str">
        <f aca="true">IF(A302="","",IF(BW302="","NOTE: not reviewed yet",IF(TODAY()&gt;BX302,"NOTE: review overdue","OK")))</f>
        <v/>
      </c>
      <c r="BZ302" s="37" t="str">
        <f aca="false">IF(A302="","",ROUND((IF(LEN(D302)&gt;0,1,0)+IF(LEN(E302)&gt;0,1,0)+IF(LEN(F302)&gt;0,1,0)+IF(LEN(G302)&gt;0,1,0)+IF(LEN(H302)&gt;0,1,0)+IF(LEN(J302)&gt;0,1,0)+IF(LEN(K302)&gt;0,1,0)+IF(LEN(M302)&gt;0,1,0)+IF(LEN(O302)&gt;0,1,0)+IF(LEN(P302)&gt;0,1,0)+IF(LEN(Q302)&gt;0,1,0)+IF(LEN(S302)&gt;0,1,0)+IF(LEN(AC302)&gt;0,1,0)+IF(LEN(AV302)&gt;0,1,0)+IF(LEN(AW302)&gt;0,1,0)+IF(LEN(AG302)&gt;0,1,0)+IF(LEN(AI302)&gt;0,1,0)+IF(LEN(AJ302)&gt;0,1,0)+IF(LEN(AK302)&gt;0,1,0)+IF(LEN(AL302)&gt;0,1,0)+IF(LEN(AU302)&gt;0,1,0)+IF(LEN(BH302)&gt;0,1,0)+IF(LEN(BU302)&gt;0,1,0))/23,2))</f>
        <v/>
      </c>
      <c r="CA302" s="10" t="str">
        <f aca="false">IF(D302="","",IF(AND(AJ302="Approved",ISERROR(SEARCH("FAIL",BE302))),"Y","N"))</f>
        <v/>
      </c>
      <c r="CB302" s="10" t="str">
        <f aca="false">IF(D302="","",D302&amp;"|"&amp;G302&amp;"|"&amp;H302&amp;"|"&amp;M302&amp;"|"&amp;CA302)</f>
        <v/>
      </c>
    </row>
    <row r="303" customFormat="false" ht="15" hidden="false" customHeight="false" outlineLevel="0" collapsed="false">
      <c r="A303" s="10" t="str">
        <f aca="false">IF(D303="","","DRN-"&amp;IFERROR(VLOOKUP(D303,Lists!$A$4:$B$27,2,0),"??")&amp;"-"&amp;TEXT(G303,"0000")&amp;"x"&amp;TEXT(H303,"0000")&amp;IF(N(I303)&gt;1,"-"&amp;I303&amp;"C","")&amp;"-"&amp;IFERROR(VLOOKUP(M303,Lists!$J$4:$K$19,2,0),"??")&amp;"-"&amp;AI303)</f>
        <v/>
      </c>
      <c r="B303" s="10" t="str">
        <f aca="false">IF(D303="","",D303&amp;" "&amp;G303&amp;"W x "&amp;H303&amp;"D"&amp;IF(N(I303)&gt;1," ("&amp;I303&amp;" cells)","")&amp;", "&amp;E303&amp;", "&amp;M303&amp;", "&amp;F303)</f>
        <v/>
      </c>
      <c r="C303" s="9"/>
      <c r="D303" s="9"/>
      <c r="E303" s="9"/>
      <c r="F303" s="9"/>
      <c r="G303" s="38"/>
      <c r="H303" s="38"/>
      <c r="I303" s="38"/>
      <c r="J303" s="38"/>
      <c r="K303" s="38"/>
      <c r="L303" s="38"/>
      <c r="M303" s="9"/>
      <c r="N303" s="9"/>
      <c r="O303" s="9"/>
      <c r="P303" s="38"/>
      <c r="Q303" s="9"/>
      <c r="R303" s="9"/>
      <c r="S303" s="9"/>
      <c r="T303" s="9"/>
      <c r="U303" s="9"/>
      <c r="V303" s="9"/>
      <c r="W303" s="9"/>
      <c r="X303" s="9"/>
      <c r="Y303" s="9"/>
      <c r="Z303" s="9"/>
      <c r="AA303" s="9"/>
      <c r="AB303" s="39"/>
      <c r="AC303" s="9"/>
      <c r="AD303" s="38"/>
      <c r="AE303" s="9"/>
      <c r="AF303" s="39"/>
      <c r="AG303" s="9"/>
      <c r="AH303" s="9"/>
      <c r="AI303" s="9"/>
      <c r="AJ303" s="9"/>
      <c r="AK303" s="9"/>
      <c r="AL303" s="9"/>
      <c r="AM303" s="9"/>
      <c r="AN303" s="10" t="str">
        <f aca="false">IF(A303="","",SG_Criteria!$B$6&amp;SG_Criteria!$B$7&amp;"\"&amp;A303&amp;"\")</f>
        <v/>
      </c>
      <c r="AO303" s="10" t="str">
        <f aca="false">IF(A303="","",A303&amp;"_CAD.dwg")</f>
        <v/>
      </c>
      <c r="AP303" s="10" t="str">
        <f aca="false">IF(A303="","",A303&amp;"_DWG.pdf")</f>
        <v/>
      </c>
      <c r="AQ303" s="10" t="str">
        <f aca="false">IF(A303="","",IF(AM303="Y",A303&amp;"_STAAD.std","n/a"))</f>
        <v/>
      </c>
      <c r="AR303" s="10" t="str">
        <f aca="false">IF(A303="","",A303&amp;"_CALC.xlsx")</f>
        <v/>
      </c>
      <c r="AS303" s="10" t="str">
        <f aca="false">IF(A303="","",A303&amp;"_CALC.pdf")</f>
        <v/>
      </c>
      <c r="AT303" s="9"/>
      <c r="AU303" s="9"/>
      <c r="AV303" s="39"/>
      <c r="AW303" s="39"/>
      <c r="AX303" s="39"/>
      <c r="AY303" s="39"/>
      <c r="AZ303" s="39"/>
      <c r="BA303" s="12" t="str">
        <f aca="false">IF(A303="","",IF(COUNTIF(Rebar_Schedule!$A$5:$A$2004,A303)=0,"",ROUND(SUMIF(Rebar_Schedule!$A$5:$A$2004,A303,Rebar_Schedule!$K$5:$K$2004),1)))</f>
        <v/>
      </c>
      <c r="BB303" s="33" t="str">
        <f aca="false">IF(A303="","",IF(BA303="","No rebar schedule yet",IF(ABS(BA303-N(AW303))/MAX(N(AW303),1)&gt;SG_Criteria!$B$55,"NOTE: register rebar differs from schedule by "&amp;TEXT(ABS(BA303-N(AW303))/MAX(N(AW303),1),"0%"),"OK")))</f>
        <v/>
      </c>
      <c r="BC303" s="34" t="str">
        <f aca="false">IF(OR(D303="",G303="",H303="",D303="Sump",D303="Drop Inlet Chamber",D303="Silt Trap",D303="Pipe Culvert",D303="Subsoil Drain"),"",ROUND(MAX(1,N(I303))*(1/SG_Criteria!$B$26)*((G303/1000)*(H303/1000*(1-SG_Criteria!$B$25)))*(((G303/1000)*(H303/1000*(1-SG_Criteria!$B$25)))/((G303/1000)+2*(H303/1000*(1-SG_Criteria!$B$25))))^(2/3)*(1/Design_Selector!$B$11)^0.5,3))</f>
        <v/>
      </c>
      <c r="BD303" s="11" t="str">
        <f aca="false">IF(BC303="","",ROUND(BC303/(MAX(1,N(I303))*G303/1000*(H303/1000*(1-SG_Criteria!$B$25))),2))</f>
        <v/>
      </c>
      <c r="BE303" s="33" t="str">
        <f aca="false">IF(D303="","",IF(LEN(IF(AND(OR(E303="Roadside drain",E303="Entrance culvert"),OR(G303&lt;SG_Criteria!$B$15,H303&lt;SG_Criteria!$B$16)),"FAIL: below PUB min "&amp;SG_Criteria!$B$15&amp;"x"&amp;SG_Criteria!$B$16&amp;" for roadside drain. ","")&amp;IF(AND(E303="Common drain",G303&lt;SG_Criteria!$B$17),"FAIL: common drain W &lt; "&amp;SG_Criteria!$B$17&amp;" mm. ","")&amp;IF(AND(O303&lt;&gt;"",IFERROR(VALUE(MID(O303,2,2)),0)&lt;SG_Criteria!$B$19),"FAIL: grade below C"&amp;SG_Criteria!$B$19&amp;". ","")&amp;IF(AND(P303&lt;&gt;"",P303&lt;SG_Criteria!$B$20),"FAIL: cover &lt; "&amp;SG_Criteria!$B$20&amp;" mm. ","")&amp;IF(AND(F303="Open",H303&gt;SG_Criteria!$B$18),"NOTE: safety railing required (D &gt; "&amp;SG_Criteria!$B$18&amp;" mm). ","")&amp;IF(AND(E303="Entrance culvert",H303&lt;600),"NOTE: check hinged grating rule for culverts &lt; 600 deep (PUB Add. 3). ",""))=0,"OK",IF(AND(OR(E303="Roadside drain",E303="Entrance culvert"),OR(G303&lt;SG_Criteria!$B$15,H303&lt;SG_Criteria!$B$16)),"FAIL: below PUB min "&amp;SG_Criteria!$B$15&amp;"x"&amp;SG_Criteria!$B$16&amp;" for roadside drain. ","")&amp;IF(AND(E303="Common drain",G303&lt;SG_Criteria!$B$17),"FAIL: common drain W &lt; "&amp;SG_Criteria!$B$17&amp;" mm. ","")&amp;IF(AND(O303&lt;&gt;"",IFERROR(VALUE(MID(O303,2,2)),0)&lt;SG_Criteria!$B$19),"FAIL: grade below C"&amp;SG_Criteria!$B$19&amp;". ","")&amp;IF(AND(P303&lt;&gt;"",P303&lt;SG_Criteria!$B$20),"FAIL: cover &lt; "&amp;SG_Criteria!$B$20&amp;" mm. ","")&amp;IF(AND(F303="Open",H303&gt;SG_Criteria!$B$18),"NOTE: safety railing required (D &gt; "&amp;SG_Criteria!$B$18&amp;" mm). ","")&amp;IF(AND(E303="Entrance culvert",H303&lt;600),"NOTE: check hinged grating rule for culverts &lt; 600 deep (PUB Add. 3). ","")))</f>
        <v/>
      </c>
      <c r="BF303" s="9"/>
      <c r="BG303" s="9"/>
      <c r="BH303" s="9"/>
      <c r="BI303" s="10" t="str">
        <f aca="false">IF(BH303="","",IFERROR(VLOOKUP(BH303,Projects!$A$5:$D$504,2,0),"Ref not in Projects"))</f>
        <v/>
      </c>
      <c r="BJ303" s="10" t="str">
        <f aca="false">IF(BH303="","",IFERROR(VLOOKUP(BH303,Projects!$A$5:$D$504,4,0),"Ref not in Projects"))</f>
        <v/>
      </c>
      <c r="BK303" s="9"/>
      <c r="BL303" s="9"/>
      <c r="BM303" s="9"/>
      <c r="BN303" s="40"/>
      <c r="BO303" s="9"/>
      <c r="BP303" s="40"/>
      <c r="BQ303" s="9"/>
      <c r="BR303" s="40"/>
      <c r="BS303" s="9"/>
      <c r="BT303" s="9"/>
      <c r="BU303" s="9"/>
      <c r="BV303" s="40"/>
      <c r="BW303" s="40"/>
      <c r="BX303" s="36" t="str">
        <f aca="false">IF(BW303="","",EDATE(BW303,SG_Criteria!$B$54*12))</f>
        <v/>
      </c>
      <c r="BY303" s="33" t="str">
        <f aca="true">IF(A303="","",IF(BW303="","NOTE: not reviewed yet",IF(TODAY()&gt;BX303,"NOTE: review overdue","OK")))</f>
        <v/>
      </c>
      <c r="BZ303" s="37" t="str">
        <f aca="false">IF(A303="","",ROUND((IF(LEN(D303)&gt;0,1,0)+IF(LEN(E303)&gt;0,1,0)+IF(LEN(F303)&gt;0,1,0)+IF(LEN(G303)&gt;0,1,0)+IF(LEN(H303)&gt;0,1,0)+IF(LEN(J303)&gt;0,1,0)+IF(LEN(K303)&gt;0,1,0)+IF(LEN(M303)&gt;0,1,0)+IF(LEN(O303)&gt;0,1,0)+IF(LEN(P303)&gt;0,1,0)+IF(LEN(Q303)&gt;0,1,0)+IF(LEN(S303)&gt;0,1,0)+IF(LEN(AC303)&gt;0,1,0)+IF(LEN(AV303)&gt;0,1,0)+IF(LEN(AW303)&gt;0,1,0)+IF(LEN(AG303)&gt;0,1,0)+IF(LEN(AI303)&gt;0,1,0)+IF(LEN(AJ303)&gt;0,1,0)+IF(LEN(AK303)&gt;0,1,0)+IF(LEN(AL303)&gt;0,1,0)+IF(LEN(AU303)&gt;0,1,0)+IF(LEN(BH303)&gt;0,1,0)+IF(LEN(BU303)&gt;0,1,0))/23,2))</f>
        <v/>
      </c>
      <c r="CA303" s="10" t="str">
        <f aca="false">IF(D303="","",IF(AND(AJ303="Approved",ISERROR(SEARCH("FAIL",BE303))),"Y","N"))</f>
        <v/>
      </c>
      <c r="CB303" s="10" t="str">
        <f aca="false">IF(D303="","",D303&amp;"|"&amp;G303&amp;"|"&amp;H303&amp;"|"&amp;M303&amp;"|"&amp;CA303)</f>
        <v/>
      </c>
    </row>
    <row r="304" customFormat="false" ht="15" hidden="false" customHeight="false" outlineLevel="0" collapsed="false">
      <c r="A304" s="10" t="str">
        <f aca="false">IF(D304="","","DRN-"&amp;IFERROR(VLOOKUP(D304,Lists!$A$4:$B$27,2,0),"??")&amp;"-"&amp;TEXT(G304,"0000")&amp;"x"&amp;TEXT(H304,"0000")&amp;IF(N(I304)&gt;1,"-"&amp;I304&amp;"C","")&amp;"-"&amp;IFERROR(VLOOKUP(M304,Lists!$J$4:$K$19,2,0),"??")&amp;"-"&amp;AI304)</f>
        <v/>
      </c>
      <c r="B304" s="10" t="str">
        <f aca="false">IF(D304="","",D304&amp;" "&amp;G304&amp;"W x "&amp;H304&amp;"D"&amp;IF(N(I304)&gt;1," ("&amp;I304&amp;" cells)","")&amp;", "&amp;E304&amp;", "&amp;M304&amp;", "&amp;F304)</f>
        <v/>
      </c>
      <c r="C304" s="9"/>
      <c r="D304" s="9"/>
      <c r="E304" s="9"/>
      <c r="F304" s="9"/>
      <c r="G304" s="38"/>
      <c r="H304" s="38"/>
      <c r="I304" s="38"/>
      <c r="J304" s="38"/>
      <c r="K304" s="38"/>
      <c r="L304" s="38"/>
      <c r="M304" s="9"/>
      <c r="N304" s="9"/>
      <c r="O304" s="9"/>
      <c r="P304" s="38"/>
      <c r="Q304" s="9"/>
      <c r="R304" s="9"/>
      <c r="S304" s="9"/>
      <c r="T304" s="9"/>
      <c r="U304" s="9"/>
      <c r="V304" s="9"/>
      <c r="W304" s="9"/>
      <c r="X304" s="9"/>
      <c r="Y304" s="9"/>
      <c r="Z304" s="9"/>
      <c r="AA304" s="9"/>
      <c r="AB304" s="39"/>
      <c r="AC304" s="9"/>
      <c r="AD304" s="38"/>
      <c r="AE304" s="9"/>
      <c r="AF304" s="39"/>
      <c r="AG304" s="9"/>
      <c r="AH304" s="9"/>
      <c r="AI304" s="9"/>
      <c r="AJ304" s="9"/>
      <c r="AK304" s="9"/>
      <c r="AL304" s="9"/>
      <c r="AM304" s="9"/>
      <c r="AN304" s="10" t="str">
        <f aca="false">IF(A304="","",SG_Criteria!$B$6&amp;SG_Criteria!$B$7&amp;"\"&amp;A304&amp;"\")</f>
        <v/>
      </c>
      <c r="AO304" s="10" t="str">
        <f aca="false">IF(A304="","",A304&amp;"_CAD.dwg")</f>
        <v/>
      </c>
      <c r="AP304" s="10" t="str">
        <f aca="false">IF(A304="","",A304&amp;"_DWG.pdf")</f>
        <v/>
      </c>
      <c r="AQ304" s="10" t="str">
        <f aca="false">IF(A304="","",IF(AM304="Y",A304&amp;"_STAAD.std","n/a"))</f>
        <v/>
      </c>
      <c r="AR304" s="10" t="str">
        <f aca="false">IF(A304="","",A304&amp;"_CALC.xlsx")</f>
        <v/>
      </c>
      <c r="AS304" s="10" t="str">
        <f aca="false">IF(A304="","",A304&amp;"_CALC.pdf")</f>
        <v/>
      </c>
      <c r="AT304" s="9"/>
      <c r="AU304" s="9"/>
      <c r="AV304" s="39"/>
      <c r="AW304" s="39"/>
      <c r="AX304" s="39"/>
      <c r="AY304" s="39"/>
      <c r="AZ304" s="39"/>
      <c r="BA304" s="12" t="str">
        <f aca="false">IF(A304="","",IF(COUNTIF(Rebar_Schedule!$A$5:$A$2004,A304)=0,"",ROUND(SUMIF(Rebar_Schedule!$A$5:$A$2004,A304,Rebar_Schedule!$K$5:$K$2004),1)))</f>
        <v/>
      </c>
      <c r="BB304" s="33" t="str">
        <f aca="false">IF(A304="","",IF(BA304="","No rebar schedule yet",IF(ABS(BA304-N(AW304))/MAX(N(AW304),1)&gt;SG_Criteria!$B$55,"NOTE: register rebar differs from schedule by "&amp;TEXT(ABS(BA304-N(AW304))/MAX(N(AW304),1),"0%"),"OK")))</f>
        <v/>
      </c>
      <c r="BC304" s="34" t="str">
        <f aca="false">IF(OR(D304="",G304="",H304="",D304="Sump",D304="Drop Inlet Chamber",D304="Silt Trap",D304="Pipe Culvert",D304="Subsoil Drain"),"",ROUND(MAX(1,N(I304))*(1/SG_Criteria!$B$26)*((G304/1000)*(H304/1000*(1-SG_Criteria!$B$25)))*(((G304/1000)*(H304/1000*(1-SG_Criteria!$B$25)))/((G304/1000)+2*(H304/1000*(1-SG_Criteria!$B$25))))^(2/3)*(1/Design_Selector!$B$11)^0.5,3))</f>
        <v/>
      </c>
      <c r="BD304" s="11" t="str">
        <f aca="false">IF(BC304="","",ROUND(BC304/(MAX(1,N(I304))*G304/1000*(H304/1000*(1-SG_Criteria!$B$25))),2))</f>
        <v/>
      </c>
      <c r="BE304" s="33" t="str">
        <f aca="false">IF(D304="","",IF(LEN(IF(AND(OR(E304="Roadside drain",E304="Entrance culvert"),OR(G304&lt;SG_Criteria!$B$15,H304&lt;SG_Criteria!$B$16)),"FAIL: below PUB min "&amp;SG_Criteria!$B$15&amp;"x"&amp;SG_Criteria!$B$16&amp;" for roadside drain. ","")&amp;IF(AND(E304="Common drain",G304&lt;SG_Criteria!$B$17),"FAIL: common drain W &lt; "&amp;SG_Criteria!$B$17&amp;" mm. ","")&amp;IF(AND(O304&lt;&gt;"",IFERROR(VALUE(MID(O304,2,2)),0)&lt;SG_Criteria!$B$19),"FAIL: grade below C"&amp;SG_Criteria!$B$19&amp;". ","")&amp;IF(AND(P304&lt;&gt;"",P304&lt;SG_Criteria!$B$20),"FAIL: cover &lt; "&amp;SG_Criteria!$B$20&amp;" mm. ","")&amp;IF(AND(F304="Open",H304&gt;SG_Criteria!$B$18),"NOTE: safety railing required (D &gt; "&amp;SG_Criteria!$B$18&amp;" mm). ","")&amp;IF(AND(E304="Entrance culvert",H304&lt;600),"NOTE: check hinged grating rule for culverts &lt; 600 deep (PUB Add. 3). ",""))=0,"OK",IF(AND(OR(E304="Roadside drain",E304="Entrance culvert"),OR(G304&lt;SG_Criteria!$B$15,H304&lt;SG_Criteria!$B$16)),"FAIL: below PUB min "&amp;SG_Criteria!$B$15&amp;"x"&amp;SG_Criteria!$B$16&amp;" for roadside drain. ","")&amp;IF(AND(E304="Common drain",G304&lt;SG_Criteria!$B$17),"FAIL: common drain W &lt; "&amp;SG_Criteria!$B$17&amp;" mm. ","")&amp;IF(AND(O304&lt;&gt;"",IFERROR(VALUE(MID(O304,2,2)),0)&lt;SG_Criteria!$B$19),"FAIL: grade below C"&amp;SG_Criteria!$B$19&amp;". ","")&amp;IF(AND(P304&lt;&gt;"",P304&lt;SG_Criteria!$B$20),"FAIL: cover &lt; "&amp;SG_Criteria!$B$20&amp;" mm. ","")&amp;IF(AND(F304="Open",H304&gt;SG_Criteria!$B$18),"NOTE: safety railing required (D &gt; "&amp;SG_Criteria!$B$18&amp;" mm). ","")&amp;IF(AND(E304="Entrance culvert",H304&lt;600),"NOTE: check hinged grating rule for culverts &lt; 600 deep (PUB Add. 3). ","")))</f>
        <v/>
      </c>
      <c r="BF304" s="9"/>
      <c r="BG304" s="9"/>
      <c r="BH304" s="9"/>
      <c r="BI304" s="10" t="str">
        <f aca="false">IF(BH304="","",IFERROR(VLOOKUP(BH304,Projects!$A$5:$D$504,2,0),"Ref not in Projects"))</f>
        <v/>
      </c>
      <c r="BJ304" s="10" t="str">
        <f aca="false">IF(BH304="","",IFERROR(VLOOKUP(BH304,Projects!$A$5:$D$504,4,0),"Ref not in Projects"))</f>
        <v/>
      </c>
      <c r="BK304" s="9"/>
      <c r="BL304" s="9"/>
      <c r="BM304" s="9"/>
      <c r="BN304" s="40"/>
      <c r="BO304" s="9"/>
      <c r="BP304" s="40"/>
      <c r="BQ304" s="9"/>
      <c r="BR304" s="40"/>
      <c r="BS304" s="9"/>
      <c r="BT304" s="9"/>
      <c r="BU304" s="9"/>
      <c r="BV304" s="40"/>
      <c r="BW304" s="40"/>
      <c r="BX304" s="36" t="str">
        <f aca="false">IF(BW304="","",EDATE(BW304,SG_Criteria!$B$54*12))</f>
        <v/>
      </c>
      <c r="BY304" s="33" t="str">
        <f aca="true">IF(A304="","",IF(BW304="","NOTE: not reviewed yet",IF(TODAY()&gt;BX304,"NOTE: review overdue","OK")))</f>
        <v/>
      </c>
      <c r="BZ304" s="37" t="str">
        <f aca="false">IF(A304="","",ROUND((IF(LEN(D304)&gt;0,1,0)+IF(LEN(E304)&gt;0,1,0)+IF(LEN(F304)&gt;0,1,0)+IF(LEN(G304)&gt;0,1,0)+IF(LEN(H304)&gt;0,1,0)+IF(LEN(J304)&gt;0,1,0)+IF(LEN(K304)&gt;0,1,0)+IF(LEN(M304)&gt;0,1,0)+IF(LEN(O304)&gt;0,1,0)+IF(LEN(P304)&gt;0,1,0)+IF(LEN(Q304)&gt;0,1,0)+IF(LEN(S304)&gt;0,1,0)+IF(LEN(AC304)&gt;0,1,0)+IF(LEN(AV304)&gt;0,1,0)+IF(LEN(AW304)&gt;0,1,0)+IF(LEN(AG304)&gt;0,1,0)+IF(LEN(AI304)&gt;0,1,0)+IF(LEN(AJ304)&gt;0,1,0)+IF(LEN(AK304)&gt;0,1,0)+IF(LEN(AL304)&gt;0,1,0)+IF(LEN(AU304)&gt;0,1,0)+IF(LEN(BH304)&gt;0,1,0)+IF(LEN(BU304)&gt;0,1,0))/23,2))</f>
        <v/>
      </c>
      <c r="CA304" s="10" t="str">
        <f aca="false">IF(D304="","",IF(AND(AJ304="Approved",ISERROR(SEARCH("FAIL",BE304))),"Y","N"))</f>
        <v/>
      </c>
      <c r="CB304" s="10" t="str">
        <f aca="false">IF(D304="","",D304&amp;"|"&amp;G304&amp;"|"&amp;H304&amp;"|"&amp;M304&amp;"|"&amp;CA304)</f>
        <v/>
      </c>
    </row>
  </sheetData>
  <conditionalFormatting sqref="BE5:BE304">
    <cfRule type="expression" priority="2" aboveAverage="0" equalAverage="0" bottom="0" percent="0" rank="0" text="" dxfId="0">
      <formula>ISNUMBER(SEARCH("FAIL",BE5))</formula>
    </cfRule>
    <cfRule type="expression" priority="3" aboveAverage="0" equalAverage="0" bottom="0" percent="0" rank="0" text="" dxfId="16">
      <formula>ISNUMBER(SEARCH("NOTE",BE5))</formula>
    </cfRule>
    <cfRule type="expression" priority="4" aboveAverage="0" equalAverage="0" bottom="0" percent="0" rank="0" text="" dxfId="1">
      <formula>BE5="OK"</formula>
    </cfRule>
  </conditionalFormatting>
  <conditionalFormatting sqref="BB5:BB304">
    <cfRule type="expression" priority="5" aboveAverage="0" equalAverage="0" bottom="0" percent="0" rank="0" text="" dxfId="0">
      <formula>ISNUMBER(SEARCH("FAIL",BB5))</formula>
    </cfRule>
    <cfRule type="expression" priority="6" aboveAverage="0" equalAverage="0" bottom="0" percent="0" rank="0" text="" dxfId="16">
      <formula>ISNUMBER(SEARCH("NOTE",BB5))</formula>
    </cfRule>
    <cfRule type="expression" priority="7" aboveAverage="0" equalAverage="0" bottom="0" percent="0" rank="0" text="" dxfId="1">
      <formula>BB5="OK"</formula>
    </cfRule>
  </conditionalFormatting>
  <conditionalFormatting sqref="BY5:BY304">
    <cfRule type="expression" priority="8" aboveAverage="0" equalAverage="0" bottom="0" percent="0" rank="0" text="" dxfId="0">
      <formula>ISNUMBER(SEARCH("FAIL",BY5))</formula>
    </cfRule>
    <cfRule type="expression" priority="9" aboveAverage="0" equalAverage="0" bottom="0" percent="0" rank="0" text="" dxfId="16">
      <formula>ISNUMBER(SEARCH("NOTE",BY5))</formula>
    </cfRule>
    <cfRule type="expression" priority="10" aboveAverage="0" equalAverage="0" bottom="0" percent="0" rank="0" text="" dxfId="1">
      <formula>BY5="OK"</formula>
    </cfRule>
  </conditionalFormatting>
  <conditionalFormatting sqref="BZ5:BZ304">
    <cfRule type="expression" priority="11" aboveAverage="0" equalAverage="0" bottom="0" percent="0" rank="0" text="" dxfId="16">
      <formula>AND(BZ5&lt;&gt;"",BZ5&lt;SG_Criteria!$B$56)</formula>
    </cfRule>
    <cfRule type="expression" priority="12" aboveAverage="0" equalAverage="0" bottom="0" percent="0" rank="0" text="" dxfId="1">
      <formula>AND(BZ5&lt;&gt;"",BZ5&gt;=SG_Criteria!$B$56)</formula>
    </cfRule>
  </conditionalFormatting>
  <dataValidations count="14">
    <dataValidation allowBlank="true" error="Pick a value from the list (add new values on the Lists sheet)." errorStyle="stop" errorTitle="Not in list" operator="between" showDropDown="false" showErrorMessage="false" showInputMessage="false" sqref="D5:D304" type="list">
      <formula1>Lists!$A$4:$A$27</formula1>
      <formula2>0</formula2>
    </dataValidation>
    <dataValidation allowBlank="true" error="Pick a value from the list (add new values on the Lists sheet)." errorStyle="stop" errorTitle="Not in list" operator="between" showDropDown="false" showErrorMessage="false" showInputMessage="false" sqref="E5:E304" type="list">
      <formula1>Lists!$D$4:$D$21</formula1>
      <formula2>0</formula2>
    </dataValidation>
    <dataValidation allowBlank="true" error="Pick a value from the list (add new values on the Lists sheet)." errorStyle="stop" errorTitle="Not in list" operator="between" showDropDown="false" showErrorMessage="false" showInputMessage="false" sqref="F5:F304" type="list">
      <formula1>Lists!$G$4:$G$18</formula1>
      <formula2>0</formula2>
    </dataValidation>
    <dataValidation allowBlank="true" error="Pick a value from the list (add new values on the Lists sheet)." errorStyle="stop" errorTitle="Not in list" operator="between" showDropDown="false" showErrorMessage="false" showInputMessage="false" sqref="M5:M304" type="list">
      <formula1>Lists!$J$4:$J$19</formula1>
      <formula2>0</formula2>
    </dataValidation>
    <dataValidation allowBlank="true" error="Pick a value from the list (add new values on the Lists sheet)." errorStyle="stop" errorTitle="Not in list" operator="between" showDropDown="false" showErrorMessage="false" showInputMessage="false" sqref="O5:O304" type="list">
      <formula1>Lists!$BO$4:$BO$20</formula1>
      <formula2>0</formula2>
    </dataValidation>
    <dataValidation allowBlank="true" error="Pick a value from the list (add new values on the Lists sheet)." errorStyle="stop" errorTitle="Not in list" operator="between" showDropDown="false" showErrorMessage="false" showInputMessage="false" sqref="V5:V304" type="list">
      <formula1>Lists!$CG$4:$CG$20</formula1>
      <formula2>0</formula2>
    </dataValidation>
    <dataValidation allowBlank="true" error="Pick a value from the list (add new values on the Lists sheet)." errorStyle="stop" errorTitle="Not in list" operator="between" showDropDown="false" showErrorMessage="false" showInputMessage="false" sqref="AC5:AC304" type="list">
      <formula1>Lists!$BU$4:$BU$27</formula1>
      <formula2>0</formula2>
    </dataValidation>
    <dataValidation allowBlank="true" error="Pick a value from the list (add new values on the Lists sheet)." errorStyle="stop" errorTitle="Not in list" operator="between" showDropDown="false" showErrorMessage="false" showInputMessage="false" sqref="AE5:AE304" type="list">
      <formula1>Lists!$BX$4:$BX$18</formula1>
      <formula2>0</formula2>
    </dataValidation>
    <dataValidation allowBlank="true" error="Pick a value from the list (add new values on the Lists sheet)." errorStyle="stop" errorTitle="Not in list" operator="between" showDropDown="false" showErrorMessage="false" showInputMessage="false" sqref="AJ5:AJ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AL5:AL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AM5:AM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T5:AT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U5:AU304" type="list">
      <formula1>Lists!$BL$4:$BL$19</formula1>
      <formula2>0</formula2>
    </dataValidation>
    <dataValidation allowBlank="true" error="Pick a Project Ref from the Projects sheet (add the project there first)." errorStyle="stop" errorTitle="Not in list" operator="between" showDropDown="false" showErrorMessage="false" showInputMessage="false" sqref="BH5:BH304" type="list">
      <formula1>Projects!$A$5:$A$504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CG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6"/>
    <col collapsed="false" customWidth="true" hidden="false" outlineLevel="0" max="3" min="3" style="0" width="24"/>
    <col collapsed="false" customWidth="true" hidden="false" outlineLevel="0" max="4" min="4" style="0" width="22"/>
    <col collapsed="false" customWidth="true" hidden="false" outlineLevel="0" max="7" min="5" style="0" width="8"/>
    <col collapsed="false" customWidth="true" hidden="false" outlineLevel="0" max="8" min="8" style="0" width="7"/>
    <col collapsed="false" customWidth="true" hidden="false" outlineLevel="0" max="9" min="9" style="0" width="20"/>
    <col collapsed="false" customWidth="true" hidden="false" outlineLevel="0" max="10" min="10" style="0" width="8"/>
    <col collapsed="false" customWidth="true" hidden="false" outlineLevel="0" max="12" min="11" style="0" width="6"/>
    <col collapsed="false" customWidth="true" hidden="false" outlineLevel="0" max="13" min="13" style="0" width="7"/>
    <col collapsed="false" customWidth="true" hidden="false" outlineLevel="0" max="14" min="14" style="0" width="12"/>
    <col collapsed="false" customWidth="true" hidden="false" outlineLevel="0" max="17" min="15" style="0" width="7"/>
    <col collapsed="false" customWidth="true" hidden="false" outlineLevel="0" max="20" min="18" style="0" width="6"/>
    <col collapsed="false" customWidth="true" hidden="false" outlineLevel="0" max="21" min="21" style="0" width="7"/>
    <col collapsed="false" customWidth="true" hidden="false" outlineLevel="0" max="22" min="22" style="0" width="8"/>
    <col collapsed="false" customWidth="true" hidden="false" outlineLevel="0" max="23" min="23" style="0" width="6"/>
    <col collapsed="false" customWidth="true" hidden="false" outlineLevel="0" max="27" min="24" style="0" width="10"/>
    <col collapsed="false" customWidth="true" hidden="false" outlineLevel="0" max="28" min="28" style="0" width="8"/>
    <col collapsed="false" customWidth="true" hidden="false" outlineLevel="0" max="29" min="29" style="0" width="16"/>
    <col collapsed="false" customWidth="true" hidden="false" outlineLevel="0" max="30" min="30" style="0" width="6"/>
    <col collapsed="false" customWidth="true" hidden="false" outlineLevel="0" max="36" min="31" style="0" width="7"/>
    <col collapsed="false" customWidth="true" hidden="false" outlineLevel="0" max="37" min="37" style="0" width="13"/>
    <col collapsed="false" customWidth="true" hidden="false" outlineLevel="0" max="38" min="38" style="0" width="7"/>
    <col collapsed="false" customWidth="true" hidden="false" outlineLevel="0" max="39" min="39" style="0" width="30"/>
    <col collapsed="false" customWidth="true" hidden="false" outlineLevel="0" max="40" min="40" style="0" width="28"/>
    <col collapsed="false" customWidth="true" hidden="false" outlineLevel="0" max="41" min="41" style="0" width="5"/>
    <col collapsed="false" customWidth="true" hidden="false" outlineLevel="0" max="42" min="42" style="0" width="10"/>
    <col collapsed="false" customWidth="true" hidden="false" outlineLevel="0" max="43" min="43" style="0" width="14"/>
    <col collapsed="false" customWidth="true" hidden="false" outlineLevel="0" max="44" min="44" style="0" width="8"/>
    <col collapsed="false" customWidth="true" hidden="false" outlineLevel="0" max="45" min="45" style="0" width="9"/>
    <col collapsed="false" customWidth="true" hidden="false" outlineLevel="0" max="46" min="46" style="0" width="46"/>
    <col collapsed="false" customWidth="true" hidden="false" outlineLevel="0" max="51" min="47" style="0" width="30"/>
    <col collapsed="false" customWidth="true" hidden="false" outlineLevel="0" max="52" min="52" style="0" width="9"/>
    <col collapsed="false" customWidth="true" hidden="false" outlineLevel="0" max="53" min="53" style="0" width="6"/>
    <col collapsed="false" customWidth="true" hidden="false" outlineLevel="0" max="58" min="54" style="0" width="9"/>
    <col collapsed="false" customWidth="true" hidden="false" outlineLevel="0" max="59" min="59" style="0" width="10"/>
    <col collapsed="false" customWidth="true" hidden="false" outlineLevel="0" max="61" min="60" style="0" width="22"/>
    <col collapsed="false" customWidth="true" hidden="false" outlineLevel="0" max="62" min="62" style="0" width="40"/>
    <col collapsed="false" customWidth="true" hidden="false" outlineLevel="0" max="63" min="63" style="0" width="36"/>
    <col collapsed="false" customWidth="true" hidden="false" outlineLevel="0" max="64" min="64" style="0" width="22"/>
    <col collapsed="false" customWidth="true" hidden="false" outlineLevel="0" max="65" min="65" style="0" width="11"/>
    <col collapsed="false" customWidth="true" hidden="false" outlineLevel="0" max="66" min="66" style="0" width="30"/>
    <col collapsed="false" customWidth="true" hidden="false" outlineLevel="0" max="67" min="67" style="0" width="10"/>
    <col collapsed="false" customWidth="true" hidden="false" outlineLevel="0" max="69" min="68" style="0" width="22"/>
    <col collapsed="false" customWidth="true" hidden="false" outlineLevel="0" max="73" min="70" style="0" width="11"/>
    <col collapsed="false" customWidth="true" hidden="false" outlineLevel="0" max="74" min="74" style="0" width="18"/>
    <col collapsed="false" customWidth="true" hidden="false" outlineLevel="0" max="75" min="75" style="0" width="11"/>
    <col collapsed="false" customWidth="true" hidden="false" outlineLevel="0" max="77" min="76" style="0" width="10"/>
    <col collapsed="false" customWidth="true" hidden="false" outlineLevel="0" max="81" min="78" style="0" width="11"/>
    <col collapsed="false" customWidth="true" hidden="false" outlineLevel="0" max="82" min="82" style="0" width="18"/>
    <col collapsed="false" customWidth="true" hidden="false" outlineLevel="0" max="83" min="83" style="0" width="9"/>
    <col collapsed="false" customWidth="true" hidden="false" outlineLevel="0" max="84" min="84" style="0" width="8"/>
    <col collapsed="false" customWidth="true" hidden="false" outlineLevel="0" max="85" min="85" style="0" width="34"/>
  </cols>
  <sheetData>
    <row r="1" customFormat="false" ht="17.35" hidden="false" customHeight="false" outlineLevel="0" collapsed="false">
      <c r="A1" s="5" t="s">
        <v>678</v>
      </c>
    </row>
    <row r="2" customFormat="false" ht="15" hidden="false" customHeight="false" outlineLevel="0" collapsed="false">
      <c r="A2" s="6" t="s">
        <v>679</v>
      </c>
    </row>
    <row r="3" customFormat="false" ht="15" hidden="false" customHeight="false" outlineLevel="0" collapsed="false">
      <c r="A3" s="6" t="s">
        <v>598</v>
      </c>
    </row>
    <row r="4" customFormat="false" ht="54" hidden="false" customHeight="true" outlineLevel="0" collapsed="false">
      <c r="A4" s="16" t="s">
        <v>102</v>
      </c>
      <c r="B4" s="16" t="s">
        <v>103</v>
      </c>
      <c r="C4" s="15" t="s">
        <v>279</v>
      </c>
      <c r="D4" s="15" t="s">
        <v>411</v>
      </c>
      <c r="E4" s="15" t="s">
        <v>412</v>
      </c>
      <c r="F4" s="15" t="s">
        <v>77</v>
      </c>
      <c r="G4" s="15" t="s">
        <v>414</v>
      </c>
      <c r="H4" s="15" t="s">
        <v>415</v>
      </c>
      <c r="I4" s="15" t="s">
        <v>417</v>
      </c>
      <c r="J4" s="15" t="s">
        <v>418</v>
      </c>
      <c r="K4" s="15" t="s">
        <v>419</v>
      </c>
      <c r="L4" s="15" t="s">
        <v>420</v>
      </c>
      <c r="M4" s="15" t="s">
        <v>421</v>
      </c>
      <c r="N4" s="15" t="s">
        <v>423</v>
      </c>
      <c r="O4" s="15" t="s">
        <v>424</v>
      </c>
      <c r="P4" s="15" t="s">
        <v>425</v>
      </c>
      <c r="Q4" s="15" t="s">
        <v>426</v>
      </c>
      <c r="R4" s="15" t="s">
        <v>427</v>
      </c>
      <c r="S4" s="15" t="s">
        <v>428</v>
      </c>
      <c r="T4" s="15" t="s">
        <v>295</v>
      </c>
      <c r="U4" s="15" t="s">
        <v>429</v>
      </c>
      <c r="V4" s="15" t="s">
        <v>298</v>
      </c>
      <c r="W4" s="15" t="s">
        <v>301</v>
      </c>
      <c r="X4" s="15" t="s">
        <v>430</v>
      </c>
      <c r="Y4" s="15" t="s">
        <v>431</v>
      </c>
      <c r="Z4" s="15" t="s">
        <v>306</v>
      </c>
      <c r="AA4" s="15" t="s">
        <v>308</v>
      </c>
      <c r="AB4" s="15" t="s">
        <v>312</v>
      </c>
      <c r="AC4" s="15" t="s">
        <v>432</v>
      </c>
      <c r="AD4" s="15" t="s">
        <v>433</v>
      </c>
      <c r="AE4" s="15" t="s">
        <v>434</v>
      </c>
      <c r="AF4" s="15" t="s">
        <v>435</v>
      </c>
      <c r="AG4" s="15" t="s">
        <v>436</v>
      </c>
      <c r="AH4" s="15" t="s">
        <v>437</v>
      </c>
      <c r="AI4" s="15" t="s">
        <v>320</v>
      </c>
      <c r="AJ4" s="15" t="s">
        <v>322</v>
      </c>
      <c r="AK4" s="15" t="s">
        <v>325</v>
      </c>
      <c r="AL4" s="15" t="s">
        <v>327</v>
      </c>
      <c r="AM4" s="15" t="s">
        <v>329</v>
      </c>
      <c r="AN4" s="15" t="s">
        <v>333</v>
      </c>
      <c r="AO4" s="15" t="s">
        <v>131</v>
      </c>
      <c r="AP4" s="15" t="s">
        <v>132</v>
      </c>
      <c r="AQ4" s="15" t="s">
        <v>133</v>
      </c>
      <c r="AR4" s="15" t="s">
        <v>336</v>
      </c>
      <c r="AS4" s="15" t="s">
        <v>341</v>
      </c>
      <c r="AT4" s="30" t="s">
        <v>343</v>
      </c>
      <c r="AU4" s="30" t="s">
        <v>344</v>
      </c>
      <c r="AV4" s="30" t="s">
        <v>345</v>
      </c>
      <c r="AW4" s="30" t="s">
        <v>346</v>
      </c>
      <c r="AX4" s="30" t="s">
        <v>347</v>
      </c>
      <c r="AY4" s="30" t="s">
        <v>348</v>
      </c>
      <c r="AZ4" s="15" t="s">
        <v>349</v>
      </c>
      <c r="BA4" s="15" t="s">
        <v>351</v>
      </c>
      <c r="BB4" s="17" t="s">
        <v>355</v>
      </c>
      <c r="BC4" s="17" t="s">
        <v>357</v>
      </c>
      <c r="BD4" s="17" t="s">
        <v>359</v>
      </c>
      <c r="BE4" s="17" t="s">
        <v>360</v>
      </c>
      <c r="BF4" s="17" t="s">
        <v>362</v>
      </c>
      <c r="BG4" s="16" t="s">
        <v>363</v>
      </c>
      <c r="BH4" s="16" t="s">
        <v>365</v>
      </c>
      <c r="BI4" s="16" t="s">
        <v>438</v>
      </c>
      <c r="BJ4" s="16" t="s">
        <v>371</v>
      </c>
      <c r="BK4" s="15" t="s">
        <v>373</v>
      </c>
      <c r="BL4" s="15" t="s">
        <v>374</v>
      </c>
      <c r="BM4" s="15" t="s">
        <v>375</v>
      </c>
      <c r="BN4" s="16" t="s">
        <v>378</v>
      </c>
      <c r="BO4" s="16" t="s">
        <v>379</v>
      </c>
      <c r="BP4" s="15" t="s">
        <v>380</v>
      </c>
      <c r="BQ4" s="15" t="s">
        <v>382</v>
      </c>
      <c r="BR4" s="15" t="s">
        <v>384</v>
      </c>
      <c r="BS4" s="15" t="s">
        <v>386</v>
      </c>
      <c r="BT4" s="15" t="s">
        <v>387</v>
      </c>
      <c r="BU4" s="15" t="s">
        <v>389</v>
      </c>
      <c r="BV4" s="15" t="s">
        <v>390</v>
      </c>
      <c r="BW4" s="15" t="s">
        <v>392</v>
      </c>
      <c r="BX4" s="15" t="s">
        <v>393</v>
      </c>
      <c r="BY4" s="15" t="s">
        <v>394</v>
      </c>
      <c r="BZ4" s="15" t="s">
        <v>395</v>
      </c>
      <c r="CA4" s="15" t="s">
        <v>397</v>
      </c>
      <c r="CB4" s="15" t="s">
        <v>398</v>
      </c>
      <c r="CC4" s="16" t="s">
        <v>400</v>
      </c>
      <c r="CD4" s="16" t="s">
        <v>402</v>
      </c>
      <c r="CE4" s="16" t="s">
        <v>404</v>
      </c>
      <c r="CF4" s="16" t="s">
        <v>406</v>
      </c>
      <c r="CG4" s="16" t="s">
        <v>409</v>
      </c>
    </row>
    <row r="5" customFormat="false" ht="15" hidden="false" customHeight="false" outlineLevel="0" collapsed="false">
      <c r="A5" s="10" t="str">
        <f aca="false">IF(D5="","","RW-"&amp;IFERROR(VLOOKUP(D5,Lists!$M$4:$N$22,2,0),"??")&amp;"-H"&amp;TEXT(E5*1000,"0000")&amp;"-S"&amp;F5&amp;IF(G5="Y","-GW","")&amp;"-"&amp;AO5)</f>
        <v>RW-LW-H1000-S25-A</v>
      </c>
      <c r="B5" s="10" t="str">
        <f aca="false">IF(D5="","",D5&amp;", H = "&amp;TEXT(E5,"0.0")&amp;" m, q = "&amp;F5&amp;" kPa"&amp;IF(G5="Y",", with GWT","")&amp;", "&amp;I5)</f>
        <v>L-Wall (heel only), H = 1.0 m, q = 25 kPa, Firm/stiff clay (general)</v>
      </c>
      <c r="C5" s="18" t="s">
        <v>680</v>
      </c>
      <c r="D5" s="18" t="s">
        <v>205</v>
      </c>
      <c r="E5" s="32" t="n">
        <v>1</v>
      </c>
      <c r="F5" s="31" t="n">
        <v>25</v>
      </c>
      <c r="G5" s="18" t="s">
        <v>84</v>
      </c>
      <c r="H5" s="31" t="n">
        <v>0</v>
      </c>
      <c r="I5" s="18" t="s">
        <v>681</v>
      </c>
      <c r="J5" s="31" t="n">
        <v>150</v>
      </c>
      <c r="K5" s="31" t="n">
        <v>26</v>
      </c>
      <c r="L5" s="31" t="n">
        <v>0</v>
      </c>
      <c r="M5" s="41" t="n">
        <v>19</v>
      </c>
      <c r="N5" s="18" t="s">
        <v>682</v>
      </c>
      <c r="O5" s="31" t="n">
        <v>200</v>
      </c>
      <c r="P5" s="31" t="n">
        <v>200</v>
      </c>
      <c r="Q5" s="31" t="n">
        <v>1300</v>
      </c>
      <c r="R5" s="31" t="n">
        <v>0</v>
      </c>
      <c r="S5" s="31" t="n">
        <v>1100</v>
      </c>
      <c r="T5" s="31" t="n">
        <v>250</v>
      </c>
      <c r="U5" s="18" t="s">
        <v>605</v>
      </c>
      <c r="V5" s="18" t="s">
        <v>603</v>
      </c>
      <c r="W5" s="31" t="n">
        <v>50</v>
      </c>
      <c r="X5" s="18" t="s">
        <v>627</v>
      </c>
      <c r="Y5" s="18" t="s">
        <v>683</v>
      </c>
      <c r="Z5" s="18" t="s">
        <v>627</v>
      </c>
      <c r="AA5" s="18" t="s">
        <v>637</v>
      </c>
      <c r="AB5" s="18" t="n">
        <v>15</v>
      </c>
      <c r="AC5" s="18" t="s">
        <v>684</v>
      </c>
      <c r="AD5" s="32" t="n">
        <v>1.6</v>
      </c>
      <c r="AE5" s="32" t="n">
        <v>2.4</v>
      </c>
      <c r="AF5" s="32" t="n">
        <v>2.5</v>
      </c>
      <c r="AG5" s="31" t="n">
        <v>65</v>
      </c>
      <c r="AH5" s="31" t="n">
        <v>20</v>
      </c>
      <c r="AI5" s="18" t="s">
        <v>608</v>
      </c>
      <c r="AJ5" s="31" t="n">
        <v>100</v>
      </c>
      <c r="AK5" s="18" t="s">
        <v>609</v>
      </c>
      <c r="AL5" s="32" t="n">
        <v>0.3</v>
      </c>
      <c r="AM5" s="18" t="s">
        <v>685</v>
      </c>
      <c r="AN5" s="18" t="s">
        <v>686</v>
      </c>
      <c r="AO5" s="18" t="s">
        <v>612</v>
      </c>
      <c r="AP5" s="18" t="s">
        <v>254</v>
      </c>
      <c r="AQ5" s="18" t="s">
        <v>687</v>
      </c>
      <c r="AR5" s="18" t="n">
        <v>25</v>
      </c>
      <c r="AS5" s="18" t="s">
        <v>84</v>
      </c>
      <c r="AT5" s="10" t="str">
        <f aca="false">IF(A5="","",SG_Criteria!$B$6&amp;SG_Criteria!$B$8&amp;"\"&amp;A5&amp;"\")</f>
        <v>C:\Users\yourname\YourCompany\Design Library - Documents\02_Retaining_Wall\RW-LW-H1000-S25-A\</v>
      </c>
      <c r="AU5" s="10" t="str">
        <f aca="false">IF(A5="","",A5&amp;"_CAD.dwg")</f>
        <v>RW-LW-H1000-S25-A_CAD.dwg</v>
      </c>
      <c r="AV5" s="10" t="str">
        <f aca="false">IF(A5="","",A5&amp;"_DWG.pdf")</f>
        <v>RW-LW-H1000-S25-A_DWG.pdf</v>
      </c>
      <c r="AW5" s="10" t="str">
        <f aca="false">IF(A5="","",IF(AS5="Y",A5&amp;"_STAAD.std","n/a"))</f>
        <v>n/a</v>
      </c>
      <c r="AX5" s="10" t="str">
        <f aca="false">IF(A5="","",A5&amp;"_CALC.xlsx")</f>
        <v>RW-LW-H1000-S25-A_CALC.xlsx</v>
      </c>
      <c r="AY5" s="10" t="str">
        <f aca="false">IF(A5="","",A5&amp;"_CALC.pdf")</f>
        <v>RW-LW-H1000-S25-A_CALC.pdf</v>
      </c>
      <c r="AZ5" s="18" t="s">
        <v>84</v>
      </c>
      <c r="BA5" s="18" t="s">
        <v>313</v>
      </c>
      <c r="BB5" s="32" t="n">
        <v>0.53</v>
      </c>
      <c r="BC5" s="32" t="n">
        <v>38</v>
      </c>
      <c r="BD5" s="32" t="n">
        <v>0</v>
      </c>
      <c r="BE5" s="32" t="n">
        <v>2.5</v>
      </c>
      <c r="BF5" s="32" t="n">
        <v>1.9</v>
      </c>
      <c r="BG5" s="12" t="str">
        <f aca="false">IF(A5="","",IF(COUNTIF(Rebar_Schedule!$A$5:$A$2004,A5)=0,"",ROUND(SUMIF(Rebar_Schedule!$A$5:$A$2004,A5,Rebar_Schedule!$K$5:$K$2004),1)))</f>
        <v/>
      </c>
      <c r="BH5" s="33" t="str">
        <f aca="false">IF(A5="","",IF(BG5="","No rebar schedule yet",IF(ABS(BG5-N(BC5))/MAX(N(BC5),1)&gt;SG_Criteria!$B$55,"NOTE: register rebar differs from schedule by "&amp;TEXT(ABS(BG5-N(BC5))/MAX(N(BC5),1),"0%"),"OK")))</f>
        <v>No rebar schedule yet</v>
      </c>
      <c r="BI5" s="33" t="str">
        <f aca="false">IF(OR(D5="",E5=""),"",IF(E5&lt;=IF(OR(D5="Block / Segmental",D5="Gabion",D5="Reinforced Earth (MSE)"),SG_Criteria!$B$34,SG_Criteria!$B$33),"No ERSS submission",IF(E5&lt;=SG_Criteria!$B$35,"QP(ST)",IF(E5&lt;=SG_Criteria!$B$36,"QP(ST) + AC","Geotechnical building works: QP(Geo) + AC"))))</f>
        <v>No ERSS submission</v>
      </c>
      <c r="BJ5" s="33" t="str">
        <f aca="false">IF(D5="","",IF(LEN(IF(AND(V5&lt;&gt;"",IFERROR(VALUE(MID(V5,2,2)),0)&lt;SG_Criteria!$B$19),"FAIL: grade below C"&amp;SG_Criteria!$B$19&amp;". ","")&amp;IF(AND(W5&lt;&gt;"",W5&lt;SG_Criteria!$B$20),"FAIL: cover &lt; "&amp;SG_Criteria!$B$20&amp;" mm. ","")&amp;IF(AND(AD5&lt;&gt;"",AD5&lt;1),"FAIL: sliding. ","")&amp;IF(AND(D5="Reverse L-Wall (toe only, at boundary)",N(S5)&gt;0),"NOTE: reverse L-wall should have no heel. ","")&amp;IF(AND(D5="L-Wall (heel only)",N(R5)&gt;0),"NOTE: L-wall should have no toe. ","")&amp;IF(AND(F5&lt;&gt;"",F5&lt;SG_Criteria!$B$31),"NOTE: q below LTA min "&amp;SG_Criteria!$B$31&amp;" kPa (not for LTA works). ",""))=0,"OK",IF(AND(V5&lt;&gt;"",IFERROR(VALUE(MID(V5,2,2)),0)&lt;SG_Criteria!$B$19),"FAIL: grade below C"&amp;SG_Criteria!$B$19&amp;". ","")&amp;IF(AND(W5&lt;&gt;"",W5&lt;SG_Criteria!$B$20),"FAIL: cover &lt; "&amp;SG_Criteria!$B$20&amp;" mm. ","")&amp;IF(AND(AD5&lt;&gt;"",AD5&lt;1),"FAIL: sliding. ","")&amp;IF(AND(D5="Reverse L-Wall (toe only, at boundary)",N(S5)&gt;0),"NOTE: reverse L-wall should have no heel. ","")&amp;IF(AND(D5="L-Wall (heel only)",N(R5)&gt;0),"NOTE: L-wall should have no toe. ","")&amp;IF(AND(F5&lt;&gt;"",F5&lt;SG_Criteria!$B$31),"NOTE: q below LTA min "&amp;SG_Criteria!$B$31&amp;" kPa (not for LTA works). ","")))</f>
        <v>OK</v>
      </c>
      <c r="BK5" s="18" t="s">
        <v>621</v>
      </c>
      <c r="BL5" s="18"/>
      <c r="BM5" s="18" t="s">
        <v>590</v>
      </c>
      <c r="BN5" s="10" t="str">
        <f aca="false">IF(BM5="","",IFERROR(VLOOKUP(BM5,Projects!$A$5:$D$504,2,0),"Ref not in Projects"))</f>
        <v>EXAMPLE Industrial development, Tuas</v>
      </c>
      <c r="BO5" s="10" t="str">
        <f aca="false">IF(BM5="","",IFERROR(VLOOKUP(BM5,Projects!$A$5:$D$504,4,0),"Ref not in Projects"))</f>
        <v>Private</v>
      </c>
      <c r="BP5" s="18" t="s">
        <v>688</v>
      </c>
      <c r="BQ5" s="18" t="s">
        <v>616</v>
      </c>
      <c r="BR5" s="18" t="s">
        <v>617</v>
      </c>
      <c r="BS5" s="35" t="n">
        <v>46309</v>
      </c>
      <c r="BT5" s="18" t="s">
        <v>617</v>
      </c>
      <c r="BU5" s="35" t="n">
        <v>46309</v>
      </c>
      <c r="BV5" s="18" t="s">
        <v>618</v>
      </c>
      <c r="BW5" s="35"/>
      <c r="BX5" s="18" t="s">
        <v>617</v>
      </c>
      <c r="BY5" s="18" t="s">
        <v>617</v>
      </c>
      <c r="BZ5" s="18" t="s">
        <v>617</v>
      </c>
      <c r="CA5" s="35" t="n">
        <v>46309</v>
      </c>
      <c r="CB5" s="35" t="n">
        <v>46309</v>
      </c>
      <c r="CC5" s="36" t="n">
        <f aca="false">IF(CB5="","",EDATE(CB5,SG_Criteria!$B$54*12))</f>
        <v>47405</v>
      </c>
      <c r="CD5" s="33" t="str">
        <f aca="true">IF(A5="","",IF(CB5="","NOTE: not reviewed yet",IF(TODAY()&gt;CC5,"NOTE: review overdue","OK")))</f>
        <v>OK</v>
      </c>
      <c r="CE5" s="37" t="n">
        <f aca="false">IF(A5="","",ROUND((IF(LEN(D5)&gt;0,1,0)+IF(LEN(E5)&gt;0,1,0)+IF(LEN(F5)&gt;0,1,0)+IF(LEN(G5)&gt;0,1,0)+IF(LEN(I5)&gt;0,1,0)+IF(LEN(K5)&gt;0,1,0)+IF(LEN(P5)&gt;0,1,0)+IF(LEN(Q5)&gt;0,1,0)+IF(LEN(T5)&gt;0,1,0)+IF(LEN(V5)&gt;0,1,0)+IF(LEN(W5)&gt;0,1,0)+IF(LEN(X5)&gt;0,1,0)+IF(LEN(Z5)&gt;0,1,0)+IF(LEN(AD5)&gt;0,1,0)+IF(LEN(AE5)&gt;0,1,0)+IF(LEN(AG5)&gt;0,1,0)+IF(LEN(AI5)&gt;0,1,0)+IF(LEN(BB5)&gt;0,1,0)+IF(LEN(BC5)&gt;0,1,0)+IF(LEN(AM5)&gt;0,1,0)+IF(LEN(AO5)&gt;0,1,0)+IF(LEN(AP5)&gt;0,1,0)+IF(LEN(AQ5)&gt;0,1,0)+IF(LEN(AR5)&gt;0,1,0)+IF(LEN(BA5)&gt;0,1,0)+IF(LEN(BM5)&gt;0,1,0)+IF(LEN(BZ5)&gt;0,1,0))/27,2))</f>
        <v>1</v>
      </c>
      <c r="CF5" s="10" t="str">
        <f aca="false">IF(D5="","",IF(AND(AP5="Approved",ISERROR(SEARCH("FAIL",BJ5))),"Y","N"))</f>
        <v>Y</v>
      </c>
      <c r="CG5" s="10" t="str">
        <f aca="false">IF(D5="","",D5&amp;"|"&amp;E5&amp;"|"&amp;F5&amp;"|"&amp;G5&amp;"|"&amp;CF5)</f>
        <v>L-Wall (heel only)|1|25|N|Y</v>
      </c>
    </row>
    <row r="6" customFormat="false" ht="15" hidden="false" customHeight="false" outlineLevel="0" collapsed="false">
      <c r="A6" s="10" t="str">
        <f aca="false">IF(D6="","","RW-"&amp;IFERROR(VLOOKUP(D6,Lists!$M$4:$N$22,2,0),"??")&amp;"-H"&amp;TEXT(E6*1000,"0000")&amp;"-S"&amp;F6&amp;IF(G6="Y","-GW","")&amp;"-"&amp;AO6)</f>
        <v>RW-LW-H2000-S25-A</v>
      </c>
      <c r="B6" s="10" t="str">
        <f aca="false">IF(D6="","",D6&amp;", H = "&amp;TEXT(E6,"0.0")&amp;" m, q = "&amp;F6&amp;" kPa"&amp;IF(G6="Y",", with GWT","")&amp;", "&amp;I6)</f>
        <v>L-Wall (heel only), H = 2.0 m, q = 25 kPa, Firm/stiff clay (general)</v>
      </c>
      <c r="C6" s="18" t="s">
        <v>680</v>
      </c>
      <c r="D6" s="18" t="s">
        <v>205</v>
      </c>
      <c r="E6" s="32" t="n">
        <v>2</v>
      </c>
      <c r="F6" s="31" t="n">
        <v>25</v>
      </c>
      <c r="G6" s="18" t="s">
        <v>84</v>
      </c>
      <c r="H6" s="31" t="n">
        <v>0</v>
      </c>
      <c r="I6" s="18" t="s">
        <v>681</v>
      </c>
      <c r="J6" s="31" t="n">
        <v>150</v>
      </c>
      <c r="K6" s="31" t="n">
        <v>26</v>
      </c>
      <c r="L6" s="31" t="n">
        <v>0</v>
      </c>
      <c r="M6" s="41" t="n">
        <v>19</v>
      </c>
      <c r="N6" s="18" t="s">
        <v>682</v>
      </c>
      <c r="O6" s="31" t="n">
        <v>200</v>
      </c>
      <c r="P6" s="31" t="n">
        <v>300</v>
      </c>
      <c r="Q6" s="31" t="n">
        <v>2300</v>
      </c>
      <c r="R6" s="31" t="n">
        <v>0</v>
      </c>
      <c r="S6" s="31" t="n">
        <v>2000</v>
      </c>
      <c r="T6" s="31" t="n">
        <v>350</v>
      </c>
      <c r="U6" s="18" t="s">
        <v>605</v>
      </c>
      <c r="V6" s="18" t="s">
        <v>603</v>
      </c>
      <c r="W6" s="31" t="n">
        <v>50</v>
      </c>
      <c r="X6" s="18" t="s">
        <v>632</v>
      </c>
      <c r="Y6" s="18" t="s">
        <v>683</v>
      </c>
      <c r="Z6" s="18" t="s">
        <v>632</v>
      </c>
      <c r="AA6" s="18" t="s">
        <v>637</v>
      </c>
      <c r="AB6" s="18" t="n">
        <v>15</v>
      </c>
      <c r="AC6" s="18" t="s">
        <v>684</v>
      </c>
      <c r="AD6" s="32" t="n">
        <v>1.5</v>
      </c>
      <c r="AE6" s="32" t="n">
        <v>2.1</v>
      </c>
      <c r="AF6" s="32" t="n">
        <v>2.5</v>
      </c>
      <c r="AG6" s="31" t="n">
        <v>100</v>
      </c>
      <c r="AH6" s="31" t="n">
        <v>20</v>
      </c>
      <c r="AI6" s="18" t="s">
        <v>608</v>
      </c>
      <c r="AJ6" s="31" t="n">
        <v>100</v>
      </c>
      <c r="AK6" s="18" t="s">
        <v>609</v>
      </c>
      <c r="AL6" s="32" t="n">
        <v>0.3</v>
      </c>
      <c r="AM6" s="18" t="s">
        <v>685</v>
      </c>
      <c r="AN6" s="18" t="s">
        <v>686</v>
      </c>
      <c r="AO6" s="18" t="s">
        <v>612</v>
      </c>
      <c r="AP6" s="18" t="s">
        <v>254</v>
      </c>
      <c r="AQ6" s="18" t="s">
        <v>689</v>
      </c>
      <c r="AR6" s="18" t="n">
        <v>25</v>
      </c>
      <c r="AS6" s="18" t="s">
        <v>84</v>
      </c>
      <c r="AT6" s="10" t="str">
        <f aca="false">IF(A6="","",SG_Criteria!$B$6&amp;SG_Criteria!$B$8&amp;"\"&amp;A6&amp;"\")</f>
        <v>C:\Users\yourname\YourCompany\Design Library - Documents\02_Retaining_Wall\RW-LW-H2000-S25-A\</v>
      </c>
      <c r="AU6" s="10" t="str">
        <f aca="false">IF(A6="","",A6&amp;"_CAD.dwg")</f>
        <v>RW-LW-H2000-S25-A_CAD.dwg</v>
      </c>
      <c r="AV6" s="10" t="str">
        <f aca="false">IF(A6="","",A6&amp;"_DWG.pdf")</f>
        <v>RW-LW-H2000-S25-A_DWG.pdf</v>
      </c>
      <c r="AW6" s="10" t="str">
        <f aca="false">IF(A6="","",IF(AS6="Y",A6&amp;"_STAAD.std","n/a"))</f>
        <v>n/a</v>
      </c>
      <c r="AX6" s="10" t="str">
        <f aca="false">IF(A6="","",A6&amp;"_CALC.xlsx")</f>
        <v>RW-LW-H2000-S25-A_CALC.xlsx</v>
      </c>
      <c r="AY6" s="10" t="str">
        <f aca="false">IF(A6="","",A6&amp;"_CALC.pdf")</f>
        <v>RW-LW-H2000-S25-A_CALC.pdf</v>
      </c>
      <c r="AZ6" s="18" t="s">
        <v>84</v>
      </c>
      <c r="BA6" s="18" t="s">
        <v>313</v>
      </c>
      <c r="BB6" s="32" t="n">
        <v>1.35</v>
      </c>
      <c r="BC6" s="32" t="n">
        <v>98</v>
      </c>
      <c r="BD6" s="32" t="n">
        <v>0</v>
      </c>
      <c r="BE6" s="32" t="n">
        <v>4.7</v>
      </c>
      <c r="BF6" s="32" t="n">
        <v>4</v>
      </c>
      <c r="BG6" s="12" t="str">
        <f aca="false">IF(A6="","",IF(COUNTIF(Rebar_Schedule!$A$5:$A$2004,A6)=0,"",ROUND(SUMIF(Rebar_Schedule!$A$5:$A$2004,A6,Rebar_Schedule!$K$5:$K$2004),1)))</f>
        <v/>
      </c>
      <c r="BH6" s="33" t="str">
        <f aca="false">IF(A6="","",IF(BG6="","No rebar schedule yet",IF(ABS(BG6-N(BC6))/MAX(N(BC6),1)&gt;SG_Criteria!$B$55,"NOTE: register rebar differs from schedule by "&amp;TEXT(ABS(BG6-N(BC6))/MAX(N(BC6),1),"0%"),"OK")))</f>
        <v>No rebar schedule yet</v>
      </c>
      <c r="BI6" s="33" t="str">
        <f aca="false">IF(OR(D6="",E6=""),"",IF(E6&lt;=IF(OR(D6="Block / Segmental",D6="Gabion",D6="Reinforced Earth (MSE)"),SG_Criteria!$B$34,SG_Criteria!$B$33),"No ERSS submission",IF(E6&lt;=SG_Criteria!$B$35,"QP(ST)",IF(E6&lt;=SG_Criteria!$B$36,"QP(ST) + AC","Geotechnical building works: QP(Geo) + AC"))))</f>
        <v>QP(ST)</v>
      </c>
      <c r="BJ6" s="33" t="str">
        <f aca="false">IF(D6="","",IF(LEN(IF(AND(V6&lt;&gt;"",IFERROR(VALUE(MID(V6,2,2)),0)&lt;SG_Criteria!$B$19),"FAIL: grade below C"&amp;SG_Criteria!$B$19&amp;". ","")&amp;IF(AND(W6&lt;&gt;"",W6&lt;SG_Criteria!$B$20),"FAIL: cover &lt; "&amp;SG_Criteria!$B$20&amp;" mm. ","")&amp;IF(AND(AD6&lt;&gt;"",AD6&lt;1),"FAIL: sliding. ","")&amp;IF(AND(D6="Reverse L-Wall (toe only, at boundary)",N(S6)&gt;0),"NOTE: reverse L-wall should have no heel. ","")&amp;IF(AND(D6="L-Wall (heel only)",N(R6)&gt;0),"NOTE: L-wall should have no toe. ","")&amp;IF(AND(F6&lt;&gt;"",F6&lt;SG_Criteria!$B$31),"NOTE: q below LTA min "&amp;SG_Criteria!$B$31&amp;" kPa (not for LTA works). ",""))=0,"OK",IF(AND(V6&lt;&gt;"",IFERROR(VALUE(MID(V6,2,2)),0)&lt;SG_Criteria!$B$19),"FAIL: grade below C"&amp;SG_Criteria!$B$19&amp;". ","")&amp;IF(AND(W6&lt;&gt;"",W6&lt;SG_Criteria!$B$20),"FAIL: cover &lt; "&amp;SG_Criteria!$B$20&amp;" mm. ","")&amp;IF(AND(AD6&lt;&gt;"",AD6&lt;1),"FAIL: sliding. ","")&amp;IF(AND(D6="Reverse L-Wall (toe only, at boundary)",N(S6)&gt;0),"NOTE: reverse L-wall should have no heel. ","")&amp;IF(AND(D6="L-Wall (heel only)",N(R6)&gt;0),"NOTE: L-wall should have no toe. ","")&amp;IF(AND(F6&lt;&gt;"",F6&lt;SG_Criteria!$B$31),"NOTE: q below LTA min "&amp;SG_Criteria!$B$31&amp;" kPa (not for LTA works). ","")))</f>
        <v>OK</v>
      </c>
      <c r="BK6" s="18" t="s">
        <v>621</v>
      </c>
      <c r="BL6" s="18"/>
      <c r="BM6" s="18" t="s">
        <v>590</v>
      </c>
      <c r="BN6" s="10" t="str">
        <f aca="false">IF(BM6="","",IFERROR(VLOOKUP(BM6,Projects!$A$5:$D$504,2,0),"Ref not in Projects"))</f>
        <v>EXAMPLE Industrial development, Tuas</v>
      </c>
      <c r="BO6" s="10" t="str">
        <f aca="false">IF(BM6="","",IFERROR(VLOOKUP(BM6,Projects!$A$5:$D$504,4,0),"Ref not in Projects"))</f>
        <v>Private</v>
      </c>
      <c r="BP6" s="18" t="s">
        <v>690</v>
      </c>
      <c r="BQ6" s="18" t="s">
        <v>616</v>
      </c>
      <c r="BR6" s="18" t="s">
        <v>617</v>
      </c>
      <c r="BS6" s="35" t="n">
        <v>46309</v>
      </c>
      <c r="BT6" s="18" t="s">
        <v>617</v>
      </c>
      <c r="BU6" s="35" t="n">
        <v>46309</v>
      </c>
      <c r="BV6" s="18" t="s">
        <v>618</v>
      </c>
      <c r="BW6" s="35"/>
      <c r="BX6" s="18" t="s">
        <v>617</v>
      </c>
      <c r="BY6" s="18" t="s">
        <v>617</v>
      </c>
      <c r="BZ6" s="18" t="s">
        <v>617</v>
      </c>
      <c r="CA6" s="35" t="n">
        <v>46309</v>
      </c>
      <c r="CB6" s="35" t="n">
        <v>46309</v>
      </c>
      <c r="CC6" s="36" t="n">
        <f aca="false">IF(CB6="","",EDATE(CB6,SG_Criteria!$B$54*12))</f>
        <v>47405</v>
      </c>
      <c r="CD6" s="33" t="str">
        <f aca="true">IF(A6="","",IF(CB6="","NOTE: not reviewed yet",IF(TODAY()&gt;CC6,"NOTE: review overdue","OK")))</f>
        <v>OK</v>
      </c>
      <c r="CE6" s="37" t="n">
        <f aca="false">IF(A6="","",ROUND((IF(LEN(D6)&gt;0,1,0)+IF(LEN(E6)&gt;0,1,0)+IF(LEN(F6)&gt;0,1,0)+IF(LEN(G6)&gt;0,1,0)+IF(LEN(I6)&gt;0,1,0)+IF(LEN(K6)&gt;0,1,0)+IF(LEN(P6)&gt;0,1,0)+IF(LEN(Q6)&gt;0,1,0)+IF(LEN(T6)&gt;0,1,0)+IF(LEN(V6)&gt;0,1,0)+IF(LEN(W6)&gt;0,1,0)+IF(LEN(X6)&gt;0,1,0)+IF(LEN(Z6)&gt;0,1,0)+IF(LEN(AD6)&gt;0,1,0)+IF(LEN(AE6)&gt;0,1,0)+IF(LEN(AG6)&gt;0,1,0)+IF(LEN(AI6)&gt;0,1,0)+IF(LEN(BB6)&gt;0,1,0)+IF(LEN(BC6)&gt;0,1,0)+IF(LEN(AM6)&gt;0,1,0)+IF(LEN(AO6)&gt;0,1,0)+IF(LEN(AP6)&gt;0,1,0)+IF(LEN(AQ6)&gt;0,1,0)+IF(LEN(AR6)&gt;0,1,0)+IF(LEN(BA6)&gt;0,1,0)+IF(LEN(BM6)&gt;0,1,0)+IF(LEN(BZ6)&gt;0,1,0))/27,2))</f>
        <v>1</v>
      </c>
      <c r="CF6" s="10" t="str">
        <f aca="false">IF(D6="","",IF(AND(AP6="Approved",ISERROR(SEARCH("FAIL",BJ6))),"Y","N"))</f>
        <v>Y</v>
      </c>
      <c r="CG6" s="10" t="str">
        <f aca="false">IF(D6="","",D6&amp;"|"&amp;E6&amp;"|"&amp;F6&amp;"|"&amp;G6&amp;"|"&amp;CF6)</f>
        <v>L-Wall (heel only)|2|25|N|Y</v>
      </c>
    </row>
    <row r="7" customFormat="false" ht="15" hidden="false" customHeight="false" outlineLevel="0" collapsed="false">
      <c r="A7" s="10" t="str">
        <f aca="false">IF(D7="","","RW-"&amp;IFERROR(VLOOKUP(D7,Lists!$M$4:$N$22,2,0),"??")&amp;"-H"&amp;TEXT(E7*1000,"0000")&amp;"-S"&amp;F7&amp;IF(G7="Y","-GW","")&amp;"-"&amp;AO7)</f>
        <v>RW-RLW-H1500-S25-A</v>
      </c>
      <c r="B7" s="10" t="str">
        <f aca="false">IF(D7="","",D7&amp;", H = "&amp;TEXT(E7,"0.0")&amp;" m, q = "&amp;F7&amp;" kPa"&amp;IF(G7="Y",", with GWT","")&amp;", "&amp;I7)</f>
        <v>Reverse L-Wall (toe only, at boundary), H = 1.5 m, q = 25 kPa, Firm/stiff clay (general)</v>
      </c>
      <c r="C7" s="18" t="s">
        <v>680</v>
      </c>
      <c r="D7" s="18" t="s">
        <v>206</v>
      </c>
      <c r="E7" s="32" t="n">
        <v>1.5</v>
      </c>
      <c r="F7" s="31" t="n">
        <v>25</v>
      </c>
      <c r="G7" s="18" t="s">
        <v>84</v>
      </c>
      <c r="H7" s="31" t="n">
        <v>0</v>
      </c>
      <c r="I7" s="18" t="s">
        <v>681</v>
      </c>
      <c r="J7" s="31" t="n">
        <v>150</v>
      </c>
      <c r="K7" s="31" t="n">
        <v>26</v>
      </c>
      <c r="L7" s="31" t="n">
        <v>0</v>
      </c>
      <c r="M7" s="41" t="n">
        <v>19</v>
      </c>
      <c r="N7" s="18" t="s">
        <v>682</v>
      </c>
      <c r="O7" s="31" t="n">
        <v>200</v>
      </c>
      <c r="P7" s="31" t="n">
        <v>250</v>
      </c>
      <c r="Q7" s="31" t="n">
        <v>1700</v>
      </c>
      <c r="R7" s="31" t="n">
        <v>1450</v>
      </c>
      <c r="S7" s="31" t="n">
        <v>0</v>
      </c>
      <c r="T7" s="31" t="n">
        <v>300</v>
      </c>
      <c r="U7" s="18" t="s">
        <v>605</v>
      </c>
      <c r="V7" s="18" t="s">
        <v>603</v>
      </c>
      <c r="W7" s="31" t="n">
        <v>50</v>
      </c>
      <c r="X7" s="18" t="s">
        <v>632</v>
      </c>
      <c r="Y7" s="18" t="s">
        <v>683</v>
      </c>
      <c r="Z7" s="18" t="s">
        <v>632</v>
      </c>
      <c r="AA7" s="18" t="s">
        <v>637</v>
      </c>
      <c r="AB7" s="18" t="n">
        <v>15</v>
      </c>
      <c r="AC7" s="18" t="s">
        <v>684</v>
      </c>
      <c r="AD7" s="32" t="n">
        <v>1.5</v>
      </c>
      <c r="AE7" s="32" t="n">
        <v>1.8</v>
      </c>
      <c r="AF7" s="32" t="n">
        <v>2.5</v>
      </c>
      <c r="AG7" s="31" t="n">
        <v>120</v>
      </c>
      <c r="AH7" s="31" t="n">
        <v>20</v>
      </c>
      <c r="AI7" s="18" t="s">
        <v>608</v>
      </c>
      <c r="AJ7" s="31" t="n">
        <v>100</v>
      </c>
      <c r="AK7" s="18" t="s">
        <v>609</v>
      </c>
      <c r="AL7" s="32" t="n">
        <v>0.3</v>
      </c>
      <c r="AM7" s="18" t="s">
        <v>685</v>
      </c>
      <c r="AN7" s="18" t="s">
        <v>686</v>
      </c>
      <c r="AO7" s="18" t="s">
        <v>612</v>
      </c>
      <c r="AP7" s="18" t="s">
        <v>254</v>
      </c>
      <c r="AQ7" s="18" t="s">
        <v>691</v>
      </c>
      <c r="AR7" s="18" t="n">
        <v>25</v>
      </c>
      <c r="AS7" s="18" t="s">
        <v>84</v>
      </c>
      <c r="AT7" s="10" t="str">
        <f aca="false">IF(A7="","",SG_Criteria!$B$6&amp;SG_Criteria!$B$8&amp;"\"&amp;A7&amp;"\")</f>
        <v>C:\Users\yourname\YourCompany\Design Library - Documents\02_Retaining_Wall\RW-RLW-H1500-S25-A\</v>
      </c>
      <c r="AU7" s="10" t="str">
        <f aca="false">IF(A7="","",A7&amp;"_CAD.dwg")</f>
        <v>RW-RLW-H1500-S25-A_CAD.dwg</v>
      </c>
      <c r="AV7" s="10" t="str">
        <f aca="false">IF(A7="","",A7&amp;"_DWG.pdf")</f>
        <v>RW-RLW-H1500-S25-A_DWG.pdf</v>
      </c>
      <c r="AW7" s="10" t="str">
        <f aca="false">IF(A7="","",IF(AS7="Y",A7&amp;"_STAAD.std","n/a"))</f>
        <v>n/a</v>
      </c>
      <c r="AX7" s="10" t="str">
        <f aca="false">IF(A7="","",A7&amp;"_CALC.xlsx")</f>
        <v>RW-RLW-H1500-S25-A_CALC.xlsx</v>
      </c>
      <c r="AY7" s="10" t="str">
        <f aca="false">IF(A7="","",A7&amp;"_CALC.pdf")</f>
        <v>RW-RLW-H1500-S25-A_CALC.pdf</v>
      </c>
      <c r="AZ7" s="18" t="s">
        <v>84</v>
      </c>
      <c r="BA7" s="18" t="s">
        <v>313</v>
      </c>
      <c r="BB7" s="32" t="n">
        <v>0.92</v>
      </c>
      <c r="BC7" s="32" t="n">
        <v>70</v>
      </c>
      <c r="BD7" s="32" t="n">
        <v>0</v>
      </c>
      <c r="BE7" s="32" t="n">
        <v>3.6</v>
      </c>
      <c r="BF7" s="32" t="n">
        <v>2.9</v>
      </c>
      <c r="BG7" s="12" t="str">
        <f aca="false">IF(A7="","",IF(COUNTIF(Rebar_Schedule!$A$5:$A$2004,A7)=0,"",ROUND(SUMIF(Rebar_Schedule!$A$5:$A$2004,A7,Rebar_Schedule!$K$5:$K$2004),1)))</f>
        <v/>
      </c>
      <c r="BH7" s="33" t="str">
        <f aca="false">IF(A7="","",IF(BG7="","No rebar schedule yet",IF(ABS(BG7-N(BC7))/MAX(N(BC7),1)&gt;SG_Criteria!$B$55,"NOTE: register rebar differs from schedule by "&amp;TEXT(ABS(BG7-N(BC7))/MAX(N(BC7),1),"0%"),"OK")))</f>
        <v>No rebar schedule yet</v>
      </c>
      <c r="BI7" s="33" t="str">
        <f aca="false">IF(OR(D7="",E7=""),"",IF(E7&lt;=IF(OR(D7="Block / Segmental",D7="Gabion",D7="Reinforced Earth (MSE)"),SG_Criteria!$B$34,SG_Criteria!$B$33),"No ERSS submission",IF(E7&lt;=SG_Criteria!$B$35,"QP(ST)",IF(E7&lt;=SG_Criteria!$B$36,"QP(ST) + AC","Geotechnical building works: QP(Geo) + AC"))))</f>
        <v>No ERSS submission</v>
      </c>
      <c r="BJ7" s="33" t="str">
        <f aca="false">IF(D7="","",IF(LEN(IF(AND(V7&lt;&gt;"",IFERROR(VALUE(MID(V7,2,2)),0)&lt;SG_Criteria!$B$19),"FAIL: grade below C"&amp;SG_Criteria!$B$19&amp;". ","")&amp;IF(AND(W7&lt;&gt;"",W7&lt;SG_Criteria!$B$20),"FAIL: cover &lt; "&amp;SG_Criteria!$B$20&amp;" mm. ","")&amp;IF(AND(AD7&lt;&gt;"",AD7&lt;1),"FAIL: sliding. ","")&amp;IF(AND(D7="Reverse L-Wall (toe only, at boundary)",N(S7)&gt;0),"NOTE: reverse L-wall should have no heel. ","")&amp;IF(AND(D7="L-Wall (heel only)",N(R7)&gt;0),"NOTE: L-wall should have no toe. ","")&amp;IF(AND(F7&lt;&gt;"",F7&lt;SG_Criteria!$B$31),"NOTE: q below LTA min "&amp;SG_Criteria!$B$31&amp;" kPa (not for LTA works). ",""))=0,"OK",IF(AND(V7&lt;&gt;"",IFERROR(VALUE(MID(V7,2,2)),0)&lt;SG_Criteria!$B$19),"FAIL: grade below C"&amp;SG_Criteria!$B$19&amp;". ","")&amp;IF(AND(W7&lt;&gt;"",W7&lt;SG_Criteria!$B$20),"FAIL: cover &lt; "&amp;SG_Criteria!$B$20&amp;" mm. ","")&amp;IF(AND(AD7&lt;&gt;"",AD7&lt;1),"FAIL: sliding. ","")&amp;IF(AND(D7="Reverse L-Wall (toe only, at boundary)",N(S7)&gt;0),"NOTE: reverse L-wall should have no heel. ","")&amp;IF(AND(D7="L-Wall (heel only)",N(R7)&gt;0),"NOTE: L-wall should have no toe. ","")&amp;IF(AND(F7&lt;&gt;"",F7&lt;SG_Criteria!$B$31),"NOTE: q below LTA min "&amp;SG_Criteria!$B$31&amp;" kPa (not for LTA works). ","")))</f>
        <v>OK</v>
      </c>
      <c r="BK7" s="18" t="s">
        <v>692</v>
      </c>
      <c r="BL7" s="18"/>
      <c r="BM7" s="18" t="s">
        <v>590</v>
      </c>
      <c r="BN7" s="10" t="str">
        <f aca="false">IF(BM7="","",IFERROR(VLOOKUP(BM7,Projects!$A$5:$D$504,2,0),"Ref not in Projects"))</f>
        <v>EXAMPLE Industrial development, Tuas</v>
      </c>
      <c r="BO7" s="10" t="str">
        <f aca="false">IF(BM7="","",IFERROR(VLOOKUP(BM7,Projects!$A$5:$D$504,4,0),"Ref not in Projects"))</f>
        <v>Private</v>
      </c>
      <c r="BP7" s="18" t="s">
        <v>693</v>
      </c>
      <c r="BQ7" s="18" t="s">
        <v>616</v>
      </c>
      <c r="BR7" s="18" t="s">
        <v>617</v>
      </c>
      <c r="BS7" s="35" t="n">
        <v>46309</v>
      </c>
      <c r="BT7" s="18" t="s">
        <v>617</v>
      </c>
      <c r="BU7" s="35" t="n">
        <v>46309</v>
      </c>
      <c r="BV7" s="18" t="s">
        <v>618</v>
      </c>
      <c r="BW7" s="35"/>
      <c r="BX7" s="18" t="s">
        <v>617</v>
      </c>
      <c r="BY7" s="18" t="s">
        <v>617</v>
      </c>
      <c r="BZ7" s="18" t="s">
        <v>617</v>
      </c>
      <c r="CA7" s="35" t="n">
        <v>46309</v>
      </c>
      <c r="CB7" s="35" t="n">
        <v>46309</v>
      </c>
      <c r="CC7" s="36" t="n">
        <f aca="false">IF(CB7="","",EDATE(CB7,SG_Criteria!$B$54*12))</f>
        <v>47405</v>
      </c>
      <c r="CD7" s="33" t="str">
        <f aca="true">IF(A7="","",IF(CB7="","NOTE: not reviewed yet",IF(TODAY()&gt;CC7,"NOTE: review overdue","OK")))</f>
        <v>OK</v>
      </c>
      <c r="CE7" s="37" t="n">
        <f aca="false">IF(A7="","",ROUND((IF(LEN(D7)&gt;0,1,0)+IF(LEN(E7)&gt;0,1,0)+IF(LEN(F7)&gt;0,1,0)+IF(LEN(G7)&gt;0,1,0)+IF(LEN(I7)&gt;0,1,0)+IF(LEN(K7)&gt;0,1,0)+IF(LEN(P7)&gt;0,1,0)+IF(LEN(Q7)&gt;0,1,0)+IF(LEN(T7)&gt;0,1,0)+IF(LEN(V7)&gt;0,1,0)+IF(LEN(W7)&gt;0,1,0)+IF(LEN(X7)&gt;0,1,0)+IF(LEN(Z7)&gt;0,1,0)+IF(LEN(AD7)&gt;0,1,0)+IF(LEN(AE7)&gt;0,1,0)+IF(LEN(AG7)&gt;0,1,0)+IF(LEN(AI7)&gt;0,1,0)+IF(LEN(BB7)&gt;0,1,0)+IF(LEN(BC7)&gt;0,1,0)+IF(LEN(AM7)&gt;0,1,0)+IF(LEN(AO7)&gt;0,1,0)+IF(LEN(AP7)&gt;0,1,0)+IF(LEN(AQ7)&gt;0,1,0)+IF(LEN(AR7)&gt;0,1,0)+IF(LEN(BA7)&gt;0,1,0)+IF(LEN(BM7)&gt;0,1,0)+IF(LEN(BZ7)&gt;0,1,0))/27,2))</f>
        <v>1</v>
      </c>
      <c r="CF7" s="10" t="str">
        <f aca="false">IF(D7="","",IF(AND(AP7="Approved",ISERROR(SEARCH("FAIL",BJ7))),"Y","N"))</f>
        <v>Y</v>
      </c>
      <c r="CG7" s="10" t="str">
        <f aca="false">IF(D7="","",D7&amp;"|"&amp;E7&amp;"|"&amp;F7&amp;"|"&amp;G7&amp;"|"&amp;CF7)</f>
        <v>Reverse L-Wall (toe only, at boundary)|1.5|25|N|Y</v>
      </c>
    </row>
    <row r="8" customFormat="false" ht="15" hidden="false" customHeight="false" outlineLevel="0" collapsed="false">
      <c r="A8" s="10" t="str">
        <f aca="false">IF(D8="","","RW-"&amp;IFERROR(VLOOKUP(D8,Lists!$M$4:$N$22,2,0),"??")&amp;"-H"&amp;TEXT(E8*1000,"0000")&amp;"-S"&amp;F8&amp;IF(G8="Y","-GW","")&amp;"-"&amp;AO8)</f>
        <v>RW-CANT-H1500-S25-A</v>
      </c>
      <c r="B8" s="10" t="str">
        <f aca="false">IF(D8="","",D8&amp;", H = "&amp;TEXT(E8,"0.0")&amp;" m, q = "&amp;F8&amp;" kPa"&amp;IF(G8="Y",", with GWT","")&amp;", "&amp;I8)</f>
        <v>Cantilever RC (toe &amp; heel), H = 1.5 m, q = 25 kPa, Firm/stiff clay (general)</v>
      </c>
      <c r="C8" s="18" t="s">
        <v>680</v>
      </c>
      <c r="D8" s="18" t="s">
        <v>68</v>
      </c>
      <c r="E8" s="32" t="n">
        <v>1.5</v>
      </c>
      <c r="F8" s="31" t="n">
        <v>25</v>
      </c>
      <c r="G8" s="18" t="s">
        <v>84</v>
      </c>
      <c r="H8" s="31" t="n">
        <v>0</v>
      </c>
      <c r="I8" s="18" t="s">
        <v>681</v>
      </c>
      <c r="J8" s="31" t="n">
        <v>150</v>
      </c>
      <c r="K8" s="31" t="n">
        <v>26</v>
      </c>
      <c r="L8" s="31" t="n">
        <v>0</v>
      </c>
      <c r="M8" s="41" t="n">
        <v>19</v>
      </c>
      <c r="N8" s="18" t="s">
        <v>682</v>
      </c>
      <c r="O8" s="31" t="n">
        <v>200</v>
      </c>
      <c r="P8" s="31" t="n">
        <v>250</v>
      </c>
      <c r="Q8" s="31" t="n">
        <v>1650</v>
      </c>
      <c r="R8" s="31" t="n">
        <v>400</v>
      </c>
      <c r="S8" s="31" t="n">
        <v>1000</v>
      </c>
      <c r="T8" s="31" t="n">
        <v>300</v>
      </c>
      <c r="U8" s="18" t="s">
        <v>605</v>
      </c>
      <c r="V8" s="18" t="s">
        <v>603</v>
      </c>
      <c r="W8" s="31" t="n">
        <v>50</v>
      </c>
      <c r="X8" s="18" t="s">
        <v>637</v>
      </c>
      <c r="Y8" s="18" t="s">
        <v>683</v>
      </c>
      <c r="Z8" s="18" t="s">
        <v>637</v>
      </c>
      <c r="AA8" s="18" t="s">
        <v>637</v>
      </c>
      <c r="AB8" s="18" t="n">
        <v>15</v>
      </c>
      <c r="AC8" s="18" t="s">
        <v>684</v>
      </c>
      <c r="AD8" s="32" t="n">
        <v>1.6</v>
      </c>
      <c r="AE8" s="32" t="n">
        <v>2.3</v>
      </c>
      <c r="AF8" s="32" t="n">
        <v>2.5</v>
      </c>
      <c r="AG8" s="31" t="n">
        <v>80</v>
      </c>
      <c r="AH8" s="31" t="n">
        <v>20</v>
      </c>
      <c r="AI8" s="18" t="s">
        <v>608</v>
      </c>
      <c r="AJ8" s="31" t="n">
        <v>100</v>
      </c>
      <c r="AK8" s="18" t="s">
        <v>609</v>
      </c>
      <c r="AL8" s="32" t="n">
        <v>0.3</v>
      </c>
      <c r="AM8" s="18" t="s">
        <v>685</v>
      </c>
      <c r="AN8" s="18" t="s">
        <v>686</v>
      </c>
      <c r="AO8" s="18" t="s">
        <v>612</v>
      </c>
      <c r="AP8" s="18" t="s">
        <v>254</v>
      </c>
      <c r="AQ8" s="18" t="s">
        <v>694</v>
      </c>
      <c r="AR8" s="18" t="n">
        <v>25</v>
      </c>
      <c r="AS8" s="18" t="s">
        <v>84</v>
      </c>
      <c r="AT8" s="10" t="str">
        <f aca="false">IF(A8="","",SG_Criteria!$B$6&amp;SG_Criteria!$B$8&amp;"\"&amp;A8&amp;"\")</f>
        <v>C:\Users\yourname\YourCompany\Design Library - Documents\02_Retaining_Wall\RW-CANT-H1500-S25-A\</v>
      </c>
      <c r="AU8" s="10" t="str">
        <f aca="false">IF(A8="","",A8&amp;"_CAD.dwg")</f>
        <v>RW-CANT-H1500-S25-A_CAD.dwg</v>
      </c>
      <c r="AV8" s="10" t="str">
        <f aca="false">IF(A8="","",A8&amp;"_DWG.pdf")</f>
        <v>RW-CANT-H1500-S25-A_DWG.pdf</v>
      </c>
      <c r="AW8" s="10" t="str">
        <f aca="false">IF(A8="","",IF(AS8="Y",A8&amp;"_STAAD.std","n/a"))</f>
        <v>n/a</v>
      </c>
      <c r="AX8" s="10" t="str">
        <f aca="false">IF(A8="","",A8&amp;"_CALC.xlsx")</f>
        <v>RW-CANT-H1500-S25-A_CALC.xlsx</v>
      </c>
      <c r="AY8" s="10" t="str">
        <f aca="false">IF(A8="","",A8&amp;"_CALC.pdf")</f>
        <v>RW-CANT-H1500-S25-A_CALC.pdf</v>
      </c>
      <c r="AZ8" s="18" t="s">
        <v>84</v>
      </c>
      <c r="BA8" s="18" t="s">
        <v>313</v>
      </c>
      <c r="BB8" s="32" t="n">
        <v>0.9</v>
      </c>
      <c r="BC8" s="32" t="n">
        <v>66</v>
      </c>
      <c r="BD8" s="32" t="n">
        <v>0</v>
      </c>
      <c r="BE8" s="32" t="n">
        <v>3.6</v>
      </c>
      <c r="BF8" s="32" t="n">
        <v>2.8</v>
      </c>
      <c r="BG8" s="12" t="str">
        <f aca="false">IF(A8="","",IF(COUNTIF(Rebar_Schedule!$A$5:$A$2004,A8)=0,"",ROUND(SUMIF(Rebar_Schedule!$A$5:$A$2004,A8,Rebar_Schedule!$K$5:$K$2004),1)))</f>
        <v/>
      </c>
      <c r="BH8" s="33" t="str">
        <f aca="false">IF(A8="","",IF(BG8="","No rebar schedule yet",IF(ABS(BG8-N(BC8))/MAX(N(BC8),1)&gt;SG_Criteria!$B$55,"NOTE: register rebar differs from schedule by "&amp;TEXT(ABS(BG8-N(BC8))/MAX(N(BC8),1),"0%"),"OK")))</f>
        <v>No rebar schedule yet</v>
      </c>
      <c r="BI8" s="33" t="str">
        <f aca="false">IF(OR(D8="",E8=""),"",IF(E8&lt;=IF(OR(D8="Block / Segmental",D8="Gabion",D8="Reinforced Earth (MSE)"),SG_Criteria!$B$34,SG_Criteria!$B$33),"No ERSS submission",IF(E8&lt;=SG_Criteria!$B$35,"QP(ST)",IF(E8&lt;=SG_Criteria!$B$36,"QP(ST) + AC","Geotechnical building works: QP(Geo) + AC"))))</f>
        <v>No ERSS submission</v>
      </c>
      <c r="BJ8" s="33" t="str">
        <f aca="false">IF(D8="","",IF(LEN(IF(AND(V8&lt;&gt;"",IFERROR(VALUE(MID(V8,2,2)),0)&lt;SG_Criteria!$B$19),"FAIL: grade below C"&amp;SG_Criteria!$B$19&amp;". ","")&amp;IF(AND(W8&lt;&gt;"",W8&lt;SG_Criteria!$B$20),"FAIL: cover &lt; "&amp;SG_Criteria!$B$20&amp;" mm. ","")&amp;IF(AND(AD8&lt;&gt;"",AD8&lt;1),"FAIL: sliding. ","")&amp;IF(AND(D8="Reverse L-Wall (toe only, at boundary)",N(S8)&gt;0),"NOTE: reverse L-wall should have no heel. ","")&amp;IF(AND(D8="L-Wall (heel only)",N(R8)&gt;0),"NOTE: L-wall should have no toe. ","")&amp;IF(AND(F8&lt;&gt;"",F8&lt;SG_Criteria!$B$31),"NOTE: q below LTA min "&amp;SG_Criteria!$B$31&amp;" kPa (not for LTA works). ",""))=0,"OK",IF(AND(V8&lt;&gt;"",IFERROR(VALUE(MID(V8,2,2)),0)&lt;SG_Criteria!$B$19),"FAIL: grade below C"&amp;SG_Criteria!$B$19&amp;". ","")&amp;IF(AND(W8&lt;&gt;"",W8&lt;SG_Criteria!$B$20),"FAIL: cover &lt; "&amp;SG_Criteria!$B$20&amp;" mm. ","")&amp;IF(AND(AD8&lt;&gt;"",AD8&lt;1),"FAIL: sliding. ","")&amp;IF(AND(D8="Reverse L-Wall (toe only, at boundary)",N(S8)&gt;0),"NOTE: reverse L-wall should have no heel. ","")&amp;IF(AND(D8="L-Wall (heel only)",N(R8)&gt;0),"NOTE: L-wall should have no toe. ","")&amp;IF(AND(F8&lt;&gt;"",F8&lt;SG_Criteria!$B$31),"NOTE: q below LTA min "&amp;SG_Criteria!$B$31&amp;" kPa (not for LTA works). ","")))</f>
        <v>OK</v>
      </c>
      <c r="BK8" s="18" t="s">
        <v>621</v>
      </c>
      <c r="BL8" s="18"/>
      <c r="BM8" s="18" t="s">
        <v>590</v>
      </c>
      <c r="BN8" s="10" t="str">
        <f aca="false">IF(BM8="","",IFERROR(VLOOKUP(BM8,Projects!$A$5:$D$504,2,0),"Ref not in Projects"))</f>
        <v>EXAMPLE Industrial development, Tuas</v>
      </c>
      <c r="BO8" s="10" t="str">
        <f aca="false">IF(BM8="","",IFERROR(VLOOKUP(BM8,Projects!$A$5:$D$504,4,0),"Ref not in Projects"))</f>
        <v>Private</v>
      </c>
      <c r="BP8" s="18" t="s">
        <v>695</v>
      </c>
      <c r="BQ8" s="18" t="s">
        <v>616</v>
      </c>
      <c r="BR8" s="18" t="s">
        <v>617</v>
      </c>
      <c r="BS8" s="35" t="n">
        <v>46309</v>
      </c>
      <c r="BT8" s="18" t="s">
        <v>617</v>
      </c>
      <c r="BU8" s="35" t="n">
        <v>46309</v>
      </c>
      <c r="BV8" s="18" t="s">
        <v>618</v>
      </c>
      <c r="BW8" s="35"/>
      <c r="BX8" s="18" t="s">
        <v>617</v>
      </c>
      <c r="BY8" s="18" t="s">
        <v>617</v>
      </c>
      <c r="BZ8" s="18" t="s">
        <v>617</v>
      </c>
      <c r="CA8" s="35" t="n">
        <v>46309</v>
      </c>
      <c r="CB8" s="35" t="n">
        <v>46309</v>
      </c>
      <c r="CC8" s="36" t="n">
        <f aca="false">IF(CB8="","",EDATE(CB8,SG_Criteria!$B$54*12))</f>
        <v>47405</v>
      </c>
      <c r="CD8" s="33" t="str">
        <f aca="true">IF(A8="","",IF(CB8="","NOTE: not reviewed yet",IF(TODAY()&gt;CC8,"NOTE: review overdue","OK")))</f>
        <v>OK</v>
      </c>
      <c r="CE8" s="37" t="n">
        <f aca="false">IF(A8="","",ROUND((IF(LEN(D8)&gt;0,1,0)+IF(LEN(E8)&gt;0,1,0)+IF(LEN(F8)&gt;0,1,0)+IF(LEN(G8)&gt;0,1,0)+IF(LEN(I8)&gt;0,1,0)+IF(LEN(K8)&gt;0,1,0)+IF(LEN(P8)&gt;0,1,0)+IF(LEN(Q8)&gt;0,1,0)+IF(LEN(T8)&gt;0,1,0)+IF(LEN(V8)&gt;0,1,0)+IF(LEN(W8)&gt;0,1,0)+IF(LEN(X8)&gt;0,1,0)+IF(LEN(Z8)&gt;0,1,0)+IF(LEN(AD8)&gt;0,1,0)+IF(LEN(AE8)&gt;0,1,0)+IF(LEN(AG8)&gt;0,1,0)+IF(LEN(AI8)&gt;0,1,0)+IF(LEN(BB8)&gt;0,1,0)+IF(LEN(BC8)&gt;0,1,0)+IF(LEN(AM8)&gt;0,1,0)+IF(LEN(AO8)&gt;0,1,0)+IF(LEN(AP8)&gt;0,1,0)+IF(LEN(AQ8)&gt;0,1,0)+IF(LEN(AR8)&gt;0,1,0)+IF(LEN(BA8)&gt;0,1,0)+IF(LEN(BM8)&gt;0,1,0)+IF(LEN(BZ8)&gt;0,1,0))/27,2))</f>
        <v>1</v>
      </c>
      <c r="CF8" s="10" t="str">
        <f aca="false">IF(D8="","",IF(AND(AP8="Approved",ISERROR(SEARCH("FAIL",BJ8))),"Y","N"))</f>
        <v>Y</v>
      </c>
      <c r="CG8" s="10" t="str">
        <f aca="false">IF(D8="","",D8&amp;"|"&amp;E8&amp;"|"&amp;F8&amp;"|"&amp;G8&amp;"|"&amp;CF8)</f>
        <v>Cantilever RC (toe &amp; heel)|1.5|25|N|Y</v>
      </c>
    </row>
    <row r="9" customFormat="false" ht="15" hidden="false" customHeight="false" outlineLevel="0" collapsed="false">
      <c r="A9" s="10" t="str">
        <f aca="false">IF(D9="","","RW-"&amp;IFERROR(VLOOKUP(D9,Lists!$M$4:$N$22,2,0),"??")&amp;"-H"&amp;TEXT(E9*1000,"0000")&amp;"-S"&amp;F9&amp;IF(G9="Y","-GW","")&amp;"-"&amp;AO9)</f>
        <v>RW-CANT-H2000-S25-A</v>
      </c>
      <c r="B9" s="10" t="str">
        <f aca="false">IF(D9="","",D9&amp;", H = "&amp;TEXT(E9,"0.0")&amp;" m, q = "&amp;F9&amp;" kPa"&amp;IF(G9="Y",", with GWT","")&amp;", "&amp;I9)</f>
        <v>Cantilever RC (toe &amp; heel), H = 2.0 m, q = 25 kPa, Firm/stiff clay (general)</v>
      </c>
      <c r="C9" s="18" t="s">
        <v>680</v>
      </c>
      <c r="D9" s="18" t="s">
        <v>68</v>
      </c>
      <c r="E9" s="32" t="n">
        <v>2</v>
      </c>
      <c r="F9" s="31" t="n">
        <v>25</v>
      </c>
      <c r="G9" s="18" t="s">
        <v>84</v>
      </c>
      <c r="H9" s="31" t="n">
        <v>0</v>
      </c>
      <c r="I9" s="18" t="s">
        <v>681</v>
      </c>
      <c r="J9" s="31" t="n">
        <v>150</v>
      </c>
      <c r="K9" s="31" t="n">
        <v>26</v>
      </c>
      <c r="L9" s="31" t="n">
        <v>0</v>
      </c>
      <c r="M9" s="41" t="n">
        <v>19</v>
      </c>
      <c r="N9" s="18" t="s">
        <v>682</v>
      </c>
      <c r="O9" s="31" t="n">
        <v>200</v>
      </c>
      <c r="P9" s="31" t="n">
        <v>300</v>
      </c>
      <c r="Q9" s="31" t="n">
        <v>2100</v>
      </c>
      <c r="R9" s="31" t="n">
        <v>500</v>
      </c>
      <c r="S9" s="31" t="n">
        <v>1300</v>
      </c>
      <c r="T9" s="31" t="n">
        <v>350</v>
      </c>
      <c r="U9" s="18" t="s">
        <v>605</v>
      </c>
      <c r="V9" s="18" t="s">
        <v>603</v>
      </c>
      <c r="W9" s="31" t="n">
        <v>50</v>
      </c>
      <c r="X9" s="18" t="s">
        <v>632</v>
      </c>
      <c r="Y9" s="18" t="s">
        <v>683</v>
      </c>
      <c r="Z9" s="18" t="s">
        <v>632</v>
      </c>
      <c r="AA9" s="18" t="s">
        <v>637</v>
      </c>
      <c r="AB9" s="18" t="n">
        <v>15</v>
      </c>
      <c r="AC9" s="18" t="s">
        <v>684</v>
      </c>
      <c r="AD9" s="32" t="n">
        <v>1.5</v>
      </c>
      <c r="AE9" s="32" t="n">
        <v>2.2</v>
      </c>
      <c r="AF9" s="32" t="n">
        <v>2.5</v>
      </c>
      <c r="AG9" s="31" t="n">
        <v>95</v>
      </c>
      <c r="AH9" s="31" t="n">
        <v>20</v>
      </c>
      <c r="AI9" s="18" t="s">
        <v>608</v>
      </c>
      <c r="AJ9" s="31" t="n">
        <v>100</v>
      </c>
      <c r="AK9" s="18" t="s">
        <v>609</v>
      </c>
      <c r="AL9" s="32" t="n">
        <v>0.3</v>
      </c>
      <c r="AM9" s="18" t="s">
        <v>685</v>
      </c>
      <c r="AN9" s="18" t="s">
        <v>686</v>
      </c>
      <c r="AO9" s="18" t="s">
        <v>612</v>
      </c>
      <c r="AP9" s="18" t="s">
        <v>254</v>
      </c>
      <c r="AQ9" s="18" t="s">
        <v>696</v>
      </c>
      <c r="AR9" s="18" t="n">
        <v>25</v>
      </c>
      <c r="AS9" s="18" t="s">
        <v>84</v>
      </c>
      <c r="AT9" s="10" t="str">
        <f aca="false">IF(A9="","",SG_Criteria!$B$6&amp;SG_Criteria!$B$8&amp;"\"&amp;A9&amp;"\")</f>
        <v>C:\Users\yourname\YourCompany\Design Library - Documents\02_Retaining_Wall\RW-CANT-H2000-S25-A\</v>
      </c>
      <c r="AU9" s="10" t="str">
        <f aca="false">IF(A9="","",A9&amp;"_CAD.dwg")</f>
        <v>RW-CANT-H2000-S25-A_CAD.dwg</v>
      </c>
      <c r="AV9" s="10" t="str">
        <f aca="false">IF(A9="","",A9&amp;"_DWG.pdf")</f>
        <v>RW-CANT-H2000-S25-A_DWG.pdf</v>
      </c>
      <c r="AW9" s="10" t="str">
        <f aca="false">IF(A9="","",IF(AS9="Y",A9&amp;"_STAAD.std","n/a"))</f>
        <v>n/a</v>
      </c>
      <c r="AX9" s="10" t="str">
        <f aca="false">IF(A9="","",A9&amp;"_CALC.xlsx")</f>
        <v>RW-CANT-H2000-S25-A_CALC.xlsx</v>
      </c>
      <c r="AY9" s="10" t="str">
        <f aca="false">IF(A9="","",A9&amp;"_CALC.pdf")</f>
        <v>RW-CANT-H2000-S25-A_CALC.pdf</v>
      </c>
      <c r="AZ9" s="18" t="s">
        <v>84</v>
      </c>
      <c r="BA9" s="18" t="s">
        <v>313</v>
      </c>
      <c r="BB9" s="32" t="n">
        <v>1.28</v>
      </c>
      <c r="BC9" s="32" t="n">
        <v>94</v>
      </c>
      <c r="BD9" s="32" t="n">
        <v>0</v>
      </c>
      <c r="BE9" s="32" t="n">
        <v>4.7</v>
      </c>
      <c r="BF9" s="32" t="n">
        <v>3.7</v>
      </c>
      <c r="BG9" s="12" t="str">
        <f aca="false">IF(A9="","",IF(COUNTIF(Rebar_Schedule!$A$5:$A$2004,A9)=0,"",ROUND(SUMIF(Rebar_Schedule!$A$5:$A$2004,A9,Rebar_Schedule!$K$5:$K$2004),1)))</f>
        <v/>
      </c>
      <c r="BH9" s="33" t="str">
        <f aca="false">IF(A9="","",IF(BG9="","No rebar schedule yet",IF(ABS(BG9-N(BC9))/MAX(N(BC9),1)&gt;SG_Criteria!$B$55,"NOTE: register rebar differs from schedule by "&amp;TEXT(ABS(BG9-N(BC9))/MAX(N(BC9),1),"0%"),"OK")))</f>
        <v>No rebar schedule yet</v>
      </c>
      <c r="BI9" s="33" t="str">
        <f aca="false">IF(OR(D9="",E9=""),"",IF(E9&lt;=IF(OR(D9="Block / Segmental",D9="Gabion",D9="Reinforced Earth (MSE)"),SG_Criteria!$B$34,SG_Criteria!$B$33),"No ERSS submission",IF(E9&lt;=SG_Criteria!$B$35,"QP(ST)",IF(E9&lt;=SG_Criteria!$B$36,"QP(ST) + AC","Geotechnical building works: QP(Geo) + AC"))))</f>
        <v>QP(ST)</v>
      </c>
      <c r="BJ9" s="33" t="str">
        <f aca="false">IF(D9="","",IF(LEN(IF(AND(V9&lt;&gt;"",IFERROR(VALUE(MID(V9,2,2)),0)&lt;SG_Criteria!$B$19),"FAIL: grade below C"&amp;SG_Criteria!$B$19&amp;". ","")&amp;IF(AND(W9&lt;&gt;"",W9&lt;SG_Criteria!$B$20),"FAIL: cover &lt; "&amp;SG_Criteria!$B$20&amp;" mm. ","")&amp;IF(AND(AD9&lt;&gt;"",AD9&lt;1),"FAIL: sliding. ","")&amp;IF(AND(D9="Reverse L-Wall (toe only, at boundary)",N(S9)&gt;0),"NOTE: reverse L-wall should have no heel. ","")&amp;IF(AND(D9="L-Wall (heel only)",N(R9)&gt;0),"NOTE: L-wall should have no toe. ","")&amp;IF(AND(F9&lt;&gt;"",F9&lt;SG_Criteria!$B$31),"NOTE: q below LTA min "&amp;SG_Criteria!$B$31&amp;" kPa (not for LTA works). ",""))=0,"OK",IF(AND(V9&lt;&gt;"",IFERROR(VALUE(MID(V9,2,2)),0)&lt;SG_Criteria!$B$19),"FAIL: grade below C"&amp;SG_Criteria!$B$19&amp;". ","")&amp;IF(AND(W9&lt;&gt;"",W9&lt;SG_Criteria!$B$20),"FAIL: cover &lt; "&amp;SG_Criteria!$B$20&amp;" mm. ","")&amp;IF(AND(AD9&lt;&gt;"",AD9&lt;1),"FAIL: sliding. ","")&amp;IF(AND(D9="Reverse L-Wall (toe only, at boundary)",N(S9)&gt;0),"NOTE: reverse L-wall should have no heel. ","")&amp;IF(AND(D9="L-Wall (heel only)",N(R9)&gt;0),"NOTE: L-wall should have no toe. ","")&amp;IF(AND(F9&lt;&gt;"",F9&lt;SG_Criteria!$B$31),"NOTE: q below LTA min "&amp;SG_Criteria!$B$31&amp;" kPa (not for LTA works). ","")))</f>
        <v>OK</v>
      </c>
      <c r="BK9" s="18" t="s">
        <v>621</v>
      </c>
      <c r="BL9" s="18"/>
      <c r="BM9" s="18" t="s">
        <v>590</v>
      </c>
      <c r="BN9" s="10" t="str">
        <f aca="false">IF(BM9="","",IFERROR(VLOOKUP(BM9,Projects!$A$5:$D$504,2,0),"Ref not in Projects"))</f>
        <v>EXAMPLE Industrial development, Tuas</v>
      </c>
      <c r="BO9" s="10" t="str">
        <f aca="false">IF(BM9="","",IFERROR(VLOOKUP(BM9,Projects!$A$5:$D$504,4,0),"Ref not in Projects"))</f>
        <v>Private</v>
      </c>
      <c r="BP9" s="18" t="s">
        <v>697</v>
      </c>
      <c r="BQ9" s="18" t="s">
        <v>616</v>
      </c>
      <c r="BR9" s="18" t="s">
        <v>617</v>
      </c>
      <c r="BS9" s="35" t="n">
        <v>46309</v>
      </c>
      <c r="BT9" s="18" t="s">
        <v>617</v>
      </c>
      <c r="BU9" s="35" t="n">
        <v>46309</v>
      </c>
      <c r="BV9" s="18" t="s">
        <v>618</v>
      </c>
      <c r="BW9" s="35"/>
      <c r="BX9" s="18" t="s">
        <v>617</v>
      </c>
      <c r="BY9" s="18" t="s">
        <v>617</v>
      </c>
      <c r="BZ9" s="18" t="s">
        <v>617</v>
      </c>
      <c r="CA9" s="35" t="n">
        <v>46309</v>
      </c>
      <c r="CB9" s="35" t="n">
        <v>46309</v>
      </c>
      <c r="CC9" s="36" t="n">
        <f aca="false">IF(CB9="","",EDATE(CB9,SG_Criteria!$B$54*12))</f>
        <v>47405</v>
      </c>
      <c r="CD9" s="33" t="str">
        <f aca="true">IF(A9="","",IF(CB9="","NOTE: not reviewed yet",IF(TODAY()&gt;CC9,"NOTE: review overdue","OK")))</f>
        <v>OK</v>
      </c>
      <c r="CE9" s="37" t="n">
        <f aca="false">IF(A9="","",ROUND((IF(LEN(D9)&gt;0,1,0)+IF(LEN(E9)&gt;0,1,0)+IF(LEN(F9)&gt;0,1,0)+IF(LEN(G9)&gt;0,1,0)+IF(LEN(I9)&gt;0,1,0)+IF(LEN(K9)&gt;0,1,0)+IF(LEN(P9)&gt;0,1,0)+IF(LEN(Q9)&gt;0,1,0)+IF(LEN(T9)&gt;0,1,0)+IF(LEN(V9)&gt;0,1,0)+IF(LEN(W9)&gt;0,1,0)+IF(LEN(X9)&gt;0,1,0)+IF(LEN(Z9)&gt;0,1,0)+IF(LEN(AD9)&gt;0,1,0)+IF(LEN(AE9)&gt;0,1,0)+IF(LEN(AG9)&gt;0,1,0)+IF(LEN(AI9)&gt;0,1,0)+IF(LEN(BB9)&gt;0,1,0)+IF(LEN(BC9)&gt;0,1,0)+IF(LEN(AM9)&gt;0,1,0)+IF(LEN(AO9)&gt;0,1,0)+IF(LEN(AP9)&gt;0,1,0)+IF(LEN(AQ9)&gt;0,1,0)+IF(LEN(AR9)&gt;0,1,0)+IF(LEN(BA9)&gt;0,1,0)+IF(LEN(BM9)&gt;0,1,0)+IF(LEN(BZ9)&gt;0,1,0))/27,2))</f>
        <v>1</v>
      </c>
      <c r="CF9" s="10" t="str">
        <f aca="false">IF(D9="","",IF(AND(AP9="Approved",ISERROR(SEARCH("FAIL",BJ9))),"Y","N"))</f>
        <v>Y</v>
      </c>
      <c r="CG9" s="10" t="str">
        <f aca="false">IF(D9="","",D9&amp;"|"&amp;E9&amp;"|"&amp;F9&amp;"|"&amp;G9&amp;"|"&amp;CF9)</f>
        <v>Cantilever RC (toe &amp; heel)|2|25|N|Y</v>
      </c>
    </row>
    <row r="10" customFormat="false" ht="15" hidden="false" customHeight="false" outlineLevel="0" collapsed="false">
      <c r="A10" s="10" t="str">
        <f aca="false">IF(D10="","","RW-"&amp;IFERROR(VLOOKUP(D10,Lists!$M$4:$N$22,2,0),"??")&amp;"-H"&amp;TEXT(E10*1000,"0000")&amp;"-S"&amp;F10&amp;IF(G10="Y","-GW","")&amp;"-"&amp;AO10)</f>
        <v>RW-CANT-H2500-S25-A</v>
      </c>
      <c r="B10" s="10" t="str">
        <f aca="false">IF(D10="","",D10&amp;", H = "&amp;TEXT(E10,"0.0")&amp;" m, q = "&amp;F10&amp;" kPa"&amp;IF(G10="Y",", with GWT","")&amp;", "&amp;I10)</f>
        <v>Cantilever RC (toe &amp; heel), H = 2.5 m, q = 25 kPa, Firm/stiff clay (general)</v>
      </c>
      <c r="C10" s="18" t="s">
        <v>680</v>
      </c>
      <c r="D10" s="18" t="s">
        <v>68</v>
      </c>
      <c r="E10" s="32" t="n">
        <v>2.5</v>
      </c>
      <c r="F10" s="31" t="n">
        <v>25</v>
      </c>
      <c r="G10" s="18" t="s">
        <v>84</v>
      </c>
      <c r="H10" s="31" t="n">
        <v>0</v>
      </c>
      <c r="I10" s="18" t="s">
        <v>681</v>
      </c>
      <c r="J10" s="31" t="n">
        <v>150</v>
      </c>
      <c r="K10" s="31" t="n">
        <v>26</v>
      </c>
      <c r="L10" s="31" t="n">
        <v>0</v>
      </c>
      <c r="M10" s="41" t="n">
        <v>19</v>
      </c>
      <c r="N10" s="18" t="s">
        <v>682</v>
      </c>
      <c r="O10" s="31" t="n">
        <v>200</v>
      </c>
      <c r="P10" s="31" t="n">
        <v>350</v>
      </c>
      <c r="Q10" s="31" t="n">
        <v>2500</v>
      </c>
      <c r="R10" s="31" t="n">
        <v>600</v>
      </c>
      <c r="S10" s="31" t="n">
        <v>1550</v>
      </c>
      <c r="T10" s="31" t="n">
        <v>400</v>
      </c>
      <c r="U10" s="18" t="s">
        <v>605</v>
      </c>
      <c r="V10" s="18" t="s">
        <v>603</v>
      </c>
      <c r="W10" s="31" t="n">
        <v>50</v>
      </c>
      <c r="X10" s="18" t="s">
        <v>636</v>
      </c>
      <c r="Y10" s="18" t="s">
        <v>683</v>
      </c>
      <c r="Z10" s="18" t="s">
        <v>636</v>
      </c>
      <c r="AA10" s="18" t="s">
        <v>637</v>
      </c>
      <c r="AB10" s="18" t="n">
        <v>15</v>
      </c>
      <c r="AC10" s="18" t="s">
        <v>684</v>
      </c>
      <c r="AD10" s="32" t="n">
        <v>1.5</v>
      </c>
      <c r="AE10" s="32" t="n">
        <v>2.1</v>
      </c>
      <c r="AF10" s="32" t="n">
        <v>2.5</v>
      </c>
      <c r="AG10" s="31" t="n">
        <v>110</v>
      </c>
      <c r="AH10" s="31" t="n">
        <v>20</v>
      </c>
      <c r="AI10" s="18" t="s">
        <v>608</v>
      </c>
      <c r="AJ10" s="31" t="n">
        <v>100</v>
      </c>
      <c r="AK10" s="18" t="s">
        <v>609</v>
      </c>
      <c r="AL10" s="32" t="n">
        <v>0.3</v>
      </c>
      <c r="AM10" s="18" t="s">
        <v>685</v>
      </c>
      <c r="AN10" s="18" t="s">
        <v>686</v>
      </c>
      <c r="AO10" s="18" t="s">
        <v>612</v>
      </c>
      <c r="AP10" s="18" t="s">
        <v>254</v>
      </c>
      <c r="AQ10" s="18" t="s">
        <v>698</v>
      </c>
      <c r="AR10" s="18" t="n">
        <v>25</v>
      </c>
      <c r="AS10" s="18" t="s">
        <v>84</v>
      </c>
      <c r="AT10" s="10" t="str">
        <f aca="false">IF(A10="","",SG_Criteria!$B$6&amp;SG_Criteria!$B$8&amp;"\"&amp;A10&amp;"\")</f>
        <v>C:\Users\yourname\YourCompany\Design Library - Documents\02_Retaining_Wall\RW-CANT-H2500-S25-A\</v>
      </c>
      <c r="AU10" s="10" t="str">
        <f aca="false">IF(A10="","",A10&amp;"_CAD.dwg")</f>
        <v>RW-CANT-H2500-S25-A_CAD.dwg</v>
      </c>
      <c r="AV10" s="10" t="str">
        <f aca="false">IF(A10="","",A10&amp;"_DWG.pdf")</f>
        <v>RW-CANT-H2500-S25-A_DWG.pdf</v>
      </c>
      <c r="AW10" s="10" t="str">
        <f aca="false">IF(A10="","",IF(AS10="Y",A10&amp;"_STAAD.std","n/a"))</f>
        <v>n/a</v>
      </c>
      <c r="AX10" s="10" t="str">
        <f aca="false">IF(A10="","",A10&amp;"_CALC.xlsx")</f>
        <v>RW-CANT-H2500-S25-A_CALC.xlsx</v>
      </c>
      <c r="AY10" s="10" t="str">
        <f aca="false">IF(A10="","",A10&amp;"_CALC.pdf")</f>
        <v>RW-CANT-H2500-S25-A_CALC.pdf</v>
      </c>
      <c r="AZ10" s="18" t="s">
        <v>84</v>
      </c>
      <c r="BA10" s="18" t="s">
        <v>313</v>
      </c>
      <c r="BB10" s="32" t="n">
        <v>1.7</v>
      </c>
      <c r="BC10" s="32" t="n">
        <v>128</v>
      </c>
      <c r="BD10" s="32" t="n">
        <v>0</v>
      </c>
      <c r="BE10" s="32" t="n">
        <v>5.8</v>
      </c>
      <c r="BF10" s="32" t="n">
        <v>4.6</v>
      </c>
      <c r="BG10" s="12" t="str">
        <f aca="false">IF(A10="","",IF(COUNTIF(Rebar_Schedule!$A$5:$A$2004,A10)=0,"",ROUND(SUMIF(Rebar_Schedule!$A$5:$A$2004,A10,Rebar_Schedule!$K$5:$K$2004),1)))</f>
        <v/>
      </c>
      <c r="BH10" s="33" t="str">
        <f aca="false">IF(A10="","",IF(BG10="","No rebar schedule yet",IF(ABS(BG10-N(BC10))/MAX(N(BC10),1)&gt;SG_Criteria!$B$55,"NOTE: register rebar differs from schedule by "&amp;TEXT(ABS(BG10-N(BC10))/MAX(N(BC10),1),"0%"),"OK")))</f>
        <v>No rebar schedule yet</v>
      </c>
      <c r="BI10" s="33" t="str">
        <f aca="false">IF(OR(D10="",E10=""),"",IF(E10&lt;=IF(OR(D10="Block / Segmental",D10="Gabion",D10="Reinforced Earth (MSE)"),SG_Criteria!$B$34,SG_Criteria!$B$33),"No ERSS submission",IF(E10&lt;=SG_Criteria!$B$35,"QP(ST)",IF(E10&lt;=SG_Criteria!$B$36,"QP(ST) + AC","Geotechnical building works: QP(Geo) + AC"))))</f>
        <v>QP(ST)</v>
      </c>
      <c r="BJ10" s="33" t="str">
        <f aca="false">IF(D10="","",IF(LEN(IF(AND(V10&lt;&gt;"",IFERROR(VALUE(MID(V10,2,2)),0)&lt;SG_Criteria!$B$19),"FAIL: grade below C"&amp;SG_Criteria!$B$19&amp;". ","")&amp;IF(AND(W10&lt;&gt;"",W10&lt;SG_Criteria!$B$20),"FAIL: cover &lt; "&amp;SG_Criteria!$B$20&amp;" mm. ","")&amp;IF(AND(AD10&lt;&gt;"",AD10&lt;1),"FAIL: sliding. ","")&amp;IF(AND(D10="Reverse L-Wall (toe only, at boundary)",N(S10)&gt;0),"NOTE: reverse L-wall should have no heel. ","")&amp;IF(AND(D10="L-Wall (heel only)",N(R10)&gt;0),"NOTE: L-wall should have no toe. ","")&amp;IF(AND(F10&lt;&gt;"",F10&lt;SG_Criteria!$B$31),"NOTE: q below LTA min "&amp;SG_Criteria!$B$31&amp;" kPa (not for LTA works). ",""))=0,"OK",IF(AND(V10&lt;&gt;"",IFERROR(VALUE(MID(V10,2,2)),0)&lt;SG_Criteria!$B$19),"FAIL: grade below C"&amp;SG_Criteria!$B$19&amp;". ","")&amp;IF(AND(W10&lt;&gt;"",W10&lt;SG_Criteria!$B$20),"FAIL: cover &lt; "&amp;SG_Criteria!$B$20&amp;" mm. ","")&amp;IF(AND(AD10&lt;&gt;"",AD10&lt;1),"FAIL: sliding. ","")&amp;IF(AND(D10="Reverse L-Wall (toe only, at boundary)",N(S10)&gt;0),"NOTE: reverse L-wall should have no heel. ","")&amp;IF(AND(D10="L-Wall (heel only)",N(R10)&gt;0),"NOTE: L-wall should have no toe. ","")&amp;IF(AND(F10&lt;&gt;"",F10&lt;SG_Criteria!$B$31),"NOTE: q below LTA min "&amp;SG_Criteria!$B$31&amp;" kPa (not for LTA works). ","")))</f>
        <v>OK</v>
      </c>
      <c r="BK10" s="18" t="s">
        <v>621</v>
      </c>
      <c r="BL10" s="18"/>
      <c r="BM10" s="18" t="s">
        <v>590</v>
      </c>
      <c r="BN10" s="10" t="str">
        <f aca="false">IF(BM10="","",IFERROR(VLOOKUP(BM10,Projects!$A$5:$D$504,2,0),"Ref not in Projects"))</f>
        <v>EXAMPLE Industrial development, Tuas</v>
      </c>
      <c r="BO10" s="10" t="str">
        <f aca="false">IF(BM10="","",IFERROR(VLOOKUP(BM10,Projects!$A$5:$D$504,4,0),"Ref not in Projects"))</f>
        <v>Private</v>
      </c>
      <c r="BP10" s="18" t="s">
        <v>699</v>
      </c>
      <c r="BQ10" s="18" t="s">
        <v>616</v>
      </c>
      <c r="BR10" s="18" t="s">
        <v>617</v>
      </c>
      <c r="BS10" s="35" t="n">
        <v>46309</v>
      </c>
      <c r="BT10" s="18" t="s">
        <v>617</v>
      </c>
      <c r="BU10" s="35" t="n">
        <v>46309</v>
      </c>
      <c r="BV10" s="18" t="s">
        <v>618</v>
      </c>
      <c r="BW10" s="35"/>
      <c r="BX10" s="18" t="s">
        <v>617</v>
      </c>
      <c r="BY10" s="18" t="s">
        <v>617</v>
      </c>
      <c r="BZ10" s="18" t="s">
        <v>617</v>
      </c>
      <c r="CA10" s="35" t="n">
        <v>46309</v>
      </c>
      <c r="CB10" s="35" t="n">
        <v>46309</v>
      </c>
      <c r="CC10" s="36" t="n">
        <f aca="false">IF(CB10="","",EDATE(CB10,SG_Criteria!$B$54*12))</f>
        <v>47405</v>
      </c>
      <c r="CD10" s="33" t="str">
        <f aca="true">IF(A10="","",IF(CB10="","NOTE: not reviewed yet",IF(TODAY()&gt;CC10,"NOTE: review overdue","OK")))</f>
        <v>OK</v>
      </c>
      <c r="CE10" s="37" t="n">
        <f aca="false">IF(A10="","",ROUND((IF(LEN(D10)&gt;0,1,0)+IF(LEN(E10)&gt;0,1,0)+IF(LEN(F10)&gt;0,1,0)+IF(LEN(G10)&gt;0,1,0)+IF(LEN(I10)&gt;0,1,0)+IF(LEN(K10)&gt;0,1,0)+IF(LEN(P10)&gt;0,1,0)+IF(LEN(Q10)&gt;0,1,0)+IF(LEN(T10)&gt;0,1,0)+IF(LEN(V10)&gt;0,1,0)+IF(LEN(W10)&gt;0,1,0)+IF(LEN(X10)&gt;0,1,0)+IF(LEN(Z10)&gt;0,1,0)+IF(LEN(AD10)&gt;0,1,0)+IF(LEN(AE10)&gt;0,1,0)+IF(LEN(AG10)&gt;0,1,0)+IF(LEN(AI10)&gt;0,1,0)+IF(LEN(BB10)&gt;0,1,0)+IF(LEN(BC10)&gt;0,1,0)+IF(LEN(AM10)&gt;0,1,0)+IF(LEN(AO10)&gt;0,1,0)+IF(LEN(AP10)&gt;0,1,0)+IF(LEN(AQ10)&gt;0,1,0)+IF(LEN(AR10)&gt;0,1,0)+IF(LEN(BA10)&gt;0,1,0)+IF(LEN(BM10)&gt;0,1,0)+IF(LEN(BZ10)&gt;0,1,0))/27,2))</f>
        <v>1</v>
      </c>
      <c r="CF10" s="10" t="str">
        <f aca="false">IF(D10="","",IF(AND(AP10="Approved",ISERROR(SEARCH("FAIL",BJ10))),"Y","N"))</f>
        <v>Y</v>
      </c>
      <c r="CG10" s="10" t="str">
        <f aca="false">IF(D10="","",D10&amp;"|"&amp;E10&amp;"|"&amp;F10&amp;"|"&amp;G10&amp;"|"&amp;CF10)</f>
        <v>Cantilever RC (toe &amp; heel)|2.5|25|N|Y</v>
      </c>
    </row>
    <row r="11" customFormat="false" ht="15" hidden="false" customHeight="false" outlineLevel="0" collapsed="false">
      <c r="A11" s="10" t="str">
        <f aca="false">IF(D11="","","RW-"&amp;IFERROR(VLOOKUP(D11,Lists!$M$4:$N$22,2,0),"??")&amp;"-H"&amp;TEXT(E11*1000,"0000")&amp;"-S"&amp;F11&amp;IF(G11="Y","-GW","")&amp;"-"&amp;AO11)</f>
        <v>RW-CANT-H3000-S25-A</v>
      </c>
      <c r="B11" s="10" t="str">
        <f aca="false">IF(D11="","",D11&amp;", H = "&amp;TEXT(E11,"0.0")&amp;" m, q = "&amp;F11&amp;" kPa"&amp;IF(G11="Y",", with GWT","")&amp;", "&amp;I11)</f>
        <v>Cantilever RC (toe &amp; heel), H = 3.0 m, q = 25 kPa, Firm/stiff clay (general)</v>
      </c>
      <c r="C11" s="18" t="s">
        <v>680</v>
      </c>
      <c r="D11" s="18" t="s">
        <v>68</v>
      </c>
      <c r="E11" s="32" t="n">
        <v>3</v>
      </c>
      <c r="F11" s="31" t="n">
        <v>25</v>
      </c>
      <c r="G11" s="18" t="s">
        <v>84</v>
      </c>
      <c r="H11" s="31" t="n">
        <v>0</v>
      </c>
      <c r="I11" s="18" t="s">
        <v>681</v>
      </c>
      <c r="J11" s="31" t="n">
        <v>150</v>
      </c>
      <c r="K11" s="31" t="n">
        <v>26</v>
      </c>
      <c r="L11" s="31" t="n">
        <v>0</v>
      </c>
      <c r="M11" s="41" t="n">
        <v>19</v>
      </c>
      <c r="N11" s="18" t="s">
        <v>682</v>
      </c>
      <c r="O11" s="31" t="n">
        <v>200</v>
      </c>
      <c r="P11" s="31" t="n">
        <v>400</v>
      </c>
      <c r="Q11" s="31" t="n">
        <v>2950</v>
      </c>
      <c r="R11" s="31" t="n">
        <v>700</v>
      </c>
      <c r="S11" s="31" t="n">
        <v>1850</v>
      </c>
      <c r="T11" s="31" t="n">
        <v>450</v>
      </c>
      <c r="U11" s="18" t="s">
        <v>605</v>
      </c>
      <c r="V11" s="18" t="s">
        <v>603</v>
      </c>
      <c r="W11" s="31" t="n">
        <v>50</v>
      </c>
      <c r="X11" s="18" t="s">
        <v>700</v>
      </c>
      <c r="Y11" s="18" t="s">
        <v>683</v>
      </c>
      <c r="Z11" s="18" t="s">
        <v>636</v>
      </c>
      <c r="AA11" s="18" t="s">
        <v>637</v>
      </c>
      <c r="AB11" s="18" t="n">
        <v>15</v>
      </c>
      <c r="AC11" s="18" t="s">
        <v>684</v>
      </c>
      <c r="AD11" s="32" t="n">
        <v>1.5</v>
      </c>
      <c r="AE11" s="32" t="n">
        <v>2</v>
      </c>
      <c r="AF11" s="32" t="n">
        <v>2.5</v>
      </c>
      <c r="AG11" s="31" t="n">
        <v>128</v>
      </c>
      <c r="AH11" s="31" t="n">
        <v>20</v>
      </c>
      <c r="AI11" s="18" t="s">
        <v>608</v>
      </c>
      <c r="AJ11" s="31" t="n">
        <v>100</v>
      </c>
      <c r="AK11" s="18" t="s">
        <v>609</v>
      </c>
      <c r="AL11" s="32" t="n">
        <v>0.3</v>
      </c>
      <c r="AM11" s="18" t="s">
        <v>685</v>
      </c>
      <c r="AN11" s="18" t="s">
        <v>686</v>
      </c>
      <c r="AO11" s="18" t="s">
        <v>612</v>
      </c>
      <c r="AP11" s="18" t="s">
        <v>254</v>
      </c>
      <c r="AQ11" s="18" t="s">
        <v>701</v>
      </c>
      <c r="AR11" s="18" t="n">
        <v>25</v>
      </c>
      <c r="AS11" s="18" t="s">
        <v>84</v>
      </c>
      <c r="AT11" s="10" t="str">
        <f aca="false">IF(A11="","",SG_Criteria!$B$6&amp;SG_Criteria!$B$8&amp;"\"&amp;A11&amp;"\")</f>
        <v>C:\Users\yourname\YourCompany\Design Library - Documents\02_Retaining_Wall\RW-CANT-H3000-S25-A\</v>
      </c>
      <c r="AU11" s="10" t="str">
        <f aca="false">IF(A11="","",A11&amp;"_CAD.dwg")</f>
        <v>RW-CANT-H3000-S25-A_CAD.dwg</v>
      </c>
      <c r="AV11" s="10" t="str">
        <f aca="false">IF(A11="","",A11&amp;"_DWG.pdf")</f>
        <v>RW-CANT-H3000-S25-A_DWG.pdf</v>
      </c>
      <c r="AW11" s="10" t="str">
        <f aca="false">IF(A11="","",IF(AS11="Y",A11&amp;"_STAAD.std","n/a"))</f>
        <v>n/a</v>
      </c>
      <c r="AX11" s="10" t="str">
        <f aca="false">IF(A11="","",A11&amp;"_CALC.xlsx")</f>
        <v>RW-CANT-H3000-S25-A_CALC.xlsx</v>
      </c>
      <c r="AY11" s="10" t="str">
        <f aca="false">IF(A11="","",A11&amp;"_CALC.pdf")</f>
        <v>RW-CANT-H3000-S25-A_CALC.pdf</v>
      </c>
      <c r="AZ11" s="18" t="s">
        <v>84</v>
      </c>
      <c r="BA11" s="18" t="s">
        <v>313</v>
      </c>
      <c r="BB11" s="32" t="n">
        <v>2.2</v>
      </c>
      <c r="BC11" s="32" t="n">
        <v>199</v>
      </c>
      <c r="BD11" s="32" t="n">
        <v>0</v>
      </c>
      <c r="BE11" s="32" t="n">
        <v>6.9</v>
      </c>
      <c r="BF11" s="32" t="n">
        <v>5.7</v>
      </c>
      <c r="BG11" s="12" t="n">
        <f aca="false">IF(A11="","",IF(COUNTIF(Rebar_Schedule!$A$5:$A$2004,A11)=0,"",ROUND(SUMIF(Rebar_Schedule!$A$5:$A$2004,A11,Rebar_Schedule!$K$5:$K$2004),1)))</f>
        <v>199.1</v>
      </c>
      <c r="BH11" s="33" t="str">
        <f aca="false">IF(A11="","",IF(BG11="","No rebar schedule yet",IF(ABS(BG11-N(BC11))/MAX(N(BC11),1)&gt;SG_Criteria!$B$55,"NOTE: register rebar differs from schedule by "&amp;TEXT(ABS(BG11-N(BC11))/MAX(N(BC11),1),"0%"),"OK")))</f>
        <v>OK</v>
      </c>
      <c r="BI11" s="33" t="str">
        <f aca="false">IF(OR(D11="",E11=""),"",IF(E11&lt;=IF(OR(D11="Block / Segmental",D11="Gabion",D11="Reinforced Earth (MSE)"),SG_Criteria!$B$34,SG_Criteria!$B$33),"No ERSS submission",IF(E11&lt;=SG_Criteria!$B$35,"QP(ST)",IF(E11&lt;=SG_Criteria!$B$36,"QP(ST) + AC","Geotechnical building works: QP(Geo) + AC"))))</f>
        <v>QP(ST)</v>
      </c>
      <c r="BJ11" s="33" t="str">
        <f aca="false">IF(D11="","",IF(LEN(IF(AND(V11&lt;&gt;"",IFERROR(VALUE(MID(V11,2,2)),0)&lt;SG_Criteria!$B$19),"FAIL: grade below C"&amp;SG_Criteria!$B$19&amp;". ","")&amp;IF(AND(W11&lt;&gt;"",W11&lt;SG_Criteria!$B$20),"FAIL: cover &lt; "&amp;SG_Criteria!$B$20&amp;" mm. ","")&amp;IF(AND(AD11&lt;&gt;"",AD11&lt;1),"FAIL: sliding. ","")&amp;IF(AND(D11="Reverse L-Wall (toe only, at boundary)",N(S11)&gt;0),"NOTE: reverse L-wall should have no heel. ","")&amp;IF(AND(D11="L-Wall (heel only)",N(R11)&gt;0),"NOTE: L-wall should have no toe. ","")&amp;IF(AND(F11&lt;&gt;"",F11&lt;SG_Criteria!$B$31),"NOTE: q below LTA min "&amp;SG_Criteria!$B$31&amp;" kPa (not for LTA works). ",""))=0,"OK",IF(AND(V11&lt;&gt;"",IFERROR(VALUE(MID(V11,2,2)),0)&lt;SG_Criteria!$B$19),"FAIL: grade below C"&amp;SG_Criteria!$B$19&amp;". ","")&amp;IF(AND(W11&lt;&gt;"",W11&lt;SG_Criteria!$B$20),"FAIL: cover &lt; "&amp;SG_Criteria!$B$20&amp;" mm. ","")&amp;IF(AND(AD11&lt;&gt;"",AD11&lt;1),"FAIL: sliding. ","")&amp;IF(AND(D11="Reverse L-Wall (toe only, at boundary)",N(S11)&gt;0),"NOTE: reverse L-wall should have no heel. ","")&amp;IF(AND(D11="L-Wall (heel only)",N(R11)&gt;0),"NOTE: L-wall should have no toe. ","")&amp;IF(AND(F11&lt;&gt;"",F11&lt;SG_Criteria!$B$31),"NOTE: q below LTA min "&amp;SG_Criteria!$B$31&amp;" kPa (not for LTA works). ","")))</f>
        <v>OK</v>
      </c>
      <c r="BK11" s="18" t="s">
        <v>621</v>
      </c>
      <c r="BL11" s="18"/>
      <c r="BM11" s="18" t="s">
        <v>590</v>
      </c>
      <c r="BN11" s="10" t="str">
        <f aca="false">IF(BM11="","",IFERROR(VLOOKUP(BM11,Projects!$A$5:$D$504,2,0),"Ref not in Projects"))</f>
        <v>EXAMPLE Industrial development, Tuas</v>
      </c>
      <c r="BO11" s="10" t="str">
        <f aca="false">IF(BM11="","",IFERROR(VLOOKUP(BM11,Projects!$A$5:$D$504,4,0),"Ref not in Projects"))</f>
        <v>Private</v>
      </c>
      <c r="BP11" s="18" t="s">
        <v>702</v>
      </c>
      <c r="BQ11" s="18" t="s">
        <v>616</v>
      </c>
      <c r="BR11" s="18" t="s">
        <v>617</v>
      </c>
      <c r="BS11" s="35" t="n">
        <v>46309</v>
      </c>
      <c r="BT11" s="18" t="s">
        <v>617</v>
      </c>
      <c r="BU11" s="35" t="n">
        <v>46309</v>
      </c>
      <c r="BV11" s="18" t="s">
        <v>618</v>
      </c>
      <c r="BW11" s="35"/>
      <c r="BX11" s="18" t="s">
        <v>617</v>
      </c>
      <c r="BY11" s="18" t="s">
        <v>617</v>
      </c>
      <c r="BZ11" s="18" t="s">
        <v>617</v>
      </c>
      <c r="CA11" s="35" t="n">
        <v>46309</v>
      </c>
      <c r="CB11" s="35" t="n">
        <v>46309</v>
      </c>
      <c r="CC11" s="36" t="n">
        <f aca="false">IF(CB11="","",EDATE(CB11,SG_Criteria!$B$54*12))</f>
        <v>47405</v>
      </c>
      <c r="CD11" s="33" t="str">
        <f aca="true">IF(A11="","",IF(CB11="","NOTE: not reviewed yet",IF(TODAY()&gt;CC11,"NOTE: review overdue","OK")))</f>
        <v>OK</v>
      </c>
      <c r="CE11" s="37" t="n">
        <f aca="false">IF(A11="","",ROUND((IF(LEN(D11)&gt;0,1,0)+IF(LEN(E11)&gt;0,1,0)+IF(LEN(F11)&gt;0,1,0)+IF(LEN(G11)&gt;0,1,0)+IF(LEN(I11)&gt;0,1,0)+IF(LEN(K11)&gt;0,1,0)+IF(LEN(P11)&gt;0,1,0)+IF(LEN(Q11)&gt;0,1,0)+IF(LEN(T11)&gt;0,1,0)+IF(LEN(V11)&gt;0,1,0)+IF(LEN(W11)&gt;0,1,0)+IF(LEN(X11)&gt;0,1,0)+IF(LEN(Z11)&gt;0,1,0)+IF(LEN(AD11)&gt;0,1,0)+IF(LEN(AE11)&gt;0,1,0)+IF(LEN(AG11)&gt;0,1,0)+IF(LEN(AI11)&gt;0,1,0)+IF(LEN(BB11)&gt;0,1,0)+IF(LEN(BC11)&gt;0,1,0)+IF(LEN(AM11)&gt;0,1,0)+IF(LEN(AO11)&gt;0,1,0)+IF(LEN(AP11)&gt;0,1,0)+IF(LEN(AQ11)&gt;0,1,0)+IF(LEN(AR11)&gt;0,1,0)+IF(LEN(BA11)&gt;0,1,0)+IF(LEN(BM11)&gt;0,1,0)+IF(LEN(BZ11)&gt;0,1,0))/27,2))</f>
        <v>1</v>
      </c>
      <c r="CF11" s="10" t="str">
        <f aca="false">IF(D11="","",IF(AND(AP11="Approved",ISERROR(SEARCH("FAIL",BJ11))),"Y","N"))</f>
        <v>Y</v>
      </c>
      <c r="CG11" s="10" t="str">
        <f aca="false">IF(D11="","",D11&amp;"|"&amp;E11&amp;"|"&amp;F11&amp;"|"&amp;G11&amp;"|"&amp;CF11)</f>
        <v>Cantilever RC (toe &amp; heel)|3|25|N|Y</v>
      </c>
    </row>
    <row r="12" customFormat="false" ht="15" hidden="false" customHeight="false" outlineLevel="0" collapsed="false">
      <c r="A12" s="10" t="str">
        <f aca="false">IF(D12="","","RW-"&amp;IFERROR(VLOOKUP(D12,Lists!$M$4:$N$22,2,0),"??")&amp;"-H"&amp;TEXT(E12*1000,"0000")&amp;"-S"&amp;F12&amp;IF(G12="Y","-GW","")&amp;"-"&amp;AO12)</f>
        <v>RW-CANT-H3500-S25-A</v>
      </c>
      <c r="B12" s="10" t="str">
        <f aca="false">IF(D12="","",D12&amp;", H = "&amp;TEXT(E12,"0.0")&amp;" m, q = "&amp;F12&amp;" kPa"&amp;IF(G12="Y",", with GWT","")&amp;", "&amp;I12)</f>
        <v>Cantilever RC (toe &amp; heel), H = 3.5 m, q = 25 kPa, Firm/stiff clay (general)</v>
      </c>
      <c r="C12" s="18" t="s">
        <v>680</v>
      </c>
      <c r="D12" s="18" t="s">
        <v>68</v>
      </c>
      <c r="E12" s="32" t="n">
        <v>3.5</v>
      </c>
      <c r="F12" s="31" t="n">
        <v>25</v>
      </c>
      <c r="G12" s="18" t="s">
        <v>84</v>
      </c>
      <c r="H12" s="31" t="n">
        <v>0</v>
      </c>
      <c r="I12" s="18" t="s">
        <v>681</v>
      </c>
      <c r="J12" s="31" t="n">
        <v>150</v>
      </c>
      <c r="K12" s="31" t="n">
        <v>26</v>
      </c>
      <c r="L12" s="31" t="n">
        <v>0</v>
      </c>
      <c r="M12" s="41" t="n">
        <v>19</v>
      </c>
      <c r="N12" s="18" t="s">
        <v>682</v>
      </c>
      <c r="O12" s="31" t="n">
        <v>250</v>
      </c>
      <c r="P12" s="31" t="n">
        <v>450</v>
      </c>
      <c r="Q12" s="31" t="n">
        <v>3350</v>
      </c>
      <c r="R12" s="31" t="n">
        <v>800</v>
      </c>
      <c r="S12" s="31" t="n">
        <v>2100</v>
      </c>
      <c r="T12" s="31" t="n">
        <v>500</v>
      </c>
      <c r="U12" s="18" t="s">
        <v>605</v>
      </c>
      <c r="V12" s="18" t="s">
        <v>603</v>
      </c>
      <c r="W12" s="31" t="n">
        <v>50</v>
      </c>
      <c r="X12" s="18" t="s">
        <v>650</v>
      </c>
      <c r="Y12" s="18" t="s">
        <v>683</v>
      </c>
      <c r="Z12" s="18" t="s">
        <v>700</v>
      </c>
      <c r="AA12" s="18" t="s">
        <v>637</v>
      </c>
      <c r="AB12" s="18" t="n">
        <v>15</v>
      </c>
      <c r="AC12" s="18" t="s">
        <v>684</v>
      </c>
      <c r="AD12" s="32" t="n">
        <v>1.5</v>
      </c>
      <c r="AE12" s="32" t="n">
        <v>2</v>
      </c>
      <c r="AF12" s="32" t="n">
        <v>2.2</v>
      </c>
      <c r="AG12" s="31" t="n">
        <v>142</v>
      </c>
      <c r="AH12" s="31" t="n">
        <v>20</v>
      </c>
      <c r="AI12" s="18" t="s">
        <v>608</v>
      </c>
      <c r="AJ12" s="31" t="n">
        <v>100</v>
      </c>
      <c r="AK12" s="18" t="s">
        <v>609</v>
      </c>
      <c r="AL12" s="32" t="n">
        <v>0.3</v>
      </c>
      <c r="AM12" s="18" t="s">
        <v>685</v>
      </c>
      <c r="AN12" s="18" t="s">
        <v>686</v>
      </c>
      <c r="AO12" s="18" t="s">
        <v>612</v>
      </c>
      <c r="AP12" s="18" t="s">
        <v>254</v>
      </c>
      <c r="AQ12" s="18" t="s">
        <v>703</v>
      </c>
      <c r="AR12" s="18" t="n">
        <v>50</v>
      </c>
      <c r="AS12" s="18" t="s">
        <v>84</v>
      </c>
      <c r="AT12" s="10" t="str">
        <f aca="false">IF(A12="","",SG_Criteria!$B$6&amp;SG_Criteria!$B$8&amp;"\"&amp;A12&amp;"\")</f>
        <v>C:\Users\yourname\YourCompany\Design Library - Documents\02_Retaining_Wall\RW-CANT-H3500-S25-A\</v>
      </c>
      <c r="AU12" s="10" t="str">
        <f aca="false">IF(A12="","",A12&amp;"_CAD.dwg")</f>
        <v>RW-CANT-H3500-S25-A_CAD.dwg</v>
      </c>
      <c r="AV12" s="10" t="str">
        <f aca="false">IF(A12="","",A12&amp;"_DWG.pdf")</f>
        <v>RW-CANT-H3500-S25-A_DWG.pdf</v>
      </c>
      <c r="AW12" s="10" t="str">
        <f aca="false">IF(A12="","",IF(AS12="Y",A12&amp;"_STAAD.std","n/a"))</f>
        <v>n/a</v>
      </c>
      <c r="AX12" s="10" t="str">
        <f aca="false">IF(A12="","",A12&amp;"_CALC.xlsx")</f>
        <v>RW-CANT-H3500-S25-A_CALC.xlsx</v>
      </c>
      <c r="AY12" s="10" t="str">
        <f aca="false">IF(A12="","",A12&amp;"_CALC.pdf")</f>
        <v>RW-CANT-H3500-S25-A_CALC.pdf</v>
      </c>
      <c r="AZ12" s="18" t="s">
        <v>84</v>
      </c>
      <c r="BA12" s="18" t="s">
        <v>313</v>
      </c>
      <c r="BB12" s="32" t="n">
        <v>2.78</v>
      </c>
      <c r="BC12" s="32" t="n">
        <v>222</v>
      </c>
      <c r="BD12" s="32" t="n">
        <v>0</v>
      </c>
      <c r="BE12" s="32" t="n">
        <v>8</v>
      </c>
      <c r="BF12" s="32" t="n">
        <v>6.9</v>
      </c>
      <c r="BG12" s="12" t="str">
        <f aca="false">IF(A12="","",IF(COUNTIF(Rebar_Schedule!$A$5:$A$2004,A12)=0,"",ROUND(SUMIF(Rebar_Schedule!$A$5:$A$2004,A12,Rebar_Schedule!$K$5:$K$2004),1)))</f>
        <v/>
      </c>
      <c r="BH12" s="33" t="str">
        <f aca="false">IF(A12="","",IF(BG12="","No rebar schedule yet",IF(ABS(BG12-N(BC12))/MAX(N(BC12),1)&gt;SG_Criteria!$B$55,"NOTE: register rebar differs from schedule by "&amp;TEXT(ABS(BG12-N(BC12))/MAX(N(BC12),1),"0%"),"OK")))</f>
        <v>No rebar schedule yet</v>
      </c>
      <c r="BI12" s="33" t="str">
        <f aca="false">IF(OR(D12="",E12=""),"",IF(E12&lt;=IF(OR(D12="Block / Segmental",D12="Gabion",D12="Reinforced Earth (MSE)"),SG_Criteria!$B$34,SG_Criteria!$B$33),"No ERSS submission",IF(E12&lt;=SG_Criteria!$B$35,"QP(ST)",IF(E12&lt;=SG_Criteria!$B$36,"QP(ST) + AC","Geotechnical building works: QP(Geo) + AC"))))</f>
        <v>QP(ST)</v>
      </c>
      <c r="BJ12" s="33" t="str">
        <f aca="false">IF(D12="","",IF(LEN(IF(AND(V12&lt;&gt;"",IFERROR(VALUE(MID(V12,2,2)),0)&lt;SG_Criteria!$B$19),"FAIL: grade below C"&amp;SG_Criteria!$B$19&amp;". ","")&amp;IF(AND(W12&lt;&gt;"",W12&lt;SG_Criteria!$B$20),"FAIL: cover &lt; "&amp;SG_Criteria!$B$20&amp;" mm. ","")&amp;IF(AND(AD12&lt;&gt;"",AD12&lt;1),"FAIL: sliding. ","")&amp;IF(AND(D12="Reverse L-Wall (toe only, at boundary)",N(S12)&gt;0),"NOTE: reverse L-wall should have no heel. ","")&amp;IF(AND(D12="L-Wall (heel only)",N(R12)&gt;0),"NOTE: L-wall should have no toe. ","")&amp;IF(AND(F12&lt;&gt;"",F12&lt;SG_Criteria!$B$31),"NOTE: q below LTA min "&amp;SG_Criteria!$B$31&amp;" kPa (not for LTA works). ",""))=0,"OK",IF(AND(V12&lt;&gt;"",IFERROR(VALUE(MID(V12,2,2)),0)&lt;SG_Criteria!$B$19),"FAIL: grade below C"&amp;SG_Criteria!$B$19&amp;". ","")&amp;IF(AND(W12&lt;&gt;"",W12&lt;SG_Criteria!$B$20),"FAIL: cover &lt; "&amp;SG_Criteria!$B$20&amp;" mm. ","")&amp;IF(AND(AD12&lt;&gt;"",AD12&lt;1),"FAIL: sliding. ","")&amp;IF(AND(D12="Reverse L-Wall (toe only, at boundary)",N(S12)&gt;0),"NOTE: reverse L-wall should have no heel. ","")&amp;IF(AND(D12="L-Wall (heel only)",N(R12)&gt;0),"NOTE: L-wall should have no toe. ","")&amp;IF(AND(F12&lt;&gt;"",F12&lt;SG_Criteria!$B$31),"NOTE: q below LTA min "&amp;SG_Criteria!$B$31&amp;" kPa (not for LTA works). ","")))</f>
        <v>OK</v>
      </c>
      <c r="BK12" s="18" t="s">
        <v>621</v>
      </c>
      <c r="BL12" s="18"/>
      <c r="BM12" s="18" t="s">
        <v>590</v>
      </c>
      <c r="BN12" s="10" t="str">
        <f aca="false">IF(BM12="","",IFERROR(VLOOKUP(BM12,Projects!$A$5:$D$504,2,0),"Ref not in Projects"))</f>
        <v>EXAMPLE Industrial development, Tuas</v>
      </c>
      <c r="BO12" s="10" t="str">
        <f aca="false">IF(BM12="","",IFERROR(VLOOKUP(BM12,Projects!$A$5:$D$504,4,0),"Ref not in Projects"))</f>
        <v>Private</v>
      </c>
      <c r="BP12" s="18" t="s">
        <v>704</v>
      </c>
      <c r="BQ12" s="18" t="s">
        <v>616</v>
      </c>
      <c r="BR12" s="18" t="s">
        <v>617</v>
      </c>
      <c r="BS12" s="35" t="n">
        <v>46309</v>
      </c>
      <c r="BT12" s="18" t="s">
        <v>617</v>
      </c>
      <c r="BU12" s="35" t="n">
        <v>46309</v>
      </c>
      <c r="BV12" s="18" t="s">
        <v>618</v>
      </c>
      <c r="BW12" s="35"/>
      <c r="BX12" s="18" t="s">
        <v>617</v>
      </c>
      <c r="BY12" s="18" t="s">
        <v>617</v>
      </c>
      <c r="BZ12" s="18" t="s">
        <v>617</v>
      </c>
      <c r="CA12" s="35" t="n">
        <v>46309</v>
      </c>
      <c r="CB12" s="35" t="n">
        <v>46309</v>
      </c>
      <c r="CC12" s="36" t="n">
        <f aca="false">IF(CB12="","",EDATE(CB12,SG_Criteria!$B$54*12))</f>
        <v>47405</v>
      </c>
      <c r="CD12" s="33" t="str">
        <f aca="true">IF(A12="","",IF(CB12="","NOTE: not reviewed yet",IF(TODAY()&gt;CC12,"NOTE: review overdue","OK")))</f>
        <v>OK</v>
      </c>
      <c r="CE12" s="37" t="n">
        <f aca="false">IF(A12="","",ROUND((IF(LEN(D12)&gt;0,1,0)+IF(LEN(E12)&gt;0,1,0)+IF(LEN(F12)&gt;0,1,0)+IF(LEN(G12)&gt;0,1,0)+IF(LEN(I12)&gt;0,1,0)+IF(LEN(K12)&gt;0,1,0)+IF(LEN(P12)&gt;0,1,0)+IF(LEN(Q12)&gt;0,1,0)+IF(LEN(T12)&gt;0,1,0)+IF(LEN(V12)&gt;0,1,0)+IF(LEN(W12)&gt;0,1,0)+IF(LEN(X12)&gt;0,1,0)+IF(LEN(Z12)&gt;0,1,0)+IF(LEN(AD12)&gt;0,1,0)+IF(LEN(AE12)&gt;0,1,0)+IF(LEN(AG12)&gt;0,1,0)+IF(LEN(AI12)&gt;0,1,0)+IF(LEN(BB12)&gt;0,1,0)+IF(LEN(BC12)&gt;0,1,0)+IF(LEN(AM12)&gt;0,1,0)+IF(LEN(AO12)&gt;0,1,0)+IF(LEN(AP12)&gt;0,1,0)+IF(LEN(AQ12)&gt;0,1,0)+IF(LEN(AR12)&gt;0,1,0)+IF(LEN(BA12)&gt;0,1,0)+IF(LEN(BM12)&gt;0,1,0)+IF(LEN(BZ12)&gt;0,1,0))/27,2))</f>
        <v>1</v>
      </c>
      <c r="CF12" s="10" t="str">
        <f aca="false">IF(D12="","",IF(AND(AP12="Approved",ISERROR(SEARCH("FAIL",BJ12))),"Y","N"))</f>
        <v>Y</v>
      </c>
      <c r="CG12" s="10" t="str">
        <f aca="false">IF(D12="","",D12&amp;"|"&amp;E12&amp;"|"&amp;F12&amp;"|"&amp;G12&amp;"|"&amp;CF12)</f>
        <v>Cantilever RC (toe &amp; heel)|3.5|25|N|Y</v>
      </c>
    </row>
    <row r="13" customFormat="false" ht="15" hidden="false" customHeight="false" outlineLevel="0" collapsed="false">
      <c r="A13" s="10" t="str">
        <f aca="false">IF(D13="","","RW-"&amp;IFERROR(VLOOKUP(D13,Lists!$M$4:$N$22,2,0),"??")&amp;"-H"&amp;TEXT(E13*1000,"0000")&amp;"-S"&amp;F13&amp;IF(G13="Y","-GW","")&amp;"-"&amp;AO13)</f>
        <v>RW-CANT-H3000-S25-GW-A</v>
      </c>
      <c r="B13" s="10" t="str">
        <f aca="false">IF(D13="","",D13&amp;", H = "&amp;TEXT(E13,"0.0")&amp;" m, q = "&amp;F13&amp;" kPa"&amp;IF(G13="Y",", with GWT","")&amp;", "&amp;I13)</f>
        <v>Cantilever RC (toe &amp; heel), H = 3.0 m, q = 25 kPa, with GWT, Firm/stiff clay (general)</v>
      </c>
      <c r="C13" s="18" t="s">
        <v>680</v>
      </c>
      <c r="D13" s="18" t="s">
        <v>68</v>
      </c>
      <c r="E13" s="32" t="n">
        <v>3</v>
      </c>
      <c r="F13" s="31" t="n">
        <v>25</v>
      </c>
      <c r="G13" s="18" t="s">
        <v>284</v>
      </c>
      <c r="H13" s="31" t="n">
        <v>0</v>
      </c>
      <c r="I13" s="18" t="s">
        <v>681</v>
      </c>
      <c r="J13" s="31" t="n">
        <v>150</v>
      </c>
      <c r="K13" s="31" t="n">
        <v>26</v>
      </c>
      <c r="L13" s="31" t="n">
        <v>0</v>
      </c>
      <c r="M13" s="41" t="n">
        <v>19</v>
      </c>
      <c r="N13" s="18" t="s">
        <v>682</v>
      </c>
      <c r="O13" s="31" t="n">
        <v>250</v>
      </c>
      <c r="P13" s="31" t="n">
        <v>450</v>
      </c>
      <c r="Q13" s="31" t="n">
        <v>3300</v>
      </c>
      <c r="R13" s="31" t="n">
        <v>800</v>
      </c>
      <c r="S13" s="31" t="n">
        <v>2050</v>
      </c>
      <c r="T13" s="31" t="n">
        <v>500</v>
      </c>
      <c r="U13" s="18" t="s">
        <v>605</v>
      </c>
      <c r="V13" s="18" t="s">
        <v>603</v>
      </c>
      <c r="W13" s="31" t="n">
        <v>50</v>
      </c>
      <c r="X13" s="18" t="s">
        <v>650</v>
      </c>
      <c r="Y13" s="18" t="s">
        <v>683</v>
      </c>
      <c r="Z13" s="18" t="s">
        <v>650</v>
      </c>
      <c r="AA13" s="18" t="s">
        <v>637</v>
      </c>
      <c r="AB13" s="18" t="n">
        <v>15</v>
      </c>
      <c r="AC13" s="18" t="s">
        <v>684</v>
      </c>
      <c r="AD13" s="32" t="n">
        <v>1.5</v>
      </c>
      <c r="AE13" s="32" t="n">
        <v>2</v>
      </c>
      <c r="AF13" s="32" t="n">
        <v>2.2</v>
      </c>
      <c r="AG13" s="31" t="n">
        <v>145</v>
      </c>
      <c r="AH13" s="31" t="n">
        <v>20</v>
      </c>
      <c r="AI13" s="18" t="s">
        <v>608</v>
      </c>
      <c r="AJ13" s="31" t="n">
        <v>100</v>
      </c>
      <c r="AK13" s="18" t="s">
        <v>609</v>
      </c>
      <c r="AL13" s="32" t="n">
        <v>0.3</v>
      </c>
      <c r="AM13" s="18" t="s">
        <v>685</v>
      </c>
      <c r="AN13" s="18" t="s">
        <v>686</v>
      </c>
      <c r="AO13" s="18" t="s">
        <v>612</v>
      </c>
      <c r="AP13" s="18" t="s">
        <v>254</v>
      </c>
      <c r="AQ13" s="18" t="s">
        <v>705</v>
      </c>
      <c r="AR13" s="18" t="n">
        <v>25</v>
      </c>
      <c r="AS13" s="18" t="s">
        <v>84</v>
      </c>
      <c r="AT13" s="10" t="str">
        <f aca="false">IF(A13="","",SG_Criteria!$B$6&amp;SG_Criteria!$B$8&amp;"\"&amp;A13&amp;"\")</f>
        <v>C:\Users\yourname\YourCompany\Design Library - Documents\02_Retaining_Wall\RW-CANT-H3000-S25-GW-A\</v>
      </c>
      <c r="AU13" s="10" t="str">
        <f aca="false">IF(A13="","",A13&amp;"_CAD.dwg")</f>
        <v>RW-CANT-H3000-S25-GW-A_CAD.dwg</v>
      </c>
      <c r="AV13" s="10" t="str">
        <f aca="false">IF(A13="","",A13&amp;"_DWG.pdf")</f>
        <v>RW-CANT-H3000-S25-GW-A_DWG.pdf</v>
      </c>
      <c r="AW13" s="10" t="str">
        <f aca="false">IF(A13="","",IF(AS13="Y",A13&amp;"_STAAD.std","n/a"))</f>
        <v>n/a</v>
      </c>
      <c r="AX13" s="10" t="str">
        <f aca="false">IF(A13="","",A13&amp;"_CALC.xlsx")</f>
        <v>RW-CANT-H3000-S25-GW-A_CALC.xlsx</v>
      </c>
      <c r="AY13" s="10" t="str">
        <f aca="false">IF(A13="","",A13&amp;"_CALC.pdf")</f>
        <v>RW-CANT-H3000-S25-GW-A_CALC.pdf</v>
      </c>
      <c r="AZ13" s="18" t="s">
        <v>84</v>
      </c>
      <c r="BA13" s="18" t="s">
        <v>313</v>
      </c>
      <c r="BB13" s="32" t="n">
        <v>2.58</v>
      </c>
      <c r="BC13" s="32" t="n">
        <v>210</v>
      </c>
      <c r="BD13" s="32" t="n">
        <v>0</v>
      </c>
      <c r="BE13" s="32" t="n">
        <v>7.1</v>
      </c>
      <c r="BF13" s="32" t="n">
        <v>6.4</v>
      </c>
      <c r="BG13" s="12" t="str">
        <f aca="false">IF(A13="","",IF(COUNTIF(Rebar_Schedule!$A$5:$A$2004,A13)=0,"",ROUND(SUMIF(Rebar_Schedule!$A$5:$A$2004,A13,Rebar_Schedule!$K$5:$K$2004),1)))</f>
        <v/>
      </c>
      <c r="BH13" s="33" t="str">
        <f aca="false">IF(A13="","",IF(BG13="","No rebar schedule yet",IF(ABS(BG13-N(BC13))/MAX(N(BC13),1)&gt;SG_Criteria!$B$55,"NOTE: register rebar differs from schedule by "&amp;TEXT(ABS(BG13-N(BC13))/MAX(N(BC13),1),"0%"),"OK")))</f>
        <v>No rebar schedule yet</v>
      </c>
      <c r="BI13" s="33" t="str">
        <f aca="false">IF(OR(D13="",E13=""),"",IF(E13&lt;=IF(OR(D13="Block / Segmental",D13="Gabion",D13="Reinforced Earth (MSE)"),SG_Criteria!$B$34,SG_Criteria!$B$33),"No ERSS submission",IF(E13&lt;=SG_Criteria!$B$35,"QP(ST)",IF(E13&lt;=SG_Criteria!$B$36,"QP(ST) + AC","Geotechnical building works: QP(Geo) + AC"))))</f>
        <v>QP(ST)</v>
      </c>
      <c r="BJ13" s="33" t="str">
        <f aca="false">IF(D13="","",IF(LEN(IF(AND(V13&lt;&gt;"",IFERROR(VALUE(MID(V13,2,2)),0)&lt;SG_Criteria!$B$19),"FAIL: grade below C"&amp;SG_Criteria!$B$19&amp;". ","")&amp;IF(AND(W13&lt;&gt;"",W13&lt;SG_Criteria!$B$20),"FAIL: cover &lt; "&amp;SG_Criteria!$B$20&amp;" mm. ","")&amp;IF(AND(AD13&lt;&gt;"",AD13&lt;1),"FAIL: sliding. ","")&amp;IF(AND(D13="Reverse L-Wall (toe only, at boundary)",N(S13)&gt;0),"NOTE: reverse L-wall should have no heel. ","")&amp;IF(AND(D13="L-Wall (heel only)",N(R13)&gt;0),"NOTE: L-wall should have no toe. ","")&amp;IF(AND(F13&lt;&gt;"",F13&lt;SG_Criteria!$B$31),"NOTE: q below LTA min "&amp;SG_Criteria!$B$31&amp;" kPa (not for LTA works). ",""))=0,"OK",IF(AND(V13&lt;&gt;"",IFERROR(VALUE(MID(V13,2,2)),0)&lt;SG_Criteria!$B$19),"FAIL: grade below C"&amp;SG_Criteria!$B$19&amp;". ","")&amp;IF(AND(W13&lt;&gt;"",W13&lt;SG_Criteria!$B$20),"FAIL: cover &lt; "&amp;SG_Criteria!$B$20&amp;" mm. ","")&amp;IF(AND(AD13&lt;&gt;"",AD13&lt;1),"FAIL: sliding. ","")&amp;IF(AND(D13="Reverse L-Wall (toe only, at boundary)",N(S13)&gt;0),"NOTE: reverse L-wall should have no heel. ","")&amp;IF(AND(D13="L-Wall (heel only)",N(R13)&gt;0),"NOTE: L-wall should have no toe. ","")&amp;IF(AND(F13&lt;&gt;"",F13&lt;SG_Criteria!$B$31),"NOTE: q below LTA min "&amp;SG_Criteria!$B$31&amp;" kPa (not for LTA works). ","")))</f>
        <v>OK</v>
      </c>
      <c r="BK13" s="18" t="s">
        <v>706</v>
      </c>
      <c r="BL13" s="18"/>
      <c r="BM13" s="18" t="s">
        <v>590</v>
      </c>
      <c r="BN13" s="10" t="str">
        <f aca="false">IF(BM13="","",IFERROR(VLOOKUP(BM13,Projects!$A$5:$D$504,2,0),"Ref not in Projects"))</f>
        <v>EXAMPLE Industrial development, Tuas</v>
      </c>
      <c r="BO13" s="10" t="str">
        <f aca="false">IF(BM13="","",IFERROR(VLOOKUP(BM13,Projects!$A$5:$D$504,4,0),"Ref not in Projects"))</f>
        <v>Private</v>
      </c>
      <c r="BP13" s="18" t="s">
        <v>707</v>
      </c>
      <c r="BQ13" s="18" t="s">
        <v>616</v>
      </c>
      <c r="BR13" s="18" t="s">
        <v>617</v>
      </c>
      <c r="BS13" s="35" t="n">
        <v>46309</v>
      </c>
      <c r="BT13" s="18" t="s">
        <v>617</v>
      </c>
      <c r="BU13" s="35" t="n">
        <v>46309</v>
      </c>
      <c r="BV13" s="18" t="s">
        <v>618</v>
      </c>
      <c r="BW13" s="35"/>
      <c r="BX13" s="18" t="s">
        <v>617</v>
      </c>
      <c r="BY13" s="18" t="s">
        <v>617</v>
      </c>
      <c r="BZ13" s="18" t="s">
        <v>617</v>
      </c>
      <c r="CA13" s="35" t="n">
        <v>46309</v>
      </c>
      <c r="CB13" s="35" t="n">
        <v>46309</v>
      </c>
      <c r="CC13" s="36" t="n">
        <f aca="false">IF(CB13="","",EDATE(CB13,SG_Criteria!$B$54*12))</f>
        <v>47405</v>
      </c>
      <c r="CD13" s="33" t="str">
        <f aca="true">IF(A13="","",IF(CB13="","NOTE: not reviewed yet",IF(TODAY()&gt;CC13,"NOTE: review overdue","OK")))</f>
        <v>OK</v>
      </c>
      <c r="CE13" s="37" t="n">
        <f aca="false">IF(A13="","",ROUND((IF(LEN(D13)&gt;0,1,0)+IF(LEN(E13)&gt;0,1,0)+IF(LEN(F13)&gt;0,1,0)+IF(LEN(G13)&gt;0,1,0)+IF(LEN(I13)&gt;0,1,0)+IF(LEN(K13)&gt;0,1,0)+IF(LEN(P13)&gt;0,1,0)+IF(LEN(Q13)&gt;0,1,0)+IF(LEN(T13)&gt;0,1,0)+IF(LEN(V13)&gt;0,1,0)+IF(LEN(W13)&gt;0,1,0)+IF(LEN(X13)&gt;0,1,0)+IF(LEN(Z13)&gt;0,1,0)+IF(LEN(AD13)&gt;0,1,0)+IF(LEN(AE13)&gt;0,1,0)+IF(LEN(AG13)&gt;0,1,0)+IF(LEN(AI13)&gt;0,1,0)+IF(LEN(BB13)&gt;0,1,0)+IF(LEN(BC13)&gt;0,1,0)+IF(LEN(AM13)&gt;0,1,0)+IF(LEN(AO13)&gt;0,1,0)+IF(LEN(AP13)&gt;0,1,0)+IF(LEN(AQ13)&gt;0,1,0)+IF(LEN(AR13)&gt;0,1,0)+IF(LEN(BA13)&gt;0,1,0)+IF(LEN(BM13)&gt;0,1,0)+IF(LEN(BZ13)&gt;0,1,0))/27,2))</f>
        <v>1</v>
      </c>
      <c r="CF13" s="10" t="str">
        <f aca="false">IF(D13="","",IF(AND(AP13="Approved",ISERROR(SEARCH("FAIL",BJ13))),"Y","N"))</f>
        <v>Y</v>
      </c>
      <c r="CG13" s="10" t="str">
        <f aca="false">IF(D13="","",D13&amp;"|"&amp;E13&amp;"|"&amp;F13&amp;"|"&amp;G13&amp;"|"&amp;CF13)</f>
        <v>Cantilever RC (toe &amp; heel)|3|25|Y|Y</v>
      </c>
    </row>
    <row r="14" customFormat="false" ht="15" hidden="false" customHeight="false" outlineLevel="0" collapsed="false">
      <c r="A14" s="10" t="str">
        <f aca="false">IF(D14="","","RW-"&amp;IFERROR(VLOOKUP(D14,Lists!$M$4:$N$22,2,0),"??")&amp;"-H"&amp;TEXT(E14*1000,"0000")&amp;"-S"&amp;F14&amp;IF(G14="Y","-GW","")&amp;"-"&amp;AO14)</f>
        <v>RW-CANT-H4500-S25-A</v>
      </c>
      <c r="B14" s="10" t="str">
        <f aca="false">IF(D14="","",D14&amp;", H = "&amp;TEXT(E14,"0.0")&amp;" m, q = "&amp;F14&amp;" kPa"&amp;IF(G14="Y",", with GWT","")&amp;", "&amp;I14)</f>
        <v>Cantilever RC (toe &amp; heel), H = 4.5 m, q = 25 kPa, Firm/stiff clay (general)</v>
      </c>
      <c r="C14" s="18" t="s">
        <v>680</v>
      </c>
      <c r="D14" s="18" t="s">
        <v>68</v>
      </c>
      <c r="E14" s="32" t="n">
        <v>4.5</v>
      </c>
      <c r="F14" s="31" t="n">
        <v>25</v>
      </c>
      <c r="G14" s="18" t="s">
        <v>84</v>
      </c>
      <c r="H14" s="31" t="n">
        <v>0</v>
      </c>
      <c r="I14" s="18" t="s">
        <v>681</v>
      </c>
      <c r="J14" s="31" t="n">
        <v>150</v>
      </c>
      <c r="K14" s="31" t="n">
        <v>26</v>
      </c>
      <c r="L14" s="31" t="n">
        <v>0</v>
      </c>
      <c r="M14" s="41" t="n">
        <v>19</v>
      </c>
      <c r="N14" s="18" t="s">
        <v>682</v>
      </c>
      <c r="O14" s="31" t="n">
        <v>250</v>
      </c>
      <c r="P14" s="31" t="n">
        <v>550</v>
      </c>
      <c r="Q14" s="31" t="n">
        <v>4100</v>
      </c>
      <c r="R14" s="31" t="n">
        <v>1000</v>
      </c>
      <c r="S14" s="31" t="n">
        <v>2550</v>
      </c>
      <c r="T14" s="31" t="n">
        <v>600</v>
      </c>
      <c r="U14" s="18" t="s">
        <v>605</v>
      </c>
      <c r="V14" s="18" t="s">
        <v>603</v>
      </c>
      <c r="W14" s="31" t="n">
        <v>50</v>
      </c>
      <c r="X14" s="18" t="s">
        <v>708</v>
      </c>
      <c r="Y14" s="18" t="s">
        <v>683</v>
      </c>
      <c r="Z14" s="18" t="s">
        <v>709</v>
      </c>
      <c r="AA14" s="18" t="s">
        <v>637</v>
      </c>
      <c r="AB14" s="18" t="n">
        <v>15</v>
      </c>
      <c r="AC14" s="18" t="s">
        <v>684</v>
      </c>
      <c r="AD14" s="32" t="n">
        <v>1.5</v>
      </c>
      <c r="AE14" s="32" t="n">
        <v>2</v>
      </c>
      <c r="AF14" s="32" t="n">
        <v>2.2</v>
      </c>
      <c r="AG14" s="31" t="n">
        <v>170</v>
      </c>
      <c r="AH14" s="31" t="n">
        <v>20</v>
      </c>
      <c r="AI14" s="18" t="s">
        <v>608</v>
      </c>
      <c r="AJ14" s="31" t="n">
        <v>100</v>
      </c>
      <c r="AK14" s="18" t="s">
        <v>609</v>
      </c>
      <c r="AL14" s="32" t="n">
        <v>0.3</v>
      </c>
      <c r="AM14" s="18" t="s">
        <v>685</v>
      </c>
      <c r="AN14" s="18" t="s">
        <v>686</v>
      </c>
      <c r="AO14" s="18" t="s">
        <v>612</v>
      </c>
      <c r="AP14" s="18" t="s">
        <v>255</v>
      </c>
      <c r="AQ14" s="18" t="s">
        <v>710</v>
      </c>
      <c r="AR14" s="18" t="n">
        <v>50</v>
      </c>
      <c r="AS14" s="18" t="s">
        <v>284</v>
      </c>
      <c r="AT14" s="10" t="str">
        <f aca="false">IF(A14="","",SG_Criteria!$B$6&amp;SG_Criteria!$B$8&amp;"\"&amp;A14&amp;"\")</f>
        <v>C:\Users\yourname\YourCompany\Design Library - Documents\02_Retaining_Wall\RW-CANT-H4500-S25-A\</v>
      </c>
      <c r="AU14" s="10" t="str">
        <f aca="false">IF(A14="","",A14&amp;"_CAD.dwg")</f>
        <v>RW-CANT-H4500-S25-A_CAD.dwg</v>
      </c>
      <c r="AV14" s="10" t="str">
        <f aca="false">IF(A14="","",A14&amp;"_DWG.pdf")</f>
        <v>RW-CANT-H4500-S25-A_DWG.pdf</v>
      </c>
      <c r="AW14" s="10" t="str">
        <f aca="false">IF(A14="","",IF(AS14="Y",A14&amp;"_STAAD.std","n/a"))</f>
        <v>RW-CANT-H4500-S25-A_STAAD.std</v>
      </c>
      <c r="AX14" s="10" t="str">
        <f aca="false">IF(A14="","",A14&amp;"_CALC.xlsx")</f>
        <v>RW-CANT-H4500-S25-A_CALC.xlsx</v>
      </c>
      <c r="AY14" s="10" t="str">
        <f aca="false">IF(A14="","",A14&amp;"_CALC.pdf")</f>
        <v>RW-CANT-H4500-S25-A_CALC.pdf</v>
      </c>
      <c r="AZ14" s="18" t="s">
        <v>84</v>
      </c>
      <c r="BA14" s="18" t="s">
        <v>313</v>
      </c>
      <c r="BB14" s="32" t="n">
        <v>4.05</v>
      </c>
      <c r="BC14" s="32" t="n">
        <v>345</v>
      </c>
      <c r="BD14" s="32" t="n">
        <v>0</v>
      </c>
      <c r="BE14" s="32" t="n">
        <v>10.2</v>
      </c>
      <c r="BF14" s="32" t="n">
        <v>9.3</v>
      </c>
      <c r="BG14" s="12" t="str">
        <f aca="false">IF(A14="","",IF(COUNTIF(Rebar_Schedule!$A$5:$A$2004,A14)=0,"",ROUND(SUMIF(Rebar_Schedule!$A$5:$A$2004,A14,Rebar_Schedule!$K$5:$K$2004),1)))</f>
        <v/>
      </c>
      <c r="BH14" s="33" t="str">
        <f aca="false">IF(A14="","",IF(BG14="","No rebar schedule yet",IF(ABS(BG14-N(BC14))/MAX(N(BC14),1)&gt;SG_Criteria!$B$55,"NOTE: register rebar differs from schedule by "&amp;TEXT(ABS(BG14-N(BC14))/MAX(N(BC14),1),"0%"),"OK")))</f>
        <v>No rebar schedule yet</v>
      </c>
      <c r="BI14" s="33" t="str">
        <f aca="false">IF(OR(D14="",E14=""),"",IF(E14&lt;=IF(OR(D14="Block / Segmental",D14="Gabion",D14="Reinforced Earth (MSE)"),SG_Criteria!$B$34,SG_Criteria!$B$33),"No ERSS submission",IF(E14&lt;=SG_Criteria!$B$35,"QP(ST)",IF(E14&lt;=SG_Criteria!$B$36,"QP(ST) + AC","Geotechnical building works: QP(Geo) + AC"))))</f>
        <v>QP(ST) + AC</v>
      </c>
      <c r="BJ14" s="33" t="str">
        <f aca="false">IF(D14="","",IF(LEN(IF(AND(V14&lt;&gt;"",IFERROR(VALUE(MID(V14,2,2)),0)&lt;SG_Criteria!$B$19),"FAIL: grade below C"&amp;SG_Criteria!$B$19&amp;". ","")&amp;IF(AND(W14&lt;&gt;"",W14&lt;SG_Criteria!$B$20),"FAIL: cover &lt; "&amp;SG_Criteria!$B$20&amp;" mm. ","")&amp;IF(AND(AD14&lt;&gt;"",AD14&lt;1),"FAIL: sliding. ","")&amp;IF(AND(D14="Reverse L-Wall (toe only, at boundary)",N(S14)&gt;0),"NOTE: reverse L-wall should have no heel. ","")&amp;IF(AND(D14="L-Wall (heel only)",N(R14)&gt;0),"NOTE: L-wall should have no toe. ","")&amp;IF(AND(F14&lt;&gt;"",F14&lt;SG_Criteria!$B$31),"NOTE: q below LTA min "&amp;SG_Criteria!$B$31&amp;" kPa (not for LTA works). ",""))=0,"OK",IF(AND(V14&lt;&gt;"",IFERROR(VALUE(MID(V14,2,2)),0)&lt;SG_Criteria!$B$19),"FAIL: grade below C"&amp;SG_Criteria!$B$19&amp;". ","")&amp;IF(AND(W14&lt;&gt;"",W14&lt;SG_Criteria!$B$20),"FAIL: cover &lt; "&amp;SG_Criteria!$B$20&amp;" mm. ","")&amp;IF(AND(AD14&lt;&gt;"",AD14&lt;1),"FAIL: sliding. ","")&amp;IF(AND(D14="Reverse L-Wall (toe only, at boundary)",N(S14)&gt;0),"NOTE: reverse L-wall should have no heel. ","")&amp;IF(AND(D14="L-Wall (heel only)",N(R14)&gt;0),"NOTE: L-wall should have no toe. ","")&amp;IF(AND(F14&lt;&gt;"",F14&lt;SG_Criteria!$B$31),"NOTE: q below LTA min "&amp;SG_Criteria!$B$31&amp;" kPa (not for LTA works). ","")))</f>
        <v>OK</v>
      </c>
      <c r="BK14" s="18" t="s">
        <v>639</v>
      </c>
      <c r="BL14" s="18"/>
      <c r="BM14" s="18" t="s">
        <v>590</v>
      </c>
      <c r="BN14" s="10" t="str">
        <f aca="false">IF(BM14="","",IFERROR(VLOOKUP(BM14,Projects!$A$5:$D$504,2,0),"Ref not in Projects"))</f>
        <v>EXAMPLE Industrial development, Tuas</v>
      </c>
      <c r="BO14" s="10" t="str">
        <f aca="false">IF(BM14="","",IFERROR(VLOOKUP(BM14,Projects!$A$5:$D$504,4,0),"Ref not in Projects"))</f>
        <v>Private</v>
      </c>
      <c r="BP14" s="18" t="s">
        <v>711</v>
      </c>
      <c r="BQ14" s="18" t="s">
        <v>616</v>
      </c>
      <c r="BR14" s="18" t="s">
        <v>617</v>
      </c>
      <c r="BS14" s="35" t="n">
        <v>46309</v>
      </c>
      <c r="BT14" s="18" t="s">
        <v>617</v>
      </c>
      <c r="BU14" s="35" t="n">
        <v>46309</v>
      </c>
      <c r="BV14" s="18"/>
      <c r="BW14" s="35"/>
      <c r="BX14" s="18" t="s">
        <v>617</v>
      </c>
      <c r="BY14" s="18" t="s">
        <v>617</v>
      </c>
      <c r="BZ14" s="18" t="s">
        <v>617</v>
      </c>
      <c r="CA14" s="35" t="n">
        <v>46309</v>
      </c>
      <c r="CB14" s="35" t="n">
        <v>46309</v>
      </c>
      <c r="CC14" s="36" t="n">
        <f aca="false">IF(CB14="","",EDATE(CB14,SG_Criteria!$B$54*12))</f>
        <v>47405</v>
      </c>
      <c r="CD14" s="33" t="str">
        <f aca="true">IF(A14="","",IF(CB14="","NOTE: not reviewed yet",IF(TODAY()&gt;CC14,"NOTE: review overdue","OK")))</f>
        <v>OK</v>
      </c>
      <c r="CE14" s="37" t="n">
        <f aca="false">IF(A14="","",ROUND((IF(LEN(D14)&gt;0,1,0)+IF(LEN(E14)&gt;0,1,0)+IF(LEN(F14)&gt;0,1,0)+IF(LEN(G14)&gt;0,1,0)+IF(LEN(I14)&gt;0,1,0)+IF(LEN(K14)&gt;0,1,0)+IF(LEN(P14)&gt;0,1,0)+IF(LEN(Q14)&gt;0,1,0)+IF(LEN(T14)&gt;0,1,0)+IF(LEN(V14)&gt;0,1,0)+IF(LEN(W14)&gt;0,1,0)+IF(LEN(X14)&gt;0,1,0)+IF(LEN(Z14)&gt;0,1,0)+IF(LEN(AD14)&gt;0,1,0)+IF(LEN(AE14)&gt;0,1,0)+IF(LEN(AG14)&gt;0,1,0)+IF(LEN(AI14)&gt;0,1,0)+IF(LEN(BB14)&gt;0,1,0)+IF(LEN(BC14)&gt;0,1,0)+IF(LEN(AM14)&gt;0,1,0)+IF(LEN(AO14)&gt;0,1,0)+IF(LEN(AP14)&gt;0,1,0)+IF(LEN(AQ14)&gt;0,1,0)+IF(LEN(AR14)&gt;0,1,0)+IF(LEN(BA14)&gt;0,1,0)+IF(LEN(BM14)&gt;0,1,0)+IF(LEN(BZ14)&gt;0,1,0))/27,2))</f>
        <v>1</v>
      </c>
      <c r="CF14" s="10" t="str">
        <f aca="false">IF(D14="","",IF(AND(AP14="Approved",ISERROR(SEARCH("FAIL",BJ14))),"Y","N"))</f>
        <v>N</v>
      </c>
      <c r="CG14" s="10" t="str">
        <f aca="false">IF(D14="","",D14&amp;"|"&amp;E14&amp;"|"&amp;F14&amp;"|"&amp;G14&amp;"|"&amp;CF14)</f>
        <v>Cantilever RC (toe &amp; heel)|4.5|25|N|N</v>
      </c>
    </row>
    <row r="15" customFormat="false" ht="15" hidden="false" customHeight="false" outlineLevel="0" collapsed="false">
      <c r="A15" s="10" t="str">
        <f aca="false">IF(D15="","","RW-"&amp;IFERROR(VLOOKUP(D15,Lists!$M$4:$N$22,2,0),"??")&amp;"-H"&amp;TEXT(E15*1000,"0000")&amp;"-S"&amp;F15&amp;IF(G15="Y","-GW","")&amp;"-"&amp;AO15)</f>
        <v>RW-CF-H6000-S25-A</v>
      </c>
      <c r="B15" s="10" t="str">
        <f aca="false">IF(D15="","",D15&amp;", H = "&amp;TEXT(E15,"0.0")&amp;" m, q = "&amp;F15&amp;" kPa"&amp;IF(G15="Y",", with GWT","")&amp;", "&amp;I15)</f>
        <v>Counterfort RC, H = 6.0 m, q = 25 kPa, Old Alluvium</v>
      </c>
      <c r="C15" s="18" t="s">
        <v>680</v>
      </c>
      <c r="D15" s="18" t="s">
        <v>207</v>
      </c>
      <c r="E15" s="32" t="n">
        <v>6</v>
      </c>
      <c r="F15" s="31" t="n">
        <v>25</v>
      </c>
      <c r="G15" s="18" t="s">
        <v>84</v>
      </c>
      <c r="H15" s="31" t="n">
        <v>0</v>
      </c>
      <c r="I15" s="18" t="s">
        <v>86</v>
      </c>
      <c r="J15" s="31" t="n">
        <v>250</v>
      </c>
      <c r="K15" s="31" t="n">
        <v>30</v>
      </c>
      <c r="L15" s="31" t="n">
        <v>0</v>
      </c>
      <c r="M15" s="41" t="n">
        <v>19</v>
      </c>
      <c r="N15" s="18" t="s">
        <v>682</v>
      </c>
      <c r="O15" s="31" t="n">
        <v>300</v>
      </c>
      <c r="P15" s="31" t="n">
        <v>300</v>
      </c>
      <c r="Q15" s="31" t="n">
        <v>4500</v>
      </c>
      <c r="R15" s="31" t="n">
        <v>1000</v>
      </c>
      <c r="S15" s="31" t="n">
        <v>3200</v>
      </c>
      <c r="T15" s="31" t="n">
        <v>600</v>
      </c>
      <c r="U15" s="18" t="s">
        <v>605</v>
      </c>
      <c r="V15" s="18" t="s">
        <v>603</v>
      </c>
      <c r="W15" s="31" t="n">
        <v>50</v>
      </c>
      <c r="X15" s="18" t="s">
        <v>650</v>
      </c>
      <c r="Y15" s="18" t="s">
        <v>683</v>
      </c>
      <c r="Z15" s="18" t="s">
        <v>650</v>
      </c>
      <c r="AA15" s="18" t="s">
        <v>637</v>
      </c>
      <c r="AB15" s="18" t="n">
        <v>15</v>
      </c>
      <c r="AC15" s="18" t="s">
        <v>684</v>
      </c>
      <c r="AD15" s="32" t="n">
        <v>1.5</v>
      </c>
      <c r="AE15" s="32" t="n">
        <v>2</v>
      </c>
      <c r="AF15" s="32" t="n">
        <v>2.2</v>
      </c>
      <c r="AG15" s="31" t="n">
        <v>210</v>
      </c>
      <c r="AH15" s="31" t="n">
        <v>20</v>
      </c>
      <c r="AI15" s="18" t="s">
        <v>608</v>
      </c>
      <c r="AJ15" s="31" t="n">
        <v>100</v>
      </c>
      <c r="AK15" s="18" t="s">
        <v>609</v>
      </c>
      <c r="AL15" s="32" t="n">
        <v>0.3</v>
      </c>
      <c r="AM15" s="18" t="s">
        <v>685</v>
      </c>
      <c r="AN15" s="18" t="s">
        <v>686</v>
      </c>
      <c r="AO15" s="18" t="s">
        <v>612</v>
      </c>
      <c r="AP15" s="18" t="s">
        <v>256</v>
      </c>
      <c r="AQ15" s="18" t="s">
        <v>712</v>
      </c>
      <c r="AR15" s="18" t="n">
        <v>50</v>
      </c>
      <c r="AS15" s="18" t="s">
        <v>284</v>
      </c>
      <c r="AT15" s="10" t="str">
        <f aca="false">IF(A15="","",SG_Criteria!$B$6&amp;SG_Criteria!$B$8&amp;"\"&amp;A15&amp;"\")</f>
        <v>C:\Users\yourname\YourCompany\Design Library - Documents\02_Retaining_Wall\RW-CF-H6000-S25-A\</v>
      </c>
      <c r="AU15" s="10" t="str">
        <f aca="false">IF(A15="","",A15&amp;"_CAD.dwg")</f>
        <v>RW-CF-H6000-S25-A_CAD.dwg</v>
      </c>
      <c r="AV15" s="10" t="str">
        <f aca="false">IF(A15="","",A15&amp;"_DWG.pdf")</f>
        <v>RW-CF-H6000-S25-A_DWG.pdf</v>
      </c>
      <c r="AW15" s="10" t="str">
        <f aca="false">IF(A15="","",IF(AS15="Y",A15&amp;"_STAAD.std","n/a"))</f>
        <v>RW-CF-H6000-S25-A_STAAD.std</v>
      </c>
      <c r="AX15" s="10" t="str">
        <f aca="false">IF(A15="","",A15&amp;"_CALC.xlsx")</f>
        <v>RW-CF-H6000-S25-A_CALC.xlsx</v>
      </c>
      <c r="AY15" s="10" t="str">
        <f aca="false">IF(A15="","",A15&amp;"_CALC.pdf")</f>
        <v>RW-CF-H6000-S25-A_CALC.pdf</v>
      </c>
      <c r="AZ15" s="18" t="s">
        <v>84</v>
      </c>
      <c r="BA15" s="18" t="s">
        <v>313</v>
      </c>
      <c r="BB15" s="32" t="n">
        <v>5.9</v>
      </c>
      <c r="BC15" s="32" t="n">
        <v>520</v>
      </c>
      <c r="BD15" s="32" t="n">
        <v>0</v>
      </c>
      <c r="BE15" s="32" t="n">
        <v>16</v>
      </c>
      <c r="BF15" s="32" t="n">
        <v>14.5</v>
      </c>
      <c r="BG15" s="12" t="str">
        <f aca="false">IF(A15="","",IF(COUNTIF(Rebar_Schedule!$A$5:$A$2004,A15)=0,"",ROUND(SUMIF(Rebar_Schedule!$A$5:$A$2004,A15,Rebar_Schedule!$K$5:$K$2004),1)))</f>
        <v/>
      </c>
      <c r="BH15" s="33" t="str">
        <f aca="false">IF(A15="","",IF(BG15="","No rebar schedule yet",IF(ABS(BG15-N(BC15))/MAX(N(BC15),1)&gt;SG_Criteria!$B$55,"NOTE: register rebar differs from schedule by "&amp;TEXT(ABS(BG15-N(BC15))/MAX(N(BC15),1),"0%"),"OK")))</f>
        <v>No rebar schedule yet</v>
      </c>
      <c r="BI15" s="33" t="str">
        <f aca="false">IF(OR(D15="",E15=""),"",IF(E15&lt;=IF(OR(D15="Block / Segmental",D15="Gabion",D15="Reinforced Earth (MSE)"),SG_Criteria!$B$34,SG_Criteria!$B$33),"No ERSS submission",IF(E15&lt;=SG_Criteria!$B$35,"QP(ST)",IF(E15&lt;=SG_Criteria!$B$36,"QP(ST) + AC","Geotechnical building works: QP(Geo) + AC"))))</f>
        <v>QP(ST) + AC</v>
      </c>
      <c r="BJ15" s="33" t="str">
        <f aca="false">IF(D15="","",IF(LEN(IF(AND(V15&lt;&gt;"",IFERROR(VALUE(MID(V15,2,2)),0)&lt;SG_Criteria!$B$19),"FAIL: grade below C"&amp;SG_Criteria!$B$19&amp;". ","")&amp;IF(AND(W15&lt;&gt;"",W15&lt;SG_Criteria!$B$20),"FAIL: cover &lt; "&amp;SG_Criteria!$B$20&amp;" mm. ","")&amp;IF(AND(AD15&lt;&gt;"",AD15&lt;1),"FAIL: sliding. ","")&amp;IF(AND(D15="Reverse L-Wall (toe only, at boundary)",N(S15)&gt;0),"NOTE: reverse L-wall should have no heel. ","")&amp;IF(AND(D15="L-Wall (heel only)",N(R15)&gt;0),"NOTE: L-wall should have no toe. ","")&amp;IF(AND(F15&lt;&gt;"",F15&lt;SG_Criteria!$B$31),"NOTE: q below LTA min "&amp;SG_Criteria!$B$31&amp;" kPa (not for LTA works). ",""))=0,"OK",IF(AND(V15&lt;&gt;"",IFERROR(VALUE(MID(V15,2,2)),0)&lt;SG_Criteria!$B$19),"FAIL: grade below C"&amp;SG_Criteria!$B$19&amp;". ","")&amp;IF(AND(W15&lt;&gt;"",W15&lt;SG_Criteria!$B$20),"FAIL: cover &lt; "&amp;SG_Criteria!$B$20&amp;" mm. ","")&amp;IF(AND(AD15&lt;&gt;"",AD15&lt;1),"FAIL: sliding. ","")&amp;IF(AND(D15="Reverse L-Wall (toe only, at boundary)",N(S15)&gt;0),"NOTE: reverse L-wall should have no heel. ","")&amp;IF(AND(D15="L-Wall (heel only)",N(R15)&gt;0),"NOTE: L-wall should have no toe. ","")&amp;IF(AND(F15&lt;&gt;"",F15&lt;SG_Criteria!$B$31),"NOTE: q below LTA min "&amp;SG_Criteria!$B$31&amp;" kPa (not for LTA works). ","")))</f>
        <v>OK</v>
      </c>
      <c r="BK15" s="18" t="s">
        <v>713</v>
      </c>
      <c r="BL15" s="18"/>
      <c r="BM15" s="18" t="s">
        <v>590</v>
      </c>
      <c r="BN15" s="10" t="str">
        <f aca="false">IF(BM15="","",IFERROR(VLOOKUP(BM15,Projects!$A$5:$D$504,2,0),"Ref not in Projects"))</f>
        <v>EXAMPLE Industrial development, Tuas</v>
      </c>
      <c r="BO15" s="10" t="str">
        <f aca="false">IF(BM15="","",IFERROR(VLOOKUP(BM15,Projects!$A$5:$D$504,4,0),"Ref not in Projects"))</f>
        <v>Private</v>
      </c>
      <c r="BP15" s="18" t="s">
        <v>714</v>
      </c>
      <c r="BQ15" s="18" t="s">
        <v>616</v>
      </c>
      <c r="BR15" s="18" t="s">
        <v>617</v>
      </c>
      <c r="BS15" s="35" t="n">
        <v>46309</v>
      </c>
      <c r="BT15" s="18" t="s">
        <v>617</v>
      </c>
      <c r="BU15" s="35" t="n">
        <v>46309</v>
      </c>
      <c r="BV15" s="18"/>
      <c r="BW15" s="35"/>
      <c r="BX15" s="18" t="s">
        <v>617</v>
      </c>
      <c r="BY15" s="18" t="s">
        <v>617</v>
      </c>
      <c r="BZ15" s="18" t="s">
        <v>617</v>
      </c>
      <c r="CA15" s="35" t="n">
        <v>46309</v>
      </c>
      <c r="CB15" s="35" t="n">
        <v>46309</v>
      </c>
      <c r="CC15" s="36" t="n">
        <f aca="false">IF(CB15="","",EDATE(CB15,SG_Criteria!$B$54*12))</f>
        <v>47405</v>
      </c>
      <c r="CD15" s="33" t="str">
        <f aca="true">IF(A15="","",IF(CB15="","NOTE: not reviewed yet",IF(TODAY()&gt;CC15,"NOTE: review overdue","OK")))</f>
        <v>OK</v>
      </c>
      <c r="CE15" s="37" t="n">
        <f aca="false">IF(A15="","",ROUND((IF(LEN(D15)&gt;0,1,0)+IF(LEN(E15)&gt;0,1,0)+IF(LEN(F15)&gt;0,1,0)+IF(LEN(G15)&gt;0,1,0)+IF(LEN(I15)&gt;0,1,0)+IF(LEN(K15)&gt;0,1,0)+IF(LEN(P15)&gt;0,1,0)+IF(LEN(Q15)&gt;0,1,0)+IF(LEN(T15)&gt;0,1,0)+IF(LEN(V15)&gt;0,1,0)+IF(LEN(W15)&gt;0,1,0)+IF(LEN(X15)&gt;0,1,0)+IF(LEN(Z15)&gt;0,1,0)+IF(LEN(AD15)&gt;0,1,0)+IF(LEN(AE15)&gt;0,1,0)+IF(LEN(AG15)&gt;0,1,0)+IF(LEN(AI15)&gt;0,1,0)+IF(LEN(BB15)&gt;0,1,0)+IF(LEN(BC15)&gt;0,1,0)+IF(LEN(AM15)&gt;0,1,0)+IF(LEN(AO15)&gt;0,1,0)+IF(LEN(AP15)&gt;0,1,0)+IF(LEN(AQ15)&gt;0,1,0)+IF(LEN(AR15)&gt;0,1,0)+IF(LEN(BA15)&gt;0,1,0)+IF(LEN(BM15)&gt;0,1,0)+IF(LEN(BZ15)&gt;0,1,0))/27,2))</f>
        <v>1</v>
      </c>
      <c r="CF15" s="10" t="str">
        <f aca="false">IF(D15="","",IF(AND(AP15="Approved",ISERROR(SEARCH("FAIL",BJ15))),"Y","N"))</f>
        <v>N</v>
      </c>
      <c r="CG15" s="10" t="str">
        <f aca="false">IF(D15="","",D15&amp;"|"&amp;E15&amp;"|"&amp;F15&amp;"|"&amp;G15&amp;"|"&amp;CF15)</f>
        <v>Counterfort RC|6|25|N|N</v>
      </c>
    </row>
    <row r="16" customFormat="false" ht="15" hidden="false" customHeight="false" outlineLevel="0" collapsed="false">
      <c r="A16" s="10" t="str">
        <f aca="false">IF(D16="","","RW-"&amp;IFERROR(VLOOKUP(D16,Lists!$M$4:$N$22,2,0),"??")&amp;"-H"&amp;TEXT(E16*1000,"0000")&amp;"-S"&amp;F16&amp;IF(G16="Y","-GW","")&amp;"-"&amp;AO16)</f>
        <v>RW-GRAV-H1500-S10-A</v>
      </c>
      <c r="B16" s="10" t="str">
        <f aca="false">IF(D16="","",D16&amp;", H = "&amp;TEXT(E16,"0.0")&amp;" m, q = "&amp;F16&amp;" kPa"&amp;IF(G16="Y",", with GWT","")&amp;", "&amp;I16)</f>
        <v>Gravity (mass concrete), H = 1.5 m, q = 10 kPa, Old Alluvium</v>
      </c>
      <c r="C16" s="18" t="s">
        <v>680</v>
      </c>
      <c r="D16" s="18" t="s">
        <v>208</v>
      </c>
      <c r="E16" s="32" t="n">
        <v>1.5</v>
      </c>
      <c r="F16" s="31" t="n">
        <v>10</v>
      </c>
      <c r="G16" s="18" t="s">
        <v>84</v>
      </c>
      <c r="H16" s="31" t="n">
        <v>0</v>
      </c>
      <c r="I16" s="18" t="s">
        <v>86</v>
      </c>
      <c r="J16" s="31" t="n">
        <v>250</v>
      </c>
      <c r="K16" s="31" t="n">
        <v>32</v>
      </c>
      <c r="L16" s="31" t="n">
        <v>0</v>
      </c>
      <c r="M16" s="41" t="n">
        <v>19</v>
      </c>
      <c r="N16" s="18" t="s">
        <v>682</v>
      </c>
      <c r="O16" s="31" t="n">
        <v>400</v>
      </c>
      <c r="P16" s="31" t="n">
        <v>700</v>
      </c>
      <c r="Q16" s="31" t="n">
        <v>1100</v>
      </c>
      <c r="R16" s="31" t="n">
        <v>0</v>
      </c>
      <c r="S16" s="31" t="n">
        <v>0</v>
      </c>
      <c r="T16" s="31" t="n">
        <v>0</v>
      </c>
      <c r="U16" s="18" t="s">
        <v>605</v>
      </c>
      <c r="V16" s="18" t="s">
        <v>603</v>
      </c>
      <c r="W16" s="31" t="n">
        <v>50</v>
      </c>
      <c r="X16" s="18" t="s">
        <v>605</v>
      </c>
      <c r="Y16" s="18" t="s">
        <v>605</v>
      </c>
      <c r="Z16" s="18" t="s">
        <v>605</v>
      </c>
      <c r="AA16" s="18" t="s">
        <v>605</v>
      </c>
      <c r="AB16" s="18" t="n">
        <v>15</v>
      </c>
      <c r="AC16" s="18" t="s">
        <v>684</v>
      </c>
      <c r="AD16" s="32" t="n">
        <v>1.6</v>
      </c>
      <c r="AE16" s="32" t="n">
        <v>2.5</v>
      </c>
      <c r="AF16" s="32" t="n">
        <v>2.5</v>
      </c>
      <c r="AG16" s="31" t="n">
        <v>80</v>
      </c>
      <c r="AH16" s="31" t="n">
        <v>20</v>
      </c>
      <c r="AI16" s="18" t="s">
        <v>608</v>
      </c>
      <c r="AJ16" s="31" t="n">
        <v>100</v>
      </c>
      <c r="AK16" s="18" t="s">
        <v>609</v>
      </c>
      <c r="AL16" s="32" t="n">
        <v>0.3</v>
      </c>
      <c r="AM16" s="18" t="s">
        <v>685</v>
      </c>
      <c r="AN16" s="18" t="s">
        <v>686</v>
      </c>
      <c r="AO16" s="18" t="s">
        <v>612</v>
      </c>
      <c r="AP16" s="18" t="s">
        <v>254</v>
      </c>
      <c r="AQ16" s="18" t="s">
        <v>715</v>
      </c>
      <c r="AR16" s="18" t="n">
        <v>25</v>
      </c>
      <c r="AS16" s="18" t="s">
        <v>84</v>
      </c>
      <c r="AT16" s="10" t="str">
        <f aca="false">IF(A16="","",SG_Criteria!$B$6&amp;SG_Criteria!$B$8&amp;"\"&amp;A16&amp;"\")</f>
        <v>C:\Users\yourname\YourCompany\Design Library - Documents\02_Retaining_Wall\RW-GRAV-H1500-S10-A\</v>
      </c>
      <c r="AU16" s="10" t="str">
        <f aca="false">IF(A16="","",A16&amp;"_CAD.dwg")</f>
        <v>RW-GRAV-H1500-S10-A_CAD.dwg</v>
      </c>
      <c r="AV16" s="10" t="str">
        <f aca="false">IF(A16="","",A16&amp;"_DWG.pdf")</f>
        <v>RW-GRAV-H1500-S10-A_DWG.pdf</v>
      </c>
      <c r="AW16" s="10" t="str">
        <f aca="false">IF(A16="","",IF(AS16="Y",A16&amp;"_STAAD.std","n/a"))</f>
        <v>n/a</v>
      </c>
      <c r="AX16" s="10" t="str">
        <f aca="false">IF(A16="","",A16&amp;"_CALC.xlsx")</f>
        <v>RW-GRAV-H1500-S10-A_CALC.xlsx</v>
      </c>
      <c r="AY16" s="10" t="str">
        <f aca="false">IF(A16="","",A16&amp;"_CALC.pdf")</f>
        <v>RW-GRAV-H1500-S10-A_CALC.pdf</v>
      </c>
      <c r="AZ16" s="18" t="s">
        <v>84</v>
      </c>
      <c r="BA16" s="18" t="s">
        <v>313</v>
      </c>
      <c r="BB16" s="32" t="n">
        <v>0.95</v>
      </c>
      <c r="BC16" s="32" t="n">
        <v>0</v>
      </c>
      <c r="BD16" s="32" t="n">
        <v>0</v>
      </c>
      <c r="BE16" s="32" t="n">
        <v>3.2</v>
      </c>
      <c r="BF16" s="32" t="n">
        <v>1.9</v>
      </c>
      <c r="BG16" s="12" t="str">
        <f aca="false">IF(A16="","",IF(COUNTIF(Rebar_Schedule!$A$5:$A$2004,A16)=0,"",ROUND(SUMIF(Rebar_Schedule!$A$5:$A$2004,A16,Rebar_Schedule!$K$5:$K$2004),1)))</f>
        <v/>
      </c>
      <c r="BH16" s="33" t="str">
        <f aca="false">IF(A16="","",IF(BG16="","No rebar schedule yet",IF(ABS(BG16-N(BC16))/MAX(N(BC16),1)&gt;SG_Criteria!$B$55,"NOTE: register rebar differs from schedule by "&amp;TEXT(ABS(BG16-N(BC16))/MAX(N(BC16),1),"0%"),"OK")))</f>
        <v>No rebar schedule yet</v>
      </c>
      <c r="BI16" s="33" t="str">
        <f aca="false">IF(OR(D16="",E16=""),"",IF(E16&lt;=IF(OR(D16="Block / Segmental",D16="Gabion",D16="Reinforced Earth (MSE)"),SG_Criteria!$B$34,SG_Criteria!$B$33),"No ERSS submission",IF(E16&lt;=SG_Criteria!$B$35,"QP(ST)",IF(E16&lt;=SG_Criteria!$B$36,"QP(ST) + AC","Geotechnical building works: QP(Geo) + AC"))))</f>
        <v>No ERSS submission</v>
      </c>
      <c r="BJ16" s="33" t="str">
        <f aca="false">IF(D16="","",IF(LEN(IF(AND(V16&lt;&gt;"",IFERROR(VALUE(MID(V16,2,2)),0)&lt;SG_Criteria!$B$19),"FAIL: grade below C"&amp;SG_Criteria!$B$19&amp;". ","")&amp;IF(AND(W16&lt;&gt;"",W16&lt;SG_Criteria!$B$20),"FAIL: cover &lt; "&amp;SG_Criteria!$B$20&amp;" mm. ","")&amp;IF(AND(AD16&lt;&gt;"",AD16&lt;1),"FAIL: sliding. ","")&amp;IF(AND(D16="Reverse L-Wall (toe only, at boundary)",N(S16)&gt;0),"NOTE: reverse L-wall should have no heel. ","")&amp;IF(AND(D16="L-Wall (heel only)",N(R16)&gt;0),"NOTE: L-wall should have no toe. ","")&amp;IF(AND(F16&lt;&gt;"",F16&lt;SG_Criteria!$B$31),"NOTE: q below LTA min "&amp;SG_Criteria!$B$31&amp;" kPa (not for LTA works). ",""))=0,"OK",IF(AND(V16&lt;&gt;"",IFERROR(VALUE(MID(V16,2,2)),0)&lt;SG_Criteria!$B$19),"FAIL: grade below C"&amp;SG_Criteria!$B$19&amp;". ","")&amp;IF(AND(W16&lt;&gt;"",W16&lt;SG_Criteria!$B$20),"FAIL: cover &lt; "&amp;SG_Criteria!$B$20&amp;" mm. ","")&amp;IF(AND(AD16&lt;&gt;"",AD16&lt;1),"FAIL: sliding. ","")&amp;IF(AND(D16="Reverse L-Wall (toe only, at boundary)",N(S16)&gt;0),"NOTE: reverse L-wall should have no heel. ","")&amp;IF(AND(D16="L-Wall (heel only)",N(R16)&gt;0),"NOTE: L-wall should have no toe. ","")&amp;IF(AND(F16&lt;&gt;"",F16&lt;SG_Criteria!$B$31),"NOTE: q below LTA min "&amp;SG_Criteria!$B$31&amp;" kPa (not for LTA works). ","")))</f>
        <v>NOTE: q below LTA min 25 kPa (not for LTA works). </v>
      </c>
      <c r="BK16" s="18" t="s">
        <v>716</v>
      </c>
      <c r="BL16" s="18"/>
      <c r="BM16" s="18" t="s">
        <v>590</v>
      </c>
      <c r="BN16" s="10" t="str">
        <f aca="false">IF(BM16="","",IFERROR(VLOOKUP(BM16,Projects!$A$5:$D$504,2,0),"Ref not in Projects"))</f>
        <v>EXAMPLE Industrial development, Tuas</v>
      </c>
      <c r="BO16" s="10" t="str">
        <f aca="false">IF(BM16="","",IFERROR(VLOOKUP(BM16,Projects!$A$5:$D$504,4,0),"Ref not in Projects"))</f>
        <v>Private</v>
      </c>
      <c r="BP16" s="18" t="s">
        <v>717</v>
      </c>
      <c r="BQ16" s="18" t="s">
        <v>616</v>
      </c>
      <c r="BR16" s="18" t="s">
        <v>617</v>
      </c>
      <c r="BS16" s="35" t="n">
        <v>46309</v>
      </c>
      <c r="BT16" s="18" t="s">
        <v>617</v>
      </c>
      <c r="BU16" s="35" t="n">
        <v>46309</v>
      </c>
      <c r="BV16" s="18" t="s">
        <v>618</v>
      </c>
      <c r="BW16" s="35"/>
      <c r="BX16" s="18" t="s">
        <v>617</v>
      </c>
      <c r="BY16" s="18" t="s">
        <v>617</v>
      </c>
      <c r="BZ16" s="18" t="s">
        <v>617</v>
      </c>
      <c r="CA16" s="35" t="n">
        <v>46309</v>
      </c>
      <c r="CB16" s="35" t="n">
        <v>46309</v>
      </c>
      <c r="CC16" s="36" t="n">
        <f aca="false">IF(CB16="","",EDATE(CB16,SG_Criteria!$B$54*12))</f>
        <v>47405</v>
      </c>
      <c r="CD16" s="33" t="str">
        <f aca="true">IF(A16="","",IF(CB16="","NOTE: not reviewed yet",IF(TODAY()&gt;CC16,"NOTE: review overdue","OK")))</f>
        <v>OK</v>
      </c>
      <c r="CE16" s="37" t="n">
        <f aca="false">IF(A16="","",ROUND((IF(LEN(D16)&gt;0,1,0)+IF(LEN(E16)&gt;0,1,0)+IF(LEN(F16)&gt;0,1,0)+IF(LEN(G16)&gt;0,1,0)+IF(LEN(I16)&gt;0,1,0)+IF(LEN(K16)&gt;0,1,0)+IF(LEN(P16)&gt;0,1,0)+IF(LEN(Q16)&gt;0,1,0)+IF(LEN(T16)&gt;0,1,0)+IF(LEN(V16)&gt;0,1,0)+IF(LEN(W16)&gt;0,1,0)+IF(LEN(X16)&gt;0,1,0)+IF(LEN(Z16)&gt;0,1,0)+IF(LEN(AD16)&gt;0,1,0)+IF(LEN(AE16)&gt;0,1,0)+IF(LEN(AG16)&gt;0,1,0)+IF(LEN(AI16)&gt;0,1,0)+IF(LEN(BB16)&gt;0,1,0)+IF(LEN(BC16)&gt;0,1,0)+IF(LEN(AM16)&gt;0,1,0)+IF(LEN(AO16)&gt;0,1,0)+IF(LEN(AP16)&gt;0,1,0)+IF(LEN(AQ16)&gt;0,1,0)+IF(LEN(AR16)&gt;0,1,0)+IF(LEN(BA16)&gt;0,1,0)+IF(LEN(BM16)&gt;0,1,0)+IF(LEN(BZ16)&gt;0,1,0))/27,2))</f>
        <v>1</v>
      </c>
      <c r="CF16" s="10" t="str">
        <f aca="false">IF(D16="","",IF(AND(AP16="Approved",ISERROR(SEARCH("FAIL",BJ16))),"Y","N"))</f>
        <v>Y</v>
      </c>
      <c r="CG16" s="10" t="str">
        <f aca="false">IF(D16="","",D16&amp;"|"&amp;E16&amp;"|"&amp;F16&amp;"|"&amp;G16&amp;"|"&amp;CF16)</f>
        <v>Gravity (mass concrete)|1.5|10|N|Y</v>
      </c>
    </row>
    <row r="17" customFormat="false" ht="15" hidden="false" customHeight="false" outlineLevel="0" collapsed="false">
      <c r="A17" s="10" t="str">
        <f aca="false">IF(D17="","","RW-"&amp;IFERROR(VLOOKUP(D17,Lists!$M$4:$N$22,2,0),"??")&amp;"-H"&amp;TEXT(E17*1000,"0000")&amp;"-S"&amp;F17&amp;IF(G17="Y","-GW","")&amp;"-"&amp;AO17)</f>
        <v/>
      </c>
      <c r="B17" s="10" t="str">
        <f aca="false">IF(D17="","",D17&amp;", H = "&amp;TEXT(E17,"0.0")&amp;" m, q = "&amp;F17&amp;" kPa"&amp;IF(G17="Y",", with GWT","")&amp;", "&amp;I17)</f>
        <v/>
      </c>
      <c r="C17" s="9"/>
      <c r="D17" s="9"/>
      <c r="E17" s="39"/>
      <c r="F17" s="38"/>
      <c r="G17" s="9"/>
      <c r="H17" s="38"/>
      <c r="I17" s="9"/>
      <c r="J17" s="38"/>
      <c r="K17" s="38"/>
      <c r="L17" s="38"/>
      <c r="M17" s="42"/>
      <c r="N17" s="9"/>
      <c r="O17" s="38"/>
      <c r="P17" s="38"/>
      <c r="Q17" s="38"/>
      <c r="R17" s="38"/>
      <c r="S17" s="38"/>
      <c r="T17" s="38"/>
      <c r="U17" s="9"/>
      <c r="V17" s="9"/>
      <c r="W17" s="38"/>
      <c r="X17" s="9"/>
      <c r="Y17" s="9"/>
      <c r="Z17" s="9"/>
      <c r="AA17" s="9"/>
      <c r="AB17" s="9"/>
      <c r="AC17" s="9"/>
      <c r="AD17" s="39"/>
      <c r="AE17" s="39"/>
      <c r="AF17" s="39"/>
      <c r="AG17" s="38"/>
      <c r="AH17" s="38"/>
      <c r="AI17" s="9"/>
      <c r="AJ17" s="38"/>
      <c r="AK17" s="9"/>
      <c r="AL17" s="39"/>
      <c r="AM17" s="9"/>
      <c r="AN17" s="9"/>
      <c r="AO17" s="9"/>
      <c r="AP17" s="9"/>
      <c r="AQ17" s="9"/>
      <c r="AR17" s="9"/>
      <c r="AS17" s="9"/>
      <c r="AT17" s="10" t="str">
        <f aca="false">IF(A17="","",SG_Criteria!$B$6&amp;SG_Criteria!$B$8&amp;"\"&amp;A17&amp;"\")</f>
        <v/>
      </c>
      <c r="AU17" s="10" t="str">
        <f aca="false">IF(A17="","",A17&amp;"_CAD.dwg")</f>
        <v/>
      </c>
      <c r="AV17" s="10" t="str">
        <f aca="false">IF(A17="","",A17&amp;"_DWG.pdf")</f>
        <v/>
      </c>
      <c r="AW17" s="10" t="str">
        <f aca="false">IF(A17="","",IF(AS17="Y",A17&amp;"_STAAD.std","n/a"))</f>
        <v/>
      </c>
      <c r="AX17" s="10" t="str">
        <f aca="false">IF(A17="","",A17&amp;"_CALC.xlsx")</f>
        <v/>
      </c>
      <c r="AY17" s="10" t="str">
        <f aca="false">IF(A17="","",A17&amp;"_CALC.pdf")</f>
        <v/>
      </c>
      <c r="AZ17" s="9"/>
      <c r="BA17" s="9"/>
      <c r="BB17" s="39"/>
      <c r="BC17" s="39"/>
      <c r="BD17" s="39"/>
      <c r="BE17" s="39"/>
      <c r="BF17" s="39"/>
      <c r="BG17" s="12" t="str">
        <f aca="false">IF(A17="","",IF(COUNTIF(Rebar_Schedule!$A$5:$A$2004,A17)=0,"",ROUND(SUMIF(Rebar_Schedule!$A$5:$A$2004,A17,Rebar_Schedule!$K$5:$K$2004),1)))</f>
        <v/>
      </c>
      <c r="BH17" s="33" t="str">
        <f aca="false">IF(A17="","",IF(BG17="","No rebar schedule yet",IF(ABS(BG17-N(BC17))/MAX(N(BC17),1)&gt;SG_Criteria!$B$55,"NOTE: register rebar differs from schedule by "&amp;TEXT(ABS(BG17-N(BC17))/MAX(N(BC17),1),"0%"),"OK")))</f>
        <v/>
      </c>
      <c r="BI17" s="33" t="str">
        <f aca="false">IF(OR(D17="",E17=""),"",IF(E17&lt;=IF(OR(D17="Block / Segmental",D17="Gabion",D17="Reinforced Earth (MSE)"),SG_Criteria!$B$34,SG_Criteria!$B$33),"No ERSS submission",IF(E17&lt;=SG_Criteria!$B$35,"QP(ST)",IF(E17&lt;=SG_Criteria!$B$36,"QP(ST) + AC","Geotechnical building works: QP(Geo) + AC"))))</f>
        <v/>
      </c>
      <c r="BJ17" s="33" t="str">
        <f aca="false">IF(D17="","",IF(LEN(IF(AND(V17&lt;&gt;"",IFERROR(VALUE(MID(V17,2,2)),0)&lt;SG_Criteria!$B$19),"FAIL: grade below C"&amp;SG_Criteria!$B$19&amp;". ","")&amp;IF(AND(W17&lt;&gt;"",W17&lt;SG_Criteria!$B$20),"FAIL: cover &lt; "&amp;SG_Criteria!$B$20&amp;" mm. ","")&amp;IF(AND(AD17&lt;&gt;"",AD17&lt;1),"FAIL: sliding. ","")&amp;IF(AND(D17="Reverse L-Wall (toe only, at boundary)",N(S17)&gt;0),"NOTE: reverse L-wall should have no heel. ","")&amp;IF(AND(D17="L-Wall (heel only)",N(R17)&gt;0),"NOTE: L-wall should have no toe. ","")&amp;IF(AND(F17&lt;&gt;"",F17&lt;SG_Criteria!$B$31),"NOTE: q below LTA min "&amp;SG_Criteria!$B$31&amp;" kPa (not for LTA works). ",""))=0,"OK",IF(AND(V17&lt;&gt;"",IFERROR(VALUE(MID(V17,2,2)),0)&lt;SG_Criteria!$B$19),"FAIL: grade below C"&amp;SG_Criteria!$B$19&amp;". ","")&amp;IF(AND(W17&lt;&gt;"",W17&lt;SG_Criteria!$B$20),"FAIL: cover &lt; "&amp;SG_Criteria!$B$20&amp;" mm. ","")&amp;IF(AND(AD17&lt;&gt;"",AD17&lt;1),"FAIL: sliding. ","")&amp;IF(AND(D17="Reverse L-Wall (toe only, at boundary)",N(S17)&gt;0),"NOTE: reverse L-wall should have no heel. ","")&amp;IF(AND(D17="L-Wall (heel only)",N(R17)&gt;0),"NOTE: L-wall should have no toe. ","")&amp;IF(AND(F17&lt;&gt;"",F17&lt;SG_Criteria!$B$31),"NOTE: q below LTA min "&amp;SG_Criteria!$B$31&amp;" kPa (not for LTA works). ","")))</f>
        <v/>
      </c>
      <c r="BK17" s="9"/>
      <c r="BL17" s="9"/>
      <c r="BM17" s="9"/>
      <c r="BN17" s="10" t="str">
        <f aca="false">IF(BM17="","",IFERROR(VLOOKUP(BM17,Projects!$A$5:$D$504,2,0),"Ref not in Projects"))</f>
        <v/>
      </c>
      <c r="BO17" s="10" t="str">
        <f aca="false">IF(BM17="","",IFERROR(VLOOKUP(BM17,Projects!$A$5:$D$504,4,0),"Ref not in Projects"))</f>
        <v/>
      </c>
      <c r="BP17" s="9"/>
      <c r="BQ17" s="9"/>
      <c r="BR17" s="9"/>
      <c r="BS17" s="40"/>
      <c r="BT17" s="9"/>
      <c r="BU17" s="40"/>
      <c r="BV17" s="9"/>
      <c r="BW17" s="40"/>
      <c r="BX17" s="9"/>
      <c r="BY17" s="9"/>
      <c r="BZ17" s="9"/>
      <c r="CA17" s="40"/>
      <c r="CB17" s="40"/>
      <c r="CC17" s="36" t="str">
        <f aca="false">IF(CB17="","",EDATE(CB17,SG_Criteria!$B$54*12))</f>
        <v/>
      </c>
      <c r="CD17" s="33" t="str">
        <f aca="true">IF(A17="","",IF(CB17="","NOTE: not reviewed yet",IF(TODAY()&gt;CC17,"NOTE: review overdue","OK")))</f>
        <v/>
      </c>
      <c r="CE17" s="37" t="str">
        <f aca="false">IF(A17="","",ROUND((IF(LEN(D17)&gt;0,1,0)+IF(LEN(E17)&gt;0,1,0)+IF(LEN(F17)&gt;0,1,0)+IF(LEN(G17)&gt;0,1,0)+IF(LEN(I17)&gt;0,1,0)+IF(LEN(K17)&gt;0,1,0)+IF(LEN(P17)&gt;0,1,0)+IF(LEN(Q17)&gt;0,1,0)+IF(LEN(T17)&gt;0,1,0)+IF(LEN(V17)&gt;0,1,0)+IF(LEN(W17)&gt;0,1,0)+IF(LEN(X17)&gt;0,1,0)+IF(LEN(Z17)&gt;0,1,0)+IF(LEN(AD17)&gt;0,1,0)+IF(LEN(AE17)&gt;0,1,0)+IF(LEN(AG17)&gt;0,1,0)+IF(LEN(AI17)&gt;0,1,0)+IF(LEN(BB17)&gt;0,1,0)+IF(LEN(BC17)&gt;0,1,0)+IF(LEN(AM17)&gt;0,1,0)+IF(LEN(AO17)&gt;0,1,0)+IF(LEN(AP17)&gt;0,1,0)+IF(LEN(AQ17)&gt;0,1,0)+IF(LEN(AR17)&gt;0,1,0)+IF(LEN(BA17)&gt;0,1,0)+IF(LEN(BM17)&gt;0,1,0)+IF(LEN(BZ17)&gt;0,1,0))/27,2))</f>
        <v/>
      </c>
      <c r="CF17" s="10" t="str">
        <f aca="false">IF(D17="","",IF(AND(AP17="Approved",ISERROR(SEARCH("FAIL",BJ17))),"Y","N"))</f>
        <v/>
      </c>
      <c r="CG17" s="10" t="str">
        <f aca="false">IF(D17="","",D17&amp;"|"&amp;E17&amp;"|"&amp;F17&amp;"|"&amp;G17&amp;"|"&amp;CF17)</f>
        <v/>
      </c>
    </row>
    <row r="18" customFormat="false" ht="15" hidden="false" customHeight="false" outlineLevel="0" collapsed="false">
      <c r="A18" s="10" t="str">
        <f aca="false">IF(D18="","","RW-"&amp;IFERROR(VLOOKUP(D18,Lists!$M$4:$N$22,2,0),"??")&amp;"-H"&amp;TEXT(E18*1000,"0000")&amp;"-S"&amp;F18&amp;IF(G18="Y","-GW","")&amp;"-"&amp;AO18)</f>
        <v/>
      </c>
      <c r="B18" s="10" t="str">
        <f aca="false">IF(D18="","",D18&amp;", H = "&amp;TEXT(E18,"0.0")&amp;" m, q = "&amp;F18&amp;" kPa"&amp;IF(G18="Y",", with GWT","")&amp;", "&amp;I18)</f>
        <v/>
      </c>
      <c r="C18" s="9"/>
      <c r="D18" s="9"/>
      <c r="E18" s="39"/>
      <c r="F18" s="38"/>
      <c r="G18" s="9"/>
      <c r="H18" s="38"/>
      <c r="I18" s="9"/>
      <c r="J18" s="38"/>
      <c r="K18" s="38"/>
      <c r="L18" s="38"/>
      <c r="M18" s="42"/>
      <c r="N18" s="9"/>
      <c r="O18" s="38"/>
      <c r="P18" s="38"/>
      <c r="Q18" s="38"/>
      <c r="R18" s="38"/>
      <c r="S18" s="38"/>
      <c r="T18" s="38"/>
      <c r="U18" s="9"/>
      <c r="V18" s="9"/>
      <c r="W18" s="38"/>
      <c r="X18" s="9"/>
      <c r="Y18" s="9"/>
      <c r="Z18" s="9"/>
      <c r="AA18" s="9"/>
      <c r="AB18" s="9"/>
      <c r="AC18" s="9"/>
      <c r="AD18" s="39"/>
      <c r="AE18" s="39"/>
      <c r="AF18" s="39"/>
      <c r="AG18" s="38"/>
      <c r="AH18" s="38"/>
      <c r="AI18" s="9"/>
      <c r="AJ18" s="38"/>
      <c r="AK18" s="9"/>
      <c r="AL18" s="39"/>
      <c r="AM18" s="9"/>
      <c r="AN18" s="9"/>
      <c r="AO18" s="9"/>
      <c r="AP18" s="9"/>
      <c r="AQ18" s="9"/>
      <c r="AR18" s="9"/>
      <c r="AS18" s="9"/>
      <c r="AT18" s="10" t="str">
        <f aca="false">IF(A18="","",SG_Criteria!$B$6&amp;SG_Criteria!$B$8&amp;"\"&amp;A18&amp;"\")</f>
        <v/>
      </c>
      <c r="AU18" s="10" t="str">
        <f aca="false">IF(A18="","",A18&amp;"_CAD.dwg")</f>
        <v/>
      </c>
      <c r="AV18" s="10" t="str">
        <f aca="false">IF(A18="","",A18&amp;"_DWG.pdf")</f>
        <v/>
      </c>
      <c r="AW18" s="10" t="str">
        <f aca="false">IF(A18="","",IF(AS18="Y",A18&amp;"_STAAD.std","n/a"))</f>
        <v/>
      </c>
      <c r="AX18" s="10" t="str">
        <f aca="false">IF(A18="","",A18&amp;"_CALC.xlsx")</f>
        <v/>
      </c>
      <c r="AY18" s="10" t="str">
        <f aca="false">IF(A18="","",A18&amp;"_CALC.pdf")</f>
        <v/>
      </c>
      <c r="AZ18" s="9"/>
      <c r="BA18" s="9"/>
      <c r="BB18" s="39"/>
      <c r="BC18" s="39"/>
      <c r="BD18" s="39"/>
      <c r="BE18" s="39"/>
      <c r="BF18" s="39"/>
      <c r="BG18" s="12" t="str">
        <f aca="false">IF(A18="","",IF(COUNTIF(Rebar_Schedule!$A$5:$A$2004,A18)=0,"",ROUND(SUMIF(Rebar_Schedule!$A$5:$A$2004,A18,Rebar_Schedule!$K$5:$K$2004),1)))</f>
        <v/>
      </c>
      <c r="BH18" s="33" t="str">
        <f aca="false">IF(A18="","",IF(BG18="","No rebar schedule yet",IF(ABS(BG18-N(BC18))/MAX(N(BC18),1)&gt;SG_Criteria!$B$55,"NOTE: register rebar differs from schedule by "&amp;TEXT(ABS(BG18-N(BC18))/MAX(N(BC18),1),"0%"),"OK")))</f>
        <v/>
      </c>
      <c r="BI18" s="33" t="str">
        <f aca="false">IF(OR(D18="",E18=""),"",IF(E18&lt;=IF(OR(D18="Block / Segmental",D18="Gabion",D18="Reinforced Earth (MSE)"),SG_Criteria!$B$34,SG_Criteria!$B$33),"No ERSS submission",IF(E18&lt;=SG_Criteria!$B$35,"QP(ST)",IF(E18&lt;=SG_Criteria!$B$36,"QP(ST) + AC","Geotechnical building works: QP(Geo) + AC"))))</f>
        <v/>
      </c>
      <c r="BJ18" s="33" t="str">
        <f aca="false">IF(D18="","",IF(LEN(IF(AND(V18&lt;&gt;"",IFERROR(VALUE(MID(V18,2,2)),0)&lt;SG_Criteria!$B$19),"FAIL: grade below C"&amp;SG_Criteria!$B$19&amp;". ","")&amp;IF(AND(W18&lt;&gt;"",W18&lt;SG_Criteria!$B$20),"FAIL: cover &lt; "&amp;SG_Criteria!$B$20&amp;" mm. ","")&amp;IF(AND(AD18&lt;&gt;"",AD18&lt;1),"FAIL: sliding. ","")&amp;IF(AND(D18="Reverse L-Wall (toe only, at boundary)",N(S18)&gt;0),"NOTE: reverse L-wall should have no heel. ","")&amp;IF(AND(D18="L-Wall (heel only)",N(R18)&gt;0),"NOTE: L-wall should have no toe. ","")&amp;IF(AND(F18&lt;&gt;"",F18&lt;SG_Criteria!$B$31),"NOTE: q below LTA min "&amp;SG_Criteria!$B$31&amp;" kPa (not for LTA works). ",""))=0,"OK",IF(AND(V18&lt;&gt;"",IFERROR(VALUE(MID(V18,2,2)),0)&lt;SG_Criteria!$B$19),"FAIL: grade below C"&amp;SG_Criteria!$B$19&amp;". ","")&amp;IF(AND(W18&lt;&gt;"",W18&lt;SG_Criteria!$B$20),"FAIL: cover &lt; "&amp;SG_Criteria!$B$20&amp;" mm. ","")&amp;IF(AND(AD18&lt;&gt;"",AD18&lt;1),"FAIL: sliding. ","")&amp;IF(AND(D18="Reverse L-Wall (toe only, at boundary)",N(S18)&gt;0),"NOTE: reverse L-wall should have no heel. ","")&amp;IF(AND(D18="L-Wall (heel only)",N(R18)&gt;0),"NOTE: L-wall should have no toe. ","")&amp;IF(AND(F18&lt;&gt;"",F18&lt;SG_Criteria!$B$31),"NOTE: q below LTA min "&amp;SG_Criteria!$B$31&amp;" kPa (not for LTA works). ","")))</f>
        <v/>
      </c>
      <c r="BK18" s="9"/>
      <c r="BL18" s="9"/>
      <c r="BM18" s="9"/>
      <c r="BN18" s="10" t="str">
        <f aca="false">IF(BM18="","",IFERROR(VLOOKUP(BM18,Projects!$A$5:$D$504,2,0),"Ref not in Projects"))</f>
        <v/>
      </c>
      <c r="BO18" s="10" t="str">
        <f aca="false">IF(BM18="","",IFERROR(VLOOKUP(BM18,Projects!$A$5:$D$504,4,0),"Ref not in Projects"))</f>
        <v/>
      </c>
      <c r="BP18" s="9"/>
      <c r="BQ18" s="9"/>
      <c r="BR18" s="9"/>
      <c r="BS18" s="40"/>
      <c r="BT18" s="9"/>
      <c r="BU18" s="40"/>
      <c r="BV18" s="9"/>
      <c r="BW18" s="40"/>
      <c r="BX18" s="9"/>
      <c r="BY18" s="9"/>
      <c r="BZ18" s="9"/>
      <c r="CA18" s="40"/>
      <c r="CB18" s="40"/>
      <c r="CC18" s="36" t="str">
        <f aca="false">IF(CB18="","",EDATE(CB18,SG_Criteria!$B$54*12))</f>
        <v/>
      </c>
      <c r="CD18" s="33" t="str">
        <f aca="true">IF(A18="","",IF(CB18="","NOTE: not reviewed yet",IF(TODAY()&gt;CC18,"NOTE: review overdue","OK")))</f>
        <v/>
      </c>
      <c r="CE18" s="37" t="str">
        <f aca="false">IF(A18="","",ROUND((IF(LEN(D18)&gt;0,1,0)+IF(LEN(E18)&gt;0,1,0)+IF(LEN(F18)&gt;0,1,0)+IF(LEN(G18)&gt;0,1,0)+IF(LEN(I18)&gt;0,1,0)+IF(LEN(K18)&gt;0,1,0)+IF(LEN(P18)&gt;0,1,0)+IF(LEN(Q18)&gt;0,1,0)+IF(LEN(T18)&gt;0,1,0)+IF(LEN(V18)&gt;0,1,0)+IF(LEN(W18)&gt;0,1,0)+IF(LEN(X18)&gt;0,1,0)+IF(LEN(Z18)&gt;0,1,0)+IF(LEN(AD18)&gt;0,1,0)+IF(LEN(AE18)&gt;0,1,0)+IF(LEN(AG18)&gt;0,1,0)+IF(LEN(AI18)&gt;0,1,0)+IF(LEN(BB18)&gt;0,1,0)+IF(LEN(BC18)&gt;0,1,0)+IF(LEN(AM18)&gt;0,1,0)+IF(LEN(AO18)&gt;0,1,0)+IF(LEN(AP18)&gt;0,1,0)+IF(LEN(AQ18)&gt;0,1,0)+IF(LEN(AR18)&gt;0,1,0)+IF(LEN(BA18)&gt;0,1,0)+IF(LEN(BM18)&gt;0,1,0)+IF(LEN(BZ18)&gt;0,1,0))/27,2))</f>
        <v/>
      </c>
      <c r="CF18" s="10" t="str">
        <f aca="false">IF(D18="","",IF(AND(AP18="Approved",ISERROR(SEARCH("FAIL",BJ18))),"Y","N"))</f>
        <v/>
      </c>
      <c r="CG18" s="10" t="str">
        <f aca="false">IF(D18="","",D18&amp;"|"&amp;E18&amp;"|"&amp;F18&amp;"|"&amp;G18&amp;"|"&amp;CF18)</f>
        <v/>
      </c>
    </row>
    <row r="19" customFormat="false" ht="15" hidden="false" customHeight="false" outlineLevel="0" collapsed="false">
      <c r="A19" s="10" t="str">
        <f aca="false">IF(D19="","","RW-"&amp;IFERROR(VLOOKUP(D19,Lists!$M$4:$N$22,2,0),"??")&amp;"-H"&amp;TEXT(E19*1000,"0000")&amp;"-S"&amp;F19&amp;IF(G19="Y","-GW","")&amp;"-"&amp;AO19)</f>
        <v/>
      </c>
      <c r="B19" s="10" t="str">
        <f aca="false">IF(D19="","",D19&amp;", H = "&amp;TEXT(E19,"0.0")&amp;" m, q = "&amp;F19&amp;" kPa"&amp;IF(G19="Y",", with GWT","")&amp;", "&amp;I19)</f>
        <v/>
      </c>
      <c r="C19" s="9"/>
      <c r="D19" s="9"/>
      <c r="E19" s="39"/>
      <c r="F19" s="38"/>
      <c r="G19" s="9"/>
      <c r="H19" s="38"/>
      <c r="I19" s="9"/>
      <c r="J19" s="38"/>
      <c r="K19" s="38"/>
      <c r="L19" s="38"/>
      <c r="M19" s="42"/>
      <c r="N19" s="9"/>
      <c r="O19" s="38"/>
      <c r="P19" s="38"/>
      <c r="Q19" s="38"/>
      <c r="R19" s="38"/>
      <c r="S19" s="38"/>
      <c r="T19" s="38"/>
      <c r="U19" s="9"/>
      <c r="V19" s="9"/>
      <c r="W19" s="38"/>
      <c r="X19" s="9"/>
      <c r="Y19" s="9"/>
      <c r="Z19" s="9"/>
      <c r="AA19" s="9"/>
      <c r="AB19" s="9"/>
      <c r="AC19" s="9"/>
      <c r="AD19" s="39"/>
      <c r="AE19" s="39"/>
      <c r="AF19" s="39"/>
      <c r="AG19" s="38"/>
      <c r="AH19" s="38"/>
      <c r="AI19" s="9"/>
      <c r="AJ19" s="38"/>
      <c r="AK19" s="9"/>
      <c r="AL19" s="39"/>
      <c r="AM19" s="9"/>
      <c r="AN19" s="9"/>
      <c r="AO19" s="9"/>
      <c r="AP19" s="9"/>
      <c r="AQ19" s="9"/>
      <c r="AR19" s="9"/>
      <c r="AS19" s="9"/>
      <c r="AT19" s="10" t="str">
        <f aca="false">IF(A19="","",SG_Criteria!$B$6&amp;SG_Criteria!$B$8&amp;"\"&amp;A19&amp;"\")</f>
        <v/>
      </c>
      <c r="AU19" s="10" t="str">
        <f aca="false">IF(A19="","",A19&amp;"_CAD.dwg")</f>
        <v/>
      </c>
      <c r="AV19" s="10" t="str">
        <f aca="false">IF(A19="","",A19&amp;"_DWG.pdf")</f>
        <v/>
      </c>
      <c r="AW19" s="10" t="str">
        <f aca="false">IF(A19="","",IF(AS19="Y",A19&amp;"_STAAD.std","n/a"))</f>
        <v/>
      </c>
      <c r="AX19" s="10" t="str">
        <f aca="false">IF(A19="","",A19&amp;"_CALC.xlsx")</f>
        <v/>
      </c>
      <c r="AY19" s="10" t="str">
        <f aca="false">IF(A19="","",A19&amp;"_CALC.pdf")</f>
        <v/>
      </c>
      <c r="AZ19" s="9"/>
      <c r="BA19" s="9"/>
      <c r="BB19" s="39"/>
      <c r="BC19" s="39"/>
      <c r="BD19" s="39"/>
      <c r="BE19" s="39"/>
      <c r="BF19" s="39"/>
      <c r="BG19" s="12" t="str">
        <f aca="false">IF(A19="","",IF(COUNTIF(Rebar_Schedule!$A$5:$A$2004,A19)=0,"",ROUND(SUMIF(Rebar_Schedule!$A$5:$A$2004,A19,Rebar_Schedule!$K$5:$K$2004),1)))</f>
        <v/>
      </c>
      <c r="BH19" s="33" t="str">
        <f aca="false">IF(A19="","",IF(BG19="","No rebar schedule yet",IF(ABS(BG19-N(BC19))/MAX(N(BC19),1)&gt;SG_Criteria!$B$55,"NOTE: register rebar differs from schedule by "&amp;TEXT(ABS(BG19-N(BC19))/MAX(N(BC19),1),"0%"),"OK")))</f>
        <v/>
      </c>
      <c r="BI19" s="33" t="str">
        <f aca="false">IF(OR(D19="",E19=""),"",IF(E19&lt;=IF(OR(D19="Block / Segmental",D19="Gabion",D19="Reinforced Earth (MSE)"),SG_Criteria!$B$34,SG_Criteria!$B$33),"No ERSS submission",IF(E19&lt;=SG_Criteria!$B$35,"QP(ST)",IF(E19&lt;=SG_Criteria!$B$36,"QP(ST) + AC","Geotechnical building works: QP(Geo) + AC"))))</f>
        <v/>
      </c>
      <c r="BJ19" s="33" t="str">
        <f aca="false">IF(D19="","",IF(LEN(IF(AND(V19&lt;&gt;"",IFERROR(VALUE(MID(V19,2,2)),0)&lt;SG_Criteria!$B$19),"FAIL: grade below C"&amp;SG_Criteria!$B$19&amp;". ","")&amp;IF(AND(W19&lt;&gt;"",W19&lt;SG_Criteria!$B$20),"FAIL: cover &lt; "&amp;SG_Criteria!$B$20&amp;" mm. ","")&amp;IF(AND(AD19&lt;&gt;"",AD19&lt;1),"FAIL: sliding. ","")&amp;IF(AND(D19="Reverse L-Wall (toe only, at boundary)",N(S19)&gt;0),"NOTE: reverse L-wall should have no heel. ","")&amp;IF(AND(D19="L-Wall (heel only)",N(R19)&gt;0),"NOTE: L-wall should have no toe. ","")&amp;IF(AND(F19&lt;&gt;"",F19&lt;SG_Criteria!$B$31),"NOTE: q below LTA min "&amp;SG_Criteria!$B$31&amp;" kPa (not for LTA works). ",""))=0,"OK",IF(AND(V19&lt;&gt;"",IFERROR(VALUE(MID(V19,2,2)),0)&lt;SG_Criteria!$B$19),"FAIL: grade below C"&amp;SG_Criteria!$B$19&amp;". ","")&amp;IF(AND(W19&lt;&gt;"",W19&lt;SG_Criteria!$B$20),"FAIL: cover &lt; "&amp;SG_Criteria!$B$20&amp;" mm. ","")&amp;IF(AND(AD19&lt;&gt;"",AD19&lt;1),"FAIL: sliding. ","")&amp;IF(AND(D19="Reverse L-Wall (toe only, at boundary)",N(S19)&gt;0),"NOTE: reverse L-wall should have no heel. ","")&amp;IF(AND(D19="L-Wall (heel only)",N(R19)&gt;0),"NOTE: L-wall should have no toe. ","")&amp;IF(AND(F19&lt;&gt;"",F19&lt;SG_Criteria!$B$31),"NOTE: q below LTA min "&amp;SG_Criteria!$B$31&amp;" kPa (not for LTA works). ","")))</f>
        <v/>
      </c>
      <c r="BK19" s="9"/>
      <c r="BL19" s="9"/>
      <c r="BM19" s="9"/>
      <c r="BN19" s="10" t="str">
        <f aca="false">IF(BM19="","",IFERROR(VLOOKUP(BM19,Projects!$A$5:$D$504,2,0),"Ref not in Projects"))</f>
        <v/>
      </c>
      <c r="BO19" s="10" t="str">
        <f aca="false">IF(BM19="","",IFERROR(VLOOKUP(BM19,Projects!$A$5:$D$504,4,0),"Ref not in Projects"))</f>
        <v/>
      </c>
      <c r="BP19" s="9"/>
      <c r="BQ19" s="9"/>
      <c r="BR19" s="9"/>
      <c r="BS19" s="40"/>
      <c r="BT19" s="9"/>
      <c r="BU19" s="40"/>
      <c r="BV19" s="9"/>
      <c r="BW19" s="40"/>
      <c r="BX19" s="9"/>
      <c r="BY19" s="9"/>
      <c r="BZ19" s="9"/>
      <c r="CA19" s="40"/>
      <c r="CB19" s="40"/>
      <c r="CC19" s="36" t="str">
        <f aca="false">IF(CB19="","",EDATE(CB19,SG_Criteria!$B$54*12))</f>
        <v/>
      </c>
      <c r="CD19" s="33" t="str">
        <f aca="true">IF(A19="","",IF(CB19="","NOTE: not reviewed yet",IF(TODAY()&gt;CC19,"NOTE: review overdue","OK")))</f>
        <v/>
      </c>
      <c r="CE19" s="37" t="str">
        <f aca="false">IF(A19="","",ROUND((IF(LEN(D19)&gt;0,1,0)+IF(LEN(E19)&gt;0,1,0)+IF(LEN(F19)&gt;0,1,0)+IF(LEN(G19)&gt;0,1,0)+IF(LEN(I19)&gt;0,1,0)+IF(LEN(K19)&gt;0,1,0)+IF(LEN(P19)&gt;0,1,0)+IF(LEN(Q19)&gt;0,1,0)+IF(LEN(T19)&gt;0,1,0)+IF(LEN(V19)&gt;0,1,0)+IF(LEN(W19)&gt;0,1,0)+IF(LEN(X19)&gt;0,1,0)+IF(LEN(Z19)&gt;0,1,0)+IF(LEN(AD19)&gt;0,1,0)+IF(LEN(AE19)&gt;0,1,0)+IF(LEN(AG19)&gt;0,1,0)+IF(LEN(AI19)&gt;0,1,0)+IF(LEN(BB19)&gt;0,1,0)+IF(LEN(BC19)&gt;0,1,0)+IF(LEN(AM19)&gt;0,1,0)+IF(LEN(AO19)&gt;0,1,0)+IF(LEN(AP19)&gt;0,1,0)+IF(LEN(AQ19)&gt;0,1,0)+IF(LEN(AR19)&gt;0,1,0)+IF(LEN(BA19)&gt;0,1,0)+IF(LEN(BM19)&gt;0,1,0)+IF(LEN(BZ19)&gt;0,1,0))/27,2))</f>
        <v/>
      </c>
      <c r="CF19" s="10" t="str">
        <f aca="false">IF(D19="","",IF(AND(AP19="Approved",ISERROR(SEARCH("FAIL",BJ19))),"Y","N"))</f>
        <v/>
      </c>
      <c r="CG19" s="10" t="str">
        <f aca="false">IF(D19="","",D19&amp;"|"&amp;E19&amp;"|"&amp;F19&amp;"|"&amp;G19&amp;"|"&amp;CF19)</f>
        <v/>
      </c>
    </row>
    <row r="20" customFormat="false" ht="15" hidden="false" customHeight="false" outlineLevel="0" collapsed="false">
      <c r="A20" s="10" t="str">
        <f aca="false">IF(D20="","","RW-"&amp;IFERROR(VLOOKUP(D20,Lists!$M$4:$N$22,2,0),"??")&amp;"-H"&amp;TEXT(E20*1000,"0000")&amp;"-S"&amp;F20&amp;IF(G20="Y","-GW","")&amp;"-"&amp;AO20)</f>
        <v/>
      </c>
      <c r="B20" s="10" t="str">
        <f aca="false">IF(D20="","",D20&amp;", H = "&amp;TEXT(E20,"0.0")&amp;" m, q = "&amp;F20&amp;" kPa"&amp;IF(G20="Y",", with GWT","")&amp;", "&amp;I20)</f>
        <v/>
      </c>
      <c r="C20" s="9"/>
      <c r="D20" s="9"/>
      <c r="E20" s="39"/>
      <c r="F20" s="38"/>
      <c r="G20" s="9"/>
      <c r="H20" s="38"/>
      <c r="I20" s="9"/>
      <c r="J20" s="38"/>
      <c r="K20" s="38"/>
      <c r="L20" s="38"/>
      <c r="M20" s="42"/>
      <c r="N20" s="9"/>
      <c r="O20" s="38"/>
      <c r="P20" s="38"/>
      <c r="Q20" s="38"/>
      <c r="R20" s="38"/>
      <c r="S20" s="38"/>
      <c r="T20" s="38"/>
      <c r="U20" s="9"/>
      <c r="V20" s="9"/>
      <c r="W20" s="38"/>
      <c r="X20" s="9"/>
      <c r="Y20" s="9"/>
      <c r="Z20" s="9"/>
      <c r="AA20" s="9"/>
      <c r="AB20" s="9"/>
      <c r="AC20" s="9"/>
      <c r="AD20" s="39"/>
      <c r="AE20" s="39"/>
      <c r="AF20" s="39"/>
      <c r="AG20" s="38"/>
      <c r="AH20" s="38"/>
      <c r="AI20" s="9"/>
      <c r="AJ20" s="38"/>
      <c r="AK20" s="9"/>
      <c r="AL20" s="39"/>
      <c r="AM20" s="9"/>
      <c r="AN20" s="9"/>
      <c r="AO20" s="9"/>
      <c r="AP20" s="9"/>
      <c r="AQ20" s="9"/>
      <c r="AR20" s="9"/>
      <c r="AS20" s="9"/>
      <c r="AT20" s="10" t="str">
        <f aca="false">IF(A20="","",SG_Criteria!$B$6&amp;SG_Criteria!$B$8&amp;"\"&amp;A20&amp;"\")</f>
        <v/>
      </c>
      <c r="AU20" s="10" t="str">
        <f aca="false">IF(A20="","",A20&amp;"_CAD.dwg")</f>
        <v/>
      </c>
      <c r="AV20" s="10" t="str">
        <f aca="false">IF(A20="","",A20&amp;"_DWG.pdf")</f>
        <v/>
      </c>
      <c r="AW20" s="10" t="str">
        <f aca="false">IF(A20="","",IF(AS20="Y",A20&amp;"_STAAD.std","n/a"))</f>
        <v/>
      </c>
      <c r="AX20" s="10" t="str">
        <f aca="false">IF(A20="","",A20&amp;"_CALC.xlsx")</f>
        <v/>
      </c>
      <c r="AY20" s="10" t="str">
        <f aca="false">IF(A20="","",A20&amp;"_CALC.pdf")</f>
        <v/>
      </c>
      <c r="AZ20" s="9"/>
      <c r="BA20" s="9"/>
      <c r="BB20" s="39"/>
      <c r="BC20" s="39"/>
      <c r="BD20" s="39"/>
      <c r="BE20" s="39"/>
      <c r="BF20" s="39"/>
      <c r="BG20" s="12" t="str">
        <f aca="false">IF(A20="","",IF(COUNTIF(Rebar_Schedule!$A$5:$A$2004,A20)=0,"",ROUND(SUMIF(Rebar_Schedule!$A$5:$A$2004,A20,Rebar_Schedule!$K$5:$K$2004),1)))</f>
        <v/>
      </c>
      <c r="BH20" s="33" t="str">
        <f aca="false">IF(A20="","",IF(BG20="","No rebar schedule yet",IF(ABS(BG20-N(BC20))/MAX(N(BC20),1)&gt;SG_Criteria!$B$55,"NOTE: register rebar differs from schedule by "&amp;TEXT(ABS(BG20-N(BC20))/MAX(N(BC20),1),"0%"),"OK")))</f>
        <v/>
      </c>
      <c r="BI20" s="33" t="str">
        <f aca="false">IF(OR(D20="",E20=""),"",IF(E20&lt;=IF(OR(D20="Block / Segmental",D20="Gabion",D20="Reinforced Earth (MSE)"),SG_Criteria!$B$34,SG_Criteria!$B$33),"No ERSS submission",IF(E20&lt;=SG_Criteria!$B$35,"QP(ST)",IF(E20&lt;=SG_Criteria!$B$36,"QP(ST) + AC","Geotechnical building works: QP(Geo) + AC"))))</f>
        <v/>
      </c>
      <c r="BJ20" s="33" t="str">
        <f aca="false">IF(D20="","",IF(LEN(IF(AND(V20&lt;&gt;"",IFERROR(VALUE(MID(V20,2,2)),0)&lt;SG_Criteria!$B$19),"FAIL: grade below C"&amp;SG_Criteria!$B$19&amp;". ","")&amp;IF(AND(W20&lt;&gt;"",W20&lt;SG_Criteria!$B$20),"FAIL: cover &lt; "&amp;SG_Criteria!$B$20&amp;" mm. ","")&amp;IF(AND(AD20&lt;&gt;"",AD20&lt;1),"FAIL: sliding. ","")&amp;IF(AND(D20="Reverse L-Wall (toe only, at boundary)",N(S20)&gt;0),"NOTE: reverse L-wall should have no heel. ","")&amp;IF(AND(D20="L-Wall (heel only)",N(R20)&gt;0),"NOTE: L-wall should have no toe. ","")&amp;IF(AND(F20&lt;&gt;"",F20&lt;SG_Criteria!$B$31),"NOTE: q below LTA min "&amp;SG_Criteria!$B$31&amp;" kPa (not for LTA works). ",""))=0,"OK",IF(AND(V20&lt;&gt;"",IFERROR(VALUE(MID(V20,2,2)),0)&lt;SG_Criteria!$B$19),"FAIL: grade below C"&amp;SG_Criteria!$B$19&amp;". ","")&amp;IF(AND(W20&lt;&gt;"",W20&lt;SG_Criteria!$B$20),"FAIL: cover &lt; "&amp;SG_Criteria!$B$20&amp;" mm. ","")&amp;IF(AND(AD20&lt;&gt;"",AD20&lt;1),"FAIL: sliding. ","")&amp;IF(AND(D20="Reverse L-Wall (toe only, at boundary)",N(S20)&gt;0),"NOTE: reverse L-wall should have no heel. ","")&amp;IF(AND(D20="L-Wall (heel only)",N(R20)&gt;0),"NOTE: L-wall should have no toe. ","")&amp;IF(AND(F20&lt;&gt;"",F20&lt;SG_Criteria!$B$31),"NOTE: q below LTA min "&amp;SG_Criteria!$B$31&amp;" kPa (not for LTA works). ","")))</f>
        <v/>
      </c>
      <c r="BK20" s="9"/>
      <c r="BL20" s="9"/>
      <c r="BM20" s="9"/>
      <c r="BN20" s="10" t="str">
        <f aca="false">IF(BM20="","",IFERROR(VLOOKUP(BM20,Projects!$A$5:$D$504,2,0),"Ref not in Projects"))</f>
        <v/>
      </c>
      <c r="BO20" s="10" t="str">
        <f aca="false">IF(BM20="","",IFERROR(VLOOKUP(BM20,Projects!$A$5:$D$504,4,0),"Ref not in Projects"))</f>
        <v/>
      </c>
      <c r="BP20" s="9"/>
      <c r="BQ20" s="9"/>
      <c r="BR20" s="9"/>
      <c r="BS20" s="40"/>
      <c r="BT20" s="9"/>
      <c r="BU20" s="40"/>
      <c r="BV20" s="9"/>
      <c r="BW20" s="40"/>
      <c r="BX20" s="9"/>
      <c r="BY20" s="9"/>
      <c r="BZ20" s="9"/>
      <c r="CA20" s="40"/>
      <c r="CB20" s="40"/>
      <c r="CC20" s="36" t="str">
        <f aca="false">IF(CB20="","",EDATE(CB20,SG_Criteria!$B$54*12))</f>
        <v/>
      </c>
      <c r="CD20" s="33" t="str">
        <f aca="true">IF(A20="","",IF(CB20="","NOTE: not reviewed yet",IF(TODAY()&gt;CC20,"NOTE: review overdue","OK")))</f>
        <v/>
      </c>
      <c r="CE20" s="37" t="str">
        <f aca="false">IF(A20="","",ROUND((IF(LEN(D20)&gt;0,1,0)+IF(LEN(E20)&gt;0,1,0)+IF(LEN(F20)&gt;0,1,0)+IF(LEN(G20)&gt;0,1,0)+IF(LEN(I20)&gt;0,1,0)+IF(LEN(K20)&gt;0,1,0)+IF(LEN(P20)&gt;0,1,0)+IF(LEN(Q20)&gt;0,1,0)+IF(LEN(T20)&gt;0,1,0)+IF(LEN(V20)&gt;0,1,0)+IF(LEN(W20)&gt;0,1,0)+IF(LEN(X20)&gt;0,1,0)+IF(LEN(Z20)&gt;0,1,0)+IF(LEN(AD20)&gt;0,1,0)+IF(LEN(AE20)&gt;0,1,0)+IF(LEN(AG20)&gt;0,1,0)+IF(LEN(AI20)&gt;0,1,0)+IF(LEN(BB20)&gt;0,1,0)+IF(LEN(BC20)&gt;0,1,0)+IF(LEN(AM20)&gt;0,1,0)+IF(LEN(AO20)&gt;0,1,0)+IF(LEN(AP20)&gt;0,1,0)+IF(LEN(AQ20)&gt;0,1,0)+IF(LEN(AR20)&gt;0,1,0)+IF(LEN(BA20)&gt;0,1,0)+IF(LEN(BM20)&gt;0,1,0)+IF(LEN(BZ20)&gt;0,1,0))/27,2))</f>
        <v/>
      </c>
      <c r="CF20" s="10" t="str">
        <f aca="false">IF(D20="","",IF(AND(AP20="Approved",ISERROR(SEARCH("FAIL",BJ20))),"Y","N"))</f>
        <v/>
      </c>
      <c r="CG20" s="10" t="str">
        <f aca="false">IF(D20="","",D20&amp;"|"&amp;E20&amp;"|"&amp;F20&amp;"|"&amp;G20&amp;"|"&amp;CF20)</f>
        <v/>
      </c>
    </row>
    <row r="21" customFormat="false" ht="15" hidden="false" customHeight="false" outlineLevel="0" collapsed="false">
      <c r="A21" s="10" t="str">
        <f aca="false">IF(D21="","","RW-"&amp;IFERROR(VLOOKUP(D21,Lists!$M$4:$N$22,2,0),"??")&amp;"-H"&amp;TEXT(E21*1000,"0000")&amp;"-S"&amp;F21&amp;IF(G21="Y","-GW","")&amp;"-"&amp;AO21)</f>
        <v/>
      </c>
      <c r="B21" s="10" t="str">
        <f aca="false">IF(D21="","",D21&amp;", H = "&amp;TEXT(E21,"0.0")&amp;" m, q = "&amp;F21&amp;" kPa"&amp;IF(G21="Y",", with GWT","")&amp;", "&amp;I21)</f>
        <v/>
      </c>
      <c r="C21" s="9"/>
      <c r="D21" s="9"/>
      <c r="E21" s="39"/>
      <c r="F21" s="38"/>
      <c r="G21" s="9"/>
      <c r="H21" s="38"/>
      <c r="I21" s="9"/>
      <c r="J21" s="38"/>
      <c r="K21" s="38"/>
      <c r="L21" s="38"/>
      <c r="M21" s="42"/>
      <c r="N21" s="9"/>
      <c r="O21" s="38"/>
      <c r="P21" s="38"/>
      <c r="Q21" s="38"/>
      <c r="R21" s="38"/>
      <c r="S21" s="38"/>
      <c r="T21" s="38"/>
      <c r="U21" s="9"/>
      <c r="V21" s="9"/>
      <c r="W21" s="38"/>
      <c r="X21" s="9"/>
      <c r="Y21" s="9"/>
      <c r="Z21" s="9"/>
      <c r="AA21" s="9"/>
      <c r="AB21" s="9"/>
      <c r="AC21" s="9"/>
      <c r="AD21" s="39"/>
      <c r="AE21" s="39"/>
      <c r="AF21" s="39"/>
      <c r="AG21" s="38"/>
      <c r="AH21" s="38"/>
      <c r="AI21" s="9"/>
      <c r="AJ21" s="38"/>
      <c r="AK21" s="9"/>
      <c r="AL21" s="39"/>
      <c r="AM21" s="9"/>
      <c r="AN21" s="9"/>
      <c r="AO21" s="9"/>
      <c r="AP21" s="9"/>
      <c r="AQ21" s="9"/>
      <c r="AR21" s="9"/>
      <c r="AS21" s="9"/>
      <c r="AT21" s="10" t="str">
        <f aca="false">IF(A21="","",SG_Criteria!$B$6&amp;SG_Criteria!$B$8&amp;"\"&amp;A21&amp;"\")</f>
        <v/>
      </c>
      <c r="AU21" s="10" t="str">
        <f aca="false">IF(A21="","",A21&amp;"_CAD.dwg")</f>
        <v/>
      </c>
      <c r="AV21" s="10" t="str">
        <f aca="false">IF(A21="","",A21&amp;"_DWG.pdf")</f>
        <v/>
      </c>
      <c r="AW21" s="10" t="str">
        <f aca="false">IF(A21="","",IF(AS21="Y",A21&amp;"_STAAD.std","n/a"))</f>
        <v/>
      </c>
      <c r="AX21" s="10" t="str">
        <f aca="false">IF(A21="","",A21&amp;"_CALC.xlsx")</f>
        <v/>
      </c>
      <c r="AY21" s="10" t="str">
        <f aca="false">IF(A21="","",A21&amp;"_CALC.pdf")</f>
        <v/>
      </c>
      <c r="AZ21" s="9"/>
      <c r="BA21" s="9"/>
      <c r="BB21" s="39"/>
      <c r="BC21" s="39"/>
      <c r="BD21" s="39"/>
      <c r="BE21" s="39"/>
      <c r="BF21" s="39"/>
      <c r="BG21" s="12" t="str">
        <f aca="false">IF(A21="","",IF(COUNTIF(Rebar_Schedule!$A$5:$A$2004,A21)=0,"",ROUND(SUMIF(Rebar_Schedule!$A$5:$A$2004,A21,Rebar_Schedule!$K$5:$K$2004),1)))</f>
        <v/>
      </c>
      <c r="BH21" s="33" t="str">
        <f aca="false">IF(A21="","",IF(BG21="","No rebar schedule yet",IF(ABS(BG21-N(BC21))/MAX(N(BC21),1)&gt;SG_Criteria!$B$55,"NOTE: register rebar differs from schedule by "&amp;TEXT(ABS(BG21-N(BC21))/MAX(N(BC21),1),"0%"),"OK")))</f>
        <v/>
      </c>
      <c r="BI21" s="33" t="str">
        <f aca="false">IF(OR(D21="",E21=""),"",IF(E21&lt;=IF(OR(D21="Block / Segmental",D21="Gabion",D21="Reinforced Earth (MSE)"),SG_Criteria!$B$34,SG_Criteria!$B$33),"No ERSS submission",IF(E21&lt;=SG_Criteria!$B$35,"QP(ST)",IF(E21&lt;=SG_Criteria!$B$36,"QP(ST) + AC","Geotechnical building works: QP(Geo) + AC"))))</f>
        <v/>
      </c>
      <c r="BJ21" s="33" t="str">
        <f aca="false">IF(D21="","",IF(LEN(IF(AND(V21&lt;&gt;"",IFERROR(VALUE(MID(V21,2,2)),0)&lt;SG_Criteria!$B$19),"FAIL: grade below C"&amp;SG_Criteria!$B$19&amp;". ","")&amp;IF(AND(W21&lt;&gt;"",W21&lt;SG_Criteria!$B$20),"FAIL: cover &lt; "&amp;SG_Criteria!$B$20&amp;" mm. ","")&amp;IF(AND(AD21&lt;&gt;"",AD21&lt;1),"FAIL: sliding. ","")&amp;IF(AND(D21="Reverse L-Wall (toe only, at boundary)",N(S21)&gt;0),"NOTE: reverse L-wall should have no heel. ","")&amp;IF(AND(D21="L-Wall (heel only)",N(R21)&gt;0),"NOTE: L-wall should have no toe. ","")&amp;IF(AND(F21&lt;&gt;"",F21&lt;SG_Criteria!$B$31),"NOTE: q below LTA min "&amp;SG_Criteria!$B$31&amp;" kPa (not for LTA works). ",""))=0,"OK",IF(AND(V21&lt;&gt;"",IFERROR(VALUE(MID(V21,2,2)),0)&lt;SG_Criteria!$B$19),"FAIL: grade below C"&amp;SG_Criteria!$B$19&amp;". ","")&amp;IF(AND(W21&lt;&gt;"",W21&lt;SG_Criteria!$B$20),"FAIL: cover &lt; "&amp;SG_Criteria!$B$20&amp;" mm. ","")&amp;IF(AND(AD21&lt;&gt;"",AD21&lt;1),"FAIL: sliding. ","")&amp;IF(AND(D21="Reverse L-Wall (toe only, at boundary)",N(S21)&gt;0),"NOTE: reverse L-wall should have no heel. ","")&amp;IF(AND(D21="L-Wall (heel only)",N(R21)&gt;0),"NOTE: L-wall should have no toe. ","")&amp;IF(AND(F21&lt;&gt;"",F21&lt;SG_Criteria!$B$31),"NOTE: q below LTA min "&amp;SG_Criteria!$B$31&amp;" kPa (not for LTA works). ","")))</f>
        <v/>
      </c>
      <c r="BK21" s="9"/>
      <c r="BL21" s="9"/>
      <c r="BM21" s="9"/>
      <c r="BN21" s="10" t="str">
        <f aca="false">IF(BM21="","",IFERROR(VLOOKUP(BM21,Projects!$A$5:$D$504,2,0),"Ref not in Projects"))</f>
        <v/>
      </c>
      <c r="BO21" s="10" t="str">
        <f aca="false">IF(BM21="","",IFERROR(VLOOKUP(BM21,Projects!$A$5:$D$504,4,0),"Ref not in Projects"))</f>
        <v/>
      </c>
      <c r="BP21" s="9"/>
      <c r="BQ21" s="9"/>
      <c r="BR21" s="9"/>
      <c r="BS21" s="40"/>
      <c r="BT21" s="9"/>
      <c r="BU21" s="40"/>
      <c r="BV21" s="9"/>
      <c r="BW21" s="40"/>
      <c r="BX21" s="9"/>
      <c r="BY21" s="9"/>
      <c r="BZ21" s="9"/>
      <c r="CA21" s="40"/>
      <c r="CB21" s="40"/>
      <c r="CC21" s="36" t="str">
        <f aca="false">IF(CB21="","",EDATE(CB21,SG_Criteria!$B$54*12))</f>
        <v/>
      </c>
      <c r="CD21" s="33" t="str">
        <f aca="true">IF(A21="","",IF(CB21="","NOTE: not reviewed yet",IF(TODAY()&gt;CC21,"NOTE: review overdue","OK")))</f>
        <v/>
      </c>
      <c r="CE21" s="37" t="str">
        <f aca="false">IF(A21="","",ROUND((IF(LEN(D21)&gt;0,1,0)+IF(LEN(E21)&gt;0,1,0)+IF(LEN(F21)&gt;0,1,0)+IF(LEN(G21)&gt;0,1,0)+IF(LEN(I21)&gt;0,1,0)+IF(LEN(K21)&gt;0,1,0)+IF(LEN(P21)&gt;0,1,0)+IF(LEN(Q21)&gt;0,1,0)+IF(LEN(T21)&gt;0,1,0)+IF(LEN(V21)&gt;0,1,0)+IF(LEN(W21)&gt;0,1,0)+IF(LEN(X21)&gt;0,1,0)+IF(LEN(Z21)&gt;0,1,0)+IF(LEN(AD21)&gt;0,1,0)+IF(LEN(AE21)&gt;0,1,0)+IF(LEN(AG21)&gt;0,1,0)+IF(LEN(AI21)&gt;0,1,0)+IF(LEN(BB21)&gt;0,1,0)+IF(LEN(BC21)&gt;0,1,0)+IF(LEN(AM21)&gt;0,1,0)+IF(LEN(AO21)&gt;0,1,0)+IF(LEN(AP21)&gt;0,1,0)+IF(LEN(AQ21)&gt;0,1,0)+IF(LEN(AR21)&gt;0,1,0)+IF(LEN(BA21)&gt;0,1,0)+IF(LEN(BM21)&gt;0,1,0)+IF(LEN(BZ21)&gt;0,1,0))/27,2))</f>
        <v/>
      </c>
      <c r="CF21" s="10" t="str">
        <f aca="false">IF(D21="","",IF(AND(AP21="Approved",ISERROR(SEARCH("FAIL",BJ21))),"Y","N"))</f>
        <v/>
      </c>
      <c r="CG21" s="10" t="str">
        <f aca="false">IF(D21="","",D21&amp;"|"&amp;E21&amp;"|"&amp;F21&amp;"|"&amp;G21&amp;"|"&amp;CF21)</f>
        <v/>
      </c>
    </row>
    <row r="22" customFormat="false" ht="15" hidden="false" customHeight="false" outlineLevel="0" collapsed="false">
      <c r="A22" s="10" t="str">
        <f aca="false">IF(D22="","","RW-"&amp;IFERROR(VLOOKUP(D22,Lists!$M$4:$N$22,2,0),"??")&amp;"-H"&amp;TEXT(E22*1000,"0000")&amp;"-S"&amp;F22&amp;IF(G22="Y","-GW","")&amp;"-"&amp;AO22)</f>
        <v/>
      </c>
      <c r="B22" s="10" t="str">
        <f aca="false">IF(D22="","",D22&amp;", H = "&amp;TEXT(E22,"0.0")&amp;" m, q = "&amp;F22&amp;" kPa"&amp;IF(G22="Y",", with GWT","")&amp;", "&amp;I22)</f>
        <v/>
      </c>
      <c r="C22" s="9"/>
      <c r="D22" s="9"/>
      <c r="E22" s="39"/>
      <c r="F22" s="38"/>
      <c r="G22" s="9"/>
      <c r="H22" s="38"/>
      <c r="I22" s="9"/>
      <c r="J22" s="38"/>
      <c r="K22" s="38"/>
      <c r="L22" s="38"/>
      <c r="M22" s="42"/>
      <c r="N22" s="9"/>
      <c r="O22" s="38"/>
      <c r="P22" s="38"/>
      <c r="Q22" s="38"/>
      <c r="R22" s="38"/>
      <c r="S22" s="38"/>
      <c r="T22" s="38"/>
      <c r="U22" s="9"/>
      <c r="V22" s="9"/>
      <c r="W22" s="38"/>
      <c r="X22" s="9"/>
      <c r="Y22" s="9"/>
      <c r="Z22" s="9"/>
      <c r="AA22" s="9"/>
      <c r="AB22" s="9"/>
      <c r="AC22" s="9"/>
      <c r="AD22" s="39"/>
      <c r="AE22" s="39"/>
      <c r="AF22" s="39"/>
      <c r="AG22" s="38"/>
      <c r="AH22" s="38"/>
      <c r="AI22" s="9"/>
      <c r="AJ22" s="38"/>
      <c r="AK22" s="9"/>
      <c r="AL22" s="39"/>
      <c r="AM22" s="9"/>
      <c r="AN22" s="9"/>
      <c r="AO22" s="9"/>
      <c r="AP22" s="9"/>
      <c r="AQ22" s="9"/>
      <c r="AR22" s="9"/>
      <c r="AS22" s="9"/>
      <c r="AT22" s="10" t="str">
        <f aca="false">IF(A22="","",SG_Criteria!$B$6&amp;SG_Criteria!$B$8&amp;"\"&amp;A22&amp;"\")</f>
        <v/>
      </c>
      <c r="AU22" s="10" t="str">
        <f aca="false">IF(A22="","",A22&amp;"_CAD.dwg")</f>
        <v/>
      </c>
      <c r="AV22" s="10" t="str">
        <f aca="false">IF(A22="","",A22&amp;"_DWG.pdf")</f>
        <v/>
      </c>
      <c r="AW22" s="10" t="str">
        <f aca="false">IF(A22="","",IF(AS22="Y",A22&amp;"_STAAD.std","n/a"))</f>
        <v/>
      </c>
      <c r="AX22" s="10" t="str">
        <f aca="false">IF(A22="","",A22&amp;"_CALC.xlsx")</f>
        <v/>
      </c>
      <c r="AY22" s="10" t="str">
        <f aca="false">IF(A22="","",A22&amp;"_CALC.pdf")</f>
        <v/>
      </c>
      <c r="AZ22" s="9"/>
      <c r="BA22" s="9"/>
      <c r="BB22" s="39"/>
      <c r="BC22" s="39"/>
      <c r="BD22" s="39"/>
      <c r="BE22" s="39"/>
      <c r="BF22" s="39"/>
      <c r="BG22" s="12" t="str">
        <f aca="false">IF(A22="","",IF(COUNTIF(Rebar_Schedule!$A$5:$A$2004,A22)=0,"",ROUND(SUMIF(Rebar_Schedule!$A$5:$A$2004,A22,Rebar_Schedule!$K$5:$K$2004),1)))</f>
        <v/>
      </c>
      <c r="BH22" s="33" t="str">
        <f aca="false">IF(A22="","",IF(BG22="","No rebar schedule yet",IF(ABS(BG22-N(BC22))/MAX(N(BC22),1)&gt;SG_Criteria!$B$55,"NOTE: register rebar differs from schedule by "&amp;TEXT(ABS(BG22-N(BC22))/MAX(N(BC22),1),"0%"),"OK")))</f>
        <v/>
      </c>
      <c r="BI22" s="33" t="str">
        <f aca="false">IF(OR(D22="",E22=""),"",IF(E22&lt;=IF(OR(D22="Block / Segmental",D22="Gabion",D22="Reinforced Earth (MSE)"),SG_Criteria!$B$34,SG_Criteria!$B$33),"No ERSS submission",IF(E22&lt;=SG_Criteria!$B$35,"QP(ST)",IF(E22&lt;=SG_Criteria!$B$36,"QP(ST) + AC","Geotechnical building works: QP(Geo) + AC"))))</f>
        <v/>
      </c>
      <c r="BJ22" s="33" t="str">
        <f aca="false">IF(D22="","",IF(LEN(IF(AND(V22&lt;&gt;"",IFERROR(VALUE(MID(V22,2,2)),0)&lt;SG_Criteria!$B$19),"FAIL: grade below C"&amp;SG_Criteria!$B$19&amp;". ","")&amp;IF(AND(W22&lt;&gt;"",W22&lt;SG_Criteria!$B$20),"FAIL: cover &lt; "&amp;SG_Criteria!$B$20&amp;" mm. ","")&amp;IF(AND(AD22&lt;&gt;"",AD22&lt;1),"FAIL: sliding. ","")&amp;IF(AND(D22="Reverse L-Wall (toe only, at boundary)",N(S22)&gt;0),"NOTE: reverse L-wall should have no heel. ","")&amp;IF(AND(D22="L-Wall (heel only)",N(R22)&gt;0),"NOTE: L-wall should have no toe. ","")&amp;IF(AND(F22&lt;&gt;"",F22&lt;SG_Criteria!$B$31),"NOTE: q below LTA min "&amp;SG_Criteria!$B$31&amp;" kPa (not for LTA works). ",""))=0,"OK",IF(AND(V22&lt;&gt;"",IFERROR(VALUE(MID(V22,2,2)),0)&lt;SG_Criteria!$B$19),"FAIL: grade below C"&amp;SG_Criteria!$B$19&amp;". ","")&amp;IF(AND(W22&lt;&gt;"",W22&lt;SG_Criteria!$B$20),"FAIL: cover &lt; "&amp;SG_Criteria!$B$20&amp;" mm. ","")&amp;IF(AND(AD22&lt;&gt;"",AD22&lt;1),"FAIL: sliding. ","")&amp;IF(AND(D22="Reverse L-Wall (toe only, at boundary)",N(S22)&gt;0),"NOTE: reverse L-wall should have no heel. ","")&amp;IF(AND(D22="L-Wall (heel only)",N(R22)&gt;0),"NOTE: L-wall should have no toe. ","")&amp;IF(AND(F22&lt;&gt;"",F22&lt;SG_Criteria!$B$31),"NOTE: q below LTA min "&amp;SG_Criteria!$B$31&amp;" kPa (not for LTA works). ","")))</f>
        <v/>
      </c>
      <c r="BK22" s="9"/>
      <c r="BL22" s="9"/>
      <c r="BM22" s="9"/>
      <c r="BN22" s="10" t="str">
        <f aca="false">IF(BM22="","",IFERROR(VLOOKUP(BM22,Projects!$A$5:$D$504,2,0),"Ref not in Projects"))</f>
        <v/>
      </c>
      <c r="BO22" s="10" t="str">
        <f aca="false">IF(BM22="","",IFERROR(VLOOKUP(BM22,Projects!$A$5:$D$504,4,0),"Ref not in Projects"))</f>
        <v/>
      </c>
      <c r="BP22" s="9"/>
      <c r="BQ22" s="9"/>
      <c r="BR22" s="9"/>
      <c r="BS22" s="40"/>
      <c r="BT22" s="9"/>
      <c r="BU22" s="40"/>
      <c r="BV22" s="9"/>
      <c r="BW22" s="40"/>
      <c r="BX22" s="9"/>
      <c r="BY22" s="9"/>
      <c r="BZ22" s="9"/>
      <c r="CA22" s="40"/>
      <c r="CB22" s="40"/>
      <c r="CC22" s="36" t="str">
        <f aca="false">IF(CB22="","",EDATE(CB22,SG_Criteria!$B$54*12))</f>
        <v/>
      </c>
      <c r="CD22" s="33" t="str">
        <f aca="true">IF(A22="","",IF(CB22="","NOTE: not reviewed yet",IF(TODAY()&gt;CC22,"NOTE: review overdue","OK")))</f>
        <v/>
      </c>
      <c r="CE22" s="37" t="str">
        <f aca="false">IF(A22="","",ROUND((IF(LEN(D22)&gt;0,1,0)+IF(LEN(E22)&gt;0,1,0)+IF(LEN(F22)&gt;0,1,0)+IF(LEN(G22)&gt;0,1,0)+IF(LEN(I22)&gt;0,1,0)+IF(LEN(K22)&gt;0,1,0)+IF(LEN(P22)&gt;0,1,0)+IF(LEN(Q22)&gt;0,1,0)+IF(LEN(T22)&gt;0,1,0)+IF(LEN(V22)&gt;0,1,0)+IF(LEN(W22)&gt;0,1,0)+IF(LEN(X22)&gt;0,1,0)+IF(LEN(Z22)&gt;0,1,0)+IF(LEN(AD22)&gt;0,1,0)+IF(LEN(AE22)&gt;0,1,0)+IF(LEN(AG22)&gt;0,1,0)+IF(LEN(AI22)&gt;0,1,0)+IF(LEN(BB22)&gt;0,1,0)+IF(LEN(BC22)&gt;0,1,0)+IF(LEN(AM22)&gt;0,1,0)+IF(LEN(AO22)&gt;0,1,0)+IF(LEN(AP22)&gt;0,1,0)+IF(LEN(AQ22)&gt;0,1,0)+IF(LEN(AR22)&gt;0,1,0)+IF(LEN(BA22)&gt;0,1,0)+IF(LEN(BM22)&gt;0,1,0)+IF(LEN(BZ22)&gt;0,1,0))/27,2))</f>
        <v/>
      </c>
      <c r="CF22" s="10" t="str">
        <f aca="false">IF(D22="","",IF(AND(AP22="Approved",ISERROR(SEARCH("FAIL",BJ22))),"Y","N"))</f>
        <v/>
      </c>
      <c r="CG22" s="10" t="str">
        <f aca="false">IF(D22="","",D22&amp;"|"&amp;E22&amp;"|"&amp;F22&amp;"|"&amp;G22&amp;"|"&amp;CF22)</f>
        <v/>
      </c>
    </row>
    <row r="23" customFormat="false" ht="15" hidden="false" customHeight="false" outlineLevel="0" collapsed="false">
      <c r="A23" s="10" t="str">
        <f aca="false">IF(D23="","","RW-"&amp;IFERROR(VLOOKUP(D23,Lists!$M$4:$N$22,2,0),"??")&amp;"-H"&amp;TEXT(E23*1000,"0000")&amp;"-S"&amp;F23&amp;IF(G23="Y","-GW","")&amp;"-"&amp;AO23)</f>
        <v/>
      </c>
      <c r="B23" s="10" t="str">
        <f aca="false">IF(D23="","",D23&amp;", H = "&amp;TEXT(E23,"0.0")&amp;" m, q = "&amp;F23&amp;" kPa"&amp;IF(G23="Y",", with GWT","")&amp;", "&amp;I23)</f>
        <v/>
      </c>
      <c r="C23" s="9"/>
      <c r="D23" s="9"/>
      <c r="E23" s="39"/>
      <c r="F23" s="38"/>
      <c r="G23" s="9"/>
      <c r="H23" s="38"/>
      <c r="I23" s="9"/>
      <c r="J23" s="38"/>
      <c r="K23" s="38"/>
      <c r="L23" s="38"/>
      <c r="M23" s="42"/>
      <c r="N23" s="9"/>
      <c r="O23" s="38"/>
      <c r="P23" s="38"/>
      <c r="Q23" s="38"/>
      <c r="R23" s="38"/>
      <c r="S23" s="38"/>
      <c r="T23" s="38"/>
      <c r="U23" s="9"/>
      <c r="V23" s="9"/>
      <c r="W23" s="38"/>
      <c r="X23" s="9"/>
      <c r="Y23" s="9"/>
      <c r="Z23" s="9"/>
      <c r="AA23" s="9"/>
      <c r="AB23" s="9"/>
      <c r="AC23" s="9"/>
      <c r="AD23" s="39"/>
      <c r="AE23" s="39"/>
      <c r="AF23" s="39"/>
      <c r="AG23" s="38"/>
      <c r="AH23" s="38"/>
      <c r="AI23" s="9"/>
      <c r="AJ23" s="38"/>
      <c r="AK23" s="9"/>
      <c r="AL23" s="39"/>
      <c r="AM23" s="9"/>
      <c r="AN23" s="9"/>
      <c r="AO23" s="9"/>
      <c r="AP23" s="9"/>
      <c r="AQ23" s="9"/>
      <c r="AR23" s="9"/>
      <c r="AS23" s="9"/>
      <c r="AT23" s="10" t="str">
        <f aca="false">IF(A23="","",SG_Criteria!$B$6&amp;SG_Criteria!$B$8&amp;"\"&amp;A23&amp;"\")</f>
        <v/>
      </c>
      <c r="AU23" s="10" t="str">
        <f aca="false">IF(A23="","",A23&amp;"_CAD.dwg")</f>
        <v/>
      </c>
      <c r="AV23" s="10" t="str">
        <f aca="false">IF(A23="","",A23&amp;"_DWG.pdf")</f>
        <v/>
      </c>
      <c r="AW23" s="10" t="str">
        <f aca="false">IF(A23="","",IF(AS23="Y",A23&amp;"_STAAD.std","n/a"))</f>
        <v/>
      </c>
      <c r="AX23" s="10" t="str">
        <f aca="false">IF(A23="","",A23&amp;"_CALC.xlsx")</f>
        <v/>
      </c>
      <c r="AY23" s="10" t="str">
        <f aca="false">IF(A23="","",A23&amp;"_CALC.pdf")</f>
        <v/>
      </c>
      <c r="AZ23" s="9"/>
      <c r="BA23" s="9"/>
      <c r="BB23" s="39"/>
      <c r="BC23" s="39"/>
      <c r="BD23" s="39"/>
      <c r="BE23" s="39"/>
      <c r="BF23" s="39"/>
      <c r="BG23" s="12" t="str">
        <f aca="false">IF(A23="","",IF(COUNTIF(Rebar_Schedule!$A$5:$A$2004,A23)=0,"",ROUND(SUMIF(Rebar_Schedule!$A$5:$A$2004,A23,Rebar_Schedule!$K$5:$K$2004),1)))</f>
        <v/>
      </c>
      <c r="BH23" s="33" t="str">
        <f aca="false">IF(A23="","",IF(BG23="","No rebar schedule yet",IF(ABS(BG23-N(BC23))/MAX(N(BC23),1)&gt;SG_Criteria!$B$55,"NOTE: register rebar differs from schedule by "&amp;TEXT(ABS(BG23-N(BC23))/MAX(N(BC23),1),"0%"),"OK")))</f>
        <v/>
      </c>
      <c r="BI23" s="33" t="str">
        <f aca="false">IF(OR(D23="",E23=""),"",IF(E23&lt;=IF(OR(D23="Block / Segmental",D23="Gabion",D23="Reinforced Earth (MSE)"),SG_Criteria!$B$34,SG_Criteria!$B$33),"No ERSS submission",IF(E23&lt;=SG_Criteria!$B$35,"QP(ST)",IF(E23&lt;=SG_Criteria!$B$36,"QP(ST) + AC","Geotechnical building works: QP(Geo) + AC"))))</f>
        <v/>
      </c>
      <c r="BJ23" s="33" t="str">
        <f aca="false">IF(D23="","",IF(LEN(IF(AND(V23&lt;&gt;"",IFERROR(VALUE(MID(V23,2,2)),0)&lt;SG_Criteria!$B$19),"FAIL: grade below C"&amp;SG_Criteria!$B$19&amp;". ","")&amp;IF(AND(W23&lt;&gt;"",W23&lt;SG_Criteria!$B$20),"FAIL: cover &lt; "&amp;SG_Criteria!$B$20&amp;" mm. ","")&amp;IF(AND(AD23&lt;&gt;"",AD23&lt;1),"FAIL: sliding. ","")&amp;IF(AND(D23="Reverse L-Wall (toe only, at boundary)",N(S23)&gt;0),"NOTE: reverse L-wall should have no heel. ","")&amp;IF(AND(D23="L-Wall (heel only)",N(R23)&gt;0),"NOTE: L-wall should have no toe. ","")&amp;IF(AND(F23&lt;&gt;"",F23&lt;SG_Criteria!$B$31),"NOTE: q below LTA min "&amp;SG_Criteria!$B$31&amp;" kPa (not for LTA works). ",""))=0,"OK",IF(AND(V23&lt;&gt;"",IFERROR(VALUE(MID(V23,2,2)),0)&lt;SG_Criteria!$B$19),"FAIL: grade below C"&amp;SG_Criteria!$B$19&amp;". ","")&amp;IF(AND(W23&lt;&gt;"",W23&lt;SG_Criteria!$B$20),"FAIL: cover &lt; "&amp;SG_Criteria!$B$20&amp;" mm. ","")&amp;IF(AND(AD23&lt;&gt;"",AD23&lt;1),"FAIL: sliding. ","")&amp;IF(AND(D23="Reverse L-Wall (toe only, at boundary)",N(S23)&gt;0),"NOTE: reverse L-wall should have no heel. ","")&amp;IF(AND(D23="L-Wall (heel only)",N(R23)&gt;0),"NOTE: L-wall should have no toe. ","")&amp;IF(AND(F23&lt;&gt;"",F23&lt;SG_Criteria!$B$31),"NOTE: q below LTA min "&amp;SG_Criteria!$B$31&amp;" kPa (not for LTA works). ","")))</f>
        <v/>
      </c>
      <c r="BK23" s="9"/>
      <c r="BL23" s="9"/>
      <c r="BM23" s="9"/>
      <c r="BN23" s="10" t="str">
        <f aca="false">IF(BM23="","",IFERROR(VLOOKUP(BM23,Projects!$A$5:$D$504,2,0),"Ref not in Projects"))</f>
        <v/>
      </c>
      <c r="BO23" s="10" t="str">
        <f aca="false">IF(BM23="","",IFERROR(VLOOKUP(BM23,Projects!$A$5:$D$504,4,0),"Ref not in Projects"))</f>
        <v/>
      </c>
      <c r="BP23" s="9"/>
      <c r="BQ23" s="9"/>
      <c r="BR23" s="9"/>
      <c r="BS23" s="40"/>
      <c r="BT23" s="9"/>
      <c r="BU23" s="40"/>
      <c r="BV23" s="9"/>
      <c r="BW23" s="40"/>
      <c r="BX23" s="9"/>
      <c r="BY23" s="9"/>
      <c r="BZ23" s="9"/>
      <c r="CA23" s="40"/>
      <c r="CB23" s="40"/>
      <c r="CC23" s="36" t="str">
        <f aca="false">IF(CB23="","",EDATE(CB23,SG_Criteria!$B$54*12))</f>
        <v/>
      </c>
      <c r="CD23" s="33" t="str">
        <f aca="true">IF(A23="","",IF(CB23="","NOTE: not reviewed yet",IF(TODAY()&gt;CC23,"NOTE: review overdue","OK")))</f>
        <v/>
      </c>
      <c r="CE23" s="37" t="str">
        <f aca="false">IF(A23="","",ROUND((IF(LEN(D23)&gt;0,1,0)+IF(LEN(E23)&gt;0,1,0)+IF(LEN(F23)&gt;0,1,0)+IF(LEN(G23)&gt;0,1,0)+IF(LEN(I23)&gt;0,1,0)+IF(LEN(K23)&gt;0,1,0)+IF(LEN(P23)&gt;0,1,0)+IF(LEN(Q23)&gt;0,1,0)+IF(LEN(T23)&gt;0,1,0)+IF(LEN(V23)&gt;0,1,0)+IF(LEN(W23)&gt;0,1,0)+IF(LEN(X23)&gt;0,1,0)+IF(LEN(Z23)&gt;0,1,0)+IF(LEN(AD23)&gt;0,1,0)+IF(LEN(AE23)&gt;0,1,0)+IF(LEN(AG23)&gt;0,1,0)+IF(LEN(AI23)&gt;0,1,0)+IF(LEN(BB23)&gt;0,1,0)+IF(LEN(BC23)&gt;0,1,0)+IF(LEN(AM23)&gt;0,1,0)+IF(LEN(AO23)&gt;0,1,0)+IF(LEN(AP23)&gt;0,1,0)+IF(LEN(AQ23)&gt;0,1,0)+IF(LEN(AR23)&gt;0,1,0)+IF(LEN(BA23)&gt;0,1,0)+IF(LEN(BM23)&gt;0,1,0)+IF(LEN(BZ23)&gt;0,1,0))/27,2))</f>
        <v/>
      </c>
      <c r="CF23" s="10" t="str">
        <f aca="false">IF(D23="","",IF(AND(AP23="Approved",ISERROR(SEARCH("FAIL",BJ23))),"Y","N"))</f>
        <v/>
      </c>
      <c r="CG23" s="10" t="str">
        <f aca="false">IF(D23="","",D23&amp;"|"&amp;E23&amp;"|"&amp;F23&amp;"|"&amp;G23&amp;"|"&amp;CF23)</f>
        <v/>
      </c>
    </row>
    <row r="24" customFormat="false" ht="15" hidden="false" customHeight="false" outlineLevel="0" collapsed="false">
      <c r="A24" s="10" t="str">
        <f aca="false">IF(D24="","","RW-"&amp;IFERROR(VLOOKUP(D24,Lists!$M$4:$N$22,2,0),"??")&amp;"-H"&amp;TEXT(E24*1000,"0000")&amp;"-S"&amp;F24&amp;IF(G24="Y","-GW","")&amp;"-"&amp;AO24)</f>
        <v/>
      </c>
      <c r="B24" s="10" t="str">
        <f aca="false">IF(D24="","",D24&amp;", H = "&amp;TEXT(E24,"0.0")&amp;" m, q = "&amp;F24&amp;" kPa"&amp;IF(G24="Y",", with GWT","")&amp;", "&amp;I24)</f>
        <v/>
      </c>
      <c r="C24" s="9"/>
      <c r="D24" s="9"/>
      <c r="E24" s="39"/>
      <c r="F24" s="38"/>
      <c r="G24" s="9"/>
      <c r="H24" s="38"/>
      <c r="I24" s="9"/>
      <c r="J24" s="38"/>
      <c r="K24" s="38"/>
      <c r="L24" s="38"/>
      <c r="M24" s="42"/>
      <c r="N24" s="9"/>
      <c r="O24" s="38"/>
      <c r="P24" s="38"/>
      <c r="Q24" s="38"/>
      <c r="R24" s="38"/>
      <c r="S24" s="38"/>
      <c r="T24" s="38"/>
      <c r="U24" s="9"/>
      <c r="V24" s="9"/>
      <c r="W24" s="38"/>
      <c r="X24" s="9"/>
      <c r="Y24" s="9"/>
      <c r="Z24" s="9"/>
      <c r="AA24" s="9"/>
      <c r="AB24" s="9"/>
      <c r="AC24" s="9"/>
      <c r="AD24" s="39"/>
      <c r="AE24" s="39"/>
      <c r="AF24" s="39"/>
      <c r="AG24" s="38"/>
      <c r="AH24" s="38"/>
      <c r="AI24" s="9"/>
      <c r="AJ24" s="38"/>
      <c r="AK24" s="9"/>
      <c r="AL24" s="39"/>
      <c r="AM24" s="9"/>
      <c r="AN24" s="9"/>
      <c r="AO24" s="9"/>
      <c r="AP24" s="9"/>
      <c r="AQ24" s="9"/>
      <c r="AR24" s="9"/>
      <c r="AS24" s="9"/>
      <c r="AT24" s="10" t="str">
        <f aca="false">IF(A24="","",SG_Criteria!$B$6&amp;SG_Criteria!$B$8&amp;"\"&amp;A24&amp;"\")</f>
        <v/>
      </c>
      <c r="AU24" s="10" t="str">
        <f aca="false">IF(A24="","",A24&amp;"_CAD.dwg")</f>
        <v/>
      </c>
      <c r="AV24" s="10" t="str">
        <f aca="false">IF(A24="","",A24&amp;"_DWG.pdf")</f>
        <v/>
      </c>
      <c r="AW24" s="10" t="str">
        <f aca="false">IF(A24="","",IF(AS24="Y",A24&amp;"_STAAD.std","n/a"))</f>
        <v/>
      </c>
      <c r="AX24" s="10" t="str">
        <f aca="false">IF(A24="","",A24&amp;"_CALC.xlsx")</f>
        <v/>
      </c>
      <c r="AY24" s="10" t="str">
        <f aca="false">IF(A24="","",A24&amp;"_CALC.pdf")</f>
        <v/>
      </c>
      <c r="AZ24" s="9"/>
      <c r="BA24" s="9"/>
      <c r="BB24" s="39"/>
      <c r="BC24" s="39"/>
      <c r="BD24" s="39"/>
      <c r="BE24" s="39"/>
      <c r="BF24" s="39"/>
      <c r="BG24" s="12" t="str">
        <f aca="false">IF(A24="","",IF(COUNTIF(Rebar_Schedule!$A$5:$A$2004,A24)=0,"",ROUND(SUMIF(Rebar_Schedule!$A$5:$A$2004,A24,Rebar_Schedule!$K$5:$K$2004),1)))</f>
        <v/>
      </c>
      <c r="BH24" s="33" t="str">
        <f aca="false">IF(A24="","",IF(BG24="","No rebar schedule yet",IF(ABS(BG24-N(BC24))/MAX(N(BC24),1)&gt;SG_Criteria!$B$55,"NOTE: register rebar differs from schedule by "&amp;TEXT(ABS(BG24-N(BC24))/MAX(N(BC24),1),"0%"),"OK")))</f>
        <v/>
      </c>
      <c r="BI24" s="33" t="str">
        <f aca="false">IF(OR(D24="",E24=""),"",IF(E24&lt;=IF(OR(D24="Block / Segmental",D24="Gabion",D24="Reinforced Earth (MSE)"),SG_Criteria!$B$34,SG_Criteria!$B$33),"No ERSS submission",IF(E24&lt;=SG_Criteria!$B$35,"QP(ST)",IF(E24&lt;=SG_Criteria!$B$36,"QP(ST) + AC","Geotechnical building works: QP(Geo) + AC"))))</f>
        <v/>
      </c>
      <c r="BJ24" s="33" t="str">
        <f aca="false">IF(D24="","",IF(LEN(IF(AND(V24&lt;&gt;"",IFERROR(VALUE(MID(V24,2,2)),0)&lt;SG_Criteria!$B$19),"FAIL: grade below C"&amp;SG_Criteria!$B$19&amp;". ","")&amp;IF(AND(W24&lt;&gt;"",W24&lt;SG_Criteria!$B$20),"FAIL: cover &lt; "&amp;SG_Criteria!$B$20&amp;" mm. ","")&amp;IF(AND(AD24&lt;&gt;"",AD24&lt;1),"FAIL: sliding. ","")&amp;IF(AND(D24="Reverse L-Wall (toe only, at boundary)",N(S24)&gt;0),"NOTE: reverse L-wall should have no heel. ","")&amp;IF(AND(D24="L-Wall (heel only)",N(R24)&gt;0),"NOTE: L-wall should have no toe. ","")&amp;IF(AND(F24&lt;&gt;"",F24&lt;SG_Criteria!$B$31),"NOTE: q below LTA min "&amp;SG_Criteria!$B$31&amp;" kPa (not for LTA works). ",""))=0,"OK",IF(AND(V24&lt;&gt;"",IFERROR(VALUE(MID(V24,2,2)),0)&lt;SG_Criteria!$B$19),"FAIL: grade below C"&amp;SG_Criteria!$B$19&amp;". ","")&amp;IF(AND(W24&lt;&gt;"",W24&lt;SG_Criteria!$B$20),"FAIL: cover &lt; "&amp;SG_Criteria!$B$20&amp;" mm. ","")&amp;IF(AND(AD24&lt;&gt;"",AD24&lt;1),"FAIL: sliding. ","")&amp;IF(AND(D24="Reverse L-Wall (toe only, at boundary)",N(S24)&gt;0),"NOTE: reverse L-wall should have no heel. ","")&amp;IF(AND(D24="L-Wall (heel only)",N(R24)&gt;0),"NOTE: L-wall should have no toe. ","")&amp;IF(AND(F24&lt;&gt;"",F24&lt;SG_Criteria!$B$31),"NOTE: q below LTA min "&amp;SG_Criteria!$B$31&amp;" kPa (not for LTA works). ","")))</f>
        <v/>
      </c>
      <c r="BK24" s="9"/>
      <c r="BL24" s="9"/>
      <c r="BM24" s="9"/>
      <c r="BN24" s="10" t="str">
        <f aca="false">IF(BM24="","",IFERROR(VLOOKUP(BM24,Projects!$A$5:$D$504,2,0),"Ref not in Projects"))</f>
        <v/>
      </c>
      <c r="BO24" s="10" t="str">
        <f aca="false">IF(BM24="","",IFERROR(VLOOKUP(BM24,Projects!$A$5:$D$504,4,0),"Ref not in Projects"))</f>
        <v/>
      </c>
      <c r="BP24" s="9"/>
      <c r="BQ24" s="9"/>
      <c r="BR24" s="9"/>
      <c r="BS24" s="40"/>
      <c r="BT24" s="9"/>
      <c r="BU24" s="40"/>
      <c r="BV24" s="9"/>
      <c r="BW24" s="40"/>
      <c r="BX24" s="9"/>
      <c r="BY24" s="9"/>
      <c r="BZ24" s="9"/>
      <c r="CA24" s="40"/>
      <c r="CB24" s="40"/>
      <c r="CC24" s="36" t="str">
        <f aca="false">IF(CB24="","",EDATE(CB24,SG_Criteria!$B$54*12))</f>
        <v/>
      </c>
      <c r="CD24" s="33" t="str">
        <f aca="true">IF(A24="","",IF(CB24="","NOTE: not reviewed yet",IF(TODAY()&gt;CC24,"NOTE: review overdue","OK")))</f>
        <v/>
      </c>
      <c r="CE24" s="37" t="str">
        <f aca="false">IF(A24="","",ROUND((IF(LEN(D24)&gt;0,1,0)+IF(LEN(E24)&gt;0,1,0)+IF(LEN(F24)&gt;0,1,0)+IF(LEN(G24)&gt;0,1,0)+IF(LEN(I24)&gt;0,1,0)+IF(LEN(K24)&gt;0,1,0)+IF(LEN(P24)&gt;0,1,0)+IF(LEN(Q24)&gt;0,1,0)+IF(LEN(T24)&gt;0,1,0)+IF(LEN(V24)&gt;0,1,0)+IF(LEN(W24)&gt;0,1,0)+IF(LEN(X24)&gt;0,1,0)+IF(LEN(Z24)&gt;0,1,0)+IF(LEN(AD24)&gt;0,1,0)+IF(LEN(AE24)&gt;0,1,0)+IF(LEN(AG24)&gt;0,1,0)+IF(LEN(AI24)&gt;0,1,0)+IF(LEN(BB24)&gt;0,1,0)+IF(LEN(BC24)&gt;0,1,0)+IF(LEN(AM24)&gt;0,1,0)+IF(LEN(AO24)&gt;0,1,0)+IF(LEN(AP24)&gt;0,1,0)+IF(LEN(AQ24)&gt;0,1,0)+IF(LEN(AR24)&gt;0,1,0)+IF(LEN(BA24)&gt;0,1,0)+IF(LEN(BM24)&gt;0,1,0)+IF(LEN(BZ24)&gt;0,1,0))/27,2))</f>
        <v/>
      </c>
      <c r="CF24" s="10" t="str">
        <f aca="false">IF(D24="","",IF(AND(AP24="Approved",ISERROR(SEARCH("FAIL",BJ24))),"Y","N"))</f>
        <v/>
      </c>
      <c r="CG24" s="10" t="str">
        <f aca="false">IF(D24="","",D24&amp;"|"&amp;E24&amp;"|"&amp;F24&amp;"|"&amp;G24&amp;"|"&amp;CF24)</f>
        <v/>
      </c>
    </row>
    <row r="25" customFormat="false" ht="15" hidden="false" customHeight="false" outlineLevel="0" collapsed="false">
      <c r="A25" s="10" t="str">
        <f aca="false">IF(D25="","","RW-"&amp;IFERROR(VLOOKUP(D25,Lists!$M$4:$N$22,2,0),"??")&amp;"-H"&amp;TEXT(E25*1000,"0000")&amp;"-S"&amp;F25&amp;IF(G25="Y","-GW","")&amp;"-"&amp;AO25)</f>
        <v/>
      </c>
      <c r="B25" s="10" t="str">
        <f aca="false">IF(D25="","",D25&amp;", H = "&amp;TEXT(E25,"0.0")&amp;" m, q = "&amp;F25&amp;" kPa"&amp;IF(G25="Y",", with GWT","")&amp;", "&amp;I25)</f>
        <v/>
      </c>
      <c r="C25" s="9"/>
      <c r="D25" s="9"/>
      <c r="E25" s="39"/>
      <c r="F25" s="38"/>
      <c r="G25" s="9"/>
      <c r="H25" s="38"/>
      <c r="I25" s="9"/>
      <c r="J25" s="38"/>
      <c r="K25" s="38"/>
      <c r="L25" s="38"/>
      <c r="M25" s="42"/>
      <c r="N25" s="9"/>
      <c r="O25" s="38"/>
      <c r="P25" s="38"/>
      <c r="Q25" s="38"/>
      <c r="R25" s="38"/>
      <c r="S25" s="38"/>
      <c r="T25" s="38"/>
      <c r="U25" s="9"/>
      <c r="V25" s="9"/>
      <c r="W25" s="38"/>
      <c r="X25" s="9"/>
      <c r="Y25" s="9"/>
      <c r="Z25" s="9"/>
      <c r="AA25" s="9"/>
      <c r="AB25" s="9"/>
      <c r="AC25" s="9"/>
      <c r="AD25" s="39"/>
      <c r="AE25" s="39"/>
      <c r="AF25" s="39"/>
      <c r="AG25" s="38"/>
      <c r="AH25" s="38"/>
      <c r="AI25" s="9"/>
      <c r="AJ25" s="38"/>
      <c r="AK25" s="9"/>
      <c r="AL25" s="39"/>
      <c r="AM25" s="9"/>
      <c r="AN25" s="9"/>
      <c r="AO25" s="9"/>
      <c r="AP25" s="9"/>
      <c r="AQ25" s="9"/>
      <c r="AR25" s="9"/>
      <c r="AS25" s="9"/>
      <c r="AT25" s="10" t="str">
        <f aca="false">IF(A25="","",SG_Criteria!$B$6&amp;SG_Criteria!$B$8&amp;"\"&amp;A25&amp;"\")</f>
        <v/>
      </c>
      <c r="AU25" s="10" t="str">
        <f aca="false">IF(A25="","",A25&amp;"_CAD.dwg")</f>
        <v/>
      </c>
      <c r="AV25" s="10" t="str">
        <f aca="false">IF(A25="","",A25&amp;"_DWG.pdf")</f>
        <v/>
      </c>
      <c r="AW25" s="10" t="str">
        <f aca="false">IF(A25="","",IF(AS25="Y",A25&amp;"_STAAD.std","n/a"))</f>
        <v/>
      </c>
      <c r="AX25" s="10" t="str">
        <f aca="false">IF(A25="","",A25&amp;"_CALC.xlsx")</f>
        <v/>
      </c>
      <c r="AY25" s="10" t="str">
        <f aca="false">IF(A25="","",A25&amp;"_CALC.pdf")</f>
        <v/>
      </c>
      <c r="AZ25" s="9"/>
      <c r="BA25" s="9"/>
      <c r="BB25" s="39"/>
      <c r="BC25" s="39"/>
      <c r="BD25" s="39"/>
      <c r="BE25" s="39"/>
      <c r="BF25" s="39"/>
      <c r="BG25" s="12" t="str">
        <f aca="false">IF(A25="","",IF(COUNTIF(Rebar_Schedule!$A$5:$A$2004,A25)=0,"",ROUND(SUMIF(Rebar_Schedule!$A$5:$A$2004,A25,Rebar_Schedule!$K$5:$K$2004),1)))</f>
        <v/>
      </c>
      <c r="BH25" s="33" t="str">
        <f aca="false">IF(A25="","",IF(BG25="","No rebar schedule yet",IF(ABS(BG25-N(BC25))/MAX(N(BC25),1)&gt;SG_Criteria!$B$55,"NOTE: register rebar differs from schedule by "&amp;TEXT(ABS(BG25-N(BC25))/MAX(N(BC25),1),"0%"),"OK")))</f>
        <v/>
      </c>
      <c r="BI25" s="33" t="str">
        <f aca="false">IF(OR(D25="",E25=""),"",IF(E25&lt;=IF(OR(D25="Block / Segmental",D25="Gabion",D25="Reinforced Earth (MSE)"),SG_Criteria!$B$34,SG_Criteria!$B$33),"No ERSS submission",IF(E25&lt;=SG_Criteria!$B$35,"QP(ST)",IF(E25&lt;=SG_Criteria!$B$36,"QP(ST) + AC","Geotechnical building works: QP(Geo) + AC"))))</f>
        <v/>
      </c>
      <c r="BJ25" s="33" t="str">
        <f aca="false">IF(D25="","",IF(LEN(IF(AND(V25&lt;&gt;"",IFERROR(VALUE(MID(V25,2,2)),0)&lt;SG_Criteria!$B$19),"FAIL: grade below C"&amp;SG_Criteria!$B$19&amp;". ","")&amp;IF(AND(W25&lt;&gt;"",W25&lt;SG_Criteria!$B$20),"FAIL: cover &lt; "&amp;SG_Criteria!$B$20&amp;" mm. ","")&amp;IF(AND(AD25&lt;&gt;"",AD25&lt;1),"FAIL: sliding. ","")&amp;IF(AND(D25="Reverse L-Wall (toe only, at boundary)",N(S25)&gt;0),"NOTE: reverse L-wall should have no heel. ","")&amp;IF(AND(D25="L-Wall (heel only)",N(R25)&gt;0),"NOTE: L-wall should have no toe. ","")&amp;IF(AND(F25&lt;&gt;"",F25&lt;SG_Criteria!$B$31),"NOTE: q below LTA min "&amp;SG_Criteria!$B$31&amp;" kPa (not for LTA works). ",""))=0,"OK",IF(AND(V25&lt;&gt;"",IFERROR(VALUE(MID(V25,2,2)),0)&lt;SG_Criteria!$B$19),"FAIL: grade below C"&amp;SG_Criteria!$B$19&amp;". ","")&amp;IF(AND(W25&lt;&gt;"",W25&lt;SG_Criteria!$B$20),"FAIL: cover &lt; "&amp;SG_Criteria!$B$20&amp;" mm. ","")&amp;IF(AND(AD25&lt;&gt;"",AD25&lt;1),"FAIL: sliding. ","")&amp;IF(AND(D25="Reverse L-Wall (toe only, at boundary)",N(S25)&gt;0),"NOTE: reverse L-wall should have no heel. ","")&amp;IF(AND(D25="L-Wall (heel only)",N(R25)&gt;0),"NOTE: L-wall should have no toe. ","")&amp;IF(AND(F25&lt;&gt;"",F25&lt;SG_Criteria!$B$31),"NOTE: q below LTA min "&amp;SG_Criteria!$B$31&amp;" kPa (not for LTA works). ","")))</f>
        <v/>
      </c>
      <c r="BK25" s="9"/>
      <c r="BL25" s="9"/>
      <c r="BM25" s="9"/>
      <c r="BN25" s="10" t="str">
        <f aca="false">IF(BM25="","",IFERROR(VLOOKUP(BM25,Projects!$A$5:$D$504,2,0),"Ref not in Projects"))</f>
        <v/>
      </c>
      <c r="BO25" s="10" t="str">
        <f aca="false">IF(BM25="","",IFERROR(VLOOKUP(BM25,Projects!$A$5:$D$504,4,0),"Ref not in Projects"))</f>
        <v/>
      </c>
      <c r="BP25" s="9"/>
      <c r="BQ25" s="9"/>
      <c r="BR25" s="9"/>
      <c r="BS25" s="40"/>
      <c r="BT25" s="9"/>
      <c r="BU25" s="40"/>
      <c r="BV25" s="9"/>
      <c r="BW25" s="40"/>
      <c r="BX25" s="9"/>
      <c r="BY25" s="9"/>
      <c r="BZ25" s="9"/>
      <c r="CA25" s="40"/>
      <c r="CB25" s="40"/>
      <c r="CC25" s="36" t="str">
        <f aca="false">IF(CB25="","",EDATE(CB25,SG_Criteria!$B$54*12))</f>
        <v/>
      </c>
      <c r="CD25" s="33" t="str">
        <f aca="true">IF(A25="","",IF(CB25="","NOTE: not reviewed yet",IF(TODAY()&gt;CC25,"NOTE: review overdue","OK")))</f>
        <v/>
      </c>
      <c r="CE25" s="37" t="str">
        <f aca="false">IF(A25="","",ROUND((IF(LEN(D25)&gt;0,1,0)+IF(LEN(E25)&gt;0,1,0)+IF(LEN(F25)&gt;0,1,0)+IF(LEN(G25)&gt;0,1,0)+IF(LEN(I25)&gt;0,1,0)+IF(LEN(K25)&gt;0,1,0)+IF(LEN(P25)&gt;0,1,0)+IF(LEN(Q25)&gt;0,1,0)+IF(LEN(T25)&gt;0,1,0)+IF(LEN(V25)&gt;0,1,0)+IF(LEN(W25)&gt;0,1,0)+IF(LEN(X25)&gt;0,1,0)+IF(LEN(Z25)&gt;0,1,0)+IF(LEN(AD25)&gt;0,1,0)+IF(LEN(AE25)&gt;0,1,0)+IF(LEN(AG25)&gt;0,1,0)+IF(LEN(AI25)&gt;0,1,0)+IF(LEN(BB25)&gt;0,1,0)+IF(LEN(BC25)&gt;0,1,0)+IF(LEN(AM25)&gt;0,1,0)+IF(LEN(AO25)&gt;0,1,0)+IF(LEN(AP25)&gt;0,1,0)+IF(LEN(AQ25)&gt;0,1,0)+IF(LEN(AR25)&gt;0,1,0)+IF(LEN(BA25)&gt;0,1,0)+IF(LEN(BM25)&gt;0,1,0)+IF(LEN(BZ25)&gt;0,1,0))/27,2))</f>
        <v/>
      </c>
      <c r="CF25" s="10" t="str">
        <f aca="false">IF(D25="","",IF(AND(AP25="Approved",ISERROR(SEARCH("FAIL",BJ25))),"Y","N"))</f>
        <v/>
      </c>
      <c r="CG25" s="10" t="str">
        <f aca="false">IF(D25="","",D25&amp;"|"&amp;E25&amp;"|"&amp;F25&amp;"|"&amp;G25&amp;"|"&amp;CF25)</f>
        <v/>
      </c>
    </row>
    <row r="26" customFormat="false" ht="15" hidden="false" customHeight="false" outlineLevel="0" collapsed="false">
      <c r="A26" s="10" t="str">
        <f aca="false">IF(D26="","","RW-"&amp;IFERROR(VLOOKUP(D26,Lists!$M$4:$N$22,2,0),"??")&amp;"-H"&amp;TEXT(E26*1000,"0000")&amp;"-S"&amp;F26&amp;IF(G26="Y","-GW","")&amp;"-"&amp;AO26)</f>
        <v/>
      </c>
      <c r="B26" s="10" t="str">
        <f aca="false">IF(D26="","",D26&amp;", H = "&amp;TEXT(E26,"0.0")&amp;" m, q = "&amp;F26&amp;" kPa"&amp;IF(G26="Y",", with GWT","")&amp;", "&amp;I26)</f>
        <v/>
      </c>
      <c r="C26" s="9"/>
      <c r="D26" s="9"/>
      <c r="E26" s="39"/>
      <c r="F26" s="38"/>
      <c r="G26" s="9"/>
      <c r="H26" s="38"/>
      <c r="I26" s="9"/>
      <c r="J26" s="38"/>
      <c r="K26" s="38"/>
      <c r="L26" s="38"/>
      <c r="M26" s="42"/>
      <c r="N26" s="9"/>
      <c r="O26" s="38"/>
      <c r="P26" s="38"/>
      <c r="Q26" s="38"/>
      <c r="R26" s="38"/>
      <c r="S26" s="38"/>
      <c r="T26" s="38"/>
      <c r="U26" s="9"/>
      <c r="V26" s="9"/>
      <c r="W26" s="38"/>
      <c r="X26" s="9"/>
      <c r="Y26" s="9"/>
      <c r="Z26" s="9"/>
      <c r="AA26" s="9"/>
      <c r="AB26" s="9"/>
      <c r="AC26" s="9"/>
      <c r="AD26" s="39"/>
      <c r="AE26" s="39"/>
      <c r="AF26" s="39"/>
      <c r="AG26" s="38"/>
      <c r="AH26" s="38"/>
      <c r="AI26" s="9"/>
      <c r="AJ26" s="38"/>
      <c r="AK26" s="9"/>
      <c r="AL26" s="39"/>
      <c r="AM26" s="9"/>
      <c r="AN26" s="9"/>
      <c r="AO26" s="9"/>
      <c r="AP26" s="9"/>
      <c r="AQ26" s="9"/>
      <c r="AR26" s="9"/>
      <c r="AS26" s="9"/>
      <c r="AT26" s="10" t="str">
        <f aca="false">IF(A26="","",SG_Criteria!$B$6&amp;SG_Criteria!$B$8&amp;"\"&amp;A26&amp;"\")</f>
        <v/>
      </c>
      <c r="AU26" s="10" t="str">
        <f aca="false">IF(A26="","",A26&amp;"_CAD.dwg")</f>
        <v/>
      </c>
      <c r="AV26" s="10" t="str">
        <f aca="false">IF(A26="","",A26&amp;"_DWG.pdf")</f>
        <v/>
      </c>
      <c r="AW26" s="10" t="str">
        <f aca="false">IF(A26="","",IF(AS26="Y",A26&amp;"_STAAD.std","n/a"))</f>
        <v/>
      </c>
      <c r="AX26" s="10" t="str">
        <f aca="false">IF(A26="","",A26&amp;"_CALC.xlsx")</f>
        <v/>
      </c>
      <c r="AY26" s="10" t="str">
        <f aca="false">IF(A26="","",A26&amp;"_CALC.pdf")</f>
        <v/>
      </c>
      <c r="AZ26" s="9"/>
      <c r="BA26" s="9"/>
      <c r="BB26" s="39"/>
      <c r="BC26" s="39"/>
      <c r="BD26" s="39"/>
      <c r="BE26" s="39"/>
      <c r="BF26" s="39"/>
      <c r="BG26" s="12" t="str">
        <f aca="false">IF(A26="","",IF(COUNTIF(Rebar_Schedule!$A$5:$A$2004,A26)=0,"",ROUND(SUMIF(Rebar_Schedule!$A$5:$A$2004,A26,Rebar_Schedule!$K$5:$K$2004),1)))</f>
        <v/>
      </c>
      <c r="BH26" s="33" t="str">
        <f aca="false">IF(A26="","",IF(BG26="","No rebar schedule yet",IF(ABS(BG26-N(BC26))/MAX(N(BC26),1)&gt;SG_Criteria!$B$55,"NOTE: register rebar differs from schedule by "&amp;TEXT(ABS(BG26-N(BC26))/MAX(N(BC26),1),"0%"),"OK")))</f>
        <v/>
      </c>
      <c r="BI26" s="33" t="str">
        <f aca="false">IF(OR(D26="",E26=""),"",IF(E26&lt;=IF(OR(D26="Block / Segmental",D26="Gabion",D26="Reinforced Earth (MSE)"),SG_Criteria!$B$34,SG_Criteria!$B$33),"No ERSS submission",IF(E26&lt;=SG_Criteria!$B$35,"QP(ST)",IF(E26&lt;=SG_Criteria!$B$36,"QP(ST) + AC","Geotechnical building works: QP(Geo) + AC"))))</f>
        <v/>
      </c>
      <c r="BJ26" s="33" t="str">
        <f aca="false">IF(D26="","",IF(LEN(IF(AND(V26&lt;&gt;"",IFERROR(VALUE(MID(V26,2,2)),0)&lt;SG_Criteria!$B$19),"FAIL: grade below C"&amp;SG_Criteria!$B$19&amp;". ","")&amp;IF(AND(W26&lt;&gt;"",W26&lt;SG_Criteria!$B$20),"FAIL: cover &lt; "&amp;SG_Criteria!$B$20&amp;" mm. ","")&amp;IF(AND(AD26&lt;&gt;"",AD26&lt;1),"FAIL: sliding. ","")&amp;IF(AND(D26="Reverse L-Wall (toe only, at boundary)",N(S26)&gt;0),"NOTE: reverse L-wall should have no heel. ","")&amp;IF(AND(D26="L-Wall (heel only)",N(R26)&gt;0),"NOTE: L-wall should have no toe. ","")&amp;IF(AND(F26&lt;&gt;"",F26&lt;SG_Criteria!$B$31),"NOTE: q below LTA min "&amp;SG_Criteria!$B$31&amp;" kPa (not for LTA works). ",""))=0,"OK",IF(AND(V26&lt;&gt;"",IFERROR(VALUE(MID(V26,2,2)),0)&lt;SG_Criteria!$B$19),"FAIL: grade below C"&amp;SG_Criteria!$B$19&amp;". ","")&amp;IF(AND(W26&lt;&gt;"",W26&lt;SG_Criteria!$B$20),"FAIL: cover &lt; "&amp;SG_Criteria!$B$20&amp;" mm. ","")&amp;IF(AND(AD26&lt;&gt;"",AD26&lt;1),"FAIL: sliding. ","")&amp;IF(AND(D26="Reverse L-Wall (toe only, at boundary)",N(S26)&gt;0),"NOTE: reverse L-wall should have no heel. ","")&amp;IF(AND(D26="L-Wall (heel only)",N(R26)&gt;0),"NOTE: L-wall should have no toe. ","")&amp;IF(AND(F26&lt;&gt;"",F26&lt;SG_Criteria!$B$31),"NOTE: q below LTA min "&amp;SG_Criteria!$B$31&amp;" kPa (not for LTA works). ","")))</f>
        <v/>
      </c>
      <c r="BK26" s="9"/>
      <c r="BL26" s="9"/>
      <c r="BM26" s="9"/>
      <c r="BN26" s="10" t="str">
        <f aca="false">IF(BM26="","",IFERROR(VLOOKUP(BM26,Projects!$A$5:$D$504,2,0),"Ref not in Projects"))</f>
        <v/>
      </c>
      <c r="BO26" s="10" t="str">
        <f aca="false">IF(BM26="","",IFERROR(VLOOKUP(BM26,Projects!$A$5:$D$504,4,0),"Ref not in Projects"))</f>
        <v/>
      </c>
      <c r="BP26" s="9"/>
      <c r="BQ26" s="9"/>
      <c r="BR26" s="9"/>
      <c r="BS26" s="40"/>
      <c r="BT26" s="9"/>
      <c r="BU26" s="40"/>
      <c r="BV26" s="9"/>
      <c r="BW26" s="40"/>
      <c r="BX26" s="9"/>
      <c r="BY26" s="9"/>
      <c r="BZ26" s="9"/>
      <c r="CA26" s="40"/>
      <c r="CB26" s="40"/>
      <c r="CC26" s="36" t="str">
        <f aca="false">IF(CB26="","",EDATE(CB26,SG_Criteria!$B$54*12))</f>
        <v/>
      </c>
      <c r="CD26" s="33" t="str">
        <f aca="true">IF(A26="","",IF(CB26="","NOTE: not reviewed yet",IF(TODAY()&gt;CC26,"NOTE: review overdue","OK")))</f>
        <v/>
      </c>
      <c r="CE26" s="37" t="str">
        <f aca="false">IF(A26="","",ROUND((IF(LEN(D26)&gt;0,1,0)+IF(LEN(E26)&gt;0,1,0)+IF(LEN(F26)&gt;0,1,0)+IF(LEN(G26)&gt;0,1,0)+IF(LEN(I26)&gt;0,1,0)+IF(LEN(K26)&gt;0,1,0)+IF(LEN(P26)&gt;0,1,0)+IF(LEN(Q26)&gt;0,1,0)+IF(LEN(T26)&gt;0,1,0)+IF(LEN(V26)&gt;0,1,0)+IF(LEN(W26)&gt;0,1,0)+IF(LEN(X26)&gt;0,1,0)+IF(LEN(Z26)&gt;0,1,0)+IF(LEN(AD26)&gt;0,1,0)+IF(LEN(AE26)&gt;0,1,0)+IF(LEN(AG26)&gt;0,1,0)+IF(LEN(AI26)&gt;0,1,0)+IF(LEN(BB26)&gt;0,1,0)+IF(LEN(BC26)&gt;0,1,0)+IF(LEN(AM26)&gt;0,1,0)+IF(LEN(AO26)&gt;0,1,0)+IF(LEN(AP26)&gt;0,1,0)+IF(LEN(AQ26)&gt;0,1,0)+IF(LEN(AR26)&gt;0,1,0)+IF(LEN(BA26)&gt;0,1,0)+IF(LEN(BM26)&gt;0,1,0)+IF(LEN(BZ26)&gt;0,1,0))/27,2))</f>
        <v/>
      </c>
      <c r="CF26" s="10" t="str">
        <f aca="false">IF(D26="","",IF(AND(AP26="Approved",ISERROR(SEARCH("FAIL",BJ26))),"Y","N"))</f>
        <v/>
      </c>
      <c r="CG26" s="10" t="str">
        <f aca="false">IF(D26="","",D26&amp;"|"&amp;E26&amp;"|"&amp;F26&amp;"|"&amp;G26&amp;"|"&amp;CF26)</f>
        <v/>
      </c>
    </row>
    <row r="27" customFormat="false" ht="15" hidden="false" customHeight="false" outlineLevel="0" collapsed="false">
      <c r="A27" s="10" t="str">
        <f aca="false">IF(D27="","","RW-"&amp;IFERROR(VLOOKUP(D27,Lists!$M$4:$N$22,2,0),"??")&amp;"-H"&amp;TEXT(E27*1000,"0000")&amp;"-S"&amp;F27&amp;IF(G27="Y","-GW","")&amp;"-"&amp;AO27)</f>
        <v/>
      </c>
      <c r="B27" s="10" t="str">
        <f aca="false">IF(D27="","",D27&amp;", H = "&amp;TEXT(E27,"0.0")&amp;" m, q = "&amp;F27&amp;" kPa"&amp;IF(G27="Y",", with GWT","")&amp;", "&amp;I27)</f>
        <v/>
      </c>
      <c r="C27" s="9"/>
      <c r="D27" s="9"/>
      <c r="E27" s="39"/>
      <c r="F27" s="38"/>
      <c r="G27" s="9"/>
      <c r="H27" s="38"/>
      <c r="I27" s="9"/>
      <c r="J27" s="38"/>
      <c r="K27" s="38"/>
      <c r="L27" s="38"/>
      <c r="M27" s="42"/>
      <c r="N27" s="9"/>
      <c r="O27" s="38"/>
      <c r="P27" s="38"/>
      <c r="Q27" s="38"/>
      <c r="R27" s="38"/>
      <c r="S27" s="38"/>
      <c r="T27" s="38"/>
      <c r="U27" s="9"/>
      <c r="V27" s="9"/>
      <c r="W27" s="38"/>
      <c r="X27" s="9"/>
      <c r="Y27" s="9"/>
      <c r="Z27" s="9"/>
      <c r="AA27" s="9"/>
      <c r="AB27" s="9"/>
      <c r="AC27" s="9"/>
      <c r="AD27" s="39"/>
      <c r="AE27" s="39"/>
      <c r="AF27" s="39"/>
      <c r="AG27" s="38"/>
      <c r="AH27" s="38"/>
      <c r="AI27" s="9"/>
      <c r="AJ27" s="38"/>
      <c r="AK27" s="9"/>
      <c r="AL27" s="39"/>
      <c r="AM27" s="9"/>
      <c r="AN27" s="9"/>
      <c r="AO27" s="9"/>
      <c r="AP27" s="9"/>
      <c r="AQ27" s="9"/>
      <c r="AR27" s="9"/>
      <c r="AS27" s="9"/>
      <c r="AT27" s="10" t="str">
        <f aca="false">IF(A27="","",SG_Criteria!$B$6&amp;SG_Criteria!$B$8&amp;"\"&amp;A27&amp;"\")</f>
        <v/>
      </c>
      <c r="AU27" s="10" t="str">
        <f aca="false">IF(A27="","",A27&amp;"_CAD.dwg")</f>
        <v/>
      </c>
      <c r="AV27" s="10" t="str">
        <f aca="false">IF(A27="","",A27&amp;"_DWG.pdf")</f>
        <v/>
      </c>
      <c r="AW27" s="10" t="str">
        <f aca="false">IF(A27="","",IF(AS27="Y",A27&amp;"_STAAD.std","n/a"))</f>
        <v/>
      </c>
      <c r="AX27" s="10" t="str">
        <f aca="false">IF(A27="","",A27&amp;"_CALC.xlsx")</f>
        <v/>
      </c>
      <c r="AY27" s="10" t="str">
        <f aca="false">IF(A27="","",A27&amp;"_CALC.pdf")</f>
        <v/>
      </c>
      <c r="AZ27" s="9"/>
      <c r="BA27" s="9"/>
      <c r="BB27" s="39"/>
      <c r="BC27" s="39"/>
      <c r="BD27" s="39"/>
      <c r="BE27" s="39"/>
      <c r="BF27" s="39"/>
      <c r="BG27" s="12" t="str">
        <f aca="false">IF(A27="","",IF(COUNTIF(Rebar_Schedule!$A$5:$A$2004,A27)=0,"",ROUND(SUMIF(Rebar_Schedule!$A$5:$A$2004,A27,Rebar_Schedule!$K$5:$K$2004),1)))</f>
        <v/>
      </c>
      <c r="BH27" s="33" t="str">
        <f aca="false">IF(A27="","",IF(BG27="","No rebar schedule yet",IF(ABS(BG27-N(BC27))/MAX(N(BC27),1)&gt;SG_Criteria!$B$55,"NOTE: register rebar differs from schedule by "&amp;TEXT(ABS(BG27-N(BC27))/MAX(N(BC27),1),"0%"),"OK")))</f>
        <v/>
      </c>
      <c r="BI27" s="33" t="str">
        <f aca="false">IF(OR(D27="",E27=""),"",IF(E27&lt;=IF(OR(D27="Block / Segmental",D27="Gabion",D27="Reinforced Earth (MSE)"),SG_Criteria!$B$34,SG_Criteria!$B$33),"No ERSS submission",IF(E27&lt;=SG_Criteria!$B$35,"QP(ST)",IF(E27&lt;=SG_Criteria!$B$36,"QP(ST) + AC","Geotechnical building works: QP(Geo) + AC"))))</f>
        <v/>
      </c>
      <c r="BJ27" s="33" t="str">
        <f aca="false">IF(D27="","",IF(LEN(IF(AND(V27&lt;&gt;"",IFERROR(VALUE(MID(V27,2,2)),0)&lt;SG_Criteria!$B$19),"FAIL: grade below C"&amp;SG_Criteria!$B$19&amp;". ","")&amp;IF(AND(W27&lt;&gt;"",W27&lt;SG_Criteria!$B$20),"FAIL: cover &lt; "&amp;SG_Criteria!$B$20&amp;" mm. ","")&amp;IF(AND(AD27&lt;&gt;"",AD27&lt;1),"FAIL: sliding. ","")&amp;IF(AND(D27="Reverse L-Wall (toe only, at boundary)",N(S27)&gt;0),"NOTE: reverse L-wall should have no heel. ","")&amp;IF(AND(D27="L-Wall (heel only)",N(R27)&gt;0),"NOTE: L-wall should have no toe. ","")&amp;IF(AND(F27&lt;&gt;"",F27&lt;SG_Criteria!$B$31),"NOTE: q below LTA min "&amp;SG_Criteria!$B$31&amp;" kPa (not for LTA works). ",""))=0,"OK",IF(AND(V27&lt;&gt;"",IFERROR(VALUE(MID(V27,2,2)),0)&lt;SG_Criteria!$B$19),"FAIL: grade below C"&amp;SG_Criteria!$B$19&amp;". ","")&amp;IF(AND(W27&lt;&gt;"",W27&lt;SG_Criteria!$B$20),"FAIL: cover &lt; "&amp;SG_Criteria!$B$20&amp;" mm. ","")&amp;IF(AND(AD27&lt;&gt;"",AD27&lt;1),"FAIL: sliding. ","")&amp;IF(AND(D27="Reverse L-Wall (toe only, at boundary)",N(S27)&gt;0),"NOTE: reverse L-wall should have no heel. ","")&amp;IF(AND(D27="L-Wall (heel only)",N(R27)&gt;0),"NOTE: L-wall should have no toe. ","")&amp;IF(AND(F27&lt;&gt;"",F27&lt;SG_Criteria!$B$31),"NOTE: q below LTA min "&amp;SG_Criteria!$B$31&amp;" kPa (not for LTA works). ","")))</f>
        <v/>
      </c>
      <c r="BK27" s="9"/>
      <c r="BL27" s="9"/>
      <c r="BM27" s="9"/>
      <c r="BN27" s="10" t="str">
        <f aca="false">IF(BM27="","",IFERROR(VLOOKUP(BM27,Projects!$A$5:$D$504,2,0),"Ref not in Projects"))</f>
        <v/>
      </c>
      <c r="BO27" s="10" t="str">
        <f aca="false">IF(BM27="","",IFERROR(VLOOKUP(BM27,Projects!$A$5:$D$504,4,0),"Ref not in Projects"))</f>
        <v/>
      </c>
      <c r="BP27" s="9"/>
      <c r="BQ27" s="9"/>
      <c r="BR27" s="9"/>
      <c r="BS27" s="40"/>
      <c r="BT27" s="9"/>
      <c r="BU27" s="40"/>
      <c r="BV27" s="9"/>
      <c r="BW27" s="40"/>
      <c r="BX27" s="9"/>
      <c r="BY27" s="9"/>
      <c r="BZ27" s="9"/>
      <c r="CA27" s="40"/>
      <c r="CB27" s="40"/>
      <c r="CC27" s="36" t="str">
        <f aca="false">IF(CB27="","",EDATE(CB27,SG_Criteria!$B$54*12))</f>
        <v/>
      </c>
      <c r="CD27" s="33" t="str">
        <f aca="true">IF(A27="","",IF(CB27="","NOTE: not reviewed yet",IF(TODAY()&gt;CC27,"NOTE: review overdue","OK")))</f>
        <v/>
      </c>
      <c r="CE27" s="37" t="str">
        <f aca="false">IF(A27="","",ROUND((IF(LEN(D27)&gt;0,1,0)+IF(LEN(E27)&gt;0,1,0)+IF(LEN(F27)&gt;0,1,0)+IF(LEN(G27)&gt;0,1,0)+IF(LEN(I27)&gt;0,1,0)+IF(LEN(K27)&gt;0,1,0)+IF(LEN(P27)&gt;0,1,0)+IF(LEN(Q27)&gt;0,1,0)+IF(LEN(T27)&gt;0,1,0)+IF(LEN(V27)&gt;0,1,0)+IF(LEN(W27)&gt;0,1,0)+IF(LEN(X27)&gt;0,1,0)+IF(LEN(Z27)&gt;0,1,0)+IF(LEN(AD27)&gt;0,1,0)+IF(LEN(AE27)&gt;0,1,0)+IF(LEN(AG27)&gt;0,1,0)+IF(LEN(AI27)&gt;0,1,0)+IF(LEN(BB27)&gt;0,1,0)+IF(LEN(BC27)&gt;0,1,0)+IF(LEN(AM27)&gt;0,1,0)+IF(LEN(AO27)&gt;0,1,0)+IF(LEN(AP27)&gt;0,1,0)+IF(LEN(AQ27)&gt;0,1,0)+IF(LEN(AR27)&gt;0,1,0)+IF(LEN(BA27)&gt;0,1,0)+IF(LEN(BM27)&gt;0,1,0)+IF(LEN(BZ27)&gt;0,1,0))/27,2))</f>
        <v/>
      </c>
      <c r="CF27" s="10" t="str">
        <f aca="false">IF(D27="","",IF(AND(AP27="Approved",ISERROR(SEARCH("FAIL",BJ27))),"Y","N"))</f>
        <v/>
      </c>
      <c r="CG27" s="10" t="str">
        <f aca="false">IF(D27="","",D27&amp;"|"&amp;E27&amp;"|"&amp;F27&amp;"|"&amp;G27&amp;"|"&amp;CF27)</f>
        <v/>
      </c>
    </row>
    <row r="28" customFormat="false" ht="15" hidden="false" customHeight="false" outlineLevel="0" collapsed="false">
      <c r="A28" s="10" t="str">
        <f aca="false">IF(D28="","","RW-"&amp;IFERROR(VLOOKUP(D28,Lists!$M$4:$N$22,2,0),"??")&amp;"-H"&amp;TEXT(E28*1000,"0000")&amp;"-S"&amp;F28&amp;IF(G28="Y","-GW","")&amp;"-"&amp;AO28)</f>
        <v/>
      </c>
      <c r="B28" s="10" t="str">
        <f aca="false">IF(D28="","",D28&amp;", H = "&amp;TEXT(E28,"0.0")&amp;" m, q = "&amp;F28&amp;" kPa"&amp;IF(G28="Y",", with GWT","")&amp;", "&amp;I28)</f>
        <v/>
      </c>
      <c r="C28" s="9"/>
      <c r="D28" s="9"/>
      <c r="E28" s="39"/>
      <c r="F28" s="38"/>
      <c r="G28" s="9"/>
      <c r="H28" s="38"/>
      <c r="I28" s="9"/>
      <c r="J28" s="38"/>
      <c r="K28" s="38"/>
      <c r="L28" s="38"/>
      <c r="M28" s="42"/>
      <c r="N28" s="9"/>
      <c r="O28" s="38"/>
      <c r="P28" s="38"/>
      <c r="Q28" s="38"/>
      <c r="R28" s="38"/>
      <c r="S28" s="38"/>
      <c r="T28" s="38"/>
      <c r="U28" s="9"/>
      <c r="V28" s="9"/>
      <c r="W28" s="38"/>
      <c r="X28" s="9"/>
      <c r="Y28" s="9"/>
      <c r="Z28" s="9"/>
      <c r="AA28" s="9"/>
      <c r="AB28" s="9"/>
      <c r="AC28" s="9"/>
      <c r="AD28" s="39"/>
      <c r="AE28" s="39"/>
      <c r="AF28" s="39"/>
      <c r="AG28" s="38"/>
      <c r="AH28" s="38"/>
      <c r="AI28" s="9"/>
      <c r="AJ28" s="38"/>
      <c r="AK28" s="9"/>
      <c r="AL28" s="39"/>
      <c r="AM28" s="9"/>
      <c r="AN28" s="9"/>
      <c r="AO28" s="9"/>
      <c r="AP28" s="9"/>
      <c r="AQ28" s="9"/>
      <c r="AR28" s="9"/>
      <c r="AS28" s="9"/>
      <c r="AT28" s="10" t="str">
        <f aca="false">IF(A28="","",SG_Criteria!$B$6&amp;SG_Criteria!$B$8&amp;"\"&amp;A28&amp;"\")</f>
        <v/>
      </c>
      <c r="AU28" s="10" t="str">
        <f aca="false">IF(A28="","",A28&amp;"_CAD.dwg")</f>
        <v/>
      </c>
      <c r="AV28" s="10" t="str">
        <f aca="false">IF(A28="","",A28&amp;"_DWG.pdf")</f>
        <v/>
      </c>
      <c r="AW28" s="10" t="str">
        <f aca="false">IF(A28="","",IF(AS28="Y",A28&amp;"_STAAD.std","n/a"))</f>
        <v/>
      </c>
      <c r="AX28" s="10" t="str">
        <f aca="false">IF(A28="","",A28&amp;"_CALC.xlsx")</f>
        <v/>
      </c>
      <c r="AY28" s="10" t="str">
        <f aca="false">IF(A28="","",A28&amp;"_CALC.pdf")</f>
        <v/>
      </c>
      <c r="AZ28" s="9"/>
      <c r="BA28" s="9"/>
      <c r="BB28" s="39"/>
      <c r="BC28" s="39"/>
      <c r="BD28" s="39"/>
      <c r="BE28" s="39"/>
      <c r="BF28" s="39"/>
      <c r="BG28" s="12" t="str">
        <f aca="false">IF(A28="","",IF(COUNTIF(Rebar_Schedule!$A$5:$A$2004,A28)=0,"",ROUND(SUMIF(Rebar_Schedule!$A$5:$A$2004,A28,Rebar_Schedule!$K$5:$K$2004),1)))</f>
        <v/>
      </c>
      <c r="BH28" s="33" t="str">
        <f aca="false">IF(A28="","",IF(BG28="","No rebar schedule yet",IF(ABS(BG28-N(BC28))/MAX(N(BC28),1)&gt;SG_Criteria!$B$55,"NOTE: register rebar differs from schedule by "&amp;TEXT(ABS(BG28-N(BC28))/MAX(N(BC28),1),"0%"),"OK")))</f>
        <v/>
      </c>
      <c r="BI28" s="33" t="str">
        <f aca="false">IF(OR(D28="",E28=""),"",IF(E28&lt;=IF(OR(D28="Block / Segmental",D28="Gabion",D28="Reinforced Earth (MSE)"),SG_Criteria!$B$34,SG_Criteria!$B$33),"No ERSS submission",IF(E28&lt;=SG_Criteria!$B$35,"QP(ST)",IF(E28&lt;=SG_Criteria!$B$36,"QP(ST) + AC","Geotechnical building works: QP(Geo) + AC"))))</f>
        <v/>
      </c>
      <c r="BJ28" s="33" t="str">
        <f aca="false">IF(D28="","",IF(LEN(IF(AND(V28&lt;&gt;"",IFERROR(VALUE(MID(V28,2,2)),0)&lt;SG_Criteria!$B$19),"FAIL: grade below C"&amp;SG_Criteria!$B$19&amp;". ","")&amp;IF(AND(W28&lt;&gt;"",W28&lt;SG_Criteria!$B$20),"FAIL: cover &lt; "&amp;SG_Criteria!$B$20&amp;" mm. ","")&amp;IF(AND(AD28&lt;&gt;"",AD28&lt;1),"FAIL: sliding. ","")&amp;IF(AND(D28="Reverse L-Wall (toe only, at boundary)",N(S28)&gt;0),"NOTE: reverse L-wall should have no heel. ","")&amp;IF(AND(D28="L-Wall (heel only)",N(R28)&gt;0),"NOTE: L-wall should have no toe. ","")&amp;IF(AND(F28&lt;&gt;"",F28&lt;SG_Criteria!$B$31),"NOTE: q below LTA min "&amp;SG_Criteria!$B$31&amp;" kPa (not for LTA works). ",""))=0,"OK",IF(AND(V28&lt;&gt;"",IFERROR(VALUE(MID(V28,2,2)),0)&lt;SG_Criteria!$B$19),"FAIL: grade below C"&amp;SG_Criteria!$B$19&amp;". ","")&amp;IF(AND(W28&lt;&gt;"",W28&lt;SG_Criteria!$B$20),"FAIL: cover &lt; "&amp;SG_Criteria!$B$20&amp;" mm. ","")&amp;IF(AND(AD28&lt;&gt;"",AD28&lt;1),"FAIL: sliding. ","")&amp;IF(AND(D28="Reverse L-Wall (toe only, at boundary)",N(S28)&gt;0),"NOTE: reverse L-wall should have no heel. ","")&amp;IF(AND(D28="L-Wall (heel only)",N(R28)&gt;0),"NOTE: L-wall should have no toe. ","")&amp;IF(AND(F28&lt;&gt;"",F28&lt;SG_Criteria!$B$31),"NOTE: q below LTA min "&amp;SG_Criteria!$B$31&amp;" kPa (not for LTA works). ","")))</f>
        <v/>
      </c>
      <c r="BK28" s="9"/>
      <c r="BL28" s="9"/>
      <c r="BM28" s="9"/>
      <c r="BN28" s="10" t="str">
        <f aca="false">IF(BM28="","",IFERROR(VLOOKUP(BM28,Projects!$A$5:$D$504,2,0),"Ref not in Projects"))</f>
        <v/>
      </c>
      <c r="BO28" s="10" t="str">
        <f aca="false">IF(BM28="","",IFERROR(VLOOKUP(BM28,Projects!$A$5:$D$504,4,0),"Ref not in Projects"))</f>
        <v/>
      </c>
      <c r="BP28" s="9"/>
      <c r="BQ28" s="9"/>
      <c r="BR28" s="9"/>
      <c r="BS28" s="40"/>
      <c r="BT28" s="9"/>
      <c r="BU28" s="40"/>
      <c r="BV28" s="9"/>
      <c r="BW28" s="40"/>
      <c r="BX28" s="9"/>
      <c r="BY28" s="9"/>
      <c r="BZ28" s="9"/>
      <c r="CA28" s="40"/>
      <c r="CB28" s="40"/>
      <c r="CC28" s="36" t="str">
        <f aca="false">IF(CB28="","",EDATE(CB28,SG_Criteria!$B$54*12))</f>
        <v/>
      </c>
      <c r="CD28" s="33" t="str">
        <f aca="true">IF(A28="","",IF(CB28="","NOTE: not reviewed yet",IF(TODAY()&gt;CC28,"NOTE: review overdue","OK")))</f>
        <v/>
      </c>
      <c r="CE28" s="37" t="str">
        <f aca="false">IF(A28="","",ROUND((IF(LEN(D28)&gt;0,1,0)+IF(LEN(E28)&gt;0,1,0)+IF(LEN(F28)&gt;0,1,0)+IF(LEN(G28)&gt;0,1,0)+IF(LEN(I28)&gt;0,1,0)+IF(LEN(K28)&gt;0,1,0)+IF(LEN(P28)&gt;0,1,0)+IF(LEN(Q28)&gt;0,1,0)+IF(LEN(T28)&gt;0,1,0)+IF(LEN(V28)&gt;0,1,0)+IF(LEN(W28)&gt;0,1,0)+IF(LEN(X28)&gt;0,1,0)+IF(LEN(Z28)&gt;0,1,0)+IF(LEN(AD28)&gt;0,1,0)+IF(LEN(AE28)&gt;0,1,0)+IF(LEN(AG28)&gt;0,1,0)+IF(LEN(AI28)&gt;0,1,0)+IF(LEN(BB28)&gt;0,1,0)+IF(LEN(BC28)&gt;0,1,0)+IF(LEN(AM28)&gt;0,1,0)+IF(LEN(AO28)&gt;0,1,0)+IF(LEN(AP28)&gt;0,1,0)+IF(LEN(AQ28)&gt;0,1,0)+IF(LEN(AR28)&gt;0,1,0)+IF(LEN(BA28)&gt;0,1,0)+IF(LEN(BM28)&gt;0,1,0)+IF(LEN(BZ28)&gt;0,1,0))/27,2))</f>
        <v/>
      </c>
      <c r="CF28" s="10" t="str">
        <f aca="false">IF(D28="","",IF(AND(AP28="Approved",ISERROR(SEARCH("FAIL",BJ28))),"Y","N"))</f>
        <v/>
      </c>
      <c r="CG28" s="10" t="str">
        <f aca="false">IF(D28="","",D28&amp;"|"&amp;E28&amp;"|"&amp;F28&amp;"|"&amp;G28&amp;"|"&amp;CF28)</f>
        <v/>
      </c>
    </row>
    <row r="29" customFormat="false" ht="15" hidden="false" customHeight="false" outlineLevel="0" collapsed="false">
      <c r="A29" s="10" t="str">
        <f aca="false">IF(D29="","","RW-"&amp;IFERROR(VLOOKUP(D29,Lists!$M$4:$N$22,2,0),"??")&amp;"-H"&amp;TEXT(E29*1000,"0000")&amp;"-S"&amp;F29&amp;IF(G29="Y","-GW","")&amp;"-"&amp;AO29)</f>
        <v/>
      </c>
      <c r="B29" s="10" t="str">
        <f aca="false">IF(D29="","",D29&amp;", H = "&amp;TEXT(E29,"0.0")&amp;" m, q = "&amp;F29&amp;" kPa"&amp;IF(G29="Y",", with GWT","")&amp;", "&amp;I29)</f>
        <v/>
      </c>
      <c r="C29" s="9"/>
      <c r="D29" s="9"/>
      <c r="E29" s="39"/>
      <c r="F29" s="38"/>
      <c r="G29" s="9"/>
      <c r="H29" s="38"/>
      <c r="I29" s="9"/>
      <c r="J29" s="38"/>
      <c r="K29" s="38"/>
      <c r="L29" s="38"/>
      <c r="M29" s="42"/>
      <c r="N29" s="9"/>
      <c r="O29" s="38"/>
      <c r="P29" s="38"/>
      <c r="Q29" s="38"/>
      <c r="R29" s="38"/>
      <c r="S29" s="38"/>
      <c r="T29" s="38"/>
      <c r="U29" s="9"/>
      <c r="V29" s="9"/>
      <c r="W29" s="38"/>
      <c r="X29" s="9"/>
      <c r="Y29" s="9"/>
      <c r="Z29" s="9"/>
      <c r="AA29" s="9"/>
      <c r="AB29" s="9"/>
      <c r="AC29" s="9"/>
      <c r="AD29" s="39"/>
      <c r="AE29" s="39"/>
      <c r="AF29" s="39"/>
      <c r="AG29" s="38"/>
      <c r="AH29" s="38"/>
      <c r="AI29" s="9"/>
      <c r="AJ29" s="38"/>
      <c r="AK29" s="9"/>
      <c r="AL29" s="39"/>
      <c r="AM29" s="9"/>
      <c r="AN29" s="9"/>
      <c r="AO29" s="9"/>
      <c r="AP29" s="9"/>
      <c r="AQ29" s="9"/>
      <c r="AR29" s="9"/>
      <c r="AS29" s="9"/>
      <c r="AT29" s="10" t="str">
        <f aca="false">IF(A29="","",SG_Criteria!$B$6&amp;SG_Criteria!$B$8&amp;"\"&amp;A29&amp;"\")</f>
        <v/>
      </c>
      <c r="AU29" s="10" t="str">
        <f aca="false">IF(A29="","",A29&amp;"_CAD.dwg")</f>
        <v/>
      </c>
      <c r="AV29" s="10" t="str">
        <f aca="false">IF(A29="","",A29&amp;"_DWG.pdf")</f>
        <v/>
      </c>
      <c r="AW29" s="10" t="str">
        <f aca="false">IF(A29="","",IF(AS29="Y",A29&amp;"_STAAD.std","n/a"))</f>
        <v/>
      </c>
      <c r="AX29" s="10" t="str">
        <f aca="false">IF(A29="","",A29&amp;"_CALC.xlsx")</f>
        <v/>
      </c>
      <c r="AY29" s="10" t="str">
        <f aca="false">IF(A29="","",A29&amp;"_CALC.pdf")</f>
        <v/>
      </c>
      <c r="AZ29" s="9"/>
      <c r="BA29" s="9"/>
      <c r="BB29" s="39"/>
      <c r="BC29" s="39"/>
      <c r="BD29" s="39"/>
      <c r="BE29" s="39"/>
      <c r="BF29" s="39"/>
      <c r="BG29" s="12" t="str">
        <f aca="false">IF(A29="","",IF(COUNTIF(Rebar_Schedule!$A$5:$A$2004,A29)=0,"",ROUND(SUMIF(Rebar_Schedule!$A$5:$A$2004,A29,Rebar_Schedule!$K$5:$K$2004),1)))</f>
        <v/>
      </c>
      <c r="BH29" s="33" t="str">
        <f aca="false">IF(A29="","",IF(BG29="","No rebar schedule yet",IF(ABS(BG29-N(BC29))/MAX(N(BC29),1)&gt;SG_Criteria!$B$55,"NOTE: register rebar differs from schedule by "&amp;TEXT(ABS(BG29-N(BC29))/MAX(N(BC29),1),"0%"),"OK")))</f>
        <v/>
      </c>
      <c r="BI29" s="33" t="str">
        <f aca="false">IF(OR(D29="",E29=""),"",IF(E29&lt;=IF(OR(D29="Block / Segmental",D29="Gabion",D29="Reinforced Earth (MSE)"),SG_Criteria!$B$34,SG_Criteria!$B$33),"No ERSS submission",IF(E29&lt;=SG_Criteria!$B$35,"QP(ST)",IF(E29&lt;=SG_Criteria!$B$36,"QP(ST) + AC","Geotechnical building works: QP(Geo) + AC"))))</f>
        <v/>
      </c>
      <c r="BJ29" s="33" t="str">
        <f aca="false">IF(D29="","",IF(LEN(IF(AND(V29&lt;&gt;"",IFERROR(VALUE(MID(V29,2,2)),0)&lt;SG_Criteria!$B$19),"FAIL: grade below C"&amp;SG_Criteria!$B$19&amp;". ","")&amp;IF(AND(W29&lt;&gt;"",W29&lt;SG_Criteria!$B$20),"FAIL: cover &lt; "&amp;SG_Criteria!$B$20&amp;" mm. ","")&amp;IF(AND(AD29&lt;&gt;"",AD29&lt;1),"FAIL: sliding. ","")&amp;IF(AND(D29="Reverse L-Wall (toe only, at boundary)",N(S29)&gt;0),"NOTE: reverse L-wall should have no heel. ","")&amp;IF(AND(D29="L-Wall (heel only)",N(R29)&gt;0),"NOTE: L-wall should have no toe. ","")&amp;IF(AND(F29&lt;&gt;"",F29&lt;SG_Criteria!$B$31),"NOTE: q below LTA min "&amp;SG_Criteria!$B$31&amp;" kPa (not for LTA works). ",""))=0,"OK",IF(AND(V29&lt;&gt;"",IFERROR(VALUE(MID(V29,2,2)),0)&lt;SG_Criteria!$B$19),"FAIL: grade below C"&amp;SG_Criteria!$B$19&amp;". ","")&amp;IF(AND(W29&lt;&gt;"",W29&lt;SG_Criteria!$B$20),"FAIL: cover &lt; "&amp;SG_Criteria!$B$20&amp;" mm. ","")&amp;IF(AND(AD29&lt;&gt;"",AD29&lt;1),"FAIL: sliding. ","")&amp;IF(AND(D29="Reverse L-Wall (toe only, at boundary)",N(S29)&gt;0),"NOTE: reverse L-wall should have no heel. ","")&amp;IF(AND(D29="L-Wall (heel only)",N(R29)&gt;0),"NOTE: L-wall should have no toe. ","")&amp;IF(AND(F29&lt;&gt;"",F29&lt;SG_Criteria!$B$31),"NOTE: q below LTA min "&amp;SG_Criteria!$B$31&amp;" kPa (not for LTA works). ","")))</f>
        <v/>
      </c>
      <c r="BK29" s="9"/>
      <c r="BL29" s="9"/>
      <c r="BM29" s="9"/>
      <c r="BN29" s="10" t="str">
        <f aca="false">IF(BM29="","",IFERROR(VLOOKUP(BM29,Projects!$A$5:$D$504,2,0),"Ref not in Projects"))</f>
        <v/>
      </c>
      <c r="BO29" s="10" t="str">
        <f aca="false">IF(BM29="","",IFERROR(VLOOKUP(BM29,Projects!$A$5:$D$504,4,0),"Ref not in Projects"))</f>
        <v/>
      </c>
      <c r="BP29" s="9"/>
      <c r="BQ29" s="9"/>
      <c r="BR29" s="9"/>
      <c r="BS29" s="40"/>
      <c r="BT29" s="9"/>
      <c r="BU29" s="40"/>
      <c r="BV29" s="9"/>
      <c r="BW29" s="40"/>
      <c r="BX29" s="9"/>
      <c r="BY29" s="9"/>
      <c r="BZ29" s="9"/>
      <c r="CA29" s="40"/>
      <c r="CB29" s="40"/>
      <c r="CC29" s="36" t="str">
        <f aca="false">IF(CB29="","",EDATE(CB29,SG_Criteria!$B$54*12))</f>
        <v/>
      </c>
      <c r="CD29" s="33" t="str">
        <f aca="true">IF(A29="","",IF(CB29="","NOTE: not reviewed yet",IF(TODAY()&gt;CC29,"NOTE: review overdue","OK")))</f>
        <v/>
      </c>
      <c r="CE29" s="37" t="str">
        <f aca="false">IF(A29="","",ROUND((IF(LEN(D29)&gt;0,1,0)+IF(LEN(E29)&gt;0,1,0)+IF(LEN(F29)&gt;0,1,0)+IF(LEN(G29)&gt;0,1,0)+IF(LEN(I29)&gt;0,1,0)+IF(LEN(K29)&gt;0,1,0)+IF(LEN(P29)&gt;0,1,0)+IF(LEN(Q29)&gt;0,1,0)+IF(LEN(T29)&gt;0,1,0)+IF(LEN(V29)&gt;0,1,0)+IF(LEN(W29)&gt;0,1,0)+IF(LEN(X29)&gt;0,1,0)+IF(LEN(Z29)&gt;0,1,0)+IF(LEN(AD29)&gt;0,1,0)+IF(LEN(AE29)&gt;0,1,0)+IF(LEN(AG29)&gt;0,1,0)+IF(LEN(AI29)&gt;0,1,0)+IF(LEN(BB29)&gt;0,1,0)+IF(LEN(BC29)&gt;0,1,0)+IF(LEN(AM29)&gt;0,1,0)+IF(LEN(AO29)&gt;0,1,0)+IF(LEN(AP29)&gt;0,1,0)+IF(LEN(AQ29)&gt;0,1,0)+IF(LEN(AR29)&gt;0,1,0)+IF(LEN(BA29)&gt;0,1,0)+IF(LEN(BM29)&gt;0,1,0)+IF(LEN(BZ29)&gt;0,1,0))/27,2))</f>
        <v/>
      </c>
      <c r="CF29" s="10" t="str">
        <f aca="false">IF(D29="","",IF(AND(AP29="Approved",ISERROR(SEARCH("FAIL",BJ29))),"Y","N"))</f>
        <v/>
      </c>
      <c r="CG29" s="10" t="str">
        <f aca="false">IF(D29="","",D29&amp;"|"&amp;E29&amp;"|"&amp;F29&amp;"|"&amp;G29&amp;"|"&amp;CF29)</f>
        <v/>
      </c>
    </row>
    <row r="30" customFormat="false" ht="15" hidden="false" customHeight="false" outlineLevel="0" collapsed="false">
      <c r="A30" s="10" t="str">
        <f aca="false">IF(D30="","","RW-"&amp;IFERROR(VLOOKUP(D30,Lists!$M$4:$N$22,2,0),"??")&amp;"-H"&amp;TEXT(E30*1000,"0000")&amp;"-S"&amp;F30&amp;IF(G30="Y","-GW","")&amp;"-"&amp;AO30)</f>
        <v/>
      </c>
      <c r="B30" s="10" t="str">
        <f aca="false">IF(D30="","",D30&amp;", H = "&amp;TEXT(E30,"0.0")&amp;" m, q = "&amp;F30&amp;" kPa"&amp;IF(G30="Y",", with GWT","")&amp;", "&amp;I30)</f>
        <v/>
      </c>
      <c r="C30" s="9"/>
      <c r="D30" s="9"/>
      <c r="E30" s="39"/>
      <c r="F30" s="38"/>
      <c r="G30" s="9"/>
      <c r="H30" s="38"/>
      <c r="I30" s="9"/>
      <c r="J30" s="38"/>
      <c r="K30" s="38"/>
      <c r="L30" s="38"/>
      <c r="M30" s="42"/>
      <c r="N30" s="9"/>
      <c r="O30" s="38"/>
      <c r="P30" s="38"/>
      <c r="Q30" s="38"/>
      <c r="R30" s="38"/>
      <c r="S30" s="38"/>
      <c r="T30" s="38"/>
      <c r="U30" s="9"/>
      <c r="V30" s="9"/>
      <c r="W30" s="38"/>
      <c r="X30" s="9"/>
      <c r="Y30" s="9"/>
      <c r="Z30" s="9"/>
      <c r="AA30" s="9"/>
      <c r="AB30" s="9"/>
      <c r="AC30" s="9"/>
      <c r="AD30" s="39"/>
      <c r="AE30" s="39"/>
      <c r="AF30" s="39"/>
      <c r="AG30" s="38"/>
      <c r="AH30" s="38"/>
      <c r="AI30" s="9"/>
      <c r="AJ30" s="38"/>
      <c r="AK30" s="9"/>
      <c r="AL30" s="39"/>
      <c r="AM30" s="9"/>
      <c r="AN30" s="9"/>
      <c r="AO30" s="9"/>
      <c r="AP30" s="9"/>
      <c r="AQ30" s="9"/>
      <c r="AR30" s="9"/>
      <c r="AS30" s="9"/>
      <c r="AT30" s="10" t="str">
        <f aca="false">IF(A30="","",SG_Criteria!$B$6&amp;SG_Criteria!$B$8&amp;"\"&amp;A30&amp;"\")</f>
        <v/>
      </c>
      <c r="AU30" s="10" t="str">
        <f aca="false">IF(A30="","",A30&amp;"_CAD.dwg")</f>
        <v/>
      </c>
      <c r="AV30" s="10" t="str">
        <f aca="false">IF(A30="","",A30&amp;"_DWG.pdf")</f>
        <v/>
      </c>
      <c r="AW30" s="10" t="str">
        <f aca="false">IF(A30="","",IF(AS30="Y",A30&amp;"_STAAD.std","n/a"))</f>
        <v/>
      </c>
      <c r="AX30" s="10" t="str">
        <f aca="false">IF(A30="","",A30&amp;"_CALC.xlsx")</f>
        <v/>
      </c>
      <c r="AY30" s="10" t="str">
        <f aca="false">IF(A30="","",A30&amp;"_CALC.pdf")</f>
        <v/>
      </c>
      <c r="AZ30" s="9"/>
      <c r="BA30" s="9"/>
      <c r="BB30" s="39"/>
      <c r="BC30" s="39"/>
      <c r="BD30" s="39"/>
      <c r="BE30" s="39"/>
      <c r="BF30" s="39"/>
      <c r="BG30" s="12" t="str">
        <f aca="false">IF(A30="","",IF(COUNTIF(Rebar_Schedule!$A$5:$A$2004,A30)=0,"",ROUND(SUMIF(Rebar_Schedule!$A$5:$A$2004,A30,Rebar_Schedule!$K$5:$K$2004),1)))</f>
        <v/>
      </c>
      <c r="BH30" s="33" t="str">
        <f aca="false">IF(A30="","",IF(BG30="","No rebar schedule yet",IF(ABS(BG30-N(BC30))/MAX(N(BC30),1)&gt;SG_Criteria!$B$55,"NOTE: register rebar differs from schedule by "&amp;TEXT(ABS(BG30-N(BC30))/MAX(N(BC30),1),"0%"),"OK")))</f>
        <v/>
      </c>
      <c r="BI30" s="33" t="str">
        <f aca="false">IF(OR(D30="",E30=""),"",IF(E30&lt;=IF(OR(D30="Block / Segmental",D30="Gabion",D30="Reinforced Earth (MSE)"),SG_Criteria!$B$34,SG_Criteria!$B$33),"No ERSS submission",IF(E30&lt;=SG_Criteria!$B$35,"QP(ST)",IF(E30&lt;=SG_Criteria!$B$36,"QP(ST) + AC","Geotechnical building works: QP(Geo) + AC"))))</f>
        <v/>
      </c>
      <c r="BJ30" s="33" t="str">
        <f aca="false">IF(D30="","",IF(LEN(IF(AND(V30&lt;&gt;"",IFERROR(VALUE(MID(V30,2,2)),0)&lt;SG_Criteria!$B$19),"FAIL: grade below C"&amp;SG_Criteria!$B$19&amp;". ","")&amp;IF(AND(W30&lt;&gt;"",W30&lt;SG_Criteria!$B$20),"FAIL: cover &lt; "&amp;SG_Criteria!$B$20&amp;" mm. ","")&amp;IF(AND(AD30&lt;&gt;"",AD30&lt;1),"FAIL: sliding. ","")&amp;IF(AND(D30="Reverse L-Wall (toe only, at boundary)",N(S30)&gt;0),"NOTE: reverse L-wall should have no heel. ","")&amp;IF(AND(D30="L-Wall (heel only)",N(R30)&gt;0),"NOTE: L-wall should have no toe. ","")&amp;IF(AND(F30&lt;&gt;"",F30&lt;SG_Criteria!$B$31),"NOTE: q below LTA min "&amp;SG_Criteria!$B$31&amp;" kPa (not for LTA works). ",""))=0,"OK",IF(AND(V30&lt;&gt;"",IFERROR(VALUE(MID(V30,2,2)),0)&lt;SG_Criteria!$B$19),"FAIL: grade below C"&amp;SG_Criteria!$B$19&amp;". ","")&amp;IF(AND(W30&lt;&gt;"",W30&lt;SG_Criteria!$B$20),"FAIL: cover &lt; "&amp;SG_Criteria!$B$20&amp;" mm. ","")&amp;IF(AND(AD30&lt;&gt;"",AD30&lt;1),"FAIL: sliding. ","")&amp;IF(AND(D30="Reverse L-Wall (toe only, at boundary)",N(S30)&gt;0),"NOTE: reverse L-wall should have no heel. ","")&amp;IF(AND(D30="L-Wall (heel only)",N(R30)&gt;0),"NOTE: L-wall should have no toe. ","")&amp;IF(AND(F30&lt;&gt;"",F30&lt;SG_Criteria!$B$31),"NOTE: q below LTA min "&amp;SG_Criteria!$B$31&amp;" kPa (not for LTA works). ","")))</f>
        <v/>
      </c>
      <c r="BK30" s="9"/>
      <c r="BL30" s="9"/>
      <c r="BM30" s="9"/>
      <c r="BN30" s="10" t="str">
        <f aca="false">IF(BM30="","",IFERROR(VLOOKUP(BM30,Projects!$A$5:$D$504,2,0),"Ref not in Projects"))</f>
        <v/>
      </c>
      <c r="BO30" s="10" t="str">
        <f aca="false">IF(BM30="","",IFERROR(VLOOKUP(BM30,Projects!$A$5:$D$504,4,0),"Ref not in Projects"))</f>
        <v/>
      </c>
      <c r="BP30" s="9"/>
      <c r="BQ30" s="9"/>
      <c r="BR30" s="9"/>
      <c r="BS30" s="40"/>
      <c r="BT30" s="9"/>
      <c r="BU30" s="40"/>
      <c r="BV30" s="9"/>
      <c r="BW30" s="40"/>
      <c r="BX30" s="9"/>
      <c r="BY30" s="9"/>
      <c r="BZ30" s="9"/>
      <c r="CA30" s="40"/>
      <c r="CB30" s="40"/>
      <c r="CC30" s="36" t="str">
        <f aca="false">IF(CB30="","",EDATE(CB30,SG_Criteria!$B$54*12))</f>
        <v/>
      </c>
      <c r="CD30" s="33" t="str">
        <f aca="true">IF(A30="","",IF(CB30="","NOTE: not reviewed yet",IF(TODAY()&gt;CC30,"NOTE: review overdue","OK")))</f>
        <v/>
      </c>
      <c r="CE30" s="37" t="str">
        <f aca="false">IF(A30="","",ROUND((IF(LEN(D30)&gt;0,1,0)+IF(LEN(E30)&gt;0,1,0)+IF(LEN(F30)&gt;0,1,0)+IF(LEN(G30)&gt;0,1,0)+IF(LEN(I30)&gt;0,1,0)+IF(LEN(K30)&gt;0,1,0)+IF(LEN(P30)&gt;0,1,0)+IF(LEN(Q30)&gt;0,1,0)+IF(LEN(T30)&gt;0,1,0)+IF(LEN(V30)&gt;0,1,0)+IF(LEN(W30)&gt;0,1,0)+IF(LEN(X30)&gt;0,1,0)+IF(LEN(Z30)&gt;0,1,0)+IF(LEN(AD30)&gt;0,1,0)+IF(LEN(AE30)&gt;0,1,0)+IF(LEN(AG30)&gt;0,1,0)+IF(LEN(AI30)&gt;0,1,0)+IF(LEN(BB30)&gt;0,1,0)+IF(LEN(BC30)&gt;0,1,0)+IF(LEN(AM30)&gt;0,1,0)+IF(LEN(AO30)&gt;0,1,0)+IF(LEN(AP30)&gt;0,1,0)+IF(LEN(AQ30)&gt;0,1,0)+IF(LEN(AR30)&gt;0,1,0)+IF(LEN(BA30)&gt;0,1,0)+IF(LEN(BM30)&gt;0,1,0)+IF(LEN(BZ30)&gt;0,1,0))/27,2))</f>
        <v/>
      </c>
      <c r="CF30" s="10" t="str">
        <f aca="false">IF(D30="","",IF(AND(AP30="Approved",ISERROR(SEARCH("FAIL",BJ30))),"Y","N"))</f>
        <v/>
      </c>
      <c r="CG30" s="10" t="str">
        <f aca="false">IF(D30="","",D30&amp;"|"&amp;E30&amp;"|"&amp;F30&amp;"|"&amp;G30&amp;"|"&amp;CF30)</f>
        <v/>
      </c>
    </row>
    <row r="31" customFormat="false" ht="15" hidden="false" customHeight="false" outlineLevel="0" collapsed="false">
      <c r="A31" s="10" t="str">
        <f aca="false">IF(D31="","","RW-"&amp;IFERROR(VLOOKUP(D31,Lists!$M$4:$N$22,2,0),"??")&amp;"-H"&amp;TEXT(E31*1000,"0000")&amp;"-S"&amp;F31&amp;IF(G31="Y","-GW","")&amp;"-"&amp;AO31)</f>
        <v/>
      </c>
      <c r="B31" s="10" t="str">
        <f aca="false">IF(D31="","",D31&amp;", H = "&amp;TEXT(E31,"0.0")&amp;" m, q = "&amp;F31&amp;" kPa"&amp;IF(G31="Y",", with GWT","")&amp;", "&amp;I31)</f>
        <v/>
      </c>
      <c r="C31" s="9"/>
      <c r="D31" s="9"/>
      <c r="E31" s="39"/>
      <c r="F31" s="38"/>
      <c r="G31" s="9"/>
      <c r="H31" s="38"/>
      <c r="I31" s="9"/>
      <c r="J31" s="38"/>
      <c r="K31" s="38"/>
      <c r="L31" s="38"/>
      <c r="M31" s="42"/>
      <c r="N31" s="9"/>
      <c r="O31" s="38"/>
      <c r="P31" s="38"/>
      <c r="Q31" s="38"/>
      <c r="R31" s="38"/>
      <c r="S31" s="38"/>
      <c r="T31" s="38"/>
      <c r="U31" s="9"/>
      <c r="V31" s="9"/>
      <c r="W31" s="38"/>
      <c r="X31" s="9"/>
      <c r="Y31" s="9"/>
      <c r="Z31" s="9"/>
      <c r="AA31" s="9"/>
      <c r="AB31" s="9"/>
      <c r="AC31" s="9"/>
      <c r="AD31" s="39"/>
      <c r="AE31" s="39"/>
      <c r="AF31" s="39"/>
      <c r="AG31" s="38"/>
      <c r="AH31" s="38"/>
      <c r="AI31" s="9"/>
      <c r="AJ31" s="38"/>
      <c r="AK31" s="9"/>
      <c r="AL31" s="39"/>
      <c r="AM31" s="9"/>
      <c r="AN31" s="9"/>
      <c r="AO31" s="9"/>
      <c r="AP31" s="9"/>
      <c r="AQ31" s="9"/>
      <c r="AR31" s="9"/>
      <c r="AS31" s="9"/>
      <c r="AT31" s="10" t="str">
        <f aca="false">IF(A31="","",SG_Criteria!$B$6&amp;SG_Criteria!$B$8&amp;"\"&amp;A31&amp;"\")</f>
        <v/>
      </c>
      <c r="AU31" s="10" t="str">
        <f aca="false">IF(A31="","",A31&amp;"_CAD.dwg")</f>
        <v/>
      </c>
      <c r="AV31" s="10" t="str">
        <f aca="false">IF(A31="","",A31&amp;"_DWG.pdf")</f>
        <v/>
      </c>
      <c r="AW31" s="10" t="str">
        <f aca="false">IF(A31="","",IF(AS31="Y",A31&amp;"_STAAD.std","n/a"))</f>
        <v/>
      </c>
      <c r="AX31" s="10" t="str">
        <f aca="false">IF(A31="","",A31&amp;"_CALC.xlsx")</f>
        <v/>
      </c>
      <c r="AY31" s="10" t="str">
        <f aca="false">IF(A31="","",A31&amp;"_CALC.pdf")</f>
        <v/>
      </c>
      <c r="AZ31" s="9"/>
      <c r="BA31" s="9"/>
      <c r="BB31" s="39"/>
      <c r="BC31" s="39"/>
      <c r="BD31" s="39"/>
      <c r="BE31" s="39"/>
      <c r="BF31" s="39"/>
      <c r="BG31" s="12" t="str">
        <f aca="false">IF(A31="","",IF(COUNTIF(Rebar_Schedule!$A$5:$A$2004,A31)=0,"",ROUND(SUMIF(Rebar_Schedule!$A$5:$A$2004,A31,Rebar_Schedule!$K$5:$K$2004),1)))</f>
        <v/>
      </c>
      <c r="BH31" s="33" t="str">
        <f aca="false">IF(A31="","",IF(BG31="","No rebar schedule yet",IF(ABS(BG31-N(BC31))/MAX(N(BC31),1)&gt;SG_Criteria!$B$55,"NOTE: register rebar differs from schedule by "&amp;TEXT(ABS(BG31-N(BC31))/MAX(N(BC31),1),"0%"),"OK")))</f>
        <v/>
      </c>
      <c r="BI31" s="33" t="str">
        <f aca="false">IF(OR(D31="",E31=""),"",IF(E31&lt;=IF(OR(D31="Block / Segmental",D31="Gabion",D31="Reinforced Earth (MSE)"),SG_Criteria!$B$34,SG_Criteria!$B$33),"No ERSS submission",IF(E31&lt;=SG_Criteria!$B$35,"QP(ST)",IF(E31&lt;=SG_Criteria!$B$36,"QP(ST) + AC","Geotechnical building works: QP(Geo) + AC"))))</f>
        <v/>
      </c>
      <c r="BJ31" s="33" t="str">
        <f aca="false">IF(D31="","",IF(LEN(IF(AND(V31&lt;&gt;"",IFERROR(VALUE(MID(V31,2,2)),0)&lt;SG_Criteria!$B$19),"FAIL: grade below C"&amp;SG_Criteria!$B$19&amp;". ","")&amp;IF(AND(W31&lt;&gt;"",W31&lt;SG_Criteria!$B$20),"FAIL: cover &lt; "&amp;SG_Criteria!$B$20&amp;" mm. ","")&amp;IF(AND(AD31&lt;&gt;"",AD31&lt;1),"FAIL: sliding. ","")&amp;IF(AND(D31="Reverse L-Wall (toe only, at boundary)",N(S31)&gt;0),"NOTE: reverse L-wall should have no heel. ","")&amp;IF(AND(D31="L-Wall (heel only)",N(R31)&gt;0),"NOTE: L-wall should have no toe. ","")&amp;IF(AND(F31&lt;&gt;"",F31&lt;SG_Criteria!$B$31),"NOTE: q below LTA min "&amp;SG_Criteria!$B$31&amp;" kPa (not for LTA works). ",""))=0,"OK",IF(AND(V31&lt;&gt;"",IFERROR(VALUE(MID(V31,2,2)),0)&lt;SG_Criteria!$B$19),"FAIL: grade below C"&amp;SG_Criteria!$B$19&amp;". ","")&amp;IF(AND(W31&lt;&gt;"",W31&lt;SG_Criteria!$B$20),"FAIL: cover &lt; "&amp;SG_Criteria!$B$20&amp;" mm. ","")&amp;IF(AND(AD31&lt;&gt;"",AD31&lt;1),"FAIL: sliding. ","")&amp;IF(AND(D31="Reverse L-Wall (toe only, at boundary)",N(S31)&gt;0),"NOTE: reverse L-wall should have no heel. ","")&amp;IF(AND(D31="L-Wall (heel only)",N(R31)&gt;0),"NOTE: L-wall should have no toe. ","")&amp;IF(AND(F31&lt;&gt;"",F31&lt;SG_Criteria!$B$31),"NOTE: q below LTA min "&amp;SG_Criteria!$B$31&amp;" kPa (not for LTA works). ","")))</f>
        <v/>
      </c>
      <c r="BK31" s="9"/>
      <c r="BL31" s="9"/>
      <c r="BM31" s="9"/>
      <c r="BN31" s="10" t="str">
        <f aca="false">IF(BM31="","",IFERROR(VLOOKUP(BM31,Projects!$A$5:$D$504,2,0),"Ref not in Projects"))</f>
        <v/>
      </c>
      <c r="BO31" s="10" t="str">
        <f aca="false">IF(BM31="","",IFERROR(VLOOKUP(BM31,Projects!$A$5:$D$504,4,0),"Ref not in Projects"))</f>
        <v/>
      </c>
      <c r="BP31" s="9"/>
      <c r="BQ31" s="9"/>
      <c r="BR31" s="9"/>
      <c r="BS31" s="40"/>
      <c r="BT31" s="9"/>
      <c r="BU31" s="40"/>
      <c r="BV31" s="9"/>
      <c r="BW31" s="40"/>
      <c r="BX31" s="9"/>
      <c r="BY31" s="9"/>
      <c r="BZ31" s="9"/>
      <c r="CA31" s="40"/>
      <c r="CB31" s="40"/>
      <c r="CC31" s="36" t="str">
        <f aca="false">IF(CB31="","",EDATE(CB31,SG_Criteria!$B$54*12))</f>
        <v/>
      </c>
      <c r="CD31" s="33" t="str">
        <f aca="true">IF(A31="","",IF(CB31="","NOTE: not reviewed yet",IF(TODAY()&gt;CC31,"NOTE: review overdue","OK")))</f>
        <v/>
      </c>
      <c r="CE31" s="37" t="str">
        <f aca="false">IF(A31="","",ROUND((IF(LEN(D31)&gt;0,1,0)+IF(LEN(E31)&gt;0,1,0)+IF(LEN(F31)&gt;0,1,0)+IF(LEN(G31)&gt;0,1,0)+IF(LEN(I31)&gt;0,1,0)+IF(LEN(K31)&gt;0,1,0)+IF(LEN(P31)&gt;0,1,0)+IF(LEN(Q31)&gt;0,1,0)+IF(LEN(T31)&gt;0,1,0)+IF(LEN(V31)&gt;0,1,0)+IF(LEN(W31)&gt;0,1,0)+IF(LEN(X31)&gt;0,1,0)+IF(LEN(Z31)&gt;0,1,0)+IF(LEN(AD31)&gt;0,1,0)+IF(LEN(AE31)&gt;0,1,0)+IF(LEN(AG31)&gt;0,1,0)+IF(LEN(AI31)&gt;0,1,0)+IF(LEN(BB31)&gt;0,1,0)+IF(LEN(BC31)&gt;0,1,0)+IF(LEN(AM31)&gt;0,1,0)+IF(LEN(AO31)&gt;0,1,0)+IF(LEN(AP31)&gt;0,1,0)+IF(LEN(AQ31)&gt;0,1,0)+IF(LEN(AR31)&gt;0,1,0)+IF(LEN(BA31)&gt;0,1,0)+IF(LEN(BM31)&gt;0,1,0)+IF(LEN(BZ31)&gt;0,1,0))/27,2))</f>
        <v/>
      </c>
      <c r="CF31" s="10" t="str">
        <f aca="false">IF(D31="","",IF(AND(AP31="Approved",ISERROR(SEARCH("FAIL",BJ31))),"Y","N"))</f>
        <v/>
      </c>
      <c r="CG31" s="10" t="str">
        <f aca="false">IF(D31="","",D31&amp;"|"&amp;E31&amp;"|"&amp;F31&amp;"|"&amp;G31&amp;"|"&amp;CF31)</f>
        <v/>
      </c>
    </row>
    <row r="32" customFormat="false" ht="15" hidden="false" customHeight="false" outlineLevel="0" collapsed="false">
      <c r="A32" s="10" t="str">
        <f aca="false">IF(D32="","","RW-"&amp;IFERROR(VLOOKUP(D32,Lists!$M$4:$N$22,2,0),"??")&amp;"-H"&amp;TEXT(E32*1000,"0000")&amp;"-S"&amp;F32&amp;IF(G32="Y","-GW","")&amp;"-"&amp;AO32)</f>
        <v/>
      </c>
      <c r="B32" s="10" t="str">
        <f aca="false">IF(D32="","",D32&amp;", H = "&amp;TEXT(E32,"0.0")&amp;" m, q = "&amp;F32&amp;" kPa"&amp;IF(G32="Y",", with GWT","")&amp;", "&amp;I32)</f>
        <v/>
      </c>
      <c r="C32" s="9"/>
      <c r="D32" s="9"/>
      <c r="E32" s="39"/>
      <c r="F32" s="38"/>
      <c r="G32" s="9"/>
      <c r="H32" s="38"/>
      <c r="I32" s="9"/>
      <c r="J32" s="38"/>
      <c r="K32" s="38"/>
      <c r="L32" s="38"/>
      <c r="M32" s="42"/>
      <c r="N32" s="9"/>
      <c r="O32" s="38"/>
      <c r="P32" s="38"/>
      <c r="Q32" s="38"/>
      <c r="R32" s="38"/>
      <c r="S32" s="38"/>
      <c r="T32" s="38"/>
      <c r="U32" s="9"/>
      <c r="V32" s="9"/>
      <c r="W32" s="38"/>
      <c r="X32" s="9"/>
      <c r="Y32" s="9"/>
      <c r="Z32" s="9"/>
      <c r="AA32" s="9"/>
      <c r="AB32" s="9"/>
      <c r="AC32" s="9"/>
      <c r="AD32" s="39"/>
      <c r="AE32" s="39"/>
      <c r="AF32" s="39"/>
      <c r="AG32" s="38"/>
      <c r="AH32" s="38"/>
      <c r="AI32" s="9"/>
      <c r="AJ32" s="38"/>
      <c r="AK32" s="9"/>
      <c r="AL32" s="39"/>
      <c r="AM32" s="9"/>
      <c r="AN32" s="9"/>
      <c r="AO32" s="9"/>
      <c r="AP32" s="9"/>
      <c r="AQ32" s="9"/>
      <c r="AR32" s="9"/>
      <c r="AS32" s="9"/>
      <c r="AT32" s="10" t="str">
        <f aca="false">IF(A32="","",SG_Criteria!$B$6&amp;SG_Criteria!$B$8&amp;"\"&amp;A32&amp;"\")</f>
        <v/>
      </c>
      <c r="AU32" s="10" t="str">
        <f aca="false">IF(A32="","",A32&amp;"_CAD.dwg")</f>
        <v/>
      </c>
      <c r="AV32" s="10" t="str">
        <f aca="false">IF(A32="","",A32&amp;"_DWG.pdf")</f>
        <v/>
      </c>
      <c r="AW32" s="10" t="str">
        <f aca="false">IF(A32="","",IF(AS32="Y",A32&amp;"_STAAD.std","n/a"))</f>
        <v/>
      </c>
      <c r="AX32" s="10" t="str">
        <f aca="false">IF(A32="","",A32&amp;"_CALC.xlsx")</f>
        <v/>
      </c>
      <c r="AY32" s="10" t="str">
        <f aca="false">IF(A32="","",A32&amp;"_CALC.pdf")</f>
        <v/>
      </c>
      <c r="AZ32" s="9"/>
      <c r="BA32" s="9"/>
      <c r="BB32" s="39"/>
      <c r="BC32" s="39"/>
      <c r="BD32" s="39"/>
      <c r="BE32" s="39"/>
      <c r="BF32" s="39"/>
      <c r="BG32" s="12" t="str">
        <f aca="false">IF(A32="","",IF(COUNTIF(Rebar_Schedule!$A$5:$A$2004,A32)=0,"",ROUND(SUMIF(Rebar_Schedule!$A$5:$A$2004,A32,Rebar_Schedule!$K$5:$K$2004),1)))</f>
        <v/>
      </c>
      <c r="BH32" s="33" t="str">
        <f aca="false">IF(A32="","",IF(BG32="","No rebar schedule yet",IF(ABS(BG32-N(BC32))/MAX(N(BC32),1)&gt;SG_Criteria!$B$55,"NOTE: register rebar differs from schedule by "&amp;TEXT(ABS(BG32-N(BC32))/MAX(N(BC32),1),"0%"),"OK")))</f>
        <v/>
      </c>
      <c r="BI32" s="33" t="str">
        <f aca="false">IF(OR(D32="",E32=""),"",IF(E32&lt;=IF(OR(D32="Block / Segmental",D32="Gabion",D32="Reinforced Earth (MSE)"),SG_Criteria!$B$34,SG_Criteria!$B$33),"No ERSS submission",IF(E32&lt;=SG_Criteria!$B$35,"QP(ST)",IF(E32&lt;=SG_Criteria!$B$36,"QP(ST) + AC","Geotechnical building works: QP(Geo) + AC"))))</f>
        <v/>
      </c>
      <c r="BJ32" s="33" t="str">
        <f aca="false">IF(D32="","",IF(LEN(IF(AND(V32&lt;&gt;"",IFERROR(VALUE(MID(V32,2,2)),0)&lt;SG_Criteria!$B$19),"FAIL: grade below C"&amp;SG_Criteria!$B$19&amp;". ","")&amp;IF(AND(W32&lt;&gt;"",W32&lt;SG_Criteria!$B$20),"FAIL: cover &lt; "&amp;SG_Criteria!$B$20&amp;" mm. ","")&amp;IF(AND(AD32&lt;&gt;"",AD32&lt;1),"FAIL: sliding. ","")&amp;IF(AND(D32="Reverse L-Wall (toe only, at boundary)",N(S32)&gt;0),"NOTE: reverse L-wall should have no heel. ","")&amp;IF(AND(D32="L-Wall (heel only)",N(R32)&gt;0),"NOTE: L-wall should have no toe. ","")&amp;IF(AND(F32&lt;&gt;"",F32&lt;SG_Criteria!$B$31),"NOTE: q below LTA min "&amp;SG_Criteria!$B$31&amp;" kPa (not for LTA works). ",""))=0,"OK",IF(AND(V32&lt;&gt;"",IFERROR(VALUE(MID(V32,2,2)),0)&lt;SG_Criteria!$B$19),"FAIL: grade below C"&amp;SG_Criteria!$B$19&amp;". ","")&amp;IF(AND(W32&lt;&gt;"",W32&lt;SG_Criteria!$B$20),"FAIL: cover &lt; "&amp;SG_Criteria!$B$20&amp;" mm. ","")&amp;IF(AND(AD32&lt;&gt;"",AD32&lt;1),"FAIL: sliding. ","")&amp;IF(AND(D32="Reverse L-Wall (toe only, at boundary)",N(S32)&gt;0),"NOTE: reverse L-wall should have no heel. ","")&amp;IF(AND(D32="L-Wall (heel only)",N(R32)&gt;0),"NOTE: L-wall should have no toe. ","")&amp;IF(AND(F32&lt;&gt;"",F32&lt;SG_Criteria!$B$31),"NOTE: q below LTA min "&amp;SG_Criteria!$B$31&amp;" kPa (not for LTA works). ","")))</f>
        <v/>
      </c>
      <c r="BK32" s="9"/>
      <c r="BL32" s="9"/>
      <c r="BM32" s="9"/>
      <c r="BN32" s="10" t="str">
        <f aca="false">IF(BM32="","",IFERROR(VLOOKUP(BM32,Projects!$A$5:$D$504,2,0),"Ref not in Projects"))</f>
        <v/>
      </c>
      <c r="BO32" s="10" t="str">
        <f aca="false">IF(BM32="","",IFERROR(VLOOKUP(BM32,Projects!$A$5:$D$504,4,0),"Ref not in Projects"))</f>
        <v/>
      </c>
      <c r="BP32" s="9"/>
      <c r="BQ32" s="9"/>
      <c r="BR32" s="9"/>
      <c r="BS32" s="40"/>
      <c r="BT32" s="9"/>
      <c r="BU32" s="40"/>
      <c r="BV32" s="9"/>
      <c r="BW32" s="40"/>
      <c r="BX32" s="9"/>
      <c r="BY32" s="9"/>
      <c r="BZ32" s="9"/>
      <c r="CA32" s="40"/>
      <c r="CB32" s="40"/>
      <c r="CC32" s="36" t="str">
        <f aca="false">IF(CB32="","",EDATE(CB32,SG_Criteria!$B$54*12))</f>
        <v/>
      </c>
      <c r="CD32" s="33" t="str">
        <f aca="true">IF(A32="","",IF(CB32="","NOTE: not reviewed yet",IF(TODAY()&gt;CC32,"NOTE: review overdue","OK")))</f>
        <v/>
      </c>
      <c r="CE32" s="37" t="str">
        <f aca="false">IF(A32="","",ROUND((IF(LEN(D32)&gt;0,1,0)+IF(LEN(E32)&gt;0,1,0)+IF(LEN(F32)&gt;0,1,0)+IF(LEN(G32)&gt;0,1,0)+IF(LEN(I32)&gt;0,1,0)+IF(LEN(K32)&gt;0,1,0)+IF(LEN(P32)&gt;0,1,0)+IF(LEN(Q32)&gt;0,1,0)+IF(LEN(T32)&gt;0,1,0)+IF(LEN(V32)&gt;0,1,0)+IF(LEN(W32)&gt;0,1,0)+IF(LEN(X32)&gt;0,1,0)+IF(LEN(Z32)&gt;0,1,0)+IF(LEN(AD32)&gt;0,1,0)+IF(LEN(AE32)&gt;0,1,0)+IF(LEN(AG32)&gt;0,1,0)+IF(LEN(AI32)&gt;0,1,0)+IF(LEN(BB32)&gt;0,1,0)+IF(LEN(BC32)&gt;0,1,0)+IF(LEN(AM32)&gt;0,1,0)+IF(LEN(AO32)&gt;0,1,0)+IF(LEN(AP32)&gt;0,1,0)+IF(LEN(AQ32)&gt;0,1,0)+IF(LEN(AR32)&gt;0,1,0)+IF(LEN(BA32)&gt;0,1,0)+IF(LEN(BM32)&gt;0,1,0)+IF(LEN(BZ32)&gt;0,1,0))/27,2))</f>
        <v/>
      </c>
      <c r="CF32" s="10" t="str">
        <f aca="false">IF(D32="","",IF(AND(AP32="Approved",ISERROR(SEARCH("FAIL",BJ32))),"Y","N"))</f>
        <v/>
      </c>
      <c r="CG32" s="10" t="str">
        <f aca="false">IF(D32="","",D32&amp;"|"&amp;E32&amp;"|"&amp;F32&amp;"|"&amp;G32&amp;"|"&amp;CF32)</f>
        <v/>
      </c>
    </row>
    <row r="33" customFormat="false" ht="15" hidden="false" customHeight="false" outlineLevel="0" collapsed="false">
      <c r="A33" s="10" t="str">
        <f aca="false">IF(D33="","","RW-"&amp;IFERROR(VLOOKUP(D33,Lists!$M$4:$N$22,2,0),"??")&amp;"-H"&amp;TEXT(E33*1000,"0000")&amp;"-S"&amp;F33&amp;IF(G33="Y","-GW","")&amp;"-"&amp;AO33)</f>
        <v/>
      </c>
      <c r="B33" s="10" t="str">
        <f aca="false">IF(D33="","",D33&amp;", H = "&amp;TEXT(E33,"0.0")&amp;" m, q = "&amp;F33&amp;" kPa"&amp;IF(G33="Y",", with GWT","")&amp;", "&amp;I33)</f>
        <v/>
      </c>
      <c r="C33" s="9"/>
      <c r="D33" s="9"/>
      <c r="E33" s="39"/>
      <c r="F33" s="38"/>
      <c r="G33" s="9"/>
      <c r="H33" s="38"/>
      <c r="I33" s="9"/>
      <c r="J33" s="38"/>
      <c r="K33" s="38"/>
      <c r="L33" s="38"/>
      <c r="M33" s="42"/>
      <c r="N33" s="9"/>
      <c r="O33" s="38"/>
      <c r="P33" s="38"/>
      <c r="Q33" s="38"/>
      <c r="R33" s="38"/>
      <c r="S33" s="38"/>
      <c r="T33" s="38"/>
      <c r="U33" s="9"/>
      <c r="V33" s="9"/>
      <c r="W33" s="38"/>
      <c r="X33" s="9"/>
      <c r="Y33" s="9"/>
      <c r="Z33" s="9"/>
      <c r="AA33" s="9"/>
      <c r="AB33" s="9"/>
      <c r="AC33" s="9"/>
      <c r="AD33" s="39"/>
      <c r="AE33" s="39"/>
      <c r="AF33" s="39"/>
      <c r="AG33" s="38"/>
      <c r="AH33" s="38"/>
      <c r="AI33" s="9"/>
      <c r="AJ33" s="38"/>
      <c r="AK33" s="9"/>
      <c r="AL33" s="39"/>
      <c r="AM33" s="9"/>
      <c r="AN33" s="9"/>
      <c r="AO33" s="9"/>
      <c r="AP33" s="9"/>
      <c r="AQ33" s="9"/>
      <c r="AR33" s="9"/>
      <c r="AS33" s="9"/>
      <c r="AT33" s="10" t="str">
        <f aca="false">IF(A33="","",SG_Criteria!$B$6&amp;SG_Criteria!$B$8&amp;"\"&amp;A33&amp;"\")</f>
        <v/>
      </c>
      <c r="AU33" s="10" t="str">
        <f aca="false">IF(A33="","",A33&amp;"_CAD.dwg")</f>
        <v/>
      </c>
      <c r="AV33" s="10" t="str">
        <f aca="false">IF(A33="","",A33&amp;"_DWG.pdf")</f>
        <v/>
      </c>
      <c r="AW33" s="10" t="str">
        <f aca="false">IF(A33="","",IF(AS33="Y",A33&amp;"_STAAD.std","n/a"))</f>
        <v/>
      </c>
      <c r="AX33" s="10" t="str">
        <f aca="false">IF(A33="","",A33&amp;"_CALC.xlsx")</f>
        <v/>
      </c>
      <c r="AY33" s="10" t="str">
        <f aca="false">IF(A33="","",A33&amp;"_CALC.pdf")</f>
        <v/>
      </c>
      <c r="AZ33" s="9"/>
      <c r="BA33" s="9"/>
      <c r="BB33" s="39"/>
      <c r="BC33" s="39"/>
      <c r="BD33" s="39"/>
      <c r="BE33" s="39"/>
      <c r="BF33" s="39"/>
      <c r="BG33" s="12" t="str">
        <f aca="false">IF(A33="","",IF(COUNTIF(Rebar_Schedule!$A$5:$A$2004,A33)=0,"",ROUND(SUMIF(Rebar_Schedule!$A$5:$A$2004,A33,Rebar_Schedule!$K$5:$K$2004),1)))</f>
        <v/>
      </c>
      <c r="BH33" s="33" t="str">
        <f aca="false">IF(A33="","",IF(BG33="","No rebar schedule yet",IF(ABS(BG33-N(BC33))/MAX(N(BC33),1)&gt;SG_Criteria!$B$55,"NOTE: register rebar differs from schedule by "&amp;TEXT(ABS(BG33-N(BC33))/MAX(N(BC33),1),"0%"),"OK")))</f>
        <v/>
      </c>
      <c r="BI33" s="33" t="str">
        <f aca="false">IF(OR(D33="",E33=""),"",IF(E33&lt;=IF(OR(D33="Block / Segmental",D33="Gabion",D33="Reinforced Earth (MSE)"),SG_Criteria!$B$34,SG_Criteria!$B$33),"No ERSS submission",IF(E33&lt;=SG_Criteria!$B$35,"QP(ST)",IF(E33&lt;=SG_Criteria!$B$36,"QP(ST) + AC","Geotechnical building works: QP(Geo) + AC"))))</f>
        <v/>
      </c>
      <c r="BJ33" s="33" t="str">
        <f aca="false">IF(D33="","",IF(LEN(IF(AND(V33&lt;&gt;"",IFERROR(VALUE(MID(V33,2,2)),0)&lt;SG_Criteria!$B$19),"FAIL: grade below C"&amp;SG_Criteria!$B$19&amp;". ","")&amp;IF(AND(W33&lt;&gt;"",W33&lt;SG_Criteria!$B$20),"FAIL: cover &lt; "&amp;SG_Criteria!$B$20&amp;" mm. ","")&amp;IF(AND(AD33&lt;&gt;"",AD33&lt;1),"FAIL: sliding. ","")&amp;IF(AND(D33="Reverse L-Wall (toe only, at boundary)",N(S33)&gt;0),"NOTE: reverse L-wall should have no heel. ","")&amp;IF(AND(D33="L-Wall (heel only)",N(R33)&gt;0),"NOTE: L-wall should have no toe. ","")&amp;IF(AND(F33&lt;&gt;"",F33&lt;SG_Criteria!$B$31),"NOTE: q below LTA min "&amp;SG_Criteria!$B$31&amp;" kPa (not for LTA works). ",""))=0,"OK",IF(AND(V33&lt;&gt;"",IFERROR(VALUE(MID(V33,2,2)),0)&lt;SG_Criteria!$B$19),"FAIL: grade below C"&amp;SG_Criteria!$B$19&amp;". ","")&amp;IF(AND(W33&lt;&gt;"",W33&lt;SG_Criteria!$B$20),"FAIL: cover &lt; "&amp;SG_Criteria!$B$20&amp;" mm. ","")&amp;IF(AND(AD33&lt;&gt;"",AD33&lt;1),"FAIL: sliding. ","")&amp;IF(AND(D33="Reverse L-Wall (toe only, at boundary)",N(S33)&gt;0),"NOTE: reverse L-wall should have no heel. ","")&amp;IF(AND(D33="L-Wall (heel only)",N(R33)&gt;0),"NOTE: L-wall should have no toe. ","")&amp;IF(AND(F33&lt;&gt;"",F33&lt;SG_Criteria!$B$31),"NOTE: q below LTA min "&amp;SG_Criteria!$B$31&amp;" kPa (not for LTA works). ","")))</f>
        <v/>
      </c>
      <c r="BK33" s="9"/>
      <c r="BL33" s="9"/>
      <c r="BM33" s="9"/>
      <c r="BN33" s="10" t="str">
        <f aca="false">IF(BM33="","",IFERROR(VLOOKUP(BM33,Projects!$A$5:$D$504,2,0),"Ref not in Projects"))</f>
        <v/>
      </c>
      <c r="BO33" s="10" t="str">
        <f aca="false">IF(BM33="","",IFERROR(VLOOKUP(BM33,Projects!$A$5:$D$504,4,0),"Ref not in Projects"))</f>
        <v/>
      </c>
      <c r="BP33" s="9"/>
      <c r="BQ33" s="9"/>
      <c r="BR33" s="9"/>
      <c r="BS33" s="40"/>
      <c r="BT33" s="9"/>
      <c r="BU33" s="40"/>
      <c r="BV33" s="9"/>
      <c r="BW33" s="40"/>
      <c r="BX33" s="9"/>
      <c r="BY33" s="9"/>
      <c r="BZ33" s="9"/>
      <c r="CA33" s="40"/>
      <c r="CB33" s="40"/>
      <c r="CC33" s="36" t="str">
        <f aca="false">IF(CB33="","",EDATE(CB33,SG_Criteria!$B$54*12))</f>
        <v/>
      </c>
      <c r="CD33" s="33" t="str">
        <f aca="true">IF(A33="","",IF(CB33="","NOTE: not reviewed yet",IF(TODAY()&gt;CC33,"NOTE: review overdue","OK")))</f>
        <v/>
      </c>
      <c r="CE33" s="37" t="str">
        <f aca="false">IF(A33="","",ROUND((IF(LEN(D33)&gt;0,1,0)+IF(LEN(E33)&gt;0,1,0)+IF(LEN(F33)&gt;0,1,0)+IF(LEN(G33)&gt;0,1,0)+IF(LEN(I33)&gt;0,1,0)+IF(LEN(K33)&gt;0,1,0)+IF(LEN(P33)&gt;0,1,0)+IF(LEN(Q33)&gt;0,1,0)+IF(LEN(T33)&gt;0,1,0)+IF(LEN(V33)&gt;0,1,0)+IF(LEN(W33)&gt;0,1,0)+IF(LEN(X33)&gt;0,1,0)+IF(LEN(Z33)&gt;0,1,0)+IF(LEN(AD33)&gt;0,1,0)+IF(LEN(AE33)&gt;0,1,0)+IF(LEN(AG33)&gt;0,1,0)+IF(LEN(AI33)&gt;0,1,0)+IF(LEN(BB33)&gt;0,1,0)+IF(LEN(BC33)&gt;0,1,0)+IF(LEN(AM33)&gt;0,1,0)+IF(LEN(AO33)&gt;0,1,0)+IF(LEN(AP33)&gt;0,1,0)+IF(LEN(AQ33)&gt;0,1,0)+IF(LEN(AR33)&gt;0,1,0)+IF(LEN(BA33)&gt;0,1,0)+IF(LEN(BM33)&gt;0,1,0)+IF(LEN(BZ33)&gt;0,1,0))/27,2))</f>
        <v/>
      </c>
      <c r="CF33" s="10" t="str">
        <f aca="false">IF(D33="","",IF(AND(AP33="Approved",ISERROR(SEARCH("FAIL",BJ33))),"Y","N"))</f>
        <v/>
      </c>
      <c r="CG33" s="10" t="str">
        <f aca="false">IF(D33="","",D33&amp;"|"&amp;E33&amp;"|"&amp;F33&amp;"|"&amp;G33&amp;"|"&amp;CF33)</f>
        <v/>
      </c>
    </row>
    <row r="34" customFormat="false" ht="15" hidden="false" customHeight="false" outlineLevel="0" collapsed="false">
      <c r="A34" s="10" t="str">
        <f aca="false">IF(D34="","","RW-"&amp;IFERROR(VLOOKUP(D34,Lists!$M$4:$N$22,2,0),"??")&amp;"-H"&amp;TEXT(E34*1000,"0000")&amp;"-S"&amp;F34&amp;IF(G34="Y","-GW","")&amp;"-"&amp;AO34)</f>
        <v/>
      </c>
      <c r="B34" s="10" t="str">
        <f aca="false">IF(D34="","",D34&amp;", H = "&amp;TEXT(E34,"0.0")&amp;" m, q = "&amp;F34&amp;" kPa"&amp;IF(G34="Y",", with GWT","")&amp;", "&amp;I34)</f>
        <v/>
      </c>
      <c r="C34" s="9"/>
      <c r="D34" s="9"/>
      <c r="E34" s="39"/>
      <c r="F34" s="38"/>
      <c r="G34" s="9"/>
      <c r="H34" s="38"/>
      <c r="I34" s="9"/>
      <c r="J34" s="38"/>
      <c r="K34" s="38"/>
      <c r="L34" s="38"/>
      <c r="M34" s="42"/>
      <c r="N34" s="9"/>
      <c r="O34" s="38"/>
      <c r="P34" s="38"/>
      <c r="Q34" s="38"/>
      <c r="R34" s="38"/>
      <c r="S34" s="38"/>
      <c r="T34" s="38"/>
      <c r="U34" s="9"/>
      <c r="V34" s="9"/>
      <c r="W34" s="38"/>
      <c r="X34" s="9"/>
      <c r="Y34" s="9"/>
      <c r="Z34" s="9"/>
      <c r="AA34" s="9"/>
      <c r="AB34" s="9"/>
      <c r="AC34" s="9"/>
      <c r="AD34" s="39"/>
      <c r="AE34" s="39"/>
      <c r="AF34" s="39"/>
      <c r="AG34" s="38"/>
      <c r="AH34" s="38"/>
      <c r="AI34" s="9"/>
      <c r="AJ34" s="38"/>
      <c r="AK34" s="9"/>
      <c r="AL34" s="39"/>
      <c r="AM34" s="9"/>
      <c r="AN34" s="9"/>
      <c r="AO34" s="9"/>
      <c r="AP34" s="9"/>
      <c r="AQ34" s="9"/>
      <c r="AR34" s="9"/>
      <c r="AS34" s="9"/>
      <c r="AT34" s="10" t="str">
        <f aca="false">IF(A34="","",SG_Criteria!$B$6&amp;SG_Criteria!$B$8&amp;"\"&amp;A34&amp;"\")</f>
        <v/>
      </c>
      <c r="AU34" s="10" t="str">
        <f aca="false">IF(A34="","",A34&amp;"_CAD.dwg")</f>
        <v/>
      </c>
      <c r="AV34" s="10" t="str">
        <f aca="false">IF(A34="","",A34&amp;"_DWG.pdf")</f>
        <v/>
      </c>
      <c r="AW34" s="10" t="str">
        <f aca="false">IF(A34="","",IF(AS34="Y",A34&amp;"_STAAD.std","n/a"))</f>
        <v/>
      </c>
      <c r="AX34" s="10" t="str">
        <f aca="false">IF(A34="","",A34&amp;"_CALC.xlsx")</f>
        <v/>
      </c>
      <c r="AY34" s="10" t="str">
        <f aca="false">IF(A34="","",A34&amp;"_CALC.pdf")</f>
        <v/>
      </c>
      <c r="AZ34" s="9"/>
      <c r="BA34" s="9"/>
      <c r="BB34" s="39"/>
      <c r="BC34" s="39"/>
      <c r="BD34" s="39"/>
      <c r="BE34" s="39"/>
      <c r="BF34" s="39"/>
      <c r="BG34" s="12" t="str">
        <f aca="false">IF(A34="","",IF(COUNTIF(Rebar_Schedule!$A$5:$A$2004,A34)=0,"",ROUND(SUMIF(Rebar_Schedule!$A$5:$A$2004,A34,Rebar_Schedule!$K$5:$K$2004),1)))</f>
        <v/>
      </c>
      <c r="BH34" s="33" t="str">
        <f aca="false">IF(A34="","",IF(BG34="","No rebar schedule yet",IF(ABS(BG34-N(BC34))/MAX(N(BC34),1)&gt;SG_Criteria!$B$55,"NOTE: register rebar differs from schedule by "&amp;TEXT(ABS(BG34-N(BC34))/MAX(N(BC34),1),"0%"),"OK")))</f>
        <v/>
      </c>
      <c r="BI34" s="33" t="str">
        <f aca="false">IF(OR(D34="",E34=""),"",IF(E34&lt;=IF(OR(D34="Block / Segmental",D34="Gabion",D34="Reinforced Earth (MSE)"),SG_Criteria!$B$34,SG_Criteria!$B$33),"No ERSS submission",IF(E34&lt;=SG_Criteria!$B$35,"QP(ST)",IF(E34&lt;=SG_Criteria!$B$36,"QP(ST) + AC","Geotechnical building works: QP(Geo) + AC"))))</f>
        <v/>
      </c>
      <c r="BJ34" s="33" t="str">
        <f aca="false">IF(D34="","",IF(LEN(IF(AND(V34&lt;&gt;"",IFERROR(VALUE(MID(V34,2,2)),0)&lt;SG_Criteria!$B$19),"FAIL: grade below C"&amp;SG_Criteria!$B$19&amp;". ","")&amp;IF(AND(W34&lt;&gt;"",W34&lt;SG_Criteria!$B$20),"FAIL: cover &lt; "&amp;SG_Criteria!$B$20&amp;" mm. ","")&amp;IF(AND(AD34&lt;&gt;"",AD34&lt;1),"FAIL: sliding. ","")&amp;IF(AND(D34="Reverse L-Wall (toe only, at boundary)",N(S34)&gt;0),"NOTE: reverse L-wall should have no heel. ","")&amp;IF(AND(D34="L-Wall (heel only)",N(R34)&gt;0),"NOTE: L-wall should have no toe. ","")&amp;IF(AND(F34&lt;&gt;"",F34&lt;SG_Criteria!$B$31),"NOTE: q below LTA min "&amp;SG_Criteria!$B$31&amp;" kPa (not for LTA works). ",""))=0,"OK",IF(AND(V34&lt;&gt;"",IFERROR(VALUE(MID(V34,2,2)),0)&lt;SG_Criteria!$B$19),"FAIL: grade below C"&amp;SG_Criteria!$B$19&amp;". ","")&amp;IF(AND(W34&lt;&gt;"",W34&lt;SG_Criteria!$B$20),"FAIL: cover &lt; "&amp;SG_Criteria!$B$20&amp;" mm. ","")&amp;IF(AND(AD34&lt;&gt;"",AD34&lt;1),"FAIL: sliding. ","")&amp;IF(AND(D34="Reverse L-Wall (toe only, at boundary)",N(S34)&gt;0),"NOTE: reverse L-wall should have no heel. ","")&amp;IF(AND(D34="L-Wall (heel only)",N(R34)&gt;0),"NOTE: L-wall should have no toe. ","")&amp;IF(AND(F34&lt;&gt;"",F34&lt;SG_Criteria!$B$31),"NOTE: q below LTA min "&amp;SG_Criteria!$B$31&amp;" kPa (not for LTA works). ","")))</f>
        <v/>
      </c>
      <c r="BK34" s="9"/>
      <c r="BL34" s="9"/>
      <c r="BM34" s="9"/>
      <c r="BN34" s="10" t="str">
        <f aca="false">IF(BM34="","",IFERROR(VLOOKUP(BM34,Projects!$A$5:$D$504,2,0),"Ref not in Projects"))</f>
        <v/>
      </c>
      <c r="BO34" s="10" t="str">
        <f aca="false">IF(BM34="","",IFERROR(VLOOKUP(BM34,Projects!$A$5:$D$504,4,0),"Ref not in Projects"))</f>
        <v/>
      </c>
      <c r="BP34" s="9"/>
      <c r="BQ34" s="9"/>
      <c r="BR34" s="9"/>
      <c r="BS34" s="40"/>
      <c r="BT34" s="9"/>
      <c r="BU34" s="40"/>
      <c r="BV34" s="9"/>
      <c r="BW34" s="40"/>
      <c r="BX34" s="9"/>
      <c r="BY34" s="9"/>
      <c r="BZ34" s="9"/>
      <c r="CA34" s="40"/>
      <c r="CB34" s="40"/>
      <c r="CC34" s="36" t="str">
        <f aca="false">IF(CB34="","",EDATE(CB34,SG_Criteria!$B$54*12))</f>
        <v/>
      </c>
      <c r="CD34" s="33" t="str">
        <f aca="true">IF(A34="","",IF(CB34="","NOTE: not reviewed yet",IF(TODAY()&gt;CC34,"NOTE: review overdue","OK")))</f>
        <v/>
      </c>
      <c r="CE34" s="37" t="str">
        <f aca="false">IF(A34="","",ROUND((IF(LEN(D34)&gt;0,1,0)+IF(LEN(E34)&gt;0,1,0)+IF(LEN(F34)&gt;0,1,0)+IF(LEN(G34)&gt;0,1,0)+IF(LEN(I34)&gt;0,1,0)+IF(LEN(K34)&gt;0,1,0)+IF(LEN(P34)&gt;0,1,0)+IF(LEN(Q34)&gt;0,1,0)+IF(LEN(T34)&gt;0,1,0)+IF(LEN(V34)&gt;0,1,0)+IF(LEN(W34)&gt;0,1,0)+IF(LEN(X34)&gt;0,1,0)+IF(LEN(Z34)&gt;0,1,0)+IF(LEN(AD34)&gt;0,1,0)+IF(LEN(AE34)&gt;0,1,0)+IF(LEN(AG34)&gt;0,1,0)+IF(LEN(AI34)&gt;0,1,0)+IF(LEN(BB34)&gt;0,1,0)+IF(LEN(BC34)&gt;0,1,0)+IF(LEN(AM34)&gt;0,1,0)+IF(LEN(AO34)&gt;0,1,0)+IF(LEN(AP34)&gt;0,1,0)+IF(LEN(AQ34)&gt;0,1,0)+IF(LEN(AR34)&gt;0,1,0)+IF(LEN(BA34)&gt;0,1,0)+IF(LEN(BM34)&gt;0,1,0)+IF(LEN(BZ34)&gt;0,1,0))/27,2))</f>
        <v/>
      </c>
      <c r="CF34" s="10" t="str">
        <f aca="false">IF(D34="","",IF(AND(AP34="Approved",ISERROR(SEARCH("FAIL",BJ34))),"Y","N"))</f>
        <v/>
      </c>
      <c r="CG34" s="10" t="str">
        <f aca="false">IF(D34="","",D34&amp;"|"&amp;E34&amp;"|"&amp;F34&amp;"|"&amp;G34&amp;"|"&amp;CF34)</f>
        <v/>
      </c>
    </row>
    <row r="35" customFormat="false" ht="15" hidden="false" customHeight="false" outlineLevel="0" collapsed="false">
      <c r="A35" s="10" t="str">
        <f aca="false">IF(D35="","","RW-"&amp;IFERROR(VLOOKUP(D35,Lists!$M$4:$N$22,2,0),"??")&amp;"-H"&amp;TEXT(E35*1000,"0000")&amp;"-S"&amp;F35&amp;IF(G35="Y","-GW","")&amp;"-"&amp;AO35)</f>
        <v/>
      </c>
      <c r="B35" s="10" t="str">
        <f aca="false">IF(D35="","",D35&amp;", H = "&amp;TEXT(E35,"0.0")&amp;" m, q = "&amp;F35&amp;" kPa"&amp;IF(G35="Y",", with GWT","")&amp;", "&amp;I35)</f>
        <v/>
      </c>
      <c r="C35" s="9"/>
      <c r="D35" s="9"/>
      <c r="E35" s="39"/>
      <c r="F35" s="38"/>
      <c r="G35" s="9"/>
      <c r="H35" s="38"/>
      <c r="I35" s="9"/>
      <c r="J35" s="38"/>
      <c r="K35" s="38"/>
      <c r="L35" s="38"/>
      <c r="M35" s="42"/>
      <c r="N35" s="9"/>
      <c r="O35" s="38"/>
      <c r="P35" s="38"/>
      <c r="Q35" s="38"/>
      <c r="R35" s="38"/>
      <c r="S35" s="38"/>
      <c r="T35" s="38"/>
      <c r="U35" s="9"/>
      <c r="V35" s="9"/>
      <c r="W35" s="38"/>
      <c r="X35" s="9"/>
      <c r="Y35" s="9"/>
      <c r="Z35" s="9"/>
      <c r="AA35" s="9"/>
      <c r="AB35" s="9"/>
      <c r="AC35" s="9"/>
      <c r="AD35" s="39"/>
      <c r="AE35" s="39"/>
      <c r="AF35" s="39"/>
      <c r="AG35" s="38"/>
      <c r="AH35" s="38"/>
      <c r="AI35" s="9"/>
      <c r="AJ35" s="38"/>
      <c r="AK35" s="9"/>
      <c r="AL35" s="39"/>
      <c r="AM35" s="9"/>
      <c r="AN35" s="9"/>
      <c r="AO35" s="9"/>
      <c r="AP35" s="9"/>
      <c r="AQ35" s="9"/>
      <c r="AR35" s="9"/>
      <c r="AS35" s="9"/>
      <c r="AT35" s="10" t="str">
        <f aca="false">IF(A35="","",SG_Criteria!$B$6&amp;SG_Criteria!$B$8&amp;"\"&amp;A35&amp;"\")</f>
        <v/>
      </c>
      <c r="AU35" s="10" t="str">
        <f aca="false">IF(A35="","",A35&amp;"_CAD.dwg")</f>
        <v/>
      </c>
      <c r="AV35" s="10" t="str">
        <f aca="false">IF(A35="","",A35&amp;"_DWG.pdf")</f>
        <v/>
      </c>
      <c r="AW35" s="10" t="str">
        <f aca="false">IF(A35="","",IF(AS35="Y",A35&amp;"_STAAD.std","n/a"))</f>
        <v/>
      </c>
      <c r="AX35" s="10" t="str">
        <f aca="false">IF(A35="","",A35&amp;"_CALC.xlsx")</f>
        <v/>
      </c>
      <c r="AY35" s="10" t="str">
        <f aca="false">IF(A35="","",A35&amp;"_CALC.pdf")</f>
        <v/>
      </c>
      <c r="AZ35" s="9"/>
      <c r="BA35" s="9"/>
      <c r="BB35" s="39"/>
      <c r="BC35" s="39"/>
      <c r="BD35" s="39"/>
      <c r="BE35" s="39"/>
      <c r="BF35" s="39"/>
      <c r="BG35" s="12" t="str">
        <f aca="false">IF(A35="","",IF(COUNTIF(Rebar_Schedule!$A$5:$A$2004,A35)=0,"",ROUND(SUMIF(Rebar_Schedule!$A$5:$A$2004,A35,Rebar_Schedule!$K$5:$K$2004),1)))</f>
        <v/>
      </c>
      <c r="BH35" s="33" t="str">
        <f aca="false">IF(A35="","",IF(BG35="","No rebar schedule yet",IF(ABS(BG35-N(BC35))/MAX(N(BC35),1)&gt;SG_Criteria!$B$55,"NOTE: register rebar differs from schedule by "&amp;TEXT(ABS(BG35-N(BC35))/MAX(N(BC35),1),"0%"),"OK")))</f>
        <v/>
      </c>
      <c r="BI35" s="33" t="str">
        <f aca="false">IF(OR(D35="",E35=""),"",IF(E35&lt;=IF(OR(D35="Block / Segmental",D35="Gabion",D35="Reinforced Earth (MSE)"),SG_Criteria!$B$34,SG_Criteria!$B$33),"No ERSS submission",IF(E35&lt;=SG_Criteria!$B$35,"QP(ST)",IF(E35&lt;=SG_Criteria!$B$36,"QP(ST) + AC","Geotechnical building works: QP(Geo) + AC"))))</f>
        <v/>
      </c>
      <c r="BJ35" s="33" t="str">
        <f aca="false">IF(D35="","",IF(LEN(IF(AND(V35&lt;&gt;"",IFERROR(VALUE(MID(V35,2,2)),0)&lt;SG_Criteria!$B$19),"FAIL: grade below C"&amp;SG_Criteria!$B$19&amp;". ","")&amp;IF(AND(W35&lt;&gt;"",W35&lt;SG_Criteria!$B$20),"FAIL: cover &lt; "&amp;SG_Criteria!$B$20&amp;" mm. ","")&amp;IF(AND(AD35&lt;&gt;"",AD35&lt;1),"FAIL: sliding. ","")&amp;IF(AND(D35="Reverse L-Wall (toe only, at boundary)",N(S35)&gt;0),"NOTE: reverse L-wall should have no heel. ","")&amp;IF(AND(D35="L-Wall (heel only)",N(R35)&gt;0),"NOTE: L-wall should have no toe. ","")&amp;IF(AND(F35&lt;&gt;"",F35&lt;SG_Criteria!$B$31),"NOTE: q below LTA min "&amp;SG_Criteria!$B$31&amp;" kPa (not for LTA works). ",""))=0,"OK",IF(AND(V35&lt;&gt;"",IFERROR(VALUE(MID(V35,2,2)),0)&lt;SG_Criteria!$B$19),"FAIL: grade below C"&amp;SG_Criteria!$B$19&amp;". ","")&amp;IF(AND(W35&lt;&gt;"",W35&lt;SG_Criteria!$B$20),"FAIL: cover &lt; "&amp;SG_Criteria!$B$20&amp;" mm. ","")&amp;IF(AND(AD35&lt;&gt;"",AD35&lt;1),"FAIL: sliding. ","")&amp;IF(AND(D35="Reverse L-Wall (toe only, at boundary)",N(S35)&gt;0),"NOTE: reverse L-wall should have no heel. ","")&amp;IF(AND(D35="L-Wall (heel only)",N(R35)&gt;0),"NOTE: L-wall should have no toe. ","")&amp;IF(AND(F35&lt;&gt;"",F35&lt;SG_Criteria!$B$31),"NOTE: q below LTA min "&amp;SG_Criteria!$B$31&amp;" kPa (not for LTA works). ","")))</f>
        <v/>
      </c>
      <c r="BK35" s="9"/>
      <c r="BL35" s="9"/>
      <c r="BM35" s="9"/>
      <c r="BN35" s="10" t="str">
        <f aca="false">IF(BM35="","",IFERROR(VLOOKUP(BM35,Projects!$A$5:$D$504,2,0),"Ref not in Projects"))</f>
        <v/>
      </c>
      <c r="BO35" s="10" t="str">
        <f aca="false">IF(BM35="","",IFERROR(VLOOKUP(BM35,Projects!$A$5:$D$504,4,0),"Ref not in Projects"))</f>
        <v/>
      </c>
      <c r="BP35" s="9"/>
      <c r="BQ35" s="9"/>
      <c r="BR35" s="9"/>
      <c r="BS35" s="40"/>
      <c r="BT35" s="9"/>
      <c r="BU35" s="40"/>
      <c r="BV35" s="9"/>
      <c r="BW35" s="40"/>
      <c r="BX35" s="9"/>
      <c r="BY35" s="9"/>
      <c r="BZ35" s="9"/>
      <c r="CA35" s="40"/>
      <c r="CB35" s="40"/>
      <c r="CC35" s="36" t="str">
        <f aca="false">IF(CB35="","",EDATE(CB35,SG_Criteria!$B$54*12))</f>
        <v/>
      </c>
      <c r="CD35" s="33" t="str">
        <f aca="true">IF(A35="","",IF(CB35="","NOTE: not reviewed yet",IF(TODAY()&gt;CC35,"NOTE: review overdue","OK")))</f>
        <v/>
      </c>
      <c r="CE35" s="37" t="str">
        <f aca="false">IF(A35="","",ROUND((IF(LEN(D35)&gt;0,1,0)+IF(LEN(E35)&gt;0,1,0)+IF(LEN(F35)&gt;0,1,0)+IF(LEN(G35)&gt;0,1,0)+IF(LEN(I35)&gt;0,1,0)+IF(LEN(K35)&gt;0,1,0)+IF(LEN(P35)&gt;0,1,0)+IF(LEN(Q35)&gt;0,1,0)+IF(LEN(T35)&gt;0,1,0)+IF(LEN(V35)&gt;0,1,0)+IF(LEN(W35)&gt;0,1,0)+IF(LEN(X35)&gt;0,1,0)+IF(LEN(Z35)&gt;0,1,0)+IF(LEN(AD35)&gt;0,1,0)+IF(LEN(AE35)&gt;0,1,0)+IF(LEN(AG35)&gt;0,1,0)+IF(LEN(AI35)&gt;0,1,0)+IF(LEN(BB35)&gt;0,1,0)+IF(LEN(BC35)&gt;0,1,0)+IF(LEN(AM35)&gt;0,1,0)+IF(LEN(AO35)&gt;0,1,0)+IF(LEN(AP35)&gt;0,1,0)+IF(LEN(AQ35)&gt;0,1,0)+IF(LEN(AR35)&gt;0,1,0)+IF(LEN(BA35)&gt;0,1,0)+IF(LEN(BM35)&gt;0,1,0)+IF(LEN(BZ35)&gt;0,1,0))/27,2))</f>
        <v/>
      </c>
      <c r="CF35" s="10" t="str">
        <f aca="false">IF(D35="","",IF(AND(AP35="Approved",ISERROR(SEARCH("FAIL",BJ35))),"Y","N"))</f>
        <v/>
      </c>
      <c r="CG35" s="10" t="str">
        <f aca="false">IF(D35="","",D35&amp;"|"&amp;E35&amp;"|"&amp;F35&amp;"|"&amp;G35&amp;"|"&amp;CF35)</f>
        <v/>
      </c>
    </row>
    <row r="36" customFormat="false" ht="15" hidden="false" customHeight="false" outlineLevel="0" collapsed="false">
      <c r="A36" s="10" t="str">
        <f aca="false">IF(D36="","","RW-"&amp;IFERROR(VLOOKUP(D36,Lists!$M$4:$N$22,2,0),"??")&amp;"-H"&amp;TEXT(E36*1000,"0000")&amp;"-S"&amp;F36&amp;IF(G36="Y","-GW","")&amp;"-"&amp;AO36)</f>
        <v/>
      </c>
      <c r="B36" s="10" t="str">
        <f aca="false">IF(D36="","",D36&amp;", H = "&amp;TEXT(E36,"0.0")&amp;" m, q = "&amp;F36&amp;" kPa"&amp;IF(G36="Y",", with GWT","")&amp;", "&amp;I36)</f>
        <v/>
      </c>
      <c r="C36" s="9"/>
      <c r="D36" s="9"/>
      <c r="E36" s="39"/>
      <c r="F36" s="38"/>
      <c r="G36" s="9"/>
      <c r="H36" s="38"/>
      <c r="I36" s="9"/>
      <c r="J36" s="38"/>
      <c r="K36" s="38"/>
      <c r="L36" s="38"/>
      <c r="M36" s="42"/>
      <c r="N36" s="9"/>
      <c r="O36" s="38"/>
      <c r="P36" s="38"/>
      <c r="Q36" s="38"/>
      <c r="R36" s="38"/>
      <c r="S36" s="38"/>
      <c r="T36" s="38"/>
      <c r="U36" s="9"/>
      <c r="V36" s="9"/>
      <c r="W36" s="38"/>
      <c r="X36" s="9"/>
      <c r="Y36" s="9"/>
      <c r="Z36" s="9"/>
      <c r="AA36" s="9"/>
      <c r="AB36" s="9"/>
      <c r="AC36" s="9"/>
      <c r="AD36" s="39"/>
      <c r="AE36" s="39"/>
      <c r="AF36" s="39"/>
      <c r="AG36" s="38"/>
      <c r="AH36" s="38"/>
      <c r="AI36" s="9"/>
      <c r="AJ36" s="38"/>
      <c r="AK36" s="9"/>
      <c r="AL36" s="39"/>
      <c r="AM36" s="9"/>
      <c r="AN36" s="9"/>
      <c r="AO36" s="9"/>
      <c r="AP36" s="9"/>
      <c r="AQ36" s="9"/>
      <c r="AR36" s="9"/>
      <c r="AS36" s="9"/>
      <c r="AT36" s="10" t="str">
        <f aca="false">IF(A36="","",SG_Criteria!$B$6&amp;SG_Criteria!$B$8&amp;"\"&amp;A36&amp;"\")</f>
        <v/>
      </c>
      <c r="AU36" s="10" t="str">
        <f aca="false">IF(A36="","",A36&amp;"_CAD.dwg")</f>
        <v/>
      </c>
      <c r="AV36" s="10" t="str">
        <f aca="false">IF(A36="","",A36&amp;"_DWG.pdf")</f>
        <v/>
      </c>
      <c r="AW36" s="10" t="str">
        <f aca="false">IF(A36="","",IF(AS36="Y",A36&amp;"_STAAD.std","n/a"))</f>
        <v/>
      </c>
      <c r="AX36" s="10" t="str">
        <f aca="false">IF(A36="","",A36&amp;"_CALC.xlsx")</f>
        <v/>
      </c>
      <c r="AY36" s="10" t="str">
        <f aca="false">IF(A36="","",A36&amp;"_CALC.pdf")</f>
        <v/>
      </c>
      <c r="AZ36" s="9"/>
      <c r="BA36" s="9"/>
      <c r="BB36" s="39"/>
      <c r="BC36" s="39"/>
      <c r="BD36" s="39"/>
      <c r="BE36" s="39"/>
      <c r="BF36" s="39"/>
      <c r="BG36" s="12" t="str">
        <f aca="false">IF(A36="","",IF(COUNTIF(Rebar_Schedule!$A$5:$A$2004,A36)=0,"",ROUND(SUMIF(Rebar_Schedule!$A$5:$A$2004,A36,Rebar_Schedule!$K$5:$K$2004),1)))</f>
        <v/>
      </c>
      <c r="BH36" s="33" t="str">
        <f aca="false">IF(A36="","",IF(BG36="","No rebar schedule yet",IF(ABS(BG36-N(BC36))/MAX(N(BC36),1)&gt;SG_Criteria!$B$55,"NOTE: register rebar differs from schedule by "&amp;TEXT(ABS(BG36-N(BC36))/MAX(N(BC36),1),"0%"),"OK")))</f>
        <v/>
      </c>
      <c r="BI36" s="33" t="str">
        <f aca="false">IF(OR(D36="",E36=""),"",IF(E36&lt;=IF(OR(D36="Block / Segmental",D36="Gabion",D36="Reinforced Earth (MSE)"),SG_Criteria!$B$34,SG_Criteria!$B$33),"No ERSS submission",IF(E36&lt;=SG_Criteria!$B$35,"QP(ST)",IF(E36&lt;=SG_Criteria!$B$36,"QP(ST) + AC","Geotechnical building works: QP(Geo) + AC"))))</f>
        <v/>
      </c>
      <c r="BJ36" s="33" t="str">
        <f aca="false">IF(D36="","",IF(LEN(IF(AND(V36&lt;&gt;"",IFERROR(VALUE(MID(V36,2,2)),0)&lt;SG_Criteria!$B$19),"FAIL: grade below C"&amp;SG_Criteria!$B$19&amp;". ","")&amp;IF(AND(W36&lt;&gt;"",W36&lt;SG_Criteria!$B$20),"FAIL: cover &lt; "&amp;SG_Criteria!$B$20&amp;" mm. ","")&amp;IF(AND(AD36&lt;&gt;"",AD36&lt;1),"FAIL: sliding. ","")&amp;IF(AND(D36="Reverse L-Wall (toe only, at boundary)",N(S36)&gt;0),"NOTE: reverse L-wall should have no heel. ","")&amp;IF(AND(D36="L-Wall (heel only)",N(R36)&gt;0),"NOTE: L-wall should have no toe. ","")&amp;IF(AND(F36&lt;&gt;"",F36&lt;SG_Criteria!$B$31),"NOTE: q below LTA min "&amp;SG_Criteria!$B$31&amp;" kPa (not for LTA works). ",""))=0,"OK",IF(AND(V36&lt;&gt;"",IFERROR(VALUE(MID(V36,2,2)),0)&lt;SG_Criteria!$B$19),"FAIL: grade below C"&amp;SG_Criteria!$B$19&amp;". ","")&amp;IF(AND(W36&lt;&gt;"",W36&lt;SG_Criteria!$B$20),"FAIL: cover &lt; "&amp;SG_Criteria!$B$20&amp;" mm. ","")&amp;IF(AND(AD36&lt;&gt;"",AD36&lt;1),"FAIL: sliding. ","")&amp;IF(AND(D36="Reverse L-Wall (toe only, at boundary)",N(S36)&gt;0),"NOTE: reverse L-wall should have no heel. ","")&amp;IF(AND(D36="L-Wall (heel only)",N(R36)&gt;0),"NOTE: L-wall should have no toe. ","")&amp;IF(AND(F36&lt;&gt;"",F36&lt;SG_Criteria!$B$31),"NOTE: q below LTA min "&amp;SG_Criteria!$B$31&amp;" kPa (not for LTA works). ","")))</f>
        <v/>
      </c>
      <c r="BK36" s="9"/>
      <c r="BL36" s="9"/>
      <c r="BM36" s="9"/>
      <c r="BN36" s="10" t="str">
        <f aca="false">IF(BM36="","",IFERROR(VLOOKUP(BM36,Projects!$A$5:$D$504,2,0),"Ref not in Projects"))</f>
        <v/>
      </c>
      <c r="BO36" s="10" t="str">
        <f aca="false">IF(BM36="","",IFERROR(VLOOKUP(BM36,Projects!$A$5:$D$504,4,0),"Ref not in Projects"))</f>
        <v/>
      </c>
      <c r="BP36" s="9"/>
      <c r="BQ36" s="9"/>
      <c r="BR36" s="9"/>
      <c r="BS36" s="40"/>
      <c r="BT36" s="9"/>
      <c r="BU36" s="40"/>
      <c r="BV36" s="9"/>
      <c r="BW36" s="40"/>
      <c r="BX36" s="9"/>
      <c r="BY36" s="9"/>
      <c r="BZ36" s="9"/>
      <c r="CA36" s="40"/>
      <c r="CB36" s="40"/>
      <c r="CC36" s="36" t="str">
        <f aca="false">IF(CB36="","",EDATE(CB36,SG_Criteria!$B$54*12))</f>
        <v/>
      </c>
      <c r="CD36" s="33" t="str">
        <f aca="true">IF(A36="","",IF(CB36="","NOTE: not reviewed yet",IF(TODAY()&gt;CC36,"NOTE: review overdue","OK")))</f>
        <v/>
      </c>
      <c r="CE36" s="37" t="str">
        <f aca="false">IF(A36="","",ROUND((IF(LEN(D36)&gt;0,1,0)+IF(LEN(E36)&gt;0,1,0)+IF(LEN(F36)&gt;0,1,0)+IF(LEN(G36)&gt;0,1,0)+IF(LEN(I36)&gt;0,1,0)+IF(LEN(K36)&gt;0,1,0)+IF(LEN(P36)&gt;0,1,0)+IF(LEN(Q36)&gt;0,1,0)+IF(LEN(T36)&gt;0,1,0)+IF(LEN(V36)&gt;0,1,0)+IF(LEN(W36)&gt;0,1,0)+IF(LEN(X36)&gt;0,1,0)+IF(LEN(Z36)&gt;0,1,0)+IF(LEN(AD36)&gt;0,1,0)+IF(LEN(AE36)&gt;0,1,0)+IF(LEN(AG36)&gt;0,1,0)+IF(LEN(AI36)&gt;0,1,0)+IF(LEN(BB36)&gt;0,1,0)+IF(LEN(BC36)&gt;0,1,0)+IF(LEN(AM36)&gt;0,1,0)+IF(LEN(AO36)&gt;0,1,0)+IF(LEN(AP36)&gt;0,1,0)+IF(LEN(AQ36)&gt;0,1,0)+IF(LEN(AR36)&gt;0,1,0)+IF(LEN(BA36)&gt;0,1,0)+IF(LEN(BM36)&gt;0,1,0)+IF(LEN(BZ36)&gt;0,1,0))/27,2))</f>
        <v/>
      </c>
      <c r="CF36" s="10" t="str">
        <f aca="false">IF(D36="","",IF(AND(AP36="Approved",ISERROR(SEARCH("FAIL",BJ36))),"Y","N"))</f>
        <v/>
      </c>
      <c r="CG36" s="10" t="str">
        <f aca="false">IF(D36="","",D36&amp;"|"&amp;E36&amp;"|"&amp;F36&amp;"|"&amp;G36&amp;"|"&amp;CF36)</f>
        <v/>
      </c>
    </row>
    <row r="37" customFormat="false" ht="15" hidden="false" customHeight="false" outlineLevel="0" collapsed="false">
      <c r="A37" s="10" t="str">
        <f aca="false">IF(D37="","","RW-"&amp;IFERROR(VLOOKUP(D37,Lists!$M$4:$N$22,2,0),"??")&amp;"-H"&amp;TEXT(E37*1000,"0000")&amp;"-S"&amp;F37&amp;IF(G37="Y","-GW","")&amp;"-"&amp;AO37)</f>
        <v/>
      </c>
      <c r="B37" s="10" t="str">
        <f aca="false">IF(D37="","",D37&amp;", H = "&amp;TEXT(E37,"0.0")&amp;" m, q = "&amp;F37&amp;" kPa"&amp;IF(G37="Y",", with GWT","")&amp;", "&amp;I37)</f>
        <v/>
      </c>
      <c r="C37" s="9"/>
      <c r="D37" s="9"/>
      <c r="E37" s="39"/>
      <c r="F37" s="38"/>
      <c r="G37" s="9"/>
      <c r="H37" s="38"/>
      <c r="I37" s="9"/>
      <c r="J37" s="38"/>
      <c r="K37" s="38"/>
      <c r="L37" s="38"/>
      <c r="M37" s="42"/>
      <c r="N37" s="9"/>
      <c r="O37" s="38"/>
      <c r="P37" s="38"/>
      <c r="Q37" s="38"/>
      <c r="R37" s="38"/>
      <c r="S37" s="38"/>
      <c r="T37" s="38"/>
      <c r="U37" s="9"/>
      <c r="V37" s="9"/>
      <c r="W37" s="38"/>
      <c r="X37" s="9"/>
      <c r="Y37" s="9"/>
      <c r="Z37" s="9"/>
      <c r="AA37" s="9"/>
      <c r="AB37" s="9"/>
      <c r="AC37" s="9"/>
      <c r="AD37" s="39"/>
      <c r="AE37" s="39"/>
      <c r="AF37" s="39"/>
      <c r="AG37" s="38"/>
      <c r="AH37" s="38"/>
      <c r="AI37" s="9"/>
      <c r="AJ37" s="38"/>
      <c r="AK37" s="9"/>
      <c r="AL37" s="39"/>
      <c r="AM37" s="9"/>
      <c r="AN37" s="9"/>
      <c r="AO37" s="9"/>
      <c r="AP37" s="9"/>
      <c r="AQ37" s="9"/>
      <c r="AR37" s="9"/>
      <c r="AS37" s="9"/>
      <c r="AT37" s="10" t="str">
        <f aca="false">IF(A37="","",SG_Criteria!$B$6&amp;SG_Criteria!$B$8&amp;"\"&amp;A37&amp;"\")</f>
        <v/>
      </c>
      <c r="AU37" s="10" t="str">
        <f aca="false">IF(A37="","",A37&amp;"_CAD.dwg")</f>
        <v/>
      </c>
      <c r="AV37" s="10" t="str">
        <f aca="false">IF(A37="","",A37&amp;"_DWG.pdf")</f>
        <v/>
      </c>
      <c r="AW37" s="10" t="str">
        <f aca="false">IF(A37="","",IF(AS37="Y",A37&amp;"_STAAD.std","n/a"))</f>
        <v/>
      </c>
      <c r="AX37" s="10" t="str">
        <f aca="false">IF(A37="","",A37&amp;"_CALC.xlsx")</f>
        <v/>
      </c>
      <c r="AY37" s="10" t="str">
        <f aca="false">IF(A37="","",A37&amp;"_CALC.pdf")</f>
        <v/>
      </c>
      <c r="AZ37" s="9"/>
      <c r="BA37" s="9"/>
      <c r="BB37" s="39"/>
      <c r="BC37" s="39"/>
      <c r="BD37" s="39"/>
      <c r="BE37" s="39"/>
      <c r="BF37" s="39"/>
      <c r="BG37" s="12" t="str">
        <f aca="false">IF(A37="","",IF(COUNTIF(Rebar_Schedule!$A$5:$A$2004,A37)=0,"",ROUND(SUMIF(Rebar_Schedule!$A$5:$A$2004,A37,Rebar_Schedule!$K$5:$K$2004),1)))</f>
        <v/>
      </c>
      <c r="BH37" s="33" t="str">
        <f aca="false">IF(A37="","",IF(BG37="","No rebar schedule yet",IF(ABS(BG37-N(BC37))/MAX(N(BC37),1)&gt;SG_Criteria!$B$55,"NOTE: register rebar differs from schedule by "&amp;TEXT(ABS(BG37-N(BC37))/MAX(N(BC37),1),"0%"),"OK")))</f>
        <v/>
      </c>
      <c r="BI37" s="33" t="str">
        <f aca="false">IF(OR(D37="",E37=""),"",IF(E37&lt;=IF(OR(D37="Block / Segmental",D37="Gabion",D37="Reinforced Earth (MSE)"),SG_Criteria!$B$34,SG_Criteria!$B$33),"No ERSS submission",IF(E37&lt;=SG_Criteria!$B$35,"QP(ST)",IF(E37&lt;=SG_Criteria!$B$36,"QP(ST) + AC","Geotechnical building works: QP(Geo) + AC"))))</f>
        <v/>
      </c>
      <c r="BJ37" s="33" t="str">
        <f aca="false">IF(D37="","",IF(LEN(IF(AND(V37&lt;&gt;"",IFERROR(VALUE(MID(V37,2,2)),0)&lt;SG_Criteria!$B$19),"FAIL: grade below C"&amp;SG_Criteria!$B$19&amp;". ","")&amp;IF(AND(W37&lt;&gt;"",W37&lt;SG_Criteria!$B$20),"FAIL: cover &lt; "&amp;SG_Criteria!$B$20&amp;" mm. ","")&amp;IF(AND(AD37&lt;&gt;"",AD37&lt;1),"FAIL: sliding. ","")&amp;IF(AND(D37="Reverse L-Wall (toe only, at boundary)",N(S37)&gt;0),"NOTE: reverse L-wall should have no heel. ","")&amp;IF(AND(D37="L-Wall (heel only)",N(R37)&gt;0),"NOTE: L-wall should have no toe. ","")&amp;IF(AND(F37&lt;&gt;"",F37&lt;SG_Criteria!$B$31),"NOTE: q below LTA min "&amp;SG_Criteria!$B$31&amp;" kPa (not for LTA works). ",""))=0,"OK",IF(AND(V37&lt;&gt;"",IFERROR(VALUE(MID(V37,2,2)),0)&lt;SG_Criteria!$B$19),"FAIL: grade below C"&amp;SG_Criteria!$B$19&amp;". ","")&amp;IF(AND(W37&lt;&gt;"",W37&lt;SG_Criteria!$B$20),"FAIL: cover &lt; "&amp;SG_Criteria!$B$20&amp;" mm. ","")&amp;IF(AND(AD37&lt;&gt;"",AD37&lt;1),"FAIL: sliding. ","")&amp;IF(AND(D37="Reverse L-Wall (toe only, at boundary)",N(S37)&gt;0),"NOTE: reverse L-wall should have no heel. ","")&amp;IF(AND(D37="L-Wall (heel only)",N(R37)&gt;0),"NOTE: L-wall should have no toe. ","")&amp;IF(AND(F37&lt;&gt;"",F37&lt;SG_Criteria!$B$31),"NOTE: q below LTA min "&amp;SG_Criteria!$B$31&amp;" kPa (not for LTA works). ","")))</f>
        <v/>
      </c>
      <c r="BK37" s="9"/>
      <c r="BL37" s="9"/>
      <c r="BM37" s="9"/>
      <c r="BN37" s="10" t="str">
        <f aca="false">IF(BM37="","",IFERROR(VLOOKUP(BM37,Projects!$A$5:$D$504,2,0),"Ref not in Projects"))</f>
        <v/>
      </c>
      <c r="BO37" s="10" t="str">
        <f aca="false">IF(BM37="","",IFERROR(VLOOKUP(BM37,Projects!$A$5:$D$504,4,0),"Ref not in Projects"))</f>
        <v/>
      </c>
      <c r="BP37" s="9"/>
      <c r="BQ37" s="9"/>
      <c r="BR37" s="9"/>
      <c r="BS37" s="40"/>
      <c r="BT37" s="9"/>
      <c r="BU37" s="40"/>
      <c r="BV37" s="9"/>
      <c r="BW37" s="40"/>
      <c r="BX37" s="9"/>
      <c r="BY37" s="9"/>
      <c r="BZ37" s="9"/>
      <c r="CA37" s="40"/>
      <c r="CB37" s="40"/>
      <c r="CC37" s="36" t="str">
        <f aca="false">IF(CB37="","",EDATE(CB37,SG_Criteria!$B$54*12))</f>
        <v/>
      </c>
      <c r="CD37" s="33" t="str">
        <f aca="true">IF(A37="","",IF(CB37="","NOTE: not reviewed yet",IF(TODAY()&gt;CC37,"NOTE: review overdue","OK")))</f>
        <v/>
      </c>
      <c r="CE37" s="37" t="str">
        <f aca="false">IF(A37="","",ROUND((IF(LEN(D37)&gt;0,1,0)+IF(LEN(E37)&gt;0,1,0)+IF(LEN(F37)&gt;0,1,0)+IF(LEN(G37)&gt;0,1,0)+IF(LEN(I37)&gt;0,1,0)+IF(LEN(K37)&gt;0,1,0)+IF(LEN(P37)&gt;0,1,0)+IF(LEN(Q37)&gt;0,1,0)+IF(LEN(T37)&gt;0,1,0)+IF(LEN(V37)&gt;0,1,0)+IF(LEN(W37)&gt;0,1,0)+IF(LEN(X37)&gt;0,1,0)+IF(LEN(Z37)&gt;0,1,0)+IF(LEN(AD37)&gt;0,1,0)+IF(LEN(AE37)&gt;0,1,0)+IF(LEN(AG37)&gt;0,1,0)+IF(LEN(AI37)&gt;0,1,0)+IF(LEN(BB37)&gt;0,1,0)+IF(LEN(BC37)&gt;0,1,0)+IF(LEN(AM37)&gt;0,1,0)+IF(LEN(AO37)&gt;0,1,0)+IF(LEN(AP37)&gt;0,1,0)+IF(LEN(AQ37)&gt;0,1,0)+IF(LEN(AR37)&gt;0,1,0)+IF(LEN(BA37)&gt;0,1,0)+IF(LEN(BM37)&gt;0,1,0)+IF(LEN(BZ37)&gt;0,1,0))/27,2))</f>
        <v/>
      </c>
      <c r="CF37" s="10" t="str">
        <f aca="false">IF(D37="","",IF(AND(AP37="Approved",ISERROR(SEARCH("FAIL",BJ37))),"Y","N"))</f>
        <v/>
      </c>
      <c r="CG37" s="10" t="str">
        <f aca="false">IF(D37="","",D37&amp;"|"&amp;E37&amp;"|"&amp;F37&amp;"|"&amp;G37&amp;"|"&amp;CF37)</f>
        <v/>
      </c>
    </row>
    <row r="38" customFormat="false" ht="15" hidden="false" customHeight="false" outlineLevel="0" collapsed="false">
      <c r="A38" s="10" t="str">
        <f aca="false">IF(D38="","","RW-"&amp;IFERROR(VLOOKUP(D38,Lists!$M$4:$N$22,2,0),"??")&amp;"-H"&amp;TEXT(E38*1000,"0000")&amp;"-S"&amp;F38&amp;IF(G38="Y","-GW","")&amp;"-"&amp;AO38)</f>
        <v/>
      </c>
      <c r="B38" s="10" t="str">
        <f aca="false">IF(D38="","",D38&amp;", H = "&amp;TEXT(E38,"0.0")&amp;" m, q = "&amp;F38&amp;" kPa"&amp;IF(G38="Y",", with GWT","")&amp;", "&amp;I38)</f>
        <v/>
      </c>
      <c r="C38" s="9"/>
      <c r="D38" s="9"/>
      <c r="E38" s="39"/>
      <c r="F38" s="38"/>
      <c r="G38" s="9"/>
      <c r="H38" s="38"/>
      <c r="I38" s="9"/>
      <c r="J38" s="38"/>
      <c r="K38" s="38"/>
      <c r="L38" s="38"/>
      <c r="M38" s="42"/>
      <c r="N38" s="9"/>
      <c r="O38" s="38"/>
      <c r="P38" s="38"/>
      <c r="Q38" s="38"/>
      <c r="R38" s="38"/>
      <c r="S38" s="38"/>
      <c r="T38" s="38"/>
      <c r="U38" s="9"/>
      <c r="V38" s="9"/>
      <c r="W38" s="38"/>
      <c r="X38" s="9"/>
      <c r="Y38" s="9"/>
      <c r="Z38" s="9"/>
      <c r="AA38" s="9"/>
      <c r="AB38" s="9"/>
      <c r="AC38" s="9"/>
      <c r="AD38" s="39"/>
      <c r="AE38" s="39"/>
      <c r="AF38" s="39"/>
      <c r="AG38" s="38"/>
      <c r="AH38" s="38"/>
      <c r="AI38" s="9"/>
      <c r="AJ38" s="38"/>
      <c r="AK38" s="9"/>
      <c r="AL38" s="39"/>
      <c r="AM38" s="9"/>
      <c r="AN38" s="9"/>
      <c r="AO38" s="9"/>
      <c r="AP38" s="9"/>
      <c r="AQ38" s="9"/>
      <c r="AR38" s="9"/>
      <c r="AS38" s="9"/>
      <c r="AT38" s="10" t="str">
        <f aca="false">IF(A38="","",SG_Criteria!$B$6&amp;SG_Criteria!$B$8&amp;"\"&amp;A38&amp;"\")</f>
        <v/>
      </c>
      <c r="AU38" s="10" t="str">
        <f aca="false">IF(A38="","",A38&amp;"_CAD.dwg")</f>
        <v/>
      </c>
      <c r="AV38" s="10" t="str">
        <f aca="false">IF(A38="","",A38&amp;"_DWG.pdf")</f>
        <v/>
      </c>
      <c r="AW38" s="10" t="str">
        <f aca="false">IF(A38="","",IF(AS38="Y",A38&amp;"_STAAD.std","n/a"))</f>
        <v/>
      </c>
      <c r="AX38" s="10" t="str">
        <f aca="false">IF(A38="","",A38&amp;"_CALC.xlsx")</f>
        <v/>
      </c>
      <c r="AY38" s="10" t="str">
        <f aca="false">IF(A38="","",A38&amp;"_CALC.pdf")</f>
        <v/>
      </c>
      <c r="AZ38" s="9"/>
      <c r="BA38" s="9"/>
      <c r="BB38" s="39"/>
      <c r="BC38" s="39"/>
      <c r="BD38" s="39"/>
      <c r="BE38" s="39"/>
      <c r="BF38" s="39"/>
      <c r="BG38" s="12" t="str">
        <f aca="false">IF(A38="","",IF(COUNTIF(Rebar_Schedule!$A$5:$A$2004,A38)=0,"",ROUND(SUMIF(Rebar_Schedule!$A$5:$A$2004,A38,Rebar_Schedule!$K$5:$K$2004),1)))</f>
        <v/>
      </c>
      <c r="BH38" s="33" t="str">
        <f aca="false">IF(A38="","",IF(BG38="","No rebar schedule yet",IF(ABS(BG38-N(BC38))/MAX(N(BC38),1)&gt;SG_Criteria!$B$55,"NOTE: register rebar differs from schedule by "&amp;TEXT(ABS(BG38-N(BC38))/MAX(N(BC38),1),"0%"),"OK")))</f>
        <v/>
      </c>
      <c r="BI38" s="33" t="str">
        <f aca="false">IF(OR(D38="",E38=""),"",IF(E38&lt;=IF(OR(D38="Block / Segmental",D38="Gabion",D38="Reinforced Earth (MSE)"),SG_Criteria!$B$34,SG_Criteria!$B$33),"No ERSS submission",IF(E38&lt;=SG_Criteria!$B$35,"QP(ST)",IF(E38&lt;=SG_Criteria!$B$36,"QP(ST) + AC","Geotechnical building works: QP(Geo) + AC"))))</f>
        <v/>
      </c>
      <c r="BJ38" s="33" t="str">
        <f aca="false">IF(D38="","",IF(LEN(IF(AND(V38&lt;&gt;"",IFERROR(VALUE(MID(V38,2,2)),0)&lt;SG_Criteria!$B$19),"FAIL: grade below C"&amp;SG_Criteria!$B$19&amp;". ","")&amp;IF(AND(W38&lt;&gt;"",W38&lt;SG_Criteria!$B$20),"FAIL: cover &lt; "&amp;SG_Criteria!$B$20&amp;" mm. ","")&amp;IF(AND(AD38&lt;&gt;"",AD38&lt;1),"FAIL: sliding. ","")&amp;IF(AND(D38="Reverse L-Wall (toe only, at boundary)",N(S38)&gt;0),"NOTE: reverse L-wall should have no heel. ","")&amp;IF(AND(D38="L-Wall (heel only)",N(R38)&gt;0),"NOTE: L-wall should have no toe. ","")&amp;IF(AND(F38&lt;&gt;"",F38&lt;SG_Criteria!$B$31),"NOTE: q below LTA min "&amp;SG_Criteria!$B$31&amp;" kPa (not for LTA works). ",""))=0,"OK",IF(AND(V38&lt;&gt;"",IFERROR(VALUE(MID(V38,2,2)),0)&lt;SG_Criteria!$B$19),"FAIL: grade below C"&amp;SG_Criteria!$B$19&amp;". ","")&amp;IF(AND(W38&lt;&gt;"",W38&lt;SG_Criteria!$B$20),"FAIL: cover &lt; "&amp;SG_Criteria!$B$20&amp;" mm. ","")&amp;IF(AND(AD38&lt;&gt;"",AD38&lt;1),"FAIL: sliding. ","")&amp;IF(AND(D38="Reverse L-Wall (toe only, at boundary)",N(S38)&gt;0),"NOTE: reverse L-wall should have no heel. ","")&amp;IF(AND(D38="L-Wall (heel only)",N(R38)&gt;0),"NOTE: L-wall should have no toe. ","")&amp;IF(AND(F38&lt;&gt;"",F38&lt;SG_Criteria!$B$31),"NOTE: q below LTA min "&amp;SG_Criteria!$B$31&amp;" kPa (not for LTA works). ","")))</f>
        <v/>
      </c>
      <c r="BK38" s="9"/>
      <c r="BL38" s="9"/>
      <c r="BM38" s="9"/>
      <c r="BN38" s="10" t="str">
        <f aca="false">IF(BM38="","",IFERROR(VLOOKUP(BM38,Projects!$A$5:$D$504,2,0),"Ref not in Projects"))</f>
        <v/>
      </c>
      <c r="BO38" s="10" t="str">
        <f aca="false">IF(BM38="","",IFERROR(VLOOKUP(BM38,Projects!$A$5:$D$504,4,0),"Ref not in Projects"))</f>
        <v/>
      </c>
      <c r="BP38" s="9"/>
      <c r="BQ38" s="9"/>
      <c r="BR38" s="9"/>
      <c r="BS38" s="40"/>
      <c r="BT38" s="9"/>
      <c r="BU38" s="40"/>
      <c r="BV38" s="9"/>
      <c r="BW38" s="40"/>
      <c r="BX38" s="9"/>
      <c r="BY38" s="9"/>
      <c r="BZ38" s="9"/>
      <c r="CA38" s="40"/>
      <c r="CB38" s="40"/>
      <c r="CC38" s="36" t="str">
        <f aca="false">IF(CB38="","",EDATE(CB38,SG_Criteria!$B$54*12))</f>
        <v/>
      </c>
      <c r="CD38" s="33" t="str">
        <f aca="true">IF(A38="","",IF(CB38="","NOTE: not reviewed yet",IF(TODAY()&gt;CC38,"NOTE: review overdue","OK")))</f>
        <v/>
      </c>
      <c r="CE38" s="37" t="str">
        <f aca="false">IF(A38="","",ROUND((IF(LEN(D38)&gt;0,1,0)+IF(LEN(E38)&gt;0,1,0)+IF(LEN(F38)&gt;0,1,0)+IF(LEN(G38)&gt;0,1,0)+IF(LEN(I38)&gt;0,1,0)+IF(LEN(K38)&gt;0,1,0)+IF(LEN(P38)&gt;0,1,0)+IF(LEN(Q38)&gt;0,1,0)+IF(LEN(T38)&gt;0,1,0)+IF(LEN(V38)&gt;0,1,0)+IF(LEN(W38)&gt;0,1,0)+IF(LEN(X38)&gt;0,1,0)+IF(LEN(Z38)&gt;0,1,0)+IF(LEN(AD38)&gt;0,1,0)+IF(LEN(AE38)&gt;0,1,0)+IF(LEN(AG38)&gt;0,1,0)+IF(LEN(AI38)&gt;0,1,0)+IF(LEN(BB38)&gt;0,1,0)+IF(LEN(BC38)&gt;0,1,0)+IF(LEN(AM38)&gt;0,1,0)+IF(LEN(AO38)&gt;0,1,0)+IF(LEN(AP38)&gt;0,1,0)+IF(LEN(AQ38)&gt;0,1,0)+IF(LEN(AR38)&gt;0,1,0)+IF(LEN(BA38)&gt;0,1,0)+IF(LEN(BM38)&gt;0,1,0)+IF(LEN(BZ38)&gt;0,1,0))/27,2))</f>
        <v/>
      </c>
      <c r="CF38" s="10" t="str">
        <f aca="false">IF(D38="","",IF(AND(AP38="Approved",ISERROR(SEARCH("FAIL",BJ38))),"Y","N"))</f>
        <v/>
      </c>
      <c r="CG38" s="10" t="str">
        <f aca="false">IF(D38="","",D38&amp;"|"&amp;E38&amp;"|"&amp;F38&amp;"|"&amp;G38&amp;"|"&amp;CF38)</f>
        <v/>
      </c>
    </row>
    <row r="39" customFormat="false" ht="15" hidden="false" customHeight="false" outlineLevel="0" collapsed="false">
      <c r="A39" s="10" t="str">
        <f aca="false">IF(D39="","","RW-"&amp;IFERROR(VLOOKUP(D39,Lists!$M$4:$N$22,2,0),"??")&amp;"-H"&amp;TEXT(E39*1000,"0000")&amp;"-S"&amp;F39&amp;IF(G39="Y","-GW","")&amp;"-"&amp;AO39)</f>
        <v/>
      </c>
      <c r="B39" s="10" t="str">
        <f aca="false">IF(D39="","",D39&amp;", H = "&amp;TEXT(E39,"0.0")&amp;" m, q = "&amp;F39&amp;" kPa"&amp;IF(G39="Y",", with GWT","")&amp;", "&amp;I39)</f>
        <v/>
      </c>
      <c r="C39" s="9"/>
      <c r="D39" s="9"/>
      <c r="E39" s="39"/>
      <c r="F39" s="38"/>
      <c r="G39" s="9"/>
      <c r="H39" s="38"/>
      <c r="I39" s="9"/>
      <c r="J39" s="38"/>
      <c r="K39" s="38"/>
      <c r="L39" s="38"/>
      <c r="M39" s="42"/>
      <c r="N39" s="9"/>
      <c r="O39" s="38"/>
      <c r="P39" s="38"/>
      <c r="Q39" s="38"/>
      <c r="R39" s="38"/>
      <c r="S39" s="38"/>
      <c r="T39" s="38"/>
      <c r="U39" s="9"/>
      <c r="V39" s="9"/>
      <c r="W39" s="38"/>
      <c r="X39" s="9"/>
      <c r="Y39" s="9"/>
      <c r="Z39" s="9"/>
      <c r="AA39" s="9"/>
      <c r="AB39" s="9"/>
      <c r="AC39" s="9"/>
      <c r="AD39" s="39"/>
      <c r="AE39" s="39"/>
      <c r="AF39" s="39"/>
      <c r="AG39" s="38"/>
      <c r="AH39" s="38"/>
      <c r="AI39" s="9"/>
      <c r="AJ39" s="38"/>
      <c r="AK39" s="9"/>
      <c r="AL39" s="39"/>
      <c r="AM39" s="9"/>
      <c r="AN39" s="9"/>
      <c r="AO39" s="9"/>
      <c r="AP39" s="9"/>
      <c r="AQ39" s="9"/>
      <c r="AR39" s="9"/>
      <c r="AS39" s="9"/>
      <c r="AT39" s="10" t="str">
        <f aca="false">IF(A39="","",SG_Criteria!$B$6&amp;SG_Criteria!$B$8&amp;"\"&amp;A39&amp;"\")</f>
        <v/>
      </c>
      <c r="AU39" s="10" t="str">
        <f aca="false">IF(A39="","",A39&amp;"_CAD.dwg")</f>
        <v/>
      </c>
      <c r="AV39" s="10" t="str">
        <f aca="false">IF(A39="","",A39&amp;"_DWG.pdf")</f>
        <v/>
      </c>
      <c r="AW39" s="10" t="str">
        <f aca="false">IF(A39="","",IF(AS39="Y",A39&amp;"_STAAD.std","n/a"))</f>
        <v/>
      </c>
      <c r="AX39" s="10" t="str">
        <f aca="false">IF(A39="","",A39&amp;"_CALC.xlsx")</f>
        <v/>
      </c>
      <c r="AY39" s="10" t="str">
        <f aca="false">IF(A39="","",A39&amp;"_CALC.pdf")</f>
        <v/>
      </c>
      <c r="AZ39" s="9"/>
      <c r="BA39" s="9"/>
      <c r="BB39" s="39"/>
      <c r="BC39" s="39"/>
      <c r="BD39" s="39"/>
      <c r="BE39" s="39"/>
      <c r="BF39" s="39"/>
      <c r="BG39" s="12" t="str">
        <f aca="false">IF(A39="","",IF(COUNTIF(Rebar_Schedule!$A$5:$A$2004,A39)=0,"",ROUND(SUMIF(Rebar_Schedule!$A$5:$A$2004,A39,Rebar_Schedule!$K$5:$K$2004),1)))</f>
        <v/>
      </c>
      <c r="BH39" s="33" t="str">
        <f aca="false">IF(A39="","",IF(BG39="","No rebar schedule yet",IF(ABS(BG39-N(BC39))/MAX(N(BC39),1)&gt;SG_Criteria!$B$55,"NOTE: register rebar differs from schedule by "&amp;TEXT(ABS(BG39-N(BC39))/MAX(N(BC39),1),"0%"),"OK")))</f>
        <v/>
      </c>
      <c r="BI39" s="33" t="str">
        <f aca="false">IF(OR(D39="",E39=""),"",IF(E39&lt;=IF(OR(D39="Block / Segmental",D39="Gabion",D39="Reinforced Earth (MSE)"),SG_Criteria!$B$34,SG_Criteria!$B$33),"No ERSS submission",IF(E39&lt;=SG_Criteria!$B$35,"QP(ST)",IF(E39&lt;=SG_Criteria!$B$36,"QP(ST) + AC","Geotechnical building works: QP(Geo) + AC"))))</f>
        <v/>
      </c>
      <c r="BJ39" s="33" t="str">
        <f aca="false">IF(D39="","",IF(LEN(IF(AND(V39&lt;&gt;"",IFERROR(VALUE(MID(V39,2,2)),0)&lt;SG_Criteria!$B$19),"FAIL: grade below C"&amp;SG_Criteria!$B$19&amp;". ","")&amp;IF(AND(W39&lt;&gt;"",W39&lt;SG_Criteria!$B$20),"FAIL: cover &lt; "&amp;SG_Criteria!$B$20&amp;" mm. ","")&amp;IF(AND(AD39&lt;&gt;"",AD39&lt;1),"FAIL: sliding. ","")&amp;IF(AND(D39="Reverse L-Wall (toe only, at boundary)",N(S39)&gt;0),"NOTE: reverse L-wall should have no heel. ","")&amp;IF(AND(D39="L-Wall (heel only)",N(R39)&gt;0),"NOTE: L-wall should have no toe. ","")&amp;IF(AND(F39&lt;&gt;"",F39&lt;SG_Criteria!$B$31),"NOTE: q below LTA min "&amp;SG_Criteria!$B$31&amp;" kPa (not for LTA works). ",""))=0,"OK",IF(AND(V39&lt;&gt;"",IFERROR(VALUE(MID(V39,2,2)),0)&lt;SG_Criteria!$B$19),"FAIL: grade below C"&amp;SG_Criteria!$B$19&amp;". ","")&amp;IF(AND(W39&lt;&gt;"",W39&lt;SG_Criteria!$B$20),"FAIL: cover &lt; "&amp;SG_Criteria!$B$20&amp;" mm. ","")&amp;IF(AND(AD39&lt;&gt;"",AD39&lt;1),"FAIL: sliding. ","")&amp;IF(AND(D39="Reverse L-Wall (toe only, at boundary)",N(S39)&gt;0),"NOTE: reverse L-wall should have no heel. ","")&amp;IF(AND(D39="L-Wall (heel only)",N(R39)&gt;0),"NOTE: L-wall should have no toe. ","")&amp;IF(AND(F39&lt;&gt;"",F39&lt;SG_Criteria!$B$31),"NOTE: q below LTA min "&amp;SG_Criteria!$B$31&amp;" kPa (not for LTA works). ","")))</f>
        <v/>
      </c>
      <c r="BK39" s="9"/>
      <c r="BL39" s="9"/>
      <c r="BM39" s="9"/>
      <c r="BN39" s="10" t="str">
        <f aca="false">IF(BM39="","",IFERROR(VLOOKUP(BM39,Projects!$A$5:$D$504,2,0),"Ref not in Projects"))</f>
        <v/>
      </c>
      <c r="BO39" s="10" t="str">
        <f aca="false">IF(BM39="","",IFERROR(VLOOKUP(BM39,Projects!$A$5:$D$504,4,0),"Ref not in Projects"))</f>
        <v/>
      </c>
      <c r="BP39" s="9"/>
      <c r="BQ39" s="9"/>
      <c r="BR39" s="9"/>
      <c r="BS39" s="40"/>
      <c r="BT39" s="9"/>
      <c r="BU39" s="40"/>
      <c r="BV39" s="9"/>
      <c r="BW39" s="40"/>
      <c r="BX39" s="9"/>
      <c r="BY39" s="9"/>
      <c r="BZ39" s="9"/>
      <c r="CA39" s="40"/>
      <c r="CB39" s="40"/>
      <c r="CC39" s="36" t="str">
        <f aca="false">IF(CB39="","",EDATE(CB39,SG_Criteria!$B$54*12))</f>
        <v/>
      </c>
      <c r="CD39" s="33" t="str">
        <f aca="true">IF(A39="","",IF(CB39="","NOTE: not reviewed yet",IF(TODAY()&gt;CC39,"NOTE: review overdue","OK")))</f>
        <v/>
      </c>
      <c r="CE39" s="37" t="str">
        <f aca="false">IF(A39="","",ROUND((IF(LEN(D39)&gt;0,1,0)+IF(LEN(E39)&gt;0,1,0)+IF(LEN(F39)&gt;0,1,0)+IF(LEN(G39)&gt;0,1,0)+IF(LEN(I39)&gt;0,1,0)+IF(LEN(K39)&gt;0,1,0)+IF(LEN(P39)&gt;0,1,0)+IF(LEN(Q39)&gt;0,1,0)+IF(LEN(T39)&gt;0,1,0)+IF(LEN(V39)&gt;0,1,0)+IF(LEN(W39)&gt;0,1,0)+IF(LEN(X39)&gt;0,1,0)+IF(LEN(Z39)&gt;0,1,0)+IF(LEN(AD39)&gt;0,1,0)+IF(LEN(AE39)&gt;0,1,0)+IF(LEN(AG39)&gt;0,1,0)+IF(LEN(AI39)&gt;0,1,0)+IF(LEN(BB39)&gt;0,1,0)+IF(LEN(BC39)&gt;0,1,0)+IF(LEN(AM39)&gt;0,1,0)+IF(LEN(AO39)&gt;0,1,0)+IF(LEN(AP39)&gt;0,1,0)+IF(LEN(AQ39)&gt;0,1,0)+IF(LEN(AR39)&gt;0,1,0)+IF(LEN(BA39)&gt;0,1,0)+IF(LEN(BM39)&gt;0,1,0)+IF(LEN(BZ39)&gt;0,1,0))/27,2))</f>
        <v/>
      </c>
      <c r="CF39" s="10" t="str">
        <f aca="false">IF(D39="","",IF(AND(AP39="Approved",ISERROR(SEARCH("FAIL",BJ39))),"Y","N"))</f>
        <v/>
      </c>
      <c r="CG39" s="10" t="str">
        <f aca="false">IF(D39="","",D39&amp;"|"&amp;E39&amp;"|"&amp;F39&amp;"|"&amp;G39&amp;"|"&amp;CF39)</f>
        <v/>
      </c>
    </row>
    <row r="40" customFormat="false" ht="15" hidden="false" customHeight="false" outlineLevel="0" collapsed="false">
      <c r="A40" s="10" t="str">
        <f aca="false">IF(D40="","","RW-"&amp;IFERROR(VLOOKUP(D40,Lists!$M$4:$N$22,2,0),"??")&amp;"-H"&amp;TEXT(E40*1000,"0000")&amp;"-S"&amp;F40&amp;IF(G40="Y","-GW","")&amp;"-"&amp;AO40)</f>
        <v/>
      </c>
      <c r="B40" s="10" t="str">
        <f aca="false">IF(D40="","",D40&amp;", H = "&amp;TEXT(E40,"0.0")&amp;" m, q = "&amp;F40&amp;" kPa"&amp;IF(G40="Y",", with GWT","")&amp;", "&amp;I40)</f>
        <v/>
      </c>
      <c r="C40" s="9"/>
      <c r="D40" s="9"/>
      <c r="E40" s="39"/>
      <c r="F40" s="38"/>
      <c r="G40" s="9"/>
      <c r="H40" s="38"/>
      <c r="I40" s="9"/>
      <c r="J40" s="38"/>
      <c r="K40" s="38"/>
      <c r="L40" s="38"/>
      <c r="M40" s="42"/>
      <c r="N40" s="9"/>
      <c r="O40" s="38"/>
      <c r="P40" s="38"/>
      <c r="Q40" s="38"/>
      <c r="R40" s="38"/>
      <c r="S40" s="38"/>
      <c r="T40" s="38"/>
      <c r="U40" s="9"/>
      <c r="V40" s="9"/>
      <c r="W40" s="38"/>
      <c r="X40" s="9"/>
      <c r="Y40" s="9"/>
      <c r="Z40" s="9"/>
      <c r="AA40" s="9"/>
      <c r="AB40" s="9"/>
      <c r="AC40" s="9"/>
      <c r="AD40" s="39"/>
      <c r="AE40" s="39"/>
      <c r="AF40" s="39"/>
      <c r="AG40" s="38"/>
      <c r="AH40" s="38"/>
      <c r="AI40" s="9"/>
      <c r="AJ40" s="38"/>
      <c r="AK40" s="9"/>
      <c r="AL40" s="39"/>
      <c r="AM40" s="9"/>
      <c r="AN40" s="9"/>
      <c r="AO40" s="9"/>
      <c r="AP40" s="9"/>
      <c r="AQ40" s="9"/>
      <c r="AR40" s="9"/>
      <c r="AS40" s="9"/>
      <c r="AT40" s="10" t="str">
        <f aca="false">IF(A40="","",SG_Criteria!$B$6&amp;SG_Criteria!$B$8&amp;"\"&amp;A40&amp;"\")</f>
        <v/>
      </c>
      <c r="AU40" s="10" t="str">
        <f aca="false">IF(A40="","",A40&amp;"_CAD.dwg")</f>
        <v/>
      </c>
      <c r="AV40" s="10" t="str">
        <f aca="false">IF(A40="","",A40&amp;"_DWG.pdf")</f>
        <v/>
      </c>
      <c r="AW40" s="10" t="str">
        <f aca="false">IF(A40="","",IF(AS40="Y",A40&amp;"_STAAD.std","n/a"))</f>
        <v/>
      </c>
      <c r="AX40" s="10" t="str">
        <f aca="false">IF(A40="","",A40&amp;"_CALC.xlsx")</f>
        <v/>
      </c>
      <c r="AY40" s="10" t="str">
        <f aca="false">IF(A40="","",A40&amp;"_CALC.pdf")</f>
        <v/>
      </c>
      <c r="AZ40" s="9"/>
      <c r="BA40" s="9"/>
      <c r="BB40" s="39"/>
      <c r="BC40" s="39"/>
      <c r="BD40" s="39"/>
      <c r="BE40" s="39"/>
      <c r="BF40" s="39"/>
      <c r="BG40" s="12" t="str">
        <f aca="false">IF(A40="","",IF(COUNTIF(Rebar_Schedule!$A$5:$A$2004,A40)=0,"",ROUND(SUMIF(Rebar_Schedule!$A$5:$A$2004,A40,Rebar_Schedule!$K$5:$K$2004),1)))</f>
        <v/>
      </c>
      <c r="BH40" s="33" t="str">
        <f aca="false">IF(A40="","",IF(BG40="","No rebar schedule yet",IF(ABS(BG40-N(BC40))/MAX(N(BC40),1)&gt;SG_Criteria!$B$55,"NOTE: register rebar differs from schedule by "&amp;TEXT(ABS(BG40-N(BC40))/MAX(N(BC40),1),"0%"),"OK")))</f>
        <v/>
      </c>
      <c r="BI40" s="33" t="str">
        <f aca="false">IF(OR(D40="",E40=""),"",IF(E40&lt;=IF(OR(D40="Block / Segmental",D40="Gabion",D40="Reinforced Earth (MSE)"),SG_Criteria!$B$34,SG_Criteria!$B$33),"No ERSS submission",IF(E40&lt;=SG_Criteria!$B$35,"QP(ST)",IF(E40&lt;=SG_Criteria!$B$36,"QP(ST) + AC","Geotechnical building works: QP(Geo) + AC"))))</f>
        <v/>
      </c>
      <c r="BJ40" s="33" t="str">
        <f aca="false">IF(D40="","",IF(LEN(IF(AND(V40&lt;&gt;"",IFERROR(VALUE(MID(V40,2,2)),0)&lt;SG_Criteria!$B$19),"FAIL: grade below C"&amp;SG_Criteria!$B$19&amp;". ","")&amp;IF(AND(W40&lt;&gt;"",W40&lt;SG_Criteria!$B$20),"FAIL: cover &lt; "&amp;SG_Criteria!$B$20&amp;" mm. ","")&amp;IF(AND(AD40&lt;&gt;"",AD40&lt;1),"FAIL: sliding. ","")&amp;IF(AND(D40="Reverse L-Wall (toe only, at boundary)",N(S40)&gt;0),"NOTE: reverse L-wall should have no heel. ","")&amp;IF(AND(D40="L-Wall (heel only)",N(R40)&gt;0),"NOTE: L-wall should have no toe. ","")&amp;IF(AND(F40&lt;&gt;"",F40&lt;SG_Criteria!$B$31),"NOTE: q below LTA min "&amp;SG_Criteria!$B$31&amp;" kPa (not for LTA works). ",""))=0,"OK",IF(AND(V40&lt;&gt;"",IFERROR(VALUE(MID(V40,2,2)),0)&lt;SG_Criteria!$B$19),"FAIL: grade below C"&amp;SG_Criteria!$B$19&amp;". ","")&amp;IF(AND(W40&lt;&gt;"",W40&lt;SG_Criteria!$B$20),"FAIL: cover &lt; "&amp;SG_Criteria!$B$20&amp;" mm. ","")&amp;IF(AND(AD40&lt;&gt;"",AD40&lt;1),"FAIL: sliding. ","")&amp;IF(AND(D40="Reverse L-Wall (toe only, at boundary)",N(S40)&gt;0),"NOTE: reverse L-wall should have no heel. ","")&amp;IF(AND(D40="L-Wall (heel only)",N(R40)&gt;0),"NOTE: L-wall should have no toe. ","")&amp;IF(AND(F40&lt;&gt;"",F40&lt;SG_Criteria!$B$31),"NOTE: q below LTA min "&amp;SG_Criteria!$B$31&amp;" kPa (not for LTA works). ","")))</f>
        <v/>
      </c>
      <c r="BK40" s="9"/>
      <c r="BL40" s="9"/>
      <c r="BM40" s="9"/>
      <c r="BN40" s="10" t="str">
        <f aca="false">IF(BM40="","",IFERROR(VLOOKUP(BM40,Projects!$A$5:$D$504,2,0),"Ref not in Projects"))</f>
        <v/>
      </c>
      <c r="BO40" s="10" t="str">
        <f aca="false">IF(BM40="","",IFERROR(VLOOKUP(BM40,Projects!$A$5:$D$504,4,0),"Ref not in Projects"))</f>
        <v/>
      </c>
      <c r="BP40" s="9"/>
      <c r="BQ40" s="9"/>
      <c r="BR40" s="9"/>
      <c r="BS40" s="40"/>
      <c r="BT40" s="9"/>
      <c r="BU40" s="40"/>
      <c r="BV40" s="9"/>
      <c r="BW40" s="40"/>
      <c r="BX40" s="9"/>
      <c r="BY40" s="9"/>
      <c r="BZ40" s="9"/>
      <c r="CA40" s="40"/>
      <c r="CB40" s="40"/>
      <c r="CC40" s="36" t="str">
        <f aca="false">IF(CB40="","",EDATE(CB40,SG_Criteria!$B$54*12))</f>
        <v/>
      </c>
      <c r="CD40" s="33" t="str">
        <f aca="true">IF(A40="","",IF(CB40="","NOTE: not reviewed yet",IF(TODAY()&gt;CC40,"NOTE: review overdue","OK")))</f>
        <v/>
      </c>
      <c r="CE40" s="37" t="str">
        <f aca="false">IF(A40="","",ROUND((IF(LEN(D40)&gt;0,1,0)+IF(LEN(E40)&gt;0,1,0)+IF(LEN(F40)&gt;0,1,0)+IF(LEN(G40)&gt;0,1,0)+IF(LEN(I40)&gt;0,1,0)+IF(LEN(K40)&gt;0,1,0)+IF(LEN(P40)&gt;0,1,0)+IF(LEN(Q40)&gt;0,1,0)+IF(LEN(T40)&gt;0,1,0)+IF(LEN(V40)&gt;0,1,0)+IF(LEN(W40)&gt;0,1,0)+IF(LEN(X40)&gt;0,1,0)+IF(LEN(Z40)&gt;0,1,0)+IF(LEN(AD40)&gt;0,1,0)+IF(LEN(AE40)&gt;0,1,0)+IF(LEN(AG40)&gt;0,1,0)+IF(LEN(AI40)&gt;0,1,0)+IF(LEN(BB40)&gt;0,1,0)+IF(LEN(BC40)&gt;0,1,0)+IF(LEN(AM40)&gt;0,1,0)+IF(LEN(AO40)&gt;0,1,0)+IF(LEN(AP40)&gt;0,1,0)+IF(LEN(AQ40)&gt;0,1,0)+IF(LEN(AR40)&gt;0,1,0)+IF(LEN(BA40)&gt;0,1,0)+IF(LEN(BM40)&gt;0,1,0)+IF(LEN(BZ40)&gt;0,1,0))/27,2))</f>
        <v/>
      </c>
      <c r="CF40" s="10" t="str">
        <f aca="false">IF(D40="","",IF(AND(AP40="Approved",ISERROR(SEARCH("FAIL",BJ40))),"Y","N"))</f>
        <v/>
      </c>
      <c r="CG40" s="10" t="str">
        <f aca="false">IF(D40="","",D40&amp;"|"&amp;E40&amp;"|"&amp;F40&amp;"|"&amp;G40&amp;"|"&amp;CF40)</f>
        <v/>
      </c>
    </row>
    <row r="41" customFormat="false" ht="15" hidden="false" customHeight="false" outlineLevel="0" collapsed="false">
      <c r="A41" s="10" t="str">
        <f aca="false">IF(D41="","","RW-"&amp;IFERROR(VLOOKUP(D41,Lists!$M$4:$N$22,2,0),"??")&amp;"-H"&amp;TEXT(E41*1000,"0000")&amp;"-S"&amp;F41&amp;IF(G41="Y","-GW","")&amp;"-"&amp;AO41)</f>
        <v/>
      </c>
      <c r="B41" s="10" t="str">
        <f aca="false">IF(D41="","",D41&amp;", H = "&amp;TEXT(E41,"0.0")&amp;" m, q = "&amp;F41&amp;" kPa"&amp;IF(G41="Y",", with GWT","")&amp;", "&amp;I41)</f>
        <v/>
      </c>
      <c r="C41" s="9"/>
      <c r="D41" s="9"/>
      <c r="E41" s="39"/>
      <c r="F41" s="38"/>
      <c r="G41" s="9"/>
      <c r="H41" s="38"/>
      <c r="I41" s="9"/>
      <c r="J41" s="38"/>
      <c r="K41" s="38"/>
      <c r="L41" s="38"/>
      <c r="M41" s="42"/>
      <c r="N41" s="9"/>
      <c r="O41" s="38"/>
      <c r="P41" s="38"/>
      <c r="Q41" s="38"/>
      <c r="R41" s="38"/>
      <c r="S41" s="38"/>
      <c r="T41" s="38"/>
      <c r="U41" s="9"/>
      <c r="V41" s="9"/>
      <c r="W41" s="38"/>
      <c r="X41" s="9"/>
      <c r="Y41" s="9"/>
      <c r="Z41" s="9"/>
      <c r="AA41" s="9"/>
      <c r="AB41" s="9"/>
      <c r="AC41" s="9"/>
      <c r="AD41" s="39"/>
      <c r="AE41" s="39"/>
      <c r="AF41" s="39"/>
      <c r="AG41" s="38"/>
      <c r="AH41" s="38"/>
      <c r="AI41" s="9"/>
      <c r="AJ41" s="38"/>
      <c r="AK41" s="9"/>
      <c r="AL41" s="39"/>
      <c r="AM41" s="9"/>
      <c r="AN41" s="9"/>
      <c r="AO41" s="9"/>
      <c r="AP41" s="9"/>
      <c r="AQ41" s="9"/>
      <c r="AR41" s="9"/>
      <c r="AS41" s="9"/>
      <c r="AT41" s="10" t="str">
        <f aca="false">IF(A41="","",SG_Criteria!$B$6&amp;SG_Criteria!$B$8&amp;"\"&amp;A41&amp;"\")</f>
        <v/>
      </c>
      <c r="AU41" s="10" t="str">
        <f aca="false">IF(A41="","",A41&amp;"_CAD.dwg")</f>
        <v/>
      </c>
      <c r="AV41" s="10" t="str">
        <f aca="false">IF(A41="","",A41&amp;"_DWG.pdf")</f>
        <v/>
      </c>
      <c r="AW41" s="10" t="str">
        <f aca="false">IF(A41="","",IF(AS41="Y",A41&amp;"_STAAD.std","n/a"))</f>
        <v/>
      </c>
      <c r="AX41" s="10" t="str">
        <f aca="false">IF(A41="","",A41&amp;"_CALC.xlsx")</f>
        <v/>
      </c>
      <c r="AY41" s="10" t="str">
        <f aca="false">IF(A41="","",A41&amp;"_CALC.pdf")</f>
        <v/>
      </c>
      <c r="AZ41" s="9"/>
      <c r="BA41" s="9"/>
      <c r="BB41" s="39"/>
      <c r="BC41" s="39"/>
      <c r="BD41" s="39"/>
      <c r="BE41" s="39"/>
      <c r="BF41" s="39"/>
      <c r="BG41" s="12" t="str">
        <f aca="false">IF(A41="","",IF(COUNTIF(Rebar_Schedule!$A$5:$A$2004,A41)=0,"",ROUND(SUMIF(Rebar_Schedule!$A$5:$A$2004,A41,Rebar_Schedule!$K$5:$K$2004),1)))</f>
        <v/>
      </c>
      <c r="BH41" s="33" t="str">
        <f aca="false">IF(A41="","",IF(BG41="","No rebar schedule yet",IF(ABS(BG41-N(BC41))/MAX(N(BC41),1)&gt;SG_Criteria!$B$55,"NOTE: register rebar differs from schedule by "&amp;TEXT(ABS(BG41-N(BC41))/MAX(N(BC41),1),"0%"),"OK")))</f>
        <v/>
      </c>
      <c r="BI41" s="33" t="str">
        <f aca="false">IF(OR(D41="",E41=""),"",IF(E41&lt;=IF(OR(D41="Block / Segmental",D41="Gabion",D41="Reinforced Earth (MSE)"),SG_Criteria!$B$34,SG_Criteria!$B$33),"No ERSS submission",IF(E41&lt;=SG_Criteria!$B$35,"QP(ST)",IF(E41&lt;=SG_Criteria!$B$36,"QP(ST) + AC","Geotechnical building works: QP(Geo) + AC"))))</f>
        <v/>
      </c>
      <c r="BJ41" s="33" t="str">
        <f aca="false">IF(D41="","",IF(LEN(IF(AND(V41&lt;&gt;"",IFERROR(VALUE(MID(V41,2,2)),0)&lt;SG_Criteria!$B$19),"FAIL: grade below C"&amp;SG_Criteria!$B$19&amp;". ","")&amp;IF(AND(W41&lt;&gt;"",W41&lt;SG_Criteria!$B$20),"FAIL: cover &lt; "&amp;SG_Criteria!$B$20&amp;" mm. ","")&amp;IF(AND(AD41&lt;&gt;"",AD41&lt;1),"FAIL: sliding. ","")&amp;IF(AND(D41="Reverse L-Wall (toe only, at boundary)",N(S41)&gt;0),"NOTE: reverse L-wall should have no heel. ","")&amp;IF(AND(D41="L-Wall (heel only)",N(R41)&gt;0),"NOTE: L-wall should have no toe. ","")&amp;IF(AND(F41&lt;&gt;"",F41&lt;SG_Criteria!$B$31),"NOTE: q below LTA min "&amp;SG_Criteria!$B$31&amp;" kPa (not for LTA works). ",""))=0,"OK",IF(AND(V41&lt;&gt;"",IFERROR(VALUE(MID(V41,2,2)),0)&lt;SG_Criteria!$B$19),"FAIL: grade below C"&amp;SG_Criteria!$B$19&amp;". ","")&amp;IF(AND(W41&lt;&gt;"",W41&lt;SG_Criteria!$B$20),"FAIL: cover &lt; "&amp;SG_Criteria!$B$20&amp;" mm. ","")&amp;IF(AND(AD41&lt;&gt;"",AD41&lt;1),"FAIL: sliding. ","")&amp;IF(AND(D41="Reverse L-Wall (toe only, at boundary)",N(S41)&gt;0),"NOTE: reverse L-wall should have no heel. ","")&amp;IF(AND(D41="L-Wall (heel only)",N(R41)&gt;0),"NOTE: L-wall should have no toe. ","")&amp;IF(AND(F41&lt;&gt;"",F41&lt;SG_Criteria!$B$31),"NOTE: q below LTA min "&amp;SG_Criteria!$B$31&amp;" kPa (not for LTA works). ","")))</f>
        <v/>
      </c>
      <c r="BK41" s="9"/>
      <c r="BL41" s="9"/>
      <c r="BM41" s="9"/>
      <c r="BN41" s="10" t="str">
        <f aca="false">IF(BM41="","",IFERROR(VLOOKUP(BM41,Projects!$A$5:$D$504,2,0),"Ref not in Projects"))</f>
        <v/>
      </c>
      <c r="BO41" s="10" t="str">
        <f aca="false">IF(BM41="","",IFERROR(VLOOKUP(BM41,Projects!$A$5:$D$504,4,0),"Ref not in Projects"))</f>
        <v/>
      </c>
      <c r="BP41" s="9"/>
      <c r="BQ41" s="9"/>
      <c r="BR41" s="9"/>
      <c r="BS41" s="40"/>
      <c r="BT41" s="9"/>
      <c r="BU41" s="40"/>
      <c r="BV41" s="9"/>
      <c r="BW41" s="40"/>
      <c r="BX41" s="9"/>
      <c r="BY41" s="9"/>
      <c r="BZ41" s="9"/>
      <c r="CA41" s="40"/>
      <c r="CB41" s="40"/>
      <c r="CC41" s="36" t="str">
        <f aca="false">IF(CB41="","",EDATE(CB41,SG_Criteria!$B$54*12))</f>
        <v/>
      </c>
      <c r="CD41" s="33" t="str">
        <f aca="true">IF(A41="","",IF(CB41="","NOTE: not reviewed yet",IF(TODAY()&gt;CC41,"NOTE: review overdue","OK")))</f>
        <v/>
      </c>
      <c r="CE41" s="37" t="str">
        <f aca="false">IF(A41="","",ROUND((IF(LEN(D41)&gt;0,1,0)+IF(LEN(E41)&gt;0,1,0)+IF(LEN(F41)&gt;0,1,0)+IF(LEN(G41)&gt;0,1,0)+IF(LEN(I41)&gt;0,1,0)+IF(LEN(K41)&gt;0,1,0)+IF(LEN(P41)&gt;0,1,0)+IF(LEN(Q41)&gt;0,1,0)+IF(LEN(T41)&gt;0,1,0)+IF(LEN(V41)&gt;0,1,0)+IF(LEN(W41)&gt;0,1,0)+IF(LEN(X41)&gt;0,1,0)+IF(LEN(Z41)&gt;0,1,0)+IF(LEN(AD41)&gt;0,1,0)+IF(LEN(AE41)&gt;0,1,0)+IF(LEN(AG41)&gt;0,1,0)+IF(LEN(AI41)&gt;0,1,0)+IF(LEN(BB41)&gt;0,1,0)+IF(LEN(BC41)&gt;0,1,0)+IF(LEN(AM41)&gt;0,1,0)+IF(LEN(AO41)&gt;0,1,0)+IF(LEN(AP41)&gt;0,1,0)+IF(LEN(AQ41)&gt;0,1,0)+IF(LEN(AR41)&gt;0,1,0)+IF(LEN(BA41)&gt;0,1,0)+IF(LEN(BM41)&gt;0,1,0)+IF(LEN(BZ41)&gt;0,1,0))/27,2))</f>
        <v/>
      </c>
      <c r="CF41" s="10" t="str">
        <f aca="false">IF(D41="","",IF(AND(AP41="Approved",ISERROR(SEARCH("FAIL",BJ41))),"Y","N"))</f>
        <v/>
      </c>
      <c r="CG41" s="10" t="str">
        <f aca="false">IF(D41="","",D41&amp;"|"&amp;E41&amp;"|"&amp;F41&amp;"|"&amp;G41&amp;"|"&amp;CF41)</f>
        <v/>
      </c>
    </row>
    <row r="42" customFormat="false" ht="15" hidden="false" customHeight="false" outlineLevel="0" collapsed="false">
      <c r="A42" s="10" t="str">
        <f aca="false">IF(D42="","","RW-"&amp;IFERROR(VLOOKUP(D42,Lists!$M$4:$N$22,2,0),"??")&amp;"-H"&amp;TEXT(E42*1000,"0000")&amp;"-S"&amp;F42&amp;IF(G42="Y","-GW","")&amp;"-"&amp;AO42)</f>
        <v/>
      </c>
      <c r="B42" s="10" t="str">
        <f aca="false">IF(D42="","",D42&amp;", H = "&amp;TEXT(E42,"0.0")&amp;" m, q = "&amp;F42&amp;" kPa"&amp;IF(G42="Y",", with GWT","")&amp;", "&amp;I42)</f>
        <v/>
      </c>
      <c r="C42" s="9"/>
      <c r="D42" s="9"/>
      <c r="E42" s="39"/>
      <c r="F42" s="38"/>
      <c r="G42" s="9"/>
      <c r="H42" s="38"/>
      <c r="I42" s="9"/>
      <c r="J42" s="38"/>
      <c r="K42" s="38"/>
      <c r="L42" s="38"/>
      <c r="M42" s="42"/>
      <c r="N42" s="9"/>
      <c r="O42" s="38"/>
      <c r="P42" s="38"/>
      <c r="Q42" s="38"/>
      <c r="R42" s="38"/>
      <c r="S42" s="38"/>
      <c r="T42" s="38"/>
      <c r="U42" s="9"/>
      <c r="V42" s="9"/>
      <c r="W42" s="38"/>
      <c r="X42" s="9"/>
      <c r="Y42" s="9"/>
      <c r="Z42" s="9"/>
      <c r="AA42" s="9"/>
      <c r="AB42" s="9"/>
      <c r="AC42" s="9"/>
      <c r="AD42" s="39"/>
      <c r="AE42" s="39"/>
      <c r="AF42" s="39"/>
      <c r="AG42" s="38"/>
      <c r="AH42" s="38"/>
      <c r="AI42" s="9"/>
      <c r="AJ42" s="38"/>
      <c r="AK42" s="9"/>
      <c r="AL42" s="39"/>
      <c r="AM42" s="9"/>
      <c r="AN42" s="9"/>
      <c r="AO42" s="9"/>
      <c r="AP42" s="9"/>
      <c r="AQ42" s="9"/>
      <c r="AR42" s="9"/>
      <c r="AS42" s="9"/>
      <c r="AT42" s="10" t="str">
        <f aca="false">IF(A42="","",SG_Criteria!$B$6&amp;SG_Criteria!$B$8&amp;"\"&amp;A42&amp;"\")</f>
        <v/>
      </c>
      <c r="AU42" s="10" t="str">
        <f aca="false">IF(A42="","",A42&amp;"_CAD.dwg")</f>
        <v/>
      </c>
      <c r="AV42" s="10" t="str">
        <f aca="false">IF(A42="","",A42&amp;"_DWG.pdf")</f>
        <v/>
      </c>
      <c r="AW42" s="10" t="str">
        <f aca="false">IF(A42="","",IF(AS42="Y",A42&amp;"_STAAD.std","n/a"))</f>
        <v/>
      </c>
      <c r="AX42" s="10" t="str">
        <f aca="false">IF(A42="","",A42&amp;"_CALC.xlsx")</f>
        <v/>
      </c>
      <c r="AY42" s="10" t="str">
        <f aca="false">IF(A42="","",A42&amp;"_CALC.pdf")</f>
        <v/>
      </c>
      <c r="AZ42" s="9"/>
      <c r="BA42" s="9"/>
      <c r="BB42" s="39"/>
      <c r="BC42" s="39"/>
      <c r="BD42" s="39"/>
      <c r="BE42" s="39"/>
      <c r="BF42" s="39"/>
      <c r="BG42" s="12" t="str">
        <f aca="false">IF(A42="","",IF(COUNTIF(Rebar_Schedule!$A$5:$A$2004,A42)=0,"",ROUND(SUMIF(Rebar_Schedule!$A$5:$A$2004,A42,Rebar_Schedule!$K$5:$K$2004),1)))</f>
        <v/>
      </c>
      <c r="BH42" s="33" t="str">
        <f aca="false">IF(A42="","",IF(BG42="","No rebar schedule yet",IF(ABS(BG42-N(BC42))/MAX(N(BC42),1)&gt;SG_Criteria!$B$55,"NOTE: register rebar differs from schedule by "&amp;TEXT(ABS(BG42-N(BC42))/MAX(N(BC42),1),"0%"),"OK")))</f>
        <v/>
      </c>
      <c r="BI42" s="33" t="str">
        <f aca="false">IF(OR(D42="",E42=""),"",IF(E42&lt;=IF(OR(D42="Block / Segmental",D42="Gabion",D42="Reinforced Earth (MSE)"),SG_Criteria!$B$34,SG_Criteria!$B$33),"No ERSS submission",IF(E42&lt;=SG_Criteria!$B$35,"QP(ST)",IF(E42&lt;=SG_Criteria!$B$36,"QP(ST) + AC","Geotechnical building works: QP(Geo) + AC"))))</f>
        <v/>
      </c>
      <c r="BJ42" s="33" t="str">
        <f aca="false">IF(D42="","",IF(LEN(IF(AND(V42&lt;&gt;"",IFERROR(VALUE(MID(V42,2,2)),0)&lt;SG_Criteria!$B$19),"FAIL: grade below C"&amp;SG_Criteria!$B$19&amp;". ","")&amp;IF(AND(W42&lt;&gt;"",W42&lt;SG_Criteria!$B$20),"FAIL: cover &lt; "&amp;SG_Criteria!$B$20&amp;" mm. ","")&amp;IF(AND(AD42&lt;&gt;"",AD42&lt;1),"FAIL: sliding. ","")&amp;IF(AND(D42="Reverse L-Wall (toe only, at boundary)",N(S42)&gt;0),"NOTE: reverse L-wall should have no heel. ","")&amp;IF(AND(D42="L-Wall (heel only)",N(R42)&gt;0),"NOTE: L-wall should have no toe. ","")&amp;IF(AND(F42&lt;&gt;"",F42&lt;SG_Criteria!$B$31),"NOTE: q below LTA min "&amp;SG_Criteria!$B$31&amp;" kPa (not for LTA works). ",""))=0,"OK",IF(AND(V42&lt;&gt;"",IFERROR(VALUE(MID(V42,2,2)),0)&lt;SG_Criteria!$B$19),"FAIL: grade below C"&amp;SG_Criteria!$B$19&amp;". ","")&amp;IF(AND(W42&lt;&gt;"",W42&lt;SG_Criteria!$B$20),"FAIL: cover &lt; "&amp;SG_Criteria!$B$20&amp;" mm. ","")&amp;IF(AND(AD42&lt;&gt;"",AD42&lt;1),"FAIL: sliding. ","")&amp;IF(AND(D42="Reverse L-Wall (toe only, at boundary)",N(S42)&gt;0),"NOTE: reverse L-wall should have no heel. ","")&amp;IF(AND(D42="L-Wall (heel only)",N(R42)&gt;0),"NOTE: L-wall should have no toe. ","")&amp;IF(AND(F42&lt;&gt;"",F42&lt;SG_Criteria!$B$31),"NOTE: q below LTA min "&amp;SG_Criteria!$B$31&amp;" kPa (not for LTA works). ","")))</f>
        <v/>
      </c>
      <c r="BK42" s="9"/>
      <c r="BL42" s="9"/>
      <c r="BM42" s="9"/>
      <c r="BN42" s="10" t="str">
        <f aca="false">IF(BM42="","",IFERROR(VLOOKUP(BM42,Projects!$A$5:$D$504,2,0),"Ref not in Projects"))</f>
        <v/>
      </c>
      <c r="BO42" s="10" t="str">
        <f aca="false">IF(BM42="","",IFERROR(VLOOKUP(BM42,Projects!$A$5:$D$504,4,0),"Ref not in Projects"))</f>
        <v/>
      </c>
      <c r="BP42" s="9"/>
      <c r="BQ42" s="9"/>
      <c r="BR42" s="9"/>
      <c r="BS42" s="40"/>
      <c r="BT42" s="9"/>
      <c r="BU42" s="40"/>
      <c r="BV42" s="9"/>
      <c r="BW42" s="40"/>
      <c r="BX42" s="9"/>
      <c r="BY42" s="9"/>
      <c r="BZ42" s="9"/>
      <c r="CA42" s="40"/>
      <c r="CB42" s="40"/>
      <c r="CC42" s="36" t="str">
        <f aca="false">IF(CB42="","",EDATE(CB42,SG_Criteria!$B$54*12))</f>
        <v/>
      </c>
      <c r="CD42" s="33" t="str">
        <f aca="true">IF(A42="","",IF(CB42="","NOTE: not reviewed yet",IF(TODAY()&gt;CC42,"NOTE: review overdue","OK")))</f>
        <v/>
      </c>
      <c r="CE42" s="37" t="str">
        <f aca="false">IF(A42="","",ROUND((IF(LEN(D42)&gt;0,1,0)+IF(LEN(E42)&gt;0,1,0)+IF(LEN(F42)&gt;0,1,0)+IF(LEN(G42)&gt;0,1,0)+IF(LEN(I42)&gt;0,1,0)+IF(LEN(K42)&gt;0,1,0)+IF(LEN(P42)&gt;0,1,0)+IF(LEN(Q42)&gt;0,1,0)+IF(LEN(T42)&gt;0,1,0)+IF(LEN(V42)&gt;0,1,0)+IF(LEN(W42)&gt;0,1,0)+IF(LEN(X42)&gt;0,1,0)+IF(LEN(Z42)&gt;0,1,0)+IF(LEN(AD42)&gt;0,1,0)+IF(LEN(AE42)&gt;0,1,0)+IF(LEN(AG42)&gt;0,1,0)+IF(LEN(AI42)&gt;0,1,0)+IF(LEN(BB42)&gt;0,1,0)+IF(LEN(BC42)&gt;0,1,0)+IF(LEN(AM42)&gt;0,1,0)+IF(LEN(AO42)&gt;0,1,0)+IF(LEN(AP42)&gt;0,1,0)+IF(LEN(AQ42)&gt;0,1,0)+IF(LEN(AR42)&gt;0,1,0)+IF(LEN(BA42)&gt;0,1,0)+IF(LEN(BM42)&gt;0,1,0)+IF(LEN(BZ42)&gt;0,1,0))/27,2))</f>
        <v/>
      </c>
      <c r="CF42" s="10" t="str">
        <f aca="false">IF(D42="","",IF(AND(AP42="Approved",ISERROR(SEARCH("FAIL",BJ42))),"Y","N"))</f>
        <v/>
      </c>
      <c r="CG42" s="10" t="str">
        <f aca="false">IF(D42="","",D42&amp;"|"&amp;E42&amp;"|"&amp;F42&amp;"|"&amp;G42&amp;"|"&amp;CF42)</f>
        <v/>
      </c>
    </row>
    <row r="43" customFormat="false" ht="15" hidden="false" customHeight="false" outlineLevel="0" collapsed="false">
      <c r="A43" s="10" t="str">
        <f aca="false">IF(D43="","","RW-"&amp;IFERROR(VLOOKUP(D43,Lists!$M$4:$N$22,2,0),"??")&amp;"-H"&amp;TEXT(E43*1000,"0000")&amp;"-S"&amp;F43&amp;IF(G43="Y","-GW","")&amp;"-"&amp;AO43)</f>
        <v/>
      </c>
      <c r="B43" s="10" t="str">
        <f aca="false">IF(D43="","",D43&amp;", H = "&amp;TEXT(E43,"0.0")&amp;" m, q = "&amp;F43&amp;" kPa"&amp;IF(G43="Y",", with GWT","")&amp;", "&amp;I43)</f>
        <v/>
      </c>
      <c r="C43" s="9"/>
      <c r="D43" s="9"/>
      <c r="E43" s="39"/>
      <c r="F43" s="38"/>
      <c r="G43" s="9"/>
      <c r="H43" s="38"/>
      <c r="I43" s="9"/>
      <c r="J43" s="38"/>
      <c r="K43" s="38"/>
      <c r="L43" s="38"/>
      <c r="M43" s="42"/>
      <c r="N43" s="9"/>
      <c r="O43" s="38"/>
      <c r="P43" s="38"/>
      <c r="Q43" s="38"/>
      <c r="R43" s="38"/>
      <c r="S43" s="38"/>
      <c r="T43" s="38"/>
      <c r="U43" s="9"/>
      <c r="V43" s="9"/>
      <c r="W43" s="38"/>
      <c r="X43" s="9"/>
      <c r="Y43" s="9"/>
      <c r="Z43" s="9"/>
      <c r="AA43" s="9"/>
      <c r="AB43" s="9"/>
      <c r="AC43" s="9"/>
      <c r="AD43" s="39"/>
      <c r="AE43" s="39"/>
      <c r="AF43" s="39"/>
      <c r="AG43" s="38"/>
      <c r="AH43" s="38"/>
      <c r="AI43" s="9"/>
      <c r="AJ43" s="38"/>
      <c r="AK43" s="9"/>
      <c r="AL43" s="39"/>
      <c r="AM43" s="9"/>
      <c r="AN43" s="9"/>
      <c r="AO43" s="9"/>
      <c r="AP43" s="9"/>
      <c r="AQ43" s="9"/>
      <c r="AR43" s="9"/>
      <c r="AS43" s="9"/>
      <c r="AT43" s="10" t="str">
        <f aca="false">IF(A43="","",SG_Criteria!$B$6&amp;SG_Criteria!$B$8&amp;"\"&amp;A43&amp;"\")</f>
        <v/>
      </c>
      <c r="AU43" s="10" t="str">
        <f aca="false">IF(A43="","",A43&amp;"_CAD.dwg")</f>
        <v/>
      </c>
      <c r="AV43" s="10" t="str">
        <f aca="false">IF(A43="","",A43&amp;"_DWG.pdf")</f>
        <v/>
      </c>
      <c r="AW43" s="10" t="str">
        <f aca="false">IF(A43="","",IF(AS43="Y",A43&amp;"_STAAD.std","n/a"))</f>
        <v/>
      </c>
      <c r="AX43" s="10" t="str">
        <f aca="false">IF(A43="","",A43&amp;"_CALC.xlsx")</f>
        <v/>
      </c>
      <c r="AY43" s="10" t="str">
        <f aca="false">IF(A43="","",A43&amp;"_CALC.pdf")</f>
        <v/>
      </c>
      <c r="AZ43" s="9"/>
      <c r="BA43" s="9"/>
      <c r="BB43" s="39"/>
      <c r="BC43" s="39"/>
      <c r="BD43" s="39"/>
      <c r="BE43" s="39"/>
      <c r="BF43" s="39"/>
      <c r="BG43" s="12" t="str">
        <f aca="false">IF(A43="","",IF(COUNTIF(Rebar_Schedule!$A$5:$A$2004,A43)=0,"",ROUND(SUMIF(Rebar_Schedule!$A$5:$A$2004,A43,Rebar_Schedule!$K$5:$K$2004),1)))</f>
        <v/>
      </c>
      <c r="BH43" s="33" t="str">
        <f aca="false">IF(A43="","",IF(BG43="","No rebar schedule yet",IF(ABS(BG43-N(BC43))/MAX(N(BC43),1)&gt;SG_Criteria!$B$55,"NOTE: register rebar differs from schedule by "&amp;TEXT(ABS(BG43-N(BC43))/MAX(N(BC43),1),"0%"),"OK")))</f>
        <v/>
      </c>
      <c r="BI43" s="33" t="str">
        <f aca="false">IF(OR(D43="",E43=""),"",IF(E43&lt;=IF(OR(D43="Block / Segmental",D43="Gabion",D43="Reinforced Earth (MSE)"),SG_Criteria!$B$34,SG_Criteria!$B$33),"No ERSS submission",IF(E43&lt;=SG_Criteria!$B$35,"QP(ST)",IF(E43&lt;=SG_Criteria!$B$36,"QP(ST) + AC","Geotechnical building works: QP(Geo) + AC"))))</f>
        <v/>
      </c>
      <c r="BJ43" s="33" t="str">
        <f aca="false">IF(D43="","",IF(LEN(IF(AND(V43&lt;&gt;"",IFERROR(VALUE(MID(V43,2,2)),0)&lt;SG_Criteria!$B$19),"FAIL: grade below C"&amp;SG_Criteria!$B$19&amp;". ","")&amp;IF(AND(W43&lt;&gt;"",W43&lt;SG_Criteria!$B$20),"FAIL: cover &lt; "&amp;SG_Criteria!$B$20&amp;" mm. ","")&amp;IF(AND(AD43&lt;&gt;"",AD43&lt;1),"FAIL: sliding. ","")&amp;IF(AND(D43="Reverse L-Wall (toe only, at boundary)",N(S43)&gt;0),"NOTE: reverse L-wall should have no heel. ","")&amp;IF(AND(D43="L-Wall (heel only)",N(R43)&gt;0),"NOTE: L-wall should have no toe. ","")&amp;IF(AND(F43&lt;&gt;"",F43&lt;SG_Criteria!$B$31),"NOTE: q below LTA min "&amp;SG_Criteria!$B$31&amp;" kPa (not for LTA works). ",""))=0,"OK",IF(AND(V43&lt;&gt;"",IFERROR(VALUE(MID(V43,2,2)),0)&lt;SG_Criteria!$B$19),"FAIL: grade below C"&amp;SG_Criteria!$B$19&amp;". ","")&amp;IF(AND(W43&lt;&gt;"",W43&lt;SG_Criteria!$B$20),"FAIL: cover &lt; "&amp;SG_Criteria!$B$20&amp;" mm. ","")&amp;IF(AND(AD43&lt;&gt;"",AD43&lt;1),"FAIL: sliding. ","")&amp;IF(AND(D43="Reverse L-Wall (toe only, at boundary)",N(S43)&gt;0),"NOTE: reverse L-wall should have no heel. ","")&amp;IF(AND(D43="L-Wall (heel only)",N(R43)&gt;0),"NOTE: L-wall should have no toe. ","")&amp;IF(AND(F43&lt;&gt;"",F43&lt;SG_Criteria!$B$31),"NOTE: q below LTA min "&amp;SG_Criteria!$B$31&amp;" kPa (not for LTA works). ","")))</f>
        <v/>
      </c>
      <c r="BK43" s="9"/>
      <c r="BL43" s="9"/>
      <c r="BM43" s="9"/>
      <c r="BN43" s="10" t="str">
        <f aca="false">IF(BM43="","",IFERROR(VLOOKUP(BM43,Projects!$A$5:$D$504,2,0),"Ref not in Projects"))</f>
        <v/>
      </c>
      <c r="BO43" s="10" t="str">
        <f aca="false">IF(BM43="","",IFERROR(VLOOKUP(BM43,Projects!$A$5:$D$504,4,0),"Ref not in Projects"))</f>
        <v/>
      </c>
      <c r="BP43" s="9"/>
      <c r="BQ43" s="9"/>
      <c r="BR43" s="9"/>
      <c r="BS43" s="40"/>
      <c r="BT43" s="9"/>
      <c r="BU43" s="40"/>
      <c r="BV43" s="9"/>
      <c r="BW43" s="40"/>
      <c r="BX43" s="9"/>
      <c r="BY43" s="9"/>
      <c r="BZ43" s="9"/>
      <c r="CA43" s="40"/>
      <c r="CB43" s="40"/>
      <c r="CC43" s="36" t="str">
        <f aca="false">IF(CB43="","",EDATE(CB43,SG_Criteria!$B$54*12))</f>
        <v/>
      </c>
      <c r="CD43" s="33" t="str">
        <f aca="true">IF(A43="","",IF(CB43="","NOTE: not reviewed yet",IF(TODAY()&gt;CC43,"NOTE: review overdue","OK")))</f>
        <v/>
      </c>
      <c r="CE43" s="37" t="str">
        <f aca="false">IF(A43="","",ROUND((IF(LEN(D43)&gt;0,1,0)+IF(LEN(E43)&gt;0,1,0)+IF(LEN(F43)&gt;0,1,0)+IF(LEN(G43)&gt;0,1,0)+IF(LEN(I43)&gt;0,1,0)+IF(LEN(K43)&gt;0,1,0)+IF(LEN(P43)&gt;0,1,0)+IF(LEN(Q43)&gt;0,1,0)+IF(LEN(T43)&gt;0,1,0)+IF(LEN(V43)&gt;0,1,0)+IF(LEN(W43)&gt;0,1,0)+IF(LEN(X43)&gt;0,1,0)+IF(LEN(Z43)&gt;0,1,0)+IF(LEN(AD43)&gt;0,1,0)+IF(LEN(AE43)&gt;0,1,0)+IF(LEN(AG43)&gt;0,1,0)+IF(LEN(AI43)&gt;0,1,0)+IF(LEN(BB43)&gt;0,1,0)+IF(LEN(BC43)&gt;0,1,0)+IF(LEN(AM43)&gt;0,1,0)+IF(LEN(AO43)&gt;0,1,0)+IF(LEN(AP43)&gt;0,1,0)+IF(LEN(AQ43)&gt;0,1,0)+IF(LEN(AR43)&gt;0,1,0)+IF(LEN(BA43)&gt;0,1,0)+IF(LEN(BM43)&gt;0,1,0)+IF(LEN(BZ43)&gt;0,1,0))/27,2))</f>
        <v/>
      </c>
      <c r="CF43" s="10" t="str">
        <f aca="false">IF(D43="","",IF(AND(AP43="Approved",ISERROR(SEARCH("FAIL",BJ43))),"Y","N"))</f>
        <v/>
      </c>
      <c r="CG43" s="10" t="str">
        <f aca="false">IF(D43="","",D43&amp;"|"&amp;E43&amp;"|"&amp;F43&amp;"|"&amp;G43&amp;"|"&amp;CF43)</f>
        <v/>
      </c>
    </row>
    <row r="44" customFormat="false" ht="15" hidden="false" customHeight="false" outlineLevel="0" collapsed="false">
      <c r="A44" s="10" t="str">
        <f aca="false">IF(D44="","","RW-"&amp;IFERROR(VLOOKUP(D44,Lists!$M$4:$N$22,2,0),"??")&amp;"-H"&amp;TEXT(E44*1000,"0000")&amp;"-S"&amp;F44&amp;IF(G44="Y","-GW","")&amp;"-"&amp;AO44)</f>
        <v/>
      </c>
      <c r="B44" s="10" t="str">
        <f aca="false">IF(D44="","",D44&amp;", H = "&amp;TEXT(E44,"0.0")&amp;" m, q = "&amp;F44&amp;" kPa"&amp;IF(G44="Y",", with GWT","")&amp;", "&amp;I44)</f>
        <v/>
      </c>
      <c r="C44" s="9"/>
      <c r="D44" s="9"/>
      <c r="E44" s="39"/>
      <c r="F44" s="38"/>
      <c r="G44" s="9"/>
      <c r="H44" s="38"/>
      <c r="I44" s="9"/>
      <c r="J44" s="38"/>
      <c r="K44" s="38"/>
      <c r="L44" s="38"/>
      <c r="M44" s="42"/>
      <c r="N44" s="9"/>
      <c r="O44" s="38"/>
      <c r="P44" s="38"/>
      <c r="Q44" s="38"/>
      <c r="R44" s="38"/>
      <c r="S44" s="38"/>
      <c r="T44" s="38"/>
      <c r="U44" s="9"/>
      <c r="V44" s="9"/>
      <c r="W44" s="38"/>
      <c r="X44" s="9"/>
      <c r="Y44" s="9"/>
      <c r="Z44" s="9"/>
      <c r="AA44" s="9"/>
      <c r="AB44" s="9"/>
      <c r="AC44" s="9"/>
      <c r="AD44" s="39"/>
      <c r="AE44" s="39"/>
      <c r="AF44" s="39"/>
      <c r="AG44" s="38"/>
      <c r="AH44" s="38"/>
      <c r="AI44" s="9"/>
      <c r="AJ44" s="38"/>
      <c r="AK44" s="9"/>
      <c r="AL44" s="39"/>
      <c r="AM44" s="9"/>
      <c r="AN44" s="9"/>
      <c r="AO44" s="9"/>
      <c r="AP44" s="9"/>
      <c r="AQ44" s="9"/>
      <c r="AR44" s="9"/>
      <c r="AS44" s="9"/>
      <c r="AT44" s="10" t="str">
        <f aca="false">IF(A44="","",SG_Criteria!$B$6&amp;SG_Criteria!$B$8&amp;"\"&amp;A44&amp;"\")</f>
        <v/>
      </c>
      <c r="AU44" s="10" t="str">
        <f aca="false">IF(A44="","",A44&amp;"_CAD.dwg")</f>
        <v/>
      </c>
      <c r="AV44" s="10" t="str">
        <f aca="false">IF(A44="","",A44&amp;"_DWG.pdf")</f>
        <v/>
      </c>
      <c r="AW44" s="10" t="str">
        <f aca="false">IF(A44="","",IF(AS44="Y",A44&amp;"_STAAD.std","n/a"))</f>
        <v/>
      </c>
      <c r="AX44" s="10" t="str">
        <f aca="false">IF(A44="","",A44&amp;"_CALC.xlsx")</f>
        <v/>
      </c>
      <c r="AY44" s="10" t="str">
        <f aca="false">IF(A44="","",A44&amp;"_CALC.pdf")</f>
        <v/>
      </c>
      <c r="AZ44" s="9"/>
      <c r="BA44" s="9"/>
      <c r="BB44" s="39"/>
      <c r="BC44" s="39"/>
      <c r="BD44" s="39"/>
      <c r="BE44" s="39"/>
      <c r="BF44" s="39"/>
      <c r="BG44" s="12" t="str">
        <f aca="false">IF(A44="","",IF(COUNTIF(Rebar_Schedule!$A$5:$A$2004,A44)=0,"",ROUND(SUMIF(Rebar_Schedule!$A$5:$A$2004,A44,Rebar_Schedule!$K$5:$K$2004),1)))</f>
        <v/>
      </c>
      <c r="BH44" s="33" t="str">
        <f aca="false">IF(A44="","",IF(BG44="","No rebar schedule yet",IF(ABS(BG44-N(BC44))/MAX(N(BC44),1)&gt;SG_Criteria!$B$55,"NOTE: register rebar differs from schedule by "&amp;TEXT(ABS(BG44-N(BC44))/MAX(N(BC44),1),"0%"),"OK")))</f>
        <v/>
      </c>
      <c r="BI44" s="33" t="str">
        <f aca="false">IF(OR(D44="",E44=""),"",IF(E44&lt;=IF(OR(D44="Block / Segmental",D44="Gabion",D44="Reinforced Earth (MSE)"),SG_Criteria!$B$34,SG_Criteria!$B$33),"No ERSS submission",IF(E44&lt;=SG_Criteria!$B$35,"QP(ST)",IF(E44&lt;=SG_Criteria!$B$36,"QP(ST) + AC","Geotechnical building works: QP(Geo) + AC"))))</f>
        <v/>
      </c>
      <c r="BJ44" s="33" t="str">
        <f aca="false">IF(D44="","",IF(LEN(IF(AND(V44&lt;&gt;"",IFERROR(VALUE(MID(V44,2,2)),0)&lt;SG_Criteria!$B$19),"FAIL: grade below C"&amp;SG_Criteria!$B$19&amp;". ","")&amp;IF(AND(W44&lt;&gt;"",W44&lt;SG_Criteria!$B$20),"FAIL: cover &lt; "&amp;SG_Criteria!$B$20&amp;" mm. ","")&amp;IF(AND(AD44&lt;&gt;"",AD44&lt;1),"FAIL: sliding. ","")&amp;IF(AND(D44="Reverse L-Wall (toe only, at boundary)",N(S44)&gt;0),"NOTE: reverse L-wall should have no heel. ","")&amp;IF(AND(D44="L-Wall (heel only)",N(R44)&gt;0),"NOTE: L-wall should have no toe. ","")&amp;IF(AND(F44&lt;&gt;"",F44&lt;SG_Criteria!$B$31),"NOTE: q below LTA min "&amp;SG_Criteria!$B$31&amp;" kPa (not for LTA works). ",""))=0,"OK",IF(AND(V44&lt;&gt;"",IFERROR(VALUE(MID(V44,2,2)),0)&lt;SG_Criteria!$B$19),"FAIL: grade below C"&amp;SG_Criteria!$B$19&amp;". ","")&amp;IF(AND(W44&lt;&gt;"",W44&lt;SG_Criteria!$B$20),"FAIL: cover &lt; "&amp;SG_Criteria!$B$20&amp;" mm. ","")&amp;IF(AND(AD44&lt;&gt;"",AD44&lt;1),"FAIL: sliding. ","")&amp;IF(AND(D44="Reverse L-Wall (toe only, at boundary)",N(S44)&gt;0),"NOTE: reverse L-wall should have no heel. ","")&amp;IF(AND(D44="L-Wall (heel only)",N(R44)&gt;0),"NOTE: L-wall should have no toe. ","")&amp;IF(AND(F44&lt;&gt;"",F44&lt;SG_Criteria!$B$31),"NOTE: q below LTA min "&amp;SG_Criteria!$B$31&amp;" kPa (not for LTA works). ","")))</f>
        <v/>
      </c>
      <c r="BK44" s="9"/>
      <c r="BL44" s="9"/>
      <c r="BM44" s="9"/>
      <c r="BN44" s="10" t="str">
        <f aca="false">IF(BM44="","",IFERROR(VLOOKUP(BM44,Projects!$A$5:$D$504,2,0),"Ref not in Projects"))</f>
        <v/>
      </c>
      <c r="BO44" s="10" t="str">
        <f aca="false">IF(BM44="","",IFERROR(VLOOKUP(BM44,Projects!$A$5:$D$504,4,0),"Ref not in Projects"))</f>
        <v/>
      </c>
      <c r="BP44" s="9"/>
      <c r="BQ44" s="9"/>
      <c r="BR44" s="9"/>
      <c r="BS44" s="40"/>
      <c r="BT44" s="9"/>
      <c r="BU44" s="40"/>
      <c r="BV44" s="9"/>
      <c r="BW44" s="40"/>
      <c r="BX44" s="9"/>
      <c r="BY44" s="9"/>
      <c r="BZ44" s="9"/>
      <c r="CA44" s="40"/>
      <c r="CB44" s="40"/>
      <c r="CC44" s="36" t="str">
        <f aca="false">IF(CB44="","",EDATE(CB44,SG_Criteria!$B$54*12))</f>
        <v/>
      </c>
      <c r="CD44" s="33" t="str">
        <f aca="true">IF(A44="","",IF(CB44="","NOTE: not reviewed yet",IF(TODAY()&gt;CC44,"NOTE: review overdue","OK")))</f>
        <v/>
      </c>
      <c r="CE44" s="37" t="str">
        <f aca="false">IF(A44="","",ROUND((IF(LEN(D44)&gt;0,1,0)+IF(LEN(E44)&gt;0,1,0)+IF(LEN(F44)&gt;0,1,0)+IF(LEN(G44)&gt;0,1,0)+IF(LEN(I44)&gt;0,1,0)+IF(LEN(K44)&gt;0,1,0)+IF(LEN(P44)&gt;0,1,0)+IF(LEN(Q44)&gt;0,1,0)+IF(LEN(T44)&gt;0,1,0)+IF(LEN(V44)&gt;0,1,0)+IF(LEN(W44)&gt;0,1,0)+IF(LEN(X44)&gt;0,1,0)+IF(LEN(Z44)&gt;0,1,0)+IF(LEN(AD44)&gt;0,1,0)+IF(LEN(AE44)&gt;0,1,0)+IF(LEN(AG44)&gt;0,1,0)+IF(LEN(AI44)&gt;0,1,0)+IF(LEN(BB44)&gt;0,1,0)+IF(LEN(BC44)&gt;0,1,0)+IF(LEN(AM44)&gt;0,1,0)+IF(LEN(AO44)&gt;0,1,0)+IF(LEN(AP44)&gt;0,1,0)+IF(LEN(AQ44)&gt;0,1,0)+IF(LEN(AR44)&gt;0,1,0)+IF(LEN(BA44)&gt;0,1,0)+IF(LEN(BM44)&gt;0,1,0)+IF(LEN(BZ44)&gt;0,1,0))/27,2))</f>
        <v/>
      </c>
      <c r="CF44" s="10" t="str">
        <f aca="false">IF(D44="","",IF(AND(AP44="Approved",ISERROR(SEARCH("FAIL",BJ44))),"Y","N"))</f>
        <v/>
      </c>
      <c r="CG44" s="10" t="str">
        <f aca="false">IF(D44="","",D44&amp;"|"&amp;E44&amp;"|"&amp;F44&amp;"|"&amp;G44&amp;"|"&amp;CF44)</f>
        <v/>
      </c>
    </row>
    <row r="45" customFormat="false" ht="15" hidden="false" customHeight="false" outlineLevel="0" collapsed="false">
      <c r="A45" s="10" t="str">
        <f aca="false">IF(D45="","","RW-"&amp;IFERROR(VLOOKUP(D45,Lists!$M$4:$N$22,2,0),"??")&amp;"-H"&amp;TEXT(E45*1000,"0000")&amp;"-S"&amp;F45&amp;IF(G45="Y","-GW","")&amp;"-"&amp;AO45)</f>
        <v/>
      </c>
      <c r="B45" s="10" t="str">
        <f aca="false">IF(D45="","",D45&amp;", H = "&amp;TEXT(E45,"0.0")&amp;" m, q = "&amp;F45&amp;" kPa"&amp;IF(G45="Y",", with GWT","")&amp;", "&amp;I45)</f>
        <v/>
      </c>
      <c r="C45" s="9"/>
      <c r="D45" s="9"/>
      <c r="E45" s="39"/>
      <c r="F45" s="38"/>
      <c r="G45" s="9"/>
      <c r="H45" s="38"/>
      <c r="I45" s="9"/>
      <c r="J45" s="38"/>
      <c r="K45" s="38"/>
      <c r="L45" s="38"/>
      <c r="M45" s="42"/>
      <c r="N45" s="9"/>
      <c r="O45" s="38"/>
      <c r="P45" s="38"/>
      <c r="Q45" s="38"/>
      <c r="R45" s="38"/>
      <c r="S45" s="38"/>
      <c r="T45" s="38"/>
      <c r="U45" s="9"/>
      <c r="V45" s="9"/>
      <c r="W45" s="38"/>
      <c r="X45" s="9"/>
      <c r="Y45" s="9"/>
      <c r="Z45" s="9"/>
      <c r="AA45" s="9"/>
      <c r="AB45" s="9"/>
      <c r="AC45" s="9"/>
      <c r="AD45" s="39"/>
      <c r="AE45" s="39"/>
      <c r="AF45" s="39"/>
      <c r="AG45" s="38"/>
      <c r="AH45" s="38"/>
      <c r="AI45" s="9"/>
      <c r="AJ45" s="38"/>
      <c r="AK45" s="9"/>
      <c r="AL45" s="39"/>
      <c r="AM45" s="9"/>
      <c r="AN45" s="9"/>
      <c r="AO45" s="9"/>
      <c r="AP45" s="9"/>
      <c r="AQ45" s="9"/>
      <c r="AR45" s="9"/>
      <c r="AS45" s="9"/>
      <c r="AT45" s="10" t="str">
        <f aca="false">IF(A45="","",SG_Criteria!$B$6&amp;SG_Criteria!$B$8&amp;"\"&amp;A45&amp;"\")</f>
        <v/>
      </c>
      <c r="AU45" s="10" t="str">
        <f aca="false">IF(A45="","",A45&amp;"_CAD.dwg")</f>
        <v/>
      </c>
      <c r="AV45" s="10" t="str">
        <f aca="false">IF(A45="","",A45&amp;"_DWG.pdf")</f>
        <v/>
      </c>
      <c r="AW45" s="10" t="str">
        <f aca="false">IF(A45="","",IF(AS45="Y",A45&amp;"_STAAD.std","n/a"))</f>
        <v/>
      </c>
      <c r="AX45" s="10" t="str">
        <f aca="false">IF(A45="","",A45&amp;"_CALC.xlsx")</f>
        <v/>
      </c>
      <c r="AY45" s="10" t="str">
        <f aca="false">IF(A45="","",A45&amp;"_CALC.pdf")</f>
        <v/>
      </c>
      <c r="AZ45" s="9"/>
      <c r="BA45" s="9"/>
      <c r="BB45" s="39"/>
      <c r="BC45" s="39"/>
      <c r="BD45" s="39"/>
      <c r="BE45" s="39"/>
      <c r="BF45" s="39"/>
      <c r="BG45" s="12" t="str">
        <f aca="false">IF(A45="","",IF(COUNTIF(Rebar_Schedule!$A$5:$A$2004,A45)=0,"",ROUND(SUMIF(Rebar_Schedule!$A$5:$A$2004,A45,Rebar_Schedule!$K$5:$K$2004),1)))</f>
        <v/>
      </c>
      <c r="BH45" s="33" t="str">
        <f aca="false">IF(A45="","",IF(BG45="","No rebar schedule yet",IF(ABS(BG45-N(BC45))/MAX(N(BC45),1)&gt;SG_Criteria!$B$55,"NOTE: register rebar differs from schedule by "&amp;TEXT(ABS(BG45-N(BC45))/MAX(N(BC45),1),"0%"),"OK")))</f>
        <v/>
      </c>
      <c r="BI45" s="33" t="str">
        <f aca="false">IF(OR(D45="",E45=""),"",IF(E45&lt;=IF(OR(D45="Block / Segmental",D45="Gabion",D45="Reinforced Earth (MSE)"),SG_Criteria!$B$34,SG_Criteria!$B$33),"No ERSS submission",IF(E45&lt;=SG_Criteria!$B$35,"QP(ST)",IF(E45&lt;=SG_Criteria!$B$36,"QP(ST) + AC","Geotechnical building works: QP(Geo) + AC"))))</f>
        <v/>
      </c>
      <c r="BJ45" s="33" t="str">
        <f aca="false">IF(D45="","",IF(LEN(IF(AND(V45&lt;&gt;"",IFERROR(VALUE(MID(V45,2,2)),0)&lt;SG_Criteria!$B$19),"FAIL: grade below C"&amp;SG_Criteria!$B$19&amp;". ","")&amp;IF(AND(W45&lt;&gt;"",W45&lt;SG_Criteria!$B$20),"FAIL: cover &lt; "&amp;SG_Criteria!$B$20&amp;" mm. ","")&amp;IF(AND(AD45&lt;&gt;"",AD45&lt;1),"FAIL: sliding. ","")&amp;IF(AND(D45="Reverse L-Wall (toe only, at boundary)",N(S45)&gt;0),"NOTE: reverse L-wall should have no heel. ","")&amp;IF(AND(D45="L-Wall (heel only)",N(R45)&gt;0),"NOTE: L-wall should have no toe. ","")&amp;IF(AND(F45&lt;&gt;"",F45&lt;SG_Criteria!$B$31),"NOTE: q below LTA min "&amp;SG_Criteria!$B$31&amp;" kPa (not for LTA works). ",""))=0,"OK",IF(AND(V45&lt;&gt;"",IFERROR(VALUE(MID(V45,2,2)),0)&lt;SG_Criteria!$B$19),"FAIL: grade below C"&amp;SG_Criteria!$B$19&amp;". ","")&amp;IF(AND(W45&lt;&gt;"",W45&lt;SG_Criteria!$B$20),"FAIL: cover &lt; "&amp;SG_Criteria!$B$20&amp;" mm. ","")&amp;IF(AND(AD45&lt;&gt;"",AD45&lt;1),"FAIL: sliding. ","")&amp;IF(AND(D45="Reverse L-Wall (toe only, at boundary)",N(S45)&gt;0),"NOTE: reverse L-wall should have no heel. ","")&amp;IF(AND(D45="L-Wall (heel only)",N(R45)&gt;0),"NOTE: L-wall should have no toe. ","")&amp;IF(AND(F45&lt;&gt;"",F45&lt;SG_Criteria!$B$31),"NOTE: q below LTA min "&amp;SG_Criteria!$B$31&amp;" kPa (not for LTA works). ","")))</f>
        <v/>
      </c>
      <c r="BK45" s="9"/>
      <c r="BL45" s="9"/>
      <c r="BM45" s="9"/>
      <c r="BN45" s="10" t="str">
        <f aca="false">IF(BM45="","",IFERROR(VLOOKUP(BM45,Projects!$A$5:$D$504,2,0),"Ref not in Projects"))</f>
        <v/>
      </c>
      <c r="BO45" s="10" t="str">
        <f aca="false">IF(BM45="","",IFERROR(VLOOKUP(BM45,Projects!$A$5:$D$504,4,0),"Ref not in Projects"))</f>
        <v/>
      </c>
      <c r="BP45" s="9"/>
      <c r="BQ45" s="9"/>
      <c r="BR45" s="9"/>
      <c r="BS45" s="40"/>
      <c r="BT45" s="9"/>
      <c r="BU45" s="40"/>
      <c r="BV45" s="9"/>
      <c r="BW45" s="40"/>
      <c r="BX45" s="9"/>
      <c r="BY45" s="9"/>
      <c r="BZ45" s="9"/>
      <c r="CA45" s="40"/>
      <c r="CB45" s="40"/>
      <c r="CC45" s="36" t="str">
        <f aca="false">IF(CB45="","",EDATE(CB45,SG_Criteria!$B$54*12))</f>
        <v/>
      </c>
      <c r="CD45" s="33" t="str">
        <f aca="true">IF(A45="","",IF(CB45="","NOTE: not reviewed yet",IF(TODAY()&gt;CC45,"NOTE: review overdue","OK")))</f>
        <v/>
      </c>
      <c r="CE45" s="37" t="str">
        <f aca="false">IF(A45="","",ROUND((IF(LEN(D45)&gt;0,1,0)+IF(LEN(E45)&gt;0,1,0)+IF(LEN(F45)&gt;0,1,0)+IF(LEN(G45)&gt;0,1,0)+IF(LEN(I45)&gt;0,1,0)+IF(LEN(K45)&gt;0,1,0)+IF(LEN(P45)&gt;0,1,0)+IF(LEN(Q45)&gt;0,1,0)+IF(LEN(T45)&gt;0,1,0)+IF(LEN(V45)&gt;0,1,0)+IF(LEN(W45)&gt;0,1,0)+IF(LEN(X45)&gt;0,1,0)+IF(LEN(Z45)&gt;0,1,0)+IF(LEN(AD45)&gt;0,1,0)+IF(LEN(AE45)&gt;0,1,0)+IF(LEN(AG45)&gt;0,1,0)+IF(LEN(AI45)&gt;0,1,0)+IF(LEN(BB45)&gt;0,1,0)+IF(LEN(BC45)&gt;0,1,0)+IF(LEN(AM45)&gt;0,1,0)+IF(LEN(AO45)&gt;0,1,0)+IF(LEN(AP45)&gt;0,1,0)+IF(LEN(AQ45)&gt;0,1,0)+IF(LEN(AR45)&gt;0,1,0)+IF(LEN(BA45)&gt;0,1,0)+IF(LEN(BM45)&gt;0,1,0)+IF(LEN(BZ45)&gt;0,1,0))/27,2))</f>
        <v/>
      </c>
      <c r="CF45" s="10" t="str">
        <f aca="false">IF(D45="","",IF(AND(AP45="Approved",ISERROR(SEARCH("FAIL",BJ45))),"Y","N"))</f>
        <v/>
      </c>
      <c r="CG45" s="10" t="str">
        <f aca="false">IF(D45="","",D45&amp;"|"&amp;E45&amp;"|"&amp;F45&amp;"|"&amp;G45&amp;"|"&amp;CF45)</f>
        <v/>
      </c>
    </row>
    <row r="46" customFormat="false" ht="15" hidden="false" customHeight="false" outlineLevel="0" collapsed="false">
      <c r="A46" s="10" t="str">
        <f aca="false">IF(D46="","","RW-"&amp;IFERROR(VLOOKUP(D46,Lists!$M$4:$N$22,2,0),"??")&amp;"-H"&amp;TEXT(E46*1000,"0000")&amp;"-S"&amp;F46&amp;IF(G46="Y","-GW","")&amp;"-"&amp;AO46)</f>
        <v/>
      </c>
      <c r="B46" s="10" t="str">
        <f aca="false">IF(D46="","",D46&amp;", H = "&amp;TEXT(E46,"0.0")&amp;" m, q = "&amp;F46&amp;" kPa"&amp;IF(G46="Y",", with GWT","")&amp;", "&amp;I46)</f>
        <v/>
      </c>
      <c r="C46" s="9"/>
      <c r="D46" s="9"/>
      <c r="E46" s="39"/>
      <c r="F46" s="38"/>
      <c r="G46" s="9"/>
      <c r="H46" s="38"/>
      <c r="I46" s="9"/>
      <c r="J46" s="38"/>
      <c r="K46" s="38"/>
      <c r="L46" s="38"/>
      <c r="M46" s="42"/>
      <c r="N46" s="9"/>
      <c r="O46" s="38"/>
      <c r="P46" s="38"/>
      <c r="Q46" s="38"/>
      <c r="R46" s="38"/>
      <c r="S46" s="38"/>
      <c r="T46" s="38"/>
      <c r="U46" s="9"/>
      <c r="V46" s="9"/>
      <c r="W46" s="38"/>
      <c r="X46" s="9"/>
      <c r="Y46" s="9"/>
      <c r="Z46" s="9"/>
      <c r="AA46" s="9"/>
      <c r="AB46" s="9"/>
      <c r="AC46" s="9"/>
      <c r="AD46" s="39"/>
      <c r="AE46" s="39"/>
      <c r="AF46" s="39"/>
      <c r="AG46" s="38"/>
      <c r="AH46" s="38"/>
      <c r="AI46" s="9"/>
      <c r="AJ46" s="38"/>
      <c r="AK46" s="9"/>
      <c r="AL46" s="39"/>
      <c r="AM46" s="9"/>
      <c r="AN46" s="9"/>
      <c r="AO46" s="9"/>
      <c r="AP46" s="9"/>
      <c r="AQ46" s="9"/>
      <c r="AR46" s="9"/>
      <c r="AS46" s="9"/>
      <c r="AT46" s="10" t="str">
        <f aca="false">IF(A46="","",SG_Criteria!$B$6&amp;SG_Criteria!$B$8&amp;"\"&amp;A46&amp;"\")</f>
        <v/>
      </c>
      <c r="AU46" s="10" t="str">
        <f aca="false">IF(A46="","",A46&amp;"_CAD.dwg")</f>
        <v/>
      </c>
      <c r="AV46" s="10" t="str">
        <f aca="false">IF(A46="","",A46&amp;"_DWG.pdf")</f>
        <v/>
      </c>
      <c r="AW46" s="10" t="str">
        <f aca="false">IF(A46="","",IF(AS46="Y",A46&amp;"_STAAD.std","n/a"))</f>
        <v/>
      </c>
      <c r="AX46" s="10" t="str">
        <f aca="false">IF(A46="","",A46&amp;"_CALC.xlsx")</f>
        <v/>
      </c>
      <c r="AY46" s="10" t="str">
        <f aca="false">IF(A46="","",A46&amp;"_CALC.pdf")</f>
        <v/>
      </c>
      <c r="AZ46" s="9"/>
      <c r="BA46" s="9"/>
      <c r="BB46" s="39"/>
      <c r="BC46" s="39"/>
      <c r="BD46" s="39"/>
      <c r="BE46" s="39"/>
      <c r="BF46" s="39"/>
      <c r="BG46" s="12" t="str">
        <f aca="false">IF(A46="","",IF(COUNTIF(Rebar_Schedule!$A$5:$A$2004,A46)=0,"",ROUND(SUMIF(Rebar_Schedule!$A$5:$A$2004,A46,Rebar_Schedule!$K$5:$K$2004),1)))</f>
        <v/>
      </c>
      <c r="BH46" s="33" t="str">
        <f aca="false">IF(A46="","",IF(BG46="","No rebar schedule yet",IF(ABS(BG46-N(BC46))/MAX(N(BC46),1)&gt;SG_Criteria!$B$55,"NOTE: register rebar differs from schedule by "&amp;TEXT(ABS(BG46-N(BC46))/MAX(N(BC46),1),"0%"),"OK")))</f>
        <v/>
      </c>
      <c r="BI46" s="33" t="str">
        <f aca="false">IF(OR(D46="",E46=""),"",IF(E46&lt;=IF(OR(D46="Block / Segmental",D46="Gabion",D46="Reinforced Earth (MSE)"),SG_Criteria!$B$34,SG_Criteria!$B$33),"No ERSS submission",IF(E46&lt;=SG_Criteria!$B$35,"QP(ST)",IF(E46&lt;=SG_Criteria!$B$36,"QP(ST) + AC","Geotechnical building works: QP(Geo) + AC"))))</f>
        <v/>
      </c>
      <c r="BJ46" s="33" t="str">
        <f aca="false">IF(D46="","",IF(LEN(IF(AND(V46&lt;&gt;"",IFERROR(VALUE(MID(V46,2,2)),0)&lt;SG_Criteria!$B$19),"FAIL: grade below C"&amp;SG_Criteria!$B$19&amp;". ","")&amp;IF(AND(W46&lt;&gt;"",W46&lt;SG_Criteria!$B$20),"FAIL: cover &lt; "&amp;SG_Criteria!$B$20&amp;" mm. ","")&amp;IF(AND(AD46&lt;&gt;"",AD46&lt;1),"FAIL: sliding. ","")&amp;IF(AND(D46="Reverse L-Wall (toe only, at boundary)",N(S46)&gt;0),"NOTE: reverse L-wall should have no heel. ","")&amp;IF(AND(D46="L-Wall (heel only)",N(R46)&gt;0),"NOTE: L-wall should have no toe. ","")&amp;IF(AND(F46&lt;&gt;"",F46&lt;SG_Criteria!$B$31),"NOTE: q below LTA min "&amp;SG_Criteria!$B$31&amp;" kPa (not for LTA works). ",""))=0,"OK",IF(AND(V46&lt;&gt;"",IFERROR(VALUE(MID(V46,2,2)),0)&lt;SG_Criteria!$B$19),"FAIL: grade below C"&amp;SG_Criteria!$B$19&amp;". ","")&amp;IF(AND(W46&lt;&gt;"",W46&lt;SG_Criteria!$B$20),"FAIL: cover &lt; "&amp;SG_Criteria!$B$20&amp;" mm. ","")&amp;IF(AND(AD46&lt;&gt;"",AD46&lt;1),"FAIL: sliding. ","")&amp;IF(AND(D46="Reverse L-Wall (toe only, at boundary)",N(S46)&gt;0),"NOTE: reverse L-wall should have no heel. ","")&amp;IF(AND(D46="L-Wall (heel only)",N(R46)&gt;0),"NOTE: L-wall should have no toe. ","")&amp;IF(AND(F46&lt;&gt;"",F46&lt;SG_Criteria!$B$31),"NOTE: q below LTA min "&amp;SG_Criteria!$B$31&amp;" kPa (not for LTA works). ","")))</f>
        <v/>
      </c>
      <c r="BK46" s="9"/>
      <c r="BL46" s="9"/>
      <c r="BM46" s="9"/>
      <c r="BN46" s="10" t="str">
        <f aca="false">IF(BM46="","",IFERROR(VLOOKUP(BM46,Projects!$A$5:$D$504,2,0),"Ref not in Projects"))</f>
        <v/>
      </c>
      <c r="BO46" s="10" t="str">
        <f aca="false">IF(BM46="","",IFERROR(VLOOKUP(BM46,Projects!$A$5:$D$504,4,0),"Ref not in Projects"))</f>
        <v/>
      </c>
      <c r="BP46" s="9"/>
      <c r="BQ46" s="9"/>
      <c r="BR46" s="9"/>
      <c r="BS46" s="40"/>
      <c r="BT46" s="9"/>
      <c r="BU46" s="40"/>
      <c r="BV46" s="9"/>
      <c r="BW46" s="40"/>
      <c r="BX46" s="9"/>
      <c r="BY46" s="9"/>
      <c r="BZ46" s="9"/>
      <c r="CA46" s="40"/>
      <c r="CB46" s="40"/>
      <c r="CC46" s="36" t="str">
        <f aca="false">IF(CB46="","",EDATE(CB46,SG_Criteria!$B$54*12))</f>
        <v/>
      </c>
      <c r="CD46" s="33" t="str">
        <f aca="true">IF(A46="","",IF(CB46="","NOTE: not reviewed yet",IF(TODAY()&gt;CC46,"NOTE: review overdue","OK")))</f>
        <v/>
      </c>
      <c r="CE46" s="37" t="str">
        <f aca="false">IF(A46="","",ROUND((IF(LEN(D46)&gt;0,1,0)+IF(LEN(E46)&gt;0,1,0)+IF(LEN(F46)&gt;0,1,0)+IF(LEN(G46)&gt;0,1,0)+IF(LEN(I46)&gt;0,1,0)+IF(LEN(K46)&gt;0,1,0)+IF(LEN(P46)&gt;0,1,0)+IF(LEN(Q46)&gt;0,1,0)+IF(LEN(T46)&gt;0,1,0)+IF(LEN(V46)&gt;0,1,0)+IF(LEN(W46)&gt;0,1,0)+IF(LEN(X46)&gt;0,1,0)+IF(LEN(Z46)&gt;0,1,0)+IF(LEN(AD46)&gt;0,1,0)+IF(LEN(AE46)&gt;0,1,0)+IF(LEN(AG46)&gt;0,1,0)+IF(LEN(AI46)&gt;0,1,0)+IF(LEN(BB46)&gt;0,1,0)+IF(LEN(BC46)&gt;0,1,0)+IF(LEN(AM46)&gt;0,1,0)+IF(LEN(AO46)&gt;0,1,0)+IF(LEN(AP46)&gt;0,1,0)+IF(LEN(AQ46)&gt;0,1,0)+IF(LEN(AR46)&gt;0,1,0)+IF(LEN(BA46)&gt;0,1,0)+IF(LEN(BM46)&gt;0,1,0)+IF(LEN(BZ46)&gt;0,1,0))/27,2))</f>
        <v/>
      </c>
      <c r="CF46" s="10" t="str">
        <f aca="false">IF(D46="","",IF(AND(AP46="Approved",ISERROR(SEARCH("FAIL",BJ46))),"Y","N"))</f>
        <v/>
      </c>
      <c r="CG46" s="10" t="str">
        <f aca="false">IF(D46="","",D46&amp;"|"&amp;E46&amp;"|"&amp;F46&amp;"|"&amp;G46&amp;"|"&amp;CF46)</f>
        <v/>
      </c>
    </row>
    <row r="47" customFormat="false" ht="15" hidden="false" customHeight="false" outlineLevel="0" collapsed="false">
      <c r="A47" s="10" t="str">
        <f aca="false">IF(D47="","","RW-"&amp;IFERROR(VLOOKUP(D47,Lists!$M$4:$N$22,2,0),"??")&amp;"-H"&amp;TEXT(E47*1000,"0000")&amp;"-S"&amp;F47&amp;IF(G47="Y","-GW","")&amp;"-"&amp;AO47)</f>
        <v/>
      </c>
      <c r="B47" s="10" t="str">
        <f aca="false">IF(D47="","",D47&amp;", H = "&amp;TEXT(E47,"0.0")&amp;" m, q = "&amp;F47&amp;" kPa"&amp;IF(G47="Y",", with GWT","")&amp;", "&amp;I47)</f>
        <v/>
      </c>
      <c r="C47" s="9"/>
      <c r="D47" s="9"/>
      <c r="E47" s="39"/>
      <c r="F47" s="38"/>
      <c r="G47" s="9"/>
      <c r="H47" s="38"/>
      <c r="I47" s="9"/>
      <c r="J47" s="38"/>
      <c r="K47" s="38"/>
      <c r="L47" s="38"/>
      <c r="M47" s="42"/>
      <c r="N47" s="9"/>
      <c r="O47" s="38"/>
      <c r="P47" s="38"/>
      <c r="Q47" s="38"/>
      <c r="R47" s="38"/>
      <c r="S47" s="38"/>
      <c r="T47" s="38"/>
      <c r="U47" s="9"/>
      <c r="V47" s="9"/>
      <c r="W47" s="38"/>
      <c r="X47" s="9"/>
      <c r="Y47" s="9"/>
      <c r="Z47" s="9"/>
      <c r="AA47" s="9"/>
      <c r="AB47" s="9"/>
      <c r="AC47" s="9"/>
      <c r="AD47" s="39"/>
      <c r="AE47" s="39"/>
      <c r="AF47" s="39"/>
      <c r="AG47" s="38"/>
      <c r="AH47" s="38"/>
      <c r="AI47" s="9"/>
      <c r="AJ47" s="38"/>
      <c r="AK47" s="9"/>
      <c r="AL47" s="39"/>
      <c r="AM47" s="9"/>
      <c r="AN47" s="9"/>
      <c r="AO47" s="9"/>
      <c r="AP47" s="9"/>
      <c r="AQ47" s="9"/>
      <c r="AR47" s="9"/>
      <c r="AS47" s="9"/>
      <c r="AT47" s="10" t="str">
        <f aca="false">IF(A47="","",SG_Criteria!$B$6&amp;SG_Criteria!$B$8&amp;"\"&amp;A47&amp;"\")</f>
        <v/>
      </c>
      <c r="AU47" s="10" t="str">
        <f aca="false">IF(A47="","",A47&amp;"_CAD.dwg")</f>
        <v/>
      </c>
      <c r="AV47" s="10" t="str">
        <f aca="false">IF(A47="","",A47&amp;"_DWG.pdf")</f>
        <v/>
      </c>
      <c r="AW47" s="10" t="str">
        <f aca="false">IF(A47="","",IF(AS47="Y",A47&amp;"_STAAD.std","n/a"))</f>
        <v/>
      </c>
      <c r="AX47" s="10" t="str">
        <f aca="false">IF(A47="","",A47&amp;"_CALC.xlsx")</f>
        <v/>
      </c>
      <c r="AY47" s="10" t="str">
        <f aca="false">IF(A47="","",A47&amp;"_CALC.pdf")</f>
        <v/>
      </c>
      <c r="AZ47" s="9"/>
      <c r="BA47" s="9"/>
      <c r="BB47" s="39"/>
      <c r="BC47" s="39"/>
      <c r="BD47" s="39"/>
      <c r="BE47" s="39"/>
      <c r="BF47" s="39"/>
      <c r="BG47" s="12" t="str">
        <f aca="false">IF(A47="","",IF(COUNTIF(Rebar_Schedule!$A$5:$A$2004,A47)=0,"",ROUND(SUMIF(Rebar_Schedule!$A$5:$A$2004,A47,Rebar_Schedule!$K$5:$K$2004),1)))</f>
        <v/>
      </c>
      <c r="BH47" s="33" t="str">
        <f aca="false">IF(A47="","",IF(BG47="","No rebar schedule yet",IF(ABS(BG47-N(BC47))/MAX(N(BC47),1)&gt;SG_Criteria!$B$55,"NOTE: register rebar differs from schedule by "&amp;TEXT(ABS(BG47-N(BC47))/MAX(N(BC47),1),"0%"),"OK")))</f>
        <v/>
      </c>
      <c r="BI47" s="33" t="str">
        <f aca="false">IF(OR(D47="",E47=""),"",IF(E47&lt;=IF(OR(D47="Block / Segmental",D47="Gabion",D47="Reinforced Earth (MSE)"),SG_Criteria!$B$34,SG_Criteria!$B$33),"No ERSS submission",IF(E47&lt;=SG_Criteria!$B$35,"QP(ST)",IF(E47&lt;=SG_Criteria!$B$36,"QP(ST) + AC","Geotechnical building works: QP(Geo) + AC"))))</f>
        <v/>
      </c>
      <c r="BJ47" s="33" t="str">
        <f aca="false">IF(D47="","",IF(LEN(IF(AND(V47&lt;&gt;"",IFERROR(VALUE(MID(V47,2,2)),0)&lt;SG_Criteria!$B$19),"FAIL: grade below C"&amp;SG_Criteria!$B$19&amp;". ","")&amp;IF(AND(W47&lt;&gt;"",W47&lt;SG_Criteria!$B$20),"FAIL: cover &lt; "&amp;SG_Criteria!$B$20&amp;" mm. ","")&amp;IF(AND(AD47&lt;&gt;"",AD47&lt;1),"FAIL: sliding. ","")&amp;IF(AND(D47="Reverse L-Wall (toe only, at boundary)",N(S47)&gt;0),"NOTE: reverse L-wall should have no heel. ","")&amp;IF(AND(D47="L-Wall (heel only)",N(R47)&gt;0),"NOTE: L-wall should have no toe. ","")&amp;IF(AND(F47&lt;&gt;"",F47&lt;SG_Criteria!$B$31),"NOTE: q below LTA min "&amp;SG_Criteria!$B$31&amp;" kPa (not for LTA works). ",""))=0,"OK",IF(AND(V47&lt;&gt;"",IFERROR(VALUE(MID(V47,2,2)),0)&lt;SG_Criteria!$B$19),"FAIL: grade below C"&amp;SG_Criteria!$B$19&amp;". ","")&amp;IF(AND(W47&lt;&gt;"",W47&lt;SG_Criteria!$B$20),"FAIL: cover &lt; "&amp;SG_Criteria!$B$20&amp;" mm. ","")&amp;IF(AND(AD47&lt;&gt;"",AD47&lt;1),"FAIL: sliding. ","")&amp;IF(AND(D47="Reverse L-Wall (toe only, at boundary)",N(S47)&gt;0),"NOTE: reverse L-wall should have no heel. ","")&amp;IF(AND(D47="L-Wall (heel only)",N(R47)&gt;0),"NOTE: L-wall should have no toe. ","")&amp;IF(AND(F47&lt;&gt;"",F47&lt;SG_Criteria!$B$31),"NOTE: q below LTA min "&amp;SG_Criteria!$B$31&amp;" kPa (not for LTA works). ","")))</f>
        <v/>
      </c>
      <c r="BK47" s="9"/>
      <c r="BL47" s="9"/>
      <c r="BM47" s="9"/>
      <c r="BN47" s="10" t="str">
        <f aca="false">IF(BM47="","",IFERROR(VLOOKUP(BM47,Projects!$A$5:$D$504,2,0),"Ref not in Projects"))</f>
        <v/>
      </c>
      <c r="BO47" s="10" t="str">
        <f aca="false">IF(BM47="","",IFERROR(VLOOKUP(BM47,Projects!$A$5:$D$504,4,0),"Ref not in Projects"))</f>
        <v/>
      </c>
      <c r="BP47" s="9"/>
      <c r="BQ47" s="9"/>
      <c r="BR47" s="9"/>
      <c r="BS47" s="40"/>
      <c r="BT47" s="9"/>
      <c r="BU47" s="40"/>
      <c r="BV47" s="9"/>
      <c r="BW47" s="40"/>
      <c r="BX47" s="9"/>
      <c r="BY47" s="9"/>
      <c r="BZ47" s="9"/>
      <c r="CA47" s="40"/>
      <c r="CB47" s="40"/>
      <c r="CC47" s="36" t="str">
        <f aca="false">IF(CB47="","",EDATE(CB47,SG_Criteria!$B$54*12))</f>
        <v/>
      </c>
      <c r="CD47" s="33" t="str">
        <f aca="true">IF(A47="","",IF(CB47="","NOTE: not reviewed yet",IF(TODAY()&gt;CC47,"NOTE: review overdue","OK")))</f>
        <v/>
      </c>
      <c r="CE47" s="37" t="str">
        <f aca="false">IF(A47="","",ROUND((IF(LEN(D47)&gt;0,1,0)+IF(LEN(E47)&gt;0,1,0)+IF(LEN(F47)&gt;0,1,0)+IF(LEN(G47)&gt;0,1,0)+IF(LEN(I47)&gt;0,1,0)+IF(LEN(K47)&gt;0,1,0)+IF(LEN(P47)&gt;0,1,0)+IF(LEN(Q47)&gt;0,1,0)+IF(LEN(T47)&gt;0,1,0)+IF(LEN(V47)&gt;0,1,0)+IF(LEN(W47)&gt;0,1,0)+IF(LEN(X47)&gt;0,1,0)+IF(LEN(Z47)&gt;0,1,0)+IF(LEN(AD47)&gt;0,1,0)+IF(LEN(AE47)&gt;0,1,0)+IF(LEN(AG47)&gt;0,1,0)+IF(LEN(AI47)&gt;0,1,0)+IF(LEN(BB47)&gt;0,1,0)+IF(LEN(BC47)&gt;0,1,0)+IF(LEN(AM47)&gt;0,1,0)+IF(LEN(AO47)&gt;0,1,0)+IF(LEN(AP47)&gt;0,1,0)+IF(LEN(AQ47)&gt;0,1,0)+IF(LEN(AR47)&gt;0,1,0)+IF(LEN(BA47)&gt;0,1,0)+IF(LEN(BM47)&gt;0,1,0)+IF(LEN(BZ47)&gt;0,1,0))/27,2))</f>
        <v/>
      </c>
      <c r="CF47" s="10" t="str">
        <f aca="false">IF(D47="","",IF(AND(AP47="Approved",ISERROR(SEARCH("FAIL",BJ47))),"Y","N"))</f>
        <v/>
      </c>
      <c r="CG47" s="10" t="str">
        <f aca="false">IF(D47="","",D47&amp;"|"&amp;E47&amp;"|"&amp;F47&amp;"|"&amp;G47&amp;"|"&amp;CF47)</f>
        <v/>
      </c>
    </row>
    <row r="48" customFormat="false" ht="15" hidden="false" customHeight="false" outlineLevel="0" collapsed="false">
      <c r="A48" s="10" t="str">
        <f aca="false">IF(D48="","","RW-"&amp;IFERROR(VLOOKUP(D48,Lists!$M$4:$N$22,2,0),"??")&amp;"-H"&amp;TEXT(E48*1000,"0000")&amp;"-S"&amp;F48&amp;IF(G48="Y","-GW","")&amp;"-"&amp;AO48)</f>
        <v/>
      </c>
      <c r="B48" s="10" t="str">
        <f aca="false">IF(D48="","",D48&amp;", H = "&amp;TEXT(E48,"0.0")&amp;" m, q = "&amp;F48&amp;" kPa"&amp;IF(G48="Y",", with GWT","")&amp;", "&amp;I48)</f>
        <v/>
      </c>
      <c r="C48" s="9"/>
      <c r="D48" s="9"/>
      <c r="E48" s="39"/>
      <c r="F48" s="38"/>
      <c r="G48" s="9"/>
      <c r="H48" s="38"/>
      <c r="I48" s="9"/>
      <c r="J48" s="38"/>
      <c r="K48" s="38"/>
      <c r="L48" s="38"/>
      <c r="M48" s="42"/>
      <c r="N48" s="9"/>
      <c r="O48" s="38"/>
      <c r="P48" s="38"/>
      <c r="Q48" s="38"/>
      <c r="R48" s="38"/>
      <c r="S48" s="38"/>
      <c r="T48" s="38"/>
      <c r="U48" s="9"/>
      <c r="V48" s="9"/>
      <c r="W48" s="38"/>
      <c r="X48" s="9"/>
      <c r="Y48" s="9"/>
      <c r="Z48" s="9"/>
      <c r="AA48" s="9"/>
      <c r="AB48" s="9"/>
      <c r="AC48" s="9"/>
      <c r="AD48" s="39"/>
      <c r="AE48" s="39"/>
      <c r="AF48" s="39"/>
      <c r="AG48" s="38"/>
      <c r="AH48" s="38"/>
      <c r="AI48" s="9"/>
      <c r="AJ48" s="38"/>
      <c r="AK48" s="9"/>
      <c r="AL48" s="39"/>
      <c r="AM48" s="9"/>
      <c r="AN48" s="9"/>
      <c r="AO48" s="9"/>
      <c r="AP48" s="9"/>
      <c r="AQ48" s="9"/>
      <c r="AR48" s="9"/>
      <c r="AS48" s="9"/>
      <c r="AT48" s="10" t="str">
        <f aca="false">IF(A48="","",SG_Criteria!$B$6&amp;SG_Criteria!$B$8&amp;"\"&amp;A48&amp;"\")</f>
        <v/>
      </c>
      <c r="AU48" s="10" t="str">
        <f aca="false">IF(A48="","",A48&amp;"_CAD.dwg")</f>
        <v/>
      </c>
      <c r="AV48" s="10" t="str">
        <f aca="false">IF(A48="","",A48&amp;"_DWG.pdf")</f>
        <v/>
      </c>
      <c r="AW48" s="10" t="str">
        <f aca="false">IF(A48="","",IF(AS48="Y",A48&amp;"_STAAD.std","n/a"))</f>
        <v/>
      </c>
      <c r="AX48" s="10" t="str">
        <f aca="false">IF(A48="","",A48&amp;"_CALC.xlsx")</f>
        <v/>
      </c>
      <c r="AY48" s="10" t="str">
        <f aca="false">IF(A48="","",A48&amp;"_CALC.pdf")</f>
        <v/>
      </c>
      <c r="AZ48" s="9"/>
      <c r="BA48" s="9"/>
      <c r="BB48" s="39"/>
      <c r="BC48" s="39"/>
      <c r="BD48" s="39"/>
      <c r="BE48" s="39"/>
      <c r="BF48" s="39"/>
      <c r="BG48" s="12" t="str">
        <f aca="false">IF(A48="","",IF(COUNTIF(Rebar_Schedule!$A$5:$A$2004,A48)=0,"",ROUND(SUMIF(Rebar_Schedule!$A$5:$A$2004,A48,Rebar_Schedule!$K$5:$K$2004),1)))</f>
        <v/>
      </c>
      <c r="BH48" s="33" t="str">
        <f aca="false">IF(A48="","",IF(BG48="","No rebar schedule yet",IF(ABS(BG48-N(BC48))/MAX(N(BC48),1)&gt;SG_Criteria!$B$55,"NOTE: register rebar differs from schedule by "&amp;TEXT(ABS(BG48-N(BC48))/MAX(N(BC48),1),"0%"),"OK")))</f>
        <v/>
      </c>
      <c r="BI48" s="33" t="str">
        <f aca="false">IF(OR(D48="",E48=""),"",IF(E48&lt;=IF(OR(D48="Block / Segmental",D48="Gabion",D48="Reinforced Earth (MSE)"),SG_Criteria!$B$34,SG_Criteria!$B$33),"No ERSS submission",IF(E48&lt;=SG_Criteria!$B$35,"QP(ST)",IF(E48&lt;=SG_Criteria!$B$36,"QP(ST) + AC","Geotechnical building works: QP(Geo) + AC"))))</f>
        <v/>
      </c>
      <c r="BJ48" s="33" t="str">
        <f aca="false">IF(D48="","",IF(LEN(IF(AND(V48&lt;&gt;"",IFERROR(VALUE(MID(V48,2,2)),0)&lt;SG_Criteria!$B$19),"FAIL: grade below C"&amp;SG_Criteria!$B$19&amp;". ","")&amp;IF(AND(W48&lt;&gt;"",W48&lt;SG_Criteria!$B$20),"FAIL: cover &lt; "&amp;SG_Criteria!$B$20&amp;" mm. ","")&amp;IF(AND(AD48&lt;&gt;"",AD48&lt;1),"FAIL: sliding. ","")&amp;IF(AND(D48="Reverse L-Wall (toe only, at boundary)",N(S48)&gt;0),"NOTE: reverse L-wall should have no heel. ","")&amp;IF(AND(D48="L-Wall (heel only)",N(R48)&gt;0),"NOTE: L-wall should have no toe. ","")&amp;IF(AND(F48&lt;&gt;"",F48&lt;SG_Criteria!$B$31),"NOTE: q below LTA min "&amp;SG_Criteria!$B$31&amp;" kPa (not for LTA works). ",""))=0,"OK",IF(AND(V48&lt;&gt;"",IFERROR(VALUE(MID(V48,2,2)),0)&lt;SG_Criteria!$B$19),"FAIL: grade below C"&amp;SG_Criteria!$B$19&amp;". ","")&amp;IF(AND(W48&lt;&gt;"",W48&lt;SG_Criteria!$B$20),"FAIL: cover &lt; "&amp;SG_Criteria!$B$20&amp;" mm. ","")&amp;IF(AND(AD48&lt;&gt;"",AD48&lt;1),"FAIL: sliding. ","")&amp;IF(AND(D48="Reverse L-Wall (toe only, at boundary)",N(S48)&gt;0),"NOTE: reverse L-wall should have no heel. ","")&amp;IF(AND(D48="L-Wall (heel only)",N(R48)&gt;0),"NOTE: L-wall should have no toe. ","")&amp;IF(AND(F48&lt;&gt;"",F48&lt;SG_Criteria!$B$31),"NOTE: q below LTA min "&amp;SG_Criteria!$B$31&amp;" kPa (not for LTA works). ","")))</f>
        <v/>
      </c>
      <c r="BK48" s="9"/>
      <c r="BL48" s="9"/>
      <c r="BM48" s="9"/>
      <c r="BN48" s="10" t="str">
        <f aca="false">IF(BM48="","",IFERROR(VLOOKUP(BM48,Projects!$A$5:$D$504,2,0),"Ref not in Projects"))</f>
        <v/>
      </c>
      <c r="BO48" s="10" t="str">
        <f aca="false">IF(BM48="","",IFERROR(VLOOKUP(BM48,Projects!$A$5:$D$504,4,0),"Ref not in Projects"))</f>
        <v/>
      </c>
      <c r="BP48" s="9"/>
      <c r="BQ48" s="9"/>
      <c r="BR48" s="9"/>
      <c r="BS48" s="40"/>
      <c r="BT48" s="9"/>
      <c r="BU48" s="40"/>
      <c r="BV48" s="9"/>
      <c r="BW48" s="40"/>
      <c r="BX48" s="9"/>
      <c r="BY48" s="9"/>
      <c r="BZ48" s="9"/>
      <c r="CA48" s="40"/>
      <c r="CB48" s="40"/>
      <c r="CC48" s="36" t="str">
        <f aca="false">IF(CB48="","",EDATE(CB48,SG_Criteria!$B$54*12))</f>
        <v/>
      </c>
      <c r="CD48" s="33" t="str">
        <f aca="true">IF(A48="","",IF(CB48="","NOTE: not reviewed yet",IF(TODAY()&gt;CC48,"NOTE: review overdue","OK")))</f>
        <v/>
      </c>
      <c r="CE48" s="37" t="str">
        <f aca="false">IF(A48="","",ROUND((IF(LEN(D48)&gt;0,1,0)+IF(LEN(E48)&gt;0,1,0)+IF(LEN(F48)&gt;0,1,0)+IF(LEN(G48)&gt;0,1,0)+IF(LEN(I48)&gt;0,1,0)+IF(LEN(K48)&gt;0,1,0)+IF(LEN(P48)&gt;0,1,0)+IF(LEN(Q48)&gt;0,1,0)+IF(LEN(T48)&gt;0,1,0)+IF(LEN(V48)&gt;0,1,0)+IF(LEN(W48)&gt;0,1,0)+IF(LEN(X48)&gt;0,1,0)+IF(LEN(Z48)&gt;0,1,0)+IF(LEN(AD48)&gt;0,1,0)+IF(LEN(AE48)&gt;0,1,0)+IF(LEN(AG48)&gt;0,1,0)+IF(LEN(AI48)&gt;0,1,0)+IF(LEN(BB48)&gt;0,1,0)+IF(LEN(BC48)&gt;0,1,0)+IF(LEN(AM48)&gt;0,1,0)+IF(LEN(AO48)&gt;0,1,0)+IF(LEN(AP48)&gt;0,1,0)+IF(LEN(AQ48)&gt;0,1,0)+IF(LEN(AR48)&gt;0,1,0)+IF(LEN(BA48)&gt;0,1,0)+IF(LEN(BM48)&gt;0,1,0)+IF(LEN(BZ48)&gt;0,1,0))/27,2))</f>
        <v/>
      </c>
      <c r="CF48" s="10" t="str">
        <f aca="false">IF(D48="","",IF(AND(AP48="Approved",ISERROR(SEARCH("FAIL",BJ48))),"Y","N"))</f>
        <v/>
      </c>
      <c r="CG48" s="10" t="str">
        <f aca="false">IF(D48="","",D48&amp;"|"&amp;E48&amp;"|"&amp;F48&amp;"|"&amp;G48&amp;"|"&amp;CF48)</f>
        <v/>
      </c>
    </row>
    <row r="49" customFormat="false" ht="15" hidden="false" customHeight="false" outlineLevel="0" collapsed="false">
      <c r="A49" s="10" t="str">
        <f aca="false">IF(D49="","","RW-"&amp;IFERROR(VLOOKUP(D49,Lists!$M$4:$N$22,2,0),"??")&amp;"-H"&amp;TEXT(E49*1000,"0000")&amp;"-S"&amp;F49&amp;IF(G49="Y","-GW","")&amp;"-"&amp;AO49)</f>
        <v/>
      </c>
      <c r="B49" s="10" t="str">
        <f aca="false">IF(D49="","",D49&amp;", H = "&amp;TEXT(E49,"0.0")&amp;" m, q = "&amp;F49&amp;" kPa"&amp;IF(G49="Y",", with GWT","")&amp;", "&amp;I49)</f>
        <v/>
      </c>
      <c r="C49" s="9"/>
      <c r="D49" s="9"/>
      <c r="E49" s="39"/>
      <c r="F49" s="38"/>
      <c r="G49" s="9"/>
      <c r="H49" s="38"/>
      <c r="I49" s="9"/>
      <c r="J49" s="38"/>
      <c r="K49" s="38"/>
      <c r="L49" s="38"/>
      <c r="M49" s="42"/>
      <c r="N49" s="9"/>
      <c r="O49" s="38"/>
      <c r="P49" s="38"/>
      <c r="Q49" s="38"/>
      <c r="R49" s="38"/>
      <c r="S49" s="38"/>
      <c r="T49" s="38"/>
      <c r="U49" s="9"/>
      <c r="V49" s="9"/>
      <c r="W49" s="38"/>
      <c r="X49" s="9"/>
      <c r="Y49" s="9"/>
      <c r="Z49" s="9"/>
      <c r="AA49" s="9"/>
      <c r="AB49" s="9"/>
      <c r="AC49" s="9"/>
      <c r="AD49" s="39"/>
      <c r="AE49" s="39"/>
      <c r="AF49" s="39"/>
      <c r="AG49" s="38"/>
      <c r="AH49" s="38"/>
      <c r="AI49" s="9"/>
      <c r="AJ49" s="38"/>
      <c r="AK49" s="9"/>
      <c r="AL49" s="39"/>
      <c r="AM49" s="9"/>
      <c r="AN49" s="9"/>
      <c r="AO49" s="9"/>
      <c r="AP49" s="9"/>
      <c r="AQ49" s="9"/>
      <c r="AR49" s="9"/>
      <c r="AS49" s="9"/>
      <c r="AT49" s="10" t="str">
        <f aca="false">IF(A49="","",SG_Criteria!$B$6&amp;SG_Criteria!$B$8&amp;"\"&amp;A49&amp;"\")</f>
        <v/>
      </c>
      <c r="AU49" s="10" t="str">
        <f aca="false">IF(A49="","",A49&amp;"_CAD.dwg")</f>
        <v/>
      </c>
      <c r="AV49" s="10" t="str">
        <f aca="false">IF(A49="","",A49&amp;"_DWG.pdf")</f>
        <v/>
      </c>
      <c r="AW49" s="10" t="str">
        <f aca="false">IF(A49="","",IF(AS49="Y",A49&amp;"_STAAD.std","n/a"))</f>
        <v/>
      </c>
      <c r="AX49" s="10" t="str">
        <f aca="false">IF(A49="","",A49&amp;"_CALC.xlsx")</f>
        <v/>
      </c>
      <c r="AY49" s="10" t="str">
        <f aca="false">IF(A49="","",A49&amp;"_CALC.pdf")</f>
        <v/>
      </c>
      <c r="AZ49" s="9"/>
      <c r="BA49" s="9"/>
      <c r="BB49" s="39"/>
      <c r="BC49" s="39"/>
      <c r="BD49" s="39"/>
      <c r="BE49" s="39"/>
      <c r="BF49" s="39"/>
      <c r="BG49" s="12" t="str">
        <f aca="false">IF(A49="","",IF(COUNTIF(Rebar_Schedule!$A$5:$A$2004,A49)=0,"",ROUND(SUMIF(Rebar_Schedule!$A$5:$A$2004,A49,Rebar_Schedule!$K$5:$K$2004),1)))</f>
        <v/>
      </c>
      <c r="BH49" s="33" t="str">
        <f aca="false">IF(A49="","",IF(BG49="","No rebar schedule yet",IF(ABS(BG49-N(BC49))/MAX(N(BC49),1)&gt;SG_Criteria!$B$55,"NOTE: register rebar differs from schedule by "&amp;TEXT(ABS(BG49-N(BC49))/MAX(N(BC49),1),"0%"),"OK")))</f>
        <v/>
      </c>
      <c r="BI49" s="33" t="str">
        <f aca="false">IF(OR(D49="",E49=""),"",IF(E49&lt;=IF(OR(D49="Block / Segmental",D49="Gabion",D49="Reinforced Earth (MSE)"),SG_Criteria!$B$34,SG_Criteria!$B$33),"No ERSS submission",IF(E49&lt;=SG_Criteria!$B$35,"QP(ST)",IF(E49&lt;=SG_Criteria!$B$36,"QP(ST) + AC","Geotechnical building works: QP(Geo) + AC"))))</f>
        <v/>
      </c>
      <c r="BJ49" s="33" t="str">
        <f aca="false">IF(D49="","",IF(LEN(IF(AND(V49&lt;&gt;"",IFERROR(VALUE(MID(V49,2,2)),0)&lt;SG_Criteria!$B$19),"FAIL: grade below C"&amp;SG_Criteria!$B$19&amp;". ","")&amp;IF(AND(W49&lt;&gt;"",W49&lt;SG_Criteria!$B$20),"FAIL: cover &lt; "&amp;SG_Criteria!$B$20&amp;" mm. ","")&amp;IF(AND(AD49&lt;&gt;"",AD49&lt;1),"FAIL: sliding. ","")&amp;IF(AND(D49="Reverse L-Wall (toe only, at boundary)",N(S49)&gt;0),"NOTE: reverse L-wall should have no heel. ","")&amp;IF(AND(D49="L-Wall (heel only)",N(R49)&gt;0),"NOTE: L-wall should have no toe. ","")&amp;IF(AND(F49&lt;&gt;"",F49&lt;SG_Criteria!$B$31),"NOTE: q below LTA min "&amp;SG_Criteria!$B$31&amp;" kPa (not for LTA works). ",""))=0,"OK",IF(AND(V49&lt;&gt;"",IFERROR(VALUE(MID(V49,2,2)),0)&lt;SG_Criteria!$B$19),"FAIL: grade below C"&amp;SG_Criteria!$B$19&amp;". ","")&amp;IF(AND(W49&lt;&gt;"",W49&lt;SG_Criteria!$B$20),"FAIL: cover &lt; "&amp;SG_Criteria!$B$20&amp;" mm. ","")&amp;IF(AND(AD49&lt;&gt;"",AD49&lt;1),"FAIL: sliding. ","")&amp;IF(AND(D49="Reverse L-Wall (toe only, at boundary)",N(S49)&gt;0),"NOTE: reverse L-wall should have no heel. ","")&amp;IF(AND(D49="L-Wall (heel only)",N(R49)&gt;0),"NOTE: L-wall should have no toe. ","")&amp;IF(AND(F49&lt;&gt;"",F49&lt;SG_Criteria!$B$31),"NOTE: q below LTA min "&amp;SG_Criteria!$B$31&amp;" kPa (not for LTA works). ","")))</f>
        <v/>
      </c>
      <c r="BK49" s="9"/>
      <c r="BL49" s="9"/>
      <c r="BM49" s="9"/>
      <c r="BN49" s="10" t="str">
        <f aca="false">IF(BM49="","",IFERROR(VLOOKUP(BM49,Projects!$A$5:$D$504,2,0),"Ref not in Projects"))</f>
        <v/>
      </c>
      <c r="BO49" s="10" t="str">
        <f aca="false">IF(BM49="","",IFERROR(VLOOKUP(BM49,Projects!$A$5:$D$504,4,0),"Ref not in Projects"))</f>
        <v/>
      </c>
      <c r="BP49" s="9"/>
      <c r="BQ49" s="9"/>
      <c r="BR49" s="9"/>
      <c r="BS49" s="40"/>
      <c r="BT49" s="9"/>
      <c r="BU49" s="40"/>
      <c r="BV49" s="9"/>
      <c r="BW49" s="40"/>
      <c r="BX49" s="9"/>
      <c r="BY49" s="9"/>
      <c r="BZ49" s="9"/>
      <c r="CA49" s="40"/>
      <c r="CB49" s="40"/>
      <c r="CC49" s="36" t="str">
        <f aca="false">IF(CB49="","",EDATE(CB49,SG_Criteria!$B$54*12))</f>
        <v/>
      </c>
      <c r="CD49" s="33" t="str">
        <f aca="true">IF(A49="","",IF(CB49="","NOTE: not reviewed yet",IF(TODAY()&gt;CC49,"NOTE: review overdue","OK")))</f>
        <v/>
      </c>
      <c r="CE49" s="37" t="str">
        <f aca="false">IF(A49="","",ROUND((IF(LEN(D49)&gt;0,1,0)+IF(LEN(E49)&gt;0,1,0)+IF(LEN(F49)&gt;0,1,0)+IF(LEN(G49)&gt;0,1,0)+IF(LEN(I49)&gt;0,1,0)+IF(LEN(K49)&gt;0,1,0)+IF(LEN(P49)&gt;0,1,0)+IF(LEN(Q49)&gt;0,1,0)+IF(LEN(T49)&gt;0,1,0)+IF(LEN(V49)&gt;0,1,0)+IF(LEN(W49)&gt;0,1,0)+IF(LEN(X49)&gt;0,1,0)+IF(LEN(Z49)&gt;0,1,0)+IF(LEN(AD49)&gt;0,1,0)+IF(LEN(AE49)&gt;0,1,0)+IF(LEN(AG49)&gt;0,1,0)+IF(LEN(AI49)&gt;0,1,0)+IF(LEN(BB49)&gt;0,1,0)+IF(LEN(BC49)&gt;0,1,0)+IF(LEN(AM49)&gt;0,1,0)+IF(LEN(AO49)&gt;0,1,0)+IF(LEN(AP49)&gt;0,1,0)+IF(LEN(AQ49)&gt;0,1,0)+IF(LEN(AR49)&gt;0,1,0)+IF(LEN(BA49)&gt;0,1,0)+IF(LEN(BM49)&gt;0,1,0)+IF(LEN(BZ49)&gt;0,1,0))/27,2))</f>
        <v/>
      </c>
      <c r="CF49" s="10" t="str">
        <f aca="false">IF(D49="","",IF(AND(AP49="Approved",ISERROR(SEARCH("FAIL",BJ49))),"Y","N"))</f>
        <v/>
      </c>
      <c r="CG49" s="10" t="str">
        <f aca="false">IF(D49="","",D49&amp;"|"&amp;E49&amp;"|"&amp;F49&amp;"|"&amp;G49&amp;"|"&amp;CF49)</f>
        <v/>
      </c>
    </row>
    <row r="50" customFormat="false" ht="15" hidden="false" customHeight="false" outlineLevel="0" collapsed="false">
      <c r="A50" s="10" t="str">
        <f aca="false">IF(D50="","","RW-"&amp;IFERROR(VLOOKUP(D50,Lists!$M$4:$N$22,2,0),"??")&amp;"-H"&amp;TEXT(E50*1000,"0000")&amp;"-S"&amp;F50&amp;IF(G50="Y","-GW","")&amp;"-"&amp;AO50)</f>
        <v/>
      </c>
      <c r="B50" s="10" t="str">
        <f aca="false">IF(D50="","",D50&amp;", H = "&amp;TEXT(E50,"0.0")&amp;" m, q = "&amp;F50&amp;" kPa"&amp;IF(G50="Y",", with GWT","")&amp;", "&amp;I50)</f>
        <v/>
      </c>
      <c r="C50" s="9"/>
      <c r="D50" s="9"/>
      <c r="E50" s="39"/>
      <c r="F50" s="38"/>
      <c r="G50" s="9"/>
      <c r="H50" s="38"/>
      <c r="I50" s="9"/>
      <c r="J50" s="38"/>
      <c r="K50" s="38"/>
      <c r="L50" s="38"/>
      <c r="M50" s="42"/>
      <c r="N50" s="9"/>
      <c r="O50" s="38"/>
      <c r="P50" s="38"/>
      <c r="Q50" s="38"/>
      <c r="R50" s="38"/>
      <c r="S50" s="38"/>
      <c r="T50" s="38"/>
      <c r="U50" s="9"/>
      <c r="V50" s="9"/>
      <c r="W50" s="38"/>
      <c r="X50" s="9"/>
      <c r="Y50" s="9"/>
      <c r="Z50" s="9"/>
      <c r="AA50" s="9"/>
      <c r="AB50" s="9"/>
      <c r="AC50" s="9"/>
      <c r="AD50" s="39"/>
      <c r="AE50" s="39"/>
      <c r="AF50" s="39"/>
      <c r="AG50" s="38"/>
      <c r="AH50" s="38"/>
      <c r="AI50" s="9"/>
      <c r="AJ50" s="38"/>
      <c r="AK50" s="9"/>
      <c r="AL50" s="39"/>
      <c r="AM50" s="9"/>
      <c r="AN50" s="9"/>
      <c r="AO50" s="9"/>
      <c r="AP50" s="9"/>
      <c r="AQ50" s="9"/>
      <c r="AR50" s="9"/>
      <c r="AS50" s="9"/>
      <c r="AT50" s="10" t="str">
        <f aca="false">IF(A50="","",SG_Criteria!$B$6&amp;SG_Criteria!$B$8&amp;"\"&amp;A50&amp;"\")</f>
        <v/>
      </c>
      <c r="AU50" s="10" t="str">
        <f aca="false">IF(A50="","",A50&amp;"_CAD.dwg")</f>
        <v/>
      </c>
      <c r="AV50" s="10" t="str">
        <f aca="false">IF(A50="","",A50&amp;"_DWG.pdf")</f>
        <v/>
      </c>
      <c r="AW50" s="10" t="str">
        <f aca="false">IF(A50="","",IF(AS50="Y",A50&amp;"_STAAD.std","n/a"))</f>
        <v/>
      </c>
      <c r="AX50" s="10" t="str">
        <f aca="false">IF(A50="","",A50&amp;"_CALC.xlsx")</f>
        <v/>
      </c>
      <c r="AY50" s="10" t="str">
        <f aca="false">IF(A50="","",A50&amp;"_CALC.pdf")</f>
        <v/>
      </c>
      <c r="AZ50" s="9"/>
      <c r="BA50" s="9"/>
      <c r="BB50" s="39"/>
      <c r="BC50" s="39"/>
      <c r="BD50" s="39"/>
      <c r="BE50" s="39"/>
      <c r="BF50" s="39"/>
      <c r="BG50" s="12" t="str">
        <f aca="false">IF(A50="","",IF(COUNTIF(Rebar_Schedule!$A$5:$A$2004,A50)=0,"",ROUND(SUMIF(Rebar_Schedule!$A$5:$A$2004,A50,Rebar_Schedule!$K$5:$K$2004),1)))</f>
        <v/>
      </c>
      <c r="BH50" s="33" t="str">
        <f aca="false">IF(A50="","",IF(BG50="","No rebar schedule yet",IF(ABS(BG50-N(BC50))/MAX(N(BC50),1)&gt;SG_Criteria!$B$55,"NOTE: register rebar differs from schedule by "&amp;TEXT(ABS(BG50-N(BC50))/MAX(N(BC50),1),"0%"),"OK")))</f>
        <v/>
      </c>
      <c r="BI50" s="33" t="str">
        <f aca="false">IF(OR(D50="",E50=""),"",IF(E50&lt;=IF(OR(D50="Block / Segmental",D50="Gabion",D50="Reinforced Earth (MSE)"),SG_Criteria!$B$34,SG_Criteria!$B$33),"No ERSS submission",IF(E50&lt;=SG_Criteria!$B$35,"QP(ST)",IF(E50&lt;=SG_Criteria!$B$36,"QP(ST) + AC","Geotechnical building works: QP(Geo) + AC"))))</f>
        <v/>
      </c>
      <c r="BJ50" s="33" t="str">
        <f aca="false">IF(D50="","",IF(LEN(IF(AND(V50&lt;&gt;"",IFERROR(VALUE(MID(V50,2,2)),0)&lt;SG_Criteria!$B$19),"FAIL: grade below C"&amp;SG_Criteria!$B$19&amp;". ","")&amp;IF(AND(W50&lt;&gt;"",W50&lt;SG_Criteria!$B$20),"FAIL: cover &lt; "&amp;SG_Criteria!$B$20&amp;" mm. ","")&amp;IF(AND(AD50&lt;&gt;"",AD50&lt;1),"FAIL: sliding. ","")&amp;IF(AND(D50="Reverse L-Wall (toe only, at boundary)",N(S50)&gt;0),"NOTE: reverse L-wall should have no heel. ","")&amp;IF(AND(D50="L-Wall (heel only)",N(R50)&gt;0),"NOTE: L-wall should have no toe. ","")&amp;IF(AND(F50&lt;&gt;"",F50&lt;SG_Criteria!$B$31),"NOTE: q below LTA min "&amp;SG_Criteria!$B$31&amp;" kPa (not for LTA works). ",""))=0,"OK",IF(AND(V50&lt;&gt;"",IFERROR(VALUE(MID(V50,2,2)),0)&lt;SG_Criteria!$B$19),"FAIL: grade below C"&amp;SG_Criteria!$B$19&amp;". ","")&amp;IF(AND(W50&lt;&gt;"",W50&lt;SG_Criteria!$B$20),"FAIL: cover &lt; "&amp;SG_Criteria!$B$20&amp;" mm. ","")&amp;IF(AND(AD50&lt;&gt;"",AD50&lt;1),"FAIL: sliding. ","")&amp;IF(AND(D50="Reverse L-Wall (toe only, at boundary)",N(S50)&gt;0),"NOTE: reverse L-wall should have no heel. ","")&amp;IF(AND(D50="L-Wall (heel only)",N(R50)&gt;0),"NOTE: L-wall should have no toe. ","")&amp;IF(AND(F50&lt;&gt;"",F50&lt;SG_Criteria!$B$31),"NOTE: q below LTA min "&amp;SG_Criteria!$B$31&amp;" kPa (not for LTA works). ","")))</f>
        <v/>
      </c>
      <c r="BK50" s="9"/>
      <c r="BL50" s="9"/>
      <c r="BM50" s="9"/>
      <c r="BN50" s="10" t="str">
        <f aca="false">IF(BM50="","",IFERROR(VLOOKUP(BM50,Projects!$A$5:$D$504,2,0),"Ref not in Projects"))</f>
        <v/>
      </c>
      <c r="BO50" s="10" t="str">
        <f aca="false">IF(BM50="","",IFERROR(VLOOKUP(BM50,Projects!$A$5:$D$504,4,0),"Ref not in Projects"))</f>
        <v/>
      </c>
      <c r="BP50" s="9"/>
      <c r="BQ50" s="9"/>
      <c r="BR50" s="9"/>
      <c r="BS50" s="40"/>
      <c r="BT50" s="9"/>
      <c r="BU50" s="40"/>
      <c r="BV50" s="9"/>
      <c r="BW50" s="40"/>
      <c r="BX50" s="9"/>
      <c r="BY50" s="9"/>
      <c r="BZ50" s="9"/>
      <c r="CA50" s="40"/>
      <c r="CB50" s="40"/>
      <c r="CC50" s="36" t="str">
        <f aca="false">IF(CB50="","",EDATE(CB50,SG_Criteria!$B$54*12))</f>
        <v/>
      </c>
      <c r="CD50" s="33" t="str">
        <f aca="true">IF(A50="","",IF(CB50="","NOTE: not reviewed yet",IF(TODAY()&gt;CC50,"NOTE: review overdue","OK")))</f>
        <v/>
      </c>
      <c r="CE50" s="37" t="str">
        <f aca="false">IF(A50="","",ROUND((IF(LEN(D50)&gt;0,1,0)+IF(LEN(E50)&gt;0,1,0)+IF(LEN(F50)&gt;0,1,0)+IF(LEN(G50)&gt;0,1,0)+IF(LEN(I50)&gt;0,1,0)+IF(LEN(K50)&gt;0,1,0)+IF(LEN(P50)&gt;0,1,0)+IF(LEN(Q50)&gt;0,1,0)+IF(LEN(T50)&gt;0,1,0)+IF(LEN(V50)&gt;0,1,0)+IF(LEN(W50)&gt;0,1,0)+IF(LEN(X50)&gt;0,1,0)+IF(LEN(Z50)&gt;0,1,0)+IF(LEN(AD50)&gt;0,1,0)+IF(LEN(AE50)&gt;0,1,0)+IF(LEN(AG50)&gt;0,1,0)+IF(LEN(AI50)&gt;0,1,0)+IF(LEN(BB50)&gt;0,1,0)+IF(LEN(BC50)&gt;0,1,0)+IF(LEN(AM50)&gt;0,1,0)+IF(LEN(AO50)&gt;0,1,0)+IF(LEN(AP50)&gt;0,1,0)+IF(LEN(AQ50)&gt;0,1,0)+IF(LEN(AR50)&gt;0,1,0)+IF(LEN(BA50)&gt;0,1,0)+IF(LEN(BM50)&gt;0,1,0)+IF(LEN(BZ50)&gt;0,1,0))/27,2))</f>
        <v/>
      </c>
      <c r="CF50" s="10" t="str">
        <f aca="false">IF(D50="","",IF(AND(AP50="Approved",ISERROR(SEARCH("FAIL",BJ50))),"Y","N"))</f>
        <v/>
      </c>
      <c r="CG50" s="10" t="str">
        <f aca="false">IF(D50="","",D50&amp;"|"&amp;E50&amp;"|"&amp;F50&amp;"|"&amp;G50&amp;"|"&amp;CF50)</f>
        <v/>
      </c>
    </row>
    <row r="51" customFormat="false" ht="15" hidden="false" customHeight="false" outlineLevel="0" collapsed="false">
      <c r="A51" s="10" t="str">
        <f aca="false">IF(D51="","","RW-"&amp;IFERROR(VLOOKUP(D51,Lists!$M$4:$N$22,2,0),"??")&amp;"-H"&amp;TEXT(E51*1000,"0000")&amp;"-S"&amp;F51&amp;IF(G51="Y","-GW","")&amp;"-"&amp;AO51)</f>
        <v/>
      </c>
      <c r="B51" s="10" t="str">
        <f aca="false">IF(D51="","",D51&amp;", H = "&amp;TEXT(E51,"0.0")&amp;" m, q = "&amp;F51&amp;" kPa"&amp;IF(G51="Y",", with GWT","")&amp;", "&amp;I51)</f>
        <v/>
      </c>
      <c r="C51" s="9"/>
      <c r="D51" s="9"/>
      <c r="E51" s="39"/>
      <c r="F51" s="38"/>
      <c r="G51" s="9"/>
      <c r="H51" s="38"/>
      <c r="I51" s="9"/>
      <c r="J51" s="38"/>
      <c r="K51" s="38"/>
      <c r="L51" s="38"/>
      <c r="M51" s="42"/>
      <c r="N51" s="9"/>
      <c r="O51" s="38"/>
      <c r="P51" s="38"/>
      <c r="Q51" s="38"/>
      <c r="R51" s="38"/>
      <c r="S51" s="38"/>
      <c r="T51" s="38"/>
      <c r="U51" s="9"/>
      <c r="V51" s="9"/>
      <c r="W51" s="38"/>
      <c r="X51" s="9"/>
      <c r="Y51" s="9"/>
      <c r="Z51" s="9"/>
      <c r="AA51" s="9"/>
      <c r="AB51" s="9"/>
      <c r="AC51" s="9"/>
      <c r="AD51" s="39"/>
      <c r="AE51" s="39"/>
      <c r="AF51" s="39"/>
      <c r="AG51" s="38"/>
      <c r="AH51" s="38"/>
      <c r="AI51" s="9"/>
      <c r="AJ51" s="38"/>
      <c r="AK51" s="9"/>
      <c r="AL51" s="39"/>
      <c r="AM51" s="9"/>
      <c r="AN51" s="9"/>
      <c r="AO51" s="9"/>
      <c r="AP51" s="9"/>
      <c r="AQ51" s="9"/>
      <c r="AR51" s="9"/>
      <c r="AS51" s="9"/>
      <c r="AT51" s="10" t="str">
        <f aca="false">IF(A51="","",SG_Criteria!$B$6&amp;SG_Criteria!$B$8&amp;"\"&amp;A51&amp;"\")</f>
        <v/>
      </c>
      <c r="AU51" s="10" t="str">
        <f aca="false">IF(A51="","",A51&amp;"_CAD.dwg")</f>
        <v/>
      </c>
      <c r="AV51" s="10" t="str">
        <f aca="false">IF(A51="","",A51&amp;"_DWG.pdf")</f>
        <v/>
      </c>
      <c r="AW51" s="10" t="str">
        <f aca="false">IF(A51="","",IF(AS51="Y",A51&amp;"_STAAD.std","n/a"))</f>
        <v/>
      </c>
      <c r="AX51" s="10" t="str">
        <f aca="false">IF(A51="","",A51&amp;"_CALC.xlsx")</f>
        <v/>
      </c>
      <c r="AY51" s="10" t="str">
        <f aca="false">IF(A51="","",A51&amp;"_CALC.pdf")</f>
        <v/>
      </c>
      <c r="AZ51" s="9"/>
      <c r="BA51" s="9"/>
      <c r="BB51" s="39"/>
      <c r="BC51" s="39"/>
      <c r="BD51" s="39"/>
      <c r="BE51" s="39"/>
      <c r="BF51" s="39"/>
      <c r="BG51" s="12" t="str">
        <f aca="false">IF(A51="","",IF(COUNTIF(Rebar_Schedule!$A$5:$A$2004,A51)=0,"",ROUND(SUMIF(Rebar_Schedule!$A$5:$A$2004,A51,Rebar_Schedule!$K$5:$K$2004),1)))</f>
        <v/>
      </c>
      <c r="BH51" s="33" t="str">
        <f aca="false">IF(A51="","",IF(BG51="","No rebar schedule yet",IF(ABS(BG51-N(BC51))/MAX(N(BC51),1)&gt;SG_Criteria!$B$55,"NOTE: register rebar differs from schedule by "&amp;TEXT(ABS(BG51-N(BC51))/MAX(N(BC51),1),"0%"),"OK")))</f>
        <v/>
      </c>
      <c r="BI51" s="33" t="str">
        <f aca="false">IF(OR(D51="",E51=""),"",IF(E51&lt;=IF(OR(D51="Block / Segmental",D51="Gabion",D51="Reinforced Earth (MSE)"),SG_Criteria!$B$34,SG_Criteria!$B$33),"No ERSS submission",IF(E51&lt;=SG_Criteria!$B$35,"QP(ST)",IF(E51&lt;=SG_Criteria!$B$36,"QP(ST) + AC","Geotechnical building works: QP(Geo) + AC"))))</f>
        <v/>
      </c>
      <c r="BJ51" s="33" t="str">
        <f aca="false">IF(D51="","",IF(LEN(IF(AND(V51&lt;&gt;"",IFERROR(VALUE(MID(V51,2,2)),0)&lt;SG_Criteria!$B$19),"FAIL: grade below C"&amp;SG_Criteria!$B$19&amp;". ","")&amp;IF(AND(W51&lt;&gt;"",W51&lt;SG_Criteria!$B$20),"FAIL: cover &lt; "&amp;SG_Criteria!$B$20&amp;" mm. ","")&amp;IF(AND(AD51&lt;&gt;"",AD51&lt;1),"FAIL: sliding. ","")&amp;IF(AND(D51="Reverse L-Wall (toe only, at boundary)",N(S51)&gt;0),"NOTE: reverse L-wall should have no heel. ","")&amp;IF(AND(D51="L-Wall (heel only)",N(R51)&gt;0),"NOTE: L-wall should have no toe. ","")&amp;IF(AND(F51&lt;&gt;"",F51&lt;SG_Criteria!$B$31),"NOTE: q below LTA min "&amp;SG_Criteria!$B$31&amp;" kPa (not for LTA works). ",""))=0,"OK",IF(AND(V51&lt;&gt;"",IFERROR(VALUE(MID(V51,2,2)),0)&lt;SG_Criteria!$B$19),"FAIL: grade below C"&amp;SG_Criteria!$B$19&amp;". ","")&amp;IF(AND(W51&lt;&gt;"",W51&lt;SG_Criteria!$B$20),"FAIL: cover &lt; "&amp;SG_Criteria!$B$20&amp;" mm. ","")&amp;IF(AND(AD51&lt;&gt;"",AD51&lt;1),"FAIL: sliding. ","")&amp;IF(AND(D51="Reverse L-Wall (toe only, at boundary)",N(S51)&gt;0),"NOTE: reverse L-wall should have no heel. ","")&amp;IF(AND(D51="L-Wall (heel only)",N(R51)&gt;0),"NOTE: L-wall should have no toe. ","")&amp;IF(AND(F51&lt;&gt;"",F51&lt;SG_Criteria!$B$31),"NOTE: q below LTA min "&amp;SG_Criteria!$B$31&amp;" kPa (not for LTA works). ","")))</f>
        <v/>
      </c>
      <c r="BK51" s="9"/>
      <c r="BL51" s="9"/>
      <c r="BM51" s="9"/>
      <c r="BN51" s="10" t="str">
        <f aca="false">IF(BM51="","",IFERROR(VLOOKUP(BM51,Projects!$A$5:$D$504,2,0),"Ref not in Projects"))</f>
        <v/>
      </c>
      <c r="BO51" s="10" t="str">
        <f aca="false">IF(BM51="","",IFERROR(VLOOKUP(BM51,Projects!$A$5:$D$504,4,0),"Ref not in Projects"))</f>
        <v/>
      </c>
      <c r="BP51" s="9"/>
      <c r="BQ51" s="9"/>
      <c r="BR51" s="9"/>
      <c r="BS51" s="40"/>
      <c r="BT51" s="9"/>
      <c r="BU51" s="40"/>
      <c r="BV51" s="9"/>
      <c r="BW51" s="40"/>
      <c r="BX51" s="9"/>
      <c r="BY51" s="9"/>
      <c r="BZ51" s="9"/>
      <c r="CA51" s="40"/>
      <c r="CB51" s="40"/>
      <c r="CC51" s="36" t="str">
        <f aca="false">IF(CB51="","",EDATE(CB51,SG_Criteria!$B$54*12))</f>
        <v/>
      </c>
      <c r="CD51" s="33" t="str">
        <f aca="true">IF(A51="","",IF(CB51="","NOTE: not reviewed yet",IF(TODAY()&gt;CC51,"NOTE: review overdue","OK")))</f>
        <v/>
      </c>
      <c r="CE51" s="37" t="str">
        <f aca="false">IF(A51="","",ROUND((IF(LEN(D51)&gt;0,1,0)+IF(LEN(E51)&gt;0,1,0)+IF(LEN(F51)&gt;0,1,0)+IF(LEN(G51)&gt;0,1,0)+IF(LEN(I51)&gt;0,1,0)+IF(LEN(K51)&gt;0,1,0)+IF(LEN(P51)&gt;0,1,0)+IF(LEN(Q51)&gt;0,1,0)+IF(LEN(T51)&gt;0,1,0)+IF(LEN(V51)&gt;0,1,0)+IF(LEN(W51)&gt;0,1,0)+IF(LEN(X51)&gt;0,1,0)+IF(LEN(Z51)&gt;0,1,0)+IF(LEN(AD51)&gt;0,1,0)+IF(LEN(AE51)&gt;0,1,0)+IF(LEN(AG51)&gt;0,1,0)+IF(LEN(AI51)&gt;0,1,0)+IF(LEN(BB51)&gt;0,1,0)+IF(LEN(BC51)&gt;0,1,0)+IF(LEN(AM51)&gt;0,1,0)+IF(LEN(AO51)&gt;0,1,0)+IF(LEN(AP51)&gt;0,1,0)+IF(LEN(AQ51)&gt;0,1,0)+IF(LEN(AR51)&gt;0,1,0)+IF(LEN(BA51)&gt;0,1,0)+IF(LEN(BM51)&gt;0,1,0)+IF(LEN(BZ51)&gt;0,1,0))/27,2))</f>
        <v/>
      </c>
      <c r="CF51" s="10" t="str">
        <f aca="false">IF(D51="","",IF(AND(AP51="Approved",ISERROR(SEARCH("FAIL",BJ51))),"Y","N"))</f>
        <v/>
      </c>
      <c r="CG51" s="10" t="str">
        <f aca="false">IF(D51="","",D51&amp;"|"&amp;E51&amp;"|"&amp;F51&amp;"|"&amp;G51&amp;"|"&amp;CF51)</f>
        <v/>
      </c>
    </row>
    <row r="52" customFormat="false" ht="15" hidden="false" customHeight="false" outlineLevel="0" collapsed="false">
      <c r="A52" s="10" t="str">
        <f aca="false">IF(D52="","","RW-"&amp;IFERROR(VLOOKUP(D52,Lists!$M$4:$N$22,2,0),"??")&amp;"-H"&amp;TEXT(E52*1000,"0000")&amp;"-S"&amp;F52&amp;IF(G52="Y","-GW","")&amp;"-"&amp;AO52)</f>
        <v/>
      </c>
      <c r="B52" s="10" t="str">
        <f aca="false">IF(D52="","",D52&amp;", H = "&amp;TEXT(E52,"0.0")&amp;" m, q = "&amp;F52&amp;" kPa"&amp;IF(G52="Y",", with GWT","")&amp;", "&amp;I52)</f>
        <v/>
      </c>
      <c r="C52" s="9"/>
      <c r="D52" s="9"/>
      <c r="E52" s="39"/>
      <c r="F52" s="38"/>
      <c r="G52" s="9"/>
      <c r="H52" s="38"/>
      <c r="I52" s="9"/>
      <c r="J52" s="38"/>
      <c r="K52" s="38"/>
      <c r="L52" s="38"/>
      <c r="M52" s="42"/>
      <c r="N52" s="9"/>
      <c r="O52" s="38"/>
      <c r="P52" s="38"/>
      <c r="Q52" s="38"/>
      <c r="R52" s="38"/>
      <c r="S52" s="38"/>
      <c r="T52" s="38"/>
      <c r="U52" s="9"/>
      <c r="V52" s="9"/>
      <c r="W52" s="38"/>
      <c r="X52" s="9"/>
      <c r="Y52" s="9"/>
      <c r="Z52" s="9"/>
      <c r="AA52" s="9"/>
      <c r="AB52" s="9"/>
      <c r="AC52" s="9"/>
      <c r="AD52" s="39"/>
      <c r="AE52" s="39"/>
      <c r="AF52" s="39"/>
      <c r="AG52" s="38"/>
      <c r="AH52" s="38"/>
      <c r="AI52" s="9"/>
      <c r="AJ52" s="38"/>
      <c r="AK52" s="9"/>
      <c r="AL52" s="39"/>
      <c r="AM52" s="9"/>
      <c r="AN52" s="9"/>
      <c r="AO52" s="9"/>
      <c r="AP52" s="9"/>
      <c r="AQ52" s="9"/>
      <c r="AR52" s="9"/>
      <c r="AS52" s="9"/>
      <c r="AT52" s="10" t="str">
        <f aca="false">IF(A52="","",SG_Criteria!$B$6&amp;SG_Criteria!$B$8&amp;"\"&amp;A52&amp;"\")</f>
        <v/>
      </c>
      <c r="AU52" s="10" t="str">
        <f aca="false">IF(A52="","",A52&amp;"_CAD.dwg")</f>
        <v/>
      </c>
      <c r="AV52" s="10" t="str">
        <f aca="false">IF(A52="","",A52&amp;"_DWG.pdf")</f>
        <v/>
      </c>
      <c r="AW52" s="10" t="str">
        <f aca="false">IF(A52="","",IF(AS52="Y",A52&amp;"_STAAD.std","n/a"))</f>
        <v/>
      </c>
      <c r="AX52" s="10" t="str">
        <f aca="false">IF(A52="","",A52&amp;"_CALC.xlsx")</f>
        <v/>
      </c>
      <c r="AY52" s="10" t="str">
        <f aca="false">IF(A52="","",A52&amp;"_CALC.pdf")</f>
        <v/>
      </c>
      <c r="AZ52" s="9"/>
      <c r="BA52" s="9"/>
      <c r="BB52" s="39"/>
      <c r="BC52" s="39"/>
      <c r="BD52" s="39"/>
      <c r="BE52" s="39"/>
      <c r="BF52" s="39"/>
      <c r="BG52" s="12" t="str">
        <f aca="false">IF(A52="","",IF(COUNTIF(Rebar_Schedule!$A$5:$A$2004,A52)=0,"",ROUND(SUMIF(Rebar_Schedule!$A$5:$A$2004,A52,Rebar_Schedule!$K$5:$K$2004),1)))</f>
        <v/>
      </c>
      <c r="BH52" s="33" t="str">
        <f aca="false">IF(A52="","",IF(BG52="","No rebar schedule yet",IF(ABS(BG52-N(BC52))/MAX(N(BC52),1)&gt;SG_Criteria!$B$55,"NOTE: register rebar differs from schedule by "&amp;TEXT(ABS(BG52-N(BC52))/MAX(N(BC52),1),"0%"),"OK")))</f>
        <v/>
      </c>
      <c r="BI52" s="33" t="str">
        <f aca="false">IF(OR(D52="",E52=""),"",IF(E52&lt;=IF(OR(D52="Block / Segmental",D52="Gabion",D52="Reinforced Earth (MSE)"),SG_Criteria!$B$34,SG_Criteria!$B$33),"No ERSS submission",IF(E52&lt;=SG_Criteria!$B$35,"QP(ST)",IF(E52&lt;=SG_Criteria!$B$36,"QP(ST) + AC","Geotechnical building works: QP(Geo) + AC"))))</f>
        <v/>
      </c>
      <c r="BJ52" s="33" t="str">
        <f aca="false">IF(D52="","",IF(LEN(IF(AND(V52&lt;&gt;"",IFERROR(VALUE(MID(V52,2,2)),0)&lt;SG_Criteria!$B$19),"FAIL: grade below C"&amp;SG_Criteria!$B$19&amp;". ","")&amp;IF(AND(W52&lt;&gt;"",W52&lt;SG_Criteria!$B$20),"FAIL: cover &lt; "&amp;SG_Criteria!$B$20&amp;" mm. ","")&amp;IF(AND(AD52&lt;&gt;"",AD52&lt;1),"FAIL: sliding. ","")&amp;IF(AND(D52="Reverse L-Wall (toe only, at boundary)",N(S52)&gt;0),"NOTE: reverse L-wall should have no heel. ","")&amp;IF(AND(D52="L-Wall (heel only)",N(R52)&gt;0),"NOTE: L-wall should have no toe. ","")&amp;IF(AND(F52&lt;&gt;"",F52&lt;SG_Criteria!$B$31),"NOTE: q below LTA min "&amp;SG_Criteria!$B$31&amp;" kPa (not for LTA works). ",""))=0,"OK",IF(AND(V52&lt;&gt;"",IFERROR(VALUE(MID(V52,2,2)),0)&lt;SG_Criteria!$B$19),"FAIL: grade below C"&amp;SG_Criteria!$B$19&amp;". ","")&amp;IF(AND(W52&lt;&gt;"",W52&lt;SG_Criteria!$B$20),"FAIL: cover &lt; "&amp;SG_Criteria!$B$20&amp;" mm. ","")&amp;IF(AND(AD52&lt;&gt;"",AD52&lt;1),"FAIL: sliding. ","")&amp;IF(AND(D52="Reverse L-Wall (toe only, at boundary)",N(S52)&gt;0),"NOTE: reverse L-wall should have no heel. ","")&amp;IF(AND(D52="L-Wall (heel only)",N(R52)&gt;0),"NOTE: L-wall should have no toe. ","")&amp;IF(AND(F52&lt;&gt;"",F52&lt;SG_Criteria!$B$31),"NOTE: q below LTA min "&amp;SG_Criteria!$B$31&amp;" kPa (not for LTA works). ","")))</f>
        <v/>
      </c>
      <c r="BK52" s="9"/>
      <c r="BL52" s="9"/>
      <c r="BM52" s="9"/>
      <c r="BN52" s="10" t="str">
        <f aca="false">IF(BM52="","",IFERROR(VLOOKUP(BM52,Projects!$A$5:$D$504,2,0),"Ref not in Projects"))</f>
        <v/>
      </c>
      <c r="BO52" s="10" t="str">
        <f aca="false">IF(BM52="","",IFERROR(VLOOKUP(BM52,Projects!$A$5:$D$504,4,0),"Ref not in Projects"))</f>
        <v/>
      </c>
      <c r="BP52" s="9"/>
      <c r="BQ52" s="9"/>
      <c r="BR52" s="9"/>
      <c r="BS52" s="40"/>
      <c r="BT52" s="9"/>
      <c r="BU52" s="40"/>
      <c r="BV52" s="9"/>
      <c r="BW52" s="40"/>
      <c r="BX52" s="9"/>
      <c r="BY52" s="9"/>
      <c r="BZ52" s="9"/>
      <c r="CA52" s="40"/>
      <c r="CB52" s="40"/>
      <c r="CC52" s="36" t="str">
        <f aca="false">IF(CB52="","",EDATE(CB52,SG_Criteria!$B$54*12))</f>
        <v/>
      </c>
      <c r="CD52" s="33" t="str">
        <f aca="true">IF(A52="","",IF(CB52="","NOTE: not reviewed yet",IF(TODAY()&gt;CC52,"NOTE: review overdue","OK")))</f>
        <v/>
      </c>
      <c r="CE52" s="37" t="str">
        <f aca="false">IF(A52="","",ROUND((IF(LEN(D52)&gt;0,1,0)+IF(LEN(E52)&gt;0,1,0)+IF(LEN(F52)&gt;0,1,0)+IF(LEN(G52)&gt;0,1,0)+IF(LEN(I52)&gt;0,1,0)+IF(LEN(K52)&gt;0,1,0)+IF(LEN(P52)&gt;0,1,0)+IF(LEN(Q52)&gt;0,1,0)+IF(LEN(T52)&gt;0,1,0)+IF(LEN(V52)&gt;0,1,0)+IF(LEN(W52)&gt;0,1,0)+IF(LEN(X52)&gt;0,1,0)+IF(LEN(Z52)&gt;0,1,0)+IF(LEN(AD52)&gt;0,1,0)+IF(LEN(AE52)&gt;0,1,0)+IF(LEN(AG52)&gt;0,1,0)+IF(LEN(AI52)&gt;0,1,0)+IF(LEN(BB52)&gt;0,1,0)+IF(LEN(BC52)&gt;0,1,0)+IF(LEN(AM52)&gt;0,1,0)+IF(LEN(AO52)&gt;0,1,0)+IF(LEN(AP52)&gt;0,1,0)+IF(LEN(AQ52)&gt;0,1,0)+IF(LEN(AR52)&gt;0,1,0)+IF(LEN(BA52)&gt;0,1,0)+IF(LEN(BM52)&gt;0,1,0)+IF(LEN(BZ52)&gt;0,1,0))/27,2))</f>
        <v/>
      </c>
      <c r="CF52" s="10" t="str">
        <f aca="false">IF(D52="","",IF(AND(AP52="Approved",ISERROR(SEARCH("FAIL",BJ52))),"Y","N"))</f>
        <v/>
      </c>
      <c r="CG52" s="10" t="str">
        <f aca="false">IF(D52="","",D52&amp;"|"&amp;E52&amp;"|"&amp;F52&amp;"|"&amp;G52&amp;"|"&amp;CF52)</f>
        <v/>
      </c>
    </row>
    <row r="53" customFormat="false" ht="15" hidden="false" customHeight="false" outlineLevel="0" collapsed="false">
      <c r="A53" s="10" t="str">
        <f aca="false">IF(D53="","","RW-"&amp;IFERROR(VLOOKUP(D53,Lists!$M$4:$N$22,2,0),"??")&amp;"-H"&amp;TEXT(E53*1000,"0000")&amp;"-S"&amp;F53&amp;IF(G53="Y","-GW","")&amp;"-"&amp;AO53)</f>
        <v/>
      </c>
      <c r="B53" s="10" t="str">
        <f aca="false">IF(D53="","",D53&amp;", H = "&amp;TEXT(E53,"0.0")&amp;" m, q = "&amp;F53&amp;" kPa"&amp;IF(G53="Y",", with GWT","")&amp;", "&amp;I53)</f>
        <v/>
      </c>
      <c r="C53" s="9"/>
      <c r="D53" s="9"/>
      <c r="E53" s="39"/>
      <c r="F53" s="38"/>
      <c r="G53" s="9"/>
      <c r="H53" s="38"/>
      <c r="I53" s="9"/>
      <c r="J53" s="38"/>
      <c r="K53" s="38"/>
      <c r="L53" s="38"/>
      <c r="M53" s="42"/>
      <c r="N53" s="9"/>
      <c r="O53" s="38"/>
      <c r="P53" s="38"/>
      <c r="Q53" s="38"/>
      <c r="R53" s="38"/>
      <c r="S53" s="38"/>
      <c r="T53" s="38"/>
      <c r="U53" s="9"/>
      <c r="V53" s="9"/>
      <c r="W53" s="38"/>
      <c r="X53" s="9"/>
      <c r="Y53" s="9"/>
      <c r="Z53" s="9"/>
      <c r="AA53" s="9"/>
      <c r="AB53" s="9"/>
      <c r="AC53" s="9"/>
      <c r="AD53" s="39"/>
      <c r="AE53" s="39"/>
      <c r="AF53" s="39"/>
      <c r="AG53" s="38"/>
      <c r="AH53" s="38"/>
      <c r="AI53" s="9"/>
      <c r="AJ53" s="38"/>
      <c r="AK53" s="9"/>
      <c r="AL53" s="39"/>
      <c r="AM53" s="9"/>
      <c r="AN53" s="9"/>
      <c r="AO53" s="9"/>
      <c r="AP53" s="9"/>
      <c r="AQ53" s="9"/>
      <c r="AR53" s="9"/>
      <c r="AS53" s="9"/>
      <c r="AT53" s="10" t="str">
        <f aca="false">IF(A53="","",SG_Criteria!$B$6&amp;SG_Criteria!$B$8&amp;"\"&amp;A53&amp;"\")</f>
        <v/>
      </c>
      <c r="AU53" s="10" t="str">
        <f aca="false">IF(A53="","",A53&amp;"_CAD.dwg")</f>
        <v/>
      </c>
      <c r="AV53" s="10" t="str">
        <f aca="false">IF(A53="","",A53&amp;"_DWG.pdf")</f>
        <v/>
      </c>
      <c r="AW53" s="10" t="str">
        <f aca="false">IF(A53="","",IF(AS53="Y",A53&amp;"_STAAD.std","n/a"))</f>
        <v/>
      </c>
      <c r="AX53" s="10" t="str">
        <f aca="false">IF(A53="","",A53&amp;"_CALC.xlsx")</f>
        <v/>
      </c>
      <c r="AY53" s="10" t="str">
        <f aca="false">IF(A53="","",A53&amp;"_CALC.pdf")</f>
        <v/>
      </c>
      <c r="AZ53" s="9"/>
      <c r="BA53" s="9"/>
      <c r="BB53" s="39"/>
      <c r="BC53" s="39"/>
      <c r="BD53" s="39"/>
      <c r="BE53" s="39"/>
      <c r="BF53" s="39"/>
      <c r="BG53" s="12" t="str">
        <f aca="false">IF(A53="","",IF(COUNTIF(Rebar_Schedule!$A$5:$A$2004,A53)=0,"",ROUND(SUMIF(Rebar_Schedule!$A$5:$A$2004,A53,Rebar_Schedule!$K$5:$K$2004),1)))</f>
        <v/>
      </c>
      <c r="BH53" s="33" t="str">
        <f aca="false">IF(A53="","",IF(BG53="","No rebar schedule yet",IF(ABS(BG53-N(BC53))/MAX(N(BC53),1)&gt;SG_Criteria!$B$55,"NOTE: register rebar differs from schedule by "&amp;TEXT(ABS(BG53-N(BC53))/MAX(N(BC53),1),"0%"),"OK")))</f>
        <v/>
      </c>
      <c r="BI53" s="33" t="str">
        <f aca="false">IF(OR(D53="",E53=""),"",IF(E53&lt;=IF(OR(D53="Block / Segmental",D53="Gabion",D53="Reinforced Earth (MSE)"),SG_Criteria!$B$34,SG_Criteria!$B$33),"No ERSS submission",IF(E53&lt;=SG_Criteria!$B$35,"QP(ST)",IF(E53&lt;=SG_Criteria!$B$36,"QP(ST) + AC","Geotechnical building works: QP(Geo) + AC"))))</f>
        <v/>
      </c>
      <c r="BJ53" s="33" t="str">
        <f aca="false">IF(D53="","",IF(LEN(IF(AND(V53&lt;&gt;"",IFERROR(VALUE(MID(V53,2,2)),0)&lt;SG_Criteria!$B$19),"FAIL: grade below C"&amp;SG_Criteria!$B$19&amp;". ","")&amp;IF(AND(W53&lt;&gt;"",W53&lt;SG_Criteria!$B$20),"FAIL: cover &lt; "&amp;SG_Criteria!$B$20&amp;" mm. ","")&amp;IF(AND(AD53&lt;&gt;"",AD53&lt;1),"FAIL: sliding. ","")&amp;IF(AND(D53="Reverse L-Wall (toe only, at boundary)",N(S53)&gt;0),"NOTE: reverse L-wall should have no heel. ","")&amp;IF(AND(D53="L-Wall (heel only)",N(R53)&gt;0),"NOTE: L-wall should have no toe. ","")&amp;IF(AND(F53&lt;&gt;"",F53&lt;SG_Criteria!$B$31),"NOTE: q below LTA min "&amp;SG_Criteria!$B$31&amp;" kPa (not for LTA works). ",""))=0,"OK",IF(AND(V53&lt;&gt;"",IFERROR(VALUE(MID(V53,2,2)),0)&lt;SG_Criteria!$B$19),"FAIL: grade below C"&amp;SG_Criteria!$B$19&amp;". ","")&amp;IF(AND(W53&lt;&gt;"",W53&lt;SG_Criteria!$B$20),"FAIL: cover &lt; "&amp;SG_Criteria!$B$20&amp;" mm. ","")&amp;IF(AND(AD53&lt;&gt;"",AD53&lt;1),"FAIL: sliding. ","")&amp;IF(AND(D53="Reverse L-Wall (toe only, at boundary)",N(S53)&gt;0),"NOTE: reverse L-wall should have no heel. ","")&amp;IF(AND(D53="L-Wall (heel only)",N(R53)&gt;0),"NOTE: L-wall should have no toe. ","")&amp;IF(AND(F53&lt;&gt;"",F53&lt;SG_Criteria!$B$31),"NOTE: q below LTA min "&amp;SG_Criteria!$B$31&amp;" kPa (not for LTA works). ","")))</f>
        <v/>
      </c>
      <c r="BK53" s="9"/>
      <c r="BL53" s="9"/>
      <c r="BM53" s="9"/>
      <c r="BN53" s="10" t="str">
        <f aca="false">IF(BM53="","",IFERROR(VLOOKUP(BM53,Projects!$A$5:$D$504,2,0),"Ref not in Projects"))</f>
        <v/>
      </c>
      <c r="BO53" s="10" t="str">
        <f aca="false">IF(BM53="","",IFERROR(VLOOKUP(BM53,Projects!$A$5:$D$504,4,0),"Ref not in Projects"))</f>
        <v/>
      </c>
      <c r="BP53" s="9"/>
      <c r="BQ53" s="9"/>
      <c r="BR53" s="9"/>
      <c r="BS53" s="40"/>
      <c r="BT53" s="9"/>
      <c r="BU53" s="40"/>
      <c r="BV53" s="9"/>
      <c r="BW53" s="40"/>
      <c r="BX53" s="9"/>
      <c r="BY53" s="9"/>
      <c r="BZ53" s="9"/>
      <c r="CA53" s="40"/>
      <c r="CB53" s="40"/>
      <c r="CC53" s="36" t="str">
        <f aca="false">IF(CB53="","",EDATE(CB53,SG_Criteria!$B$54*12))</f>
        <v/>
      </c>
      <c r="CD53" s="33" t="str">
        <f aca="true">IF(A53="","",IF(CB53="","NOTE: not reviewed yet",IF(TODAY()&gt;CC53,"NOTE: review overdue","OK")))</f>
        <v/>
      </c>
      <c r="CE53" s="37" t="str">
        <f aca="false">IF(A53="","",ROUND((IF(LEN(D53)&gt;0,1,0)+IF(LEN(E53)&gt;0,1,0)+IF(LEN(F53)&gt;0,1,0)+IF(LEN(G53)&gt;0,1,0)+IF(LEN(I53)&gt;0,1,0)+IF(LEN(K53)&gt;0,1,0)+IF(LEN(P53)&gt;0,1,0)+IF(LEN(Q53)&gt;0,1,0)+IF(LEN(T53)&gt;0,1,0)+IF(LEN(V53)&gt;0,1,0)+IF(LEN(W53)&gt;0,1,0)+IF(LEN(X53)&gt;0,1,0)+IF(LEN(Z53)&gt;0,1,0)+IF(LEN(AD53)&gt;0,1,0)+IF(LEN(AE53)&gt;0,1,0)+IF(LEN(AG53)&gt;0,1,0)+IF(LEN(AI53)&gt;0,1,0)+IF(LEN(BB53)&gt;0,1,0)+IF(LEN(BC53)&gt;0,1,0)+IF(LEN(AM53)&gt;0,1,0)+IF(LEN(AO53)&gt;0,1,0)+IF(LEN(AP53)&gt;0,1,0)+IF(LEN(AQ53)&gt;0,1,0)+IF(LEN(AR53)&gt;0,1,0)+IF(LEN(BA53)&gt;0,1,0)+IF(LEN(BM53)&gt;0,1,0)+IF(LEN(BZ53)&gt;0,1,0))/27,2))</f>
        <v/>
      </c>
      <c r="CF53" s="10" t="str">
        <f aca="false">IF(D53="","",IF(AND(AP53="Approved",ISERROR(SEARCH("FAIL",BJ53))),"Y","N"))</f>
        <v/>
      </c>
      <c r="CG53" s="10" t="str">
        <f aca="false">IF(D53="","",D53&amp;"|"&amp;E53&amp;"|"&amp;F53&amp;"|"&amp;G53&amp;"|"&amp;CF53)</f>
        <v/>
      </c>
    </row>
    <row r="54" customFormat="false" ht="15" hidden="false" customHeight="false" outlineLevel="0" collapsed="false">
      <c r="A54" s="10" t="str">
        <f aca="false">IF(D54="","","RW-"&amp;IFERROR(VLOOKUP(D54,Lists!$M$4:$N$22,2,0),"??")&amp;"-H"&amp;TEXT(E54*1000,"0000")&amp;"-S"&amp;F54&amp;IF(G54="Y","-GW","")&amp;"-"&amp;AO54)</f>
        <v/>
      </c>
      <c r="B54" s="10" t="str">
        <f aca="false">IF(D54="","",D54&amp;", H = "&amp;TEXT(E54,"0.0")&amp;" m, q = "&amp;F54&amp;" kPa"&amp;IF(G54="Y",", with GWT","")&amp;", "&amp;I54)</f>
        <v/>
      </c>
      <c r="C54" s="9"/>
      <c r="D54" s="9"/>
      <c r="E54" s="39"/>
      <c r="F54" s="38"/>
      <c r="G54" s="9"/>
      <c r="H54" s="38"/>
      <c r="I54" s="9"/>
      <c r="J54" s="38"/>
      <c r="K54" s="38"/>
      <c r="L54" s="38"/>
      <c r="M54" s="42"/>
      <c r="N54" s="9"/>
      <c r="O54" s="38"/>
      <c r="P54" s="38"/>
      <c r="Q54" s="38"/>
      <c r="R54" s="38"/>
      <c r="S54" s="38"/>
      <c r="T54" s="38"/>
      <c r="U54" s="9"/>
      <c r="V54" s="9"/>
      <c r="W54" s="38"/>
      <c r="X54" s="9"/>
      <c r="Y54" s="9"/>
      <c r="Z54" s="9"/>
      <c r="AA54" s="9"/>
      <c r="AB54" s="9"/>
      <c r="AC54" s="9"/>
      <c r="AD54" s="39"/>
      <c r="AE54" s="39"/>
      <c r="AF54" s="39"/>
      <c r="AG54" s="38"/>
      <c r="AH54" s="38"/>
      <c r="AI54" s="9"/>
      <c r="AJ54" s="38"/>
      <c r="AK54" s="9"/>
      <c r="AL54" s="39"/>
      <c r="AM54" s="9"/>
      <c r="AN54" s="9"/>
      <c r="AO54" s="9"/>
      <c r="AP54" s="9"/>
      <c r="AQ54" s="9"/>
      <c r="AR54" s="9"/>
      <c r="AS54" s="9"/>
      <c r="AT54" s="10" t="str">
        <f aca="false">IF(A54="","",SG_Criteria!$B$6&amp;SG_Criteria!$B$8&amp;"\"&amp;A54&amp;"\")</f>
        <v/>
      </c>
      <c r="AU54" s="10" t="str">
        <f aca="false">IF(A54="","",A54&amp;"_CAD.dwg")</f>
        <v/>
      </c>
      <c r="AV54" s="10" t="str">
        <f aca="false">IF(A54="","",A54&amp;"_DWG.pdf")</f>
        <v/>
      </c>
      <c r="AW54" s="10" t="str">
        <f aca="false">IF(A54="","",IF(AS54="Y",A54&amp;"_STAAD.std","n/a"))</f>
        <v/>
      </c>
      <c r="AX54" s="10" t="str">
        <f aca="false">IF(A54="","",A54&amp;"_CALC.xlsx")</f>
        <v/>
      </c>
      <c r="AY54" s="10" t="str">
        <f aca="false">IF(A54="","",A54&amp;"_CALC.pdf")</f>
        <v/>
      </c>
      <c r="AZ54" s="9"/>
      <c r="BA54" s="9"/>
      <c r="BB54" s="39"/>
      <c r="BC54" s="39"/>
      <c r="BD54" s="39"/>
      <c r="BE54" s="39"/>
      <c r="BF54" s="39"/>
      <c r="BG54" s="12" t="str">
        <f aca="false">IF(A54="","",IF(COUNTIF(Rebar_Schedule!$A$5:$A$2004,A54)=0,"",ROUND(SUMIF(Rebar_Schedule!$A$5:$A$2004,A54,Rebar_Schedule!$K$5:$K$2004),1)))</f>
        <v/>
      </c>
      <c r="BH54" s="33" t="str">
        <f aca="false">IF(A54="","",IF(BG54="","No rebar schedule yet",IF(ABS(BG54-N(BC54))/MAX(N(BC54),1)&gt;SG_Criteria!$B$55,"NOTE: register rebar differs from schedule by "&amp;TEXT(ABS(BG54-N(BC54))/MAX(N(BC54),1),"0%"),"OK")))</f>
        <v/>
      </c>
      <c r="BI54" s="33" t="str">
        <f aca="false">IF(OR(D54="",E54=""),"",IF(E54&lt;=IF(OR(D54="Block / Segmental",D54="Gabion",D54="Reinforced Earth (MSE)"),SG_Criteria!$B$34,SG_Criteria!$B$33),"No ERSS submission",IF(E54&lt;=SG_Criteria!$B$35,"QP(ST)",IF(E54&lt;=SG_Criteria!$B$36,"QP(ST) + AC","Geotechnical building works: QP(Geo) + AC"))))</f>
        <v/>
      </c>
      <c r="BJ54" s="33" t="str">
        <f aca="false">IF(D54="","",IF(LEN(IF(AND(V54&lt;&gt;"",IFERROR(VALUE(MID(V54,2,2)),0)&lt;SG_Criteria!$B$19),"FAIL: grade below C"&amp;SG_Criteria!$B$19&amp;". ","")&amp;IF(AND(W54&lt;&gt;"",W54&lt;SG_Criteria!$B$20),"FAIL: cover &lt; "&amp;SG_Criteria!$B$20&amp;" mm. ","")&amp;IF(AND(AD54&lt;&gt;"",AD54&lt;1),"FAIL: sliding. ","")&amp;IF(AND(D54="Reverse L-Wall (toe only, at boundary)",N(S54)&gt;0),"NOTE: reverse L-wall should have no heel. ","")&amp;IF(AND(D54="L-Wall (heel only)",N(R54)&gt;0),"NOTE: L-wall should have no toe. ","")&amp;IF(AND(F54&lt;&gt;"",F54&lt;SG_Criteria!$B$31),"NOTE: q below LTA min "&amp;SG_Criteria!$B$31&amp;" kPa (not for LTA works). ",""))=0,"OK",IF(AND(V54&lt;&gt;"",IFERROR(VALUE(MID(V54,2,2)),0)&lt;SG_Criteria!$B$19),"FAIL: grade below C"&amp;SG_Criteria!$B$19&amp;". ","")&amp;IF(AND(W54&lt;&gt;"",W54&lt;SG_Criteria!$B$20),"FAIL: cover &lt; "&amp;SG_Criteria!$B$20&amp;" mm. ","")&amp;IF(AND(AD54&lt;&gt;"",AD54&lt;1),"FAIL: sliding. ","")&amp;IF(AND(D54="Reverse L-Wall (toe only, at boundary)",N(S54)&gt;0),"NOTE: reverse L-wall should have no heel. ","")&amp;IF(AND(D54="L-Wall (heel only)",N(R54)&gt;0),"NOTE: L-wall should have no toe. ","")&amp;IF(AND(F54&lt;&gt;"",F54&lt;SG_Criteria!$B$31),"NOTE: q below LTA min "&amp;SG_Criteria!$B$31&amp;" kPa (not for LTA works). ","")))</f>
        <v/>
      </c>
      <c r="BK54" s="9"/>
      <c r="BL54" s="9"/>
      <c r="BM54" s="9"/>
      <c r="BN54" s="10" t="str">
        <f aca="false">IF(BM54="","",IFERROR(VLOOKUP(BM54,Projects!$A$5:$D$504,2,0),"Ref not in Projects"))</f>
        <v/>
      </c>
      <c r="BO54" s="10" t="str">
        <f aca="false">IF(BM54="","",IFERROR(VLOOKUP(BM54,Projects!$A$5:$D$504,4,0),"Ref not in Projects"))</f>
        <v/>
      </c>
      <c r="BP54" s="9"/>
      <c r="BQ54" s="9"/>
      <c r="BR54" s="9"/>
      <c r="BS54" s="40"/>
      <c r="BT54" s="9"/>
      <c r="BU54" s="40"/>
      <c r="BV54" s="9"/>
      <c r="BW54" s="40"/>
      <c r="BX54" s="9"/>
      <c r="BY54" s="9"/>
      <c r="BZ54" s="9"/>
      <c r="CA54" s="40"/>
      <c r="CB54" s="40"/>
      <c r="CC54" s="36" t="str">
        <f aca="false">IF(CB54="","",EDATE(CB54,SG_Criteria!$B$54*12))</f>
        <v/>
      </c>
      <c r="CD54" s="33" t="str">
        <f aca="true">IF(A54="","",IF(CB54="","NOTE: not reviewed yet",IF(TODAY()&gt;CC54,"NOTE: review overdue","OK")))</f>
        <v/>
      </c>
      <c r="CE54" s="37" t="str">
        <f aca="false">IF(A54="","",ROUND((IF(LEN(D54)&gt;0,1,0)+IF(LEN(E54)&gt;0,1,0)+IF(LEN(F54)&gt;0,1,0)+IF(LEN(G54)&gt;0,1,0)+IF(LEN(I54)&gt;0,1,0)+IF(LEN(K54)&gt;0,1,0)+IF(LEN(P54)&gt;0,1,0)+IF(LEN(Q54)&gt;0,1,0)+IF(LEN(T54)&gt;0,1,0)+IF(LEN(V54)&gt;0,1,0)+IF(LEN(W54)&gt;0,1,0)+IF(LEN(X54)&gt;0,1,0)+IF(LEN(Z54)&gt;0,1,0)+IF(LEN(AD54)&gt;0,1,0)+IF(LEN(AE54)&gt;0,1,0)+IF(LEN(AG54)&gt;0,1,0)+IF(LEN(AI54)&gt;0,1,0)+IF(LEN(BB54)&gt;0,1,0)+IF(LEN(BC54)&gt;0,1,0)+IF(LEN(AM54)&gt;0,1,0)+IF(LEN(AO54)&gt;0,1,0)+IF(LEN(AP54)&gt;0,1,0)+IF(LEN(AQ54)&gt;0,1,0)+IF(LEN(AR54)&gt;0,1,0)+IF(LEN(BA54)&gt;0,1,0)+IF(LEN(BM54)&gt;0,1,0)+IF(LEN(BZ54)&gt;0,1,0))/27,2))</f>
        <v/>
      </c>
      <c r="CF54" s="10" t="str">
        <f aca="false">IF(D54="","",IF(AND(AP54="Approved",ISERROR(SEARCH("FAIL",BJ54))),"Y","N"))</f>
        <v/>
      </c>
      <c r="CG54" s="10" t="str">
        <f aca="false">IF(D54="","",D54&amp;"|"&amp;E54&amp;"|"&amp;F54&amp;"|"&amp;G54&amp;"|"&amp;CF54)</f>
        <v/>
      </c>
    </row>
    <row r="55" customFormat="false" ht="15" hidden="false" customHeight="false" outlineLevel="0" collapsed="false">
      <c r="A55" s="10" t="str">
        <f aca="false">IF(D55="","","RW-"&amp;IFERROR(VLOOKUP(D55,Lists!$M$4:$N$22,2,0),"??")&amp;"-H"&amp;TEXT(E55*1000,"0000")&amp;"-S"&amp;F55&amp;IF(G55="Y","-GW","")&amp;"-"&amp;AO55)</f>
        <v/>
      </c>
      <c r="B55" s="10" t="str">
        <f aca="false">IF(D55="","",D55&amp;", H = "&amp;TEXT(E55,"0.0")&amp;" m, q = "&amp;F55&amp;" kPa"&amp;IF(G55="Y",", with GWT","")&amp;", "&amp;I55)</f>
        <v/>
      </c>
      <c r="C55" s="9"/>
      <c r="D55" s="9"/>
      <c r="E55" s="39"/>
      <c r="F55" s="38"/>
      <c r="G55" s="9"/>
      <c r="H55" s="38"/>
      <c r="I55" s="9"/>
      <c r="J55" s="38"/>
      <c r="K55" s="38"/>
      <c r="L55" s="38"/>
      <c r="M55" s="42"/>
      <c r="N55" s="9"/>
      <c r="O55" s="38"/>
      <c r="P55" s="38"/>
      <c r="Q55" s="38"/>
      <c r="R55" s="38"/>
      <c r="S55" s="38"/>
      <c r="T55" s="38"/>
      <c r="U55" s="9"/>
      <c r="V55" s="9"/>
      <c r="W55" s="38"/>
      <c r="X55" s="9"/>
      <c r="Y55" s="9"/>
      <c r="Z55" s="9"/>
      <c r="AA55" s="9"/>
      <c r="AB55" s="9"/>
      <c r="AC55" s="9"/>
      <c r="AD55" s="39"/>
      <c r="AE55" s="39"/>
      <c r="AF55" s="39"/>
      <c r="AG55" s="38"/>
      <c r="AH55" s="38"/>
      <c r="AI55" s="9"/>
      <c r="AJ55" s="38"/>
      <c r="AK55" s="9"/>
      <c r="AL55" s="39"/>
      <c r="AM55" s="9"/>
      <c r="AN55" s="9"/>
      <c r="AO55" s="9"/>
      <c r="AP55" s="9"/>
      <c r="AQ55" s="9"/>
      <c r="AR55" s="9"/>
      <c r="AS55" s="9"/>
      <c r="AT55" s="10" t="str">
        <f aca="false">IF(A55="","",SG_Criteria!$B$6&amp;SG_Criteria!$B$8&amp;"\"&amp;A55&amp;"\")</f>
        <v/>
      </c>
      <c r="AU55" s="10" t="str">
        <f aca="false">IF(A55="","",A55&amp;"_CAD.dwg")</f>
        <v/>
      </c>
      <c r="AV55" s="10" t="str">
        <f aca="false">IF(A55="","",A55&amp;"_DWG.pdf")</f>
        <v/>
      </c>
      <c r="AW55" s="10" t="str">
        <f aca="false">IF(A55="","",IF(AS55="Y",A55&amp;"_STAAD.std","n/a"))</f>
        <v/>
      </c>
      <c r="AX55" s="10" t="str">
        <f aca="false">IF(A55="","",A55&amp;"_CALC.xlsx")</f>
        <v/>
      </c>
      <c r="AY55" s="10" t="str">
        <f aca="false">IF(A55="","",A55&amp;"_CALC.pdf")</f>
        <v/>
      </c>
      <c r="AZ55" s="9"/>
      <c r="BA55" s="9"/>
      <c r="BB55" s="39"/>
      <c r="BC55" s="39"/>
      <c r="BD55" s="39"/>
      <c r="BE55" s="39"/>
      <c r="BF55" s="39"/>
      <c r="BG55" s="12" t="str">
        <f aca="false">IF(A55="","",IF(COUNTIF(Rebar_Schedule!$A$5:$A$2004,A55)=0,"",ROUND(SUMIF(Rebar_Schedule!$A$5:$A$2004,A55,Rebar_Schedule!$K$5:$K$2004),1)))</f>
        <v/>
      </c>
      <c r="BH55" s="33" t="str">
        <f aca="false">IF(A55="","",IF(BG55="","No rebar schedule yet",IF(ABS(BG55-N(BC55))/MAX(N(BC55),1)&gt;SG_Criteria!$B$55,"NOTE: register rebar differs from schedule by "&amp;TEXT(ABS(BG55-N(BC55))/MAX(N(BC55),1),"0%"),"OK")))</f>
        <v/>
      </c>
      <c r="BI55" s="33" t="str">
        <f aca="false">IF(OR(D55="",E55=""),"",IF(E55&lt;=IF(OR(D55="Block / Segmental",D55="Gabion",D55="Reinforced Earth (MSE)"),SG_Criteria!$B$34,SG_Criteria!$B$33),"No ERSS submission",IF(E55&lt;=SG_Criteria!$B$35,"QP(ST)",IF(E55&lt;=SG_Criteria!$B$36,"QP(ST) + AC","Geotechnical building works: QP(Geo) + AC"))))</f>
        <v/>
      </c>
      <c r="BJ55" s="33" t="str">
        <f aca="false">IF(D55="","",IF(LEN(IF(AND(V55&lt;&gt;"",IFERROR(VALUE(MID(V55,2,2)),0)&lt;SG_Criteria!$B$19),"FAIL: grade below C"&amp;SG_Criteria!$B$19&amp;". ","")&amp;IF(AND(W55&lt;&gt;"",W55&lt;SG_Criteria!$B$20),"FAIL: cover &lt; "&amp;SG_Criteria!$B$20&amp;" mm. ","")&amp;IF(AND(AD55&lt;&gt;"",AD55&lt;1),"FAIL: sliding. ","")&amp;IF(AND(D55="Reverse L-Wall (toe only, at boundary)",N(S55)&gt;0),"NOTE: reverse L-wall should have no heel. ","")&amp;IF(AND(D55="L-Wall (heel only)",N(R55)&gt;0),"NOTE: L-wall should have no toe. ","")&amp;IF(AND(F55&lt;&gt;"",F55&lt;SG_Criteria!$B$31),"NOTE: q below LTA min "&amp;SG_Criteria!$B$31&amp;" kPa (not for LTA works). ",""))=0,"OK",IF(AND(V55&lt;&gt;"",IFERROR(VALUE(MID(V55,2,2)),0)&lt;SG_Criteria!$B$19),"FAIL: grade below C"&amp;SG_Criteria!$B$19&amp;". ","")&amp;IF(AND(W55&lt;&gt;"",W55&lt;SG_Criteria!$B$20),"FAIL: cover &lt; "&amp;SG_Criteria!$B$20&amp;" mm. ","")&amp;IF(AND(AD55&lt;&gt;"",AD55&lt;1),"FAIL: sliding. ","")&amp;IF(AND(D55="Reverse L-Wall (toe only, at boundary)",N(S55)&gt;0),"NOTE: reverse L-wall should have no heel. ","")&amp;IF(AND(D55="L-Wall (heel only)",N(R55)&gt;0),"NOTE: L-wall should have no toe. ","")&amp;IF(AND(F55&lt;&gt;"",F55&lt;SG_Criteria!$B$31),"NOTE: q below LTA min "&amp;SG_Criteria!$B$31&amp;" kPa (not for LTA works). ","")))</f>
        <v/>
      </c>
      <c r="BK55" s="9"/>
      <c r="BL55" s="9"/>
      <c r="BM55" s="9"/>
      <c r="BN55" s="10" t="str">
        <f aca="false">IF(BM55="","",IFERROR(VLOOKUP(BM55,Projects!$A$5:$D$504,2,0),"Ref not in Projects"))</f>
        <v/>
      </c>
      <c r="BO55" s="10" t="str">
        <f aca="false">IF(BM55="","",IFERROR(VLOOKUP(BM55,Projects!$A$5:$D$504,4,0),"Ref not in Projects"))</f>
        <v/>
      </c>
      <c r="BP55" s="9"/>
      <c r="BQ55" s="9"/>
      <c r="BR55" s="9"/>
      <c r="BS55" s="40"/>
      <c r="BT55" s="9"/>
      <c r="BU55" s="40"/>
      <c r="BV55" s="9"/>
      <c r="BW55" s="40"/>
      <c r="BX55" s="9"/>
      <c r="BY55" s="9"/>
      <c r="BZ55" s="9"/>
      <c r="CA55" s="40"/>
      <c r="CB55" s="40"/>
      <c r="CC55" s="36" t="str">
        <f aca="false">IF(CB55="","",EDATE(CB55,SG_Criteria!$B$54*12))</f>
        <v/>
      </c>
      <c r="CD55" s="33" t="str">
        <f aca="true">IF(A55="","",IF(CB55="","NOTE: not reviewed yet",IF(TODAY()&gt;CC55,"NOTE: review overdue","OK")))</f>
        <v/>
      </c>
      <c r="CE55" s="37" t="str">
        <f aca="false">IF(A55="","",ROUND((IF(LEN(D55)&gt;0,1,0)+IF(LEN(E55)&gt;0,1,0)+IF(LEN(F55)&gt;0,1,0)+IF(LEN(G55)&gt;0,1,0)+IF(LEN(I55)&gt;0,1,0)+IF(LEN(K55)&gt;0,1,0)+IF(LEN(P55)&gt;0,1,0)+IF(LEN(Q55)&gt;0,1,0)+IF(LEN(T55)&gt;0,1,0)+IF(LEN(V55)&gt;0,1,0)+IF(LEN(W55)&gt;0,1,0)+IF(LEN(X55)&gt;0,1,0)+IF(LEN(Z55)&gt;0,1,0)+IF(LEN(AD55)&gt;0,1,0)+IF(LEN(AE55)&gt;0,1,0)+IF(LEN(AG55)&gt;0,1,0)+IF(LEN(AI55)&gt;0,1,0)+IF(LEN(BB55)&gt;0,1,0)+IF(LEN(BC55)&gt;0,1,0)+IF(LEN(AM55)&gt;0,1,0)+IF(LEN(AO55)&gt;0,1,0)+IF(LEN(AP55)&gt;0,1,0)+IF(LEN(AQ55)&gt;0,1,0)+IF(LEN(AR55)&gt;0,1,0)+IF(LEN(BA55)&gt;0,1,0)+IF(LEN(BM55)&gt;0,1,0)+IF(LEN(BZ55)&gt;0,1,0))/27,2))</f>
        <v/>
      </c>
      <c r="CF55" s="10" t="str">
        <f aca="false">IF(D55="","",IF(AND(AP55="Approved",ISERROR(SEARCH("FAIL",BJ55))),"Y","N"))</f>
        <v/>
      </c>
      <c r="CG55" s="10" t="str">
        <f aca="false">IF(D55="","",D55&amp;"|"&amp;E55&amp;"|"&amp;F55&amp;"|"&amp;G55&amp;"|"&amp;CF55)</f>
        <v/>
      </c>
    </row>
    <row r="56" customFormat="false" ht="15" hidden="false" customHeight="false" outlineLevel="0" collapsed="false">
      <c r="A56" s="10" t="str">
        <f aca="false">IF(D56="","","RW-"&amp;IFERROR(VLOOKUP(D56,Lists!$M$4:$N$22,2,0),"??")&amp;"-H"&amp;TEXT(E56*1000,"0000")&amp;"-S"&amp;F56&amp;IF(G56="Y","-GW","")&amp;"-"&amp;AO56)</f>
        <v/>
      </c>
      <c r="B56" s="10" t="str">
        <f aca="false">IF(D56="","",D56&amp;", H = "&amp;TEXT(E56,"0.0")&amp;" m, q = "&amp;F56&amp;" kPa"&amp;IF(G56="Y",", with GWT","")&amp;", "&amp;I56)</f>
        <v/>
      </c>
      <c r="C56" s="9"/>
      <c r="D56" s="9"/>
      <c r="E56" s="39"/>
      <c r="F56" s="38"/>
      <c r="G56" s="9"/>
      <c r="H56" s="38"/>
      <c r="I56" s="9"/>
      <c r="J56" s="38"/>
      <c r="K56" s="38"/>
      <c r="L56" s="38"/>
      <c r="M56" s="42"/>
      <c r="N56" s="9"/>
      <c r="O56" s="38"/>
      <c r="P56" s="38"/>
      <c r="Q56" s="38"/>
      <c r="R56" s="38"/>
      <c r="S56" s="38"/>
      <c r="T56" s="38"/>
      <c r="U56" s="9"/>
      <c r="V56" s="9"/>
      <c r="W56" s="38"/>
      <c r="X56" s="9"/>
      <c r="Y56" s="9"/>
      <c r="Z56" s="9"/>
      <c r="AA56" s="9"/>
      <c r="AB56" s="9"/>
      <c r="AC56" s="9"/>
      <c r="AD56" s="39"/>
      <c r="AE56" s="39"/>
      <c r="AF56" s="39"/>
      <c r="AG56" s="38"/>
      <c r="AH56" s="38"/>
      <c r="AI56" s="9"/>
      <c r="AJ56" s="38"/>
      <c r="AK56" s="9"/>
      <c r="AL56" s="39"/>
      <c r="AM56" s="9"/>
      <c r="AN56" s="9"/>
      <c r="AO56" s="9"/>
      <c r="AP56" s="9"/>
      <c r="AQ56" s="9"/>
      <c r="AR56" s="9"/>
      <c r="AS56" s="9"/>
      <c r="AT56" s="10" t="str">
        <f aca="false">IF(A56="","",SG_Criteria!$B$6&amp;SG_Criteria!$B$8&amp;"\"&amp;A56&amp;"\")</f>
        <v/>
      </c>
      <c r="AU56" s="10" t="str">
        <f aca="false">IF(A56="","",A56&amp;"_CAD.dwg")</f>
        <v/>
      </c>
      <c r="AV56" s="10" t="str">
        <f aca="false">IF(A56="","",A56&amp;"_DWG.pdf")</f>
        <v/>
      </c>
      <c r="AW56" s="10" t="str">
        <f aca="false">IF(A56="","",IF(AS56="Y",A56&amp;"_STAAD.std","n/a"))</f>
        <v/>
      </c>
      <c r="AX56" s="10" t="str">
        <f aca="false">IF(A56="","",A56&amp;"_CALC.xlsx")</f>
        <v/>
      </c>
      <c r="AY56" s="10" t="str">
        <f aca="false">IF(A56="","",A56&amp;"_CALC.pdf")</f>
        <v/>
      </c>
      <c r="AZ56" s="9"/>
      <c r="BA56" s="9"/>
      <c r="BB56" s="39"/>
      <c r="BC56" s="39"/>
      <c r="BD56" s="39"/>
      <c r="BE56" s="39"/>
      <c r="BF56" s="39"/>
      <c r="BG56" s="12" t="str">
        <f aca="false">IF(A56="","",IF(COUNTIF(Rebar_Schedule!$A$5:$A$2004,A56)=0,"",ROUND(SUMIF(Rebar_Schedule!$A$5:$A$2004,A56,Rebar_Schedule!$K$5:$K$2004),1)))</f>
        <v/>
      </c>
      <c r="BH56" s="33" t="str">
        <f aca="false">IF(A56="","",IF(BG56="","No rebar schedule yet",IF(ABS(BG56-N(BC56))/MAX(N(BC56),1)&gt;SG_Criteria!$B$55,"NOTE: register rebar differs from schedule by "&amp;TEXT(ABS(BG56-N(BC56))/MAX(N(BC56),1),"0%"),"OK")))</f>
        <v/>
      </c>
      <c r="BI56" s="33" t="str">
        <f aca="false">IF(OR(D56="",E56=""),"",IF(E56&lt;=IF(OR(D56="Block / Segmental",D56="Gabion",D56="Reinforced Earth (MSE)"),SG_Criteria!$B$34,SG_Criteria!$B$33),"No ERSS submission",IF(E56&lt;=SG_Criteria!$B$35,"QP(ST)",IF(E56&lt;=SG_Criteria!$B$36,"QP(ST) + AC","Geotechnical building works: QP(Geo) + AC"))))</f>
        <v/>
      </c>
      <c r="BJ56" s="33" t="str">
        <f aca="false">IF(D56="","",IF(LEN(IF(AND(V56&lt;&gt;"",IFERROR(VALUE(MID(V56,2,2)),0)&lt;SG_Criteria!$B$19),"FAIL: grade below C"&amp;SG_Criteria!$B$19&amp;". ","")&amp;IF(AND(W56&lt;&gt;"",W56&lt;SG_Criteria!$B$20),"FAIL: cover &lt; "&amp;SG_Criteria!$B$20&amp;" mm. ","")&amp;IF(AND(AD56&lt;&gt;"",AD56&lt;1),"FAIL: sliding. ","")&amp;IF(AND(D56="Reverse L-Wall (toe only, at boundary)",N(S56)&gt;0),"NOTE: reverse L-wall should have no heel. ","")&amp;IF(AND(D56="L-Wall (heel only)",N(R56)&gt;0),"NOTE: L-wall should have no toe. ","")&amp;IF(AND(F56&lt;&gt;"",F56&lt;SG_Criteria!$B$31),"NOTE: q below LTA min "&amp;SG_Criteria!$B$31&amp;" kPa (not for LTA works). ",""))=0,"OK",IF(AND(V56&lt;&gt;"",IFERROR(VALUE(MID(V56,2,2)),0)&lt;SG_Criteria!$B$19),"FAIL: grade below C"&amp;SG_Criteria!$B$19&amp;". ","")&amp;IF(AND(W56&lt;&gt;"",W56&lt;SG_Criteria!$B$20),"FAIL: cover &lt; "&amp;SG_Criteria!$B$20&amp;" mm. ","")&amp;IF(AND(AD56&lt;&gt;"",AD56&lt;1),"FAIL: sliding. ","")&amp;IF(AND(D56="Reverse L-Wall (toe only, at boundary)",N(S56)&gt;0),"NOTE: reverse L-wall should have no heel. ","")&amp;IF(AND(D56="L-Wall (heel only)",N(R56)&gt;0),"NOTE: L-wall should have no toe. ","")&amp;IF(AND(F56&lt;&gt;"",F56&lt;SG_Criteria!$B$31),"NOTE: q below LTA min "&amp;SG_Criteria!$B$31&amp;" kPa (not for LTA works). ","")))</f>
        <v/>
      </c>
      <c r="BK56" s="9"/>
      <c r="BL56" s="9"/>
      <c r="BM56" s="9"/>
      <c r="BN56" s="10" t="str">
        <f aca="false">IF(BM56="","",IFERROR(VLOOKUP(BM56,Projects!$A$5:$D$504,2,0),"Ref not in Projects"))</f>
        <v/>
      </c>
      <c r="BO56" s="10" t="str">
        <f aca="false">IF(BM56="","",IFERROR(VLOOKUP(BM56,Projects!$A$5:$D$504,4,0),"Ref not in Projects"))</f>
        <v/>
      </c>
      <c r="BP56" s="9"/>
      <c r="BQ56" s="9"/>
      <c r="BR56" s="9"/>
      <c r="BS56" s="40"/>
      <c r="BT56" s="9"/>
      <c r="BU56" s="40"/>
      <c r="BV56" s="9"/>
      <c r="BW56" s="40"/>
      <c r="BX56" s="9"/>
      <c r="BY56" s="9"/>
      <c r="BZ56" s="9"/>
      <c r="CA56" s="40"/>
      <c r="CB56" s="40"/>
      <c r="CC56" s="36" t="str">
        <f aca="false">IF(CB56="","",EDATE(CB56,SG_Criteria!$B$54*12))</f>
        <v/>
      </c>
      <c r="CD56" s="33" t="str">
        <f aca="true">IF(A56="","",IF(CB56="","NOTE: not reviewed yet",IF(TODAY()&gt;CC56,"NOTE: review overdue","OK")))</f>
        <v/>
      </c>
      <c r="CE56" s="37" t="str">
        <f aca="false">IF(A56="","",ROUND((IF(LEN(D56)&gt;0,1,0)+IF(LEN(E56)&gt;0,1,0)+IF(LEN(F56)&gt;0,1,0)+IF(LEN(G56)&gt;0,1,0)+IF(LEN(I56)&gt;0,1,0)+IF(LEN(K56)&gt;0,1,0)+IF(LEN(P56)&gt;0,1,0)+IF(LEN(Q56)&gt;0,1,0)+IF(LEN(T56)&gt;0,1,0)+IF(LEN(V56)&gt;0,1,0)+IF(LEN(W56)&gt;0,1,0)+IF(LEN(X56)&gt;0,1,0)+IF(LEN(Z56)&gt;0,1,0)+IF(LEN(AD56)&gt;0,1,0)+IF(LEN(AE56)&gt;0,1,0)+IF(LEN(AG56)&gt;0,1,0)+IF(LEN(AI56)&gt;0,1,0)+IF(LEN(BB56)&gt;0,1,0)+IF(LEN(BC56)&gt;0,1,0)+IF(LEN(AM56)&gt;0,1,0)+IF(LEN(AO56)&gt;0,1,0)+IF(LEN(AP56)&gt;0,1,0)+IF(LEN(AQ56)&gt;0,1,0)+IF(LEN(AR56)&gt;0,1,0)+IF(LEN(BA56)&gt;0,1,0)+IF(LEN(BM56)&gt;0,1,0)+IF(LEN(BZ56)&gt;0,1,0))/27,2))</f>
        <v/>
      </c>
      <c r="CF56" s="10" t="str">
        <f aca="false">IF(D56="","",IF(AND(AP56="Approved",ISERROR(SEARCH("FAIL",BJ56))),"Y","N"))</f>
        <v/>
      </c>
      <c r="CG56" s="10" t="str">
        <f aca="false">IF(D56="","",D56&amp;"|"&amp;E56&amp;"|"&amp;F56&amp;"|"&amp;G56&amp;"|"&amp;CF56)</f>
        <v/>
      </c>
    </row>
    <row r="57" customFormat="false" ht="15" hidden="false" customHeight="false" outlineLevel="0" collapsed="false">
      <c r="A57" s="10" t="str">
        <f aca="false">IF(D57="","","RW-"&amp;IFERROR(VLOOKUP(D57,Lists!$M$4:$N$22,2,0),"??")&amp;"-H"&amp;TEXT(E57*1000,"0000")&amp;"-S"&amp;F57&amp;IF(G57="Y","-GW","")&amp;"-"&amp;AO57)</f>
        <v/>
      </c>
      <c r="B57" s="10" t="str">
        <f aca="false">IF(D57="","",D57&amp;", H = "&amp;TEXT(E57,"0.0")&amp;" m, q = "&amp;F57&amp;" kPa"&amp;IF(G57="Y",", with GWT","")&amp;", "&amp;I57)</f>
        <v/>
      </c>
      <c r="C57" s="9"/>
      <c r="D57" s="9"/>
      <c r="E57" s="39"/>
      <c r="F57" s="38"/>
      <c r="G57" s="9"/>
      <c r="H57" s="38"/>
      <c r="I57" s="9"/>
      <c r="J57" s="38"/>
      <c r="K57" s="38"/>
      <c r="L57" s="38"/>
      <c r="M57" s="42"/>
      <c r="N57" s="9"/>
      <c r="O57" s="38"/>
      <c r="P57" s="38"/>
      <c r="Q57" s="38"/>
      <c r="R57" s="38"/>
      <c r="S57" s="38"/>
      <c r="T57" s="38"/>
      <c r="U57" s="9"/>
      <c r="V57" s="9"/>
      <c r="W57" s="38"/>
      <c r="X57" s="9"/>
      <c r="Y57" s="9"/>
      <c r="Z57" s="9"/>
      <c r="AA57" s="9"/>
      <c r="AB57" s="9"/>
      <c r="AC57" s="9"/>
      <c r="AD57" s="39"/>
      <c r="AE57" s="39"/>
      <c r="AF57" s="39"/>
      <c r="AG57" s="38"/>
      <c r="AH57" s="38"/>
      <c r="AI57" s="9"/>
      <c r="AJ57" s="38"/>
      <c r="AK57" s="9"/>
      <c r="AL57" s="39"/>
      <c r="AM57" s="9"/>
      <c r="AN57" s="9"/>
      <c r="AO57" s="9"/>
      <c r="AP57" s="9"/>
      <c r="AQ57" s="9"/>
      <c r="AR57" s="9"/>
      <c r="AS57" s="9"/>
      <c r="AT57" s="10" t="str">
        <f aca="false">IF(A57="","",SG_Criteria!$B$6&amp;SG_Criteria!$B$8&amp;"\"&amp;A57&amp;"\")</f>
        <v/>
      </c>
      <c r="AU57" s="10" t="str">
        <f aca="false">IF(A57="","",A57&amp;"_CAD.dwg")</f>
        <v/>
      </c>
      <c r="AV57" s="10" t="str">
        <f aca="false">IF(A57="","",A57&amp;"_DWG.pdf")</f>
        <v/>
      </c>
      <c r="AW57" s="10" t="str">
        <f aca="false">IF(A57="","",IF(AS57="Y",A57&amp;"_STAAD.std","n/a"))</f>
        <v/>
      </c>
      <c r="AX57" s="10" t="str">
        <f aca="false">IF(A57="","",A57&amp;"_CALC.xlsx")</f>
        <v/>
      </c>
      <c r="AY57" s="10" t="str">
        <f aca="false">IF(A57="","",A57&amp;"_CALC.pdf")</f>
        <v/>
      </c>
      <c r="AZ57" s="9"/>
      <c r="BA57" s="9"/>
      <c r="BB57" s="39"/>
      <c r="BC57" s="39"/>
      <c r="BD57" s="39"/>
      <c r="BE57" s="39"/>
      <c r="BF57" s="39"/>
      <c r="BG57" s="12" t="str">
        <f aca="false">IF(A57="","",IF(COUNTIF(Rebar_Schedule!$A$5:$A$2004,A57)=0,"",ROUND(SUMIF(Rebar_Schedule!$A$5:$A$2004,A57,Rebar_Schedule!$K$5:$K$2004),1)))</f>
        <v/>
      </c>
      <c r="BH57" s="33" t="str">
        <f aca="false">IF(A57="","",IF(BG57="","No rebar schedule yet",IF(ABS(BG57-N(BC57))/MAX(N(BC57),1)&gt;SG_Criteria!$B$55,"NOTE: register rebar differs from schedule by "&amp;TEXT(ABS(BG57-N(BC57))/MAX(N(BC57),1),"0%"),"OK")))</f>
        <v/>
      </c>
      <c r="BI57" s="33" t="str">
        <f aca="false">IF(OR(D57="",E57=""),"",IF(E57&lt;=IF(OR(D57="Block / Segmental",D57="Gabion",D57="Reinforced Earth (MSE)"),SG_Criteria!$B$34,SG_Criteria!$B$33),"No ERSS submission",IF(E57&lt;=SG_Criteria!$B$35,"QP(ST)",IF(E57&lt;=SG_Criteria!$B$36,"QP(ST) + AC","Geotechnical building works: QP(Geo) + AC"))))</f>
        <v/>
      </c>
      <c r="BJ57" s="33" t="str">
        <f aca="false">IF(D57="","",IF(LEN(IF(AND(V57&lt;&gt;"",IFERROR(VALUE(MID(V57,2,2)),0)&lt;SG_Criteria!$B$19),"FAIL: grade below C"&amp;SG_Criteria!$B$19&amp;". ","")&amp;IF(AND(W57&lt;&gt;"",W57&lt;SG_Criteria!$B$20),"FAIL: cover &lt; "&amp;SG_Criteria!$B$20&amp;" mm. ","")&amp;IF(AND(AD57&lt;&gt;"",AD57&lt;1),"FAIL: sliding. ","")&amp;IF(AND(D57="Reverse L-Wall (toe only, at boundary)",N(S57)&gt;0),"NOTE: reverse L-wall should have no heel. ","")&amp;IF(AND(D57="L-Wall (heel only)",N(R57)&gt;0),"NOTE: L-wall should have no toe. ","")&amp;IF(AND(F57&lt;&gt;"",F57&lt;SG_Criteria!$B$31),"NOTE: q below LTA min "&amp;SG_Criteria!$B$31&amp;" kPa (not for LTA works). ",""))=0,"OK",IF(AND(V57&lt;&gt;"",IFERROR(VALUE(MID(V57,2,2)),0)&lt;SG_Criteria!$B$19),"FAIL: grade below C"&amp;SG_Criteria!$B$19&amp;". ","")&amp;IF(AND(W57&lt;&gt;"",W57&lt;SG_Criteria!$B$20),"FAIL: cover &lt; "&amp;SG_Criteria!$B$20&amp;" mm. ","")&amp;IF(AND(AD57&lt;&gt;"",AD57&lt;1),"FAIL: sliding. ","")&amp;IF(AND(D57="Reverse L-Wall (toe only, at boundary)",N(S57)&gt;0),"NOTE: reverse L-wall should have no heel. ","")&amp;IF(AND(D57="L-Wall (heel only)",N(R57)&gt;0),"NOTE: L-wall should have no toe. ","")&amp;IF(AND(F57&lt;&gt;"",F57&lt;SG_Criteria!$B$31),"NOTE: q below LTA min "&amp;SG_Criteria!$B$31&amp;" kPa (not for LTA works). ","")))</f>
        <v/>
      </c>
      <c r="BK57" s="9"/>
      <c r="BL57" s="9"/>
      <c r="BM57" s="9"/>
      <c r="BN57" s="10" t="str">
        <f aca="false">IF(BM57="","",IFERROR(VLOOKUP(BM57,Projects!$A$5:$D$504,2,0),"Ref not in Projects"))</f>
        <v/>
      </c>
      <c r="BO57" s="10" t="str">
        <f aca="false">IF(BM57="","",IFERROR(VLOOKUP(BM57,Projects!$A$5:$D$504,4,0),"Ref not in Projects"))</f>
        <v/>
      </c>
      <c r="BP57" s="9"/>
      <c r="BQ57" s="9"/>
      <c r="BR57" s="9"/>
      <c r="BS57" s="40"/>
      <c r="BT57" s="9"/>
      <c r="BU57" s="40"/>
      <c r="BV57" s="9"/>
      <c r="BW57" s="40"/>
      <c r="BX57" s="9"/>
      <c r="BY57" s="9"/>
      <c r="BZ57" s="9"/>
      <c r="CA57" s="40"/>
      <c r="CB57" s="40"/>
      <c r="CC57" s="36" t="str">
        <f aca="false">IF(CB57="","",EDATE(CB57,SG_Criteria!$B$54*12))</f>
        <v/>
      </c>
      <c r="CD57" s="33" t="str">
        <f aca="true">IF(A57="","",IF(CB57="","NOTE: not reviewed yet",IF(TODAY()&gt;CC57,"NOTE: review overdue","OK")))</f>
        <v/>
      </c>
      <c r="CE57" s="37" t="str">
        <f aca="false">IF(A57="","",ROUND((IF(LEN(D57)&gt;0,1,0)+IF(LEN(E57)&gt;0,1,0)+IF(LEN(F57)&gt;0,1,0)+IF(LEN(G57)&gt;0,1,0)+IF(LEN(I57)&gt;0,1,0)+IF(LEN(K57)&gt;0,1,0)+IF(LEN(P57)&gt;0,1,0)+IF(LEN(Q57)&gt;0,1,0)+IF(LEN(T57)&gt;0,1,0)+IF(LEN(V57)&gt;0,1,0)+IF(LEN(W57)&gt;0,1,0)+IF(LEN(X57)&gt;0,1,0)+IF(LEN(Z57)&gt;0,1,0)+IF(LEN(AD57)&gt;0,1,0)+IF(LEN(AE57)&gt;0,1,0)+IF(LEN(AG57)&gt;0,1,0)+IF(LEN(AI57)&gt;0,1,0)+IF(LEN(BB57)&gt;0,1,0)+IF(LEN(BC57)&gt;0,1,0)+IF(LEN(AM57)&gt;0,1,0)+IF(LEN(AO57)&gt;0,1,0)+IF(LEN(AP57)&gt;0,1,0)+IF(LEN(AQ57)&gt;0,1,0)+IF(LEN(AR57)&gt;0,1,0)+IF(LEN(BA57)&gt;0,1,0)+IF(LEN(BM57)&gt;0,1,0)+IF(LEN(BZ57)&gt;0,1,0))/27,2))</f>
        <v/>
      </c>
      <c r="CF57" s="10" t="str">
        <f aca="false">IF(D57="","",IF(AND(AP57="Approved",ISERROR(SEARCH("FAIL",BJ57))),"Y","N"))</f>
        <v/>
      </c>
      <c r="CG57" s="10" t="str">
        <f aca="false">IF(D57="","",D57&amp;"|"&amp;E57&amp;"|"&amp;F57&amp;"|"&amp;G57&amp;"|"&amp;CF57)</f>
        <v/>
      </c>
    </row>
    <row r="58" customFormat="false" ht="15" hidden="false" customHeight="false" outlineLevel="0" collapsed="false">
      <c r="A58" s="10" t="str">
        <f aca="false">IF(D58="","","RW-"&amp;IFERROR(VLOOKUP(D58,Lists!$M$4:$N$22,2,0),"??")&amp;"-H"&amp;TEXT(E58*1000,"0000")&amp;"-S"&amp;F58&amp;IF(G58="Y","-GW","")&amp;"-"&amp;AO58)</f>
        <v/>
      </c>
      <c r="B58" s="10" t="str">
        <f aca="false">IF(D58="","",D58&amp;", H = "&amp;TEXT(E58,"0.0")&amp;" m, q = "&amp;F58&amp;" kPa"&amp;IF(G58="Y",", with GWT","")&amp;", "&amp;I58)</f>
        <v/>
      </c>
      <c r="C58" s="9"/>
      <c r="D58" s="9"/>
      <c r="E58" s="39"/>
      <c r="F58" s="38"/>
      <c r="G58" s="9"/>
      <c r="H58" s="38"/>
      <c r="I58" s="9"/>
      <c r="J58" s="38"/>
      <c r="K58" s="38"/>
      <c r="L58" s="38"/>
      <c r="M58" s="42"/>
      <c r="N58" s="9"/>
      <c r="O58" s="38"/>
      <c r="P58" s="38"/>
      <c r="Q58" s="38"/>
      <c r="R58" s="38"/>
      <c r="S58" s="38"/>
      <c r="T58" s="38"/>
      <c r="U58" s="9"/>
      <c r="V58" s="9"/>
      <c r="W58" s="38"/>
      <c r="X58" s="9"/>
      <c r="Y58" s="9"/>
      <c r="Z58" s="9"/>
      <c r="AA58" s="9"/>
      <c r="AB58" s="9"/>
      <c r="AC58" s="9"/>
      <c r="AD58" s="39"/>
      <c r="AE58" s="39"/>
      <c r="AF58" s="39"/>
      <c r="AG58" s="38"/>
      <c r="AH58" s="38"/>
      <c r="AI58" s="9"/>
      <c r="AJ58" s="38"/>
      <c r="AK58" s="9"/>
      <c r="AL58" s="39"/>
      <c r="AM58" s="9"/>
      <c r="AN58" s="9"/>
      <c r="AO58" s="9"/>
      <c r="AP58" s="9"/>
      <c r="AQ58" s="9"/>
      <c r="AR58" s="9"/>
      <c r="AS58" s="9"/>
      <c r="AT58" s="10" t="str">
        <f aca="false">IF(A58="","",SG_Criteria!$B$6&amp;SG_Criteria!$B$8&amp;"\"&amp;A58&amp;"\")</f>
        <v/>
      </c>
      <c r="AU58" s="10" t="str">
        <f aca="false">IF(A58="","",A58&amp;"_CAD.dwg")</f>
        <v/>
      </c>
      <c r="AV58" s="10" t="str">
        <f aca="false">IF(A58="","",A58&amp;"_DWG.pdf")</f>
        <v/>
      </c>
      <c r="AW58" s="10" t="str">
        <f aca="false">IF(A58="","",IF(AS58="Y",A58&amp;"_STAAD.std","n/a"))</f>
        <v/>
      </c>
      <c r="AX58" s="10" t="str">
        <f aca="false">IF(A58="","",A58&amp;"_CALC.xlsx")</f>
        <v/>
      </c>
      <c r="AY58" s="10" t="str">
        <f aca="false">IF(A58="","",A58&amp;"_CALC.pdf")</f>
        <v/>
      </c>
      <c r="AZ58" s="9"/>
      <c r="BA58" s="9"/>
      <c r="BB58" s="39"/>
      <c r="BC58" s="39"/>
      <c r="BD58" s="39"/>
      <c r="BE58" s="39"/>
      <c r="BF58" s="39"/>
      <c r="BG58" s="12" t="str">
        <f aca="false">IF(A58="","",IF(COUNTIF(Rebar_Schedule!$A$5:$A$2004,A58)=0,"",ROUND(SUMIF(Rebar_Schedule!$A$5:$A$2004,A58,Rebar_Schedule!$K$5:$K$2004),1)))</f>
        <v/>
      </c>
      <c r="BH58" s="33" t="str">
        <f aca="false">IF(A58="","",IF(BG58="","No rebar schedule yet",IF(ABS(BG58-N(BC58))/MAX(N(BC58),1)&gt;SG_Criteria!$B$55,"NOTE: register rebar differs from schedule by "&amp;TEXT(ABS(BG58-N(BC58))/MAX(N(BC58),1),"0%"),"OK")))</f>
        <v/>
      </c>
      <c r="BI58" s="33" t="str">
        <f aca="false">IF(OR(D58="",E58=""),"",IF(E58&lt;=IF(OR(D58="Block / Segmental",D58="Gabion",D58="Reinforced Earth (MSE)"),SG_Criteria!$B$34,SG_Criteria!$B$33),"No ERSS submission",IF(E58&lt;=SG_Criteria!$B$35,"QP(ST)",IF(E58&lt;=SG_Criteria!$B$36,"QP(ST) + AC","Geotechnical building works: QP(Geo) + AC"))))</f>
        <v/>
      </c>
      <c r="BJ58" s="33" t="str">
        <f aca="false">IF(D58="","",IF(LEN(IF(AND(V58&lt;&gt;"",IFERROR(VALUE(MID(V58,2,2)),0)&lt;SG_Criteria!$B$19),"FAIL: grade below C"&amp;SG_Criteria!$B$19&amp;". ","")&amp;IF(AND(W58&lt;&gt;"",W58&lt;SG_Criteria!$B$20),"FAIL: cover &lt; "&amp;SG_Criteria!$B$20&amp;" mm. ","")&amp;IF(AND(AD58&lt;&gt;"",AD58&lt;1),"FAIL: sliding. ","")&amp;IF(AND(D58="Reverse L-Wall (toe only, at boundary)",N(S58)&gt;0),"NOTE: reverse L-wall should have no heel. ","")&amp;IF(AND(D58="L-Wall (heel only)",N(R58)&gt;0),"NOTE: L-wall should have no toe. ","")&amp;IF(AND(F58&lt;&gt;"",F58&lt;SG_Criteria!$B$31),"NOTE: q below LTA min "&amp;SG_Criteria!$B$31&amp;" kPa (not for LTA works). ",""))=0,"OK",IF(AND(V58&lt;&gt;"",IFERROR(VALUE(MID(V58,2,2)),0)&lt;SG_Criteria!$B$19),"FAIL: grade below C"&amp;SG_Criteria!$B$19&amp;". ","")&amp;IF(AND(W58&lt;&gt;"",W58&lt;SG_Criteria!$B$20),"FAIL: cover &lt; "&amp;SG_Criteria!$B$20&amp;" mm. ","")&amp;IF(AND(AD58&lt;&gt;"",AD58&lt;1),"FAIL: sliding. ","")&amp;IF(AND(D58="Reverse L-Wall (toe only, at boundary)",N(S58)&gt;0),"NOTE: reverse L-wall should have no heel. ","")&amp;IF(AND(D58="L-Wall (heel only)",N(R58)&gt;0),"NOTE: L-wall should have no toe. ","")&amp;IF(AND(F58&lt;&gt;"",F58&lt;SG_Criteria!$B$31),"NOTE: q below LTA min "&amp;SG_Criteria!$B$31&amp;" kPa (not for LTA works). ","")))</f>
        <v/>
      </c>
      <c r="BK58" s="9"/>
      <c r="BL58" s="9"/>
      <c r="BM58" s="9"/>
      <c r="BN58" s="10" t="str">
        <f aca="false">IF(BM58="","",IFERROR(VLOOKUP(BM58,Projects!$A$5:$D$504,2,0),"Ref not in Projects"))</f>
        <v/>
      </c>
      <c r="BO58" s="10" t="str">
        <f aca="false">IF(BM58="","",IFERROR(VLOOKUP(BM58,Projects!$A$5:$D$504,4,0),"Ref not in Projects"))</f>
        <v/>
      </c>
      <c r="BP58" s="9"/>
      <c r="BQ58" s="9"/>
      <c r="BR58" s="9"/>
      <c r="BS58" s="40"/>
      <c r="BT58" s="9"/>
      <c r="BU58" s="40"/>
      <c r="BV58" s="9"/>
      <c r="BW58" s="40"/>
      <c r="BX58" s="9"/>
      <c r="BY58" s="9"/>
      <c r="BZ58" s="9"/>
      <c r="CA58" s="40"/>
      <c r="CB58" s="40"/>
      <c r="CC58" s="36" t="str">
        <f aca="false">IF(CB58="","",EDATE(CB58,SG_Criteria!$B$54*12))</f>
        <v/>
      </c>
      <c r="CD58" s="33" t="str">
        <f aca="true">IF(A58="","",IF(CB58="","NOTE: not reviewed yet",IF(TODAY()&gt;CC58,"NOTE: review overdue","OK")))</f>
        <v/>
      </c>
      <c r="CE58" s="37" t="str">
        <f aca="false">IF(A58="","",ROUND((IF(LEN(D58)&gt;0,1,0)+IF(LEN(E58)&gt;0,1,0)+IF(LEN(F58)&gt;0,1,0)+IF(LEN(G58)&gt;0,1,0)+IF(LEN(I58)&gt;0,1,0)+IF(LEN(K58)&gt;0,1,0)+IF(LEN(P58)&gt;0,1,0)+IF(LEN(Q58)&gt;0,1,0)+IF(LEN(T58)&gt;0,1,0)+IF(LEN(V58)&gt;0,1,0)+IF(LEN(W58)&gt;0,1,0)+IF(LEN(X58)&gt;0,1,0)+IF(LEN(Z58)&gt;0,1,0)+IF(LEN(AD58)&gt;0,1,0)+IF(LEN(AE58)&gt;0,1,0)+IF(LEN(AG58)&gt;0,1,0)+IF(LEN(AI58)&gt;0,1,0)+IF(LEN(BB58)&gt;0,1,0)+IF(LEN(BC58)&gt;0,1,0)+IF(LEN(AM58)&gt;0,1,0)+IF(LEN(AO58)&gt;0,1,0)+IF(LEN(AP58)&gt;0,1,0)+IF(LEN(AQ58)&gt;0,1,0)+IF(LEN(AR58)&gt;0,1,0)+IF(LEN(BA58)&gt;0,1,0)+IF(LEN(BM58)&gt;0,1,0)+IF(LEN(BZ58)&gt;0,1,0))/27,2))</f>
        <v/>
      </c>
      <c r="CF58" s="10" t="str">
        <f aca="false">IF(D58="","",IF(AND(AP58="Approved",ISERROR(SEARCH("FAIL",BJ58))),"Y","N"))</f>
        <v/>
      </c>
      <c r="CG58" s="10" t="str">
        <f aca="false">IF(D58="","",D58&amp;"|"&amp;E58&amp;"|"&amp;F58&amp;"|"&amp;G58&amp;"|"&amp;CF58)</f>
        <v/>
      </c>
    </row>
    <row r="59" customFormat="false" ht="15" hidden="false" customHeight="false" outlineLevel="0" collapsed="false">
      <c r="A59" s="10" t="str">
        <f aca="false">IF(D59="","","RW-"&amp;IFERROR(VLOOKUP(D59,Lists!$M$4:$N$22,2,0),"??")&amp;"-H"&amp;TEXT(E59*1000,"0000")&amp;"-S"&amp;F59&amp;IF(G59="Y","-GW","")&amp;"-"&amp;AO59)</f>
        <v/>
      </c>
      <c r="B59" s="10" t="str">
        <f aca="false">IF(D59="","",D59&amp;", H = "&amp;TEXT(E59,"0.0")&amp;" m, q = "&amp;F59&amp;" kPa"&amp;IF(G59="Y",", with GWT","")&amp;", "&amp;I59)</f>
        <v/>
      </c>
      <c r="C59" s="9"/>
      <c r="D59" s="9"/>
      <c r="E59" s="39"/>
      <c r="F59" s="38"/>
      <c r="G59" s="9"/>
      <c r="H59" s="38"/>
      <c r="I59" s="9"/>
      <c r="J59" s="38"/>
      <c r="K59" s="38"/>
      <c r="L59" s="38"/>
      <c r="M59" s="42"/>
      <c r="N59" s="9"/>
      <c r="O59" s="38"/>
      <c r="P59" s="38"/>
      <c r="Q59" s="38"/>
      <c r="R59" s="38"/>
      <c r="S59" s="38"/>
      <c r="T59" s="38"/>
      <c r="U59" s="9"/>
      <c r="V59" s="9"/>
      <c r="W59" s="38"/>
      <c r="X59" s="9"/>
      <c r="Y59" s="9"/>
      <c r="Z59" s="9"/>
      <c r="AA59" s="9"/>
      <c r="AB59" s="9"/>
      <c r="AC59" s="9"/>
      <c r="AD59" s="39"/>
      <c r="AE59" s="39"/>
      <c r="AF59" s="39"/>
      <c r="AG59" s="38"/>
      <c r="AH59" s="38"/>
      <c r="AI59" s="9"/>
      <c r="AJ59" s="38"/>
      <c r="AK59" s="9"/>
      <c r="AL59" s="39"/>
      <c r="AM59" s="9"/>
      <c r="AN59" s="9"/>
      <c r="AO59" s="9"/>
      <c r="AP59" s="9"/>
      <c r="AQ59" s="9"/>
      <c r="AR59" s="9"/>
      <c r="AS59" s="9"/>
      <c r="AT59" s="10" t="str">
        <f aca="false">IF(A59="","",SG_Criteria!$B$6&amp;SG_Criteria!$B$8&amp;"\"&amp;A59&amp;"\")</f>
        <v/>
      </c>
      <c r="AU59" s="10" t="str">
        <f aca="false">IF(A59="","",A59&amp;"_CAD.dwg")</f>
        <v/>
      </c>
      <c r="AV59" s="10" t="str">
        <f aca="false">IF(A59="","",A59&amp;"_DWG.pdf")</f>
        <v/>
      </c>
      <c r="AW59" s="10" t="str">
        <f aca="false">IF(A59="","",IF(AS59="Y",A59&amp;"_STAAD.std","n/a"))</f>
        <v/>
      </c>
      <c r="AX59" s="10" t="str">
        <f aca="false">IF(A59="","",A59&amp;"_CALC.xlsx")</f>
        <v/>
      </c>
      <c r="AY59" s="10" t="str">
        <f aca="false">IF(A59="","",A59&amp;"_CALC.pdf")</f>
        <v/>
      </c>
      <c r="AZ59" s="9"/>
      <c r="BA59" s="9"/>
      <c r="BB59" s="39"/>
      <c r="BC59" s="39"/>
      <c r="BD59" s="39"/>
      <c r="BE59" s="39"/>
      <c r="BF59" s="39"/>
      <c r="BG59" s="12" t="str">
        <f aca="false">IF(A59="","",IF(COUNTIF(Rebar_Schedule!$A$5:$A$2004,A59)=0,"",ROUND(SUMIF(Rebar_Schedule!$A$5:$A$2004,A59,Rebar_Schedule!$K$5:$K$2004),1)))</f>
        <v/>
      </c>
      <c r="BH59" s="33" t="str">
        <f aca="false">IF(A59="","",IF(BG59="","No rebar schedule yet",IF(ABS(BG59-N(BC59))/MAX(N(BC59),1)&gt;SG_Criteria!$B$55,"NOTE: register rebar differs from schedule by "&amp;TEXT(ABS(BG59-N(BC59))/MAX(N(BC59),1),"0%"),"OK")))</f>
        <v/>
      </c>
      <c r="BI59" s="33" t="str">
        <f aca="false">IF(OR(D59="",E59=""),"",IF(E59&lt;=IF(OR(D59="Block / Segmental",D59="Gabion",D59="Reinforced Earth (MSE)"),SG_Criteria!$B$34,SG_Criteria!$B$33),"No ERSS submission",IF(E59&lt;=SG_Criteria!$B$35,"QP(ST)",IF(E59&lt;=SG_Criteria!$B$36,"QP(ST) + AC","Geotechnical building works: QP(Geo) + AC"))))</f>
        <v/>
      </c>
      <c r="BJ59" s="33" t="str">
        <f aca="false">IF(D59="","",IF(LEN(IF(AND(V59&lt;&gt;"",IFERROR(VALUE(MID(V59,2,2)),0)&lt;SG_Criteria!$B$19),"FAIL: grade below C"&amp;SG_Criteria!$B$19&amp;". ","")&amp;IF(AND(W59&lt;&gt;"",W59&lt;SG_Criteria!$B$20),"FAIL: cover &lt; "&amp;SG_Criteria!$B$20&amp;" mm. ","")&amp;IF(AND(AD59&lt;&gt;"",AD59&lt;1),"FAIL: sliding. ","")&amp;IF(AND(D59="Reverse L-Wall (toe only, at boundary)",N(S59)&gt;0),"NOTE: reverse L-wall should have no heel. ","")&amp;IF(AND(D59="L-Wall (heel only)",N(R59)&gt;0),"NOTE: L-wall should have no toe. ","")&amp;IF(AND(F59&lt;&gt;"",F59&lt;SG_Criteria!$B$31),"NOTE: q below LTA min "&amp;SG_Criteria!$B$31&amp;" kPa (not for LTA works). ",""))=0,"OK",IF(AND(V59&lt;&gt;"",IFERROR(VALUE(MID(V59,2,2)),0)&lt;SG_Criteria!$B$19),"FAIL: grade below C"&amp;SG_Criteria!$B$19&amp;". ","")&amp;IF(AND(W59&lt;&gt;"",W59&lt;SG_Criteria!$B$20),"FAIL: cover &lt; "&amp;SG_Criteria!$B$20&amp;" mm. ","")&amp;IF(AND(AD59&lt;&gt;"",AD59&lt;1),"FAIL: sliding. ","")&amp;IF(AND(D59="Reverse L-Wall (toe only, at boundary)",N(S59)&gt;0),"NOTE: reverse L-wall should have no heel. ","")&amp;IF(AND(D59="L-Wall (heel only)",N(R59)&gt;0),"NOTE: L-wall should have no toe. ","")&amp;IF(AND(F59&lt;&gt;"",F59&lt;SG_Criteria!$B$31),"NOTE: q below LTA min "&amp;SG_Criteria!$B$31&amp;" kPa (not for LTA works). ","")))</f>
        <v/>
      </c>
      <c r="BK59" s="9"/>
      <c r="BL59" s="9"/>
      <c r="BM59" s="9"/>
      <c r="BN59" s="10" t="str">
        <f aca="false">IF(BM59="","",IFERROR(VLOOKUP(BM59,Projects!$A$5:$D$504,2,0),"Ref not in Projects"))</f>
        <v/>
      </c>
      <c r="BO59" s="10" t="str">
        <f aca="false">IF(BM59="","",IFERROR(VLOOKUP(BM59,Projects!$A$5:$D$504,4,0),"Ref not in Projects"))</f>
        <v/>
      </c>
      <c r="BP59" s="9"/>
      <c r="BQ59" s="9"/>
      <c r="BR59" s="9"/>
      <c r="BS59" s="40"/>
      <c r="BT59" s="9"/>
      <c r="BU59" s="40"/>
      <c r="BV59" s="9"/>
      <c r="BW59" s="40"/>
      <c r="BX59" s="9"/>
      <c r="BY59" s="9"/>
      <c r="BZ59" s="9"/>
      <c r="CA59" s="40"/>
      <c r="CB59" s="40"/>
      <c r="CC59" s="36" t="str">
        <f aca="false">IF(CB59="","",EDATE(CB59,SG_Criteria!$B$54*12))</f>
        <v/>
      </c>
      <c r="CD59" s="33" t="str">
        <f aca="true">IF(A59="","",IF(CB59="","NOTE: not reviewed yet",IF(TODAY()&gt;CC59,"NOTE: review overdue","OK")))</f>
        <v/>
      </c>
      <c r="CE59" s="37" t="str">
        <f aca="false">IF(A59="","",ROUND((IF(LEN(D59)&gt;0,1,0)+IF(LEN(E59)&gt;0,1,0)+IF(LEN(F59)&gt;0,1,0)+IF(LEN(G59)&gt;0,1,0)+IF(LEN(I59)&gt;0,1,0)+IF(LEN(K59)&gt;0,1,0)+IF(LEN(P59)&gt;0,1,0)+IF(LEN(Q59)&gt;0,1,0)+IF(LEN(T59)&gt;0,1,0)+IF(LEN(V59)&gt;0,1,0)+IF(LEN(W59)&gt;0,1,0)+IF(LEN(X59)&gt;0,1,0)+IF(LEN(Z59)&gt;0,1,0)+IF(LEN(AD59)&gt;0,1,0)+IF(LEN(AE59)&gt;0,1,0)+IF(LEN(AG59)&gt;0,1,0)+IF(LEN(AI59)&gt;0,1,0)+IF(LEN(BB59)&gt;0,1,0)+IF(LEN(BC59)&gt;0,1,0)+IF(LEN(AM59)&gt;0,1,0)+IF(LEN(AO59)&gt;0,1,0)+IF(LEN(AP59)&gt;0,1,0)+IF(LEN(AQ59)&gt;0,1,0)+IF(LEN(AR59)&gt;0,1,0)+IF(LEN(BA59)&gt;0,1,0)+IF(LEN(BM59)&gt;0,1,0)+IF(LEN(BZ59)&gt;0,1,0))/27,2))</f>
        <v/>
      </c>
      <c r="CF59" s="10" t="str">
        <f aca="false">IF(D59="","",IF(AND(AP59="Approved",ISERROR(SEARCH("FAIL",BJ59))),"Y","N"))</f>
        <v/>
      </c>
      <c r="CG59" s="10" t="str">
        <f aca="false">IF(D59="","",D59&amp;"|"&amp;E59&amp;"|"&amp;F59&amp;"|"&amp;G59&amp;"|"&amp;CF59)</f>
        <v/>
      </c>
    </row>
    <row r="60" customFormat="false" ht="15" hidden="false" customHeight="false" outlineLevel="0" collapsed="false">
      <c r="A60" s="10" t="str">
        <f aca="false">IF(D60="","","RW-"&amp;IFERROR(VLOOKUP(D60,Lists!$M$4:$N$22,2,0),"??")&amp;"-H"&amp;TEXT(E60*1000,"0000")&amp;"-S"&amp;F60&amp;IF(G60="Y","-GW","")&amp;"-"&amp;AO60)</f>
        <v/>
      </c>
      <c r="B60" s="10" t="str">
        <f aca="false">IF(D60="","",D60&amp;", H = "&amp;TEXT(E60,"0.0")&amp;" m, q = "&amp;F60&amp;" kPa"&amp;IF(G60="Y",", with GWT","")&amp;", "&amp;I60)</f>
        <v/>
      </c>
      <c r="C60" s="9"/>
      <c r="D60" s="9"/>
      <c r="E60" s="39"/>
      <c r="F60" s="38"/>
      <c r="G60" s="9"/>
      <c r="H60" s="38"/>
      <c r="I60" s="9"/>
      <c r="J60" s="38"/>
      <c r="K60" s="38"/>
      <c r="L60" s="38"/>
      <c r="M60" s="42"/>
      <c r="N60" s="9"/>
      <c r="O60" s="38"/>
      <c r="P60" s="38"/>
      <c r="Q60" s="38"/>
      <c r="R60" s="38"/>
      <c r="S60" s="38"/>
      <c r="T60" s="38"/>
      <c r="U60" s="9"/>
      <c r="V60" s="9"/>
      <c r="W60" s="38"/>
      <c r="X60" s="9"/>
      <c r="Y60" s="9"/>
      <c r="Z60" s="9"/>
      <c r="AA60" s="9"/>
      <c r="AB60" s="9"/>
      <c r="AC60" s="9"/>
      <c r="AD60" s="39"/>
      <c r="AE60" s="39"/>
      <c r="AF60" s="39"/>
      <c r="AG60" s="38"/>
      <c r="AH60" s="38"/>
      <c r="AI60" s="9"/>
      <c r="AJ60" s="38"/>
      <c r="AK60" s="9"/>
      <c r="AL60" s="39"/>
      <c r="AM60" s="9"/>
      <c r="AN60" s="9"/>
      <c r="AO60" s="9"/>
      <c r="AP60" s="9"/>
      <c r="AQ60" s="9"/>
      <c r="AR60" s="9"/>
      <c r="AS60" s="9"/>
      <c r="AT60" s="10" t="str">
        <f aca="false">IF(A60="","",SG_Criteria!$B$6&amp;SG_Criteria!$B$8&amp;"\"&amp;A60&amp;"\")</f>
        <v/>
      </c>
      <c r="AU60" s="10" t="str">
        <f aca="false">IF(A60="","",A60&amp;"_CAD.dwg")</f>
        <v/>
      </c>
      <c r="AV60" s="10" t="str">
        <f aca="false">IF(A60="","",A60&amp;"_DWG.pdf")</f>
        <v/>
      </c>
      <c r="AW60" s="10" t="str">
        <f aca="false">IF(A60="","",IF(AS60="Y",A60&amp;"_STAAD.std","n/a"))</f>
        <v/>
      </c>
      <c r="AX60" s="10" t="str">
        <f aca="false">IF(A60="","",A60&amp;"_CALC.xlsx")</f>
        <v/>
      </c>
      <c r="AY60" s="10" t="str">
        <f aca="false">IF(A60="","",A60&amp;"_CALC.pdf")</f>
        <v/>
      </c>
      <c r="AZ60" s="9"/>
      <c r="BA60" s="9"/>
      <c r="BB60" s="39"/>
      <c r="BC60" s="39"/>
      <c r="BD60" s="39"/>
      <c r="BE60" s="39"/>
      <c r="BF60" s="39"/>
      <c r="BG60" s="12" t="str">
        <f aca="false">IF(A60="","",IF(COUNTIF(Rebar_Schedule!$A$5:$A$2004,A60)=0,"",ROUND(SUMIF(Rebar_Schedule!$A$5:$A$2004,A60,Rebar_Schedule!$K$5:$K$2004),1)))</f>
        <v/>
      </c>
      <c r="BH60" s="33" t="str">
        <f aca="false">IF(A60="","",IF(BG60="","No rebar schedule yet",IF(ABS(BG60-N(BC60))/MAX(N(BC60),1)&gt;SG_Criteria!$B$55,"NOTE: register rebar differs from schedule by "&amp;TEXT(ABS(BG60-N(BC60))/MAX(N(BC60),1),"0%"),"OK")))</f>
        <v/>
      </c>
      <c r="BI60" s="33" t="str">
        <f aca="false">IF(OR(D60="",E60=""),"",IF(E60&lt;=IF(OR(D60="Block / Segmental",D60="Gabion",D60="Reinforced Earth (MSE)"),SG_Criteria!$B$34,SG_Criteria!$B$33),"No ERSS submission",IF(E60&lt;=SG_Criteria!$B$35,"QP(ST)",IF(E60&lt;=SG_Criteria!$B$36,"QP(ST) + AC","Geotechnical building works: QP(Geo) + AC"))))</f>
        <v/>
      </c>
      <c r="BJ60" s="33" t="str">
        <f aca="false">IF(D60="","",IF(LEN(IF(AND(V60&lt;&gt;"",IFERROR(VALUE(MID(V60,2,2)),0)&lt;SG_Criteria!$B$19),"FAIL: grade below C"&amp;SG_Criteria!$B$19&amp;". ","")&amp;IF(AND(W60&lt;&gt;"",W60&lt;SG_Criteria!$B$20),"FAIL: cover &lt; "&amp;SG_Criteria!$B$20&amp;" mm. ","")&amp;IF(AND(AD60&lt;&gt;"",AD60&lt;1),"FAIL: sliding. ","")&amp;IF(AND(D60="Reverse L-Wall (toe only, at boundary)",N(S60)&gt;0),"NOTE: reverse L-wall should have no heel. ","")&amp;IF(AND(D60="L-Wall (heel only)",N(R60)&gt;0),"NOTE: L-wall should have no toe. ","")&amp;IF(AND(F60&lt;&gt;"",F60&lt;SG_Criteria!$B$31),"NOTE: q below LTA min "&amp;SG_Criteria!$B$31&amp;" kPa (not for LTA works). ",""))=0,"OK",IF(AND(V60&lt;&gt;"",IFERROR(VALUE(MID(V60,2,2)),0)&lt;SG_Criteria!$B$19),"FAIL: grade below C"&amp;SG_Criteria!$B$19&amp;". ","")&amp;IF(AND(W60&lt;&gt;"",W60&lt;SG_Criteria!$B$20),"FAIL: cover &lt; "&amp;SG_Criteria!$B$20&amp;" mm. ","")&amp;IF(AND(AD60&lt;&gt;"",AD60&lt;1),"FAIL: sliding. ","")&amp;IF(AND(D60="Reverse L-Wall (toe only, at boundary)",N(S60)&gt;0),"NOTE: reverse L-wall should have no heel. ","")&amp;IF(AND(D60="L-Wall (heel only)",N(R60)&gt;0),"NOTE: L-wall should have no toe. ","")&amp;IF(AND(F60&lt;&gt;"",F60&lt;SG_Criteria!$B$31),"NOTE: q below LTA min "&amp;SG_Criteria!$B$31&amp;" kPa (not for LTA works). ","")))</f>
        <v/>
      </c>
      <c r="BK60" s="9"/>
      <c r="BL60" s="9"/>
      <c r="BM60" s="9"/>
      <c r="BN60" s="10" t="str">
        <f aca="false">IF(BM60="","",IFERROR(VLOOKUP(BM60,Projects!$A$5:$D$504,2,0),"Ref not in Projects"))</f>
        <v/>
      </c>
      <c r="BO60" s="10" t="str">
        <f aca="false">IF(BM60="","",IFERROR(VLOOKUP(BM60,Projects!$A$5:$D$504,4,0),"Ref not in Projects"))</f>
        <v/>
      </c>
      <c r="BP60" s="9"/>
      <c r="BQ60" s="9"/>
      <c r="BR60" s="9"/>
      <c r="BS60" s="40"/>
      <c r="BT60" s="9"/>
      <c r="BU60" s="40"/>
      <c r="BV60" s="9"/>
      <c r="BW60" s="40"/>
      <c r="BX60" s="9"/>
      <c r="BY60" s="9"/>
      <c r="BZ60" s="9"/>
      <c r="CA60" s="40"/>
      <c r="CB60" s="40"/>
      <c r="CC60" s="36" t="str">
        <f aca="false">IF(CB60="","",EDATE(CB60,SG_Criteria!$B$54*12))</f>
        <v/>
      </c>
      <c r="CD60" s="33" t="str">
        <f aca="true">IF(A60="","",IF(CB60="","NOTE: not reviewed yet",IF(TODAY()&gt;CC60,"NOTE: review overdue","OK")))</f>
        <v/>
      </c>
      <c r="CE60" s="37" t="str">
        <f aca="false">IF(A60="","",ROUND((IF(LEN(D60)&gt;0,1,0)+IF(LEN(E60)&gt;0,1,0)+IF(LEN(F60)&gt;0,1,0)+IF(LEN(G60)&gt;0,1,0)+IF(LEN(I60)&gt;0,1,0)+IF(LEN(K60)&gt;0,1,0)+IF(LEN(P60)&gt;0,1,0)+IF(LEN(Q60)&gt;0,1,0)+IF(LEN(T60)&gt;0,1,0)+IF(LEN(V60)&gt;0,1,0)+IF(LEN(W60)&gt;0,1,0)+IF(LEN(X60)&gt;0,1,0)+IF(LEN(Z60)&gt;0,1,0)+IF(LEN(AD60)&gt;0,1,0)+IF(LEN(AE60)&gt;0,1,0)+IF(LEN(AG60)&gt;0,1,0)+IF(LEN(AI60)&gt;0,1,0)+IF(LEN(BB60)&gt;0,1,0)+IF(LEN(BC60)&gt;0,1,0)+IF(LEN(AM60)&gt;0,1,0)+IF(LEN(AO60)&gt;0,1,0)+IF(LEN(AP60)&gt;0,1,0)+IF(LEN(AQ60)&gt;0,1,0)+IF(LEN(AR60)&gt;0,1,0)+IF(LEN(BA60)&gt;0,1,0)+IF(LEN(BM60)&gt;0,1,0)+IF(LEN(BZ60)&gt;0,1,0))/27,2))</f>
        <v/>
      </c>
      <c r="CF60" s="10" t="str">
        <f aca="false">IF(D60="","",IF(AND(AP60="Approved",ISERROR(SEARCH("FAIL",BJ60))),"Y","N"))</f>
        <v/>
      </c>
      <c r="CG60" s="10" t="str">
        <f aca="false">IF(D60="","",D60&amp;"|"&amp;E60&amp;"|"&amp;F60&amp;"|"&amp;G60&amp;"|"&amp;CF60)</f>
        <v/>
      </c>
    </row>
    <row r="61" customFormat="false" ht="15" hidden="false" customHeight="false" outlineLevel="0" collapsed="false">
      <c r="A61" s="10" t="str">
        <f aca="false">IF(D61="","","RW-"&amp;IFERROR(VLOOKUP(D61,Lists!$M$4:$N$22,2,0),"??")&amp;"-H"&amp;TEXT(E61*1000,"0000")&amp;"-S"&amp;F61&amp;IF(G61="Y","-GW","")&amp;"-"&amp;AO61)</f>
        <v/>
      </c>
      <c r="B61" s="10" t="str">
        <f aca="false">IF(D61="","",D61&amp;", H = "&amp;TEXT(E61,"0.0")&amp;" m, q = "&amp;F61&amp;" kPa"&amp;IF(G61="Y",", with GWT","")&amp;", "&amp;I61)</f>
        <v/>
      </c>
      <c r="C61" s="9"/>
      <c r="D61" s="9"/>
      <c r="E61" s="39"/>
      <c r="F61" s="38"/>
      <c r="G61" s="9"/>
      <c r="H61" s="38"/>
      <c r="I61" s="9"/>
      <c r="J61" s="38"/>
      <c r="K61" s="38"/>
      <c r="L61" s="38"/>
      <c r="M61" s="42"/>
      <c r="N61" s="9"/>
      <c r="O61" s="38"/>
      <c r="P61" s="38"/>
      <c r="Q61" s="38"/>
      <c r="R61" s="38"/>
      <c r="S61" s="38"/>
      <c r="T61" s="38"/>
      <c r="U61" s="9"/>
      <c r="V61" s="9"/>
      <c r="W61" s="38"/>
      <c r="X61" s="9"/>
      <c r="Y61" s="9"/>
      <c r="Z61" s="9"/>
      <c r="AA61" s="9"/>
      <c r="AB61" s="9"/>
      <c r="AC61" s="9"/>
      <c r="AD61" s="39"/>
      <c r="AE61" s="39"/>
      <c r="AF61" s="39"/>
      <c r="AG61" s="38"/>
      <c r="AH61" s="38"/>
      <c r="AI61" s="9"/>
      <c r="AJ61" s="38"/>
      <c r="AK61" s="9"/>
      <c r="AL61" s="39"/>
      <c r="AM61" s="9"/>
      <c r="AN61" s="9"/>
      <c r="AO61" s="9"/>
      <c r="AP61" s="9"/>
      <c r="AQ61" s="9"/>
      <c r="AR61" s="9"/>
      <c r="AS61" s="9"/>
      <c r="AT61" s="10" t="str">
        <f aca="false">IF(A61="","",SG_Criteria!$B$6&amp;SG_Criteria!$B$8&amp;"\"&amp;A61&amp;"\")</f>
        <v/>
      </c>
      <c r="AU61" s="10" t="str">
        <f aca="false">IF(A61="","",A61&amp;"_CAD.dwg")</f>
        <v/>
      </c>
      <c r="AV61" s="10" t="str">
        <f aca="false">IF(A61="","",A61&amp;"_DWG.pdf")</f>
        <v/>
      </c>
      <c r="AW61" s="10" t="str">
        <f aca="false">IF(A61="","",IF(AS61="Y",A61&amp;"_STAAD.std","n/a"))</f>
        <v/>
      </c>
      <c r="AX61" s="10" t="str">
        <f aca="false">IF(A61="","",A61&amp;"_CALC.xlsx")</f>
        <v/>
      </c>
      <c r="AY61" s="10" t="str">
        <f aca="false">IF(A61="","",A61&amp;"_CALC.pdf")</f>
        <v/>
      </c>
      <c r="AZ61" s="9"/>
      <c r="BA61" s="9"/>
      <c r="BB61" s="39"/>
      <c r="BC61" s="39"/>
      <c r="BD61" s="39"/>
      <c r="BE61" s="39"/>
      <c r="BF61" s="39"/>
      <c r="BG61" s="12" t="str">
        <f aca="false">IF(A61="","",IF(COUNTIF(Rebar_Schedule!$A$5:$A$2004,A61)=0,"",ROUND(SUMIF(Rebar_Schedule!$A$5:$A$2004,A61,Rebar_Schedule!$K$5:$K$2004),1)))</f>
        <v/>
      </c>
      <c r="BH61" s="33" t="str">
        <f aca="false">IF(A61="","",IF(BG61="","No rebar schedule yet",IF(ABS(BG61-N(BC61))/MAX(N(BC61),1)&gt;SG_Criteria!$B$55,"NOTE: register rebar differs from schedule by "&amp;TEXT(ABS(BG61-N(BC61))/MAX(N(BC61),1),"0%"),"OK")))</f>
        <v/>
      </c>
      <c r="BI61" s="33" t="str">
        <f aca="false">IF(OR(D61="",E61=""),"",IF(E61&lt;=IF(OR(D61="Block / Segmental",D61="Gabion",D61="Reinforced Earth (MSE)"),SG_Criteria!$B$34,SG_Criteria!$B$33),"No ERSS submission",IF(E61&lt;=SG_Criteria!$B$35,"QP(ST)",IF(E61&lt;=SG_Criteria!$B$36,"QP(ST) + AC","Geotechnical building works: QP(Geo) + AC"))))</f>
        <v/>
      </c>
      <c r="BJ61" s="33" t="str">
        <f aca="false">IF(D61="","",IF(LEN(IF(AND(V61&lt;&gt;"",IFERROR(VALUE(MID(V61,2,2)),0)&lt;SG_Criteria!$B$19),"FAIL: grade below C"&amp;SG_Criteria!$B$19&amp;". ","")&amp;IF(AND(W61&lt;&gt;"",W61&lt;SG_Criteria!$B$20),"FAIL: cover &lt; "&amp;SG_Criteria!$B$20&amp;" mm. ","")&amp;IF(AND(AD61&lt;&gt;"",AD61&lt;1),"FAIL: sliding. ","")&amp;IF(AND(D61="Reverse L-Wall (toe only, at boundary)",N(S61)&gt;0),"NOTE: reverse L-wall should have no heel. ","")&amp;IF(AND(D61="L-Wall (heel only)",N(R61)&gt;0),"NOTE: L-wall should have no toe. ","")&amp;IF(AND(F61&lt;&gt;"",F61&lt;SG_Criteria!$B$31),"NOTE: q below LTA min "&amp;SG_Criteria!$B$31&amp;" kPa (not for LTA works). ",""))=0,"OK",IF(AND(V61&lt;&gt;"",IFERROR(VALUE(MID(V61,2,2)),0)&lt;SG_Criteria!$B$19),"FAIL: grade below C"&amp;SG_Criteria!$B$19&amp;". ","")&amp;IF(AND(W61&lt;&gt;"",W61&lt;SG_Criteria!$B$20),"FAIL: cover &lt; "&amp;SG_Criteria!$B$20&amp;" mm. ","")&amp;IF(AND(AD61&lt;&gt;"",AD61&lt;1),"FAIL: sliding. ","")&amp;IF(AND(D61="Reverse L-Wall (toe only, at boundary)",N(S61)&gt;0),"NOTE: reverse L-wall should have no heel. ","")&amp;IF(AND(D61="L-Wall (heel only)",N(R61)&gt;0),"NOTE: L-wall should have no toe. ","")&amp;IF(AND(F61&lt;&gt;"",F61&lt;SG_Criteria!$B$31),"NOTE: q below LTA min "&amp;SG_Criteria!$B$31&amp;" kPa (not for LTA works). ","")))</f>
        <v/>
      </c>
      <c r="BK61" s="9"/>
      <c r="BL61" s="9"/>
      <c r="BM61" s="9"/>
      <c r="BN61" s="10" t="str">
        <f aca="false">IF(BM61="","",IFERROR(VLOOKUP(BM61,Projects!$A$5:$D$504,2,0),"Ref not in Projects"))</f>
        <v/>
      </c>
      <c r="BO61" s="10" t="str">
        <f aca="false">IF(BM61="","",IFERROR(VLOOKUP(BM61,Projects!$A$5:$D$504,4,0),"Ref not in Projects"))</f>
        <v/>
      </c>
      <c r="BP61" s="9"/>
      <c r="BQ61" s="9"/>
      <c r="BR61" s="9"/>
      <c r="BS61" s="40"/>
      <c r="BT61" s="9"/>
      <c r="BU61" s="40"/>
      <c r="BV61" s="9"/>
      <c r="BW61" s="40"/>
      <c r="BX61" s="9"/>
      <c r="BY61" s="9"/>
      <c r="BZ61" s="9"/>
      <c r="CA61" s="40"/>
      <c r="CB61" s="40"/>
      <c r="CC61" s="36" t="str">
        <f aca="false">IF(CB61="","",EDATE(CB61,SG_Criteria!$B$54*12))</f>
        <v/>
      </c>
      <c r="CD61" s="33" t="str">
        <f aca="true">IF(A61="","",IF(CB61="","NOTE: not reviewed yet",IF(TODAY()&gt;CC61,"NOTE: review overdue","OK")))</f>
        <v/>
      </c>
      <c r="CE61" s="37" t="str">
        <f aca="false">IF(A61="","",ROUND((IF(LEN(D61)&gt;0,1,0)+IF(LEN(E61)&gt;0,1,0)+IF(LEN(F61)&gt;0,1,0)+IF(LEN(G61)&gt;0,1,0)+IF(LEN(I61)&gt;0,1,0)+IF(LEN(K61)&gt;0,1,0)+IF(LEN(P61)&gt;0,1,0)+IF(LEN(Q61)&gt;0,1,0)+IF(LEN(T61)&gt;0,1,0)+IF(LEN(V61)&gt;0,1,0)+IF(LEN(W61)&gt;0,1,0)+IF(LEN(X61)&gt;0,1,0)+IF(LEN(Z61)&gt;0,1,0)+IF(LEN(AD61)&gt;0,1,0)+IF(LEN(AE61)&gt;0,1,0)+IF(LEN(AG61)&gt;0,1,0)+IF(LEN(AI61)&gt;0,1,0)+IF(LEN(BB61)&gt;0,1,0)+IF(LEN(BC61)&gt;0,1,0)+IF(LEN(AM61)&gt;0,1,0)+IF(LEN(AO61)&gt;0,1,0)+IF(LEN(AP61)&gt;0,1,0)+IF(LEN(AQ61)&gt;0,1,0)+IF(LEN(AR61)&gt;0,1,0)+IF(LEN(BA61)&gt;0,1,0)+IF(LEN(BM61)&gt;0,1,0)+IF(LEN(BZ61)&gt;0,1,0))/27,2))</f>
        <v/>
      </c>
      <c r="CF61" s="10" t="str">
        <f aca="false">IF(D61="","",IF(AND(AP61="Approved",ISERROR(SEARCH("FAIL",BJ61))),"Y","N"))</f>
        <v/>
      </c>
      <c r="CG61" s="10" t="str">
        <f aca="false">IF(D61="","",D61&amp;"|"&amp;E61&amp;"|"&amp;F61&amp;"|"&amp;G61&amp;"|"&amp;CF61)</f>
        <v/>
      </c>
    </row>
    <row r="62" customFormat="false" ht="15" hidden="false" customHeight="false" outlineLevel="0" collapsed="false">
      <c r="A62" s="10" t="str">
        <f aca="false">IF(D62="","","RW-"&amp;IFERROR(VLOOKUP(D62,Lists!$M$4:$N$22,2,0),"??")&amp;"-H"&amp;TEXT(E62*1000,"0000")&amp;"-S"&amp;F62&amp;IF(G62="Y","-GW","")&amp;"-"&amp;AO62)</f>
        <v/>
      </c>
      <c r="B62" s="10" t="str">
        <f aca="false">IF(D62="","",D62&amp;", H = "&amp;TEXT(E62,"0.0")&amp;" m, q = "&amp;F62&amp;" kPa"&amp;IF(G62="Y",", with GWT","")&amp;", "&amp;I62)</f>
        <v/>
      </c>
      <c r="C62" s="9"/>
      <c r="D62" s="9"/>
      <c r="E62" s="39"/>
      <c r="F62" s="38"/>
      <c r="G62" s="9"/>
      <c r="H62" s="38"/>
      <c r="I62" s="9"/>
      <c r="J62" s="38"/>
      <c r="K62" s="38"/>
      <c r="L62" s="38"/>
      <c r="M62" s="42"/>
      <c r="N62" s="9"/>
      <c r="O62" s="38"/>
      <c r="P62" s="38"/>
      <c r="Q62" s="38"/>
      <c r="R62" s="38"/>
      <c r="S62" s="38"/>
      <c r="T62" s="38"/>
      <c r="U62" s="9"/>
      <c r="V62" s="9"/>
      <c r="W62" s="38"/>
      <c r="X62" s="9"/>
      <c r="Y62" s="9"/>
      <c r="Z62" s="9"/>
      <c r="AA62" s="9"/>
      <c r="AB62" s="9"/>
      <c r="AC62" s="9"/>
      <c r="AD62" s="39"/>
      <c r="AE62" s="39"/>
      <c r="AF62" s="39"/>
      <c r="AG62" s="38"/>
      <c r="AH62" s="38"/>
      <c r="AI62" s="9"/>
      <c r="AJ62" s="38"/>
      <c r="AK62" s="9"/>
      <c r="AL62" s="39"/>
      <c r="AM62" s="9"/>
      <c r="AN62" s="9"/>
      <c r="AO62" s="9"/>
      <c r="AP62" s="9"/>
      <c r="AQ62" s="9"/>
      <c r="AR62" s="9"/>
      <c r="AS62" s="9"/>
      <c r="AT62" s="10" t="str">
        <f aca="false">IF(A62="","",SG_Criteria!$B$6&amp;SG_Criteria!$B$8&amp;"\"&amp;A62&amp;"\")</f>
        <v/>
      </c>
      <c r="AU62" s="10" t="str">
        <f aca="false">IF(A62="","",A62&amp;"_CAD.dwg")</f>
        <v/>
      </c>
      <c r="AV62" s="10" t="str">
        <f aca="false">IF(A62="","",A62&amp;"_DWG.pdf")</f>
        <v/>
      </c>
      <c r="AW62" s="10" t="str">
        <f aca="false">IF(A62="","",IF(AS62="Y",A62&amp;"_STAAD.std","n/a"))</f>
        <v/>
      </c>
      <c r="AX62" s="10" t="str">
        <f aca="false">IF(A62="","",A62&amp;"_CALC.xlsx")</f>
        <v/>
      </c>
      <c r="AY62" s="10" t="str">
        <f aca="false">IF(A62="","",A62&amp;"_CALC.pdf")</f>
        <v/>
      </c>
      <c r="AZ62" s="9"/>
      <c r="BA62" s="9"/>
      <c r="BB62" s="39"/>
      <c r="BC62" s="39"/>
      <c r="BD62" s="39"/>
      <c r="BE62" s="39"/>
      <c r="BF62" s="39"/>
      <c r="BG62" s="12" t="str">
        <f aca="false">IF(A62="","",IF(COUNTIF(Rebar_Schedule!$A$5:$A$2004,A62)=0,"",ROUND(SUMIF(Rebar_Schedule!$A$5:$A$2004,A62,Rebar_Schedule!$K$5:$K$2004),1)))</f>
        <v/>
      </c>
      <c r="BH62" s="33" t="str">
        <f aca="false">IF(A62="","",IF(BG62="","No rebar schedule yet",IF(ABS(BG62-N(BC62))/MAX(N(BC62),1)&gt;SG_Criteria!$B$55,"NOTE: register rebar differs from schedule by "&amp;TEXT(ABS(BG62-N(BC62))/MAX(N(BC62),1),"0%"),"OK")))</f>
        <v/>
      </c>
      <c r="BI62" s="33" t="str">
        <f aca="false">IF(OR(D62="",E62=""),"",IF(E62&lt;=IF(OR(D62="Block / Segmental",D62="Gabion",D62="Reinforced Earth (MSE)"),SG_Criteria!$B$34,SG_Criteria!$B$33),"No ERSS submission",IF(E62&lt;=SG_Criteria!$B$35,"QP(ST)",IF(E62&lt;=SG_Criteria!$B$36,"QP(ST) + AC","Geotechnical building works: QP(Geo) + AC"))))</f>
        <v/>
      </c>
      <c r="BJ62" s="33" t="str">
        <f aca="false">IF(D62="","",IF(LEN(IF(AND(V62&lt;&gt;"",IFERROR(VALUE(MID(V62,2,2)),0)&lt;SG_Criteria!$B$19),"FAIL: grade below C"&amp;SG_Criteria!$B$19&amp;". ","")&amp;IF(AND(W62&lt;&gt;"",W62&lt;SG_Criteria!$B$20),"FAIL: cover &lt; "&amp;SG_Criteria!$B$20&amp;" mm. ","")&amp;IF(AND(AD62&lt;&gt;"",AD62&lt;1),"FAIL: sliding. ","")&amp;IF(AND(D62="Reverse L-Wall (toe only, at boundary)",N(S62)&gt;0),"NOTE: reverse L-wall should have no heel. ","")&amp;IF(AND(D62="L-Wall (heel only)",N(R62)&gt;0),"NOTE: L-wall should have no toe. ","")&amp;IF(AND(F62&lt;&gt;"",F62&lt;SG_Criteria!$B$31),"NOTE: q below LTA min "&amp;SG_Criteria!$B$31&amp;" kPa (not for LTA works). ",""))=0,"OK",IF(AND(V62&lt;&gt;"",IFERROR(VALUE(MID(V62,2,2)),0)&lt;SG_Criteria!$B$19),"FAIL: grade below C"&amp;SG_Criteria!$B$19&amp;". ","")&amp;IF(AND(W62&lt;&gt;"",W62&lt;SG_Criteria!$B$20),"FAIL: cover &lt; "&amp;SG_Criteria!$B$20&amp;" mm. ","")&amp;IF(AND(AD62&lt;&gt;"",AD62&lt;1),"FAIL: sliding. ","")&amp;IF(AND(D62="Reverse L-Wall (toe only, at boundary)",N(S62)&gt;0),"NOTE: reverse L-wall should have no heel. ","")&amp;IF(AND(D62="L-Wall (heel only)",N(R62)&gt;0),"NOTE: L-wall should have no toe. ","")&amp;IF(AND(F62&lt;&gt;"",F62&lt;SG_Criteria!$B$31),"NOTE: q below LTA min "&amp;SG_Criteria!$B$31&amp;" kPa (not for LTA works). ","")))</f>
        <v/>
      </c>
      <c r="BK62" s="9"/>
      <c r="BL62" s="9"/>
      <c r="BM62" s="9"/>
      <c r="BN62" s="10" t="str">
        <f aca="false">IF(BM62="","",IFERROR(VLOOKUP(BM62,Projects!$A$5:$D$504,2,0),"Ref not in Projects"))</f>
        <v/>
      </c>
      <c r="BO62" s="10" t="str">
        <f aca="false">IF(BM62="","",IFERROR(VLOOKUP(BM62,Projects!$A$5:$D$504,4,0),"Ref not in Projects"))</f>
        <v/>
      </c>
      <c r="BP62" s="9"/>
      <c r="BQ62" s="9"/>
      <c r="BR62" s="9"/>
      <c r="BS62" s="40"/>
      <c r="BT62" s="9"/>
      <c r="BU62" s="40"/>
      <c r="BV62" s="9"/>
      <c r="BW62" s="40"/>
      <c r="BX62" s="9"/>
      <c r="BY62" s="9"/>
      <c r="BZ62" s="9"/>
      <c r="CA62" s="40"/>
      <c r="CB62" s="40"/>
      <c r="CC62" s="36" t="str">
        <f aca="false">IF(CB62="","",EDATE(CB62,SG_Criteria!$B$54*12))</f>
        <v/>
      </c>
      <c r="CD62" s="33" t="str">
        <f aca="true">IF(A62="","",IF(CB62="","NOTE: not reviewed yet",IF(TODAY()&gt;CC62,"NOTE: review overdue","OK")))</f>
        <v/>
      </c>
      <c r="CE62" s="37" t="str">
        <f aca="false">IF(A62="","",ROUND((IF(LEN(D62)&gt;0,1,0)+IF(LEN(E62)&gt;0,1,0)+IF(LEN(F62)&gt;0,1,0)+IF(LEN(G62)&gt;0,1,0)+IF(LEN(I62)&gt;0,1,0)+IF(LEN(K62)&gt;0,1,0)+IF(LEN(P62)&gt;0,1,0)+IF(LEN(Q62)&gt;0,1,0)+IF(LEN(T62)&gt;0,1,0)+IF(LEN(V62)&gt;0,1,0)+IF(LEN(W62)&gt;0,1,0)+IF(LEN(X62)&gt;0,1,0)+IF(LEN(Z62)&gt;0,1,0)+IF(LEN(AD62)&gt;0,1,0)+IF(LEN(AE62)&gt;0,1,0)+IF(LEN(AG62)&gt;0,1,0)+IF(LEN(AI62)&gt;0,1,0)+IF(LEN(BB62)&gt;0,1,0)+IF(LEN(BC62)&gt;0,1,0)+IF(LEN(AM62)&gt;0,1,0)+IF(LEN(AO62)&gt;0,1,0)+IF(LEN(AP62)&gt;0,1,0)+IF(LEN(AQ62)&gt;0,1,0)+IF(LEN(AR62)&gt;0,1,0)+IF(LEN(BA62)&gt;0,1,0)+IF(LEN(BM62)&gt;0,1,0)+IF(LEN(BZ62)&gt;0,1,0))/27,2))</f>
        <v/>
      </c>
      <c r="CF62" s="10" t="str">
        <f aca="false">IF(D62="","",IF(AND(AP62="Approved",ISERROR(SEARCH("FAIL",BJ62))),"Y","N"))</f>
        <v/>
      </c>
      <c r="CG62" s="10" t="str">
        <f aca="false">IF(D62="","",D62&amp;"|"&amp;E62&amp;"|"&amp;F62&amp;"|"&amp;G62&amp;"|"&amp;CF62)</f>
        <v/>
      </c>
    </row>
    <row r="63" customFormat="false" ht="15" hidden="false" customHeight="false" outlineLevel="0" collapsed="false">
      <c r="A63" s="10" t="str">
        <f aca="false">IF(D63="","","RW-"&amp;IFERROR(VLOOKUP(D63,Lists!$M$4:$N$22,2,0),"??")&amp;"-H"&amp;TEXT(E63*1000,"0000")&amp;"-S"&amp;F63&amp;IF(G63="Y","-GW","")&amp;"-"&amp;AO63)</f>
        <v/>
      </c>
      <c r="B63" s="10" t="str">
        <f aca="false">IF(D63="","",D63&amp;", H = "&amp;TEXT(E63,"0.0")&amp;" m, q = "&amp;F63&amp;" kPa"&amp;IF(G63="Y",", with GWT","")&amp;", "&amp;I63)</f>
        <v/>
      </c>
      <c r="C63" s="9"/>
      <c r="D63" s="9"/>
      <c r="E63" s="39"/>
      <c r="F63" s="38"/>
      <c r="G63" s="9"/>
      <c r="H63" s="38"/>
      <c r="I63" s="9"/>
      <c r="J63" s="38"/>
      <c r="K63" s="38"/>
      <c r="L63" s="38"/>
      <c r="M63" s="42"/>
      <c r="N63" s="9"/>
      <c r="O63" s="38"/>
      <c r="P63" s="38"/>
      <c r="Q63" s="38"/>
      <c r="R63" s="38"/>
      <c r="S63" s="38"/>
      <c r="T63" s="38"/>
      <c r="U63" s="9"/>
      <c r="V63" s="9"/>
      <c r="W63" s="38"/>
      <c r="X63" s="9"/>
      <c r="Y63" s="9"/>
      <c r="Z63" s="9"/>
      <c r="AA63" s="9"/>
      <c r="AB63" s="9"/>
      <c r="AC63" s="9"/>
      <c r="AD63" s="39"/>
      <c r="AE63" s="39"/>
      <c r="AF63" s="39"/>
      <c r="AG63" s="38"/>
      <c r="AH63" s="38"/>
      <c r="AI63" s="9"/>
      <c r="AJ63" s="38"/>
      <c r="AK63" s="9"/>
      <c r="AL63" s="39"/>
      <c r="AM63" s="9"/>
      <c r="AN63" s="9"/>
      <c r="AO63" s="9"/>
      <c r="AP63" s="9"/>
      <c r="AQ63" s="9"/>
      <c r="AR63" s="9"/>
      <c r="AS63" s="9"/>
      <c r="AT63" s="10" t="str">
        <f aca="false">IF(A63="","",SG_Criteria!$B$6&amp;SG_Criteria!$B$8&amp;"\"&amp;A63&amp;"\")</f>
        <v/>
      </c>
      <c r="AU63" s="10" t="str">
        <f aca="false">IF(A63="","",A63&amp;"_CAD.dwg")</f>
        <v/>
      </c>
      <c r="AV63" s="10" t="str">
        <f aca="false">IF(A63="","",A63&amp;"_DWG.pdf")</f>
        <v/>
      </c>
      <c r="AW63" s="10" t="str">
        <f aca="false">IF(A63="","",IF(AS63="Y",A63&amp;"_STAAD.std","n/a"))</f>
        <v/>
      </c>
      <c r="AX63" s="10" t="str">
        <f aca="false">IF(A63="","",A63&amp;"_CALC.xlsx")</f>
        <v/>
      </c>
      <c r="AY63" s="10" t="str">
        <f aca="false">IF(A63="","",A63&amp;"_CALC.pdf")</f>
        <v/>
      </c>
      <c r="AZ63" s="9"/>
      <c r="BA63" s="9"/>
      <c r="BB63" s="39"/>
      <c r="BC63" s="39"/>
      <c r="BD63" s="39"/>
      <c r="BE63" s="39"/>
      <c r="BF63" s="39"/>
      <c r="BG63" s="12" t="str">
        <f aca="false">IF(A63="","",IF(COUNTIF(Rebar_Schedule!$A$5:$A$2004,A63)=0,"",ROUND(SUMIF(Rebar_Schedule!$A$5:$A$2004,A63,Rebar_Schedule!$K$5:$K$2004),1)))</f>
        <v/>
      </c>
      <c r="BH63" s="33" t="str">
        <f aca="false">IF(A63="","",IF(BG63="","No rebar schedule yet",IF(ABS(BG63-N(BC63))/MAX(N(BC63),1)&gt;SG_Criteria!$B$55,"NOTE: register rebar differs from schedule by "&amp;TEXT(ABS(BG63-N(BC63))/MAX(N(BC63),1),"0%"),"OK")))</f>
        <v/>
      </c>
      <c r="BI63" s="33" t="str">
        <f aca="false">IF(OR(D63="",E63=""),"",IF(E63&lt;=IF(OR(D63="Block / Segmental",D63="Gabion",D63="Reinforced Earth (MSE)"),SG_Criteria!$B$34,SG_Criteria!$B$33),"No ERSS submission",IF(E63&lt;=SG_Criteria!$B$35,"QP(ST)",IF(E63&lt;=SG_Criteria!$B$36,"QP(ST) + AC","Geotechnical building works: QP(Geo) + AC"))))</f>
        <v/>
      </c>
      <c r="BJ63" s="33" t="str">
        <f aca="false">IF(D63="","",IF(LEN(IF(AND(V63&lt;&gt;"",IFERROR(VALUE(MID(V63,2,2)),0)&lt;SG_Criteria!$B$19),"FAIL: grade below C"&amp;SG_Criteria!$B$19&amp;". ","")&amp;IF(AND(W63&lt;&gt;"",W63&lt;SG_Criteria!$B$20),"FAIL: cover &lt; "&amp;SG_Criteria!$B$20&amp;" mm. ","")&amp;IF(AND(AD63&lt;&gt;"",AD63&lt;1),"FAIL: sliding. ","")&amp;IF(AND(D63="Reverse L-Wall (toe only, at boundary)",N(S63)&gt;0),"NOTE: reverse L-wall should have no heel. ","")&amp;IF(AND(D63="L-Wall (heel only)",N(R63)&gt;0),"NOTE: L-wall should have no toe. ","")&amp;IF(AND(F63&lt;&gt;"",F63&lt;SG_Criteria!$B$31),"NOTE: q below LTA min "&amp;SG_Criteria!$B$31&amp;" kPa (not for LTA works). ",""))=0,"OK",IF(AND(V63&lt;&gt;"",IFERROR(VALUE(MID(V63,2,2)),0)&lt;SG_Criteria!$B$19),"FAIL: grade below C"&amp;SG_Criteria!$B$19&amp;". ","")&amp;IF(AND(W63&lt;&gt;"",W63&lt;SG_Criteria!$B$20),"FAIL: cover &lt; "&amp;SG_Criteria!$B$20&amp;" mm. ","")&amp;IF(AND(AD63&lt;&gt;"",AD63&lt;1),"FAIL: sliding. ","")&amp;IF(AND(D63="Reverse L-Wall (toe only, at boundary)",N(S63)&gt;0),"NOTE: reverse L-wall should have no heel. ","")&amp;IF(AND(D63="L-Wall (heel only)",N(R63)&gt;0),"NOTE: L-wall should have no toe. ","")&amp;IF(AND(F63&lt;&gt;"",F63&lt;SG_Criteria!$B$31),"NOTE: q below LTA min "&amp;SG_Criteria!$B$31&amp;" kPa (not for LTA works). ","")))</f>
        <v/>
      </c>
      <c r="BK63" s="9"/>
      <c r="BL63" s="9"/>
      <c r="BM63" s="9"/>
      <c r="BN63" s="10" t="str">
        <f aca="false">IF(BM63="","",IFERROR(VLOOKUP(BM63,Projects!$A$5:$D$504,2,0),"Ref not in Projects"))</f>
        <v/>
      </c>
      <c r="BO63" s="10" t="str">
        <f aca="false">IF(BM63="","",IFERROR(VLOOKUP(BM63,Projects!$A$5:$D$504,4,0),"Ref not in Projects"))</f>
        <v/>
      </c>
      <c r="BP63" s="9"/>
      <c r="BQ63" s="9"/>
      <c r="BR63" s="9"/>
      <c r="BS63" s="40"/>
      <c r="BT63" s="9"/>
      <c r="BU63" s="40"/>
      <c r="BV63" s="9"/>
      <c r="BW63" s="40"/>
      <c r="BX63" s="9"/>
      <c r="BY63" s="9"/>
      <c r="BZ63" s="9"/>
      <c r="CA63" s="40"/>
      <c r="CB63" s="40"/>
      <c r="CC63" s="36" t="str">
        <f aca="false">IF(CB63="","",EDATE(CB63,SG_Criteria!$B$54*12))</f>
        <v/>
      </c>
      <c r="CD63" s="33" t="str">
        <f aca="true">IF(A63="","",IF(CB63="","NOTE: not reviewed yet",IF(TODAY()&gt;CC63,"NOTE: review overdue","OK")))</f>
        <v/>
      </c>
      <c r="CE63" s="37" t="str">
        <f aca="false">IF(A63="","",ROUND((IF(LEN(D63)&gt;0,1,0)+IF(LEN(E63)&gt;0,1,0)+IF(LEN(F63)&gt;0,1,0)+IF(LEN(G63)&gt;0,1,0)+IF(LEN(I63)&gt;0,1,0)+IF(LEN(K63)&gt;0,1,0)+IF(LEN(P63)&gt;0,1,0)+IF(LEN(Q63)&gt;0,1,0)+IF(LEN(T63)&gt;0,1,0)+IF(LEN(V63)&gt;0,1,0)+IF(LEN(W63)&gt;0,1,0)+IF(LEN(X63)&gt;0,1,0)+IF(LEN(Z63)&gt;0,1,0)+IF(LEN(AD63)&gt;0,1,0)+IF(LEN(AE63)&gt;0,1,0)+IF(LEN(AG63)&gt;0,1,0)+IF(LEN(AI63)&gt;0,1,0)+IF(LEN(BB63)&gt;0,1,0)+IF(LEN(BC63)&gt;0,1,0)+IF(LEN(AM63)&gt;0,1,0)+IF(LEN(AO63)&gt;0,1,0)+IF(LEN(AP63)&gt;0,1,0)+IF(LEN(AQ63)&gt;0,1,0)+IF(LEN(AR63)&gt;0,1,0)+IF(LEN(BA63)&gt;0,1,0)+IF(LEN(BM63)&gt;0,1,0)+IF(LEN(BZ63)&gt;0,1,0))/27,2))</f>
        <v/>
      </c>
      <c r="CF63" s="10" t="str">
        <f aca="false">IF(D63="","",IF(AND(AP63="Approved",ISERROR(SEARCH("FAIL",BJ63))),"Y","N"))</f>
        <v/>
      </c>
      <c r="CG63" s="10" t="str">
        <f aca="false">IF(D63="","",D63&amp;"|"&amp;E63&amp;"|"&amp;F63&amp;"|"&amp;G63&amp;"|"&amp;CF63)</f>
        <v/>
      </c>
    </row>
    <row r="64" customFormat="false" ht="15" hidden="false" customHeight="false" outlineLevel="0" collapsed="false">
      <c r="A64" s="10" t="str">
        <f aca="false">IF(D64="","","RW-"&amp;IFERROR(VLOOKUP(D64,Lists!$M$4:$N$22,2,0),"??")&amp;"-H"&amp;TEXT(E64*1000,"0000")&amp;"-S"&amp;F64&amp;IF(G64="Y","-GW","")&amp;"-"&amp;AO64)</f>
        <v/>
      </c>
      <c r="B64" s="10" t="str">
        <f aca="false">IF(D64="","",D64&amp;", H = "&amp;TEXT(E64,"0.0")&amp;" m, q = "&amp;F64&amp;" kPa"&amp;IF(G64="Y",", with GWT","")&amp;", "&amp;I64)</f>
        <v/>
      </c>
      <c r="C64" s="9"/>
      <c r="D64" s="9"/>
      <c r="E64" s="39"/>
      <c r="F64" s="38"/>
      <c r="G64" s="9"/>
      <c r="H64" s="38"/>
      <c r="I64" s="9"/>
      <c r="J64" s="38"/>
      <c r="K64" s="38"/>
      <c r="L64" s="38"/>
      <c r="M64" s="42"/>
      <c r="N64" s="9"/>
      <c r="O64" s="38"/>
      <c r="P64" s="38"/>
      <c r="Q64" s="38"/>
      <c r="R64" s="38"/>
      <c r="S64" s="38"/>
      <c r="T64" s="38"/>
      <c r="U64" s="9"/>
      <c r="V64" s="9"/>
      <c r="W64" s="38"/>
      <c r="X64" s="9"/>
      <c r="Y64" s="9"/>
      <c r="Z64" s="9"/>
      <c r="AA64" s="9"/>
      <c r="AB64" s="9"/>
      <c r="AC64" s="9"/>
      <c r="AD64" s="39"/>
      <c r="AE64" s="39"/>
      <c r="AF64" s="39"/>
      <c r="AG64" s="38"/>
      <c r="AH64" s="38"/>
      <c r="AI64" s="9"/>
      <c r="AJ64" s="38"/>
      <c r="AK64" s="9"/>
      <c r="AL64" s="39"/>
      <c r="AM64" s="9"/>
      <c r="AN64" s="9"/>
      <c r="AO64" s="9"/>
      <c r="AP64" s="9"/>
      <c r="AQ64" s="9"/>
      <c r="AR64" s="9"/>
      <c r="AS64" s="9"/>
      <c r="AT64" s="10" t="str">
        <f aca="false">IF(A64="","",SG_Criteria!$B$6&amp;SG_Criteria!$B$8&amp;"\"&amp;A64&amp;"\")</f>
        <v/>
      </c>
      <c r="AU64" s="10" t="str">
        <f aca="false">IF(A64="","",A64&amp;"_CAD.dwg")</f>
        <v/>
      </c>
      <c r="AV64" s="10" t="str">
        <f aca="false">IF(A64="","",A64&amp;"_DWG.pdf")</f>
        <v/>
      </c>
      <c r="AW64" s="10" t="str">
        <f aca="false">IF(A64="","",IF(AS64="Y",A64&amp;"_STAAD.std","n/a"))</f>
        <v/>
      </c>
      <c r="AX64" s="10" t="str">
        <f aca="false">IF(A64="","",A64&amp;"_CALC.xlsx")</f>
        <v/>
      </c>
      <c r="AY64" s="10" t="str">
        <f aca="false">IF(A64="","",A64&amp;"_CALC.pdf")</f>
        <v/>
      </c>
      <c r="AZ64" s="9"/>
      <c r="BA64" s="9"/>
      <c r="BB64" s="39"/>
      <c r="BC64" s="39"/>
      <c r="BD64" s="39"/>
      <c r="BE64" s="39"/>
      <c r="BF64" s="39"/>
      <c r="BG64" s="12" t="str">
        <f aca="false">IF(A64="","",IF(COUNTIF(Rebar_Schedule!$A$5:$A$2004,A64)=0,"",ROUND(SUMIF(Rebar_Schedule!$A$5:$A$2004,A64,Rebar_Schedule!$K$5:$K$2004),1)))</f>
        <v/>
      </c>
      <c r="BH64" s="33" t="str">
        <f aca="false">IF(A64="","",IF(BG64="","No rebar schedule yet",IF(ABS(BG64-N(BC64))/MAX(N(BC64),1)&gt;SG_Criteria!$B$55,"NOTE: register rebar differs from schedule by "&amp;TEXT(ABS(BG64-N(BC64))/MAX(N(BC64),1),"0%"),"OK")))</f>
        <v/>
      </c>
      <c r="BI64" s="33" t="str">
        <f aca="false">IF(OR(D64="",E64=""),"",IF(E64&lt;=IF(OR(D64="Block / Segmental",D64="Gabion",D64="Reinforced Earth (MSE)"),SG_Criteria!$B$34,SG_Criteria!$B$33),"No ERSS submission",IF(E64&lt;=SG_Criteria!$B$35,"QP(ST)",IF(E64&lt;=SG_Criteria!$B$36,"QP(ST) + AC","Geotechnical building works: QP(Geo) + AC"))))</f>
        <v/>
      </c>
      <c r="BJ64" s="33" t="str">
        <f aca="false">IF(D64="","",IF(LEN(IF(AND(V64&lt;&gt;"",IFERROR(VALUE(MID(V64,2,2)),0)&lt;SG_Criteria!$B$19),"FAIL: grade below C"&amp;SG_Criteria!$B$19&amp;". ","")&amp;IF(AND(W64&lt;&gt;"",W64&lt;SG_Criteria!$B$20),"FAIL: cover &lt; "&amp;SG_Criteria!$B$20&amp;" mm. ","")&amp;IF(AND(AD64&lt;&gt;"",AD64&lt;1),"FAIL: sliding. ","")&amp;IF(AND(D64="Reverse L-Wall (toe only, at boundary)",N(S64)&gt;0),"NOTE: reverse L-wall should have no heel. ","")&amp;IF(AND(D64="L-Wall (heel only)",N(R64)&gt;0),"NOTE: L-wall should have no toe. ","")&amp;IF(AND(F64&lt;&gt;"",F64&lt;SG_Criteria!$B$31),"NOTE: q below LTA min "&amp;SG_Criteria!$B$31&amp;" kPa (not for LTA works). ",""))=0,"OK",IF(AND(V64&lt;&gt;"",IFERROR(VALUE(MID(V64,2,2)),0)&lt;SG_Criteria!$B$19),"FAIL: grade below C"&amp;SG_Criteria!$B$19&amp;". ","")&amp;IF(AND(W64&lt;&gt;"",W64&lt;SG_Criteria!$B$20),"FAIL: cover &lt; "&amp;SG_Criteria!$B$20&amp;" mm. ","")&amp;IF(AND(AD64&lt;&gt;"",AD64&lt;1),"FAIL: sliding. ","")&amp;IF(AND(D64="Reverse L-Wall (toe only, at boundary)",N(S64)&gt;0),"NOTE: reverse L-wall should have no heel. ","")&amp;IF(AND(D64="L-Wall (heel only)",N(R64)&gt;0),"NOTE: L-wall should have no toe. ","")&amp;IF(AND(F64&lt;&gt;"",F64&lt;SG_Criteria!$B$31),"NOTE: q below LTA min "&amp;SG_Criteria!$B$31&amp;" kPa (not for LTA works). ","")))</f>
        <v/>
      </c>
      <c r="BK64" s="9"/>
      <c r="BL64" s="9"/>
      <c r="BM64" s="9"/>
      <c r="BN64" s="10" t="str">
        <f aca="false">IF(BM64="","",IFERROR(VLOOKUP(BM64,Projects!$A$5:$D$504,2,0),"Ref not in Projects"))</f>
        <v/>
      </c>
      <c r="BO64" s="10" t="str">
        <f aca="false">IF(BM64="","",IFERROR(VLOOKUP(BM64,Projects!$A$5:$D$504,4,0),"Ref not in Projects"))</f>
        <v/>
      </c>
      <c r="BP64" s="9"/>
      <c r="BQ64" s="9"/>
      <c r="BR64" s="9"/>
      <c r="BS64" s="40"/>
      <c r="BT64" s="9"/>
      <c r="BU64" s="40"/>
      <c r="BV64" s="9"/>
      <c r="BW64" s="40"/>
      <c r="BX64" s="9"/>
      <c r="BY64" s="9"/>
      <c r="BZ64" s="9"/>
      <c r="CA64" s="40"/>
      <c r="CB64" s="40"/>
      <c r="CC64" s="36" t="str">
        <f aca="false">IF(CB64="","",EDATE(CB64,SG_Criteria!$B$54*12))</f>
        <v/>
      </c>
      <c r="CD64" s="33" t="str">
        <f aca="true">IF(A64="","",IF(CB64="","NOTE: not reviewed yet",IF(TODAY()&gt;CC64,"NOTE: review overdue","OK")))</f>
        <v/>
      </c>
      <c r="CE64" s="37" t="str">
        <f aca="false">IF(A64="","",ROUND((IF(LEN(D64)&gt;0,1,0)+IF(LEN(E64)&gt;0,1,0)+IF(LEN(F64)&gt;0,1,0)+IF(LEN(G64)&gt;0,1,0)+IF(LEN(I64)&gt;0,1,0)+IF(LEN(K64)&gt;0,1,0)+IF(LEN(P64)&gt;0,1,0)+IF(LEN(Q64)&gt;0,1,0)+IF(LEN(T64)&gt;0,1,0)+IF(LEN(V64)&gt;0,1,0)+IF(LEN(W64)&gt;0,1,0)+IF(LEN(X64)&gt;0,1,0)+IF(LEN(Z64)&gt;0,1,0)+IF(LEN(AD64)&gt;0,1,0)+IF(LEN(AE64)&gt;0,1,0)+IF(LEN(AG64)&gt;0,1,0)+IF(LEN(AI64)&gt;0,1,0)+IF(LEN(BB64)&gt;0,1,0)+IF(LEN(BC64)&gt;0,1,0)+IF(LEN(AM64)&gt;0,1,0)+IF(LEN(AO64)&gt;0,1,0)+IF(LEN(AP64)&gt;0,1,0)+IF(LEN(AQ64)&gt;0,1,0)+IF(LEN(AR64)&gt;0,1,0)+IF(LEN(BA64)&gt;0,1,0)+IF(LEN(BM64)&gt;0,1,0)+IF(LEN(BZ64)&gt;0,1,0))/27,2))</f>
        <v/>
      </c>
      <c r="CF64" s="10" t="str">
        <f aca="false">IF(D64="","",IF(AND(AP64="Approved",ISERROR(SEARCH("FAIL",BJ64))),"Y","N"))</f>
        <v/>
      </c>
      <c r="CG64" s="10" t="str">
        <f aca="false">IF(D64="","",D64&amp;"|"&amp;E64&amp;"|"&amp;F64&amp;"|"&amp;G64&amp;"|"&amp;CF64)</f>
        <v/>
      </c>
    </row>
    <row r="65" customFormat="false" ht="15" hidden="false" customHeight="false" outlineLevel="0" collapsed="false">
      <c r="A65" s="10" t="str">
        <f aca="false">IF(D65="","","RW-"&amp;IFERROR(VLOOKUP(D65,Lists!$M$4:$N$22,2,0),"??")&amp;"-H"&amp;TEXT(E65*1000,"0000")&amp;"-S"&amp;F65&amp;IF(G65="Y","-GW","")&amp;"-"&amp;AO65)</f>
        <v/>
      </c>
      <c r="B65" s="10" t="str">
        <f aca="false">IF(D65="","",D65&amp;", H = "&amp;TEXT(E65,"0.0")&amp;" m, q = "&amp;F65&amp;" kPa"&amp;IF(G65="Y",", with GWT","")&amp;", "&amp;I65)</f>
        <v/>
      </c>
      <c r="C65" s="9"/>
      <c r="D65" s="9"/>
      <c r="E65" s="39"/>
      <c r="F65" s="38"/>
      <c r="G65" s="9"/>
      <c r="H65" s="38"/>
      <c r="I65" s="9"/>
      <c r="J65" s="38"/>
      <c r="K65" s="38"/>
      <c r="L65" s="38"/>
      <c r="M65" s="42"/>
      <c r="N65" s="9"/>
      <c r="O65" s="38"/>
      <c r="P65" s="38"/>
      <c r="Q65" s="38"/>
      <c r="R65" s="38"/>
      <c r="S65" s="38"/>
      <c r="T65" s="38"/>
      <c r="U65" s="9"/>
      <c r="V65" s="9"/>
      <c r="W65" s="38"/>
      <c r="X65" s="9"/>
      <c r="Y65" s="9"/>
      <c r="Z65" s="9"/>
      <c r="AA65" s="9"/>
      <c r="AB65" s="9"/>
      <c r="AC65" s="9"/>
      <c r="AD65" s="39"/>
      <c r="AE65" s="39"/>
      <c r="AF65" s="39"/>
      <c r="AG65" s="38"/>
      <c r="AH65" s="38"/>
      <c r="AI65" s="9"/>
      <c r="AJ65" s="38"/>
      <c r="AK65" s="9"/>
      <c r="AL65" s="39"/>
      <c r="AM65" s="9"/>
      <c r="AN65" s="9"/>
      <c r="AO65" s="9"/>
      <c r="AP65" s="9"/>
      <c r="AQ65" s="9"/>
      <c r="AR65" s="9"/>
      <c r="AS65" s="9"/>
      <c r="AT65" s="10" t="str">
        <f aca="false">IF(A65="","",SG_Criteria!$B$6&amp;SG_Criteria!$B$8&amp;"\"&amp;A65&amp;"\")</f>
        <v/>
      </c>
      <c r="AU65" s="10" t="str">
        <f aca="false">IF(A65="","",A65&amp;"_CAD.dwg")</f>
        <v/>
      </c>
      <c r="AV65" s="10" t="str">
        <f aca="false">IF(A65="","",A65&amp;"_DWG.pdf")</f>
        <v/>
      </c>
      <c r="AW65" s="10" t="str">
        <f aca="false">IF(A65="","",IF(AS65="Y",A65&amp;"_STAAD.std","n/a"))</f>
        <v/>
      </c>
      <c r="AX65" s="10" t="str">
        <f aca="false">IF(A65="","",A65&amp;"_CALC.xlsx")</f>
        <v/>
      </c>
      <c r="AY65" s="10" t="str">
        <f aca="false">IF(A65="","",A65&amp;"_CALC.pdf")</f>
        <v/>
      </c>
      <c r="AZ65" s="9"/>
      <c r="BA65" s="9"/>
      <c r="BB65" s="39"/>
      <c r="BC65" s="39"/>
      <c r="BD65" s="39"/>
      <c r="BE65" s="39"/>
      <c r="BF65" s="39"/>
      <c r="BG65" s="12" t="str">
        <f aca="false">IF(A65="","",IF(COUNTIF(Rebar_Schedule!$A$5:$A$2004,A65)=0,"",ROUND(SUMIF(Rebar_Schedule!$A$5:$A$2004,A65,Rebar_Schedule!$K$5:$K$2004),1)))</f>
        <v/>
      </c>
      <c r="BH65" s="33" t="str">
        <f aca="false">IF(A65="","",IF(BG65="","No rebar schedule yet",IF(ABS(BG65-N(BC65))/MAX(N(BC65),1)&gt;SG_Criteria!$B$55,"NOTE: register rebar differs from schedule by "&amp;TEXT(ABS(BG65-N(BC65))/MAX(N(BC65),1),"0%"),"OK")))</f>
        <v/>
      </c>
      <c r="BI65" s="33" t="str">
        <f aca="false">IF(OR(D65="",E65=""),"",IF(E65&lt;=IF(OR(D65="Block / Segmental",D65="Gabion",D65="Reinforced Earth (MSE)"),SG_Criteria!$B$34,SG_Criteria!$B$33),"No ERSS submission",IF(E65&lt;=SG_Criteria!$B$35,"QP(ST)",IF(E65&lt;=SG_Criteria!$B$36,"QP(ST) + AC","Geotechnical building works: QP(Geo) + AC"))))</f>
        <v/>
      </c>
      <c r="BJ65" s="33" t="str">
        <f aca="false">IF(D65="","",IF(LEN(IF(AND(V65&lt;&gt;"",IFERROR(VALUE(MID(V65,2,2)),0)&lt;SG_Criteria!$B$19),"FAIL: grade below C"&amp;SG_Criteria!$B$19&amp;". ","")&amp;IF(AND(W65&lt;&gt;"",W65&lt;SG_Criteria!$B$20),"FAIL: cover &lt; "&amp;SG_Criteria!$B$20&amp;" mm. ","")&amp;IF(AND(AD65&lt;&gt;"",AD65&lt;1),"FAIL: sliding. ","")&amp;IF(AND(D65="Reverse L-Wall (toe only, at boundary)",N(S65)&gt;0),"NOTE: reverse L-wall should have no heel. ","")&amp;IF(AND(D65="L-Wall (heel only)",N(R65)&gt;0),"NOTE: L-wall should have no toe. ","")&amp;IF(AND(F65&lt;&gt;"",F65&lt;SG_Criteria!$B$31),"NOTE: q below LTA min "&amp;SG_Criteria!$B$31&amp;" kPa (not for LTA works). ",""))=0,"OK",IF(AND(V65&lt;&gt;"",IFERROR(VALUE(MID(V65,2,2)),0)&lt;SG_Criteria!$B$19),"FAIL: grade below C"&amp;SG_Criteria!$B$19&amp;". ","")&amp;IF(AND(W65&lt;&gt;"",W65&lt;SG_Criteria!$B$20),"FAIL: cover &lt; "&amp;SG_Criteria!$B$20&amp;" mm. ","")&amp;IF(AND(AD65&lt;&gt;"",AD65&lt;1),"FAIL: sliding. ","")&amp;IF(AND(D65="Reverse L-Wall (toe only, at boundary)",N(S65)&gt;0),"NOTE: reverse L-wall should have no heel. ","")&amp;IF(AND(D65="L-Wall (heel only)",N(R65)&gt;0),"NOTE: L-wall should have no toe. ","")&amp;IF(AND(F65&lt;&gt;"",F65&lt;SG_Criteria!$B$31),"NOTE: q below LTA min "&amp;SG_Criteria!$B$31&amp;" kPa (not for LTA works). ","")))</f>
        <v/>
      </c>
      <c r="BK65" s="9"/>
      <c r="BL65" s="9"/>
      <c r="BM65" s="9"/>
      <c r="BN65" s="10" t="str">
        <f aca="false">IF(BM65="","",IFERROR(VLOOKUP(BM65,Projects!$A$5:$D$504,2,0),"Ref not in Projects"))</f>
        <v/>
      </c>
      <c r="BO65" s="10" t="str">
        <f aca="false">IF(BM65="","",IFERROR(VLOOKUP(BM65,Projects!$A$5:$D$504,4,0),"Ref not in Projects"))</f>
        <v/>
      </c>
      <c r="BP65" s="9"/>
      <c r="BQ65" s="9"/>
      <c r="BR65" s="9"/>
      <c r="BS65" s="40"/>
      <c r="BT65" s="9"/>
      <c r="BU65" s="40"/>
      <c r="BV65" s="9"/>
      <c r="BW65" s="40"/>
      <c r="BX65" s="9"/>
      <c r="BY65" s="9"/>
      <c r="BZ65" s="9"/>
      <c r="CA65" s="40"/>
      <c r="CB65" s="40"/>
      <c r="CC65" s="36" t="str">
        <f aca="false">IF(CB65="","",EDATE(CB65,SG_Criteria!$B$54*12))</f>
        <v/>
      </c>
      <c r="CD65" s="33" t="str">
        <f aca="true">IF(A65="","",IF(CB65="","NOTE: not reviewed yet",IF(TODAY()&gt;CC65,"NOTE: review overdue","OK")))</f>
        <v/>
      </c>
      <c r="CE65" s="37" t="str">
        <f aca="false">IF(A65="","",ROUND((IF(LEN(D65)&gt;0,1,0)+IF(LEN(E65)&gt;0,1,0)+IF(LEN(F65)&gt;0,1,0)+IF(LEN(G65)&gt;0,1,0)+IF(LEN(I65)&gt;0,1,0)+IF(LEN(K65)&gt;0,1,0)+IF(LEN(P65)&gt;0,1,0)+IF(LEN(Q65)&gt;0,1,0)+IF(LEN(T65)&gt;0,1,0)+IF(LEN(V65)&gt;0,1,0)+IF(LEN(W65)&gt;0,1,0)+IF(LEN(X65)&gt;0,1,0)+IF(LEN(Z65)&gt;0,1,0)+IF(LEN(AD65)&gt;0,1,0)+IF(LEN(AE65)&gt;0,1,0)+IF(LEN(AG65)&gt;0,1,0)+IF(LEN(AI65)&gt;0,1,0)+IF(LEN(BB65)&gt;0,1,0)+IF(LEN(BC65)&gt;0,1,0)+IF(LEN(AM65)&gt;0,1,0)+IF(LEN(AO65)&gt;0,1,0)+IF(LEN(AP65)&gt;0,1,0)+IF(LEN(AQ65)&gt;0,1,0)+IF(LEN(AR65)&gt;0,1,0)+IF(LEN(BA65)&gt;0,1,0)+IF(LEN(BM65)&gt;0,1,0)+IF(LEN(BZ65)&gt;0,1,0))/27,2))</f>
        <v/>
      </c>
      <c r="CF65" s="10" t="str">
        <f aca="false">IF(D65="","",IF(AND(AP65="Approved",ISERROR(SEARCH("FAIL",BJ65))),"Y","N"))</f>
        <v/>
      </c>
      <c r="CG65" s="10" t="str">
        <f aca="false">IF(D65="","",D65&amp;"|"&amp;E65&amp;"|"&amp;F65&amp;"|"&amp;G65&amp;"|"&amp;CF65)</f>
        <v/>
      </c>
    </row>
    <row r="66" customFormat="false" ht="15" hidden="false" customHeight="false" outlineLevel="0" collapsed="false">
      <c r="A66" s="10" t="str">
        <f aca="false">IF(D66="","","RW-"&amp;IFERROR(VLOOKUP(D66,Lists!$M$4:$N$22,2,0),"??")&amp;"-H"&amp;TEXT(E66*1000,"0000")&amp;"-S"&amp;F66&amp;IF(G66="Y","-GW","")&amp;"-"&amp;AO66)</f>
        <v/>
      </c>
      <c r="B66" s="10" t="str">
        <f aca="false">IF(D66="","",D66&amp;", H = "&amp;TEXT(E66,"0.0")&amp;" m, q = "&amp;F66&amp;" kPa"&amp;IF(G66="Y",", with GWT","")&amp;", "&amp;I66)</f>
        <v/>
      </c>
      <c r="C66" s="9"/>
      <c r="D66" s="9"/>
      <c r="E66" s="39"/>
      <c r="F66" s="38"/>
      <c r="G66" s="9"/>
      <c r="H66" s="38"/>
      <c r="I66" s="9"/>
      <c r="J66" s="38"/>
      <c r="K66" s="38"/>
      <c r="L66" s="38"/>
      <c r="M66" s="42"/>
      <c r="N66" s="9"/>
      <c r="O66" s="38"/>
      <c r="P66" s="38"/>
      <c r="Q66" s="38"/>
      <c r="R66" s="38"/>
      <c r="S66" s="38"/>
      <c r="T66" s="38"/>
      <c r="U66" s="9"/>
      <c r="V66" s="9"/>
      <c r="W66" s="38"/>
      <c r="X66" s="9"/>
      <c r="Y66" s="9"/>
      <c r="Z66" s="9"/>
      <c r="AA66" s="9"/>
      <c r="AB66" s="9"/>
      <c r="AC66" s="9"/>
      <c r="AD66" s="39"/>
      <c r="AE66" s="39"/>
      <c r="AF66" s="39"/>
      <c r="AG66" s="38"/>
      <c r="AH66" s="38"/>
      <c r="AI66" s="9"/>
      <c r="AJ66" s="38"/>
      <c r="AK66" s="9"/>
      <c r="AL66" s="39"/>
      <c r="AM66" s="9"/>
      <c r="AN66" s="9"/>
      <c r="AO66" s="9"/>
      <c r="AP66" s="9"/>
      <c r="AQ66" s="9"/>
      <c r="AR66" s="9"/>
      <c r="AS66" s="9"/>
      <c r="AT66" s="10" t="str">
        <f aca="false">IF(A66="","",SG_Criteria!$B$6&amp;SG_Criteria!$B$8&amp;"\"&amp;A66&amp;"\")</f>
        <v/>
      </c>
      <c r="AU66" s="10" t="str">
        <f aca="false">IF(A66="","",A66&amp;"_CAD.dwg")</f>
        <v/>
      </c>
      <c r="AV66" s="10" t="str">
        <f aca="false">IF(A66="","",A66&amp;"_DWG.pdf")</f>
        <v/>
      </c>
      <c r="AW66" s="10" t="str">
        <f aca="false">IF(A66="","",IF(AS66="Y",A66&amp;"_STAAD.std","n/a"))</f>
        <v/>
      </c>
      <c r="AX66" s="10" t="str">
        <f aca="false">IF(A66="","",A66&amp;"_CALC.xlsx")</f>
        <v/>
      </c>
      <c r="AY66" s="10" t="str">
        <f aca="false">IF(A66="","",A66&amp;"_CALC.pdf")</f>
        <v/>
      </c>
      <c r="AZ66" s="9"/>
      <c r="BA66" s="9"/>
      <c r="BB66" s="39"/>
      <c r="BC66" s="39"/>
      <c r="BD66" s="39"/>
      <c r="BE66" s="39"/>
      <c r="BF66" s="39"/>
      <c r="BG66" s="12" t="str">
        <f aca="false">IF(A66="","",IF(COUNTIF(Rebar_Schedule!$A$5:$A$2004,A66)=0,"",ROUND(SUMIF(Rebar_Schedule!$A$5:$A$2004,A66,Rebar_Schedule!$K$5:$K$2004),1)))</f>
        <v/>
      </c>
      <c r="BH66" s="33" t="str">
        <f aca="false">IF(A66="","",IF(BG66="","No rebar schedule yet",IF(ABS(BG66-N(BC66))/MAX(N(BC66),1)&gt;SG_Criteria!$B$55,"NOTE: register rebar differs from schedule by "&amp;TEXT(ABS(BG66-N(BC66))/MAX(N(BC66),1),"0%"),"OK")))</f>
        <v/>
      </c>
      <c r="BI66" s="33" t="str">
        <f aca="false">IF(OR(D66="",E66=""),"",IF(E66&lt;=IF(OR(D66="Block / Segmental",D66="Gabion",D66="Reinforced Earth (MSE)"),SG_Criteria!$B$34,SG_Criteria!$B$33),"No ERSS submission",IF(E66&lt;=SG_Criteria!$B$35,"QP(ST)",IF(E66&lt;=SG_Criteria!$B$36,"QP(ST) + AC","Geotechnical building works: QP(Geo) + AC"))))</f>
        <v/>
      </c>
      <c r="BJ66" s="33" t="str">
        <f aca="false">IF(D66="","",IF(LEN(IF(AND(V66&lt;&gt;"",IFERROR(VALUE(MID(V66,2,2)),0)&lt;SG_Criteria!$B$19),"FAIL: grade below C"&amp;SG_Criteria!$B$19&amp;". ","")&amp;IF(AND(W66&lt;&gt;"",W66&lt;SG_Criteria!$B$20),"FAIL: cover &lt; "&amp;SG_Criteria!$B$20&amp;" mm. ","")&amp;IF(AND(AD66&lt;&gt;"",AD66&lt;1),"FAIL: sliding. ","")&amp;IF(AND(D66="Reverse L-Wall (toe only, at boundary)",N(S66)&gt;0),"NOTE: reverse L-wall should have no heel. ","")&amp;IF(AND(D66="L-Wall (heel only)",N(R66)&gt;0),"NOTE: L-wall should have no toe. ","")&amp;IF(AND(F66&lt;&gt;"",F66&lt;SG_Criteria!$B$31),"NOTE: q below LTA min "&amp;SG_Criteria!$B$31&amp;" kPa (not for LTA works). ",""))=0,"OK",IF(AND(V66&lt;&gt;"",IFERROR(VALUE(MID(V66,2,2)),0)&lt;SG_Criteria!$B$19),"FAIL: grade below C"&amp;SG_Criteria!$B$19&amp;". ","")&amp;IF(AND(W66&lt;&gt;"",W66&lt;SG_Criteria!$B$20),"FAIL: cover &lt; "&amp;SG_Criteria!$B$20&amp;" mm. ","")&amp;IF(AND(AD66&lt;&gt;"",AD66&lt;1),"FAIL: sliding. ","")&amp;IF(AND(D66="Reverse L-Wall (toe only, at boundary)",N(S66)&gt;0),"NOTE: reverse L-wall should have no heel. ","")&amp;IF(AND(D66="L-Wall (heel only)",N(R66)&gt;0),"NOTE: L-wall should have no toe. ","")&amp;IF(AND(F66&lt;&gt;"",F66&lt;SG_Criteria!$B$31),"NOTE: q below LTA min "&amp;SG_Criteria!$B$31&amp;" kPa (not for LTA works). ","")))</f>
        <v/>
      </c>
      <c r="BK66" s="9"/>
      <c r="BL66" s="9"/>
      <c r="BM66" s="9"/>
      <c r="BN66" s="10" t="str">
        <f aca="false">IF(BM66="","",IFERROR(VLOOKUP(BM66,Projects!$A$5:$D$504,2,0),"Ref not in Projects"))</f>
        <v/>
      </c>
      <c r="BO66" s="10" t="str">
        <f aca="false">IF(BM66="","",IFERROR(VLOOKUP(BM66,Projects!$A$5:$D$504,4,0),"Ref not in Projects"))</f>
        <v/>
      </c>
      <c r="BP66" s="9"/>
      <c r="BQ66" s="9"/>
      <c r="BR66" s="9"/>
      <c r="BS66" s="40"/>
      <c r="BT66" s="9"/>
      <c r="BU66" s="40"/>
      <c r="BV66" s="9"/>
      <c r="BW66" s="40"/>
      <c r="BX66" s="9"/>
      <c r="BY66" s="9"/>
      <c r="BZ66" s="9"/>
      <c r="CA66" s="40"/>
      <c r="CB66" s="40"/>
      <c r="CC66" s="36" t="str">
        <f aca="false">IF(CB66="","",EDATE(CB66,SG_Criteria!$B$54*12))</f>
        <v/>
      </c>
      <c r="CD66" s="33" t="str">
        <f aca="true">IF(A66="","",IF(CB66="","NOTE: not reviewed yet",IF(TODAY()&gt;CC66,"NOTE: review overdue","OK")))</f>
        <v/>
      </c>
      <c r="CE66" s="37" t="str">
        <f aca="false">IF(A66="","",ROUND((IF(LEN(D66)&gt;0,1,0)+IF(LEN(E66)&gt;0,1,0)+IF(LEN(F66)&gt;0,1,0)+IF(LEN(G66)&gt;0,1,0)+IF(LEN(I66)&gt;0,1,0)+IF(LEN(K66)&gt;0,1,0)+IF(LEN(P66)&gt;0,1,0)+IF(LEN(Q66)&gt;0,1,0)+IF(LEN(T66)&gt;0,1,0)+IF(LEN(V66)&gt;0,1,0)+IF(LEN(W66)&gt;0,1,0)+IF(LEN(X66)&gt;0,1,0)+IF(LEN(Z66)&gt;0,1,0)+IF(LEN(AD66)&gt;0,1,0)+IF(LEN(AE66)&gt;0,1,0)+IF(LEN(AG66)&gt;0,1,0)+IF(LEN(AI66)&gt;0,1,0)+IF(LEN(BB66)&gt;0,1,0)+IF(LEN(BC66)&gt;0,1,0)+IF(LEN(AM66)&gt;0,1,0)+IF(LEN(AO66)&gt;0,1,0)+IF(LEN(AP66)&gt;0,1,0)+IF(LEN(AQ66)&gt;0,1,0)+IF(LEN(AR66)&gt;0,1,0)+IF(LEN(BA66)&gt;0,1,0)+IF(LEN(BM66)&gt;0,1,0)+IF(LEN(BZ66)&gt;0,1,0))/27,2))</f>
        <v/>
      </c>
      <c r="CF66" s="10" t="str">
        <f aca="false">IF(D66="","",IF(AND(AP66="Approved",ISERROR(SEARCH("FAIL",BJ66))),"Y","N"))</f>
        <v/>
      </c>
      <c r="CG66" s="10" t="str">
        <f aca="false">IF(D66="","",D66&amp;"|"&amp;E66&amp;"|"&amp;F66&amp;"|"&amp;G66&amp;"|"&amp;CF66)</f>
        <v/>
      </c>
    </row>
    <row r="67" customFormat="false" ht="15" hidden="false" customHeight="false" outlineLevel="0" collapsed="false">
      <c r="A67" s="10" t="str">
        <f aca="false">IF(D67="","","RW-"&amp;IFERROR(VLOOKUP(D67,Lists!$M$4:$N$22,2,0),"??")&amp;"-H"&amp;TEXT(E67*1000,"0000")&amp;"-S"&amp;F67&amp;IF(G67="Y","-GW","")&amp;"-"&amp;AO67)</f>
        <v/>
      </c>
      <c r="B67" s="10" t="str">
        <f aca="false">IF(D67="","",D67&amp;", H = "&amp;TEXT(E67,"0.0")&amp;" m, q = "&amp;F67&amp;" kPa"&amp;IF(G67="Y",", with GWT","")&amp;", "&amp;I67)</f>
        <v/>
      </c>
      <c r="C67" s="9"/>
      <c r="D67" s="9"/>
      <c r="E67" s="39"/>
      <c r="F67" s="38"/>
      <c r="G67" s="9"/>
      <c r="H67" s="38"/>
      <c r="I67" s="9"/>
      <c r="J67" s="38"/>
      <c r="K67" s="38"/>
      <c r="L67" s="38"/>
      <c r="M67" s="42"/>
      <c r="N67" s="9"/>
      <c r="O67" s="38"/>
      <c r="P67" s="38"/>
      <c r="Q67" s="38"/>
      <c r="R67" s="38"/>
      <c r="S67" s="38"/>
      <c r="T67" s="38"/>
      <c r="U67" s="9"/>
      <c r="V67" s="9"/>
      <c r="W67" s="38"/>
      <c r="X67" s="9"/>
      <c r="Y67" s="9"/>
      <c r="Z67" s="9"/>
      <c r="AA67" s="9"/>
      <c r="AB67" s="9"/>
      <c r="AC67" s="9"/>
      <c r="AD67" s="39"/>
      <c r="AE67" s="39"/>
      <c r="AF67" s="39"/>
      <c r="AG67" s="38"/>
      <c r="AH67" s="38"/>
      <c r="AI67" s="9"/>
      <c r="AJ67" s="38"/>
      <c r="AK67" s="9"/>
      <c r="AL67" s="39"/>
      <c r="AM67" s="9"/>
      <c r="AN67" s="9"/>
      <c r="AO67" s="9"/>
      <c r="AP67" s="9"/>
      <c r="AQ67" s="9"/>
      <c r="AR67" s="9"/>
      <c r="AS67" s="9"/>
      <c r="AT67" s="10" t="str">
        <f aca="false">IF(A67="","",SG_Criteria!$B$6&amp;SG_Criteria!$B$8&amp;"\"&amp;A67&amp;"\")</f>
        <v/>
      </c>
      <c r="AU67" s="10" t="str">
        <f aca="false">IF(A67="","",A67&amp;"_CAD.dwg")</f>
        <v/>
      </c>
      <c r="AV67" s="10" t="str">
        <f aca="false">IF(A67="","",A67&amp;"_DWG.pdf")</f>
        <v/>
      </c>
      <c r="AW67" s="10" t="str">
        <f aca="false">IF(A67="","",IF(AS67="Y",A67&amp;"_STAAD.std","n/a"))</f>
        <v/>
      </c>
      <c r="AX67" s="10" t="str">
        <f aca="false">IF(A67="","",A67&amp;"_CALC.xlsx")</f>
        <v/>
      </c>
      <c r="AY67" s="10" t="str">
        <f aca="false">IF(A67="","",A67&amp;"_CALC.pdf")</f>
        <v/>
      </c>
      <c r="AZ67" s="9"/>
      <c r="BA67" s="9"/>
      <c r="BB67" s="39"/>
      <c r="BC67" s="39"/>
      <c r="BD67" s="39"/>
      <c r="BE67" s="39"/>
      <c r="BF67" s="39"/>
      <c r="BG67" s="12" t="str">
        <f aca="false">IF(A67="","",IF(COUNTIF(Rebar_Schedule!$A$5:$A$2004,A67)=0,"",ROUND(SUMIF(Rebar_Schedule!$A$5:$A$2004,A67,Rebar_Schedule!$K$5:$K$2004),1)))</f>
        <v/>
      </c>
      <c r="BH67" s="33" t="str">
        <f aca="false">IF(A67="","",IF(BG67="","No rebar schedule yet",IF(ABS(BG67-N(BC67))/MAX(N(BC67),1)&gt;SG_Criteria!$B$55,"NOTE: register rebar differs from schedule by "&amp;TEXT(ABS(BG67-N(BC67))/MAX(N(BC67),1),"0%"),"OK")))</f>
        <v/>
      </c>
      <c r="BI67" s="33" t="str">
        <f aca="false">IF(OR(D67="",E67=""),"",IF(E67&lt;=IF(OR(D67="Block / Segmental",D67="Gabion",D67="Reinforced Earth (MSE)"),SG_Criteria!$B$34,SG_Criteria!$B$33),"No ERSS submission",IF(E67&lt;=SG_Criteria!$B$35,"QP(ST)",IF(E67&lt;=SG_Criteria!$B$36,"QP(ST) + AC","Geotechnical building works: QP(Geo) + AC"))))</f>
        <v/>
      </c>
      <c r="BJ67" s="33" t="str">
        <f aca="false">IF(D67="","",IF(LEN(IF(AND(V67&lt;&gt;"",IFERROR(VALUE(MID(V67,2,2)),0)&lt;SG_Criteria!$B$19),"FAIL: grade below C"&amp;SG_Criteria!$B$19&amp;". ","")&amp;IF(AND(W67&lt;&gt;"",W67&lt;SG_Criteria!$B$20),"FAIL: cover &lt; "&amp;SG_Criteria!$B$20&amp;" mm. ","")&amp;IF(AND(AD67&lt;&gt;"",AD67&lt;1),"FAIL: sliding. ","")&amp;IF(AND(D67="Reverse L-Wall (toe only, at boundary)",N(S67)&gt;0),"NOTE: reverse L-wall should have no heel. ","")&amp;IF(AND(D67="L-Wall (heel only)",N(R67)&gt;0),"NOTE: L-wall should have no toe. ","")&amp;IF(AND(F67&lt;&gt;"",F67&lt;SG_Criteria!$B$31),"NOTE: q below LTA min "&amp;SG_Criteria!$B$31&amp;" kPa (not for LTA works). ",""))=0,"OK",IF(AND(V67&lt;&gt;"",IFERROR(VALUE(MID(V67,2,2)),0)&lt;SG_Criteria!$B$19),"FAIL: grade below C"&amp;SG_Criteria!$B$19&amp;". ","")&amp;IF(AND(W67&lt;&gt;"",W67&lt;SG_Criteria!$B$20),"FAIL: cover &lt; "&amp;SG_Criteria!$B$20&amp;" mm. ","")&amp;IF(AND(AD67&lt;&gt;"",AD67&lt;1),"FAIL: sliding. ","")&amp;IF(AND(D67="Reverse L-Wall (toe only, at boundary)",N(S67)&gt;0),"NOTE: reverse L-wall should have no heel. ","")&amp;IF(AND(D67="L-Wall (heel only)",N(R67)&gt;0),"NOTE: L-wall should have no toe. ","")&amp;IF(AND(F67&lt;&gt;"",F67&lt;SG_Criteria!$B$31),"NOTE: q below LTA min "&amp;SG_Criteria!$B$31&amp;" kPa (not for LTA works). ","")))</f>
        <v/>
      </c>
      <c r="BK67" s="9"/>
      <c r="BL67" s="9"/>
      <c r="BM67" s="9"/>
      <c r="BN67" s="10" t="str">
        <f aca="false">IF(BM67="","",IFERROR(VLOOKUP(BM67,Projects!$A$5:$D$504,2,0),"Ref not in Projects"))</f>
        <v/>
      </c>
      <c r="BO67" s="10" t="str">
        <f aca="false">IF(BM67="","",IFERROR(VLOOKUP(BM67,Projects!$A$5:$D$504,4,0),"Ref not in Projects"))</f>
        <v/>
      </c>
      <c r="BP67" s="9"/>
      <c r="BQ67" s="9"/>
      <c r="BR67" s="9"/>
      <c r="BS67" s="40"/>
      <c r="BT67" s="9"/>
      <c r="BU67" s="40"/>
      <c r="BV67" s="9"/>
      <c r="BW67" s="40"/>
      <c r="BX67" s="9"/>
      <c r="BY67" s="9"/>
      <c r="BZ67" s="9"/>
      <c r="CA67" s="40"/>
      <c r="CB67" s="40"/>
      <c r="CC67" s="36" t="str">
        <f aca="false">IF(CB67="","",EDATE(CB67,SG_Criteria!$B$54*12))</f>
        <v/>
      </c>
      <c r="CD67" s="33" t="str">
        <f aca="true">IF(A67="","",IF(CB67="","NOTE: not reviewed yet",IF(TODAY()&gt;CC67,"NOTE: review overdue","OK")))</f>
        <v/>
      </c>
      <c r="CE67" s="37" t="str">
        <f aca="false">IF(A67="","",ROUND((IF(LEN(D67)&gt;0,1,0)+IF(LEN(E67)&gt;0,1,0)+IF(LEN(F67)&gt;0,1,0)+IF(LEN(G67)&gt;0,1,0)+IF(LEN(I67)&gt;0,1,0)+IF(LEN(K67)&gt;0,1,0)+IF(LEN(P67)&gt;0,1,0)+IF(LEN(Q67)&gt;0,1,0)+IF(LEN(T67)&gt;0,1,0)+IF(LEN(V67)&gt;0,1,0)+IF(LEN(W67)&gt;0,1,0)+IF(LEN(X67)&gt;0,1,0)+IF(LEN(Z67)&gt;0,1,0)+IF(LEN(AD67)&gt;0,1,0)+IF(LEN(AE67)&gt;0,1,0)+IF(LEN(AG67)&gt;0,1,0)+IF(LEN(AI67)&gt;0,1,0)+IF(LEN(BB67)&gt;0,1,0)+IF(LEN(BC67)&gt;0,1,0)+IF(LEN(AM67)&gt;0,1,0)+IF(LEN(AO67)&gt;0,1,0)+IF(LEN(AP67)&gt;0,1,0)+IF(LEN(AQ67)&gt;0,1,0)+IF(LEN(AR67)&gt;0,1,0)+IF(LEN(BA67)&gt;0,1,0)+IF(LEN(BM67)&gt;0,1,0)+IF(LEN(BZ67)&gt;0,1,0))/27,2))</f>
        <v/>
      </c>
      <c r="CF67" s="10" t="str">
        <f aca="false">IF(D67="","",IF(AND(AP67="Approved",ISERROR(SEARCH("FAIL",BJ67))),"Y","N"))</f>
        <v/>
      </c>
      <c r="CG67" s="10" t="str">
        <f aca="false">IF(D67="","",D67&amp;"|"&amp;E67&amp;"|"&amp;F67&amp;"|"&amp;G67&amp;"|"&amp;CF67)</f>
        <v/>
      </c>
    </row>
    <row r="68" customFormat="false" ht="15" hidden="false" customHeight="false" outlineLevel="0" collapsed="false">
      <c r="A68" s="10" t="str">
        <f aca="false">IF(D68="","","RW-"&amp;IFERROR(VLOOKUP(D68,Lists!$M$4:$N$22,2,0),"??")&amp;"-H"&amp;TEXT(E68*1000,"0000")&amp;"-S"&amp;F68&amp;IF(G68="Y","-GW","")&amp;"-"&amp;AO68)</f>
        <v/>
      </c>
      <c r="B68" s="10" t="str">
        <f aca="false">IF(D68="","",D68&amp;", H = "&amp;TEXT(E68,"0.0")&amp;" m, q = "&amp;F68&amp;" kPa"&amp;IF(G68="Y",", with GWT","")&amp;", "&amp;I68)</f>
        <v/>
      </c>
      <c r="C68" s="9"/>
      <c r="D68" s="9"/>
      <c r="E68" s="39"/>
      <c r="F68" s="38"/>
      <c r="G68" s="9"/>
      <c r="H68" s="38"/>
      <c r="I68" s="9"/>
      <c r="J68" s="38"/>
      <c r="K68" s="38"/>
      <c r="L68" s="38"/>
      <c r="M68" s="42"/>
      <c r="N68" s="9"/>
      <c r="O68" s="38"/>
      <c r="P68" s="38"/>
      <c r="Q68" s="38"/>
      <c r="R68" s="38"/>
      <c r="S68" s="38"/>
      <c r="T68" s="38"/>
      <c r="U68" s="9"/>
      <c r="V68" s="9"/>
      <c r="W68" s="38"/>
      <c r="X68" s="9"/>
      <c r="Y68" s="9"/>
      <c r="Z68" s="9"/>
      <c r="AA68" s="9"/>
      <c r="AB68" s="9"/>
      <c r="AC68" s="9"/>
      <c r="AD68" s="39"/>
      <c r="AE68" s="39"/>
      <c r="AF68" s="39"/>
      <c r="AG68" s="38"/>
      <c r="AH68" s="38"/>
      <c r="AI68" s="9"/>
      <c r="AJ68" s="38"/>
      <c r="AK68" s="9"/>
      <c r="AL68" s="39"/>
      <c r="AM68" s="9"/>
      <c r="AN68" s="9"/>
      <c r="AO68" s="9"/>
      <c r="AP68" s="9"/>
      <c r="AQ68" s="9"/>
      <c r="AR68" s="9"/>
      <c r="AS68" s="9"/>
      <c r="AT68" s="10" t="str">
        <f aca="false">IF(A68="","",SG_Criteria!$B$6&amp;SG_Criteria!$B$8&amp;"\"&amp;A68&amp;"\")</f>
        <v/>
      </c>
      <c r="AU68" s="10" t="str">
        <f aca="false">IF(A68="","",A68&amp;"_CAD.dwg")</f>
        <v/>
      </c>
      <c r="AV68" s="10" t="str">
        <f aca="false">IF(A68="","",A68&amp;"_DWG.pdf")</f>
        <v/>
      </c>
      <c r="AW68" s="10" t="str">
        <f aca="false">IF(A68="","",IF(AS68="Y",A68&amp;"_STAAD.std","n/a"))</f>
        <v/>
      </c>
      <c r="AX68" s="10" t="str">
        <f aca="false">IF(A68="","",A68&amp;"_CALC.xlsx")</f>
        <v/>
      </c>
      <c r="AY68" s="10" t="str">
        <f aca="false">IF(A68="","",A68&amp;"_CALC.pdf")</f>
        <v/>
      </c>
      <c r="AZ68" s="9"/>
      <c r="BA68" s="9"/>
      <c r="BB68" s="39"/>
      <c r="BC68" s="39"/>
      <c r="BD68" s="39"/>
      <c r="BE68" s="39"/>
      <c r="BF68" s="39"/>
      <c r="BG68" s="12" t="str">
        <f aca="false">IF(A68="","",IF(COUNTIF(Rebar_Schedule!$A$5:$A$2004,A68)=0,"",ROUND(SUMIF(Rebar_Schedule!$A$5:$A$2004,A68,Rebar_Schedule!$K$5:$K$2004),1)))</f>
        <v/>
      </c>
      <c r="BH68" s="33" t="str">
        <f aca="false">IF(A68="","",IF(BG68="","No rebar schedule yet",IF(ABS(BG68-N(BC68))/MAX(N(BC68),1)&gt;SG_Criteria!$B$55,"NOTE: register rebar differs from schedule by "&amp;TEXT(ABS(BG68-N(BC68))/MAX(N(BC68),1),"0%"),"OK")))</f>
        <v/>
      </c>
      <c r="BI68" s="33" t="str">
        <f aca="false">IF(OR(D68="",E68=""),"",IF(E68&lt;=IF(OR(D68="Block / Segmental",D68="Gabion",D68="Reinforced Earth (MSE)"),SG_Criteria!$B$34,SG_Criteria!$B$33),"No ERSS submission",IF(E68&lt;=SG_Criteria!$B$35,"QP(ST)",IF(E68&lt;=SG_Criteria!$B$36,"QP(ST) + AC","Geotechnical building works: QP(Geo) + AC"))))</f>
        <v/>
      </c>
      <c r="BJ68" s="33" t="str">
        <f aca="false">IF(D68="","",IF(LEN(IF(AND(V68&lt;&gt;"",IFERROR(VALUE(MID(V68,2,2)),0)&lt;SG_Criteria!$B$19),"FAIL: grade below C"&amp;SG_Criteria!$B$19&amp;". ","")&amp;IF(AND(W68&lt;&gt;"",W68&lt;SG_Criteria!$B$20),"FAIL: cover &lt; "&amp;SG_Criteria!$B$20&amp;" mm. ","")&amp;IF(AND(AD68&lt;&gt;"",AD68&lt;1),"FAIL: sliding. ","")&amp;IF(AND(D68="Reverse L-Wall (toe only, at boundary)",N(S68)&gt;0),"NOTE: reverse L-wall should have no heel. ","")&amp;IF(AND(D68="L-Wall (heel only)",N(R68)&gt;0),"NOTE: L-wall should have no toe. ","")&amp;IF(AND(F68&lt;&gt;"",F68&lt;SG_Criteria!$B$31),"NOTE: q below LTA min "&amp;SG_Criteria!$B$31&amp;" kPa (not for LTA works). ",""))=0,"OK",IF(AND(V68&lt;&gt;"",IFERROR(VALUE(MID(V68,2,2)),0)&lt;SG_Criteria!$B$19),"FAIL: grade below C"&amp;SG_Criteria!$B$19&amp;". ","")&amp;IF(AND(W68&lt;&gt;"",W68&lt;SG_Criteria!$B$20),"FAIL: cover &lt; "&amp;SG_Criteria!$B$20&amp;" mm. ","")&amp;IF(AND(AD68&lt;&gt;"",AD68&lt;1),"FAIL: sliding. ","")&amp;IF(AND(D68="Reverse L-Wall (toe only, at boundary)",N(S68)&gt;0),"NOTE: reverse L-wall should have no heel. ","")&amp;IF(AND(D68="L-Wall (heel only)",N(R68)&gt;0),"NOTE: L-wall should have no toe. ","")&amp;IF(AND(F68&lt;&gt;"",F68&lt;SG_Criteria!$B$31),"NOTE: q below LTA min "&amp;SG_Criteria!$B$31&amp;" kPa (not for LTA works). ","")))</f>
        <v/>
      </c>
      <c r="BK68" s="9"/>
      <c r="BL68" s="9"/>
      <c r="BM68" s="9"/>
      <c r="BN68" s="10" t="str">
        <f aca="false">IF(BM68="","",IFERROR(VLOOKUP(BM68,Projects!$A$5:$D$504,2,0),"Ref not in Projects"))</f>
        <v/>
      </c>
      <c r="BO68" s="10" t="str">
        <f aca="false">IF(BM68="","",IFERROR(VLOOKUP(BM68,Projects!$A$5:$D$504,4,0),"Ref not in Projects"))</f>
        <v/>
      </c>
      <c r="BP68" s="9"/>
      <c r="BQ68" s="9"/>
      <c r="BR68" s="9"/>
      <c r="BS68" s="40"/>
      <c r="BT68" s="9"/>
      <c r="BU68" s="40"/>
      <c r="BV68" s="9"/>
      <c r="BW68" s="40"/>
      <c r="BX68" s="9"/>
      <c r="BY68" s="9"/>
      <c r="BZ68" s="9"/>
      <c r="CA68" s="40"/>
      <c r="CB68" s="40"/>
      <c r="CC68" s="36" t="str">
        <f aca="false">IF(CB68="","",EDATE(CB68,SG_Criteria!$B$54*12))</f>
        <v/>
      </c>
      <c r="CD68" s="33" t="str">
        <f aca="true">IF(A68="","",IF(CB68="","NOTE: not reviewed yet",IF(TODAY()&gt;CC68,"NOTE: review overdue","OK")))</f>
        <v/>
      </c>
      <c r="CE68" s="37" t="str">
        <f aca="false">IF(A68="","",ROUND((IF(LEN(D68)&gt;0,1,0)+IF(LEN(E68)&gt;0,1,0)+IF(LEN(F68)&gt;0,1,0)+IF(LEN(G68)&gt;0,1,0)+IF(LEN(I68)&gt;0,1,0)+IF(LEN(K68)&gt;0,1,0)+IF(LEN(P68)&gt;0,1,0)+IF(LEN(Q68)&gt;0,1,0)+IF(LEN(T68)&gt;0,1,0)+IF(LEN(V68)&gt;0,1,0)+IF(LEN(W68)&gt;0,1,0)+IF(LEN(X68)&gt;0,1,0)+IF(LEN(Z68)&gt;0,1,0)+IF(LEN(AD68)&gt;0,1,0)+IF(LEN(AE68)&gt;0,1,0)+IF(LEN(AG68)&gt;0,1,0)+IF(LEN(AI68)&gt;0,1,0)+IF(LEN(BB68)&gt;0,1,0)+IF(LEN(BC68)&gt;0,1,0)+IF(LEN(AM68)&gt;0,1,0)+IF(LEN(AO68)&gt;0,1,0)+IF(LEN(AP68)&gt;0,1,0)+IF(LEN(AQ68)&gt;0,1,0)+IF(LEN(AR68)&gt;0,1,0)+IF(LEN(BA68)&gt;0,1,0)+IF(LEN(BM68)&gt;0,1,0)+IF(LEN(BZ68)&gt;0,1,0))/27,2))</f>
        <v/>
      </c>
      <c r="CF68" s="10" t="str">
        <f aca="false">IF(D68="","",IF(AND(AP68="Approved",ISERROR(SEARCH("FAIL",BJ68))),"Y","N"))</f>
        <v/>
      </c>
      <c r="CG68" s="10" t="str">
        <f aca="false">IF(D68="","",D68&amp;"|"&amp;E68&amp;"|"&amp;F68&amp;"|"&amp;G68&amp;"|"&amp;CF68)</f>
        <v/>
      </c>
    </row>
    <row r="69" customFormat="false" ht="15" hidden="false" customHeight="false" outlineLevel="0" collapsed="false">
      <c r="A69" s="10" t="str">
        <f aca="false">IF(D69="","","RW-"&amp;IFERROR(VLOOKUP(D69,Lists!$M$4:$N$22,2,0),"??")&amp;"-H"&amp;TEXT(E69*1000,"0000")&amp;"-S"&amp;F69&amp;IF(G69="Y","-GW","")&amp;"-"&amp;AO69)</f>
        <v/>
      </c>
      <c r="B69" s="10" t="str">
        <f aca="false">IF(D69="","",D69&amp;", H = "&amp;TEXT(E69,"0.0")&amp;" m, q = "&amp;F69&amp;" kPa"&amp;IF(G69="Y",", with GWT","")&amp;", "&amp;I69)</f>
        <v/>
      </c>
      <c r="C69" s="9"/>
      <c r="D69" s="9"/>
      <c r="E69" s="39"/>
      <c r="F69" s="38"/>
      <c r="G69" s="9"/>
      <c r="H69" s="38"/>
      <c r="I69" s="9"/>
      <c r="J69" s="38"/>
      <c r="K69" s="38"/>
      <c r="L69" s="38"/>
      <c r="M69" s="42"/>
      <c r="N69" s="9"/>
      <c r="O69" s="38"/>
      <c r="P69" s="38"/>
      <c r="Q69" s="38"/>
      <c r="R69" s="38"/>
      <c r="S69" s="38"/>
      <c r="T69" s="38"/>
      <c r="U69" s="9"/>
      <c r="V69" s="9"/>
      <c r="W69" s="38"/>
      <c r="X69" s="9"/>
      <c r="Y69" s="9"/>
      <c r="Z69" s="9"/>
      <c r="AA69" s="9"/>
      <c r="AB69" s="9"/>
      <c r="AC69" s="9"/>
      <c r="AD69" s="39"/>
      <c r="AE69" s="39"/>
      <c r="AF69" s="39"/>
      <c r="AG69" s="38"/>
      <c r="AH69" s="38"/>
      <c r="AI69" s="9"/>
      <c r="AJ69" s="38"/>
      <c r="AK69" s="9"/>
      <c r="AL69" s="39"/>
      <c r="AM69" s="9"/>
      <c r="AN69" s="9"/>
      <c r="AO69" s="9"/>
      <c r="AP69" s="9"/>
      <c r="AQ69" s="9"/>
      <c r="AR69" s="9"/>
      <c r="AS69" s="9"/>
      <c r="AT69" s="10" t="str">
        <f aca="false">IF(A69="","",SG_Criteria!$B$6&amp;SG_Criteria!$B$8&amp;"\"&amp;A69&amp;"\")</f>
        <v/>
      </c>
      <c r="AU69" s="10" t="str">
        <f aca="false">IF(A69="","",A69&amp;"_CAD.dwg")</f>
        <v/>
      </c>
      <c r="AV69" s="10" t="str">
        <f aca="false">IF(A69="","",A69&amp;"_DWG.pdf")</f>
        <v/>
      </c>
      <c r="AW69" s="10" t="str">
        <f aca="false">IF(A69="","",IF(AS69="Y",A69&amp;"_STAAD.std","n/a"))</f>
        <v/>
      </c>
      <c r="AX69" s="10" t="str">
        <f aca="false">IF(A69="","",A69&amp;"_CALC.xlsx")</f>
        <v/>
      </c>
      <c r="AY69" s="10" t="str">
        <f aca="false">IF(A69="","",A69&amp;"_CALC.pdf")</f>
        <v/>
      </c>
      <c r="AZ69" s="9"/>
      <c r="BA69" s="9"/>
      <c r="BB69" s="39"/>
      <c r="BC69" s="39"/>
      <c r="BD69" s="39"/>
      <c r="BE69" s="39"/>
      <c r="BF69" s="39"/>
      <c r="BG69" s="12" t="str">
        <f aca="false">IF(A69="","",IF(COUNTIF(Rebar_Schedule!$A$5:$A$2004,A69)=0,"",ROUND(SUMIF(Rebar_Schedule!$A$5:$A$2004,A69,Rebar_Schedule!$K$5:$K$2004),1)))</f>
        <v/>
      </c>
      <c r="BH69" s="33" t="str">
        <f aca="false">IF(A69="","",IF(BG69="","No rebar schedule yet",IF(ABS(BG69-N(BC69))/MAX(N(BC69),1)&gt;SG_Criteria!$B$55,"NOTE: register rebar differs from schedule by "&amp;TEXT(ABS(BG69-N(BC69))/MAX(N(BC69),1),"0%"),"OK")))</f>
        <v/>
      </c>
      <c r="BI69" s="33" t="str">
        <f aca="false">IF(OR(D69="",E69=""),"",IF(E69&lt;=IF(OR(D69="Block / Segmental",D69="Gabion",D69="Reinforced Earth (MSE)"),SG_Criteria!$B$34,SG_Criteria!$B$33),"No ERSS submission",IF(E69&lt;=SG_Criteria!$B$35,"QP(ST)",IF(E69&lt;=SG_Criteria!$B$36,"QP(ST) + AC","Geotechnical building works: QP(Geo) + AC"))))</f>
        <v/>
      </c>
      <c r="BJ69" s="33" t="str">
        <f aca="false">IF(D69="","",IF(LEN(IF(AND(V69&lt;&gt;"",IFERROR(VALUE(MID(V69,2,2)),0)&lt;SG_Criteria!$B$19),"FAIL: grade below C"&amp;SG_Criteria!$B$19&amp;". ","")&amp;IF(AND(W69&lt;&gt;"",W69&lt;SG_Criteria!$B$20),"FAIL: cover &lt; "&amp;SG_Criteria!$B$20&amp;" mm. ","")&amp;IF(AND(AD69&lt;&gt;"",AD69&lt;1),"FAIL: sliding. ","")&amp;IF(AND(D69="Reverse L-Wall (toe only, at boundary)",N(S69)&gt;0),"NOTE: reverse L-wall should have no heel. ","")&amp;IF(AND(D69="L-Wall (heel only)",N(R69)&gt;0),"NOTE: L-wall should have no toe. ","")&amp;IF(AND(F69&lt;&gt;"",F69&lt;SG_Criteria!$B$31),"NOTE: q below LTA min "&amp;SG_Criteria!$B$31&amp;" kPa (not for LTA works). ",""))=0,"OK",IF(AND(V69&lt;&gt;"",IFERROR(VALUE(MID(V69,2,2)),0)&lt;SG_Criteria!$B$19),"FAIL: grade below C"&amp;SG_Criteria!$B$19&amp;". ","")&amp;IF(AND(W69&lt;&gt;"",W69&lt;SG_Criteria!$B$20),"FAIL: cover &lt; "&amp;SG_Criteria!$B$20&amp;" mm. ","")&amp;IF(AND(AD69&lt;&gt;"",AD69&lt;1),"FAIL: sliding. ","")&amp;IF(AND(D69="Reverse L-Wall (toe only, at boundary)",N(S69)&gt;0),"NOTE: reverse L-wall should have no heel. ","")&amp;IF(AND(D69="L-Wall (heel only)",N(R69)&gt;0),"NOTE: L-wall should have no toe. ","")&amp;IF(AND(F69&lt;&gt;"",F69&lt;SG_Criteria!$B$31),"NOTE: q below LTA min "&amp;SG_Criteria!$B$31&amp;" kPa (not for LTA works). ","")))</f>
        <v/>
      </c>
      <c r="BK69" s="9"/>
      <c r="BL69" s="9"/>
      <c r="BM69" s="9"/>
      <c r="BN69" s="10" t="str">
        <f aca="false">IF(BM69="","",IFERROR(VLOOKUP(BM69,Projects!$A$5:$D$504,2,0),"Ref not in Projects"))</f>
        <v/>
      </c>
      <c r="BO69" s="10" t="str">
        <f aca="false">IF(BM69="","",IFERROR(VLOOKUP(BM69,Projects!$A$5:$D$504,4,0),"Ref not in Projects"))</f>
        <v/>
      </c>
      <c r="BP69" s="9"/>
      <c r="BQ69" s="9"/>
      <c r="BR69" s="9"/>
      <c r="BS69" s="40"/>
      <c r="BT69" s="9"/>
      <c r="BU69" s="40"/>
      <c r="BV69" s="9"/>
      <c r="BW69" s="40"/>
      <c r="BX69" s="9"/>
      <c r="BY69" s="9"/>
      <c r="BZ69" s="9"/>
      <c r="CA69" s="40"/>
      <c r="CB69" s="40"/>
      <c r="CC69" s="36" t="str">
        <f aca="false">IF(CB69="","",EDATE(CB69,SG_Criteria!$B$54*12))</f>
        <v/>
      </c>
      <c r="CD69" s="33" t="str">
        <f aca="true">IF(A69="","",IF(CB69="","NOTE: not reviewed yet",IF(TODAY()&gt;CC69,"NOTE: review overdue","OK")))</f>
        <v/>
      </c>
      <c r="CE69" s="37" t="str">
        <f aca="false">IF(A69="","",ROUND((IF(LEN(D69)&gt;0,1,0)+IF(LEN(E69)&gt;0,1,0)+IF(LEN(F69)&gt;0,1,0)+IF(LEN(G69)&gt;0,1,0)+IF(LEN(I69)&gt;0,1,0)+IF(LEN(K69)&gt;0,1,0)+IF(LEN(P69)&gt;0,1,0)+IF(LEN(Q69)&gt;0,1,0)+IF(LEN(T69)&gt;0,1,0)+IF(LEN(V69)&gt;0,1,0)+IF(LEN(W69)&gt;0,1,0)+IF(LEN(X69)&gt;0,1,0)+IF(LEN(Z69)&gt;0,1,0)+IF(LEN(AD69)&gt;0,1,0)+IF(LEN(AE69)&gt;0,1,0)+IF(LEN(AG69)&gt;0,1,0)+IF(LEN(AI69)&gt;0,1,0)+IF(LEN(BB69)&gt;0,1,0)+IF(LEN(BC69)&gt;0,1,0)+IF(LEN(AM69)&gt;0,1,0)+IF(LEN(AO69)&gt;0,1,0)+IF(LEN(AP69)&gt;0,1,0)+IF(LEN(AQ69)&gt;0,1,0)+IF(LEN(AR69)&gt;0,1,0)+IF(LEN(BA69)&gt;0,1,0)+IF(LEN(BM69)&gt;0,1,0)+IF(LEN(BZ69)&gt;0,1,0))/27,2))</f>
        <v/>
      </c>
      <c r="CF69" s="10" t="str">
        <f aca="false">IF(D69="","",IF(AND(AP69="Approved",ISERROR(SEARCH("FAIL",BJ69))),"Y","N"))</f>
        <v/>
      </c>
      <c r="CG69" s="10" t="str">
        <f aca="false">IF(D69="","",D69&amp;"|"&amp;E69&amp;"|"&amp;F69&amp;"|"&amp;G69&amp;"|"&amp;CF69)</f>
        <v/>
      </c>
    </row>
    <row r="70" customFormat="false" ht="15" hidden="false" customHeight="false" outlineLevel="0" collapsed="false">
      <c r="A70" s="10" t="str">
        <f aca="false">IF(D70="","","RW-"&amp;IFERROR(VLOOKUP(D70,Lists!$M$4:$N$22,2,0),"??")&amp;"-H"&amp;TEXT(E70*1000,"0000")&amp;"-S"&amp;F70&amp;IF(G70="Y","-GW","")&amp;"-"&amp;AO70)</f>
        <v/>
      </c>
      <c r="B70" s="10" t="str">
        <f aca="false">IF(D70="","",D70&amp;", H = "&amp;TEXT(E70,"0.0")&amp;" m, q = "&amp;F70&amp;" kPa"&amp;IF(G70="Y",", with GWT","")&amp;", "&amp;I70)</f>
        <v/>
      </c>
      <c r="C70" s="9"/>
      <c r="D70" s="9"/>
      <c r="E70" s="39"/>
      <c r="F70" s="38"/>
      <c r="G70" s="9"/>
      <c r="H70" s="38"/>
      <c r="I70" s="9"/>
      <c r="J70" s="38"/>
      <c r="K70" s="38"/>
      <c r="L70" s="38"/>
      <c r="M70" s="42"/>
      <c r="N70" s="9"/>
      <c r="O70" s="38"/>
      <c r="P70" s="38"/>
      <c r="Q70" s="38"/>
      <c r="R70" s="38"/>
      <c r="S70" s="38"/>
      <c r="T70" s="38"/>
      <c r="U70" s="9"/>
      <c r="V70" s="9"/>
      <c r="W70" s="38"/>
      <c r="X70" s="9"/>
      <c r="Y70" s="9"/>
      <c r="Z70" s="9"/>
      <c r="AA70" s="9"/>
      <c r="AB70" s="9"/>
      <c r="AC70" s="9"/>
      <c r="AD70" s="39"/>
      <c r="AE70" s="39"/>
      <c r="AF70" s="39"/>
      <c r="AG70" s="38"/>
      <c r="AH70" s="38"/>
      <c r="AI70" s="9"/>
      <c r="AJ70" s="38"/>
      <c r="AK70" s="9"/>
      <c r="AL70" s="39"/>
      <c r="AM70" s="9"/>
      <c r="AN70" s="9"/>
      <c r="AO70" s="9"/>
      <c r="AP70" s="9"/>
      <c r="AQ70" s="9"/>
      <c r="AR70" s="9"/>
      <c r="AS70" s="9"/>
      <c r="AT70" s="10" t="str">
        <f aca="false">IF(A70="","",SG_Criteria!$B$6&amp;SG_Criteria!$B$8&amp;"\"&amp;A70&amp;"\")</f>
        <v/>
      </c>
      <c r="AU70" s="10" t="str">
        <f aca="false">IF(A70="","",A70&amp;"_CAD.dwg")</f>
        <v/>
      </c>
      <c r="AV70" s="10" t="str">
        <f aca="false">IF(A70="","",A70&amp;"_DWG.pdf")</f>
        <v/>
      </c>
      <c r="AW70" s="10" t="str">
        <f aca="false">IF(A70="","",IF(AS70="Y",A70&amp;"_STAAD.std","n/a"))</f>
        <v/>
      </c>
      <c r="AX70" s="10" t="str">
        <f aca="false">IF(A70="","",A70&amp;"_CALC.xlsx")</f>
        <v/>
      </c>
      <c r="AY70" s="10" t="str">
        <f aca="false">IF(A70="","",A70&amp;"_CALC.pdf")</f>
        <v/>
      </c>
      <c r="AZ70" s="9"/>
      <c r="BA70" s="9"/>
      <c r="BB70" s="39"/>
      <c r="BC70" s="39"/>
      <c r="BD70" s="39"/>
      <c r="BE70" s="39"/>
      <c r="BF70" s="39"/>
      <c r="BG70" s="12" t="str">
        <f aca="false">IF(A70="","",IF(COUNTIF(Rebar_Schedule!$A$5:$A$2004,A70)=0,"",ROUND(SUMIF(Rebar_Schedule!$A$5:$A$2004,A70,Rebar_Schedule!$K$5:$K$2004),1)))</f>
        <v/>
      </c>
      <c r="BH70" s="33" t="str">
        <f aca="false">IF(A70="","",IF(BG70="","No rebar schedule yet",IF(ABS(BG70-N(BC70))/MAX(N(BC70),1)&gt;SG_Criteria!$B$55,"NOTE: register rebar differs from schedule by "&amp;TEXT(ABS(BG70-N(BC70))/MAX(N(BC70),1),"0%"),"OK")))</f>
        <v/>
      </c>
      <c r="BI70" s="33" t="str">
        <f aca="false">IF(OR(D70="",E70=""),"",IF(E70&lt;=IF(OR(D70="Block / Segmental",D70="Gabion",D70="Reinforced Earth (MSE)"),SG_Criteria!$B$34,SG_Criteria!$B$33),"No ERSS submission",IF(E70&lt;=SG_Criteria!$B$35,"QP(ST)",IF(E70&lt;=SG_Criteria!$B$36,"QP(ST) + AC","Geotechnical building works: QP(Geo) + AC"))))</f>
        <v/>
      </c>
      <c r="BJ70" s="33" t="str">
        <f aca="false">IF(D70="","",IF(LEN(IF(AND(V70&lt;&gt;"",IFERROR(VALUE(MID(V70,2,2)),0)&lt;SG_Criteria!$B$19),"FAIL: grade below C"&amp;SG_Criteria!$B$19&amp;". ","")&amp;IF(AND(W70&lt;&gt;"",W70&lt;SG_Criteria!$B$20),"FAIL: cover &lt; "&amp;SG_Criteria!$B$20&amp;" mm. ","")&amp;IF(AND(AD70&lt;&gt;"",AD70&lt;1),"FAIL: sliding. ","")&amp;IF(AND(D70="Reverse L-Wall (toe only, at boundary)",N(S70)&gt;0),"NOTE: reverse L-wall should have no heel. ","")&amp;IF(AND(D70="L-Wall (heel only)",N(R70)&gt;0),"NOTE: L-wall should have no toe. ","")&amp;IF(AND(F70&lt;&gt;"",F70&lt;SG_Criteria!$B$31),"NOTE: q below LTA min "&amp;SG_Criteria!$B$31&amp;" kPa (not for LTA works). ",""))=0,"OK",IF(AND(V70&lt;&gt;"",IFERROR(VALUE(MID(V70,2,2)),0)&lt;SG_Criteria!$B$19),"FAIL: grade below C"&amp;SG_Criteria!$B$19&amp;". ","")&amp;IF(AND(W70&lt;&gt;"",W70&lt;SG_Criteria!$B$20),"FAIL: cover &lt; "&amp;SG_Criteria!$B$20&amp;" mm. ","")&amp;IF(AND(AD70&lt;&gt;"",AD70&lt;1),"FAIL: sliding. ","")&amp;IF(AND(D70="Reverse L-Wall (toe only, at boundary)",N(S70)&gt;0),"NOTE: reverse L-wall should have no heel. ","")&amp;IF(AND(D70="L-Wall (heel only)",N(R70)&gt;0),"NOTE: L-wall should have no toe. ","")&amp;IF(AND(F70&lt;&gt;"",F70&lt;SG_Criteria!$B$31),"NOTE: q below LTA min "&amp;SG_Criteria!$B$31&amp;" kPa (not for LTA works). ","")))</f>
        <v/>
      </c>
      <c r="BK70" s="9"/>
      <c r="BL70" s="9"/>
      <c r="BM70" s="9"/>
      <c r="BN70" s="10" t="str">
        <f aca="false">IF(BM70="","",IFERROR(VLOOKUP(BM70,Projects!$A$5:$D$504,2,0),"Ref not in Projects"))</f>
        <v/>
      </c>
      <c r="BO70" s="10" t="str">
        <f aca="false">IF(BM70="","",IFERROR(VLOOKUP(BM70,Projects!$A$5:$D$504,4,0),"Ref not in Projects"))</f>
        <v/>
      </c>
      <c r="BP70" s="9"/>
      <c r="BQ70" s="9"/>
      <c r="BR70" s="9"/>
      <c r="BS70" s="40"/>
      <c r="BT70" s="9"/>
      <c r="BU70" s="40"/>
      <c r="BV70" s="9"/>
      <c r="BW70" s="40"/>
      <c r="BX70" s="9"/>
      <c r="BY70" s="9"/>
      <c r="BZ70" s="9"/>
      <c r="CA70" s="40"/>
      <c r="CB70" s="40"/>
      <c r="CC70" s="36" t="str">
        <f aca="false">IF(CB70="","",EDATE(CB70,SG_Criteria!$B$54*12))</f>
        <v/>
      </c>
      <c r="CD70" s="33" t="str">
        <f aca="true">IF(A70="","",IF(CB70="","NOTE: not reviewed yet",IF(TODAY()&gt;CC70,"NOTE: review overdue","OK")))</f>
        <v/>
      </c>
      <c r="CE70" s="37" t="str">
        <f aca="false">IF(A70="","",ROUND((IF(LEN(D70)&gt;0,1,0)+IF(LEN(E70)&gt;0,1,0)+IF(LEN(F70)&gt;0,1,0)+IF(LEN(G70)&gt;0,1,0)+IF(LEN(I70)&gt;0,1,0)+IF(LEN(K70)&gt;0,1,0)+IF(LEN(P70)&gt;0,1,0)+IF(LEN(Q70)&gt;0,1,0)+IF(LEN(T70)&gt;0,1,0)+IF(LEN(V70)&gt;0,1,0)+IF(LEN(W70)&gt;0,1,0)+IF(LEN(X70)&gt;0,1,0)+IF(LEN(Z70)&gt;0,1,0)+IF(LEN(AD70)&gt;0,1,0)+IF(LEN(AE70)&gt;0,1,0)+IF(LEN(AG70)&gt;0,1,0)+IF(LEN(AI70)&gt;0,1,0)+IF(LEN(BB70)&gt;0,1,0)+IF(LEN(BC70)&gt;0,1,0)+IF(LEN(AM70)&gt;0,1,0)+IF(LEN(AO70)&gt;0,1,0)+IF(LEN(AP70)&gt;0,1,0)+IF(LEN(AQ70)&gt;0,1,0)+IF(LEN(AR70)&gt;0,1,0)+IF(LEN(BA70)&gt;0,1,0)+IF(LEN(BM70)&gt;0,1,0)+IF(LEN(BZ70)&gt;0,1,0))/27,2))</f>
        <v/>
      </c>
      <c r="CF70" s="10" t="str">
        <f aca="false">IF(D70="","",IF(AND(AP70="Approved",ISERROR(SEARCH("FAIL",BJ70))),"Y","N"))</f>
        <v/>
      </c>
      <c r="CG70" s="10" t="str">
        <f aca="false">IF(D70="","",D70&amp;"|"&amp;E70&amp;"|"&amp;F70&amp;"|"&amp;G70&amp;"|"&amp;CF70)</f>
        <v/>
      </c>
    </row>
    <row r="71" customFormat="false" ht="15" hidden="false" customHeight="false" outlineLevel="0" collapsed="false">
      <c r="A71" s="10" t="str">
        <f aca="false">IF(D71="","","RW-"&amp;IFERROR(VLOOKUP(D71,Lists!$M$4:$N$22,2,0),"??")&amp;"-H"&amp;TEXT(E71*1000,"0000")&amp;"-S"&amp;F71&amp;IF(G71="Y","-GW","")&amp;"-"&amp;AO71)</f>
        <v/>
      </c>
      <c r="B71" s="10" t="str">
        <f aca="false">IF(D71="","",D71&amp;", H = "&amp;TEXT(E71,"0.0")&amp;" m, q = "&amp;F71&amp;" kPa"&amp;IF(G71="Y",", with GWT","")&amp;", "&amp;I71)</f>
        <v/>
      </c>
      <c r="C71" s="9"/>
      <c r="D71" s="9"/>
      <c r="E71" s="39"/>
      <c r="F71" s="38"/>
      <c r="G71" s="9"/>
      <c r="H71" s="38"/>
      <c r="I71" s="9"/>
      <c r="J71" s="38"/>
      <c r="K71" s="38"/>
      <c r="L71" s="38"/>
      <c r="M71" s="42"/>
      <c r="N71" s="9"/>
      <c r="O71" s="38"/>
      <c r="P71" s="38"/>
      <c r="Q71" s="38"/>
      <c r="R71" s="38"/>
      <c r="S71" s="38"/>
      <c r="T71" s="38"/>
      <c r="U71" s="9"/>
      <c r="V71" s="9"/>
      <c r="W71" s="38"/>
      <c r="X71" s="9"/>
      <c r="Y71" s="9"/>
      <c r="Z71" s="9"/>
      <c r="AA71" s="9"/>
      <c r="AB71" s="9"/>
      <c r="AC71" s="9"/>
      <c r="AD71" s="39"/>
      <c r="AE71" s="39"/>
      <c r="AF71" s="39"/>
      <c r="AG71" s="38"/>
      <c r="AH71" s="38"/>
      <c r="AI71" s="9"/>
      <c r="AJ71" s="38"/>
      <c r="AK71" s="9"/>
      <c r="AL71" s="39"/>
      <c r="AM71" s="9"/>
      <c r="AN71" s="9"/>
      <c r="AO71" s="9"/>
      <c r="AP71" s="9"/>
      <c r="AQ71" s="9"/>
      <c r="AR71" s="9"/>
      <c r="AS71" s="9"/>
      <c r="AT71" s="10" t="str">
        <f aca="false">IF(A71="","",SG_Criteria!$B$6&amp;SG_Criteria!$B$8&amp;"\"&amp;A71&amp;"\")</f>
        <v/>
      </c>
      <c r="AU71" s="10" t="str">
        <f aca="false">IF(A71="","",A71&amp;"_CAD.dwg")</f>
        <v/>
      </c>
      <c r="AV71" s="10" t="str">
        <f aca="false">IF(A71="","",A71&amp;"_DWG.pdf")</f>
        <v/>
      </c>
      <c r="AW71" s="10" t="str">
        <f aca="false">IF(A71="","",IF(AS71="Y",A71&amp;"_STAAD.std","n/a"))</f>
        <v/>
      </c>
      <c r="AX71" s="10" t="str">
        <f aca="false">IF(A71="","",A71&amp;"_CALC.xlsx")</f>
        <v/>
      </c>
      <c r="AY71" s="10" t="str">
        <f aca="false">IF(A71="","",A71&amp;"_CALC.pdf")</f>
        <v/>
      </c>
      <c r="AZ71" s="9"/>
      <c r="BA71" s="9"/>
      <c r="BB71" s="39"/>
      <c r="BC71" s="39"/>
      <c r="BD71" s="39"/>
      <c r="BE71" s="39"/>
      <c r="BF71" s="39"/>
      <c r="BG71" s="12" t="str">
        <f aca="false">IF(A71="","",IF(COUNTIF(Rebar_Schedule!$A$5:$A$2004,A71)=0,"",ROUND(SUMIF(Rebar_Schedule!$A$5:$A$2004,A71,Rebar_Schedule!$K$5:$K$2004),1)))</f>
        <v/>
      </c>
      <c r="BH71" s="33" t="str">
        <f aca="false">IF(A71="","",IF(BG71="","No rebar schedule yet",IF(ABS(BG71-N(BC71))/MAX(N(BC71),1)&gt;SG_Criteria!$B$55,"NOTE: register rebar differs from schedule by "&amp;TEXT(ABS(BG71-N(BC71))/MAX(N(BC71),1),"0%"),"OK")))</f>
        <v/>
      </c>
      <c r="BI71" s="33" t="str">
        <f aca="false">IF(OR(D71="",E71=""),"",IF(E71&lt;=IF(OR(D71="Block / Segmental",D71="Gabion",D71="Reinforced Earth (MSE)"),SG_Criteria!$B$34,SG_Criteria!$B$33),"No ERSS submission",IF(E71&lt;=SG_Criteria!$B$35,"QP(ST)",IF(E71&lt;=SG_Criteria!$B$36,"QP(ST) + AC","Geotechnical building works: QP(Geo) + AC"))))</f>
        <v/>
      </c>
      <c r="BJ71" s="33" t="str">
        <f aca="false">IF(D71="","",IF(LEN(IF(AND(V71&lt;&gt;"",IFERROR(VALUE(MID(V71,2,2)),0)&lt;SG_Criteria!$B$19),"FAIL: grade below C"&amp;SG_Criteria!$B$19&amp;". ","")&amp;IF(AND(W71&lt;&gt;"",W71&lt;SG_Criteria!$B$20),"FAIL: cover &lt; "&amp;SG_Criteria!$B$20&amp;" mm. ","")&amp;IF(AND(AD71&lt;&gt;"",AD71&lt;1),"FAIL: sliding. ","")&amp;IF(AND(D71="Reverse L-Wall (toe only, at boundary)",N(S71)&gt;0),"NOTE: reverse L-wall should have no heel. ","")&amp;IF(AND(D71="L-Wall (heel only)",N(R71)&gt;0),"NOTE: L-wall should have no toe. ","")&amp;IF(AND(F71&lt;&gt;"",F71&lt;SG_Criteria!$B$31),"NOTE: q below LTA min "&amp;SG_Criteria!$B$31&amp;" kPa (not for LTA works). ",""))=0,"OK",IF(AND(V71&lt;&gt;"",IFERROR(VALUE(MID(V71,2,2)),0)&lt;SG_Criteria!$B$19),"FAIL: grade below C"&amp;SG_Criteria!$B$19&amp;". ","")&amp;IF(AND(W71&lt;&gt;"",W71&lt;SG_Criteria!$B$20),"FAIL: cover &lt; "&amp;SG_Criteria!$B$20&amp;" mm. ","")&amp;IF(AND(AD71&lt;&gt;"",AD71&lt;1),"FAIL: sliding. ","")&amp;IF(AND(D71="Reverse L-Wall (toe only, at boundary)",N(S71)&gt;0),"NOTE: reverse L-wall should have no heel. ","")&amp;IF(AND(D71="L-Wall (heel only)",N(R71)&gt;0),"NOTE: L-wall should have no toe. ","")&amp;IF(AND(F71&lt;&gt;"",F71&lt;SG_Criteria!$B$31),"NOTE: q below LTA min "&amp;SG_Criteria!$B$31&amp;" kPa (not for LTA works). ","")))</f>
        <v/>
      </c>
      <c r="BK71" s="9"/>
      <c r="BL71" s="9"/>
      <c r="BM71" s="9"/>
      <c r="BN71" s="10" t="str">
        <f aca="false">IF(BM71="","",IFERROR(VLOOKUP(BM71,Projects!$A$5:$D$504,2,0),"Ref not in Projects"))</f>
        <v/>
      </c>
      <c r="BO71" s="10" t="str">
        <f aca="false">IF(BM71="","",IFERROR(VLOOKUP(BM71,Projects!$A$5:$D$504,4,0),"Ref not in Projects"))</f>
        <v/>
      </c>
      <c r="BP71" s="9"/>
      <c r="BQ71" s="9"/>
      <c r="BR71" s="9"/>
      <c r="BS71" s="40"/>
      <c r="BT71" s="9"/>
      <c r="BU71" s="40"/>
      <c r="BV71" s="9"/>
      <c r="BW71" s="40"/>
      <c r="BX71" s="9"/>
      <c r="BY71" s="9"/>
      <c r="BZ71" s="9"/>
      <c r="CA71" s="40"/>
      <c r="CB71" s="40"/>
      <c r="CC71" s="36" t="str">
        <f aca="false">IF(CB71="","",EDATE(CB71,SG_Criteria!$B$54*12))</f>
        <v/>
      </c>
      <c r="CD71" s="33" t="str">
        <f aca="true">IF(A71="","",IF(CB71="","NOTE: not reviewed yet",IF(TODAY()&gt;CC71,"NOTE: review overdue","OK")))</f>
        <v/>
      </c>
      <c r="CE71" s="37" t="str">
        <f aca="false">IF(A71="","",ROUND((IF(LEN(D71)&gt;0,1,0)+IF(LEN(E71)&gt;0,1,0)+IF(LEN(F71)&gt;0,1,0)+IF(LEN(G71)&gt;0,1,0)+IF(LEN(I71)&gt;0,1,0)+IF(LEN(K71)&gt;0,1,0)+IF(LEN(P71)&gt;0,1,0)+IF(LEN(Q71)&gt;0,1,0)+IF(LEN(T71)&gt;0,1,0)+IF(LEN(V71)&gt;0,1,0)+IF(LEN(W71)&gt;0,1,0)+IF(LEN(X71)&gt;0,1,0)+IF(LEN(Z71)&gt;0,1,0)+IF(LEN(AD71)&gt;0,1,0)+IF(LEN(AE71)&gt;0,1,0)+IF(LEN(AG71)&gt;0,1,0)+IF(LEN(AI71)&gt;0,1,0)+IF(LEN(BB71)&gt;0,1,0)+IF(LEN(BC71)&gt;0,1,0)+IF(LEN(AM71)&gt;0,1,0)+IF(LEN(AO71)&gt;0,1,0)+IF(LEN(AP71)&gt;0,1,0)+IF(LEN(AQ71)&gt;0,1,0)+IF(LEN(AR71)&gt;0,1,0)+IF(LEN(BA71)&gt;0,1,0)+IF(LEN(BM71)&gt;0,1,0)+IF(LEN(BZ71)&gt;0,1,0))/27,2))</f>
        <v/>
      </c>
      <c r="CF71" s="10" t="str">
        <f aca="false">IF(D71="","",IF(AND(AP71="Approved",ISERROR(SEARCH("FAIL",BJ71))),"Y","N"))</f>
        <v/>
      </c>
      <c r="CG71" s="10" t="str">
        <f aca="false">IF(D71="","",D71&amp;"|"&amp;E71&amp;"|"&amp;F71&amp;"|"&amp;G71&amp;"|"&amp;CF71)</f>
        <v/>
      </c>
    </row>
    <row r="72" customFormat="false" ht="15" hidden="false" customHeight="false" outlineLevel="0" collapsed="false">
      <c r="A72" s="10" t="str">
        <f aca="false">IF(D72="","","RW-"&amp;IFERROR(VLOOKUP(D72,Lists!$M$4:$N$22,2,0),"??")&amp;"-H"&amp;TEXT(E72*1000,"0000")&amp;"-S"&amp;F72&amp;IF(G72="Y","-GW","")&amp;"-"&amp;AO72)</f>
        <v/>
      </c>
      <c r="B72" s="10" t="str">
        <f aca="false">IF(D72="","",D72&amp;", H = "&amp;TEXT(E72,"0.0")&amp;" m, q = "&amp;F72&amp;" kPa"&amp;IF(G72="Y",", with GWT","")&amp;", "&amp;I72)</f>
        <v/>
      </c>
      <c r="C72" s="9"/>
      <c r="D72" s="9"/>
      <c r="E72" s="39"/>
      <c r="F72" s="38"/>
      <c r="G72" s="9"/>
      <c r="H72" s="38"/>
      <c r="I72" s="9"/>
      <c r="J72" s="38"/>
      <c r="K72" s="38"/>
      <c r="L72" s="38"/>
      <c r="M72" s="42"/>
      <c r="N72" s="9"/>
      <c r="O72" s="38"/>
      <c r="P72" s="38"/>
      <c r="Q72" s="38"/>
      <c r="R72" s="38"/>
      <c r="S72" s="38"/>
      <c r="T72" s="38"/>
      <c r="U72" s="9"/>
      <c r="V72" s="9"/>
      <c r="W72" s="38"/>
      <c r="X72" s="9"/>
      <c r="Y72" s="9"/>
      <c r="Z72" s="9"/>
      <c r="AA72" s="9"/>
      <c r="AB72" s="9"/>
      <c r="AC72" s="9"/>
      <c r="AD72" s="39"/>
      <c r="AE72" s="39"/>
      <c r="AF72" s="39"/>
      <c r="AG72" s="38"/>
      <c r="AH72" s="38"/>
      <c r="AI72" s="9"/>
      <c r="AJ72" s="38"/>
      <c r="AK72" s="9"/>
      <c r="AL72" s="39"/>
      <c r="AM72" s="9"/>
      <c r="AN72" s="9"/>
      <c r="AO72" s="9"/>
      <c r="AP72" s="9"/>
      <c r="AQ72" s="9"/>
      <c r="AR72" s="9"/>
      <c r="AS72" s="9"/>
      <c r="AT72" s="10" t="str">
        <f aca="false">IF(A72="","",SG_Criteria!$B$6&amp;SG_Criteria!$B$8&amp;"\"&amp;A72&amp;"\")</f>
        <v/>
      </c>
      <c r="AU72" s="10" t="str">
        <f aca="false">IF(A72="","",A72&amp;"_CAD.dwg")</f>
        <v/>
      </c>
      <c r="AV72" s="10" t="str">
        <f aca="false">IF(A72="","",A72&amp;"_DWG.pdf")</f>
        <v/>
      </c>
      <c r="AW72" s="10" t="str">
        <f aca="false">IF(A72="","",IF(AS72="Y",A72&amp;"_STAAD.std","n/a"))</f>
        <v/>
      </c>
      <c r="AX72" s="10" t="str">
        <f aca="false">IF(A72="","",A72&amp;"_CALC.xlsx")</f>
        <v/>
      </c>
      <c r="AY72" s="10" t="str">
        <f aca="false">IF(A72="","",A72&amp;"_CALC.pdf")</f>
        <v/>
      </c>
      <c r="AZ72" s="9"/>
      <c r="BA72" s="9"/>
      <c r="BB72" s="39"/>
      <c r="BC72" s="39"/>
      <c r="BD72" s="39"/>
      <c r="BE72" s="39"/>
      <c r="BF72" s="39"/>
      <c r="BG72" s="12" t="str">
        <f aca="false">IF(A72="","",IF(COUNTIF(Rebar_Schedule!$A$5:$A$2004,A72)=0,"",ROUND(SUMIF(Rebar_Schedule!$A$5:$A$2004,A72,Rebar_Schedule!$K$5:$K$2004),1)))</f>
        <v/>
      </c>
      <c r="BH72" s="33" t="str">
        <f aca="false">IF(A72="","",IF(BG72="","No rebar schedule yet",IF(ABS(BG72-N(BC72))/MAX(N(BC72),1)&gt;SG_Criteria!$B$55,"NOTE: register rebar differs from schedule by "&amp;TEXT(ABS(BG72-N(BC72))/MAX(N(BC72),1),"0%"),"OK")))</f>
        <v/>
      </c>
      <c r="BI72" s="33" t="str">
        <f aca="false">IF(OR(D72="",E72=""),"",IF(E72&lt;=IF(OR(D72="Block / Segmental",D72="Gabion",D72="Reinforced Earth (MSE)"),SG_Criteria!$B$34,SG_Criteria!$B$33),"No ERSS submission",IF(E72&lt;=SG_Criteria!$B$35,"QP(ST)",IF(E72&lt;=SG_Criteria!$B$36,"QP(ST) + AC","Geotechnical building works: QP(Geo) + AC"))))</f>
        <v/>
      </c>
      <c r="BJ72" s="33" t="str">
        <f aca="false">IF(D72="","",IF(LEN(IF(AND(V72&lt;&gt;"",IFERROR(VALUE(MID(V72,2,2)),0)&lt;SG_Criteria!$B$19),"FAIL: grade below C"&amp;SG_Criteria!$B$19&amp;". ","")&amp;IF(AND(W72&lt;&gt;"",W72&lt;SG_Criteria!$B$20),"FAIL: cover &lt; "&amp;SG_Criteria!$B$20&amp;" mm. ","")&amp;IF(AND(AD72&lt;&gt;"",AD72&lt;1),"FAIL: sliding. ","")&amp;IF(AND(D72="Reverse L-Wall (toe only, at boundary)",N(S72)&gt;0),"NOTE: reverse L-wall should have no heel. ","")&amp;IF(AND(D72="L-Wall (heel only)",N(R72)&gt;0),"NOTE: L-wall should have no toe. ","")&amp;IF(AND(F72&lt;&gt;"",F72&lt;SG_Criteria!$B$31),"NOTE: q below LTA min "&amp;SG_Criteria!$B$31&amp;" kPa (not for LTA works). ",""))=0,"OK",IF(AND(V72&lt;&gt;"",IFERROR(VALUE(MID(V72,2,2)),0)&lt;SG_Criteria!$B$19),"FAIL: grade below C"&amp;SG_Criteria!$B$19&amp;". ","")&amp;IF(AND(W72&lt;&gt;"",W72&lt;SG_Criteria!$B$20),"FAIL: cover &lt; "&amp;SG_Criteria!$B$20&amp;" mm. ","")&amp;IF(AND(AD72&lt;&gt;"",AD72&lt;1),"FAIL: sliding. ","")&amp;IF(AND(D72="Reverse L-Wall (toe only, at boundary)",N(S72)&gt;0),"NOTE: reverse L-wall should have no heel. ","")&amp;IF(AND(D72="L-Wall (heel only)",N(R72)&gt;0),"NOTE: L-wall should have no toe. ","")&amp;IF(AND(F72&lt;&gt;"",F72&lt;SG_Criteria!$B$31),"NOTE: q below LTA min "&amp;SG_Criteria!$B$31&amp;" kPa (not for LTA works). ","")))</f>
        <v/>
      </c>
      <c r="BK72" s="9"/>
      <c r="BL72" s="9"/>
      <c r="BM72" s="9"/>
      <c r="BN72" s="10" t="str">
        <f aca="false">IF(BM72="","",IFERROR(VLOOKUP(BM72,Projects!$A$5:$D$504,2,0),"Ref not in Projects"))</f>
        <v/>
      </c>
      <c r="BO72" s="10" t="str">
        <f aca="false">IF(BM72="","",IFERROR(VLOOKUP(BM72,Projects!$A$5:$D$504,4,0),"Ref not in Projects"))</f>
        <v/>
      </c>
      <c r="BP72" s="9"/>
      <c r="BQ72" s="9"/>
      <c r="BR72" s="9"/>
      <c r="BS72" s="40"/>
      <c r="BT72" s="9"/>
      <c r="BU72" s="40"/>
      <c r="BV72" s="9"/>
      <c r="BW72" s="40"/>
      <c r="BX72" s="9"/>
      <c r="BY72" s="9"/>
      <c r="BZ72" s="9"/>
      <c r="CA72" s="40"/>
      <c r="CB72" s="40"/>
      <c r="CC72" s="36" t="str">
        <f aca="false">IF(CB72="","",EDATE(CB72,SG_Criteria!$B$54*12))</f>
        <v/>
      </c>
      <c r="CD72" s="33" t="str">
        <f aca="true">IF(A72="","",IF(CB72="","NOTE: not reviewed yet",IF(TODAY()&gt;CC72,"NOTE: review overdue","OK")))</f>
        <v/>
      </c>
      <c r="CE72" s="37" t="str">
        <f aca="false">IF(A72="","",ROUND((IF(LEN(D72)&gt;0,1,0)+IF(LEN(E72)&gt;0,1,0)+IF(LEN(F72)&gt;0,1,0)+IF(LEN(G72)&gt;0,1,0)+IF(LEN(I72)&gt;0,1,0)+IF(LEN(K72)&gt;0,1,0)+IF(LEN(P72)&gt;0,1,0)+IF(LEN(Q72)&gt;0,1,0)+IF(LEN(T72)&gt;0,1,0)+IF(LEN(V72)&gt;0,1,0)+IF(LEN(W72)&gt;0,1,0)+IF(LEN(X72)&gt;0,1,0)+IF(LEN(Z72)&gt;0,1,0)+IF(LEN(AD72)&gt;0,1,0)+IF(LEN(AE72)&gt;0,1,0)+IF(LEN(AG72)&gt;0,1,0)+IF(LEN(AI72)&gt;0,1,0)+IF(LEN(BB72)&gt;0,1,0)+IF(LEN(BC72)&gt;0,1,0)+IF(LEN(AM72)&gt;0,1,0)+IF(LEN(AO72)&gt;0,1,0)+IF(LEN(AP72)&gt;0,1,0)+IF(LEN(AQ72)&gt;0,1,0)+IF(LEN(AR72)&gt;0,1,0)+IF(LEN(BA72)&gt;0,1,0)+IF(LEN(BM72)&gt;0,1,0)+IF(LEN(BZ72)&gt;0,1,0))/27,2))</f>
        <v/>
      </c>
      <c r="CF72" s="10" t="str">
        <f aca="false">IF(D72="","",IF(AND(AP72="Approved",ISERROR(SEARCH("FAIL",BJ72))),"Y","N"))</f>
        <v/>
      </c>
      <c r="CG72" s="10" t="str">
        <f aca="false">IF(D72="","",D72&amp;"|"&amp;E72&amp;"|"&amp;F72&amp;"|"&amp;G72&amp;"|"&amp;CF72)</f>
        <v/>
      </c>
    </row>
    <row r="73" customFormat="false" ht="15" hidden="false" customHeight="false" outlineLevel="0" collapsed="false">
      <c r="A73" s="10" t="str">
        <f aca="false">IF(D73="","","RW-"&amp;IFERROR(VLOOKUP(D73,Lists!$M$4:$N$22,2,0),"??")&amp;"-H"&amp;TEXT(E73*1000,"0000")&amp;"-S"&amp;F73&amp;IF(G73="Y","-GW","")&amp;"-"&amp;AO73)</f>
        <v/>
      </c>
      <c r="B73" s="10" t="str">
        <f aca="false">IF(D73="","",D73&amp;", H = "&amp;TEXT(E73,"0.0")&amp;" m, q = "&amp;F73&amp;" kPa"&amp;IF(G73="Y",", with GWT","")&amp;", "&amp;I73)</f>
        <v/>
      </c>
      <c r="C73" s="9"/>
      <c r="D73" s="9"/>
      <c r="E73" s="39"/>
      <c r="F73" s="38"/>
      <c r="G73" s="9"/>
      <c r="H73" s="38"/>
      <c r="I73" s="9"/>
      <c r="J73" s="38"/>
      <c r="K73" s="38"/>
      <c r="L73" s="38"/>
      <c r="M73" s="42"/>
      <c r="N73" s="9"/>
      <c r="O73" s="38"/>
      <c r="P73" s="38"/>
      <c r="Q73" s="38"/>
      <c r="R73" s="38"/>
      <c r="S73" s="38"/>
      <c r="T73" s="38"/>
      <c r="U73" s="9"/>
      <c r="V73" s="9"/>
      <c r="W73" s="38"/>
      <c r="X73" s="9"/>
      <c r="Y73" s="9"/>
      <c r="Z73" s="9"/>
      <c r="AA73" s="9"/>
      <c r="AB73" s="9"/>
      <c r="AC73" s="9"/>
      <c r="AD73" s="39"/>
      <c r="AE73" s="39"/>
      <c r="AF73" s="39"/>
      <c r="AG73" s="38"/>
      <c r="AH73" s="38"/>
      <c r="AI73" s="9"/>
      <c r="AJ73" s="38"/>
      <c r="AK73" s="9"/>
      <c r="AL73" s="39"/>
      <c r="AM73" s="9"/>
      <c r="AN73" s="9"/>
      <c r="AO73" s="9"/>
      <c r="AP73" s="9"/>
      <c r="AQ73" s="9"/>
      <c r="AR73" s="9"/>
      <c r="AS73" s="9"/>
      <c r="AT73" s="10" t="str">
        <f aca="false">IF(A73="","",SG_Criteria!$B$6&amp;SG_Criteria!$B$8&amp;"\"&amp;A73&amp;"\")</f>
        <v/>
      </c>
      <c r="AU73" s="10" t="str">
        <f aca="false">IF(A73="","",A73&amp;"_CAD.dwg")</f>
        <v/>
      </c>
      <c r="AV73" s="10" t="str">
        <f aca="false">IF(A73="","",A73&amp;"_DWG.pdf")</f>
        <v/>
      </c>
      <c r="AW73" s="10" t="str">
        <f aca="false">IF(A73="","",IF(AS73="Y",A73&amp;"_STAAD.std","n/a"))</f>
        <v/>
      </c>
      <c r="AX73" s="10" t="str">
        <f aca="false">IF(A73="","",A73&amp;"_CALC.xlsx")</f>
        <v/>
      </c>
      <c r="AY73" s="10" t="str">
        <f aca="false">IF(A73="","",A73&amp;"_CALC.pdf")</f>
        <v/>
      </c>
      <c r="AZ73" s="9"/>
      <c r="BA73" s="9"/>
      <c r="BB73" s="39"/>
      <c r="BC73" s="39"/>
      <c r="BD73" s="39"/>
      <c r="BE73" s="39"/>
      <c r="BF73" s="39"/>
      <c r="BG73" s="12" t="str">
        <f aca="false">IF(A73="","",IF(COUNTIF(Rebar_Schedule!$A$5:$A$2004,A73)=0,"",ROUND(SUMIF(Rebar_Schedule!$A$5:$A$2004,A73,Rebar_Schedule!$K$5:$K$2004),1)))</f>
        <v/>
      </c>
      <c r="BH73" s="33" t="str">
        <f aca="false">IF(A73="","",IF(BG73="","No rebar schedule yet",IF(ABS(BG73-N(BC73))/MAX(N(BC73),1)&gt;SG_Criteria!$B$55,"NOTE: register rebar differs from schedule by "&amp;TEXT(ABS(BG73-N(BC73))/MAX(N(BC73),1),"0%"),"OK")))</f>
        <v/>
      </c>
      <c r="BI73" s="33" t="str">
        <f aca="false">IF(OR(D73="",E73=""),"",IF(E73&lt;=IF(OR(D73="Block / Segmental",D73="Gabion",D73="Reinforced Earth (MSE)"),SG_Criteria!$B$34,SG_Criteria!$B$33),"No ERSS submission",IF(E73&lt;=SG_Criteria!$B$35,"QP(ST)",IF(E73&lt;=SG_Criteria!$B$36,"QP(ST) + AC","Geotechnical building works: QP(Geo) + AC"))))</f>
        <v/>
      </c>
      <c r="BJ73" s="33" t="str">
        <f aca="false">IF(D73="","",IF(LEN(IF(AND(V73&lt;&gt;"",IFERROR(VALUE(MID(V73,2,2)),0)&lt;SG_Criteria!$B$19),"FAIL: grade below C"&amp;SG_Criteria!$B$19&amp;". ","")&amp;IF(AND(W73&lt;&gt;"",W73&lt;SG_Criteria!$B$20),"FAIL: cover &lt; "&amp;SG_Criteria!$B$20&amp;" mm. ","")&amp;IF(AND(AD73&lt;&gt;"",AD73&lt;1),"FAIL: sliding. ","")&amp;IF(AND(D73="Reverse L-Wall (toe only, at boundary)",N(S73)&gt;0),"NOTE: reverse L-wall should have no heel. ","")&amp;IF(AND(D73="L-Wall (heel only)",N(R73)&gt;0),"NOTE: L-wall should have no toe. ","")&amp;IF(AND(F73&lt;&gt;"",F73&lt;SG_Criteria!$B$31),"NOTE: q below LTA min "&amp;SG_Criteria!$B$31&amp;" kPa (not for LTA works). ",""))=0,"OK",IF(AND(V73&lt;&gt;"",IFERROR(VALUE(MID(V73,2,2)),0)&lt;SG_Criteria!$B$19),"FAIL: grade below C"&amp;SG_Criteria!$B$19&amp;". ","")&amp;IF(AND(W73&lt;&gt;"",W73&lt;SG_Criteria!$B$20),"FAIL: cover &lt; "&amp;SG_Criteria!$B$20&amp;" mm. ","")&amp;IF(AND(AD73&lt;&gt;"",AD73&lt;1),"FAIL: sliding. ","")&amp;IF(AND(D73="Reverse L-Wall (toe only, at boundary)",N(S73)&gt;0),"NOTE: reverse L-wall should have no heel. ","")&amp;IF(AND(D73="L-Wall (heel only)",N(R73)&gt;0),"NOTE: L-wall should have no toe. ","")&amp;IF(AND(F73&lt;&gt;"",F73&lt;SG_Criteria!$B$31),"NOTE: q below LTA min "&amp;SG_Criteria!$B$31&amp;" kPa (not for LTA works). ","")))</f>
        <v/>
      </c>
      <c r="BK73" s="9"/>
      <c r="BL73" s="9"/>
      <c r="BM73" s="9"/>
      <c r="BN73" s="10" t="str">
        <f aca="false">IF(BM73="","",IFERROR(VLOOKUP(BM73,Projects!$A$5:$D$504,2,0),"Ref not in Projects"))</f>
        <v/>
      </c>
      <c r="BO73" s="10" t="str">
        <f aca="false">IF(BM73="","",IFERROR(VLOOKUP(BM73,Projects!$A$5:$D$504,4,0),"Ref not in Projects"))</f>
        <v/>
      </c>
      <c r="BP73" s="9"/>
      <c r="BQ73" s="9"/>
      <c r="BR73" s="9"/>
      <c r="BS73" s="40"/>
      <c r="BT73" s="9"/>
      <c r="BU73" s="40"/>
      <c r="BV73" s="9"/>
      <c r="BW73" s="40"/>
      <c r="BX73" s="9"/>
      <c r="BY73" s="9"/>
      <c r="BZ73" s="9"/>
      <c r="CA73" s="40"/>
      <c r="CB73" s="40"/>
      <c r="CC73" s="36" t="str">
        <f aca="false">IF(CB73="","",EDATE(CB73,SG_Criteria!$B$54*12))</f>
        <v/>
      </c>
      <c r="CD73" s="33" t="str">
        <f aca="true">IF(A73="","",IF(CB73="","NOTE: not reviewed yet",IF(TODAY()&gt;CC73,"NOTE: review overdue","OK")))</f>
        <v/>
      </c>
      <c r="CE73" s="37" t="str">
        <f aca="false">IF(A73="","",ROUND((IF(LEN(D73)&gt;0,1,0)+IF(LEN(E73)&gt;0,1,0)+IF(LEN(F73)&gt;0,1,0)+IF(LEN(G73)&gt;0,1,0)+IF(LEN(I73)&gt;0,1,0)+IF(LEN(K73)&gt;0,1,0)+IF(LEN(P73)&gt;0,1,0)+IF(LEN(Q73)&gt;0,1,0)+IF(LEN(T73)&gt;0,1,0)+IF(LEN(V73)&gt;0,1,0)+IF(LEN(W73)&gt;0,1,0)+IF(LEN(X73)&gt;0,1,0)+IF(LEN(Z73)&gt;0,1,0)+IF(LEN(AD73)&gt;0,1,0)+IF(LEN(AE73)&gt;0,1,0)+IF(LEN(AG73)&gt;0,1,0)+IF(LEN(AI73)&gt;0,1,0)+IF(LEN(BB73)&gt;0,1,0)+IF(LEN(BC73)&gt;0,1,0)+IF(LEN(AM73)&gt;0,1,0)+IF(LEN(AO73)&gt;0,1,0)+IF(LEN(AP73)&gt;0,1,0)+IF(LEN(AQ73)&gt;0,1,0)+IF(LEN(AR73)&gt;0,1,0)+IF(LEN(BA73)&gt;0,1,0)+IF(LEN(BM73)&gt;0,1,0)+IF(LEN(BZ73)&gt;0,1,0))/27,2))</f>
        <v/>
      </c>
      <c r="CF73" s="10" t="str">
        <f aca="false">IF(D73="","",IF(AND(AP73="Approved",ISERROR(SEARCH("FAIL",BJ73))),"Y","N"))</f>
        <v/>
      </c>
      <c r="CG73" s="10" t="str">
        <f aca="false">IF(D73="","",D73&amp;"|"&amp;E73&amp;"|"&amp;F73&amp;"|"&amp;G73&amp;"|"&amp;CF73)</f>
        <v/>
      </c>
    </row>
    <row r="74" customFormat="false" ht="15" hidden="false" customHeight="false" outlineLevel="0" collapsed="false">
      <c r="A74" s="10" t="str">
        <f aca="false">IF(D74="","","RW-"&amp;IFERROR(VLOOKUP(D74,Lists!$M$4:$N$22,2,0),"??")&amp;"-H"&amp;TEXT(E74*1000,"0000")&amp;"-S"&amp;F74&amp;IF(G74="Y","-GW","")&amp;"-"&amp;AO74)</f>
        <v/>
      </c>
      <c r="B74" s="10" t="str">
        <f aca="false">IF(D74="","",D74&amp;", H = "&amp;TEXT(E74,"0.0")&amp;" m, q = "&amp;F74&amp;" kPa"&amp;IF(G74="Y",", with GWT","")&amp;", "&amp;I74)</f>
        <v/>
      </c>
      <c r="C74" s="9"/>
      <c r="D74" s="9"/>
      <c r="E74" s="39"/>
      <c r="F74" s="38"/>
      <c r="G74" s="9"/>
      <c r="H74" s="38"/>
      <c r="I74" s="9"/>
      <c r="J74" s="38"/>
      <c r="K74" s="38"/>
      <c r="L74" s="38"/>
      <c r="M74" s="42"/>
      <c r="N74" s="9"/>
      <c r="O74" s="38"/>
      <c r="P74" s="38"/>
      <c r="Q74" s="38"/>
      <c r="R74" s="38"/>
      <c r="S74" s="38"/>
      <c r="T74" s="38"/>
      <c r="U74" s="9"/>
      <c r="V74" s="9"/>
      <c r="W74" s="38"/>
      <c r="X74" s="9"/>
      <c r="Y74" s="9"/>
      <c r="Z74" s="9"/>
      <c r="AA74" s="9"/>
      <c r="AB74" s="9"/>
      <c r="AC74" s="9"/>
      <c r="AD74" s="39"/>
      <c r="AE74" s="39"/>
      <c r="AF74" s="39"/>
      <c r="AG74" s="38"/>
      <c r="AH74" s="38"/>
      <c r="AI74" s="9"/>
      <c r="AJ74" s="38"/>
      <c r="AK74" s="9"/>
      <c r="AL74" s="39"/>
      <c r="AM74" s="9"/>
      <c r="AN74" s="9"/>
      <c r="AO74" s="9"/>
      <c r="AP74" s="9"/>
      <c r="AQ74" s="9"/>
      <c r="AR74" s="9"/>
      <c r="AS74" s="9"/>
      <c r="AT74" s="10" t="str">
        <f aca="false">IF(A74="","",SG_Criteria!$B$6&amp;SG_Criteria!$B$8&amp;"\"&amp;A74&amp;"\")</f>
        <v/>
      </c>
      <c r="AU74" s="10" t="str">
        <f aca="false">IF(A74="","",A74&amp;"_CAD.dwg")</f>
        <v/>
      </c>
      <c r="AV74" s="10" t="str">
        <f aca="false">IF(A74="","",A74&amp;"_DWG.pdf")</f>
        <v/>
      </c>
      <c r="AW74" s="10" t="str">
        <f aca="false">IF(A74="","",IF(AS74="Y",A74&amp;"_STAAD.std","n/a"))</f>
        <v/>
      </c>
      <c r="AX74" s="10" t="str">
        <f aca="false">IF(A74="","",A74&amp;"_CALC.xlsx")</f>
        <v/>
      </c>
      <c r="AY74" s="10" t="str">
        <f aca="false">IF(A74="","",A74&amp;"_CALC.pdf")</f>
        <v/>
      </c>
      <c r="AZ74" s="9"/>
      <c r="BA74" s="9"/>
      <c r="BB74" s="39"/>
      <c r="BC74" s="39"/>
      <c r="BD74" s="39"/>
      <c r="BE74" s="39"/>
      <c r="BF74" s="39"/>
      <c r="BG74" s="12" t="str">
        <f aca="false">IF(A74="","",IF(COUNTIF(Rebar_Schedule!$A$5:$A$2004,A74)=0,"",ROUND(SUMIF(Rebar_Schedule!$A$5:$A$2004,A74,Rebar_Schedule!$K$5:$K$2004),1)))</f>
        <v/>
      </c>
      <c r="BH74" s="33" t="str">
        <f aca="false">IF(A74="","",IF(BG74="","No rebar schedule yet",IF(ABS(BG74-N(BC74))/MAX(N(BC74),1)&gt;SG_Criteria!$B$55,"NOTE: register rebar differs from schedule by "&amp;TEXT(ABS(BG74-N(BC74))/MAX(N(BC74),1),"0%"),"OK")))</f>
        <v/>
      </c>
      <c r="BI74" s="33" t="str">
        <f aca="false">IF(OR(D74="",E74=""),"",IF(E74&lt;=IF(OR(D74="Block / Segmental",D74="Gabion",D74="Reinforced Earth (MSE)"),SG_Criteria!$B$34,SG_Criteria!$B$33),"No ERSS submission",IF(E74&lt;=SG_Criteria!$B$35,"QP(ST)",IF(E74&lt;=SG_Criteria!$B$36,"QP(ST) + AC","Geotechnical building works: QP(Geo) + AC"))))</f>
        <v/>
      </c>
      <c r="BJ74" s="33" t="str">
        <f aca="false">IF(D74="","",IF(LEN(IF(AND(V74&lt;&gt;"",IFERROR(VALUE(MID(V74,2,2)),0)&lt;SG_Criteria!$B$19),"FAIL: grade below C"&amp;SG_Criteria!$B$19&amp;". ","")&amp;IF(AND(W74&lt;&gt;"",W74&lt;SG_Criteria!$B$20),"FAIL: cover &lt; "&amp;SG_Criteria!$B$20&amp;" mm. ","")&amp;IF(AND(AD74&lt;&gt;"",AD74&lt;1),"FAIL: sliding. ","")&amp;IF(AND(D74="Reverse L-Wall (toe only, at boundary)",N(S74)&gt;0),"NOTE: reverse L-wall should have no heel. ","")&amp;IF(AND(D74="L-Wall (heel only)",N(R74)&gt;0),"NOTE: L-wall should have no toe. ","")&amp;IF(AND(F74&lt;&gt;"",F74&lt;SG_Criteria!$B$31),"NOTE: q below LTA min "&amp;SG_Criteria!$B$31&amp;" kPa (not for LTA works). ",""))=0,"OK",IF(AND(V74&lt;&gt;"",IFERROR(VALUE(MID(V74,2,2)),0)&lt;SG_Criteria!$B$19),"FAIL: grade below C"&amp;SG_Criteria!$B$19&amp;". ","")&amp;IF(AND(W74&lt;&gt;"",W74&lt;SG_Criteria!$B$20),"FAIL: cover &lt; "&amp;SG_Criteria!$B$20&amp;" mm. ","")&amp;IF(AND(AD74&lt;&gt;"",AD74&lt;1),"FAIL: sliding. ","")&amp;IF(AND(D74="Reverse L-Wall (toe only, at boundary)",N(S74)&gt;0),"NOTE: reverse L-wall should have no heel. ","")&amp;IF(AND(D74="L-Wall (heel only)",N(R74)&gt;0),"NOTE: L-wall should have no toe. ","")&amp;IF(AND(F74&lt;&gt;"",F74&lt;SG_Criteria!$B$31),"NOTE: q below LTA min "&amp;SG_Criteria!$B$31&amp;" kPa (not for LTA works). ","")))</f>
        <v/>
      </c>
      <c r="BK74" s="9"/>
      <c r="BL74" s="9"/>
      <c r="BM74" s="9"/>
      <c r="BN74" s="10" t="str">
        <f aca="false">IF(BM74="","",IFERROR(VLOOKUP(BM74,Projects!$A$5:$D$504,2,0),"Ref not in Projects"))</f>
        <v/>
      </c>
      <c r="BO74" s="10" t="str">
        <f aca="false">IF(BM74="","",IFERROR(VLOOKUP(BM74,Projects!$A$5:$D$504,4,0),"Ref not in Projects"))</f>
        <v/>
      </c>
      <c r="BP74" s="9"/>
      <c r="BQ74" s="9"/>
      <c r="BR74" s="9"/>
      <c r="BS74" s="40"/>
      <c r="BT74" s="9"/>
      <c r="BU74" s="40"/>
      <c r="BV74" s="9"/>
      <c r="BW74" s="40"/>
      <c r="BX74" s="9"/>
      <c r="BY74" s="9"/>
      <c r="BZ74" s="9"/>
      <c r="CA74" s="40"/>
      <c r="CB74" s="40"/>
      <c r="CC74" s="36" t="str">
        <f aca="false">IF(CB74="","",EDATE(CB74,SG_Criteria!$B$54*12))</f>
        <v/>
      </c>
      <c r="CD74" s="33" t="str">
        <f aca="true">IF(A74="","",IF(CB74="","NOTE: not reviewed yet",IF(TODAY()&gt;CC74,"NOTE: review overdue","OK")))</f>
        <v/>
      </c>
      <c r="CE74" s="37" t="str">
        <f aca="false">IF(A74="","",ROUND((IF(LEN(D74)&gt;0,1,0)+IF(LEN(E74)&gt;0,1,0)+IF(LEN(F74)&gt;0,1,0)+IF(LEN(G74)&gt;0,1,0)+IF(LEN(I74)&gt;0,1,0)+IF(LEN(K74)&gt;0,1,0)+IF(LEN(P74)&gt;0,1,0)+IF(LEN(Q74)&gt;0,1,0)+IF(LEN(T74)&gt;0,1,0)+IF(LEN(V74)&gt;0,1,0)+IF(LEN(W74)&gt;0,1,0)+IF(LEN(X74)&gt;0,1,0)+IF(LEN(Z74)&gt;0,1,0)+IF(LEN(AD74)&gt;0,1,0)+IF(LEN(AE74)&gt;0,1,0)+IF(LEN(AG74)&gt;0,1,0)+IF(LEN(AI74)&gt;0,1,0)+IF(LEN(BB74)&gt;0,1,0)+IF(LEN(BC74)&gt;0,1,0)+IF(LEN(AM74)&gt;0,1,0)+IF(LEN(AO74)&gt;0,1,0)+IF(LEN(AP74)&gt;0,1,0)+IF(LEN(AQ74)&gt;0,1,0)+IF(LEN(AR74)&gt;0,1,0)+IF(LEN(BA74)&gt;0,1,0)+IF(LEN(BM74)&gt;0,1,0)+IF(LEN(BZ74)&gt;0,1,0))/27,2))</f>
        <v/>
      </c>
      <c r="CF74" s="10" t="str">
        <f aca="false">IF(D74="","",IF(AND(AP74="Approved",ISERROR(SEARCH("FAIL",BJ74))),"Y","N"))</f>
        <v/>
      </c>
      <c r="CG74" s="10" t="str">
        <f aca="false">IF(D74="","",D74&amp;"|"&amp;E74&amp;"|"&amp;F74&amp;"|"&amp;G74&amp;"|"&amp;CF74)</f>
        <v/>
      </c>
    </row>
    <row r="75" customFormat="false" ht="15" hidden="false" customHeight="false" outlineLevel="0" collapsed="false">
      <c r="A75" s="10" t="str">
        <f aca="false">IF(D75="","","RW-"&amp;IFERROR(VLOOKUP(D75,Lists!$M$4:$N$22,2,0),"??")&amp;"-H"&amp;TEXT(E75*1000,"0000")&amp;"-S"&amp;F75&amp;IF(G75="Y","-GW","")&amp;"-"&amp;AO75)</f>
        <v/>
      </c>
      <c r="B75" s="10" t="str">
        <f aca="false">IF(D75="","",D75&amp;", H = "&amp;TEXT(E75,"0.0")&amp;" m, q = "&amp;F75&amp;" kPa"&amp;IF(G75="Y",", with GWT","")&amp;", "&amp;I75)</f>
        <v/>
      </c>
      <c r="C75" s="9"/>
      <c r="D75" s="9"/>
      <c r="E75" s="39"/>
      <c r="F75" s="38"/>
      <c r="G75" s="9"/>
      <c r="H75" s="38"/>
      <c r="I75" s="9"/>
      <c r="J75" s="38"/>
      <c r="K75" s="38"/>
      <c r="L75" s="38"/>
      <c r="M75" s="42"/>
      <c r="N75" s="9"/>
      <c r="O75" s="38"/>
      <c r="P75" s="38"/>
      <c r="Q75" s="38"/>
      <c r="R75" s="38"/>
      <c r="S75" s="38"/>
      <c r="T75" s="38"/>
      <c r="U75" s="9"/>
      <c r="V75" s="9"/>
      <c r="W75" s="38"/>
      <c r="X75" s="9"/>
      <c r="Y75" s="9"/>
      <c r="Z75" s="9"/>
      <c r="AA75" s="9"/>
      <c r="AB75" s="9"/>
      <c r="AC75" s="9"/>
      <c r="AD75" s="39"/>
      <c r="AE75" s="39"/>
      <c r="AF75" s="39"/>
      <c r="AG75" s="38"/>
      <c r="AH75" s="38"/>
      <c r="AI75" s="9"/>
      <c r="AJ75" s="38"/>
      <c r="AK75" s="9"/>
      <c r="AL75" s="39"/>
      <c r="AM75" s="9"/>
      <c r="AN75" s="9"/>
      <c r="AO75" s="9"/>
      <c r="AP75" s="9"/>
      <c r="AQ75" s="9"/>
      <c r="AR75" s="9"/>
      <c r="AS75" s="9"/>
      <c r="AT75" s="10" t="str">
        <f aca="false">IF(A75="","",SG_Criteria!$B$6&amp;SG_Criteria!$B$8&amp;"\"&amp;A75&amp;"\")</f>
        <v/>
      </c>
      <c r="AU75" s="10" t="str">
        <f aca="false">IF(A75="","",A75&amp;"_CAD.dwg")</f>
        <v/>
      </c>
      <c r="AV75" s="10" t="str">
        <f aca="false">IF(A75="","",A75&amp;"_DWG.pdf")</f>
        <v/>
      </c>
      <c r="AW75" s="10" t="str">
        <f aca="false">IF(A75="","",IF(AS75="Y",A75&amp;"_STAAD.std","n/a"))</f>
        <v/>
      </c>
      <c r="AX75" s="10" t="str">
        <f aca="false">IF(A75="","",A75&amp;"_CALC.xlsx")</f>
        <v/>
      </c>
      <c r="AY75" s="10" t="str">
        <f aca="false">IF(A75="","",A75&amp;"_CALC.pdf")</f>
        <v/>
      </c>
      <c r="AZ75" s="9"/>
      <c r="BA75" s="9"/>
      <c r="BB75" s="39"/>
      <c r="BC75" s="39"/>
      <c r="BD75" s="39"/>
      <c r="BE75" s="39"/>
      <c r="BF75" s="39"/>
      <c r="BG75" s="12" t="str">
        <f aca="false">IF(A75="","",IF(COUNTIF(Rebar_Schedule!$A$5:$A$2004,A75)=0,"",ROUND(SUMIF(Rebar_Schedule!$A$5:$A$2004,A75,Rebar_Schedule!$K$5:$K$2004),1)))</f>
        <v/>
      </c>
      <c r="BH75" s="33" t="str">
        <f aca="false">IF(A75="","",IF(BG75="","No rebar schedule yet",IF(ABS(BG75-N(BC75))/MAX(N(BC75),1)&gt;SG_Criteria!$B$55,"NOTE: register rebar differs from schedule by "&amp;TEXT(ABS(BG75-N(BC75))/MAX(N(BC75),1),"0%"),"OK")))</f>
        <v/>
      </c>
      <c r="BI75" s="33" t="str">
        <f aca="false">IF(OR(D75="",E75=""),"",IF(E75&lt;=IF(OR(D75="Block / Segmental",D75="Gabion",D75="Reinforced Earth (MSE)"),SG_Criteria!$B$34,SG_Criteria!$B$33),"No ERSS submission",IF(E75&lt;=SG_Criteria!$B$35,"QP(ST)",IF(E75&lt;=SG_Criteria!$B$36,"QP(ST) + AC","Geotechnical building works: QP(Geo) + AC"))))</f>
        <v/>
      </c>
      <c r="BJ75" s="33" t="str">
        <f aca="false">IF(D75="","",IF(LEN(IF(AND(V75&lt;&gt;"",IFERROR(VALUE(MID(V75,2,2)),0)&lt;SG_Criteria!$B$19),"FAIL: grade below C"&amp;SG_Criteria!$B$19&amp;". ","")&amp;IF(AND(W75&lt;&gt;"",W75&lt;SG_Criteria!$B$20),"FAIL: cover &lt; "&amp;SG_Criteria!$B$20&amp;" mm. ","")&amp;IF(AND(AD75&lt;&gt;"",AD75&lt;1),"FAIL: sliding. ","")&amp;IF(AND(D75="Reverse L-Wall (toe only, at boundary)",N(S75)&gt;0),"NOTE: reverse L-wall should have no heel. ","")&amp;IF(AND(D75="L-Wall (heel only)",N(R75)&gt;0),"NOTE: L-wall should have no toe. ","")&amp;IF(AND(F75&lt;&gt;"",F75&lt;SG_Criteria!$B$31),"NOTE: q below LTA min "&amp;SG_Criteria!$B$31&amp;" kPa (not for LTA works). ",""))=0,"OK",IF(AND(V75&lt;&gt;"",IFERROR(VALUE(MID(V75,2,2)),0)&lt;SG_Criteria!$B$19),"FAIL: grade below C"&amp;SG_Criteria!$B$19&amp;". ","")&amp;IF(AND(W75&lt;&gt;"",W75&lt;SG_Criteria!$B$20),"FAIL: cover &lt; "&amp;SG_Criteria!$B$20&amp;" mm. ","")&amp;IF(AND(AD75&lt;&gt;"",AD75&lt;1),"FAIL: sliding. ","")&amp;IF(AND(D75="Reverse L-Wall (toe only, at boundary)",N(S75)&gt;0),"NOTE: reverse L-wall should have no heel. ","")&amp;IF(AND(D75="L-Wall (heel only)",N(R75)&gt;0),"NOTE: L-wall should have no toe. ","")&amp;IF(AND(F75&lt;&gt;"",F75&lt;SG_Criteria!$B$31),"NOTE: q below LTA min "&amp;SG_Criteria!$B$31&amp;" kPa (not for LTA works). ","")))</f>
        <v/>
      </c>
      <c r="BK75" s="9"/>
      <c r="BL75" s="9"/>
      <c r="BM75" s="9"/>
      <c r="BN75" s="10" t="str">
        <f aca="false">IF(BM75="","",IFERROR(VLOOKUP(BM75,Projects!$A$5:$D$504,2,0),"Ref not in Projects"))</f>
        <v/>
      </c>
      <c r="BO75" s="10" t="str">
        <f aca="false">IF(BM75="","",IFERROR(VLOOKUP(BM75,Projects!$A$5:$D$504,4,0),"Ref not in Projects"))</f>
        <v/>
      </c>
      <c r="BP75" s="9"/>
      <c r="BQ75" s="9"/>
      <c r="BR75" s="9"/>
      <c r="BS75" s="40"/>
      <c r="BT75" s="9"/>
      <c r="BU75" s="40"/>
      <c r="BV75" s="9"/>
      <c r="BW75" s="40"/>
      <c r="BX75" s="9"/>
      <c r="BY75" s="9"/>
      <c r="BZ75" s="9"/>
      <c r="CA75" s="40"/>
      <c r="CB75" s="40"/>
      <c r="CC75" s="36" t="str">
        <f aca="false">IF(CB75="","",EDATE(CB75,SG_Criteria!$B$54*12))</f>
        <v/>
      </c>
      <c r="CD75" s="33" t="str">
        <f aca="true">IF(A75="","",IF(CB75="","NOTE: not reviewed yet",IF(TODAY()&gt;CC75,"NOTE: review overdue","OK")))</f>
        <v/>
      </c>
      <c r="CE75" s="37" t="str">
        <f aca="false">IF(A75="","",ROUND((IF(LEN(D75)&gt;0,1,0)+IF(LEN(E75)&gt;0,1,0)+IF(LEN(F75)&gt;0,1,0)+IF(LEN(G75)&gt;0,1,0)+IF(LEN(I75)&gt;0,1,0)+IF(LEN(K75)&gt;0,1,0)+IF(LEN(P75)&gt;0,1,0)+IF(LEN(Q75)&gt;0,1,0)+IF(LEN(T75)&gt;0,1,0)+IF(LEN(V75)&gt;0,1,0)+IF(LEN(W75)&gt;0,1,0)+IF(LEN(X75)&gt;0,1,0)+IF(LEN(Z75)&gt;0,1,0)+IF(LEN(AD75)&gt;0,1,0)+IF(LEN(AE75)&gt;0,1,0)+IF(LEN(AG75)&gt;0,1,0)+IF(LEN(AI75)&gt;0,1,0)+IF(LEN(BB75)&gt;0,1,0)+IF(LEN(BC75)&gt;0,1,0)+IF(LEN(AM75)&gt;0,1,0)+IF(LEN(AO75)&gt;0,1,0)+IF(LEN(AP75)&gt;0,1,0)+IF(LEN(AQ75)&gt;0,1,0)+IF(LEN(AR75)&gt;0,1,0)+IF(LEN(BA75)&gt;0,1,0)+IF(LEN(BM75)&gt;0,1,0)+IF(LEN(BZ75)&gt;0,1,0))/27,2))</f>
        <v/>
      </c>
      <c r="CF75" s="10" t="str">
        <f aca="false">IF(D75="","",IF(AND(AP75="Approved",ISERROR(SEARCH("FAIL",BJ75))),"Y","N"))</f>
        <v/>
      </c>
      <c r="CG75" s="10" t="str">
        <f aca="false">IF(D75="","",D75&amp;"|"&amp;E75&amp;"|"&amp;F75&amp;"|"&amp;G75&amp;"|"&amp;CF75)</f>
        <v/>
      </c>
    </row>
    <row r="76" customFormat="false" ht="15" hidden="false" customHeight="false" outlineLevel="0" collapsed="false">
      <c r="A76" s="10" t="str">
        <f aca="false">IF(D76="","","RW-"&amp;IFERROR(VLOOKUP(D76,Lists!$M$4:$N$22,2,0),"??")&amp;"-H"&amp;TEXT(E76*1000,"0000")&amp;"-S"&amp;F76&amp;IF(G76="Y","-GW","")&amp;"-"&amp;AO76)</f>
        <v/>
      </c>
      <c r="B76" s="10" t="str">
        <f aca="false">IF(D76="","",D76&amp;", H = "&amp;TEXT(E76,"0.0")&amp;" m, q = "&amp;F76&amp;" kPa"&amp;IF(G76="Y",", with GWT","")&amp;", "&amp;I76)</f>
        <v/>
      </c>
      <c r="C76" s="9"/>
      <c r="D76" s="9"/>
      <c r="E76" s="39"/>
      <c r="F76" s="38"/>
      <c r="G76" s="9"/>
      <c r="H76" s="38"/>
      <c r="I76" s="9"/>
      <c r="J76" s="38"/>
      <c r="K76" s="38"/>
      <c r="L76" s="38"/>
      <c r="M76" s="42"/>
      <c r="N76" s="9"/>
      <c r="O76" s="38"/>
      <c r="P76" s="38"/>
      <c r="Q76" s="38"/>
      <c r="R76" s="38"/>
      <c r="S76" s="38"/>
      <c r="T76" s="38"/>
      <c r="U76" s="9"/>
      <c r="V76" s="9"/>
      <c r="W76" s="38"/>
      <c r="X76" s="9"/>
      <c r="Y76" s="9"/>
      <c r="Z76" s="9"/>
      <c r="AA76" s="9"/>
      <c r="AB76" s="9"/>
      <c r="AC76" s="9"/>
      <c r="AD76" s="39"/>
      <c r="AE76" s="39"/>
      <c r="AF76" s="39"/>
      <c r="AG76" s="38"/>
      <c r="AH76" s="38"/>
      <c r="AI76" s="9"/>
      <c r="AJ76" s="38"/>
      <c r="AK76" s="9"/>
      <c r="AL76" s="39"/>
      <c r="AM76" s="9"/>
      <c r="AN76" s="9"/>
      <c r="AO76" s="9"/>
      <c r="AP76" s="9"/>
      <c r="AQ76" s="9"/>
      <c r="AR76" s="9"/>
      <c r="AS76" s="9"/>
      <c r="AT76" s="10" t="str">
        <f aca="false">IF(A76="","",SG_Criteria!$B$6&amp;SG_Criteria!$B$8&amp;"\"&amp;A76&amp;"\")</f>
        <v/>
      </c>
      <c r="AU76" s="10" t="str">
        <f aca="false">IF(A76="","",A76&amp;"_CAD.dwg")</f>
        <v/>
      </c>
      <c r="AV76" s="10" t="str">
        <f aca="false">IF(A76="","",A76&amp;"_DWG.pdf")</f>
        <v/>
      </c>
      <c r="AW76" s="10" t="str">
        <f aca="false">IF(A76="","",IF(AS76="Y",A76&amp;"_STAAD.std","n/a"))</f>
        <v/>
      </c>
      <c r="AX76" s="10" t="str">
        <f aca="false">IF(A76="","",A76&amp;"_CALC.xlsx")</f>
        <v/>
      </c>
      <c r="AY76" s="10" t="str">
        <f aca="false">IF(A76="","",A76&amp;"_CALC.pdf")</f>
        <v/>
      </c>
      <c r="AZ76" s="9"/>
      <c r="BA76" s="9"/>
      <c r="BB76" s="39"/>
      <c r="BC76" s="39"/>
      <c r="BD76" s="39"/>
      <c r="BE76" s="39"/>
      <c r="BF76" s="39"/>
      <c r="BG76" s="12" t="str">
        <f aca="false">IF(A76="","",IF(COUNTIF(Rebar_Schedule!$A$5:$A$2004,A76)=0,"",ROUND(SUMIF(Rebar_Schedule!$A$5:$A$2004,A76,Rebar_Schedule!$K$5:$K$2004),1)))</f>
        <v/>
      </c>
      <c r="BH76" s="33" t="str">
        <f aca="false">IF(A76="","",IF(BG76="","No rebar schedule yet",IF(ABS(BG76-N(BC76))/MAX(N(BC76),1)&gt;SG_Criteria!$B$55,"NOTE: register rebar differs from schedule by "&amp;TEXT(ABS(BG76-N(BC76))/MAX(N(BC76),1),"0%"),"OK")))</f>
        <v/>
      </c>
      <c r="BI76" s="33" t="str">
        <f aca="false">IF(OR(D76="",E76=""),"",IF(E76&lt;=IF(OR(D76="Block / Segmental",D76="Gabion",D76="Reinforced Earth (MSE)"),SG_Criteria!$B$34,SG_Criteria!$B$33),"No ERSS submission",IF(E76&lt;=SG_Criteria!$B$35,"QP(ST)",IF(E76&lt;=SG_Criteria!$B$36,"QP(ST) + AC","Geotechnical building works: QP(Geo) + AC"))))</f>
        <v/>
      </c>
      <c r="BJ76" s="33" t="str">
        <f aca="false">IF(D76="","",IF(LEN(IF(AND(V76&lt;&gt;"",IFERROR(VALUE(MID(V76,2,2)),0)&lt;SG_Criteria!$B$19),"FAIL: grade below C"&amp;SG_Criteria!$B$19&amp;". ","")&amp;IF(AND(W76&lt;&gt;"",W76&lt;SG_Criteria!$B$20),"FAIL: cover &lt; "&amp;SG_Criteria!$B$20&amp;" mm. ","")&amp;IF(AND(AD76&lt;&gt;"",AD76&lt;1),"FAIL: sliding. ","")&amp;IF(AND(D76="Reverse L-Wall (toe only, at boundary)",N(S76)&gt;0),"NOTE: reverse L-wall should have no heel. ","")&amp;IF(AND(D76="L-Wall (heel only)",N(R76)&gt;0),"NOTE: L-wall should have no toe. ","")&amp;IF(AND(F76&lt;&gt;"",F76&lt;SG_Criteria!$B$31),"NOTE: q below LTA min "&amp;SG_Criteria!$B$31&amp;" kPa (not for LTA works). ",""))=0,"OK",IF(AND(V76&lt;&gt;"",IFERROR(VALUE(MID(V76,2,2)),0)&lt;SG_Criteria!$B$19),"FAIL: grade below C"&amp;SG_Criteria!$B$19&amp;". ","")&amp;IF(AND(W76&lt;&gt;"",W76&lt;SG_Criteria!$B$20),"FAIL: cover &lt; "&amp;SG_Criteria!$B$20&amp;" mm. ","")&amp;IF(AND(AD76&lt;&gt;"",AD76&lt;1),"FAIL: sliding. ","")&amp;IF(AND(D76="Reverse L-Wall (toe only, at boundary)",N(S76)&gt;0),"NOTE: reverse L-wall should have no heel. ","")&amp;IF(AND(D76="L-Wall (heel only)",N(R76)&gt;0),"NOTE: L-wall should have no toe. ","")&amp;IF(AND(F76&lt;&gt;"",F76&lt;SG_Criteria!$B$31),"NOTE: q below LTA min "&amp;SG_Criteria!$B$31&amp;" kPa (not for LTA works). ","")))</f>
        <v/>
      </c>
      <c r="BK76" s="9"/>
      <c r="BL76" s="9"/>
      <c r="BM76" s="9"/>
      <c r="BN76" s="10" t="str">
        <f aca="false">IF(BM76="","",IFERROR(VLOOKUP(BM76,Projects!$A$5:$D$504,2,0),"Ref not in Projects"))</f>
        <v/>
      </c>
      <c r="BO76" s="10" t="str">
        <f aca="false">IF(BM76="","",IFERROR(VLOOKUP(BM76,Projects!$A$5:$D$504,4,0),"Ref not in Projects"))</f>
        <v/>
      </c>
      <c r="BP76" s="9"/>
      <c r="BQ76" s="9"/>
      <c r="BR76" s="9"/>
      <c r="BS76" s="40"/>
      <c r="BT76" s="9"/>
      <c r="BU76" s="40"/>
      <c r="BV76" s="9"/>
      <c r="BW76" s="40"/>
      <c r="BX76" s="9"/>
      <c r="BY76" s="9"/>
      <c r="BZ76" s="9"/>
      <c r="CA76" s="40"/>
      <c r="CB76" s="40"/>
      <c r="CC76" s="36" t="str">
        <f aca="false">IF(CB76="","",EDATE(CB76,SG_Criteria!$B$54*12))</f>
        <v/>
      </c>
      <c r="CD76" s="33" t="str">
        <f aca="true">IF(A76="","",IF(CB76="","NOTE: not reviewed yet",IF(TODAY()&gt;CC76,"NOTE: review overdue","OK")))</f>
        <v/>
      </c>
      <c r="CE76" s="37" t="str">
        <f aca="false">IF(A76="","",ROUND((IF(LEN(D76)&gt;0,1,0)+IF(LEN(E76)&gt;0,1,0)+IF(LEN(F76)&gt;0,1,0)+IF(LEN(G76)&gt;0,1,0)+IF(LEN(I76)&gt;0,1,0)+IF(LEN(K76)&gt;0,1,0)+IF(LEN(P76)&gt;0,1,0)+IF(LEN(Q76)&gt;0,1,0)+IF(LEN(T76)&gt;0,1,0)+IF(LEN(V76)&gt;0,1,0)+IF(LEN(W76)&gt;0,1,0)+IF(LEN(X76)&gt;0,1,0)+IF(LEN(Z76)&gt;0,1,0)+IF(LEN(AD76)&gt;0,1,0)+IF(LEN(AE76)&gt;0,1,0)+IF(LEN(AG76)&gt;0,1,0)+IF(LEN(AI76)&gt;0,1,0)+IF(LEN(BB76)&gt;0,1,0)+IF(LEN(BC76)&gt;0,1,0)+IF(LEN(AM76)&gt;0,1,0)+IF(LEN(AO76)&gt;0,1,0)+IF(LEN(AP76)&gt;0,1,0)+IF(LEN(AQ76)&gt;0,1,0)+IF(LEN(AR76)&gt;0,1,0)+IF(LEN(BA76)&gt;0,1,0)+IF(LEN(BM76)&gt;0,1,0)+IF(LEN(BZ76)&gt;0,1,0))/27,2))</f>
        <v/>
      </c>
      <c r="CF76" s="10" t="str">
        <f aca="false">IF(D76="","",IF(AND(AP76="Approved",ISERROR(SEARCH("FAIL",BJ76))),"Y","N"))</f>
        <v/>
      </c>
      <c r="CG76" s="10" t="str">
        <f aca="false">IF(D76="","",D76&amp;"|"&amp;E76&amp;"|"&amp;F76&amp;"|"&amp;G76&amp;"|"&amp;CF76)</f>
        <v/>
      </c>
    </row>
    <row r="77" customFormat="false" ht="15" hidden="false" customHeight="false" outlineLevel="0" collapsed="false">
      <c r="A77" s="10" t="str">
        <f aca="false">IF(D77="","","RW-"&amp;IFERROR(VLOOKUP(D77,Lists!$M$4:$N$22,2,0),"??")&amp;"-H"&amp;TEXT(E77*1000,"0000")&amp;"-S"&amp;F77&amp;IF(G77="Y","-GW","")&amp;"-"&amp;AO77)</f>
        <v/>
      </c>
      <c r="B77" s="10" t="str">
        <f aca="false">IF(D77="","",D77&amp;", H = "&amp;TEXT(E77,"0.0")&amp;" m, q = "&amp;F77&amp;" kPa"&amp;IF(G77="Y",", with GWT","")&amp;", "&amp;I77)</f>
        <v/>
      </c>
      <c r="C77" s="9"/>
      <c r="D77" s="9"/>
      <c r="E77" s="39"/>
      <c r="F77" s="38"/>
      <c r="G77" s="9"/>
      <c r="H77" s="38"/>
      <c r="I77" s="9"/>
      <c r="J77" s="38"/>
      <c r="K77" s="38"/>
      <c r="L77" s="38"/>
      <c r="M77" s="42"/>
      <c r="N77" s="9"/>
      <c r="O77" s="38"/>
      <c r="P77" s="38"/>
      <c r="Q77" s="38"/>
      <c r="R77" s="38"/>
      <c r="S77" s="38"/>
      <c r="T77" s="38"/>
      <c r="U77" s="9"/>
      <c r="V77" s="9"/>
      <c r="W77" s="38"/>
      <c r="X77" s="9"/>
      <c r="Y77" s="9"/>
      <c r="Z77" s="9"/>
      <c r="AA77" s="9"/>
      <c r="AB77" s="9"/>
      <c r="AC77" s="9"/>
      <c r="AD77" s="39"/>
      <c r="AE77" s="39"/>
      <c r="AF77" s="39"/>
      <c r="AG77" s="38"/>
      <c r="AH77" s="38"/>
      <c r="AI77" s="9"/>
      <c r="AJ77" s="38"/>
      <c r="AK77" s="9"/>
      <c r="AL77" s="39"/>
      <c r="AM77" s="9"/>
      <c r="AN77" s="9"/>
      <c r="AO77" s="9"/>
      <c r="AP77" s="9"/>
      <c r="AQ77" s="9"/>
      <c r="AR77" s="9"/>
      <c r="AS77" s="9"/>
      <c r="AT77" s="10" t="str">
        <f aca="false">IF(A77="","",SG_Criteria!$B$6&amp;SG_Criteria!$B$8&amp;"\"&amp;A77&amp;"\")</f>
        <v/>
      </c>
      <c r="AU77" s="10" t="str">
        <f aca="false">IF(A77="","",A77&amp;"_CAD.dwg")</f>
        <v/>
      </c>
      <c r="AV77" s="10" t="str">
        <f aca="false">IF(A77="","",A77&amp;"_DWG.pdf")</f>
        <v/>
      </c>
      <c r="AW77" s="10" t="str">
        <f aca="false">IF(A77="","",IF(AS77="Y",A77&amp;"_STAAD.std","n/a"))</f>
        <v/>
      </c>
      <c r="AX77" s="10" t="str">
        <f aca="false">IF(A77="","",A77&amp;"_CALC.xlsx")</f>
        <v/>
      </c>
      <c r="AY77" s="10" t="str">
        <f aca="false">IF(A77="","",A77&amp;"_CALC.pdf")</f>
        <v/>
      </c>
      <c r="AZ77" s="9"/>
      <c r="BA77" s="9"/>
      <c r="BB77" s="39"/>
      <c r="BC77" s="39"/>
      <c r="BD77" s="39"/>
      <c r="BE77" s="39"/>
      <c r="BF77" s="39"/>
      <c r="BG77" s="12" t="str">
        <f aca="false">IF(A77="","",IF(COUNTIF(Rebar_Schedule!$A$5:$A$2004,A77)=0,"",ROUND(SUMIF(Rebar_Schedule!$A$5:$A$2004,A77,Rebar_Schedule!$K$5:$K$2004),1)))</f>
        <v/>
      </c>
      <c r="BH77" s="33" t="str">
        <f aca="false">IF(A77="","",IF(BG77="","No rebar schedule yet",IF(ABS(BG77-N(BC77))/MAX(N(BC77),1)&gt;SG_Criteria!$B$55,"NOTE: register rebar differs from schedule by "&amp;TEXT(ABS(BG77-N(BC77))/MAX(N(BC77),1),"0%"),"OK")))</f>
        <v/>
      </c>
      <c r="BI77" s="33" t="str">
        <f aca="false">IF(OR(D77="",E77=""),"",IF(E77&lt;=IF(OR(D77="Block / Segmental",D77="Gabion",D77="Reinforced Earth (MSE)"),SG_Criteria!$B$34,SG_Criteria!$B$33),"No ERSS submission",IF(E77&lt;=SG_Criteria!$B$35,"QP(ST)",IF(E77&lt;=SG_Criteria!$B$36,"QP(ST) + AC","Geotechnical building works: QP(Geo) + AC"))))</f>
        <v/>
      </c>
      <c r="BJ77" s="33" t="str">
        <f aca="false">IF(D77="","",IF(LEN(IF(AND(V77&lt;&gt;"",IFERROR(VALUE(MID(V77,2,2)),0)&lt;SG_Criteria!$B$19),"FAIL: grade below C"&amp;SG_Criteria!$B$19&amp;". ","")&amp;IF(AND(W77&lt;&gt;"",W77&lt;SG_Criteria!$B$20),"FAIL: cover &lt; "&amp;SG_Criteria!$B$20&amp;" mm. ","")&amp;IF(AND(AD77&lt;&gt;"",AD77&lt;1),"FAIL: sliding. ","")&amp;IF(AND(D77="Reverse L-Wall (toe only, at boundary)",N(S77)&gt;0),"NOTE: reverse L-wall should have no heel. ","")&amp;IF(AND(D77="L-Wall (heel only)",N(R77)&gt;0),"NOTE: L-wall should have no toe. ","")&amp;IF(AND(F77&lt;&gt;"",F77&lt;SG_Criteria!$B$31),"NOTE: q below LTA min "&amp;SG_Criteria!$B$31&amp;" kPa (not for LTA works). ",""))=0,"OK",IF(AND(V77&lt;&gt;"",IFERROR(VALUE(MID(V77,2,2)),0)&lt;SG_Criteria!$B$19),"FAIL: grade below C"&amp;SG_Criteria!$B$19&amp;". ","")&amp;IF(AND(W77&lt;&gt;"",W77&lt;SG_Criteria!$B$20),"FAIL: cover &lt; "&amp;SG_Criteria!$B$20&amp;" mm. ","")&amp;IF(AND(AD77&lt;&gt;"",AD77&lt;1),"FAIL: sliding. ","")&amp;IF(AND(D77="Reverse L-Wall (toe only, at boundary)",N(S77)&gt;0),"NOTE: reverse L-wall should have no heel. ","")&amp;IF(AND(D77="L-Wall (heel only)",N(R77)&gt;0),"NOTE: L-wall should have no toe. ","")&amp;IF(AND(F77&lt;&gt;"",F77&lt;SG_Criteria!$B$31),"NOTE: q below LTA min "&amp;SG_Criteria!$B$31&amp;" kPa (not for LTA works). ","")))</f>
        <v/>
      </c>
      <c r="BK77" s="9"/>
      <c r="BL77" s="9"/>
      <c r="BM77" s="9"/>
      <c r="BN77" s="10" t="str">
        <f aca="false">IF(BM77="","",IFERROR(VLOOKUP(BM77,Projects!$A$5:$D$504,2,0),"Ref not in Projects"))</f>
        <v/>
      </c>
      <c r="BO77" s="10" t="str">
        <f aca="false">IF(BM77="","",IFERROR(VLOOKUP(BM77,Projects!$A$5:$D$504,4,0),"Ref not in Projects"))</f>
        <v/>
      </c>
      <c r="BP77" s="9"/>
      <c r="BQ77" s="9"/>
      <c r="BR77" s="9"/>
      <c r="BS77" s="40"/>
      <c r="BT77" s="9"/>
      <c r="BU77" s="40"/>
      <c r="BV77" s="9"/>
      <c r="BW77" s="40"/>
      <c r="BX77" s="9"/>
      <c r="BY77" s="9"/>
      <c r="BZ77" s="9"/>
      <c r="CA77" s="40"/>
      <c r="CB77" s="40"/>
      <c r="CC77" s="36" t="str">
        <f aca="false">IF(CB77="","",EDATE(CB77,SG_Criteria!$B$54*12))</f>
        <v/>
      </c>
      <c r="CD77" s="33" t="str">
        <f aca="true">IF(A77="","",IF(CB77="","NOTE: not reviewed yet",IF(TODAY()&gt;CC77,"NOTE: review overdue","OK")))</f>
        <v/>
      </c>
      <c r="CE77" s="37" t="str">
        <f aca="false">IF(A77="","",ROUND((IF(LEN(D77)&gt;0,1,0)+IF(LEN(E77)&gt;0,1,0)+IF(LEN(F77)&gt;0,1,0)+IF(LEN(G77)&gt;0,1,0)+IF(LEN(I77)&gt;0,1,0)+IF(LEN(K77)&gt;0,1,0)+IF(LEN(P77)&gt;0,1,0)+IF(LEN(Q77)&gt;0,1,0)+IF(LEN(T77)&gt;0,1,0)+IF(LEN(V77)&gt;0,1,0)+IF(LEN(W77)&gt;0,1,0)+IF(LEN(X77)&gt;0,1,0)+IF(LEN(Z77)&gt;0,1,0)+IF(LEN(AD77)&gt;0,1,0)+IF(LEN(AE77)&gt;0,1,0)+IF(LEN(AG77)&gt;0,1,0)+IF(LEN(AI77)&gt;0,1,0)+IF(LEN(BB77)&gt;0,1,0)+IF(LEN(BC77)&gt;0,1,0)+IF(LEN(AM77)&gt;0,1,0)+IF(LEN(AO77)&gt;0,1,0)+IF(LEN(AP77)&gt;0,1,0)+IF(LEN(AQ77)&gt;0,1,0)+IF(LEN(AR77)&gt;0,1,0)+IF(LEN(BA77)&gt;0,1,0)+IF(LEN(BM77)&gt;0,1,0)+IF(LEN(BZ77)&gt;0,1,0))/27,2))</f>
        <v/>
      </c>
      <c r="CF77" s="10" t="str">
        <f aca="false">IF(D77="","",IF(AND(AP77="Approved",ISERROR(SEARCH("FAIL",BJ77))),"Y","N"))</f>
        <v/>
      </c>
      <c r="CG77" s="10" t="str">
        <f aca="false">IF(D77="","",D77&amp;"|"&amp;E77&amp;"|"&amp;F77&amp;"|"&amp;G77&amp;"|"&amp;CF77)</f>
        <v/>
      </c>
    </row>
    <row r="78" customFormat="false" ht="15" hidden="false" customHeight="false" outlineLevel="0" collapsed="false">
      <c r="A78" s="10" t="str">
        <f aca="false">IF(D78="","","RW-"&amp;IFERROR(VLOOKUP(D78,Lists!$M$4:$N$22,2,0),"??")&amp;"-H"&amp;TEXT(E78*1000,"0000")&amp;"-S"&amp;F78&amp;IF(G78="Y","-GW","")&amp;"-"&amp;AO78)</f>
        <v/>
      </c>
      <c r="B78" s="10" t="str">
        <f aca="false">IF(D78="","",D78&amp;", H = "&amp;TEXT(E78,"0.0")&amp;" m, q = "&amp;F78&amp;" kPa"&amp;IF(G78="Y",", with GWT","")&amp;", "&amp;I78)</f>
        <v/>
      </c>
      <c r="C78" s="9"/>
      <c r="D78" s="9"/>
      <c r="E78" s="39"/>
      <c r="F78" s="38"/>
      <c r="G78" s="9"/>
      <c r="H78" s="38"/>
      <c r="I78" s="9"/>
      <c r="J78" s="38"/>
      <c r="K78" s="38"/>
      <c r="L78" s="38"/>
      <c r="M78" s="42"/>
      <c r="N78" s="9"/>
      <c r="O78" s="38"/>
      <c r="P78" s="38"/>
      <c r="Q78" s="38"/>
      <c r="R78" s="38"/>
      <c r="S78" s="38"/>
      <c r="T78" s="38"/>
      <c r="U78" s="9"/>
      <c r="V78" s="9"/>
      <c r="W78" s="38"/>
      <c r="X78" s="9"/>
      <c r="Y78" s="9"/>
      <c r="Z78" s="9"/>
      <c r="AA78" s="9"/>
      <c r="AB78" s="9"/>
      <c r="AC78" s="9"/>
      <c r="AD78" s="39"/>
      <c r="AE78" s="39"/>
      <c r="AF78" s="39"/>
      <c r="AG78" s="38"/>
      <c r="AH78" s="38"/>
      <c r="AI78" s="9"/>
      <c r="AJ78" s="38"/>
      <c r="AK78" s="9"/>
      <c r="AL78" s="39"/>
      <c r="AM78" s="9"/>
      <c r="AN78" s="9"/>
      <c r="AO78" s="9"/>
      <c r="AP78" s="9"/>
      <c r="AQ78" s="9"/>
      <c r="AR78" s="9"/>
      <c r="AS78" s="9"/>
      <c r="AT78" s="10" t="str">
        <f aca="false">IF(A78="","",SG_Criteria!$B$6&amp;SG_Criteria!$B$8&amp;"\"&amp;A78&amp;"\")</f>
        <v/>
      </c>
      <c r="AU78" s="10" t="str">
        <f aca="false">IF(A78="","",A78&amp;"_CAD.dwg")</f>
        <v/>
      </c>
      <c r="AV78" s="10" t="str">
        <f aca="false">IF(A78="","",A78&amp;"_DWG.pdf")</f>
        <v/>
      </c>
      <c r="AW78" s="10" t="str">
        <f aca="false">IF(A78="","",IF(AS78="Y",A78&amp;"_STAAD.std","n/a"))</f>
        <v/>
      </c>
      <c r="AX78" s="10" t="str">
        <f aca="false">IF(A78="","",A78&amp;"_CALC.xlsx")</f>
        <v/>
      </c>
      <c r="AY78" s="10" t="str">
        <f aca="false">IF(A78="","",A78&amp;"_CALC.pdf")</f>
        <v/>
      </c>
      <c r="AZ78" s="9"/>
      <c r="BA78" s="9"/>
      <c r="BB78" s="39"/>
      <c r="BC78" s="39"/>
      <c r="BD78" s="39"/>
      <c r="BE78" s="39"/>
      <c r="BF78" s="39"/>
      <c r="BG78" s="12" t="str">
        <f aca="false">IF(A78="","",IF(COUNTIF(Rebar_Schedule!$A$5:$A$2004,A78)=0,"",ROUND(SUMIF(Rebar_Schedule!$A$5:$A$2004,A78,Rebar_Schedule!$K$5:$K$2004),1)))</f>
        <v/>
      </c>
      <c r="BH78" s="33" t="str">
        <f aca="false">IF(A78="","",IF(BG78="","No rebar schedule yet",IF(ABS(BG78-N(BC78))/MAX(N(BC78),1)&gt;SG_Criteria!$B$55,"NOTE: register rebar differs from schedule by "&amp;TEXT(ABS(BG78-N(BC78))/MAX(N(BC78),1),"0%"),"OK")))</f>
        <v/>
      </c>
      <c r="BI78" s="33" t="str">
        <f aca="false">IF(OR(D78="",E78=""),"",IF(E78&lt;=IF(OR(D78="Block / Segmental",D78="Gabion",D78="Reinforced Earth (MSE)"),SG_Criteria!$B$34,SG_Criteria!$B$33),"No ERSS submission",IF(E78&lt;=SG_Criteria!$B$35,"QP(ST)",IF(E78&lt;=SG_Criteria!$B$36,"QP(ST) + AC","Geotechnical building works: QP(Geo) + AC"))))</f>
        <v/>
      </c>
      <c r="BJ78" s="33" t="str">
        <f aca="false">IF(D78="","",IF(LEN(IF(AND(V78&lt;&gt;"",IFERROR(VALUE(MID(V78,2,2)),0)&lt;SG_Criteria!$B$19),"FAIL: grade below C"&amp;SG_Criteria!$B$19&amp;". ","")&amp;IF(AND(W78&lt;&gt;"",W78&lt;SG_Criteria!$B$20),"FAIL: cover &lt; "&amp;SG_Criteria!$B$20&amp;" mm. ","")&amp;IF(AND(AD78&lt;&gt;"",AD78&lt;1),"FAIL: sliding. ","")&amp;IF(AND(D78="Reverse L-Wall (toe only, at boundary)",N(S78)&gt;0),"NOTE: reverse L-wall should have no heel. ","")&amp;IF(AND(D78="L-Wall (heel only)",N(R78)&gt;0),"NOTE: L-wall should have no toe. ","")&amp;IF(AND(F78&lt;&gt;"",F78&lt;SG_Criteria!$B$31),"NOTE: q below LTA min "&amp;SG_Criteria!$B$31&amp;" kPa (not for LTA works). ",""))=0,"OK",IF(AND(V78&lt;&gt;"",IFERROR(VALUE(MID(V78,2,2)),0)&lt;SG_Criteria!$B$19),"FAIL: grade below C"&amp;SG_Criteria!$B$19&amp;". ","")&amp;IF(AND(W78&lt;&gt;"",W78&lt;SG_Criteria!$B$20),"FAIL: cover &lt; "&amp;SG_Criteria!$B$20&amp;" mm. ","")&amp;IF(AND(AD78&lt;&gt;"",AD78&lt;1),"FAIL: sliding. ","")&amp;IF(AND(D78="Reverse L-Wall (toe only, at boundary)",N(S78)&gt;0),"NOTE: reverse L-wall should have no heel. ","")&amp;IF(AND(D78="L-Wall (heel only)",N(R78)&gt;0),"NOTE: L-wall should have no toe. ","")&amp;IF(AND(F78&lt;&gt;"",F78&lt;SG_Criteria!$B$31),"NOTE: q below LTA min "&amp;SG_Criteria!$B$31&amp;" kPa (not for LTA works). ","")))</f>
        <v/>
      </c>
      <c r="BK78" s="9"/>
      <c r="BL78" s="9"/>
      <c r="BM78" s="9"/>
      <c r="BN78" s="10" t="str">
        <f aca="false">IF(BM78="","",IFERROR(VLOOKUP(BM78,Projects!$A$5:$D$504,2,0),"Ref not in Projects"))</f>
        <v/>
      </c>
      <c r="BO78" s="10" t="str">
        <f aca="false">IF(BM78="","",IFERROR(VLOOKUP(BM78,Projects!$A$5:$D$504,4,0),"Ref not in Projects"))</f>
        <v/>
      </c>
      <c r="BP78" s="9"/>
      <c r="BQ78" s="9"/>
      <c r="BR78" s="9"/>
      <c r="BS78" s="40"/>
      <c r="BT78" s="9"/>
      <c r="BU78" s="40"/>
      <c r="BV78" s="9"/>
      <c r="BW78" s="40"/>
      <c r="BX78" s="9"/>
      <c r="BY78" s="9"/>
      <c r="BZ78" s="9"/>
      <c r="CA78" s="40"/>
      <c r="CB78" s="40"/>
      <c r="CC78" s="36" t="str">
        <f aca="false">IF(CB78="","",EDATE(CB78,SG_Criteria!$B$54*12))</f>
        <v/>
      </c>
      <c r="CD78" s="33" t="str">
        <f aca="true">IF(A78="","",IF(CB78="","NOTE: not reviewed yet",IF(TODAY()&gt;CC78,"NOTE: review overdue","OK")))</f>
        <v/>
      </c>
      <c r="CE78" s="37" t="str">
        <f aca="false">IF(A78="","",ROUND((IF(LEN(D78)&gt;0,1,0)+IF(LEN(E78)&gt;0,1,0)+IF(LEN(F78)&gt;0,1,0)+IF(LEN(G78)&gt;0,1,0)+IF(LEN(I78)&gt;0,1,0)+IF(LEN(K78)&gt;0,1,0)+IF(LEN(P78)&gt;0,1,0)+IF(LEN(Q78)&gt;0,1,0)+IF(LEN(T78)&gt;0,1,0)+IF(LEN(V78)&gt;0,1,0)+IF(LEN(W78)&gt;0,1,0)+IF(LEN(X78)&gt;0,1,0)+IF(LEN(Z78)&gt;0,1,0)+IF(LEN(AD78)&gt;0,1,0)+IF(LEN(AE78)&gt;0,1,0)+IF(LEN(AG78)&gt;0,1,0)+IF(LEN(AI78)&gt;0,1,0)+IF(LEN(BB78)&gt;0,1,0)+IF(LEN(BC78)&gt;0,1,0)+IF(LEN(AM78)&gt;0,1,0)+IF(LEN(AO78)&gt;0,1,0)+IF(LEN(AP78)&gt;0,1,0)+IF(LEN(AQ78)&gt;0,1,0)+IF(LEN(AR78)&gt;0,1,0)+IF(LEN(BA78)&gt;0,1,0)+IF(LEN(BM78)&gt;0,1,0)+IF(LEN(BZ78)&gt;0,1,0))/27,2))</f>
        <v/>
      </c>
      <c r="CF78" s="10" t="str">
        <f aca="false">IF(D78="","",IF(AND(AP78="Approved",ISERROR(SEARCH("FAIL",BJ78))),"Y","N"))</f>
        <v/>
      </c>
      <c r="CG78" s="10" t="str">
        <f aca="false">IF(D78="","",D78&amp;"|"&amp;E78&amp;"|"&amp;F78&amp;"|"&amp;G78&amp;"|"&amp;CF78)</f>
        <v/>
      </c>
    </row>
    <row r="79" customFormat="false" ht="15" hidden="false" customHeight="false" outlineLevel="0" collapsed="false">
      <c r="A79" s="10" t="str">
        <f aca="false">IF(D79="","","RW-"&amp;IFERROR(VLOOKUP(D79,Lists!$M$4:$N$22,2,0),"??")&amp;"-H"&amp;TEXT(E79*1000,"0000")&amp;"-S"&amp;F79&amp;IF(G79="Y","-GW","")&amp;"-"&amp;AO79)</f>
        <v/>
      </c>
      <c r="B79" s="10" t="str">
        <f aca="false">IF(D79="","",D79&amp;", H = "&amp;TEXT(E79,"0.0")&amp;" m, q = "&amp;F79&amp;" kPa"&amp;IF(G79="Y",", with GWT","")&amp;", "&amp;I79)</f>
        <v/>
      </c>
      <c r="C79" s="9"/>
      <c r="D79" s="9"/>
      <c r="E79" s="39"/>
      <c r="F79" s="38"/>
      <c r="G79" s="9"/>
      <c r="H79" s="38"/>
      <c r="I79" s="9"/>
      <c r="J79" s="38"/>
      <c r="K79" s="38"/>
      <c r="L79" s="38"/>
      <c r="M79" s="42"/>
      <c r="N79" s="9"/>
      <c r="O79" s="38"/>
      <c r="P79" s="38"/>
      <c r="Q79" s="38"/>
      <c r="R79" s="38"/>
      <c r="S79" s="38"/>
      <c r="T79" s="38"/>
      <c r="U79" s="9"/>
      <c r="V79" s="9"/>
      <c r="W79" s="38"/>
      <c r="X79" s="9"/>
      <c r="Y79" s="9"/>
      <c r="Z79" s="9"/>
      <c r="AA79" s="9"/>
      <c r="AB79" s="9"/>
      <c r="AC79" s="9"/>
      <c r="AD79" s="39"/>
      <c r="AE79" s="39"/>
      <c r="AF79" s="39"/>
      <c r="AG79" s="38"/>
      <c r="AH79" s="38"/>
      <c r="AI79" s="9"/>
      <c r="AJ79" s="38"/>
      <c r="AK79" s="9"/>
      <c r="AL79" s="39"/>
      <c r="AM79" s="9"/>
      <c r="AN79" s="9"/>
      <c r="AO79" s="9"/>
      <c r="AP79" s="9"/>
      <c r="AQ79" s="9"/>
      <c r="AR79" s="9"/>
      <c r="AS79" s="9"/>
      <c r="AT79" s="10" t="str">
        <f aca="false">IF(A79="","",SG_Criteria!$B$6&amp;SG_Criteria!$B$8&amp;"\"&amp;A79&amp;"\")</f>
        <v/>
      </c>
      <c r="AU79" s="10" t="str">
        <f aca="false">IF(A79="","",A79&amp;"_CAD.dwg")</f>
        <v/>
      </c>
      <c r="AV79" s="10" t="str">
        <f aca="false">IF(A79="","",A79&amp;"_DWG.pdf")</f>
        <v/>
      </c>
      <c r="AW79" s="10" t="str">
        <f aca="false">IF(A79="","",IF(AS79="Y",A79&amp;"_STAAD.std","n/a"))</f>
        <v/>
      </c>
      <c r="AX79" s="10" t="str">
        <f aca="false">IF(A79="","",A79&amp;"_CALC.xlsx")</f>
        <v/>
      </c>
      <c r="AY79" s="10" t="str">
        <f aca="false">IF(A79="","",A79&amp;"_CALC.pdf")</f>
        <v/>
      </c>
      <c r="AZ79" s="9"/>
      <c r="BA79" s="9"/>
      <c r="BB79" s="39"/>
      <c r="BC79" s="39"/>
      <c r="BD79" s="39"/>
      <c r="BE79" s="39"/>
      <c r="BF79" s="39"/>
      <c r="BG79" s="12" t="str">
        <f aca="false">IF(A79="","",IF(COUNTIF(Rebar_Schedule!$A$5:$A$2004,A79)=0,"",ROUND(SUMIF(Rebar_Schedule!$A$5:$A$2004,A79,Rebar_Schedule!$K$5:$K$2004),1)))</f>
        <v/>
      </c>
      <c r="BH79" s="33" t="str">
        <f aca="false">IF(A79="","",IF(BG79="","No rebar schedule yet",IF(ABS(BG79-N(BC79))/MAX(N(BC79),1)&gt;SG_Criteria!$B$55,"NOTE: register rebar differs from schedule by "&amp;TEXT(ABS(BG79-N(BC79))/MAX(N(BC79),1),"0%"),"OK")))</f>
        <v/>
      </c>
      <c r="BI79" s="33" t="str">
        <f aca="false">IF(OR(D79="",E79=""),"",IF(E79&lt;=IF(OR(D79="Block / Segmental",D79="Gabion",D79="Reinforced Earth (MSE)"),SG_Criteria!$B$34,SG_Criteria!$B$33),"No ERSS submission",IF(E79&lt;=SG_Criteria!$B$35,"QP(ST)",IF(E79&lt;=SG_Criteria!$B$36,"QP(ST) + AC","Geotechnical building works: QP(Geo) + AC"))))</f>
        <v/>
      </c>
      <c r="BJ79" s="33" t="str">
        <f aca="false">IF(D79="","",IF(LEN(IF(AND(V79&lt;&gt;"",IFERROR(VALUE(MID(V79,2,2)),0)&lt;SG_Criteria!$B$19),"FAIL: grade below C"&amp;SG_Criteria!$B$19&amp;". ","")&amp;IF(AND(W79&lt;&gt;"",W79&lt;SG_Criteria!$B$20),"FAIL: cover &lt; "&amp;SG_Criteria!$B$20&amp;" mm. ","")&amp;IF(AND(AD79&lt;&gt;"",AD79&lt;1),"FAIL: sliding. ","")&amp;IF(AND(D79="Reverse L-Wall (toe only, at boundary)",N(S79)&gt;0),"NOTE: reverse L-wall should have no heel. ","")&amp;IF(AND(D79="L-Wall (heel only)",N(R79)&gt;0),"NOTE: L-wall should have no toe. ","")&amp;IF(AND(F79&lt;&gt;"",F79&lt;SG_Criteria!$B$31),"NOTE: q below LTA min "&amp;SG_Criteria!$B$31&amp;" kPa (not for LTA works). ",""))=0,"OK",IF(AND(V79&lt;&gt;"",IFERROR(VALUE(MID(V79,2,2)),0)&lt;SG_Criteria!$B$19),"FAIL: grade below C"&amp;SG_Criteria!$B$19&amp;". ","")&amp;IF(AND(W79&lt;&gt;"",W79&lt;SG_Criteria!$B$20),"FAIL: cover &lt; "&amp;SG_Criteria!$B$20&amp;" mm. ","")&amp;IF(AND(AD79&lt;&gt;"",AD79&lt;1),"FAIL: sliding. ","")&amp;IF(AND(D79="Reverse L-Wall (toe only, at boundary)",N(S79)&gt;0),"NOTE: reverse L-wall should have no heel. ","")&amp;IF(AND(D79="L-Wall (heel only)",N(R79)&gt;0),"NOTE: L-wall should have no toe. ","")&amp;IF(AND(F79&lt;&gt;"",F79&lt;SG_Criteria!$B$31),"NOTE: q below LTA min "&amp;SG_Criteria!$B$31&amp;" kPa (not for LTA works). ","")))</f>
        <v/>
      </c>
      <c r="BK79" s="9"/>
      <c r="BL79" s="9"/>
      <c r="BM79" s="9"/>
      <c r="BN79" s="10" t="str">
        <f aca="false">IF(BM79="","",IFERROR(VLOOKUP(BM79,Projects!$A$5:$D$504,2,0),"Ref not in Projects"))</f>
        <v/>
      </c>
      <c r="BO79" s="10" t="str">
        <f aca="false">IF(BM79="","",IFERROR(VLOOKUP(BM79,Projects!$A$5:$D$504,4,0),"Ref not in Projects"))</f>
        <v/>
      </c>
      <c r="BP79" s="9"/>
      <c r="BQ79" s="9"/>
      <c r="BR79" s="9"/>
      <c r="BS79" s="40"/>
      <c r="BT79" s="9"/>
      <c r="BU79" s="40"/>
      <c r="BV79" s="9"/>
      <c r="BW79" s="40"/>
      <c r="BX79" s="9"/>
      <c r="BY79" s="9"/>
      <c r="BZ79" s="9"/>
      <c r="CA79" s="40"/>
      <c r="CB79" s="40"/>
      <c r="CC79" s="36" t="str">
        <f aca="false">IF(CB79="","",EDATE(CB79,SG_Criteria!$B$54*12))</f>
        <v/>
      </c>
      <c r="CD79" s="33" t="str">
        <f aca="true">IF(A79="","",IF(CB79="","NOTE: not reviewed yet",IF(TODAY()&gt;CC79,"NOTE: review overdue","OK")))</f>
        <v/>
      </c>
      <c r="CE79" s="37" t="str">
        <f aca="false">IF(A79="","",ROUND((IF(LEN(D79)&gt;0,1,0)+IF(LEN(E79)&gt;0,1,0)+IF(LEN(F79)&gt;0,1,0)+IF(LEN(G79)&gt;0,1,0)+IF(LEN(I79)&gt;0,1,0)+IF(LEN(K79)&gt;0,1,0)+IF(LEN(P79)&gt;0,1,0)+IF(LEN(Q79)&gt;0,1,0)+IF(LEN(T79)&gt;0,1,0)+IF(LEN(V79)&gt;0,1,0)+IF(LEN(W79)&gt;0,1,0)+IF(LEN(X79)&gt;0,1,0)+IF(LEN(Z79)&gt;0,1,0)+IF(LEN(AD79)&gt;0,1,0)+IF(LEN(AE79)&gt;0,1,0)+IF(LEN(AG79)&gt;0,1,0)+IF(LEN(AI79)&gt;0,1,0)+IF(LEN(BB79)&gt;0,1,0)+IF(LEN(BC79)&gt;0,1,0)+IF(LEN(AM79)&gt;0,1,0)+IF(LEN(AO79)&gt;0,1,0)+IF(LEN(AP79)&gt;0,1,0)+IF(LEN(AQ79)&gt;0,1,0)+IF(LEN(AR79)&gt;0,1,0)+IF(LEN(BA79)&gt;0,1,0)+IF(LEN(BM79)&gt;0,1,0)+IF(LEN(BZ79)&gt;0,1,0))/27,2))</f>
        <v/>
      </c>
      <c r="CF79" s="10" t="str">
        <f aca="false">IF(D79="","",IF(AND(AP79="Approved",ISERROR(SEARCH("FAIL",BJ79))),"Y","N"))</f>
        <v/>
      </c>
      <c r="CG79" s="10" t="str">
        <f aca="false">IF(D79="","",D79&amp;"|"&amp;E79&amp;"|"&amp;F79&amp;"|"&amp;G79&amp;"|"&amp;CF79)</f>
        <v/>
      </c>
    </row>
    <row r="80" customFormat="false" ht="15" hidden="false" customHeight="false" outlineLevel="0" collapsed="false">
      <c r="A80" s="10" t="str">
        <f aca="false">IF(D80="","","RW-"&amp;IFERROR(VLOOKUP(D80,Lists!$M$4:$N$22,2,0),"??")&amp;"-H"&amp;TEXT(E80*1000,"0000")&amp;"-S"&amp;F80&amp;IF(G80="Y","-GW","")&amp;"-"&amp;AO80)</f>
        <v/>
      </c>
      <c r="B80" s="10" t="str">
        <f aca="false">IF(D80="","",D80&amp;", H = "&amp;TEXT(E80,"0.0")&amp;" m, q = "&amp;F80&amp;" kPa"&amp;IF(G80="Y",", with GWT","")&amp;", "&amp;I80)</f>
        <v/>
      </c>
      <c r="C80" s="9"/>
      <c r="D80" s="9"/>
      <c r="E80" s="39"/>
      <c r="F80" s="38"/>
      <c r="G80" s="9"/>
      <c r="H80" s="38"/>
      <c r="I80" s="9"/>
      <c r="J80" s="38"/>
      <c r="K80" s="38"/>
      <c r="L80" s="38"/>
      <c r="M80" s="42"/>
      <c r="N80" s="9"/>
      <c r="O80" s="38"/>
      <c r="P80" s="38"/>
      <c r="Q80" s="38"/>
      <c r="R80" s="38"/>
      <c r="S80" s="38"/>
      <c r="T80" s="38"/>
      <c r="U80" s="9"/>
      <c r="V80" s="9"/>
      <c r="W80" s="38"/>
      <c r="X80" s="9"/>
      <c r="Y80" s="9"/>
      <c r="Z80" s="9"/>
      <c r="AA80" s="9"/>
      <c r="AB80" s="9"/>
      <c r="AC80" s="9"/>
      <c r="AD80" s="39"/>
      <c r="AE80" s="39"/>
      <c r="AF80" s="39"/>
      <c r="AG80" s="38"/>
      <c r="AH80" s="38"/>
      <c r="AI80" s="9"/>
      <c r="AJ80" s="38"/>
      <c r="AK80" s="9"/>
      <c r="AL80" s="39"/>
      <c r="AM80" s="9"/>
      <c r="AN80" s="9"/>
      <c r="AO80" s="9"/>
      <c r="AP80" s="9"/>
      <c r="AQ80" s="9"/>
      <c r="AR80" s="9"/>
      <c r="AS80" s="9"/>
      <c r="AT80" s="10" t="str">
        <f aca="false">IF(A80="","",SG_Criteria!$B$6&amp;SG_Criteria!$B$8&amp;"\"&amp;A80&amp;"\")</f>
        <v/>
      </c>
      <c r="AU80" s="10" t="str">
        <f aca="false">IF(A80="","",A80&amp;"_CAD.dwg")</f>
        <v/>
      </c>
      <c r="AV80" s="10" t="str">
        <f aca="false">IF(A80="","",A80&amp;"_DWG.pdf")</f>
        <v/>
      </c>
      <c r="AW80" s="10" t="str">
        <f aca="false">IF(A80="","",IF(AS80="Y",A80&amp;"_STAAD.std","n/a"))</f>
        <v/>
      </c>
      <c r="AX80" s="10" t="str">
        <f aca="false">IF(A80="","",A80&amp;"_CALC.xlsx")</f>
        <v/>
      </c>
      <c r="AY80" s="10" t="str">
        <f aca="false">IF(A80="","",A80&amp;"_CALC.pdf")</f>
        <v/>
      </c>
      <c r="AZ80" s="9"/>
      <c r="BA80" s="9"/>
      <c r="BB80" s="39"/>
      <c r="BC80" s="39"/>
      <c r="BD80" s="39"/>
      <c r="BE80" s="39"/>
      <c r="BF80" s="39"/>
      <c r="BG80" s="12" t="str">
        <f aca="false">IF(A80="","",IF(COUNTIF(Rebar_Schedule!$A$5:$A$2004,A80)=0,"",ROUND(SUMIF(Rebar_Schedule!$A$5:$A$2004,A80,Rebar_Schedule!$K$5:$K$2004),1)))</f>
        <v/>
      </c>
      <c r="BH80" s="33" t="str">
        <f aca="false">IF(A80="","",IF(BG80="","No rebar schedule yet",IF(ABS(BG80-N(BC80))/MAX(N(BC80),1)&gt;SG_Criteria!$B$55,"NOTE: register rebar differs from schedule by "&amp;TEXT(ABS(BG80-N(BC80))/MAX(N(BC80),1),"0%"),"OK")))</f>
        <v/>
      </c>
      <c r="BI80" s="33" t="str">
        <f aca="false">IF(OR(D80="",E80=""),"",IF(E80&lt;=IF(OR(D80="Block / Segmental",D80="Gabion",D80="Reinforced Earth (MSE)"),SG_Criteria!$B$34,SG_Criteria!$B$33),"No ERSS submission",IF(E80&lt;=SG_Criteria!$B$35,"QP(ST)",IF(E80&lt;=SG_Criteria!$B$36,"QP(ST) + AC","Geotechnical building works: QP(Geo) + AC"))))</f>
        <v/>
      </c>
      <c r="BJ80" s="33" t="str">
        <f aca="false">IF(D80="","",IF(LEN(IF(AND(V80&lt;&gt;"",IFERROR(VALUE(MID(V80,2,2)),0)&lt;SG_Criteria!$B$19),"FAIL: grade below C"&amp;SG_Criteria!$B$19&amp;". ","")&amp;IF(AND(W80&lt;&gt;"",W80&lt;SG_Criteria!$B$20),"FAIL: cover &lt; "&amp;SG_Criteria!$B$20&amp;" mm. ","")&amp;IF(AND(AD80&lt;&gt;"",AD80&lt;1),"FAIL: sliding. ","")&amp;IF(AND(D80="Reverse L-Wall (toe only, at boundary)",N(S80)&gt;0),"NOTE: reverse L-wall should have no heel. ","")&amp;IF(AND(D80="L-Wall (heel only)",N(R80)&gt;0),"NOTE: L-wall should have no toe. ","")&amp;IF(AND(F80&lt;&gt;"",F80&lt;SG_Criteria!$B$31),"NOTE: q below LTA min "&amp;SG_Criteria!$B$31&amp;" kPa (not for LTA works). ",""))=0,"OK",IF(AND(V80&lt;&gt;"",IFERROR(VALUE(MID(V80,2,2)),0)&lt;SG_Criteria!$B$19),"FAIL: grade below C"&amp;SG_Criteria!$B$19&amp;". ","")&amp;IF(AND(W80&lt;&gt;"",W80&lt;SG_Criteria!$B$20),"FAIL: cover &lt; "&amp;SG_Criteria!$B$20&amp;" mm. ","")&amp;IF(AND(AD80&lt;&gt;"",AD80&lt;1),"FAIL: sliding. ","")&amp;IF(AND(D80="Reverse L-Wall (toe only, at boundary)",N(S80)&gt;0),"NOTE: reverse L-wall should have no heel. ","")&amp;IF(AND(D80="L-Wall (heel only)",N(R80)&gt;0),"NOTE: L-wall should have no toe. ","")&amp;IF(AND(F80&lt;&gt;"",F80&lt;SG_Criteria!$B$31),"NOTE: q below LTA min "&amp;SG_Criteria!$B$31&amp;" kPa (not for LTA works). ","")))</f>
        <v/>
      </c>
      <c r="BK80" s="9"/>
      <c r="BL80" s="9"/>
      <c r="BM80" s="9"/>
      <c r="BN80" s="10" t="str">
        <f aca="false">IF(BM80="","",IFERROR(VLOOKUP(BM80,Projects!$A$5:$D$504,2,0),"Ref not in Projects"))</f>
        <v/>
      </c>
      <c r="BO80" s="10" t="str">
        <f aca="false">IF(BM80="","",IFERROR(VLOOKUP(BM80,Projects!$A$5:$D$504,4,0),"Ref not in Projects"))</f>
        <v/>
      </c>
      <c r="BP80" s="9"/>
      <c r="BQ80" s="9"/>
      <c r="BR80" s="9"/>
      <c r="BS80" s="40"/>
      <c r="BT80" s="9"/>
      <c r="BU80" s="40"/>
      <c r="BV80" s="9"/>
      <c r="BW80" s="40"/>
      <c r="BX80" s="9"/>
      <c r="BY80" s="9"/>
      <c r="BZ80" s="9"/>
      <c r="CA80" s="40"/>
      <c r="CB80" s="40"/>
      <c r="CC80" s="36" t="str">
        <f aca="false">IF(CB80="","",EDATE(CB80,SG_Criteria!$B$54*12))</f>
        <v/>
      </c>
      <c r="CD80" s="33" t="str">
        <f aca="true">IF(A80="","",IF(CB80="","NOTE: not reviewed yet",IF(TODAY()&gt;CC80,"NOTE: review overdue","OK")))</f>
        <v/>
      </c>
      <c r="CE80" s="37" t="str">
        <f aca="false">IF(A80="","",ROUND((IF(LEN(D80)&gt;0,1,0)+IF(LEN(E80)&gt;0,1,0)+IF(LEN(F80)&gt;0,1,0)+IF(LEN(G80)&gt;0,1,0)+IF(LEN(I80)&gt;0,1,0)+IF(LEN(K80)&gt;0,1,0)+IF(LEN(P80)&gt;0,1,0)+IF(LEN(Q80)&gt;0,1,0)+IF(LEN(T80)&gt;0,1,0)+IF(LEN(V80)&gt;0,1,0)+IF(LEN(W80)&gt;0,1,0)+IF(LEN(X80)&gt;0,1,0)+IF(LEN(Z80)&gt;0,1,0)+IF(LEN(AD80)&gt;0,1,0)+IF(LEN(AE80)&gt;0,1,0)+IF(LEN(AG80)&gt;0,1,0)+IF(LEN(AI80)&gt;0,1,0)+IF(LEN(BB80)&gt;0,1,0)+IF(LEN(BC80)&gt;0,1,0)+IF(LEN(AM80)&gt;0,1,0)+IF(LEN(AO80)&gt;0,1,0)+IF(LEN(AP80)&gt;0,1,0)+IF(LEN(AQ80)&gt;0,1,0)+IF(LEN(AR80)&gt;0,1,0)+IF(LEN(BA80)&gt;0,1,0)+IF(LEN(BM80)&gt;0,1,0)+IF(LEN(BZ80)&gt;0,1,0))/27,2))</f>
        <v/>
      </c>
      <c r="CF80" s="10" t="str">
        <f aca="false">IF(D80="","",IF(AND(AP80="Approved",ISERROR(SEARCH("FAIL",BJ80))),"Y","N"))</f>
        <v/>
      </c>
      <c r="CG80" s="10" t="str">
        <f aca="false">IF(D80="","",D80&amp;"|"&amp;E80&amp;"|"&amp;F80&amp;"|"&amp;G80&amp;"|"&amp;CF80)</f>
        <v/>
      </c>
    </row>
    <row r="81" customFormat="false" ht="15" hidden="false" customHeight="false" outlineLevel="0" collapsed="false">
      <c r="A81" s="10" t="str">
        <f aca="false">IF(D81="","","RW-"&amp;IFERROR(VLOOKUP(D81,Lists!$M$4:$N$22,2,0),"??")&amp;"-H"&amp;TEXT(E81*1000,"0000")&amp;"-S"&amp;F81&amp;IF(G81="Y","-GW","")&amp;"-"&amp;AO81)</f>
        <v/>
      </c>
      <c r="B81" s="10" t="str">
        <f aca="false">IF(D81="","",D81&amp;", H = "&amp;TEXT(E81,"0.0")&amp;" m, q = "&amp;F81&amp;" kPa"&amp;IF(G81="Y",", with GWT","")&amp;", "&amp;I81)</f>
        <v/>
      </c>
      <c r="C81" s="9"/>
      <c r="D81" s="9"/>
      <c r="E81" s="39"/>
      <c r="F81" s="38"/>
      <c r="G81" s="9"/>
      <c r="H81" s="38"/>
      <c r="I81" s="9"/>
      <c r="J81" s="38"/>
      <c r="K81" s="38"/>
      <c r="L81" s="38"/>
      <c r="M81" s="42"/>
      <c r="N81" s="9"/>
      <c r="O81" s="38"/>
      <c r="P81" s="38"/>
      <c r="Q81" s="38"/>
      <c r="R81" s="38"/>
      <c r="S81" s="38"/>
      <c r="T81" s="38"/>
      <c r="U81" s="9"/>
      <c r="V81" s="9"/>
      <c r="W81" s="38"/>
      <c r="X81" s="9"/>
      <c r="Y81" s="9"/>
      <c r="Z81" s="9"/>
      <c r="AA81" s="9"/>
      <c r="AB81" s="9"/>
      <c r="AC81" s="9"/>
      <c r="AD81" s="39"/>
      <c r="AE81" s="39"/>
      <c r="AF81" s="39"/>
      <c r="AG81" s="38"/>
      <c r="AH81" s="38"/>
      <c r="AI81" s="9"/>
      <c r="AJ81" s="38"/>
      <c r="AK81" s="9"/>
      <c r="AL81" s="39"/>
      <c r="AM81" s="9"/>
      <c r="AN81" s="9"/>
      <c r="AO81" s="9"/>
      <c r="AP81" s="9"/>
      <c r="AQ81" s="9"/>
      <c r="AR81" s="9"/>
      <c r="AS81" s="9"/>
      <c r="AT81" s="10" t="str">
        <f aca="false">IF(A81="","",SG_Criteria!$B$6&amp;SG_Criteria!$B$8&amp;"\"&amp;A81&amp;"\")</f>
        <v/>
      </c>
      <c r="AU81" s="10" t="str">
        <f aca="false">IF(A81="","",A81&amp;"_CAD.dwg")</f>
        <v/>
      </c>
      <c r="AV81" s="10" t="str">
        <f aca="false">IF(A81="","",A81&amp;"_DWG.pdf")</f>
        <v/>
      </c>
      <c r="AW81" s="10" t="str">
        <f aca="false">IF(A81="","",IF(AS81="Y",A81&amp;"_STAAD.std","n/a"))</f>
        <v/>
      </c>
      <c r="AX81" s="10" t="str">
        <f aca="false">IF(A81="","",A81&amp;"_CALC.xlsx")</f>
        <v/>
      </c>
      <c r="AY81" s="10" t="str">
        <f aca="false">IF(A81="","",A81&amp;"_CALC.pdf")</f>
        <v/>
      </c>
      <c r="AZ81" s="9"/>
      <c r="BA81" s="9"/>
      <c r="BB81" s="39"/>
      <c r="BC81" s="39"/>
      <c r="BD81" s="39"/>
      <c r="BE81" s="39"/>
      <c r="BF81" s="39"/>
      <c r="BG81" s="12" t="str">
        <f aca="false">IF(A81="","",IF(COUNTIF(Rebar_Schedule!$A$5:$A$2004,A81)=0,"",ROUND(SUMIF(Rebar_Schedule!$A$5:$A$2004,A81,Rebar_Schedule!$K$5:$K$2004),1)))</f>
        <v/>
      </c>
      <c r="BH81" s="33" t="str">
        <f aca="false">IF(A81="","",IF(BG81="","No rebar schedule yet",IF(ABS(BG81-N(BC81))/MAX(N(BC81),1)&gt;SG_Criteria!$B$55,"NOTE: register rebar differs from schedule by "&amp;TEXT(ABS(BG81-N(BC81))/MAX(N(BC81),1),"0%"),"OK")))</f>
        <v/>
      </c>
      <c r="BI81" s="33" t="str">
        <f aca="false">IF(OR(D81="",E81=""),"",IF(E81&lt;=IF(OR(D81="Block / Segmental",D81="Gabion",D81="Reinforced Earth (MSE)"),SG_Criteria!$B$34,SG_Criteria!$B$33),"No ERSS submission",IF(E81&lt;=SG_Criteria!$B$35,"QP(ST)",IF(E81&lt;=SG_Criteria!$B$36,"QP(ST) + AC","Geotechnical building works: QP(Geo) + AC"))))</f>
        <v/>
      </c>
      <c r="BJ81" s="33" t="str">
        <f aca="false">IF(D81="","",IF(LEN(IF(AND(V81&lt;&gt;"",IFERROR(VALUE(MID(V81,2,2)),0)&lt;SG_Criteria!$B$19),"FAIL: grade below C"&amp;SG_Criteria!$B$19&amp;". ","")&amp;IF(AND(W81&lt;&gt;"",W81&lt;SG_Criteria!$B$20),"FAIL: cover &lt; "&amp;SG_Criteria!$B$20&amp;" mm. ","")&amp;IF(AND(AD81&lt;&gt;"",AD81&lt;1),"FAIL: sliding. ","")&amp;IF(AND(D81="Reverse L-Wall (toe only, at boundary)",N(S81)&gt;0),"NOTE: reverse L-wall should have no heel. ","")&amp;IF(AND(D81="L-Wall (heel only)",N(R81)&gt;0),"NOTE: L-wall should have no toe. ","")&amp;IF(AND(F81&lt;&gt;"",F81&lt;SG_Criteria!$B$31),"NOTE: q below LTA min "&amp;SG_Criteria!$B$31&amp;" kPa (not for LTA works). ",""))=0,"OK",IF(AND(V81&lt;&gt;"",IFERROR(VALUE(MID(V81,2,2)),0)&lt;SG_Criteria!$B$19),"FAIL: grade below C"&amp;SG_Criteria!$B$19&amp;". ","")&amp;IF(AND(W81&lt;&gt;"",W81&lt;SG_Criteria!$B$20),"FAIL: cover &lt; "&amp;SG_Criteria!$B$20&amp;" mm. ","")&amp;IF(AND(AD81&lt;&gt;"",AD81&lt;1),"FAIL: sliding. ","")&amp;IF(AND(D81="Reverse L-Wall (toe only, at boundary)",N(S81)&gt;0),"NOTE: reverse L-wall should have no heel. ","")&amp;IF(AND(D81="L-Wall (heel only)",N(R81)&gt;0),"NOTE: L-wall should have no toe. ","")&amp;IF(AND(F81&lt;&gt;"",F81&lt;SG_Criteria!$B$31),"NOTE: q below LTA min "&amp;SG_Criteria!$B$31&amp;" kPa (not for LTA works). ","")))</f>
        <v/>
      </c>
      <c r="BK81" s="9"/>
      <c r="BL81" s="9"/>
      <c r="BM81" s="9"/>
      <c r="BN81" s="10" t="str">
        <f aca="false">IF(BM81="","",IFERROR(VLOOKUP(BM81,Projects!$A$5:$D$504,2,0),"Ref not in Projects"))</f>
        <v/>
      </c>
      <c r="BO81" s="10" t="str">
        <f aca="false">IF(BM81="","",IFERROR(VLOOKUP(BM81,Projects!$A$5:$D$504,4,0),"Ref not in Projects"))</f>
        <v/>
      </c>
      <c r="BP81" s="9"/>
      <c r="BQ81" s="9"/>
      <c r="BR81" s="9"/>
      <c r="BS81" s="40"/>
      <c r="BT81" s="9"/>
      <c r="BU81" s="40"/>
      <c r="BV81" s="9"/>
      <c r="BW81" s="40"/>
      <c r="BX81" s="9"/>
      <c r="BY81" s="9"/>
      <c r="BZ81" s="9"/>
      <c r="CA81" s="40"/>
      <c r="CB81" s="40"/>
      <c r="CC81" s="36" t="str">
        <f aca="false">IF(CB81="","",EDATE(CB81,SG_Criteria!$B$54*12))</f>
        <v/>
      </c>
      <c r="CD81" s="33" t="str">
        <f aca="true">IF(A81="","",IF(CB81="","NOTE: not reviewed yet",IF(TODAY()&gt;CC81,"NOTE: review overdue","OK")))</f>
        <v/>
      </c>
      <c r="CE81" s="37" t="str">
        <f aca="false">IF(A81="","",ROUND((IF(LEN(D81)&gt;0,1,0)+IF(LEN(E81)&gt;0,1,0)+IF(LEN(F81)&gt;0,1,0)+IF(LEN(G81)&gt;0,1,0)+IF(LEN(I81)&gt;0,1,0)+IF(LEN(K81)&gt;0,1,0)+IF(LEN(P81)&gt;0,1,0)+IF(LEN(Q81)&gt;0,1,0)+IF(LEN(T81)&gt;0,1,0)+IF(LEN(V81)&gt;0,1,0)+IF(LEN(W81)&gt;0,1,0)+IF(LEN(X81)&gt;0,1,0)+IF(LEN(Z81)&gt;0,1,0)+IF(LEN(AD81)&gt;0,1,0)+IF(LEN(AE81)&gt;0,1,0)+IF(LEN(AG81)&gt;0,1,0)+IF(LEN(AI81)&gt;0,1,0)+IF(LEN(BB81)&gt;0,1,0)+IF(LEN(BC81)&gt;0,1,0)+IF(LEN(AM81)&gt;0,1,0)+IF(LEN(AO81)&gt;0,1,0)+IF(LEN(AP81)&gt;0,1,0)+IF(LEN(AQ81)&gt;0,1,0)+IF(LEN(AR81)&gt;0,1,0)+IF(LEN(BA81)&gt;0,1,0)+IF(LEN(BM81)&gt;0,1,0)+IF(LEN(BZ81)&gt;0,1,0))/27,2))</f>
        <v/>
      </c>
      <c r="CF81" s="10" t="str">
        <f aca="false">IF(D81="","",IF(AND(AP81="Approved",ISERROR(SEARCH("FAIL",BJ81))),"Y","N"))</f>
        <v/>
      </c>
      <c r="CG81" s="10" t="str">
        <f aca="false">IF(D81="","",D81&amp;"|"&amp;E81&amp;"|"&amp;F81&amp;"|"&amp;G81&amp;"|"&amp;CF81)</f>
        <v/>
      </c>
    </row>
    <row r="82" customFormat="false" ht="15" hidden="false" customHeight="false" outlineLevel="0" collapsed="false">
      <c r="A82" s="10" t="str">
        <f aca="false">IF(D82="","","RW-"&amp;IFERROR(VLOOKUP(D82,Lists!$M$4:$N$22,2,0),"??")&amp;"-H"&amp;TEXT(E82*1000,"0000")&amp;"-S"&amp;F82&amp;IF(G82="Y","-GW","")&amp;"-"&amp;AO82)</f>
        <v/>
      </c>
      <c r="B82" s="10" t="str">
        <f aca="false">IF(D82="","",D82&amp;", H = "&amp;TEXT(E82,"0.0")&amp;" m, q = "&amp;F82&amp;" kPa"&amp;IF(G82="Y",", with GWT","")&amp;", "&amp;I82)</f>
        <v/>
      </c>
      <c r="C82" s="9"/>
      <c r="D82" s="9"/>
      <c r="E82" s="39"/>
      <c r="F82" s="38"/>
      <c r="G82" s="9"/>
      <c r="H82" s="38"/>
      <c r="I82" s="9"/>
      <c r="J82" s="38"/>
      <c r="K82" s="38"/>
      <c r="L82" s="38"/>
      <c r="M82" s="42"/>
      <c r="N82" s="9"/>
      <c r="O82" s="38"/>
      <c r="P82" s="38"/>
      <c r="Q82" s="38"/>
      <c r="R82" s="38"/>
      <c r="S82" s="38"/>
      <c r="T82" s="38"/>
      <c r="U82" s="9"/>
      <c r="V82" s="9"/>
      <c r="W82" s="38"/>
      <c r="X82" s="9"/>
      <c r="Y82" s="9"/>
      <c r="Z82" s="9"/>
      <c r="AA82" s="9"/>
      <c r="AB82" s="9"/>
      <c r="AC82" s="9"/>
      <c r="AD82" s="39"/>
      <c r="AE82" s="39"/>
      <c r="AF82" s="39"/>
      <c r="AG82" s="38"/>
      <c r="AH82" s="38"/>
      <c r="AI82" s="9"/>
      <c r="AJ82" s="38"/>
      <c r="AK82" s="9"/>
      <c r="AL82" s="39"/>
      <c r="AM82" s="9"/>
      <c r="AN82" s="9"/>
      <c r="AO82" s="9"/>
      <c r="AP82" s="9"/>
      <c r="AQ82" s="9"/>
      <c r="AR82" s="9"/>
      <c r="AS82" s="9"/>
      <c r="AT82" s="10" t="str">
        <f aca="false">IF(A82="","",SG_Criteria!$B$6&amp;SG_Criteria!$B$8&amp;"\"&amp;A82&amp;"\")</f>
        <v/>
      </c>
      <c r="AU82" s="10" t="str">
        <f aca="false">IF(A82="","",A82&amp;"_CAD.dwg")</f>
        <v/>
      </c>
      <c r="AV82" s="10" t="str">
        <f aca="false">IF(A82="","",A82&amp;"_DWG.pdf")</f>
        <v/>
      </c>
      <c r="AW82" s="10" t="str">
        <f aca="false">IF(A82="","",IF(AS82="Y",A82&amp;"_STAAD.std","n/a"))</f>
        <v/>
      </c>
      <c r="AX82" s="10" t="str">
        <f aca="false">IF(A82="","",A82&amp;"_CALC.xlsx")</f>
        <v/>
      </c>
      <c r="AY82" s="10" t="str">
        <f aca="false">IF(A82="","",A82&amp;"_CALC.pdf")</f>
        <v/>
      </c>
      <c r="AZ82" s="9"/>
      <c r="BA82" s="9"/>
      <c r="BB82" s="39"/>
      <c r="BC82" s="39"/>
      <c r="BD82" s="39"/>
      <c r="BE82" s="39"/>
      <c r="BF82" s="39"/>
      <c r="BG82" s="12" t="str">
        <f aca="false">IF(A82="","",IF(COUNTIF(Rebar_Schedule!$A$5:$A$2004,A82)=0,"",ROUND(SUMIF(Rebar_Schedule!$A$5:$A$2004,A82,Rebar_Schedule!$K$5:$K$2004),1)))</f>
        <v/>
      </c>
      <c r="BH82" s="33" t="str">
        <f aca="false">IF(A82="","",IF(BG82="","No rebar schedule yet",IF(ABS(BG82-N(BC82))/MAX(N(BC82),1)&gt;SG_Criteria!$B$55,"NOTE: register rebar differs from schedule by "&amp;TEXT(ABS(BG82-N(BC82))/MAX(N(BC82),1),"0%"),"OK")))</f>
        <v/>
      </c>
      <c r="BI82" s="33" t="str">
        <f aca="false">IF(OR(D82="",E82=""),"",IF(E82&lt;=IF(OR(D82="Block / Segmental",D82="Gabion",D82="Reinforced Earth (MSE)"),SG_Criteria!$B$34,SG_Criteria!$B$33),"No ERSS submission",IF(E82&lt;=SG_Criteria!$B$35,"QP(ST)",IF(E82&lt;=SG_Criteria!$B$36,"QP(ST) + AC","Geotechnical building works: QP(Geo) + AC"))))</f>
        <v/>
      </c>
      <c r="BJ82" s="33" t="str">
        <f aca="false">IF(D82="","",IF(LEN(IF(AND(V82&lt;&gt;"",IFERROR(VALUE(MID(V82,2,2)),0)&lt;SG_Criteria!$B$19),"FAIL: grade below C"&amp;SG_Criteria!$B$19&amp;". ","")&amp;IF(AND(W82&lt;&gt;"",W82&lt;SG_Criteria!$B$20),"FAIL: cover &lt; "&amp;SG_Criteria!$B$20&amp;" mm. ","")&amp;IF(AND(AD82&lt;&gt;"",AD82&lt;1),"FAIL: sliding. ","")&amp;IF(AND(D82="Reverse L-Wall (toe only, at boundary)",N(S82)&gt;0),"NOTE: reverse L-wall should have no heel. ","")&amp;IF(AND(D82="L-Wall (heel only)",N(R82)&gt;0),"NOTE: L-wall should have no toe. ","")&amp;IF(AND(F82&lt;&gt;"",F82&lt;SG_Criteria!$B$31),"NOTE: q below LTA min "&amp;SG_Criteria!$B$31&amp;" kPa (not for LTA works). ",""))=0,"OK",IF(AND(V82&lt;&gt;"",IFERROR(VALUE(MID(V82,2,2)),0)&lt;SG_Criteria!$B$19),"FAIL: grade below C"&amp;SG_Criteria!$B$19&amp;". ","")&amp;IF(AND(W82&lt;&gt;"",W82&lt;SG_Criteria!$B$20),"FAIL: cover &lt; "&amp;SG_Criteria!$B$20&amp;" mm. ","")&amp;IF(AND(AD82&lt;&gt;"",AD82&lt;1),"FAIL: sliding. ","")&amp;IF(AND(D82="Reverse L-Wall (toe only, at boundary)",N(S82)&gt;0),"NOTE: reverse L-wall should have no heel. ","")&amp;IF(AND(D82="L-Wall (heel only)",N(R82)&gt;0),"NOTE: L-wall should have no toe. ","")&amp;IF(AND(F82&lt;&gt;"",F82&lt;SG_Criteria!$B$31),"NOTE: q below LTA min "&amp;SG_Criteria!$B$31&amp;" kPa (not for LTA works). ","")))</f>
        <v/>
      </c>
      <c r="BK82" s="9"/>
      <c r="BL82" s="9"/>
      <c r="BM82" s="9"/>
      <c r="BN82" s="10" t="str">
        <f aca="false">IF(BM82="","",IFERROR(VLOOKUP(BM82,Projects!$A$5:$D$504,2,0),"Ref not in Projects"))</f>
        <v/>
      </c>
      <c r="BO82" s="10" t="str">
        <f aca="false">IF(BM82="","",IFERROR(VLOOKUP(BM82,Projects!$A$5:$D$504,4,0),"Ref not in Projects"))</f>
        <v/>
      </c>
      <c r="BP82" s="9"/>
      <c r="BQ82" s="9"/>
      <c r="BR82" s="9"/>
      <c r="BS82" s="40"/>
      <c r="BT82" s="9"/>
      <c r="BU82" s="40"/>
      <c r="BV82" s="9"/>
      <c r="BW82" s="40"/>
      <c r="BX82" s="9"/>
      <c r="BY82" s="9"/>
      <c r="BZ82" s="9"/>
      <c r="CA82" s="40"/>
      <c r="CB82" s="40"/>
      <c r="CC82" s="36" t="str">
        <f aca="false">IF(CB82="","",EDATE(CB82,SG_Criteria!$B$54*12))</f>
        <v/>
      </c>
      <c r="CD82" s="33" t="str">
        <f aca="true">IF(A82="","",IF(CB82="","NOTE: not reviewed yet",IF(TODAY()&gt;CC82,"NOTE: review overdue","OK")))</f>
        <v/>
      </c>
      <c r="CE82" s="37" t="str">
        <f aca="false">IF(A82="","",ROUND((IF(LEN(D82)&gt;0,1,0)+IF(LEN(E82)&gt;0,1,0)+IF(LEN(F82)&gt;0,1,0)+IF(LEN(G82)&gt;0,1,0)+IF(LEN(I82)&gt;0,1,0)+IF(LEN(K82)&gt;0,1,0)+IF(LEN(P82)&gt;0,1,0)+IF(LEN(Q82)&gt;0,1,0)+IF(LEN(T82)&gt;0,1,0)+IF(LEN(V82)&gt;0,1,0)+IF(LEN(W82)&gt;0,1,0)+IF(LEN(X82)&gt;0,1,0)+IF(LEN(Z82)&gt;0,1,0)+IF(LEN(AD82)&gt;0,1,0)+IF(LEN(AE82)&gt;0,1,0)+IF(LEN(AG82)&gt;0,1,0)+IF(LEN(AI82)&gt;0,1,0)+IF(LEN(BB82)&gt;0,1,0)+IF(LEN(BC82)&gt;0,1,0)+IF(LEN(AM82)&gt;0,1,0)+IF(LEN(AO82)&gt;0,1,0)+IF(LEN(AP82)&gt;0,1,0)+IF(LEN(AQ82)&gt;0,1,0)+IF(LEN(AR82)&gt;0,1,0)+IF(LEN(BA82)&gt;0,1,0)+IF(LEN(BM82)&gt;0,1,0)+IF(LEN(BZ82)&gt;0,1,0))/27,2))</f>
        <v/>
      </c>
      <c r="CF82" s="10" t="str">
        <f aca="false">IF(D82="","",IF(AND(AP82="Approved",ISERROR(SEARCH("FAIL",BJ82))),"Y","N"))</f>
        <v/>
      </c>
      <c r="CG82" s="10" t="str">
        <f aca="false">IF(D82="","",D82&amp;"|"&amp;E82&amp;"|"&amp;F82&amp;"|"&amp;G82&amp;"|"&amp;CF82)</f>
        <v/>
      </c>
    </row>
    <row r="83" customFormat="false" ht="15" hidden="false" customHeight="false" outlineLevel="0" collapsed="false">
      <c r="A83" s="10" t="str">
        <f aca="false">IF(D83="","","RW-"&amp;IFERROR(VLOOKUP(D83,Lists!$M$4:$N$22,2,0),"??")&amp;"-H"&amp;TEXT(E83*1000,"0000")&amp;"-S"&amp;F83&amp;IF(G83="Y","-GW","")&amp;"-"&amp;AO83)</f>
        <v/>
      </c>
      <c r="B83" s="10" t="str">
        <f aca="false">IF(D83="","",D83&amp;", H = "&amp;TEXT(E83,"0.0")&amp;" m, q = "&amp;F83&amp;" kPa"&amp;IF(G83="Y",", with GWT","")&amp;", "&amp;I83)</f>
        <v/>
      </c>
      <c r="C83" s="9"/>
      <c r="D83" s="9"/>
      <c r="E83" s="39"/>
      <c r="F83" s="38"/>
      <c r="G83" s="9"/>
      <c r="H83" s="38"/>
      <c r="I83" s="9"/>
      <c r="J83" s="38"/>
      <c r="K83" s="38"/>
      <c r="L83" s="38"/>
      <c r="M83" s="42"/>
      <c r="N83" s="9"/>
      <c r="O83" s="38"/>
      <c r="P83" s="38"/>
      <c r="Q83" s="38"/>
      <c r="R83" s="38"/>
      <c r="S83" s="38"/>
      <c r="T83" s="38"/>
      <c r="U83" s="9"/>
      <c r="V83" s="9"/>
      <c r="W83" s="38"/>
      <c r="X83" s="9"/>
      <c r="Y83" s="9"/>
      <c r="Z83" s="9"/>
      <c r="AA83" s="9"/>
      <c r="AB83" s="9"/>
      <c r="AC83" s="9"/>
      <c r="AD83" s="39"/>
      <c r="AE83" s="39"/>
      <c r="AF83" s="39"/>
      <c r="AG83" s="38"/>
      <c r="AH83" s="38"/>
      <c r="AI83" s="9"/>
      <c r="AJ83" s="38"/>
      <c r="AK83" s="9"/>
      <c r="AL83" s="39"/>
      <c r="AM83" s="9"/>
      <c r="AN83" s="9"/>
      <c r="AO83" s="9"/>
      <c r="AP83" s="9"/>
      <c r="AQ83" s="9"/>
      <c r="AR83" s="9"/>
      <c r="AS83" s="9"/>
      <c r="AT83" s="10" t="str">
        <f aca="false">IF(A83="","",SG_Criteria!$B$6&amp;SG_Criteria!$B$8&amp;"\"&amp;A83&amp;"\")</f>
        <v/>
      </c>
      <c r="AU83" s="10" t="str">
        <f aca="false">IF(A83="","",A83&amp;"_CAD.dwg")</f>
        <v/>
      </c>
      <c r="AV83" s="10" t="str">
        <f aca="false">IF(A83="","",A83&amp;"_DWG.pdf")</f>
        <v/>
      </c>
      <c r="AW83" s="10" t="str">
        <f aca="false">IF(A83="","",IF(AS83="Y",A83&amp;"_STAAD.std","n/a"))</f>
        <v/>
      </c>
      <c r="AX83" s="10" t="str">
        <f aca="false">IF(A83="","",A83&amp;"_CALC.xlsx")</f>
        <v/>
      </c>
      <c r="AY83" s="10" t="str">
        <f aca="false">IF(A83="","",A83&amp;"_CALC.pdf")</f>
        <v/>
      </c>
      <c r="AZ83" s="9"/>
      <c r="BA83" s="9"/>
      <c r="BB83" s="39"/>
      <c r="BC83" s="39"/>
      <c r="BD83" s="39"/>
      <c r="BE83" s="39"/>
      <c r="BF83" s="39"/>
      <c r="BG83" s="12" t="str">
        <f aca="false">IF(A83="","",IF(COUNTIF(Rebar_Schedule!$A$5:$A$2004,A83)=0,"",ROUND(SUMIF(Rebar_Schedule!$A$5:$A$2004,A83,Rebar_Schedule!$K$5:$K$2004),1)))</f>
        <v/>
      </c>
      <c r="BH83" s="33" t="str">
        <f aca="false">IF(A83="","",IF(BG83="","No rebar schedule yet",IF(ABS(BG83-N(BC83))/MAX(N(BC83),1)&gt;SG_Criteria!$B$55,"NOTE: register rebar differs from schedule by "&amp;TEXT(ABS(BG83-N(BC83))/MAX(N(BC83),1),"0%"),"OK")))</f>
        <v/>
      </c>
      <c r="BI83" s="33" t="str">
        <f aca="false">IF(OR(D83="",E83=""),"",IF(E83&lt;=IF(OR(D83="Block / Segmental",D83="Gabion",D83="Reinforced Earth (MSE)"),SG_Criteria!$B$34,SG_Criteria!$B$33),"No ERSS submission",IF(E83&lt;=SG_Criteria!$B$35,"QP(ST)",IF(E83&lt;=SG_Criteria!$B$36,"QP(ST) + AC","Geotechnical building works: QP(Geo) + AC"))))</f>
        <v/>
      </c>
      <c r="BJ83" s="33" t="str">
        <f aca="false">IF(D83="","",IF(LEN(IF(AND(V83&lt;&gt;"",IFERROR(VALUE(MID(V83,2,2)),0)&lt;SG_Criteria!$B$19),"FAIL: grade below C"&amp;SG_Criteria!$B$19&amp;". ","")&amp;IF(AND(W83&lt;&gt;"",W83&lt;SG_Criteria!$B$20),"FAIL: cover &lt; "&amp;SG_Criteria!$B$20&amp;" mm. ","")&amp;IF(AND(AD83&lt;&gt;"",AD83&lt;1),"FAIL: sliding. ","")&amp;IF(AND(D83="Reverse L-Wall (toe only, at boundary)",N(S83)&gt;0),"NOTE: reverse L-wall should have no heel. ","")&amp;IF(AND(D83="L-Wall (heel only)",N(R83)&gt;0),"NOTE: L-wall should have no toe. ","")&amp;IF(AND(F83&lt;&gt;"",F83&lt;SG_Criteria!$B$31),"NOTE: q below LTA min "&amp;SG_Criteria!$B$31&amp;" kPa (not for LTA works). ",""))=0,"OK",IF(AND(V83&lt;&gt;"",IFERROR(VALUE(MID(V83,2,2)),0)&lt;SG_Criteria!$B$19),"FAIL: grade below C"&amp;SG_Criteria!$B$19&amp;". ","")&amp;IF(AND(W83&lt;&gt;"",W83&lt;SG_Criteria!$B$20),"FAIL: cover &lt; "&amp;SG_Criteria!$B$20&amp;" mm. ","")&amp;IF(AND(AD83&lt;&gt;"",AD83&lt;1),"FAIL: sliding. ","")&amp;IF(AND(D83="Reverse L-Wall (toe only, at boundary)",N(S83)&gt;0),"NOTE: reverse L-wall should have no heel. ","")&amp;IF(AND(D83="L-Wall (heel only)",N(R83)&gt;0),"NOTE: L-wall should have no toe. ","")&amp;IF(AND(F83&lt;&gt;"",F83&lt;SG_Criteria!$B$31),"NOTE: q below LTA min "&amp;SG_Criteria!$B$31&amp;" kPa (not for LTA works). ","")))</f>
        <v/>
      </c>
      <c r="BK83" s="9"/>
      <c r="BL83" s="9"/>
      <c r="BM83" s="9"/>
      <c r="BN83" s="10" t="str">
        <f aca="false">IF(BM83="","",IFERROR(VLOOKUP(BM83,Projects!$A$5:$D$504,2,0),"Ref not in Projects"))</f>
        <v/>
      </c>
      <c r="BO83" s="10" t="str">
        <f aca="false">IF(BM83="","",IFERROR(VLOOKUP(BM83,Projects!$A$5:$D$504,4,0),"Ref not in Projects"))</f>
        <v/>
      </c>
      <c r="BP83" s="9"/>
      <c r="BQ83" s="9"/>
      <c r="BR83" s="9"/>
      <c r="BS83" s="40"/>
      <c r="BT83" s="9"/>
      <c r="BU83" s="40"/>
      <c r="BV83" s="9"/>
      <c r="BW83" s="40"/>
      <c r="BX83" s="9"/>
      <c r="BY83" s="9"/>
      <c r="BZ83" s="9"/>
      <c r="CA83" s="40"/>
      <c r="CB83" s="40"/>
      <c r="CC83" s="36" t="str">
        <f aca="false">IF(CB83="","",EDATE(CB83,SG_Criteria!$B$54*12))</f>
        <v/>
      </c>
      <c r="CD83" s="33" t="str">
        <f aca="true">IF(A83="","",IF(CB83="","NOTE: not reviewed yet",IF(TODAY()&gt;CC83,"NOTE: review overdue","OK")))</f>
        <v/>
      </c>
      <c r="CE83" s="37" t="str">
        <f aca="false">IF(A83="","",ROUND((IF(LEN(D83)&gt;0,1,0)+IF(LEN(E83)&gt;0,1,0)+IF(LEN(F83)&gt;0,1,0)+IF(LEN(G83)&gt;0,1,0)+IF(LEN(I83)&gt;0,1,0)+IF(LEN(K83)&gt;0,1,0)+IF(LEN(P83)&gt;0,1,0)+IF(LEN(Q83)&gt;0,1,0)+IF(LEN(T83)&gt;0,1,0)+IF(LEN(V83)&gt;0,1,0)+IF(LEN(W83)&gt;0,1,0)+IF(LEN(X83)&gt;0,1,0)+IF(LEN(Z83)&gt;0,1,0)+IF(LEN(AD83)&gt;0,1,0)+IF(LEN(AE83)&gt;0,1,0)+IF(LEN(AG83)&gt;0,1,0)+IF(LEN(AI83)&gt;0,1,0)+IF(LEN(BB83)&gt;0,1,0)+IF(LEN(BC83)&gt;0,1,0)+IF(LEN(AM83)&gt;0,1,0)+IF(LEN(AO83)&gt;0,1,0)+IF(LEN(AP83)&gt;0,1,0)+IF(LEN(AQ83)&gt;0,1,0)+IF(LEN(AR83)&gt;0,1,0)+IF(LEN(BA83)&gt;0,1,0)+IF(LEN(BM83)&gt;0,1,0)+IF(LEN(BZ83)&gt;0,1,0))/27,2))</f>
        <v/>
      </c>
      <c r="CF83" s="10" t="str">
        <f aca="false">IF(D83="","",IF(AND(AP83="Approved",ISERROR(SEARCH("FAIL",BJ83))),"Y","N"))</f>
        <v/>
      </c>
      <c r="CG83" s="10" t="str">
        <f aca="false">IF(D83="","",D83&amp;"|"&amp;E83&amp;"|"&amp;F83&amp;"|"&amp;G83&amp;"|"&amp;CF83)</f>
        <v/>
      </c>
    </row>
    <row r="84" customFormat="false" ht="15" hidden="false" customHeight="false" outlineLevel="0" collapsed="false">
      <c r="A84" s="10" t="str">
        <f aca="false">IF(D84="","","RW-"&amp;IFERROR(VLOOKUP(D84,Lists!$M$4:$N$22,2,0),"??")&amp;"-H"&amp;TEXT(E84*1000,"0000")&amp;"-S"&amp;F84&amp;IF(G84="Y","-GW","")&amp;"-"&amp;AO84)</f>
        <v/>
      </c>
      <c r="B84" s="10" t="str">
        <f aca="false">IF(D84="","",D84&amp;", H = "&amp;TEXT(E84,"0.0")&amp;" m, q = "&amp;F84&amp;" kPa"&amp;IF(G84="Y",", with GWT","")&amp;", "&amp;I84)</f>
        <v/>
      </c>
      <c r="C84" s="9"/>
      <c r="D84" s="9"/>
      <c r="E84" s="39"/>
      <c r="F84" s="38"/>
      <c r="G84" s="9"/>
      <c r="H84" s="38"/>
      <c r="I84" s="9"/>
      <c r="J84" s="38"/>
      <c r="K84" s="38"/>
      <c r="L84" s="38"/>
      <c r="M84" s="42"/>
      <c r="N84" s="9"/>
      <c r="O84" s="38"/>
      <c r="P84" s="38"/>
      <c r="Q84" s="38"/>
      <c r="R84" s="38"/>
      <c r="S84" s="38"/>
      <c r="T84" s="38"/>
      <c r="U84" s="9"/>
      <c r="V84" s="9"/>
      <c r="W84" s="38"/>
      <c r="X84" s="9"/>
      <c r="Y84" s="9"/>
      <c r="Z84" s="9"/>
      <c r="AA84" s="9"/>
      <c r="AB84" s="9"/>
      <c r="AC84" s="9"/>
      <c r="AD84" s="39"/>
      <c r="AE84" s="39"/>
      <c r="AF84" s="39"/>
      <c r="AG84" s="38"/>
      <c r="AH84" s="38"/>
      <c r="AI84" s="9"/>
      <c r="AJ84" s="38"/>
      <c r="AK84" s="9"/>
      <c r="AL84" s="39"/>
      <c r="AM84" s="9"/>
      <c r="AN84" s="9"/>
      <c r="AO84" s="9"/>
      <c r="AP84" s="9"/>
      <c r="AQ84" s="9"/>
      <c r="AR84" s="9"/>
      <c r="AS84" s="9"/>
      <c r="AT84" s="10" t="str">
        <f aca="false">IF(A84="","",SG_Criteria!$B$6&amp;SG_Criteria!$B$8&amp;"\"&amp;A84&amp;"\")</f>
        <v/>
      </c>
      <c r="AU84" s="10" t="str">
        <f aca="false">IF(A84="","",A84&amp;"_CAD.dwg")</f>
        <v/>
      </c>
      <c r="AV84" s="10" t="str">
        <f aca="false">IF(A84="","",A84&amp;"_DWG.pdf")</f>
        <v/>
      </c>
      <c r="AW84" s="10" t="str">
        <f aca="false">IF(A84="","",IF(AS84="Y",A84&amp;"_STAAD.std","n/a"))</f>
        <v/>
      </c>
      <c r="AX84" s="10" t="str">
        <f aca="false">IF(A84="","",A84&amp;"_CALC.xlsx")</f>
        <v/>
      </c>
      <c r="AY84" s="10" t="str">
        <f aca="false">IF(A84="","",A84&amp;"_CALC.pdf")</f>
        <v/>
      </c>
      <c r="AZ84" s="9"/>
      <c r="BA84" s="9"/>
      <c r="BB84" s="39"/>
      <c r="BC84" s="39"/>
      <c r="BD84" s="39"/>
      <c r="BE84" s="39"/>
      <c r="BF84" s="39"/>
      <c r="BG84" s="12" t="str">
        <f aca="false">IF(A84="","",IF(COUNTIF(Rebar_Schedule!$A$5:$A$2004,A84)=0,"",ROUND(SUMIF(Rebar_Schedule!$A$5:$A$2004,A84,Rebar_Schedule!$K$5:$K$2004),1)))</f>
        <v/>
      </c>
      <c r="BH84" s="33" t="str">
        <f aca="false">IF(A84="","",IF(BG84="","No rebar schedule yet",IF(ABS(BG84-N(BC84))/MAX(N(BC84),1)&gt;SG_Criteria!$B$55,"NOTE: register rebar differs from schedule by "&amp;TEXT(ABS(BG84-N(BC84))/MAX(N(BC84),1),"0%"),"OK")))</f>
        <v/>
      </c>
      <c r="BI84" s="33" t="str">
        <f aca="false">IF(OR(D84="",E84=""),"",IF(E84&lt;=IF(OR(D84="Block / Segmental",D84="Gabion",D84="Reinforced Earth (MSE)"),SG_Criteria!$B$34,SG_Criteria!$B$33),"No ERSS submission",IF(E84&lt;=SG_Criteria!$B$35,"QP(ST)",IF(E84&lt;=SG_Criteria!$B$36,"QP(ST) + AC","Geotechnical building works: QP(Geo) + AC"))))</f>
        <v/>
      </c>
      <c r="BJ84" s="33" t="str">
        <f aca="false">IF(D84="","",IF(LEN(IF(AND(V84&lt;&gt;"",IFERROR(VALUE(MID(V84,2,2)),0)&lt;SG_Criteria!$B$19),"FAIL: grade below C"&amp;SG_Criteria!$B$19&amp;". ","")&amp;IF(AND(W84&lt;&gt;"",W84&lt;SG_Criteria!$B$20),"FAIL: cover &lt; "&amp;SG_Criteria!$B$20&amp;" mm. ","")&amp;IF(AND(AD84&lt;&gt;"",AD84&lt;1),"FAIL: sliding. ","")&amp;IF(AND(D84="Reverse L-Wall (toe only, at boundary)",N(S84)&gt;0),"NOTE: reverse L-wall should have no heel. ","")&amp;IF(AND(D84="L-Wall (heel only)",N(R84)&gt;0),"NOTE: L-wall should have no toe. ","")&amp;IF(AND(F84&lt;&gt;"",F84&lt;SG_Criteria!$B$31),"NOTE: q below LTA min "&amp;SG_Criteria!$B$31&amp;" kPa (not for LTA works). ",""))=0,"OK",IF(AND(V84&lt;&gt;"",IFERROR(VALUE(MID(V84,2,2)),0)&lt;SG_Criteria!$B$19),"FAIL: grade below C"&amp;SG_Criteria!$B$19&amp;". ","")&amp;IF(AND(W84&lt;&gt;"",W84&lt;SG_Criteria!$B$20),"FAIL: cover &lt; "&amp;SG_Criteria!$B$20&amp;" mm. ","")&amp;IF(AND(AD84&lt;&gt;"",AD84&lt;1),"FAIL: sliding. ","")&amp;IF(AND(D84="Reverse L-Wall (toe only, at boundary)",N(S84)&gt;0),"NOTE: reverse L-wall should have no heel. ","")&amp;IF(AND(D84="L-Wall (heel only)",N(R84)&gt;0),"NOTE: L-wall should have no toe. ","")&amp;IF(AND(F84&lt;&gt;"",F84&lt;SG_Criteria!$B$31),"NOTE: q below LTA min "&amp;SG_Criteria!$B$31&amp;" kPa (not for LTA works). ","")))</f>
        <v/>
      </c>
      <c r="BK84" s="9"/>
      <c r="BL84" s="9"/>
      <c r="BM84" s="9"/>
      <c r="BN84" s="10" t="str">
        <f aca="false">IF(BM84="","",IFERROR(VLOOKUP(BM84,Projects!$A$5:$D$504,2,0),"Ref not in Projects"))</f>
        <v/>
      </c>
      <c r="BO84" s="10" t="str">
        <f aca="false">IF(BM84="","",IFERROR(VLOOKUP(BM84,Projects!$A$5:$D$504,4,0),"Ref not in Projects"))</f>
        <v/>
      </c>
      <c r="BP84" s="9"/>
      <c r="BQ84" s="9"/>
      <c r="BR84" s="9"/>
      <c r="BS84" s="40"/>
      <c r="BT84" s="9"/>
      <c r="BU84" s="40"/>
      <c r="BV84" s="9"/>
      <c r="BW84" s="40"/>
      <c r="BX84" s="9"/>
      <c r="BY84" s="9"/>
      <c r="BZ84" s="9"/>
      <c r="CA84" s="40"/>
      <c r="CB84" s="40"/>
      <c r="CC84" s="36" t="str">
        <f aca="false">IF(CB84="","",EDATE(CB84,SG_Criteria!$B$54*12))</f>
        <v/>
      </c>
      <c r="CD84" s="33" t="str">
        <f aca="true">IF(A84="","",IF(CB84="","NOTE: not reviewed yet",IF(TODAY()&gt;CC84,"NOTE: review overdue","OK")))</f>
        <v/>
      </c>
      <c r="CE84" s="37" t="str">
        <f aca="false">IF(A84="","",ROUND((IF(LEN(D84)&gt;0,1,0)+IF(LEN(E84)&gt;0,1,0)+IF(LEN(F84)&gt;0,1,0)+IF(LEN(G84)&gt;0,1,0)+IF(LEN(I84)&gt;0,1,0)+IF(LEN(K84)&gt;0,1,0)+IF(LEN(P84)&gt;0,1,0)+IF(LEN(Q84)&gt;0,1,0)+IF(LEN(T84)&gt;0,1,0)+IF(LEN(V84)&gt;0,1,0)+IF(LEN(W84)&gt;0,1,0)+IF(LEN(X84)&gt;0,1,0)+IF(LEN(Z84)&gt;0,1,0)+IF(LEN(AD84)&gt;0,1,0)+IF(LEN(AE84)&gt;0,1,0)+IF(LEN(AG84)&gt;0,1,0)+IF(LEN(AI84)&gt;0,1,0)+IF(LEN(BB84)&gt;0,1,0)+IF(LEN(BC84)&gt;0,1,0)+IF(LEN(AM84)&gt;0,1,0)+IF(LEN(AO84)&gt;0,1,0)+IF(LEN(AP84)&gt;0,1,0)+IF(LEN(AQ84)&gt;0,1,0)+IF(LEN(AR84)&gt;0,1,0)+IF(LEN(BA84)&gt;0,1,0)+IF(LEN(BM84)&gt;0,1,0)+IF(LEN(BZ84)&gt;0,1,0))/27,2))</f>
        <v/>
      </c>
      <c r="CF84" s="10" t="str">
        <f aca="false">IF(D84="","",IF(AND(AP84="Approved",ISERROR(SEARCH("FAIL",BJ84))),"Y","N"))</f>
        <v/>
      </c>
      <c r="CG84" s="10" t="str">
        <f aca="false">IF(D84="","",D84&amp;"|"&amp;E84&amp;"|"&amp;F84&amp;"|"&amp;G84&amp;"|"&amp;CF84)</f>
        <v/>
      </c>
    </row>
    <row r="85" customFormat="false" ht="15" hidden="false" customHeight="false" outlineLevel="0" collapsed="false">
      <c r="A85" s="10" t="str">
        <f aca="false">IF(D85="","","RW-"&amp;IFERROR(VLOOKUP(D85,Lists!$M$4:$N$22,2,0),"??")&amp;"-H"&amp;TEXT(E85*1000,"0000")&amp;"-S"&amp;F85&amp;IF(G85="Y","-GW","")&amp;"-"&amp;AO85)</f>
        <v/>
      </c>
      <c r="B85" s="10" t="str">
        <f aca="false">IF(D85="","",D85&amp;", H = "&amp;TEXT(E85,"0.0")&amp;" m, q = "&amp;F85&amp;" kPa"&amp;IF(G85="Y",", with GWT","")&amp;", "&amp;I85)</f>
        <v/>
      </c>
      <c r="C85" s="9"/>
      <c r="D85" s="9"/>
      <c r="E85" s="39"/>
      <c r="F85" s="38"/>
      <c r="G85" s="9"/>
      <c r="H85" s="38"/>
      <c r="I85" s="9"/>
      <c r="J85" s="38"/>
      <c r="K85" s="38"/>
      <c r="L85" s="38"/>
      <c r="M85" s="42"/>
      <c r="N85" s="9"/>
      <c r="O85" s="38"/>
      <c r="P85" s="38"/>
      <c r="Q85" s="38"/>
      <c r="R85" s="38"/>
      <c r="S85" s="38"/>
      <c r="T85" s="38"/>
      <c r="U85" s="9"/>
      <c r="V85" s="9"/>
      <c r="W85" s="38"/>
      <c r="X85" s="9"/>
      <c r="Y85" s="9"/>
      <c r="Z85" s="9"/>
      <c r="AA85" s="9"/>
      <c r="AB85" s="9"/>
      <c r="AC85" s="9"/>
      <c r="AD85" s="39"/>
      <c r="AE85" s="39"/>
      <c r="AF85" s="39"/>
      <c r="AG85" s="38"/>
      <c r="AH85" s="38"/>
      <c r="AI85" s="9"/>
      <c r="AJ85" s="38"/>
      <c r="AK85" s="9"/>
      <c r="AL85" s="39"/>
      <c r="AM85" s="9"/>
      <c r="AN85" s="9"/>
      <c r="AO85" s="9"/>
      <c r="AP85" s="9"/>
      <c r="AQ85" s="9"/>
      <c r="AR85" s="9"/>
      <c r="AS85" s="9"/>
      <c r="AT85" s="10" t="str">
        <f aca="false">IF(A85="","",SG_Criteria!$B$6&amp;SG_Criteria!$B$8&amp;"\"&amp;A85&amp;"\")</f>
        <v/>
      </c>
      <c r="AU85" s="10" t="str">
        <f aca="false">IF(A85="","",A85&amp;"_CAD.dwg")</f>
        <v/>
      </c>
      <c r="AV85" s="10" t="str">
        <f aca="false">IF(A85="","",A85&amp;"_DWG.pdf")</f>
        <v/>
      </c>
      <c r="AW85" s="10" t="str">
        <f aca="false">IF(A85="","",IF(AS85="Y",A85&amp;"_STAAD.std","n/a"))</f>
        <v/>
      </c>
      <c r="AX85" s="10" t="str">
        <f aca="false">IF(A85="","",A85&amp;"_CALC.xlsx")</f>
        <v/>
      </c>
      <c r="AY85" s="10" t="str">
        <f aca="false">IF(A85="","",A85&amp;"_CALC.pdf")</f>
        <v/>
      </c>
      <c r="AZ85" s="9"/>
      <c r="BA85" s="9"/>
      <c r="BB85" s="39"/>
      <c r="BC85" s="39"/>
      <c r="BD85" s="39"/>
      <c r="BE85" s="39"/>
      <c r="BF85" s="39"/>
      <c r="BG85" s="12" t="str">
        <f aca="false">IF(A85="","",IF(COUNTIF(Rebar_Schedule!$A$5:$A$2004,A85)=0,"",ROUND(SUMIF(Rebar_Schedule!$A$5:$A$2004,A85,Rebar_Schedule!$K$5:$K$2004),1)))</f>
        <v/>
      </c>
      <c r="BH85" s="33" t="str">
        <f aca="false">IF(A85="","",IF(BG85="","No rebar schedule yet",IF(ABS(BG85-N(BC85))/MAX(N(BC85),1)&gt;SG_Criteria!$B$55,"NOTE: register rebar differs from schedule by "&amp;TEXT(ABS(BG85-N(BC85))/MAX(N(BC85),1),"0%"),"OK")))</f>
        <v/>
      </c>
      <c r="BI85" s="33" t="str">
        <f aca="false">IF(OR(D85="",E85=""),"",IF(E85&lt;=IF(OR(D85="Block / Segmental",D85="Gabion",D85="Reinforced Earth (MSE)"),SG_Criteria!$B$34,SG_Criteria!$B$33),"No ERSS submission",IF(E85&lt;=SG_Criteria!$B$35,"QP(ST)",IF(E85&lt;=SG_Criteria!$B$36,"QP(ST) + AC","Geotechnical building works: QP(Geo) + AC"))))</f>
        <v/>
      </c>
      <c r="BJ85" s="33" t="str">
        <f aca="false">IF(D85="","",IF(LEN(IF(AND(V85&lt;&gt;"",IFERROR(VALUE(MID(V85,2,2)),0)&lt;SG_Criteria!$B$19),"FAIL: grade below C"&amp;SG_Criteria!$B$19&amp;". ","")&amp;IF(AND(W85&lt;&gt;"",W85&lt;SG_Criteria!$B$20),"FAIL: cover &lt; "&amp;SG_Criteria!$B$20&amp;" mm. ","")&amp;IF(AND(AD85&lt;&gt;"",AD85&lt;1),"FAIL: sliding. ","")&amp;IF(AND(D85="Reverse L-Wall (toe only, at boundary)",N(S85)&gt;0),"NOTE: reverse L-wall should have no heel. ","")&amp;IF(AND(D85="L-Wall (heel only)",N(R85)&gt;0),"NOTE: L-wall should have no toe. ","")&amp;IF(AND(F85&lt;&gt;"",F85&lt;SG_Criteria!$B$31),"NOTE: q below LTA min "&amp;SG_Criteria!$B$31&amp;" kPa (not for LTA works). ",""))=0,"OK",IF(AND(V85&lt;&gt;"",IFERROR(VALUE(MID(V85,2,2)),0)&lt;SG_Criteria!$B$19),"FAIL: grade below C"&amp;SG_Criteria!$B$19&amp;". ","")&amp;IF(AND(W85&lt;&gt;"",W85&lt;SG_Criteria!$B$20),"FAIL: cover &lt; "&amp;SG_Criteria!$B$20&amp;" mm. ","")&amp;IF(AND(AD85&lt;&gt;"",AD85&lt;1),"FAIL: sliding. ","")&amp;IF(AND(D85="Reverse L-Wall (toe only, at boundary)",N(S85)&gt;0),"NOTE: reverse L-wall should have no heel. ","")&amp;IF(AND(D85="L-Wall (heel only)",N(R85)&gt;0),"NOTE: L-wall should have no toe. ","")&amp;IF(AND(F85&lt;&gt;"",F85&lt;SG_Criteria!$B$31),"NOTE: q below LTA min "&amp;SG_Criteria!$B$31&amp;" kPa (not for LTA works). ","")))</f>
        <v/>
      </c>
      <c r="BK85" s="9"/>
      <c r="BL85" s="9"/>
      <c r="BM85" s="9"/>
      <c r="BN85" s="10" t="str">
        <f aca="false">IF(BM85="","",IFERROR(VLOOKUP(BM85,Projects!$A$5:$D$504,2,0),"Ref not in Projects"))</f>
        <v/>
      </c>
      <c r="BO85" s="10" t="str">
        <f aca="false">IF(BM85="","",IFERROR(VLOOKUP(BM85,Projects!$A$5:$D$504,4,0),"Ref not in Projects"))</f>
        <v/>
      </c>
      <c r="BP85" s="9"/>
      <c r="BQ85" s="9"/>
      <c r="BR85" s="9"/>
      <c r="BS85" s="40"/>
      <c r="BT85" s="9"/>
      <c r="BU85" s="40"/>
      <c r="BV85" s="9"/>
      <c r="BW85" s="40"/>
      <c r="BX85" s="9"/>
      <c r="BY85" s="9"/>
      <c r="BZ85" s="9"/>
      <c r="CA85" s="40"/>
      <c r="CB85" s="40"/>
      <c r="CC85" s="36" t="str">
        <f aca="false">IF(CB85="","",EDATE(CB85,SG_Criteria!$B$54*12))</f>
        <v/>
      </c>
      <c r="CD85" s="33" t="str">
        <f aca="true">IF(A85="","",IF(CB85="","NOTE: not reviewed yet",IF(TODAY()&gt;CC85,"NOTE: review overdue","OK")))</f>
        <v/>
      </c>
      <c r="CE85" s="37" t="str">
        <f aca="false">IF(A85="","",ROUND((IF(LEN(D85)&gt;0,1,0)+IF(LEN(E85)&gt;0,1,0)+IF(LEN(F85)&gt;0,1,0)+IF(LEN(G85)&gt;0,1,0)+IF(LEN(I85)&gt;0,1,0)+IF(LEN(K85)&gt;0,1,0)+IF(LEN(P85)&gt;0,1,0)+IF(LEN(Q85)&gt;0,1,0)+IF(LEN(T85)&gt;0,1,0)+IF(LEN(V85)&gt;0,1,0)+IF(LEN(W85)&gt;0,1,0)+IF(LEN(X85)&gt;0,1,0)+IF(LEN(Z85)&gt;0,1,0)+IF(LEN(AD85)&gt;0,1,0)+IF(LEN(AE85)&gt;0,1,0)+IF(LEN(AG85)&gt;0,1,0)+IF(LEN(AI85)&gt;0,1,0)+IF(LEN(BB85)&gt;0,1,0)+IF(LEN(BC85)&gt;0,1,0)+IF(LEN(AM85)&gt;0,1,0)+IF(LEN(AO85)&gt;0,1,0)+IF(LEN(AP85)&gt;0,1,0)+IF(LEN(AQ85)&gt;0,1,0)+IF(LEN(AR85)&gt;0,1,0)+IF(LEN(BA85)&gt;0,1,0)+IF(LEN(BM85)&gt;0,1,0)+IF(LEN(BZ85)&gt;0,1,0))/27,2))</f>
        <v/>
      </c>
      <c r="CF85" s="10" t="str">
        <f aca="false">IF(D85="","",IF(AND(AP85="Approved",ISERROR(SEARCH("FAIL",BJ85))),"Y","N"))</f>
        <v/>
      </c>
      <c r="CG85" s="10" t="str">
        <f aca="false">IF(D85="","",D85&amp;"|"&amp;E85&amp;"|"&amp;F85&amp;"|"&amp;G85&amp;"|"&amp;CF85)</f>
        <v/>
      </c>
    </row>
    <row r="86" customFormat="false" ht="15" hidden="false" customHeight="false" outlineLevel="0" collapsed="false">
      <c r="A86" s="10" t="str">
        <f aca="false">IF(D86="","","RW-"&amp;IFERROR(VLOOKUP(D86,Lists!$M$4:$N$22,2,0),"??")&amp;"-H"&amp;TEXT(E86*1000,"0000")&amp;"-S"&amp;F86&amp;IF(G86="Y","-GW","")&amp;"-"&amp;AO86)</f>
        <v/>
      </c>
      <c r="B86" s="10" t="str">
        <f aca="false">IF(D86="","",D86&amp;", H = "&amp;TEXT(E86,"0.0")&amp;" m, q = "&amp;F86&amp;" kPa"&amp;IF(G86="Y",", with GWT","")&amp;", "&amp;I86)</f>
        <v/>
      </c>
      <c r="C86" s="9"/>
      <c r="D86" s="9"/>
      <c r="E86" s="39"/>
      <c r="F86" s="38"/>
      <c r="G86" s="9"/>
      <c r="H86" s="38"/>
      <c r="I86" s="9"/>
      <c r="J86" s="38"/>
      <c r="K86" s="38"/>
      <c r="L86" s="38"/>
      <c r="M86" s="42"/>
      <c r="N86" s="9"/>
      <c r="O86" s="38"/>
      <c r="P86" s="38"/>
      <c r="Q86" s="38"/>
      <c r="R86" s="38"/>
      <c r="S86" s="38"/>
      <c r="T86" s="38"/>
      <c r="U86" s="9"/>
      <c r="V86" s="9"/>
      <c r="W86" s="38"/>
      <c r="X86" s="9"/>
      <c r="Y86" s="9"/>
      <c r="Z86" s="9"/>
      <c r="AA86" s="9"/>
      <c r="AB86" s="9"/>
      <c r="AC86" s="9"/>
      <c r="AD86" s="39"/>
      <c r="AE86" s="39"/>
      <c r="AF86" s="39"/>
      <c r="AG86" s="38"/>
      <c r="AH86" s="38"/>
      <c r="AI86" s="9"/>
      <c r="AJ86" s="38"/>
      <c r="AK86" s="9"/>
      <c r="AL86" s="39"/>
      <c r="AM86" s="9"/>
      <c r="AN86" s="9"/>
      <c r="AO86" s="9"/>
      <c r="AP86" s="9"/>
      <c r="AQ86" s="9"/>
      <c r="AR86" s="9"/>
      <c r="AS86" s="9"/>
      <c r="AT86" s="10" t="str">
        <f aca="false">IF(A86="","",SG_Criteria!$B$6&amp;SG_Criteria!$B$8&amp;"\"&amp;A86&amp;"\")</f>
        <v/>
      </c>
      <c r="AU86" s="10" t="str">
        <f aca="false">IF(A86="","",A86&amp;"_CAD.dwg")</f>
        <v/>
      </c>
      <c r="AV86" s="10" t="str">
        <f aca="false">IF(A86="","",A86&amp;"_DWG.pdf")</f>
        <v/>
      </c>
      <c r="AW86" s="10" t="str">
        <f aca="false">IF(A86="","",IF(AS86="Y",A86&amp;"_STAAD.std","n/a"))</f>
        <v/>
      </c>
      <c r="AX86" s="10" t="str">
        <f aca="false">IF(A86="","",A86&amp;"_CALC.xlsx")</f>
        <v/>
      </c>
      <c r="AY86" s="10" t="str">
        <f aca="false">IF(A86="","",A86&amp;"_CALC.pdf")</f>
        <v/>
      </c>
      <c r="AZ86" s="9"/>
      <c r="BA86" s="9"/>
      <c r="BB86" s="39"/>
      <c r="BC86" s="39"/>
      <c r="BD86" s="39"/>
      <c r="BE86" s="39"/>
      <c r="BF86" s="39"/>
      <c r="BG86" s="12" t="str">
        <f aca="false">IF(A86="","",IF(COUNTIF(Rebar_Schedule!$A$5:$A$2004,A86)=0,"",ROUND(SUMIF(Rebar_Schedule!$A$5:$A$2004,A86,Rebar_Schedule!$K$5:$K$2004),1)))</f>
        <v/>
      </c>
      <c r="BH86" s="33" t="str">
        <f aca="false">IF(A86="","",IF(BG86="","No rebar schedule yet",IF(ABS(BG86-N(BC86))/MAX(N(BC86),1)&gt;SG_Criteria!$B$55,"NOTE: register rebar differs from schedule by "&amp;TEXT(ABS(BG86-N(BC86))/MAX(N(BC86),1),"0%"),"OK")))</f>
        <v/>
      </c>
      <c r="BI86" s="33" t="str">
        <f aca="false">IF(OR(D86="",E86=""),"",IF(E86&lt;=IF(OR(D86="Block / Segmental",D86="Gabion",D86="Reinforced Earth (MSE)"),SG_Criteria!$B$34,SG_Criteria!$B$33),"No ERSS submission",IF(E86&lt;=SG_Criteria!$B$35,"QP(ST)",IF(E86&lt;=SG_Criteria!$B$36,"QP(ST) + AC","Geotechnical building works: QP(Geo) + AC"))))</f>
        <v/>
      </c>
      <c r="BJ86" s="33" t="str">
        <f aca="false">IF(D86="","",IF(LEN(IF(AND(V86&lt;&gt;"",IFERROR(VALUE(MID(V86,2,2)),0)&lt;SG_Criteria!$B$19),"FAIL: grade below C"&amp;SG_Criteria!$B$19&amp;". ","")&amp;IF(AND(W86&lt;&gt;"",W86&lt;SG_Criteria!$B$20),"FAIL: cover &lt; "&amp;SG_Criteria!$B$20&amp;" mm. ","")&amp;IF(AND(AD86&lt;&gt;"",AD86&lt;1),"FAIL: sliding. ","")&amp;IF(AND(D86="Reverse L-Wall (toe only, at boundary)",N(S86)&gt;0),"NOTE: reverse L-wall should have no heel. ","")&amp;IF(AND(D86="L-Wall (heel only)",N(R86)&gt;0),"NOTE: L-wall should have no toe. ","")&amp;IF(AND(F86&lt;&gt;"",F86&lt;SG_Criteria!$B$31),"NOTE: q below LTA min "&amp;SG_Criteria!$B$31&amp;" kPa (not for LTA works). ",""))=0,"OK",IF(AND(V86&lt;&gt;"",IFERROR(VALUE(MID(V86,2,2)),0)&lt;SG_Criteria!$B$19),"FAIL: grade below C"&amp;SG_Criteria!$B$19&amp;". ","")&amp;IF(AND(W86&lt;&gt;"",W86&lt;SG_Criteria!$B$20),"FAIL: cover &lt; "&amp;SG_Criteria!$B$20&amp;" mm. ","")&amp;IF(AND(AD86&lt;&gt;"",AD86&lt;1),"FAIL: sliding. ","")&amp;IF(AND(D86="Reverse L-Wall (toe only, at boundary)",N(S86)&gt;0),"NOTE: reverse L-wall should have no heel. ","")&amp;IF(AND(D86="L-Wall (heel only)",N(R86)&gt;0),"NOTE: L-wall should have no toe. ","")&amp;IF(AND(F86&lt;&gt;"",F86&lt;SG_Criteria!$B$31),"NOTE: q below LTA min "&amp;SG_Criteria!$B$31&amp;" kPa (not for LTA works). ","")))</f>
        <v/>
      </c>
      <c r="BK86" s="9"/>
      <c r="BL86" s="9"/>
      <c r="BM86" s="9"/>
      <c r="BN86" s="10" t="str">
        <f aca="false">IF(BM86="","",IFERROR(VLOOKUP(BM86,Projects!$A$5:$D$504,2,0),"Ref not in Projects"))</f>
        <v/>
      </c>
      <c r="BO86" s="10" t="str">
        <f aca="false">IF(BM86="","",IFERROR(VLOOKUP(BM86,Projects!$A$5:$D$504,4,0),"Ref not in Projects"))</f>
        <v/>
      </c>
      <c r="BP86" s="9"/>
      <c r="BQ86" s="9"/>
      <c r="BR86" s="9"/>
      <c r="BS86" s="40"/>
      <c r="BT86" s="9"/>
      <c r="BU86" s="40"/>
      <c r="BV86" s="9"/>
      <c r="BW86" s="40"/>
      <c r="BX86" s="9"/>
      <c r="BY86" s="9"/>
      <c r="BZ86" s="9"/>
      <c r="CA86" s="40"/>
      <c r="CB86" s="40"/>
      <c r="CC86" s="36" t="str">
        <f aca="false">IF(CB86="","",EDATE(CB86,SG_Criteria!$B$54*12))</f>
        <v/>
      </c>
      <c r="CD86" s="33" t="str">
        <f aca="true">IF(A86="","",IF(CB86="","NOTE: not reviewed yet",IF(TODAY()&gt;CC86,"NOTE: review overdue","OK")))</f>
        <v/>
      </c>
      <c r="CE86" s="37" t="str">
        <f aca="false">IF(A86="","",ROUND((IF(LEN(D86)&gt;0,1,0)+IF(LEN(E86)&gt;0,1,0)+IF(LEN(F86)&gt;0,1,0)+IF(LEN(G86)&gt;0,1,0)+IF(LEN(I86)&gt;0,1,0)+IF(LEN(K86)&gt;0,1,0)+IF(LEN(P86)&gt;0,1,0)+IF(LEN(Q86)&gt;0,1,0)+IF(LEN(T86)&gt;0,1,0)+IF(LEN(V86)&gt;0,1,0)+IF(LEN(W86)&gt;0,1,0)+IF(LEN(X86)&gt;0,1,0)+IF(LEN(Z86)&gt;0,1,0)+IF(LEN(AD86)&gt;0,1,0)+IF(LEN(AE86)&gt;0,1,0)+IF(LEN(AG86)&gt;0,1,0)+IF(LEN(AI86)&gt;0,1,0)+IF(LEN(BB86)&gt;0,1,0)+IF(LEN(BC86)&gt;0,1,0)+IF(LEN(AM86)&gt;0,1,0)+IF(LEN(AO86)&gt;0,1,0)+IF(LEN(AP86)&gt;0,1,0)+IF(LEN(AQ86)&gt;0,1,0)+IF(LEN(AR86)&gt;0,1,0)+IF(LEN(BA86)&gt;0,1,0)+IF(LEN(BM86)&gt;0,1,0)+IF(LEN(BZ86)&gt;0,1,0))/27,2))</f>
        <v/>
      </c>
      <c r="CF86" s="10" t="str">
        <f aca="false">IF(D86="","",IF(AND(AP86="Approved",ISERROR(SEARCH("FAIL",BJ86))),"Y","N"))</f>
        <v/>
      </c>
      <c r="CG86" s="10" t="str">
        <f aca="false">IF(D86="","",D86&amp;"|"&amp;E86&amp;"|"&amp;F86&amp;"|"&amp;G86&amp;"|"&amp;CF86)</f>
        <v/>
      </c>
    </row>
    <row r="87" customFormat="false" ht="15" hidden="false" customHeight="false" outlineLevel="0" collapsed="false">
      <c r="A87" s="10" t="str">
        <f aca="false">IF(D87="","","RW-"&amp;IFERROR(VLOOKUP(D87,Lists!$M$4:$N$22,2,0),"??")&amp;"-H"&amp;TEXT(E87*1000,"0000")&amp;"-S"&amp;F87&amp;IF(G87="Y","-GW","")&amp;"-"&amp;AO87)</f>
        <v/>
      </c>
      <c r="B87" s="10" t="str">
        <f aca="false">IF(D87="","",D87&amp;", H = "&amp;TEXT(E87,"0.0")&amp;" m, q = "&amp;F87&amp;" kPa"&amp;IF(G87="Y",", with GWT","")&amp;", "&amp;I87)</f>
        <v/>
      </c>
      <c r="C87" s="9"/>
      <c r="D87" s="9"/>
      <c r="E87" s="39"/>
      <c r="F87" s="38"/>
      <c r="G87" s="9"/>
      <c r="H87" s="38"/>
      <c r="I87" s="9"/>
      <c r="J87" s="38"/>
      <c r="K87" s="38"/>
      <c r="L87" s="38"/>
      <c r="M87" s="42"/>
      <c r="N87" s="9"/>
      <c r="O87" s="38"/>
      <c r="P87" s="38"/>
      <c r="Q87" s="38"/>
      <c r="R87" s="38"/>
      <c r="S87" s="38"/>
      <c r="T87" s="38"/>
      <c r="U87" s="9"/>
      <c r="V87" s="9"/>
      <c r="W87" s="38"/>
      <c r="X87" s="9"/>
      <c r="Y87" s="9"/>
      <c r="Z87" s="9"/>
      <c r="AA87" s="9"/>
      <c r="AB87" s="9"/>
      <c r="AC87" s="9"/>
      <c r="AD87" s="39"/>
      <c r="AE87" s="39"/>
      <c r="AF87" s="39"/>
      <c r="AG87" s="38"/>
      <c r="AH87" s="38"/>
      <c r="AI87" s="9"/>
      <c r="AJ87" s="38"/>
      <c r="AK87" s="9"/>
      <c r="AL87" s="39"/>
      <c r="AM87" s="9"/>
      <c r="AN87" s="9"/>
      <c r="AO87" s="9"/>
      <c r="AP87" s="9"/>
      <c r="AQ87" s="9"/>
      <c r="AR87" s="9"/>
      <c r="AS87" s="9"/>
      <c r="AT87" s="10" t="str">
        <f aca="false">IF(A87="","",SG_Criteria!$B$6&amp;SG_Criteria!$B$8&amp;"\"&amp;A87&amp;"\")</f>
        <v/>
      </c>
      <c r="AU87" s="10" t="str">
        <f aca="false">IF(A87="","",A87&amp;"_CAD.dwg")</f>
        <v/>
      </c>
      <c r="AV87" s="10" t="str">
        <f aca="false">IF(A87="","",A87&amp;"_DWG.pdf")</f>
        <v/>
      </c>
      <c r="AW87" s="10" t="str">
        <f aca="false">IF(A87="","",IF(AS87="Y",A87&amp;"_STAAD.std","n/a"))</f>
        <v/>
      </c>
      <c r="AX87" s="10" t="str">
        <f aca="false">IF(A87="","",A87&amp;"_CALC.xlsx")</f>
        <v/>
      </c>
      <c r="AY87" s="10" t="str">
        <f aca="false">IF(A87="","",A87&amp;"_CALC.pdf")</f>
        <v/>
      </c>
      <c r="AZ87" s="9"/>
      <c r="BA87" s="9"/>
      <c r="BB87" s="39"/>
      <c r="BC87" s="39"/>
      <c r="BD87" s="39"/>
      <c r="BE87" s="39"/>
      <c r="BF87" s="39"/>
      <c r="BG87" s="12" t="str">
        <f aca="false">IF(A87="","",IF(COUNTIF(Rebar_Schedule!$A$5:$A$2004,A87)=0,"",ROUND(SUMIF(Rebar_Schedule!$A$5:$A$2004,A87,Rebar_Schedule!$K$5:$K$2004),1)))</f>
        <v/>
      </c>
      <c r="BH87" s="33" t="str">
        <f aca="false">IF(A87="","",IF(BG87="","No rebar schedule yet",IF(ABS(BG87-N(BC87))/MAX(N(BC87),1)&gt;SG_Criteria!$B$55,"NOTE: register rebar differs from schedule by "&amp;TEXT(ABS(BG87-N(BC87))/MAX(N(BC87),1),"0%"),"OK")))</f>
        <v/>
      </c>
      <c r="BI87" s="33" t="str">
        <f aca="false">IF(OR(D87="",E87=""),"",IF(E87&lt;=IF(OR(D87="Block / Segmental",D87="Gabion",D87="Reinforced Earth (MSE)"),SG_Criteria!$B$34,SG_Criteria!$B$33),"No ERSS submission",IF(E87&lt;=SG_Criteria!$B$35,"QP(ST)",IF(E87&lt;=SG_Criteria!$B$36,"QP(ST) + AC","Geotechnical building works: QP(Geo) + AC"))))</f>
        <v/>
      </c>
      <c r="BJ87" s="33" t="str">
        <f aca="false">IF(D87="","",IF(LEN(IF(AND(V87&lt;&gt;"",IFERROR(VALUE(MID(V87,2,2)),0)&lt;SG_Criteria!$B$19),"FAIL: grade below C"&amp;SG_Criteria!$B$19&amp;". ","")&amp;IF(AND(W87&lt;&gt;"",W87&lt;SG_Criteria!$B$20),"FAIL: cover &lt; "&amp;SG_Criteria!$B$20&amp;" mm. ","")&amp;IF(AND(AD87&lt;&gt;"",AD87&lt;1),"FAIL: sliding. ","")&amp;IF(AND(D87="Reverse L-Wall (toe only, at boundary)",N(S87)&gt;0),"NOTE: reverse L-wall should have no heel. ","")&amp;IF(AND(D87="L-Wall (heel only)",N(R87)&gt;0),"NOTE: L-wall should have no toe. ","")&amp;IF(AND(F87&lt;&gt;"",F87&lt;SG_Criteria!$B$31),"NOTE: q below LTA min "&amp;SG_Criteria!$B$31&amp;" kPa (not for LTA works). ",""))=0,"OK",IF(AND(V87&lt;&gt;"",IFERROR(VALUE(MID(V87,2,2)),0)&lt;SG_Criteria!$B$19),"FAIL: grade below C"&amp;SG_Criteria!$B$19&amp;". ","")&amp;IF(AND(W87&lt;&gt;"",W87&lt;SG_Criteria!$B$20),"FAIL: cover &lt; "&amp;SG_Criteria!$B$20&amp;" mm. ","")&amp;IF(AND(AD87&lt;&gt;"",AD87&lt;1),"FAIL: sliding. ","")&amp;IF(AND(D87="Reverse L-Wall (toe only, at boundary)",N(S87)&gt;0),"NOTE: reverse L-wall should have no heel. ","")&amp;IF(AND(D87="L-Wall (heel only)",N(R87)&gt;0),"NOTE: L-wall should have no toe. ","")&amp;IF(AND(F87&lt;&gt;"",F87&lt;SG_Criteria!$B$31),"NOTE: q below LTA min "&amp;SG_Criteria!$B$31&amp;" kPa (not for LTA works). ","")))</f>
        <v/>
      </c>
      <c r="BK87" s="9"/>
      <c r="BL87" s="9"/>
      <c r="BM87" s="9"/>
      <c r="BN87" s="10" t="str">
        <f aca="false">IF(BM87="","",IFERROR(VLOOKUP(BM87,Projects!$A$5:$D$504,2,0),"Ref not in Projects"))</f>
        <v/>
      </c>
      <c r="BO87" s="10" t="str">
        <f aca="false">IF(BM87="","",IFERROR(VLOOKUP(BM87,Projects!$A$5:$D$504,4,0),"Ref not in Projects"))</f>
        <v/>
      </c>
      <c r="BP87" s="9"/>
      <c r="BQ87" s="9"/>
      <c r="BR87" s="9"/>
      <c r="BS87" s="40"/>
      <c r="BT87" s="9"/>
      <c r="BU87" s="40"/>
      <c r="BV87" s="9"/>
      <c r="BW87" s="40"/>
      <c r="BX87" s="9"/>
      <c r="BY87" s="9"/>
      <c r="BZ87" s="9"/>
      <c r="CA87" s="40"/>
      <c r="CB87" s="40"/>
      <c r="CC87" s="36" t="str">
        <f aca="false">IF(CB87="","",EDATE(CB87,SG_Criteria!$B$54*12))</f>
        <v/>
      </c>
      <c r="CD87" s="33" t="str">
        <f aca="true">IF(A87="","",IF(CB87="","NOTE: not reviewed yet",IF(TODAY()&gt;CC87,"NOTE: review overdue","OK")))</f>
        <v/>
      </c>
      <c r="CE87" s="37" t="str">
        <f aca="false">IF(A87="","",ROUND((IF(LEN(D87)&gt;0,1,0)+IF(LEN(E87)&gt;0,1,0)+IF(LEN(F87)&gt;0,1,0)+IF(LEN(G87)&gt;0,1,0)+IF(LEN(I87)&gt;0,1,0)+IF(LEN(K87)&gt;0,1,0)+IF(LEN(P87)&gt;0,1,0)+IF(LEN(Q87)&gt;0,1,0)+IF(LEN(T87)&gt;0,1,0)+IF(LEN(V87)&gt;0,1,0)+IF(LEN(W87)&gt;0,1,0)+IF(LEN(X87)&gt;0,1,0)+IF(LEN(Z87)&gt;0,1,0)+IF(LEN(AD87)&gt;0,1,0)+IF(LEN(AE87)&gt;0,1,0)+IF(LEN(AG87)&gt;0,1,0)+IF(LEN(AI87)&gt;0,1,0)+IF(LEN(BB87)&gt;0,1,0)+IF(LEN(BC87)&gt;0,1,0)+IF(LEN(AM87)&gt;0,1,0)+IF(LEN(AO87)&gt;0,1,0)+IF(LEN(AP87)&gt;0,1,0)+IF(LEN(AQ87)&gt;0,1,0)+IF(LEN(AR87)&gt;0,1,0)+IF(LEN(BA87)&gt;0,1,0)+IF(LEN(BM87)&gt;0,1,0)+IF(LEN(BZ87)&gt;0,1,0))/27,2))</f>
        <v/>
      </c>
      <c r="CF87" s="10" t="str">
        <f aca="false">IF(D87="","",IF(AND(AP87="Approved",ISERROR(SEARCH("FAIL",BJ87))),"Y","N"))</f>
        <v/>
      </c>
      <c r="CG87" s="10" t="str">
        <f aca="false">IF(D87="","",D87&amp;"|"&amp;E87&amp;"|"&amp;F87&amp;"|"&amp;G87&amp;"|"&amp;CF87)</f>
        <v/>
      </c>
    </row>
    <row r="88" customFormat="false" ht="15" hidden="false" customHeight="false" outlineLevel="0" collapsed="false">
      <c r="A88" s="10" t="str">
        <f aca="false">IF(D88="","","RW-"&amp;IFERROR(VLOOKUP(D88,Lists!$M$4:$N$22,2,0),"??")&amp;"-H"&amp;TEXT(E88*1000,"0000")&amp;"-S"&amp;F88&amp;IF(G88="Y","-GW","")&amp;"-"&amp;AO88)</f>
        <v/>
      </c>
      <c r="B88" s="10" t="str">
        <f aca="false">IF(D88="","",D88&amp;", H = "&amp;TEXT(E88,"0.0")&amp;" m, q = "&amp;F88&amp;" kPa"&amp;IF(G88="Y",", with GWT","")&amp;", "&amp;I88)</f>
        <v/>
      </c>
      <c r="C88" s="9"/>
      <c r="D88" s="9"/>
      <c r="E88" s="39"/>
      <c r="F88" s="38"/>
      <c r="G88" s="9"/>
      <c r="H88" s="38"/>
      <c r="I88" s="9"/>
      <c r="J88" s="38"/>
      <c r="K88" s="38"/>
      <c r="L88" s="38"/>
      <c r="M88" s="42"/>
      <c r="N88" s="9"/>
      <c r="O88" s="38"/>
      <c r="P88" s="38"/>
      <c r="Q88" s="38"/>
      <c r="R88" s="38"/>
      <c r="S88" s="38"/>
      <c r="T88" s="38"/>
      <c r="U88" s="9"/>
      <c r="V88" s="9"/>
      <c r="W88" s="38"/>
      <c r="X88" s="9"/>
      <c r="Y88" s="9"/>
      <c r="Z88" s="9"/>
      <c r="AA88" s="9"/>
      <c r="AB88" s="9"/>
      <c r="AC88" s="9"/>
      <c r="AD88" s="39"/>
      <c r="AE88" s="39"/>
      <c r="AF88" s="39"/>
      <c r="AG88" s="38"/>
      <c r="AH88" s="38"/>
      <c r="AI88" s="9"/>
      <c r="AJ88" s="38"/>
      <c r="AK88" s="9"/>
      <c r="AL88" s="39"/>
      <c r="AM88" s="9"/>
      <c r="AN88" s="9"/>
      <c r="AO88" s="9"/>
      <c r="AP88" s="9"/>
      <c r="AQ88" s="9"/>
      <c r="AR88" s="9"/>
      <c r="AS88" s="9"/>
      <c r="AT88" s="10" t="str">
        <f aca="false">IF(A88="","",SG_Criteria!$B$6&amp;SG_Criteria!$B$8&amp;"\"&amp;A88&amp;"\")</f>
        <v/>
      </c>
      <c r="AU88" s="10" t="str">
        <f aca="false">IF(A88="","",A88&amp;"_CAD.dwg")</f>
        <v/>
      </c>
      <c r="AV88" s="10" t="str">
        <f aca="false">IF(A88="","",A88&amp;"_DWG.pdf")</f>
        <v/>
      </c>
      <c r="AW88" s="10" t="str">
        <f aca="false">IF(A88="","",IF(AS88="Y",A88&amp;"_STAAD.std","n/a"))</f>
        <v/>
      </c>
      <c r="AX88" s="10" t="str">
        <f aca="false">IF(A88="","",A88&amp;"_CALC.xlsx")</f>
        <v/>
      </c>
      <c r="AY88" s="10" t="str">
        <f aca="false">IF(A88="","",A88&amp;"_CALC.pdf")</f>
        <v/>
      </c>
      <c r="AZ88" s="9"/>
      <c r="BA88" s="9"/>
      <c r="BB88" s="39"/>
      <c r="BC88" s="39"/>
      <c r="BD88" s="39"/>
      <c r="BE88" s="39"/>
      <c r="BF88" s="39"/>
      <c r="BG88" s="12" t="str">
        <f aca="false">IF(A88="","",IF(COUNTIF(Rebar_Schedule!$A$5:$A$2004,A88)=0,"",ROUND(SUMIF(Rebar_Schedule!$A$5:$A$2004,A88,Rebar_Schedule!$K$5:$K$2004),1)))</f>
        <v/>
      </c>
      <c r="BH88" s="33" t="str">
        <f aca="false">IF(A88="","",IF(BG88="","No rebar schedule yet",IF(ABS(BG88-N(BC88))/MAX(N(BC88),1)&gt;SG_Criteria!$B$55,"NOTE: register rebar differs from schedule by "&amp;TEXT(ABS(BG88-N(BC88))/MAX(N(BC88),1),"0%"),"OK")))</f>
        <v/>
      </c>
      <c r="BI88" s="33" t="str">
        <f aca="false">IF(OR(D88="",E88=""),"",IF(E88&lt;=IF(OR(D88="Block / Segmental",D88="Gabion",D88="Reinforced Earth (MSE)"),SG_Criteria!$B$34,SG_Criteria!$B$33),"No ERSS submission",IF(E88&lt;=SG_Criteria!$B$35,"QP(ST)",IF(E88&lt;=SG_Criteria!$B$36,"QP(ST) + AC","Geotechnical building works: QP(Geo) + AC"))))</f>
        <v/>
      </c>
      <c r="BJ88" s="33" t="str">
        <f aca="false">IF(D88="","",IF(LEN(IF(AND(V88&lt;&gt;"",IFERROR(VALUE(MID(V88,2,2)),0)&lt;SG_Criteria!$B$19),"FAIL: grade below C"&amp;SG_Criteria!$B$19&amp;". ","")&amp;IF(AND(W88&lt;&gt;"",W88&lt;SG_Criteria!$B$20),"FAIL: cover &lt; "&amp;SG_Criteria!$B$20&amp;" mm. ","")&amp;IF(AND(AD88&lt;&gt;"",AD88&lt;1),"FAIL: sliding. ","")&amp;IF(AND(D88="Reverse L-Wall (toe only, at boundary)",N(S88)&gt;0),"NOTE: reverse L-wall should have no heel. ","")&amp;IF(AND(D88="L-Wall (heel only)",N(R88)&gt;0),"NOTE: L-wall should have no toe. ","")&amp;IF(AND(F88&lt;&gt;"",F88&lt;SG_Criteria!$B$31),"NOTE: q below LTA min "&amp;SG_Criteria!$B$31&amp;" kPa (not for LTA works). ",""))=0,"OK",IF(AND(V88&lt;&gt;"",IFERROR(VALUE(MID(V88,2,2)),0)&lt;SG_Criteria!$B$19),"FAIL: grade below C"&amp;SG_Criteria!$B$19&amp;". ","")&amp;IF(AND(W88&lt;&gt;"",W88&lt;SG_Criteria!$B$20),"FAIL: cover &lt; "&amp;SG_Criteria!$B$20&amp;" mm. ","")&amp;IF(AND(AD88&lt;&gt;"",AD88&lt;1),"FAIL: sliding. ","")&amp;IF(AND(D88="Reverse L-Wall (toe only, at boundary)",N(S88)&gt;0),"NOTE: reverse L-wall should have no heel. ","")&amp;IF(AND(D88="L-Wall (heel only)",N(R88)&gt;0),"NOTE: L-wall should have no toe. ","")&amp;IF(AND(F88&lt;&gt;"",F88&lt;SG_Criteria!$B$31),"NOTE: q below LTA min "&amp;SG_Criteria!$B$31&amp;" kPa (not for LTA works). ","")))</f>
        <v/>
      </c>
      <c r="BK88" s="9"/>
      <c r="BL88" s="9"/>
      <c r="BM88" s="9"/>
      <c r="BN88" s="10" t="str">
        <f aca="false">IF(BM88="","",IFERROR(VLOOKUP(BM88,Projects!$A$5:$D$504,2,0),"Ref not in Projects"))</f>
        <v/>
      </c>
      <c r="BO88" s="10" t="str">
        <f aca="false">IF(BM88="","",IFERROR(VLOOKUP(BM88,Projects!$A$5:$D$504,4,0),"Ref not in Projects"))</f>
        <v/>
      </c>
      <c r="BP88" s="9"/>
      <c r="BQ88" s="9"/>
      <c r="BR88" s="9"/>
      <c r="BS88" s="40"/>
      <c r="BT88" s="9"/>
      <c r="BU88" s="40"/>
      <c r="BV88" s="9"/>
      <c r="BW88" s="40"/>
      <c r="BX88" s="9"/>
      <c r="BY88" s="9"/>
      <c r="BZ88" s="9"/>
      <c r="CA88" s="40"/>
      <c r="CB88" s="40"/>
      <c r="CC88" s="36" t="str">
        <f aca="false">IF(CB88="","",EDATE(CB88,SG_Criteria!$B$54*12))</f>
        <v/>
      </c>
      <c r="CD88" s="33" t="str">
        <f aca="true">IF(A88="","",IF(CB88="","NOTE: not reviewed yet",IF(TODAY()&gt;CC88,"NOTE: review overdue","OK")))</f>
        <v/>
      </c>
      <c r="CE88" s="37" t="str">
        <f aca="false">IF(A88="","",ROUND((IF(LEN(D88)&gt;0,1,0)+IF(LEN(E88)&gt;0,1,0)+IF(LEN(F88)&gt;0,1,0)+IF(LEN(G88)&gt;0,1,0)+IF(LEN(I88)&gt;0,1,0)+IF(LEN(K88)&gt;0,1,0)+IF(LEN(P88)&gt;0,1,0)+IF(LEN(Q88)&gt;0,1,0)+IF(LEN(T88)&gt;0,1,0)+IF(LEN(V88)&gt;0,1,0)+IF(LEN(W88)&gt;0,1,0)+IF(LEN(X88)&gt;0,1,0)+IF(LEN(Z88)&gt;0,1,0)+IF(LEN(AD88)&gt;0,1,0)+IF(LEN(AE88)&gt;0,1,0)+IF(LEN(AG88)&gt;0,1,0)+IF(LEN(AI88)&gt;0,1,0)+IF(LEN(BB88)&gt;0,1,0)+IF(LEN(BC88)&gt;0,1,0)+IF(LEN(AM88)&gt;0,1,0)+IF(LEN(AO88)&gt;0,1,0)+IF(LEN(AP88)&gt;0,1,0)+IF(LEN(AQ88)&gt;0,1,0)+IF(LEN(AR88)&gt;0,1,0)+IF(LEN(BA88)&gt;0,1,0)+IF(LEN(BM88)&gt;0,1,0)+IF(LEN(BZ88)&gt;0,1,0))/27,2))</f>
        <v/>
      </c>
      <c r="CF88" s="10" t="str">
        <f aca="false">IF(D88="","",IF(AND(AP88="Approved",ISERROR(SEARCH("FAIL",BJ88))),"Y","N"))</f>
        <v/>
      </c>
      <c r="CG88" s="10" t="str">
        <f aca="false">IF(D88="","",D88&amp;"|"&amp;E88&amp;"|"&amp;F88&amp;"|"&amp;G88&amp;"|"&amp;CF88)</f>
        <v/>
      </c>
    </row>
    <row r="89" customFormat="false" ht="15" hidden="false" customHeight="false" outlineLevel="0" collapsed="false">
      <c r="A89" s="10" t="str">
        <f aca="false">IF(D89="","","RW-"&amp;IFERROR(VLOOKUP(D89,Lists!$M$4:$N$22,2,0),"??")&amp;"-H"&amp;TEXT(E89*1000,"0000")&amp;"-S"&amp;F89&amp;IF(G89="Y","-GW","")&amp;"-"&amp;AO89)</f>
        <v/>
      </c>
      <c r="B89" s="10" t="str">
        <f aca="false">IF(D89="","",D89&amp;", H = "&amp;TEXT(E89,"0.0")&amp;" m, q = "&amp;F89&amp;" kPa"&amp;IF(G89="Y",", with GWT","")&amp;", "&amp;I89)</f>
        <v/>
      </c>
      <c r="C89" s="9"/>
      <c r="D89" s="9"/>
      <c r="E89" s="39"/>
      <c r="F89" s="38"/>
      <c r="G89" s="9"/>
      <c r="H89" s="38"/>
      <c r="I89" s="9"/>
      <c r="J89" s="38"/>
      <c r="K89" s="38"/>
      <c r="L89" s="38"/>
      <c r="M89" s="42"/>
      <c r="N89" s="9"/>
      <c r="O89" s="38"/>
      <c r="P89" s="38"/>
      <c r="Q89" s="38"/>
      <c r="R89" s="38"/>
      <c r="S89" s="38"/>
      <c r="T89" s="38"/>
      <c r="U89" s="9"/>
      <c r="V89" s="9"/>
      <c r="W89" s="38"/>
      <c r="X89" s="9"/>
      <c r="Y89" s="9"/>
      <c r="Z89" s="9"/>
      <c r="AA89" s="9"/>
      <c r="AB89" s="9"/>
      <c r="AC89" s="9"/>
      <c r="AD89" s="39"/>
      <c r="AE89" s="39"/>
      <c r="AF89" s="39"/>
      <c r="AG89" s="38"/>
      <c r="AH89" s="38"/>
      <c r="AI89" s="9"/>
      <c r="AJ89" s="38"/>
      <c r="AK89" s="9"/>
      <c r="AL89" s="39"/>
      <c r="AM89" s="9"/>
      <c r="AN89" s="9"/>
      <c r="AO89" s="9"/>
      <c r="AP89" s="9"/>
      <c r="AQ89" s="9"/>
      <c r="AR89" s="9"/>
      <c r="AS89" s="9"/>
      <c r="AT89" s="10" t="str">
        <f aca="false">IF(A89="","",SG_Criteria!$B$6&amp;SG_Criteria!$B$8&amp;"\"&amp;A89&amp;"\")</f>
        <v/>
      </c>
      <c r="AU89" s="10" t="str">
        <f aca="false">IF(A89="","",A89&amp;"_CAD.dwg")</f>
        <v/>
      </c>
      <c r="AV89" s="10" t="str">
        <f aca="false">IF(A89="","",A89&amp;"_DWG.pdf")</f>
        <v/>
      </c>
      <c r="AW89" s="10" t="str">
        <f aca="false">IF(A89="","",IF(AS89="Y",A89&amp;"_STAAD.std","n/a"))</f>
        <v/>
      </c>
      <c r="AX89" s="10" t="str">
        <f aca="false">IF(A89="","",A89&amp;"_CALC.xlsx")</f>
        <v/>
      </c>
      <c r="AY89" s="10" t="str">
        <f aca="false">IF(A89="","",A89&amp;"_CALC.pdf")</f>
        <v/>
      </c>
      <c r="AZ89" s="9"/>
      <c r="BA89" s="9"/>
      <c r="BB89" s="39"/>
      <c r="BC89" s="39"/>
      <c r="BD89" s="39"/>
      <c r="BE89" s="39"/>
      <c r="BF89" s="39"/>
      <c r="BG89" s="12" t="str">
        <f aca="false">IF(A89="","",IF(COUNTIF(Rebar_Schedule!$A$5:$A$2004,A89)=0,"",ROUND(SUMIF(Rebar_Schedule!$A$5:$A$2004,A89,Rebar_Schedule!$K$5:$K$2004),1)))</f>
        <v/>
      </c>
      <c r="BH89" s="33" t="str">
        <f aca="false">IF(A89="","",IF(BG89="","No rebar schedule yet",IF(ABS(BG89-N(BC89))/MAX(N(BC89),1)&gt;SG_Criteria!$B$55,"NOTE: register rebar differs from schedule by "&amp;TEXT(ABS(BG89-N(BC89))/MAX(N(BC89),1),"0%"),"OK")))</f>
        <v/>
      </c>
      <c r="BI89" s="33" t="str">
        <f aca="false">IF(OR(D89="",E89=""),"",IF(E89&lt;=IF(OR(D89="Block / Segmental",D89="Gabion",D89="Reinforced Earth (MSE)"),SG_Criteria!$B$34,SG_Criteria!$B$33),"No ERSS submission",IF(E89&lt;=SG_Criteria!$B$35,"QP(ST)",IF(E89&lt;=SG_Criteria!$B$36,"QP(ST) + AC","Geotechnical building works: QP(Geo) + AC"))))</f>
        <v/>
      </c>
      <c r="BJ89" s="33" t="str">
        <f aca="false">IF(D89="","",IF(LEN(IF(AND(V89&lt;&gt;"",IFERROR(VALUE(MID(V89,2,2)),0)&lt;SG_Criteria!$B$19),"FAIL: grade below C"&amp;SG_Criteria!$B$19&amp;". ","")&amp;IF(AND(W89&lt;&gt;"",W89&lt;SG_Criteria!$B$20),"FAIL: cover &lt; "&amp;SG_Criteria!$B$20&amp;" mm. ","")&amp;IF(AND(AD89&lt;&gt;"",AD89&lt;1),"FAIL: sliding. ","")&amp;IF(AND(D89="Reverse L-Wall (toe only, at boundary)",N(S89)&gt;0),"NOTE: reverse L-wall should have no heel. ","")&amp;IF(AND(D89="L-Wall (heel only)",N(R89)&gt;0),"NOTE: L-wall should have no toe. ","")&amp;IF(AND(F89&lt;&gt;"",F89&lt;SG_Criteria!$B$31),"NOTE: q below LTA min "&amp;SG_Criteria!$B$31&amp;" kPa (not for LTA works). ",""))=0,"OK",IF(AND(V89&lt;&gt;"",IFERROR(VALUE(MID(V89,2,2)),0)&lt;SG_Criteria!$B$19),"FAIL: grade below C"&amp;SG_Criteria!$B$19&amp;". ","")&amp;IF(AND(W89&lt;&gt;"",W89&lt;SG_Criteria!$B$20),"FAIL: cover &lt; "&amp;SG_Criteria!$B$20&amp;" mm. ","")&amp;IF(AND(AD89&lt;&gt;"",AD89&lt;1),"FAIL: sliding. ","")&amp;IF(AND(D89="Reverse L-Wall (toe only, at boundary)",N(S89)&gt;0),"NOTE: reverse L-wall should have no heel. ","")&amp;IF(AND(D89="L-Wall (heel only)",N(R89)&gt;0),"NOTE: L-wall should have no toe. ","")&amp;IF(AND(F89&lt;&gt;"",F89&lt;SG_Criteria!$B$31),"NOTE: q below LTA min "&amp;SG_Criteria!$B$31&amp;" kPa (not for LTA works). ","")))</f>
        <v/>
      </c>
      <c r="BK89" s="9"/>
      <c r="BL89" s="9"/>
      <c r="BM89" s="9"/>
      <c r="BN89" s="10" t="str">
        <f aca="false">IF(BM89="","",IFERROR(VLOOKUP(BM89,Projects!$A$5:$D$504,2,0),"Ref not in Projects"))</f>
        <v/>
      </c>
      <c r="BO89" s="10" t="str">
        <f aca="false">IF(BM89="","",IFERROR(VLOOKUP(BM89,Projects!$A$5:$D$504,4,0),"Ref not in Projects"))</f>
        <v/>
      </c>
      <c r="BP89" s="9"/>
      <c r="BQ89" s="9"/>
      <c r="BR89" s="9"/>
      <c r="BS89" s="40"/>
      <c r="BT89" s="9"/>
      <c r="BU89" s="40"/>
      <c r="BV89" s="9"/>
      <c r="BW89" s="40"/>
      <c r="BX89" s="9"/>
      <c r="BY89" s="9"/>
      <c r="BZ89" s="9"/>
      <c r="CA89" s="40"/>
      <c r="CB89" s="40"/>
      <c r="CC89" s="36" t="str">
        <f aca="false">IF(CB89="","",EDATE(CB89,SG_Criteria!$B$54*12))</f>
        <v/>
      </c>
      <c r="CD89" s="33" t="str">
        <f aca="true">IF(A89="","",IF(CB89="","NOTE: not reviewed yet",IF(TODAY()&gt;CC89,"NOTE: review overdue","OK")))</f>
        <v/>
      </c>
      <c r="CE89" s="37" t="str">
        <f aca="false">IF(A89="","",ROUND((IF(LEN(D89)&gt;0,1,0)+IF(LEN(E89)&gt;0,1,0)+IF(LEN(F89)&gt;0,1,0)+IF(LEN(G89)&gt;0,1,0)+IF(LEN(I89)&gt;0,1,0)+IF(LEN(K89)&gt;0,1,0)+IF(LEN(P89)&gt;0,1,0)+IF(LEN(Q89)&gt;0,1,0)+IF(LEN(T89)&gt;0,1,0)+IF(LEN(V89)&gt;0,1,0)+IF(LEN(W89)&gt;0,1,0)+IF(LEN(X89)&gt;0,1,0)+IF(LEN(Z89)&gt;0,1,0)+IF(LEN(AD89)&gt;0,1,0)+IF(LEN(AE89)&gt;0,1,0)+IF(LEN(AG89)&gt;0,1,0)+IF(LEN(AI89)&gt;0,1,0)+IF(LEN(BB89)&gt;0,1,0)+IF(LEN(BC89)&gt;0,1,0)+IF(LEN(AM89)&gt;0,1,0)+IF(LEN(AO89)&gt;0,1,0)+IF(LEN(AP89)&gt;0,1,0)+IF(LEN(AQ89)&gt;0,1,0)+IF(LEN(AR89)&gt;0,1,0)+IF(LEN(BA89)&gt;0,1,0)+IF(LEN(BM89)&gt;0,1,0)+IF(LEN(BZ89)&gt;0,1,0))/27,2))</f>
        <v/>
      </c>
      <c r="CF89" s="10" t="str">
        <f aca="false">IF(D89="","",IF(AND(AP89="Approved",ISERROR(SEARCH("FAIL",BJ89))),"Y","N"))</f>
        <v/>
      </c>
      <c r="CG89" s="10" t="str">
        <f aca="false">IF(D89="","",D89&amp;"|"&amp;E89&amp;"|"&amp;F89&amp;"|"&amp;G89&amp;"|"&amp;CF89)</f>
        <v/>
      </c>
    </row>
    <row r="90" customFormat="false" ht="15" hidden="false" customHeight="false" outlineLevel="0" collapsed="false">
      <c r="A90" s="10" t="str">
        <f aca="false">IF(D90="","","RW-"&amp;IFERROR(VLOOKUP(D90,Lists!$M$4:$N$22,2,0),"??")&amp;"-H"&amp;TEXT(E90*1000,"0000")&amp;"-S"&amp;F90&amp;IF(G90="Y","-GW","")&amp;"-"&amp;AO90)</f>
        <v/>
      </c>
      <c r="B90" s="10" t="str">
        <f aca="false">IF(D90="","",D90&amp;", H = "&amp;TEXT(E90,"0.0")&amp;" m, q = "&amp;F90&amp;" kPa"&amp;IF(G90="Y",", with GWT","")&amp;", "&amp;I90)</f>
        <v/>
      </c>
      <c r="C90" s="9"/>
      <c r="D90" s="9"/>
      <c r="E90" s="39"/>
      <c r="F90" s="38"/>
      <c r="G90" s="9"/>
      <c r="H90" s="38"/>
      <c r="I90" s="9"/>
      <c r="J90" s="38"/>
      <c r="K90" s="38"/>
      <c r="L90" s="38"/>
      <c r="M90" s="42"/>
      <c r="N90" s="9"/>
      <c r="O90" s="38"/>
      <c r="P90" s="38"/>
      <c r="Q90" s="38"/>
      <c r="R90" s="38"/>
      <c r="S90" s="38"/>
      <c r="T90" s="38"/>
      <c r="U90" s="9"/>
      <c r="V90" s="9"/>
      <c r="W90" s="38"/>
      <c r="X90" s="9"/>
      <c r="Y90" s="9"/>
      <c r="Z90" s="9"/>
      <c r="AA90" s="9"/>
      <c r="AB90" s="9"/>
      <c r="AC90" s="9"/>
      <c r="AD90" s="39"/>
      <c r="AE90" s="39"/>
      <c r="AF90" s="39"/>
      <c r="AG90" s="38"/>
      <c r="AH90" s="38"/>
      <c r="AI90" s="9"/>
      <c r="AJ90" s="38"/>
      <c r="AK90" s="9"/>
      <c r="AL90" s="39"/>
      <c r="AM90" s="9"/>
      <c r="AN90" s="9"/>
      <c r="AO90" s="9"/>
      <c r="AP90" s="9"/>
      <c r="AQ90" s="9"/>
      <c r="AR90" s="9"/>
      <c r="AS90" s="9"/>
      <c r="AT90" s="10" t="str">
        <f aca="false">IF(A90="","",SG_Criteria!$B$6&amp;SG_Criteria!$B$8&amp;"\"&amp;A90&amp;"\")</f>
        <v/>
      </c>
      <c r="AU90" s="10" t="str">
        <f aca="false">IF(A90="","",A90&amp;"_CAD.dwg")</f>
        <v/>
      </c>
      <c r="AV90" s="10" t="str">
        <f aca="false">IF(A90="","",A90&amp;"_DWG.pdf")</f>
        <v/>
      </c>
      <c r="AW90" s="10" t="str">
        <f aca="false">IF(A90="","",IF(AS90="Y",A90&amp;"_STAAD.std","n/a"))</f>
        <v/>
      </c>
      <c r="AX90" s="10" t="str">
        <f aca="false">IF(A90="","",A90&amp;"_CALC.xlsx")</f>
        <v/>
      </c>
      <c r="AY90" s="10" t="str">
        <f aca="false">IF(A90="","",A90&amp;"_CALC.pdf")</f>
        <v/>
      </c>
      <c r="AZ90" s="9"/>
      <c r="BA90" s="9"/>
      <c r="BB90" s="39"/>
      <c r="BC90" s="39"/>
      <c r="BD90" s="39"/>
      <c r="BE90" s="39"/>
      <c r="BF90" s="39"/>
      <c r="BG90" s="12" t="str">
        <f aca="false">IF(A90="","",IF(COUNTIF(Rebar_Schedule!$A$5:$A$2004,A90)=0,"",ROUND(SUMIF(Rebar_Schedule!$A$5:$A$2004,A90,Rebar_Schedule!$K$5:$K$2004),1)))</f>
        <v/>
      </c>
      <c r="BH90" s="33" t="str">
        <f aca="false">IF(A90="","",IF(BG90="","No rebar schedule yet",IF(ABS(BG90-N(BC90))/MAX(N(BC90),1)&gt;SG_Criteria!$B$55,"NOTE: register rebar differs from schedule by "&amp;TEXT(ABS(BG90-N(BC90))/MAX(N(BC90),1),"0%"),"OK")))</f>
        <v/>
      </c>
      <c r="BI90" s="33" t="str">
        <f aca="false">IF(OR(D90="",E90=""),"",IF(E90&lt;=IF(OR(D90="Block / Segmental",D90="Gabion",D90="Reinforced Earth (MSE)"),SG_Criteria!$B$34,SG_Criteria!$B$33),"No ERSS submission",IF(E90&lt;=SG_Criteria!$B$35,"QP(ST)",IF(E90&lt;=SG_Criteria!$B$36,"QP(ST) + AC","Geotechnical building works: QP(Geo) + AC"))))</f>
        <v/>
      </c>
      <c r="BJ90" s="33" t="str">
        <f aca="false">IF(D90="","",IF(LEN(IF(AND(V90&lt;&gt;"",IFERROR(VALUE(MID(V90,2,2)),0)&lt;SG_Criteria!$B$19),"FAIL: grade below C"&amp;SG_Criteria!$B$19&amp;". ","")&amp;IF(AND(W90&lt;&gt;"",W90&lt;SG_Criteria!$B$20),"FAIL: cover &lt; "&amp;SG_Criteria!$B$20&amp;" mm. ","")&amp;IF(AND(AD90&lt;&gt;"",AD90&lt;1),"FAIL: sliding. ","")&amp;IF(AND(D90="Reverse L-Wall (toe only, at boundary)",N(S90)&gt;0),"NOTE: reverse L-wall should have no heel. ","")&amp;IF(AND(D90="L-Wall (heel only)",N(R90)&gt;0),"NOTE: L-wall should have no toe. ","")&amp;IF(AND(F90&lt;&gt;"",F90&lt;SG_Criteria!$B$31),"NOTE: q below LTA min "&amp;SG_Criteria!$B$31&amp;" kPa (not for LTA works). ",""))=0,"OK",IF(AND(V90&lt;&gt;"",IFERROR(VALUE(MID(V90,2,2)),0)&lt;SG_Criteria!$B$19),"FAIL: grade below C"&amp;SG_Criteria!$B$19&amp;". ","")&amp;IF(AND(W90&lt;&gt;"",W90&lt;SG_Criteria!$B$20),"FAIL: cover &lt; "&amp;SG_Criteria!$B$20&amp;" mm. ","")&amp;IF(AND(AD90&lt;&gt;"",AD90&lt;1),"FAIL: sliding. ","")&amp;IF(AND(D90="Reverse L-Wall (toe only, at boundary)",N(S90)&gt;0),"NOTE: reverse L-wall should have no heel. ","")&amp;IF(AND(D90="L-Wall (heel only)",N(R90)&gt;0),"NOTE: L-wall should have no toe. ","")&amp;IF(AND(F90&lt;&gt;"",F90&lt;SG_Criteria!$B$31),"NOTE: q below LTA min "&amp;SG_Criteria!$B$31&amp;" kPa (not for LTA works). ","")))</f>
        <v/>
      </c>
      <c r="BK90" s="9"/>
      <c r="BL90" s="9"/>
      <c r="BM90" s="9"/>
      <c r="BN90" s="10" t="str">
        <f aca="false">IF(BM90="","",IFERROR(VLOOKUP(BM90,Projects!$A$5:$D$504,2,0),"Ref not in Projects"))</f>
        <v/>
      </c>
      <c r="BO90" s="10" t="str">
        <f aca="false">IF(BM90="","",IFERROR(VLOOKUP(BM90,Projects!$A$5:$D$504,4,0),"Ref not in Projects"))</f>
        <v/>
      </c>
      <c r="BP90" s="9"/>
      <c r="BQ90" s="9"/>
      <c r="BR90" s="9"/>
      <c r="BS90" s="40"/>
      <c r="BT90" s="9"/>
      <c r="BU90" s="40"/>
      <c r="BV90" s="9"/>
      <c r="BW90" s="40"/>
      <c r="BX90" s="9"/>
      <c r="BY90" s="9"/>
      <c r="BZ90" s="9"/>
      <c r="CA90" s="40"/>
      <c r="CB90" s="40"/>
      <c r="CC90" s="36" t="str">
        <f aca="false">IF(CB90="","",EDATE(CB90,SG_Criteria!$B$54*12))</f>
        <v/>
      </c>
      <c r="CD90" s="33" t="str">
        <f aca="true">IF(A90="","",IF(CB90="","NOTE: not reviewed yet",IF(TODAY()&gt;CC90,"NOTE: review overdue","OK")))</f>
        <v/>
      </c>
      <c r="CE90" s="37" t="str">
        <f aca="false">IF(A90="","",ROUND((IF(LEN(D90)&gt;0,1,0)+IF(LEN(E90)&gt;0,1,0)+IF(LEN(F90)&gt;0,1,0)+IF(LEN(G90)&gt;0,1,0)+IF(LEN(I90)&gt;0,1,0)+IF(LEN(K90)&gt;0,1,0)+IF(LEN(P90)&gt;0,1,0)+IF(LEN(Q90)&gt;0,1,0)+IF(LEN(T90)&gt;0,1,0)+IF(LEN(V90)&gt;0,1,0)+IF(LEN(W90)&gt;0,1,0)+IF(LEN(X90)&gt;0,1,0)+IF(LEN(Z90)&gt;0,1,0)+IF(LEN(AD90)&gt;0,1,0)+IF(LEN(AE90)&gt;0,1,0)+IF(LEN(AG90)&gt;0,1,0)+IF(LEN(AI90)&gt;0,1,0)+IF(LEN(BB90)&gt;0,1,0)+IF(LEN(BC90)&gt;0,1,0)+IF(LEN(AM90)&gt;0,1,0)+IF(LEN(AO90)&gt;0,1,0)+IF(LEN(AP90)&gt;0,1,0)+IF(LEN(AQ90)&gt;0,1,0)+IF(LEN(AR90)&gt;0,1,0)+IF(LEN(BA90)&gt;0,1,0)+IF(LEN(BM90)&gt;0,1,0)+IF(LEN(BZ90)&gt;0,1,0))/27,2))</f>
        <v/>
      </c>
      <c r="CF90" s="10" t="str">
        <f aca="false">IF(D90="","",IF(AND(AP90="Approved",ISERROR(SEARCH("FAIL",BJ90))),"Y","N"))</f>
        <v/>
      </c>
      <c r="CG90" s="10" t="str">
        <f aca="false">IF(D90="","",D90&amp;"|"&amp;E90&amp;"|"&amp;F90&amp;"|"&amp;G90&amp;"|"&amp;CF90)</f>
        <v/>
      </c>
    </row>
    <row r="91" customFormat="false" ht="15" hidden="false" customHeight="false" outlineLevel="0" collapsed="false">
      <c r="A91" s="10" t="str">
        <f aca="false">IF(D91="","","RW-"&amp;IFERROR(VLOOKUP(D91,Lists!$M$4:$N$22,2,0),"??")&amp;"-H"&amp;TEXT(E91*1000,"0000")&amp;"-S"&amp;F91&amp;IF(G91="Y","-GW","")&amp;"-"&amp;AO91)</f>
        <v/>
      </c>
      <c r="B91" s="10" t="str">
        <f aca="false">IF(D91="","",D91&amp;", H = "&amp;TEXT(E91,"0.0")&amp;" m, q = "&amp;F91&amp;" kPa"&amp;IF(G91="Y",", with GWT","")&amp;", "&amp;I91)</f>
        <v/>
      </c>
      <c r="C91" s="9"/>
      <c r="D91" s="9"/>
      <c r="E91" s="39"/>
      <c r="F91" s="38"/>
      <c r="G91" s="9"/>
      <c r="H91" s="38"/>
      <c r="I91" s="9"/>
      <c r="J91" s="38"/>
      <c r="K91" s="38"/>
      <c r="L91" s="38"/>
      <c r="M91" s="42"/>
      <c r="N91" s="9"/>
      <c r="O91" s="38"/>
      <c r="P91" s="38"/>
      <c r="Q91" s="38"/>
      <c r="R91" s="38"/>
      <c r="S91" s="38"/>
      <c r="T91" s="38"/>
      <c r="U91" s="9"/>
      <c r="V91" s="9"/>
      <c r="W91" s="38"/>
      <c r="X91" s="9"/>
      <c r="Y91" s="9"/>
      <c r="Z91" s="9"/>
      <c r="AA91" s="9"/>
      <c r="AB91" s="9"/>
      <c r="AC91" s="9"/>
      <c r="AD91" s="39"/>
      <c r="AE91" s="39"/>
      <c r="AF91" s="39"/>
      <c r="AG91" s="38"/>
      <c r="AH91" s="38"/>
      <c r="AI91" s="9"/>
      <c r="AJ91" s="38"/>
      <c r="AK91" s="9"/>
      <c r="AL91" s="39"/>
      <c r="AM91" s="9"/>
      <c r="AN91" s="9"/>
      <c r="AO91" s="9"/>
      <c r="AP91" s="9"/>
      <c r="AQ91" s="9"/>
      <c r="AR91" s="9"/>
      <c r="AS91" s="9"/>
      <c r="AT91" s="10" t="str">
        <f aca="false">IF(A91="","",SG_Criteria!$B$6&amp;SG_Criteria!$B$8&amp;"\"&amp;A91&amp;"\")</f>
        <v/>
      </c>
      <c r="AU91" s="10" t="str">
        <f aca="false">IF(A91="","",A91&amp;"_CAD.dwg")</f>
        <v/>
      </c>
      <c r="AV91" s="10" t="str">
        <f aca="false">IF(A91="","",A91&amp;"_DWG.pdf")</f>
        <v/>
      </c>
      <c r="AW91" s="10" t="str">
        <f aca="false">IF(A91="","",IF(AS91="Y",A91&amp;"_STAAD.std","n/a"))</f>
        <v/>
      </c>
      <c r="AX91" s="10" t="str">
        <f aca="false">IF(A91="","",A91&amp;"_CALC.xlsx")</f>
        <v/>
      </c>
      <c r="AY91" s="10" t="str">
        <f aca="false">IF(A91="","",A91&amp;"_CALC.pdf")</f>
        <v/>
      </c>
      <c r="AZ91" s="9"/>
      <c r="BA91" s="9"/>
      <c r="BB91" s="39"/>
      <c r="BC91" s="39"/>
      <c r="BD91" s="39"/>
      <c r="BE91" s="39"/>
      <c r="BF91" s="39"/>
      <c r="BG91" s="12" t="str">
        <f aca="false">IF(A91="","",IF(COUNTIF(Rebar_Schedule!$A$5:$A$2004,A91)=0,"",ROUND(SUMIF(Rebar_Schedule!$A$5:$A$2004,A91,Rebar_Schedule!$K$5:$K$2004),1)))</f>
        <v/>
      </c>
      <c r="BH91" s="33" t="str">
        <f aca="false">IF(A91="","",IF(BG91="","No rebar schedule yet",IF(ABS(BG91-N(BC91))/MAX(N(BC91),1)&gt;SG_Criteria!$B$55,"NOTE: register rebar differs from schedule by "&amp;TEXT(ABS(BG91-N(BC91))/MAX(N(BC91),1),"0%"),"OK")))</f>
        <v/>
      </c>
      <c r="BI91" s="33" t="str">
        <f aca="false">IF(OR(D91="",E91=""),"",IF(E91&lt;=IF(OR(D91="Block / Segmental",D91="Gabion",D91="Reinforced Earth (MSE)"),SG_Criteria!$B$34,SG_Criteria!$B$33),"No ERSS submission",IF(E91&lt;=SG_Criteria!$B$35,"QP(ST)",IF(E91&lt;=SG_Criteria!$B$36,"QP(ST) + AC","Geotechnical building works: QP(Geo) + AC"))))</f>
        <v/>
      </c>
      <c r="BJ91" s="33" t="str">
        <f aca="false">IF(D91="","",IF(LEN(IF(AND(V91&lt;&gt;"",IFERROR(VALUE(MID(V91,2,2)),0)&lt;SG_Criteria!$B$19),"FAIL: grade below C"&amp;SG_Criteria!$B$19&amp;". ","")&amp;IF(AND(W91&lt;&gt;"",W91&lt;SG_Criteria!$B$20),"FAIL: cover &lt; "&amp;SG_Criteria!$B$20&amp;" mm. ","")&amp;IF(AND(AD91&lt;&gt;"",AD91&lt;1),"FAIL: sliding. ","")&amp;IF(AND(D91="Reverse L-Wall (toe only, at boundary)",N(S91)&gt;0),"NOTE: reverse L-wall should have no heel. ","")&amp;IF(AND(D91="L-Wall (heel only)",N(R91)&gt;0),"NOTE: L-wall should have no toe. ","")&amp;IF(AND(F91&lt;&gt;"",F91&lt;SG_Criteria!$B$31),"NOTE: q below LTA min "&amp;SG_Criteria!$B$31&amp;" kPa (not for LTA works). ",""))=0,"OK",IF(AND(V91&lt;&gt;"",IFERROR(VALUE(MID(V91,2,2)),0)&lt;SG_Criteria!$B$19),"FAIL: grade below C"&amp;SG_Criteria!$B$19&amp;". ","")&amp;IF(AND(W91&lt;&gt;"",W91&lt;SG_Criteria!$B$20),"FAIL: cover &lt; "&amp;SG_Criteria!$B$20&amp;" mm. ","")&amp;IF(AND(AD91&lt;&gt;"",AD91&lt;1),"FAIL: sliding. ","")&amp;IF(AND(D91="Reverse L-Wall (toe only, at boundary)",N(S91)&gt;0),"NOTE: reverse L-wall should have no heel. ","")&amp;IF(AND(D91="L-Wall (heel only)",N(R91)&gt;0),"NOTE: L-wall should have no toe. ","")&amp;IF(AND(F91&lt;&gt;"",F91&lt;SG_Criteria!$B$31),"NOTE: q below LTA min "&amp;SG_Criteria!$B$31&amp;" kPa (not for LTA works). ","")))</f>
        <v/>
      </c>
      <c r="BK91" s="9"/>
      <c r="BL91" s="9"/>
      <c r="BM91" s="9"/>
      <c r="BN91" s="10" t="str">
        <f aca="false">IF(BM91="","",IFERROR(VLOOKUP(BM91,Projects!$A$5:$D$504,2,0),"Ref not in Projects"))</f>
        <v/>
      </c>
      <c r="BO91" s="10" t="str">
        <f aca="false">IF(BM91="","",IFERROR(VLOOKUP(BM91,Projects!$A$5:$D$504,4,0),"Ref not in Projects"))</f>
        <v/>
      </c>
      <c r="BP91" s="9"/>
      <c r="BQ91" s="9"/>
      <c r="BR91" s="9"/>
      <c r="BS91" s="40"/>
      <c r="BT91" s="9"/>
      <c r="BU91" s="40"/>
      <c r="BV91" s="9"/>
      <c r="BW91" s="40"/>
      <c r="BX91" s="9"/>
      <c r="BY91" s="9"/>
      <c r="BZ91" s="9"/>
      <c r="CA91" s="40"/>
      <c r="CB91" s="40"/>
      <c r="CC91" s="36" t="str">
        <f aca="false">IF(CB91="","",EDATE(CB91,SG_Criteria!$B$54*12))</f>
        <v/>
      </c>
      <c r="CD91" s="33" t="str">
        <f aca="true">IF(A91="","",IF(CB91="","NOTE: not reviewed yet",IF(TODAY()&gt;CC91,"NOTE: review overdue","OK")))</f>
        <v/>
      </c>
      <c r="CE91" s="37" t="str">
        <f aca="false">IF(A91="","",ROUND((IF(LEN(D91)&gt;0,1,0)+IF(LEN(E91)&gt;0,1,0)+IF(LEN(F91)&gt;0,1,0)+IF(LEN(G91)&gt;0,1,0)+IF(LEN(I91)&gt;0,1,0)+IF(LEN(K91)&gt;0,1,0)+IF(LEN(P91)&gt;0,1,0)+IF(LEN(Q91)&gt;0,1,0)+IF(LEN(T91)&gt;0,1,0)+IF(LEN(V91)&gt;0,1,0)+IF(LEN(W91)&gt;0,1,0)+IF(LEN(X91)&gt;0,1,0)+IF(LEN(Z91)&gt;0,1,0)+IF(LEN(AD91)&gt;0,1,0)+IF(LEN(AE91)&gt;0,1,0)+IF(LEN(AG91)&gt;0,1,0)+IF(LEN(AI91)&gt;0,1,0)+IF(LEN(BB91)&gt;0,1,0)+IF(LEN(BC91)&gt;0,1,0)+IF(LEN(AM91)&gt;0,1,0)+IF(LEN(AO91)&gt;0,1,0)+IF(LEN(AP91)&gt;0,1,0)+IF(LEN(AQ91)&gt;0,1,0)+IF(LEN(AR91)&gt;0,1,0)+IF(LEN(BA91)&gt;0,1,0)+IF(LEN(BM91)&gt;0,1,0)+IF(LEN(BZ91)&gt;0,1,0))/27,2))</f>
        <v/>
      </c>
      <c r="CF91" s="10" t="str">
        <f aca="false">IF(D91="","",IF(AND(AP91="Approved",ISERROR(SEARCH("FAIL",BJ91))),"Y","N"))</f>
        <v/>
      </c>
      <c r="CG91" s="10" t="str">
        <f aca="false">IF(D91="","",D91&amp;"|"&amp;E91&amp;"|"&amp;F91&amp;"|"&amp;G91&amp;"|"&amp;CF91)</f>
        <v/>
      </c>
    </row>
    <row r="92" customFormat="false" ht="15" hidden="false" customHeight="false" outlineLevel="0" collapsed="false">
      <c r="A92" s="10" t="str">
        <f aca="false">IF(D92="","","RW-"&amp;IFERROR(VLOOKUP(D92,Lists!$M$4:$N$22,2,0),"??")&amp;"-H"&amp;TEXT(E92*1000,"0000")&amp;"-S"&amp;F92&amp;IF(G92="Y","-GW","")&amp;"-"&amp;AO92)</f>
        <v/>
      </c>
      <c r="B92" s="10" t="str">
        <f aca="false">IF(D92="","",D92&amp;", H = "&amp;TEXT(E92,"0.0")&amp;" m, q = "&amp;F92&amp;" kPa"&amp;IF(G92="Y",", with GWT","")&amp;", "&amp;I92)</f>
        <v/>
      </c>
      <c r="C92" s="9"/>
      <c r="D92" s="9"/>
      <c r="E92" s="39"/>
      <c r="F92" s="38"/>
      <c r="G92" s="9"/>
      <c r="H92" s="38"/>
      <c r="I92" s="9"/>
      <c r="J92" s="38"/>
      <c r="K92" s="38"/>
      <c r="L92" s="38"/>
      <c r="M92" s="42"/>
      <c r="N92" s="9"/>
      <c r="O92" s="38"/>
      <c r="P92" s="38"/>
      <c r="Q92" s="38"/>
      <c r="R92" s="38"/>
      <c r="S92" s="38"/>
      <c r="T92" s="38"/>
      <c r="U92" s="9"/>
      <c r="V92" s="9"/>
      <c r="W92" s="38"/>
      <c r="X92" s="9"/>
      <c r="Y92" s="9"/>
      <c r="Z92" s="9"/>
      <c r="AA92" s="9"/>
      <c r="AB92" s="9"/>
      <c r="AC92" s="9"/>
      <c r="AD92" s="39"/>
      <c r="AE92" s="39"/>
      <c r="AF92" s="39"/>
      <c r="AG92" s="38"/>
      <c r="AH92" s="38"/>
      <c r="AI92" s="9"/>
      <c r="AJ92" s="38"/>
      <c r="AK92" s="9"/>
      <c r="AL92" s="39"/>
      <c r="AM92" s="9"/>
      <c r="AN92" s="9"/>
      <c r="AO92" s="9"/>
      <c r="AP92" s="9"/>
      <c r="AQ92" s="9"/>
      <c r="AR92" s="9"/>
      <c r="AS92" s="9"/>
      <c r="AT92" s="10" t="str">
        <f aca="false">IF(A92="","",SG_Criteria!$B$6&amp;SG_Criteria!$B$8&amp;"\"&amp;A92&amp;"\")</f>
        <v/>
      </c>
      <c r="AU92" s="10" t="str">
        <f aca="false">IF(A92="","",A92&amp;"_CAD.dwg")</f>
        <v/>
      </c>
      <c r="AV92" s="10" t="str">
        <f aca="false">IF(A92="","",A92&amp;"_DWG.pdf")</f>
        <v/>
      </c>
      <c r="AW92" s="10" t="str">
        <f aca="false">IF(A92="","",IF(AS92="Y",A92&amp;"_STAAD.std","n/a"))</f>
        <v/>
      </c>
      <c r="AX92" s="10" t="str">
        <f aca="false">IF(A92="","",A92&amp;"_CALC.xlsx")</f>
        <v/>
      </c>
      <c r="AY92" s="10" t="str">
        <f aca="false">IF(A92="","",A92&amp;"_CALC.pdf")</f>
        <v/>
      </c>
      <c r="AZ92" s="9"/>
      <c r="BA92" s="9"/>
      <c r="BB92" s="39"/>
      <c r="BC92" s="39"/>
      <c r="BD92" s="39"/>
      <c r="BE92" s="39"/>
      <c r="BF92" s="39"/>
      <c r="BG92" s="12" t="str">
        <f aca="false">IF(A92="","",IF(COUNTIF(Rebar_Schedule!$A$5:$A$2004,A92)=0,"",ROUND(SUMIF(Rebar_Schedule!$A$5:$A$2004,A92,Rebar_Schedule!$K$5:$K$2004),1)))</f>
        <v/>
      </c>
      <c r="BH92" s="33" t="str">
        <f aca="false">IF(A92="","",IF(BG92="","No rebar schedule yet",IF(ABS(BG92-N(BC92))/MAX(N(BC92),1)&gt;SG_Criteria!$B$55,"NOTE: register rebar differs from schedule by "&amp;TEXT(ABS(BG92-N(BC92))/MAX(N(BC92),1),"0%"),"OK")))</f>
        <v/>
      </c>
      <c r="BI92" s="33" t="str">
        <f aca="false">IF(OR(D92="",E92=""),"",IF(E92&lt;=IF(OR(D92="Block / Segmental",D92="Gabion",D92="Reinforced Earth (MSE)"),SG_Criteria!$B$34,SG_Criteria!$B$33),"No ERSS submission",IF(E92&lt;=SG_Criteria!$B$35,"QP(ST)",IF(E92&lt;=SG_Criteria!$B$36,"QP(ST) + AC","Geotechnical building works: QP(Geo) + AC"))))</f>
        <v/>
      </c>
      <c r="BJ92" s="33" t="str">
        <f aca="false">IF(D92="","",IF(LEN(IF(AND(V92&lt;&gt;"",IFERROR(VALUE(MID(V92,2,2)),0)&lt;SG_Criteria!$B$19),"FAIL: grade below C"&amp;SG_Criteria!$B$19&amp;". ","")&amp;IF(AND(W92&lt;&gt;"",W92&lt;SG_Criteria!$B$20),"FAIL: cover &lt; "&amp;SG_Criteria!$B$20&amp;" mm. ","")&amp;IF(AND(AD92&lt;&gt;"",AD92&lt;1),"FAIL: sliding. ","")&amp;IF(AND(D92="Reverse L-Wall (toe only, at boundary)",N(S92)&gt;0),"NOTE: reverse L-wall should have no heel. ","")&amp;IF(AND(D92="L-Wall (heel only)",N(R92)&gt;0),"NOTE: L-wall should have no toe. ","")&amp;IF(AND(F92&lt;&gt;"",F92&lt;SG_Criteria!$B$31),"NOTE: q below LTA min "&amp;SG_Criteria!$B$31&amp;" kPa (not for LTA works). ",""))=0,"OK",IF(AND(V92&lt;&gt;"",IFERROR(VALUE(MID(V92,2,2)),0)&lt;SG_Criteria!$B$19),"FAIL: grade below C"&amp;SG_Criteria!$B$19&amp;". ","")&amp;IF(AND(W92&lt;&gt;"",W92&lt;SG_Criteria!$B$20),"FAIL: cover &lt; "&amp;SG_Criteria!$B$20&amp;" mm. ","")&amp;IF(AND(AD92&lt;&gt;"",AD92&lt;1),"FAIL: sliding. ","")&amp;IF(AND(D92="Reverse L-Wall (toe only, at boundary)",N(S92)&gt;0),"NOTE: reverse L-wall should have no heel. ","")&amp;IF(AND(D92="L-Wall (heel only)",N(R92)&gt;0),"NOTE: L-wall should have no toe. ","")&amp;IF(AND(F92&lt;&gt;"",F92&lt;SG_Criteria!$B$31),"NOTE: q below LTA min "&amp;SG_Criteria!$B$31&amp;" kPa (not for LTA works). ","")))</f>
        <v/>
      </c>
      <c r="BK92" s="9"/>
      <c r="BL92" s="9"/>
      <c r="BM92" s="9"/>
      <c r="BN92" s="10" t="str">
        <f aca="false">IF(BM92="","",IFERROR(VLOOKUP(BM92,Projects!$A$5:$D$504,2,0),"Ref not in Projects"))</f>
        <v/>
      </c>
      <c r="BO92" s="10" t="str">
        <f aca="false">IF(BM92="","",IFERROR(VLOOKUP(BM92,Projects!$A$5:$D$504,4,0),"Ref not in Projects"))</f>
        <v/>
      </c>
      <c r="BP92" s="9"/>
      <c r="BQ92" s="9"/>
      <c r="BR92" s="9"/>
      <c r="BS92" s="40"/>
      <c r="BT92" s="9"/>
      <c r="BU92" s="40"/>
      <c r="BV92" s="9"/>
      <c r="BW92" s="40"/>
      <c r="BX92" s="9"/>
      <c r="BY92" s="9"/>
      <c r="BZ92" s="9"/>
      <c r="CA92" s="40"/>
      <c r="CB92" s="40"/>
      <c r="CC92" s="36" t="str">
        <f aca="false">IF(CB92="","",EDATE(CB92,SG_Criteria!$B$54*12))</f>
        <v/>
      </c>
      <c r="CD92" s="33" t="str">
        <f aca="true">IF(A92="","",IF(CB92="","NOTE: not reviewed yet",IF(TODAY()&gt;CC92,"NOTE: review overdue","OK")))</f>
        <v/>
      </c>
      <c r="CE92" s="37" t="str">
        <f aca="false">IF(A92="","",ROUND((IF(LEN(D92)&gt;0,1,0)+IF(LEN(E92)&gt;0,1,0)+IF(LEN(F92)&gt;0,1,0)+IF(LEN(G92)&gt;0,1,0)+IF(LEN(I92)&gt;0,1,0)+IF(LEN(K92)&gt;0,1,0)+IF(LEN(P92)&gt;0,1,0)+IF(LEN(Q92)&gt;0,1,0)+IF(LEN(T92)&gt;0,1,0)+IF(LEN(V92)&gt;0,1,0)+IF(LEN(W92)&gt;0,1,0)+IF(LEN(X92)&gt;0,1,0)+IF(LEN(Z92)&gt;0,1,0)+IF(LEN(AD92)&gt;0,1,0)+IF(LEN(AE92)&gt;0,1,0)+IF(LEN(AG92)&gt;0,1,0)+IF(LEN(AI92)&gt;0,1,0)+IF(LEN(BB92)&gt;0,1,0)+IF(LEN(BC92)&gt;0,1,0)+IF(LEN(AM92)&gt;0,1,0)+IF(LEN(AO92)&gt;0,1,0)+IF(LEN(AP92)&gt;0,1,0)+IF(LEN(AQ92)&gt;0,1,0)+IF(LEN(AR92)&gt;0,1,0)+IF(LEN(BA92)&gt;0,1,0)+IF(LEN(BM92)&gt;0,1,0)+IF(LEN(BZ92)&gt;0,1,0))/27,2))</f>
        <v/>
      </c>
      <c r="CF92" s="10" t="str">
        <f aca="false">IF(D92="","",IF(AND(AP92="Approved",ISERROR(SEARCH("FAIL",BJ92))),"Y","N"))</f>
        <v/>
      </c>
      <c r="CG92" s="10" t="str">
        <f aca="false">IF(D92="","",D92&amp;"|"&amp;E92&amp;"|"&amp;F92&amp;"|"&amp;G92&amp;"|"&amp;CF92)</f>
        <v/>
      </c>
    </row>
    <row r="93" customFormat="false" ht="15" hidden="false" customHeight="false" outlineLevel="0" collapsed="false">
      <c r="A93" s="10" t="str">
        <f aca="false">IF(D93="","","RW-"&amp;IFERROR(VLOOKUP(D93,Lists!$M$4:$N$22,2,0),"??")&amp;"-H"&amp;TEXT(E93*1000,"0000")&amp;"-S"&amp;F93&amp;IF(G93="Y","-GW","")&amp;"-"&amp;AO93)</f>
        <v/>
      </c>
      <c r="B93" s="10" t="str">
        <f aca="false">IF(D93="","",D93&amp;", H = "&amp;TEXT(E93,"0.0")&amp;" m, q = "&amp;F93&amp;" kPa"&amp;IF(G93="Y",", with GWT","")&amp;", "&amp;I93)</f>
        <v/>
      </c>
      <c r="C93" s="9"/>
      <c r="D93" s="9"/>
      <c r="E93" s="39"/>
      <c r="F93" s="38"/>
      <c r="G93" s="9"/>
      <c r="H93" s="38"/>
      <c r="I93" s="9"/>
      <c r="J93" s="38"/>
      <c r="K93" s="38"/>
      <c r="L93" s="38"/>
      <c r="M93" s="42"/>
      <c r="N93" s="9"/>
      <c r="O93" s="38"/>
      <c r="P93" s="38"/>
      <c r="Q93" s="38"/>
      <c r="R93" s="38"/>
      <c r="S93" s="38"/>
      <c r="T93" s="38"/>
      <c r="U93" s="9"/>
      <c r="V93" s="9"/>
      <c r="W93" s="38"/>
      <c r="X93" s="9"/>
      <c r="Y93" s="9"/>
      <c r="Z93" s="9"/>
      <c r="AA93" s="9"/>
      <c r="AB93" s="9"/>
      <c r="AC93" s="9"/>
      <c r="AD93" s="39"/>
      <c r="AE93" s="39"/>
      <c r="AF93" s="39"/>
      <c r="AG93" s="38"/>
      <c r="AH93" s="38"/>
      <c r="AI93" s="9"/>
      <c r="AJ93" s="38"/>
      <c r="AK93" s="9"/>
      <c r="AL93" s="39"/>
      <c r="AM93" s="9"/>
      <c r="AN93" s="9"/>
      <c r="AO93" s="9"/>
      <c r="AP93" s="9"/>
      <c r="AQ93" s="9"/>
      <c r="AR93" s="9"/>
      <c r="AS93" s="9"/>
      <c r="AT93" s="10" t="str">
        <f aca="false">IF(A93="","",SG_Criteria!$B$6&amp;SG_Criteria!$B$8&amp;"\"&amp;A93&amp;"\")</f>
        <v/>
      </c>
      <c r="AU93" s="10" t="str">
        <f aca="false">IF(A93="","",A93&amp;"_CAD.dwg")</f>
        <v/>
      </c>
      <c r="AV93" s="10" t="str">
        <f aca="false">IF(A93="","",A93&amp;"_DWG.pdf")</f>
        <v/>
      </c>
      <c r="AW93" s="10" t="str">
        <f aca="false">IF(A93="","",IF(AS93="Y",A93&amp;"_STAAD.std","n/a"))</f>
        <v/>
      </c>
      <c r="AX93" s="10" t="str">
        <f aca="false">IF(A93="","",A93&amp;"_CALC.xlsx")</f>
        <v/>
      </c>
      <c r="AY93" s="10" t="str">
        <f aca="false">IF(A93="","",A93&amp;"_CALC.pdf")</f>
        <v/>
      </c>
      <c r="AZ93" s="9"/>
      <c r="BA93" s="9"/>
      <c r="BB93" s="39"/>
      <c r="BC93" s="39"/>
      <c r="BD93" s="39"/>
      <c r="BE93" s="39"/>
      <c r="BF93" s="39"/>
      <c r="BG93" s="12" t="str">
        <f aca="false">IF(A93="","",IF(COUNTIF(Rebar_Schedule!$A$5:$A$2004,A93)=0,"",ROUND(SUMIF(Rebar_Schedule!$A$5:$A$2004,A93,Rebar_Schedule!$K$5:$K$2004),1)))</f>
        <v/>
      </c>
      <c r="BH93" s="33" t="str">
        <f aca="false">IF(A93="","",IF(BG93="","No rebar schedule yet",IF(ABS(BG93-N(BC93))/MAX(N(BC93),1)&gt;SG_Criteria!$B$55,"NOTE: register rebar differs from schedule by "&amp;TEXT(ABS(BG93-N(BC93))/MAX(N(BC93),1),"0%"),"OK")))</f>
        <v/>
      </c>
      <c r="BI93" s="33" t="str">
        <f aca="false">IF(OR(D93="",E93=""),"",IF(E93&lt;=IF(OR(D93="Block / Segmental",D93="Gabion",D93="Reinforced Earth (MSE)"),SG_Criteria!$B$34,SG_Criteria!$B$33),"No ERSS submission",IF(E93&lt;=SG_Criteria!$B$35,"QP(ST)",IF(E93&lt;=SG_Criteria!$B$36,"QP(ST) + AC","Geotechnical building works: QP(Geo) + AC"))))</f>
        <v/>
      </c>
      <c r="BJ93" s="33" t="str">
        <f aca="false">IF(D93="","",IF(LEN(IF(AND(V93&lt;&gt;"",IFERROR(VALUE(MID(V93,2,2)),0)&lt;SG_Criteria!$B$19),"FAIL: grade below C"&amp;SG_Criteria!$B$19&amp;". ","")&amp;IF(AND(W93&lt;&gt;"",W93&lt;SG_Criteria!$B$20),"FAIL: cover &lt; "&amp;SG_Criteria!$B$20&amp;" mm. ","")&amp;IF(AND(AD93&lt;&gt;"",AD93&lt;1),"FAIL: sliding. ","")&amp;IF(AND(D93="Reverse L-Wall (toe only, at boundary)",N(S93)&gt;0),"NOTE: reverse L-wall should have no heel. ","")&amp;IF(AND(D93="L-Wall (heel only)",N(R93)&gt;0),"NOTE: L-wall should have no toe. ","")&amp;IF(AND(F93&lt;&gt;"",F93&lt;SG_Criteria!$B$31),"NOTE: q below LTA min "&amp;SG_Criteria!$B$31&amp;" kPa (not for LTA works). ",""))=0,"OK",IF(AND(V93&lt;&gt;"",IFERROR(VALUE(MID(V93,2,2)),0)&lt;SG_Criteria!$B$19),"FAIL: grade below C"&amp;SG_Criteria!$B$19&amp;". ","")&amp;IF(AND(W93&lt;&gt;"",W93&lt;SG_Criteria!$B$20),"FAIL: cover &lt; "&amp;SG_Criteria!$B$20&amp;" mm. ","")&amp;IF(AND(AD93&lt;&gt;"",AD93&lt;1),"FAIL: sliding. ","")&amp;IF(AND(D93="Reverse L-Wall (toe only, at boundary)",N(S93)&gt;0),"NOTE: reverse L-wall should have no heel. ","")&amp;IF(AND(D93="L-Wall (heel only)",N(R93)&gt;0),"NOTE: L-wall should have no toe. ","")&amp;IF(AND(F93&lt;&gt;"",F93&lt;SG_Criteria!$B$31),"NOTE: q below LTA min "&amp;SG_Criteria!$B$31&amp;" kPa (not for LTA works). ","")))</f>
        <v/>
      </c>
      <c r="BK93" s="9"/>
      <c r="BL93" s="9"/>
      <c r="BM93" s="9"/>
      <c r="BN93" s="10" t="str">
        <f aca="false">IF(BM93="","",IFERROR(VLOOKUP(BM93,Projects!$A$5:$D$504,2,0),"Ref not in Projects"))</f>
        <v/>
      </c>
      <c r="BO93" s="10" t="str">
        <f aca="false">IF(BM93="","",IFERROR(VLOOKUP(BM93,Projects!$A$5:$D$504,4,0),"Ref not in Projects"))</f>
        <v/>
      </c>
      <c r="BP93" s="9"/>
      <c r="BQ93" s="9"/>
      <c r="BR93" s="9"/>
      <c r="BS93" s="40"/>
      <c r="BT93" s="9"/>
      <c r="BU93" s="40"/>
      <c r="BV93" s="9"/>
      <c r="BW93" s="40"/>
      <c r="BX93" s="9"/>
      <c r="BY93" s="9"/>
      <c r="BZ93" s="9"/>
      <c r="CA93" s="40"/>
      <c r="CB93" s="40"/>
      <c r="CC93" s="36" t="str">
        <f aca="false">IF(CB93="","",EDATE(CB93,SG_Criteria!$B$54*12))</f>
        <v/>
      </c>
      <c r="CD93" s="33" t="str">
        <f aca="true">IF(A93="","",IF(CB93="","NOTE: not reviewed yet",IF(TODAY()&gt;CC93,"NOTE: review overdue","OK")))</f>
        <v/>
      </c>
      <c r="CE93" s="37" t="str">
        <f aca="false">IF(A93="","",ROUND((IF(LEN(D93)&gt;0,1,0)+IF(LEN(E93)&gt;0,1,0)+IF(LEN(F93)&gt;0,1,0)+IF(LEN(G93)&gt;0,1,0)+IF(LEN(I93)&gt;0,1,0)+IF(LEN(K93)&gt;0,1,0)+IF(LEN(P93)&gt;0,1,0)+IF(LEN(Q93)&gt;0,1,0)+IF(LEN(T93)&gt;0,1,0)+IF(LEN(V93)&gt;0,1,0)+IF(LEN(W93)&gt;0,1,0)+IF(LEN(X93)&gt;0,1,0)+IF(LEN(Z93)&gt;0,1,0)+IF(LEN(AD93)&gt;0,1,0)+IF(LEN(AE93)&gt;0,1,0)+IF(LEN(AG93)&gt;0,1,0)+IF(LEN(AI93)&gt;0,1,0)+IF(LEN(BB93)&gt;0,1,0)+IF(LEN(BC93)&gt;0,1,0)+IF(LEN(AM93)&gt;0,1,0)+IF(LEN(AO93)&gt;0,1,0)+IF(LEN(AP93)&gt;0,1,0)+IF(LEN(AQ93)&gt;0,1,0)+IF(LEN(AR93)&gt;0,1,0)+IF(LEN(BA93)&gt;0,1,0)+IF(LEN(BM93)&gt;0,1,0)+IF(LEN(BZ93)&gt;0,1,0))/27,2))</f>
        <v/>
      </c>
      <c r="CF93" s="10" t="str">
        <f aca="false">IF(D93="","",IF(AND(AP93="Approved",ISERROR(SEARCH("FAIL",BJ93))),"Y","N"))</f>
        <v/>
      </c>
      <c r="CG93" s="10" t="str">
        <f aca="false">IF(D93="","",D93&amp;"|"&amp;E93&amp;"|"&amp;F93&amp;"|"&amp;G93&amp;"|"&amp;CF93)</f>
        <v/>
      </c>
    </row>
    <row r="94" customFormat="false" ht="15" hidden="false" customHeight="false" outlineLevel="0" collapsed="false">
      <c r="A94" s="10" t="str">
        <f aca="false">IF(D94="","","RW-"&amp;IFERROR(VLOOKUP(D94,Lists!$M$4:$N$22,2,0),"??")&amp;"-H"&amp;TEXT(E94*1000,"0000")&amp;"-S"&amp;F94&amp;IF(G94="Y","-GW","")&amp;"-"&amp;AO94)</f>
        <v/>
      </c>
      <c r="B94" s="10" t="str">
        <f aca="false">IF(D94="","",D94&amp;", H = "&amp;TEXT(E94,"0.0")&amp;" m, q = "&amp;F94&amp;" kPa"&amp;IF(G94="Y",", with GWT","")&amp;", "&amp;I94)</f>
        <v/>
      </c>
      <c r="C94" s="9"/>
      <c r="D94" s="9"/>
      <c r="E94" s="39"/>
      <c r="F94" s="38"/>
      <c r="G94" s="9"/>
      <c r="H94" s="38"/>
      <c r="I94" s="9"/>
      <c r="J94" s="38"/>
      <c r="K94" s="38"/>
      <c r="L94" s="38"/>
      <c r="M94" s="42"/>
      <c r="N94" s="9"/>
      <c r="O94" s="38"/>
      <c r="P94" s="38"/>
      <c r="Q94" s="38"/>
      <c r="R94" s="38"/>
      <c r="S94" s="38"/>
      <c r="T94" s="38"/>
      <c r="U94" s="9"/>
      <c r="V94" s="9"/>
      <c r="W94" s="38"/>
      <c r="X94" s="9"/>
      <c r="Y94" s="9"/>
      <c r="Z94" s="9"/>
      <c r="AA94" s="9"/>
      <c r="AB94" s="9"/>
      <c r="AC94" s="9"/>
      <c r="AD94" s="39"/>
      <c r="AE94" s="39"/>
      <c r="AF94" s="39"/>
      <c r="AG94" s="38"/>
      <c r="AH94" s="38"/>
      <c r="AI94" s="9"/>
      <c r="AJ94" s="38"/>
      <c r="AK94" s="9"/>
      <c r="AL94" s="39"/>
      <c r="AM94" s="9"/>
      <c r="AN94" s="9"/>
      <c r="AO94" s="9"/>
      <c r="AP94" s="9"/>
      <c r="AQ94" s="9"/>
      <c r="AR94" s="9"/>
      <c r="AS94" s="9"/>
      <c r="AT94" s="10" t="str">
        <f aca="false">IF(A94="","",SG_Criteria!$B$6&amp;SG_Criteria!$B$8&amp;"\"&amp;A94&amp;"\")</f>
        <v/>
      </c>
      <c r="AU94" s="10" t="str">
        <f aca="false">IF(A94="","",A94&amp;"_CAD.dwg")</f>
        <v/>
      </c>
      <c r="AV94" s="10" t="str">
        <f aca="false">IF(A94="","",A94&amp;"_DWG.pdf")</f>
        <v/>
      </c>
      <c r="AW94" s="10" t="str">
        <f aca="false">IF(A94="","",IF(AS94="Y",A94&amp;"_STAAD.std","n/a"))</f>
        <v/>
      </c>
      <c r="AX94" s="10" t="str">
        <f aca="false">IF(A94="","",A94&amp;"_CALC.xlsx")</f>
        <v/>
      </c>
      <c r="AY94" s="10" t="str">
        <f aca="false">IF(A94="","",A94&amp;"_CALC.pdf")</f>
        <v/>
      </c>
      <c r="AZ94" s="9"/>
      <c r="BA94" s="9"/>
      <c r="BB94" s="39"/>
      <c r="BC94" s="39"/>
      <c r="BD94" s="39"/>
      <c r="BE94" s="39"/>
      <c r="BF94" s="39"/>
      <c r="BG94" s="12" t="str">
        <f aca="false">IF(A94="","",IF(COUNTIF(Rebar_Schedule!$A$5:$A$2004,A94)=0,"",ROUND(SUMIF(Rebar_Schedule!$A$5:$A$2004,A94,Rebar_Schedule!$K$5:$K$2004),1)))</f>
        <v/>
      </c>
      <c r="BH94" s="33" t="str">
        <f aca="false">IF(A94="","",IF(BG94="","No rebar schedule yet",IF(ABS(BG94-N(BC94))/MAX(N(BC94),1)&gt;SG_Criteria!$B$55,"NOTE: register rebar differs from schedule by "&amp;TEXT(ABS(BG94-N(BC94))/MAX(N(BC94),1),"0%"),"OK")))</f>
        <v/>
      </c>
      <c r="BI94" s="33" t="str">
        <f aca="false">IF(OR(D94="",E94=""),"",IF(E94&lt;=IF(OR(D94="Block / Segmental",D94="Gabion",D94="Reinforced Earth (MSE)"),SG_Criteria!$B$34,SG_Criteria!$B$33),"No ERSS submission",IF(E94&lt;=SG_Criteria!$B$35,"QP(ST)",IF(E94&lt;=SG_Criteria!$B$36,"QP(ST) + AC","Geotechnical building works: QP(Geo) + AC"))))</f>
        <v/>
      </c>
      <c r="BJ94" s="33" t="str">
        <f aca="false">IF(D94="","",IF(LEN(IF(AND(V94&lt;&gt;"",IFERROR(VALUE(MID(V94,2,2)),0)&lt;SG_Criteria!$B$19),"FAIL: grade below C"&amp;SG_Criteria!$B$19&amp;". ","")&amp;IF(AND(W94&lt;&gt;"",W94&lt;SG_Criteria!$B$20),"FAIL: cover &lt; "&amp;SG_Criteria!$B$20&amp;" mm. ","")&amp;IF(AND(AD94&lt;&gt;"",AD94&lt;1),"FAIL: sliding. ","")&amp;IF(AND(D94="Reverse L-Wall (toe only, at boundary)",N(S94)&gt;0),"NOTE: reverse L-wall should have no heel. ","")&amp;IF(AND(D94="L-Wall (heel only)",N(R94)&gt;0),"NOTE: L-wall should have no toe. ","")&amp;IF(AND(F94&lt;&gt;"",F94&lt;SG_Criteria!$B$31),"NOTE: q below LTA min "&amp;SG_Criteria!$B$31&amp;" kPa (not for LTA works). ",""))=0,"OK",IF(AND(V94&lt;&gt;"",IFERROR(VALUE(MID(V94,2,2)),0)&lt;SG_Criteria!$B$19),"FAIL: grade below C"&amp;SG_Criteria!$B$19&amp;". ","")&amp;IF(AND(W94&lt;&gt;"",W94&lt;SG_Criteria!$B$20),"FAIL: cover &lt; "&amp;SG_Criteria!$B$20&amp;" mm. ","")&amp;IF(AND(AD94&lt;&gt;"",AD94&lt;1),"FAIL: sliding. ","")&amp;IF(AND(D94="Reverse L-Wall (toe only, at boundary)",N(S94)&gt;0),"NOTE: reverse L-wall should have no heel. ","")&amp;IF(AND(D94="L-Wall (heel only)",N(R94)&gt;0),"NOTE: L-wall should have no toe. ","")&amp;IF(AND(F94&lt;&gt;"",F94&lt;SG_Criteria!$B$31),"NOTE: q below LTA min "&amp;SG_Criteria!$B$31&amp;" kPa (not for LTA works). ","")))</f>
        <v/>
      </c>
      <c r="BK94" s="9"/>
      <c r="BL94" s="9"/>
      <c r="BM94" s="9"/>
      <c r="BN94" s="10" t="str">
        <f aca="false">IF(BM94="","",IFERROR(VLOOKUP(BM94,Projects!$A$5:$D$504,2,0),"Ref not in Projects"))</f>
        <v/>
      </c>
      <c r="BO94" s="10" t="str">
        <f aca="false">IF(BM94="","",IFERROR(VLOOKUP(BM94,Projects!$A$5:$D$504,4,0),"Ref not in Projects"))</f>
        <v/>
      </c>
      <c r="BP94" s="9"/>
      <c r="BQ94" s="9"/>
      <c r="BR94" s="9"/>
      <c r="BS94" s="40"/>
      <c r="BT94" s="9"/>
      <c r="BU94" s="40"/>
      <c r="BV94" s="9"/>
      <c r="BW94" s="40"/>
      <c r="BX94" s="9"/>
      <c r="BY94" s="9"/>
      <c r="BZ94" s="9"/>
      <c r="CA94" s="40"/>
      <c r="CB94" s="40"/>
      <c r="CC94" s="36" t="str">
        <f aca="false">IF(CB94="","",EDATE(CB94,SG_Criteria!$B$54*12))</f>
        <v/>
      </c>
      <c r="CD94" s="33" t="str">
        <f aca="true">IF(A94="","",IF(CB94="","NOTE: not reviewed yet",IF(TODAY()&gt;CC94,"NOTE: review overdue","OK")))</f>
        <v/>
      </c>
      <c r="CE94" s="37" t="str">
        <f aca="false">IF(A94="","",ROUND((IF(LEN(D94)&gt;0,1,0)+IF(LEN(E94)&gt;0,1,0)+IF(LEN(F94)&gt;0,1,0)+IF(LEN(G94)&gt;0,1,0)+IF(LEN(I94)&gt;0,1,0)+IF(LEN(K94)&gt;0,1,0)+IF(LEN(P94)&gt;0,1,0)+IF(LEN(Q94)&gt;0,1,0)+IF(LEN(T94)&gt;0,1,0)+IF(LEN(V94)&gt;0,1,0)+IF(LEN(W94)&gt;0,1,0)+IF(LEN(X94)&gt;0,1,0)+IF(LEN(Z94)&gt;0,1,0)+IF(LEN(AD94)&gt;0,1,0)+IF(LEN(AE94)&gt;0,1,0)+IF(LEN(AG94)&gt;0,1,0)+IF(LEN(AI94)&gt;0,1,0)+IF(LEN(BB94)&gt;0,1,0)+IF(LEN(BC94)&gt;0,1,0)+IF(LEN(AM94)&gt;0,1,0)+IF(LEN(AO94)&gt;0,1,0)+IF(LEN(AP94)&gt;0,1,0)+IF(LEN(AQ94)&gt;0,1,0)+IF(LEN(AR94)&gt;0,1,0)+IF(LEN(BA94)&gt;0,1,0)+IF(LEN(BM94)&gt;0,1,0)+IF(LEN(BZ94)&gt;0,1,0))/27,2))</f>
        <v/>
      </c>
      <c r="CF94" s="10" t="str">
        <f aca="false">IF(D94="","",IF(AND(AP94="Approved",ISERROR(SEARCH("FAIL",BJ94))),"Y","N"))</f>
        <v/>
      </c>
      <c r="CG94" s="10" t="str">
        <f aca="false">IF(D94="","",D94&amp;"|"&amp;E94&amp;"|"&amp;F94&amp;"|"&amp;G94&amp;"|"&amp;CF94)</f>
        <v/>
      </c>
    </row>
    <row r="95" customFormat="false" ht="15" hidden="false" customHeight="false" outlineLevel="0" collapsed="false">
      <c r="A95" s="10" t="str">
        <f aca="false">IF(D95="","","RW-"&amp;IFERROR(VLOOKUP(D95,Lists!$M$4:$N$22,2,0),"??")&amp;"-H"&amp;TEXT(E95*1000,"0000")&amp;"-S"&amp;F95&amp;IF(G95="Y","-GW","")&amp;"-"&amp;AO95)</f>
        <v/>
      </c>
      <c r="B95" s="10" t="str">
        <f aca="false">IF(D95="","",D95&amp;", H = "&amp;TEXT(E95,"0.0")&amp;" m, q = "&amp;F95&amp;" kPa"&amp;IF(G95="Y",", with GWT","")&amp;", "&amp;I95)</f>
        <v/>
      </c>
      <c r="C95" s="9"/>
      <c r="D95" s="9"/>
      <c r="E95" s="39"/>
      <c r="F95" s="38"/>
      <c r="G95" s="9"/>
      <c r="H95" s="38"/>
      <c r="I95" s="9"/>
      <c r="J95" s="38"/>
      <c r="K95" s="38"/>
      <c r="L95" s="38"/>
      <c r="M95" s="42"/>
      <c r="N95" s="9"/>
      <c r="O95" s="38"/>
      <c r="P95" s="38"/>
      <c r="Q95" s="38"/>
      <c r="R95" s="38"/>
      <c r="S95" s="38"/>
      <c r="T95" s="38"/>
      <c r="U95" s="9"/>
      <c r="V95" s="9"/>
      <c r="W95" s="38"/>
      <c r="X95" s="9"/>
      <c r="Y95" s="9"/>
      <c r="Z95" s="9"/>
      <c r="AA95" s="9"/>
      <c r="AB95" s="9"/>
      <c r="AC95" s="9"/>
      <c r="AD95" s="39"/>
      <c r="AE95" s="39"/>
      <c r="AF95" s="39"/>
      <c r="AG95" s="38"/>
      <c r="AH95" s="38"/>
      <c r="AI95" s="9"/>
      <c r="AJ95" s="38"/>
      <c r="AK95" s="9"/>
      <c r="AL95" s="39"/>
      <c r="AM95" s="9"/>
      <c r="AN95" s="9"/>
      <c r="AO95" s="9"/>
      <c r="AP95" s="9"/>
      <c r="AQ95" s="9"/>
      <c r="AR95" s="9"/>
      <c r="AS95" s="9"/>
      <c r="AT95" s="10" t="str">
        <f aca="false">IF(A95="","",SG_Criteria!$B$6&amp;SG_Criteria!$B$8&amp;"\"&amp;A95&amp;"\")</f>
        <v/>
      </c>
      <c r="AU95" s="10" t="str">
        <f aca="false">IF(A95="","",A95&amp;"_CAD.dwg")</f>
        <v/>
      </c>
      <c r="AV95" s="10" t="str">
        <f aca="false">IF(A95="","",A95&amp;"_DWG.pdf")</f>
        <v/>
      </c>
      <c r="AW95" s="10" t="str">
        <f aca="false">IF(A95="","",IF(AS95="Y",A95&amp;"_STAAD.std","n/a"))</f>
        <v/>
      </c>
      <c r="AX95" s="10" t="str">
        <f aca="false">IF(A95="","",A95&amp;"_CALC.xlsx")</f>
        <v/>
      </c>
      <c r="AY95" s="10" t="str">
        <f aca="false">IF(A95="","",A95&amp;"_CALC.pdf")</f>
        <v/>
      </c>
      <c r="AZ95" s="9"/>
      <c r="BA95" s="9"/>
      <c r="BB95" s="39"/>
      <c r="BC95" s="39"/>
      <c r="BD95" s="39"/>
      <c r="BE95" s="39"/>
      <c r="BF95" s="39"/>
      <c r="BG95" s="12" t="str">
        <f aca="false">IF(A95="","",IF(COUNTIF(Rebar_Schedule!$A$5:$A$2004,A95)=0,"",ROUND(SUMIF(Rebar_Schedule!$A$5:$A$2004,A95,Rebar_Schedule!$K$5:$K$2004),1)))</f>
        <v/>
      </c>
      <c r="BH95" s="33" t="str">
        <f aca="false">IF(A95="","",IF(BG95="","No rebar schedule yet",IF(ABS(BG95-N(BC95))/MAX(N(BC95),1)&gt;SG_Criteria!$B$55,"NOTE: register rebar differs from schedule by "&amp;TEXT(ABS(BG95-N(BC95))/MAX(N(BC95),1),"0%"),"OK")))</f>
        <v/>
      </c>
      <c r="BI95" s="33" t="str">
        <f aca="false">IF(OR(D95="",E95=""),"",IF(E95&lt;=IF(OR(D95="Block / Segmental",D95="Gabion",D95="Reinforced Earth (MSE)"),SG_Criteria!$B$34,SG_Criteria!$B$33),"No ERSS submission",IF(E95&lt;=SG_Criteria!$B$35,"QP(ST)",IF(E95&lt;=SG_Criteria!$B$36,"QP(ST) + AC","Geotechnical building works: QP(Geo) + AC"))))</f>
        <v/>
      </c>
      <c r="BJ95" s="33" t="str">
        <f aca="false">IF(D95="","",IF(LEN(IF(AND(V95&lt;&gt;"",IFERROR(VALUE(MID(V95,2,2)),0)&lt;SG_Criteria!$B$19),"FAIL: grade below C"&amp;SG_Criteria!$B$19&amp;". ","")&amp;IF(AND(W95&lt;&gt;"",W95&lt;SG_Criteria!$B$20),"FAIL: cover &lt; "&amp;SG_Criteria!$B$20&amp;" mm. ","")&amp;IF(AND(AD95&lt;&gt;"",AD95&lt;1),"FAIL: sliding. ","")&amp;IF(AND(D95="Reverse L-Wall (toe only, at boundary)",N(S95)&gt;0),"NOTE: reverse L-wall should have no heel. ","")&amp;IF(AND(D95="L-Wall (heel only)",N(R95)&gt;0),"NOTE: L-wall should have no toe. ","")&amp;IF(AND(F95&lt;&gt;"",F95&lt;SG_Criteria!$B$31),"NOTE: q below LTA min "&amp;SG_Criteria!$B$31&amp;" kPa (not for LTA works). ",""))=0,"OK",IF(AND(V95&lt;&gt;"",IFERROR(VALUE(MID(V95,2,2)),0)&lt;SG_Criteria!$B$19),"FAIL: grade below C"&amp;SG_Criteria!$B$19&amp;". ","")&amp;IF(AND(W95&lt;&gt;"",W95&lt;SG_Criteria!$B$20),"FAIL: cover &lt; "&amp;SG_Criteria!$B$20&amp;" mm. ","")&amp;IF(AND(AD95&lt;&gt;"",AD95&lt;1),"FAIL: sliding. ","")&amp;IF(AND(D95="Reverse L-Wall (toe only, at boundary)",N(S95)&gt;0),"NOTE: reverse L-wall should have no heel. ","")&amp;IF(AND(D95="L-Wall (heel only)",N(R95)&gt;0),"NOTE: L-wall should have no toe. ","")&amp;IF(AND(F95&lt;&gt;"",F95&lt;SG_Criteria!$B$31),"NOTE: q below LTA min "&amp;SG_Criteria!$B$31&amp;" kPa (not for LTA works). ","")))</f>
        <v/>
      </c>
      <c r="BK95" s="9"/>
      <c r="BL95" s="9"/>
      <c r="BM95" s="9"/>
      <c r="BN95" s="10" t="str">
        <f aca="false">IF(BM95="","",IFERROR(VLOOKUP(BM95,Projects!$A$5:$D$504,2,0),"Ref not in Projects"))</f>
        <v/>
      </c>
      <c r="BO95" s="10" t="str">
        <f aca="false">IF(BM95="","",IFERROR(VLOOKUP(BM95,Projects!$A$5:$D$504,4,0),"Ref not in Projects"))</f>
        <v/>
      </c>
      <c r="BP95" s="9"/>
      <c r="BQ95" s="9"/>
      <c r="BR95" s="9"/>
      <c r="BS95" s="40"/>
      <c r="BT95" s="9"/>
      <c r="BU95" s="40"/>
      <c r="BV95" s="9"/>
      <c r="BW95" s="40"/>
      <c r="BX95" s="9"/>
      <c r="BY95" s="9"/>
      <c r="BZ95" s="9"/>
      <c r="CA95" s="40"/>
      <c r="CB95" s="40"/>
      <c r="CC95" s="36" t="str">
        <f aca="false">IF(CB95="","",EDATE(CB95,SG_Criteria!$B$54*12))</f>
        <v/>
      </c>
      <c r="CD95" s="33" t="str">
        <f aca="true">IF(A95="","",IF(CB95="","NOTE: not reviewed yet",IF(TODAY()&gt;CC95,"NOTE: review overdue","OK")))</f>
        <v/>
      </c>
      <c r="CE95" s="37" t="str">
        <f aca="false">IF(A95="","",ROUND((IF(LEN(D95)&gt;0,1,0)+IF(LEN(E95)&gt;0,1,0)+IF(LEN(F95)&gt;0,1,0)+IF(LEN(G95)&gt;0,1,0)+IF(LEN(I95)&gt;0,1,0)+IF(LEN(K95)&gt;0,1,0)+IF(LEN(P95)&gt;0,1,0)+IF(LEN(Q95)&gt;0,1,0)+IF(LEN(T95)&gt;0,1,0)+IF(LEN(V95)&gt;0,1,0)+IF(LEN(W95)&gt;0,1,0)+IF(LEN(X95)&gt;0,1,0)+IF(LEN(Z95)&gt;0,1,0)+IF(LEN(AD95)&gt;0,1,0)+IF(LEN(AE95)&gt;0,1,0)+IF(LEN(AG95)&gt;0,1,0)+IF(LEN(AI95)&gt;0,1,0)+IF(LEN(BB95)&gt;0,1,0)+IF(LEN(BC95)&gt;0,1,0)+IF(LEN(AM95)&gt;0,1,0)+IF(LEN(AO95)&gt;0,1,0)+IF(LEN(AP95)&gt;0,1,0)+IF(LEN(AQ95)&gt;0,1,0)+IF(LEN(AR95)&gt;0,1,0)+IF(LEN(BA95)&gt;0,1,0)+IF(LEN(BM95)&gt;0,1,0)+IF(LEN(BZ95)&gt;0,1,0))/27,2))</f>
        <v/>
      </c>
      <c r="CF95" s="10" t="str">
        <f aca="false">IF(D95="","",IF(AND(AP95="Approved",ISERROR(SEARCH("FAIL",BJ95))),"Y","N"))</f>
        <v/>
      </c>
      <c r="CG95" s="10" t="str">
        <f aca="false">IF(D95="","",D95&amp;"|"&amp;E95&amp;"|"&amp;F95&amp;"|"&amp;G95&amp;"|"&amp;CF95)</f>
        <v/>
      </c>
    </row>
    <row r="96" customFormat="false" ht="15" hidden="false" customHeight="false" outlineLevel="0" collapsed="false">
      <c r="A96" s="10" t="str">
        <f aca="false">IF(D96="","","RW-"&amp;IFERROR(VLOOKUP(D96,Lists!$M$4:$N$22,2,0),"??")&amp;"-H"&amp;TEXT(E96*1000,"0000")&amp;"-S"&amp;F96&amp;IF(G96="Y","-GW","")&amp;"-"&amp;AO96)</f>
        <v/>
      </c>
      <c r="B96" s="10" t="str">
        <f aca="false">IF(D96="","",D96&amp;", H = "&amp;TEXT(E96,"0.0")&amp;" m, q = "&amp;F96&amp;" kPa"&amp;IF(G96="Y",", with GWT","")&amp;", "&amp;I96)</f>
        <v/>
      </c>
      <c r="C96" s="9"/>
      <c r="D96" s="9"/>
      <c r="E96" s="39"/>
      <c r="F96" s="38"/>
      <c r="G96" s="9"/>
      <c r="H96" s="38"/>
      <c r="I96" s="9"/>
      <c r="J96" s="38"/>
      <c r="K96" s="38"/>
      <c r="L96" s="38"/>
      <c r="M96" s="42"/>
      <c r="N96" s="9"/>
      <c r="O96" s="38"/>
      <c r="P96" s="38"/>
      <c r="Q96" s="38"/>
      <c r="R96" s="38"/>
      <c r="S96" s="38"/>
      <c r="T96" s="38"/>
      <c r="U96" s="9"/>
      <c r="V96" s="9"/>
      <c r="W96" s="38"/>
      <c r="X96" s="9"/>
      <c r="Y96" s="9"/>
      <c r="Z96" s="9"/>
      <c r="AA96" s="9"/>
      <c r="AB96" s="9"/>
      <c r="AC96" s="9"/>
      <c r="AD96" s="39"/>
      <c r="AE96" s="39"/>
      <c r="AF96" s="39"/>
      <c r="AG96" s="38"/>
      <c r="AH96" s="38"/>
      <c r="AI96" s="9"/>
      <c r="AJ96" s="38"/>
      <c r="AK96" s="9"/>
      <c r="AL96" s="39"/>
      <c r="AM96" s="9"/>
      <c r="AN96" s="9"/>
      <c r="AO96" s="9"/>
      <c r="AP96" s="9"/>
      <c r="AQ96" s="9"/>
      <c r="AR96" s="9"/>
      <c r="AS96" s="9"/>
      <c r="AT96" s="10" t="str">
        <f aca="false">IF(A96="","",SG_Criteria!$B$6&amp;SG_Criteria!$B$8&amp;"\"&amp;A96&amp;"\")</f>
        <v/>
      </c>
      <c r="AU96" s="10" t="str">
        <f aca="false">IF(A96="","",A96&amp;"_CAD.dwg")</f>
        <v/>
      </c>
      <c r="AV96" s="10" t="str">
        <f aca="false">IF(A96="","",A96&amp;"_DWG.pdf")</f>
        <v/>
      </c>
      <c r="AW96" s="10" t="str">
        <f aca="false">IF(A96="","",IF(AS96="Y",A96&amp;"_STAAD.std","n/a"))</f>
        <v/>
      </c>
      <c r="AX96" s="10" t="str">
        <f aca="false">IF(A96="","",A96&amp;"_CALC.xlsx")</f>
        <v/>
      </c>
      <c r="AY96" s="10" t="str">
        <f aca="false">IF(A96="","",A96&amp;"_CALC.pdf")</f>
        <v/>
      </c>
      <c r="AZ96" s="9"/>
      <c r="BA96" s="9"/>
      <c r="BB96" s="39"/>
      <c r="BC96" s="39"/>
      <c r="BD96" s="39"/>
      <c r="BE96" s="39"/>
      <c r="BF96" s="39"/>
      <c r="BG96" s="12" t="str">
        <f aca="false">IF(A96="","",IF(COUNTIF(Rebar_Schedule!$A$5:$A$2004,A96)=0,"",ROUND(SUMIF(Rebar_Schedule!$A$5:$A$2004,A96,Rebar_Schedule!$K$5:$K$2004),1)))</f>
        <v/>
      </c>
      <c r="BH96" s="33" t="str">
        <f aca="false">IF(A96="","",IF(BG96="","No rebar schedule yet",IF(ABS(BG96-N(BC96))/MAX(N(BC96),1)&gt;SG_Criteria!$B$55,"NOTE: register rebar differs from schedule by "&amp;TEXT(ABS(BG96-N(BC96))/MAX(N(BC96),1),"0%"),"OK")))</f>
        <v/>
      </c>
      <c r="BI96" s="33" t="str">
        <f aca="false">IF(OR(D96="",E96=""),"",IF(E96&lt;=IF(OR(D96="Block / Segmental",D96="Gabion",D96="Reinforced Earth (MSE)"),SG_Criteria!$B$34,SG_Criteria!$B$33),"No ERSS submission",IF(E96&lt;=SG_Criteria!$B$35,"QP(ST)",IF(E96&lt;=SG_Criteria!$B$36,"QP(ST) + AC","Geotechnical building works: QP(Geo) + AC"))))</f>
        <v/>
      </c>
      <c r="BJ96" s="33" t="str">
        <f aca="false">IF(D96="","",IF(LEN(IF(AND(V96&lt;&gt;"",IFERROR(VALUE(MID(V96,2,2)),0)&lt;SG_Criteria!$B$19),"FAIL: grade below C"&amp;SG_Criteria!$B$19&amp;". ","")&amp;IF(AND(W96&lt;&gt;"",W96&lt;SG_Criteria!$B$20),"FAIL: cover &lt; "&amp;SG_Criteria!$B$20&amp;" mm. ","")&amp;IF(AND(AD96&lt;&gt;"",AD96&lt;1),"FAIL: sliding. ","")&amp;IF(AND(D96="Reverse L-Wall (toe only, at boundary)",N(S96)&gt;0),"NOTE: reverse L-wall should have no heel. ","")&amp;IF(AND(D96="L-Wall (heel only)",N(R96)&gt;0),"NOTE: L-wall should have no toe. ","")&amp;IF(AND(F96&lt;&gt;"",F96&lt;SG_Criteria!$B$31),"NOTE: q below LTA min "&amp;SG_Criteria!$B$31&amp;" kPa (not for LTA works). ",""))=0,"OK",IF(AND(V96&lt;&gt;"",IFERROR(VALUE(MID(V96,2,2)),0)&lt;SG_Criteria!$B$19),"FAIL: grade below C"&amp;SG_Criteria!$B$19&amp;". ","")&amp;IF(AND(W96&lt;&gt;"",W96&lt;SG_Criteria!$B$20),"FAIL: cover &lt; "&amp;SG_Criteria!$B$20&amp;" mm. ","")&amp;IF(AND(AD96&lt;&gt;"",AD96&lt;1),"FAIL: sliding. ","")&amp;IF(AND(D96="Reverse L-Wall (toe only, at boundary)",N(S96)&gt;0),"NOTE: reverse L-wall should have no heel. ","")&amp;IF(AND(D96="L-Wall (heel only)",N(R96)&gt;0),"NOTE: L-wall should have no toe. ","")&amp;IF(AND(F96&lt;&gt;"",F96&lt;SG_Criteria!$B$31),"NOTE: q below LTA min "&amp;SG_Criteria!$B$31&amp;" kPa (not for LTA works). ","")))</f>
        <v/>
      </c>
      <c r="BK96" s="9"/>
      <c r="BL96" s="9"/>
      <c r="BM96" s="9"/>
      <c r="BN96" s="10" t="str">
        <f aca="false">IF(BM96="","",IFERROR(VLOOKUP(BM96,Projects!$A$5:$D$504,2,0),"Ref not in Projects"))</f>
        <v/>
      </c>
      <c r="BO96" s="10" t="str">
        <f aca="false">IF(BM96="","",IFERROR(VLOOKUP(BM96,Projects!$A$5:$D$504,4,0),"Ref not in Projects"))</f>
        <v/>
      </c>
      <c r="BP96" s="9"/>
      <c r="BQ96" s="9"/>
      <c r="BR96" s="9"/>
      <c r="BS96" s="40"/>
      <c r="BT96" s="9"/>
      <c r="BU96" s="40"/>
      <c r="BV96" s="9"/>
      <c r="BW96" s="40"/>
      <c r="BX96" s="9"/>
      <c r="BY96" s="9"/>
      <c r="BZ96" s="9"/>
      <c r="CA96" s="40"/>
      <c r="CB96" s="40"/>
      <c r="CC96" s="36" t="str">
        <f aca="false">IF(CB96="","",EDATE(CB96,SG_Criteria!$B$54*12))</f>
        <v/>
      </c>
      <c r="CD96" s="33" t="str">
        <f aca="true">IF(A96="","",IF(CB96="","NOTE: not reviewed yet",IF(TODAY()&gt;CC96,"NOTE: review overdue","OK")))</f>
        <v/>
      </c>
      <c r="CE96" s="37" t="str">
        <f aca="false">IF(A96="","",ROUND((IF(LEN(D96)&gt;0,1,0)+IF(LEN(E96)&gt;0,1,0)+IF(LEN(F96)&gt;0,1,0)+IF(LEN(G96)&gt;0,1,0)+IF(LEN(I96)&gt;0,1,0)+IF(LEN(K96)&gt;0,1,0)+IF(LEN(P96)&gt;0,1,0)+IF(LEN(Q96)&gt;0,1,0)+IF(LEN(T96)&gt;0,1,0)+IF(LEN(V96)&gt;0,1,0)+IF(LEN(W96)&gt;0,1,0)+IF(LEN(X96)&gt;0,1,0)+IF(LEN(Z96)&gt;0,1,0)+IF(LEN(AD96)&gt;0,1,0)+IF(LEN(AE96)&gt;0,1,0)+IF(LEN(AG96)&gt;0,1,0)+IF(LEN(AI96)&gt;0,1,0)+IF(LEN(BB96)&gt;0,1,0)+IF(LEN(BC96)&gt;0,1,0)+IF(LEN(AM96)&gt;0,1,0)+IF(LEN(AO96)&gt;0,1,0)+IF(LEN(AP96)&gt;0,1,0)+IF(LEN(AQ96)&gt;0,1,0)+IF(LEN(AR96)&gt;0,1,0)+IF(LEN(BA96)&gt;0,1,0)+IF(LEN(BM96)&gt;0,1,0)+IF(LEN(BZ96)&gt;0,1,0))/27,2))</f>
        <v/>
      </c>
      <c r="CF96" s="10" t="str">
        <f aca="false">IF(D96="","",IF(AND(AP96="Approved",ISERROR(SEARCH("FAIL",BJ96))),"Y","N"))</f>
        <v/>
      </c>
      <c r="CG96" s="10" t="str">
        <f aca="false">IF(D96="","",D96&amp;"|"&amp;E96&amp;"|"&amp;F96&amp;"|"&amp;G96&amp;"|"&amp;CF96)</f>
        <v/>
      </c>
    </row>
    <row r="97" customFormat="false" ht="15" hidden="false" customHeight="false" outlineLevel="0" collapsed="false">
      <c r="A97" s="10" t="str">
        <f aca="false">IF(D97="","","RW-"&amp;IFERROR(VLOOKUP(D97,Lists!$M$4:$N$22,2,0),"??")&amp;"-H"&amp;TEXT(E97*1000,"0000")&amp;"-S"&amp;F97&amp;IF(G97="Y","-GW","")&amp;"-"&amp;AO97)</f>
        <v/>
      </c>
      <c r="B97" s="10" t="str">
        <f aca="false">IF(D97="","",D97&amp;", H = "&amp;TEXT(E97,"0.0")&amp;" m, q = "&amp;F97&amp;" kPa"&amp;IF(G97="Y",", with GWT","")&amp;", "&amp;I97)</f>
        <v/>
      </c>
      <c r="C97" s="9"/>
      <c r="D97" s="9"/>
      <c r="E97" s="39"/>
      <c r="F97" s="38"/>
      <c r="G97" s="9"/>
      <c r="H97" s="38"/>
      <c r="I97" s="9"/>
      <c r="J97" s="38"/>
      <c r="K97" s="38"/>
      <c r="L97" s="38"/>
      <c r="M97" s="42"/>
      <c r="N97" s="9"/>
      <c r="O97" s="38"/>
      <c r="P97" s="38"/>
      <c r="Q97" s="38"/>
      <c r="R97" s="38"/>
      <c r="S97" s="38"/>
      <c r="T97" s="38"/>
      <c r="U97" s="9"/>
      <c r="V97" s="9"/>
      <c r="W97" s="38"/>
      <c r="X97" s="9"/>
      <c r="Y97" s="9"/>
      <c r="Z97" s="9"/>
      <c r="AA97" s="9"/>
      <c r="AB97" s="9"/>
      <c r="AC97" s="9"/>
      <c r="AD97" s="39"/>
      <c r="AE97" s="39"/>
      <c r="AF97" s="39"/>
      <c r="AG97" s="38"/>
      <c r="AH97" s="38"/>
      <c r="AI97" s="9"/>
      <c r="AJ97" s="38"/>
      <c r="AK97" s="9"/>
      <c r="AL97" s="39"/>
      <c r="AM97" s="9"/>
      <c r="AN97" s="9"/>
      <c r="AO97" s="9"/>
      <c r="AP97" s="9"/>
      <c r="AQ97" s="9"/>
      <c r="AR97" s="9"/>
      <c r="AS97" s="9"/>
      <c r="AT97" s="10" t="str">
        <f aca="false">IF(A97="","",SG_Criteria!$B$6&amp;SG_Criteria!$B$8&amp;"\"&amp;A97&amp;"\")</f>
        <v/>
      </c>
      <c r="AU97" s="10" t="str">
        <f aca="false">IF(A97="","",A97&amp;"_CAD.dwg")</f>
        <v/>
      </c>
      <c r="AV97" s="10" t="str">
        <f aca="false">IF(A97="","",A97&amp;"_DWG.pdf")</f>
        <v/>
      </c>
      <c r="AW97" s="10" t="str">
        <f aca="false">IF(A97="","",IF(AS97="Y",A97&amp;"_STAAD.std","n/a"))</f>
        <v/>
      </c>
      <c r="AX97" s="10" t="str">
        <f aca="false">IF(A97="","",A97&amp;"_CALC.xlsx")</f>
        <v/>
      </c>
      <c r="AY97" s="10" t="str">
        <f aca="false">IF(A97="","",A97&amp;"_CALC.pdf")</f>
        <v/>
      </c>
      <c r="AZ97" s="9"/>
      <c r="BA97" s="9"/>
      <c r="BB97" s="39"/>
      <c r="BC97" s="39"/>
      <c r="BD97" s="39"/>
      <c r="BE97" s="39"/>
      <c r="BF97" s="39"/>
      <c r="BG97" s="12" t="str">
        <f aca="false">IF(A97="","",IF(COUNTIF(Rebar_Schedule!$A$5:$A$2004,A97)=0,"",ROUND(SUMIF(Rebar_Schedule!$A$5:$A$2004,A97,Rebar_Schedule!$K$5:$K$2004),1)))</f>
        <v/>
      </c>
      <c r="BH97" s="33" t="str">
        <f aca="false">IF(A97="","",IF(BG97="","No rebar schedule yet",IF(ABS(BG97-N(BC97))/MAX(N(BC97),1)&gt;SG_Criteria!$B$55,"NOTE: register rebar differs from schedule by "&amp;TEXT(ABS(BG97-N(BC97))/MAX(N(BC97),1),"0%"),"OK")))</f>
        <v/>
      </c>
      <c r="BI97" s="33" t="str">
        <f aca="false">IF(OR(D97="",E97=""),"",IF(E97&lt;=IF(OR(D97="Block / Segmental",D97="Gabion",D97="Reinforced Earth (MSE)"),SG_Criteria!$B$34,SG_Criteria!$B$33),"No ERSS submission",IF(E97&lt;=SG_Criteria!$B$35,"QP(ST)",IF(E97&lt;=SG_Criteria!$B$36,"QP(ST) + AC","Geotechnical building works: QP(Geo) + AC"))))</f>
        <v/>
      </c>
      <c r="BJ97" s="33" t="str">
        <f aca="false">IF(D97="","",IF(LEN(IF(AND(V97&lt;&gt;"",IFERROR(VALUE(MID(V97,2,2)),0)&lt;SG_Criteria!$B$19),"FAIL: grade below C"&amp;SG_Criteria!$B$19&amp;". ","")&amp;IF(AND(W97&lt;&gt;"",W97&lt;SG_Criteria!$B$20),"FAIL: cover &lt; "&amp;SG_Criteria!$B$20&amp;" mm. ","")&amp;IF(AND(AD97&lt;&gt;"",AD97&lt;1),"FAIL: sliding. ","")&amp;IF(AND(D97="Reverse L-Wall (toe only, at boundary)",N(S97)&gt;0),"NOTE: reverse L-wall should have no heel. ","")&amp;IF(AND(D97="L-Wall (heel only)",N(R97)&gt;0),"NOTE: L-wall should have no toe. ","")&amp;IF(AND(F97&lt;&gt;"",F97&lt;SG_Criteria!$B$31),"NOTE: q below LTA min "&amp;SG_Criteria!$B$31&amp;" kPa (not for LTA works). ",""))=0,"OK",IF(AND(V97&lt;&gt;"",IFERROR(VALUE(MID(V97,2,2)),0)&lt;SG_Criteria!$B$19),"FAIL: grade below C"&amp;SG_Criteria!$B$19&amp;". ","")&amp;IF(AND(W97&lt;&gt;"",W97&lt;SG_Criteria!$B$20),"FAIL: cover &lt; "&amp;SG_Criteria!$B$20&amp;" mm. ","")&amp;IF(AND(AD97&lt;&gt;"",AD97&lt;1),"FAIL: sliding. ","")&amp;IF(AND(D97="Reverse L-Wall (toe only, at boundary)",N(S97)&gt;0),"NOTE: reverse L-wall should have no heel. ","")&amp;IF(AND(D97="L-Wall (heel only)",N(R97)&gt;0),"NOTE: L-wall should have no toe. ","")&amp;IF(AND(F97&lt;&gt;"",F97&lt;SG_Criteria!$B$31),"NOTE: q below LTA min "&amp;SG_Criteria!$B$31&amp;" kPa (not for LTA works). ","")))</f>
        <v/>
      </c>
      <c r="BK97" s="9"/>
      <c r="BL97" s="9"/>
      <c r="BM97" s="9"/>
      <c r="BN97" s="10" t="str">
        <f aca="false">IF(BM97="","",IFERROR(VLOOKUP(BM97,Projects!$A$5:$D$504,2,0),"Ref not in Projects"))</f>
        <v/>
      </c>
      <c r="BO97" s="10" t="str">
        <f aca="false">IF(BM97="","",IFERROR(VLOOKUP(BM97,Projects!$A$5:$D$504,4,0),"Ref not in Projects"))</f>
        <v/>
      </c>
      <c r="BP97" s="9"/>
      <c r="BQ97" s="9"/>
      <c r="BR97" s="9"/>
      <c r="BS97" s="40"/>
      <c r="BT97" s="9"/>
      <c r="BU97" s="40"/>
      <c r="BV97" s="9"/>
      <c r="BW97" s="40"/>
      <c r="BX97" s="9"/>
      <c r="BY97" s="9"/>
      <c r="BZ97" s="9"/>
      <c r="CA97" s="40"/>
      <c r="CB97" s="40"/>
      <c r="CC97" s="36" t="str">
        <f aca="false">IF(CB97="","",EDATE(CB97,SG_Criteria!$B$54*12))</f>
        <v/>
      </c>
      <c r="CD97" s="33" t="str">
        <f aca="true">IF(A97="","",IF(CB97="","NOTE: not reviewed yet",IF(TODAY()&gt;CC97,"NOTE: review overdue","OK")))</f>
        <v/>
      </c>
      <c r="CE97" s="37" t="str">
        <f aca="false">IF(A97="","",ROUND((IF(LEN(D97)&gt;0,1,0)+IF(LEN(E97)&gt;0,1,0)+IF(LEN(F97)&gt;0,1,0)+IF(LEN(G97)&gt;0,1,0)+IF(LEN(I97)&gt;0,1,0)+IF(LEN(K97)&gt;0,1,0)+IF(LEN(P97)&gt;0,1,0)+IF(LEN(Q97)&gt;0,1,0)+IF(LEN(T97)&gt;0,1,0)+IF(LEN(V97)&gt;0,1,0)+IF(LEN(W97)&gt;0,1,0)+IF(LEN(X97)&gt;0,1,0)+IF(LEN(Z97)&gt;0,1,0)+IF(LEN(AD97)&gt;0,1,0)+IF(LEN(AE97)&gt;0,1,0)+IF(LEN(AG97)&gt;0,1,0)+IF(LEN(AI97)&gt;0,1,0)+IF(LEN(BB97)&gt;0,1,0)+IF(LEN(BC97)&gt;0,1,0)+IF(LEN(AM97)&gt;0,1,0)+IF(LEN(AO97)&gt;0,1,0)+IF(LEN(AP97)&gt;0,1,0)+IF(LEN(AQ97)&gt;0,1,0)+IF(LEN(AR97)&gt;0,1,0)+IF(LEN(BA97)&gt;0,1,0)+IF(LEN(BM97)&gt;0,1,0)+IF(LEN(BZ97)&gt;0,1,0))/27,2))</f>
        <v/>
      </c>
      <c r="CF97" s="10" t="str">
        <f aca="false">IF(D97="","",IF(AND(AP97="Approved",ISERROR(SEARCH("FAIL",BJ97))),"Y","N"))</f>
        <v/>
      </c>
      <c r="CG97" s="10" t="str">
        <f aca="false">IF(D97="","",D97&amp;"|"&amp;E97&amp;"|"&amp;F97&amp;"|"&amp;G97&amp;"|"&amp;CF97)</f>
        <v/>
      </c>
    </row>
    <row r="98" customFormat="false" ht="15" hidden="false" customHeight="false" outlineLevel="0" collapsed="false">
      <c r="A98" s="10" t="str">
        <f aca="false">IF(D98="","","RW-"&amp;IFERROR(VLOOKUP(D98,Lists!$M$4:$N$22,2,0),"??")&amp;"-H"&amp;TEXT(E98*1000,"0000")&amp;"-S"&amp;F98&amp;IF(G98="Y","-GW","")&amp;"-"&amp;AO98)</f>
        <v/>
      </c>
      <c r="B98" s="10" t="str">
        <f aca="false">IF(D98="","",D98&amp;", H = "&amp;TEXT(E98,"0.0")&amp;" m, q = "&amp;F98&amp;" kPa"&amp;IF(G98="Y",", with GWT","")&amp;", "&amp;I98)</f>
        <v/>
      </c>
      <c r="C98" s="9"/>
      <c r="D98" s="9"/>
      <c r="E98" s="39"/>
      <c r="F98" s="38"/>
      <c r="G98" s="9"/>
      <c r="H98" s="38"/>
      <c r="I98" s="9"/>
      <c r="J98" s="38"/>
      <c r="K98" s="38"/>
      <c r="L98" s="38"/>
      <c r="M98" s="42"/>
      <c r="N98" s="9"/>
      <c r="O98" s="38"/>
      <c r="P98" s="38"/>
      <c r="Q98" s="38"/>
      <c r="R98" s="38"/>
      <c r="S98" s="38"/>
      <c r="T98" s="38"/>
      <c r="U98" s="9"/>
      <c r="V98" s="9"/>
      <c r="W98" s="38"/>
      <c r="X98" s="9"/>
      <c r="Y98" s="9"/>
      <c r="Z98" s="9"/>
      <c r="AA98" s="9"/>
      <c r="AB98" s="9"/>
      <c r="AC98" s="9"/>
      <c r="AD98" s="39"/>
      <c r="AE98" s="39"/>
      <c r="AF98" s="39"/>
      <c r="AG98" s="38"/>
      <c r="AH98" s="38"/>
      <c r="AI98" s="9"/>
      <c r="AJ98" s="38"/>
      <c r="AK98" s="9"/>
      <c r="AL98" s="39"/>
      <c r="AM98" s="9"/>
      <c r="AN98" s="9"/>
      <c r="AO98" s="9"/>
      <c r="AP98" s="9"/>
      <c r="AQ98" s="9"/>
      <c r="AR98" s="9"/>
      <c r="AS98" s="9"/>
      <c r="AT98" s="10" t="str">
        <f aca="false">IF(A98="","",SG_Criteria!$B$6&amp;SG_Criteria!$B$8&amp;"\"&amp;A98&amp;"\")</f>
        <v/>
      </c>
      <c r="AU98" s="10" t="str">
        <f aca="false">IF(A98="","",A98&amp;"_CAD.dwg")</f>
        <v/>
      </c>
      <c r="AV98" s="10" t="str">
        <f aca="false">IF(A98="","",A98&amp;"_DWG.pdf")</f>
        <v/>
      </c>
      <c r="AW98" s="10" t="str">
        <f aca="false">IF(A98="","",IF(AS98="Y",A98&amp;"_STAAD.std","n/a"))</f>
        <v/>
      </c>
      <c r="AX98" s="10" t="str">
        <f aca="false">IF(A98="","",A98&amp;"_CALC.xlsx")</f>
        <v/>
      </c>
      <c r="AY98" s="10" t="str">
        <f aca="false">IF(A98="","",A98&amp;"_CALC.pdf")</f>
        <v/>
      </c>
      <c r="AZ98" s="9"/>
      <c r="BA98" s="9"/>
      <c r="BB98" s="39"/>
      <c r="BC98" s="39"/>
      <c r="BD98" s="39"/>
      <c r="BE98" s="39"/>
      <c r="BF98" s="39"/>
      <c r="BG98" s="12" t="str">
        <f aca="false">IF(A98="","",IF(COUNTIF(Rebar_Schedule!$A$5:$A$2004,A98)=0,"",ROUND(SUMIF(Rebar_Schedule!$A$5:$A$2004,A98,Rebar_Schedule!$K$5:$K$2004),1)))</f>
        <v/>
      </c>
      <c r="BH98" s="33" t="str">
        <f aca="false">IF(A98="","",IF(BG98="","No rebar schedule yet",IF(ABS(BG98-N(BC98))/MAX(N(BC98),1)&gt;SG_Criteria!$B$55,"NOTE: register rebar differs from schedule by "&amp;TEXT(ABS(BG98-N(BC98))/MAX(N(BC98),1),"0%"),"OK")))</f>
        <v/>
      </c>
      <c r="BI98" s="33" t="str">
        <f aca="false">IF(OR(D98="",E98=""),"",IF(E98&lt;=IF(OR(D98="Block / Segmental",D98="Gabion",D98="Reinforced Earth (MSE)"),SG_Criteria!$B$34,SG_Criteria!$B$33),"No ERSS submission",IF(E98&lt;=SG_Criteria!$B$35,"QP(ST)",IF(E98&lt;=SG_Criteria!$B$36,"QP(ST) + AC","Geotechnical building works: QP(Geo) + AC"))))</f>
        <v/>
      </c>
      <c r="BJ98" s="33" t="str">
        <f aca="false">IF(D98="","",IF(LEN(IF(AND(V98&lt;&gt;"",IFERROR(VALUE(MID(V98,2,2)),0)&lt;SG_Criteria!$B$19),"FAIL: grade below C"&amp;SG_Criteria!$B$19&amp;". ","")&amp;IF(AND(W98&lt;&gt;"",W98&lt;SG_Criteria!$B$20),"FAIL: cover &lt; "&amp;SG_Criteria!$B$20&amp;" mm. ","")&amp;IF(AND(AD98&lt;&gt;"",AD98&lt;1),"FAIL: sliding. ","")&amp;IF(AND(D98="Reverse L-Wall (toe only, at boundary)",N(S98)&gt;0),"NOTE: reverse L-wall should have no heel. ","")&amp;IF(AND(D98="L-Wall (heel only)",N(R98)&gt;0),"NOTE: L-wall should have no toe. ","")&amp;IF(AND(F98&lt;&gt;"",F98&lt;SG_Criteria!$B$31),"NOTE: q below LTA min "&amp;SG_Criteria!$B$31&amp;" kPa (not for LTA works). ",""))=0,"OK",IF(AND(V98&lt;&gt;"",IFERROR(VALUE(MID(V98,2,2)),0)&lt;SG_Criteria!$B$19),"FAIL: grade below C"&amp;SG_Criteria!$B$19&amp;". ","")&amp;IF(AND(W98&lt;&gt;"",W98&lt;SG_Criteria!$B$20),"FAIL: cover &lt; "&amp;SG_Criteria!$B$20&amp;" mm. ","")&amp;IF(AND(AD98&lt;&gt;"",AD98&lt;1),"FAIL: sliding. ","")&amp;IF(AND(D98="Reverse L-Wall (toe only, at boundary)",N(S98)&gt;0),"NOTE: reverse L-wall should have no heel. ","")&amp;IF(AND(D98="L-Wall (heel only)",N(R98)&gt;0),"NOTE: L-wall should have no toe. ","")&amp;IF(AND(F98&lt;&gt;"",F98&lt;SG_Criteria!$B$31),"NOTE: q below LTA min "&amp;SG_Criteria!$B$31&amp;" kPa (not for LTA works). ","")))</f>
        <v/>
      </c>
      <c r="BK98" s="9"/>
      <c r="BL98" s="9"/>
      <c r="BM98" s="9"/>
      <c r="BN98" s="10" t="str">
        <f aca="false">IF(BM98="","",IFERROR(VLOOKUP(BM98,Projects!$A$5:$D$504,2,0),"Ref not in Projects"))</f>
        <v/>
      </c>
      <c r="BO98" s="10" t="str">
        <f aca="false">IF(BM98="","",IFERROR(VLOOKUP(BM98,Projects!$A$5:$D$504,4,0),"Ref not in Projects"))</f>
        <v/>
      </c>
      <c r="BP98" s="9"/>
      <c r="BQ98" s="9"/>
      <c r="BR98" s="9"/>
      <c r="BS98" s="40"/>
      <c r="BT98" s="9"/>
      <c r="BU98" s="40"/>
      <c r="BV98" s="9"/>
      <c r="BW98" s="40"/>
      <c r="BX98" s="9"/>
      <c r="BY98" s="9"/>
      <c r="BZ98" s="9"/>
      <c r="CA98" s="40"/>
      <c r="CB98" s="40"/>
      <c r="CC98" s="36" t="str">
        <f aca="false">IF(CB98="","",EDATE(CB98,SG_Criteria!$B$54*12))</f>
        <v/>
      </c>
      <c r="CD98" s="33" t="str">
        <f aca="true">IF(A98="","",IF(CB98="","NOTE: not reviewed yet",IF(TODAY()&gt;CC98,"NOTE: review overdue","OK")))</f>
        <v/>
      </c>
      <c r="CE98" s="37" t="str">
        <f aca="false">IF(A98="","",ROUND((IF(LEN(D98)&gt;0,1,0)+IF(LEN(E98)&gt;0,1,0)+IF(LEN(F98)&gt;0,1,0)+IF(LEN(G98)&gt;0,1,0)+IF(LEN(I98)&gt;0,1,0)+IF(LEN(K98)&gt;0,1,0)+IF(LEN(P98)&gt;0,1,0)+IF(LEN(Q98)&gt;0,1,0)+IF(LEN(T98)&gt;0,1,0)+IF(LEN(V98)&gt;0,1,0)+IF(LEN(W98)&gt;0,1,0)+IF(LEN(X98)&gt;0,1,0)+IF(LEN(Z98)&gt;0,1,0)+IF(LEN(AD98)&gt;0,1,0)+IF(LEN(AE98)&gt;0,1,0)+IF(LEN(AG98)&gt;0,1,0)+IF(LEN(AI98)&gt;0,1,0)+IF(LEN(BB98)&gt;0,1,0)+IF(LEN(BC98)&gt;0,1,0)+IF(LEN(AM98)&gt;0,1,0)+IF(LEN(AO98)&gt;0,1,0)+IF(LEN(AP98)&gt;0,1,0)+IF(LEN(AQ98)&gt;0,1,0)+IF(LEN(AR98)&gt;0,1,0)+IF(LEN(BA98)&gt;0,1,0)+IF(LEN(BM98)&gt;0,1,0)+IF(LEN(BZ98)&gt;0,1,0))/27,2))</f>
        <v/>
      </c>
      <c r="CF98" s="10" t="str">
        <f aca="false">IF(D98="","",IF(AND(AP98="Approved",ISERROR(SEARCH("FAIL",BJ98))),"Y","N"))</f>
        <v/>
      </c>
      <c r="CG98" s="10" t="str">
        <f aca="false">IF(D98="","",D98&amp;"|"&amp;E98&amp;"|"&amp;F98&amp;"|"&amp;G98&amp;"|"&amp;CF98)</f>
        <v/>
      </c>
    </row>
    <row r="99" customFormat="false" ht="15" hidden="false" customHeight="false" outlineLevel="0" collapsed="false">
      <c r="A99" s="10" t="str">
        <f aca="false">IF(D99="","","RW-"&amp;IFERROR(VLOOKUP(D99,Lists!$M$4:$N$22,2,0),"??")&amp;"-H"&amp;TEXT(E99*1000,"0000")&amp;"-S"&amp;F99&amp;IF(G99="Y","-GW","")&amp;"-"&amp;AO99)</f>
        <v/>
      </c>
      <c r="B99" s="10" t="str">
        <f aca="false">IF(D99="","",D99&amp;", H = "&amp;TEXT(E99,"0.0")&amp;" m, q = "&amp;F99&amp;" kPa"&amp;IF(G99="Y",", with GWT","")&amp;", "&amp;I99)</f>
        <v/>
      </c>
      <c r="C99" s="9"/>
      <c r="D99" s="9"/>
      <c r="E99" s="39"/>
      <c r="F99" s="38"/>
      <c r="G99" s="9"/>
      <c r="H99" s="38"/>
      <c r="I99" s="9"/>
      <c r="J99" s="38"/>
      <c r="K99" s="38"/>
      <c r="L99" s="38"/>
      <c r="M99" s="42"/>
      <c r="N99" s="9"/>
      <c r="O99" s="38"/>
      <c r="P99" s="38"/>
      <c r="Q99" s="38"/>
      <c r="R99" s="38"/>
      <c r="S99" s="38"/>
      <c r="T99" s="38"/>
      <c r="U99" s="9"/>
      <c r="V99" s="9"/>
      <c r="W99" s="38"/>
      <c r="X99" s="9"/>
      <c r="Y99" s="9"/>
      <c r="Z99" s="9"/>
      <c r="AA99" s="9"/>
      <c r="AB99" s="9"/>
      <c r="AC99" s="9"/>
      <c r="AD99" s="39"/>
      <c r="AE99" s="39"/>
      <c r="AF99" s="39"/>
      <c r="AG99" s="38"/>
      <c r="AH99" s="38"/>
      <c r="AI99" s="9"/>
      <c r="AJ99" s="38"/>
      <c r="AK99" s="9"/>
      <c r="AL99" s="39"/>
      <c r="AM99" s="9"/>
      <c r="AN99" s="9"/>
      <c r="AO99" s="9"/>
      <c r="AP99" s="9"/>
      <c r="AQ99" s="9"/>
      <c r="AR99" s="9"/>
      <c r="AS99" s="9"/>
      <c r="AT99" s="10" t="str">
        <f aca="false">IF(A99="","",SG_Criteria!$B$6&amp;SG_Criteria!$B$8&amp;"\"&amp;A99&amp;"\")</f>
        <v/>
      </c>
      <c r="AU99" s="10" t="str">
        <f aca="false">IF(A99="","",A99&amp;"_CAD.dwg")</f>
        <v/>
      </c>
      <c r="AV99" s="10" t="str">
        <f aca="false">IF(A99="","",A99&amp;"_DWG.pdf")</f>
        <v/>
      </c>
      <c r="AW99" s="10" t="str">
        <f aca="false">IF(A99="","",IF(AS99="Y",A99&amp;"_STAAD.std","n/a"))</f>
        <v/>
      </c>
      <c r="AX99" s="10" t="str">
        <f aca="false">IF(A99="","",A99&amp;"_CALC.xlsx")</f>
        <v/>
      </c>
      <c r="AY99" s="10" t="str">
        <f aca="false">IF(A99="","",A99&amp;"_CALC.pdf")</f>
        <v/>
      </c>
      <c r="AZ99" s="9"/>
      <c r="BA99" s="9"/>
      <c r="BB99" s="39"/>
      <c r="BC99" s="39"/>
      <c r="BD99" s="39"/>
      <c r="BE99" s="39"/>
      <c r="BF99" s="39"/>
      <c r="BG99" s="12" t="str">
        <f aca="false">IF(A99="","",IF(COUNTIF(Rebar_Schedule!$A$5:$A$2004,A99)=0,"",ROUND(SUMIF(Rebar_Schedule!$A$5:$A$2004,A99,Rebar_Schedule!$K$5:$K$2004),1)))</f>
        <v/>
      </c>
      <c r="BH99" s="33" t="str">
        <f aca="false">IF(A99="","",IF(BG99="","No rebar schedule yet",IF(ABS(BG99-N(BC99))/MAX(N(BC99),1)&gt;SG_Criteria!$B$55,"NOTE: register rebar differs from schedule by "&amp;TEXT(ABS(BG99-N(BC99))/MAX(N(BC99),1),"0%"),"OK")))</f>
        <v/>
      </c>
      <c r="BI99" s="33" t="str">
        <f aca="false">IF(OR(D99="",E99=""),"",IF(E99&lt;=IF(OR(D99="Block / Segmental",D99="Gabion",D99="Reinforced Earth (MSE)"),SG_Criteria!$B$34,SG_Criteria!$B$33),"No ERSS submission",IF(E99&lt;=SG_Criteria!$B$35,"QP(ST)",IF(E99&lt;=SG_Criteria!$B$36,"QP(ST) + AC","Geotechnical building works: QP(Geo) + AC"))))</f>
        <v/>
      </c>
      <c r="BJ99" s="33" t="str">
        <f aca="false">IF(D99="","",IF(LEN(IF(AND(V99&lt;&gt;"",IFERROR(VALUE(MID(V99,2,2)),0)&lt;SG_Criteria!$B$19),"FAIL: grade below C"&amp;SG_Criteria!$B$19&amp;". ","")&amp;IF(AND(W99&lt;&gt;"",W99&lt;SG_Criteria!$B$20),"FAIL: cover &lt; "&amp;SG_Criteria!$B$20&amp;" mm. ","")&amp;IF(AND(AD99&lt;&gt;"",AD99&lt;1),"FAIL: sliding. ","")&amp;IF(AND(D99="Reverse L-Wall (toe only, at boundary)",N(S99)&gt;0),"NOTE: reverse L-wall should have no heel. ","")&amp;IF(AND(D99="L-Wall (heel only)",N(R99)&gt;0),"NOTE: L-wall should have no toe. ","")&amp;IF(AND(F99&lt;&gt;"",F99&lt;SG_Criteria!$B$31),"NOTE: q below LTA min "&amp;SG_Criteria!$B$31&amp;" kPa (not for LTA works). ",""))=0,"OK",IF(AND(V99&lt;&gt;"",IFERROR(VALUE(MID(V99,2,2)),0)&lt;SG_Criteria!$B$19),"FAIL: grade below C"&amp;SG_Criteria!$B$19&amp;". ","")&amp;IF(AND(W99&lt;&gt;"",W99&lt;SG_Criteria!$B$20),"FAIL: cover &lt; "&amp;SG_Criteria!$B$20&amp;" mm. ","")&amp;IF(AND(AD99&lt;&gt;"",AD99&lt;1),"FAIL: sliding. ","")&amp;IF(AND(D99="Reverse L-Wall (toe only, at boundary)",N(S99)&gt;0),"NOTE: reverse L-wall should have no heel. ","")&amp;IF(AND(D99="L-Wall (heel only)",N(R99)&gt;0),"NOTE: L-wall should have no toe. ","")&amp;IF(AND(F99&lt;&gt;"",F99&lt;SG_Criteria!$B$31),"NOTE: q below LTA min "&amp;SG_Criteria!$B$31&amp;" kPa (not for LTA works). ","")))</f>
        <v/>
      </c>
      <c r="BK99" s="9"/>
      <c r="BL99" s="9"/>
      <c r="BM99" s="9"/>
      <c r="BN99" s="10" t="str">
        <f aca="false">IF(BM99="","",IFERROR(VLOOKUP(BM99,Projects!$A$5:$D$504,2,0),"Ref not in Projects"))</f>
        <v/>
      </c>
      <c r="BO99" s="10" t="str">
        <f aca="false">IF(BM99="","",IFERROR(VLOOKUP(BM99,Projects!$A$5:$D$504,4,0),"Ref not in Projects"))</f>
        <v/>
      </c>
      <c r="BP99" s="9"/>
      <c r="BQ99" s="9"/>
      <c r="BR99" s="9"/>
      <c r="BS99" s="40"/>
      <c r="BT99" s="9"/>
      <c r="BU99" s="40"/>
      <c r="BV99" s="9"/>
      <c r="BW99" s="40"/>
      <c r="BX99" s="9"/>
      <c r="BY99" s="9"/>
      <c r="BZ99" s="9"/>
      <c r="CA99" s="40"/>
      <c r="CB99" s="40"/>
      <c r="CC99" s="36" t="str">
        <f aca="false">IF(CB99="","",EDATE(CB99,SG_Criteria!$B$54*12))</f>
        <v/>
      </c>
      <c r="CD99" s="33" t="str">
        <f aca="true">IF(A99="","",IF(CB99="","NOTE: not reviewed yet",IF(TODAY()&gt;CC99,"NOTE: review overdue","OK")))</f>
        <v/>
      </c>
      <c r="CE99" s="37" t="str">
        <f aca="false">IF(A99="","",ROUND((IF(LEN(D99)&gt;0,1,0)+IF(LEN(E99)&gt;0,1,0)+IF(LEN(F99)&gt;0,1,0)+IF(LEN(G99)&gt;0,1,0)+IF(LEN(I99)&gt;0,1,0)+IF(LEN(K99)&gt;0,1,0)+IF(LEN(P99)&gt;0,1,0)+IF(LEN(Q99)&gt;0,1,0)+IF(LEN(T99)&gt;0,1,0)+IF(LEN(V99)&gt;0,1,0)+IF(LEN(W99)&gt;0,1,0)+IF(LEN(X99)&gt;0,1,0)+IF(LEN(Z99)&gt;0,1,0)+IF(LEN(AD99)&gt;0,1,0)+IF(LEN(AE99)&gt;0,1,0)+IF(LEN(AG99)&gt;0,1,0)+IF(LEN(AI99)&gt;0,1,0)+IF(LEN(BB99)&gt;0,1,0)+IF(LEN(BC99)&gt;0,1,0)+IF(LEN(AM99)&gt;0,1,0)+IF(LEN(AO99)&gt;0,1,0)+IF(LEN(AP99)&gt;0,1,0)+IF(LEN(AQ99)&gt;0,1,0)+IF(LEN(AR99)&gt;0,1,0)+IF(LEN(BA99)&gt;0,1,0)+IF(LEN(BM99)&gt;0,1,0)+IF(LEN(BZ99)&gt;0,1,0))/27,2))</f>
        <v/>
      </c>
      <c r="CF99" s="10" t="str">
        <f aca="false">IF(D99="","",IF(AND(AP99="Approved",ISERROR(SEARCH("FAIL",BJ99))),"Y","N"))</f>
        <v/>
      </c>
      <c r="CG99" s="10" t="str">
        <f aca="false">IF(D99="","",D99&amp;"|"&amp;E99&amp;"|"&amp;F99&amp;"|"&amp;G99&amp;"|"&amp;CF99)</f>
        <v/>
      </c>
    </row>
    <row r="100" customFormat="false" ht="15" hidden="false" customHeight="false" outlineLevel="0" collapsed="false">
      <c r="A100" s="10" t="str">
        <f aca="false">IF(D100="","","RW-"&amp;IFERROR(VLOOKUP(D100,Lists!$M$4:$N$22,2,0),"??")&amp;"-H"&amp;TEXT(E100*1000,"0000")&amp;"-S"&amp;F100&amp;IF(G100="Y","-GW","")&amp;"-"&amp;AO100)</f>
        <v/>
      </c>
      <c r="B100" s="10" t="str">
        <f aca="false">IF(D100="","",D100&amp;", H = "&amp;TEXT(E100,"0.0")&amp;" m, q = "&amp;F100&amp;" kPa"&amp;IF(G100="Y",", with GWT","")&amp;", "&amp;I100)</f>
        <v/>
      </c>
      <c r="C100" s="9"/>
      <c r="D100" s="9"/>
      <c r="E100" s="39"/>
      <c r="F100" s="38"/>
      <c r="G100" s="9"/>
      <c r="H100" s="38"/>
      <c r="I100" s="9"/>
      <c r="J100" s="38"/>
      <c r="K100" s="38"/>
      <c r="L100" s="38"/>
      <c r="M100" s="42"/>
      <c r="N100" s="9"/>
      <c r="O100" s="38"/>
      <c r="P100" s="38"/>
      <c r="Q100" s="38"/>
      <c r="R100" s="38"/>
      <c r="S100" s="38"/>
      <c r="T100" s="38"/>
      <c r="U100" s="9"/>
      <c r="V100" s="9"/>
      <c r="W100" s="38"/>
      <c r="X100" s="9"/>
      <c r="Y100" s="9"/>
      <c r="Z100" s="9"/>
      <c r="AA100" s="9"/>
      <c r="AB100" s="9"/>
      <c r="AC100" s="9"/>
      <c r="AD100" s="39"/>
      <c r="AE100" s="39"/>
      <c r="AF100" s="39"/>
      <c r="AG100" s="38"/>
      <c r="AH100" s="38"/>
      <c r="AI100" s="9"/>
      <c r="AJ100" s="38"/>
      <c r="AK100" s="9"/>
      <c r="AL100" s="39"/>
      <c r="AM100" s="9"/>
      <c r="AN100" s="9"/>
      <c r="AO100" s="9"/>
      <c r="AP100" s="9"/>
      <c r="AQ100" s="9"/>
      <c r="AR100" s="9"/>
      <c r="AS100" s="9"/>
      <c r="AT100" s="10" t="str">
        <f aca="false">IF(A100="","",SG_Criteria!$B$6&amp;SG_Criteria!$B$8&amp;"\"&amp;A100&amp;"\")</f>
        <v/>
      </c>
      <c r="AU100" s="10" t="str">
        <f aca="false">IF(A100="","",A100&amp;"_CAD.dwg")</f>
        <v/>
      </c>
      <c r="AV100" s="10" t="str">
        <f aca="false">IF(A100="","",A100&amp;"_DWG.pdf")</f>
        <v/>
      </c>
      <c r="AW100" s="10" t="str">
        <f aca="false">IF(A100="","",IF(AS100="Y",A100&amp;"_STAAD.std","n/a"))</f>
        <v/>
      </c>
      <c r="AX100" s="10" t="str">
        <f aca="false">IF(A100="","",A100&amp;"_CALC.xlsx")</f>
        <v/>
      </c>
      <c r="AY100" s="10" t="str">
        <f aca="false">IF(A100="","",A100&amp;"_CALC.pdf")</f>
        <v/>
      </c>
      <c r="AZ100" s="9"/>
      <c r="BA100" s="9"/>
      <c r="BB100" s="39"/>
      <c r="BC100" s="39"/>
      <c r="BD100" s="39"/>
      <c r="BE100" s="39"/>
      <c r="BF100" s="39"/>
      <c r="BG100" s="12" t="str">
        <f aca="false">IF(A100="","",IF(COUNTIF(Rebar_Schedule!$A$5:$A$2004,A100)=0,"",ROUND(SUMIF(Rebar_Schedule!$A$5:$A$2004,A100,Rebar_Schedule!$K$5:$K$2004),1)))</f>
        <v/>
      </c>
      <c r="BH100" s="33" t="str">
        <f aca="false">IF(A100="","",IF(BG100="","No rebar schedule yet",IF(ABS(BG100-N(BC100))/MAX(N(BC100),1)&gt;SG_Criteria!$B$55,"NOTE: register rebar differs from schedule by "&amp;TEXT(ABS(BG100-N(BC100))/MAX(N(BC100),1),"0%"),"OK")))</f>
        <v/>
      </c>
      <c r="BI100" s="33" t="str">
        <f aca="false">IF(OR(D100="",E100=""),"",IF(E100&lt;=IF(OR(D100="Block / Segmental",D100="Gabion",D100="Reinforced Earth (MSE)"),SG_Criteria!$B$34,SG_Criteria!$B$33),"No ERSS submission",IF(E100&lt;=SG_Criteria!$B$35,"QP(ST)",IF(E100&lt;=SG_Criteria!$B$36,"QP(ST) + AC","Geotechnical building works: QP(Geo) + AC"))))</f>
        <v/>
      </c>
      <c r="BJ100" s="33" t="str">
        <f aca="false">IF(D100="","",IF(LEN(IF(AND(V100&lt;&gt;"",IFERROR(VALUE(MID(V100,2,2)),0)&lt;SG_Criteria!$B$19),"FAIL: grade below C"&amp;SG_Criteria!$B$19&amp;". ","")&amp;IF(AND(W100&lt;&gt;"",W100&lt;SG_Criteria!$B$20),"FAIL: cover &lt; "&amp;SG_Criteria!$B$20&amp;" mm. ","")&amp;IF(AND(AD100&lt;&gt;"",AD100&lt;1),"FAIL: sliding. ","")&amp;IF(AND(D100="Reverse L-Wall (toe only, at boundary)",N(S100)&gt;0),"NOTE: reverse L-wall should have no heel. ","")&amp;IF(AND(D100="L-Wall (heel only)",N(R100)&gt;0),"NOTE: L-wall should have no toe. ","")&amp;IF(AND(F100&lt;&gt;"",F100&lt;SG_Criteria!$B$31),"NOTE: q below LTA min "&amp;SG_Criteria!$B$31&amp;" kPa (not for LTA works). ",""))=0,"OK",IF(AND(V100&lt;&gt;"",IFERROR(VALUE(MID(V100,2,2)),0)&lt;SG_Criteria!$B$19),"FAIL: grade below C"&amp;SG_Criteria!$B$19&amp;". ","")&amp;IF(AND(W100&lt;&gt;"",W100&lt;SG_Criteria!$B$20),"FAIL: cover &lt; "&amp;SG_Criteria!$B$20&amp;" mm. ","")&amp;IF(AND(AD100&lt;&gt;"",AD100&lt;1),"FAIL: sliding. ","")&amp;IF(AND(D100="Reverse L-Wall (toe only, at boundary)",N(S100)&gt;0),"NOTE: reverse L-wall should have no heel. ","")&amp;IF(AND(D100="L-Wall (heel only)",N(R100)&gt;0),"NOTE: L-wall should have no toe. ","")&amp;IF(AND(F100&lt;&gt;"",F100&lt;SG_Criteria!$B$31),"NOTE: q below LTA min "&amp;SG_Criteria!$B$31&amp;" kPa (not for LTA works). ","")))</f>
        <v/>
      </c>
      <c r="BK100" s="9"/>
      <c r="BL100" s="9"/>
      <c r="BM100" s="9"/>
      <c r="BN100" s="10" t="str">
        <f aca="false">IF(BM100="","",IFERROR(VLOOKUP(BM100,Projects!$A$5:$D$504,2,0),"Ref not in Projects"))</f>
        <v/>
      </c>
      <c r="BO100" s="10" t="str">
        <f aca="false">IF(BM100="","",IFERROR(VLOOKUP(BM100,Projects!$A$5:$D$504,4,0),"Ref not in Projects"))</f>
        <v/>
      </c>
      <c r="BP100" s="9"/>
      <c r="BQ100" s="9"/>
      <c r="BR100" s="9"/>
      <c r="BS100" s="40"/>
      <c r="BT100" s="9"/>
      <c r="BU100" s="40"/>
      <c r="BV100" s="9"/>
      <c r="BW100" s="40"/>
      <c r="BX100" s="9"/>
      <c r="BY100" s="9"/>
      <c r="BZ100" s="9"/>
      <c r="CA100" s="40"/>
      <c r="CB100" s="40"/>
      <c r="CC100" s="36" t="str">
        <f aca="false">IF(CB100="","",EDATE(CB100,SG_Criteria!$B$54*12))</f>
        <v/>
      </c>
      <c r="CD100" s="33" t="str">
        <f aca="true">IF(A100="","",IF(CB100="","NOTE: not reviewed yet",IF(TODAY()&gt;CC100,"NOTE: review overdue","OK")))</f>
        <v/>
      </c>
      <c r="CE100" s="37" t="str">
        <f aca="false">IF(A100="","",ROUND((IF(LEN(D100)&gt;0,1,0)+IF(LEN(E100)&gt;0,1,0)+IF(LEN(F100)&gt;0,1,0)+IF(LEN(G100)&gt;0,1,0)+IF(LEN(I100)&gt;0,1,0)+IF(LEN(K100)&gt;0,1,0)+IF(LEN(P100)&gt;0,1,0)+IF(LEN(Q100)&gt;0,1,0)+IF(LEN(T100)&gt;0,1,0)+IF(LEN(V100)&gt;0,1,0)+IF(LEN(W100)&gt;0,1,0)+IF(LEN(X100)&gt;0,1,0)+IF(LEN(Z100)&gt;0,1,0)+IF(LEN(AD100)&gt;0,1,0)+IF(LEN(AE100)&gt;0,1,0)+IF(LEN(AG100)&gt;0,1,0)+IF(LEN(AI100)&gt;0,1,0)+IF(LEN(BB100)&gt;0,1,0)+IF(LEN(BC100)&gt;0,1,0)+IF(LEN(AM100)&gt;0,1,0)+IF(LEN(AO100)&gt;0,1,0)+IF(LEN(AP100)&gt;0,1,0)+IF(LEN(AQ100)&gt;0,1,0)+IF(LEN(AR100)&gt;0,1,0)+IF(LEN(BA100)&gt;0,1,0)+IF(LEN(BM100)&gt;0,1,0)+IF(LEN(BZ100)&gt;0,1,0))/27,2))</f>
        <v/>
      </c>
      <c r="CF100" s="10" t="str">
        <f aca="false">IF(D100="","",IF(AND(AP100="Approved",ISERROR(SEARCH("FAIL",BJ100))),"Y","N"))</f>
        <v/>
      </c>
      <c r="CG100" s="10" t="str">
        <f aca="false">IF(D100="","",D100&amp;"|"&amp;E100&amp;"|"&amp;F100&amp;"|"&amp;G100&amp;"|"&amp;CF100)</f>
        <v/>
      </c>
    </row>
    <row r="101" customFormat="false" ht="15" hidden="false" customHeight="false" outlineLevel="0" collapsed="false">
      <c r="A101" s="10" t="str">
        <f aca="false">IF(D101="","","RW-"&amp;IFERROR(VLOOKUP(D101,Lists!$M$4:$N$22,2,0),"??")&amp;"-H"&amp;TEXT(E101*1000,"0000")&amp;"-S"&amp;F101&amp;IF(G101="Y","-GW","")&amp;"-"&amp;AO101)</f>
        <v/>
      </c>
      <c r="B101" s="10" t="str">
        <f aca="false">IF(D101="","",D101&amp;", H = "&amp;TEXT(E101,"0.0")&amp;" m, q = "&amp;F101&amp;" kPa"&amp;IF(G101="Y",", with GWT","")&amp;", "&amp;I101)</f>
        <v/>
      </c>
      <c r="C101" s="9"/>
      <c r="D101" s="9"/>
      <c r="E101" s="39"/>
      <c r="F101" s="38"/>
      <c r="G101" s="9"/>
      <c r="H101" s="38"/>
      <c r="I101" s="9"/>
      <c r="J101" s="38"/>
      <c r="K101" s="38"/>
      <c r="L101" s="38"/>
      <c r="M101" s="42"/>
      <c r="N101" s="9"/>
      <c r="O101" s="38"/>
      <c r="P101" s="38"/>
      <c r="Q101" s="38"/>
      <c r="R101" s="38"/>
      <c r="S101" s="38"/>
      <c r="T101" s="38"/>
      <c r="U101" s="9"/>
      <c r="V101" s="9"/>
      <c r="W101" s="38"/>
      <c r="X101" s="9"/>
      <c r="Y101" s="9"/>
      <c r="Z101" s="9"/>
      <c r="AA101" s="9"/>
      <c r="AB101" s="9"/>
      <c r="AC101" s="9"/>
      <c r="AD101" s="39"/>
      <c r="AE101" s="39"/>
      <c r="AF101" s="39"/>
      <c r="AG101" s="38"/>
      <c r="AH101" s="38"/>
      <c r="AI101" s="9"/>
      <c r="AJ101" s="38"/>
      <c r="AK101" s="9"/>
      <c r="AL101" s="39"/>
      <c r="AM101" s="9"/>
      <c r="AN101" s="9"/>
      <c r="AO101" s="9"/>
      <c r="AP101" s="9"/>
      <c r="AQ101" s="9"/>
      <c r="AR101" s="9"/>
      <c r="AS101" s="9"/>
      <c r="AT101" s="10" t="str">
        <f aca="false">IF(A101="","",SG_Criteria!$B$6&amp;SG_Criteria!$B$8&amp;"\"&amp;A101&amp;"\")</f>
        <v/>
      </c>
      <c r="AU101" s="10" t="str">
        <f aca="false">IF(A101="","",A101&amp;"_CAD.dwg")</f>
        <v/>
      </c>
      <c r="AV101" s="10" t="str">
        <f aca="false">IF(A101="","",A101&amp;"_DWG.pdf")</f>
        <v/>
      </c>
      <c r="AW101" s="10" t="str">
        <f aca="false">IF(A101="","",IF(AS101="Y",A101&amp;"_STAAD.std","n/a"))</f>
        <v/>
      </c>
      <c r="AX101" s="10" t="str">
        <f aca="false">IF(A101="","",A101&amp;"_CALC.xlsx")</f>
        <v/>
      </c>
      <c r="AY101" s="10" t="str">
        <f aca="false">IF(A101="","",A101&amp;"_CALC.pdf")</f>
        <v/>
      </c>
      <c r="AZ101" s="9"/>
      <c r="BA101" s="9"/>
      <c r="BB101" s="39"/>
      <c r="BC101" s="39"/>
      <c r="BD101" s="39"/>
      <c r="BE101" s="39"/>
      <c r="BF101" s="39"/>
      <c r="BG101" s="12" t="str">
        <f aca="false">IF(A101="","",IF(COUNTIF(Rebar_Schedule!$A$5:$A$2004,A101)=0,"",ROUND(SUMIF(Rebar_Schedule!$A$5:$A$2004,A101,Rebar_Schedule!$K$5:$K$2004),1)))</f>
        <v/>
      </c>
      <c r="BH101" s="33" t="str">
        <f aca="false">IF(A101="","",IF(BG101="","No rebar schedule yet",IF(ABS(BG101-N(BC101))/MAX(N(BC101),1)&gt;SG_Criteria!$B$55,"NOTE: register rebar differs from schedule by "&amp;TEXT(ABS(BG101-N(BC101))/MAX(N(BC101),1),"0%"),"OK")))</f>
        <v/>
      </c>
      <c r="BI101" s="33" t="str">
        <f aca="false">IF(OR(D101="",E101=""),"",IF(E101&lt;=IF(OR(D101="Block / Segmental",D101="Gabion",D101="Reinforced Earth (MSE)"),SG_Criteria!$B$34,SG_Criteria!$B$33),"No ERSS submission",IF(E101&lt;=SG_Criteria!$B$35,"QP(ST)",IF(E101&lt;=SG_Criteria!$B$36,"QP(ST) + AC","Geotechnical building works: QP(Geo) + AC"))))</f>
        <v/>
      </c>
      <c r="BJ101" s="33" t="str">
        <f aca="false">IF(D101="","",IF(LEN(IF(AND(V101&lt;&gt;"",IFERROR(VALUE(MID(V101,2,2)),0)&lt;SG_Criteria!$B$19),"FAIL: grade below C"&amp;SG_Criteria!$B$19&amp;". ","")&amp;IF(AND(W101&lt;&gt;"",W101&lt;SG_Criteria!$B$20),"FAIL: cover &lt; "&amp;SG_Criteria!$B$20&amp;" mm. ","")&amp;IF(AND(AD101&lt;&gt;"",AD101&lt;1),"FAIL: sliding. ","")&amp;IF(AND(D101="Reverse L-Wall (toe only, at boundary)",N(S101)&gt;0),"NOTE: reverse L-wall should have no heel. ","")&amp;IF(AND(D101="L-Wall (heel only)",N(R101)&gt;0),"NOTE: L-wall should have no toe. ","")&amp;IF(AND(F101&lt;&gt;"",F101&lt;SG_Criteria!$B$31),"NOTE: q below LTA min "&amp;SG_Criteria!$B$31&amp;" kPa (not for LTA works). ",""))=0,"OK",IF(AND(V101&lt;&gt;"",IFERROR(VALUE(MID(V101,2,2)),0)&lt;SG_Criteria!$B$19),"FAIL: grade below C"&amp;SG_Criteria!$B$19&amp;". ","")&amp;IF(AND(W101&lt;&gt;"",W101&lt;SG_Criteria!$B$20),"FAIL: cover &lt; "&amp;SG_Criteria!$B$20&amp;" mm. ","")&amp;IF(AND(AD101&lt;&gt;"",AD101&lt;1),"FAIL: sliding. ","")&amp;IF(AND(D101="Reverse L-Wall (toe only, at boundary)",N(S101)&gt;0),"NOTE: reverse L-wall should have no heel. ","")&amp;IF(AND(D101="L-Wall (heel only)",N(R101)&gt;0),"NOTE: L-wall should have no toe. ","")&amp;IF(AND(F101&lt;&gt;"",F101&lt;SG_Criteria!$B$31),"NOTE: q below LTA min "&amp;SG_Criteria!$B$31&amp;" kPa (not for LTA works). ","")))</f>
        <v/>
      </c>
      <c r="BK101" s="9"/>
      <c r="BL101" s="9"/>
      <c r="BM101" s="9"/>
      <c r="BN101" s="10" t="str">
        <f aca="false">IF(BM101="","",IFERROR(VLOOKUP(BM101,Projects!$A$5:$D$504,2,0),"Ref not in Projects"))</f>
        <v/>
      </c>
      <c r="BO101" s="10" t="str">
        <f aca="false">IF(BM101="","",IFERROR(VLOOKUP(BM101,Projects!$A$5:$D$504,4,0),"Ref not in Projects"))</f>
        <v/>
      </c>
      <c r="BP101" s="9"/>
      <c r="BQ101" s="9"/>
      <c r="BR101" s="9"/>
      <c r="BS101" s="40"/>
      <c r="BT101" s="9"/>
      <c r="BU101" s="40"/>
      <c r="BV101" s="9"/>
      <c r="BW101" s="40"/>
      <c r="BX101" s="9"/>
      <c r="BY101" s="9"/>
      <c r="BZ101" s="9"/>
      <c r="CA101" s="40"/>
      <c r="CB101" s="40"/>
      <c r="CC101" s="36" t="str">
        <f aca="false">IF(CB101="","",EDATE(CB101,SG_Criteria!$B$54*12))</f>
        <v/>
      </c>
      <c r="CD101" s="33" t="str">
        <f aca="true">IF(A101="","",IF(CB101="","NOTE: not reviewed yet",IF(TODAY()&gt;CC101,"NOTE: review overdue","OK")))</f>
        <v/>
      </c>
      <c r="CE101" s="37" t="str">
        <f aca="false">IF(A101="","",ROUND((IF(LEN(D101)&gt;0,1,0)+IF(LEN(E101)&gt;0,1,0)+IF(LEN(F101)&gt;0,1,0)+IF(LEN(G101)&gt;0,1,0)+IF(LEN(I101)&gt;0,1,0)+IF(LEN(K101)&gt;0,1,0)+IF(LEN(P101)&gt;0,1,0)+IF(LEN(Q101)&gt;0,1,0)+IF(LEN(T101)&gt;0,1,0)+IF(LEN(V101)&gt;0,1,0)+IF(LEN(W101)&gt;0,1,0)+IF(LEN(X101)&gt;0,1,0)+IF(LEN(Z101)&gt;0,1,0)+IF(LEN(AD101)&gt;0,1,0)+IF(LEN(AE101)&gt;0,1,0)+IF(LEN(AG101)&gt;0,1,0)+IF(LEN(AI101)&gt;0,1,0)+IF(LEN(BB101)&gt;0,1,0)+IF(LEN(BC101)&gt;0,1,0)+IF(LEN(AM101)&gt;0,1,0)+IF(LEN(AO101)&gt;0,1,0)+IF(LEN(AP101)&gt;0,1,0)+IF(LEN(AQ101)&gt;0,1,0)+IF(LEN(AR101)&gt;0,1,0)+IF(LEN(BA101)&gt;0,1,0)+IF(LEN(BM101)&gt;0,1,0)+IF(LEN(BZ101)&gt;0,1,0))/27,2))</f>
        <v/>
      </c>
      <c r="CF101" s="10" t="str">
        <f aca="false">IF(D101="","",IF(AND(AP101="Approved",ISERROR(SEARCH("FAIL",BJ101))),"Y","N"))</f>
        <v/>
      </c>
      <c r="CG101" s="10" t="str">
        <f aca="false">IF(D101="","",D101&amp;"|"&amp;E101&amp;"|"&amp;F101&amp;"|"&amp;G101&amp;"|"&amp;CF101)</f>
        <v/>
      </c>
    </row>
    <row r="102" customFormat="false" ht="15" hidden="false" customHeight="false" outlineLevel="0" collapsed="false">
      <c r="A102" s="10" t="str">
        <f aca="false">IF(D102="","","RW-"&amp;IFERROR(VLOOKUP(D102,Lists!$M$4:$N$22,2,0),"??")&amp;"-H"&amp;TEXT(E102*1000,"0000")&amp;"-S"&amp;F102&amp;IF(G102="Y","-GW","")&amp;"-"&amp;AO102)</f>
        <v/>
      </c>
      <c r="B102" s="10" t="str">
        <f aca="false">IF(D102="","",D102&amp;", H = "&amp;TEXT(E102,"0.0")&amp;" m, q = "&amp;F102&amp;" kPa"&amp;IF(G102="Y",", with GWT","")&amp;", "&amp;I102)</f>
        <v/>
      </c>
      <c r="C102" s="9"/>
      <c r="D102" s="9"/>
      <c r="E102" s="39"/>
      <c r="F102" s="38"/>
      <c r="G102" s="9"/>
      <c r="H102" s="38"/>
      <c r="I102" s="9"/>
      <c r="J102" s="38"/>
      <c r="K102" s="38"/>
      <c r="L102" s="38"/>
      <c r="M102" s="42"/>
      <c r="N102" s="9"/>
      <c r="O102" s="38"/>
      <c r="P102" s="38"/>
      <c r="Q102" s="38"/>
      <c r="R102" s="38"/>
      <c r="S102" s="38"/>
      <c r="T102" s="38"/>
      <c r="U102" s="9"/>
      <c r="V102" s="9"/>
      <c r="W102" s="38"/>
      <c r="X102" s="9"/>
      <c r="Y102" s="9"/>
      <c r="Z102" s="9"/>
      <c r="AA102" s="9"/>
      <c r="AB102" s="9"/>
      <c r="AC102" s="9"/>
      <c r="AD102" s="39"/>
      <c r="AE102" s="39"/>
      <c r="AF102" s="39"/>
      <c r="AG102" s="38"/>
      <c r="AH102" s="38"/>
      <c r="AI102" s="9"/>
      <c r="AJ102" s="38"/>
      <c r="AK102" s="9"/>
      <c r="AL102" s="39"/>
      <c r="AM102" s="9"/>
      <c r="AN102" s="9"/>
      <c r="AO102" s="9"/>
      <c r="AP102" s="9"/>
      <c r="AQ102" s="9"/>
      <c r="AR102" s="9"/>
      <c r="AS102" s="9"/>
      <c r="AT102" s="10" t="str">
        <f aca="false">IF(A102="","",SG_Criteria!$B$6&amp;SG_Criteria!$B$8&amp;"\"&amp;A102&amp;"\")</f>
        <v/>
      </c>
      <c r="AU102" s="10" t="str">
        <f aca="false">IF(A102="","",A102&amp;"_CAD.dwg")</f>
        <v/>
      </c>
      <c r="AV102" s="10" t="str">
        <f aca="false">IF(A102="","",A102&amp;"_DWG.pdf")</f>
        <v/>
      </c>
      <c r="AW102" s="10" t="str">
        <f aca="false">IF(A102="","",IF(AS102="Y",A102&amp;"_STAAD.std","n/a"))</f>
        <v/>
      </c>
      <c r="AX102" s="10" t="str">
        <f aca="false">IF(A102="","",A102&amp;"_CALC.xlsx")</f>
        <v/>
      </c>
      <c r="AY102" s="10" t="str">
        <f aca="false">IF(A102="","",A102&amp;"_CALC.pdf")</f>
        <v/>
      </c>
      <c r="AZ102" s="9"/>
      <c r="BA102" s="9"/>
      <c r="BB102" s="39"/>
      <c r="BC102" s="39"/>
      <c r="BD102" s="39"/>
      <c r="BE102" s="39"/>
      <c r="BF102" s="39"/>
      <c r="BG102" s="12" t="str">
        <f aca="false">IF(A102="","",IF(COUNTIF(Rebar_Schedule!$A$5:$A$2004,A102)=0,"",ROUND(SUMIF(Rebar_Schedule!$A$5:$A$2004,A102,Rebar_Schedule!$K$5:$K$2004),1)))</f>
        <v/>
      </c>
      <c r="BH102" s="33" t="str">
        <f aca="false">IF(A102="","",IF(BG102="","No rebar schedule yet",IF(ABS(BG102-N(BC102))/MAX(N(BC102),1)&gt;SG_Criteria!$B$55,"NOTE: register rebar differs from schedule by "&amp;TEXT(ABS(BG102-N(BC102))/MAX(N(BC102),1),"0%"),"OK")))</f>
        <v/>
      </c>
      <c r="BI102" s="33" t="str">
        <f aca="false">IF(OR(D102="",E102=""),"",IF(E102&lt;=IF(OR(D102="Block / Segmental",D102="Gabion",D102="Reinforced Earth (MSE)"),SG_Criteria!$B$34,SG_Criteria!$B$33),"No ERSS submission",IF(E102&lt;=SG_Criteria!$B$35,"QP(ST)",IF(E102&lt;=SG_Criteria!$B$36,"QP(ST) + AC","Geotechnical building works: QP(Geo) + AC"))))</f>
        <v/>
      </c>
      <c r="BJ102" s="33" t="str">
        <f aca="false">IF(D102="","",IF(LEN(IF(AND(V102&lt;&gt;"",IFERROR(VALUE(MID(V102,2,2)),0)&lt;SG_Criteria!$B$19),"FAIL: grade below C"&amp;SG_Criteria!$B$19&amp;". ","")&amp;IF(AND(W102&lt;&gt;"",W102&lt;SG_Criteria!$B$20),"FAIL: cover &lt; "&amp;SG_Criteria!$B$20&amp;" mm. ","")&amp;IF(AND(AD102&lt;&gt;"",AD102&lt;1),"FAIL: sliding. ","")&amp;IF(AND(D102="Reverse L-Wall (toe only, at boundary)",N(S102)&gt;0),"NOTE: reverse L-wall should have no heel. ","")&amp;IF(AND(D102="L-Wall (heel only)",N(R102)&gt;0),"NOTE: L-wall should have no toe. ","")&amp;IF(AND(F102&lt;&gt;"",F102&lt;SG_Criteria!$B$31),"NOTE: q below LTA min "&amp;SG_Criteria!$B$31&amp;" kPa (not for LTA works). ",""))=0,"OK",IF(AND(V102&lt;&gt;"",IFERROR(VALUE(MID(V102,2,2)),0)&lt;SG_Criteria!$B$19),"FAIL: grade below C"&amp;SG_Criteria!$B$19&amp;". ","")&amp;IF(AND(W102&lt;&gt;"",W102&lt;SG_Criteria!$B$20),"FAIL: cover &lt; "&amp;SG_Criteria!$B$20&amp;" mm. ","")&amp;IF(AND(AD102&lt;&gt;"",AD102&lt;1),"FAIL: sliding. ","")&amp;IF(AND(D102="Reverse L-Wall (toe only, at boundary)",N(S102)&gt;0),"NOTE: reverse L-wall should have no heel. ","")&amp;IF(AND(D102="L-Wall (heel only)",N(R102)&gt;0),"NOTE: L-wall should have no toe. ","")&amp;IF(AND(F102&lt;&gt;"",F102&lt;SG_Criteria!$B$31),"NOTE: q below LTA min "&amp;SG_Criteria!$B$31&amp;" kPa (not for LTA works). ","")))</f>
        <v/>
      </c>
      <c r="BK102" s="9"/>
      <c r="BL102" s="9"/>
      <c r="BM102" s="9"/>
      <c r="BN102" s="10" t="str">
        <f aca="false">IF(BM102="","",IFERROR(VLOOKUP(BM102,Projects!$A$5:$D$504,2,0),"Ref not in Projects"))</f>
        <v/>
      </c>
      <c r="BO102" s="10" t="str">
        <f aca="false">IF(BM102="","",IFERROR(VLOOKUP(BM102,Projects!$A$5:$D$504,4,0),"Ref not in Projects"))</f>
        <v/>
      </c>
      <c r="BP102" s="9"/>
      <c r="BQ102" s="9"/>
      <c r="BR102" s="9"/>
      <c r="BS102" s="40"/>
      <c r="BT102" s="9"/>
      <c r="BU102" s="40"/>
      <c r="BV102" s="9"/>
      <c r="BW102" s="40"/>
      <c r="BX102" s="9"/>
      <c r="BY102" s="9"/>
      <c r="BZ102" s="9"/>
      <c r="CA102" s="40"/>
      <c r="CB102" s="40"/>
      <c r="CC102" s="36" t="str">
        <f aca="false">IF(CB102="","",EDATE(CB102,SG_Criteria!$B$54*12))</f>
        <v/>
      </c>
      <c r="CD102" s="33" t="str">
        <f aca="true">IF(A102="","",IF(CB102="","NOTE: not reviewed yet",IF(TODAY()&gt;CC102,"NOTE: review overdue","OK")))</f>
        <v/>
      </c>
      <c r="CE102" s="37" t="str">
        <f aca="false">IF(A102="","",ROUND((IF(LEN(D102)&gt;0,1,0)+IF(LEN(E102)&gt;0,1,0)+IF(LEN(F102)&gt;0,1,0)+IF(LEN(G102)&gt;0,1,0)+IF(LEN(I102)&gt;0,1,0)+IF(LEN(K102)&gt;0,1,0)+IF(LEN(P102)&gt;0,1,0)+IF(LEN(Q102)&gt;0,1,0)+IF(LEN(T102)&gt;0,1,0)+IF(LEN(V102)&gt;0,1,0)+IF(LEN(W102)&gt;0,1,0)+IF(LEN(X102)&gt;0,1,0)+IF(LEN(Z102)&gt;0,1,0)+IF(LEN(AD102)&gt;0,1,0)+IF(LEN(AE102)&gt;0,1,0)+IF(LEN(AG102)&gt;0,1,0)+IF(LEN(AI102)&gt;0,1,0)+IF(LEN(BB102)&gt;0,1,0)+IF(LEN(BC102)&gt;0,1,0)+IF(LEN(AM102)&gt;0,1,0)+IF(LEN(AO102)&gt;0,1,0)+IF(LEN(AP102)&gt;0,1,0)+IF(LEN(AQ102)&gt;0,1,0)+IF(LEN(AR102)&gt;0,1,0)+IF(LEN(BA102)&gt;0,1,0)+IF(LEN(BM102)&gt;0,1,0)+IF(LEN(BZ102)&gt;0,1,0))/27,2))</f>
        <v/>
      </c>
      <c r="CF102" s="10" t="str">
        <f aca="false">IF(D102="","",IF(AND(AP102="Approved",ISERROR(SEARCH("FAIL",BJ102))),"Y","N"))</f>
        <v/>
      </c>
      <c r="CG102" s="10" t="str">
        <f aca="false">IF(D102="","",D102&amp;"|"&amp;E102&amp;"|"&amp;F102&amp;"|"&amp;G102&amp;"|"&amp;CF102)</f>
        <v/>
      </c>
    </row>
    <row r="103" customFormat="false" ht="15" hidden="false" customHeight="false" outlineLevel="0" collapsed="false">
      <c r="A103" s="10" t="str">
        <f aca="false">IF(D103="","","RW-"&amp;IFERROR(VLOOKUP(D103,Lists!$M$4:$N$22,2,0),"??")&amp;"-H"&amp;TEXT(E103*1000,"0000")&amp;"-S"&amp;F103&amp;IF(G103="Y","-GW","")&amp;"-"&amp;AO103)</f>
        <v/>
      </c>
      <c r="B103" s="10" t="str">
        <f aca="false">IF(D103="","",D103&amp;", H = "&amp;TEXT(E103,"0.0")&amp;" m, q = "&amp;F103&amp;" kPa"&amp;IF(G103="Y",", with GWT","")&amp;", "&amp;I103)</f>
        <v/>
      </c>
      <c r="C103" s="9"/>
      <c r="D103" s="9"/>
      <c r="E103" s="39"/>
      <c r="F103" s="38"/>
      <c r="G103" s="9"/>
      <c r="H103" s="38"/>
      <c r="I103" s="9"/>
      <c r="J103" s="38"/>
      <c r="K103" s="38"/>
      <c r="L103" s="38"/>
      <c r="M103" s="42"/>
      <c r="N103" s="9"/>
      <c r="O103" s="38"/>
      <c r="P103" s="38"/>
      <c r="Q103" s="38"/>
      <c r="R103" s="38"/>
      <c r="S103" s="38"/>
      <c r="T103" s="38"/>
      <c r="U103" s="9"/>
      <c r="V103" s="9"/>
      <c r="W103" s="38"/>
      <c r="X103" s="9"/>
      <c r="Y103" s="9"/>
      <c r="Z103" s="9"/>
      <c r="AA103" s="9"/>
      <c r="AB103" s="9"/>
      <c r="AC103" s="9"/>
      <c r="AD103" s="39"/>
      <c r="AE103" s="39"/>
      <c r="AF103" s="39"/>
      <c r="AG103" s="38"/>
      <c r="AH103" s="38"/>
      <c r="AI103" s="9"/>
      <c r="AJ103" s="38"/>
      <c r="AK103" s="9"/>
      <c r="AL103" s="39"/>
      <c r="AM103" s="9"/>
      <c r="AN103" s="9"/>
      <c r="AO103" s="9"/>
      <c r="AP103" s="9"/>
      <c r="AQ103" s="9"/>
      <c r="AR103" s="9"/>
      <c r="AS103" s="9"/>
      <c r="AT103" s="10" t="str">
        <f aca="false">IF(A103="","",SG_Criteria!$B$6&amp;SG_Criteria!$B$8&amp;"\"&amp;A103&amp;"\")</f>
        <v/>
      </c>
      <c r="AU103" s="10" t="str">
        <f aca="false">IF(A103="","",A103&amp;"_CAD.dwg")</f>
        <v/>
      </c>
      <c r="AV103" s="10" t="str">
        <f aca="false">IF(A103="","",A103&amp;"_DWG.pdf")</f>
        <v/>
      </c>
      <c r="AW103" s="10" t="str">
        <f aca="false">IF(A103="","",IF(AS103="Y",A103&amp;"_STAAD.std","n/a"))</f>
        <v/>
      </c>
      <c r="AX103" s="10" t="str">
        <f aca="false">IF(A103="","",A103&amp;"_CALC.xlsx")</f>
        <v/>
      </c>
      <c r="AY103" s="10" t="str">
        <f aca="false">IF(A103="","",A103&amp;"_CALC.pdf")</f>
        <v/>
      </c>
      <c r="AZ103" s="9"/>
      <c r="BA103" s="9"/>
      <c r="BB103" s="39"/>
      <c r="BC103" s="39"/>
      <c r="BD103" s="39"/>
      <c r="BE103" s="39"/>
      <c r="BF103" s="39"/>
      <c r="BG103" s="12" t="str">
        <f aca="false">IF(A103="","",IF(COUNTIF(Rebar_Schedule!$A$5:$A$2004,A103)=0,"",ROUND(SUMIF(Rebar_Schedule!$A$5:$A$2004,A103,Rebar_Schedule!$K$5:$K$2004),1)))</f>
        <v/>
      </c>
      <c r="BH103" s="33" t="str">
        <f aca="false">IF(A103="","",IF(BG103="","No rebar schedule yet",IF(ABS(BG103-N(BC103))/MAX(N(BC103),1)&gt;SG_Criteria!$B$55,"NOTE: register rebar differs from schedule by "&amp;TEXT(ABS(BG103-N(BC103))/MAX(N(BC103),1),"0%"),"OK")))</f>
        <v/>
      </c>
      <c r="BI103" s="33" t="str">
        <f aca="false">IF(OR(D103="",E103=""),"",IF(E103&lt;=IF(OR(D103="Block / Segmental",D103="Gabion",D103="Reinforced Earth (MSE)"),SG_Criteria!$B$34,SG_Criteria!$B$33),"No ERSS submission",IF(E103&lt;=SG_Criteria!$B$35,"QP(ST)",IF(E103&lt;=SG_Criteria!$B$36,"QP(ST) + AC","Geotechnical building works: QP(Geo) + AC"))))</f>
        <v/>
      </c>
      <c r="BJ103" s="33" t="str">
        <f aca="false">IF(D103="","",IF(LEN(IF(AND(V103&lt;&gt;"",IFERROR(VALUE(MID(V103,2,2)),0)&lt;SG_Criteria!$B$19),"FAIL: grade below C"&amp;SG_Criteria!$B$19&amp;". ","")&amp;IF(AND(W103&lt;&gt;"",W103&lt;SG_Criteria!$B$20),"FAIL: cover &lt; "&amp;SG_Criteria!$B$20&amp;" mm. ","")&amp;IF(AND(AD103&lt;&gt;"",AD103&lt;1),"FAIL: sliding. ","")&amp;IF(AND(D103="Reverse L-Wall (toe only, at boundary)",N(S103)&gt;0),"NOTE: reverse L-wall should have no heel. ","")&amp;IF(AND(D103="L-Wall (heel only)",N(R103)&gt;0),"NOTE: L-wall should have no toe. ","")&amp;IF(AND(F103&lt;&gt;"",F103&lt;SG_Criteria!$B$31),"NOTE: q below LTA min "&amp;SG_Criteria!$B$31&amp;" kPa (not for LTA works). ",""))=0,"OK",IF(AND(V103&lt;&gt;"",IFERROR(VALUE(MID(V103,2,2)),0)&lt;SG_Criteria!$B$19),"FAIL: grade below C"&amp;SG_Criteria!$B$19&amp;". ","")&amp;IF(AND(W103&lt;&gt;"",W103&lt;SG_Criteria!$B$20),"FAIL: cover &lt; "&amp;SG_Criteria!$B$20&amp;" mm. ","")&amp;IF(AND(AD103&lt;&gt;"",AD103&lt;1),"FAIL: sliding. ","")&amp;IF(AND(D103="Reverse L-Wall (toe only, at boundary)",N(S103)&gt;0),"NOTE: reverse L-wall should have no heel. ","")&amp;IF(AND(D103="L-Wall (heel only)",N(R103)&gt;0),"NOTE: L-wall should have no toe. ","")&amp;IF(AND(F103&lt;&gt;"",F103&lt;SG_Criteria!$B$31),"NOTE: q below LTA min "&amp;SG_Criteria!$B$31&amp;" kPa (not for LTA works). ","")))</f>
        <v/>
      </c>
      <c r="BK103" s="9"/>
      <c r="BL103" s="9"/>
      <c r="BM103" s="9"/>
      <c r="BN103" s="10" t="str">
        <f aca="false">IF(BM103="","",IFERROR(VLOOKUP(BM103,Projects!$A$5:$D$504,2,0),"Ref not in Projects"))</f>
        <v/>
      </c>
      <c r="BO103" s="10" t="str">
        <f aca="false">IF(BM103="","",IFERROR(VLOOKUP(BM103,Projects!$A$5:$D$504,4,0),"Ref not in Projects"))</f>
        <v/>
      </c>
      <c r="BP103" s="9"/>
      <c r="BQ103" s="9"/>
      <c r="BR103" s="9"/>
      <c r="BS103" s="40"/>
      <c r="BT103" s="9"/>
      <c r="BU103" s="40"/>
      <c r="BV103" s="9"/>
      <c r="BW103" s="40"/>
      <c r="BX103" s="9"/>
      <c r="BY103" s="9"/>
      <c r="BZ103" s="9"/>
      <c r="CA103" s="40"/>
      <c r="CB103" s="40"/>
      <c r="CC103" s="36" t="str">
        <f aca="false">IF(CB103="","",EDATE(CB103,SG_Criteria!$B$54*12))</f>
        <v/>
      </c>
      <c r="CD103" s="33" t="str">
        <f aca="true">IF(A103="","",IF(CB103="","NOTE: not reviewed yet",IF(TODAY()&gt;CC103,"NOTE: review overdue","OK")))</f>
        <v/>
      </c>
      <c r="CE103" s="37" t="str">
        <f aca="false">IF(A103="","",ROUND((IF(LEN(D103)&gt;0,1,0)+IF(LEN(E103)&gt;0,1,0)+IF(LEN(F103)&gt;0,1,0)+IF(LEN(G103)&gt;0,1,0)+IF(LEN(I103)&gt;0,1,0)+IF(LEN(K103)&gt;0,1,0)+IF(LEN(P103)&gt;0,1,0)+IF(LEN(Q103)&gt;0,1,0)+IF(LEN(T103)&gt;0,1,0)+IF(LEN(V103)&gt;0,1,0)+IF(LEN(W103)&gt;0,1,0)+IF(LEN(X103)&gt;0,1,0)+IF(LEN(Z103)&gt;0,1,0)+IF(LEN(AD103)&gt;0,1,0)+IF(LEN(AE103)&gt;0,1,0)+IF(LEN(AG103)&gt;0,1,0)+IF(LEN(AI103)&gt;0,1,0)+IF(LEN(BB103)&gt;0,1,0)+IF(LEN(BC103)&gt;0,1,0)+IF(LEN(AM103)&gt;0,1,0)+IF(LEN(AO103)&gt;0,1,0)+IF(LEN(AP103)&gt;0,1,0)+IF(LEN(AQ103)&gt;0,1,0)+IF(LEN(AR103)&gt;0,1,0)+IF(LEN(BA103)&gt;0,1,0)+IF(LEN(BM103)&gt;0,1,0)+IF(LEN(BZ103)&gt;0,1,0))/27,2))</f>
        <v/>
      </c>
      <c r="CF103" s="10" t="str">
        <f aca="false">IF(D103="","",IF(AND(AP103="Approved",ISERROR(SEARCH("FAIL",BJ103))),"Y","N"))</f>
        <v/>
      </c>
      <c r="CG103" s="10" t="str">
        <f aca="false">IF(D103="","",D103&amp;"|"&amp;E103&amp;"|"&amp;F103&amp;"|"&amp;G103&amp;"|"&amp;CF103)</f>
        <v/>
      </c>
    </row>
    <row r="104" customFormat="false" ht="15" hidden="false" customHeight="false" outlineLevel="0" collapsed="false">
      <c r="A104" s="10" t="str">
        <f aca="false">IF(D104="","","RW-"&amp;IFERROR(VLOOKUP(D104,Lists!$M$4:$N$22,2,0),"??")&amp;"-H"&amp;TEXT(E104*1000,"0000")&amp;"-S"&amp;F104&amp;IF(G104="Y","-GW","")&amp;"-"&amp;AO104)</f>
        <v/>
      </c>
      <c r="B104" s="10" t="str">
        <f aca="false">IF(D104="","",D104&amp;", H = "&amp;TEXT(E104,"0.0")&amp;" m, q = "&amp;F104&amp;" kPa"&amp;IF(G104="Y",", with GWT","")&amp;", "&amp;I104)</f>
        <v/>
      </c>
      <c r="C104" s="9"/>
      <c r="D104" s="9"/>
      <c r="E104" s="39"/>
      <c r="F104" s="38"/>
      <c r="G104" s="9"/>
      <c r="H104" s="38"/>
      <c r="I104" s="9"/>
      <c r="J104" s="38"/>
      <c r="K104" s="38"/>
      <c r="L104" s="38"/>
      <c r="M104" s="42"/>
      <c r="N104" s="9"/>
      <c r="O104" s="38"/>
      <c r="P104" s="38"/>
      <c r="Q104" s="38"/>
      <c r="R104" s="38"/>
      <c r="S104" s="38"/>
      <c r="T104" s="38"/>
      <c r="U104" s="9"/>
      <c r="V104" s="9"/>
      <c r="W104" s="38"/>
      <c r="X104" s="9"/>
      <c r="Y104" s="9"/>
      <c r="Z104" s="9"/>
      <c r="AA104" s="9"/>
      <c r="AB104" s="9"/>
      <c r="AC104" s="9"/>
      <c r="AD104" s="39"/>
      <c r="AE104" s="39"/>
      <c r="AF104" s="39"/>
      <c r="AG104" s="38"/>
      <c r="AH104" s="38"/>
      <c r="AI104" s="9"/>
      <c r="AJ104" s="38"/>
      <c r="AK104" s="9"/>
      <c r="AL104" s="39"/>
      <c r="AM104" s="9"/>
      <c r="AN104" s="9"/>
      <c r="AO104" s="9"/>
      <c r="AP104" s="9"/>
      <c r="AQ104" s="9"/>
      <c r="AR104" s="9"/>
      <c r="AS104" s="9"/>
      <c r="AT104" s="10" t="str">
        <f aca="false">IF(A104="","",SG_Criteria!$B$6&amp;SG_Criteria!$B$8&amp;"\"&amp;A104&amp;"\")</f>
        <v/>
      </c>
      <c r="AU104" s="10" t="str">
        <f aca="false">IF(A104="","",A104&amp;"_CAD.dwg")</f>
        <v/>
      </c>
      <c r="AV104" s="10" t="str">
        <f aca="false">IF(A104="","",A104&amp;"_DWG.pdf")</f>
        <v/>
      </c>
      <c r="AW104" s="10" t="str">
        <f aca="false">IF(A104="","",IF(AS104="Y",A104&amp;"_STAAD.std","n/a"))</f>
        <v/>
      </c>
      <c r="AX104" s="10" t="str">
        <f aca="false">IF(A104="","",A104&amp;"_CALC.xlsx")</f>
        <v/>
      </c>
      <c r="AY104" s="10" t="str">
        <f aca="false">IF(A104="","",A104&amp;"_CALC.pdf")</f>
        <v/>
      </c>
      <c r="AZ104" s="9"/>
      <c r="BA104" s="9"/>
      <c r="BB104" s="39"/>
      <c r="BC104" s="39"/>
      <c r="BD104" s="39"/>
      <c r="BE104" s="39"/>
      <c r="BF104" s="39"/>
      <c r="BG104" s="12" t="str">
        <f aca="false">IF(A104="","",IF(COUNTIF(Rebar_Schedule!$A$5:$A$2004,A104)=0,"",ROUND(SUMIF(Rebar_Schedule!$A$5:$A$2004,A104,Rebar_Schedule!$K$5:$K$2004),1)))</f>
        <v/>
      </c>
      <c r="BH104" s="33" t="str">
        <f aca="false">IF(A104="","",IF(BG104="","No rebar schedule yet",IF(ABS(BG104-N(BC104))/MAX(N(BC104),1)&gt;SG_Criteria!$B$55,"NOTE: register rebar differs from schedule by "&amp;TEXT(ABS(BG104-N(BC104))/MAX(N(BC104),1),"0%"),"OK")))</f>
        <v/>
      </c>
      <c r="BI104" s="33" t="str">
        <f aca="false">IF(OR(D104="",E104=""),"",IF(E104&lt;=IF(OR(D104="Block / Segmental",D104="Gabion",D104="Reinforced Earth (MSE)"),SG_Criteria!$B$34,SG_Criteria!$B$33),"No ERSS submission",IF(E104&lt;=SG_Criteria!$B$35,"QP(ST)",IF(E104&lt;=SG_Criteria!$B$36,"QP(ST) + AC","Geotechnical building works: QP(Geo) + AC"))))</f>
        <v/>
      </c>
      <c r="BJ104" s="33" t="str">
        <f aca="false">IF(D104="","",IF(LEN(IF(AND(V104&lt;&gt;"",IFERROR(VALUE(MID(V104,2,2)),0)&lt;SG_Criteria!$B$19),"FAIL: grade below C"&amp;SG_Criteria!$B$19&amp;". ","")&amp;IF(AND(W104&lt;&gt;"",W104&lt;SG_Criteria!$B$20),"FAIL: cover &lt; "&amp;SG_Criteria!$B$20&amp;" mm. ","")&amp;IF(AND(AD104&lt;&gt;"",AD104&lt;1),"FAIL: sliding. ","")&amp;IF(AND(D104="Reverse L-Wall (toe only, at boundary)",N(S104)&gt;0),"NOTE: reverse L-wall should have no heel. ","")&amp;IF(AND(D104="L-Wall (heel only)",N(R104)&gt;0),"NOTE: L-wall should have no toe. ","")&amp;IF(AND(F104&lt;&gt;"",F104&lt;SG_Criteria!$B$31),"NOTE: q below LTA min "&amp;SG_Criteria!$B$31&amp;" kPa (not for LTA works). ",""))=0,"OK",IF(AND(V104&lt;&gt;"",IFERROR(VALUE(MID(V104,2,2)),0)&lt;SG_Criteria!$B$19),"FAIL: grade below C"&amp;SG_Criteria!$B$19&amp;". ","")&amp;IF(AND(W104&lt;&gt;"",W104&lt;SG_Criteria!$B$20),"FAIL: cover &lt; "&amp;SG_Criteria!$B$20&amp;" mm. ","")&amp;IF(AND(AD104&lt;&gt;"",AD104&lt;1),"FAIL: sliding. ","")&amp;IF(AND(D104="Reverse L-Wall (toe only, at boundary)",N(S104)&gt;0),"NOTE: reverse L-wall should have no heel. ","")&amp;IF(AND(D104="L-Wall (heel only)",N(R104)&gt;0),"NOTE: L-wall should have no toe. ","")&amp;IF(AND(F104&lt;&gt;"",F104&lt;SG_Criteria!$B$31),"NOTE: q below LTA min "&amp;SG_Criteria!$B$31&amp;" kPa (not for LTA works). ","")))</f>
        <v/>
      </c>
      <c r="BK104" s="9"/>
      <c r="BL104" s="9"/>
      <c r="BM104" s="9"/>
      <c r="BN104" s="10" t="str">
        <f aca="false">IF(BM104="","",IFERROR(VLOOKUP(BM104,Projects!$A$5:$D$504,2,0),"Ref not in Projects"))</f>
        <v/>
      </c>
      <c r="BO104" s="10" t="str">
        <f aca="false">IF(BM104="","",IFERROR(VLOOKUP(BM104,Projects!$A$5:$D$504,4,0),"Ref not in Projects"))</f>
        <v/>
      </c>
      <c r="BP104" s="9"/>
      <c r="BQ104" s="9"/>
      <c r="BR104" s="9"/>
      <c r="BS104" s="40"/>
      <c r="BT104" s="9"/>
      <c r="BU104" s="40"/>
      <c r="BV104" s="9"/>
      <c r="BW104" s="40"/>
      <c r="BX104" s="9"/>
      <c r="BY104" s="9"/>
      <c r="BZ104" s="9"/>
      <c r="CA104" s="40"/>
      <c r="CB104" s="40"/>
      <c r="CC104" s="36" t="str">
        <f aca="false">IF(CB104="","",EDATE(CB104,SG_Criteria!$B$54*12))</f>
        <v/>
      </c>
      <c r="CD104" s="33" t="str">
        <f aca="true">IF(A104="","",IF(CB104="","NOTE: not reviewed yet",IF(TODAY()&gt;CC104,"NOTE: review overdue","OK")))</f>
        <v/>
      </c>
      <c r="CE104" s="37" t="str">
        <f aca="false">IF(A104="","",ROUND((IF(LEN(D104)&gt;0,1,0)+IF(LEN(E104)&gt;0,1,0)+IF(LEN(F104)&gt;0,1,0)+IF(LEN(G104)&gt;0,1,0)+IF(LEN(I104)&gt;0,1,0)+IF(LEN(K104)&gt;0,1,0)+IF(LEN(P104)&gt;0,1,0)+IF(LEN(Q104)&gt;0,1,0)+IF(LEN(T104)&gt;0,1,0)+IF(LEN(V104)&gt;0,1,0)+IF(LEN(W104)&gt;0,1,0)+IF(LEN(X104)&gt;0,1,0)+IF(LEN(Z104)&gt;0,1,0)+IF(LEN(AD104)&gt;0,1,0)+IF(LEN(AE104)&gt;0,1,0)+IF(LEN(AG104)&gt;0,1,0)+IF(LEN(AI104)&gt;0,1,0)+IF(LEN(BB104)&gt;0,1,0)+IF(LEN(BC104)&gt;0,1,0)+IF(LEN(AM104)&gt;0,1,0)+IF(LEN(AO104)&gt;0,1,0)+IF(LEN(AP104)&gt;0,1,0)+IF(LEN(AQ104)&gt;0,1,0)+IF(LEN(AR104)&gt;0,1,0)+IF(LEN(BA104)&gt;0,1,0)+IF(LEN(BM104)&gt;0,1,0)+IF(LEN(BZ104)&gt;0,1,0))/27,2))</f>
        <v/>
      </c>
      <c r="CF104" s="10" t="str">
        <f aca="false">IF(D104="","",IF(AND(AP104="Approved",ISERROR(SEARCH("FAIL",BJ104))),"Y","N"))</f>
        <v/>
      </c>
      <c r="CG104" s="10" t="str">
        <f aca="false">IF(D104="","",D104&amp;"|"&amp;E104&amp;"|"&amp;F104&amp;"|"&amp;G104&amp;"|"&amp;CF104)</f>
        <v/>
      </c>
    </row>
    <row r="105" customFormat="false" ht="15" hidden="false" customHeight="false" outlineLevel="0" collapsed="false">
      <c r="A105" s="10" t="str">
        <f aca="false">IF(D105="","","RW-"&amp;IFERROR(VLOOKUP(D105,Lists!$M$4:$N$22,2,0),"??")&amp;"-H"&amp;TEXT(E105*1000,"0000")&amp;"-S"&amp;F105&amp;IF(G105="Y","-GW","")&amp;"-"&amp;AO105)</f>
        <v/>
      </c>
      <c r="B105" s="10" t="str">
        <f aca="false">IF(D105="","",D105&amp;", H = "&amp;TEXT(E105,"0.0")&amp;" m, q = "&amp;F105&amp;" kPa"&amp;IF(G105="Y",", with GWT","")&amp;", "&amp;I105)</f>
        <v/>
      </c>
      <c r="C105" s="9"/>
      <c r="D105" s="9"/>
      <c r="E105" s="39"/>
      <c r="F105" s="38"/>
      <c r="G105" s="9"/>
      <c r="H105" s="38"/>
      <c r="I105" s="9"/>
      <c r="J105" s="38"/>
      <c r="K105" s="38"/>
      <c r="L105" s="38"/>
      <c r="M105" s="42"/>
      <c r="N105" s="9"/>
      <c r="O105" s="38"/>
      <c r="P105" s="38"/>
      <c r="Q105" s="38"/>
      <c r="R105" s="38"/>
      <c r="S105" s="38"/>
      <c r="T105" s="38"/>
      <c r="U105" s="9"/>
      <c r="V105" s="9"/>
      <c r="W105" s="38"/>
      <c r="X105" s="9"/>
      <c r="Y105" s="9"/>
      <c r="Z105" s="9"/>
      <c r="AA105" s="9"/>
      <c r="AB105" s="9"/>
      <c r="AC105" s="9"/>
      <c r="AD105" s="39"/>
      <c r="AE105" s="39"/>
      <c r="AF105" s="39"/>
      <c r="AG105" s="38"/>
      <c r="AH105" s="38"/>
      <c r="AI105" s="9"/>
      <c r="AJ105" s="38"/>
      <c r="AK105" s="9"/>
      <c r="AL105" s="39"/>
      <c r="AM105" s="9"/>
      <c r="AN105" s="9"/>
      <c r="AO105" s="9"/>
      <c r="AP105" s="9"/>
      <c r="AQ105" s="9"/>
      <c r="AR105" s="9"/>
      <c r="AS105" s="9"/>
      <c r="AT105" s="10" t="str">
        <f aca="false">IF(A105="","",SG_Criteria!$B$6&amp;SG_Criteria!$B$8&amp;"\"&amp;A105&amp;"\")</f>
        <v/>
      </c>
      <c r="AU105" s="10" t="str">
        <f aca="false">IF(A105="","",A105&amp;"_CAD.dwg")</f>
        <v/>
      </c>
      <c r="AV105" s="10" t="str">
        <f aca="false">IF(A105="","",A105&amp;"_DWG.pdf")</f>
        <v/>
      </c>
      <c r="AW105" s="10" t="str">
        <f aca="false">IF(A105="","",IF(AS105="Y",A105&amp;"_STAAD.std","n/a"))</f>
        <v/>
      </c>
      <c r="AX105" s="10" t="str">
        <f aca="false">IF(A105="","",A105&amp;"_CALC.xlsx")</f>
        <v/>
      </c>
      <c r="AY105" s="10" t="str">
        <f aca="false">IF(A105="","",A105&amp;"_CALC.pdf")</f>
        <v/>
      </c>
      <c r="AZ105" s="9"/>
      <c r="BA105" s="9"/>
      <c r="BB105" s="39"/>
      <c r="BC105" s="39"/>
      <c r="BD105" s="39"/>
      <c r="BE105" s="39"/>
      <c r="BF105" s="39"/>
      <c r="BG105" s="12" t="str">
        <f aca="false">IF(A105="","",IF(COUNTIF(Rebar_Schedule!$A$5:$A$2004,A105)=0,"",ROUND(SUMIF(Rebar_Schedule!$A$5:$A$2004,A105,Rebar_Schedule!$K$5:$K$2004),1)))</f>
        <v/>
      </c>
      <c r="BH105" s="33" t="str">
        <f aca="false">IF(A105="","",IF(BG105="","No rebar schedule yet",IF(ABS(BG105-N(BC105))/MAX(N(BC105),1)&gt;SG_Criteria!$B$55,"NOTE: register rebar differs from schedule by "&amp;TEXT(ABS(BG105-N(BC105))/MAX(N(BC105),1),"0%"),"OK")))</f>
        <v/>
      </c>
      <c r="BI105" s="33" t="str">
        <f aca="false">IF(OR(D105="",E105=""),"",IF(E105&lt;=IF(OR(D105="Block / Segmental",D105="Gabion",D105="Reinforced Earth (MSE)"),SG_Criteria!$B$34,SG_Criteria!$B$33),"No ERSS submission",IF(E105&lt;=SG_Criteria!$B$35,"QP(ST)",IF(E105&lt;=SG_Criteria!$B$36,"QP(ST) + AC","Geotechnical building works: QP(Geo) + AC"))))</f>
        <v/>
      </c>
      <c r="BJ105" s="33" t="str">
        <f aca="false">IF(D105="","",IF(LEN(IF(AND(V105&lt;&gt;"",IFERROR(VALUE(MID(V105,2,2)),0)&lt;SG_Criteria!$B$19),"FAIL: grade below C"&amp;SG_Criteria!$B$19&amp;". ","")&amp;IF(AND(W105&lt;&gt;"",W105&lt;SG_Criteria!$B$20),"FAIL: cover &lt; "&amp;SG_Criteria!$B$20&amp;" mm. ","")&amp;IF(AND(AD105&lt;&gt;"",AD105&lt;1),"FAIL: sliding. ","")&amp;IF(AND(D105="Reverse L-Wall (toe only, at boundary)",N(S105)&gt;0),"NOTE: reverse L-wall should have no heel. ","")&amp;IF(AND(D105="L-Wall (heel only)",N(R105)&gt;0),"NOTE: L-wall should have no toe. ","")&amp;IF(AND(F105&lt;&gt;"",F105&lt;SG_Criteria!$B$31),"NOTE: q below LTA min "&amp;SG_Criteria!$B$31&amp;" kPa (not for LTA works). ",""))=0,"OK",IF(AND(V105&lt;&gt;"",IFERROR(VALUE(MID(V105,2,2)),0)&lt;SG_Criteria!$B$19),"FAIL: grade below C"&amp;SG_Criteria!$B$19&amp;". ","")&amp;IF(AND(W105&lt;&gt;"",W105&lt;SG_Criteria!$B$20),"FAIL: cover &lt; "&amp;SG_Criteria!$B$20&amp;" mm. ","")&amp;IF(AND(AD105&lt;&gt;"",AD105&lt;1),"FAIL: sliding. ","")&amp;IF(AND(D105="Reverse L-Wall (toe only, at boundary)",N(S105)&gt;0),"NOTE: reverse L-wall should have no heel. ","")&amp;IF(AND(D105="L-Wall (heel only)",N(R105)&gt;0),"NOTE: L-wall should have no toe. ","")&amp;IF(AND(F105&lt;&gt;"",F105&lt;SG_Criteria!$B$31),"NOTE: q below LTA min "&amp;SG_Criteria!$B$31&amp;" kPa (not for LTA works). ","")))</f>
        <v/>
      </c>
      <c r="BK105" s="9"/>
      <c r="BL105" s="9"/>
      <c r="BM105" s="9"/>
      <c r="BN105" s="10" t="str">
        <f aca="false">IF(BM105="","",IFERROR(VLOOKUP(BM105,Projects!$A$5:$D$504,2,0),"Ref not in Projects"))</f>
        <v/>
      </c>
      <c r="BO105" s="10" t="str">
        <f aca="false">IF(BM105="","",IFERROR(VLOOKUP(BM105,Projects!$A$5:$D$504,4,0),"Ref not in Projects"))</f>
        <v/>
      </c>
      <c r="BP105" s="9"/>
      <c r="BQ105" s="9"/>
      <c r="BR105" s="9"/>
      <c r="BS105" s="40"/>
      <c r="BT105" s="9"/>
      <c r="BU105" s="40"/>
      <c r="BV105" s="9"/>
      <c r="BW105" s="40"/>
      <c r="BX105" s="9"/>
      <c r="BY105" s="9"/>
      <c r="BZ105" s="9"/>
      <c r="CA105" s="40"/>
      <c r="CB105" s="40"/>
      <c r="CC105" s="36" t="str">
        <f aca="false">IF(CB105="","",EDATE(CB105,SG_Criteria!$B$54*12))</f>
        <v/>
      </c>
      <c r="CD105" s="33" t="str">
        <f aca="true">IF(A105="","",IF(CB105="","NOTE: not reviewed yet",IF(TODAY()&gt;CC105,"NOTE: review overdue","OK")))</f>
        <v/>
      </c>
      <c r="CE105" s="37" t="str">
        <f aca="false">IF(A105="","",ROUND((IF(LEN(D105)&gt;0,1,0)+IF(LEN(E105)&gt;0,1,0)+IF(LEN(F105)&gt;0,1,0)+IF(LEN(G105)&gt;0,1,0)+IF(LEN(I105)&gt;0,1,0)+IF(LEN(K105)&gt;0,1,0)+IF(LEN(P105)&gt;0,1,0)+IF(LEN(Q105)&gt;0,1,0)+IF(LEN(T105)&gt;0,1,0)+IF(LEN(V105)&gt;0,1,0)+IF(LEN(W105)&gt;0,1,0)+IF(LEN(X105)&gt;0,1,0)+IF(LEN(Z105)&gt;0,1,0)+IF(LEN(AD105)&gt;0,1,0)+IF(LEN(AE105)&gt;0,1,0)+IF(LEN(AG105)&gt;0,1,0)+IF(LEN(AI105)&gt;0,1,0)+IF(LEN(BB105)&gt;0,1,0)+IF(LEN(BC105)&gt;0,1,0)+IF(LEN(AM105)&gt;0,1,0)+IF(LEN(AO105)&gt;0,1,0)+IF(LEN(AP105)&gt;0,1,0)+IF(LEN(AQ105)&gt;0,1,0)+IF(LEN(AR105)&gt;0,1,0)+IF(LEN(BA105)&gt;0,1,0)+IF(LEN(BM105)&gt;0,1,0)+IF(LEN(BZ105)&gt;0,1,0))/27,2))</f>
        <v/>
      </c>
      <c r="CF105" s="10" t="str">
        <f aca="false">IF(D105="","",IF(AND(AP105="Approved",ISERROR(SEARCH("FAIL",BJ105))),"Y","N"))</f>
        <v/>
      </c>
      <c r="CG105" s="10" t="str">
        <f aca="false">IF(D105="","",D105&amp;"|"&amp;E105&amp;"|"&amp;F105&amp;"|"&amp;G105&amp;"|"&amp;CF105)</f>
        <v/>
      </c>
    </row>
    <row r="106" customFormat="false" ht="15" hidden="false" customHeight="false" outlineLevel="0" collapsed="false">
      <c r="A106" s="10" t="str">
        <f aca="false">IF(D106="","","RW-"&amp;IFERROR(VLOOKUP(D106,Lists!$M$4:$N$22,2,0),"??")&amp;"-H"&amp;TEXT(E106*1000,"0000")&amp;"-S"&amp;F106&amp;IF(G106="Y","-GW","")&amp;"-"&amp;AO106)</f>
        <v/>
      </c>
      <c r="B106" s="10" t="str">
        <f aca="false">IF(D106="","",D106&amp;", H = "&amp;TEXT(E106,"0.0")&amp;" m, q = "&amp;F106&amp;" kPa"&amp;IF(G106="Y",", with GWT","")&amp;", "&amp;I106)</f>
        <v/>
      </c>
      <c r="C106" s="9"/>
      <c r="D106" s="9"/>
      <c r="E106" s="39"/>
      <c r="F106" s="38"/>
      <c r="G106" s="9"/>
      <c r="H106" s="38"/>
      <c r="I106" s="9"/>
      <c r="J106" s="38"/>
      <c r="K106" s="38"/>
      <c r="L106" s="38"/>
      <c r="M106" s="42"/>
      <c r="N106" s="9"/>
      <c r="O106" s="38"/>
      <c r="P106" s="38"/>
      <c r="Q106" s="38"/>
      <c r="R106" s="38"/>
      <c r="S106" s="38"/>
      <c r="T106" s="38"/>
      <c r="U106" s="9"/>
      <c r="V106" s="9"/>
      <c r="W106" s="38"/>
      <c r="X106" s="9"/>
      <c r="Y106" s="9"/>
      <c r="Z106" s="9"/>
      <c r="AA106" s="9"/>
      <c r="AB106" s="9"/>
      <c r="AC106" s="9"/>
      <c r="AD106" s="39"/>
      <c r="AE106" s="39"/>
      <c r="AF106" s="39"/>
      <c r="AG106" s="38"/>
      <c r="AH106" s="38"/>
      <c r="AI106" s="9"/>
      <c r="AJ106" s="38"/>
      <c r="AK106" s="9"/>
      <c r="AL106" s="39"/>
      <c r="AM106" s="9"/>
      <c r="AN106" s="9"/>
      <c r="AO106" s="9"/>
      <c r="AP106" s="9"/>
      <c r="AQ106" s="9"/>
      <c r="AR106" s="9"/>
      <c r="AS106" s="9"/>
      <c r="AT106" s="10" t="str">
        <f aca="false">IF(A106="","",SG_Criteria!$B$6&amp;SG_Criteria!$B$8&amp;"\"&amp;A106&amp;"\")</f>
        <v/>
      </c>
      <c r="AU106" s="10" t="str">
        <f aca="false">IF(A106="","",A106&amp;"_CAD.dwg")</f>
        <v/>
      </c>
      <c r="AV106" s="10" t="str">
        <f aca="false">IF(A106="","",A106&amp;"_DWG.pdf")</f>
        <v/>
      </c>
      <c r="AW106" s="10" t="str">
        <f aca="false">IF(A106="","",IF(AS106="Y",A106&amp;"_STAAD.std","n/a"))</f>
        <v/>
      </c>
      <c r="AX106" s="10" t="str">
        <f aca="false">IF(A106="","",A106&amp;"_CALC.xlsx")</f>
        <v/>
      </c>
      <c r="AY106" s="10" t="str">
        <f aca="false">IF(A106="","",A106&amp;"_CALC.pdf")</f>
        <v/>
      </c>
      <c r="AZ106" s="9"/>
      <c r="BA106" s="9"/>
      <c r="BB106" s="39"/>
      <c r="BC106" s="39"/>
      <c r="BD106" s="39"/>
      <c r="BE106" s="39"/>
      <c r="BF106" s="39"/>
      <c r="BG106" s="12" t="str">
        <f aca="false">IF(A106="","",IF(COUNTIF(Rebar_Schedule!$A$5:$A$2004,A106)=0,"",ROUND(SUMIF(Rebar_Schedule!$A$5:$A$2004,A106,Rebar_Schedule!$K$5:$K$2004),1)))</f>
        <v/>
      </c>
      <c r="BH106" s="33" t="str">
        <f aca="false">IF(A106="","",IF(BG106="","No rebar schedule yet",IF(ABS(BG106-N(BC106))/MAX(N(BC106),1)&gt;SG_Criteria!$B$55,"NOTE: register rebar differs from schedule by "&amp;TEXT(ABS(BG106-N(BC106))/MAX(N(BC106),1),"0%"),"OK")))</f>
        <v/>
      </c>
      <c r="BI106" s="33" t="str">
        <f aca="false">IF(OR(D106="",E106=""),"",IF(E106&lt;=IF(OR(D106="Block / Segmental",D106="Gabion",D106="Reinforced Earth (MSE)"),SG_Criteria!$B$34,SG_Criteria!$B$33),"No ERSS submission",IF(E106&lt;=SG_Criteria!$B$35,"QP(ST)",IF(E106&lt;=SG_Criteria!$B$36,"QP(ST) + AC","Geotechnical building works: QP(Geo) + AC"))))</f>
        <v/>
      </c>
      <c r="BJ106" s="33" t="str">
        <f aca="false">IF(D106="","",IF(LEN(IF(AND(V106&lt;&gt;"",IFERROR(VALUE(MID(V106,2,2)),0)&lt;SG_Criteria!$B$19),"FAIL: grade below C"&amp;SG_Criteria!$B$19&amp;". ","")&amp;IF(AND(W106&lt;&gt;"",W106&lt;SG_Criteria!$B$20),"FAIL: cover &lt; "&amp;SG_Criteria!$B$20&amp;" mm. ","")&amp;IF(AND(AD106&lt;&gt;"",AD106&lt;1),"FAIL: sliding. ","")&amp;IF(AND(D106="Reverse L-Wall (toe only, at boundary)",N(S106)&gt;0),"NOTE: reverse L-wall should have no heel. ","")&amp;IF(AND(D106="L-Wall (heel only)",N(R106)&gt;0),"NOTE: L-wall should have no toe. ","")&amp;IF(AND(F106&lt;&gt;"",F106&lt;SG_Criteria!$B$31),"NOTE: q below LTA min "&amp;SG_Criteria!$B$31&amp;" kPa (not for LTA works). ",""))=0,"OK",IF(AND(V106&lt;&gt;"",IFERROR(VALUE(MID(V106,2,2)),0)&lt;SG_Criteria!$B$19),"FAIL: grade below C"&amp;SG_Criteria!$B$19&amp;". ","")&amp;IF(AND(W106&lt;&gt;"",W106&lt;SG_Criteria!$B$20),"FAIL: cover &lt; "&amp;SG_Criteria!$B$20&amp;" mm. ","")&amp;IF(AND(AD106&lt;&gt;"",AD106&lt;1),"FAIL: sliding. ","")&amp;IF(AND(D106="Reverse L-Wall (toe only, at boundary)",N(S106)&gt;0),"NOTE: reverse L-wall should have no heel. ","")&amp;IF(AND(D106="L-Wall (heel only)",N(R106)&gt;0),"NOTE: L-wall should have no toe. ","")&amp;IF(AND(F106&lt;&gt;"",F106&lt;SG_Criteria!$B$31),"NOTE: q below LTA min "&amp;SG_Criteria!$B$31&amp;" kPa (not for LTA works). ","")))</f>
        <v/>
      </c>
      <c r="BK106" s="9"/>
      <c r="BL106" s="9"/>
      <c r="BM106" s="9"/>
      <c r="BN106" s="10" t="str">
        <f aca="false">IF(BM106="","",IFERROR(VLOOKUP(BM106,Projects!$A$5:$D$504,2,0),"Ref not in Projects"))</f>
        <v/>
      </c>
      <c r="BO106" s="10" t="str">
        <f aca="false">IF(BM106="","",IFERROR(VLOOKUP(BM106,Projects!$A$5:$D$504,4,0),"Ref not in Projects"))</f>
        <v/>
      </c>
      <c r="BP106" s="9"/>
      <c r="BQ106" s="9"/>
      <c r="BR106" s="9"/>
      <c r="BS106" s="40"/>
      <c r="BT106" s="9"/>
      <c r="BU106" s="40"/>
      <c r="BV106" s="9"/>
      <c r="BW106" s="40"/>
      <c r="BX106" s="9"/>
      <c r="BY106" s="9"/>
      <c r="BZ106" s="9"/>
      <c r="CA106" s="40"/>
      <c r="CB106" s="40"/>
      <c r="CC106" s="36" t="str">
        <f aca="false">IF(CB106="","",EDATE(CB106,SG_Criteria!$B$54*12))</f>
        <v/>
      </c>
      <c r="CD106" s="33" t="str">
        <f aca="true">IF(A106="","",IF(CB106="","NOTE: not reviewed yet",IF(TODAY()&gt;CC106,"NOTE: review overdue","OK")))</f>
        <v/>
      </c>
      <c r="CE106" s="37" t="str">
        <f aca="false">IF(A106="","",ROUND((IF(LEN(D106)&gt;0,1,0)+IF(LEN(E106)&gt;0,1,0)+IF(LEN(F106)&gt;0,1,0)+IF(LEN(G106)&gt;0,1,0)+IF(LEN(I106)&gt;0,1,0)+IF(LEN(K106)&gt;0,1,0)+IF(LEN(P106)&gt;0,1,0)+IF(LEN(Q106)&gt;0,1,0)+IF(LEN(T106)&gt;0,1,0)+IF(LEN(V106)&gt;0,1,0)+IF(LEN(W106)&gt;0,1,0)+IF(LEN(X106)&gt;0,1,0)+IF(LEN(Z106)&gt;0,1,0)+IF(LEN(AD106)&gt;0,1,0)+IF(LEN(AE106)&gt;0,1,0)+IF(LEN(AG106)&gt;0,1,0)+IF(LEN(AI106)&gt;0,1,0)+IF(LEN(BB106)&gt;0,1,0)+IF(LEN(BC106)&gt;0,1,0)+IF(LEN(AM106)&gt;0,1,0)+IF(LEN(AO106)&gt;0,1,0)+IF(LEN(AP106)&gt;0,1,0)+IF(LEN(AQ106)&gt;0,1,0)+IF(LEN(AR106)&gt;0,1,0)+IF(LEN(BA106)&gt;0,1,0)+IF(LEN(BM106)&gt;0,1,0)+IF(LEN(BZ106)&gt;0,1,0))/27,2))</f>
        <v/>
      </c>
      <c r="CF106" s="10" t="str">
        <f aca="false">IF(D106="","",IF(AND(AP106="Approved",ISERROR(SEARCH("FAIL",BJ106))),"Y","N"))</f>
        <v/>
      </c>
      <c r="CG106" s="10" t="str">
        <f aca="false">IF(D106="","",D106&amp;"|"&amp;E106&amp;"|"&amp;F106&amp;"|"&amp;G106&amp;"|"&amp;CF106)</f>
        <v/>
      </c>
    </row>
    <row r="107" customFormat="false" ht="15" hidden="false" customHeight="false" outlineLevel="0" collapsed="false">
      <c r="A107" s="10" t="str">
        <f aca="false">IF(D107="","","RW-"&amp;IFERROR(VLOOKUP(D107,Lists!$M$4:$N$22,2,0),"??")&amp;"-H"&amp;TEXT(E107*1000,"0000")&amp;"-S"&amp;F107&amp;IF(G107="Y","-GW","")&amp;"-"&amp;AO107)</f>
        <v/>
      </c>
      <c r="B107" s="10" t="str">
        <f aca="false">IF(D107="","",D107&amp;", H = "&amp;TEXT(E107,"0.0")&amp;" m, q = "&amp;F107&amp;" kPa"&amp;IF(G107="Y",", with GWT","")&amp;", "&amp;I107)</f>
        <v/>
      </c>
      <c r="C107" s="9"/>
      <c r="D107" s="9"/>
      <c r="E107" s="39"/>
      <c r="F107" s="38"/>
      <c r="G107" s="9"/>
      <c r="H107" s="38"/>
      <c r="I107" s="9"/>
      <c r="J107" s="38"/>
      <c r="K107" s="38"/>
      <c r="L107" s="38"/>
      <c r="M107" s="42"/>
      <c r="N107" s="9"/>
      <c r="O107" s="38"/>
      <c r="P107" s="38"/>
      <c r="Q107" s="38"/>
      <c r="R107" s="38"/>
      <c r="S107" s="38"/>
      <c r="T107" s="38"/>
      <c r="U107" s="9"/>
      <c r="V107" s="9"/>
      <c r="W107" s="38"/>
      <c r="X107" s="9"/>
      <c r="Y107" s="9"/>
      <c r="Z107" s="9"/>
      <c r="AA107" s="9"/>
      <c r="AB107" s="9"/>
      <c r="AC107" s="9"/>
      <c r="AD107" s="39"/>
      <c r="AE107" s="39"/>
      <c r="AF107" s="39"/>
      <c r="AG107" s="38"/>
      <c r="AH107" s="38"/>
      <c r="AI107" s="9"/>
      <c r="AJ107" s="38"/>
      <c r="AK107" s="9"/>
      <c r="AL107" s="39"/>
      <c r="AM107" s="9"/>
      <c r="AN107" s="9"/>
      <c r="AO107" s="9"/>
      <c r="AP107" s="9"/>
      <c r="AQ107" s="9"/>
      <c r="AR107" s="9"/>
      <c r="AS107" s="9"/>
      <c r="AT107" s="10" t="str">
        <f aca="false">IF(A107="","",SG_Criteria!$B$6&amp;SG_Criteria!$B$8&amp;"\"&amp;A107&amp;"\")</f>
        <v/>
      </c>
      <c r="AU107" s="10" t="str">
        <f aca="false">IF(A107="","",A107&amp;"_CAD.dwg")</f>
        <v/>
      </c>
      <c r="AV107" s="10" t="str">
        <f aca="false">IF(A107="","",A107&amp;"_DWG.pdf")</f>
        <v/>
      </c>
      <c r="AW107" s="10" t="str">
        <f aca="false">IF(A107="","",IF(AS107="Y",A107&amp;"_STAAD.std","n/a"))</f>
        <v/>
      </c>
      <c r="AX107" s="10" t="str">
        <f aca="false">IF(A107="","",A107&amp;"_CALC.xlsx")</f>
        <v/>
      </c>
      <c r="AY107" s="10" t="str">
        <f aca="false">IF(A107="","",A107&amp;"_CALC.pdf")</f>
        <v/>
      </c>
      <c r="AZ107" s="9"/>
      <c r="BA107" s="9"/>
      <c r="BB107" s="39"/>
      <c r="BC107" s="39"/>
      <c r="BD107" s="39"/>
      <c r="BE107" s="39"/>
      <c r="BF107" s="39"/>
      <c r="BG107" s="12" t="str">
        <f aca="false">IF(A107="","",IF(COUNTIF(Rebar_Schedule!$A$5:$A$2004,A107)=0,"",ROUND(SUMIF(Rebar_Schedule!$A$5:$A$2004,A107,Rebar_Schedule!$K$5:$K$2004),1)))</f>
        <v/>
      </c>
      <c r="BH107" s="33" t="str">
        <f aca="false">IF(A107="","",IF(BG107="","No rebar schedule yet",IF(ABS(BG107-N(BC107))/MAX(N(BC107),1)&gt;SG_Criteria!$B$55,"NOTE: register rebar differs from schedule by "&amp;TEXT(ABS(BG107-N(BC107))/MAX(N(BC107),1),"0%"),"OK")))</f>
        <v/>
      </c>
      <c r="BI107" s="33" t="str">
        <f aca="false">IF(OR(D107="",E107=""),"",IF(E107&lt;=IF(OR(D107="Block / Segmental",D107="Gabion",D107="Reinforced Earth (MSE)"),SG_Criteria!$B$34,SG_Criteria!$B$33),"No ERSS submission",IF(E107&lt;=SG_Criteria!$B$35,"QP(ST)",IF(E107&lt;=SG_Criteria!$B$36,"QP(ST) + AC","Geotechnical building works: QP(Geo) + AC"))))</f>
        <v/>
      </c>
      <c r="BJ107" s="33" t="str">
        <f aca="false">IF(D107="","",IF(LEN(IF(AND(V107&lt;&gt;"",IFERROR(VALUE(MID(V107,2,2)),0)&lt;SG_Criteria!$B$19),"FAIL: grade below C"&amp;SG_Criteria!$B$19&amp;". ","")&amp;IF(AND(W107&lt;&gt;"",W107&lt;SG_Criteria!$B$20),"FAIL: cover &lt; "&amp;SG_Criteria!$B$20&amp;" mm. ","")&amp;IF(AND(AD107&lt;&gt;"",AD107&lt;1),"FAIL: sliding. ","")&amp;IF(AND(D107="Reverse L-Wall (toe only, at boundary)",N(S107)&gt;0),"NOTE: reverse L-wall should have no heel. ","")&amp;IF(AND(D107="L-Wall (heel only)",N(R107)&gt;0),"NOTE: L-wall should have no toe. ","")&amp;IF(AND(F107&lt;&gt;"",F107&lt;SG_Criteria!$B$31),"NOTE: q below LTA min "&amp;SG_Criteria!$B$31&amp;" kPa (not for LTA works). ",""))=0,"OK",IF(AND(V107&lt;&gt;"",IFERROR(VALUE(MID(V107,2,2)),0)&lt;SG_Criteria!$B$19),"FAIL: grade below C"&amp;SG_Criteria!$B$19&amp;". ","")&amp;IF(AND(W107&lt;&gt;"",W107&lt;SG_Criteria!$B$20),"FAIL: cover &lt; "&amp;SG_Criteria!$B$20&amp;" mm. ","")&amp;IF(AND(AD107&lt;&gt;"",AD107&lt;1),"FAIL: sliding. ","")&amp;IF(AND(D107="Reverse L-Wall (toe only, at boundary)",N(S107)&gt;0),"NOTE: reverse L-wall should have no heel. ","")&amp;IF(AND(D107="L-Wall (heel only)",N(R107)&gt;0),"NOTE: L-wall should have no toe. ","")&amp;IF(AND(F107&lt;&gt;"",F107&lt;SG_Criteria!$B$31),"NOTE: q below LTA min "&amp;SG_Criteria!$B$31&amp;" kPa (not for LTA works). ","")))</f>
        <v/>
      </c>
      <c r="BK107" s="9"/>
      <c r="BL107" s="9"/>
      <c r="BM107" s="9"/>
      <c r="BN107" s="10" t="str">
        <f aca="false">IF(BM107="","",IFERROR(VLOOKUP(BM107,Projects!$A$5:$D$504,2,0),"Ref not in Projects"))</f>
        <v/>
      </c>
      <c r="BO107" s="10" t="str">
        <f aca="false">IF(BM107="","",IFERROR(VLOOKUP(BM107,Projects!$A$5:$D$504,4,0),"Ref not in Projects"))</f>
        <v/>
      </c>
      <c r="BP107" s="9"/>
      <c r="BQ107" s="9"/>
      <c r="BR107" s="9"/>
      <c r="BS107" s="40"/>
      <c r="BT107" s="9"/>
      <c r="BU107" s="40"/>
      <c r="BV107" s="9"/>
      <c r="BW107" s="40"/>
      <c r="BX107" s="9"/>
      <c r="BY107" s="9"/>
      <c r="BZ107" s="9"/>
      <c r="CA107" s="40"/>
      <c r="CB107" s="40"/>
      <c r="CC107" s="36" t="str">
        <f aca="false">IF(CB107="","",EDATE(CB107,SG_Criteria!$B$54*12))</f>
        <v/>
      </c>
      <c r="CD107" s="33" t="str">
        <f aca="true">IF(A107="","",IF(CB107="","NOTE: not reviewed yet",IF(TODAY()&gt;CC107,"NOTE: review overdue","OK")))</f>
        <v/>
      </c>
      <c r="CE107" s="37" t="str">
        <f aca="false">IF(A107="","",ROUND((IF(LEN(D107)&gt;0,1,0)+IF(LEN(E107)&gt;0,1,0)+IF(LEN(F107)&gt;0,1,0)+IF(LEN(G107)&gt;0,1,0)+IF(LEN(I107)&gt;0,1,0)+IF(LEN(K107)&gt;0,1,0)+IF(LEN(P107)&gt;0,1,0)+IF(LEN(Q107)&gt;0,1,0)+IF(LEN(T107)&gt;0,1,0)+IF(LEN(V107)&gt;0,1,0)+IF(LEN(W107)&gt;0,1,0)+IF(LEN(X107)&gt;0,1,0)+IF(LEN(Z107)&gt;0,1,0)+IF(LEN(AD107)&gt;0,1,0)+IF(LEN(AE107)&gt;0,1,0)+IF(LEN(AG107)&gt;0,1,0)+IF(LEN(AI107)&gt;0,1,0)+IF(LEN(BB107)&gt;0,1,0)+IF(LEN(BC107)&gt;0,1,0)+IF(LEN(AM107)&gt;0,1,0)+IF(LEN(AO107)&gt;0,1,0)+IF(LEN(AP107)&gt;0,1,0)+IF(LEN(AQ107)&gt;0,1,0)+IF(LEN(AR107)&gt;0,1,0)+IF(LEN(BA107)&gt;0,1,0)+IF(LEN(BM107)&gt;0,1,0)+IF(LEN(BZ107)&gt;0,1,0))/27,2))</f>
        <v/>
      </c>
      <c r="CF107" s="10" t="str">
        <f aca="false">IF(D107="","",IF(AND(AP107="Approved",ISERROR(SEARCH("FAIL",BJ107))),"Y","N"))</f>
        <v/>
      </c>
      <c r="CG107" s="10" t="str">
        <f aca="false">IF(D107="","",D107&amp;"|"&amp;E107&amp;"|"&amp;F107&amp;"|"&amp;G107&amp;"|"&amp;CF107)</f>
        <v/>
      </c>
    </row>
    <row r="108" customFormat="false" ht="15" hidden="false" customHeight="false" outlineLevel="0" collapsed="false">
      <c r="A108" s="10" t="str">
        <f aca="false">IF(D108="","","RW-"&amp;IFERROR(VLOOKUP(D108,Lists!$M$4:$N$22,2,0),"??")&amp;"-H"&amp;TEXT(E108*1000,"0000")&amp;"-S"&amp;F108&amp;IF(G108="Y","-GW","")&amp;"-"&amp;AO108)</f>
        <v/>
      </c>
      <c r="B108" s="10" t="str">
        <f aca="false">IF(D108="","",D108&amp;", H = "&amp;TEXT(E108,"0.0")&amp;" m, q = "&amp;F108&amp;" kPa"&amp;IF(G108="Y",", with GWT","")&amp;", "&amp;I108)</f>
        <v/>
      </c>
      <c r="C108" s="9"/>
      <c r="D108" s="9"/>
      <c r="E108" s="39"/>
      <c r="F108" s="38"/>
      <c r="G108" s="9"/>
      <c r="H108" s="38"/>
      <c r="I108" s="9"/>
      <c r="J108" s="38"/>
      <c r="K108" s="38"/>
      <c r="L108" s="38"/>
      <c r="M108" s="42"/>
      <c r="N108" s="9"/>
      <c r="O108" s="38"/>
      <c r="P108" s="38"/>
      <c r="Q108" s="38"/>
      <c r="R108" s="38"/>
      <c r="S108" s="38"/>
      <c r="T108" s="38"/>
      <c r="U108" s="9"/>
      <c r="V108" s="9"/>
      <c r="W108" s="38"/>
      <c r="X108" s="9"/>
      <c r="Y108" s="9"/>
      <c r="Z108" s="9"/>
      <c r="AA108" s="9"/>
      <c r="AB108" s="9"/>
      <c r="AC108" s="9"/>
      <c r="AD108" s="39"/>
      <c r="AE108" s="39"/>
      <c r="AF108" s="39"/>
      <c r="AG108" s="38"/>
      <c r="AH108" s="38"/>
      <c r="AI108" s="9"/>
      <c r="AJ108" s="38"/>
      <c r="AK108" s="9"/>
      <c r="AL108" s="39"/>
      <c r="AM108" s="9"/>
      <c r="AN108" s="9"/>
      <c r="AO108" s="9"/>
      <c r="AP108" s="9"/>
      <c r="AQ108" s="9"/>
      <c r="AR108" s="9"/>
      <c r="AS108" s="9"/>
      <c r="AT108" s="10" t="str">
        <f aca="false">IF(A108="","",SG_Criteria!$B$6&amp;SG_Criteria!$B$8&amp;"\"&amp;A108&amp;"\")</f>
        <v/>
      </c>
      <c r="AU108" s="10" t="str">
        <f aca="false">IF(A108="","",A108&amp;"_CAD.dwg")</f>
        <v/>
      </c>
      <c r="AV108" s="10" t="str">
        <f aca="false">IF(A108="","",A108&amp;"_DWG.pdf")</f>
        <v/>
      </c>
      <c r="AW108" s="10" t="str">
        <f aca="false">IF(A108="","",IF(AS108="Y",A108&amp;"_STAAD.std","n/a"))</f>
        <v/>
      </c>
      <c r="AX108" s="10" t="str">
        <f aca="false">IF(A108="","",A108&amp;"_CALC.xlsx")</f>
        <v/>
      </c>
      <c r="AY108" s="10" t="str">
        <f aca="false">IF(A108="","",A108&amp;"_CALC.pdf")</f>
        <v/>
      </c>
      <c r="AZ108" s="9"/>
      <c r="BA108" s="9"/>
      <c r="BB108" s="39"/>
      <c r="BC108" s="39"/>
      <c r="BD108" s="39"/>
      <c r="BE108" s="39"/>
      <c r="BF108" s="39"/>
      <c r="BG108" s="12" t="str">
        <f aca="false">IF(A108="","",IF(COUNTIF(Rebar_Schedule!$A$5:$A$2004,A108)=0,"",ROUND(SUMIF(Rebar_Schedule!$A$5:$A$2004,A108,Rebar_Schedule!$K$5:$K$2004),1)))</f>
        <v/>
      </c>
      <c r="BH108" s="33" t="str">
        <f aca="false">IF(A108="","",IF(BG108="","No rebar schedule yet",IF(ABS(BG108-N(BC108))/MAX(N(BC108),1)&gt;SG_Criteria!$B$55,"NOTE: register rebar differs from schedule by "&amp;TEXT(ABS(BG108-N(BC108))/MAX(N(BC108),1),"0%"),"OK")))</f>
        <v/>
      </c>
      <c r="BI108" s="33" t="str">
        <f aca="false">IF(OR(D108="",E108=""),"",IF(E108&lt;=IF(OR(D108="Block / Segmental",D108="Gabion",D108="Reinforced Earth (MSE)"),SG_Criteria!$B$34,SG_Criteria!$B$33),"No ERSS submission",IF(E108&lt;=SG_Criteria!$B$35,"QP(ST)",IF(E108&lt;=SG_Criteria!$B$36,"QP(ST) + AC","Geotechnical building works: QP(Geo) + AC"))))</f>
        <v/>
      </c>
      <c r="BJ108" s="33" t="str">
        <f aca="false">IF(D108="","",IF(LEN(IF(AND(V108&lt;&gt;"",IFERROR(VALUE(MID(V108,2,2)),0)&lt;SG_Criteria!$B$19),"FAIL: grade below C"&amp;SG_Criteria!$B$19&amp;". ","")&amp;IF(AND(W108&lt;&gt;"",W108&lt;SG_Criteria!$B$20),"FAIL: cover &lt; "&amp;SG_Criteria!$B$20&amp;" mm. ","")&amp;IF(AND(AD108&lt;&gt;"",AD108&lt;1),"FAIL: sliding. ","")&amp;IF(AND(D108="Reverse L-Wall (toe only, at boundary)",N(S108)&gt;0),"NOTE: reverse L-wall should have no heel. ","")&amp;IF(AND(D108="L-Wall (heel only)",N(R108)&gt;0),"NOTE: L-wall should have no toe. ","")&amp;IF(AND(F108&lt;&gt;"",F108&lt;SG_Criteria!$B$31),"NOTE: q below LTA min "&amp;SG_Criteria!$B$31&amp;" kPa (not for LTA works). ",""))=0,"OK",IF(AND(V108&lt;&gt;"",IFERROR(VALUE(MID(V108,2,2)),0)&lt;SG_Criteria!$B$19),"FAIL: grade below C"&amp;SG_Criteria!$B$19&amp;". ","")&amp;IF(AND(W108&lt;&gt;"",W108&lt;SG_Criteria!$B$20),"FAIL: cover &lt; "&amp;SG_Criteria!$B$20&amp;" mm. ","")&amp;IF(AND(AD108&lt;&gt;"",AD108&lt;1),"FAIL: sliding. ","")&amp;IF(AND(D108="Reverse L-Wall (toe only, at boundary)",N(S108)&gt;0),"NOTE: reverse L-wall should have no heel. ","")&amp;IF(AND(D108="L-Wall (heel only)",N(R108)&gt;0),"NOTE: L-wall should have no toe. ","")&amp;IF(AND(F108&lt;&gt;"",F108&lt;SG_Criteria!$B$31),"NOTE: q below LTA min "&amp;SG_Criteria!$B$31&amp;" kPa (not for LTA works). ","")))</f>
        <v/>
      </c>
      <c r="BK108" s="9"/>
      <c r="BL108" s="9"/>
      <c r="BM108" s="9"/>
      <c r="BN108" s="10" t="str">
        <f aca="false">IF(BM108="","",IFERROR(VLOOKUP(BM108,Projects!$A$5:$D$504,2,0),"Ref not in Projects"))</f>
        <v/>
      </c>
      <c r="BO108" s="10" t="str">
        <f aca="false">IF(BM108="","",IFERROR(VLOOKUP(BM108,Projects!$A$5:$D$504,4,0),"Ref not in Projects"))</f>
        <v/>
      </c>
      <c r="BP108" s="9"/>
      <c r="BQ108" s="9"/>
      <c r="BR108" s="9"/>
      <c r="BS108" s="40"/>
      <c r="BT108" s="9"/>
      <c r="BU108" s="40"/>
      <c r="BV108" s="9"/>
      <c r="BW108" s="40"/>
      <c r="BX108" s="9"/>
      <c r="BY108" s="9"/>
      <c r="BZ108" s="9"/>
      <c r="CA108" s="40"/>
      <c r="CB108" s="40"/>
      <c r="CC108" s="36" t="str">
        <f aca="false">IF(CB108="","",EDATE(CB108,SG_Criteria!$B$54*12))</f>
        <v/>
      </c>
      <c r="CD108" s="33" t="str">
        <f aca="true">IF(A108="","",IF(CB108="","NOTE: not reviewed yet",IF(TODAY()&gt;CC108,"NOTE: review overdue","OK")))</f>
        <v/>
      </c>
      <c r="CE108" s="37" t="str">
        <f aca="false">IF(A108="","",ROUND((IF(LEN(D108)&gt;0,1,0)+IF(LEN(E108)&gt;0,1,0)+IF(LEN(F108)&gt;0,1,0)+IF(LEN(G108)&gt;0,1,0)+IF(LEN(I108)&gt;0,1,0)+IF(LEN(K108)&gt;0,1,0)+IF(LEN(P108)&gt;0,1,0)+IF(LEN(Q108)&gt;0,1,0)+IF(LEN(T108)&gt;0,1,0)+IF(LEN(V108)&gt;0,1,0)+IF(LEN(W108)&gt;0,1,0)+IF(LEN(X108)&gt;0,1,0)+IF(LEN(Z108)&gt;0,1,0)+IF(LEN(AD108)&gt;0,1,0)+IF(LEN(AE108)&gt;0,1,0)+IF(LEN(AG108)&gt;0,1,0)+IF(LEN(AI108)&gt;0,1,0)+IF(LEN(BB108)&gt;0,1,0)+IF(LEN(BC108)&gt;0,1,0)+IF(LEN(AM108)&gt;0,1,0)+IF(LEN(AO108)&gt;0,1,0)+IF(LEN(AP108)&gt;0,1,0)+IF(LEN(AQ108)&gt;0,1,0)+IF(LEN(AR108)&gt;0,1,0)+IF(LEN(BA108)&gt;0,1,0)+IF(LEN(BM108)&gt;0,1,0)+IF(LEN(BZ108)&gt;0,1,0))/27,2))</f>
        <v/>
      </c>
      <c r="CF108" s="10" t="str">
        <f aca="false">IF(D108="","",IF(AND(AP108="Approved",ISERROR(SEARCH("FAIL",BJ108))),"Y","N"))</f>
        <v/>
      </c>
      <c r="CG108" s="10" t="str">
        <f aca="false">IF(D108="","",D108&amp;"|"&amp;E108&amp;"|"&amp;F108&amp;"|"&amp;G108&amp;"|"&amp;CF108)</f>
        <v/>
      </c>
    </row>
    <row r="109" customFormat="false" ht="15" hidden="false" customHeight="false" outlineLevel="0" collapsed="false">
      <c r="A109" s="10" t="str">
        <f aca="false">IF(D109="","","RW-"&amp;IFERROR(VLOOKUP(D109,Lists!$M$4:$N$22,2,0),"??")&amp;"-H"&amp;TEXT(E109*1000,"0000")&amp;"-S"&amp;F109&amp;IF(G109="Y","-GW","")&amp;"-"&amp;AO109)</f>
        <v/>
      </c>
      <c r="B109" s="10" t="str">
        <f aca="false">IF(D109="","",D109&amp;", H = "&amp;TEXT(E109,"0.0")&amp;" m, q = "&amp;F109&amp;" kPa"&amp;IF(G109="Y",", with GWT","")&amp;", "&amp;I109)</f>
        <v/>
      </c>
      <c r="C109" s="9"/>
      <c r="D109" s="9"/>
      <c r="E109" s="39"/>
      <c r="F109" s="38"/>
      <c r="G109" s="9"/>
      <c r="H109" s="38"/>
      <c r="I109" s="9"/>
      <c r="J109" s="38"/>
      <c r="K109" s="38"/>
      <c r="L109" s="38"/>
      <c r="M109" s="42"/>
      <c r="N109" s="9"/>
      <c r="O109" s="38"/>
      <c r="P109" s="38"/>
      <c r="Q109" s="38"/>
      <c r="R109" s="38"/>
      <c r="S109" s="38"/>
      <c r="T109" s="38"/>
      <c r="U109" s="9"/>
      <c r="V109" s="9"/>
      <c r="W109" s="38"/>
      <c r="X109" s="9"/>
      <c r="Y109" s="9"/>
      <c r="Z109" s="9"/>
      <c r="AA109" s="9"/>
      <c r="AB109" s="9"/>
      <c r="AC109" s="9"/>
      <c r="AD109" s="39"/>
      <c r="AE109" s="39"/>
      <c r="AF109" s="39"/>
      <c r="AG109" s="38"/>
      <c r="AH109" s="38"/>
      <c r="AI109" s="9"/>
      <c r="AJ109" s="38"/>
      <c r="AK109" s="9"/>
      <c r="AL109" s="39"/>
      <c r="AM109" s="9"/>
      <c r="AN109" s="9"/>
      <c r="AO109" s="9"/>
      <c r="AP109" s="9"/>
      <c r="AQ109" s="9"/>
      <c r="AR109" s="9"/>
      <c r="AS109" s="9"/>
      <c r="AT109" s="10" t="str">
        <f aca="false">IF(A109="","",SG_Criteria!$B$6&amp;SG_Criteria!$B$8&amp;"\"&amp;A109&amp;"\")</f>
        <v/>
      </c>
      <c r="AU109" s="10" t="str">
        <f aca="false">IF(A109="","",A109&amp;"_CAD.dwg")</f>
        <v/>
      </c>
      <c r="AV109" s="10" t="str">
        <f aca="false">IF(A109="","",A109&amp;"_DWG.pdf")</f>
        <v/>
      </c>
      <c r="AW109" s="10" t="str">
        <f aca="false">IF(A109="","",IF(AS109="Y",A109&amp;"_STAAD.std","n/a"))</f>
        <v/>
      </c>
      <c r="AX109" s="10" t="str">
        <f aca="false">IF(A109="","",A109&amp;"_CALC.xlsx")</f>
        <v/>
      </c>
      <c r="AY109" s="10" t="str">
        <f aca="false">IF(A109="","",A109&amp;"_CALC.pdf")</f>
        <v/>
      </c>
      <c r="AZ109" s="9"/>
      <c r="BA109" s="9"/>
      <c r="BB109" s="39"/>
      <c r="BC109" s="39"/>
      <c r="BD109" s="39"/>
      <c r="BE109" s="39"/>
      <c r="BF109" s="39"/>
      <c r="BG109" s="12" t="str">
        <f aca="false">IF(A109="","",IF(COUNTIF(Rebar_Schedule!$A$5:$A$2004,A109)=0,"",ROUND(SUMIF(Rebar_Schedule!$A$5:$A$2004,A109,Rebar_Schedule!$K$5:$K$2004),1)))</f>
        <v/>
      </c>
      <c r="BH109" s="33" t="str">
        <f aca="false">IF(A109="","",IF(BG109="","No rebar schedule yet",IF(ABS(BG109-N(BC109))/MAX(N(BC109),1)&gt;SG_Criteria!$B$55,"NOTE: register rebar differs from schedule by "&amp;TEXT(ABS(BG109-N(BC109))/MAX(N(BC109),1),"0%"),"OK")))</f>
        <v/>
      </c>
      <c r="BI109" s="33" t="str">
        <f aca="false">IF(OR(D109="",E109=""),"",IF(E109&lt;=IF(OR(D109="Block / Segmental",D109="Gabion",D109="Reinforced Earth (MSE)"),SG_Criteria!$B$34,SG_Criteria!$B$33),"No ERSS submission",IF(E109&lt;=SG_Criteria!$B$35,"QP(ST)",IF(E109&lt;=SG_Criteria!$B$36,"QP(ST) + AC","Geotechnical building works: QP(Geo) + AC"))))</f>
        <v/>
      </c>
      <c r="BJ109" s="33" t="str">
        <f aca="false">IF(D109="","",IF(LEN(IF(AND(V109&lt;&gt;"",IFERROR(VALUE(MID(V109,2,2)),0)&lt;SG_Criteria!$B$19),"FAIL: grade below C"&amp;SG_Criteria!$B$19&amp;". ","")&amp;IF(AND(W109&lt;&gt;"",W109&lt;SG_Criteria!$B$20),"FAIL: cover &lt; "&amp;SG_Criteria!$B$20&amp;" mm. ","")&amp;IF(AND(AD109&lt;&gt;"",AD109&lt;1),"FAIL: sliding. ","")&amp;IF(AND(D109="Reverse L-Wall (toe only, at boundary)",N(S109)&gt;0),"NOTE: reverse L-wall should have no heel. ","")&amp;IF(AND(D109="L-Wall (heel only)",N(R109)&gt;0),"NOTE: L-wall should have no toe. ","")&amp;IF(AND(F109&lt;&gt;"",F109&lt;SG_Criteria!$B$31),"NOTE: q below LTA min "&amp;SG_Criteria!$B$31&amp;" kPa (not for LTA works). ",""))=0,"OK",IF(AND(V109&lt;&gt;"",IFERROR(VALUE(MID(V109,2,2)),0)&lt;SG_Criteria!$B$19),"FAIL: grade below C"&amp;SG_Criteria!$B$19&amp;". ","")&amp;IF(AND(W109&lt;&gt;"",W109&lt;SG_Criteria!$B$20),"FAIL: cover &lt; "&amp;SG_Criteria!$B$20&amp;" mm. ","")&amp;IF(AND(AD109&lt;&gt;"",AD109&lt;1),"FAIL: sliding. ","")&amp;IF(AND(D109="Reverse L-Wall (toe only, at boundary)",N(S109)&gt;0),"NOTE: reverse L-wall should have no heel. ","")&amp;IF(AND(D109="L-Wall (heel only)",N(R109)&gt;0),"NOTE: L-wall should have no toe. ","")&amp;IF(AND(F109&lt;&gt;"",F109&lt;SG_Criteria!$B$31),"NOTE: q below LTA min "&amp;SG_Criteria!$B$31&amp;" kPa (not for LTA works). ","")))</f>
        <v/>
      </c>
      <c r="BK109" s="9"/>
      <c r="BL109" s="9"/>
      <c r="BM109" s="9"/>
      <c r="BN109" s="10" t="str">
        <f aca="false">IF(BM109="","",IFERROR(VLOOKUP(BM109,Projects!$A$5:$D$504,2,0),"Ref not in Projects"))</f>
        <v/>
      </c>
      <c r="BO109" s="10" t="str">
        <f aca="false">IF(BM109="","",IFERROR(VLOOKUP(BM109,Projects!$A$5:$D$504,4,0),"Ref not in Projects"))</f>
        <v/>
      </c>
      <c r="BP109" s="9"/>
      <c r="BQ109" s="9"/>
      <c r="BR109" s="9"/>
      <c r="BS109" s="40"/>
      <c r="BT109" s="9"/>
      <c r="BU109" s="40"/>
      <c r="BV109" s="9"/>
      <c r="BW109" s="40"/>
      <c r="BX109" s="9"/>
      <c r="BY109" s="9"/>
      <c r="BZ109" s="9"/>
      <c r="CA109" s="40"/>
      <c r="CB109" s="40"/>
      <c r="CC109" s="36" t="str">
        <f aca="false">IF(CB109="","",EDATE(CB109,SG_Criteria!$B$54*12))</f>
        <v/>
      </c>
      <c r="CD109" s="33" t="str">
        <f aca="true">IF(A109="","",IF(CB109="","NOTE: not reviewed yet",IF(TODAY()&gt;CC109,"NOTE: review overdue","OK")))</f>
        <v/>
      </c>
      <c r="CE109" s="37" t="str">
        <f aca="false">IF(A109="","",ROUND((IF(LEN(D109)&gt;0,1,0)+IF(LEN(E109)&gt;0,1,0)+IF(LEN(F109)&gt;0,1,0)+IF(LEN(G109)&gt;0,1,0)+IF(LEN(I109)&gt;0,1,0)+IF(LEN(K109)&gt;0,1,0)+IF(LEN(P109)&gt;0,1,0)+IF(LEN(Q109)&gt;0,1,0)+IF(LEN(T109)&gt;0,1,0)+IF(LEN(V109)&gt;0,1,0)+IF(LEN(W109)&gt;0,1,0)+IF(LEN(X109)&gt;0,1,0)+IF(LEN(Z109)&gt;0,1,0)+IF(LEN(AD109)&gt;0,1,0)+IF(LEN(AE109)&gt;0,1,0)+IF(LEN(AG109)&gt;0,1,0)+IF(LEN(AI109)&gt;0,1,0)+IF(LEN(BB109)&gt;0,1,0)+IF(LEN(BC109)&gt;0,1,0)+IF(LEN(AM109)&gt;0,1,0)+IF(LEN(AO109)&gt;0,1,0)+IF(LEN(AP109)&gt;0,1,0)+IF(LEN(AQ109)&gt;0,1,0)+IF(LEN(AR109)&gt;0,1,0)+IF(LEN(BA109)&gt;0,1,0)+IF(LEN(BM109)&gt;0,1,0)+IF(LEN(BZ109)&gt;0,1,0))/27,2))</f>
        <v/>
      </c>
      <c r="CF109" s="10" t="str">
        <f aca="false">IF(D109="","",IF(AND(AP109="Approved",ISERROR(SEARCH("FAIL",BJ109))),"Y","N"))</f>
        <v/>
      </c>
      <c r="CG109" s="10" t="str">
        <f aca="false">IF(D109="","",D109&amp;"|"&amp;E109&amp;"|"&amp;F109&amp;"|"&amp;G109&amp;"|"&amp;CF109)</f>
        <v/>
      </c>
    </row>
    <row r="110" customFormat="false" ht="15" hidden="false" customHeight="false" outlineLevel="0" collapsed="false">
      <c r="A110" s="10" t="str">
        <f aca="false">IF(D110="","","RW-"&amp;IFERROR(VLOOKUP(D110,Lists!$M$4:$N$22,2,0),"??")&amp;"-H"&amp;TEXT(E110*1000,"0000")&amp;"-S"&amp;F110&amp;IF(G110="Y","-GW","")&amp;"-"&amp;AO110)</f>
        <v/>
      </c>
      <c r="B110" s="10" t="str">
        <f aca="false">IF(D110="","",D110&amp;", H = "&amp;TEXT(E110,"0.0")&amp;" m, q = "&amp;F110&amp;" kPa"&amp;IF(G110="Y",", with GWT","")&amp;", "&amp;I110)</f>
        <v/>
      </c>
      <c r="C110" s="9"/>
      <c r="D110" s="9"/>
      <c r="E110" s="39"/>
      <c r="F110" s="38"/>
      <c r="G110" s="9"/>
      <c r="H110" s="38"/>
      <c r="I110" s="9"/>
      <c r="J110" s="38"/>
      <c r="K110" s="38"/>
      <c r="L110" s="38"/>
      <c r="M110" s="42"/>
      <c r="N110" s="9"/>
      <c r="O110" s="38"/>
      <c r="P110" s="38"/>
      <c r="Q110" s="38"/>
      <c r="R110" s="38"/>
      <c r="S110" s="38"/>
      <c r="T110" s="38"/>
      <c r="U110" s="9"/>
      <c r="V110" s="9"/>
      <c r="W110" s="38"/>
      <c r="X110" s="9"/>
      <c r="Y110" s="9"/>
      <c r="Z110" s="9"/>
      <c r="AA110" s="9"/>
      <c r="AB110" s="9"/>
      <c r="AC110" s="9"/>
      <c r="AD110" s="39"/>
      <c r="AE110" s="39"/>
      <c r="AF110" s="39"/>
      <c r="AG110" s="38"/>
      <c r="AH110" s="38"/>
      <c r="AI110" s="9"/>
      <c r="AJ110" s="38"/>
      <c r="AK110" s="9"/>
      <c r="AL110" s="39"/>
      <c r="AM110" s="9"/>
      <c r="AN110" s="9"/>
      <c r="AO110" s="9"/>
      <c r="AP110" s="9"/>
      <c r="AQ110" s="9"/>
      <c r="AR110" s="9"/>
      <c r="AS110" s="9"/>
      <c r="AT110" s="10" t="str">
        <f aca="false">IF(A110="","",SG_Criteria!$B$6&amp;SG_Criteria!$B$8&amp;"\"&amp;A110&amp;"\")</f>
        <v/>
      </c>
      <c r="AU110" s="10" t="str">
        <f aca="false">IF(A110="","",A110&amp;"_CAD.dwg")</f>
        <v/>
      </c>
      <c r="AV110" s="10" t="str">
        <f aca="false">IF(A110="","",A110&amp;"_DWG.pdf")</f>
        <v/>
      </c>
      <c r="AW110" s="10" t="str">
        <f aca="false">IF(A110="","",IF(AS110="Y",A110&amp;"_STAAD.std","n/a"))</f>
        <v/>
      </c>
      <c r="AX110" s="10" t="str">
        <f aca="false">IF(A110="","",A110&amp;"_CALC.xlsx")</f>
        <v/>
      </c>
      <c r="AY110" s="10" t="str">
        <f aca="false">IF(A110="","",A110&amp;"_CALC.pdf")</f>
        <v/>
      </c>
      <c r="AZ110" s="9"/>
      <c r="BA110" s="9"/>
      <c r="BB110" s="39"/>
      <c r="BC110" s="39"/>
      <c r="BD110" s="39"/>
      <c r="BE110" s="39"/>
      <c r="BF110" s="39"/>
      <c r="BG110" s="12" t="str">
        <f aca="false">IF(A110="","",IF(COUNTIF(Rebar_Schedule!$A$5:$A$2004,A110)=0,"",ROUND(SUMIF(Rebar_Schedule!$A$5:$A$2004,A110,Rebar_Schedule!$K$5:$K$2004),1)))</f>
        <v/>
      </c>
      <c r="BH110" s="33" t="str">
        <f aca="false">IF(A110="","",IF(BG110="","No rebar schedule yet",IF(ABS(BG110-N(BC110))/MAX(N(BC110),1)&gt;SG_Criteria!$B$55,"NOTE: register rebar differs from schedule by "&amp;TEXT(ABS(BG110-N(BC110))/MAX(N(BC110),1),"0%"),"OK")))</f>
        <v/>
      </c>
      <c r="BI110" s="33" t="str">
        <f aca="false">IF(OR(D110="",E110=""),"",IF(E110&lt;=IF(OR(D110="Block / Segmental",D110="Gabion",D110="Reinforced Earth (MSE)"),SG_Criteria!$B$34,SG_Criteria!$B$33),"No ERSS submission",IF(E110&lt;=SG_Criteria!$B$35,"QP(ST)",IF(E110&lt;=SG_Criteria!$B$36,"QP(ST) + AC","Geotechnical building works: QP(Geo) + AC"))))</f>
        <v/>
      </c>
      <c r="BJ110" s="33" t="str">
        <f aca="false">IF(D110="","",IF(LEN(IF(AND(V110&lt;&gt;"",IFERROR(VALUE(MID(V110,2,2)),0)&lt;SG_Criteria!$B$19),"FAIL: grade below C"&amp;SG_Criteria!$B$19&amp;". ","")&amp;IF(AND(W110&lt;&gt;"",W110&lt;SG_Criteria!$B$20),"FAIL: cover &lt; "&amp;SG_Criteria!$B$20&amp;" mm. ","")&amp;IF(AND(AD110&lt;&gt;"",AD110&lt;1),"FAIL: sliding. ","")&amp;IF(AND(D110="Reverse L-Wall (toe only, at boundary)",N(S110)&gt;0),"NOTE: reverse L-wall should have no heel. ","")&amp;IF(AND(D110="L-Wall (heel only)",N(R110)&gt;0),"NOTE: L-wall should have no toe. ","")&amp;IF(AND(F110&lt;&gt;"",F110&lt;SG_Criteria!$B$31),"NOTE: q below LTA min "&amp;SG_Criteria!$B$31&amp;" kPa (not for LTA works). ",""))=0,"OK",IF(AND(V110&lt;&gt;"",IFERROR(VALUE(MID(V110,2,2)),0)&lt;SG_Criteria!$B$19),"FAIL: grade below C"&amp;SG_Criteria!$B$19&amp;". ","")&amp;IF(AND(W110&lt;&gt;"",W110&lt;SG_Criteria!$B$20),"FAIL: cover &lt; "&amp;SG_Criteria!$B$20&amp;" mm. ","")&amp;IF(AND(AD110&lt;&gt;"",AD110&lt;1),"FAIL: sliding. ","")&amp;IF(AND(D110="Reverse L-Wall (toe only, at boundary)",N(S110)&gt;0),"NOTE: reverse L-wall should have no heel. ","")&amp;IF(AND(D110="L-Wall (heel only)",N(R110)&gt;0),"NOTE: L-wall should have no toe. ","")&amp;IF(AND(F110&lt;&gt;"",F110&lt;SG_Criteria!$B$31),"NOTE: q below LTA min "&amp;SG_Criteria!$B$31&amp;" kPa (not for LTA works). ","")))</f>
        <v/>
      </c>
      <c r="BK110" s="9"/>
      <c r="BL110" s="9"/>
      <c r="BM110" s="9"/>
      <c r="BN110" s="10" t="str">
        <f aca="false">IF(BM110="","",IFERROR(VLOOKUP(BM110,Projects!$A$5:$D$504,2,0),"Ref not in Projects"))</f>
        <v/>
      </c>
      <c r="BO110" s="10" t="str">
        <f aca="false">IF(BM110="","",IFERROR(VLOOKUP(BM110,Projects!$A$5:$D$504,4,0),"Ref not in Projects"))</f>
        <v/>
      </c>
      <c r="BP110" s="9"/>
      <c r="BQ110" s="9"/>
      <c r="BR110" s="9"/>
      <c r="BS110" s="40"/>
      <c r="BT110" s="9"/>
      <c r="BU110" s="40"/>
      <c r="BV110" s="9"/>
      <c r="BW110" s="40"/>
      <c r="BX110" s="9"/>
      <c r="BY110" s="9"/>
      <c r="BZ110" s="9"/>
      <c r="CA110" s="40"/>
      <c r="CB110" s="40"/>
      <c r="CC110" s="36" t="str">
        <f aca="false">IF(CB110="","",EDATE(CB110,SG_Criteria!$B$54*12))</f>
        <v/>
      </c>
      <c r="CD110" s="33" t="str">
        <f aca="true">IF(A110="","",IF(CB110="","NOTE: not reviewed yet",IF(TODAY()&gt;CC110,"NOTE: review overdue","OK")))</f>
        <v/>
      </c>
      <c r="CE110" s="37" t="str">
        <f aca="false">IF(A110="","",ROUND((IF(LEN(D110)&gt;0,1,0)+IF(LEN(E110)&gt;0,1,0)+IF(LEN(F110)&gt;0,1,0)+IF(LEN(G110)&gt;0,1,0)+IF(LEN(I110)&gt;0,1,0)+IF(LEN(K110)&gt;0,1,0)+IF(LEN(P110)&gt;0,1,0)+IF(LEN(Q110)&gt;0,1,0)+IF(LEN(T110)&gt;0,1,0)+IF(LEN(V110)&gt;0,1,0)+IF(LEN(W110)&gt;0,1,0)+IF(LEN(X110)&gt;0,1,0)+IF(LEN(Z110)&gt;0,1,0)+IF(LEN(AD110)&gt;0,1,0)+IF(LEN(AE110)&gt;0,1,0)+IF(LEN(AG110)&gt;0,1,0)+IF(LEN(AI110)&gt;0,1,0)+IF(LEN(BB110)&gt;0,1,0)+IF(LEN(BC110)&gt;0,1,0)+IF(LEN(AM110)&gt;0,1,0)+IF(LEN(AO110)&gt;0,1,0)+IF(LEN(AP110)&gt;0,1,0)+IF(LEN(AQ110)&gt;0,1,0)+IF(LEN(AR110)&gt;0,1,0)+IF(LEN(BA110)&gt;0,1,0)+IF(LEN(BM110)&gt;0,1,0)+IF(LEN(BZ110)&gt;0,1,0))/27,2))</f>
        <v/>
      </c>
      <c r="CF110" s="10" t="str">
        <f aca="false">IF(D110="","",IF(AND(AP110="Approved",ISERROR(SEARCH("FAIL",BJ110))),"Y","N"))</f>
        <v/>
      </c>
      <c r="CG110" s="10" t="str">
        <f aca="false">IF(D110="","",D110&amp;"|"&amp;E110&amp;"|"&amp;F110&amp;"|"&amp;G110&amp;"|"&amp;CF110)</f>
        <v/>
      </c>
    </row>
    <row r="111" customFormat="false" ht="15" hidden="false" customHeight="false" outlineLevel="0" collapsed="false">
      <c r="A111" s="10" t="str">
        <f aca="false">IF(D111="","","RW-"&amp;IFERROR(VLOOKUP(D111,Lists!$M$4:$N$22,2,0),"??")&amp;"-H"&amp;TEXT(E111*1000,"0000")&amp;"-S"&amp;F111&amp;IF(G111="Y","-GW","")&amp;"-"&amp;AO111)</f>
        <v/>
      </c>
      <c r="B111" s="10" t="str">
        <f aca="false">IF(D111="","",D111&amp;", H = "&amp;TEXT(E111,"0.0")&amp;" m, q = "&amp;F111&amp;" kPa"&amp;IF(G111="Y",", with GWT","")&amp;", "&amp;I111)</f>
        <v/>
      </c>
      <c r="C111" s="9"/>
      <c r="D111" s="9"/>
      <c r="E111" s="39"/>
      <c r="F111" s="38"/>
      <c r="G111" s="9"/>
      <c r="H111" s="38"/>
      <c r="I111" s="9"/>
      <c r="J111" s="38"/>
      <c r="K111" s="38"/>
      <c r="L111" s="38"/>
      <c r="M111" s="42"/>
      <c r="N111" s="9"/>
      <c r="O111" s="38"/>
      <c r="P111" s="38"/>
      <c r="Q111" s="38"/>
      <c r="R111" s="38"/>
      <c r="S111" s="38"/>
      <c r="T111" s="38"/>
      <c r="U111" s="9"/>
      <c r="V111" s="9"/>
      <c r="W111" s="38"/>
      <c r="X111" s="9"/>
      <c r="Y111" s="9"/>
      <c r="Z111" s="9"/>
      <c r="AA111" s="9"/>
      <c r="AB111" s="9"/>
      <c r="AC111" s="9"/>
      <c r="AD111" s="39"/>
      <c r="AE111" s="39"/>
      <c r="AF111" s="39"/>
      <c r="AG111" s="38"/>
      <c r="AH111" s="38"/>
      <c r="AI111" s="9"/>
      <c r="AJ111" s="38"/>
      <c r="AK111" s="9"/>
      <c r="AL111" s="39"/>
      <c r="AM111" s="9"/>
      <c r="AN111" s="9"/>
      <c r="AO111" s="9"/>
      <c r="AP111" s="9"/>
      <c r="AQ111" s="9"/>
      <c r="AR111" s="9"/>
      <c r="AS111" s="9"/>
      <c r="AT111" s="10" t="str">
        <f aca="false">IF(A111="","",SG_Criteria!$B$6&amp;SG_Criteria!$B$8&amp;"\"&amp;A111&amp;"\")</f>
        <v/>
      </c>
      <c r="AU111" s="10" t="str">
        <f aca="false">IF(A111="","",A111&amp;"_CAD.dwg")</f>
        <v/>
      </c>
      <c r="AV111" s="10" t="str">
        <f aca="false">IF(A111="","",A111&amp;"_DWG.pdf")</f>
        <v/>
      </c>
      <c r="AW111" s="10" t="str">
        <f aca="false">IF(A111="","",IF(AS111="Y",A111&amp;"_STAAD.std","n/a"))</f>
        <v/>
      </c>
      <c r="AX111" s="10" t="str">
        <f aca="false">IF(A111="","",A111&amp;"_CALC.xlsx")</f>
        <v/>
      </c>
      <c r="AY111" s="10" t="str">
        <f aca="false">IF(A111="","",A111&amp;"_CALC.pdf")</f>
        <v/>
      </c>
      <c r="AZ111" s="9"/>
      <c r="BA111" s="9"/>
      <c r="BB111" s="39"/>
      <c r="BC111" s="39"/>
      <c r="BD111" s="39"/>
      <c r="BE111" s="39"/>
      <c r="BF111" s="39"/>
      <c r="BG111" s="12" t="str">
        <f aca="false">IF(A111="","",IF(COUNTIF(Rebar_Schedule!$A$5:$A$2004,A111)=0,"",ROUND(SUMIF(Rebar_Schedule!$A$5:$A$2004,A111,Rebar_Schedule!$K$5:$K$2004),1)))</f>
        <v/>
      </c>
      <c r="BH111" s="33" t="str">
        <f aca="false">IF(A111="","",IF(BG111="","No rebar schedule yet",IF(ABS(BG111-N(BC111))/MAX(N(BC111),1)&gt;SG_Criteria!$B$55,"NOTE: register rebar differs from schedule by "&amp;TEXT(ABS(BG111-N(BC111))/MAX(N(BC111),1),"0%"),"OK")))</f>
        <v/>
      </c>
      <c r="BI111" s="33" t="str">
        <f aca="false">IF(OR(D111="",E111=""),"",IF(E111&lt;=IF(OR(D111="Block / Segmental",D111="Gabion",D111="Reinforced Earth (MSE)"),SG_Criteria!$B$34,SG_Criteria!$B$33),"No ERSS submission",IF(E111&lt;=SG_Criteria!$B$35,"QP(ST)",IF(E111&lt;=SG_Criteria!$B$36,"QP(ST) + AC","Geotechnical building works: QP(Geo) + AC"))))</f>
        <v/>
      </c>
      <c r="BJ111" s="33" t="str">
        <f aca="false">IF(D111="","",IF(LEN(IF(AND(V111&lt;&gt;"",IFERROR(VALUE(MID(V111,2,2)),0)&lt;SG_Criteria!$B$19),"FAIL: grade below C"&amp;SG_Criteria!$B$19&amp;". ","")&amp;IF(AND(W111&lt;&gt;"",W111&lt;SG_Criteria!$B$20),"FAIL: cover &lt; "&amp;SG_Criteria!$B$20&amp;" mm. ","")&amp;IF(AND(AD111&lt;&gt;"",AD111&lt;1),"FAIL: sliding. ","")&amp;IF(AND(D111="Reverse L-Wall (toe only, at boundary)",N(S111)&gt;0),"NOTE: reverse L-wall should have no heel. ","")&amp;IF(AND(D111="L-Wall (heel only)",N(R111)&gt;0),"NOTE: L-wall should have no toe. ","")&amp;IF(AND(F111&lt;&gt;"",F111&lt;SG_Criteria!$B$31),"NOTE: q below LTA min "&amp;SG_Criteria!$B$31&amp;" kPa (not for LTA works). ",""))=0,"OK",IF(AND(V111&lt;&gt;"",IFERROR(VALUE(MID(V111,2,2)),0)&lt;SG_Criteria!$B$19),"FAIL: grade below C"&amp;SG_Criteria!$B$19&amp;". ","")&amp;IF(AND(W111&lt;&gt;"",W111&lt;SG_Criteria!$B$20),"FAIL: cover &lt; "&amp;SG_Criteria!$B$20&amp;" mm. ","")&amp;IF(AND(AD111&lt;&gt;"",AD111&lt;1),"FAIL: sliding. ","")&amp;IF(AND(D111="Reverse L-Wall (toe only, at boundary)",N(S111)&gt;0),"NOTE: reverse L-wall should have no heel. ","")&amp;IF(AND(D111="L-Wall (heel only)",N(R111)&gt;0),"NOTE: L-wall should have no toe. ","")&amp;IF(AND(F111&lt;&gt;"",F111&lt;SG_Criteria!$B$31),"NOTE: q below LTA min "&amp;SG_Criteria!$B$31&amp;" kPa (not for LTA works). ","")))</f>
        <v/>
      </c>
      <c r="BK111" s="9"/>
      <c r="BL111" s="9"/>
      <c r="BM111" s="9"/>
      <c r="BN111" s="10" t="str">
        <f aca="false">IF(BM111="","",IFERROR(VLOOKUP(BM111,Projects!$A$5:$D$504,2,0),"Ref not in Projects"))</f>
        <v/>
      </c>
      <c r="BO111" s="10" t="str">
        <f aca="false">IF(BM111="","",IFERROR(VLOOKUP(BM111,Projects!$A$5:$D$504,4,0),"Ref not in Projects"))</f>
        <v/>
      </c>
      <c r="BP111" s="9"/>
      <c r="BQ111" s="9"/>
      <c r="BR111" s="9"/>
      <c r="BS111" s="40"/>
      <c r="BT111" s="9"/>
      <c r="BU111" s="40"/>
      <c r="BV111" s="9"/>
      <c r="BW111" s="40"/>
      <c r="BX111" s="9"/>
      <c r="BY111" s="9"/>
      <c r="BZ111" s="9"/>
      <c r="CA111" s="40"/>
      <c r="CB111" s="40"/>
      <c r="CC111" s="36" t="str">
        <f aca="false">IF(CB111="","",EDATE(CB111,SG_Criteria!$B$54*12))</f>
        <v/>
      </c>
      <c r="CD111" s="33" t="str">
        <f aca="true">IF(A111="","",IF(CB111="","NOTE: not reviewed yet",IF(TODAY()&gt;CC111,"NOTE: review overdue","OK")))</f>
        <v/>
      </c>
      <c r="CE111" s="37" t="str">
        <f aca="false">IF(A111="","",ROUND((IF(LEN(D111)&gt;0,1,0)+IF(LEN(E111)&gt;0,1,0)+IF(LEN(F111)&gt;0,1,0)+IF(LEN(G111)&gt;0,1,0)+IF(LEN(I111)&gt;0,1,0)+IF(LEN(K111)&gt;0,1,0)+IF(LEN(P111)&gt;0,1,0)+IF(LEN(Q111)&gt;0,1,0)+IF(LEN(T111)&gt;0,1,0)+IF(LEN(V111)&gt;0,1,0)+IF(LEN(W111)&gt;0,1,0)+IF(LEN(X111)&gt;0,1,0)+IF(LEN(Z111)&gt;0,1,0)+IF(LEN(AD111)&gt;0,1,0)+IF(LEN(AE111)&gt;0,1,0)+IF(LEN(AG111)&gt;0,1,0)+IF(LEN(AI111)&gt;0,1,0)+IF(LEN(BB111)&gt;0,1,0)+IF(LEN(BC111)&gt;0,1,0)+IF(LEN(AM111)&gt;0,1,0)+IF(LEN(AO111)&gt;0,1,0)+IF(LEN(AP111)&gt;0,1,0)+IF(LEN(AQ111)&gt;0,1,0)+IF(LEN(AR111)&gt;0,1,0)+IF(LEN(BA111)&gt;0,1,0)+IF(LEN(BM111)&gt;0,1,0)+IF(LEN(BZ111)&gt;0,1,0))/27,2))</f>
        <v/>
      </c>
      <c r="CF111" s="10" t="str">
        <f aca="false">IF(D111="","",IF(AND(AP111="Approved",ISERROR(SEARCH("FAIL",BJ111))),"Y","N"))</f>
        <v/>
      </c>
      <c r="CG111" s="10" t="str">
        <f aca="false">IF(D111="","",D111&amp;"|"&amp;E111&amp;"|"&amp;F111&amp;"|"&amp;G111&amp;"|"&amp;CF111)</f>
        <v/>
      </c>
    </row>
    <row r="112" customFormat="false" ht="15" hidden="false" customHeight="false" outlineLevel="0" collapsed="false">
      <c r="A112" s="10" t="str">
        <f aca="false">IF(D112="","","RW-"&amp;IFERROR(VLOOKUP(D112,Lists!$M$4:$N$22,2,0),"??")&amp;"-H"&amp;TEXT(E112*1000,"0000")&amp;"-S"&amp;F112&amp;IF(G112="Y","-GW","")&amp;"-"&amp;AO112)</f>
        <v/>
      </c>
      <c r="B112" s="10" t="str">
        <f aca="false">IF(D112="","",D112&amp;", H = "&amp;TEXT(E112,"0.0")&amp;" m, q = "&amp;F112&amp;" kPa"&amp;IF(G112="Y",", with GWT","")&amp;", "&amp;I112)</f>
        <v/>
      </c>
      <c r="C112" s="9"/>
      <c r="D112" s="9"/>
      <c r="E112" s="39"/>
      <c r="F112" s="38"/>
      <c r="G112" s="9"/>
      <c r="H112" s="38"/>
      <c r="I112" s="9"/>
      <c r="J112" s="38"/>
      <c r="K112" s="38"/>
      <c r="L112" s="38"/>
      <c r="M112" s="42"/>
      <c r="N112" s="9"/>
      <c r="O112" s="38"/>
      <c r="P112" s="38"/>
      <c r="Q112" s="38"/>
      <c r="R112" s="38"/>
      <c r="S112" s="38"/>
      <c r="T112" s="38"/>
      <c r="U112" s="9"/>
      <c r="V112" s="9"/>
      <c r="W112" s="38"/>
      <c r="X112" s="9"/>
      <c r="Y112" s="9"/>
      <c r="Z112" s="9"/>
      <c r="AA112" s="9"/>
      <c r="AB112" s="9"/>
      <c r="AC112" s="9"/>
      <c r="AD112" s="39"/>
      <c r="AE112" s="39"/>
      <c r="AF112" s="39"/>
      <c r="AG112" s="38"/>
      <c r="AH112" s="38"/>
      <c r="AI112" s="9"/>
      <c r="AJ112" s="38"/>
      <c r="AK112" s="9"/>
      <c r="AL112" s="39"/>
      <c r="AM112" s="9"/>
      <c r="AN112" s="9"/>
      <c r="AO112" s="9"/>
      <c r="AP112" s="9"/>
      <c r="AQ112" s="9"/>
      <c r="AR112" s="9"/>
      <c r="AS112" s="9"/>
      <c r="AT112" s="10" t="str">
        <f aca="false">IF(A112="","",SG_Criteria!$B$6&amp;SG_Criteria!$B$8&amp;"\"&amp;A112&amp;"\")</f>
        <v/>
      </c>
      <c r="AU112" s="10" t="str">
        <f aca="false">IF(A112="","",A112&amp;"_CAD.dwg")</f>
        <v/>
      </c>
      <c r="AV112" s="10" t="str">
        <f aca="false">IF(A112="","",A112&amp;"_DWG.pdf")</f>
        <v/>
      </c>
      <c r="AW112" s="10" t="str">
        <f aca="false">IF(A112="","",IF(AS112="Y",A112&amp;"_STAAD.std","n/a"))</f>
        <v/>
      </c>
      <c r="AX112" s="10" t="str">
        <f aca="false">IF(A112="","",A112&amp;"_CALC.xlsx")</f>
        <v/>
      </c>
      <c r="AY112" s="10" t="str">
        <f aca="false">IF(A112="","",A112&amp;"_CALC.pdf")</f>
        <v/>
      </c>
      <c r="AZ112" s="9"/>
      <c r="BA112" s="9"/>
      <c r="BB112" s="39"/>
      <c r="BC112" s="39"/>
      <c r="BD112" s="39"/>
      <c r="BE112" s="39"/>
      <c r="BF112" s="39"/>
      <c r="BG112" s="12" t="str">
        <f aca="false">IF(A112="","",IF(COUNTIF(Rebar_Schedule!$A$5:$A$2004,A112)=0,"",ROUND(SUMIF(Rebar_Schedule!$A$5:$A$2004,A112,Rebar_Schedule!$K$5:$K$2004),1)))</f>
        <v/>
      </c>
      <c r="BH112" s="33" t="str">
        <f aca="false">IF(A112="","",IF(BG112="","No rebar schedule yet",IF(ABS(BG112-N(BC112))/MAX(N(BC112),1)&gt;SG_Criteria!$B$55,"NOTE: register rebar differs from schedule by "&amp;TEXT(ABS(BG112-N(BC112))/MAX(N(BC112),1),"0%"),"OK")))</f>
        <v/>
      </c>
      <c r="BI112" s="33" t="str">
        <f aca="false">IF(OR(D112="",E112=""),"",IF(E112&lt;=IF(OR(D112="Block / Segmental",D112="Gabion",D112="Reinforced Earth (MSE)"),SG_Criteria!$B$34,SG_Criteria!$B$33),"No ERSS submission",IF(E112&lt;=SG_Criteria!$B$35,"QP(ST)",IF(E112&lt;=SG_Criteria!$B$36,"QP(ST) + AC","Geotechnical building works: QP(Geo) + AC"))))</f>
        <v/>
      </c>
      <c r="BJ112" s="33" t="str">
        <f aca="false">IF(D112="","",IF(LEN(IF(AND(V112&lt;&gt;"",IFERROR(VALUE(MID(V112,2,2)),0)&lt;SG_Criteria!$B$19),"FAIL: grade below C"&amp;SG_Criteria!$B$19&amp;". ","")&amp;IF(AND(W112&lt;&gt;"",W112&lt;SG_Criteria!$B$20),"FAIL: cover &lt; "&amp;SG_Criteria!$B$20&amp;" mm. ","")&amp;IF(AND(AD112&lt;&gt;"",AD112&lt;1),"FAIL: sliding. ","")&amp;IF(AND(D112="Reverse L-Wall (toe only, at boundary)",N(S112)&gt;0),"NOTE: reverse L-wall should have no heel. ","")&amp;IF(AND(D112="L-Wall (heel only)",N(R112)&gt;0),"NOTE: L-wall should have no toe. ","")&amp;IF(AND(F112&lt;&gt;"",F112&lt;SG_Criteria!$B$31),"NOTE: q below LTA min "&amp;SG_Criteria!$B$31&amp;" kPa (not for LTA works). ",""))=0,"OK",IF(AND(V112&lt;&gt;"",IFERROR(VALUE(MID(V112,2,2)),0)&lt;SG_Criteria!$B$19),"FAIL: grade below C"&amp;SG_Criteria!$B$19&amp;". ","")&amp;IF(AND(W112&lt;&gt;"",W112&lt;SG_Criteria!$B$20),"FAIL: cover &lt; "&amp;SG_Criteria!$B$20&amp;" mm. ","")&amp;IF(AND(AD112&lt;&gt;"",AD112&lt;1),"FAIL: sliding. ","")&amp;IF(AND(D112="Reverse L-Wall (toe only, at boundary)",N(S112)&gt;0),"NOTE: reverse L-wall should have no heel. ","")&amp;IF(AND(D112="L-Wall (heel only)",N(R112)&gt;0),"NOTE: L-wall should have no toe. ","")&amp;IF(AND(F112&lt;&gt;"",F112&lt;SG_Criteria!$B$31),"NOTE: q below LTA min "&amp;SG_Criteria!$B$31&amp;" kPa (not for LTA works). ","")))</f>
        <v/>
      </c>
      <c r="BK112" s="9"/>
      <c r="BL112" s="9"/>
      <c r="BM112" s="9"/>
      <c r="BN112" s="10" t="str">
        <f aca="false">IF(BM112="","",IFERROR(VLOOKUP(BM112,Projects!$A$5:$D$504,2,0),"Ref not in Projects"))</f>
        <v/>
      </c>
      <c r="BO112" s="10" t="str">
        <f aca="false">IF(BM112="","",IFERROR(VLOOKUP(BM112,Projects!$A$5:$D$504,4,0),"Ref not in Projects"))</f>
        <v/>
      </c>
      <c r="BP112" s="9"/>
      <c r="BQ112" s="9"/>
      <c r="BR112" s="9"/>
      <c r="BS112" s="40"/>
      <c r="BT112" s="9"/>
      <c r="BU112" s="40"/>
      <c r="BV112" s="9"/>
      <c r="BW112" s="40"/>
      <c r="BX112" s="9"/>
      <c r="BY112" s="9"/>
      <c r="BZ112" s="9"/>
      <c r="CA112" s="40"/>
      <c r="CB112" s="40"/>
      <c r="CC112" s="36" t="str">
        <f aca="false">IF(CB112="","",EDATE(CB112,SG_Criteria!$B$54*12))</f>
        <v/>
      </c>
      <c r="CD112" s="33" t="str">
        <f aca="true">IF(A112="","",IF(CB112="","NOTE: not reviewed yet",IF(TODAY()&gt;CC112,"NOTE: review overdue","OK")))</f>
        <v/>
      </c>
      <c r="CE112" s="37" t="str">
        <f aca="false">IF(A112="","",ROUND((IF(LEN(D112)&gt;0,1,0)+IF(LEN(E112)&gt;0,1,0)+IF(LEN(F112)&gt;0,1,0)+IF(LEN(G112)&gt;0,1,0)+IF(LEN(I112)&gt;0,1,0)+IF(LEN(K112)&gt;0,1,0)+IF(LEN(P112)&gt;0,1,0)+IF(LEN(Q112)&gt;0,1,0)+IF(LEN(T112)&gt;0,1,0)+IF(LEN(V112)&gt;0,1,0)+IF(LEN(W112)&gt;0,1,0)+IF(LEN(X112)&gt;0,1,0)+IF(LEN(Z112)&gt;0,1,0)+IF(LEN(AD112)&gt;0,1,0)+IF(LEN(AE112)&gt;0,1,0)+IF(LEN(AG112)&gt;0,1,0)+IF(LEN(AI112)&gt;0,1,0)+IF(LEN(BB112)&gt;0,1,0)+IF(LEN(BC112)&gt;0,1,0)+IF(LEN(AM112)&gt;0,1,0)+IF(LEN(AO112)&gt;0,1,0)+IF(LEN(AP112)&gt;0,1,0)+IF(LEN(AQ112)&gt;0,1,0)+IF(LEN(AR112)&gt;0,1,0)+IF(LEN(BA112)&gt;0,1,0)+IF(LEN(BM112)&gt;0,1,0)+IF(LEN(BZ112)&gt;0,1,0))/27,2))</f>
        <v/>
      </c>
      <c r="CF112" s="10" t="str">
        <f aca="false">IF(D112="","",IF(AND(AP112="Approved",ISERROR(SEARCH("FAIL",BJ112))),"Y","N"))</f>
        <v/>
      </c>
      <c r="CG112" s="10" t="str">
        <f aca="false">IF(D112="","",D112&amp;"|"&amp;E112&amp;"|"&amp;F112&amp;"|"&amp;G112&amp;"|"&amp;CF112)</f>
        <v/>
      </c>
    </row>
    <row r="113" customFormat="false" ht="15" hidden="false" customHeight="false" outlineLevel="0" collapsed="false">
      <c r="A113" s="10" t="str">
        <f aca="false">IF(D113="","","RW-"&amp;IFERROR(VLOOKUP(D113,Lists!$M$4:$N$22,2,0),"??")&amp;"-H"&amp;TEXT(E113*1000,"0000")&amp;"-S"&amp;F113&amp;IF(G113="Y","-GW","")&amp;"-"&amp;AO113)</f>
        <v/>
      </c>
      <c r="B113" s="10" t="str">
        <f aca="false">IF(D113="","",D113&amp;", H = "&amp;TEXT(E113,"0.0")&amp;" m, q = "&amp;F113&amp;" kPa"&amp;IF(G113="Y",", with GWT","")&amp;", "&amp;I113)</f>
        <v/>
      </c>
      <c r="C113" s="9"/>
      <c r="D113" s="9"/>
      <c r="E113" s="39"/>
      <c r="F113" s="38"/>
      <c r="G113" s="9"/>
      <c r="H113" s="38"/>
      <c r="I113" s="9"/>
      <c r="J113" s="38"/>
      <c r="K113" s="38"/>
      <c r="L113" s="38"/>
      <c r="M113" s="42"/>
      <c r="N113" s="9"/>
      <c r="O113" s="38"/>
      <c r="P113" s="38"/>
      <c r="Q113" s="38"/>
      <c r="R113" s="38"/>
      <c r="S113" s="38"/>
      <c r="T113" s="38"/>
      <c r="U113" s="9"/>
      <c r="V113" s="9"/>
      <c r="W113" s="38"/>
      <c r="X113" s="9"/>
      <c r="Y113" s="9"/>
      <c r="Z113" s="9"/>
      <c r="AA113" s="9"/>
      <c r="AB113" s="9"/>
      <c r="AC113" s="9"/>
      <c r="AD113" s="39"/>
      <c r="AE113" s="39"/>
      <c r="AF113" s="39"/>
      <c r="AG113" s="38"/>
      <c r="AH113" s="38"/>
      <c r="AI113" s="9"/>
      <c r="AJ113" s="38"/>
      <c r="AK113" s="9"/>
      <c r="AL113" s="39"/>
      <c r="AM113" s="9"/>
      <c r="AN113" s="9"/>
      <c r="AO113" s="9"/>
      <c r="AP113" s="9"/>
      <c r="AQ113" s="9"/>
      <c r="AR113" s="9"/>
      <c r="AS113" s="9"/>
      <c r="AT113" s="10" t="str">
        <f aca="false">IF(A113="","",SG_Criteria!$B$6&amp;SG_Criteria!$B$8&amp;"\"&amp;A113&amp;"\")</f>
        <v/>
      </c>
      <c r="AU113" s="10" t="str">
        <f aca="false">IF(A113="","",A113&amp;"_CAD.dwg")</f>
        <v/>
      </c>
      <c r="AV113" s="10" t="str">
        <f aca="false">IF(A113="","",A113&amp;"_DWG.pdf")</f>
        <v/>
      </c>
      <c r="AW113" s="10" t="str">
        <f aca="false">IF(A113="","",IF(AS113="Y",A113&amp;"_STAAD.std","n/a"))</f>
        <v/>
      </c>
      <c r="AX113" s="10" t="str">
        <f aca="false">IF(A113="","",A113&amp;"_CALC.xlsx")</f>
        <v/>
      </c>
      <c r="AY113" s="10" t="str">
        <f aca="false">IF(A113="","",A113&amp;"_CALC.pdf")</f>
        <v/>
      </c>
      <c r="AZ113" s="9"/>
      <c r="BA113" s="9"/>
      <c r="BB113" s="39"/>
      <c r="BC113" s="39"/>
      <c r="BD113" s="39"/>
      <c r="BE113" s="39"/>
      <c r="BF113" s="39"/>
      <c r="BG113" s="12" t="str">
        <f aca="false">IF(A113="","",IF(COUNTIF(Rebar_Schedule!$A$5:$A$2004,A113)=0,"",ROUND(SUMIF(Rebar_Schedule!$A$5:$A$2004,A113,Rebar_Schedule!$K$5:$K$2004),1)))</f>
        <v/>
      </c>
      <c r="BH113" s="33" t="str">
        <f aca="false">IF(A113="","",IF(BG113="","No rebar schedule yet",IF(ABS(BG113-N(BC113))/MAX(N(BC113),1)&gt;SG_Criteria!$B$55,"NOTE: register rebar differs from schedule by "&amp;TEXT(ABS(BG113-N(BC113))/MAX(N(BC113),1),"0%"),"OK")))</f>
        <v/>
      </c>
      <c r="BI113" s="33" t="str">
        <f aca="false">IF(OR(D113="",E113=""),"",IF(E113&lt;=IF(OR(D113="Block / Segmental",D113="Gabion",D113="Reinforced Earth (MSE)"),SG_Criteria!$B$34,SG_Criteria!$B$33),"No ERSS submission",IF(E113&lt;=SG_Criteria!$B$35,"QP(ST)",IF(E113&lt;=SG_Criteria!$B$36,"QP(ST) + AC","Geotechnical building works: QP(Geo) + AC"))))</f>
        <v/>
      </c>
      <c r="BJ113" s="33" t="str">
        <f aca="false">IF(D113="","",IF(LEN(IF(AND(V113&lt;&gt;"",IFERROR(VALUE(MID(V113,2,2)),0)&lt;SG_Criteria!$B$19),"FAIL: grade below C"&amp;SG_Criteria!$B$19&amp;". ","")&amp;IF(AND(W113&lt;&gt;"",W113&lt;SG_Criteria!$B$20),"FAIL: cover &lt; "&amp;SG_Criteria!$B$20&amp;" mm. ","")&amp;IF(AND(AD113&lt;&gt;"",AD113&lt;1),"FAIL: sliding. ","")&amp;IF(AND(D113="Reverse L-Wall (toe only, at boundary)",N(S113)&gt;0),"NOTE: reverse L-wall should have no heel. ","")&amp;IF(AND(D113="L-Wall (heel only)",N(R113)&gt;0),"NOTE: L-wall should have no toe. ","")&amp;IF(AND(F113&lt;&gt;"",F113&lt;SG_Criteria!$B$31),"NOTE: q below LTA min "&amp;SG_Criteria!$B$31&amp;" kPa (not for LTA works). ",""))=0,"OK",IF(AND(V113&lt;&gt;"",IFERROR(VALUE(MID(V113,2,2)),0)&lt;SG_Criteria!$B$19),"FAIL: grade below C"&amp;SG_Criteria!$B$19&amp;". ","")&amp;IF(AND(W113&lt;&gt;"",W113&lt;SG_Criteria!$B$20),"FAIL: cover &lt; "&amp;SG_Criteria!$B$20&amp;" mm. ","")&amp;IF(AND(AD113&lt;&gt;"",AD113&lt;1),"FAIL: sliding. ","")&amp;IF(AND(D113="Reverse L-Wall (toe only, at boundary)",N(S113)&gt;0),"NOTE: reverse L-wall should have no heel. ","")&amp;IF(AND(D113="L-Wall (heel only)",N(R113)&gt;0),"NOTE: L-wall should have no toe. ","")&amp;IF(AND(F113&lt;&gt;"",F113&lt;SG_Criteria!$B$31),"NOTE: q below LTA min "&amp;SG_Criteria!$B$31&amp;" kPa (not for LTA works). ","")))</f>
        <v/>
      </c>
      <c r="BK113" s="9"/>
      <c r="BL113" s="9"/>
      <c r="BM113" s="9"/>
      <c r="BN113" s="10" t="str">
        <f aca="false">IF(BM113="","",IFERROR(VLOOKUP(BM113,Projects!$A$5:$D$504,2,0),"Ref not in Projects"))</f>
        <v/>
      </c>
      <c r="BO113" s="10" t="str">
        <f aca="false">IF(BM113="","",IFERROR(VLOOKUP(BM113,Projects!$A$5:$D$504,4,0),"Ref not in Projects"))</f>
        <v/>
      </c>
      <c r="BP113" s="9"/>
      <c r="BQ113" s="9"/>
      <c r="BR113" s="9"/>
      <c r="BS113" s="40"/>
      <c r="BT113" s="9"/>
      <c r="BU113" s="40"/>
      <c r="BV113" s="9"/>
      <c r="BW113" s="40"/>
      <c r="BX113" s="9"/>
      <c r="BY113" s="9"/>
      <c r="BZ113" s="9"/>
      <c r="CA113" s="40"/>
      <c r="CB113" s="40"/>
      <c r="CC113" s="36" t="str">
        <f aca="false">IF(CB113="","",EDATE(CB113,SG_Criteria!$B$54*12))</f>
        <v/>
      </c>
      <c r="CD113" s="33" t="str">
        <f aca="true">IF(A113="","",IF(CB113="","NOTE: not reviewed yet",IF(TODAY()&gt;CC113,"NOTE: review overdue","OK")))</f>
        <v/>
      </c>
      <c r="CE113" s="37" t="str">
        <f aca="false">IF(A113="","",ROUND((IF(LEN(D113)&gt;0,1,0)+IF(LEN(E113)&gt;0,1,0)+IF(LEN(F113)&gt;0,1,0)+IF(LEN(G113)&gt;0,1,0)+IF(LEN(I113)&gt;0,1,0)+IF(LEN(K113)&gt;0,1,0)+IF(LEN(P113)&gt;0,1,0)+IF(LEN(Q113)&gt;0,1,0)+IF(LEN(T113)&gt;0,1,0)+IF(LEN(V113)&gt;0,1,0)+IF(LEN(W113)&gt;0,1,0)+IF(LEN(X113)&gt;0,1,0)+IF(LEN(Z113)&gt;0,1,0)+IF(LEN(AD113)&gt;0,1,0)+IF(LEN(AE113)&gt;0,1,0)+IF(LEN(AG113)&gt;0,1,0)+IF(LEN(AI113)&gt;0,1,0)+IF(LEN(BB113)&gt;0,1,0)+IF(LEN(BC113)&gt;0,1,0)+IF(LEN(AM113)&gt;0,1,0)+IF(LEN(AO113)&gt;0,1,0)+IF(LEN(AP113)&gt;0,1,0)+IF(LEN(AQ113)&gt;0,1,0)+IF(LEN(AR113)&gt;0,1,0)+IF(LEN(BA113)&gt;0,1,0)+IF(LEN(BM113)&gt;0,1,0)+IF(LEN(BZ113)&gt;0,1,0))/27,2))</f>
        <v/>
      </c>
      <c r="CF113" s="10" t="str">
        <f aca="false">IF(D113="","",IF(AND(AP113="Approved",ISERROR(SEARCH("FAIL",BJ113))),"Y","N"))</f>
        <v/>
      </c>
      <c r="CG113" s="10" t="str">
        <f aca="false">IF(D113="","",D113&amp;"|"&amp;E113&amp;"|"&amp;F113&amp;"|"&amp;G113&amp;"|"&amp;CF113)</f>
        <v/>
      </c>
    </row>
    <row r="114" customFormat="false" ht="15" hidden="false" customHeight="false" outlineLevel="0" collapsed="false">
      <c r="A114" s="10" t="str">
        <f aca="false">IF(D114="","","RW-"&amp;IFERROR(VLOOKUP(D114,Lists!$M$4:$N$22,2,0),"??")&amp;"-H"&amp;TEXT(E114*1000,"0000")&amp;"-S"&amp;F114&amp;IF(G114="Y","-GW","")&amp;"-"&amp;AO114)</f>
        <v/>
      </c>
      <c r="B114" s="10" t="str">
        <f aca="false">IF(D114="","",D114&amp;", H = "&amp;TEXT(E114,"0.0")&amp;" m, q = "&amp;F114&amp;" kPa"&amp;IF(G114="Y",", with GWT","")&amp;", "&amp;I114)</f>
        <v/>
      </c>
      <c r="C114" s="9"/>
      <c r="D114" s="9"/>
      <c r="E114" s="39"/>
      <c r="F114" s="38"/>
      <c r="G114" s="9"/>
      <c r="H114" s="38"/>
      <c r="I114" s="9"/>
      <c r="J114" s="38"/>
      <c r="K114" s="38"/>
      <c r="L114" s="38"/>
      <c r="M114" s="42"/>
      <c r="N114" s="9"/>
      <c r="O114" s="38"/>
      <c r="P114" s="38"/>
      <c r="Q114" s="38"/>
      <c r="R114" s="38"/>
      <c r="S114" s="38"/>
      <c r="T114" s="38"/>
      <c r="U114" s="9"/>
      <c r="V114" s="9"/>
      <c r="W114" s="38"/>
      <c r="X114" s="9"/>
      <c r="Y114" s="9"/>
      <c r="Z114" s="9"/>
      <c r="AA114" s="9"/>
      <c r="AB114" s="9"/>
      <c r="AC114" s="9"/>
      <c r="AD114" s="39"/>
      <c r="AE114" s="39"/>
      <c r="AF114" s="39"/>
      <c r="AG114" s="38"/>
      <c r="AH114" s="38"/>
      <c r="AI114" s="9"/>
      <c r="AJ114" s="38"/>
      <c r="AK114" s="9"/>
      <c r="AL114" s="39"/>
      <c r="AM114" s="9"/>
      <c r="AN114" s="9"/>
      <c r="AO114" s="9"/>
      <c r="AP114" s="9"/>
      <c r="AQ114" s="9"/>
      <c r="AR114" s="9"/>
      <c r="AS114" s="9"/>
      <c r="AT114" s="10" t="str">
        <f aca="false">IF(A114="","",SG_Criteria!$B$6&amp;SG_Criteria!$B$8&amp;"\"&amp;A114&amp;"\")</f>
        <v/>
      </c>
      <c r="AU114" s="10" t="str">
        <f aca="false">IF(A114="","",A114&amp;"_CAD.dwg")</f>
        <v/>
      </c>
      <c r="AV114" s="10" t="str">
        <f aca="false">IF(A114="","",A114&amp;"_DWG.pdf")</f>
        <v/>
      </c>
      <c r="AW114" s="10" t="str">
        <f aca="false">IF(A114="","",IF(AS114="Y",A114&amp;"_STAAD.std","n/a"))</f>
        <v/>
      </c>
      <c r="AX114" s="10" t="str">
        <f aca="false">IF(A114="","",A114&amp;"_CALC.xlsx")</f>
        <v/>
      </c>
      <c r="AY114" s="10" t="str">
        <f aca="false">IF(A114="","",A114&amp;"_CALC.pdf")</f>
        <v/>
      </c>
      <c r="AZ114" s="9"/>
      <c r="BA114" s="9"/>
      <c r="BB114" s="39"/>
      <c r="BC114" s="39"/>
      <c r="BD114" s="39"/>
      <c r="BE114" s="39"/>
      <c r="BF114" s="39"/>
      <c r="BG114" s="12" t="str">
        <f aca="false">IF(A114="","",IF(COUNTIF(Rebar_Schedule!$A$5:$A$2004,A114)=0,"",ROUND(SUMIF(Rebar_Schedule!$A$5:$A$2004,A114,Rebar_Schedule!$K$5:$K$2004),1)))</f>
        <v/>
      </c>
      <c r="BH114" s="33" t="str">
        <f aca="false">IF(A114="","",IF(BG114="","No rebar schedule yet",IF(ABS(BG114-N(BC114))/MAX(N(BC114),1)&gt;SG_Criteria!$B$55,"NOTE: register rebar differs from schedule by "&amp;TEXT(ABS(BG114-N(BC114))/MAX(N(BC114),1),"0%"),"OK")))</f>
        <v/>
      </c>
      <c r="BI114" s="33" t="str">
        <f aca="false">IF(OR(D114="",E114=""),"",IF(E114&lt;=IF(OR(D114="Block / Segmental",D114="Gabion",D114="Reinforced Earth (MSE)"),SG_Criteria!$B$34,SG_Criteria!$B$33),"No ERSS submission",IF(E114&lt;=SG_Criteria!$B$35,"QP(ST)",IF(E114&lt;=SG_Criteria!$B$36,"QP(ST) + AC","Geotechnical building works: QP(Geo) + AC"))))</f>
        <v/>
      </c>
      <c r="BJ114" s="33" t="str">
        <f aca="false">IF(D114="","",IF(LEN(IF(AND(V114&lt;&gt;"",IFERROR(VALUE(MID(V114,2,2)),0)&lt;SG_Criteria!$B$19),"FAIL: grade below C"&amp;SG_Criteria!$B$19&amp;". ","")&amp;IF(AND(W114&lt;&gt;"",W114&lt;SG_Criteria!$B$20),"FAIL: cover &lt; "&amp;SG_Criteria!$B$20&amp;" mm. ","")&amp;IF(AND(AD114&lt;&gt;"",AD114&lt;1),"FAIL: sliding. ","")&amp;IF(AND(D114="Reverse L-Wall (toe only, at boundary)",N(S114)&gt;0),"NOTE: reverse L-wall should have no heel. ","")&amp;IF(AND(D114="L-Wall (heel only)",N(R114)&gt;0),"NOTE: L-wall should have no toe. ","")&amp;IF(AND(F114&lt;&gt;"",F114&lt;SG_Criteria!$B$31),"NOTE: q below LTA min "&amp;SG_Criteria!$B$31&amp;" kPa (not for LTA works). ",""))=0,"OK",IF(AND(V114&lt;&gt;"",IFERROR(VALUE(MID(V114,2,2)),0)&lt;SG_Criteria!$B$19),"FAIL: grade below C"&amp;SG_Criteria!$B$19&amp;". ","")&amp;IF(AND(W114&lt;&gt;"",W114&lt;SG_Criteria!$B$20),"FAIL: cover &lt; "&amp;SG_Criteria!$B$20&amp;" mm. ","")&amp;IF(AND(AD114&lt;&gt;"",AD114&lt;1),"FAIL: sliding. ","")&amp;IF(AND(D114="Reverse L-Wall (toe only, at boundary)",N(S114)&gt;0),"NOTE: reverse L-wall should have no heel. ","")&amp;IF(AND(D114="L-Wall (heel only)",N(R114)&gt;0),"NOTE: L-wall should have no toe. ","")&amp;IF(AND(F114&lt;&gt;"",F114&lt;SG_Criteria!$B$31),"NOTE: q below LTA min "&amp;SG_Criteria!$B$31&amp;" kPa (not for LTA works). ","")))</f>
        <v/>
      </c>
      <c r="BK114" s="9"/>
      <c r="BL114" s="9"/>
      <c r="BM114" s="9"/>
      <c r="BN114" s="10" t="str">
        <f aca="false">IF(BM114="","",IFERROR(VLOOKUP(BM114,Projects!$A$5:$D$504,2,0),"Ref not in Projects"))</f>
        <v/>
      </c>
      <c r="BO114" s="10" t="str">
        <f aca="false">IF(BM114="","",IFERROR(VLOOKUP(BM114,Projects!$A$5:$D$504,4,0),"Ref not in Projects"))</f>
        <v/>
      </c>
      <c r="BP114" s="9"/>
      <c r="BQ114" s="9"/>
      <c r="BR114" s="9"/>
      <c r="BS114" s="40"/>
      <c r="BT114" s="9"/>
      <c r="BU114" s="40"/>
      <c r="BV114" s="9"/>
      <c r="BW114" s="40"/>
      <c r="BX114" s="9"/>
      <c r="BY114" s="9"/>
      <c r="BZ114" s="9"/>
      <c r="CA114" s="40"/>
      <c r="CB114" s="40"/>
      <c r="CC114" s="36" t="str">
        <f aca="false">IF(CB114="","",EDATE(CB114,SG_Criteria!$B$54*12))</f>
        <v/>
      </c>
      <c r="CD114" s="33" t="str">
        <f aca="true">IF(A114="","",IF(CB114="","NOTE: not reviewed yet",IF(TODAY()&gt;CC114,"NOTE: review overdue","OK")))</f>
        <v/>
      </c>
      <c r="CE114" s="37" t="str">
        <f aca="false">IF(A114="","",ROUND((IF(LEN(D114)&gt;0,1,0)+IF(LEN(E114)&gt;0,1,0)+IF(LEN(F114)&gt;0,1,0)+IF(LEN(G114)&gt;0,1,0)+IF(LEN(I114)&gt;0,1,0)+IF(LEN(K114)&gt;0,1,0)+IF(LEN(P114)&gt;0,1,0)+IF(LEN(Q114)&gt;0,1,0)+IF(LEN(T114)&gt;0,1,0)+IF(LEN(V114)&gt;0,1,0)+IF(LEN(W114)&gt;0,1,0)+IF(LEN(X114)&gt;0,1,0)+IF(LEN(Z114)&gt;0,1,0)+IF(LEN(AD114)&gt;0,1,0)+IF(LEN(AE114)&gt;0,1,0)+IF(LEN(AG114)&gt;0,1,0)+IF(LEN(AI114)&gt;0,1,0)+IF(LEN(BB114)&gt;0,1,0)+IF(LEN(BC114)&gt;0,1,0)+IF(LEN(AM114)&gt;0,1,0)+IF(LEN(AO114)&gt;0,1,0)+IF(LEN(AP114)&gt;0,1,0)+IF(LEN(AQ114)&gt;0,1,0)+IF(LEN(AR114)&gt;0,1,0)+IF(LEN(BA114)&gt;0,1,0)+IF(LEN(BM114)&gt;0,1,0)+IF(LEN(BZ114)&gt;0,1,0))/27,2))</f>
        <v/>
      </c>
      <c r="CF114" s="10" t="str">
        <f aca="false">IF(D114="","",IF(AND(AP114="Approved",ISERROR(SEARCH("FAIL",BJ114))),"Y","N"))</f>
        <v/>
      </c>
      <c r="CG114" s="10" t="str">
        <f aca="false">IF(D114="","",D114&amp;"|"&amp;E114&amp;"|"&amp;F114&amp;"|"&amp;G114&amp;"|"&amp;CF114)</f>
        <v/>
      </c>
    </row>
    <row r="115" customFormat="false" ht="15" hidden="false" customHeight="false" outlineLevel="0" collapsed="false">
      <c r="A115" s="10" t="str">
        <f aca="false">IF(D115="","","RW-"&amp;IFERROR(VLOOKUP(D115,Lists!$M$4:$N$22,2,0),"??")&amp;"-H"&amp;TEXT(E115*1000,"0000")&amp;"-S"&amp;F115&amp;IF(G115="Y","-GW","")&amp;"-"&amp;AO115)</f>
        <v/>
      </c>
      <c r="B115" s="10" t="str">
        <f aca="false">IF(D115="","",D115&amp;", H = "&amp;TEXT(E115,"0.0")&amp;" m, q = "&amp;F115&amp;" kPa"&amp;IF(G115="Y",", with GWT","")&amp;", "&amp;I115)</f>
        <v/>
      </c>
      <c r="C115" s="9"/>
      <c r="D115" s="9"/>
      <c r="E115" s="39"/>
      <c r="F115" s="38"/>
      <c r="G115" s="9"/>
      <c r="H115" s="38"/>
      <c r="I115" s="9"/>
      <c r="J115" s="38"/>
      <c r="K115" s="38"/>
      <c r="L115" s="38"/>
      <c r="M115" s="42"/>
      <c r="N115" s="9"/>
      <c r="O115" s="38"/>
      <c r="P115" s="38"/>
      <c r="Q115" s="38"/>
      <c r="R115" s="38"/>
      <c r="S115" s="38"/>
      <c r="T115" s="38"/>
      <c r="U115" s="9"/>
      <c r="V115" s="9"/>
      <c r="W115" s="38"/>
      <c r="X115" s="9"/>
      <c r="Y115" s="9"/>
      <c r="Z115" s="9"/>
      <c r="AA115" s="9"/>
      <c r="AB115" s="9"/>
      <c r="AC115" s="9"/>
      <c r="AD115" s="39"/>
      <c r="AE115" s="39"/>
      <c r="AF115" s="39"/>
      <c r="AG115" s="38"/>
      <c r="AH115" s="38"/>
      <c r="AI115" s="9"/>
      <c r="AJ115" s="38"/>
      <c r="AK115" s="9"/>
      <c r="AL115" s="39"/>
      <c r="AM115" s="9"/>
      <c r="AN115" s="9"/>
      <c r="AO115" s="9"/>
      <c r="AP115" s="9"/>
      <c r="AQ115" s="9"/>
      <c r="AR115" s="9"/>
      <c r="AS115" s="9"/>
      <c r="AT115" s="10" t="str">
        <f aca="false">IF(A115="","",SG_Criteria!$B$6&amp;SG_Criteria!$B$8&amp;"\"&amp;A115&amp;"\")</f>
        <v/>
      </c>
      <c r="AU115" s="10" t="str">
        <f aca="false">IF(A115="","",A115&amp;"_CAD.dwg")</f>
        <v/>
      </c>
      <c r="AV115" s="10" t="str">
        <f aca="false">IF(A115="","",A115&amp;"_DWG.pdf")</f>
        <v/>
      </c>
      <c r="AW115" s="10" t="str">
        <f aca="false">IF(A115="","",IF(AS115="Y",A115&amp;"_STAAD.std","n/a"))</f>
        <v/>
      </c>
      <c r="AX115" s="10" t="str">
        <f aca="false">IF(A115="","",A115&amp;"_CALC.xlsx")</f>
        <v/>
      </c>
      <c r="AY115" s="10" t="str">
        <f aca="false">IF(A115="","",A115&amp;"_CALC.pdf")</f>
        <v/>
      </c>
      <c r="AZ115" s="9"/>
      <c r="BA115" s="9"/>
      <c r="BB115" s="39"/>
      <c r="BC115" s="39"/>
      <c r="BD115" s="39"/>
      <c r="BE115" s="39"/>
      <c r="BF115" s="39"/>
      <c r="BG115" s="12" t="str">
        <f aca="false">IF(A115="","",IF(COUNTIF(Rebar_Schedule!$A$5:$A$2004,A115)=0,"",ROUND(SUMIF(Rebar_Schedule!$A$5:$A$2004,A115,Rebar_Schedule!$K$5:$K$2004),1)))</f>
        <v/>
      </c>
      <c r="BH115" s="33" t="str">
        <f aca="false">IF(A115="","",IF(BG115="","No rebar schedule yet",IF(ABS(BG115-N(BC115))/MAX(N(BC115),1)&gt;SG_Criteria!$B$55,"NOTE: register rebar differs from schedule by "&amp;TEXT(ABS(BG115-N(BC115))/MAX(N(BC115),1),"0%"),"OK")))</f>
        <v/>
      </c>
      <c r="BI115" s="33" t="str">
        <f aca="false">IF(OR(D115="",E115=""),"",IF(E115&lt;=IF(OR(D115="Block / Segmental",D115="Gabion",D115="Reinforced Earth (MSE)"),SG_Criteria!$B$34,SG_Criteria!$B$33),"No ERSS submission",IF(E115&lt;=SG_Criteria!$B$35,"QP(ST)",IF(E115&lt;=SG_Criteria!$B$36,"QP(ST) + AC","Geotechnical building works: QP(Geo) + AC"))))</f>
        <v/>
      </c>
      <c r="BJ115" s="33" t="str">
        <f aca="false">IF(D115="","",IF(LEN(IF(AND(V115&lt;&gt;"",IFERROR(VALUE(MID(V115,2,2)),0)&lt;SG_Criteria!$B$19),"FAIL: grade below C"&amp;SG_Criteria!$B$19&amp;". ","")&amp;IF(AND(W115&lt;&gt;"",W115&lt;SG_Criteria!$B$20),"FAIL: cover &lt; "&amp;SG_Criteria!$B$20&amp;" mm. ","")&amp;IF(AND(AD115&lt;&gt;"",AD115&lt;1),"FAIL: sliding. ","")&amp;IF(AND(D115="Reverse L-Wall (toe only, at boundary)",N(S115)&gt;0),"NOTE: reverse L-wall should have no heel. ","")&amp;IF(AND(D115="L-Wall (heel only)",N(R115)&gt;0),"NOTE: L-wall should have no toe. ","")&amp;IF(AND(F115&lt;&gt;"",F115&lt;SG_Criteria!$B$31),"NOTE: q below LTA min "&amp;SG_Criteria!$B$31&amp;" kPa (not for LTA works). ",""))=0,"OK",IF(AND(V115&lt;&gt;"",IFERROR(VALUE(MID(V115,2,2)),0)&lt;SG_Criteria!$B$19),"FAIL: grade below C"&amp;SG_Criteria!$B$19&amp;". ","")&amp;IF(AND(W115&lt;&gt;"",W115&lt;SG_Criteria!$B$20),"FAIL: cover &lt; "&amp;SG_Criteria!$B$20&amp;" mm. ","")&amp;IF(AND(AD115&lt;&gt;"",AD115&lt;1),"FAIL: sliding. ","")&amp;IF(AND(D115="Reverse L-Wall (toe only, at boundary)",N(S115)&gt;0),"NOTE: reverse L-wall should have no heel. ","")&amp;IF(AND(D115="L-Wall (heel only)",N(R115)&gt;0),"NOTE: L-wall should have no toe. ","")&amp;IF(AND(F115&lt;&gt;"",F115&lt;SG_Criteria!$B$31),"NOTE: q below LTA min "&amp;SG_Criteria!$B$31&amp;" kPa (not for LTA works). ","")))</f>
        <v/>
      </c>
      <c r="BK115" s="9"/>
      <c r="BL115" s="9"/>
      <c r="BM115" s="9"/>
      <c r="BN115" s="10" t="str">
        <f aca="false">IF(BM115="","",IFERROR(VLOOKUP(BM115,Projects!$A$5:$D$504,2,0),"Ref not in Projects"))</f>
        <v/>
      </c>
      <c r="BO115" s="10" t="str">
        <f aca="false">IF(BM115="","",IFERROR(VLOOKUP(BM115,Projects!$A$5:$D$504,4,0),"Ref not in Projects"))</f>
        <v/>
      </c>
      <c r="BP115" s="9"/>
      <c r="BQ115" s="9"/>
      <c r="BR115" s="9"/>
      <c r="BS115" s="40"/>
      <c r="BT115" s="9"/>
      <c r="BU115" s="40"/>
      <c r="BV115" s="9"/>
      <c r="BW115" s="40"/>
      <c r="BX115" s="9"/>
      <c r="BY115" s="9"/>
      <c r="BZ115" s="9"/>
      <c r="CA115" s="40"/>
      <c r="CB115" s="40"/>
      <c r="CC115" s="36" t="str">
        <f aca="false">IF(CB115="","",EDATE(CB115,SG_Criteria!$B$54*12))</f>
        <v/>
      </c>
      <c r="CD115" s="33" t="str">
        <f aca="true">IF(A115="","",IF(CB115="","NOTE: not reviewed yet",IF(TODAY()&gt;CC115,"NOTE: review overdue","OK")))</f>
        <v/>
      </c>
      <c r="CE115" s="37" t="str">
        <f aca="false">IF(A115="","",ROUND((IF(LEN(D115)&gt;0,1,0)+IF(LEN(E115)&gt;0,1,0)+IF(LEN(F115)&gt;0,1,0)+IF(LEN(G115)&gt;0,1,0)+IF(LEN(I115)&gt;0,1,0)+IF(LEN(K115)&gt;0,1,0)+IF(LEN(P115)&gt;0,1,0)+IF(LEN(Q115)&gt;0,1,0)+IF(LEN(T115)&gt;0,1,0)+IF(LEN(V115)&gt;0,1,0)+IF(LEN(W115)&gt;0,1,0)+IF(LEN(X115)&gt;0,1,0)+IF(LEN(Z115)&gt;0,1,0)+IF(LEN(AD115)&gt;0,1,0)+IF(LEN(AE115)&gt;0,1,0)+IF(LEN(AG115)&gt;0,1,0)+IF(LEN(AI115)&gt;0,1,0)+IF(LEN(BB115)&gt;0,1,0)+IF(LEN(BC115)&gt;0,1,0)+IF(LEN(AM115)&gt;0,1,0)+IF(LEN(AO115)&gt;0,1,0)+IF(LEN(AP115)&gt;0,1,0)+IF(LEN(AQ115)&gt;0,1,0)+IF(LEN(AR115)&gt;0,1,0)+IF(LEN(BA115)&gt;0,1,0)+IF(LEN(BM115)&gt;0,1,0)+IF(LEN(BZ115)&gt;0,1,0))/27,2))</f>
        <v/>
      </c>
      <c r="CF115" s="10" t="str">
        <f aca="false">IF(D115="","",IF(AND(AP115="Approved",ISERROR(SEARCH("FAIL",BJ115))),"Y","N"))</f>
        <v/>
      </c>
      <c r="CG115" s="10" t="str">
        <f aca="false">IF(D115="","",D115&amp;"|"&amp;E115&amp;"|"&amp;F115&amp;"|"&amp;G115&amp;"|"&amp;CF115)</f>
        <v/>
      </c>
    </row>
    <row r="116" customFormat="false" ht="15" hidden="false" customHeight="false" outlineLevel="0" collapsed="false">
      <c r="A116" s="10" t="str">
        <f aca="false">IF(D116="","","RW-"&amp;IFERROR(VLOOKUP(D116,Lists!$M$4:$N$22,2,0),"??")&amp;"-H"&amp;TEXT(E116*1000,"0000")&amp;"-S"&amp;F116&amp;IF(G116="Y","-GW","")&amp;"-"&amp;AO116)</f>
        <v/>
      </c>
      <c r="B116" s="10" t="str">
        <f aca="false">IF(D116="","",D116&amp;", H = "&amp;TEXT(E116,"0.0")&amp;" m, q = "&amp;F116&amp;" kPa"&amp;IF(G116="Y",", with GWT","")&amp;", "&amp;I116)</f>
        <v/>
      </c>
      <c r="C116" s="9"/>
      <c r="D116" s="9"/>
      <c r="E116" s="39"/>
      <c r="F116" s="38"/>
      <c r="G116" s="9"/>
      <c r="H116" s="38"/>
      <c r="I116" s="9"/>
      <c r="J116" s="38"/>
      <c r="K116" s="38"/>
      <c r="L116" s="38"/>
      <c r="M116" s="42"/>
      <c r="N116" s="9"/>
      <c r="O116" s="38"/>
      <c r="P116" s="38"/>
      <c r="Q116" s="38"/>
      <c r="R116" s="38"/>
      <c r="S116" s="38"/>
      <c r="T116" s="38"/>
      <c r="U116" s="9"/>
      <c r="V116" s="9"/>
      <c r="W116" s="38"/>
      <c r="X116" s="9"/>
      <c r="Y116" s="9"/>
      <c r="Z116" s="9"/>
      <c r="AA116" s="9"/>
      <c r="AB116" s="9"/>
      <c r="AC116" s="9"/>
      <c r="AD116" s="39"/>
      <c r="AE116" s="39"/>
      <c r="AF116" s="39"/>
      <c r="AG116" s="38"/>
      <c r="AH116" s="38"/>
      <c r="AI116" s="9"/>
      <c r="AJ116" s="38"/>
      <c r="AK116" s="9"/>
      <c r="AL116" s="39"/>
      <c r="AM116" s="9"/>
      <c r="AN116" s="9"/>
      <c r="AO116" s="9"/>
      <c r="AP116" s="9"/>
      <c r="AQ116" s="9"/>
      <c r="AR116" s="9"/>
      <c r="AS116" s="9"/>
      <c r="AT116" s="10" t="str">
        <f aca="false">IF(A116="","",SG_Criteria!$B$6&amp;SG_Criteria!$B$8&amp;"\"&amp;A116&amp;"\")</f>
        <v/>
      </c>
      <c r="AU116" s="10" t="str">
        <f aca="false">IF(A116="","",A116&amp;"_CAD.dwg")</f>
        <v/>
      </c>
      <c r="AV116" s="10" t="str">
        <f aca="false">IF(A116="","",A116&amp;"_DWG.pdf")</f>
        <v/>
      </c>
      <c r="AW116" s="10" t="str">
        <f aca="false">IF(A116="","",IF(AS116="Y",A116&amp;"_STAAD.std","n/a"))</f>
        <v/>
      </c>
      <c r="AX116" s="10" t="str">
        <f aca="false">IF(A116="","",A116&amp;"_CALC.xlsx")</f>
        <v/>
      </c>
      <c r="AY116" s="10" t="str">
        <f aca="false">IF(A116="","",A116&amp;"_CALC.pdf")</f>
        <v/>
      </c>
      <c r="AZ116" s="9"/>
      <c r="BA116" s="9"/>
      <c r="BB116" s="39"/>
      <c r="BC116" s="39"/>
      <c r="BD116" s="39"/>
      <c r="BE116" s="39"/>
      <c r="BF116" s="39"/>
      <c r="BG116" s="12" t="str">
        <f aca="false">IF(A116="","",IF(COUNTIF(Rebar_Schedule!$A$5:$A$2004,A116)=0,"",ROUND(SUMIF(Rebar_Schedule!$A$5:$A$2004,A116,Rebar_Schedule!$K$5:$K$2004),1)))</f>
        <v/>
      </c>
      <c r="BH116" s="33" t="str">
        <f aca="false">IF(A116="","",IF(BG116="","No rebar schedule yet",IF(ABS(BG116-N(BC116))/MAX(N(BC116),1)&gt;SG_Criteria!$B$55,"NOTE: register rebar differs from schedule by "&amp;TEXT(ABS(BG116-N(BC116))/MAX(N(BC116),1),"0%"),"OK")))</f>
        <v/>
      </c>
      <c r="BI116" s="33" t="str">
        <f aca="false">IF(OR(D116="",E116=""),"",IF(E116&lt;=IF(OR(D116="Block / Segmental",D116="Gabion",D116="Reinforced Earth (MSE)"),SG_Criteria!$B$34,SG_Criteria!$B$33),"No ERSS submission",IF(E116&lt;=SG_Criteria!$B$35,"QP(ST)",IF(E116&lt;=SG_Criteria!$B$36,"QP(ST) + AC","Geotechnical building works: QP(Geo) + AC"))))</f>
        <v/>
      </c>
      <c r="BJ116" s="33" t="str">
        <f aca="false">IF(D116="","",IF(LEN(IF(AND(V116&lt;&gt;"",IFERROR(VALUE(MID(V116,2,2)),0)&lt;SG_Criteria!$B$19),"FAIL: grade below C"&amp;SG_Criteria!$B$19&amp;". ","")&amp;IF(AND(W116&lt;&gt;"",W116&lt;SG_Criteria!$B$20),"FAIL: cover &lt; "&amp;SG_Criteria!$B$20&amp;" mm. ","")&amp;IF(AND(AD116&lt;&gt;"",AD116&lt;1),"FAIL: sliding. ","")&amp;IF(AND(D116="Reverse L-Wall (toe only, at boundary)",N(S116)&gt;0),"NOTE: reverse L-wall should have no heel. ","")&amp;IF(AND(D116="L-Wall (heel only)",N(R116)&gt;0),"NOTE: L-wall should have no toe. ","")&amp;IF(AND(F116&lt;&gt;"",F116&lt;SG_Criteria!$B$31),"NOTE: q below LTA min "&amp;SG_Criteria!$B$31&amp;" kPa (not for LTA works). ",""))=0,"OK",IF(AND(V116&lt;&gt;"",IFERROR(VALUE(MID(V116,2,2)),0)&lt;SG_Criteria!$B$19),"FAIL: grade below C"&amp;SG_Criteria!$B$19&amp;". ","")&amp;IF(AND(W116&lt;&gt;"",W116&lt;SG_Criteria!$B$20),"FAIL: cover &lt; "&amp;SG_Criteria!$B$20&amp;" mm. ","")&amp;IF(AND(AD116&lt;&gt;"",AD116&lt;1),"FAIL: sliding. ","")&amp;IF(AND(D116="Reverse L-Wall (toe only, at boundary)",N(S116)&gt;0),"NOTE: reverse L-wall should have no heel. ","")&amp;IF(AND(D116="L-Wall (heel only)",N(R116)&gt;0),"NOTE: L-wall should have no toe. ","")&amp;IF(AND(F116&lt;&gt;"",F116&lt;SG_Criteria!$B$31),"NOTE: q below LTA min "&amp;SG_Criteria!$B$31&amp;" kPa (not for LTA works). ","")))</f>
        <v/>
      </c>
      <c r="BK116" s="9"/>
      <c r="BL116" s="9"/>
      <c r="BM116" s="9"/>
      <c r="BN116" s="10" t="str">
        <f aca="false">IF(BM116="","",IFERROR(VLOOKUP(BM116,Projects!$A$5:$D$504,2,0),"Ref not in Projects"))</f>
        <v/>
      </c>
      <c r="BO116" s="10" t="str">
        <f aca="false">IF(BM116="","",IFERROR(VLOOKUP(BM116,Projects!$A$5:$D$504,4,0),"Ref not in Projects"))</f>
        <v/>
      </c>
      <c r="BP116" s="9"/>
      <c r="BQ116" s="9"/>
      <c r="BR116" s="9"/>
      <c r="BS116" s="40"/>
      <c r="BT116" s="9"/>
      <c r="BU116" s="40"/>
      <c r="BV116" s="9"/>
      <c r="BW116" s="40"/>
      <c r="BX116" s="9"/>
      <c r="BY116" s="9"/>
      <c r="BZ116" s="9"/>
      <c r="CA116" s="40"/>
      <c r="CB116" s="40"/>
      <c r="CC116" s="36" t="str">
        <f aca="false">IF(CB116="","",EDATE(CB116,SG_Criteria!$B$54*12))</f>
        <v/>
      </c>
      <c r="CD116" s="33" t="str">
        <f aca="true">IF(A116="","",IF(CB116="","NOTE: not reviewed yet",IF(TODAY()&gt;CC116,"NOTE: review overdue","OK")))</f>
        <v/>
      </c>
      <c r="CE116" s="37" t="str">
        <f aca="false">IF(A116="","",ROUND((IF(LEN(D116)&gt;0,1,0)+IF(LEN(E116)&gt;0,1,0)+IF(LEN(F116)&gt;0,1,0)+IF(LEN(G116)&gt;0,1,0)+IF(LEN(I116)&gt;0,1,0)+IF(LEN(K116)&gt;0,1,0)+IF(LEN(P116)&gt;0,1,0)+IF(LEN(Q116)&gt;0,1,0)+IF(LEN(T116)&gt;0,1,0)+IF(LEN(V116)&gt;0,1,0)+IF(LEN(W116)&gt;0,1,0)+IF(LEN(X116)&gt;0,1,0)+IF(LEN(Z116)&gt;0,1,0)+IF(LEN(AD116)&gt;0,1,0)+IF(LEN(AE116)&gt;0,1,0)+IF(LEN(AG116)&gt;0,1,0)+IF(LEN(AI116)&gt;0,1,0)+IF(LEN(BB116)&gt;0,1,0)+IF(LEN(BC116)&gt;0,1,0)+IF(LEN(AM116)&gt;0,1,0)+IF(LEN(AO116)&gt;0,1,0)+IF(LEN(AP116)&gt;0,1,0)+IF(LEN(AQ116)&gt;0,1,0)+IF(LEN(AR116)&gt;0,1,0)+IF(LEN(BA116)&gt;0,1,0)+IF(LEN(BM116)&gt;0,1,0)+IF(LEN(BZ116)&gt;0,1,0))/27,2))</f>
        <v/>
      </c>
      <c r="CF116" s="10" t="str">
        <f aca="false">IF(D116="","",IF(AND(AP116="Approved",ISERROR(SEARCH("FAIL",BJ116))),"Y","N"))</f>
        <v/>
      </c>
      <c r="CG116" s="10" t="str">
        <f aca="false">IF(D116="","",D116&amp;"|"&amp;E116&amp;"|"&amp;F116&amp;"|"&amp;G116&amp;"|"&amp;CF116)</f>
        <v/>
      </c>
    </row>
    <row r="117" customFormat="false" ht="15" hidden="false" customHeight="false" outlineLevel="0" collapsed="false">
      <c r="A117" s="10" t="str">
        <f aca="false">IF(D117="","","RW-"&amp;IFERROR(VLOOKUP(D117,Lists!$M$4:$N$22,2,0),"??")&amp;"-H"&amp;TEXT(E117*1000,"0000")&amp;"-S"&amp;F117&amp;IF(G117="Y","-GW","")&amp;"-"&amp;AO117)</f>
        <v/>
      </c>
      <c r="B117" s="10" t="str">
        <f aca="false">IF(D117="","",D117&amp;", H = "&amp;TEXT(E117,"0.0")&amp;" m, q = "&amp;F117&amp;" kPa"&amp;IF(G117="Y",", with GWT","")&amp;", "&amp;I117)</f>
        <v/>
      </c>
      <c r="C117" s="9"/>
      <c r="D117" s="9"/>
      <c r="E117" s="39"/>
      <c r="F117" s="38"/>
      <c r="G117" s="9"/>
      <c r="H117" s="38"/>
      <c r="I117" s="9"/>
      <c r="J117" s="38"/>
      <c r="K117" s="38"/>
      <c r="L117" s="38"/>
      <c r="M117" s="42"/>
      <c r="N117" s="9"/>
      <c r="O117" s="38"/>
      <c r="P117" s="38"/>
      <c r="Q117" s="38"/>
      <c r="R117" s="38"/>
      <c r="S117" s="38"/>
      <c r="T117" s="38"/>
      <c r="U117" s="9"/>
      <c r="V117" s="9"/>
      <c r="W117" s="38"/>
      <c r="X117" s="9"/>
      <c r="Y117" s="9"/>
      <c r="Z117" s="9"/>
      <c r="AA117" s="9"/>
      <c r="AB117" s="9"/>
      <c r="AC117" s="9"/>
      <c r="AD117" s="39"/>
      <c r="AE117" s="39"/>
      <c r="AF117" s="39"/>
      <c r="AG117" s="38"/>
      <c r="AH117" s="38"/>
      <c r="AI117" s="9"/>
      <c r="AJ117" s="38"/>
      <c r="AK117" s="9"/>
      <c r="AL117" s="39"/>
      <c r="AM117" s="9"/>
      <c r="AN117" s="9"/>
      <c r="AO117" s="9"/>
      <c r="AP117" s="9"/>
      <c r="AQ117" s="9"/>
      <c r="AR117" s="9"/>
      <c r="AS117" s="9"/>
      <c r="AT117" s="10" t="str">
        <f aca="false">IF(A117="","",SG_Criteria!$B$6&amp;SG_Criteria!$B$8&amp;"\"&amp;A117&amp;"\")</f>
        <v/>
      </c>
      <c r="AU117" s="10" t="str">
        <f aca="false">IF(A117="","",A117&amp;"_CAD.dwg")</f>
        <v/>
      </c>
      <c r="AV117" s="10" t="str">
        <f aca="false">IF(A117="","",A117&amp;"_DWG.pdf")</f>
        <v/>
      </c>
      <c r="AW117" s="10" t="str">
        <f aca="false">IF(A117="","",IF(AS117="Y",A117&amp;"_STAAD.std","n/a"))</f>
        <v/>
      </c>
      <c r="AX117" s="10" t="str">
        <f aca="false">IF(A117="","",A117&amp;"_CALC.xlsx")</f>
        <v/>
      </c>
      <c r="AY117" s="10" t="str">
        <f aca="false">IF(A117="","",A117&amp;"_CALC.pdf")</f>
        <v/>
      </c>
      <c r="AZ117" s="9"/>
      <c r="BA117" s="9"/>
      <c r="BB117" s="39"/>
      <c r="BC117" s="39"/>
      <c r="BD117" s="39"/>
      <c r="BE117" s="39"/>
      <c r="BF117" s="39"/>
      <c r="BG117" s="12" t="str">
        <f aca="false">IF(A117="","",IF(COUNTIF(Rebar_Schedule!$A$5:$A$2004,A117)=0,"",ROUND(SUMIF(Rebar_Schedule!$A$5:$A$2004,A117,Rebar_Schedule!$K$5:$K$2004),1)))</f>
        <v/>
      </c>
      <c r="BH117" s="33" t="str">
        <f aca="false">IF(A117="","",IF(BG117="","No rebar schedule yet",IF(ABS(BG117-N(BC117))/MAX(N(BC117),1)&gt;SG_Criteria!$B$55,"NOTE: register rebar differs from schedule by "&amp;TEXT(ABS(BG117-N(BC117))/MAX(N(BC117),1),"0%"),"OK")))</f>
        <v/>
      </c>
      <c r="BI117" s="33" t="str">
        <f aca="false">IF(OR(D117="",E117=""),"",IF(E117&lt;=IF(OR(D117="Block / Segmental",D117="Gabion",D117="Reinforced Earth (MSE)"),SG_Criteria!$B$34,SG_Criteria!$B$33),"No ERSS submission",IF(E117&lt;=SG_Criteria!$B$35,"QP(ST)",IF(E117&lt;=SG_Criteria!$B$36,"QP(ST) + AC","Geotechnical building works: QP(Geo) + AC"))))</f>
        <v/>
      </c>
      <c r="BJ117" s="33" t="str">
        <f aca="false">IF(D117="","",IF(LEN(IF(AND(V117&lt;&gt;"",IFERROR(VALUE(MID(V117,2,2)),0)&lt;SG_Criteria!$B$19),"FAIL: grade below C"&amp;SG_Criteria!$B$19&amp;". ","")&amp;IF(AND(W117&lt;&gt;"",W117&lt;SG_Criteria!$B$20),"FAIL: cover &lt; "&amp;SG_Criteria!$B$20&amp;" mm. ","")&amp;IF(AND(AD117&lt;&gt;"",AD117&lt;1),"FAIL: sliding. ","")&amp;IF(AND(D117="Reverse L-Wall (toe only, at boundary)",N(S117)&gt;0),"NOTE: reverse L-wall should have no heel. ","")&amp;IF(AND(D117="L-Wall (heel only)",N(R117)&gt;0),"NOTE: L-wall should have no toe. ","")&amp;IF(AND(F117&lt;&gt;"",F117&lt;SG_Criteria!$B$31),"NOTE: q below LTA min "&amp;SG_Criteria!$B$31&amp;" kPa (not for LTA works). ",""))=0,"OK",IF(AND(V117&lt;&gt;"",IFERROR(VALUE(MID(V117,2,2)),0)&lt;SG_Criteria!$B$19),"FAIL: grade below C"&amp;SG_Criteria!$B$19&amp;". ","")&amp;IF(AND(W117&lt;&gt;"",W117&lt;SG_Criteria!$B$20),"FAIL: cover &lt; "&amp;SG_Criteria!$B$20&amp;" mm. ","")&amp;IF(AND(AD117&lt;&gt;"",AD117&lt;1),"FAIL: sliding. ","")&amp;IF(AND(D117="Reverse L-Wall (toe only, at boundary)",N(S117)&gt;0),"NOTE: reverse L-wall should have no heel. ","")&amp;IF(AND(D117="L-Wall (heel only)",N(R117)&gt;0),"NOTE: L-wall should have no toe. ","")&amp;IF(AND(F117&lt;&gt;"",F117&lt;SG_Criteria!$B$31),"NOTE: q below LTA min "&amp;SG_Criteria!$B$31&amp;" kPa (not for LTA works). ","")))</f>
        <v/>
      </c>
      <c r="BK117" s="9"/>
      <c r="BL117" s="9"/>
      <c r="BM117" s="9"/>
      <c r="BN117" s="10" t="str">
        <f aca="false">IF(BM117="","",IFERROR(VLOOKUP(BM117,Projects!$A$5:$D$504,2,0),"Ref not in Projects"))</f>
        <v/>
      </c>
      <c r="BO117" s="10" t="str">
        <f aca="false">IF(BM117="","",IFERROR(VLOOKUP(BM117,Projects!$A$5:$D$504,4,0),"Ref not in Projects"))</f>
        <v/>
      </c>
      <c r="BP117" s="9"/>
      <c r="BQ117" s="9"/>
      <c r="BR117" s="9"/>
      <c r="BS117" s="40"/>
      <c r="BT117" s="9"/>
      <c r="BU117" s="40"/>
      <c r="BV117" s="9"/>
      <c r="BW117" s="40"/>
      <c r="BX117" s="9"/>
      <c r="BY117" s="9"/>
      <c r="BZ117" s="9"/>
      <c r="CA117" s="40"/>
      <c r="CB117" s="40"/>
      <c r="CC117" s="36" t="str">
        <f aca="false">IF(CB117="","",EDATE(CB117,SG_Criteria!$B$54*12))</f>
        <v/>
      </c>
      <c r="CD117" s="33" t="str">
        <f aca="true">IF(A117="","",IF(CB117="","NOTE: not reviewed yet",IF(TODAY()&gt;CC117,"NOTE: review overdue","OK")))</f>
        <v/>
      </c>
      <c r="CE117" s="37" t="str">
        <f aca="false">IF(A117="","",ROUND((IF(LEN(D117)&gt;0,1,0)+IF(LEN(E117)&gt;0,1,0)+IF(LEN(F117)&gt;0,1,0)+IF(LEN(G117)&gt;0,1,0)+IF(LEN(I117)&gt;0,1,0)+IF(LEN(K117)&gt;0,1,0)+IF(LEN(P117)&gt;0,1,0)+IF(LEN(Q117)&gt;0,1,0)+IF(LEN(T117)&gt;0,1,0)+IF(LEN(V117)&gt;0,1,0)+IF(LEN(W117)&gt;0,1,0)+IF(LEN(X117)&gt;0,1,0)+IF(LEN(Z117)&gt;0,1,0)+IF(LEN(AD117)&gt;0,1,0)+IF(LEN(AE117)&gt;0,1,0)+IF(LEN(AG117)&gt;0,1,0)+IF(LEN(AI117)&gt;0,1,0)+IF(LEN(BB117)&gt;0,1,0)+IF(LEN(BC117)&gt;0,1,0)+IF(LEN(AM117)&gt;0,1,0)+IF(LEN(AO117)&gt;0,1,0)+IF(LEN(AP117)&gt;0,1,0)+IF(LEN(AQ117)&gt;0,1,0)+IF(LEN(AR117)&gt;0,1,0)+IF(LEN(BA117)&gt;0,1,0)+IF(LEN(BM117)&gt;0,1,0)+IF(LEN(BZ117)&gt;0,1,0))/27,2))</f>
        <v/>
      </c>
      <c r="CF117" s="10" t="str">
        <f aca="false">IF(D117="","",IF(AND(AP117="Approved",ISERROR(SEARCH("FAIL",BJ117))),"Y","N"))</f>
        <v/>
      </c>
      <c r="CG117" s="10" t="str">
        <f aca="false">IF(D117="","",D117&amp;"|"&amp;E117&amp;"|"&amp;F117&amp;"|"&amp;G117&amp;"|"&amp;CF117)</f>
        <v/>
      </c>
    </row>
    <row r="118" customFormat="false" ht="15" hidden="false" customHeight="false" outlineLevel="0" collapsed="false">
      <c r="A118" s="10" t="str">
        <f aca="false">IF(D118="","","RW-"&amp;IFERROR(VLOOKUP(D118,Lists!$M$4:$N$22,2,0),"??")&amp;"-H"&amp;TEXT(E118*1000,"0000")&amp;"-S"&amp;F118&amp;IF(G118="Y","-GW","")&amp;"-"&amp;AO118)</f>
        <v/>
      </c>
      <c r="B118" s="10" t="str">
        <f aca="false">IF(D118="","",D118&amp;", H = "&amp;TEXT(E118,"0.0")&amp;" m, q = "&amp;F118&amp;" kPa"&amp;IF(G118="Y",", with GWT","")&amp;", "&amp;I118)</f>
        <v/>
      </c>
      <c r="C118" s="9"/>
      <c r="D118" s="9"/>
      <c r="E118" s="39"/>
      <c r="F118" s="38"/>
      <c r="G118" s="9"/>
      <c r="H118" s="38"/>
      <c r="I118" s="9"/>
      <c r="J118" s="38"/>
      <c r="K118" s="38"/>
      <c r="L118" s="38"/>
      <c r="M118" s="42"/>
      <c r="N118" s="9"/>
      <c r="O118" s="38"/>
      <c r="P118" s="38"/>
      <c r="Q118" s="38"/>
      <c r="R118" s="38"/>
      <c r="S118" s="38"/>
      <c r="T118" s="38"/>
      <c r="U118" s="9"/>
      <c r="V118" s="9"/>
      <c r="W118" s="38"/>
      <c r="X118" s="9"/>
      <c r="Y118" s="9"/>
      <c r="Z118" s="9"/>
      <c r="AA118" s="9"/>
      <c r="AB118" s="9"/>
      <c r="AC118" s="9"/>
      <c r="AD118" s="39"/>
      <c r="AE118" s="39"/>
      <c r="AF118" s="39"/>
      <c r="AG118" s="38"/>
      <c r="AH118" s="38"/>
      <c r="AI118" s="9"/>
      <c r="AJ118" s="38"/>
      <c r="AK118" s="9"/>
      <c r="AL118" s="39"/>
      <c r="AM118" s="9"/>
      <c r="AN118" s="9"/>
      <c r="AO118" s="9"/>
      <c r="AP118" s="9"/>
      <c r="AQ118" s="9"/>
      <c r="AR118" s="9"/>
      <c r="AS118" s="9"/>
      <c r="AT118" s="10" t="str">
        <f aca="false">IF(A118="","",SG_Criteria!$B$6&amp;SG_Criteria!$B$8&amp;"\"&amp;A118&amp;"\")</f>
        <v/>
      </c>
      <c r="AU118" s="10" t="str">
        <f aca="false">IF(A118="","",A118&amp;"_CAD.dwg")</f>
        <v/>
      </c>
      <c r="AV118" s="10" t="str">
        <f aca="false">IF(A118="","",A118&amp;"_DWG.pdf")</f>
        <v/>
      </c>
      <c r="AW118" s="10" t="str">
        <f aca="false">IF(A118="","",IF(AS118="Y",A118&amp;"_STAAD.std","n/a"))</f>
        <v/>
      </c>
      <c r="AX118" s="10" t="str">
        <f aca="false">IF(A118="","",A118&amp;"_CALC.xlsx")</f>
        <v/>
      </c>
      <c r="AY118" s="10" t="str">
        <f aca="false">IF(A118="","",A118&amp;"_CALC.pdf")</f>
        <v/>
      </c>
      <c r="AZ118" s="9"/>
      <c r="BA118" s="9"/>
      <c r="BB118" s="39"/>
      <c r="BC118" s="39"/>
      <c r="BD118" s="39"/>
      <c r="BE118" s="39"/>
      <c r="BF118" s="39"/>
      <c r="BG118" s="12" t="str">
        <f aca="false">IF(A118="","",IF(COUNTIF(Rebar_Schedule!$A$5:$A$2004,A118)=0,"",ROUND(SUMIF(Rebar_Schedule!$A$5:$A$2004,A118,Rebar_Schedule!$K$5:$K$2004),1)))</f>
        <v/>
      </c>
      <c r="BH118" s="33" t="str">
        <f aca="false">IF(A118="","",IF(BG118="","No rebar schedule yet",IF(ABS(BG118-N(BC118))/MAX(N(BC118),1)&gt;SG_Criteria!$B$55,"NOTE: register rebar differs from schedule by "&amp;TEXT(ABS(BG118-N(BC118))/MAX(N(BC118),1),"0%"),"OK")))</f>
        <v/>
      </c>
      <c r="BI118" s="33" t="str">
        <f aca="false">IF(OR(D118="",E118=""),"",IF(E118&lt;=IF(OR(D118="Block / Segmental",D118="Gabion",D118="Reinforced Earth (MSE)"),SG_Criteria!$B$34,SG_Criteria!$B$33),"No ERSS submission",IF(E118&lt;=SG_Criteria!$B$35,"QP(ST)",IF(E118&lt;=SG_Criteria!$B$36,"QP(ST) + AC","Geotechnical building works: QP(Geo) + AC"))))</f>
        <v/>
      </c>
      <c r="BJ118" s="33" t="str">
        <f aca="false">IF(D118="","",IF(LEN(IF(AND(V118&lt;&gt;"",IFERROR(VALUE(MID(V118,2,2)),0)&lt;SG_Criteria!$B$19),"FAIL: grade below C"&amp;SG_Criteria!$B$19&amp;". ","")&amp;IF(AND(W118&lt;&gt;"",W118&lt;SG_Criteria!$B$20),"FAIL: cover &lt; "&amp;SG_Criteria!$B$20&amp;" mm. ","")&amp;IF(AND(AD118&lt;&gt;"",AD118&lt;1),"FAIL: sliding. ","")&amp;IF(AND(D118="Reverse L-Wall (toe only, at boundary)",N(S118)&gt;0),"NOTE: reverse L-wall should have no heel. ","")&amp;IF(AND(D118="L-Wall (heel only)",N(R118)&gt;0),"NOTE: L-wall should have no toe. ","")&amp;IF(AND(F118&lt;&gt;"",F118&lt;SG_Criteria!$B$31),"NOTE: q below LTA min "&amp;SG_Criteria!$B$31&amp;" kPa (not for LTA works). ",""))=0,"OK",IF(AND(V118&lt;&gt;"",IFERROR(VALUE(MID(V118,2,2)),0)&lt;SG_Criteria!$B$19),"FAIL: grade below C"&amp;SG_Criteria!$B$19&amp;". ","")&amp;IF(AND(W118&lt;&gt;"",W118&lt;SG_Criteria!$B$20),"FAIL: cover &lt; "&amp;SG_Criteria!$B$20&amp;" mm. ","")&amp;IF(AND(AD118&lt;&gt;"",AD118&lt;1),"FAIL: sliding. ","")&amp;IF(AND(D118="Reverse L-Wall (toe only, at boundary)",N(S118)&gt;0),"NOTE: reverse L-wall should have no heel. ","")&amp;IF(AND(D118="L-Wall (heel only)",N(R118)&gt;0),"NOTE: L-wall should have no toe. ","")&amp;IF(AND(F118&lt;&gt;"",F118&lt;SG_Criteria!$B$31),"NOTE: q below LTA min "&amp;SG_Criteria!$B$31&amp;" kPa (not for LTA works). ","")))</f>
        <v/>
      </c>
      <c r="BK118" s="9"/>
      <c r="BL118" s="9"/>
      <c r="BM118" s="9"/>
      <c r="BN118" s="10" t="str">
        <f aca="false">IF(BM118="","",IFERROR(VLOOKUP(BM118,Projects!$A$5:$D$504,2,0),"Ref not in Projects"))</f>
        <v/>
      </c>
      <c r="BO118" s="10" t="str">
        <f aca="false">IF(BM118="","",IFERROR(VLOOKUP(BM118,Projects!$A$5:$D$504,4,0),"Ref not in Projects"))</f>
        <v/>
      </c>
      <c r="BP118" s="9"/>
      <c r="BQ118" s="9"/>
      <c r="BR118" s="9"/>
      <c r="BS118" s="40"/>
      <c r="BT118" s="9"/>
      <c r="BU118" s="40"/>
      <c r="BV118" s="9"/>
      <c r="BW118" s="40"/>
      <c r="BX118" s="9"/>
      <c r="BY118" s="9"/>
      <c r="BZ118" s="9"/>
      <c r="CA118" s="40"/>
      <c r="CB118" s="40"/>
      <c r="CC118" s="36" t="str">
        <f aca="false">IF(CB118="","",EDATE(CB118,SG_Criteria!$B$54*12))</f>
        <v/>
      </c>
      <c r="CD118" s="33" t="str">
        <f aca="true">IF(A118="","",IF(CB118="","NOTE: not reviewed yet",IF(TODAY()&gt;CC118,"NOTE: review overdue","OK")))</f>
        <v/>
      </c>
      <c r="CE118" s="37" t="str">
        <f aca="false">IF(A118="","",ROUND((IF(LEN(D118)&gt;0,1,0)+IF(LEN(E118)&gt;0,1,0)+IF(LEN(F118)&gt;0,1,0)+IF(LEN(G118)&gt;0,1,0)+IF(LEN(I118)&gt;0,1,0)+IF(LEN(K118)&gt;0,1,0)+IF(LEN(P118)&gt;0,1,0)+IF(LEN(Q118)&gt;0,1,0)+IF(LEN(T118)&gt;0,1,0)+IF(LEN(V118)&gt;0,1,0)+IF(LEN(W118)&gt;0,1,0)+IF(LEN(X118)&gt;0,1,0)+IF(LEN(Z118)&gt;0,1,0)+IF(LEN(AD118)&gt;0,1,0)+IF(LEN(AE118)&gt;0,1,0)+IF(LEN(AG118)&gt;0,1,0)+IF(LEN(AI118)&gt;0,1,0)+IF(LEN(BB118)&gt;0,1,0)+IF(LEN(BC118)&gt;0,1,0)+IF(LEN(AM118)&gt;0,1,0)+IF(LEN(AO118)&gt;0,1,0)+IF(LEN(AP118)&gt;0,1,0)+IF(LEN(AQ118)&gt;0,1,0)+IF(LEN(AR118)&gt;0,1,0)+IF(LEN(BA118)&gt;0,1,0)+IF(LEN(BM118)&gt;0,1,0)+IF(LEN(BZ118)&gt;0,1,0))/27,2))</f>
        <v/>
      </c>
      <c r="CF118" s="10" t="str">
        <f aca="false">IF(D118="","",IF(AND(AP118="Approved",ISERROR(SEARCH("FAIL",BJ118))),"Y","N"))</f>
        <v/>
      </c>
      <c r="CG118" s="10" t="str">
        <f aca="false">IF(D118="","",D118&amp;"|"&amp;E118&amp;"|"&amp;F118&amp;"|"&amp;G118&amp;"|"&amp;CF118)</f>
        <v/>
      </c>
    </row>
    <row r="119" customFormat="false" ht="15" hidden="false" customHeight="false" outlineLevel="0" collapsed="false">
      <c r="A119" s="10" t="str">
        <f aca="false">IF(D119="","","RW-"&amp;IFERROR(VLOOKUP(D119,Lists!$M$4:$N$22,2,0),"??")&amp;"-H"&amp;TEXT(E119*1000,"0000")&amp;"-S"&amp;F119&amp;IF(G119="Y","-GW","")&amp;"-"&amp;AO119)</f>
        <v/>
      </c>
      <c r="B119" s="10" t="str">
        <f aca="false">IF(D119="","",D119&amp;", H = "&amp;TEXT(E119,"0.0")&amp;" m, q = "&amp;F119&amp;" kPa"&amp;IF(G119="Y",", with GWT","")&amp;", "&amp;I119)</f>
        <v/>
      </c>
      <c r="C119" s="9"/>
      <c r="D119" s="9"/>
      <c r="E119" s="39"/>
      <c r="F119" s="38"/>
      <c r="G119" s="9"/>
      <c r="H119" s="38"/>
      <c r="I119" s="9"/>
      <c r="J119" s="38"/>
      <c r="K119" s="38"/>
      <c r="L119" s="38"/>
      <c r="M119" s="42"/>
      <c r="N119" s="9"/>
      <c r="O119" s="38"/>
      <c r="P119" s="38"/>
      <c r="Q119" s="38"/>
      <c r="R119" s="38"/>
      <c r="S119" s="38"/>
      <c r="T119" s="38"/>
      <c r="U119" s="9"/>
      <c r="V119" s="9"/>
      <c r="W119" s="38"/>
      <c r="X119" s="9"/>
      <c r="Y119" s="9"/>
      <c r="Z119" s="9"/>
      <c r="AA119" s="9"/>
      <c r="AB119" s="9"/>
      <c r="AC119" s="9"/>
      <c r="AD119" s="39"/>
      <c r="AE119" s="39"/>
      <c r="AF119" s="39"/>
      <c r="AG119" s="38"/>
      <c r="AH119" s="38"/>
      <c r="AI119" s="9"/>
      <c r="AJ119" s="38"/>
      <c r="AK119" s="9"/>
      <c r="AL119" s="39"/>
      <c r="AM119" s="9"/>
      <c r="AN119" s="9"/>
      <c r="AO119" s="9"/>
      <c r="AP119" s="9"/>
      <c r="AQ119" s="9"/>
      <c r="AR119" s="9"/>
      <c r="AS119" s="9"/>
      <c r="AT119" s="10" t="str">
        <f aca="false">IF(A119="","",SG_Criteria!$B$6&amp;SG_Criteria!$B$8&amp;"\"&amp;A119&amp;"\")</f>
        <v/>
      </c>
      <c r="AU119" s="10" t="str">
        <f aca="false">IF(A119="","",A119&amp;"_CAD.dwg")</f>
        <v/>
      </c>
      <c r="AV119" s="10" t="str">
        <f aca="false">IF(A119="","",A119&amp;"_DWG.pdf")</f>
        <v/>
      </c>
      <c r="AW119" s="10" t="str">
        <f aca="false">IF(A119="","",IF(AS119="Y",A119&amp;"_STAAD.std","n/a"))</f>
        <v/>
      </c>
      <c r="AX119" s="10" t="str">
        <f aca="false">IF(A119="","",A119&amp;"_CALC.xlsx")</f>
        <v/>
      </c>
      <c r="AY119" s="10" t="str">
        <f aca="false">IF(A119="","",A119&amp;"_CALC.pdf")</f>
        <v/>
      </c>
      <c r="AZ119" s="9"/>
      <c r="BA119" s="9"/>
      <c r="BB119" s="39"/>
      <c r="BC119" s="39"/>
      <c r="BD119" s="39"/>
      <c r="BE119" s="39"/>
      <c r="BF119" s="39"/>
      <c r="BG119" s="12" t="str">
        <f aca="false">IF(A119="","",IF(COUNTIF(Rebar_Schedule!$A$5:$A$2004,A119)=0,"",ROUND(SUMIF(Rebar_Schedule!$A$5:$A$2004,A119,Rebar_Schedule!$K$5:$K$2004),1)))</f>
        <v/>
      </c>
      <c r="BH119" s="33" t="str">
        <f aca="false">IF(A119="","",IF(BG119="","No rebar schedule yet",IF(ABS(BG119-N(BC119))/MAX(N(BC119),1)&gt;SG_Criteria!$B$55,"NOTE: register rebar differs from schedule by "&amp;TEXT(ABS(BG119-N(BC119))/MAX(N(BC119),1),"0%"),"OK")))</f>
        <v/>
      </c>
      <c r="BI119" s="33" t="str">
        <f aca="false">IF(OR(D119="",E119=""),"",IF(E119&lt;=IF(OR(D119="Block / Segmental",D119="Gabion",D119="Reinforced Earth (MSE)"),SG_Criteria!$B$34,SG_Criteria!$B$33),"No ERSS submission",IF(E119&lt;=SG_Criteria!$B$35,"QP(ST)",IF(E119&lt;=SG_Criteria!$B$36,"QP(ST) + AC","Geotechnical building works: QP(Geo) + AC"))))</f>
        <v/>
      </c>
      <c r="BJ119" s="33" t="str">
        <f aca="false">IF(D119="","",IF(LEN(IF(AND(V119&lt;&gt;"",IFERROR(VALUE(MID(V119,2,2)),0)&lt;SG_Criteria!$B$19),"FAIL: grade below C"&amp;SG_Criteria!$B$19&amp;". ","")&amp;IF(AND(W119&lt;&gt;"",W119&lt;SG_Criteria!$B$20),"FAIL: cover &lt; "&amp;SG_Criteria!$B$20&amp;" mm. ","")&amp;IF(AND(AD119&lt;&gt;"",AD119&lt;1),"FAIL: sliding. ","")&amp;IF(AND(D119="Reverse L-Wall (toe only, at boundary)",N(S119)&gt;0),"NOTE: reverse L-wall should have no heel. ","")&amp;IF(AND(D119="L-Wall (heel only)",N(R119)&gt;0),"NOTE: L-wall should have no toe. ","")&amp;IF(AND(F119&lt;&gt;"",F119&lt;SG_Criteria!$B$31),"NOTE: q below LTA min "&amp;SG_Criteria!$B$31&amp;" kPa (not for LTA works). ",""))=0,"OK",IF(AND(V119&lt;&gt;"",IFERROR(VALUE(MID(V119,2,2)),0)&lt;SG_Criteria!$B$19),"FAIL: grade below C"&amp;SG_Criteria!$B$19&amp;". ","")&amp;IF(AND(W119&lt;&gt;"",W119&lt;SG_Criteria!$B$20),"FAIL: cover &lt; "&amp;SG_Criteria!$B$20&amp;" mm. ","")&amp;IF(AND(AD119&lt;&gt;"",AD119&lt;1),"FAIL: sliding. ","")&amp;IF(AND(D119="Reverse L-Wall (toe only, at boundary)",N(S119)&gt;0),"NOTE: reverse L-wall should have no heel. ","")&amp;IF(AND(D119="L-Wall (heel only)",N(R119)&gt;0),"NOTE: L-wall should have no toe. ","")&amp;IF(AND(F119&lt;&gt;"",F119&lt;SG_Criteria!$B$31),"NOTE: q below LTA min "&amp;SG_Criteria!$B$31&amp;" kPa (not for LTA works). ","")))</f>
        <v/>
      </c>
      <c r="BK119" s="9"/>
      <c r="BL119" s="9"/>
      <c r="BM119" s="9"/>
      <c r="BN119" s="10" t="str">
        <f aca="false">IF(BM119="","",IFERROR(VLOOKUP(BM119,Projects!$A$5:$D$504,2,0),"Ref not in Projects"))</f>
        <v/>
      </c>
      <c r="BO119" s="10" t="str">
        <f aca="false">IF(BM119="","",IFERROR(VLOOKUP(BM119,Projects!$A$5:$D$504,4,0),"Ref not in Projects"))</f>
        <v/>
      </c>
      <c r="BP119" s="9"/>
      <c r="BQ119" s="9"/>
      <c r="BR119" s="9"/>
      <c r="BS119" s="40"/>
      <c r="BT119" s="9"/>
      <c r="BU119" s="40"/>
      <c r="BV119" s="9"/>
      <c r="BW119" s="40"/>
      <c r="BX119" s="9"/>
      <c r="BY119" s="9"/>
      <c r="BZ119" s="9"/>
      <c r="CA119" s="40"/>
      <c r="CB119" s="40"/>
      <c r="CC119" s="36" t="str">
        <f aca="false">IF(CB119="","",EDATE(CB119,SG_Criteria!$B$54*12))</f>
        <v/>
      </c>
      <c r="CD119" s="33" t="str">
        <f aca="true">IF(A119="","",IF(CB119="","NOTE: not reviewed yet",IF(TODAY()&gt;CC119,"NOTE: review overdue","OK")))</f>
        <v/>
      </c>
      <c r="CE119" s="37" t="str">
        <f aca="false">IF(A119="","",ROUND((IF(LEN(D119)&gt;0,1,0)+IF(LEN(E119)&gt;0,1,0)+IF(LEN(F119)&gt;0,1,0)+IF(LEN(G119)&gt;0,1,0)+IF(LEN(I119)&gt;0,1,0)+IF(LEN(K119)&gt;0,1,0)+IF(LEN(P119)&gt;0,1,0)+IF(LEN(Q119)&gt;0,1,0)+IF(LEN(T119)&gt;0,1,0)+IF(LEN(V119)&gt;0,1,0)+IF(LEN(W119)&gt;0,1,0)+IF(LEN(X119)&gt;0,1,0)+IF(LEN(Z119)&gt;0,1,0)+IF(LEN(AD119)&gt;0,1,0)+IF(LEN(AE119)&gt;0,1,0)+IF(LEN(AG119)&gt;0,1,0)+IF(LEN(AI119)&gt;0,1,0)+IF(LEN(BB119)&gt;0,1,0)+IF(LEN(BC119)&gt;0,1,0)+IF(LEN(AM119)&gt;0,1,0)+IF(LEN(AO119)&gt;0,1,0)+IF(LEN(AP119)&gt;0,1,0)+IF(LEN(AQ119)&gt;0,1,0)+IF(LEN(AR119)&gt;0,1,0)+IF(LEN(BA119)&gt;0,1,0)+IF(LEN(BM119)&gt;0,1,0)+IF(LEN(BZ119)&gt;0,1,0))/27,2))</f>
        <v/>
      </c>
      <c r="CF119" s="10" t="str">
        <f aca="false">IF(D119="","",IF(AND(AP119="Approved",ISERROR(SEARCH("FAIL",BJ119))),"Y","N"))</f>
        <v/>
      </c>
      <c r="CG119" s="10" t="str">
        <f aca="false">IF(D119="","",D119&amp;"|"&amp;E119&amp;"|"&amp;F119&amp;"|"&amp;G119&amp;"|"&amp;CF119)</f>
        <v/>
      </c>
    </row>
    <row r="120" customFormat="false" ht="15" hidden="false" customHeight="false" outlineLevel="0" collapsed="false">
      <c r="A120" s="10" t="str">
        <f aca="false">IF(D120="","","RW-"&amp;IFERROR(VLOOKUP(D120,Lists!$M$4:$N$22,2,0),"??")&amp;"-H"&amp;TEXT(E120*1000,"0000")&amp;"-S"&amp;F120&amp;IF(G120="Y","-GW","")&amp;"-"&amp;AO120)</f>
        <v/>
      </c>
      <c r="B120" s="10" t="str">
        <f aca="false">IF(D120="","",D120&amp;", H = "&amp;TEXT(E120,"0.0")&amp;" m, q = "&amp;F120&amp;" kPa"&amp;IF(G120="Y",", with GWT","")&amp;", "&amp;I120)</f>
        <v/>
      </c>
      <c r="C120" s="9"/>
      <c r="D120" s="9"/>
      <c r="E120" s="39"/>
      <c r="F120" s="38"/>
      <c r="G120" s="9"/>
      <c r="H120" s="38"/>
      <c r="I120" s="9"/>
      <c r="J120" s="38"/>
      <c r="K120" s="38"/>
      <c r="L120" s="38"/>
      <c r="M120" s="42"/>
      <c r="N120" s="9"/>
      <c r="O120" s="38"/>
      <c r="P120" s="38"/>
      <c r="Q120" s="38"/>
      <c r="R120" s="38"/>
      <c r="S120" s="38"/>
      <c r="T120" s="38"/>
      <c r="U120" s="9"/>
      <c r="V120" s="9"/>
      <c r="W120" s="38"/>
      <c r="X120" s="9"/>
      <c r="Y120" s="9"/>
      <c r="Z120" s="9"/>
      <c r="AA120" s="9"/>
      <c r="AB120" s="9"/>
      <c r="AC120" s="9"/>
      <c r="AD120" s="39"/>
      <c r="AE120" s="39"/>
      <c r="AF120" s="39"/>
      <c r="AG120" s="38"/>
      <c r="AH120" s="38"/>
      <c r="AI120" s="9"/>
      <c r="AJ120" s="38"/>
      <c r="AK120" s="9"/>
      <c r="AL120" s="39"/>
      <c r="AM120" s="9"/>
      <c r="AN120" s="9"/>
      <c r="AO120" s="9"/>
      <c r="AP120" s="9"/>
      <c r="AQ120" s="9"/>
      <c r="AR120" s="9"/>
      <c r="AS120" s="9"/>
      <c r="AT120" s="10" t="str">
        <f aca="false">IF(A120="","",SG_Criteria!$B$6&amp;SG_Criteria!$B$8&amp;"\"&amp;A120&amp;"\")</f>
        <v/>
      </c>
      <c r="AU120" s="10" t="str">
        <f aca="false">IF(A120="","",A120&amp;"_CAD.dwg")</f>
        <v/>
      </c>
      <c r="AV120" s="10" t="str">
        <f aca="false">IF(A120="","",A120&amp;"_DWG.pdf")</f>
        <v/>
      </c>
      <c r="AW120" s="10" t="str">
        <f aca="false">IF(A120="","",IF(AS120="Y",A120&amp;"_STAAD.std","n/a"))</f>
        <v/>
      </c>
      <c r="AX120" s="10" t="str">
        <f aca="false">IF(A120="","",A120&amp;"_CALC.xlsx")</f>
        <v/>
      </c>
      <c r="AY120" s="10" t="str">
        <f aca="false">IF(A120="","",A120&amp;"_CALC.pdf")</f>
        <v/>
      </c>
      <c r="AZ120" s="9"/>
      <c r="BA120" s="9"/>
      <c r="BB120" s="39"/>
      <c r="BC120" s="39"/>
      <c r="BD120" s="39"/>
      <c r="BE120" s="39"/>
      <c r="BF120" s="39"/>
      <c r="BG120" s="12" t="str">
        <f aca="false">IF(A120="","",IF(COUNTIF(Rebar_Schedule!$A$5:$A$2004,A120)=0,"",ROUND(SUMIF(Rebar_Schedule!$A$5:$A$2004,A120,Rebar_Schedule!$K$5:$K$2004),1)))</f>
        <v/>
      </c>
      <c r="BH120" s="33" t="str">
        <f aca="false">IF(A120="","",IF(BG120="","No rebar schedule yet",IF(ABS(BG120-N(BC120))/MAX(N(BC120),1)&gt;SG_Criteria!$B$55,"NOTE: register rebar differs from schedule by "&amp;TEXT(ABS(BG120-N(BC120))/MAX(N(BC120),1),"0%"),"OK")))</f>
        <v/>
      </c>
      <c r="BI120" s="33" t="str">
        <f aca="false">IF(OR(D120="",E120=""),"",IF(E120&lt;=IF(OR(D120="Block / Segmental",D120="Gabion",D120="Reinforced Earth (MSE)"),SG_Criteria!$B$34,SG_Criteria!$B$33),"No ERSS submission",IF(E120&lt;=SG_Criteria!$B$35,"QP(ST)",IF(E120&lt;=SG_Criteria!$B$36,"QP(ST) + AC","Geotechnical building works: QP(Geo) + AC"))))</f>
        <v/>
      </c>
      <c r="BJ120" s="33" t="str">
        <f aca="false">IF(D120="","",IF(LEN(IF(AND(V120&lt;&gt;"",IFERROR(VALUE(MID(V120,2,2)),0)&lt;SG_Criteria!$B$19),"FAIL: grade below C"&amp;SG_Criteria!$B$19&amp;". ","")&amp;IF(AND(W120&lt;&gt;"",W120&lt;SG_Criteria!$B$20),"FAIL: cover &lt; "&amp;SG_Criteria!$B$20&amp;" mm. ","")&amp;IF(AND(AD120&lt;&gt;"",AD120&lt;1),"FAIL: sliding. ","")&amp;IF(AND(D120="Reverse L-Wall (toe only, at boundary)",N(S120)&gt;0),"NOTE: reverse L-wall should have no heel. ","")&amp;IF(AND(D120="L-Wall (heel only)",N(R120)&gt;0),"NOTE: L-wall should have no toe. ","")&amp;IF(AND(F120&lt;&gt;"",F120&lt;SG_Criteria!$B$31),"NOTE: q below LTA min "&amp;SG_Criteria!$B$31&amp;" kPa (not for LTA works). ",""))=0,"OK",IF(AND(V120&lt;&gt;"",IFERROR(VALUE(MID(V120,2,2)),0)&lt;SG_Criteria!$B$19),"FAIL: grade below C"&amp;SG_Criteria!$B$19&amp;". ","")&amp;IF(AND(W120&lt;&gt;"",W120&lt;SG_Criteria!$B$20),"FAIL: cover &lt; "&amp;SG_Criteria!$B$20&amp;" mm. ","")&amp;IF(AND(AD120&lt;&gt;"",AD120&lt;1),"FAIL: sliding. ","")&amp;IF(AND(D120="Reverse L-Wall (toe only, at boundary)",N(S120)&gt;0),"NOTE: reverse L-wall should have no heel. ","")&amp;IF(AND(D120="L-Wall (heel only)",N(R120)&gt;0),"NOTE: L-wall should have no toe. ","")&amp;IF(AND(F120&lt;&gt;"",F120&lt;SG_Criteria!$B$31),"NOTE: q below LTA min "&amp;SG_Criteria!$B$31&amp;" kPa (not for LTA works). ","")))</f>
        <v/>
      </c>
      <c r="BK120" s="9"/>
      <c r="BL120" s="9"/>
      <c r="BM120" s="9"/>
      <c r="BN120" s="10" t="str">
        <f aca="false">IF(BM120="","",IFERROR(VLOOKUP(BM120,Projects!$A$5:$D$504,2,0),"Ref not in Projects"))</f>
        <v/>
      </c>
      <c r="BO120" s="10" t="str">
        <f aca="false">IF(BM120="","",IFERROR(VLOOKUP(BM120,Projects!$A$5:$D$504,4,0),"Ref not in Projects"))</f>
        <v/>
      </c>
      <c r="BP120" s="9"/>
      <c r="BQ120" s="9"/>
      <c r="BR120" s="9"/>
      <c r="BS120" s="40"/>
      <c r="BT120" s="9"/>
      <c r="BU120" s="40"/>
      <c r="BV120" s="9"/>
      <c r="BW120" s="40"/>
      <c r="BX120" s="9"/>
      <c r="BY120" s="9"/>
      <c r="BZ120" s="9"/>
      <c r="CA120" s="40"/>
      <c r="CB120" s="40"/>
      <c r="CC120" s="36" t="str">
        <f aca="false">IF(CB120="","",EDATE(CB120,SG_Criteria!$B$54*12))</f>
        <v/>
      </c>
      <c r="CD120" s="33" t="str">
        <f aca="true">IF(A120="","",IF(CB120="","NOTE: not reviewed yet",IF(TODAY()&gt;CC120,"NOTE: review overdue","OK")))</f>
        <v/>
      </c>
      <c r="CE120" s="37" t="str">
        <f aca="false">IF(A120="","",ROUND((IF(LEN(D120)&gt;0,1,0)+IF(LEN(E120)&gt;0,1,0)+IF(LEN(F120)&gt;0,1,0)+IF(LEN(G120)&gt;0,1,0)+IF(LEN(I120)&gt;0,1,0)+IF(LEN(K120)&gt;0,1,0)+IF(LEN(P120)&gt;0,1,0)+IF(LEN(Q120)&gt;0,1,0)+IF(LEN(T120)&gt;0,1,0)+IF(LEN(V120)&gt;0,1,0)+IF(LEN(W120)&gt;0,1,0)+IF(LEN(X120)&gt;0,1,0)+IF(LEN(Z120)&gt;0,1,0)+IF(LEN(AD120)&gt;0,1,0)+IF(LEN(AE120)&gt;0,1,0)+IF(LEN(AG120)&gt;0,1,0)+IF(LEN(AI120)&gt;0,1,0)+IF(LEN(BB120)&gt;0,1,0)+IF(LEN(BC120)&gt;0,1,0)+IF(LEN(AM120)&gt;0,1,0)+IF(LEN(AO120)&gt;0,1,0)+IF(LEN(AP120)&gt;0,1,0)+IF(LEN(AQ120)&gt;0,1,0)+IF(LEN(AR120)&gt;0,1,0)+IF(LEN(BA120)&gt;0,1,0)+IF(LEN(BM120)&gt;0,1,0)+IF(LEN(BZ120)&gt;0,1,0))/27,2))</f>
        <v/>
      </c>
      <c r="CF120" s="10" t="str">
        <f aca="false">IF(D120="","",IF(AND(AP120="Approved",ISERROR(SEARCH("FAIL",BJ120))),"Y","N"))</f>
        <v/>
      </c>
      <c r="CG120" s="10" t="str">
        <f aca="false">IF(D120="","",D120&amp;"|"&amp;E120&amp;"|"&amp;F120&amp;"|"&amp;G120&amp;"|"&amp;CF120)</f>
        <v/>
      </c>
    </row>
    <row r="121" customFormat="false" ht="15" hidden="false" customHeight="false" outlineLevel="0" collapsed="false">
      <c r="A121" s="10" t="str">
        <f aca="false">IF(D121="","","RW-"&amp;IFERROR(VLOOKUP(D121,Lists!$M$4:$N$22,2,0),"??")&amp;"-H"&amp;TEXT(E121*1000,"0000")&amp;"-S"&amp;F121&amp;IF(G121="Y","-GW","")&amp;"-"&amp;AO121)</f>
        <v/>
      </c>
      <c r="B121" s="10" t="str">
        <f aca="false">IF(D121="","",D121&amp;", H = "&amp;TEXT(E121,"0.0")&amp;" m, q = "&amp;F121&amp;" kPa"&amp;IF(G121="Y",", with GWT","")&amp;", "&amp;I121)</f>
        <v/>
      </c>
      <c r="C121" s="9"/>
      <c r="D121" s="9"/>
      <c r="E121" s="39"/>
      <c r="F121" s="38"/>
      <c r="G121" s="9"/>
      <c r="H121" s="38"/>
      <c r="I121" s="9"/>
      <c r="J121" s="38"/>
      <c r="K121" s="38"/>
      <c r="L121" s="38"/>
      <c r="M121" s="42"/>
      <c r="N121" s="9"/>
      <c r="O121" s="38"/>
      <c r="P121" s="38"/>
      <c r="Q121" s="38"/>
      <c r="R121" s="38"/>
      <c r="S121" s="38"/>
      <c r="T121" s="38"/>
      <c r="U121" s="9"/>
      <c r="V121" s="9"/>
      <c r="W121" s="38"/>
      <c r="X121" s="9"/>
      <c r="Y121" s="9"/>
      <c r="Z121" s="9"/>
      <c r="AA121" s="9"/>
      <c r="AB121" s="9"/>
      <c r="AC121" s="9"/>
      <c r="AD121" s="39"/>
      <c r="AE121" s="39"/>
      <c r="AF121" s="39"/>
      <c r="AG121" s="38"/>
      <c r="AH121" s="38"/>
      <c r="AI121" s="9"/>
      <c r="AJ121" s="38"/>
      <c r="AK121" s="9"/>
      <c r="AL121" s="39"/>
      <c r="AM121" s="9"/>
      <c r="AN121" s="9"/>
      <c r="AO121" s="9"/>
      <c r="AP121" s="9"/>
      <c r="AQ121" s="9"/>
      <c r="AR121" s="9"/>
      <c r="AS121" s="9"/>
      <c r="AT121" s="10" t="str">
        <f aca="false">IF(A121="","",SG_Criteria!$B$6&amp;SG_Criteria!$B$8&amp;"\"&amp;A121&amp;"\")</f>
        <v/>
      </c>
      <c r="AU121" s="10" t="str">
        <f aca="false">IF(A121="","",A121&amp;"_CAD.dwg")</f>
        <v/>
      </c>
      <c r="AV121" s="10" t="str">
        <f aca="false">IF(A121="","",A121&amp;"_DWG.pdf")</f>
        <v/>
      </c>
      <c r="AW121" s="10" t="str">
        <f aca="false">IF(A121="","",IF(AS121="Y",A121&amp;"_STAAD.std","n/a"))</f>
        <v/>
      </c>
      <c r="AX121" s="10" t="str">
        <f aca="false">IF(A121="","",A121&amp;"_CALC.xlsx")</f>
        <v/>
      </c>
      <c r="AY121" s="10" t="str">
        <f aca="false">IF(A121="","",A121&amp;"_CALC.pdf")</f>
        <v/>
      </c>
      <c r="AZ121" s="9"/>
      <c r="BA121" s="9"/>
      <c r="BB121" s="39"/>
      <c r="BC121" s="39"/>
      <c r="BD121" s="39"/>
      <c r="BE121" s="39"/>
      <c r="BF121" s="39"/>
      <c r="BG121" s="12" t="str">
        <f aca="false">IF(A121="","",IF(COUNTIF(Rebar_Schedule!$A$5:$A$2004,A121)=0,"",ROUND(SUMIF(Rebar_Schedule!$A$5:$A$2004,A121,Rebar_Schedule!$K$5:$K$2004),1)))</f>
        <v/>
      </c>
      <c r="BH121" s="33" t="str">
        <f aca="false">IF(A121="","",IF(BG121="","No rebar schedule yet",IF(ABS(BG121-N(BC121))/MAX(N(BC121),1)&gt;SG_Criteria!$B$55,"NOTE: register rebar differs from schedule by "&amp;TEXT(ABS(BG121-N(BC121))/MAX(N(BC121),1),"0%"),"OK")))</f>
        <v/>
      </c>
      <c r="BI121" s="33" t="str">
        <f aca="false">IF(OR(D121="",E121=""),"",IF(E121&lt;=IF(OR(D121="Block / Segmental",D121="Gabion",D121="Reinforced Earth (MSE)"),SG_Criteria!$B$34,SG_Criteria!$B$33),"No ERSS submission",IF(E121&lt;=SG_Criteria!$B$35,"QP(ST)",IF(E121&lt;=SG_Criteria!$B$36,"QP(ST) + AC","Geotechnical building works: QP(Geo) + AC"))))</f>
        <v/>
      </c>
      <c r="BJ121" s="33" t="str">
        <f aca="false">IF(D121="","",IF(LEN(IF(AND(V121&lt;&gt;"",IFERROR(VALUE(MID(V121,2,2)),0)&lt;SG_Criteria!$B$19),"FAIL: grade below C"&amp;SG_Criteria!$B$19&amp;". ","")&amp;IF(AND(W121&lt;&gt;"",W121&lt;SG_Criteria!$B$20),"FAIL: cover &lt; "&amp;SG_Criteria!$B$20&amp;" mm. ","")&amp;IF(AND(AD121&lt;&gt;"",AD121&lt;1),"FAIL: sliding. ","")&amp;IF(AND(D121="Reverse L-Wall (toe only, at boundary)",N(S121)&gt;0),"NOTE: reverse L-wall should have no heel. ","")&amp;IF(AND(D121="L-Wall (heel only)",N(R121)&gt;0),"NOTE: L-wall should have no toe. ","")&amp;IF(AND(F121&lt;&gt;"",F121&lt;SG_Criteria!$B$31),"NOTE: q below LTA min "&amp;SG_Criteria!$B$31&amp;" kPa (not for LTA works). ",""))=0,"OK",IF(AND(V121&lt;&gt;"",IFERROR(VALUE(MID(V121,2,2)),0)&lt;SG_Criteria!$B$19),"FAIL: grade below C"&amp;SG_Criteria!$B$19&amp;". ","")&amp;IF(AND(W121&lt;&gt;"",W121&lt;SG_Criteria!$B$20),"FAIL: cover &lt; "&amp;SG_Criteria!$B$20&amp;" mm. ","")&amp;IF(AND(AD121&lt;&gt;"",AD121&lt;1),"FAIL: sliding. ","")&amp;IF(AND(D121="Reverse L-Wall (toe only, at boundary)",N(S121)&gt;0),"NOTE: reverse L-wall should have no heel. ","")&amp;IF(AND(D121="L-Wall (heel only)",N(R121)&gt;0),"NOTE: L-wall should have no toe. ","")&amp;IF(AND(F121&lt;&gt;"",F121&lt;SG_Criteria!$B$31),"NOTE: q below LTA min "&amp;SG_Criteria!$B$31&amp;" kPa (not for LTA works). ","")))</f>
        <v/>
      </c>
      <c r="BK121" s="9"/>
      <c r="BL121" s="9"/>
      <c r="BM121" s="9"/>
      <c r="BN121" s="10" t="str">
        <f aca="false">IF(BM121="","",IFERROR(VLOOKUP(BM121,Projects!$A$5:$D$504,2,0),"Ref not in Projects"))</f>
        <v/>
      </c>
      <c r="BO121" s="10" t="str">
        <f aca="false">IF(BM121="","",IFERROR(VLOOKUP(BM121,Projects!$A$5:$D$504,4,0),"Ref not in Projects"))</f>
        <v/>
      </c>
      <c r="BP121" s="9"/>
      <c r="BQ121" s="9"/>
      <c r="BR121" s="9"/>
      <c r="BS121" s="40"/>
      <c r="BT121" s="9"/>
      <c r="BU121" s="40"/>
      <c r="BV121" s="9"/>
      <c r="BW121" s="40"/>
      <c r="BX121" s="9"/>
      <c r="BY121" s="9"/>
      <c r="BZ121" s="9"/>
      <c r="CA121" s="40"/>
      <c r="CB121" s="40"/>
      <c r="CC121" s="36" t="str">
        <f aca="false">IF(CB121="","",EDATE(CB121,SG_Criteria!$B$54*12))</f>
        <v/>
      </c>
      <c r="CD121" s="33" t="str">
        <f aca="true">IF(A121="","",IF(CB121="","NOTE: not reviewed yet",IF(TODAY()&gt;CC121,"NOTE: review overdue","OK")))</f>
        <v/>
      </c>
      <c r="CE121" s="37" t="str">
        <f aca="false">IF(A121="","",ROUND((IF(LEN(D121)&gt;0,1,0)+IF(LEN(E121)&gt;0,1,0)+IF(LEN(F121)&gt;0,1,0)+IF(LEN(G121)&gt;0,1,0)+IF(LEN(I121)&gt;0,1,0)+IF(LEN(K121)&gt;0,1,0)+IF(LEN(P121)&gt;0,1,0)+IF(LEN(Q121)&gt;0,1,0)+IF(LEN(T121)&gt;0,1,0)+IF(LEN(V121)&gt;0,1,0)+IF(LEN(W121)&gt;0,1,0)+IF(LEN(X121)&gt;0,1,0)+IF(LEN(Z121)&gt;0,1,0)+IF(LEN(AD121)&gt;0,1,0)+IF(LEN(AE121)&gt;0,1,0)+IF(LEN(AG121)&gt;0,1,0)+IF(LEN(AI121)&gt;0,1,0)+IF(LEN(BB121)&gt;0,1,0)+IF(LEN(BC121)&gt;0,1,0)+IF(LEN(AM121)&gt;0,1,0)+IF(LEN(AO121)&gt;0,1,0)+IF(LEN(AP121)&gt;0,1,0)+IF(LEN(AQ121)&gt;0,1,0)+IF(LEN(AR121)&gt;0,1,0)+IF(LEN(BA121)&gt;0,1,0)+IF(LEN(BM121)&gt;0,1,0)+IF(LEN(BZ121)&gt;0,1,0))/27,2))</f>
        <v/>
      </c>
      <c r="CF121" s="10" t="str">
        <f aca="false">IF(D121="","",IF(AND(AP121="Approved",ISERROR(SEARCH("FAIL",BJ121))),"Y","N"))</f>
        <v/>
      </c>
      <c r="CG121" s="10" t="str">
        <f aca="false">IF(D121="","",D121&amp;"|"&amp;E121&amp;"|"&amp;F121&amp;"|"&amp;G121&amp;"|"&amp;CF121)</f>
        <v/>
      </c>
    </row>
    <row r="122" customFormat="false" ht="15" hidden="false" customHeight="false" outlineLevel="0" collapsed="false">
      <c r="A122" s="10" t="str">
        <f aca="false">IF(D122="","","RW-"&amp;IFERROR(VLOOKUP(D122,Lists!$M$4:$N$22,2,0),"??")&amp;"-H"&amp;TEXT(E122*1000,"0000")&amp;"-S"&amp;F122&amp;IF(G122="Y","-GW","")&amp;"-"&amp;AO122)</f>
        <v/>
      </c>
      <c r="B122" s="10" t="str">
        <f aca="false">IF(D122="","",D122&amp;", H = "&amp;TEXT(E122,"0.0")&amp;" m, q = "&amp;F122&amp;" kPa"&amp;IF(G122="Y",", with GWT","")&amp;", "&amp;I122)</f>
        <v/>
      </c>
      <c r="C122" s="9"/>
      <c r="D122" s="9"/>
      <c r="E122" s="39"/>
      <c r="F122" s="38"/>
      <c r="G122" s="9"/>
      <c r="H122" s="38"/>
      <c r="I122" s="9"/>
      <c r="J122" s="38"/>
      <c r="K122" s="38"/>
      <c r="L122" s="38"/>
      <c r="M122" s="42"/>
      <c r="N122" s="9"/>
      <c r="O122" s="38"/>
      <c r="P122" s="38"/>
      <c r="Q122" s="38"/>
      <c r="R122" s="38"/>
      <c r="S122" s="38"/>
      <c r="T122" s="38"/>
      <c r="U122" s="9"/>
      <c r="V122" s="9"/>
      <c r="W122" s="38"/>
      <c r="X122" s="9"/>
      <c r="Y122" s="9"/>
      <c r="Z122" s="9"/>
      <c r="AA122" s="9"/>
      <c r="AB122" s="9"/>
      <c r="AC122" s="9"/>
      <c r="AD122" s="39"/>
      <c r="AE122" s="39"/>
      <c r="AF122" s="39"/>
      <c r="AG122" s="38"/>
      <c r="AH122" s="38"/>
      <c r="AI122" s="9"/>
      <c r="AJ122" s="38"/>
      <c r="AK122" s="9"/>
      <c r="AL122" s="39"/>
      <c r="AM122" s="9"/>
      <c r="AN122" s="9"/>
      <c r="AO122" s="9"/>
      <c r="AP122" s="9"/>
      <c r="AQ122" s="9"/>
      <c r="AR122" s="9"/>
      <c r="AS122" s="9"/>
      <c r="AT122" s="10" t="str">
        <f aca="false">IF(A122="","",SG_Criteria!$B$6&amp;SG_Criteria!$B$8&amp;"\"&amp;A122&amp;"\")</f>
        <v/>
      </c>
      <c r="AU122" s="10" t="str">
        <f aca="false">IF(A122="","",A122&amp;"_CAD.dwg")</f>
        <v/>
      </c>
      <c r="AV122" s="10" t="str">
        <f aca="false">IF(A122="","",A122&amp;"_DWG.pdf")</f>
        <v/>
      </c>
      <c r="AW122" s="10" t="str">
        <f aca="false">IF(A122="","",IF(AS122="Y",A122&amp;"_STAAD.std","n/a"))</f>
        <v/>
      </c>
      <c r="AX122" s="10" t="str">
        <f aca="false">IF(A122="","",A122&amp;"_CALC.xlsx")</f>
        <v/>
      </c>
      <c r="AY122" s="10" t="str">
        <f aca="false">IF(A122="","",A122&amp;"_CALC.pdf")</f>
        <v/>
      </c>
      <c r="AZ122" s="9"/>
      <c r="BA122" s="9"/>
      <c r="BB122" s="39"/>
      <c r="BC122" s="39"/>
      <c r="BD122" s="39"/>
      <c r="BE122" s="39"/>
      <c r="BF122" s="39"/>
      <c r="BG122" s="12" t="str">
        <f aca="false">IF(A122="","",IF(COUNTIF(Rebar_Schedule!$A$5:$A$2004,A122)=0,"",ROUND(SUMIF(Rebar_Schedule!$A$5:$A$2004,A122,Rebar_Schedule!$K$5:$K$2004),1)))</f>
        <v/>
      </c>
      <c r="BH122" s="33" t="str">
        <f aca="false">IF(A122="","",IF(BG122="","No rebar schedule yet",IF(ABS(BG122-N(BC122))/MAX(N(BC122),1)&gt;SG_Criteria!$B$55,"NOTE: register rebar differs from schedule by "&amp;TEXT(ABS(BG122-N(BC122))/MAX(N(BC122),1),"0%"),"OK")))</f>
        <v/>
      </c>
      <c r="BI122" s="33" t="str">
        <f aca="false">IF(OR(D122="",E122=""),"",IF(E122&lt;=IF(OR(D122="Block / Segmental",D122="Gabion",D122="Reinforced Earth (MSE)"),SG_Criteria!$B$34,SG_Criteria!$B$33),"No ERSS submission",IF(E122&lt;=SG_Criteria!$B$35,"QP(ST)",IF(E122&lt;=SG_Criteria!$B$36,"QP(ST) + AC","Geotechnical building works: QP(Geo) + AC"))))</f>
        <v/>
      </c>
      <c r="BJ122" s="33" t="str">
        <f aca="false">IF(D122="","",IF(LEN(IF(AND(V122&lt;&gt;"",IFERROR(VALUE(MID(V122,2,2)),0)&lt;SG_Criteria!$B$19),"FAIL: grade below C"&amp;SG_Criteria!$B$19&amp;". ","")&amp;IF(AND(W122&lt;&gt;"",W122&lt;SG_Criteria!$B$20),"FAIL: cover &lt; "&amp;SG_Criteria!$B$20&amp;" mm. ","")&amp;IF(AND(AD122&lt;&gt;"",AD122&lt;1),"FAIL: sliding. ","")&amp;IF(AND(D122="Reverse L-Wall (toe only, at boundary)",N(S122)&gt;0),"NOTE: reverse L-wall should have no heel. ","")&amp;IF(AND(D122="L-Wall (heel only)",N(R122)&gt;0),"NOTE: L-wall should have no toe. ","")&amp;IF(AND(F122&lt;&gt;"",F122&lt;SG_Criteria!$B$31),"NOTE: q below LTA min "&amp;SG_Criteria!$B$31&amp;" kPa (not for LTA works). ",""))=0,"OK",IF(AND(V122&lt;&gt;"",IFERROR(VALUE(MID(V122,2,2)),0)&lt;SG_Criteria!$B$19),"FAIL: grade below C"&amp;SG_Criteria!$B$19&amp;". ","")&amp;IF(AND(W122&lt;&gt;"",W122&lt;SG_Criteria!$B$20),"FAIL: cover &lt; "&amp;SG_Criteria!$B$20&amp;" mm. ","")&amp;IF(AND(AD122&lt;&gt;"",AD122&lt;1),"FAIL: sliding. ","")&amp;IF(AND(D122="Reverse L-Wall (toe only, at boundary)",N(S122)&gt;0),"NOTE: reverse L-wall should have no heel. ","")&amp;IF(AND(D122="L-Wall (heel only)",N(R122)&gt;0),"NOTE: L-wall should have no toe. ","")&amp;IF(AND(F122&lt;&gt;"",F122&lt;SG_Criteria!$B$31),"NOTE: q below LTA min "&amp;SG_Criteria!$B$31&amp;" kPa (not for LTA works). ","")))</f>
        <v/>
      </c>
      <c r="BK122" s="9"/>
      <c r="BL122" s="9"/>
      <c r="BM122" s="9"/>
      <c r="BN122" s="10" t="str">
        <f aca="false">IF(BM122="","",IFERROR(VLOOKUP(BM122,Projects!$A$5:$D$504,2,0),"Ref not in Projects"))</f>
        <v/>
      </c>
      <c r="BO122" s="10" t="str">
        <f aca="false">IF(BM122="","",IFERROR(VLOOKUP(BM122,Projects!$A$5:$D$504,4,0),"Ref not in Projects"))</f>
        <v/>
      </c>
      <c r="BP122" s="9"/>
      <c r="BQ122" s="9"/>
      <c r="BR122" s="9"/>
      <c r="BS122" s="40"/>
      <c r="BT122" s="9"/>
      <c r="BU122" s="40"/>
      <c r="BV122" s="9"/>
      <c r="BW122" s="40"/>
      <c r="BX122" s="9"/>
      <c r="BY122" s="9"/>
      <c r="BZ122" s="9"/>
      <c r="CA122" s="40"/>
      <c r="CB122" s="40"/>
      <c r="CC122" s="36" t="str">
        <f aca="false">IF(CB122="","",EDATE(CB122,SG_Criteria!$B$54*12))</f>
        <v/>
      </c>
      <c r="CD122" s="33" t="str">
        <f aca="true">IF(A122="","",IF(CB122="","NOTE: not reviewed yet",IF(TODAY()&gt;CC122,"NOTE: review overdue","OK")))</f>
        <v/>
      </c>
      <c r="CE122" s="37" t="str">
        <f aca="false">IF(A122="","",ROUND((IF(LEN(D122)&gt;0,1,0)+IF(LEN(E122)&gt;0,1,0)+IF(LEN(F122)&gt;0,1,0)+IF(LEN(G122)&gt;0,1,0)+IF(LEN(I122)&gt;0,1,0)+IF(LEN(K122)&gt;0,1,0)+IF(LEN(P122)&gt;0,1,0)+IF(LEN(Q122)&gt;0,1,0)+IF(LEN(T122)&gt;0,1,0)+IF(LEN(V122)&gt;0,1,0)+IF(LEN(W122)&gt;0,1,0)+IF(LEN(X122)&gt;0,1,0)+IF(LEN(Z122)&gt;0,1,0)+IF(LEN(AD122)&gt;0,1,0)+IF(LEN(AE122)&gt;0,1,0)+IF(LEN(AG122)&gt;0,1,0)+IF(LEN(AI122)&gt;0,1,0)+IF(LEN(BB122)&gt;0,1,0)+IF(LEN(BC122)&gt;0,1,0)+IF(LEN(AM122)&gt;0,1,0)+IF(LEN(AO122)&gt;0,1,0)+IF(LEN(AP122)&gt;0,1,0)+IF(LEN(AQ122)&gt;0,1,0)+IF(LEN(AR122)&gt;0,1,0)+IF(LEN(BA122)&gt;0,1,0)+IF(LEN(BM122)&gt;0,1,0)+IF(LEN(BZ122)&gt;0,1,0))/27,2))</f>
        <v/>
      </c>
      <c r="CF122" s="10" t="str">
        <f aca="false">IF(D122="","",IF(AND(AP122="Approved",ISERROR(SEARCH("FAIL",BJ122))),"Y","N"))</f>
        <v/>
      </c>
      <c r="CG122" s="10" t="str">
        <f aca="false">IF(D122="","",D122&amp;"|"&amp;E122&amp;"|"&amp;F122&amp;"|"&amp;G122&amp;"|"&amp;CF122)</f>
        <v/>
      </c>
    </row>
    <row r="123" customFormat="false" ht="15" hidden="false" customHeight="false" outlineLevel="0" collapsed="false">
      <c r="A123" s="10" t="str">
        <f aca="false">IF(D123="","","RW-"&amp;IFERROR(VLOOKUP(D123,Lists!$M$4:$N$22,2,0),"??")&amp;"-H"&amp;TEXT(E123*1000,"0000")&amp;"-S"&amp;F123&amp;IF(G123="Y","-GW","")&amp;"-"&amp;AO123)</f>
        <v/>
      </c>
      <c r="B123" s="10" t="str">
        <f aca="false">IF(D123="","",D123&amp;", H = "&amp;TEXT(E123,"0.0")&amp;" m, q = "&amp;F123&amp;" kPa"&amp;IF(G123="Y",", with GWT","")&amp;", "&amp;I123)</f>
        <v/>
      </c>
      <c r="C123" s="9"/>
      <c r="D123" s="9"/>
      <c r="E123" s="39"/>
      <c r="F123" s="38"/>
      <c r="G123" s="9"/>
      <c r="H123" s="38"/>
      <c r="I123" s="9"/>
      <c r="J123" s="38"/>
      <c r="K123" s="38"/>
      <c r="L123" s="38"/>
      <c r="M123" s="42"/>
      <c r="N123" s="9"/>
      <c r="O123" s="38"/>
      <c r="P123" s="38"/>
      <c r="Q123" s="38"/>
      <c r="R123" s="38"/>
      <c r="S123" s="38"/>
      <c r="T123" s="38"/>
      <c r="U123" s="9"/>
      <c r="V123" s="9"/>
      <c r="W123" s="38"/>
      <c r="X123" s="9"/>
      <c r="Y123" s="9"/>
      <c r="Z123" s="9"/>
      <c r="AA123" s="9"/>
      <c r="AB123" s="9"/>
      <c r="AC123" s="9"/>
      <c r="AD123" s="39"/>
      <c r="AE123" s="39"/>
      <c r="AF123" s="39"/>
      <c r="AG123" s="38"/>
      <c r="AH123" s="38"/>
      <c r="AI123" s="9"/>
      <c r="AJ123" s="38"/>
      <c r="AK123" s="9"/>
      <c r="AL123" s="39"/>
      <c r="AM123" s="9"/>
      <c r="AN123" s="9"/>
      <c r="AO123" s="9"/>
      <c r="AP123" s="9"/>
      <c r="AQ123" s="9"/>
      <c r="AR123" s="9"/>
      <c r="AS123" s="9"/>
      <c r="AT123" s="10" t="str">
        <f aca="false">IF(A123="","",SG_Criteria!$B$6&amp;SG_Criteria!$B$8&amp;"\"&amp;A123&amp;"\")</f>
        <v/>
      </c>
      <c r="AU123" s="10" t="str">
        <f aca="false">IF(A123="","",A123&amp;"_CAD.dwg")</f>
        <v/>
      </c>
      <c r="AV123" s="10" t="str">
        <f aca="false">IF(A123="","",A123&amp;"_DWG.pdf")</f>
        <v/>
      </c>
      <c r="AW123" s="10" t="str">
        <f aca="false">IF(A123="","",IF(AS123="Y",A123&amp;"_STAAD.std","n/a"))</f>
        <v/>
      </c>
      <c r="AX123" s="10" t="str">
        <f aca="false">IF(A123="","",A123&amp;"_CALC.xlsx")</f>
        <v/>
      </c>
      <c r="AY123" s="10" t="str">
        <f aca="false">IF(A123="","",A123&amp;"_CALC.pdf")</f>
        <v/>
      </c>
      <c r="AZ123" s="9"/>
      <c r="BA123" s="9"/>
      <c r="BB123" s="39"/>
      <c r="BC123" s="39"/>
      <c r="BD123" s="39"/>
      <c r="BE123" s="39"/>
      <c r="BF123" s="39"/>
      <c r="BG123" s="12" t="str">
        <f aca="false">IF(A123="","",IF(COUNTIF(Rebar_Schedule!$A$5:$A$2004,A123)=0,"",ROUND(SUMIF(Rebar_Schedule!$A$5:$A$2004,A123,Rebar_Schedule!$K$5:$K$2004),1)))</f>
        <v/>
      </c>
      <c r="BH123" s="33" t="str">
        <f aca="false">IF(A123="","",IF(BG123="","No rebar schedule yet",IF(ABS(BG123-N(BC123))/MAX(N(BC123),1)&gt;SG_Criteria!$B$55,"NOTE: register rebar differs from schedule by "&amp;TEXT(ABS(BG123-N(BC123))/MAX(N(BC123),1),"0%"),"OK")))</f>
        <v/>
      </c>
      <c r="BI123" s="33" t="str">
        <f aca="false">IF(OR(D123="",E123=""),"",IF(E123&lt;=IF(OR(D123="Block / Segmental",D123="Gabion",D123="Reinforced Earth (MSE)"),SG_Criteria!$B$34,SG_Criteria!$B$33),"No ERSS submission",IF(E123&lt;=SG_Criteria!$B$35,"QP(ST)",IF(E123&lt;=SG_Criteria!$B$36,"QP(ST) + AC","Geotechnical building works: QP(Geo) + AC"))))</f>
        <v/>
      </c>
      <c r="BJ123" s="33" t="str">
        <f aca="false">IF(D123="","",IF(LEN(IF(AND(V123&lt;&gt;"",IFERROR(VALUE(MID(V123,2,2)),0)&lt;SG_Criteria!$B$19),"FAIL: grade below C"&amp;SG_Criteria!$B$19&amp;". ","")&amp;IF(AND(W123&lt;&gt;"",W123&lt;SG_Criteria!$B$20),"FAIL: cover &lt; "&amp;SG_Criteria!$B$20&amp;" mm. ","")&amp;IF(AND(AD123&lt;&gt;"",AD123&lt;1),"FAIL: sliding. ","")&amp;IF(AND(D123="Reverse L-Wall (toe only, at boundary)",N(S123)&gt;0),"NOTE: reverse L-wall should have no heel. ","")&amp;IF(AND(D123="L-Wall (heel only)",N(R123)&gt;0),"NOTE: L-wall should have no toe. ","")&amp;IF(AND(F123&lt;&gt;"",F123&lt;SG_Criteria!$B$31),"NOTE: q below LTA min "&amp;SG_Criteria!$B$31&amp;" kPa (not for LTA works). ",""))=0,"OK",IF(AND(V123&lt;&gt;"",IFERROR(VALUE(MID(V123,2,2)),0)&lt;SG_Criteria!$B$19),"FAIL: grade below C"&amp;SG_Criteria!$B$19&amp;". ","")&amp;IF(AND(W123&lt;&gt;"",W123&lt;SG_Criteria!$B$20),"FAIL: cover &lt; "&amp;SG_Criteria!$B$20&amp;" mm. ","")&amp;IF(AND(AD123&lt;&gt;"",AD123&lt;1),"FAIL: sliding. ","")&amp;IF(AND(D123="Reverse L-Wall (toe only, at boundary)",N(S123)&gt;0),"NOTE: reverse L-wall should have no heel. ","")&amp;IF(AND(D123="L-Wall (heel only)",N(R123)&gt;0),"NOTE: L-wall should have no toe. ","")&amp;IF(AND(F123&lt;&gt;"",F123&lt;SG_Criteria!$B$31),"NOTE: q below LTA min "&amp;SG_Criteria!$B$31&amp;" kPa (not for LTA works). ","")))</f>
        <v/>
      </c>
      <c r="BK123" s="9"/>
      <c r="BL123" s="9"/>
      <c r="BM123" s="9"/>
      <c r="BN123" s="10" t="str">
        <f aca="false">IF(BM123="","",IFERROR(VLOOKUP(BM123,Projects!$A$5:$D$504,2,0),"Ref not in Projects"))</f>
        <v/>
      </c>
      <c r="BO123" s="10" t="str">
        <f aca="false">IF(BM123="","",IFERROR(VLOOKUP(BM123,Projects!$A$5:$D$504,4,0),"Ref not in Projects"))</f>
        <v/>
      </c>
      <c r="BP123" s="9"/>
      <c r="BQ123" s="9"/>
      <c r="BR123" s="9"/>
      <c r="BS123" s="40"/>
      <c r="BT123" s="9"/>
      <c r="BU123" s="40"/>
      <c r="BV123" s="9"/>
      <c r="BW123" s="40"/>
      <c r="BX123" s="9"/>
      <c r="BY123" s="9"/>
      <c r="BZ123" s="9"/>
      <c r="CA123" s="40"/>
      <c r="CB123" s="40"/>
      <c r="CC123" s="36" t="str">
        <f aca="false">IF(CB123="","",EDATE(CB123,SG_Criteria!$B$54*12))</f>
        <v/>
      </c>
      <c r="CD123" s="33" t="str">
        <f aca="true">IF(A123="","",IF(CB123="","NOTE: not reviewed yet",IF(TODAY()&gt;CC123,"NOTE: review overdue","OK")))</f>
        <v/>
      </c>
      <c r="CE123" s="37" t="str">
        <f aca="false">IF(A123="","",ROUND((IF(LEN(D123)&gt;0,1,0)+IF(LEN(E123)&gt;0,1,0)+IF(LEN(F123)&gt;0,1,0)+IF(LEN(G123)&gt;0,1,0)+IF(LEN(I123)&gt;0,1,0)+IF(LEN(K123)&gt;0,1,0)+IF(LEN(P123)&gt;0,1,0)+IF(LEN(Q123)&gt;0,1,0)+IF(LEN(T123)&gt;0,1,0)+IF(LEN(V123)&gt;0,1,0)+IF(LEN(W123)&gt;0,1,0)+IF(LEN(X123)&gt;0,1,0)+IF(LEN(Z123)&gt;0,1,0)+IF(LEN(AD123)&gt;0,1,0)+IF(LEN(AE123)&gt;0,1,0)+IF(LEN(AG123)&gt;0,1,0)+IF(LEN(AI123)&gt;0,1,0)+IF(LEN(BB123)&gt;0,1,0)+IF(LEN(BC123)&gt;0,1,0)+IF(LEN(AM123)&gt;0,1,0)+IF(LEN(AO123)&gt;0,1,0)+IF(LEN(AP123)&gt;0,1,0)+IF(LEN(AQ123)&gt;0,1,0)+IF(LEN(AR123)&gt;0,1,0)+IF(LEN(BA123)&gt;0,1,0)+IF(LEN(BM123)&gt;0,1,0)+IF(LEN(BZ123)&gt;0,1,0))/27,2))</f>
        <v/>
      </c>
      <c r="CF123" s="10" t="str">
        <f aca="false">IF(D123="","",IF(AND(AP123="Approved",ISERROR(SEARCH("FAIL",BJ123))),"Y","N"))</f>
        <v/>
      </c>
      <c r="CG123" s="10" t="str">
        <f aca="false">IF(D123="","",D123&amp;"|"&amp;E123&amp;"|"&amp;F123&amp;"|"&amp;G123&amp;"|"&amp;CF123)</f>
        <v/>
      </c>
    </row>
    <row r="124" customFormat="false" ht="15" hidden="false" customHeight="false" outlineLevel="0" collapsed="false">
      <c r="A124" s="10" t="str">
        <f aca="false">IF(D124="","","RW-"&amp;IFERROR(VLOOKUP(D124,Lists!$M$4:$N$22,2,0),"??")&amp;"-H"&amp;TEXT(E124*1000,"0000")&amp;"-S"&amp;F124&amp;IF(G124="Y","-GW","")&amp;"-"&amp;AO124)</f>
        <v/>
      </c>
      <c r="B124" s="10" t="str">
        <f aca="false">IF(D124="","",D124&amp;", H = "&amp;TEXT(E124,"0.0")&amp;" m, q = "&amp;F124&amp;" kPa"&amp;IF(G124="Y",", with GWT","")&amp;", "&amp;I124)</f>
        <v/>
      </c>
      <c r="C124" s="9"/>
      <c r="D124" s="9"/>
      <c r="E124" s="39"/>
      <c r="F124" s="38"/>
      <c r="G124" s="9"/>
      <c r="H124" s="38"/>
      <c r="I124" s="9"/>
      <c r="J124" s="38"/>
      <c r="K124" s="38"/>
      <c r="L124" s="38"/>
      <c r="M124" s="42"/>
      <c r="N124" s="9"/>
      <c r="O124" s="38"/>
      <c r="P124" s="38"/>
      <c r="Q124" s="38"/>
      <c r="R124" s="38"/>
      <c r="S124" s="38"/>
      <c r="T124" s="38"/>
      <c r="U124" s="9"/>
      <c r="V124" s="9"/>
      <c r="W124" s="38"/>
      <c r="X124" s="9"/>
      <c r="Y124" s="9"/>
      <c r="Z124" s="9"/>
      <c r="AA124" s="9"/>
      <c r="AB124" s="9"/>
      <c r="AC124" s="9"/>
      <c r="AD124" s="39"/>
      <c r="AE124" s="39"/>
      <c r="AF124" s="39"/>
      <c r="AG124" s="38"/>
      <c r="AH124" s="38"/>
      <c r="AI124" s="9"/>
      <c r="AJ124" s="38"/>
      <c r="AK124" s="9"/>
      <c r="AL124" s="39"/>
      <c r="AM124" s="9"/>
      <c r="AN124" s="9"/>
      <c r="AO124" s="9"/>
      <c r="AP124" s="9"/>
      <c r="AQ124" s="9"/>
      <c r="AR124" s="9"/>
      <c r="AS124" s="9"/>
      <c r="AT124" s="10" t="str">
        <f aca="false">IF(A124="","",SG_Criteria!$B$6&amp;SG_Criteria!$B$8&amp;"\"&amp;A124&amp;"\")</f>
        <v/>
      </c>
      <c r="AU124" s="10" t="str">
        <f aca="false">IF(A124="","",A124&amp;"_CAD.dwg")</f>
        <v/>
      </c>
      <c r="AV124" s="10" t="str">
        <f aca="false">IF(A124="","",A124&amp;"_DWG.pdf")</f>
        <v/>
      </c>
      <c r="AW124" s="10" t="str">
        <f aca="false">IF(A124="","",IF(AS124="Y",A124&amp;"_STAAD.std","n/a"))</f>
        <v/>
      </c>
      <c r="AX124" s="10" t="str">
        <f aca="false">IF(A124="","",A124&amp;"_CALC.xlsx")</f>
        <v/>
      </c>
      <c r="AY124" s="10" t="str">
        <f aca="false">IF(A124="","",A124&amp;"_CALC.pdf")</f>
        <v/>
      </c>
      <c r="AZ124" s="9"/>
      <c r="BA124" s="9"/>
      <c r="BB124" s="39"/>
      <c r="BC124" s="39"/>
      <c r="BD124" s="39"/>
      <c r="BE124" s="39"/>
      <c r="BF124" s="39"/>
      <c r="BG124" s="12" t="str">
        <f aca="false">IF(A124="","",IF(COUNTIF(Rebar_Schedule!$A$5:$A$2004,A124)=0,"",ROUND(SUMIF(Rebar_Schedule!$A$5:$A$2004,A124,Rebar_Schedule!$K$5:$K$2004),1)))</f>
        <v/>
      </c>
      <c r="BH124" s="33" t="str">
        <f aca="false">IF(A124="","",IF(BG124="","No rebar schedule yet",IF(ABS(BG124-N(BC124))/MAX(N(BC124),1)&gt;SG_Criteria!$B$55,"NOTE: register rebar differs from schedule by "&amp;TEXT(ABS(BG124-N(BC124))/MAX(N(BC124),1),"0%"),"OK")))</f>
        <v/>
      </c>
      <c r="BI124" s="33" t="str">
        <f aca="false">IF(OR(D124="",E124=""),"",IF(E124&lt;=IF(OR(D124="Block / Segmental",D124="Gabion",D124="Reinforced Earth (MSE)"),SG_Criteria!$B$34,SG_Criteria!$B$33),"No ERSS submission",IF(E124&lt;=SG_Criteria!$B$35,"QP(ST)",IF(E124&lt;=SG_Criteria!$B$36,"QP(ST) + AC","Geotechnical building works: QP(Geo) + AC"))))</f>
        <v/>
      </c>
      <c r="BJ124" s="33" t="str">
        <f aca="false">IF(D124="","",IF(LEN(IF(AND(V124&lt;&gt;"",IFERROR(VALUE(MID(V124,2,2)),0)&lt;SG_Criteria!$B$19),"FAIL: grade below C"&amp;SG_Criteria!$B$19&amp;". ","")&amp;IF(AND(W124&lt;&gt;"",W124&lt;SG_Criteria!$B$20),"FAIL: cover &lt; "&amp;SG_Criteria!$B$20&amp;" mm. ","")&amp;IF(AND(AD124&lt;&gt;"",AD124&lt;1),"FAIL: sliding. ","")&amp;IF(AND(D124="Reverse L-Wall (toe only, at boundary)",N(S124)&gt;0),"NOTE: reverse L-wall should have no heel. ","")&amp;IF(AND(D124="L-Wall (heel only)",N(R124)&gt;0),"NOTE: L-wall should have no toe. ","")&amp;IF(AND(F124&lt;&gt;"",F124&lt;SG_Criteria!$B$31),"NOTE: q below LTA min "&amp;SG_Criteria!$B$31&amp;" kPa (not for LTA works). ",""))=0,"OK",IF(AND(V124&lt;&gt;"",IFERROR(VALUE(MID(V124,2,2)),0)&lt;SG_Criteria!$B$19),"FAIL: grade below C"&amp;SG_Criteria!$B$19&amp;". ","")&amp;IF(AND(W124&lt;&gt;"",W124&lt;SG_Criteria!$B$20),"FAIL: cover &lt; "&amp;SG_Criteria!$B$20&amp;" mm. ","")&amp;IF(AND(AD124&lt;&gt;"",AD124&lt;1),"FAIL: sliding. ","")&amp;IF(AND(D124="Reverse L-Wall (toe only, at boundary)",N(S124)&gt;0),"NOTE: reverse L-wall should have no heel. ","")&amp;IF(AND(D124="L-Wall (heel only)",N(R124)&gt;0),"NOTE: L-wall should have no toe. ","")&amp;IF(AND(F124&lt;&gt;"",F124&lt;SG_Criteria!$B$31),"NOTE: q below LTA min "&amp;SG_Criteria!$B$31&amp;" kPa (not for LTA works). ","")))</f>
        <v/>
      </c>
      <c r="BK124" s="9"/>
      <c r="BL124" s="9"/>
      <c r="BM124" s="9"/>
      <c r="BN124" s="10" t="str">
        <f aca="false">IF(BM124="","",IFERROR(VLOOKUP(BM124,Projects!$A$5:$D$504,2,0),"Ref not in Projects"))</f>
        <v/>
      </c>
      <c r="BO124" s="10" t="str">
        <f aca="false">IF(BM124="","",IFERROR(VLOOKUP(BM124,Projects!$A$5:$D$504,4,0),"Ref not in Projects"))</f>
        <v/>
      </c>
      <c r="BP124" s="9"/>
      <c r="BQ124" s="9"/>
      <c r="BR124" s="9"/>
      <c r="BS124" s="40"/>
      <c r="BT124" s="9"/>
      <c r="BU124" s="40"/>
      <c r="BV124" s="9"/>
      <c r="BW124" s="40"/>
      <c r="BX124" s="9"/>
      <c r="BY124" s="9"/>
      <c r="BZ124" s="9"/>
      <c r="CA124" s="40"/>
      <c r="CB124" s="40"/>
      <c r="CC124" s="36" t="str">
        <f aca="false">IF(CB124="","",EDATE(CB124,SG_Criteria!$B$54*12))</f>
        <v/>
      </c>
      <c r="CD124" s="33" t="str">
        <f aca="true">IF(A124="","",IF(CB124="","NOTE: not reviewed yet",IF(TODAY()&gt;CC124,"NOTE: review overdue","OK")))</f>
        <v/>
      </c>
      <c r="CE124" s="37" t="str">
        <f aca="false">IF(A124="","",ROUND((IF(LEN(D124)&gt;0,1,0)+IF(LEN(E124)&gt;0,1,0)+IF(LEN(F124)&gt;0,1,0)+IF(LEN(G124)&gt;0,1,0)+IF(LEN(I124)&gt;0,1,0)+IF(LEN(K124)&gt;0,1,0)+IF(LEN(P124)&gt;0,1,0)+IF(LEN(Q124)&gt;0,1,0)+IF(LEN(T124)&gt;0,1,0)+IF(LEN(V124)&gt;0,1,0)+IF(LEN(W124)&gt;0,1,0)+IF(LEN(X124)&gt;0,1,0)+IF(LEN(Z124)&gt;0,1,0)+IF(LEN(AD124)&gt;0,1,0)+IF(LEN(AE124)&gt;0,1,0)+IF(LEN(AG124)&gt;0,1,0)+IF(LEN(AI124)&gt;0,1,0)+IF(LEN(BB124)&gt;0,1,0)+IF(LEN(BC124)&gt;0,1,0)+IF(LEN(AM124)&gt;0,1,0)+IF(LEN(AO124)&gt;0,1,0)+IF(LEN(AP124)&gt;0,1,0)+IF(LEN(AQ124)&gt;0,1,0)+IF(LEN(AR124)&gt;0,1,0)+IF(LEN(BA124)&gt;0,1,0)+IF(LEN(BM124)&gt;0,1,0)+IF(LEN(BZ124)&gt;0,1,0))/27,2))</f>
        <v/>
      </c>
      <c r="CF124" s="10" t="str">
        <f aca="false">IF(D124="","",IF(AND(AP124="Approved",ISERROR(SEARCH("FAIL",BJ124))),"Y","N"))</f>
        <v/>
      </c>
      <c r="CG124" s="10" t="str">
        <f aca="false">IF(D124="","",D124&amp;"|"&amp;E124&amp;"|"&amp;F124&amp;"|"&amp;G124&amp;"|"&amp;CF124)</f>
        <v/>
      </c>
    </row>
    <row r="125" customFormat="false" ht="15" hidden="false" customHeight="false" outlineLevel="0" collapsed="false">
      <c r="A125" s="10" t="str">
        <f aca="false">IF(D125="","","RW-"&amp;IFERROR(VLOOKUP(D125,Lists!$M$4:$N$22,2,0),"??")&amp;"-H"&amp;TEXT(E125*1000,"0000")&amp;"-S"&amp;F125&amp;IF(G125="Y","-GW","")&amp;"-"&amp;AO125)</f>
        <v/>
      </c>
      <c r="B125" s="10" t="str">
        <f aca="false">IF(D125="","",D125&amp;", H = "&amp;TEXT(E125,"0.0")&amp;" m, q = "&amp;F125&amp;" kPa"&amp;IF(G125="Y",", with GWT","")&amp;", "&amp;I125)</f>
        <v/>
      </c>
      <c r="C125" s="9"/>
      <c r="D125" s="9"/>
      <c r="E125" s="39"/>
      <c r="F125" s="38"/>
      <c r="G125" s="9"/>
      <c r="H125" s="38"/>
      <c r="I125" s="9"/>
      <c r="J125" s="38"/>
      <c r="K125" s="38"/>
      <c r="L125" s="38"/>
      <c r="M125" s="42"/>
      <c r="N125" s="9"/>
      <c r="O125" s="38"/>
      <c r="P125" s="38"/>
      <c r="Q125" s="38"/>
      <c r="R125" s="38"/>
      <c r="S125" s="38"/>
      <c r="T125" s="38"/>
      <c r="U125" s="9"/>
      <c r="V125" s="9"/>
      <c r="W125" s="38"/>
      <c r="X125" s="9"/>
      <c r="Y125" s="9"/>
      <c r="Z125" s="9"/>
      <c r="AA125" s="9"/>
      <c r="AB125" s="9"/>
      <c r="AC125" s="9"/>
      <c r="AD125" s="39"/>
      <c r="AE125" s="39"/>
      <c r="AF125" s="39"/>
      <c r="AG125" s="38"/>
      <c r="AH125" s="38"/>
      <c r="AI125" s="9"/>
      <c r="AJ125" s="38"/>
      <c r="AK125" s="9"/>
      <c r="AL125" s="39"/>
      <c r="AM125" s="9"/>
      <c r="AN125" s="9"/>
      <c r="AO125" s="9"/>
      <c r="AP125" s="9"/>
      <c r="AQ125" s="9"/>
      <c r="AR125" s="9"/>
      <c r="AS125" s="9"/>
      <c r="AT125" s="10" t="str">
        <f aca="false">IF(A125="","",SG_Criteria!$B$6&amp;SG_Criteria!$B$8&amp;"\"&amp;A125&amp;"\")</f>
        <v/>
      </c>
      <c r="AU125" s="10" t="str">
        <f aca="false">IF(A125="","",A125&amp;"_CAD.dwg")</f>
        <v/>
      </c>
      <c r="AV125" s="10" t="str">
        <f aca="false">IF(A125="","",A125&amp;"_DWG.pdf")</f>
        <v/>
      </c>
      <c r="AW125" s="10" t="str">
        <f aca="false">IF(A125="","",IF(AS125="Y",A125&amp;"_STAAD.std","n/a"))</f>
        <v/>
      </c>
      <c r="AX125" s="10" t="str">
        <f aca="false">IF(A125="","",A125&amp;"_CALC.xlsx")</f>
        <v/>
      </c>
      <c r="AY125" s="10" t="str">
        <f aca="false">IF(A125="","",A125&amp;"_CALC.pdf")</f>
        <v/>
      </c>
      <c r="AZ125" s="9"/>
      <c r="BA125" s="9"/>
      <c r="BB125" s="39"/>
      <c r="BC125" s="39"/>
      <c r="BD125" s="39"/>
      <c r="BE125" s="39"/>
      <c r="BF125" s="39"/>
      <c r="BG125" s="12" t="str">
        <f aca="false">IF(A125="","",IF(COUNTIF(Rebar_Schedule!$A$5:$A$2004,A125)=0,"",ROUND(SUMIF(Rebar_Schedule!$A$5:$A$2004,A125,Rebar_Schedule!$K$5:$K$2004),1)))</f>
        <v/>
      </c>
      <c r="BH125" s="33" t="str">
        <f aca="false">IF(A125="","",IF(BG125="","No rebar schedule yet",IF(ABS(BG125-N(BC125))/MAX(N(BC125),1)&gt;SG_Criteria!$B$55,"NOTE: register rebar differs from schedule by "&amp;TEXT(ABS(BG125-N(BC125))/MAX(N(BC125),1),"0%"),"OK")))</f>
        <v/>
      </c>
      <c r="BI125" s="33" t="str">
        <f aca="false">IF(OR(D125="",E125=""),"",IF(E125&lt;=IF(OR(D125="Block / Segmental",D125="Gabion",D125="Reinforced Earth (MSE)"),SG_Criteria!$B$34,SG_Criteria!$B$33),"No ERSS submission",IF(E125&lt;=SG_Criteria!$B$35,"QP(ST)",IF(E125&lt;=SG_Criteria!$B$36,"QP(ST) + AC","Geotechnical building works: QP(Geo) + AC"))))</f>
        <v/>
      </c>
      <c r="BJ125" s="33" t="str">
        <f aca="false">IF(D125="","",IF(LEN(IF(AND(V125&lt;&gt;"",IFERROR(VALUE(MID(V125,2,2)),0)&lt;SG_Criteria!$B$19),"FAIL: grade below C"&amp;SG_Criteria!$B$19&amp;". ","")&amp;IF(AND(W125&lt;&gt;"",W125&lt;SG_Criteria!$B$20),"FAIL: cover &lt; "&amp;SG_Criteria!$B$20&amp;" mm. ","")&amp;IF(AND(AD125&lt;&gt;"",AD125&lt;1),"FAIL: sliding. ","")&amp;IF(AND(D125="Reverse L-Wall (toe only, at boundary)",N(S125)&gt;0),"NOTE: reverse L-wall should have no heel. ","")&amp;IF(AND(D125="L-Wall (heel only)",N(R125)&gt;0),"NOTE: L-wall should have no toe. ","")&amp;IF(AND(F125&lt;&gt;"",F125&lt;SG_Criteria!$B$31),"NOTE: q below LTA min "&amp;SG_Criteria!$B$31&amp;" kPa (not for LTA works). ",""))=0,"OK",IF(AND(V125&lt;&gt;"",IFERROR(VALUE(MID(V125,2,2)),0)&lt;SG_Criteria!$B$19),"FAIL: grade below C"&amp;SG_Criteria!$B$19&amp;". ","")&amp;IF(AND(W125&lt;&gt;"",W125&lt;SG_Criteria!$B$20),"FAIL: cover &lt; "&amp;SG_Criteria!$B$20&amp;" mm. ","")&amp;IF(AND(AD125&lt;&gt;"",AD125&lt;1),"FAIL: sliding. ","")&amp;IF(AND(D125="Reverse L-Wall (toe only, at boundary)",N(S125)&gt;0),"NOTE: reverse L-wall should have no heel. ","")&amp;IF(AND(D125="L-Wall (heel only)",N(R125)&gt;0),"NOTE: L-wall should have no toe. ","")&amp;IF(AND(F125&lt;&gt;"",F125&lt;SG_Criteria!$B$31),"NOTE: q below LTA min "&amp;SG_Criteria!$B$31&amp;" kPa (not for LTA works). ","")))</f>
        <v/>
      </c>
      <c r="BK125" s="9"/>
      <c r="BL125" s="9"/>
      <c r="BM125" s="9"/>
      <c r="BN125" s="10" t="str">
        <f aca="false">IF(BM125="","",IFERROR(VLOOKUP(BM125,Projects!$A$5:$D$504,2,0),"Ref not in Projects"))</f>
        <v/>
      </c>
      <c r="BO125" s="10" t="str">
        <f aca="false">IF(BM125="","",IFERROR(VLOOKUP(BM125,Projects!$A$5:$D$504,4,0),"Ref not in Projects"))</f>
        <v/>
      </c>
      <c r="BP125" s="9"/>
      <c r="BQ125" s="9"/>
      <c r="BR125" s="9"/>
      <c r="BS125" s="40"/>
      <c r="BT125" s="9"/>
      <c r="BU125" s="40"/>
      <c r="BV125" s="9"/>
      <c r="BW125" s="40"/>
      <c r="BX125" s="9"/>
      <c r="BY125" s="9"/>
      <c r="BZ125" s="9"/>
      <c r="CA125" s="40"/>
      <c r="CB125" s="40"/>
      <c r="CC125" s="36" t="str">
        <f aca="false">IF(CB125="","",EDATE(CB125,SG_Criteria!$B$54*12))</f>
        <v/>
      </c>
      <c r="CD125" s="33" t="str">
        <f aca="true">IF(A125="","",IF(CB125="","NOTE: not reviewed yet",IF(TODAY()&gt;CC125,"NOTE: review overdue","OK")))</f>
        <v/>
      </c>
      <c r="CE125" s="37" t="str">
        <f aca="false">IF(A125="","",ROUND((IF(LEN(D125)&gt;0,1,0)+IF(LEN(E125)&gt;0,1,0)+IF(LEN(F125)&gt;0,1,0)+IF(LEN(G125)&gt;0,1,0)+IF(LEN(I125)&gt;0,1,0)+IF(LEN(K125)&gt;0,1,0)+IF(LEN(P125)&gt;0,1,0)+IF(LEN(Q125)&gt;0,1,0)+IF(LEN(T125)&gt;0,1,0)+IF(LEN(V125)&gt;0,1,0)+IF(LEN(W125)&gt;0,1,0)+IF(LEN(X125)&gt;0,1,0)+IF(LEN(Z125)&gt;0,1,0)+IF(LEN(AD125)&gt;0,1,0)+IF(LEN(AE125)&gt;0,1,0)+IF(LEN(AG125)&gt;0,1,0)+IF(LEN(AI125)&gt;0,1,0)+IF(LEN(BB125)&gt;0,1,0)+IF(LEN(BC125)&gt;0,1,0)+IF(LEN(AM125)&gt;0,1,0)+IF(LEN(AO125)&gt;0,1,0)+IF(LEN(AP125)&gt;0,1,0)+IF(LEN(AQ125)&gt;0,1,0)+IF(LEN(AR125)&gt;0,1,0)+IF(LEN(BA125)&gt;0,1,0)+IF(LEN(BM125)&gt;0,1,0)+IF(LEN(BZ125)&gt;0,1,0))/27,2))</f>
        <v/>
      </c>
      <c r="CF125" s="10" t="str">
        <f aca="false">IF(D125="","",IF(AND(AP125="Approved",ISERROR(SEARCH("FAIL",BJ125))),"Y","N"))</f>
        <v/>
      </c>
      <c r="CG125" s="10" t="str">
        <f aca="false">IF(D125="","",D125&amp;"|"&amp;E125&amp;"|"&amp;F125&amp;"|"&amp;G125&amp;"|"&amp;CF125)</f>
        <v/>
      </c>
    </row>
    <row r="126" customFormat="false" ht="15" hidden="false" customHeight="false" outlineLevel="0" collapsed="false">
      <c r="A126" s="10" t="str">
        <f aca="false">IF(D126="","","RW-"&amp;IFERROR(VLOOKUP(D126,Lists!$M$4:$N$22,2,0),"??")&amp;"-H"&amp;TEXT(E126*1000,"0000")&amp;"-S"&amp;F126&amp;IF(G126="Y","-GW","")&amp;"-"&amp;AO126)</f>
        <v/>
      </c>
      <c r="B126" s="10" t="str">
        <f aca="false">IF(D126="","",D126&amp;", H = "&amp;TEXT(E126,"0.0")&amp;" m, q = "&amp;F126&amp;" kPa"&amp;IF(G126="Y",", with GWT","")&amp;", "&amp;I126)</f>
        <v/>
      </c>
      <c r="C126" s="9"/>
      <c r="D126" s="9"/>
      <c r="E126" s="39"/>
      <c r="F126" s="38"/>
      <c r="G126" s="9"/>
      <c r="H126" s="38"/>
      <c r="I126" s="9"/>
      <c r="J126" s="38"/>
      <c r="K126" s="38"/>
      <c r="L126" s="38"/>
      <c r="M126" s="42"/>
      <c r="N126" s="9"/>
      <c r="O126" s="38"/>
      <c r="P126" s="38"/>
      <c r="Q126" s="38"/>
      <c r="R126" s="38"/>
      <c r="S126" s="38"/>
      <c r="T126" s="38"/>
      <c r="U126" s="9"/>
      <c r="V126" s="9"/>
      <c r="W126" s="38"/>
      <c r="X126" s="9"/>
      <c r="Y126" s="9"/>
      <c r="Z126" s="9"/>
      <c r="AA126" s="9"/>
      <c r="AB126" s="9"/>
      <c r="AC126" s="9"/>
      <c r="AD126" s="39"/>
      <c r="AE126" s="39"/>
      <c r="AF126" s="39"/>
      <c r="AG126" s="38"/>
      <c r="AH126" s="38"/>
      <c r="AI126" s="9"/>
      <c r="AJ126" s="38"/>
      <c r="AK126" s="9"/>
      <c r="AL126" s="39"/>
      <c r="AM126" s="9"/>
      <c r="AN126" s="9"/>
      <c r="AO126" s="9"/>
      <c r="AP126" s="9"/>
      <c r="AQ126" s="9"/>
      <c r="AR126" s="9"/>
      <c r="AS126" s="9"/>
      <c r="AT126" s="10" t="str">
        <f aca="false">IF(A126="","",SG_Criteria!$B$6&amp;SG_Criteria!$B$8&amp;"\"&amp;A126&amp;"\")</f>
        <v/>
      </c>
      <c r="AU126" s="10" t="str">
        <f aca="false">IF(A126="","",A126&amp;"_CAD.dwg")</f>
        <v/>
      </c>
      <c r="AV126" s="10" t="str">
        <f aca="false">IF(A126="","",A126&amp;"_DWG.pdf")</f>
        <v/>
      </c>
      <c r="AW126" s="10" t="str">
        <f aca="false">IF(A126="","",IF(AS126="Y",A126&amp;"_STAAD.std","n/a"))</f>
        <v/>
      </c>
      <c r="AX126" s="10" t="str">
        <f aca="false">IF(A126="","",A126&amp;"_CALC.xlsx")</f>
        <v/>
      </c>
      <c r="AY126" s="10" t="str">
        <f aca="false">IF(A126="","",A126&amp;"_CALC.pdf")</f>
        <v/>
      </c>
      <c r="AZ126" s="9"/>
      <c r="BA126" s="9"/>
      <c r="BB126" s="39"/>
      <c r="BC126" s="39"/>
      <c r="BD126" s="39"/>
      <c r="BE126" s="39"/>
      <c r="BF126" s="39"/>
      <c r="BG126" s="12" t="str">
        <f aca="false">IF(A126="","",IF(COUNTIF(Rebar_Schedule!$A$5:$A$2004,A126)=0,"",ROUND(SUMIF(Rebar_Schedule!$A$5:$A$2004,A126,Rebar_Schedule!$K$5:$K$2004),1)))</f>
        <v/>
      </c>
      <c r="BH126" s="33" t="str">
        <f aca="false">IF(A126="","",IF(BG126="","No rebar schedule yet",IF(ABS(BG126-N(BC126))/MAX(N(BC126),1)&gt;SG_Criteria!$B$55,"NOTE: register rebar differs from schedule by "&amp;TEXT(ABS(BG126-N(BC126))/MAX(N(BC126),1),"0%"),"OK")))</f>
        <v/>
      </c>
      <c r="BI126" s="33" t="str">
        <f aca="false">IF(OR(D126="",E126=""),"",IF(E126&lt;=IF(OR(D126="Block / Segmental",D126="Gabion",D126="Reinforced Earth (MSE)"),SG_Criteria!$B$34,SG_Criteria!$B$33),"No ERSS submission",IF(E126&lt;=SG_Criteria!$B$35,"QP(ST)",IF(E126&lt;=SG_Criteria!$B$36,"QP(ST) + AC","Geotechnical building works: QP(Geo) + AC"))))</f>
        <v/>
      </c>
      <c r="BJ126" s="33" t="str">
        <f aca="false">IF(D126="","",IF(LEN(IF(AND(V126&lt;&gt;"",IFERROR(VALUE(MID(V126,2,2)),0)&lt;SG_Criteria!$B$19),"FAIL: grade below C"&amp;SG_Criteria!$B$19&amp;". ","")&amp;IF(AND(W126&lt;&gt;"",W126&lt;SG_Criteria!$B$20),"FAIL: cover &lt; "&amp;SG_Criteria!$B$20&amp;" mm. ","")&amp;IF(AND(AD126&lt;&gt;"",AD126&lt;1),"FAIL: sliding. ","")&amp;IF(AND(D126="Reverse L-Wall (toe only, at boundary)",N(S126)&gt;0),"NOTE: reverse L-wall should have no heel. ","")&amp;IF(AND(D126="L-Wall (heel only)",N(R126)&gt;0),"NOTE: L-wall should have no toe. ","")&amp;IF(AND(F126&lt;&gt;"",F126&lt;SG_Criteria!$B$31),"NOTE: q below LTA min "&amp;SG_Criteria!$B$31&amp;" kPa (not for LTA works). ",""))=0,"OK",IF(AND(V126&lt;&gt;"",IFERROR(VALUE(MID(V126,2,2)),0)&lt;SG_Criteria!$B$19),"FAIL: grade below C"&amp;SG_Criteria!$B$19&amp;". ","")&amp;IF(AND(W126&lt;&gt;"",W126&lt;SG_Criteria!$B$20),"FAIL: cover &lt; "&amp;SG_Criteria!$B$20&amp;" mm. ","")&amp;IF(AND(AD126&lt;&gt;"",AD126&lt;1),"FAIL: sliding. ","")&amp;IF(AND(D126="Reverse L-Wall (toe only, at boundary)",N(S126)&gt;0),"NOTE: reverse L-wall should have no heel. ","")&amp;IF(AND(D126="L-Wall (heel only)",N(R126)&gt;0),"NOTE: L-wall should have no toe. ","")&amp;IF(AND(F126&lt;&gt;"",F126&lt;SG_Criteria!$B$31),"NOTE: q below LTA min "&amp;SG_Criteria!$B$31&amp;" kPa (not for LTA works). ","")))</f>
        <v/>
      </c>
      <c r="BK126" s="9"/>
      <c r="BL126" s="9"/>
      <c r="BM126" s="9"/>
      <c r="BN126" s="10" t="str">
        <f aca="false">IF(BM126="","",IFERROR(VLOOKUP(BM126,Projects!$A$5:$D$504,2,0),"Ref not in Projects"))</f>
        <v/>
      </c>
      <c r="BO126" s="10" t="str">
        <f aca="false">IF(BM126="","",IFERROR(VLOOKUP(BM126,Projects!$A$5:$D$504,4,0),"Ref not in Projects"))</f>
        <v/>
      </c>
      <c r="BP126" s="9"/>
      <c r="BQ126" s="9"/>
      <c r="BR126" s="9"/>
      <c r="BS126" s="40"/>
      <c r="BT126" s="9"/>
      <c r="BU126" s="40"/>
      <c r="BV126" s="9"/>
      <c r="BW126" s="40"/>
      <c r="BX126" s="9"/>
      <c r="BY126" s="9"/>
      <c r="BZ126" s="9"/>
      <c r="CA126" s="40"/>
      <c r="CB126" s="40"/>
      <c r="CC126" s="36" t="str">
        <f aca="false">IF(CB126="","",EDATE(CB126,SG_Criteria!$B$54*12))</f>
        <v/>
      </c>
      <c r="CD126" s="33" t="str">
        <f aca="true">IF(A126="","",IF(CB126="","NOTE: not reviewed yet",IF(TODAY()&gt;CC126,"NOTE: review overdue","OK")))</f>
        <v/>
      </c>
      <c r="CE126" s="37" t="str">
        <f aca="false">IF(A126="","",ROUND((IF(LEN(D126)&gt;0,1,0)+IF(LEN(E126)&gt;0,1,0)+IF(LEN(F126)&gt;0,1,0)+IF(LEN(G126)&gt;0,1,0)+IF(LEN(I126)&gt;0,1,0)+IF(LEN(K126)&gt;0,1,0)+IF(LEN(P126)&gt;0,1,0)+IF(LEN(Q126)&gt;0,1,0)+IF(LEN(T126)&gt;0,1,0)+IF(LEN(V126)&gt;0,1,0)+IF(LEN(W126)&gt;0,1,0)+IF(LEN(X126)&gt;0,1,0)+IF(LEN(Z126)&gt;0,1,0)+IF(LEN(AD126)&gt;0,1,0)+IF(LEN(AE126)&gt;0,1,0)+IF(LEN(AG126)&gt;0,1,0)+IF(LEN(AI126)&gt;0,1,0)+IF(LEN(BB126)&gt;0,1,0)+IF(LEN(BC126)&gt;0,1,0)+IF(LEN(AM126)&gt;0,1,0)+IF(LEN(AO126)&gt;0,1,0)+IF(LEN(AP126)&gt;0,1,0)+IF(LEN(AQ126)&gt;0,1,0)+IF(LEN(AR126)&gt;0,1,0)+IF(LEN(BA126)&gt;0,1,0)+IF(LEN(BM126)&gt;0,1,0)+IF(LEN(BZ126)&gt;0,1,0))/27,2))</f>
        <v/>
      </c>
      <c r="CF126" s="10" t="str">
        <f aca="false">IF(D126="","",IF(AND(AP126="Approved",ISERROR(SEARCH("FAIL",BJ126))),"Y","N"))</f>
        <v/>
      </c>
      <c r="CG126" s="10" t="str">
        <f aca="false">IF(D126="","",D126&amp;"|"&amp;E126&amp;"|"&amp;F126&amp;"|"&amp;G126&amp;"|"&amp;CF126)</f>
        <v/>
      </c>
    </row>
    <row r="127" customFormat="false" ht="15" hidden="false" customHeight="false" outlineLevel="0" collapsed="false">
      <c r="A127" s="10" t="str">
        <f aca="false">IF(D127="","","RW-"&amp;IFERROR(VLOOKUP(D127,Lists!$M$4:$N$22,2,0),"??")&amp;"-H"&amp;TEXT(E127*1000,"0000")&amp;"-S"&amp;F127&amp;IF(G127="Y","-GW","")&amp;"-"&amp;AO127)</f>
        <v/>
      </c>
      <c r="B127" s="10" t="str">
        <f aca="false">IF(D127="","",D127&amp;", H = "&amp;TEXT(E127,"0.0")&amp;" m, q = "&amp;F127&amp;" kPa"&amp;IF(G127="Y",", with GWT","")&amp;", "&amp;I127)</f>
        <v/>
      </c>
      <c r="C127" s="9"/>
      <c r="D127" s="9"/>
      <c r="E127" s="39"/>
      <c r="F127" s="38"/>
      <c r="G127" s="9"/>
      <c r="H127" s="38"/>
      <c r="I127" s="9"/>
      <c r="J127" s="38"/>
      <c r="K127" s="38"/>
      <c r="L127" s="38"/>
      <c r="M127" s="42"/>
      <c r="N127" s="9"/>
      <c r="O127" s="38"/>
      <c r="P127" s="38"/>
      <c r="Q127" s="38"/>
      <c r="R127" s="38"/>
      <c r="S127" s="38"/>
      <c r="T127" s="38"/>
      <c r="U127" s="9"/>
      <c r="V127" s="9"/>
      <c r="W127" s="38"/>
      <c r="X127" s="9"/>
      <c r="Y127" s="9"/>
      <c r="Z127" s="9"/>
      <c r="AA127" s="9"/>
      <c r="AB127" s="9"/>
      <c r="AC127" s="9"/>
      <c r="AD127" s="39"/>
      <c r="AE127" s="39"/>
      <c r="AF127" s="39"/>
      <c r="AG127" s="38"/>
      <c r="AH127" s="38"/>
      <c r="AI127" s="9"/>
      <c r="AJ127" s="38"/>
      <c r="AK127" s="9"/>
      <c r="AL127" s="39"/>
      <c r="AM127" s="9"/>
      <c r="AN127" s="9"/>
      <c r="AO127" s="9"/>
      <c r="AP127" s="9"/>
      <c r="AQ127" s="9"/>
      <c r="AR127" s="9"/>
      <c r="AS127" s="9"/>
      <c r="AT127" s="10" t="str">
        <f aca="false">IF(A127="","",SG_Criteria!$B$6&amp;SG_Criteria!$B$8&amp;"\"&amp;A127&amp;"\")</f>
        <v/>
      </c>
      <c r="AU127" s="10" t="str">
        <f aca="false">IF(A127="","",A127&amp;"_CAD.dwg")</f>
        <v/>
      </c>
      <c r="AV127" s="10" t="str">
        <f aca="false">IF(A127="","",A127&amp;"_DWG.pdf")</f>
        <v/>
      </c>
      <c r="AW127" s="10" t="str">
        <f aca="false">IF(A127="","",IF(AS127="Y",A127&amp;"_STAAD.std","n/a"))</f>
        <v/>
      </c>
      <c r="AX127" s="10" t="str">
        <f aca="false">IF(A127="","",A127&amp;"_CALC.xlsx")</f>
        <v/>
      </c>
      <c r="AY127" s="10" t="str">
        <f aca="false">IF(A127="","",A127&amp;"_CALC.pdf")</f>
        <v/>
      </c>
      <c r="AZ127" s="9"/>
      <c r="BA127" s="9"/>
      <c r="BB127" s="39"/>
      <c r="BC127" s="39"/>
      <c r="BD127" s="39"/>
      <c r="BE127" s="39"/>
      <c r="BF127" s="39"/>
      <c r="BG127" s="12" t="str">
        <f aca="false">IF(A127="","",IF(COUNTIF(Rebar_Schedule!$A$5:$A$2004,A127)=0,"",ROUND(SUMIF(Rebar_Schedule!$A$5:$A$2004,A127,Rebar_Schedule!$K$5:$K$2004),1)))</f>
        <v/>
      </c>
      <c r="BH127" s="33" t="str">
        <f aca="false">IF(A127="","",IF(BG127="","No rebar schedule yet",IF(ABS(BG127-N(BC127))/MAX(N(BC127),1)&gt;SG_Criteria!$B$55,"NOTE: register rebar differs from schedule by "&amp;TEXT(ABS(BG127-N(BC127))/MAX(N(BC127),1),"0%"),"OK")))</f>
        <v/>
      </c>
      <c r="BI127" s="33" t="str">
        <f aca="false">IF(OR(D127="",E127=""),"",IF(E127&lt;=IF(OR(D127="Block / Segmental",D127="Gabion",D127="Reinforced Earth (MSE)"),SG_Criteria!$B$34,SG_Criteria!$B$33),"No ERSS submission",IF(E127&lt;=SG_Criteria!$B$35,"QP(ST)",IF(E127&lt;=SG_Criteria!$B$36,"QP(ST) + AC","Geotechnical building works: QP(Geo) + AC"))))</f>
        <v/>
      </c>
      <c r="BJ127" s="33" t="str">
        <f aca="false">IF(D127="","",IF(LEN(IF(AND(V127&lt;&gt;"",IFERROR(VALUE(MID(V127,2,2)),0)&lt;SG_Criteria!$B$19),"FAIL: grade below C"&amp;SG_Criteria!$B$19&amp;". ","")&amp;IF(AND(W127&lt;&gt;"",W127&lt;SG_Criteria!$B$20),"FAIL: cover &lt; "&amp;SG_Criteria!$B$20&amp;" mm. ","")&amp;IF(AND(AD127&lt;&gt;"",AD127&lt;1),"FAIL: sliding. ","")&amp;IF(AND(D127="Reverse L-Wall (toe only, at boundary)",N(S127)&gt;0),"NOTE: reverse L-wall should have no heel. ","")&amp;IF(AND(D127="L-Wall (heel only)",N(R127)&gt;0),"NOTE: L-wall should have no toe. ","")&amp;IF(AND(F127&lt;&gt;"",F127&lt;SG_Criteria!$B$31),"NOTE: q below LTA min "&amp;SG_Criteria!$B$31&amp;" kPa (not for LTA works). ",""))=0,"OK",IF(AND(V127&lt;&gt;"",IFERROR(VALUE(MID(V127,2,2)),0)&lt;SG_Criteria!$B$19),"FAIL: grade below C"&amp;SG_Criteria!$B$19&amp;". ","")&amp;IF(AND(W127&lt;&gt;"",W127&lt;SG_Criteria!$B$20),"FAIL: cover &lt; "&amp;SG_Criteria!$B$20&amp;" mm. ","")&amp;IF(AND(AD127&lt;&gt;"",AD127&lt;1),"FAIL: sliding. ","")&amp;IF(AND(D127="Reverse L-Wall (toe only, at boundary)",N(S127)&gt;0),"NOTE: reverse L-wall should have no heel. ","")&amp;IF(AND(D127="L-Wall (heel only)",N(R127)&gt;0),"NOTE: L-wall should have no toe. ","")&amp;IF(AND(F127&lt;&gt;"",F127&lt;SG_Criteria!$B$31),"NOTE: q below LTA min "&amp;SG_Criteria!$B$31&amp;" kPa (not for LTA works). ","")))</f>
        <v/>
      </c>
      <c r="BK127" s="9"/>
      <c r="BL127" s="9"/>
      <c r="BM127" s="9"/>
      <c r="BN127" s="10" t="str">
        <f aca="false">IF(BM127="","",IFERROR(VLOOKUP(BM127,Projects!$A$5:$D$504,2,0),"Ref not in Projects"))</f>
        <v/>
      </c>
      <c r="BO127" s="10" t="str">
        <f aca="false">IF(BM127="","",IFERROR(VLOOKUP(BM127,Projects!$A$5:$D$504,4,0),"Ref not in Projects"))</f>
        <v/>
      </c>
      <c r="BP127" s="9"/>
      <c r="BQ127" s="9"/>
      <c r="BR127" s="9"/>
      <c r="BS127" s="40"/>
      <c r="BT127" s="9"/>
      <c r="BU127" s="40"/>
      <c r="BV127" s="9"/>
      <c r="BW127" s="40"/>
      <c r="BX127" s="9"/>
      <c r="BY127" s="9"/>
      <c r="BZ127" s="9"/>
      <c r="CA127" s="40"/>
      <c r="CB127" s="40"/>
      <c r="CC127" s="36" t="str">
        <f aca="false">IF(CB127="","",EDATE(CB127,SG_Criteria!$B$54*12))</f>
        <v/>
      </c>
      <c r="CD127" s="33" t="str">
        <f aca="true">IF(A127="","",IF(CB127="","NOTE: not reviewed yet",IF(TODAY()&gt;CC127,"NOTE: review overdue","OK")))</f>
        <v/>
      </c>
      <c r="CE127" s="37" t="str">
        <f aca="false">IF(A127="","",ROUND((IF(LEN(D127)&gt;0,1,0)+IF(LEN(E127)&gt;0,1,0)+IF(LEN(F127)&gt;0,1,0)+IF(LEN(G127)&gt;0,1,0)+IF(LEN(I127)&gt;0,1,0)+IF(LEN(K127)&gt;0,1,0)+IF(LEN(P127)&gt;0,1,0)+IF(LEN(Q127)&gt;0,1,0)+IF(LEN(T127)&gt;0,1,0)+IF(LEN(V127)&gt;0,1,0)+IF(LEN(W127)&gt;0,1,0)+IF(LEN(X127)&gt;0,1,0)+IF(LEN(Z127)&gt;0,1,0)+IF(LEN(AD127)&gt;0,1,0)+IF(LEN(AE127)&gt;0,1,0)+IF(LEN(AG127)&gt;0,1,0)+IF(LEN(AI127)&gt;0,1,0)+IF(LEN(BB127)&gt;0,1,0)+IF(LEN(BC127)&gt;0,1,0)+IF(LEN(AM127)&gt;0,1,0)+IF(LEN(AO127)&gt;0,1,0)+IF(LEN(AP127)&gt;0,1,0)+IF(LEN(AQ127)&gt;0,1,0)+IF(LEN(AR127)&gt;0,1,0)+IF(LEN(BA127)&gt;0,1,0)+IF(LEN(BM127)&gt;0,1,0)+IF(LEN(BZ127)&gt;0,1,0))/27,2))</f>
        <v/>
      </c>
      <c r="CF127" s="10" t="str">
        <f aca="false">IF(D127="","",IF(AND(AP127="Approved",ISERROR(SEARCH("FAIL",BJ127))),"Y","N"))</f>
        <v/>
      </c>
      <c r="CG127" s="10" t="str">
        <f aca="false">IF(D127="","",D127&amp;"|"&amp;E127&amp;"|"&amp;F127&amp;"|"&amp;G127&amp;"|"&amp;CF127)</f>
        <v/>
      </c>
    </row>
    <row r="128" customFormat="false" ht="15" hidden="false" customHeight="false" outlineLevel="0" collapsed="false">
      <c r="A128" s="10" t="str">
        <f aca="false">IF(D128="","","RW-"&amp;IFERROR(VLOOKUP(D128,Lists!$M$4:$N$22,2,0),"??")&amp;"-H"&amp;TEXT(E128*1000,"0000")&amp;"-S"&amp;F128&amp;IF(G128="Y","-GW","")&amp;"-"&amp;AO128)</f>
        <v/>
      </c>
      <c r="B128" s="10" t="str">
        <f aca="false">IF(D128="","",D128&amp;", H = "&amp;TEXT(E128,"0.0")&amp;" m, q = "&amp;F128&amp;" kPa"&amp;IF(G128="Y",", with GWT","")&amp;", "&amp;I128)</f>
        <v/>
      </c>
      <c r="C128" s="9"/>
      <c r="D128" s="9"/>
      <c r="E128" s="39"/>
      <c r="F128" s="38"/>
      <c r="G128" s="9"/>
      <c r="H128" s="38"/>
      <c r="I128" s="9"/>
      <c r="J128" s="38"/>
      <c r="K128" s="38"/>
      <c r="L128" s="38"/>
      <c r="M128" s="42"/>
      <c r="N128" s="9"/>
      <c r="O128" s="38"/>
      <c r="P128" s="38"/>
      <c r="Q128" s="38"/>
      <c r="R128" s="38"/>
      <c r="S128" s="38"/>
      <c r="T128" s="38"/>
      <c r="U128" s="9"/>
      <c r="V128" s="9"/>
      <c r="W128" s="38"/>
      <c r="X128" s="9"/>
      <c r="Y128" s="9"/>
      <c r="Z128" s="9"/>
      <c r="AA128" s="9"/>
      <c r="AB128" s="9"/>
      <c r="AC128" s="9"/>
      <c r="AD128" s="39"/>
      <c r="AE128" s="39"/>
      <c r="AF128" s="39"/>
      <c r="AG128" s="38"/>
      <c r="AH128" s="38"/>
      <c r="AI128" s="9"/>
      <c r="AJ128" s="38"/>
      <c r="AK128" s="9"/>
      <c r="AL128" s="39"/>
      <c r="AM128" s="9"/>
      <c r="AN128" s="9"/>
      <c r="AO128" s="9"/>
      <c r="AP128" s="9"/>
      <c r="AQ128" s="9"/>
      <c r="AR128" s="9"/>
      <c r="AS128" s="9"/>
      <c r="AT128" s="10" t="str">
        <f aca="false">IF(A128="","",SG_Criteria!$B$6&amp;SG_Criteria!$B$8&amp;"\"&amp;A128&amp;"\")</f>
        <v/>
      </c>
      <c r="AU128" s="10" t="str">
        <f aca="false">IF(A128="","",A128&amp;"_CAD.dwg")</f>
        <v/>
      </c>
      <c r="AV128" s="10" t="str">
        <f aca="false">IF(A128="","",A128&amp;"_DWG.pdf")</f>
        <v/>
      </c>
      <c r="AW128" s="10" t="str">
        <f aca="false">IF(A128="","",IF(AS128="Y",A128&amp;"_STAAD.std","n/a"))</f>
        <v/>
      </c>
      <c r="AX128" s="10" t="str">
        <f aca="false">IF(A128="","",A128&amp;"_CALC.xlsx")</f>
        <v/>
      </c>
      <c r="AY128" s="10" t="str">
        <f aca="false">IF(A128="","",A128&amp;"_CALC.pdf")</f>
        <v/>
      </c>
      <c r="AZ128" s="9"/>
      <c r="BA128" s="9"/>
      <c r="BB128" s="39"/>
      <c r="BC128" s="39"/>
      <c r="BD128" s="39"/>
      <c r="BE128" s="39"/>
      <c r="BF128" s="39"/>
      <c r="BG128" s="12" t="str">
        <f aca="false">IF(A128="","",IF(COUNTIF(Rebar_Schedule!$A$5:$A$2004,A128)=0,"",ROUND(SUMIF(Rebar_Schedule!$A$5:$A$2004,A128,Rebar_Schedule!$K$5:$K$2004),1)))</f>
        <v/>
      </c>
      <c r="BH128" s="33" t="str">
        <f aca="false">IF(A128="","",IF(BG128="","No rebar schedule yet",IF(ABS(BG128-N(BC128))/MAX(N(BC128),1)&gt;SG_Criteria!$B$55,"NOTE: register rebar differs from schedule by "&amp;TEXT(ABS(BG128-N(BC128))/MAX(N(BC128),1),"0%"),"OK")))</f>
        <v/>
      </c>
      <c r="BI128" s="33" t="str">
        <f aca="false">IF(OR(D128="",E128=""),"",IF(E128&lt;=IF(OR(D128="Block / Segmental",D128="Gabion",D128="Reinforced Earth (MSE)"),SG_Criteria!$B$34,SG_Criteria!$B$33),"No ERSS submission",IF(E128&lt;=SG_Criteria!$B$35,"QP(ST)",IF(E128&lt;=SG_Criteria!$B$36,"QP(ST) + AC","Geotechnical building works: QP(Geo) + AC"))))</f>
        <v/>
      </c>
      <c r="BJ128" s="33" t="str">
        <f aca="false">IF(D128="","",IF(LEN(IF(AND(V128&lt;&gt;"",IFERROR(VALUE(MID(V128,2,2)),0)&lt;SG_Criteria!$B$19),"FAIL: grade below C"&amp;SG_Criteria!$B$19&amp;". ","")&amp;IF(AND(W128&lt;&gt;"",W128&lt;SG_Criteria!$B$20),"FAIL: cover &lt; "&amp;SG_Criteria!$B$20&amp;" mm. ","")&amp;IF(AND(AD128&lt;&gt;"",AD128&lt;1),"FAIL: sliding. ","")&amp;IF(AND(D128="Reverse L-Wall (toe only, at boundary)",N(S128)&gt;0),"NOTE: reverse L-wall should have no heel. ","")&amp;IF(AND(D128="L-Wall (heel only)",N(R128)&gt;0),"NOTE: L-wall should have no toe. ","")&amp;IF(AND(F128&lt;&gt;"",F128&lt;SG_Criteria!$B$31),"NOTE: q below LTA min "&amp;SG_Criteria!$B$31&amp;" kPa (not for LTA works). ",""))=0,"OK",IF(AND(V128&lt;&gt;"",IFERROR(VALUE(MID(V128,2,2)),0)&lt;SG_Criteria!$B$19),"FAIL: grade below C"&amp;SG_Criteria!$B$19&amp;". ","")&amp;IF(AND(W128&lt;&gt;"",W128&lt;SG_Criteria!$B$20),"FAIL: cover &lt; "&amp;SG_Criteria!$B$20&amp;" mm. ","")&amp;IF(AND(AD128&lt;&gt;"",AD128&lt;1),"FAIL: sliding. ","")&amp;IF(AND(D128="Reverse L-Wall (toe only, at boundary)",N(S128)&gt;0),"NOTE: reverse L-wall should have no heel. ","")&amp;IF(AND(D128="L-Wall (heel only)",N(R128)&gt;0),"NOTE: L-wall should have no toe. ","")&amp;IF(AND(F128&lt;&gt;"",F128&lt;SG_Criteria!$B$31),"NOTE: q below LTA min "&amp;SG_Criteria!$B$31&amp;" kPa (not for LTA works). ","")))</f>
        <v/>
      </c>
      <c r="BK128" s="9"/>
      <c r="BL128" s="9"/>
      <c r="BM128" s="9"/>
      <c r="BN128" s="10" t="str">
        <f aca="false">IF(BM128="","",IFERROR(VLOOKUP(BM128,Projects!$A$5:$D$504,2,0),"Ref not in Projects"))</f>
        <v/>
      </c>
      <c r="BO128" s="10" t="str">
        <f aca="false">IF(BM128="","",IFERROR(VLOOKUP(BM128,Projects!$A$5:$D$504,4,0),"Ref not in Projects"))</f>
        <v/>
      </c>
      <c r="BP128" s="9"/>
      <c r="BQ128" s="9"/>
      <c r="BR128" s="9"/>
      <c r="BS128" s="40"/>
      <c r="BT128" s="9"/>
      <c r="BU128" s="40"/>
      <c r="BV128" s="9"/>
      <c r="BW128" s="40"/>
      <c r="BX128" s="9"/>
      <c r="BY128" s="9"/>
      <c r="BZ128" s="9"/>
      <c r="CA128" s="40"/>
      <c r="CB128" s="40"/>
      <c r="CC128" s="36" t="str">
        <f aca="false">IF(CB128="","",EDATE(CB128,SG_Criteria!$B$54*12))</f>
        <v/>
      </c>
      <c r="CD128" s="33" t="str">
        <f aca="true">IF(A128="","",IF(CB128="","NOTE: not reviewed yet",IF(TODAY()&gt;CC128,"NOTE: review overdue","OK")))</f>
        <v/>
      </c>
      <c r="CE128" s="37" t="str">
        <f aca="false">IF(A128="","",ROUND((IF(LEN(D128)&gt;0,1,0)+IF(LEN(E128)&gt;0,1,0)+IF(LEN(F128)&gt;0,1,0)+IF(LEN(G128)&gt;0,1,0)+IF(LEN(I128)&gt;0,1,0)+IF(LEN(K128)&gt;0,1,0)+IF(LEN(P128)&gt;0,1,0)+IF(LEN(Q128)&gt;0,1,0)+IF(LEN(T128)&gt;0,1,0)+IF(LEN(V128)&gt;0,1,0)+IF(LEN(W128)&gt;0,1,0)+IF(LEN(X128)&gt;0,1,0)+IF(LEN(Z128)&gt;0,1,0)+IF(LEN(AD128)&gt;0,1,0)+IF(LEN(AE128)&gt;0,1,0)+IF(LEN(AG128)&gt;0,1,0)+IF(LEN(AI128)&gt;0,1,0)+IF(LEN(BB128)&gt;0,1,0)+IF(LEN(BC128)&gt;0,1,0)+IF(LEN(AM128)&gt;0,1,0)+IF(LEN(AO128)&gt;0,1,0)+IF(LEN(AP128)&gt;0,1,0)+IF(LEN(AQ128)&gt;0,1,0)+IF(LEN(AR128)&gt;0,1,0)+IF(LEN(BA128)&gt;0,1,0)+IF(LEN(BM128)&gt;0,1,0)+IF(LEN(BZ128)&gt;0,1,0))/27,2))</f>
        <v/>
      </c>
      <c r="CF128" s="10" t="str">
        <f aca="false">IF(D128="","",IF(AND(AP128="Approved",ISERROR(SEARCH("FAIL",BJ128))),"Y","N"))</f>
        <v/>
      </c>
      <c r="CG128" s="10" t="str">
        <f aca="false">IF(D128="","",D128&amp;"|"&amp;E128&amp;"|"&amp;F128&amp;"|"&amp;G128&amp;"|"&amp;CF128)</f>
        <v/>
      </c>
    </row>
    <row r="129" customFormat="false" ht="15" hidden="false" customHeight="false" outlineLevel="0" collapsed="false">
      <c r="A129" s="10" t="str">
        <f aca="false">IF(D129="","","RW-"&amp;IFERROR(VLOOKUP(D129,Lists!$M$4:$N$22,2,0),"??")&amp;"-H"&amp;TEXT(E129*1000,"0000")&amp;"-S"&amp;F129&amp;IF(G129="Y","-GW","")&amp;"-"&amp;AO129)</f>
        <v/>
      </c>
      <c r="B129" s="10" t="str">
        <f aca="false">IF(D129="","",D129&amp;", H = "&amp;TEXT(E129,"0.0")&amp;" m, q = "&amp;F129&amp;" kPa"&amp;IF(G129="Y",", with GWT","")&amp;", "&amp;I129)</f>
        <v/>
      </c>
      <c r="C129" s="9"/>
      <c r="D129" s="9"/>
      <c r="E129" s="39"/>
      <c r="F129" s="38"/>
      <c r="G129" s="9"/>
      <c r="H129" s="38"/>
      <c r="I129" s="9"/>
      <c r="J129" s="38"/>
      <c r="K129" s="38"/>
      <c r="L129" s="38"/>
      <c r="M129" s="42"/>
      <c r="N129" s="9"/>
      <c r="O129" s="38"/>
      <c r="P129" s="38"/>
      <c r="Q129" s="38"/>
      <c r="R129" s="38"/>
      <c r="S129" s="38"/>
      <c r="T129" s="38"/>
      <c r="U129" s="9"/>
      <c r="V129" s="9"/>
      <c r="W129" s="38"/>
      <c r="X129" s="9"/>
      <c r="Y129" s="9"/>
      <c r="Z129" s="9"/>
      <c r="AA129" s="9"/>
      <c r="AB129" s="9"/>
      <c r="AC129" s="9"/>
      <c r="AD129" s="39"/>
      <c r="AE129" s="39"/>
      <c r="AF129" s="39"/>
      <c r="AG129" s="38"/>
      <c r="AH129" s="38"/>
      <c r="AI129" s="9"/>
      <c r="AJ129" s="38"/>
      <c r="AK129" s="9"/>
      <c r="AL129" s="39"/>
      <c r="AM129" s="9"/>
      <c r="AN129" s="9"/>
      <c r="AO129" s="9"/>
      <c r="AP129" s="9"/>
      <c r="AQ129" s="9"/>
      <c r="AR129" s="9"/>
      <c r="AS129" s="9"/>
      <c r="AT129" s="10" t="str">
        <f aca="false">IF(A129="","",SG_Criteria!$B$6&amp;SG_Criteria!$B$8&amp;"\"&amp;A129&amp;"\")</f>
        <v/>
      </c>
      <c r="AU129" s="10" t="str">
        <f aca="false">IF(A129="","",A129&amp;"_CAD.dwg")</f>
        <v/>
      </c>
      <c r="AV129" s="10" t="str">
        <f aca="false">IF(A129="","",A129&amp;"_DWG.pdf")</f>
        <v/>
      </c>
      <c r="AW129" s="10" t="str">
        <f aca="false">IF(A129="","",IF(AS129="Y",A129&amp;"_STAAD.std","n/a"))</f>
        <v/>
      </c>
      <c r="AX129" s="10" t="str">
        <f aca="false">IF(A129="","",A129&amp;"_CALC.xlsx")</f>
        <v/>
      </c>
      <c r="AY129" s="10" t="str">
        <f aca="false">IF(A129="","",A129&amp;"_CALC.pdf")</f>
        <v/>
      </c>
      <c r="AZ129" s="9"/>
      <c r="BA129" s="9"/>
      <c r="BB129" s="39"/>
      <c r="BC129" s="39"/>
      <c r="BD129" s="39"/>
      <c r="BE129" s="39"/>
      <c r="BF129" s="39"/>
      <c r="BG129" s="12" t="str">
        <f aca="false">IF(A129="","",IF(COUNTIF(Rebar_Schedule!$A$5:$A$2004,A129)=0,"",ROUND(SUMIF(Rebar_Schedule!$A$5:$A$2004,A129,Rebar_Schedule!$K$5:$K$2004),1)))</f>
        <v/>
      </c>
      <c r="BH129" s="33" t="str">
        <f aca="false">IF(A129="","",IF(BG129="","No rebar schedule yet",IF(ABS(BG129-N(BC129))/MAX(N(BC129),1)&gt;SG_Criteria!$B$55,"NOTE: register rebar differs from schedule by "&amp;TEXT(ABS(BG129-N(BC129))/MAX(N(BC129),1),"0%"),"OK")))</f>
        <v/>
      </c>
      <c r="BI129" s="33" t="str">
        <f aca="false">IF(OR(D129="",E129=""),"",IF(E129&lt;=IF(OR(D129="Block / Segmental",D129="Gabion",D129="Reinforced Earth (MSE)"),SG_Criteria!$B$34,SG_Criteria!$B$33),"No ERSS submission",IF(E129&lt;=SG_Criteria!$B$35,"QP(ST)",IF(E129&lt;=SG_Criteria!$B$36,"QP(ST) + AC","Geotechnical building works: QP(Geo) + AC"))))</f>
        <v/>
      </c>
      <c r="BJ129" s="33" t="str">
        <f aca="false">IF(D129="","",IF(LEN(IF(AND(V129&lt;&gt;"",IFERROR(VALUE(MID(V129,2,2)),0)&lt;SG_Criteria!$B$19),"FAIL: grade below C"&amp;SG_Criteria!$B$19&amp;". ","")&amp;IF(AND(W129&lt;&gt;"",W129&lt;SG_Criteria!$B$20),"FAIL: cover &lt; "&amp;SG_Criteria!$B$20&amp;" mm. ","")&amp;IF(AND(AD129&lt;&gt;"",AD129&lt;1),"FAIL: sliding. ","")&amp;IF(AND(D129="Reverse L-Wall (toe only, at boundary)",N(S129)&gt;0),"NOTE: reverse L-wall should have no heel. ","")&amp;IF(AND(D129="L-Wall (heel only)",N(R129)&gt;0),"NOTE: L-wall should have no toe. ","")&amp;IF(AND(F129&lt;&gt;"",F129&lt;SG_Criteria!$B$31),"NOTE: q below LTA min "&amp;SG_Criteria!$B$31&amp;" kPa (not for LTA works). ",""))=0,"OK",IF(AND(V129&lt;&gt;"",IFERROR(VALUE(MID(V129,2,2)),0)&lt;SG_Criteria!$B$19),"FAIL: grade below C"&amp;SG_Criteria!$B$19&amp;". ","")&amp;IF(AND(W129&lt;&gt;"",W129&lt;SG_Criteria!$B$20),"FAIL: cover &lt; "&amp;SG_Criteria!$B$20&amp;" mm. ","")&amp;IF(AND(AD129&lt;&gt;"",AD129&lt;1),"FAIL: sliding. ","")&amp;IF(AND(D129="Reverse L-Wall (toe only, at boundary)",N(S129)&gt;0),"NOTE: reverse L-wall should have no heel. ","")&amp;IF(AND(D129="L-Wall (heel only)",N(R129)&gt;0),"NOTE: L-wall should have no toe. ","")&amp;IF(AND(F129&lt;&gt;"",F129&lt;SG_Criteria!$B$31),"NOTE: q below LTA min "&amp;SG_Criteria!$B$31&amp;" kPa (not for LTA works). ","")))</f>
        <v/>
      </c>
      <c r="BK129" s="9"/>
      <c r="BL129" s="9"/>
      <c r="BM129" s="9"/>
      <c r="BN129" s="10" t="str">
        <f aca="false">IF(BM129="","",IFERROR(VLOOKUP(BM129,Projects!$A$5:$D$504,2,0),"Ref not in Projects"))</f>
        <v/>
      </c>
      <c r="BO129" s="10" t="str">
        <f aca="false">IF(BM129="","",IFERROR(VLOOKUP(BM129,Projects!$A$5:$D$504,4,0),"Ref not in Projects"))</f>
        <v/>
      </c>
      <c r="BP129" s="9"/>
      <c r="BQ129" s="9"/>
      <c r="BR129" s="9"/>
      <c r="BS129" s="40"/>
      <c r="BT129" s="9"/>
      <c r="BU129" s="40"/>
      <c r="BV129" s="9"/>
      <c r="BW129" s="40"/>
      <c r="BX129" s="9"/>
      <c r="BY129" s="9"/>
      <c r="BZ129" s="9"/>
      <c r="CA129" s="40"/>
      <c r="CB129" s="40"/>
      <c r="CC129" s="36" t="str">
        <f aca="false">IF(CB129="","",EDATE(CB129,SG_Criteria!$B$54*12))</f>
        <v/>
      </c>
      <c r="CD129" s="33" t="str">
        <f aca="true">IF(A129="","",IF(CB129="","NOTE: not reviewed yet",IF(TODAY()&gt;CC129,"NOTE: review overdue","OK")))</f>
        <v/>
      </c>
      <c r="CE129" s="37" t="str">
        <f aca="false">IF(A129="","",ROUND((IF(LEN(D129)&gt;0,1,0)+IF(LEN(E129)&gt;0,1,0)+IF(LEN(F129)&gt;0,1,0)+IF(LEN(G129)&gt;0,1,0)+IF(LEN(I129)&gt;0,1,0)+IF(LEN(K129)&gt;0,1,0)+IF(LEN(P129)&gt;0,1,0)+IF(LEN(Q129)&gt;0,1,0)+IF(LEN(T129)&gt;0,1,0)+IF(LEN(V129)&gt;0,1,0)+IF(LEN(W129)&gt;0,1,0)+IF(LEN(X129)&gt;0,1,0)+IF(LEN(Z129)&gt;0,1,0)+IF(LEN(AD129)&gt;0,1,0)+IF(LEN(AE129)&gt;0,1,0)+IF(LEN(AG129)&gt;0,1,0)+IF(LEN(AI129)&gt;0,1,0)+IF(LEN(BB129)&gt;0,1,0)+IF(LEN(BC129)&gt;0,1,0)+IF(LEN(AM129)&gt;0,1,0)+IF(LEN(AO129)&gt;0,1,0)+IF(LEN(AP129)&gt;0,1,0)+IF(LEN(AQ129)&gt;0,1,0)+IF(LEN(AR129)&gt;0,1,0)+IF(LEN(BA129)&gt;0,1,0)+IF(LEN(BM129)&gt;0,1,0)+IF(LEN(BZ129)&gt;0,1,0))/27,2))</f>
        <v/>
      </c>
      <c r="CF129" s="10" t="str">
        <f aca="false">IF(D129="","",IF(AND(AP129="Approved",ISERROR(SEARCH("FAIL",BJ129))),"Y","N"))</f>
        <v/>
      </c>
      <c r="CG129" s="10" t="str">
        <f aca="false">IF(D129="","",D129&amp;"|"&amp;E129&amp;"|"&amp;F129&amp;"|"&amp;G129&amp;"|"&amp;CF129)</f>
        <v/>
      </c>
    </row>
    <row r="130" customFormat="false" ht="15" hidden="false" customHeight="false" outlineLevel="0" collapsed="false">
      <c r="A130" s="10" t="str">
        <f aca="false">IF(D130="","","RW-"&amp;IFERROR(VLOOKUP(D130,Lists!$M$4:$N$22,2,0),"??")&amp;"-H"&amp;TEXT(E130*1000,"0000")&amp;"-S"&amp;F130&amp;IF(G130="Y","-GW","")&amp;"-"&amp;AO130)</f>
        <v/>
      </c>
      <c r="B130" s="10" t="str">
        <f aca="false">IF(D130="","",D130&amp;", H = "&amp;TEXT(E130,"0.0")&amp;" m, q = "&amp;F130&amp;" kPa"&amp;IF(G130="Y",", with GWT","")&amp;", "&amp;I130)</f>
        <v/>
      </c>
      <c r="C130" s="9"/>
      <c r="D130" s="9"/>
      <c r="E130" s="39"/>
      <c r="F130" s="38"/>
      <c r="G130" s="9"/>
      <c r="H130" s="38"/>
      <c r="I130" s="9"/>
      <c r="J130" s="38"/>
      <c r="K130" s="38"/>
      <c r="L130" s="38"/>
      <c r="M130" s="42"/>
      <c r="N130" s="9"/>
      <c r="O130" s="38"/>
      <c r="P130" s="38"/>
      <c r="Q130" s="38"/>
      <c r="R130" s="38"/>
      <c r="S130" s="38"/>
      <c r="T130" s="38"/>
      <c r="U130" s="9"/>
      <c r="V130" s="9"/>
      <c r="W130" s="38"/>
      <c r="X130" s="9"/>
      <c r="Y130" s="9"/>
      <c r="Z130" s="9"/>
      <c r="AA130" s="9"/>
      <c r="AB130" s="9"/>
      <c r="AC130" s="9"/>
      <c r="AD130" s="39"/>
      <c r="AE130" s="39"/>
      <c r="AF130" s="39"/>
      <c r="AG130" s="38"/>
      <c r="AH130" s="38"/>
      <c r="AI130" s="9"/>
      <c r="AJ130" s="38"/>
      <c r="AK130" s="9"/>
      <c r="AL130" s="39"/>
      <c r="AM130" s="9"/>
      <c r="AN130" s="9"/>
      <c r="AO130" s="9"/>
      <c r="AP130" s="9"/>
      <c r="AQ130" s="9"/>
      <c r="AR130" s="9"/>
      <c r="AS130" s="9"/>
      <c r="AT130" s="10" t="str">
        <f aca="false">IF(A130="","",SG_Criteria!$B$6&amp;SG_Criteria!$B$8&amp;"\"&amp;A130&amp;"\")</f>
        <v/>
      </c>
      <c r="AU130" s="10" t="str">
        <f aca="false">IF(A130="","",A130&amp;"_CAD.dwg")</f>
        <v/>
      </c>
      <c r="AV130" s="10" t="str">
        <f aca="false">IF(A130="","",A130&amp;"_DWG.pdf")</f>
        <v/>
      </c>
      <c r="AW130" s="10" t="str">
        <f aca="false">IF(A130="","",IF(AS130="Y",A130&amp;"_STAAD.std","n/a"))</f>
        <v/>
      </c>
      <c r="AX130" s="10" t="str">
        <f aca="false">IF(A130="","",A130&amp;"_CALC.xlsx")</f>
        <v/>
      </c>
      <c r="AY130" s="10" t="str">
        <f aca="false">IF(A130="","",A130&amp;"_CALC.pdf")</f>
        <v/>
      </c>
      <c r="AZ130" s="9"/>
      <c r="BA130" s="9"/>
      <c r="BB130" s="39"/>
      <c r="BC130" s="39"/>
      <c r="BD130" s="39"/>
      <c r="BE130" s="39"/>
      <c r="BF130" s="39"/>
      <c r="BG130" s="12" t="str">
        <f aca="false">IF(A130="","",IF(COUNTIF(Rebar_Schedule!$A$5:$A$2004,A130)=0,"",ROUND(SUMIF(Rebar_Schedule!$A$5:$A$2004,A130,Rebar_Schedule!$K$5:$K$2004),1)))</f>
        <v/>
      </c>
      <c r="BH130" s="33" t="str">
        <f aca="false">IF(A130="","",IF(BG130="","No rebar schedule yet",IF(ABS(BG130-N(BC130))/MAX(N(BC130),1)&gt;SG_Criteria!$B$55,"NOTE: register rebar differs from schedule by "&amp;TEXT(ABS(BG130-N(BC130))/MAX(N(BC130),1),"0%"),"OK")))</f>
        <v/>
      </c>
      <c r="BI130" s="33" t="str">
        <f aca="false">IF(OR(D130="",E130=""),"",IF(E130&lt;=IF(OR(D130="Block / Segmental",D130="Gabion",D130="Reinforced Earth (MSE)"),SG_Criteria!$B$34,SG_Criteria!$B$33),"No ERSS submission",IF(E130&lt;=SG_Criteria!$B$35,"QP(ST)",IF(E130&lt;=SG_Criteria!$B$36,"QP(ST) + AC","Geotechnical building works: QP(Geo) + AC"))))</f>
        <v/>
      </c>
      <c r="BJ130" s="33" t="str">
        <f aca="false">IF(D130="","",IF(LEN(IF(AND(V130&lt;&gt;"",IFERROR(VALUE(MID(V130,2,2)),0)&lt;SG_Criteria!$B$19),"FAIL: grade below C"&amp;SG_Criteria!$B$19&amp;". ","")&amp;IF(AND(W130&lt;&gt;"",W130&lt;SG_Criteria!$B$20),"FAIL: cover &lt; "&amp;SG_Criteria!$B$20&amp;" mm. ","")&amp;IF(AND(AD130&lt;&gt;"",AD130&lt;1),"FAIL: sliding. ","")&amp;IF(AND(D130="Reverse L-Wall (toe only, at boundary)",N(S130)&gt;0),"NOTE: reverse L-wall should have no heel. ","")&amp;IF(AND(D130="L-Wall (heel only)",N(R130)&gt;0),"NOTE: L-wall should have no toe. ","")&amp;IF(AND(F130&lt;&gt;"",F130&lt;SG_Criteria!$B$31),"NOTE: q below LTA min "&amp;SG_Criteria!$B$31&amp;" kPa (not for LTA works). ",""))=0,"OK",IF(AND(V130&lt;&gt;"",IFERROR(VALUE(MID(V130,2,2)),0)&lt;SG_Criteria!$B$19),"FAIL: grade below C"&amp;SG_Criteria!$B$19&amp;". ","")&amp;IF(AND(W130&lt;&gt;"",W130&lt;SG_Criteria!$B$20),"FAIL: cover &lt; "&amp;SG_Criteria!$B$20&amp;" mm. ","")&amp;IF(AND(AD130&lt;&gt;"",AD130&lt;1),"FAIL: sliding. ","")&amp;IF(AND(D130="Reverse L-Wall (toe only, at boundary)",N(S130)&gt;0),"NOTE: reverse L-wall should have no heel. ","")&amp;IF(AND(D130="L-Wall (heel only)",N(R130)&gt;0),"NOTE: L-wall should have no toe. ","")&amp;IF(AND(F130&lt;&gt;"",F130&lt;SG_Criteria!$B$31),"NOTE: q below LTA min "&amp;SG_Criteria!$B$31&amp;" kPa (not for LTA works). ","")))</f>
        <v/>
      </c>
      <c r="BK130" s="9"/>
      <c r="BL130" s="9"/>
      <c r="BM130" s="9"/>
      <c r="BN130" s="10" t="str">
        <f aca="false">IF(BM130="","",IFERROR(VLOOKUP(BM130,Projects!$A$5:$D$504,2,0),"Ref not in Projects"))</f>
        <v/>
      </c>
      <c r="BO130" s="10" t="str">
        <f aca="false">IF(BM130="","",IFERROR(VLOOKUP(BM130,Projects!$A$5:$D$504,4,0),"Ref not in Projects"))</f>
        <v/>
      </c>
      <c r="BP130" s="9"/>
      <c r="BQ130" s="9"/>
      <c r="BR130" s="9"/>
      <c r="BS130" s="40"/>
      <c r="BT130" s="9"/>
      <c r="BU130" s="40"/>
      <c r="BV130" s="9"/>
      <c r="BW130" s="40"/>
      <c r="BX130" s="9"/>
      <c r="BY130" s="9"/>
      <c r="BZ130" s="9"/>
      <c r="CA130" s="40"/>
      <c r="CB130" s="40"/>
      <c r="CC130" s="36" t="str">
        <f aca="false">IF(CB130="","",EDATE(CB130,SG_Criteria!$B$54*12))</f>
        <v/>
      </c>
      <c r="CD130" s="33" t="str">
        <f aca="true">IF(A130="","",IF(CB130="","NOTE: not reviewed yet",IF(TODAY()&gt;CC130,"NOTE: review overdue","OK")))</f>
        <v/>
      </c>
      <c r="CE130" s="37" t="str">
        <f aca="false">IF(A130="","",ROUND((IF(LEN(D130)&gt;0,1,0)+IF(LEN(E130)&gt;0,1,0)+IF(LEN(F130)&gt;0,1,0)+IF(LEN(G130)&gt;0,1,0)+IF(LEN(I130)&gt;0,1,0)+IF(LEN(K130)&gt;0,1,0)+IF(LEN(P130)&gt;0,1,0)+IF(LEN(Q130)&gt;0,1,0)+IF(LEN(T130)&gt;0,1,0)+IF(LEN(V130)&gt;0,1,0)+IF(LEN(W130)&gt;0,1,0)+IF(LEN(X130)&gt;0,1,0)+IF(LEN(Z130)&gt;0,1,0)+IF(LEN(AD130)&gt;0,1,0)+IF(LEN(AE130)&gt;0,1,0)+IF(LEN(AG130)&gt;0,1,0)+IF(LEN(AI130)&gt;0,1,0)+IF(LEN(BB130)&gt;0,1,0)+IF(LEN(BC130)&gt;0,1,0)+IF(LEN(AM130)&gt;0,1,0)+IF(LEN(AO130)&gt;0,1,0)+IF(LEN(AP130)&gt;0,1,0)+IF(LEN(AQ130)&gt;0,1,0)+IF(LEN(AR130)&gt;0,1,0)+IF(LEN(BA130)&gt;0,1,0)+IF(LEN(BM130)&gt;0,1,0)+IF(LEN(BZ130)&gt;0,1,0))/27,2))</f>
        <v/>
      </c>
      <c r="CF130" s="10" t="str">
        <f aca="false">IF(D130="","",IF(AND(AP130="Approved",ISERROR(SEARCH("FAIL",BJ130))),"Y","N"))</f>
        <v/>
      </c>
      <c r="CG130" s="10" t="str">
        <f aca="false">IF(D130="","",D130&amp;"|"&amp;E130&amp;"|"&amp;F130&amp;"|"&amp;G130&amp;"|"&amp;CF130)</f>
        <v/>
      </c>
    </row>
    <row r="131" customFormat="false" ht="15" hidden="false" customHeight="false" outlineLevel="0" collapsed="false">
      <c r="A131" s="10" t="str">
        <f aca="false">IF(D131="","","RW-"&amp;IFERROR(VLOOKUP(D131,Lists!$M$4:$N$22,2,0),"??")&amp;"-H"&amp;TEXT(E131*1000,"0000")&amp;"-S"&amp;F131&amp;IF(G131="Y","-GW","")&amp;"-"&amp;AO131)</f>
        <v/>
      </c>
      <c r="B131" s="10" t="str">
        <f aca="false">IF(D131="","",D131&amp;", H = "&amp;TEXT(E131,"0.0")&amp;" m, q = "&amp;F131&amp;" kPa"&amp;IF(G131="Y",", with GWT","")&amp;", "&amp;I131)</f>
        <v/>
      </c>
      <c r="C131" s="9"/>
      <c r="D131" s="9"/>
      <c r="E131" s="39"/>
      <c r="F131" s="38"/>
      <c r="G131" s="9"/>
      <c r="H131" s="38"/>
      <c r="I131" s="9"/>
      <c r="J131" s="38"/>
      <c r="K131" s="38"/>
      <c r="L131" s="38"/>
      <c r="M131" s="42"/>
      <c r="N131" s="9"/>
      <c r="O131" s="38"/>
      <c r="P131" s="38"/>
      <c r="Q131" s="38"/>
      <c r="R131" s="38"/>
      <c r="S131" s="38"/>
      <c r="T131" s="38"/>
      <c r="U131" s="9"/>
      <c r="V131" s="9"/>
      <c r="W131" s="38"/>
      <c r="X131" s="9"/>
      <c r="Y131" s="9"/>
      <c r="Z131" s="9"/>
      <c r="AA131" s="9"/>
      <c r="AB131" s="9"/>
      <c r="AC131" s="9"/>
      <c r="AD131" s="39"/>
      <c r="AE131" s="39"/>
      <c r="AF131" s="39"/>
      <c r="AG131" s="38"/>
      <c r="AH131" s="38"/>
      <c r="AI131" s="9"/>
      <c r="AJ131" s="38"/>
      <c r="AK131" s="9"/>
      <c r="AL131" s="39"/>
      <c r="AM131" s="9"/>
      <c r="AN131" s="9"/>
      <c r="AO131" s="9"/>
      <c r="AP131" s="9"/>
      <c r="AQ131" s="9"/>
      <c r="AR131" s="9"/>
      <c r="AS131" s="9"/>
      <c r="AT131" s="10" t="str">
        <f aca="false">IF(A131="","",SG_Criteria!$B$6&amp;SG_Criteria!$B$8&amp;"\"&amp;A131&amp;"\")</f>
        <v/>
      </c>
      <c r="AU131" s="10" t="str">
        <f aca="false">IF(A131="","",A131&amp;"_CAD.dwg")</f>
        <v/>
      </c>
      <c r="AV131" s="10" t="str">
        <f aca="false">IF(A131="","",A131&amp;"_DWG.pdf")</f>
        <v/>
      </c>
      <c r="AW131" s="10" t="str">
        <f aca="false">IF(A131="","",IF(AS131="Y",A131&amp;"_STAAD.std","n/a"))</f>
        <v/>
      </c>
      <c r="AX131" s="10" t="str">
        <f aca="false">IF(A131="","",A131&amp;"_CALC.xlsx")</f>
        <v/>
      </c>
      <c r="AY131" s="10" t="str">
        <f aca="false">IF(A131="","",A131&amp;"_CALC.pdf")</f>
        <v/>
      </c>
      <c r="AZ131" s="9"/>
      <c r="BA131" s="9"/>
      <c r="BB131" s="39"/>
      <c r="BC131" s="39"/>
      <c r="BD131" s="39"/>
      <c r="BE131" s="39"/>
      <c r="BF131" s="39"/>
      <c r="BG131" s="12" t="str">
        <f aca="false">IF(A131="","",IF(COUNTIF(Rebar_Schedule!$A$5:$A$2004,A131)=0,"",ROUND(SUMIF(Rebar_Schedule!$A$5:$A$2004,A131,Rebar_Schedule!$K$5:$K$2004),1)))</f>
        <v/>
      </c>
      <c r="BH131" s="33" t="str">
        <f aca="false">IF(A131="","",IF(BG131="","No rebar schedule yet",IF(ABS(BG131-N(BC131))/MAX(N(BC131),1)&gt;SG_Criteria!$B$55,"NOTE: register rebar differs from schedule by "&amp;TEXT(ABS(BG131-N(BC131))/MAX(N(BC131),1),"0%"),"OK")))</f>
        <v/>
      </c>
      <c r="BI131" s="33" t="str">
        <f aca="false">IF(OR(D131="",E131=""),"",IF(E131&lt;=IF(OR(D131="Block / Segmental",D131="Gabion",D131="Reinforced Earth (MSE)"),SG_Criteria!$B$34,SG_Criteria!$B$33),"No ERSS submission",IF(E131&lt;=SG_Criteria!$B$35,"QP(ST)",IF(E131&lt;=SG_Criteria!$B$36,"QP(ST) + AC","Geotechnical building works: QP(Geo) + AC"))))</f>
        <v/>
      </c>
      <c r="BJ131" s="33" t="str">
        <f aca="false">IF(D131="","",IF(LEN(IF(AND(V131&lt;&gt;"",IFERROR(VALUE(MID(V131,2,2)),0)&lt;SG_Criteria!$B$19),"FAIL: grade below C"&amp;SG_Criteria!$B$19&amp;". ","")&amp;IF(AND(W131&lt;&gt;"",W131&lt;SG_Criteria!$B$20),"FAIL: cover &lt; "&amp;SG_Criteria!$B$20&amp;" mm. ","")&amp;IF(AND(AD131&lt;&gt;"",AD131&lt;1),"FAIL: sliding. ","")&amp;IF(AND(D131="Reverse L-Wall (toe only, at boundary)",N(S131)&gt;0),"NOTE: reverse L-wall should have no heel. ","")&amp;IF(AND(D131="L-Wall (heel only)",N(R131)&gt;0),"NOTE: L-wall should have no toe. ","")&amp;IF(AND(F131&lt;&gt;"",F131&lt;SG_Criteria!$B$31),"NOTE: q below LTA min "&amp;SG_Criteria!$B$31&amp;" kPa (not for LTA works). ",""))=0,"OK",IF(AND(V131&lt;&gt;"",IFERROR(VALUE(MID(V131,2,2)),0)&lt;SG_Criteria!$B$19),"FAIL: grade below C"&amp;SG_Criteria!$B$19&amp;". ","")&amp;IF(AND(W131&lt;&gt;"",W131&lt;SG_Criteria!$B$20),"FAIL: cover &lt; "&amp;SG_Criteria!$B$20&amp;" mm. ","")&amp;IF(AND(AD131&lt;&gt;"",AD131&lt;1),"FAIL: sliding. ","")&amp;IF(AND(D131="Reverse L-Wall (toe only, at boundary)",N(S131)&gt;0),"NOTE: reverse L-wall should have no heel. ","")&amp;IF(AND(D131="L-Wall (heel only)",N(R131)&gt;0),"NOTE: L-wall should have no toe. ","")&amp;IF(AND(F131&lt;&gt;"",F131&lt;SG_Criteria!$B$31),"NOTE: q below LTA min "&amp;SG_Criteria!$B$31&amp;" kPa (not for LTA works). ","")))</f>
        <v/>
      </c>
      <c r="BK131" s="9"/>
      <c r="BL131" s="9"/>
      <c r="BM131" s="9"/>
      <c r="BN131" s="10" t="str">
        <f aca="false">IF(BM131="","",IFERROR(VLOOKUP(BM131,Projects!$A$5:$D$504,2,0),"Ref not in Projects"))</f>
        <v/>
      </c>
      <c r="BO131" s="10" t="str">
        <f aca="false">IF(BM131="","",IFERROR(VLOOKUP(BM131,Projects!$A$5:$D$504,4,0),"Ref not in Projects"))</f>
        <v/>
      </c>
      <c r="BP131" s="9"/>
      <c r="BQ131" s="9"/>
      <c r="BR131" s="9"/>
      <c r="BS131" s="40"/>
      <c r="BT131" s="9"/>
      <c r="BU131" s="40"/>
      <c r="BV131" s="9"/>
      <c r="BW131" s="40"/>
      <c r="BX131" s="9"/>
      <c r="BY131" s="9"/>
      <c r="BZ131" s="9"/>
      <c r="CA131" s="40"/>
      <c r="CB131" s="40"/>
      <c r="CC131" s="36" t="str">
        <f aca="false">IF(CB131="","",EDATE(CB131,SG_Criteria!$B$54*12))</f>
        <v/>
      </c>
      <c r="CD131" s="33" t="str">
        <f aca="true">IF(A131="","",IF(CB131="","NOTE: not reviewed yet",IF(TODAY()&gt;CC131,"NOTE: review overdue","OK")))</f>
        <v/>
      </c>
      <c r="CE131" s="37" t="str">
        <f aca="false">IF(A131="","",ROUND((IF(LEN(D131)&gt;0,1,0)+IF(LEN(E131)&gt;0,1,0)+IF(LEN(F131)&gt;0,1,0)+IF(LEN(G131)&gt;0,1,0)+IF(LEN(I131)&gt;0,1,0)+IF(LEN(K131)&gt;0,1,0)+IF(LEN(P131)&gt;0,1,0)+IF(LEN(Q131)&gt;0,1,0)+IF(LEN(T131)&gt;0,1,0)+IF(LEN(V131)&gt;0,1,0)+IF(LEN(W131)&gt;0,1,0)+IF(LEN(X131)&gt;0,1,0)+IF(LEN(Z131)&gt;0,1,0)+IF(LEN(AD131)&gt;0,1,0)+IF(LEN(AE131)&gt;0,1,0)+IF(LEN(AG131)&gt;0,1,0)+IF(LEN(AI131)&gt;0,1,0)+IF(LEN(BB131)&gt;0,1,0)+IF(LEN(BC131)&gt;0,1,0)+IF(LEN(AM131)&gt;0,1,0)+IF(LEN(AO131)&gt;0,1,0)+IF(LEN(AP131)&gt;0,1,0)+IF(LEN(AQ131)&gt;0,1,0)+IF(LEN(AR131)&gt;0,1,0)+IF(LEN(BA131)&gt;0,1,0)+IF(LEN(BM131)&gt;0,1,0)+IF(LEN(BZ131)&gt;0,1,0))/27,2))</f>
        <v/>
      </c>
      <c r="CF131" s="10" t="str">
        <f aca="false">IF(D131="","",IF(AND(AP131="Approved",ISERROR(SEARCH("FAIL",BJ131))),"Y","N"))</f>
        <v/>
      </c>
      <c r="CG131" s="10" t="str">
        <f aca="false">IF(D131="","",D131&amp;"|"&amp;E131&amp;"|"&amp;F131&amp;"|"&amp;G131&amp;"|"&amp;CF131)</f>
        <v/>
      </c>
    </row>
    <row r="132" customFormat="false" ht="15" hidden="false" customHeight="false" outlineLevel="0" collapsed="false">
      <c r="A132" s="10" t="str">
        <f aca="false">IF(D132="","","RW-"&amp;IFERROR(VLOOKUP(D132,Lists!$M$4:$N$22,2,0),"??")&amp;"-H"&amp;TEXT(E132*1000,"0000")&amp;"-S"&amp;F132&amp;IF(G132="Y","-GW","")&amp;"-"&amp;AO132)</f>
        <v/>
      </c>
      <c r="B132" s="10" t="str">
        <f aca="false">IF(D132="","",D132&amp;", H = "&amp;TEXT(E132,"0.0")&amp;" m, q = "&amp;F132&amp;" kPa"&amp;IF(G132="Y",", with GWT","")&amp;", "&amp;I132)</f>
        <v/>
      </c>
      <c r="C132" s="9"/>
      <c r="D132" s="9"/>
      <c r="E132" s="39"/>
      <c r="F132" s="38"/>
      <c r="G132" s="9"/>
      <c r="H132" s="38"/>
      <c r="I132" s="9"/>
      <c r="J132" s="38"/>
      <c r="K132" s="38"/>
      <c r="L132" s="38"/>
      <c r="M132" s="42"/>
      <c r="N132" s="9"/>
      <c r="O132" s="38"/>
      <c r="P132" s="38"/>
      <c r="Q132" s="38"/>
      <c r="R132" s="38"/>
      <c r="S132" s="38"/>
      <c r="T132" s="38"/>
      <c r="U132" s="9"/>
      <c r="V132" s="9"/>
      <c r="W132" s="38"/>
      <c r="X132" s="9"/>
      <c r="Y132" s="9"/>
      <c r="Z132" s="9"/>
      <c r="AA132" s="9"/>
      <c r="AB132" s="9"/>
      <c r="AC132" s="9"/>
      <c r="AD132" s="39"/>
      <c r="AE132" s="39"/>
      <c r="AF132" s="39"/>
      <c r="AG132" s="38"/>
      <c r="AH132" s="38"/>
      <c r="AI132" s="9"/>
      <c r="AJ132" s="38"/>
      <c r="AK132" s="9"/>
      <c r="AL132" s="39"/>
      <c r="AM132" s="9"/>
      <c r="AN132" s="9"/>
      <c r="AO132" s="9"/>
      <c r="AP132" s="9"/>
      <c r="AQ132" s="9"/>
      <c r="AR132" s="9"/>
      <c r="AS132" s="9"/>
      <c r="AT132" s="10" t="str">
        <f aca="false">IF(A132="","",SG_Criteria!$B$6&amp;SG_Criteria!$B$8&amp;"\"&amp;A132&amp;"\")</f>
        <v/>
      </c>
      <c r="AU132" s="10" t="str">
        <f aca="false">IF(A132="","",A132&amp;"_CAD.dwg")</f>
        <v/>
      </c>
      <c r="AV132" s="10" t="str">
        <f aca="false">IF(A132="","",A132&amp;"_DWG.pdf")</f>
        <v/>
      </c>
      <c r="AW132" s="10" t="str">
        <f aca="false">IF(A132="","",IF(AS132="Y",A132&amp;"_STAAD.std","n/a"))</f>
        <v/>
      </c>
      <c r="AX132" s="10" t="str">
        <f aca="false">IF(A132="","",A132&amp;"_CALC.xlsx")</f>
        <v/>
      </c>
      <c r="AY132" s="10" t="str">
        <f aca="false">IF(A132="","",A132&amp;"_CALC.pdf")</f>
        <v/>
      </c>
      <c r="AZ132" s="9"/>
      <c r="BA132" s="9"/>
      <c r="BB132" s="39"/>
      <c r="BC132" s="39"/>
      <c r="BD132" s="39"/>
      <c r="BE132" s="39"/>
      <c r="BF132" s="39"/>
      <c r="BG132" s="12" t="str">
        <f aca="false">IF(A132="","",IF(COUNTIF(Rebar_Schedule!$A$5:$A$2004,A132)=0,"",ROUND(SUMIF(Rebar_Schedule!$A$5:$A$2004,A132,Rebar_Schedule!$K$5:$K$2004),1)))</f>
        <v/>
      </c>
      <c r="BH132" s="33" t="str">
        <f aca="false">IF(A132="","",IF(BG132="","No rebar schedule yet",IF(ABS(BG132-N(BC132))/MAX(N(BC132),1)&gt;SG_Criteria!$B$55,"NOTE: register rebar differs from schedule by "&amp;TEXT(ABS(BG132-N(BC132))/MAX(N(BC132),1),"0%"),"OK")))</f>
        <v/>
      </c>
      <c r="BI132" s="33" t="str">
        <f aca="false">IF(OR(D132="",E132=""),"",IF(E132&lt;=IF(OR(D132="Block / Segmental",D132="Gabion",D132="Reinforced Earth (MSE)"),SG_Criteria!$B$34,SG_Criteria!$B$33),"No ERSS submission",IF(E132&lt;=SG_Criteria!$B$35,"QP(ST)",IF(E132&lt;=SG_Criteria!$B$36,"QP(ST) + AC","Geotechnical building works: QP(Geo) + AC"))))</f>
        <v/>
      </c>
      <c r="BJ132" s="33" t="str">
        <f aca="false">IF(D132="","",IF(LEN(IF(AND(V132&lt;&gt;"",IFERROR(VALUE(MID(V132,2,2)),0)&lt;SG_Criteria!$B$19),"FAIL: grade below C"&amp;SG_Criteria!$B$19&amp;". ","")&amp;IF(AND(W132&lt;&gt;"",W132&lt;SG_Criteria!$B$20),"FAIL: cover &lt; "&amp;SG_Criteria!$B$20&amp;" mm. ","")&amp;IF(AND(AD132&lt;&gt;"",AD132&lt;1),"FAIL: sliding. ","")&amp;IF(AND(D132="Reverse L-Wall (toe only, at boundary)",N(S132)&gt;0),"NOTE: reverse L-wall should have no heel. ","")&amp;IF(AND(D132="L-Wall (heel only)",N(R132)&gt;0),"NOTE: L-wall should have no toe. ","")&amp;IF(AND(F132&lt;&gt;"",F132&lt;SG_Criteria!$B$31),"NOTE: q below LTA min "&amp;SG_Criteria!$B$31&amp;" kPa (not for LTA works). ",""))=0,"OK",IF(AND(V132&lt;&gt;"",IFERROR(VALUE(MID(V132,2,2)),0)&lt;SG_Criteria!$B$19),"FAIL: grade below C"&amp;SG_Criteria!$B$19&amp;". ","")&amp;IF(AND(W132&lt;&gt;"",W132&lt;SG_Criteria!$B$20),"FAIL: cover &lt; "&amp;SG_Criteria!$B$20&amp;" mm. ","")&amp;IF(AND(AD132&lt;&gt;"",AD132&lt;1),"FAIL: sliding. ","")&amp;IF(AND(D132="Reverse L-Wall (toe only, at boundary)",N(S132)&gt;0),"NOTE: reverse L-wall should have no heel. ","")&amp;IF(AND(D132="L-Wall (heel only)",N(R132)&gt;0),"NOTE: L-wall should have no toe. ","")&amp;IF(AND(F132&lt;&gt;"",F132&lt;SG_Criteria!$B$31),"NOTE: q below LTA min "&amp;SG_Criteria!$B$31&amp;" kPa (not for LTA works). ","")))</f>
        <v/>
      </c>
      <c r="BK132" s="9"/>
      <c r="BL132" s="9"/>
      <c r="BM132" s="9"/>
      <c r="BN132" s="10" t="str">
        <f aca="false">IF(BM132="","",IFERROR(VLOOKUP(BM132,Projects!$A$5:$D$504,2,0),"Ref not in Projects"))</f>
        <v/>
      </c>
      <c r="BO132" s="10" t="str">
        <f aca="false">IF(BM132="","",IFERROR(VLOOKUP(BM132,Projects!$A$5:$D$504,4,0),"Ref not in Projects"))</f>
        <v/>
      </c>
      <c r="BP132" s="9"/>
      <c r="BQ132" s="9"/>
      <c r="BR132" s="9"/>
      <c r="BS132" s="40"/>
      <c r="BT132" s="9"/>
      <c r="BU132" s="40"/>
      <c r="BV132" s="9"/>
      <c r="BW132" s="40"/>
      <c r="BX132" s="9"/>
      <c r="BY132" s="9"/>
      <c r="BZ132" s="9"/>
      <c r="CA132" s="40"/>
      <c r="CB132" s="40"/>
      <c r="CC132" s="36" t="str">
        <f aca="false">IF(CB132="","",EDATE(CB132,SG_Criteria!$B$54*12))</f>
        <v/>
      </c>
      <c r="CD132" s="33" t="str">
        <f aca="true">IF(A132="","",IF(CB132="","NOTE: not reviewed yet",IF(TODAY()&gt;CC132,"NOTE: review overdue","OK")))</f>
        <v/>
      </c>
      <c r="CE132" s="37" t="str">
        <f aca="false">IF(A132="","",ROUND((IF(LEN(D132)&gt;0,1,0)+IF(LEN(E132)&gt;0,1,0)+IF(LEN(F132)&gt;0,1,0)+IF(LEN(G132)&gt;0,1,0)+IF(LEN(I132)&gt;0,1,0)+IF(LEN(K132)&gt;0,1,0)+IF(LEN(P132)&gt;0,1,0)+IF(LEN(Q132)&gt;0,1,0)+IF(LEN(T132)&gt;0,1,0)+IF(LEN(V132)&gt;0,1,0)+IF(LEN(W132)&gt;0,1,0)+IF(LEN(X132)&gt;0,1,0)+IF(LEN(Z132)&gt;0,1,0)+IF(LEN(AD132)&gt;0,1,0)+IF(LEN(AE132)&gt;0,1,0)+IF(LEN(AG132)&gt;0,1,0)+IF(LEN(AI132)&gt;0,1,0)+IF(LEN(BB132)&gt;0,1,0)+IF(LEN(BC132)&gt;0,1,0)+IF(LEN(AM132)&gt;0,1,0)+IF(LEN(AO132)&gt;0,1,0)+IF(LEN(AP132)&gt;0,1,0)+IF(LEN(AQ132)&gt;0,1,0)+IF(LEN(AR132)&gt;0,1,0)+IF(LEN(BA132)&gt;0,1,0)+IF(LEN(BM132)&gt;0,1,0)+IF(LEN(BZ132)&gt;0,1,0))/27,2))</f>
        <v/>
      </c>
      <c r="CF132" s="10" t="str">
        <f aca="false">IF(D132="","",IF(AND(AP132="Approved",ISERROR(SEARCH("FAIL",BJ132))),"Y","N"))</f>
        <v/>
      </c>
      <c r="CG132" s="10" t="str">
        <f aca="false">IF(D132="","",D132&amp;"|"&amp;E132&amp;"|"&amp;F132&amp;"|"&amp;G132&amp;"|"&amp;CF132)</f>
        <v/>
      </c>
    </row>
    <row r="133" customFormat="false" ht="15" hidden="false" customHeight="false" outlineLevel="0" collapsed="false">
      <c r="A133" s="10" t="str">
        <f aca="false">IF(D133="","","RW-"&amp;IFERROR(VLOOKUP(D133,Lists!$M$4:$N$22,2,0),"??")&amp;"-H"&amp;TEXT(E133*1000,"0000")&amp;"-S"&amp;F133&amp;IF(G133="Y","-GW","")&amp;"-"&amp;AO133)</f>
        <v/>
      </c>
      <c r="B133" s="10" t="str">
        <f aca="false">IF(D133="","",D133&amp;", H = "&amp;TEXT(E133,"0.0")&amp;" m, q = "&amp;F133&amp;" kPa"&amp;IF(G133="Y",", with GWT","")&amp;", "&amp;I133)</f>
        <v/>
      </c>
      <c r="C133" s="9"/>
      <c r="D133" s="9"/>
      <c r="E133" s="39"/>
      <c r="F133" s="38"/>
      <c r="G133" s="9"/>
      <c r="H133" s="38"/>
      <c r="I133" s="9"/>
      <c r="J133" s="38"/>
      <c r="K133" s="38"/>
      <c r="L133" s="38"/>
      <c r="M133" s="42"/>
      <c r="N133" s="9"/>
      <c r="O133" s="38"/>
      <c r="P133" s="38"/>
      <c r="Q133" s="38"/>
      <c r="R133" s="38"/>
      <c r="S133" s="38"/>
      <c r="T133" s="38"/>
      <c r="U133" s="9"/>
      <c r="V133" s="9"/>
      <c r="W133" s="38"/>
      <c r="X133" s="9"/>
      <c r="Y133" s="9"/>
      <c r="Z133" s="9"/>
      <c r="AA133" s="9"/>
      <c r="AB133" s="9"/>
      <c r="AC133" s="9"/>
      <c r="AD133" s="39"/>
      <c r="AE133" s="39"/>
      <c r="AF133" s="39"/>
      <c r="AG133" s="38"/>
      <c r="AH133" s="38"/>
      <c r="AI133" s="9"/>
      <c r="AJ133" s="38"/>
      <c r="AK133" s="9"/>
      <c r="AL133" s="39"/>
      <c r="AM133" s="9"/>
      <c r="AN133" s="9"/>
      <c r="AO133" s="9"/>
      <c r="AP133" s="9"/>
      <c r="AQ133" s="9"/>
      <c r="AR133" s="9"/>
      <c r="AS133" s="9"/>
      <c r="AT133" s="10" t="str">
        <f aca="false">IF(A133="","",SG_Criteria!$B$6&amp;SG_Criteria!$B$8&amp;"\"&amp;A133&amp;"\")</f>
        <v/>
      </c>
      <c r="AU133" s="10" t="str">
        <f aca="false">IF(A133="","",A133&amp;"_CAD.dwg")</f>
        <v/>
      </c>
      <c r="AV133" s="10" t="str">
        <f aca="false">IF(A133="","",A133&amp;"_DWG.pdf")</f>
        <v/>
      </c>
      <c r="AW133" s="10" t="str">
        <f aca="false">IF(A133="","",IF(AS133="Y",A133&amp;"_STAAD.std","n/a"))</f>
        <v/>
      </c>
      <c r="AX133" s="10" t="str">
        <f aca="false">IF(A133="","",A133&amp;"_CALC.xlsx")</f>
        <v/>
      </c>
      <c r="AY133" s="10" t="str">
        <f aca="false">IF(A133="","",A133&amp;"_CALC.pdf")</f>
        <v/>
      </c>
      <c r="AZ133" s="9"/>
      <c r="BA133" s="9"/>
      <c r="BB133" s="39"/>
      <c r="BC133" s="39"/>
      <c r="BD133" s="39"/>
      <c r="BE133" s="39"/>
      <c r="BF133" s="39"/>
      <c r="BG133" s="12" t="str">
        <f aca="false">IF(A133="","",IF(COUNTIF(Rebar_Schedule!$A$5:$A$2004,A133)=0,"",ROUND(SUMIF(Rebar_Schedule!$A$5:$A$2004,A133,Rebar_Schedule!$K$5:$K$2004),1)))</f>
        <v/>
      </c>
      <c r="BH133" s="33" t="str">
        <f aca="false">IF(A133="","",IF(BG133="","No rebar schedule yet",IF(ABS(BG133-N(BC133))/MAX(N(BC133),1)&gt;SG_Criteria!$B$55,"NOTE: register rebar differs from schedule by "&amp;TEXT(ABS(BG133-N(BC133))/MAX(N(BC133),1),"0%"),"OK")))</f>
        <v/>
      </c>
      <c r="BI133" s="33" t="str">
        <f aca="false">IF(OR(D133="",E133=""),"",IF(E133&lt;=IF(OR(D133="Block / Segmental",D133="Gabion",D133="Reinforced Earth (MSE)"),SG_Criteria!$B$34,SG_Criteria!$B$33),"No ERSS submission",IF(E133&lt;=SG_Criteria!$B$35,"QP(ST)",IF(E133&lt;=SG_Criteria!$B$36,"QP(ST) + AC","Geotechnical building works: QP(Geo) + AC"))))</f>
        <v/>
      </c>
      <c r="BJ133" s="33" t="str">
        <f aca="false">IF(D133="","",IF(LEN(IF(AND(V133&lt;&gt;"",IFERROR(VALUE(MID(V133,2,2)),0)&lt;SG_Criteria!$B$19),"FAIL: grade below C"&amp;SG_Criteria!$B$19&amp;". ","")&amp;IF(AND(W133&lt;&gt;"",W133&lt;SG_Criteria!$B$20),"FAIL: cover &lt; "&amp;SG_Criteria!$B$20&amp;" mm. ","")&amp;IF(AND(AD133&lt;&gt;"",AD133&lt;1),"FAIL: sliding. ","")&amp;IF(AND(D133="Reverse L-Wall (toe only, at boundary)",N(S133)&gt;0),"NOTE: reverse L-wall should have no heel. ","")&amp;IF(AND(D133="L-Wall (heel only)",N(R133)&gt;0),"NOTE: L-wall should have no toe. ","")&amp;IF(AND(F133&lt;&gt;"",F133&lt;SG_Criteria!$B$31),"NOTE: q below LTA min "&amp;SG_Criteria!$B$31&amp;" kPa (not for LTA works). ",""))=0,"OK",IF(AND(V133&lt;&gt;"",IFERROR(VALUE(MID(V133,2,2)),0)&lt;SG_Criteria!$B$19),"FAIL: grade below C"&amp;SG_Criteria!$B$19&amp;". ","")&amp;IF(AND(W133&lt;&gt;"",W133&lt;SG_Criteria!$B$20),"FAIL: cover &lt; "&amp;SG_Criteria!$B$20&amp;" mm. ","")&amp;IF(AND(AD133&lt;&gt;"",AD133&lt;1),"FAIL: sliding. ","")&amp;IF(AND(D133="Reverse L-Wall (toe only, at boundary)",N(S133)&gt;0),"NOTE: reverse L-wall should have no heel. ","")&amp;IF(AND(D133="L-Wall (heel only)",N(R133)&gt;0),"NOTE: L-wall should have no toe. ","")&amp;IF(AND(F133&lt;&gt;"",F133&lt;SG_Criteria!$B$31),"NOTE: q below LTA min "&amp;SG_Criteria!$B$31&amp;" kPa (not for LTA works). ","")))</f>
        <v/>
      </c>
      <c r="BK133" s="9"/>
      <c r="BL133" s="9"/>
      <c r="BM133" s="9"/>
      <c r="BN133" s="10" t="str">
        <f aca="false">IF(BM133="","",IFERROR(VLOOKUP(BM133,Projects!$A$5:$D$504,2,0),"Ref not in Projects"))</f>
        <v/>
      </c>
      <c r="BO133" s="10" t="str">
        <f aca="false">IF(BM133="","",IFERROR(VLOOKUP(BM133,Projects!$A$5:$D$504,4,0),"Ref not in Projects"))</f>
        <v/>
      </c>
      <c r="BP133" s="9"/>
      <c r="BQ133" s="9"/>
      <c r="BR133" s="9"/>
      <c r="BS133" s="40"/>
      <c r="BT133" s="9"/>
      <c r="BU133" s="40"/>
      <c r="BV133" s="9"/>
      <c r="BW133" s="40"/>
      <c r="BX133" s="9"/>
      <c r="BY133" s="9"/>
      <c r="BZ133" s="9"/>
      <c r="CA133" s="40"/>
      <c r="CB133" s="40"/>
      <c r="CC133" s="36" t="str">
        <f aca="false">IF(CB133="","",EDATE(CB133,SG_Criteria!$B$54*12))</f>
        <v/>
      </c>
      <c r="CD133" s="33" t="str">
        <f aca="true">IF(A133="","",IF(CB133="","NOTE: not reviewed yet",IF(TODAY()&gt;CC133,"NOTE: review overdue","OK")))</f>
        <v/>
      </c>
      <c r="CE133" s="37" t="str">
        <f aca="false">IF(A133="","",ROUND((IF(LEN(D133)&gt;0,1,0)+IF(LEN(E133)&gt;0,1,0)+IF(LEN(F133)&gt;0,1,0)+IF(LEN(G133)&gt;0,1,0)+IF(LEN(I133)&gt;0,1,0)+IF(LEN(K133)&gt;0,1,0)+IF(LEN(P133)&gt;0,1,0)+IF(LEN(Q133)&gt;0,1,0)+IF(LEN(T133)&gt;0,1,0)+IF(LEN(V133)&gt;0,1,0)+IF(LEN(W133)&gt;0,1,0)+IF(LEN(X133)&gt;0,1,0)+IF(LEN(Z133)&gt;0,1,0)+IF(LEN(AD133)&gt;0,1,0)+IF(LEN(AE133)&gt;0,1,0)+IF(LEN(AG133)&gt;0,1,0)+IF(LEN(AI133)&gt;0,1,0)+IF(LEN(BB133)&gt;0,1,0)+IF(LEN(BC133)&gt;0,1,0)+IF(LEN(AM133)&gt;0,1,0)+IF(LEN(AO133)&gt;0,1,0)+IF(LEN(AP133)&gt;0,1,0)+IF(LEN(AQ133)&gt;0,1,0)+IF(LEN(AR133)&gt;0,1,0)+IF(LEN(BA133)&gt;0,1,0)+IF(LEN(BM133)&gt;0,1,0)+IF(LEN(BZ133)&gt;0,1,0))/27,2))</f>
        <v/>
      </c>
      <c r="CF133" s="10" t="str">
        <f aca="false">IF(D133="","",IF(AND(AP133="Approved",ISERROR(SEARCH("FAIL",BJ133))),"Y","N"))</f>
        <v/>
      </c>
      <c r="CG133" s="10" t="str">
        <f aca="false">IF(D133="","",D133&amp;"|"&amp;E133&amp;"|"&amp;F133&amp;"|"&amp;G133&amp;"|"&amp;CF133)</f>
        <v/>
      </c>
    </row>
    <row r="134" customFormat="false" ht="15" hidden="false" customHeight="false" outlineLevel="0" collapsed="false">
      <c r="A134" s="10" t="str">
        <f aca="false">IF(D134="","","RW-"&amp;IFERROR(VLOOKUP(D134,Lists!$M$4:$N$22,2,0),"??")&amp;"-H"&amp;TEXT(E134*1000,"0000")&amp;"-S"&amp;F134&amp;IF(G134="Y","-GW","")&amp;"-"&amp;AO134)</f>
        <v/>
      </c>
      <c r="B134" s="10" t="str">
        <f aca="false">IF(D134="","",D134&amp;", H = "&amp;TEXT(E134,"0.0")&amp;" m, q = "&amp;F134&amp;" kPa"&amp;IF(G134="Y",", with GWT","")&amp;", "&amp;I134)</f>
        <v/>
      </c>
      <c r="C134" s="9"/>
      <c r="D134" s="9"/>
      <c r="E134" s="39"/>
      <c r="F134" s="38"/>
      <c r="G134" s="9"/>
      <c r="H134" s="38"/>
      <c r="I134" s="9"/>
      <c r="J134" s="38"/>
      <c r="K134" s="38"/>
      <c r="L134" s="38"/>
      <c r="M134" s="42"/>
      <c r="N134" s="9"/>
      <c r="O134" s="38"/>
      <c r="P134" s="38"/>
      <c r="Q134" s="38"/>
      <c r="R134" s="38"/>
      <c r="S134" s="38"/>
      <c r="T134" s="38"/>
      <c r="U134" s="9"/>
      <c r="V134" s="9"/>
      <c r="W134" s="38"/>
      <c r="X134" s="9"/>
      <c r="Y134" s="9"/>
      <c r="Z134" s="9"/>
      <c r="AA134" s="9"/>
      <c r="AB134" s="9"/>
      <c r="AC134" s="9"/>
      <c r="AD134" s="39"/>
      <c r="AE134" s="39"/>
      <c r="AF134" s="39"/>
      <c r="AG134" s="38"/>
      <c r="AH134" s="38"/>
      <c r="AI134" s="9"/>
      <c r="AJ134" s="38"/>
      <c r="AK134" s="9"/>
      <c r="AL134" s="39"/>
      <c r="AM134" s="9"/>
      <c r="AN134" s="9"/>
      <c r="AO134" s="9"/>
      <c r="AP134" s="9"/>
      <c r="AQ134" s="9"/>
      <c r="AR134" s="9"/>
      <c r="AS134" s="9"/>
      <c r="AT134" s="10" t="str">
        <f aca="false">IF(A134="","",SG_Criteria!$B$6&amp;SG_Criteria!$B$8&amp;"\"&amp;A134&amp;"\")</f>
        <v/>
      </c>
      <c r="AU134" s="10" t="str">
        <f aca="false">IF(A134="","",A134&amp;"_CAD.dwg")</f>
        <v/>
      </c>
      <c r="AV134" s="10" t="str">
        <f aca="false">IF(A134="","",A134&amp;"_DWG.pdf")</f>
        <v/>
      </c>
      <c r="AW134" s="10" t="str">
        <f aca="false">IF(A134="","",IF(AS134="Y",A134&amp;"_STAAD.std","n/a"))</f>
        <v/>
      </c>
      <c r="AX134" s="10" t="str">
        <f aca="false">IF(A134="","",A134&amp;"_CALC.xlsx")</f>
        <v/>
      </c>
      <c r="AY134" s="10" t="str">
        <f aca="false">IF(A134="","",A134&amp;"_CALC.pdf")</f>
        <v/>
      </c>
      <c r="AZ134" s="9"/>
      <c r="BA134" s="9"/>
      <c r="BB134" s="39"/>
      <c r="BC134" s="39"/>
      <c r="BD134" s="39"/>
      <c r="BE134" s="39"/>
      <c r="BF134" s="39"/>
      <c r="BG134" s="12" t="str">
        <f aca="false">IF(A134="","",IF(COUNTIF(Rebar_Schedule!$A$5:$A$2004,A134)=0,"",ROUND(SUMIF(Rebar_Schedule!$A$5:$A$2004,A134,Rebar_Schedule!$K$5:$K$2004),1)))</f>
        <v/>
      </c>
      <c r="BH134" s="33" t="str">
        <f aca="false">IF(A134="","",IF(BG134="","No rebar schedule yet",IF(ABS(BG134-N(BC134))/MAX(N(BC134),1)&gt;SG_Criteria!$B$55,"NOTE: register rebar differs from schedule by "&amp;TEXT(ABS(BG134-N(BC134))/MAX(N(BC134),1),"0%"),"OK")))</f>
        <v/>
      </c>
      <c r="BI134" s="33" t="str">
        <f aca="false">IF(OR(D134="",E134=""),"",IF(E134&lt;=IF(OR(D134="Block / Segmental",D134="Gabion",D134="Reinforced Earth (MSE)"),SG_Criteria!$B$34,SG_Criteria!$B$33),"No ERSS submission",IF(E134&lt;=SG_Criteria!$B$35,"QP(ST)",IF(E134&lt;=SG_Criteria!$B$36,"QP(ST) + AC","Geotechnical building works: QP(Geo) + AC"))))</f>
        <v/>
      </c>
      <c r="BJ134" s="33" t="str">
        <f aca="false">IF(D134="","",IF(LEN(IF(AND(V134&lt;&gt;"",IFERROR(VALUE(MID(V134,2,2)),0)&lt;SG_Criteria!$B$19),"FAIL: grade below C"&amp;SG_Criteria!$B$19&amp;". ","")&amp;IF(AND(W134&lt;&gt;"",W134&lt;SG_Criteria!$B$20),"FAIL: cover &lt; "&amp;SG_Criteria!$B$20&amp;" mm. ","")&amp;IF(AND(AD134&lt;&gt;"",AD134&lt;1),"FAIL: sliding. ","")&amp;IF(AND(D134="Reverse L-Wall (toe only, at boundary)",N(S134)&gt;0),"NOTE: reverse L-wall should have no heel. ","")&amp;IF(AND(D134="L-Wall (heel only)",N(R134)&gt;0),"NOTE: L-wall should have no toe. ","")&amp;IF(AND(F134&lt;&gt;"",F134&lt;SG_Criteria!$B$31),"NOTE: q below LTA min "&amp;SG_Criteria!$B$31&amp;" kPa (not for LTA works). ",""))=0,"OK",IF(AND(V134&lt;&gt;"",IFERROR(VALUE(MID(V134,2,2)),0)&lt;SG_Criteria!$B$19),"FAIL: grade below C"&amp;SG_Criteria!$B$19&amp;". ","")&amp;IF(AND(W134&lt;&gt;"",W134&lt;SG_Criteria!$B$20),"FAIL: cover &lt; "&amp;SG_Criteria!$B$20&amp;" mm. ","")&amp;IF(AND(AD134&lt;&gt;"",AD134&lt;1),"FAIL: sliding. ","")&amp;IF(AND(D134="Reverse L-Wall (toe only, at boundary)",N(S134)&gt;0),"NOTE: reverse L-wall should have no heel. ","")&amp;IF(AND(D134="L-Wall (heel only)",N(R134)&gt;0),"NOTE: L-wall should have no toe. ","")&amp;IF(AND(F134&lt;&gt;"",F134&lt;SG_Criteria!$B$31),"NOTE: q below LTA min "&amp;SG_Criteria!$B$31&amp;" kPa (not for LTA works). ","")))</f>
        <v/>
      </c>
      <c r="BK134" s="9"/>
      <c r="BL134" s="9"/>
      <c r="BM134" s="9"/>
      <c r="BN134" s="10" t="str">
        <f aca="false">IF(BM134="","",IFERROR(VLOOKUP(BM134,Projects!$A$5:$D$504,2,0),"Ref not in Projects"))</f>
        <v/>
      </c>
      <c r="BO134" s="10" t="str">
        <f aca="false">IF(BM134="","",IFERROR(VLOOKUP(BM134,Projects!$A$5:$D$504,4,0),"Ref not in Projects"))</f>
        <v/>
      </c>
      <c r="BP134" s="9"/>
      <c r="BQ134" s="9"/>
      <c r="BR134" s="9"/>
      <c r="BS134" s="40"/>
      <c r="BT134" s="9"/>
      <c r="BU134" s="40"/>
      <c r="BV134" s="9"/>
      <c r="BW134" s="40"/>
      <c r="BX134" s="9"/>
      <c r="BY134" s="9"/>
      <c r="BZ134" s="9"/>
      <c r="CA134" s="40"/>
      <c r="CB134" s="40"/>
      <c r="CC134" s="36" t="str">
        <f aca="false">IF(CB134="","",EDATE(CB134,SG_Criteria!$B$54*12))</f>
        <v/>
      </c>
      <c r="CD134" s="33" t="str">
        <f aca="true">IF(A134="","",IF(CB134="","NOTE: not reviewed yet",IF(TODAY()&gt;CC134,"NOTE: review overdue","OK")))</f>
        <v/>
      </c>
      <c r="CE134" s="37" t="str">
        <f aca="false">IF(A134="","",ROUND((IF(LEN(D134)&gt;0,1,0)+IF(LEN(E134)&gt;0,1,0)+IF(LEN(F134)&gt;0,1,0)+IF(LEN(G134)&gt;0,1,0)+IF(LEN(I134)&gt;0,1,0)+IF(LEN(K134)&gt;0,1,0)+IF(LEN(P134)&gt;0,1,0)+IF(LEN(Q134)&gt;0,1,0)+IF(LEN(T134)&gt;0,1,0)+IF(LEN(V134)&gt;0,1,0)+IF(LEN(W134)&gt;0,1,0)+IF(LEN(X134)&gt;0,1,0)+IF(LEN(Z134)&gt;0,1,0)+IF(LEN(AD134)&gt;0,1,0)+IF(LEN(AE134)&gt;0,1,0)+IF(LEN(AG134)&gt;0,1,0)+IF(LEN(AI134)&gt;0,1,0)+IF(LEN(BB134)&gt;0,1,0)+IF(LEN(BC134)&gt;0,1,0)+IF(LEN(AM134)&gt;0,1,0)+IF(LEN(AO134)&gt;0,1,0)+IF(LEN(AP134)&gt;0,1,0)+IF(LEN(AQ134)&gt;0,1,0)+IF(LEN(AR134)&gt;0,1,0)+IF(LEN(BA134)&gt;0,1,0)+IF(LEN(BM134)&gt;0,1,0)+IF(LEN(BZ134)&gt;0,1,0))/27,2))</f>
        <v/>
      </c>
      <c r="CF134" s="10" t="str">
        <f aca="false">IF(D134="","",IF(AND(AP134="Approved",ISERROR(SEARCH("FAIL",BJ134))),"Y","N"))</f>
        <v/>
      </c>
      <c r="CG134" s="10" t="str">
        <f aca="false">IF(D134="","",D134&amp;"|"&amp;E134&amp;"|"&amp;F134&amp;"|"&amp;G134&amp;"|"&amp;CF134)</f>
        <v/>
      </c>
    </row>
    <row r="135" customFormat="false" ht="15" hidden="false" customHeight="false" outlineLevel="0" collapsed="false">
      <c r="A135" s="10" t="str">
        <f aca="false">IF(D135="","","RW-"&amp;IFERROR(VLOOKUP(D135,Lists!$M$4:$N$22,2,0),"??")&amp;"-H"&amp;TEXT(E135*1000,"0000")&amp;"-S"&amp;F135&amp;IF(G135="Y","-GW","")&amp;"-"&amp;AO135)</f>
        <v/>
      </c>
      <c r="B135" s="10" t="str">
        <f aca="false">IF(D135="","",D135&amp;", H = "&amp;TEXT(E135,"0.0")&amp;" m, q = "&amp;F135&amp;" kPa"&amp;IF(G135="Y",", with GWT","")&amp;", "&amp;I135)</f>
        <v/>
      </c>
      <c r="C135" s="9"/>
      <c r="D135" s="9"/>
      <c r="E135" s="39"/>
      <c r="F135" s="38"/>
      <c r="G135" s="9"/>
      <c r="H135" s="38"/>
      <c r="I135" s="9"/>
      <c r="J135" s="38"/>
      <c r="K135" s="38"/>
      <c r="L135" s="38"/>
      <c r="M135" s="42"/>
      <c r="N135" s="9"/>
      <c r="O135" s="38"/>
      <c r="P135" s="38"/>
      <c r="Q135" s="38"/>
      <c r="R135" s="38"/>
      <c r="S135" s="38"/>
      <c r="T135" s="38"/>
      <c r="U135" s="9"/>
      <c r="V135" s="9"/>
      <c r="W135" s="38"/>
      <c r="X135" s="9"/>
      <c r="Y135" s="9"/>
      <c r="Z135" s="9"/>
      <c r="AA135" s="9"/>
      <c r="AB135" s="9"/>
      <c r="AC135" s="9"/>
      <c r="AD135" s="39"/>
      <c r="AE135" s="39"/>
      <c r="AF135" s="39"/>
      <c r="AG135" s="38"/>
      <c r="AH135" s="38"/>
      <c r="AI135" s="9"/>
      <c r="AJ135" s="38"/>
      <c r="AK135" s="9"/>
      <c r="AL135" s="39"/>
      <c r="AM135" s="9"/>
      <c r="AN135" s="9"/>
      <c r="AO135" s="9"/>
      <c r="AP135" s="9"/>
      <c r="AQ135" s="9"/>
      <c r="AR135" s="9"/>
      <c r="AS135" s="9"/>
      <c r="AT135" s="10" t="str">
        <f aca="false">IF(A135="","",SG_Criteria!$B$6&amp;SG_Criteria!$B$8&amp;"\"&amp;A135&amp;"\")</f>
        <v/>
      </c>
      <c r="AU135" s="10" t="str">
        <f aca="false">IF(A135="","",A135&amp;"_CAD.dwg")</f>
        <v/>
      </c>
      <c r="AV135" s="10" t="str">
        <f aca="false">IF(A135="","",A135&amp;"_DWG.pdf")</f>
        <v/>
      </c>
      <c r="AW135" s="10" t="str">
        <f aca="false">IF(A135="","",IF(AS135="Y",A135&amp;"_STAAD.std","n/a"))</f>
        <v/>
      </c>
      <c r="AX135" s="10" t="str">
        <f aca="false">IF(A135="","",A135&amp;"_CALC.xlsx")</f>
        <v/>
      </c>
      <c r="AY135" s="10" t="str">
        <f aca="false">IF(A135="","",A135&amp;"_CALC.pdf")</f>
        <v/>
      </c>
      <c r="AZ135" s="9"/>
      <c r="BA135" s="9"/>
      <c r="BB135" s="39"/>
      <c r="BC135" s="39"/>
      <c r="BD135" s="39"/>
      <c r="BE135" s="39"/>
      <c r="BF135" s="39"/>
      <c r="BG135" s="12" t="str">
        <f aca="false">IF(A135="","",IF(COUNTIF(Rebar_Schedule!$A$5:$A$2004,A135)=0,"",ROUND(SUMIF(Rebar_Schedule!$A$5:$A$2004,A135,Rebar_Schedule!$K$5:$K$2004),1)))</f>
        <v/>
      </c>
      <c r="BH135" s="33" t="str">
        <f aca="false">IF(A135="","",IF(BG135="","No rebar schedule yet",IF(ABS(BG135-N(BC135))/MAX(N(BC135),1)&gt;SG_Criteria!$B$55,"NOTE: register rebar differs from schedule by "&amp;TEXT(ABS(BG135-N(BC135))/MAX(N(BC135),1),"0%"),"OK")))</f>
        <v/>
      </c>
      <c r="BI135" s="33" t="str">
        <f aca="false">IF(OR(D135="",E135=""),"",IF(E135&lt;=IF(OR(D135="Block / Segmental",D135="Gabion",D135="Reinforced Earth (MSE)"),SG_Criteria!$B$34,SG_Criteria!$B$33),"No ERSS submission",IF(E135&lt;=SG_Criteria!$B$35,"QP(ST)",IF(E135&lt;=SG_Criteria!$B$36,"QP(ST) + AC","Geotechnical building works: QP(Geo) + AC"))))</f>
        <v/>
      </c>
      <c r="BJ135" s="33" t="str">
        <f aca="false">IF(D135="","",IF(LEN(IF(AND(V135&lt;&gt;"",IFERROR(VALUE(MID(V135,2,2)),0)&lt;SG_Criteria!$B$19),"FAIL: grade below C"&amp;SG_Criteria!$B$19&amp;". ","")&amp;IF(AND(W135&lt;&gt;"",W135&lt;SG_Criteria!$B$20),"FAIL: cover &lt; "&amp;SG_Criteria!$B$20&amp;" mm. ","")&amp;IF(AND(AD135&lt;&gt;"",AD135&lt;1),"FAIL: sliding. ","")&amp;IF(AND(D135="Reverse L-Wall (toe only, at boundary)",N(S135)&gt;0),"NOTE: reverse L-wall should have no heel. ","")&amp;IF(AND(D135="L-Wall (heel only)",N(R135)&gt;0),"NOTE: L-wall should have no toe. ","")&amp;IF(AND(F135&lt;&gt;"",F135&lt;SG_Criteria!$B$31),"NOTE: q below LTA min "&amp;SG_Criteria!$B$31&amp;" kPa (not for LTA works). ",""))=0,"OK",IF(AND(V135&lt;&gt;"",IFERROR(VALUE(MID(V135,2,2)),0)&lt;SG_Criteria!$B$19),"FAIL: grade below C"&amp;SG_Criteria!$B$19&amp;". ","")&amp;IF(AND(W135&lt;&gt;"",W135&lt;SG_Criteria!$B$20),"FAIL: cover &lt; "&amp;SG_Criteria!$B$20&amp;" mm. ","")&amp;IF(AND(AD135&lt;&gt;"",AD135&lt;1),"FAIL: sliding. ","")&amp;IF(AND(D135="Reverse L-Wall (toe only, at boundary)",N(S135)&gt;0),"NOTE: reverse L-wall should have no heel. ","")&amp;IF(AND(D135="L-Wall (heel only)",N(R135)&gt;0),"NOTE: L-wall should have no toe. ","")&amp;IF(AND(F135&lt;&gt;"",F135&lt;SG_Criteria!$B$31),"NOTE: q below LTA min "&amp;SG_Criteria!$B$31&amp;" kPa (not for LTA works). ","")))</f>
        <v/>
      </c>
      <c r="BK135" s="9"/>
      <c r="BL135" s="9"/>
      <c r="BM135" s="9"/>
      <c r="BN135" s="10" t="str">
        <f aca="false">IF(BM135="","",IFERROR(VLOOKUP(BM135,Projects!$A$5:$D$504,2,0),"Ref not in Projects"))</f>
        <v/>
      </c>
      <c r="BO135" s="10" t="str">
        <f aca="false">IF(BM135="","",IFERROR(VLOOKUP(BM135,Projects!$A$5:$D$504,4,0),"Ref not in Projects"))</f>
        <v/>
      </c>
      <c r="BP135" s="9"/>
      <c r="BQ135" s="9"/>
      <c r="BR135" s="9"/>
      <c r="BS135" s="40"/>
      <c r="BT135" s="9"/>
      <c r="BU135" s="40"/>
      <c r="BV135" s="9"/>
      <c r="BW135" s="40"/>
      <c r="BX135" s="9"/>
      <c r="BY135" s="9"/>
      <c r="BZ135" s="9"/>
      <c r="CA135" s="40"/>
      <c r="CB135" s="40"/>
      <c r="CC135" s="36" t="str">
        <f aca="false">IF(CB135="","",EDATE(CB135,SG_Criteria!$B$54*12))</f>
        <v/>
      </c>
      <c r="CD135" s="33" t="str">
        <f aca="true">IF(A135="","",IF(CB135="","NOTE: not reviewed yet",IF(TODAY()&gt;CC135,"NOTE: review overdue","OK")))</f>
        <v/>
      </c>
      <c r="CE135" s="37" t="str">
        <f aca="false">IF(A135="","",ROUND((IF(LEN(D135)&gt;0,1,0)+IF(LEN(E135)&gt;0,1,0)+IF(LEN(F135)&gt;0,1,0)+IF(LEN(G135)&gt;0,1,0)+IF(LEN(I135)&gt;0,1,0)+IF(LEN(K135)&gt;0,1,0)+IF(LEN(P135)&gt;0,1,0)+IF(LEN(Q135)&gt;0,1,0)+IF(LEN(T135)&gt;0,1,0)+IF(LEN(V135)&gt;0,1,0)+IF(LEN(W135)&gt;0,1,0)+IF(LEN(X135)&gt;0,1,0)+IF(LEN(Z135)&gt;0,1,0)+IF(LEN(AD135)&gt;0,1,0)+IF(LEN(AE135)&gt;0,1,0)+IF(LEN(AG135)&gt;0,1,0)+IF(LEN(AI135)&gt;0,1,0)+IF(LEN(BB135)&gt;0,1,0)+IF(LEN(BC135)&gt;0,1,0)+IF(LEN(AM135)&gt;0,1,0)+IF(LEN(AO135)&gt;0,1,0)+IF(LEN(AP135)&gt;0,1,0)+IF(LEN(AQ135)&gt;0,1,0)+IF(LEN(AR135)&gt;0,1,0)+IF(LEN(BA135)&gt;0,1,0)+IF(LEN(BM135)&gt;0,1,0)+IF(LEN(BZ135)&gt;0,1,0))/27,2))</f>
        <v/>
      </c>
      <c r="CF135" s="10" t="str">
        <f aca="false">IF(D135="","",IF(AND(AP135="Approved",ISERROR(SEARCH("FAIL",BJ135))),"Y","N"))</f>
        <v/>
      </c>
      <c r="CG135" s="10" t="str">
        <f aca="false">IF(D135="","",D135&amp;"|"&amp;E135&amp;"|"&amp;F135&amp;"|"&amp;G135&amp;"|"&amp;CF135)</f>
        <v/>
      </c>
    </row>
    <row r="136" customFormat="false" ht="15" hidden="false" customHeight="false" outlineLevel="0" collapsed="false">
      <c r="A136" s="10" t="str">
        <f aca="false">IF(D136="","","RW-"&amp;IFERROR(VLOOKUP(D136,Lists!$M$4:$N$22,2,0),"??")&amp;"-H"&amp;TEXT(E136*1000,"0000")&amp;"-S"&amp;F136&amp;IF(G136="Y","-GW","")&amp;"-"&amp;AO136)</f>
        <v/>
      </c>
      <c r="B136" s="10" t="str">
        <f aca="false">IF(D136="","",D136&amp;", H = "&amp;TEXT(E136,"0.0")&amp;" m, q = "&amp;F136&amp;" kPa"&amp;IF(G136="Y",", with GWT","")&amp;", "&amp;I136)</f>
        <v/>
      </c>
      <c r="C136" s="9"/>
      <c r="D136" s="9"/>
      <c r="E136" s="39"/>
      <c r="F136" s="38"/>
      <c r="G136" s="9"/>
      <c r="H136" s="38"/>
      <c r="I136" s="9"/>
      <c r="J136" s="38"/>
      <c r="K136" s="38"/>
      <c r="L136" s="38"/>
      <c r="M136" s="42"/>
      <c r="N136" s="9"/>
      <c r="O136" s="38"/>
      <c r="P136" s="38"/>
      <c r="Q136" s="38"/>
      <c r="R136" s="38"/>
      <c r="S136" s="38"/>
      <c r="T136" s="38"/>
      <c r="U136" s="9"/>
      <c r="V136" s="9"/>
      <c r="W136" s="38"/>
      <c r="X136" s="9"/>
      <c r="Y136" s="9"/>
      <c r="Z136" s="9"/>
      <c r="AA136" s="9"/>
      <c r="AB136" s="9"/>
      <c r="AC136" s="9"/>
      <c r="AD136" s="39"/>
      <c r="AE136" s="39"/>
      <c r="AF136" s="39"/>
      <c r="AG136" s="38"/>
      <c r="AH136" s="38"/>
      <c r="AI136" s="9"/>
      <c r="AJ136" s="38"/>
      <c r="AK136" s="9"/>
      <c r="AL136" s="39"/>
      <c r="AM136" s="9"/>
      <c r="AN136" s="9"/>
      <c r="AO136" s="9"/>
      <c r="AP136" s="9"/>
      <c r="AQ136" s="9"/>
      <c r="AR136" s="9"/>
      <c r="AS136" s="9"/>
      <c r="AT136" s="10" t="str">
        <f aca="false">IF(A136="","",SG_Criteria!$B$6&amp;SG_Criteria!$B$8&amp;"\"&amp;A136&amp;"\")</f>
        <v/>
      </c>
      <c r="AU136" s="10" t="str">
        <f aca="false">IF(A136="","",A136&amp;"_CAD.dwg")</f>
        <v/>
      </c>
      <c r="AV136" s="10" t="str">
        <f aca="false">IF(A136="","",A136&amp;"_DWG.pdf")</f>
        <v/>
      </c>
      <c r="AW136" s="10" t="str">
        <f aca="false">IF(A136="","",IF(AS136="Y",A136&amp;"_STAAD.std","n/a"))</f>
        <v/>
      </c>
      <c r="AX136" s="10" t="str">
        <f aca="false">IF(A136="","",A136&amp;"_CALC.xlsx")</f>
        <v/>
      </c>
      <c r="AY136" s="10" t="str">
        <f aca="false">IF(A136="","",A136&amp;"_CALC.pdf")</f>
        <v/>
      </c>
      <c r="AZ136" s="9"/>
      <c r="BA136" s="9"/>
      <c r="BB136" s="39"/>
      <c r="BC136" s="39"/>
      <c r="BD136" s="39"/>
      <c r="BE136" s="39"/>
      <c r="BF136" s="39"/>
      <c r="BG136" s="12" t="str">
        <f aca="false">IF(A136="","",IF(COUNTIF(Rebar_Schedule!$A$5:$A$2004,A136)=0,"",ROUND(SUMIF(Rebar_Schedule!$A$5:$A$2004,A136,Rebar_Schedule!$K$5:$K$2004),1)))</f>
        <v/>
      </c>
      <c r="BH136" s="33" t="str">
        <f aca="false">IF(A136="","",IF(BG136="","No rebar schedule yet",IF(ABS(BG136-N(BC136))/MAX(N(BC136),1)&gt;SG_Criteria!$B$55,"NOTE: register rebar differs from schedule by "&amp;TEXT(ABS(BG136-N(BC136))/MAX(N(BC136),1),"0%"),"OK")))</f>
        <v/>
      </c>
      <c r="BI136" s="33" t="str">
        <f aca="false">IF(OR(D136="",E136=""),"",IF(E136&lt;=IF(OR(D136="Block / Segmental",D136="Gabion",D136="Reinforced Earth (MSE)"),SG_Criteria!$B$34,SG_Criteria!$B$33),"No ERSS submission",IF(E136&lt;=SG_Criteria!$B$35,"QP(ST)",IF(E136&lt;=SG_Criteria!$B$36,"QP(ST) + AC","Geotechnical building works: QP(Geo) + AC"))))</f>
        <v/>
      </c>
      <c r="BJ136" s="33" t="str">
        <f aca="false">IF(D136="","",IF(LEN(IF(AND(V136&lt;&gt;"",IFERROR(VALUE(MID(V136,2,2)),0)&lt;SG_Criteria!$B$19),"FAIL: grade below C"&amp;SG_Criteria!$B$19&amp;". ","")&amp;IF(AND(W136&lt;&gt;"",W136&lt;SG_Criteria!$B$20),"FAIL: cover &lt; "&amp;SG_Criteria!$B$20&amp;" mm. ","")&amp;IF(AND(AD136&lt;&gt;"",AD136&lt;1),"FAIL: sliding. ","")&amp;IF(AND(D136="Reverse L-Wall (toe only, at boundary)",N(S136)&gt;0),"NOTE: reverse L-wall should have no heel. ","")&amp;IF(AND(D136="L-Wall (heel only)",N(R136)&gt;0),"NOTE: L-wall should have no toe. ","")&amp;IF(AND(F136&lt;&gt;"",F136&lt;SG_Criteria!$B$31),"NOTE: q below LTA min "&amp;SG_Criteria!$B$31&amp;" kPa (not for LTA works). ",""))=0,"OK",IF(AND(V136&lt;&gt;"",IFERROR(VALUE(MID(V136,2,2)),0)&lt;SG_Criteria!$B$19),"FAIL: grade below C"&amp;SG_Criteria!$B$19&amp;". ","")&amp;IF(AND(W136&lt;&gt;"",W136&lt;SG_Criteria!$B$20),"FAIL: cover &lt; "&amp;SG_Criteria!$B$20&amp;" mm. ","")&amp;IF(AND(AD136&lt;&gt;"",AD136&lt;1),"FAIL: sliding. ","")&amp;IF(AND(D136="Reverse L-Wall (toe only, at boundary)",N(S136)&gt;0),"NOTE: reverse L-wall should have no heel. ","")&amp;IF(AND(D136="L-Wall (heel only)",N(R136)&gt;0),"NOTE: L-wall should have no toe. ","")&amp;IF(AND(F136&lt;&gt;"",F136&lt;SG_Criteria!$B$31),"NOTE: q below LTA min "&amp;SG_Criteria!$B$31&amp;" kPa (not for LTA works). ","")))</f>
        <v/>
      </c>
      <c r="BK136" s="9"/>
      <c r="BL136" s="9"/>
      <c r="BM136" s="9"/>
      <c r="BN136" s="10" t="str">
        <f aca="false">IF(BM136="","",IFERROR(VLOOKUP(BM136,Projects!$A$5:$D$504,2,0),"Ref not in Projects"))</f>
        <v/>
      </c>
      <c r="BO136" s="10" t="str">
        <f aca="false">IF(BM136="","",IFERROR(VLOOKUP(BM136,Projects!$A$5:$D$504,4,0),"Ref not in Projects"))</f>
        <v/>
      </c>
      <c r="BP136" s="9"/>
      <c r="BQ136" s="9"/>
      <c r="BR136" s="9"/>
      <c r="BS136" s="40"/>
      <c r="BT136" s="9"/>
      <c r="BU136" s="40"/>
      <c r="BV136" s="9"/>
      <c r="BW136" s="40"/>
      <c r="BX136" s="9"/>
      <c r="BY136" s="9"/>
      <c r="BZ136" s="9"/>
      <c r="CA136" s="40"/>
      <c r="CB136" s="40"/>
      <c r="CC136" s="36" t="str">
        <f aca="false">IF(CB136="","",EDATE(CB136,SG_Criteria!$B$54*12))</f>
        <v/>
      </c>
      <c r="CD136" s="33" t="str">
        <f aca="true">IF(A136="","",IF(CB136="","NOTE: not reviewed yet",IF(TODAY()&gt;CC136,"NOTE: review overdue","OK")))</f>
        <v/>
      </c>
      <c r="CE136" s="37" t="str">
        <f aca="false">IF(A136="","",ROUND((IF(LEN(D136)&gt;0,1,0)+IF(LEN(E136)&gt;0,1,0)+IF(LEN(F136)&gt;0,1,0)+IF(LEN(G136)&gt;0,1,0)+IF(LEN(I136)&gt;0,1,0)+IF(LEN(K136)&gt;0,1,0)+IF(LEN(P136)&gt;0,1,0)+IF(LEN(Q136)&gt;0,1,0)+IF(LEN(T136)&gt;0,1,0)+IF(LEN(V136)&gt;0,1,0)+IF(LEN(W136)&gt;0,1,0)+IF(LEN(X136)&gt;0,1,0)+IF(LEN(Z136)&gt;0,1,0)+IF(LEN(AD136)&gt;0,1,0)+IF(LEN(AE136)&gt;0,1,0)+IF(LEN(AG136)&gt;0,1,0)+IF(LEN(AI136)&gt;0,1,0)+IF(LEN(BB136)&gt;0,1,0)+IF(LEN(BC136)&gt;0,1,0)+IF(LEN(AM136)&gt;0,1,0)+IF(LEN(AO136)&gt;0,1,0)+IF(LEN(AP136)&gt;0,1,0)+IF(LEN(AQ136)&gt;0,1,0)+IF(LEN(AR136)&gt;0,1,0)+IF(LEN(BA136)&gt;0,1,0)+IF(LEN(BM136)&gt;0,1,0)+IF(LEN(BZ136)&gt;0,1,0))/27,2))</f>
        <v/>
      </c>
      <c r="CF136" s="10" t="str">
        <f aca="false">IF(D136="","",IF(AND(AP136="Approved",ISERROR(SEARCH("FAIL",BJ136))),"Y","N"))</f>
        <v/>
      </c>
      <c r="CG136" s="10" t="str">
        <f aca="false">IF(D136="","",D136&amp;"|"&amp;E136&amp;"|"&amp;F136&amp;"|"&amp;G136&amp;"|"&amp;CF136)</f>
        <v/>
      </c>
    </row>
    <row r="137" customFormat="false" ht="15" hidden="false" customHeight="false" outlineLevel="0" collapsed="false">
      <c r="A137" s="10" t="str">
        <f aca="false">IF(D137="","","RW-"&amp;IFERROR(VLOOKUP(D137,Lists!$M$4:$N$22,2,0),"??")&amp;"-H"&amp;TEXT(E137*1000,"0000")&amp;"-S"&amp;F137&amp;IF(G137="Y","-GW","")&amp;"-"&amp;AO137)</f>
        <v/>
      </c>
      <c r="B137" s="10" t="str">
        <f aca="false">IF(D137="","",D137&amp;", H = "&amp;TEXT(E137,"0.0")&amp;" m, q = "&amp;F137&amp;" kPa"&amp;IF(G137="Y",", with GWT","")&amp;", "&amp;I137)</f>
        <v/>
      </c>
      <c r="C137" s="9"/>
      <c r="D137" s="9"/>
      <c r="E137" s="39"/>
      <c r="F137" s="38"/>
      <c r="G137" s="9"/>
      <c r="H137" s="38"/>
      <c r="I137" s="9"/>
      <c r="J137" s="38"/>
      <c r="K137" s="38"/>
      <c r="L137" s="38"/>
      <c r="M137" s="42"/>
      <c r="N137" s="9"/>
      <c r="O137" s="38"/>
      <c r="P137" s="38"/>
      <c r="Q137" s="38"/>
      <c r="R137" s="38"/>
      <c r="S137" s="38"/>
      <c r="T137" s="38"/>
      <c r="U137" s="9"/>
      <c r="V137" s="9"/>
      <c r="W137" s="38"/>
      <c r="X137" s="9"/>
      <c r="Y137" s="9"/>
      <c r="Z137" s="9"/>
      <c r="AA137" s="9"/>
      <c r="AB137" s="9"/>
      <c r="AC137" s="9"/>
      <c r="AD137" s="39"/>
      <c r="AE137" s="39"/>
      <c r="AF137" s="39"/>
      <c r="AG137" s="38"/>
      <c r="AH137" s="38"/>
      <c r="AI137" s="9"/>
      <c r="AJ137" s="38"/>
      <c r="AK137" s="9"/>
      <c r="AL137" s="39"/>
      <c r="AM137" s="9"/>
      <c r="AN137" s="9"/>
      <c r="AO137" s="9"/>
      <c r="AP137" s="9"/>
      <c r="AQ137" s="9"/>
      <c r="AR137" s="9"/>
      <c r="AS137" s="9"/>
      <c r="AT137" s="10" t="str">
        <f aca="false">IF(A137="","",SG_Criteria!$B$6&amp;SG_Criteria!$B$8&amp;"\"&amp;A137&amp;"\")</f>
        <v/>
      </c>
      <c r="AU137" s="10" t="str">
        <f aca="false">IF(A137="","",A137&amp;"_CAD.dwg")</f>
        <v/>
      </c>
      <c r="AV137" s="10" t="str">
        <f aca="false">IF(A137="","",A137&amp;"_DWG.pdf")</f>
        <v/>
      </c>
      <c r="AW137" s="10" t="str">
        <f aca="false">IF(A137="","",IF(AS137="Y",A137&amp;"_STAAD.std","n/a"))</f>
        <v/>
      </c>
      <c r="AX137" s="10" t="str">
        <f aca="false">IF(A137="","",A137&amp;"_CALC.xlsx")</f>
        <v/>
      </c>
      <c r="AY137" s="10" t="str">
        <f aca="false">IF(A137="","",A137&amp;"_CALC.pdf")</f>
        <v/>
      </c>
      <c r="AZ137" s="9"/>
      <c r="BA137" s="9"/>
      <c r="BB137" s="39"/>
      <c r="BC137" s="39"/>
      <c r="BD137" s="39"/>
      <c r="BE137" s="39"/>
      <c r="BF137" s="39"/>
      <c r="BG137" s="12" t="str">
        <f aca="false">IF(A137="","",IF(COUNTIF(Rebar_Schedule!$A$5:$A$2004,A137)=0,"",ROUND(SUMIF(Rebar_Schedule!$A$5:$A$2004,A137,Rebar_Schedule!$K$5:$K$2004),1)))</f>
        <v/>
      </c>
      <c r="BH137" s="33" t="str">
        <f aca="false">IF(A137="","",IF(BG137="","No rebar schedule yet",IF(ABS(BG137-N(BC137))/MAX(N(BC137),1)&gt;SG_Criteria!$B$55,"NOTE: register rebar differs from schedule by "&amp;TEXT(ABS(BG137-N(BC137))/MAX(N(BC137),1),"0%"),"OK")))</f>
        <v/>
      </c>
      <c r="BI137" s="33" t="str">
        <f aca="false">IF(OR(D137="",E137=""),"",IF(E137&lt;=IF(OR(D137="Block / Segmental",D137="Gabion",D137="Reinforced Earth (MSE)"),SG_Criteria!$B$34,SG_Criteria!$B$33),"No ERSS submission",IF(E137&lt;=SG_Criteria!$B$35,"QP(ST)",IF(E137&lt;=SG_Criteria!$B$36,"QP(ST) + AC","Geotechnical building works: QP(Geo) + AC"))))</f>
        <v/>
      </c>
      <c r="BJ137" s="33" t="str">
        <f aca="false">IF(D137="","",IF(LEN(IF(AND(V137&lt;&gt;"",IFERROR(VALUE(MID(V137,2,2)),0)&lt;SG_Criteria!$B$19),"FAIL: grade below C"&amp;SG_Criteria!$B$19&amp;". ","")&amp;IF(AND(W137&lt;&gt;"",W137&lt;SG_Criteria!$B$20),"FAIL: cover &lt; "&amp;SG_Criteria!$B$20&amp;" mm. ","")&amp;IF(AND(AD137&lt;&gt;"",AD137&lt;1),"FAIL: sliding. ","")&amp;IF(AND(D137="Reverse L-Wall (toe only, at boundary)",N(S137)&gt;0),"NOTE: reverse L-wall should have no heel. ","")&amp;IF(AND(D137="L-Wall (heel only)",N(R137)&gt;0),"NOTE: L-wall should have no toe. ","")&amp;IF(AND(F137&lt;&gt;"",F137&lt;SG_Criteria!$B$31),"NOTE: q below LTA min "&amp;SG_Criteria!$B$31&amp;" kPa (not for LTA works). ",""))=0,"OK",IF(AND(V137&lt;&gt;"",IFERROR(VALUE(MID(V137,2,2)),0)&lt;SG_Criteria!$B$19),"FAIL: grade below C"&amp;SG_Criteria!$B$19&amp;". ","")&amp;IF(AND(W137&lt;&gt;"",W137&lt;SG_Criteria!$B$20),"FAIL: cover &lt; "&amp;SG_Criteria!$B$20&amp;" mm. ","")&amp;IF(AND(AD137&lt;&gt;"",AD137&lt;1),"FAIL: sliding. ","")&amp;IF(AND(D137="Reverse L-Wall (toe only, at boundary)",N(S137)&gt;0),"NOTE: reverse L-wall should have no heel. ","")&amp;IF(AND(D137="L-Wall (heel only)",N(R137)&gt;0),"NOTE: L-wall should have no toe. ","")&amp;IF(AND(F137&lt;&gt;"",F137&lt;SG_Criteria!$B$31),"NOTE: q below LTA min "&amp;SG_Criteria!$B$31&amp;" kPa (not for LTA works). ","")))</f>
        <v/>
      </c>
      <c r="BK137" s="9"/>
      <c r="BL137" s="9"/>
      <c r="BM137" s="9"/>
      <c r="BN137" s="10" t="str">
        <f aca="false">IF(BM137="","",IFERROR(VLOOKUP(BM137,Projects!$A$5:$D$504,2,0),"Ref not in Projects"))</f>
        <v/>
      </c>
      <c r="BO137" s="10" t="str">
        <f aca="false">IF(BM137="","",IFERROR(VLOOKUP(BM137,Projects!$A$5:$D$504,4,0),"Ref not in Projects"))</f>
        <v/>
      </c>
      <c r="BP137" s="9"/>
      <c r="BQ137" s="9"/>
      <c r="BR137" s="9"/>
      <c r="BS137" s="40"/>
      <c r="BT137" s="9"/>
      <c r="BU137" s="40"/>
      <c r="BV137" s="9"/>
      <c r="BW137" s="40"/>
      <c r="BX137" s="9"/>
      <c r="BY137" s="9"/>
      <c r="BZ137" s="9"/>
      <c r="CA137" s="40"/>
      <c r="CB137" s="40"/>
      <c r="CC137" s="36" t="str">
        <f aca="false">IF(CB137="","",EDATE(CB137,SG_Criteria!$B$54*12))</f>
        <v/>
      </c>
      <c r="CD137" s="33" t="str">
        <f aca="true">IF(A137="","",IF(CB137="","NOTE: not reviewed yet",IF(TODAY()&gt;CC137,"NOTE: review overdue","OK")))</f>
        <v/>
      </c>
      <c r="CE137" s="37" t="str">
        <f aca="false">IF(A137="","",ROUND((IF(LEN(D137)&gt;0,1,0)+IF(LEN(E137)&gt;0,1,0)+IF(LEN(F137)&gt;0,1,0)+IF(LEN(G137)&gt;0,1,0)+IF(LEN(I137)&gt;0,1,0)+IF(LEN(K137)&gt;0,1,0)+IF(LEN(P137)&gt;0,1,0)+IF(LEN(Q137)&gt;0,1,0)+IF(LEN(T137)&gt;0,1,0)+IF(LEN(V137)&gt;0,1,0)+IF(LEN(W137)&gt;0,1,0)+IF(LEN(X137)&gt;0,1,0)+IF(LEN(Z137)&gt;0,1,0)+IF(LEN(AD137)&gt;0,1,0)+IF(LEN(AE137)&gt;0,1,0)+IF(LEN(AG137)&gt;0,1,0)+IF(LEN(AI137)&gt;0,1,0)+IF(LEN(BB137)&gt;0,1,0)+IF(LEN(BC137)&gt;0,1,0)+IF(LEN(AM137)&gt;0,1,0)+IF(LEN(AO137)&gt;0,1,0)+IF(LEN(AP137)&gt;0,1,0)+IF(LEN(AQ137)&gt;0,1,0)+IF(LEN(AR137)&gt;0,1,0)+IF(LEN(BA137)&gt;0,1,0)+IF(LEN(BM137)&gt;0,1,0)+IF(LEN(BZ137)&gt;0,1,0))/27,2))</f>
        <v/>
      </c>
      <c r="CF137" s="10" t="str">
        <f aca="false">IF(D137="","",IF(AND(AP137="Approved",ISERROR(SEARCH("FAIL",BJ137))),"Y","N"))</f>
        <v/>
      </c>
      <c r="CG137" s="10" t="str">
        <f aca="false">IF(D137="","",D137&amp;"|"&amp;E137&amp;"|"&amp;F137&amp;"|"&amp;G137&amp;"|"&amp;CF137)</f>
        <v/>
      </c>
    </row>
    <row r="138" customFormat="false" ht="15" hidden="false" customHeight="false" outlineLevel="0" collapsed="false">
      <c r="A138" s="10" t="str">
        <f aca="false">IF(D138="","","RW-"&amp;IFERROR(VLOOKUP(D138,Lists!$M$4:$N$22,2,0),"??")&amp;"-H"&amp;TEXT(E138*1000,"0000")&amp;"-S"&amp;F138&amp;IF(G138="Y","-GW","")&amp;"-"&amp;AO138)</f>
        <v/>
      </c>
      <c r="B138" s="10" t="str">
        <f aca="false">IF(D138="","",D138&amp;", H = "&amp;TEXT(E138,"0.0")&amp;" m, q = "&amp;F138&amp;" kPa"&amp;IF(G138="Y",", with GWT","")&amp;", "&amp;I138)</f>
        <v/>
      </c>
      <c r="C138" s="9"/>
      <c r="D138" s="9"/>
      <c r="E138" s="39"/>
      <c r="F138" s="38"/>
      <c r="G138" s="9"/>
      <c r="H138" s="38"/>
      <c r="I138" s="9"/>
      <c r="J138" s="38"/>
      <c r="K138" s="38"/>
      <c r="L138" s="38"/>
      <c r="M138" s="42"/>
      <c r="N138" s="9"/>
      <c r="O138" s="38"/>
      <c r="P138" s="38"/>
      <c r="Q138" s="38"/>
      <c r="R138" s="38"/>
      <c r="S138" s="38"/>
      <c r="T138" s="38"/>
      <c r="U138" s="9"/>
      <c r="V138" s="9"/>
      <c r="W138" s="38"/>
      <c r="X138" s="9"/>
      <c r="Y138" s="9"/>
      <c r="Z138" s="9"/>
      <c r="AA138" s="9"/>
      <c r="AB138" s="9"/>
      <c r="AC138" s="9"/>
      <c r="AD138" s="39"/>
      <c r="AE138" s="39"/>
      <c r="AF138" s="39"/>
      <c r="AG138" s="38"/>
      <c r="AH138" s="38"/>
      <c r="AI138" s="9"/>
      <c r="AJ138" s="38"/>
      <c r="AK138" s="9"/>
      <c r="AL138" s="39"/>
      <c r="AM138" s="9"/>
      <c r="AN138" s="9"/>
      <c r="AO138" s="9"/>
      <c r="AP138" s="9"/>
      <c r="AQ138" s="9"/>
      <c r="AR138" s="9"/>
      <c r="AS138" s="9"/>
      <c r="AT138" s="10" t="str">
        <f aca="false">IF(A138="","",SG_Criteria!$B$6&amp;SG_Criteria!$B$8&amp;"\"&amp;A138&amp;"\")</f>
        <v/>
      </c>
      <c r="AU138" s="10" t="str">
        <f aca="false">IF(A138="","",A138&amp;"_CAD.dwg")</f>
        <v/>
      </c>
      <c r="AV138" s="10" t="str">
        <f aca="false">IF(A138="","",A138&amp;"_DWG.pdf")</f>
        <v/>
      </c>
      <c r="AW138" s="10" t="str">
        <f aca="false">IF(A138="","",IF(AS138="Y",A138&amp;"_STAAD.std","n/a"))</f>
        <v/>
      </c>
      <c r="AX138" s="10" t="str">
        <f aca="false">IF(A138="","",A138&amp;"_CALC.xlsx")</f>
        <v/>
      </c>
      <c r="AY138" s="10" t="str">
        <f aca="false">IF(A138="","",A138&amp;"_CALC.pdf")</f>
        <v/>
      </c>
      <c r="AZ138" s="9"/>
      <c r="BA138" s="9"/>
      <c r="BB138" s="39"/>
      <c r="BC138" s="39"/>
      <c r="BD138" s="39"/>
      <c r="BE138" s="39"/>
      <c r="BF138" s="39"/>
      <c r="BG138" s="12" t="str">
        <f aca="false">IF(A138="","",IF(COUNTIF(Rebar_Schedule!$A$5:$A$2004,A138)=0,"",ROUND(SUMIF(Rebar_Schedule!$A$5:$A$2004,A138,Rebar_Schedule!$K$5:$K$2004),1)))</f>
        <v/>
      </c>
      <c r="BH138" s="33" t="str">
        <f aca="false">IF(A138="","",IF(BG138="","No rebar schedule yet",IF(ABS(BG138-N(BC138))/MAX(N(BC138),1)&gt;SG_Criteria!$B$55,"NOTE: register rebar differs from schedule by "&amp;TEXT(ABS(BG138-N(BC138))/MAX(N(BC138),1),"0%"),"OK")))</f>
        <v/>
      </c>
      <c r="BI138" s="33" t="str">
        <f aca="false">IF(OR(D138="",E138=""),"",IF(E138&lt;=IF(OR(D138="Block / Segmental",D138="Gabion",D138="Reinforced Earth (MSE)"),SG_Criteria!$B$34,SG_Criteria!$B$33),"No ERSS submission",IF(E138&lt;=SG_Criteria!$B$35,"QP(ST)",IF(E138&lt;=SG_Criteria!$B$36,"QP(ST) + AC","Geotechnical building works: QP(Geo) + AC"))))</f>
        <v/>
      </c>
      <c r="BJ138" s="33" t="str">
        <f aca="false">IF(D138="","",IF(LEN(IF(AND(V138&lt;&gt;"",IFERROR(VALUE(MID(V138,2,2)),0)&lt;SG_Criteria!$B$19),"FAIL: grade below C"&amp;SG_Criteria!$B$19&amp;". ","")&amp;IF(AND(W138&lt;&gt;"",W138&lt;SG_Criteria!$B$20),"FAIL: cover &lt; "&amp;SG_Criteria!$B$20&amp;" mm. ","")&amp;IF(AND(AD138&lt;&gt;"",AD138&lt;1),"FAIL: sliding. ","")&amp;IF(AND(D138="Reverse L-Wall (toe only, at boundary)",N(S138)&gt;0),"NOTE: reverse L-wall should have no heel. ","")&amp;IF(AND(D138="L-Wall (heel only)",N(R138)&gt;0),"NOTE: L-wall should have no toe. ","")&amp;IF(AND(F138&lt;&gt;"",F138&lt;SG_Criteria!$B$31),"NOTE: q below LTA min "&amp;SG_Criteria!$B$31&amp;" kPa (not for LTA works). ",""))=0,"OK",IF(AND(V138&lt;&gt;"",IFERROR(VALUE(MID(V138,2,2)),0)&lt;SG_Criteria!$B$19),"FAIL: grade below C"&amp;SG_Criteria!$B$19&amp;". ","")&amp;IF(AND(W138&lt;&gt;"",W138&lt;SG_Criteria!$B$20),"FAIL: cover &lt; "&amp;SG_Criteria!$B$20&amp;" mm. ","")&amp;IF(AND(AD138&lt;&gt;"",AD138&lt;1),"FAIL: sliding. ","")&amp;IF(AND(D138="Reverse L-Wall (toe only, at boundary)",N(S138)&gt;0),"NOTE: reverse L-wall should have no heel. ","")&amp;IF(AND(D138="L-Wall (heel only)",N(R138)&gt;0),"NOTE: L-wall should have no toe. ","")&amp;IF(AND(F138&lt;&gt;"",F138&lt;SG_Criteria!$B$31),"NOTE: q below LTA min "&amp;SG_Criteria!$B$31&amp;" kPa (not for LTA works). ","")))</f>
        <v/>
      </c>
      <c r="BK138" s="9"/>
      <c r="BL138" s="9"/>
      <c r="BM138" s="9"/>
      <c r="BN138" s="10" t="str">
        <f aca="false">IF(BM138="","",IFERROR(VLOOKUP(BM138,Projects!$A$5:$D$504,2,0),"Ref not in Projects"))</f>
        <v/>
      </c>
      <c r="BO138" s="10" t="str">
        <f aca="false">IF(BM138="","",IFERROR(VLOOKUP(BM138,Projects!$A$5:$D$504,4,0),"Ref not in Projects"))</f>
        <v/>
      </c>
      <c r="BP138" s="9"/>
      <c r="BQ138" s="9"/>
      <c r="BR138" s="9"/>
      <c r="BS138" s="40"/>
      <c r="BT138" s="9"/>
      <c r="BU138" s="40"/>
      <c r="BV138" s="9"/>
      <c r="BW138" s="40"/>
      <c r="BX138" s="9"/>
      <c r="BY138" s="9"/>
      <c r="BZ138" s="9"/>
      <c r="CA138" s="40"/>
      <c r="CB138" s="40"/>
      <c r="CC138" s="36" t="str">
        <f aca="false">IF(CB138="","",EDATE(CB138,SG_Criteria!$B$54*12))</f>
        <v/>
      </c>
      <c r="CD138" s="33" t="str">
        <f aca="true">IF(A138="","",IF(CB138="","NOTE: not reviewed yet",IF(TODAY()&gt;CC138,"NOTE: review overdue","OK")))</f>
        <v/>
      </c>
      <c r="CE138" s="37" t="str">
        <f aca="false">IF(A138="","",ROUND((IF(LEN(D138)&gt;0,1,0)+IF(LEN(E138)&gt;0,1,0)+IF(LEN(F138)&gt;0,1,0)+IF(LEN(G138)&gt;0,1,0)+IF(LEN(I138)&gt;0,1,0)+IF(LEN(K138)&gt;0,1,0)+IF(LEN(P138)&gt;0,1,0)+IF(LEN(Q138)&gt;0,1,0)+IF(LEN(T138)&gt;0,1,0)+IF(LEN(V138)&gt;0,1,0)+IF(LEN(W138)&gt;0,1,0)+IF(LEN(X138)&gt;0,1,0)+IF(LEN(Z138)&gt;0,1,0)+IF(LEN(AD138)&gt;0,1,0)+IF(LEN(AE138)&gt;0,1,0)+IF(LEN(AG138)&gt;0,1,0)+IF(LEN(AI138)&gt;0,1,0)+IF(LEN(BB138)&gt;0,1,0)+IF(LEN(BC138)&gt;0,1,0)+IF(LEN(AM138)&gt;0,1,0)+IF(LEN(AO138)&gt;0,1,0)+IF(LEN(AP138)&gt;0,1,0)+IF(LEN(AQ138)&gt;0,1,0)+IF(LEN(AR138)&gt;0,1,0)+IF(LEN(BA138)&gt;0,1,0)+IF(LEN(BM138)&gt;0,1,0)+IF(LEN(BZ138)&gt;0,1,0))/27,2))</f>
        <v/>
      </c>
      <c r="CF138" s="10" t="str">
        <f aca="false">IF(D138="","",IF(AND(AP138="Approved",ISERROR(SEARCH("FAIL",BJ138))),"Y","N"))</f>
        <v/>
      </c>
      <c r="CG138" s="10" t="str">
        <f aca="false">IF(D138="","",D138&amp;"|"&amp;E138&amp;"|"&amp;F138&amp;"|"&amp;G138&amp;"|"&amp;CF138)</f>
        <v/>
      </c>
    </row>
    <row r="139" customFormat="false" ht="15" hidden="false" customHeight="false" outlineLevel="0" collapsed="false">
      <c r="A139" s="10" t="str">
        <f aca="false">IF(D139="","","RW-"&amp;IFERROR(VLOOKUP(D139,Lists!$M$4:$N$22,2,0),"??")&amp;"-H"&amp;TEXT(E139*1000,"0000")&amp;"-S"&amp;F139&amp;IF(G139="Y","-GW","")&amp;"-"&amp;AO139)</f>
        <v/>
      </c>
      <c r="B139" s="10" t="str">
        <f aca="false">IF(D139="","",D139&amp;", H = "&amp;TEXT(E139,"0.0")&amp;" m, q = "&amp;F139&amp;" kPa"&amp;IF(G139="Y",", with GWT","")&amp;", "&amp;I139)</f>
        <v/>
      </c>
      <c r="C139" s="9"/>
      <c r="D139" s="9"/>
      <c r="E139" s="39"/>
      <c r="F139" s="38"/>
      <c r="G139" s="9"/>
      <c r="H139" s="38"/>
      <c r="I139" s="9"/>
      <c r="J139" s="38"/>
      <c r="K139" s="38"/>
      <c r="L139" s="38"/>
      <c r="M139" s="42"/>
      <c r="N139" s="9"/>
      <c r="O139" s="38"/>
      <c r="P139" s="38"/>
      <c r="Q139" s="38"/>
      <c r="R139" s="38"/>
      <c r="S139" s="38"/>
      <c r="T139" s="38"/>
      <c r="U139" s="9"/>
      <c r="V139" s="9"/>
      <c r="W139" s="38"/>
      <c r="X139" s="9"/>
      <c r="Y139" s="9"/>
      <c r="Z139" s="9"/>
      <c r="AA139" s="9"/>
      <c r="AB139" s="9"/>
      <c r="AC139" s="9"/>
      <c r="AD139" s="39"/>
      <c r="AE139" s="39"/>
      <c r="AF139" s="39"/>
      <c r="AG139" s="38"/>
      <c r="AH139" s="38"/>
      <c r="AI139" s="9"/>
      <c r="AJ139" s="38"/>
      <c r="AK139" s="9"/>
      <c r="AL139" s="39"/>
      <c r="AM139" s="9"/>
      <c r="AN139" s="9"/>
      <c r="AO139" s="9"/>
      <c r="AP139" s="9"/>
      <c r="AQ139" s="9"/>
      <c r="AR139" s="9"/>
      <c r="AS139" s="9"/>
      <c r="AT139" s="10" t="str">
        <f aca="false">IF(A139="","",SG_Criteria!$B$6&amp;SG_Criteria!$B$8&amp;"\"&amp;A139&amp;"\")</f>
        <v/>
      </c>
      <c r="AU139" s="10" t="str">
        <f aca="false">IF(A139="","",A139&amp;"_CAD.dwg")</f>
        <v/>
      </c>
      <c r="AV139" s="10" t="str">
        <f aca="false">IF(A139="","",A139&amp;"_DWG.pdf")</f>
        <v/>
      </c>
      <c r="AW139" s="10" t="str">
        <f aca="false">IF(A139="","",IF(AS139="Y",A139&amp;"_STAAD.std","n/a"))</f>
        <v/>
      </c>
      <c r="AX139" s="10" t="str">
        <f aca="false">IF(A139="","",A139&amp;"_CALC.xlsx")</f>
        <v/>
      </c>
      <c r="AY139" s="10" t="str">
        <f aca="false">IF(A139="","",A139&amp;"_CALC.pdf")</f>
        <v/>
      </c>
      <c r="AZ139" s="9"/>
      <c r="BA139" s="9"/>
      <c r="BB139" s="39"/>
      <c r="BC139" s="39"/>
      <c r="BD139" s="39"/>
      <c r="BE139" s="39"/>
      <c r="BF139" s="39"/>
      <c r="BG139" s="12" t="str">
        <f aca="false">IF(A139="","",IF(COUNTIF(Rebar_Schedule!$A$5:$A$2004,A139)=0,"",ROUND(SUMIF(Rebar_Schedule!$A$5:$A$2004,A139,Rebar_Schedule!$K$5:$K$2004),1)))</f>
        <v/>
      </c>
      <c r="BH139" s="33" t="str">
        <f aca="false">IF(A139="","",IF(BG139="","No rebar schedule yet",IF(ABS(BG139-N(BC139))/MAX(N(BC139),1)&gt;SG_Criteria!$B$55,"NOTE: register rebar differs from schedule by "&amp;TEXT(ABS(BG139-N(BC139))/MAX(N(BC139),1),"0%"),"OK")))</f>
        <v/>
      </c>
      <c r="BI139" s="33" t="str">
        <f aca="false">IF(OR(D139="",E139=""),"",IF(E139&lt;=IF(OR(D139="Block / Segmental",D139="Gabion",D139="Reinforced Earth (MSE)"),SG_Criteria!$B$34,SG_Criteria!$B$33),"No ERSS submission",IF(E139&lt;=SG_Criteria!$B$35,"QP(ST)",IF(E139&lt;=SG_Criteria!$B$36,"QP(ST) + AC","Geotechnical building works: QP(Geo) + AC"))))</f>
        <v/>
      </c>
      <c r="BJ139" s="33" t="str">
        <f aca="false">IF(D139="","",IF(LEN(IF(AND(V139&lt;&gt;"",IFERROR(VALUE(MID(V139,2,2)),0)&lt;SG_Criteria!$B$19),"FAIL: grade below C"&amp;SG_Criteria!$B$19&amp;". ","")&amp;IF(AND(W139&lt;&gt;"",W139&lt;SG_Criteria!$B$20),"FAIL: cover &lt; "&amp;SG_Criteria!$B$20&amp;" mm. ","")&amp;IF(AND(AD139&lt;&gt;"",AD139&lt;1),"FAIL: sliding. ","")&amp;IF(AND(D139="Reverse L-Wall (toe only, at boundary)",N(S139)&gt;0),"NOTE: reverse L-wall should have no heel. ","")&amp;IF(AND(D139="L-Wall (heel only)",N(R139)&gt;0),"NOTE: L-wall should have no toe. ","")&amp;IF(AND(F139&lt;&gt;"",F139&lt;SG_Criteria!$B$31),"NOTE: q below LTA min "&amp;SG_Criteria!$B$31&amp;" kPa (not for LTA works). ",""))=0,"OK",IF(AND(V139&lt;&gt;"",IFERROR(VALUE(MID(V139,2,2)),0)&lt;SG_Criteria!$B$19),"FAIL: grade below C"&amp;SG_Criteria!$B$19&amp;". ","")&amp;IF(AND(W139&lt;&gt;"",W139&lt;SG_Criteria!$B$20),"FAIL: cover &lt; "&amp;SG_Criteria!$B$20&amp;" mm. ","")&amp;IF(AND(AD139&lt;&gt;"",AD139&lt;1),"FAIL: sliding. ","")&amp;IF(AND(D139="Reverse L-Wall (toe only, at boundary)",N(S139)&gt;0),"NOTE: reverse L-wall should have no heel. ","")&amp;IF(AND(D139="L-Wall (heel only)",N(R139)&gt;0),"NOTE: L-wall should have no toe. ","")&amp;IF(AND(F139&lt;&gt;"",F139&lt;SG_Criteria!$B$31),"NOTE: q below LTA min "&amp;SG_Criteria!$B$31&amp;" kPa (not for LTA works). ","")))</f>
        <v/>
      </c>
      <c r="BK139" s="9"/>
      <c r="BL139" s="9"/>
      <c r="BM139" s="9"/>
      <c r="BN139" s="10" t="str">
        <f aca="false">IF(BM139="","",IFERROR(VLOOKUP(BM139,Projects!$A$5:$D$504,2,0),"Ref not in Projects"))</f>
        <v/>
      </c>
      <c r="BO139" s="10" t="str">
        <f aca="false">IF(BM139="","",IFERROR(VLOOKUP(BM139,Projects!$A$5:$D$504,4,0),"Ref not in Projects"))</f>
        <v/>
      </c>
      <c r="BP139" s="9"/>
      <c r="BQ139" s="9"/>
      <c r="BR139" s="9"/>
      <c r="BS139" s="40"/>
      <c r="BT139" s="9"/>
      <c r="BU139" s="40"/>
      <c r="BV139" s="9"/>
      <c r="BW139" s="40"/>
      <c r="BX139" s="9"/>
      <c r="BY139" s="9"/>
      <c r="BZ139" s="9"/>
      <c r="CA139" s="40"/>
      <c r="CB139" s="40"/>
      <c r="CC139" s="36" t="str">
        <f aca="false">IF(CB139="","",EDATE(CB139,SG_Criteria!$B$54*12))</f>
        <v/>
      </c>
      <c r="CD139" s="33" t="str">
        <f aca="true">IF(A139="","",IF(CB139="","NOTE: not reviewed yet",IF(TODAY()&gt;CC139,"NOTE: review overdue","OK")))</f>
        <v/>
      </c>
      <c r="CE139" s="37" t="str">
        <f aca="false">IF(A139="","",ROUND((IF(LEN(D139)&gt;0,1,0)+IF(LEN(E139)&gt;0,1,0)+IF(LEN(F139)&gt;0,1,0)+IF(LEN(G139)&gt;0,1,0)+IF(LEN(I139)&gt;0,1,0)+IF(LEN(K139)&gt;0,1,0)+IF(LEN(P139)&gt;0,1,0)+IF(LEN(Q139)&gt;0,1,0)+IF(LEN(T139)&gt;0,1,0)+IF(LEN(V139)&gt;0,1,0)+IF(LEN(W139)&gt;0,1,0)+IF(LEN(X139)&gt;0,1,0)+IF(LEN(Z139)&gt;0,1,0)+IF(LEN(AD139)&gt;0,1,0)+IF(LEN(AE139)&gt;0,1,0)+IF(LEN(AG139)&gt;0,1,0)+IF(LEN(AI139)&gt;0,1,0)+IF(LEN(BB139)&gt;0,1,0)+IF(LEN(BC139)&gt;0,1,0)+IF(LEN(AM139)&gt;0,1,0)+IF(LEN(AO139)&gt;0,1,0)+IF(LEN(AP139)&gt;0,1,0)+IF(LEN(AQ139)&gt;0,1,0)+IF(LEN(AR139)&gt;0,1,0)+IF(LEN(BA139)&gt;0,1,0)+IF(LEN(BM139)&gt;0,1,0)+IF(LEN(BZ139)&gt;0,1,0))/27,2))</f>
        <v/>
      </c>
      <c r="CF139" s="10" t="str">
        <f aca="false">IF(D139="","",IF(AND(AP139="Approved",ISERROR(SEARCH("FAIL",BJ139))),"Y","N"))</f>
        <v/>
      </c>
      <c r="CG139" s="10" t="str">
        <f aca="false">IF(D139="","",D139&amp;"|"&amp;E139&amp;"|"&amp;F139&amp;"|"&amp;G139&amp;"|"&amp;CF139)</f>
        <v/>
      </c>
    </row>
    <row r="140" customFormat="false" ht="15" hidden="false" customHeight="false" outlineLevel="0" collapsed="false">
      <c r="A140" s="10" t="str">
        <f aca="false">IF(D140="","","RW-"&amp;IFERROR(VLOOKUP(D140,Lists!$M$4:$N$22,2,0),"??")&amp;"-H"&amp;TEXT(E140*1000,"0000")&amp;"-S"&amp;F140&amp;IF(G140="Y","-GW","")&amp;"-"&amp;AO140)</f>
        <v/>
      </c>
      <c r="B140" s="10" t="str">
        <f aca="false">IF(D140="","",D140&amp;", H = "&amp;TEXT(E140,"0.0")&amp;" m, q = "&amp;F140&amp;" kPa"&amp;IF(G140="Y",", with GWT","")&amp;", "&amp;I140)</f>
        <v/>
      </c>
      <c r="C140" s="9"/>
      <c r="D140" s="9"/>
      <c r="E140" s="39"/>
      <c r="F140" s="38"/>
      <c r="G140" s="9"/>
      <c r="H140" s="38"/>
      <c r="I140" s="9"/>
      <c r="J140" s="38"/>
      <c r="K140" s="38"/>
      <c r="L140" s="38"/>
      <c r="M140" s="42"/>
      <c r="N140" s="9"/>
      <c r="O140" s="38"/>
      <c r="P140" s="38"/>
      <c r="Q140" s="38"/>
      <c r="R140" s="38"/>
      <c r="S140" s="38"/>
      <c r="T140" s="38"/>
      <c r="U140" s="9"/>
      <c r="V140" s="9"/>
      <c r="W140" s="38"/>
      <c r="X140" s="9"/>
      <c r="Y140" s="9"/>
      <c r="Z140" s="9"/>
      <c r="AA140" s="9"/>
      <c r="AB140" s="9"/>
      <c r="AC140" s="9"/>
      <c r="AD140" s="39"/>
      <c r="AE140" s="39"/>
      <c r="AF140" s="39"/>
      <c r="AG140" s="38"/>
      <c r="AH140" s="38"/>
      <c r="AI140" s="9"/>
      <c r="AJ140" s="38"/>
      <c r="AK140" s="9"/>
      <c r="AL140" s="39"/>
      <c r="AM140" s="9"/>
      <c r="AN140" s="9"/>
      <c r="AO140" s="9"/>
      <c r="AP140" s="9"/>
      <c r="AQ140" s="9"/>
      <c r="AR140" s="9"/>
      <c r="AS140" s="9"/>
      <c r="AT140" s="10" t="str">
        <f aca="false">IF(A140="","",SG_Criteria!$B$6&amp;SG_Criteria!$B$8&amp;"\"&amp;A140&amp;"\")</f>
        <v/>
      </c>
      <c r="AU140" s="10" t="str">
        <f aca="false">IF(A140="","",A140&amp;"_CAD.dwg")</f>
        <v/>
      </c>
      <c r="AV140" s="10" t="str">
        <f aca="false">IF(A140="","",A140&amp;"_DWG.pdf")</f>
        <v/>
      </c>
      <c r="AW140" s="10" t="str">
        <f aca="false">IF(A140="","",IF(AS140="Y",A140&amp;"_STAAD.std","n/a"))</f>
        <v/>
      </c>
      <c r="AX140" s="10" t="str">
        <f aca="false">IF(A140="","",A140&amp;"_CALC.xlsx")</f>
        <v/>
      </c>
      <c r="AY140" s="10" t="str">
        <f aca="false">IF(A140="","",A140&amp;"_CALC.pdf")</f>
        <v/>
      </c>
      <c r="AZ140" s="9"/>
      <c r="BA140" s="9"/>
      <c r="BB140" s="39"/>
      <c r="BC140" s="39"/>
      <c r="BD140" s="39"/>
      <c r="BE140" s="39"/>
      <c r="BF140" s="39"/>
      <c r="BG140" s="12" t="str">
        <f aca="false">IF(A140="","",IF(COUNTIF(Rebar_Schedule!$A$5:$A$2004,A140)=0,"",ROUND(SUMIF(Rebar_Schedule!$A$5:$A$2004,A140,Rebar_Schedule!$K$5:$K$2004),1)))</f>
        <v/>
      </c>
      <c r="BH140" s="33" t="str">
        <f aca="false">IF(A140="","",IF(BG140="","No rebar schedule yet",IF(ABS(BG140-N(BC140))/MAX(N(BC140),1)&gt;SG_Criteria!$B$55,"NOTE: register rebar differs from schedule by "&amp;TEXT(ABS(BG140-N(BC140))/MAX(N(BC140),1),"0%"),"OK")))</f>
        <v/>
      </c>
      <c r="BI140" s="33" t="str">
        <f aca="false">IF(OR(D140="",E140=""),"",IF(E140&lt;=IF(OR(D140="Block / Segmental",D140="Gabion",D140="Reinforced Earth (MSE)"),SG_Criteria!$B$34,SG_Criteria!$B$33),"No ERSS submission",IF(E140&lt;=SG_Criteria!$B$35,"QP(ST)",IF(E140&lt;=SG_Criteria!$B$36,"QP(ST) + AC","Geotechnical building works: QP(Geo) + AC"))))</f>
        <v/>
      </c>
      <c r="BJ140" s="33" t="str">
        <f aca="false">IF(D140="","",IF(LEN(IF(AND(V140&lt;&gt;"",IFERROR(VALUE(MID(V140,2,2)),0)&lt;SG_Criteria!$B$19),"FAIL: grade below C"&amp;SG_Criteria!$B$19&amp;". ","")&amp;IF(AND(W140&lt;&gt;"",W140&lt;SG_Criteria!$B$20),"FAIL: cover &lt; "&amp;SG_Criteria!$B$20&amp;" mm. ","")&amp;IF(AND(AD140&lt;&gt;"",AD140&lt;1),"FAIL: sliding. ","")&amp;IF(AND(D140="Reverse L-Wall (toe only, at boundary)",N(S140)&gt;0),"NOTE: reverse L-wall should have no heel. ","")&amp;IF(AND(D140="L-Wall (heel only)",N(R140)&gt;0),"NOTE: L-wall should have no toe. ","")&amp;IF(AND(F140&lt;&gt;"",F140&lt;SG_Criteria!$B$31),"NOTE: q below LTA min "&amp;SG_Criteria!$B$31&amp;" kPa (not for LTA works). ",""))=0,"OK",IF(AND(V140&lt;&gt;"",IFERROR(VALUE(MID(V140,2,2)),0)&lt;SG_Criteria!$B$19),"FAIL: grade below C"&amp;SG_Criteria!$B$19&amp;". ","")&amp;IF(AND(W140&lt;&gt;"",W140&lt;SG_Criteria!$B$20),"FAIL: cover &lt; "&amp;SG_Criteria!$B$20&amp;" mm. ","")&amp;IF(AND(AD140&lt;&gt;"",AD140&lt;1),"FAIL: sliding. ","")&amp;IF(AND(D140="Reverse L-Wall (toe only, at boundary)",N(S140)&gt;0),"NOTE: reverse L-wall should have no heel. ","")&amp;IF(AND(D140="L-Wall (heel only)",N(R140)&gt;0),"NOTE: L-wall should have no toe. ","")&amp;IF(AND(F140&lt;&gt;"",F140&lt;SG_Criteria!$B$31),"NOTE: q below LTA min "&amp;SG_Criteria!$B$31&amp;" kPa (not for LTA works). ","")))</f>
        <v/>
      </c>
      <c r="BK140" s="9"/>
      <c r="BL140" s="9"/>
      <c r="BM140" s="9"/>
      <c r="BN140" s="10" t="str">
        <f aca="false">IF(BM140="","",IFERROR(VLOOKUP(BM140,Projects!$A$5:$D$504,2,0),"Ref not in Projects"))</f>
        <v/>
      </c>
      <c r="BO140" s="10" t="str">
        <f aca="false">IF(BM140="","",IFERROR(VLOOKUP(BM140,Projects!$A$5:$D$504,4,0),"Ref not in Projects"))</f>
        <v/>
      </c>
      <c r="BP140" s="9"/>
      <c r="BQ140" s="9"/>
      <c r="BR140" s="9"/>
      <c r="BS140" s="40"/>
      <c r="BT140" s="9"/>
      <c r="BU140" s="40"/>
      <c r="BV140" s="9"/>
      <c r="BW140" s="40"/>
      <c r="BX140" s="9"/>
      <c r="BY140" s="9"/>
      <c r="BZ140" s="9"/>
      <c r="CA140" s="40"/>
      <c r="CB140" s="40"/>
      <c r="CC140" s="36" t="str">
        <f aca="false">IF(CB140="","",EDATE(CB140,SG_Criteria!$B$54*12))</f>
        <v/>
      </c>
      <c r="CD140" s="33" t="str">
        <f aca="true">IF(A140="","",IF(CB140="","NOTE: not reviewed yet",IF(TODAY()&gt;CC140,"NOTE: review overdue","OK")))</f>
        <v/>
      </c>
      <c r="CE140" s="37" t="str">
        <f aca="false">IF(A140="","",ROUND((IF(LEN(D140)&gt;0,1,0)+IF(LEN(E140)&gt;0,1,0)+IF(LEN(F140)&gt;0,1,0)+IF(LEN(G140)&gt;0,1,0)+IF(LEN(I140)&gt;0,1,0)+IF(LEN(K140)&gt;0,1,0)+IF(LEN(P140)&gt;0,1,0)+IF(LEN(Q140)&gt;0,1,0)+IF(LEN(T140)&gt;0,1,0)+IF(LEN(V140)&gt;0,1,0)+IF(LEN(W140)&gt;0,1,0)+IF(LEN(X140)&gt;0,1,0)+IF(LEN(Z140)&gt;0,1,0)+IF(LEN(AD140)&gt;0,1,0)+IF(LEN(AE140)&gt;0,1,0)+IF(LEN(AG140)&gt;0,1,0)+IF(LEN(AI140)&gt;0,1,0)+IF(LEN(BB140)&gt;0,1,0)+IF(LEN(BC140)&gt;0,1,0)+IF(LEN(AM140)&gt;0,1,0)+IF(LEN(AO140)&gt;0,1,0)+IF(LEN(AP140)&gt;0,1,0)+IF(LEN(AQ140)&gt;0,1,0)+IF(LEN(AR140)&gt;0,1,0)+IF(LEN(BA140)&gt;0,1,0)+IF(LEN(BM140)&gt;0,1,0)+IF(LEN(BZ140)&gt;0,1,0))/27,2))</f>
        <v/>
      </c>
      <c r="CF140" s="10" t="str">
        <f aca="false">IF(D140="","",IF(AND(AP140="Approved",ISERROR(SEARCH("FAIL",BJ140))),"Y","N"))</f>
        <v/>
      </c>
      <c r="CG140" s="10" t="str">
        <f aca="false">IF(D140="","",D140&amp;"|"&amp;E140&amp;"|"&amp;F140&amp;"|"&amp;G140&amp;"|"&amp;CF140)</f>
        <v/>
      </c>
    </row>
    <row r="141" customFormat="false" ht="15" hidden="false" customHeight="false" outlineLevel="0" collapsed="false">
      <c r="A141" s="10" t="str">
        <f aca="false">IF(D141="","","RW-"&amp;IFERROR(VLOOKUP(D141,Lists!$M$4:$N$22,2,0),"??")&amp;"-H"&amp;TEXT(E141*1000,"0000")&amp;"-S"&amp;F141&amp;IF(G141="Y","-GW","")&amp;"-"&amp;AO141)</f>
        <v/>
      </c>
      <c r="B141" s="10" t="str">
        <f aca="false">IF(D141="","",D141&amp;", H = "&amp;TEXT(E141,"0.0")&amp;" m, q = "&amp;F141&amp;" kPa"&amp;IF(G141="Y",", with GWT","")&amp;", "&amp;I141)</f>
        <v/>
      </c>
      <c r="C141" s="9"/>
      <c r="D141" s="9"/>
      <c r="E141" s="39"/>
      <c r="F141" s="38"/>
      <c r="G141" s="9"/>
      <c r="H141" s="38"/>
      <c r="I141" s="9"/>
      <c r="J141" s="38"/>
      <c r="K141" s="38"/>
      <c r="L141" s="38"/>
      <c r="M141" s="42"/>
      <c r="N141" s="9"/>
      <c r="O141" s="38"/>
      <c r="P141" s="38"/>
      <c r="Q141" s="38"/>
      <c r="R141" s="38"/>
      <c r="S141" s="38"/>
      <c r="T141" s="38"/>
      <c r="U141" s="9"/>
      <c r="V141" s="9"/>
      <c r="W141" s="38"/>
      <c r="X141" s="9"/>
      <c r="Y141" s="9"/>
      <c r="Z141" s="9"/>
      <c r="AA141" s="9"/>
      <c r="AB141" s="9"/>
      <c r="AC141" s="9"/>
      <c r="AD141" s="39"/>
      <c r="AE141" s="39"/>
      <c r="AF141" s="39"/>
      <c r="AG141" s="38"/>
      <c r="AH141" s="38"/>
      <c r="AI141" s="9"/>
      <c r="AJ141" s="38"/>
      <c r="AK141" s="9"/>
      <c r="AL141" s="39"/>
      <c r="AM141" s="9"/>
      <c r="AN141" s="9"/>
      <c r="AO141" s="9"/>
      <c r="AP141" s="9"/>
      <c r="AQ141" s="9"/>
      <c r="AR141" s="9"/>
      <c r="AS141" s="9"/>
      <c r="AT141" s="10" t="str">
        <f aca="false">IF(A141="","",SG_Criteria!$B$6&amp;SG_Criteria!$B$8&amp;"\"&amp;A141&amp;"\")</f>
        <v/>
      </c>
      <c r="AU141" s="10" t="str">
        <f aca="false">IF(A141="","",A141&amp;"_CAD.dwg")</f>
        <v/>
      </c>
      <c r="AV141" s="10" t="str">
        <f aca="false">IF(A141="","",A141&amp;"_DWG.pdf")</f>
        <v/>
      </c>
      <c r="AW141" s="10" t="str">
        <f aca="false">IF(A141="","",IF(AS141="Y",A141&amp;"_STAAD.std","n/a"))</f>
        <v/>
      </c>
      <c r="AX141" s="10" t="str">
        <f aca="false">IF(A141="","",A141&amp;"_CALC.xlsx")</f>
        <v/>
      </c>
      <c r="AY141" s="10" t="str">
        <f aca="false">IF(A141="","",A141&amp;"_CALC.pdf")</f>
        <v/>
      </c>
      <c r="AZ141" s="9"/>
      <c r="BA141" s="9"/>
      <c r="BB141" s="39"/>
      <c r="BC141" s="39"/>
      <c r="BD141" s="39"/>
      <c r="BE141" s="39"/>
      <c r="BF141" s="39"/>
      <c r="BG141" s="12" t="str">
        <f aca="false">IF(A141="","",IF(COUNTIF(Rebar_Schedule!$A$5:$A$2004,A141)=0,"",ROUND(SUMIF(Rebar_Schedule!$A$5:$A$2004,A141,Rebar_Schedule!$K$5:$K$2004),1)))</f>
        <v/>
      </c>
      <c r="BH141" s="33" t="str">
        <f aca="false">IF(A141="","",IF(BG141="","No rebar schedule yet",IF(ABS(BG141-N(BC141))/MAX(N(BC141),1)&gt;SG_Criteria!$B$55,"NOTE: register rebar differs from schedule by "&amp;TEXT(ABS(BG141-N(BC141))/MAX(N(BC141),1),"0%"),"OK")))</f>
        <v/>
      </c>
      <c r="BI141" s="33" t="str">
        <f aca="false">IF(OR(D141="",E141=""),"",IF(E141&lt;=IF(OR(D141="Block / Segmental",D141="Gabion",D141="Reinforced Earth (MSE)"),SG_Criteria!$B$34,SG_Criteria!$B$33),"No ERSS submission",IF(E141&lt;=SG_Criteria!$B$35,"QP(ST)",IF(E141&lt;=SG_Criteria!$B$36,"QP(ST) + AC","Geotechnical building works: QP(Geo) + AC"))))</f>
        <v/>
      </c>
      <c r="BJ141" s="33" t="str">
        <f aca="false">IF(D141="","",IF(LEN(IF(AND(V141&lt;&gt;"",IFERROR(VALUE(MID(V141,2,2)),0)&lt;SG_Criteria!$B$19),"FAIL: grade below C"&amp;SG_Criteria!$B$19&amp;". ","")&amp;IF(AND(W141&lt;&gt;"",W141&lt;SG_Criteria!$B$20),"FAIL: cover &lt; "&amp;SG_Criteria!$B$20&amp;" mm. ","")&amp;IF(AND(AD141&lt;&gt;"",AD141&lt;1),"FAIL: sliding. ","")&amp;IF(AND(D141="Reverse L-Wall (toe only, at boundary)",N(S141)&gt;0),"NOTE: reverse L-wall should have no heel. ","")&amp;IF(AND(D141="L-Wall (heel only)",N(R141)&gt;0),"NOTE: L-wall should have no toe. ","")&amp;IF(AND(F141&lt;&gt;"",F141&lt;SG_Criteria!$B$31),"NOTE: q below LTA min "&amp;SG_Criteria!$B$31&amp;" kPa (not for LTA works). ",""))=0,"OK",IF(AND(V141&lt;&gt;"",IFERROR(VALUE(MID(V141,2,2)),0)&lt;SG_Criteria!$B$19),"FAIL: grade below C"&amp;SG_Criteria!$B$19&amp;". ","")&amp;IF(AND(W141&lt;&gt;"",W141&lt;SG_Criteria!$B$20),"FAIL: cover &lt; "&amp;SG_Criteria!$B$20&amp;" mm. ","")&amp;IF(AND(AD141&lt;&gt;"",AD141&lt;1),"FAIL: sliding. ","")&amp;IF(AND(D141="Reverse L-Wall (toe only, at boundary)",N(S141)&gt;0),"NOTE: reverse L-wall should have no heel. ","")&amp;IF(AND(D141="L-Wall (heel only)",N(R141)&gt;0),"NOTE: L-wall should have no toe. ","")&amp;IF(AND(F141&lt;&gt;"",F141&lt;SG_Criteria!$B$31),"NOTE: q below LTA min "&amp;SG_Criteria!$B$31&amp;" kPa (not for LTA works). ","")))</f>
        <v/>
      </c>
      <c r="BK141" s="9"/>
      <c r="BL141" s="9"/>
      <c r="BM141" s="9"/>
      <c r="BN141" s="10" t="str">
        <f aca="false">IF(BM141="","",IFERROR(VLOOKUP(BM141,Projects!$A$5:$D$504,2,0),"Ref not in Projects"))</f>
        <v/>
      </c>
      <c r="BO141" s="10" t="str">
        <f aca="false">IF(BM141="","",IFERROR(VLOOKUP(BM141,Projects!$A$5:$D$504,4,0),"Ref not in Projects"))</f>
        <v/>
      </c>
      <c r="BP141" s="9"/>
      <c r="BQ141" s="9"/>
      <c r="BR141" s="9"/>
      <c r="BS141" s="40"/>
      <c r="BT141" s="9"/>
      <c r="BU141" s="40"/>
      <c r="BV141" s="9"/>
      <c r="BW141" s="40"/>
      <c r="BX141" s="9"/>
      <c r="BY141" s="9"/>
      <c r="BZ141" s="9"/>
      <c r="CA141" s="40"/>
      <c r="CB141" s="40"/>
      <c r="CC141" s="36" t="str">
        <f aca="false">IF(CB141="","",EDATE(CB141,SG_Criteria!$B$54*12))</f>
        <v/>
      </c>
      <c r="CD141" s="33" t="str">
        <f aca="true">IF(A141="","",IF(CB141="","NOTE: not reviewed yet",IF(TODAY()&gt;CC141,"NOTE: review overdue","OK")))</f>
        <v/>
      </c>
      <c r="CE141" s="37" t="str">
        <f aca="false">IF(A141="","",ROUND((IF(LEN(D141)&gt;0,1,0)+IF(LEN(E141)&gt;0,1,0)+IF(LEN(F141)&gt;0,1,0)+IF(LEN(G141)&gt;0,1,0)+IF(LEN(I141)&gt;0,1,0)+IF(LEN(K141)&gt;0,1,0)+IF(LEN(P141)&gt;0,1,0)+IF(LEN(Q141)&gt;0,1,0)+IF(LEN(T141)&gt;0,1,0)+IF(LEN(V141)&gt;0,1,0)+IF(LEN(W141)&gt;0,1,0)+IF(LEN(X141)&gt;0,1,0)+IF(LEN(Z141)&gt;0,1,0)+IF(LEN(AD141)&gt;0,1,0)+IF(LEN(AE141)&gt;0,1,0)+IF(LEN(AG141)&gt;0,1,0)+IF(LEN(AI141)&gt;0,1,0)+IF(LEN(BB141)&gt;0,1,0)+IF(LEN(BC141)&gt;0,1,0)+IF(LEN(AM141)&gt;0,1,0)+IF(LEN(AO141)&gt;0,1,0)+IF(LEN(AP141)&gt;0,1,0)+IF(LEN(AQ141)&gt;0,1,0)+IF(LEN(AR141)&gt;0,1,0)+IF(LEN(BA141)&gt;0,1,0)+IF(LEN(BM141)&gt;0,1,0)+IF(LEN(BZ141)&gt;0,1,0))/27,2))</f>
        <v/>
      </c>
      <c r="CF141" s="10" t="str">
        <f aca="false">IF(D141="","",IF(AND(AP141="Approved",ISERROR(SEARCH("FAIL",BJ141))),"Y","N"))</f>
        <v/>
      </c>
      <c r="CG141" s="10" t="str">
        <f aca="false">IF(D141="","",D141&amp;"|"&amp;E141&amp;"|"&amp;F141&amp;"|"&amp;G141&amp;"|"&amp;CF141)</f>
        <v/>
      </c>
    </row>
    <row r="142" customFormat="false" ht="15" hidden="false" customHeight="false" outlineLevel="0" collapsed="false">
      <c r="A142" s="10" t="str">
        <f aca="false">IF(D142="","","RW-"&amp;IFERROR(VLOOKUP(D142,Lists!$M$4:$N$22,2,0),"??")&amp;"-H"&amp;TEXT(E142*1000,"0000")&amp;"-S"&amp;F142&amp;IF(G142="Y","-GW","")&amp;"-"&amp;AO142)</f>
        <v/>
      </c>
      <c r="B142" s="10" t="str">
        <f aca="false">IF(D142="","",D142&amp;", H = "&amp;TEXT(E142,"0.0")&amp;" m, q = "&amp;F142&amp;" kPa"&amp;IF(G142="Y",", with GWT","")&amp;", "&amp;I142)</f>
        <v/>
      </c>
      <c r="C142" s="9"/>
      <c r="D142" s="9"/>
      <c r="E142" s="39"/>
      <c r="F142" s="38"/>
      <c r="G142" s="9"/>
      <c r="H142" s="38"/>
      <c r="I142" s="9"/>
      <c r="J142" s="38"/>
      <c r="K142" s="38"/>
      <c r="L142" s="38"/>
      <c r="M142" s="42"/>
      <c r="N142" s="9"/>
      <c r="O142" s="38"/>
      <c r="P142" s="38"/>
      <c r="Q142" s="38"/>
      <c r="R142" s="38"/>
      <c r="S142" s="38"/>
      <c r="T142" s="38"/>
      <c r="U142" s="9"/>
      <c r="V142" s="9"/>
      <c r="W142" s="38"/>
      <c r="X142" s="9"/>
      <c r="Y142" s="9"/>
      <c r="Z142" s="9"/>
      <c r="AA142" s="9"/>
      <c r="AB142" s="9"/>
      <c r="AC142" s="9"/>
      <c r="AD142" s="39"/>
      <c r="AE142" s="39"/>
      <c r="AF142" s="39"/>
      <c r="AG142" s="38"/>
      <c r="AH142" s="38"/>
      <c r="AI142" s="9"/>
      <c r="AJ142" s="38"/>
      <c r="AK142" s="9"/>
      <c r="AL142" s="39"/>
      <c r="AM142" s="9"/>
      <c r="AN142" s="9"/>
      <c r="AO142" s="9"/>
      <c r="AP142" s="9"/>
      <c r="AQ142" s="9"/>
      <c r="AR142" s="9"/>
      <c r="AS142" s="9"/>
      <c r="AT142" s="10" t="str">
        <f aca="false">IF(A142="","",SG_Criteria!$B$6&amp;SG_Criteria!$B$8&amp;"\"&amp;A142&amp;"\")</f>
        <v/>
      </c>
      <c r="AU142" s="10" t="str">
        <f aca="false">IF(A142="","",A142&amp;"_CAD.dwg")</f>
        <v/>
      </c>
      <c r="AV142" s="10" t="str">
        <f aca="false">IF(A142="","",A142&amp;"_DWG.pdf")</f>
        <v/>
      </c>
      <c r="AW142" s="10" t="str">
        <f aca="false">IF(A142="","",IF(AS142="Y",A142&amp;"_STAAD.std","n/a"))</f>
        <v/>
      </c>
      <c r="AX142" s="10" t="str">
        <f aca="false">IF(A142="","",A142&amp;"_CALC.xlsx")</f>
        <v/>
      </c>
      <c r="AY142" s="10" t="str">
        <f aca="false">IF(A142="","",A142&amp;"_CALC.pdf")</f>
        <v/>
      </c>
      <c r="AZ142" s="9"/>
      <c r="BA142" s="9"/>
      <c r="BB142" s="39"/>
      <c r="BC142" s="39"/>
      <c r="BD142" s="39"/>
      <c r="BE142" s="39"/>
      <c r="BF142" s="39"/>
      <c r="BG142" s="12" t="str">
        <f aca="false">IF(A142="","",IF(COUNTIF(Rebar_Schedule!$A$5:$A$2004,A142)=0,"",ROUND(SUMIF(Rebar_Schedule!$A$5:$A$2004,A142,Rebar_Schedule!$K$5:$K$2004),1)))</f>
        <v/>
      </c>
      <c r="BH142" s="33" t="str">
        <f aca="false">IF(A142="","",IF(BG142="","No rebar schedule yet",IF(ABS(BG142-N(BC142))/MAX(N(BC142),1)&gt;SG_Criteria!$B$55,"NOTE: register rebar differs from schedule by "&amp;TEXT(ABS(BG142-N(BC142))/MAX(N(BC142),1),"0%"),"OK")))</f>
        <v/>
      </c>
      <c r="BI142" s="33" t="str">
        <f aca="false">IF(OR(D142="",E142=""),"",IF(E142&lt;=IF(OR(D142="Block / Segmental",D142="Gabion",D142="Reinforced Earth (MSE)"),SG_Criteria!$B$34,SG_Criteria!$B$33),"No ERSS submission",IF(E142&lt;=SG_Criteria!$B$35,"QP(ST)",IF(E142&lt;=SG_Criteria!$B$36,"QP(ST) + AC","Geotechnical building works: QP(Geo) + AC"))))</f>
        <v/>
      </c>
      <c r="BJ142" s="33" t="str">
        <f aca="false">IF(D142="","",IF(LEN(IF(AND(V142&lt;&gt;"",IFERROR(VALUE(MID(V142,2,2)),0)&lt;SG_Criteria!$B$19),"FAIL: grade below C"&amp;SG_Criteria!$B$19&amp;". ","")&amp;IF(AND(W142&lt;&gt;"",W142&lt;SG_Criteria!$B$20),"FAIL: cover &lt; "&amp;SG_Criteria!$B$20&amp;" mm. ","")&amp;IF(AND(AD142&lt;&gt;"",AD142&lt;1),"FAIL: sliding. ","")&amp;IF(AND(D142="Reverse L-Wall (toe only, at boundary)",N(S142)&gt;0),"NOTE: reverse L-wall should have no heel. ","")&amp;IF(AND(D142="L-Wall (heel only)",N(R142)&gt;0),"NOTE: L-wall should have no toe. ","")&amp;IF(AND(F142&lt;&gt;"",F142&lt;SG_Criteria!$B$31),"NOTE: q below LTA min "&amp;SG_Criteria!$B$31&amp;" kPa (not for LTA works). ",""))=0,"OK",IF(AND(V142&lt;&gt;"",IFERROR(VALUE(MID(V142,2,2)),0)&lt;SG_Criteria!$B$19),"FAIL: grade below C"&amp;SG_Criteria!$B$19&amp;". ","")&amp;IF(AND(W142&lt;&gt;"",W142&lt;SG_Criteria!$B$20),"FAIL: cover &lt; "&amp;SG_Criteria!$B$20&amp;" mm. ","")&amp;IF(AND(AD142&lt;&gt;"",AD142&lt;1),"FAIL: sliding. ","")&amp;IF(AND(D142="Reverse L-Wall (toe only, at boundary)",N(S142)&gt;0),"NOTE: reverse L-wall should have no heel. ","")&amp;IF(AND(D142="L-Wall (heel only)",N(R142)&gt;0),"NOTE: L-wall should have no toe. ","")&amp;IF(AND(F142&lt;&gt;"",F142&lt;SG_Criteria!$B$31),"NOTE: q below LTA min "&amp;SG_Criteria!$B$31&amp;" kPa (not for LTA works). ","")))</f>
        <v/>
      </c>
      <c r="BK142" s="9"/>
      <c r="BL142" s="9"/>
      <c r="BM142" s="9"/>
      <c r="BN142" s="10" t="str">
        <f aca="false">IF(BM142="","",IFERROR(VLOOKUP(BM142,Projects!$A$5:$D$504,2,0),"Ref not in Projects"))</f>
        <v/>
      </c>
      <c r="BO142" s="10" t="str">
        <f aca="false">IF(BM142="","",IFERROR(VLOOKUP(BM142,Projects!$A$5:$D$504,4,0),"Ref not in Projects"))</f>
        <v/>
      </c>
      <c r="BP142" s="9"/>
      <c r="BQ142" s="9"/>
      <c r="BR142" s="9"/>
      <c r="BS142" s="40"/>
      <c r="BT142" s="9"/>
      <c r="BU142" s="40"/>
      <c r="BV142" s="9"/>
      <c r="BW142" s="40"/>
      <c r="BX142" s="9"/>
      <c r="BY142" s="9"/>
      <c r="BZ142" s="9"/>
      <c r="CA142" s="40"/>
      <c r="CB142" s="40"/>
      <c r="CC142" s="36" t="str">
        <f aca="false">IF(CB142="","",EDATE(CB142,SG_Criteria!$B$54*12))</f>
        <v/>
      </c>
      <c r="CD142" s="33" t="str">
        <f aca="true">IF(A142="","",IF(CB142="","NOTE: not reviewed yet",IF(TODAY()&gt;CC142,"NOTE: review overdue","OK")))</f>
        <v/>
      </c>
      <c r="CE142" s="37" t="str">
        <f aca="false">IF(A142="","",ROUND((IF(LEN(D142)&gt;0,1,0)+IF(LEN(E142)&gt;0,1,0)+IF(LEN(F142)&gt;0,1,0)+IF(LEN(G142)&gt;0,1,0)+IF(LEN(I142)&gt;0,1,0)+IF(LEN(K142)&gt;0,1,0)+IF(LEN(P142)&gt;0,1,0)+IF(LEN(Q142)&gt;0,1,0)+IF(LEN(T142)&gt;0,1,0)+IF(LEN(V142)&gt;0,1,0)+IF(LEN(W142)&gt;0,1,0)+IF(LEN(X142)&gt;0,1,0)+IF(LEN(Z142)&gt;0,1,0)+IF(LEN(AD142)&gt;0,1,0)+IF(LEN(AE142)&gt;0,1,0)+IF(LEN(AG142)&gt;0,1,0)+IF(LEN(AI142)&gt;0,1,0)+IF(LEN(BB142)&gt;0,1,0)+IF(LEN(BC142)&gt;0,1,0)+IF(LEN(AM142)&gt;0,1,0)+IF(LEN(AO142)&gt;0,1,0)+IF(LEN(AP142)&gt;0,1,0)+IF(LEN(AQ142)&gt;0,1,0)+IF(LEN(AR142)&gt;0,1,0)+IF(LEN(BA142)&gt;0,1,0)+IF(LEN(BM142)&gt;0,1,0)+IF(LEN(BZ142)&gt;0,1,0))/27,2))</f>
        <v/>
      </c>
      <c r="CF142" s="10" t="str">
        <f aca="false">IF(D142="","",IF(AND(AP142="Approved",ISERROR(SEARCH("FAIL",BJ142))),"Y","N"))</f>
        <v/>
      </c>
      <c r="CG142" s="10" t="str">
        <f aca="false">IF(D142="","",D142&amp;"|"&amp;E142&amp;"|"&amp;F142&amp;"|"&amp;G142&amp;"|"&amp;CF142)</f>
        <v/>
      </c>
    </row>
    <row r="143" customFormat="false" ht="15" hidden="false" customHeight="false" outlineLevel="0" collapsed="false">
      <c r="A143" s="10" t="str">
        <f aca="false">IF(D143="","","RW-"&amp;IFERROR(VLOOKUP(D143,Lists!$M$4:$N$22,2,0),"??")&amp;"-H"&amp;TEXT(E143*1000,"0000")&amp;"-S"&amp;F143&amp;IF(G143="Y","-GW","")&amp;"-"&amp;AO143)</f>
        <v/>
      </c>
      <c r="B143" s="10" t="str">
        <f aca="false">IF(D143="","",D143&amp;", H = "&amp;TEXT(E143,"0.0")&amp;" m, q = "&amp;F143&amp;" kPa"&amp;IF(G143="Y",", with GWT","")&amp;", "&amp;I143)</f>
        <v/>
      </c>
      <c r="C143" s="9"/>
      <c r="D143" s="9"/>
      <c r="E143" s="39"/>
      <c r="F143" s="38"/>
      <c r="G143" s="9"/>
      <c r="H143" s="38"/>
      <c r="I143" s="9"/>
      <c r="J143" s="38"/>
      <c r="K143" s="38"/>
      <c r="L143" s="38"/>
      <c r="M143" s="42"/>
      <c r="N143" s="9"/>
      <c r="O143" s="38"/>
      <c r="P143" s="38"/>
      <c r="Q143" s="38"/>
      <c r="R143" s="38"/>
      <c r="S143" s="38"/>
      <c r="T143" s="38"/>
      <c r="U143" s="9"/>
      <c r="V143" s="9"/>
      <c r="W143" s="38"/>
      <c r="X143" s="9"/>
      <c r="Y143" s="9"/>
      <c r="Z143" s="9"/>
      <c r="AA143" s="9"/>
      <c r="AB143" s="9"/>
      <c r="AC143" s="9"/>
      <c r="AD143" s="39"/>
      <c r="AE143" s="39"/>
      <c r="AF143" s="39"/>
      <c r="AG143" s="38"/>
      <c r="AH143" s="38"/>
      <c r="AI143" s="9"/>
      <c r="AJ143" s="38"/>
      <c r="AK143" s="9"/>
      <c r="AL143" s="39"/>
      <c r="AM143" s="9"/>
      <c r="AN143" s="9"/>
      <c r="AO143" s="9"/>
      <c r="AP143" s="9"/>
      <c r="AQ143" s="9"/>
      <c r="AR143" s="9"/>
      <c r="AS143" s="9"/>
      <c r="AT143" s="10" t="str">
        <f aca="false">IF(A143="","",SG_Criteria!$B$6&amp;SG_Criteria!$B$8&amp;"\"&amp;A143&amp;"\")</f>
        <v/>
      </c>
      <c r="AU143" s="10" t="str">
        <f aca="false">IF(A143="","",A143&amp;"_CAD.dwg")</f>
        <v/>
      </c>
      <c r="AV143" s="10" t="str">
        <f aca="false">IF(A143="","",A143&amp;"_DWG.pdf")</f>
        <v/>
      </c>
      <c r="AW143" s="10" t="str">
        <f aca="false">IF(A143="","",IF(AS143="Y",A143&amp;"_STAAD.std","n/a"))</f>
        <v/>
      </c>
      <c r="AX143" s="10" t="str">
        <f aca="false">IF(A143="","",A143&amp;"_CALC.xlsx")</f>
        <v/>
      </c>
      <c r="AY143" s="10" t="str">
        <f aca="false">IF(A143="","",A143&amp;"_CALC.pdf")</f>
        <v/>
      </c>
      <c r="AZ143" s="9"/>
      <c r="BA143" s="9"/>
      <c r="BB143" s="39"/>
      <c r="BC143" s="39"/>
      <c r="BD143" s="39"/>
      <c r="BE143" s="39"/>
      <c r="BF143" s="39"/>
      <c r="BG143" s="12" t="str">
        <f aca="false">IF(A143="","",IF(COUNTIF(Rebar_Schedule!$A$5:$A$2004,A143)=0,"",ROUND(SUMIF(Rebar_Schedule!$A$5:$A$2004,A143,Rebar_Schedule!$K$5:$K$2004),1)))</f>
        <v/>
      </c>
      <c r="BH143" s="33" t="str">
        <f aca="false">IF(A143="","",IF(BG143="","No rebar schedule yet",IF(ABS(BG143-N(BC143))/MAX(N(BC143),1)&gt;SG_Criteria!$B$55,"NOTE: register rebar differs from schedule by "&amp;TEXT(ABS(BG143-N(BC143))/MAX(N(BC143),1),"0%"),"OK")))</f>
        <v/>
      </c>
      <c r="BI143" s="33" t="str">
        <f aca="false">IF(OR(D143="",E143=""),"",IF(E143&lt;=IF(OR(D143="Block / Segmental",D143="Gabion",D143="Reinforced Earth (MSE)"),SG_Criteria!$B$34,SG_Criteria!$B$33),"No ERSS submission",IF(E143&lt;=SG_Criteria!$B$35,"QP(ST)",IF(E143&lt;=SG_Criteria!$B$36,"QP(ST) + AC","Geotechnical building works: QP(Geo) + AC"))))</f>
        <v/>
      </c>
      <c r="BJ143" s="33" t="str">
        <f aca="false">IF(D143="","",IF(LEN(IF(AND(V143&lt;&gt;"",IFERROR(VALUE(MID(V143,2,2)),0)&lt;SG_Criteria!$B$19),"FAIL: grade below C"&amp;SG_Criteria!$B$19&amp;". ","")&amp;IF(AND(W143&lt;&gt;"",W143&lt;SG_Criteria!$B$20),"FAIL: cover &lt; "&amp;SG_Criteria!$B$20&amp;" mm. ","")&amp;IF(AND(AD143&lt;&gt;"",AD143&lt;1),"FAIL: sliding. ","")&amp;IF(AND(D143="Reverse L-Wall (toe only, at boundary)",N(S143)&gt;0),"NOTE: reverse L-wall should have no heel. ","")&amp;IF(AND(D143="L-Wall (heel only)",N(R143)&gt;0),"NOTE: L-wall should have no toe. ","")&amp;IF(AND(F143&lt;&gt;"",F143&lt;SG_Criteria!$B$31),"NOTE: q below LTA min "&amp;SG_Criteria!$B$31&amp;" kPa (not for LTA works). ",""))=0,"OK",IF(AND(V143&lt;&gt;"",IFERROR(VALUE(MID(V143,2,2)),0)&lt;SG_Criteria!$B$19),"FAIL: grade below C"&amp;SG_Criteria!$B$19&amp;". ","")&amp;IF(AND(W143&lt;&gt;"",W143&lt;SG_Criteria!$B$20),"FAIL: cover &lt; "&amp;SG_Criteria!$B$20&amp;" mm. ","")&amp;IF(AND(AD143&lt;&gt;"",AD143&lt;1),"FAIL: sliding. ","")&amp;IF(AND(D143="Reverse L-Wall (toe only, at boundary)",N(S143)&gt;0),"NOTE: reverse L-wall should have no heel. ","")&amp;IF(AND(D143="L-Wall (heel only)",N(R143)&gt;0),"NOTE: L-wall should have no toe. ","")&amp;IF(AND(F143&lt;&gt;"",F143&lt;SG_Criteria!$B$31),"NOTE: q below LTA min "&amp;SG_Criteria!$B$31&amp;" kPa (not for LTA works). ","")))</f>
        <v/>
      </c>
      <c r="BK143" s="9"/>
      <c r="BL143" s="9"/>
      <c r="BM143" s="9"/>
      <c r="BN143" s="10" t="str">
        <f aca="false">IF(BM143="","",IFERROR(VLOOKUP(BM143,Projects!$A$5:$D$504,2,0),"Ref not in Projects"))</f>
        <v/>
      </c>
      <c r="BO143" s="10" t="str">
        <f aca="false">IF(BM143="","",IFERROR(VLOOKUP(BM143,Projects!$A$5:$D$504,4,0),"Ref not in Projects"))</f>
        <v/>
      </c>
      <c r="BP143" s="9"/>
      <c r="BQ143" s="9"/>
      <c r="BR143" s="9"/>
      <c r="BS143" s="40"/>
      <c r="BT143" s="9"/>
      <c r="BU143" s="40"/>
      <c r="BV143" s="9"/>
      <c r="BW143" s="40"/>
      <c r="BX143" s="9"/>
      <c r="BY143" s="9"/>
      <c r="BZ143" s="9"/>
      <c r="CA143" s="40"/>
      <c r="CB143" s="40"/>
      <c r="CC143" s="36" t="str">
        <f aca="false">IF(CB143="","",EDATE(CB143,SG_Criteria!$B$54*12))</f>
        <v/>
      </c>
      <c r="CD143" s="33" t="str">
        <f aca="true">IF(A143="","",IF(CB143="","NOTE: not reviewed yet",IF(TODAY()&gt;CC143,"NOTE: review overdue","OK")))</f>
        <v/>
      </c>
      <c r="CE143" s="37" t="str">
        <f aca="false">IF(A143="","",ROUND((IF(LEN(D143)&gt;0,1,0)+IF(LEN(E143)&gt;0,1,0)+IF(LEN(F143)&gt;0,1,0)+IF(LEN(G143)&gt;0,1,0)+IF(LEN(I143)&gt;0,1,0)+IF(LEN(K143)&gt;0,1,0)+IF(LEN(P143)&gt;0,1,0)+IF(LEN(Q143)&gt;0,1,0)+IF(LEN(T143)&gt;0,1,0)+IF(LEN(V143)&gt;0,1,0)+IF(LEN(W143)&gt;0,1,0)+IF(LEN(X143)&gt;0,1,0)+IF(LEN(Z143)&gt;0,1,0)+IF(LEN(AD143)&gt;0,1,0)+IF(LEN(AE143)&gt;0,1,0)+IF(LEN(AG143)&gt;0,1,0)+IF(LEN(AI143)&gt;0,1,0)+IF(LEN(BB143)&gt;0,1,0)+IF(LEN(BC143)&gt;0,1,0)+IF(LEN(AM143)&gt;0,1,0)+IF(LEN(AO143)&gt;0,1,0)+IF(LEN(AP143)&gt;0,1,0)+IF(LEN(AQ143)&gt;0,1,0)+IF(LEN(AR143)&gt;0,1,0)+IF(LEN(BA143)&gt;0,1,0)+IF(LEN(BM143)&gt;0,1,0)+IF(LEN(BZ143)&gt;0,1,0))/27,2))</f>
        <v/>
      </c>
      <c r="CF143" s="10" t="str">
        <f aca="false">IF(D143="","",IF(AND(AP143="Approved",ISERROR(SEARCH("FAIL",BJ143))),"Y","N"))</f>
        <v/>
      </c>
      <c r="CG143" s="10" t="str">
        <f aca="false">IF(D143="","",D143&amp;"|"&amp;E143&amp;"|"&amp;F143&amp;"|"&amp;G143&amp;"|"&amp;CF143)</f>
        <v/>
      </c>
    </row>
    <row r="144" customFormat="false" ht="15" hidden="false" customHeight="false" outlineLevel="0" collapsed="false">
      <c r="A144" s="10" t="str">
        <f aca="false">IF(D144="","","RW-"&amp;IFERROR(VLOOKUP(D144,Lists!$M$4:$N$22,2,0),"??")&amp;"-H"&amp;TEXT(E144*1000,"0000")&amp;"-S"&amp;F144&amp;IF(G144="Y","-GW","")&amp;"-"&amp;AO144)</f>
        <v/>
      </c>
      <c r="B144" s="10" t="str">
        <f aca="false">IF(D144="","",D144&amp;", H = "&amp;TEXT(E144,"0.0")&amp;" m, q = "&amp;F144&amp;" kPa"&amp;IF(G144="Y",", with GWT","")&amp;", "&amp;I144)</f>
        <v/>
      </c>
      <c r="C144" s="9"/>
      <c r="D144" s="9"/>
      <c r="E144" s="39"/>
      <c r="F144" s="38"/>
      <c r="G144" s="9"/>
      <c r="H144" s="38"/>
      <c r="I144" s="9"/>
      <c r="J144" s="38"/>
      <c r="K144" s="38"/>
      <c r="L144" s="38"/>
      <c r="M144" s="42"/>
      <c r="N144" s="9"/>
      <c r="O144" s="38"/>
      <c r="P144" s="38"/>
      <c r="Q144" s="38"/>
      <c r="R144" s="38"/>
      <c r="S144" s="38"/>
      <c r="T144" s="38"/>
      <c r="U144" s="9"/>
      <c r="V144" s="9"/>
      <c r="W144" s="38"/>
      <c r="X144" s="9"/>
      <c r="Y144" s="9"/>
      <c r="Z144" s="9"/>
      <c r="AA144" s="9"/>
      <c r="AB144" s="9"/>
      <c r="AC144" s="9"/>
      <c r="AD144" s="39"/>
      <c r="AE144" s="39"/>
      <c r="AF144" s="39"/>
      <c r="AG144" s="38"/>
      <c r="AH144" s="38"/>
      <c r="AI144" s="9"/>
      <c r="AJ144" s="38"/>
      <c r="AK144" s="9"/>
      <c r="AL144" s="39"/>
      <c r="AM144" s="9"/>
      <c r="AN144" s="9"/>
      <c r="AO144" s="9"/>
      <c r="AP144" s="9"/>
      <c r="AQ144" s="9"/>
      <c r="AR144" s="9"/>
      <c r="AS144" s="9"/>
      <c r="AT144" s="10" t="str">
        <f aca="false">IF(A144="","",SG_Criteria!$B$6&amp;SG_Criteria!$B$8&amp;"\"&amp;A144&amp;"\")</f>
        <v/>
      </c>
      <c r="AU144" s="10" t="str">
        <f aca="false">IF(A144="","",A144&amp;"_CAD.dwg")</f>
        <v/>
      </c>
      <c r="AV144" s="10" t="str">
        <f aca="false">IF(A144="","",A144&amp;"_DWG.pdf")</f>
        <v/>
      </c>
      <c r="AW144" s="10" t="str">
        <f aca="false">IF(A144="","",IF(AS144="Y",A144&amp;"_STAAD.std","n/a"))</f>
        <v/>
      </c>
      <c r="AX144" s="10" t="str">
        <f aca="false">IF(A144="","",A144&amp;"_CALC.xlsx")</f>
        <v/>
      </c>
      <c r="AY144" s="10" t="str">
        <f aca="false">IF(A144="","",A144&amp;"_CALC.pdf")</f>
        <v/>
      </c>
      <c r="AZ144" s="9"/>
      <c r="BA144" s="9"/>
      <c r="BB144" s="39"/>
      <c r="BC144" s="39"/>
      <c r="BD144" s="39"/>
      <c r="BE144" s="39"/>
      <c r="BF144" s="39"/>
      <c r="BG144" s="12" t="str">
        <f aca="false">IF(A144="","",IF(COUNTIF(Rebar_Schedule!$A$5:$A$2004,A144)=0,"",ROUND(SUMIF(Rebar_Schedule!$A$5:$A$2004,A144,Rebar_Schedule!$K$5:$K$2004),1)))</f>
        <v/>
      </c>
      <c r="BH144" s="33" t="str">
        <f aca="false">IF(A144="","",IF(BG144="","No rebar schedule yet",IF(ABS(BG144-N(BC144))/MAX(N(BC144),1)&gt;SG_Criteria!$B$55,"NOTE: register rebar differs from schedule by "&amp;TEXT(ABS(BG144-N(BC144))/MAX(N(BC144),1),"0%"),"OK")))</f>
        <v/>
      </c>
      <c r="BI144" s="33" t="str">
        <f aca="false">IF(OR(D144="",E144=""),"",IF(E144&lt;=IF(OR(D144="Block / Segmental",D144="Gabion",D144="Reinforced Earth (MSE)"),SG_Criteria!$B$34,SG_Criteria!$B$33),"No ERSS submission",IF(E144&lt;=SG_Criteria!$B$35,"QP(ST)",IF(E144&lt;=SG_Criteria!$B$36,"QP(ST) + AC","Geotechnical building works: QP(Geo) + AC"))))</f>
        <v/>
      </c>
      <c r="BJ144" s="33" t="str">
        <f aca="false">IF(D144="","",IF(LEN(IF(AND(V144&lt;&gt;"",IFERROR(VALUE(MID(V144,2,2)),0)&lt;SG_Criteria!$B$19),"FAIL: grade below C"&amp;SG_Criteria!$B$19&amp;". ","")&amp;IF(AND(W144&lt;&gt;"",W144&lt;SG_Criteria!$B$20),"FAIL: cover &lt; "&amp;SG_Criteria!$B$20&amp;" mm. ","")&amp;IF(AND(AD144&lt;&gt;"",AD144&lt;1),"FAIL: sliding. ","")&amp;IF(AND(D144="Reverse L-Wall (toe only, at boundary)",N(S144)&gt;0),"NOTE: reverse L-wall should have no heel. ","")&amp;IF(AND(D144="L-Wall (heel only)",N(R144)&gt;0),"NOTE: L-wall should have no toe. ","")&amp;IF(AND(F144&lt;&gt;"",F144&lt;SG_Criteria!$B$31),"NOTE: q below LTA min "&amp;SG_Criteria!$B$31&amp;" kPa (not for LTA works). ",""))=0,"OK",IF(AND(V144&lt;&gt;"",IFERROR(VALUE(MID(V144,2,2)),0)&lt;SG_Criteria!$B$19),"FAIL: grade below C"&amp;SG_Criteria!$B$19&amp;". ","")&amp;IF(AND(W144&lt;&gt;"",W144&lt;SG_Criteria!$B$20),"FAIL: cover &lt; "&amp;SG_Criteria!$B$20&amp;" mm. ","")&amp;IF(AND(AD144&lt;&gt;"",AD144&lt;1),"FAIL: sliding. ","")&amp;IF(AND(D144="Reverse L-Wall (toe only, at boundary)",N(S144)&gt;0),"NOTE: reverse L-wall should have no heel. ","")&amp;IF(AND(D144="L-Wall (heel only)",N(R144)&gt;0),"NOTE: L-wall should have no toe. ","")&amp;IF(AND(F144&lt;&gt;"",F144&lt;SG_Criteria!$B$31),"NOTE: q below LTA min "&amp;SG_Criteria!$B$31&amp;" kPa (not for LTA works). ","")))</f>
        <v/>
      </c>
      <c r="BK144" s="9"/>
      <c r="BL144" s="9"/>
      <c r="BM144" s="9"/>
      <c r="BN144" s="10" t="str">
        <f aca="false">IF(BM144="","",IFERROR(VLOOKUP(BM144,Projects!$A$5:$D$504,2,0),"Ref not in Projects"))</f>
        <v/>
      </c>
      <c r="BO144" s="10" t="str">
        <f aca="false">IF(BM144="","",IFERROR(VLOOKUP(BM144,Projects!$A$5:$D$504,4,0),"Ref not in Projects"))</f>
        <v/>
      </c>
      <c r="BP144" s="9"/>
      <c r="BQ144" s="9"/>
      <c r="BR144" s="9"/>
      <c r="BS144" s="40"/>
      <c r="BT144" s="9"/>
      <c r="BU144" s="40"/>
      <c r="BV144" s="9"/>
      <c r="BW144" s="40"/>
      <c r="BX144" s="9"/>
      <c r="BY144" s="9"/>
      <c r="BZ144" s="9"/>
      <c r="CA144" s="40"/>
      <c r="CB144" s="40"/>
      <c r="CC144" s="36" t="str">
        <f aca="false">IF(CB144="","",EDATE(CB144,SG_Criteria!$B$54*12))</f>
        <v/>
      </c>
      <c r="CD144" s="33" t="str">
        <f aca="true">IF(A144="","",IF(CB144="","NOTE: not reviewed yet",IF(TODAY()&gt;CC144,"NOTE: review overdue","OK")))</f>
        <v/>
      </c>
      <c r="CE144" s="37" t="str">
        <f aca="false">IF(A144="","",ROUND((IF(LEN(D144)&gt;0,1,0)+IF(LEN(E144)&gt;0,1,0)+IF(LEN(F144)&gt;0,1,0)+IF(LEN(G144)&gt;0,1,0)+IF(LEN(I144)&gt;0,1,0)+IF(LEN(K144)&gt;0,1,0)+IF(LEN(P144)&gt;0,1,0)+IF(LEN(Q144)&gt;0,1,0)+IF(LEN(T144)&gt;0,1,0)+IF(LEN(V144)&gt;0,1,0)+IF(LEN(W144)&gt;0,1,0)+IF(LEN(X144)&gt;0,1,0)+IF(LEN(Z144)&gt;0,1,0)+IF(LEN(AD144)&gt;0,1,0)+IF(LEN(AE144)&gt;0,1,0)+IF(LEN(AG144)&gt;0,1,0)+IF(LEN(AI144)&gt;0,1,0)+IF(LEN(BB144)&gt;0,1,0)+IF(LEN(BC144)&gt;0,1,0)+IF(LEN(AM144)&gt;0,1,0)+IF(LEN(AO144)&gt;0,1,0)+IF(LEN(AP144)&gt;0,1,0)+IF(LEN(AQ144)&gt;0,1,0)+IF(LEN(AR144)&gt;0,1,0)+IF(LEN(BA144)&gt;0,1,0)+IF(LEN(BM144)&gt;0,1,0)+IF(LEN(BZ144)&gt;0,1,0))/27,2))</f>
        <v/>
      </c>
      <c r="CF144" s="10" t="str">
        <f aca="false">IF(D144="","",IF(AND(AP144="Approved",ISERROR(SEARCH("FAIL",BJ144))),"Y","N"))</f>
        <v/>
      </c>
      <c r="CG144" s="10" t="str">
        <f aca="false">IF(D144="","",D144&amp;"|"&amp;E144&amp;"|"&amp;F144&amp;"|"&amp;G144&amp;"|"&amp;CF144)</f>
        <v/>
      </c>
    </row>
    <row r="145" customFormat="false" ht="15" hidden="false" customHeight="false" outlineLevel="0" collapsed="false">
      <c r="A145" s="10" t="str">
        <f aca="false">IF(D145="","","RW-"&amp;IFERROR(VLOOKUP(D145,Lists!$M$4:$N$22,2,0),"??")&amp;"-H"&amp;TEXT(E145*1000,"0000")&amp;"-S"&amp;F145&amp;IF(G145="Y","-GW","")&amp;"-"&amp;AO145)</f>
        <v/>
      </c>
      <c r="B145" s="10" t="str">
        <f aca="false">IF(D145="","",D145&amp;", H = "&amp;TEXT(E145,"0.0")&amp;" m, q = "&amp;F145&amp;" kPa"&amp;IF(G145="Y",", with GWT","")&amp;", "&amp;I145)</f>
        <v/>
      </c>
      <c r="C145" s="9"/>
      <c r="D145" s="9"/>
      <c r="E145" s="39"/>
      <c r="F145" s="38"/>
      <c r="G145" s="9"/>
      <c r="H145" s="38"/>
      <c r="I145" s="9"/>
      <c r="J145" s="38"/>
      <c r="K145" s="38"/>
      <c r="L145" s="38"/>
      <c r="M145" s="42"/>
      <c r="N145" s="9"/>
      <c r="O145" s="38"/>
      <c r="P145" s="38"/>
      <c r="Q145" s="38"/>
      <c r="R145" s="38"/>
      <c r="S145" s="38"/>
      <c r="T145" s="38"/>
      <c r="U145" s="9"/>
      <c r="V145" s="9"/>
      <c r="W145" s="38"/>
      <c r="X145" s="9"/>
      <c r="Y145" s="9"/>
      <c r="Z145" s="9"/>
      <c r="AA145" s="9"/>
      <c r="AB145" s="9"/>
      <c r="AC145" s="9"/>
      <c r="AD145" s="39"/>
      <c r="AE145" s="39"/>
      <c r="AF145" s="39"/>
      <c r="AG145" s="38"/>
      <c r="AH145" s="38"/>
      <c r="AI145" s="9"/>
      <c r="AJ145" s="38"/>
      <c r="AK145" s="9"/>
      <c r="AL145" s="39"/>
      <c r="AM145" s="9"/>
      <c r="AN145" s="9"/>
      <c r="AO145" s="9"/>
      <c r="AP145" s="9"/>
      <c r="AQ145" s="9"/>
      <c r="AR145" s="9"/>
      <c r="AS145" s="9"/>
      <c r="AT145" s="10" t="str">
        <f aca="false">IF(A145="","",SG_Criteria!$B$6&amp;SG_Criteria!$B$8&amp;"\"&amp;A145&amp;"\")</f>
        <v/>
      </c>
      <c r="AU145" s="10" t="str">
        <f aca="false">IF(A145="","",A145&amp;"_CAD.dwg")</f>
        <v/>
      </c>
      <c r="AV145" s="10" t="str">
        <f aca="false">IF(A145="","",A145&amp;"_DWG.pdf")</f>
        <v/>
      </c>
      <c r="AW145" s="10" t="str">
        <f aca="false">IF(A145="","",IF(AS145="Y",A145&amp;"_STAAD.std","n/a"))</f>
        <v/>
      </c>
      <c r="AX145" s="10" t="str">
        <f aca="false">IF(A145="","",A145&amp;"_CALC.xlsx")</f>
        <v/>
      </c>
      <c r="AY145" s="10" t="str">
        <f aca="false">IF(A145="","",A145&amp;"_CALC.pdf")</f>
        <v/>
      </c>
      <c r="AZ145" s="9"/>
      <c r="BA145" s="9"/>
      <c r="BB145" s="39"/>
      <c r="BC145" s="39"/>
      <c r="BD145" s="39"/>
      <c r="BE145" s="39"/>
      <c r="BF145" s="39"/>
      <c r="BG145" s="12" t="str">
        <f aca="false">IF(A145="","",IF(COUNTIF(Rebar_Schedule!$A$5:$A$2004,A145)=0,"",ROUND(SUMIF(Rebar_Schedule!$A$5:$A$2004,A145,Rebar_Schedule!$K$5:$K$2004),1)))</f>
        <v/>
      </c>
      <c r="BH145" s="33" t="str">
        <f aca="false">IF(A145="","",IF(BG145="","No rebar schedule yet",IF(ABS(BG145-N(BC145))/MAX(N(BC145),1)&gt;SG_Criteria!$B$55,"NOTE: register rebar differs from schedule by "&amp;TEXT(ABS(BG145-N(BC145))/MAX(N(BC145),1),"0%"),"OK")))</f>
        <v/>
      </c>
      <c r="BI145" s="33" t="str">
        <f aca="false">IF(OR(D145="",E145=""),"",IF(E145&lt;=IF(OR(D145="Block / Segmental",D145="Gabion",D145="Reinforced Earth (MSE)"),SG_Criteria!$B$34,SG_Criteria!$B$33),"No ERSS submission",IF(E145&lt;=SG_Criteria!$B$35,"QP(ST)",IF(E145&lt;=SG_Criteria!$B$36,"QP(ST) + AC","Geotechnical building works: QP(Geo) + AC"))))</f>
        <v/>
      </c>
      <c r="BJ145" s="33" t="str">
        <f aca="false">IF(D145="","",IF(LEN(IF(AND(V145&lt;&gt;"",IFERROR(VALUE(MID(V145,2,2)),0)&lt;SG_Criteria!$B$19),"FAIL: grade below C"&amp;SG_Criteria!$B$19&amp;". ","")&amp;IF(AND(W145&lt;&gt;"",W145&lt;SG_Criteria!$B$20),"FAIL: cover &lt; "&amp;SG_Criteria!$B$20&amp;" mm. ","")&amp;IF(AND(AD145&lt;&gt;"",AD145&lt;1),"FAIL: sliding. ","")&amp;IF(AND(D145="Reverse L-Wall (toe only, at boundary)",N(S145)&gt;0),"NOTE: reverse L-wall should have no heel. ","")&amp;IF(AND(D145="L-Wall (heel only)",N(R145)&gt;0),"NOTE: L-wall should have no toe. ","")&amp;IF(AND(F145&lt;&gt;"",F145&lt;SG_Criteria!$B$31),"NOTE: q below LTA min "&amp;SG_Criteria!$B$31&amp;" kPa (not for LTA works). ",""))=0,"OK",IF(AND(V145&lt;&gt;"",IFERROR(VALUE(MID(V145,2,2)),0)&lt;SG_Criteria!$B$19),"FAIL: grade below C"&amp;SG_Criteria!$B$19&amp;". ","")&amp;IF(AND(W145&lt;&gt;"",W145&lt;SG_Criteria!$B$20),"FAIL: cover &lt; "&amp;SG_Criteria!$B$20&amp;" mm. ","")&amp;IF(AND(AD145&lt;&gt;"",AD145&lt;1),"FAIL: sliding. ","")&amp;IF(AND(D145="Reverse L-Wall (toe only, at boundary)",N(S145)&gt;0),"NOTE: reverse L-wall should have no heel. ","")&amp;IF(AND(D145="L-Wall (heel only)",N(R145)&gt;0),"NOTE: L-wall should have no toe. ","")&amp;IF(AND(F145&lt;&gt;"",F145&lt;SG_Criteria!$B$31),"NOTE: q below LTA min "&amp;SG_Criteria!$B$31&amp;" kPa (not for LTA works). ","")))</f>
        <v/>
      </c>
      <c r="BK145" s="9"/>
      <c r="BL145" s="9"/>
      <c r="BM145" s="9"/>
      <c r="BN145" s="10" t="str">
        <f aca="false">IF(BM145="","",IFERROR(VLOOKUP(BM145,Projects!$A$5:$D$504,2,0),"Ref not in Projects"))</f>
        <v/>
      </c>
      <c r="BO145" s="10" t="str">
        <f aca="false">IF(BM145="","",IFERROR(VLOOKUP(BM145,Projects!$A$5:$D$504,4,0),"Ref not in Projects"))</f>
        <v/>
      </c>
      <c r="BP145" s="9"/>
      <c r="BQ145" s="9"/>
      <c r="BR145" s="9"/>
      <c r="BS145" s="40"/>
      <c r="BT145" s="9"/>
      <c r="BU145" s="40"/>
      <c r="BV145" s="9"/>
      <c r="BW145" s="40"/>
      <c r="BX145" s="9"/>
      <c r="BY145" s="9"/>
      <c r="BZ145" s="9"/>
      <c r="CA145" s="40"/>
      <c r="CB145" s="40"/>
      <c r="CC145" s="36" t="str">
        <f aca="false">IF(CB145="","",EDATE(CB145,SG_Criteria!$B$54*12))</f>
        <v/>
      </c>
      <c r="CD145" s="33" t="str">
        <f aca="true">IF(A145="","",IF(CB145="","NOTE: not reviewed yet",IF(TODAY()&gt;CC145,"NOTE: review overdue","OK")))</f>
        <v/>
      </c>
      <c r="CE145" s="37" t="str">
        <f aca="false">IF(A145="","",ROUND((IF(LEN(D145)&gt;0,1,0)+IF(LEN(E145)&gt;0,1,0)+IF(LEN(F145)&gt;0,1,0)+IF(LEN(G145)&gt;0,1,0)+IF(LEN(I145)&gt;0,1,0)+IF(LEN(K145)&gt;0,1,0)+IF(LEN(P145)&gt;0,1,0)+IF(LEN(Q145)&gt;0,1,0)+IF(LEN(T145)&gt;0,1,0)+IF(LEN(V145)&gt;0,1,0)+IF(LEN(W145)&gt;0,1,0)+IF(LEN(X145)&gt;0,1,0)+IF(LEN(Z145)&gt;0,1,0)+IF(LEN(AD145)&gt;0,1,0)+IF(LEN(AE145)&gt;0,1,0)+IF(LEN(AG145)&gt;0,1,0)+IF(LEN(AI145)&gt;0,1,0)+IF(LEN(BB145)&gt;0,1,0)+IF(LEN(BC145)&gt;0,1,0)+IF(LEN(AM145)&gt;0,1,0)+IF(LEN(AO145)&gt;0,1,0)+IF(LEN(AP145)&gt;0,1,0)+IF(LEN(AQ145)&gt;0,1,0)+IF(LEN(AR145)&gt;0,1,0)+IF(LEN(BA145)&gt;0,1,0)+IF(LEN(BM145)&gt;0,1,0)+IF(LEN(BZ145)&gt;0,1,0))/27,2))</f>
        <v/>
      </c>
      <c r="CF145" s="10" t="str">
        <f aca="false">IF(D145="","",IF(AND(AP145="Approved",ISERROR(SEARCH("FAIL",BJ145))),"Y","N"))</f>
        <v/>
      </c>
      <c r="CG145" s="10" t="str">
        <f aca="false">IF(D145="","",D145&amp;"|"&amp;E145&amp;"|"&amp;F145&amp;"|"&amp;G145&amp;"|"&amp;CF145)</f>
        <v/>
      </c>
    </row>
    <row r="146" customFormat="false" ht="15" hidden="false" customHeight="false" outlineLevel="0" collapsed="false">
      <c r="A146" s="10" t="str">
        <f aca="false">IF(D146="","","RW-"&amp;IFERROR(VLOOKUP(D146,Lists!$M$4:$N$22,2,0),"??")&amp;"-H"&amp;TEXT(E146*1000,"0000")&amp;"-S"&amp;F146&amp;IF(G146="Y","-GW","")&amp;"-"&amp;AO146)</f>
        <v/>
      </c>
      <c r="B146" s="10" t="str">
        <f aca="false">IF(D146="","",D146&amp;", H = "&amp;TEXT(E146,"0.0")&amp;" m, q = "&amp;F146&amp;" kPa"&amp;IF(G146="Y",", with GWT","")&amp;", "&amp;I146)</f>
        <v/>
      </c>
      <c r="C146" s="9"/>
      <c r="D146" s="9"/>
      <c r="E146" s="39"/>
      <c r="F146" s="38"/>
      <c r="G146" s="9"/>
      <c r="H146" s="38"/>
      <c r="I146" s="9"/>
      <c r="J146" s="38"/>
      <c r="K146" s="38"/>
      <c r="L146" s="38"/>
      <c r="M146" s="42"/>
      <c r="N146" s="9"/>
      <c r="O146" s="38"/>
      <c r="P146" s="38"/>
      <c r="Q146" s="38"/>
      <c r="R146" s="38"/>
      <c r="S146" s="38"/>
      <c r="T146" s="38"/>
      <c r="U146" s="9"/>
      <c r="V146" s="9"/>
      <c r="W146" s="38"/>
      <c r="X146" s="9"/>
      <c r="Y146" s="9"/>
      <c r="Z146" s="9"/>
      <c r="AA146" s="9"/>
      <c r="AB146" s="9"/>
      <c r="AC146" s="9"/>
      <c r="AD146" s="39"/>
      <c r="AE146" s="39"/>
      <c r="AF146" s="39"/>
      <c r="AG146" s="38"/>
      <c r="AH146" s="38"/>
      <c r="AI146" s="9"/>
      <c r="AJ146" s="38"/>
      <c r="AK146" s="9"/>
      <c r="AL146" s="39"/>
      <c r="AM146" s="9"/>
      <c r="AN146" s="9"/>
      <c r="AO146" s="9"/>
      <c r="AP146" s="9"/>
      <c r="AQ146" s="9"/>
      <c r="AR146" s="9"/>
      <c r="AS146" s="9"/>
      <c r="AT146" s="10" t="str">
        <f aca="false">IF(A146="","",SG_Criteria!$B$6&amp;SG_Criteria!$B$8&amp;"\"&amp;A146&amp;"\")</f>
        <v/>
      </c>
      <c r="AU146" s="10" t="str">
        <f aca="false">IF(A146="","",A146&amp;"_CAD.dwg")</f>
        <v/>
      </c>
      <c r="AV146" s="10" t="str">
        <f aca="false">IF(A146="","",A146&amp;"_DWG.pdf")</f>
        <v/>
      </c>
      <c r="AW146" s="10" t="str">
        <f aca="false">IF(A146="","",IF(AS146="Y",A146&amp;"_STAAD.std","n/a"))</f>
        <v/>
      </c>
      <c r="AX146" s="10" t="str">
        <f aca="false">IF(A146="","",A146&amp;"_CALC.xlsx")</f>
        <v/>
      </c>
      <c r="AY146" s="10" t="str">
        <f aca="false">IF(A146="","",A146&amp;"_CALC.pdf")</f>
        <v/>
      </c>
      <c r="AZ146" s="9"/>
      <c r="BA146" s="9"/>
      <c r="BB146" s="39"/>
      <c r="BC146" s="39"/>
      <c r="BD146" s="39"/>
      <c r="BE146" s="39"/>
      <c r="BF146" s="39"/>
      <c r="BG146" s="12" t="str">
        <f aca="false">IF(A146="","",IF(COUNTIF(Rebar_Schedule!$A$5:$A$2004,A146)=0,"",ROUND(SUMIF(Rebar_Schedule!$A$5:$A$2004,A146,Rebar_Schedule!$K$5:$K$2004),1)))</f>
        <v/>
      </c>
      <c r="BH146" s="33" t="str">
        <f aca="false">IF(A146="","",IF(BG146="","No rebar schedule yet",IF(ABS(BG146-N(BC146))/MAX(N(BC146),1)&gt;SG_Criteria!$B$55,"NOTE: register rebar differs from schedule by "&amp;TEXT(ABS(BG146-N(BC146))/MAX(N(BC146),1),"0%"),"OK")))</f>
        <v/>
      </c>
      <c r="BI146" s="33" t="str">
        <f aca="false">IF(OR(D146="",E146=""),"",IF(E146&lt;=IF(OR(D146="Block / Segmental",D146="Gabion",D146="Reinforced Earth (MSE)"),SG_Criteria!$B$34,SG_Criteria!$B$33),"No ERSS submission",IF(E146&lt;=SG_Criteria!$B$35,"QP(ST)",IF(E146&lt;=SG_Criteria!$B$36,"QP(ST) + AC","Geotechnical building works: QP(Geo) + AC"))))</f>
        <v/>
      </c>
      <c r="BJ146" s="33" t="str">
        <f aca="false">IF(D146="","",IF(LEN(IF(AND(V146&lt;&gt;"",IFERROR(VALUE(MID(V146,2,2)),0)&lt;SG_Criteria!$B$19),"FAIL: grade below C"&amp;SG_Criteria!$B$19&amp;". ","")&amp;IF(AND(W146&lt;&gt;"",W146&lt;SG_Criteria!$B$20),"FAIL: cover &lt; "&amp;SG_Criteria!$B$20&amp;" mm. ","")&amp;IF(AND(AD146&lt;&gt;"",AD146&lt;1),"FAIL: sliding. ","")&amp;IF(AND(D146="Reverse L-Wall (toe only, at boundary)",N(S146)&gt;0),"NOTE: reverse L-wall should have no heel. ","")&amp;IF(AND(D146="L-Wall (heel only)",N(R146)&gt;0),"NOTE: L-wall should have no toe. ","")&amp;IF(AND(F146&lt;&gt;"",F146&lt;SG_Criteria!$B$31),"NOTE: q below LTA min "&amp;SG_Criteria!$B$31&amp;" kPa (not for LTA works). ",""))=0,"OK",IF(AND(V146&lt;&gt;"",IFERROR(VALUE(MID(V146,2,2)),0)&lt;SG_Criteria!$B$19),"FAIL: grade below C"&amp;SG_Criteria!$B$19&amp;". ","")&amp;IF(AND(W146&lt;&gt;"",W146&lt;SG_Criteria!$B$20),"FAIL: cover &lt; "&amp;SG_Criteria!$B$20&amp;" mm. ","")&amp;IF(AND(AD146&lt;&gt;"",AD146&lt;1),"FAIL: sliding. ","")&amp;IF(AND(D146="Reverse L-Wall (toe only, at boundary)",N(S146)&gt;0),"NOTE: reverse L-wall should have no heel. ","")&amp;IF(AND(D146="L-Wall (heel only)",N(R146)&gt;0),"NOTE: L-wall should have no toe. ","")&amp;IF(AND(F146&lt;&gt;"",F146&lt;SG_Criteria!$B$31),"NOTE: q below LTA min "&amp;SG_Criteria!$B$31&amp;" kPa (not for LTA works). ","")))</f>
        <v/>
      </c>
      <c r="BK146" s="9"/>
      <c r="BL146" s="9"/>
      <c r="BM146" s="9"/>
      <c r="BN146" s="10" t="str">
        <f aca="false">IF(BM146="","",IFERROR(VLOOKUP(BM146,Projects!$A$5:$D$504,2,0),"Ref not in Projects"))</f>
        <v/>
      </c>
      <c r="BO146" s="10" t="str">
        <f aca="false">IF(BM146="","",IFERROR(VLOOKUP(BM146,Projects!$A$5:$D$504,4,0),"Ref not in Projects"))</f>
        <v/>
      </c>
      <c r="BP146" s="9"/>
      <c r="BQ146" s="9"/>
      <c r="BR146" s="9"/>
      <c r="BS146" s="40"/>
      <c r="BT146" s="9"/>
      <c r="BU146" s="40"/>
      <c r="BV146" s="9"/>
      <c r="BW146" s="40"/>
      <c r="BX146" s="9"/>
      <c r="BY146" s="9"/>
      <c r="BZ146" s="9"/>
      <c r="CA146" s="40"/>
      <c r="CB146" s="40"/>
      <c r="CC146" s="36" t="str">
        <f aca="false">IF(CB146="","",EDATE(CB146,SG_Criteria!$B$54*12))</f>
        <v/>
      </c>
      <c r="CD146" s="33" t="str">
        <f aca="true">IF(A146="","",IF(CB146="","NOTE: not reviewed yet",IF(TODAY()&gt;CC146,"NOTE: review overdue","OK")))</f>
        <v/>
      </c>
      <c r="CE146" s="37" t="str">
        <f aca="false">IF(A146="","",ROUND((IF(LEN(D146)&gt;0,1,0)+IF(LEN(E146)&gt;0,1,0)+IF(LEN(F146)&gt;0,1,0)+IF(LEN(G146)&gt;0,1,0)+IF(LEN(I146)&gt;0,1,0)+IF(LEN(K146)&gt;0,1,0)+IF(LEN(P146)&gt;0,1,0)+IF(LEN(Q146)&gt;0,1,0)+IF(LEN(T146)&gt;0,1,0)+IF(LEN(V146)&gt;0,1,0)+IF(LEN(W146)&gt;0,1,0)+IF(LEN(X146)&gt;0,1,0)+IF(LEN(Z146)&gt;0,1,0)+IF(LEN(AD146)&gt;0,1,0)+IF(LEN(AE146)&gt;0,1,0)+IF(LEN(AG146)&gt;0,1,0)+IF(LEN(AI146)&gt;0,1,0)+IF(LEN(BB146)&gt;0,1,0)+IF(LEN(BC146)&gt;0,1,0)+IF(LEN(AM146)&gt;0,1,0)+IF(LEN(AO146)&gt;0,1,0)+IF(LEN(AP146)&gt;0,1,0)+IF(LEN(AQ146)&gt;0,1,0)+IF(LEN(AR146)&gt;0,1,0)+IF(LEN(BA146)&gt;0,1,0)+IF(LEN(BM146)&gt;0,1,0)+IF(LEN(BZ146)&gt;0,1,0))/27,2))</f>
        <v/>
      </c>
      <c r="CF146" s="10" t="str">
        <f aca="false">IF(D146="","",IF(AND(AP146="Approved",ISERROR(SEARCH("FAIL",BJ146))),"Y","N"))</f>
        <v/>
      </c>
      <c r="CG146" s="10" t="str">
        <f aca="false">IF(D146="","",D146&amp;"|"&amp;E146&amp;"|"&amp;F146&amp;"|"&amp;G146&amp;"|"&amp;CF146)</f>
        <v/>
      </c>
    </row>
    <row r="147" customFormat="false" ht="15" hidden="false" customHeight="false" outlineLevel="0" collapsed="false">
      <c r="A147" s="10" t="str">
        <f aca="false">IF(D147="","","RW-"&amp;IFERROR(VLOOKUP(D147,Lists!$M$4:$N$22,2,0),"??")&amp;"-H"&amp;TEXT(E147*1000,"0000")&amp;"-S"&amp;F147&amp;IF(G147="Y","-GW","")&amp;"-"&amp;AO147)</f>
        <v/>
      </c>
      <c r="B147" s="10" t="str">
        <f aca="false">IF(D147="","",D147&amp;", H = "&amp;TEXT(E147,"0.0")&amp;" m, q = "&amp;F147&amp;" kPa"&amp;IF(G147="Y",", with GWT","")&amp;", "&amp;I147)</f>
        <v/>
      </c>
      <c r="C147" s="9"/>
      <c r="D147" s="9"/>
      <c r="E147" s="39"/>
      <c r="F147" s="38"/>
      <c r="G147" s="9"/>
      <c r="H147" s="38"/>
      <c r="I147" s="9"/>
      <c r="J147" s="38"/>
      <c r="K147" s="38"/>
      <c r="L147" s="38"/>
      <c r="M147" s="42"/>
      <c r="N147" s="9"/>
      <c r="O147" s="38"/>
      <c r="P147" s="38"/>
      <c r="Q147" s="38"/>
      <c r="R147" s="38"/>
      <c r="S147" s="38"/>
      <c r="T147" s="38"/>
      <c r="U147" s="9"/>
      <c r="V147" s="9"/>
      <c r="W147" s="38"/>
      <c r="X147" s="9"/>
      <c r="Y147" s="9"/>
      <c r="Z147" s="9"/>
      <c r="AA147" s="9"/>
      <c r="AB147" s="9"/>
      <c r="AC147" s="9"/>
      <c r="AD147" s="39"/>
      <c r="AE147" s="39"/>
      <c r="AF147" s="39"/>
      <c r="AG147" s="38"/>
      <c r="AH147" s="38"/>
      <c r="AI147" s="9"/>
      <c r="AJ147" s="38"/>
      <c r="AK147" s="9"/>
      <c r="AL147" s="39"/>
      <c r="AM147" s="9"/>
      <c r="AN147" s="9"/>
      <c r="AO147" s="9"/>
      <c r="AP147" s="9"/>
      <c r="AQ147" s="9"/>
      <c r="AR147" s="9"/>
      <c r="AS147" s="9"/>
      <c r="AT147" s="10" t="str">
        <f aca="false">IF(A147="","",SG_Criteria!$B$6&amp;SG_Criteria!$B$8&amp;"\"&amp;A147&amp;"\")</f>
        <v/>
      </c>
      <c r="AU147" s="10" t="str">
        <f aca="false">IF(A147="","",A147&amp;"_CAD.dwg")</f>
        <v/>
      </c>
      <c r="AV147" s="10" t="str">
        <f aca="false">IF(A147="","",A147&amp;"_DWG.pdf")</f>
        <v/>
      </c>
      <c r="AW147" s="10" t="str">
        <f aca="false">IF(A147="","",IF(AS147="Y",A147&amp;"_STAAD.std","n/a"))</f>
        <v/>
      </c>
      <c r="AX147" s="10" t="str">
        <f aca="false">IF(A147="","",A147&amp;"_CALC.xlsx")</f>
        <v/>
      </c>
      <c r="AY147" s="10" t="str">
        <f aca="false">IF(A147="","",A147&amp;"_CALC.pdf")</f>
        <v/>
      </c>
      <c r="AZ147" s="9"/>
      <c r="BA147" s="9"/>
      <c r="BB147" s="39"/>
      <c r="BC147" s="39"/>
      <c r="BD147" s="39"/>
      <c r="BE147" s="39"/>
      <c r="BF147" s="39"/>
      <c r="BG147" s="12" t="str">
        <f aca="false">IF(A147="","",IF(COUNTIF(Rebar_Schedule!$A$5:$A$2004,A147)=0,"",ROUND(SUMIF(Rebar_Schedule!$A$5:$A$2004,A147,Rebar_Schedule!$K$5:$K$2004),1)))</f>
        <v/>
      </c>
      <c r="BH147" s="33" t="str">
        <f aca="false">IF(A147="","",IF(BG147="","No rebar schedule yet",IF(ABS(BG147-N(BC147))/MAX(N(BC147),1)&gt;SG_Criteria!$B$55,"NOTE: register rebar differs from schedule by "&amp;TEXT(ABS(BG147-N(BC147))/MAX(N(BC147),1),"0%"),"OK")))</f>
        <v/>
      </c>
      <c r="BI147" s="33" t="str">
        <f aca="false">IF(OR(D147="",E147=""),"",IF(E147&lt;=IF(OR(D147="Block / Segmental",D147="Gabion",D147="Reinforced Earth (MSE)"),SG_Criteria!$B$34,SG_Criteria!$B$33),"No ERSS submission",IF(E147&lt;=SG_Criteria!$B$35,"QP(ST)",IF(E147&lt;=SG_Criteria!$B$36,"QP(ST) + AC","Geotechnical building works: QP(Geo) + AC"))))</f>
        <v/>
      </c>
      <c r="BJ147" s="33" t="str">
        <f aca="false">IF(D147="","",IF(LEN(IF(AND(V147&lt;&gt;"",IFERROR(VALUE(MID(V147,2,2)),0)&lt;SG_Criteria!$B$19),"FAIL: grade below C"&amp;SG_Criteria!$B$19&amp;". ","")&amp;IF(AND(W147&lt;&gt;"",W147&lt;SG_Criteria!$B$20),"FAIL: cover &lt; "&amp;SG_Criteria!$B$20&amp;" mm. ","")&amp;IF(AND(AD147&lt;&gt;"",AD147&lt;1),"FAIL: sliding. ","")&amp;IF(AND(D147="Reverse L-Wall (toe only, at boundary)",N(S147)&gt;0),"NOTE: reverse L-wall should have no heel. ","")&amp;IF(AND(D147="L-Wall (heel only)",N(R147)&gt;0),"NOTE: L-wall should have no toe. ","")&amp;IF(AND(F147&lt;&gt;"",F147&lt;SG_Criteria!$B$31),"NOTE: q below LTA min "&amp;SG_Criteria!$B$31&amp;" kPa (not for LTA works). ",""))=0,"OK",IF(AND(V147&lt;&gt;"",IFERROR(VALUE(MID(V147,2,2)),0)&lt;SG_Criteria!$B$19),"FAIL: grade below C"&amp;SG_Criteria!$B$19&amp;". ","")&amp;IF(AND(W147&lt;&gt;"",W147&lt;SG_Criteria!$B$20),"FAIL: cover &lt; "&amp;SG_Criteria!$B$20&amp;" mm. ","")&amp;IF(AND(AD147&lt;&gt;"",AD147&lt;1),"FAIL: sliding. ","")&amp;IF(AND(D147="Reverse L-Wall (toe only, at boundary)",N(S147)&gt;0),"NOTE: reverse L-wall should have no heel. ","")&amp;IF(AND(D147="L-Wall (heel only)",N(R147)&gt;0),"NOTE: L-wall should have no toe. ","")&amp;IF(AND(F147&lt;&gt;"",F147&lt;SG_Criteria!$B$31),"NOTE: q below LTA min "&amp;SG_Criteria!$B$31&amp;" kPa (not for LTA works). ","")))</f>
        <v/>
      </c>
      <c r="BK147" s="9"/>
      <c r="BL147" s="9"/>
      <c r="BM147" s="9"/>
      <c r="BN147" s="10" t="str">
        <f aca="false">IF(BM147="","",IFERROR(VLOOKUP(BM147,Projects!$A$5:$D$504,2,0),"Ref not in Projects"))</f>
        <v/>
      </c>
      <c r="BO147" s="10" t="str">
        <f aca="false">IF(BM147="","",IFERROR(VLOOKUP(BM147,Projects!$A$5:$D$504,4,0),"Ref not in Projects"))</f>
        <v/>
      </c>
      <c r="BP147" s="9"/>
      <c r="BQ147" s="9"/>
      <c r="BR147" s="9"/>
      <c r="BS147" s="40"/>
      <c r="BT147" s="9"/>
      <c r="BU147" s="40"/>
      <c r="BV147" s="9"/>
      <c r="BW147" s="40"/>
      <c r="BX147" s="9"/>
      <c r="BY147" s="9"/>
      <c r="BZ147" s="9"/>
      <c r="CA147" s="40"/>
      <c r="CB147" s="40"/>
      <c r="CC147" s="36" t="str">
        <f aca="false">IF(CB147="","",EDATE(CB147,SG_Criteria!$B$54*12))</f>
        <v/>
      </c>
      <c r="CD147" s="33" t="str">
        <f aca="true">IF(A147="","",IF(CB147="","NOTE: not reviewed yet",IF(TODAY()&gt;CC147,"NOTE: review overdue","OK")))</f>
        <v/>
      </c>
      <c r="CE147" s="37" t="str">
        <f aca="false">IF(A147="","",ROUND((IF(LEN(D147)&gt;0,1,0)+IF(LEN(E147)&gt;0,1,0)+IF(LEN(F147)&gt;0,1,0)+IF(LEN(G147)&gt;0,1,0)+IF(LEN(I147)&gt;0,1,0)+IF(LEN(K147)&gt;0,1,0)+IF(LEN(P147)&gt;0,1,0)+IF(LEN(Q147)&gt;0,1,0)+IF(LEN(T147)&gt;0,1,0)+IF(LEN(V147)&gt;0,1,0)+IF(LEN(W147)&gt;0,1,0)+IF(LEN(X147)&gt;0,1,0)+IF(LEN(Z147)&gt;0,1,0)+IF(LEN(AD147)&gt;0,1,0)+IF(LEN(AE147)&gt;0,1,0)+IF(LEN(AG147)&gt;0,1,0)+IF(LEN(AI147)&gt;0,1,0)+IF(LEN(BB147)&gt;0,1,0)+IF(LEN(BC147)&gt;0,1,0)+IF(LEN(AM147)&gt;0,1,0)+IF(LEN(AO147)&gt;0,1,0)+IF(LEN(AP147)&gt;0,1,0)+IF(LEN(AQ147)&gt;0,1,0)+IF(LEN(AR147)&gt;0,1,0)+IF(LEN(BA147)&gt;0,1,0)+IF(LEN(BM147)&gt;0,1,0)+IF(LEN(BZ147)&gt;0,1,0))/27,2))</f>
        <v/>
      </c>
      <c r="CF147" s="10" t="str">
        <f aca="false">IF(D147="","",IF(AND(AP147="Approved",ISERROR(SEARCH("FAIL",BJ147))),"Y","N"))</f>
        <v/>
      </c>
      <c r="CG147" s="10" t="str">
        <f aca="false">IF(D147="","",D147&amp;"|"&amp;E147&amp;"|"&amp;F147&amp;"|"&amp;G147&amp;"|"&amp;CF147)</f>
        <v/>
      </c>
    </row>
    <row r="148" customFormat="false" ht="15" hidden="false" customHeight="false" outlineLevel="0" collapsed="false">
      <c r="A148" s="10" t="str">
        <f aca="false">IF(D148="","","RW-"&amp;IFERROR(VLOOKUP(D148,Lists!$M$4:$N$22,2,0),"??")&amp;"-H"&amp;TEXT(E148*1000,"0000")&amp;"-S"&amp;F148&amp;IF(G148="Y","-GW","")&amp;"-"&amp;AO148)</f>
        <v/>
      </c>
      <c r="B148" s="10" t="str">
        <f aca="false">IF(D148="","",D148&amp;", H = "&amp;TEXT(E148,"0.0")&amp;" m, q = "&amp;F148&amp;" kPa"&amp;IF(G148="Y",", with GWT","")&amp;", "&amp;I148)</f>
        <v/>
      </c>
      <c r="C148" s="9"/>
      <c r="D148" s="9"/>
      <c r="E148" s="39"/>
      <c r="F148" s="38"/>
      <c r="G148" s="9"/>
      <c r="H148" s="38"/>
      <c r="I148" s="9"/>
      <c r="J148" s="38"/>
      <c r="K148" s="38"/>
      <c r="L148" s="38"/>
      <c r="M148" s="42"/>
      <c r="N148" s="9"/>
      <c r="O148" s="38"/>
      <c r="P148" s="38"/>
      <c r="Q148" s="38"/>
      <c r="R148" s="38"/>
      <c r="S148" s="38"/>
      <c r="T148" s="38"/>
      <c r="U148" s="9"/>
      <c r="V148" s="9"/>
      <c r="W148" s="38"/>
      <c r="X148" s="9"/>
      <c r="Y148" s="9"/>
      <c r="Z148" s="9"/>
      <c r="AA148" s="9"/>
      <c r="AB148" s="9"/>
      <c r="AC148" s="9"/>
      <c r="AD148" s="39"/>
      <c r="AE148" s="39"/>
      <c r="AF148" s="39"/>
      <c r="AG148" s="38"/>
      <c r="AH148" s="38"/>
      <c r="AI148" s="9"/>
      <c r="AJ148" s="38"/>
      <c r="AK148" s="9"/>
      <c r="AL148" s="39"/>
      <c r="AM148" s="9"/>
      <c r="AN148" s="9"/>
      <c r="AO148" s="9"/>
      <c r="AP148" s="9"/>
      <c r="AQ148" s="9"/>
      <c r="AR148" s="9"/>
      <c r="AS148" s="9"/>
      <c r="AT148" s="10" t="str">
        <f aca="false">IF(A148="","",SG_Criteria!$B$6&amp;SG_Criteria!$B$8&amp;"\"&amp;A148&amp;"\")</f>
        <v/>
      </c>
      <c r="AU148" s="10" t="str">
        <f aca="false">IF(A148="","",A148&amp;"_CAD.dwg")</f>
        <v/>
      </c>
      <c r="AV148" s="10" t="str">
        <f aca="false">IF(A148="","",A148&amp;"_DWG.pdf")</f>
        <v/>
      </c>
      <c r="AW148" s="10" t="str">
        <f aca="false">IF(A148="","",IF(AS148="Y",A148&amp;"_STAAD.std","n/a"))</f>
        <v/>
      </c>
      <c r="AX148" s="10" t="str">
        <f aca="false">IF(A148="","",A148&amp;"_CALC.xlsx")</f>
        <v/>
      </c>
      <c r="AY148" s="10" t="str">
        <f aca="false">IF(A148="","",A148&amp;"_CALC.pdf")</f>
        <v/>
      </c>
      <c r="AZ148" s="9"/>
      <c r="BA148" s="9"/>
      <c r="BB148" s="39"/>
      <c r="BC148" s="39"/>
      <c r="BD148" s="39"/>
      <c r="BE148" s="39"/>
      <c r="BF148" s="39"/>
      <c r="BG148" s="12" t="str">
        <f aca="false">IF(A148="","",IF(COUNTIF(Rebar_Schedule!$A$5:$A$2004,A148)=0,"",ROUND(SUMIF(Rebar_Schedule!$A$5:$A$2004,A148,Rebar_Schedule!$K$5:$K$2004),1)))</f>
        <v/>
      </c>
      <c r="BH148" s="33" t="str">
        <f aca="false">IF(A148="","",IF(BG148="","No rebar schedule yet",IF(ABS(BG148-N(BC148))/MAX(N(BC148),1)&gt;SG_Criteria!$B$55,"NOTE: register rebar differs from schedule by "&amp;TEXT(ABS(BG148-N(BC148))/MAX(N(BC148),1),"0%"),"OK")))</f>
        <v/>
      </c>
      <c r="BI148" s="33" t="str">
        <f aca="false">IF(OR(D148="",E148=""),"",IF(E148&lt;=IF(OR(D148="Block / Segmental",D148="Gabion",D148="Reinforced Earth (MSE)"),SG_Criteria!$B$34,SG_Criteria!$B$33),"No ERSS submission",IF(E148&lt;=SG_Criteria!$B$35,"QP(ST)",IF(E148&lt;=SG_Criteria!$B$36,"QP(ST) + AC","Geotechnical building works: QP(Geo) + AC"))))</f>
        <v/>
      </c>
      <c r="BJ148" s="33" t="str">
        <f aca="false">IF(D148="","",IF(LEN(IF(AND(V148&lt;&gt;"",IFERROR(VALUE(MID(V148,2,2)),0)&lt;SG_Criteria!$B$19),"FAIL: grade below C"&amp;SG_Criteria!$B$19&amp;". ","")&amp;IF(AND(W148&lt;&gt;"",W148&lt;SG_Criteria!$B$20),"FAIL: cover &lt; "&amp;SG_Criteria!$B$20&amp;" mm. ","")&amp;IF(AND(AD148&lt;&gt;"",AD148&lt;1),"FAIL: sliding. ","")&amp;IF(AND(D148="Reverse L-Wall (toe only, at boundary)",N(S148)&gt;0),"NOTE: reverse L-wall should have no heel. ","")&amp;IF(AND(D148="L-Wall (heel only)",N(R148)&gt;0),"NOTE: L-wall should have no toe. ","")&amp;IF(AND(F148&lt;&gt;"",F148&lt;SG_Criteria!$B$31),"NOTE: q below LTA min "&amp;SG_Criteria!$B$31&amp;" kPa (not for LTA works). ",""))=0,"OK",IF(AND(V148&lt;&gt;"",IFERROR(VALUE(MID(V148,2,2)),0)&lt;SG_Criteria!$B$19),"FAIL: grade below C"&amp;SG_Criteria!$B$19&amp;". ","")&amp;IF(AND(W148&lt;&gt;"",W148&lt;SG_Criteria!$B$20),"FAIL: cover &lt; "&amp;SG_Criteria!$B$20&amp;" mm. ","")&amp;IF(AND(AD148&lt;&gt;"",AD148&lt;1),"FAIL: sliding. ","")&amp;IF(AND(D148="Reverse L-Wall (toe only, at boundary)",N(S148)&gt;0),"NOTE: reverse L-wall should have no heel. ","")&amp;IF(AND(D148="L-Wall (heel only)",N(R148)&gt;0),"NOTE: L-wall should have no toe. ","")&amp;IF(AND(F148&lt;&gt;"",F148&lt;SG_Criteria!$B$31),"NOTE: q below LTA min "&amp;SG_Criteria!$B$31&amp;" kPa (not for LTA works). ","")))</f>
        <v/>
      </c>
      <c r="BK148" s="9"/>
      <c r="BL148" s="9"/>
      <c r="BM148" s="9"/>
      <c r="BN148" s="10" t="str">
        <f aca="false">IF(BM148="","",IFERROR(VLOOKUP(BM148,Projects!$A$5:$D$504,2,0),"Ref not in Projects"))</f>
        <v/>
      </c>
      <c r="BO148" s="10" t="str">
        <f aca="false">IF(BM148="","",IFERROR(VLOOKUP(BM148,Projects!$A$5:$D$504,4,0),"Ref not in Projects"))</f>
        <v/>
      </c>
      <c r="BP148" s="9"/>
      <c r="BQ148" s="9"/>
      <c r="BR148" s="9"/>
      <c r="BS148" s="40"/>
      <c r="BT148" s="9"/>
      <c r="BU148" s="40"/>
      <c r="BV148" s="9"/>
      <c r="BW148" s="40"/>
      <c r="BX148" s="9"/>
      <c r="BY148" s="9"/>
      <c r="BZ148" s="9"/>
      <c r="CA148" s="40"/>
      <c r="CB148" s="40"/>
      <c r="CC148" s="36" t="str">
        <f aca="false">IF(CB148="","",EDATE(CB148,SG_Criteria!$B$54*12))</f>
        <v/>
      </c>
      <c r="CD148" s="33" t="str">
        <f aca="true">IF(A148="","",IF(CB148="","NOTE: not reviewed yet",IF(TODAY()&gt;CC148,"NOTE: review overdue","OK")))</f>
        <v/>
      </c>
      <c r="CE148" s="37" t="str">
        <f aca="false">IF(A148="","",ROUND((IF(LEN(D148)&gt;0,1,0)+IF(LEN(E148)&gt;0,1,0)+IF(LEN(F148)&gt;0,1,0)+IF(LEN(G148)&gt;0,1,0)+IF(LEN(I148)&gt;0,1,0)+IF(LEN(K148)&gt;0,1,0)+IF(LEN(P148)&gt;0,1,0)+IF(LEN(Q148)&gt;0,1,0)+IF(LEN(T148)&gt;0,1,0)+IF(LEN(V148)&gt;0,1,0)+IF(LEN(W148)&gt;0,1,0)+IF(LEN(X148)&gt;0,1,0)+IF(LEN(Z148)&gt;0,1,0)+IF(LEN(AD148)&gt;0,1,0)+IF(LEN(AE148)&gt;0,1,0)+IF(LEN(AG148)&gt;0,1,0)+IF(LEN(AI148)&gt;0,1,0)+IF(LEN(BB148)&gt;0,1,0)+IF(LEN(BC148)&gt;0,1,0)+IF(LEN(AM148)&gt;0,1,0)+IF(LEN(AO148)&gt;0,1,0)+IF(LEN(AP148)&gt;0,1,0)+IF(LEN(AQ148)&gt;0,1,0)+IF(LEN(AR148)&gt;0,1,0)+IF(LEN(BA148)&gt;0,1,0)+IF(LEN(BM148)&gt;0,1,0)+IF(LEN(BZ148)&gt;0,1,0))/27,2))</f>
        <v/>
      </c>
      <c r="CF148" s="10" t="str">
        <f aca="false">IF(D148="","",IF(AND(AP148="Approved",ISERROR(SEARCH("FAIL",BJ148))),"Y","N"))</f>
        <v/>
      </c>
      <c r="CG148" s="10" t="str">
        <f aca="false">IF(D148="","",D148&amp;"|"&amp;E148&amp;"|"&amp;F148&amp;"|"&amp;G148&amp;"|"&amp;CF148)</f>
        <v/>
      </c>
    </row>
    <row r="149" customFormat="false" ht="15" hidden="false" customHeight="false" outlineLevel="0" collapsed="false">
      <c r="A149" s="10" t="str">
        <f aca="false">IF(D149="","","RW-"&amp;IFERROR(VLOOKUP(D149,Lists!$M$4:$N$22,2,0),"??")&amp;"-H"&amp;TEXT(E149*1000,"0000")&amp;"-S"&amp;F149&amp;IF(G149="Y","-GW","")&amp;"-"&amp;AO149)</f>
        <v/>
      </c>
      <c r="B149" s="10" t="str">
        <f aca="false">IF(D149="","",D149&amp;", H = "&amp;TEXT(E149,"0.0")&amp;" m, q = "&amp;F149&amp;" kPa"&amp;IF(G149="Y",", with GWT","")&amp;", "&amp;I149)</f>
        <v/>
      </c>
      <c r="C149" s="9"/>
      <c r="D149" s="9"/>
      <c r="E149" s="39"/>
      <c r="F149" s="38"/>
      <c r="G149" s="9"/>
      <c r="H149" s="38"/>
      <c r="I149" s="9"/>
      <c r="J149" s="38"/>
      <c r="K149" s="38"/>
      <c r="L149" s="38"/>
      <c r="M149" s="42"/>
      <c r="N149" s="9"/>
      <c r="O149" s="38"/>
      <c r="P149" s="38"/>
      <c r="Q149" s="38"/>
      <c r="R149" s="38"/>
      <c r="S149" s="38"/>
      <c r="T149" s="38"/>
      <c r="U149" s="9"/>
      <c r="V149" s="9"/>
      <c r="W149" s="38"/>
      <c r="X149" s="9"/>
      <c r="Y149" s="9"/>
      <c r="Z149" s="9"/>
      <c r="AA149" s="9"/>
      <c r="AB149" s="9"/>
      <c r="AC149" s="9"/>
      <c r="AD149" s="39"/>
      <c r="AE149" s="39"/>
      <c r="AF149" s="39"/>
      <c r="AG149" s="38"/>
      <c r="AH149" s="38"/>
      <c r="AI149" s="9"/>
      <c r="AJ149" s="38"/>
      <c r="AK149" s="9"/>
      <c r="AL149" s="39"/>
      <c r="AM149" s="9"/>
      <c r="AN149" s="9"/>
      <c r="AO149" s="9"/>
      <c r="AP149" s="9"/>
      <c r="AQ149" s="9"/>
      <c r="AR149" s="9"/>
      <c r="AS149" s="9"/>
      <c r="AT149" s="10" t="str">
        <f aca="false">IF(A149="","",SG_Criteria!$B$6&amp;SG_Criteria!$B$8&amp;"\"&amp;A149&amp;"\")</f>
        <v/>
      </c>
      <c r="AU149" s="10" t="str">
        <f aca="false">IF(A149="","",A149&amp;"_CAD.dwg")</f>
        <v/>
      </c>
      <c r="AV149" s="10" t="str">
        <f aca="false">IF(A149="","",A149&amp;"_DWG.pdf")</f>
        <v/>
      </c>
      <c r="AW149" s="10" t="str">
        <f aca="false">IF(A149="","",IF(AS149="Y",A149&amp;"_STAAD.std","n/a"))</f>
        <v/>
      </c>
      <c r="AX149" s="10" t="str">
        <f aca="false">IF(A149="","",A149&amp;"_CALC.xlsx")</f>
        <v/>
      </c>
      <c r="AY149" s="10" t="str">
        <f aca="false">IF(A149="","",A149&amp;"_CALC.pdf")</f>
        <v/>
      </c>
      <c r="AZ149" s="9"/>
      <c r="BA149" s="9"/>
      <c r="BB149" s="39"/>
      <c r="BC149" s="39"/>
      <c r="BD149" s="39"/>
      <c r="BE149" s="39"/>
      <c r="BF149" s="39"/>
      <c r="BG149" s="12" t="str">
        <f aca="false">IF(A149="","",IF(COUNTIF(Rebar_Schedule!$A$5:$A$2004,A149)=0,"",ROUND(SUMIF(Rebar_Schedule!$A$5:$A$2004,A149,Rebar_Schedule!$K$5:$K$2004),1)))</f>
        <v/>
      </c>
      <c r="BH149" s="33" t="str">
        <f aca="false">IF(A149="","",IF(BG149="","No rebar schedule yet",IF(ABS(BG149-N(BC149))/MAX(N(BC149),1)&gt;SG_Criteria!$B$55,"NOTE: register rebar differs from schedule by "&amp;TEXT(ABS(BG149-N(BC149))/MAX(N(BC149),1),"0%"),"OK")))</f>
        <v/>
      </c>
      <c r="BI149" s="33" t="str">
        <f aca="false">IF(OR(D149="",E149=""),"",IF(E149&lt;=IF(OR(D149="Block / Segmental",D149="Gabion",D149="Reinforced Earth (MSE)"),SG_Criteria!$B$34,SG_Criteria!$B$33),"No ERSS submission",IF(E149&lt;=SG_Criteria!$B$35,"QP(ST)",IF(E149&lt;=SG_Criteria!$B$36,"QP(ST) + AC","Geotechnical building works: QP(Geo) + AC"))))</f>
        <v/>
      </c>
      <c r="BJ149" s="33" t="str">
        <f aca="false">IF(D149="","",IF(LEN(IF(AND(V149&lt;&gt;"",IFERROR(VALUE(MID(V149,2,2)),0)&lt;SG_Criteria!$B$19),"FAIL: grade below C"&amp;SG_Criteria!$B$19&amp;". ","")&amp;IF(AND(W149&lt;&gt;"",W149&lt;SG_Criteria!$B$20),"FAIL: cover &lt; "&amp;SG_Criteria!$B$20&amp;" mm. ","")&amp;IF(AND(AD149&lt;&gt;"",AD149&lt;1),"FAIL: sliding. ","")&amp;IF(AND(D149="Reverse L-Wall (toe only, at boundary)",N(S149)&gt;0),"NOTE: reverse L-wall should have no heel. ","")&amp;IF(AND(D149="L-Wall (heel only)",N(R149)&gt;0),"NOTE: L-wall should have no toe. ","")&amp;IF(AND(F149&lt;&gt;"",F149&lt;SG_Criteria!$B$31),"NOTE: q below LTA min "&amp;SG_Criteria!$B$31&amp;" kPa (not for LTA works). ",""))=0,"OK",IF(AND(V149&lt;&gt;"",IFERROR(VALUE(MID(V149,2,2)),0)&lt;SG_Criteria!$B$19),"FAIL: grade below C"&amp;SG_Criteria!$B$19&amp;". ","")&amp;IF(AND(W149&lt;&gt;"",W149&lt;SG_Criteria!$B$20),"FAIL: cover &lt; "&amp;SG_Criteria!$B$20&amp;" mm. ","")&amp;IF(AND(AD149&lt;&gt;"",AD149&lt;1),"FAIL: sliding. ","")&amp;IF(AND(D149="Reverse L-Wall (toe only, at boundary)",N(S149)&gt;0),"NOTE: reverse L-wall should have no heel. ","")&amp;IF(AND(D149="L-Wall (heel only)",N(R149)&gt;0),"NOTE: L-wall should have no toe. ","")&amp;IF(AND(F149&lt;&gt;"",F149&lt;SG_Criteria!$B$31),"NOTE: q below LTA min "&amp;SG_Criteria!$B$31&amp;" kPa (not for LTA works). ","")))</f>
        <v/>
      </c>
      <c r="BK149" s="9"/>
      <c r="BL149" s="9"/>
      <c r="BM149" s="9"/>
      <c r="BN149" s="10" t="str">
        <f aca="false">IF(BM149="","",IFERROR(VLOOKUP(BM149,Projects!$A$5:$D$504,2,0),"Ref not in Projects"))</f>
        <v/>
      </c>
      <c r="BO149" s="10" t="str">
        <f aca="false">IF(BM149="","",IFERROR(VLOOKUP(BM149,Projects!$A$5:$D$504,4,0),"Ref not in Projects"))</f>
        <v/>
      </c>
      <c r="BP149" s="9"/>
      <c r="BQ149" s="9"/>
      <c r="BR149" s="9"/>
      <c r="BS149" s="40"/>
      <c r="BT149" s="9"/>
      <c r="BU149" s="40"/>
      <c r="BV149" s="9"/>
      <c r="BW149" s="40"/>
      <c r="BX149" s="9"/>
      <c r="BY149" s="9"/>
      <c r="BZ149" s="9"/>
      <c r="CA149" s="40"/>
      <c r="CB149" s="40"/>
      <c r="CC149" s="36" t="str">
        <f aca="false">IF(CB149="","",EDATE(CB149,SG_Criteria!$B$54*12))</f>
        <v/>
      </c>
      <c r="CD149" s="33" t="str">
        <f aca="true">IF(A149="","",IF(CB149="","NOTE: not reviewed yet",IF(TODAY()&gt;CC149,"NOTE: review overdue","OK")))</f>
        <v/>
      </c>
      <c r="CE149" s="37" t="str">
        <f aca="false">IF(A149="","",ROUND((IF(LEN(D149)&gt;0,1,0)+IF(LEN(E149)&gt;0,1,0)+IF(LEN(F149)&gt;0,1,0)+IF(LEN(G149)&gt;0,1,0)+IF(LEN(I149)&gt;0,1,0)+IF(LEN(K149)&gt;0,1,0)+IF(LEN(P149)&gt;0,1,0)+IF(LEN(Q149)&gt;0,1,0)+IF(LEN(T149)&gt;0,1,0)+IF(LEN(V149)&gt;0,1,0)+IF(LEN(W149)&gt;0,1,0)+IF(LEN(X149)&gt;0,1,0)+IF(LEN(Z149)&gt;0,1,0)+IF(LEN(AD149)&gt;0,1,0)+IF(LEN(AE149)&gt;0,1,0)+IF(LEN(AG149)&gt;0,1,0)+IF(LEN(AI149)&gt;0,1,0)+IF(LEN(BB149)&gt;0,1,0)+IF(LEN(BC149)&gt;0,1,0)+IF(LEN(AM149)&gt;0,1,0)+IF(LEN(AO149)&gt;0,1,0)+IF(LEN(AP149)&gt;0,1,0)+IF(LEN(AQ149)&gt;0,1,0)+IF(LEN(AR149)&gt;0,1,0)+IF(LEN(BA149)&gt;0,1,0)+IF(LEN(BM149)&gt;0,1,0)+IF(LEN(BZ149)&gt;0,1,0))/27,2))</f>
        <v/>
      </c>
      <c r="CF149" s="10" t="str">
        <f aca="false">IF(D149="","",IF(AND(AP149="Approved",ISERROR(SEARCH("FAIL",BJ149))),"Y","N"))</f>
        <v/>
      </c>
      <c r="CG149" s="10" t="str">
        <f aca="false">IF(D149="","",D149&amp;"|"&amp;E149&amp;"|"&amp;F149&amp;"|"&amp;G149&amp;"|"&amp;CF149)</f>
        <v/>
      </c>
    </row>
    <row r="150" customFormat="false" ht="15" hidden="false" customHeight="false" outlineLevel="0" collapsed="false">
      <c r="A150" s="10" t="str">
        <f aca="false">IF(D150="","","RW-"&amp;IFERROR(VLOOKUP(D150,Lists!$M$4:$N$22,2,0),"??")&amp;"-H"&amp;TEXT(E150*1000,"0000")&amp;"-S"&amp;F150&amp;IF(G150="Y","-GW","")&amp;"-"&amp;AO150)</f>
        <v/>
      </c>
      <c r="B150" s="10" t="str">
        <f aca="false">IF(D150="","",D150&amp;", H = "&amp;TEXT(E150,"0.0")&amp;" m, q = "&amp;F150&amp;" kPa"&amp;IF(G150="Y",", with GWT","")&amp;", "&amp;I150)</f>
        <v/>
      </c>
      <c r="C150" s="9"/>
      <c r="D150" s="9"/>
      <c r="E150" s="39"/>
      <c r="F150" s="38"/>
      <c r="G150" s="9"/>
      <c r="H150" s="38"/>
      <c r="I150" s="9"/>
      <c r="J150" s="38"/>
      <c r="K150" s="38"/>
      <c r="L150" s="38"/>
      <c r="M150" s="42"/>
      <c r="N150" s="9"/>
      <c r="O150" s="38"/>
      <c r="P150" s="38"/>
      <c r="Q150" s="38"/>
      <c r="R150" s="38"/>
      <c r="S150" s="38"/>
      <c r="T150" s="38"/>
      <c r="U150" s="9"/>
      <c r="V150" s="9"/>
      <c r="W150" s="38"/>
      <c r="X150" s="9"/>
      <c r="Y150" s="9"/>
      <c r="Z150" s="9"/>
      <c r="AA150" s="9"/>
      <c r="AB150" s="9"/>
      <c r="AC150" s="9"/>
      <c r="AD150" s="39"/>
      <c r="AE150" s="39"/>
      <c r="AF150" s="39"/>
      <c r="AG150" s="38"/>
      <c r="AH150" s="38"/>
      <c r="AI150" s="9"/>
      <c r="AJ150" s="38"/>
      <c r="AK150" s="9"/>
      <c r="AL150" s="39"/>
      <c r="AM150" s="9"/>
      <c r="AN150" s="9"/>
      <c r="AO150" s="9"/>
      <c r="AP150" s="9"/>
      <c r="AQ150" s="9"/>
      <c r="AR150" s="9"/>
      <c r="AS150" s="9"/>
      <c r="AT150" s="10" t="str">
        <f aca="false">IF(A150="","",SG_Criteria!$B$6&amp;SG_Criteria!$B$8&amp;"\"&amp;A150&amp;"\")</f>
        <v/>
      </c>
      <c r="AU150" s="10" t="str">
        <f aca="false">IF(A150="","",A150&amp;"_CAD.dwg")</f>
        <v/>
      </c>
      <c r="AV150" s="10" t="str">
        <f aca="false">IF(A150="","",A150&amp;"_DWG.pdf")</f>
        <v/>
      </c>
      <c r="AW150" s="10" t="str">
        <f aca="false">IF(A150="","",IF(AS150="Y",A150&amp;"_STAAD.std","n/a"))</f>
        <v/>
      </c>
      <c r="AX150" s="10" t="str">
        <f aca="false">IF(A150="","",A150&amp;"_CALC.xlsx")</f>
        <v/>
      </c>
      <c r="AY150" s="10" t="str">
        <f aca="false">IF(A150="","",A150&amp;"_CALC.pdf")</f>
        <v/>
      </c>
      <c r="AZ150" s="9"/>
      <c r="BA150" s="9"/>
      <c r="BB150" s="39"/>
      <c r="BC150" s="39"/>
      <c r="BD150" s="39"/>
      <c r="BE150" s="39"/>
      <c r="BF150" s="39"/>
      <c r="BG150" s="12" t="str">
        <f aca="false">IF(A150="","",IF(COUNTIF(Rebar_Schedule!$A$5:$A$2004,A150)=0,"",ROUND(SUMIF(Rebar_Schedule!$A$5:$A$2004,A150,Rebar_Schedule!$K$5:$K$2004),1)))</f>
        <v/>
      </c>
      <c r="BH150" s="33" t="str">
        <f aca="false">IF(A150="","",IF(BG150="","No rebar schedule yet",IF(ABS(BG150-N(BC150))/MAX(N(BC150),1)&gt;SG_Criteria!$B$55,"NOTE: register rebar differs from schedule by "&amp;TEXT(ABS(BG150-N(BC150))/MAX(N(BC150),1),"0%"),"OK")))</f>
        <v/>
      </c>
      <c r="BI150" s="33" t="str">
        <f aca="false">IF(OR(D150="",E150=""),"",IF(E150&lt;=IF(OR(D150="Block / Segmental",D150="Gabion",D150="Reinforced Earth (MSE)"),SG_Criteria!$B$34,SG_Criteria!$B$33),"No ERSS submission",IF(E150&lt;=SG_Criteria!$B$35,"QP(ST)",IF(E150&lt;=SG_Criteria!$B$36,"QP(ST) + AC","Geotechnical building works: QP(Geo) + AC"))))</f>
        <v/>
      </c>
      <c r="BJ150" s="33" t="str">
        <f aca="false">IF(D150="","",IF(LEN(IF(AND(V150&lt;&gt;"",IFERROR(VALUE(MID(V150,2,2)),0)&lt;SG_Criteria!$B$19),"FAIL: grade below C"&amp;SG_Criteria!$B$19&amp;". ","")&amp;IF(AND(W150&lt;&gt;"",W150&lt;SG_Criteria!$B$20),"FAIL: cover &lt; "&amp;SG_Criteria!$B$20&amp;" mm. ","")&amp;IF(AND(AD150&lt;&gt;"",AD150&lt;1),"FAIL: sliding. ","")&amp;IF(AND(D150="Reverse L-Wall (toe only, at boundary)",N(S150)&gt;0),"NOTE: reverse L-wall should have no heel. ","")&amp;IF(AND(D150="L-Wall (heel only)",N(R150)&gt;0),"NOTE: L-wall should have no toe. ","")&amp;IF(AND(F150&lt;&gt;"",F150&lt;SG_Criteria!$B$31),"NOTE: q below LTA min "&amp;SG_Criteria!$B$31&amp;" kPa (not for LTA works). ",""))=0,"OK",IF(AND(V150&lt;&gt;"",IFERROR(VALUE(MID(V150,2,2)),0)&lt;SG_Criteria!$B$19),"FAIL: grade below C"&amp;SG_Criteria!$B$19&amp;". ","")&amp;IF(AND(W150&lt;&gt;"",W150&lt;SG_Criteria!$B$20),"FAIL: cover &lt; "&amp;SG_Criteria!$B$20&amp;" mm. ","")&amp;IF(AND(AD150&lt;&gt;"",AD150&lt;1),"FAIL: sliding. ","")&amp;IF(AND(D150="Reverse L-Wall (toe only, at boundary)",N(S150)&gt;0),"NOTE: reverse L-wall should have no heel. ","")&amp;IF(AND(D150="L-Wall (heel only)",N(R150)&gt;0),"NOTE: L-wall should have no toe. ","")&amp;IF(AND(F150&lt;&gt;"",F150&lt;SG_Criteria!$B$31),"NOTE: q below LTA min "&amp;SG_Criteria!$B$31&amp;" kPa (not for LTA works). ","")))</f>
        <v/>
      </c>
      <c r="BK150" s="9"/>
      <c r="BL150" s="9"/>
      <c r="BM150" s="9"/>
      <c r="BN150" s="10" t="str">
        <f aca="false">IF(BM150="","",IFERROR(VLOOKUP(BM150,Projects!$A$5:$D$504,2,0),"Ref not in Projects"))</f>
        <v/>
      </c>
      <c r="BO150" s="10" t="str">
        <f aca="false">IF(BM150="","",IFERROR(VLOOKUP(BM150,Projects!$A$5:$D$504,4,0),"Ref not in Projects"))</f>
        <v/>
      </c>
      <c r="BP150" s="9"/>
      <c r="BQ150" s="9"/>
      <c r="BR150" s="9"/>
      <c r="BS150" s="40"/>
      <c r="BT150" s="9"/>
      <c r="BU150" s="40"/>
      <c r="BV150" s="9"/>
      <c r="BW150" s="40"/>
      <c r="BX150" s="9"/>
      <c r="BY150" s="9"/>
      <c r="BZ150" s="9"/>
      <c r="CA150" s="40"/>
      <c r="CB150" s="40"/>
      <c r="CC150" s="36" t="str">
        <f aca="false">IF(CB150="","",EDATE(CB150,SG_Criteria!$B$54*12))</f>
        <v/>
      </c>
      <c r="CD150" s="33" t="str">
        <f aca="true">IF(A150="","",IF(CB150="","NOTE: not reviewed yet",IF(TODAY()&gt;CC150,"NOTE: review overdue","OK")))</f>
        <v/>
      </c>
      <c r="CE150" s="37" t="str">
        <f aca="false">IF(A150="","",ROUND((IF(LEN(D150)&gt;0,1,0)+IF(LEN(E150)&gt;0,1,0)+IF(LEN(F150)&gt;0,1,0)+IF(LEN(G150)&gt;0,1,0)+IF(LEN(I150)&gt;0,1,0)+IF(LEN(K150)&gt;0,1,0)+IF(LEN(P150)&gt;0,1,0)+IF(LEN(Q150)&gt;0,1,0)+IF(LEN(T150)&gt;0,1,0)+IF(LEN(V150)&gt;0,1,0)+IF(LEN(W150)&gt;0,1,0)+IF(LEN(X150)&gt;0,1,0)+IF(LEN(Z150)&gt;0,1,0)+IF(LEN(AD150)&gt;0,1,0)+IF(LEN(AE150)&gt;0,1,0)+IF(LEN(AG150)&gt;0,1,0)+IF(LEN(AI150)&gt;0,1,0)+IF(LEN(BB150)&gt;0,1,0)+IF(LEN(BC150)&gt;0,1,0)+IF(LEN(AM150)&gt;0,1,0)+IF(LEN(AO150)&gt;0,1,0)+IF(LEN(AP150)&gt;0,1,0)+IF(LEN(AQ150)&gt;0,1,0)+IF(LEN(AR150)&gt;0,1,0)+IF(LEN(BA150)&gt;0,1,0)+IF(LEN(BM150)&gt;0,1,0)+IF(LEN(BZ150)&gt;0,1,0))/27,2))</f>
        <v/>
      </c>
      <c r="CF150" s="10" t="str">
        <f aca="false">IF(D150="","",IF(AND(AP150="Approved",ISERROR(SEARCH("FAIL",BJ150))),"Y","N"))</f>
        <v/>
      </c>
      <c r="CG150" s="10" t="str">
        <f aca="false">IF(D150="","",D150&amp;"|"&amp;E150&amp;"|"&amp;F150&amp;"|"&amp;G150&amp;"|"&amp;CF150)</f>
        <v/>
      </c>
    </row>
    <row r="151" customFormat="false" ht="15" hidden="false" customHeight="false" outlineLevel="0" collapsed="false">
      <c r="A151" s="10" t="str">
        <f aca="false">IF(D151="","","RW-"&amp;IFERROR(VLOOKUP(D151,Lists!$M$4:$N$22,2,0),"??")&amp;"-H"&amp;TEXT(E151*1000,"0000")&amp;"-S"&amp;F151&amp;IF(G151="Y","-GW","")&amp;"-"&amp;AO151)</f>
        <v/>
      </c>
      <c r="B151" s="10" t="str">
        <f aca="false">IF(D151="","",D151&amp;", H = "&amp;TEXT(E151,"0.0")&amp;" m, q = "&amp;F151&amp;" kPa"&amp;IF(G151="Y",", with GWT","")&amp;", "&amp;I151)</f>
        <v/>
      </c>
      <c r="C151" s="9"/>
      <c r="D151" s="9"/>
      <c r="E151" s="39"/>
      <c r="F151" s="38"/>
      <c r="G151" s="9"/>
      <c r="H151" s="38"/>
      <c r="I151" s="9"/>
      <c r="J151" s="38"/>
      <c r="K151" s="38"/>
      <c r="L151" s="38"/>
      <c r="M151" s="42"/>
      <c r="N151" s="9"/>
      <c r="O151" s="38"/>
      <c r="P151" s="38"/>
      <c r="Q151" s="38"/>
      <c r="R151" s="38"/>
      <c r="S151" s="38"/>
      <c r="T151" s="38"/>
      <c r="U151" s="9"/>
      <c r="V151" s="9"/>
      <c r="W151" s="38"/>
      <c r="X151" s="9"/>
      <c r="Y151" s="9"/>
      <c r="Z151" s="9"/>
      <c r="AA151" s="9"/>
      <c r="AB151" s="9"/>
      <c r="AC151" s="9"/>
      <c r="AD151" s="39"/>
      <c r="AE151" s="39"/>
      <c r="AF151" s="39"/>
      <c r="AG151" s="38"/>
      <c r="AH151" s="38"/>
      <c r="AI151" s="9"/>
      <c r="AJ151" s="38"/>
      <c r="AK151" s="9"/>
      <c r="AL151" s="39"/>
      <c r="AM151" s="9"/>
      <c r="AN151" s="9"/>
      <c r="AO151" s="9"/>
      <c r="AP151" s="9"/>
      <c r="AQ151" s="9"/>
      <c r="AR151" s="9"/>
      <c r="AS151" s="9"/>
      <c r="AT151" s="10" t="str">
        <f aca="false">IF(A151="","",SG_Criteria!$B$6&amp;SG_Criteria!$B$8&amp;"\"&amp;A151&amp;"\")</f>
        <v/>
      </c>
      <c r="AU151" s="10" t="str">
        <f aca="false">IF(A151="","",A151&amp;"_CAD.dwg")</f>
        <v/>
      </c>
      <c r="AV151" s="10" t="str">
        <f aca="false">IF(A151="","",A151&amp;"_DWG.pdf")</f>
        <v/>
      </c>
      <c r="AW151" s="10" t="str">
        <f aca="false">IF(A151="","",IF(AS151="Y",A151&amp;"_STAAD.std","n/a"))</f>
        <v/>
      </c>
      <c r="AX151" s="10" t="str">
        <f aca="false">IF(A151="","",A151&amp;"_CALC.xlsx")</f>
        <v/>
      </c>
      <c r="AY151" s="10" t="str">
        <f aca="false">IF(A151="","",A151&amp;"_CALC.pdf")</f>
        <v/>
      </c>
      <c r="AZ151" s="9"/>
      <c r="BA151" s="9"/>
      <c r="BB151" s="39"/>
      <c r="BC151" s="39"/>
      <c r="BD151" s="39"/>
      <c r="BE151" s="39"/>
      <c r="BF151" s="39"/>
      <c r="BG151" s="12" t="str">
        <f aca="false">IF(A151="","",IF(COUNTIF(Rebar_Schedule!$A$5:$A$2004,A151)=0,"",ROUND(SUMIF(Rebar_Schedule!$A$5:$A$2004,A151,Rebar_Schedule!$K$5:$K$2004),1)))</f>
        <v/>
      </c>
      <c r="BH151" s="33" t="str">
        <f aca="false">IF(A151="","",IF(BG151="","No rebar schedule yet",IF(ABS(BG151-N(BC151))/MAX(N(BC151),1)&gt;SG_Criteria!$B$55,"NOTE: register rebar differs from schedule by "&amp;TEXT(ABS(BG151-N(BC151))/MAX(N(BC151),1),"0%"),"OK")))</f>
        <v/>
      </c>
      <c r="BI151" s="33" t="str">
        <f aca="false">IF(OR(D151="",E151=""),"",IF(E151&lt;=IF(OR(D151="Block / Segmental",D151="Gabion",D151="Reinforced Earth (MSE)"),SG_Criteria!$B$34,SG_Criteria!$B$33),"No ERSS submission",IF(E151&lt;=SG_Criteria!$B$35,"QP(ST)",IF(E151&lt;=SG_Criteria!$B$36,"QP(ST) + AC","Geotechnical building works: QP(Geo) + AC"))))</f>
        <v/>
      </c>
      <c r="BJ151" s="33" t="str">
        <f aca="false">IF(D151="","",IF(LEN(IF(AND(V151&lt;&gt;"",IFERROR(VALUE(MID(V151,2,2)),0)&lt;SG_Criteria!$B$19),"FAIL: grade below C"&amp;SG_Criteria!$B$19&amp;". ","")&amp;IF(AND(W151&lt;&gt;"",W151&lt;SG_Criteria!$B$20),"FAIL: cover &lt; "&amp;SG_Criteria!$B$20&amp;" mm. ","")&amp;IF(AND(AD151&lt;&gt;"",AD151&lt;1),"FAIL: sliding. ","")&amp;IF(AND(D151="Reverse L-Wall (toe only, at boundary)",N(S151)&gt;0),"NOTE: reverse L-wall should have no heel. ","")&amp;IF(AND(D151="L-Wall (heel only)",N(R151)&gt;0),"NOTE: L-wall should have no toe. ","")&amp;IF(AND(F151&lt;&gt;"",F151&lt;SG_Criteria!$B$31),"NOTE: q below LTA min "&amp;SG_Criteria!$B$31&amp;" kPa (not for LTA works). ",""))=0,"OK",IF(AND(V151&lt;&gt;"",IFERROR(VALUE(MID(V151,2,2)),0)&lt;SG_Criteria!$B$19),"FAIL: grade below C"&amp;SG_Criteria!$B$19&amp;". ","")&amp;IF(AND(W151&lt;&gt;"",W151&lt;SG_Criteria!$B$20),"FAIL: cover &lt; "&amp;SG_Criteria!$B$20&amp;" mm. ","")&amp;IF(AND(AD151&lt;&gt;"",AD151&lt;1),"FAIL: sliding. ","")&amp;IF(AND(D151="Reverse L-Wall (toe only, at boundary)",N(S151)&gt;0),"NOTE: reverse L-wall should have no heel. ","")&amp;IF(AND(D151="L-Wall (heel only)",N(R151)&gt;0),"NOTE: L-wall should have no toe. ","")&amp;IF(AND(F151&lt;&gt;"",F151&lt;SG_Criteria!$B$31),"NOTE: q below LTA min "&amp;SG_Criteria!$B$31&amp;" kPa (not for LTA works). ","")))</f>
        <v/>
      </c>
      <c r="BK151" s="9"/>
      <c r="BL151" s="9"/>
      <c r="BM151" s="9"/>
      <c r="BN151" s="10" t="str">
        <f aca="false">IF(BM151="","",IFERROR(VLOOKUP(BM151,Projects!$A$5:$D$504,2,0),"Ref not in Projects"))</f>
        <v/>
      </c>
      <c r="BO151" s="10" t="str">
        <f aca="false">IF(BM151="","",IFERROR(VLOOKUP(BM151,Projects!$A$5:$D$504,4,0),"Ref not in Projects"))</f>
        <v/>
      </c>
      <c r="BP151" s="9"/>
      <c r="BQ151" s="9"/>
      <c r="BR151" s="9"/>
      <c r="BS151" s="40"/>
      <c r="BT151" s="9"/>
      <c r="BU151" s="40"/>
      <c r="BV151" s="9"/>
      <c r="BW151" s="40"/>
      <c r="BX151" s="9"/>
      <c r="BY151" s="9"/>
      <c r="BZ151" s="9"/>
      <c r="CA151" s="40"/>
      <c r="CB151" s="40"/>
      <c r="CC151" s="36" t="str">
        <f aca="false">IF(CB151="","",EDATE(CB151,SG_Criteria!$B$54*12))</f>
        <v/>
      </c>
      <c r="CD151" s="33" t="str">
        <f aca="true">IF(A151="","",IF(CB151="","NOTE: not reviewed yet",IF(TODAY()&gt;CC151,"NOTE: review overdue","OK")))</f>
        <v/>
      </c>
      <c r="CE151" s="37" t="str">
        <f aca="false">IF(A151="","",ROUND((IF(LEN(D151)&gt;0,1,0)+IF(LEN(E151)&gt;0,1,0)+IF(LEN(F151)&gt;0,1,0)+IF(LEN(G151)&gt;0,1,0)+IF(LEN(I151)&gt;0,1,0)+IF(LEN(K151)&gt;0,1,0)+IF(LEN(P151)&gt;0,1,0)+IF(LEN(Q151)&gt;0,1,0)+IF(LEN(T151)&gt;0,1,0)+IF(LEN(V151)&gt;0,1,0)+IF(LEN(W151)&gt;0,1,0)+IF(LEN(X151)&gt;0,1,0)+IF(LEN(Z151)&gt;0,1,0)+IF(LEN(AD151)&gt;0,1,0)+IF(LEN(AE151)&gt;0,1,0)+IF(LEN(AG151)&gt;0,1,0)+IF(LEN(AI151)&gt;0,1,0)+IF(LEN(BB151)&gt;0,1,0)+IF(LEN(BC151)&gt;0,1,0)+IF(LEN(AM151)&gt;0,1,0)+IF(LEN(AO151)&gt;0,1,0)+IF(LEN(AP151)&gt;0,1,0)+IF(LEN(AQ151)&gt;0,1,0)+IF(LEN(AR151)&gt;0,1,0)+IF(LEN(BA151)&gt;0,1,0)+IF(LEN(BM151)&gt;0,1,0)+IF(LEN(BZ151)&gt;0,1,0))/27,2))</f>
        <v/>
      </c>
      <c r="CF151" s="10" t="str">
        <f aca="false">IF(D151="","",IF(AND(AP151="Approved",ISERROR(SEARCH("FAIL",BJ151))),"Y","N"))</f>
        <v/>
      </c>
      <c r="CG151" s="10" t="str">
        <f aca="false">IF(D151="","",D151&amp;"|"&amp;E151&amp;"|"&amp;F151&amp;"|"&amp;G151&amp;"|"&amp;CF151)</f>
        <v/>
      </c>
    </row>
    <row r="152" customFormat="false" ht="15" hidden="false" customHeight="false" outlineLevel="0" collapsed="false">
      <c r="A152" s="10" t="str">
        <f aca="false">IF(D152="","","RW-"&amp;IFERROR(VLOOKUP(D152,Lists!$M$4:$N$22,2,0),"??")&amp;"-H"&amp;TEXT(E152*1000,"0000")&amp;"-S"&amp;F152&amp;IF(G152="Y","-GW","")&amp;"-"&amp;AO152)</f>
        <v/>
      </c>
      <c r="B152" s="10" t="str">
        <f aca="false">IF(D152="","",D152&amp;", H = "&amp;TEXT(E152,"0.0")&amp;" m, q = "&amp;F152&amp;" kPa"&amp;IF(G152="Y",", with GWT","")&amp;", "&amp;I152)</f>
        <v/>
      </c>
      <c r="C152" s="9"/>
      <c r="D152" s="9"/>
      <c r="E152" s="39"/>
      <c r="F152" s="38"/>
      <c r="G152" s="9"/>
      <c r="H152" s="38"/>
      <c r="I152" s="9"/>
      <c r="J152" s="38"/>
      <c r="K152" s="38"/>
      <c r="L152" s="38"/>
      <c r="M152" s="42"/>
      <c r="N152" s="9"/>
      <c r="O152" s="38"/>
      <c r="P152" s="38"/>
      <c r="Q152" s="38"/>
      <c r="R152" s="38"/>
      <c r="S152" s="38"/>
      <c r="T152" s="38"/>
      <c r="U152" s="9"/>
      <c r="V152" s="9"/>
      <c r="W152" s="38"/>
      <c r="X152" s="9"/>
      <c r="Y152" s="9"/>
      <c r="Z152" s="9"/>
      <c r="AA152" s="9"/>
      <c r="AB152" s="9"/>
      <c r="AC152" s="9"/>
      <c r="AD152" s="39"/>
      <c r="AE152" s="39"/>
      <c r="AF152" s="39"/>
      <c r="AG152" s="38"/>
      <c r="AH152" s="38"/>
      <c r="AI152" s="9"/>
      <c r="AJ152" s="38"/>
      <c r="AK152" s="9"/>
      <c r="AL152" s="39"/>
      <c r="AM152" s="9"/>
      <c r="AN152" s="9"/>
      <c r="AO152" s="9"/>
      <c r="AP152" s="9"/>
      <c r="AQ152" s="9"/>
      <c r="AR152" s="9"/>
      <c r="AS152" s="9"/>
      <c r="AT152" s="10" t="str">
        <f aca="false">IF(A152="","",SG_Criteria!$B$6&amp;SG_Criteria!$B$8&amp;"\"&amp;A152&amp;"\")</f>
        <v/>
      </c>
      <c r="AU152" s="10" t="str">
        <f aca="false">IF(A152="","",A152&amp;"_CAD.dwg")</f>
        <v/>
      </c>
      <c r="AV152" s="10" t="str">
        <f aca="false">IF(A152="","",A152&amp;"_DWG.pdf")</f>
        <v/>
      </c>
      <c r="AW152" s="10" t="str">
        <f aca="false">IF(A152="","",IF(AS152="Y",A152&amp;"_STAAD.std","n/a"))</f>
        <v/>
      </c>
      <c r="AX152" s="10" t="str">
        <f aca="false">IF(A152="","",A152&amp;"_CALC.xlsx")</f>
        <v/>
      </c>
      <c r="AY152" s="10" t="str">
        <f aca="false">IF(A152="","",A152&amp;"_CALC.pdf")</f>
        <v/>
      </c>
      <c r="AZ152" s="9"/>
      <c r="BA152" s="9"/>
      <c r="BB152" s="39"/>
      <c r="BC152" s="39"/>
      <c r="BD152" s="39"/>
      <c r="BE152" s="39"/>
      <c r="BF152" s="39"/>
      <c r="BG152" s="12" t="str">
        <f aca="false">IF(A152="","",IF(COUNTIF(Rebar_Schedule!$A$5:$A$2004,A152)=0,"",ROUND(SUMIF(Rebar_Schedule!$A$5:$A$2004,A152,Rebar_Schedule!$K$5:$K$2004),1)))</f>
        <v/>
      </c>
      <c r="BH152" s="33" t="str">
        <f aca="false">IF(A152="","",IF(BG152="","No rebar schedule yet",IF(ABS(BG152-N(BC152))/MAX(N(BC152),1)&gt;SG_Criteria!$B$55,"NOTE: register rebar differs from schedule by "&amp;TEXT(ABS(BG152-N(BC152))/MAX(N(BC152),1),"0%"),"OK")))</f>
        <v/>
      </c>
      <c r="BI152" s="33" t="str">
        <f aca="false">IF(OR(D152="",E152=""),"",IF(E152&lt;=IF(OR(D152="Block / Segmental",D152="Gabion",D152="Reinforced Earth (MSE)"),SG_Criteria!$B$34,SG_Criteria!$B$33),"No ERSS submission",IF(E152&lt;=SG_Criteria!$B$35,"QP(ST)",IF(E152&lt;=SG_Criteria!$B$36,"QP(ST) + AC","Geotechnical building works: QP(Geo) + AC"))))</f>
        <v/>
      </c>
      <c r="BJ152" s="33" t="str">
        <f aca="false">IF(D152="","",IF(LEN(IF(AND(V152&lt;&gt;"",IFERROR(VALUE(MID(V152,2,2)),0)&lt;SG_Criteria!$B$19),"FAIL: grade below C"&amp;SG_Criteria!$B$19&amp;". ","")&amp;IF(AND(W152&lt;&gt;"",W152&lt;SG_Criteria!$B$20),"FAIL: cover &lt; "&amp;SG_Criteria!$B$20&amp;" mm. ","")&amp;IF(AND(AD152&lt;&gt;"",AD152&lt;1),"FAIL: sliding. ","")&amp;IF(AND(D152="Reverse L-Wall (toe only, at boundary)",N(S152)&gt;0),"NOTE: reverse L-wall should have no heel. ","")&amp;IF(AND(D152="L-Wall (heel only)",N(R152)&gt;0),"NOTE: L-wall should have no toe. ","")&amp;IF(AND(F152&lt;&gt;"",F152&lt;SG_Criteria!$B$31),"NOTE: q below LTA min "&amp;SG_Criteria!$B$31&amp;" kPa (not for LTA works). ",""))=0,"OK",IF(AND(V152&lt;&gt;"",IFERROR(VALUE(MID(V152,2,2)),0)&lt;SG_Criteria!$B$19),"FAIL: grade below C"&amp;SG_Criteria!$B$19&amp;". ","")&amp;IF(AND(W152&lt;&gt;"",W152&lt;SG_Criteria!$B$20),"FAIL: cover &lt; "&amp;SG_Criteria!$B$20&amp;" mm. ","")&amp;IF(AND(AD152&lt;&gt;"",AD152&lt;1),"FAIL: sliding. ","")&amp;IF(AND(D152="Reverse L-Wall (toe only, at boundary)",N(S152)&gt;0),"NOTE: reverse L-wall should have no heel. ","")&amp;IF(AND(D152="L-Wall (heel only)",N(R152)&gt;0),"NOTE: L-wall should have no toe. ","")&amp;IF(AND(F152&lt;&gt;"",F152&lt;SG_Criteria!$B$31),"NOTE: q below LTA min "&amp;SG_Criteria!$B$31&amp;" kPa (not for LTA works). ","")))</f>
        <v/>
      </c>
      <c r="BK152" s="9"/>
      <c r="BL152" s="9"/>
      <c r="BM152" s="9"/>
      <c r="BN152" s="10" t="str">
        <f aca="false">IF(BM152="","",IFERROR(VLOOKUP(BM152,Projects!$A$5:$D$504,2,0),"Ref not in Projects"))</f>
        <v/>
      </c>
      <c r="BO152" s="10" t="str">
        <f aca="false">IF(BM152="","",IFERROR(VLOOKUP(BM152,Projects!$A$5:$D$504,4,0),"Ref not in Projects"))</f>
        <v/>
      </c>
      <c r="BP152" s="9"/>
      <c r="BQ152" s="9"/>
      <c r="BR152" s="9"/>
      <c r="BS152" s="40"/>
      <c r="BT152" s="9"/>
      <c r="BU152" s="40"/>
      <c r="BV152" s="9"/>
      <c r="BW152" s="40"/>
      <c r="BX152" s="9"/>
      <c r="BY152" s="9"/>
      <c r="BZ152" s="9"/>
      <c r="CA152" s="40"/>
      <c r="CB152" s="40"/>
      <c r="CC152" s="36" t="str">
        <f aca="false">IF(CB152="","",EDATE(CB152,SG_Criteria!$B$54*12))</f>
        <v/>
      </c>
      <c r="CD152" s="33" t="str">
        <f aca="true">IF(A152="","",IF(CB152="","NOTE: not reviewed yet",IF(TODAY()&gt;CC152,"NOTE: review overdue","OK")))</f>
        <v/>
      </c>
      <c r="CE152" s="37" t="str">
        <f aca="false">IF(A152="","",ROUND((IF(LEN(D152)&gt;0,1,0)+IF(LEN(E152)&gt;0,1,0)+IF(LEN(F152)&gt;0,1,0)+IF(LEN(G152)&gt;0,1,0)+IF(LEN(I152)&gt;0,1,0)+IF(LEN(K152)&gt;0,1,0)+IF(LEN(P152)&gt;0,1,0)+IF(LEN(Q152)&gt;0,1,0)+IF(LEN(T152)&gt;0,1,0)+IF(LEN(V152)&gt;0,1,0)+IF(LEN(W152)&gt;0,1,0)+IF(LEN(X152)&gt;0,1,0)+IF(LEN(Z152)&gt;0,1,0)+IF(LEN(AD152)&gt;0,1,0)+IF(LEN(AE152)&gt;0,1,0)+IF(LEN(AG152)&gt;0,1,0)+IF(LEN(AI152)&gt;0,1,0)+IF(LEN(BB152)&gt;0,1,0)+IF(LEN(BC152)&gt;0,1,0)+IF(LEN(AM152)&gt;0,1,0)+IF(LEN(AO152)&gt;0,1,0)+IF(LEN(AP152)&gt;0,1,0)+IF(LEN(AQ152)&gt;0,1,0)+IF(LEN(AR152)&gt;0,1,0)+IF(LEN(BA152)&gt;0,1,0)+IF(LEN(BM152)&gt;0,1,0)+IF(LEN(BZ152)&gt;0,1,0))/27,2))</f>
        <v/>
      </c>
      <c r="CF152" s="10" t="str">
        <f aca="false">IF(D152="","",IF(AND(AP152="Approved",ISERROR(SEARCH("FAIL",BJ152))),"Y","N"))</f>
        <v/>
      </c>
      <c r="CG152" s="10" t="str">
        <f aca="false">IF(D152="","",D152&amp;"|"&amp;E152&amp;"|"&amp;F152&amp;"|"&amp;G152&amp;"|"&amp;CF152)</f>
        <v/>
      </c>
    </row>
    <row r="153" customFormat="false" ht="15" hidden="false" customHeight="false" outlineLevel="0" collapsed="false">
      <c r="A153" s="10" t="str">
        <f aca="false">IF(D153="","","RW-"&amp;IFERROR(VLOOKUP(D153,Lists!$M$4:$N$22,2,0),"??")&amp;"-H"&amp;TEXT(E153*1000,"0000")&amp;"-S"&amp;F153&amp;IF(G153="Y","-GW","")&amp;"-"&amp;AO153)</f>
        <v/>
      </c>
      <c r="B153" s="10" t="str">
        <f aca="false">IF(D153="","",D153&amp;", H = "&amp;TEXT(E153,"0.0")&amp;" m, q = "&amp;F153&amp;" kPa"&amp;IF(G153="Y",", with GWT","")&amp;", "&amp;I153)</f>
        <v/>
      </c>
      <c r="C153" s="9"/>
      <c r="D153" s="9"/>
      <c r="E153" s="39"/>
      <c r="F153" s="38"/>
      <c r="G153" s="9"/>
      <c r="H153" s="38"/>
      <c r="I153" s="9"/>
      <c r="J153" s="38"/>
      <c r="K153" s="38"/>
      <c r="L153" s="38"/>
      <c r="M153" s="42"/>
      <c r="N153" s="9"/>
      <c r="O153" s="38"/>
      <c r="P153" s="38"/>
      <c r="Q153" s="38"/>
      <c r="R153" s="38"/>
      <c r="S153" s="38"/>
      <c r="T153" s="38"/>
      <c r="U153" s="9"/>
      <c r="V153" s="9"/>
      <c r="W153" s="38"/>
      <c r="X153" s="9"/>
      <c r="Y153" s="9"/>
      <c r="Z153" s="9"/>
      <c r="AA153" s="9"/>
      <c r="AB153" s="9"/>
      <c r="AC153" s="9"/>
      <c r="AD153" s="39"/>
      <c r="AE153" s="39"/>
      <c r="AF153" s="39"/>
      <c r="AG153" s="38"/>
      <c r="AH153" s="38"/>
      <c r="AI153" s="9"/>
      <c r="AJ153" s="38"/>
      <c r="AK153" s="9"/>
      <c r="AL153" s="39"/>
      <c r="AM153" s="9"/>
      <c r="AN153" s="9"/>
      <c r="AO153" s="9"/>
      <c r="AP153" s="9"/>
      <c r="AQ153" s="9"/>
      <c r="AR153" s="9"/>
      <c r="AS153" s="9"/>
      <c r="AT153" s="10" t="str">
        <f aca="false">IF(A153="","",SG_Criteria!$B$6&amp;SG_Criteria!$B$8&amp;"\"&amp;A153&amp;"\")</f>
        <v/>
      </c>
      <c r="AU153" s="10" t="str">
        <f aca="false">IF(A153="","",A153&amp;"_CAD.dwg")</f>
        <v/>
      </c>
      <c r="AV153" s="10" t="str">
        <f aca="false">IF(A153="","",A153&amp;"_DWG.pdf")</f>
        <v/>
      </c>
      <c r="AW153" s="10" t="str">
        <f aca="false">IF(A153="","",IF(AS153="Y",A153&amp;"_STAAD.std","n/a"))</f>
        <v/>
      </c>
      <c r="AX153" s="10" t="str">
        <f aca="false">IF(A153="","",A153&amp;"_CALC.xlsx")</f>
        <v/>
      </c>
      <c r="AY153" s="10" t="str">
        <f aca="false">IF(A153="","",A153&amp;"_CALC.pdf")</f>
        <v/>
      </c>
      <c r="AZ153" s="9"/>
      <c r="BA153" s="9"/>
      <c r="BB153" s="39"/>
      <c r="BC153" s="39"/>
      <c r="BD153" s="39"/>
      <c r="BE153" s="39"/>
      <c r="BF153" s="39"/>
      <c r="BG153" s="12" t="str">
        <f aca="false">IF(A153="","",IF(COUNTIF(Rebar_Schedule!$A$5:$A$2004,A153)=0,"",ROUND(SUMIF(Rebar_Schedule!$A$5:$A$2004,A153,Rebar_Schedule!$K$5:$K$2004),1)))</f>
        <v/>
      </c>
      <c r="BH153" s="33" t="str">
        <f aca="false">IF(A153="","",IF(BG153="","No rebar schedule yet",IF(ABS(BG153-N(BC153))/MAX(N(BC153),1)&gt;SG_Criteria!$B$55,"NOTE: register rebar differs from schedule by "&amp;TEXT(ABS(BG153-N(BC153))/MAX(N(BC153),1),"0%"),"OK")))</f>
        <v/>
      </c>
      <c r="BI153" s="33" t="str">
        <f aca="false">IF(OR(D153="",E153=""),"",IF(E153&lt;=IF(OR(D153="Block / Segmental",D153="Gabion",D153="Reinforced Earth (MSE)"),SG_Criteria!$B$34,SG_Criteria!$B$33),"No ERSS submission",IF(E153&lt;=SG_Criteria!$B$35,"QP(ST)",IF(E153&lt;=SG_Criteria!$B$36,"QP(ST) + AC","Geotechnical building works: QP(Geo) + AC"))))</f>
        <v/>
      </c>
      <c r="BJ153" s="33" t="str">
        <f aca="false">IF(D153="","",IF(LEN(IF(AND(V153&lt;&gt;"",IFERROR(VALUE(MID(V153,2,2)),0)&lt;SG_Criteria!$B$19),"FAIL: grade below C"&amp;SG_Criteria!$B$19&amp;". ","")&amp;IF(AND(W153&lt;&gt;"",W153&lt;SG_Criteria!$B$20),"FAIL: cover &lt; "&amp;SG_Criteria!$B$20&amp;" mm. ","")&amp;IF(AND(AD153&lt;&gt;"",AD153&lt;1),"FAIL: sliding. ","")&amp;IF(AND(D153="Reverse L-Wall (toe only, at boundary)",N(S153)&gt;0),"NOTE: reverse L-wall should have no heel. ","")&amp;IF(AND(D153="L-Wall (heel only)",N(R153)&gt;0),"NOTE: L-wall should have no toe. ","")&amp;IF(AND(F153&lt;&gt;"",F153&lt;SG_Criteria!$B$31),"NOTE: q below LTA min "&amp;SG_Criteria!$B$31&amp;" kPa (not for LTA works). ",""))=0,"OK",IF(AND(V153&lt;&gt;"",IFERROR(VALUE(MID(V153,2,2)),0)&lt;SG_Criteria!$B$19),"FAIL: grade below C"&amp;SG_Criteria!$B$19&amp;". ","")&amp;IF(AND(W153&lt;&gt;"",W153&lt;SG_Criteria!$B$20),"FAIL: cover &lt; "&amp;SG_Criteria!$B$20&amp;" mm. ","")&amp;IF(AND(AD153&lt;&gt;"",AD153&lt;1),"FAIL: sliding. ","")&amp;IF(AND(D153="Reverse L-Wall (toe only, at boundary)",N(S153)&gt;0),"NOTE: reverse L-wall should have no heel. ","")&amp;IF(AND(D153="L-Wall (heel only)",N(R153)&gt;0),"NOTE: L-wall should have no toe. ","")&amp;IF(AND(F153&lt;&gt;"",F153&lt;SG_Criteria!$B$31),"NOTE: q below LTA min "&amp;SG_Criteria!$B$31&amp;" kPa (not for LTA works). ","")))</f>
        <v/>
      </c>
      <c r="BK153" s="9"/>
      <c r="BL153" s="9"/>
      <c r="BM153" s="9"/>
      <c r="BN153" s="10" t="str">
        <f aca="false">IF(BM153="","",IFERROR(VLOOKUP(BM153,Projects!$A$5:$D$504,2,0),"Ref not in Projects"))</f>
        <v/>
      </c>
      <c r="BO153" s="10" t="str">
        <f aca="false">IF(BM153="","",IFERROR(VLOOKUP(BM153,Projects!$A$5:$D$504,4,0),"Ref not in Projects"))</f>
        <v/>
      </c>
      <c r="BP153" s="9"/>
      <c r="BQ153" s="9"/>
      <c r="BR153" s="9"/>
      <c r="BS153" s="40"/>
      <c r="BT153" s="9"/>
      <c r="BU153" s="40"/>
      <c r="BV153" s="9"/>
      <c r="BW153" s="40"/>
      <c r="BX153" s="9"/>
      <c r="BY153" s="9"/>
      <c r="BZ153" s="9"/>
      <c r="CA153" s="40"/>
      <c r="CB153" s="40"/>
      <c r="CC153" s="36" t="str">
        <f aca="false">IF(CB153="","",EDATE(CB153,SG_Criteria!$B$54*12))</f>
        <v/>
      </c>
      <c r="CD153" s="33" t="str">
        <f aca="true">IF(A153="","",IF(CB153="","NOTE: not reviewed yet",IF(TODAY()&gt;CC153,"NOTE: review overdue","OK")))</f>
        <v/>
      </c>
      <c r="CE153" s="37" t="str">
        <f aca="false">IF(A153="","",ROUND((IF(LEN(D153)&gt;0,1,0)+IF(LEN(E153)&gt;0,1,0)+IF(LEN(F153)&gt;0,1,0)+IF(LEN(G153)&gt;0,1,0)+IF(LEN(I153)&gt;0,1,0)+IF(LEN(K153)&gt;0,1,0)+IF(LEN(P153)&gt;0,1,0)+IF(LEN(Q153)&gt;0,1,0)+IF(LEN(T153)&gt;0,1,0)+IF(LEN(V153)&gt;0,1,0)+IF(LEN(W153)&gt;0,1,0)+IF(LEN(X153)&gt;0,1,0)+IF(LEN(Z153)&gt;0,1,0)+IF(LEN(AD153)&gt;0,1,0)+IF(LEN(AE153)&gt;0,1,0)+IF(LEN(AG153)&gt;0,1,0)+IF(LEN(AI153)&gt;0,1,0)+IF(LEN(BB153)&gt;0,1,0)+IF(LEN(BC153)&gt;0,1,0)+IF(LEN(AM153)&gt;0,1,0)+IF(LEN(AO153)&gt;0,1,0)+IF(LEN(AP153)&gt;0,1,0)+IF(LEN(AQ153)&gt;0,1,0)+IF(LEN(AR153)&gt;0,1,0)+IF(LEN(BA153)&gt;0,1,0)+IF(LEN(BM153)&gt;0,1,0)+IF(LEN(BZ153)&gt;0,1,0))/27,2))</f>
        <v/>
      </c>
      <c r="CF153" s="10" t="str">
        <f aca="false">IF(D153="","",IF(AND(AP153="Approved",ISERROR(SEARCH("FAIL",BJ153))),"Y","N"))</f>
        <v/>
      </c>
      <c r="CG153" s="10" t="str">
        <f aca="false">IF(D153="","",D153&amp;"|"&amp;E153&amp;"|"&amp;F153&amp;"|"&amp;G153&amp;"|"&amp;CF153)</f>
        <v/>
      </c>
    </row>
    <row r="154" customFormat="false" ht="15" hidden="false" customHeight="false" outlineLevel="0" collapsed="false">
      <c r="A154" s="10" t="str">
        <f aca="false">IF(D154="","","RW-"&amp;IFERROR(VLOOKUP(D154,Lists!$M$4:$N$22,2,0),"??")&amp;"-H"&amp;TEXT(E154*1000,"0000")&amp;"-S"&amp;F154&amp;IF(G154="Y","-GW","")&amp;"-"&amp;AO154)</f>
        <v/>
      </c>
      <c r="B154" s="10" t="str">
        <f aca="false">IF(D154="","",D154&amp;", H = "&amp;TEXT(E154,"0.0")&amp;" m, q = "&amp;F154&amp;" kPa"&amp;IF(G154="Y",", with GWT","")&amp;", "&amp;I154)</f>
        <v/>
      </c>
      <c r="C154" s="9"/>
      <c r="D154" s="9"/>
      <c r="E154" s="39"/>
      <c r="F154" s="38"/>
      <c r="G154" s="9"/>
      <c r="H154" s="38"/>
      <c r="I154" s="9"/>
      <c r="J154" s="38"/>
      <c r="K154" s="38"/>
      <c r="L154" s="38"/>
      <c r="M154" s="42"/>
      <c r="N154" s="9"/>
      <c r="O154" s="38"/>
      <c r="P154" s="38"/>
      <c r="Q154" s="38"/>
      <c r="R154" s="38"/>
      <c r="S154" s="38"/>
      <c r="T154" s="38"/>
      <c r="U154" s="9"/>
      <c r="V154" s="9"/>
      <c r="W154" s="38"/>
      <c r="X154" s="9"/>
      <c r="Y154" s="9"/>
      <c r="Z154" s="9"/>
      <c r="AA154" s="9"/>
      <c r="AB154" s="9"/>
      <c r="AC154" s="9"/>
      <c r="AD154" s="39"/>
      <c r="AE154" s="39"/>
      <c r="AF154" s="39"/>
      <c r="AG154" s="38"/>
      <c r="AH154" s="38"/>
      <c r="AI154" s="9"/>
      <c r="AJ154" s="38"/>
      <c r="AK154" s="9"/>
      <c r="AL154" s="39"/>
      <c r="AM154" s="9"/>
      <c r="AN154" s="9"/>
      <c r="AO154" s="9"/>
      <c r="AP154" s="9"/>
      <c r="AQ154" s="9"/>
      <c r="AR154" s="9"/>
      <c r="AS154" s="9"/>
      <c r="AT154" s="10" t="str">
        <f aca="false">IF(A154="","",SG_Criteria!$B$6&amp;SG_Criteria!$B$8&amp;"\"&amp;A154&amp;"\")</f>
        <v/>
      </c>
      <c r="AU154" s="10" t="str">
        <f aca="false">IF(A154="","",A154&amp;"_CAD.dwg")</f>
        <v/>
      </c>
      <c r="AV154" s="10" t="str">
        <f aca="false">IF(A154="","",A154&amp;"_DWG.pdf")</f>
        <v/>
      </c>
      <c r="AW154" s="10" t="str">
        <f aca="false">IF(A154="","",IF(AS154="Y",A154&amp;"_STAAD.std","n/a"))</f>
        <v/>
      </c>
      <c r="AX154" s="10" t="str">
        <f aca="false">IF(A154="","",A154&amp;"_CALC.xlsx")</f>
        <v/>
      </c>
      <c r="AY154" s="10" t="str">
        <f aca="false">IF(A154="","",A154&amp;"_CALC.pdf")</f>
        <v/>
      </c>
      <c r="AZ154" s="9"/>
      <c r="BA154" s="9"/>
      <c r="BB154" s="39"/>
      <c r="BC154" s="39"/>
      <c r="BD154" s="39"/>
      <c r="BE154" s="39"/>
      <c r="BF154" s="39"/>
      <c r="BG154" s="12" t="str">
        <f aca="false">IF(A154="","",IF(COUNTIF(Rebar_Schedule!$A$5:$A$2004,A154)=0,"",ROUND(SUMIF(Rebar_Schedule!$A$5:$A$2004,A154,Rebar_Schedule!$K$5:$K$2004),1)))</f>
        <v/>
      </c>
      <c r="BH154" s="33" t="str">
        <f aca="false">IF(A154="","",IF(BG154="","No rebar schedule yet",IF(ABS(BG154-N(BC154))/MAX(N(BC154),1)&gt;SG_Criteria!$B$55,"NOTE: register rebar differs from schedule by "&amp;TEXT(ABS(BG154-N(BC154))/MAX(N(BC154),1),"0%"),"OK")))</f>
        <v/>
      </c>
      <c r="BI154" s="33" t="str">
        <f aca="false">IF(OR(D154="",E154=""),"",IF(E154&lt;=IF(OR(D154="Block / Segmental",D154="Gabion",D154="Reinforced Earth (MSE)"),SG_Criteria!$B$34,SG_Criteria!$B$33),"No ERSS submission",IF(E154&lt;=SG_Criteria!$B$35,"QP(ST)",IF(E154&lt;=SG_Criteria!$B$36,"QP(ST) + AC","Geotechnical building works: QP(Geo) + AC"))))</f>
        <v/>
      </c>
      <c r="BJ154" s="33" t="str">
        <f aca="false">IF(D154="","",IF(LEN(IF(AND(V154&lt;&gt;"",IFERROR(VALUE(MID(V154,2,2)),0)&lt;SG_Criteria!$B$19),"FAIL: grade below C"&amp;SG_Criteria!$B$19&amp;". ","")&amp;IF(AND(W154&lt;&gt;"",W154&lt;SG_Criteria!$B$20),"FAIL: cover &lt; "&amp;SG_Criteria!$B$20&amp;" mm. ","")&amp;IF(AND(AD154&lt;&gt;"",AD154&lt;1),"FAIL: sliding. ","")&amp;IF(AND(D154="Reverse L-Wall (toe only, at boundary)",N(S154)&gt;0),"NOTE: reverse L-wall should have no heel. ","")&amp;IF(AND(D154="L-Wall (heel only)",N(R154)&gt;0),"NOTE: L-wall should have no toe. ","")&amp;IF(AND(F154&lt;&gt;"",F154&lt;SG_Criteria!$B$31),"NOTE: q below LTA min "&amp;SG_Criteria!$B$31&amp;" kPa (not for LTA works). ",""))=0,"OK",IF(AND(V154&lt;&gt;"",IFERROR(VALUE(MID(V154,2,2)),0)&lt;SG_Criteria!$B$19),"FAIL: grade below C"&amp;SG_Criteria!$B$19&amp;". ","")&amp;IF(AND(W154&lt;&gt;"",W154&lt;SG_Criteria!$B$20),"FAIL: cover &lt; "&amp;SG_Criteria!$B$20&amp;" mm. ","")&amp;IF(AND(AD154&lt;&gt;"",AD154&lt;1),"FAIL: sliding. ","")&amp;IF(AND(D154="Reverse L-Wall (toe only, at boundary)",N(S154)&gt;0),"NOTE: reverse L-wall should have no heel. ","")&amp;IF(AND(D154="L-Wall (heel only)",N(R154)&gt;0),"NOTE: L-wall should have no toe. ","")&amp;IF(AND(F154&lt;&gt;"",F154&lt;SG_Criteria!$B$31),"NOTE: q below LTA min "&amp;SG_Criteria!$B$31&amp;" kPa (not for LTA works). ","")))</f>
        <v/>
      </c>
      <c r="BK154" s="9"/>
      <c r="BL154" s="9"/>
      <c r="BM154" s="9"/>
      <c r="BN154" s="10" t="str">
        <f aca="false">IF(BM154="","",IFERROR(VLOOKUP(BM154,Projects!$A$5:$D$504,2,0),"Ref not in Projects"))</f>
        <v/>
      </c>
      <c r="BO154" s="10" t="str">
        <f aca="false">IF(BM154="","",IFERROR(VLOOKUP(BM154,Projects!$A$5:$D$504,4,0),"Ref not in Projects"))</f>
        <v/>
      </c>
      <c r="BP154" s="9"/>
      <c r="BQ154" s="9"/>
      <c r="BR154" s="9"/>
      <c r="BS154" s="40"/>
      <c r="BT154" s="9"/>
      <c r="BU154" s="40"/>
      <c r="BV154" s="9"/>
      <c r="BW154" s="40"/>
      <c r="BX154" s="9"/>
      <c r="BY154" s="9"/>
      <c r="BZ154" s="9"/>
      <c r="CA154" s="40"/>
      <c r="CB154" s="40"/>
      <c r="CC154" s="36" t="str">
        <f aca="false">IF(CB154="","",EDATE(CB154,SG_Criteria!$B$54*12))</f>
        <v/>
      </c>
      <c r="CD154" s="33" t="str">
        <f aca="true">IF(A154="","",IF(CB154="","NOTE: not reviewed yet",IF(TODAY()&gt;CC154,"NOTE: review overdue","OK")))</f>
        <v/>
      </c>
      <c r="CE154" s="37" t="str">
        <f aca="false">IF(A154="","",ROUND((IF(LEN(D154)&gt;0,1,0)+IF(LEN(E154)&gt;0,1,0)+IF(LEN(F154)&gt;0,1,0)+IF(LEN(G154)&gt;0,1,0)+IF(LEN(I154)&gt;0,1,0)+IF(LEN(K154)&gt;0,1,0)+IF(LEN(P154)&gt;0,1,0)+IF(LEN(Q154)&gt;0,1,0)+IF(LEN(T154)&gt;0,1,0)+IF(LEN(V154)&gt;0,1,0)+IF(LEN(W154)&gt;0,1,0)+IF(LEN(X154)&gt;0,1,0)+IF(LEN(Z154)&gt;0,1,0)+IF(LEN(AD154)&gt;0,1,0)+IF(LEN(AE154)&gt;0,1,0)+IF(LEN(AG154)&gt;0,1,0)+IF(LEN(AI154)&gt;0,1,0)+IF(LEN(BB154)&gt;0,1,0)+IF(LEN(BC154)&gt;0,1,0)+IF(LEN(AM154)&gt;0,1,0)+IF(LEN(AO154)&gt;0,1,0)+IF(LEN(AP154)&gt;0,1,0)+IF(LEN(AQ154)&gt;0,1,0)+IF(LEN(AR154)&gt;0,1,0)+IF(LEN(BA154)&gt;0,1,0)+IF(LEN(BM154)&gt;0,1,0)+IF(LEN(BZ154)&gt;0,1,0))/27,2))</f>
        <v/>
      </c>
      <c r="CF154" s="10" t="str">
        <f aca="false">IF(D154="","",IF(AND(AP154="Approved",ISERROR(SEARCH("FAIL",BJ154))),"Y","N"))</f>
        <v/>
      </c>
      <c r="CG154" s="10" t="str">
        <f aca="false">IF(D154="","",D154&amp;"|"&amp;E154&amp;"|"&amp;F154&amp;"|"&amp;G154&amp;"|"&amp;CF154)</f>
        <v/>
      </c>
    </row>
    <row r="155" customFormat="false" ht="15" hidden="false" customHeight="false" outlineLevel="0" collapsed="false">
      <c r="A155" s="10" t="str">
        <f aca="false">IF(D155="","","RW-"&amp;IFERROR(VLOOKUP(D155,Lists!$M$4:$N$22,2,0),"??")&amp;"-H"&amp;TEXT(E155*1000,"0000")&amp;"-S"&amp;F155&amp;IF(G155="Y","-GW","")&amp;"-"&amp;AO155)</f>
        <v/>
      </c>
      <c r="B155" s="10" t="str">
        <f aca="false">IF(D155="","",D155&amp;", H = "&amp;TEXT(E155,"0.0")&amp;" m, q = "&amp;F155&amp;" kPa"&amp;IF(G155="Y",", with GWT","")&amp;", "&amp;I155)</f>
        <v/>
      </c>
      <c r="C155" s="9"/>
      <c r="D155" s="9"/>
      <c r="E155" s="39"/>
      <c r="F155" s="38"/>
      <c r="G155" s="9"/>
      <c r="H155" s="38"/>
      <c r="I155" s="9"/>
      <c r="J155" s="38"/>
      <c r="K155" s="38"/>
      <c r="L155" s="38"/>
      <c r="M155" s="42"/>
      <c r="N155" s="9"/>
      <c r="O155" s="38"/>
      <c r="P155" s="38"/>
      <c r="Q155" s="38"/>
      <c r="R155" s="38"/>
      <c r="S155" s="38"/>
      <c r="T155" s="38"/>
      <c r="U155" s="9"/>
      <c r="V155" s="9"/>
      <c r="W155" s="38"/>
      <c r="X155" s="9"/>
      <c r="Y155" s="9"/>
      <c r="Z155" s="9"/>
      <c r="AA155" s="9"/>
      <c r="AB155" s="9"/>
      <c r="AC155" s="9"/>
      <c r="AD155" s="39"/>
      <c r="AE155" s="39"/>
      <c r="AF155" s="39"/>
      <c r="AG155" s="38"/>
      <c r="AH155" s="38"/>
      <c r="AI155" s="9"/>
      <c r="AJ155" s="38"/>
      <c r="AK155" s="9"/>
      <c r="AL155" s="39"/>
      <c r="AM155" s="9"/>
      <c r="AN155" s="9"/>
      <c r="AO155" s="9"/>
      <c r="AP155" s="9"/>
      <c r="AQ155" s="9"/>
      <c r="AR155" s="9"/>
      <c r="AS155" s="9"/>
      <c r="AT155" s="10" t="str">
        <f aca="false">IF(A155="","",SG_Criteria!$B$6&amp;SG_Criteria!$B$8&amp;"\"&amp;A155&amp;"\")</f>
        <v/>
      </c>
      <c r="AU155" s="10" t="str">
        <f aca="false">IF(A155="","",A155&amp;"_CAD.dwg")</f>
        <v/>
      </c>
      <c r="AV155" s="10" t="str">
        <f aca="false">IF(A155="","",A155&amp;"_DWG.pdf")</f>
        <v/>
      </c>
      <c r="AW155" s="10" t="str">
        <f aca="false">IF(A155="","",IF(AS155="Y",A155&amp;"_STAAD.std","n/a"))</f>
        <v/>
      </c>
      <c r="AX155" s="10" t="str">
        <f aca="false">IF(A155="","",A155&amp;"_CALC.xlsx")</f>
        <v/>
      </c>
      <c r="AY155" s="10" t="str">
        <f aca="false">IF(A155="","",A155&amp;"_CALC.pdf")</f>
        <v/>
      </c>
      <c r="AZ155" s="9"/>
      <c r="BA155" s="9"/>
      <c r="BB155" s="39"/>
      <c r="BC155" s="39"/>
      <c r="BD155" s="39"/>
      <c r="BE155" s="39"/>
      <c r="BF155" s="39"/>
      <c r="BG155" s="12" t="str">
        <f aca="false">IF(A155="","",IF(COUNTIF(Rebar_Schedule!$A$5:$A$2004,A155)=0,"",ROUND(SUMIF(Rebar_Schedule!$A$5:$A$2004,A155,Rebar_Schedule!$K$5:$K$2004),1)))</f>
        <v/>
      </c>
      <c r="BH155" s="33" t="str">
        <f aca="false">IF(A155="","",IF(BG155="","No rebar schedule yet",IF(ABS(BG155-N(BC155))/MAX(N(BC155),1)&gt;SG_Criteria!$B$55,"NOTE: register rebar differs from schedule by "&amp;TEXT(ABS(BG155-N(BC155))/MAX(N(BC155),1),"0%"),"OK")))</f>
        <v/>
      </c>
      <c r="BI155" s="33" t="str">
        <f aca="false">IF(OR(D155="",E155=""),"",IF(E155&lt;=IF(OR(D155="Block / Segmental",D155="Gabion",D155="Reinforced Earth (MSE)"),SG_Criteria!$B$34,SG_Criteria!$B$33),"No ERSS submission",IF(E155&lt;=SG_Criteria!$B$35,"QP(ST)",IF(E155&lt;=SG_Criteria!$B$36,"QP(ST) + AC","Geotechnical building works: QP(Geo) + AC"))))</f>
        <v/>
      </c>
      <c r="BJ155" s="33" t="str">
        <f aca="false">IF(D155="","",IF(LEN(IF(AND(V155&lt;&gt;"",IFERROR(VALUE(MID(V155,2,2)),0)&lt;SG_Criteria!$B$19),"FAIL: grade below C"&amp;SG_Criteria!$B$19&amp;". ","")&amp;IF(AND(W155&lt;&gt;"",W155&lt;SG_Criteria!$B$20),"FAIL: cover &lt; "&amp;SG_Criteria!$B$20&amp;" mm. ","")&amp;IF(AND(AD155&lt;&gt;"",AD155&lt;1),"FAIL: sliding. ","")&amp;IF(AND(D155="Reverse L-Wall (toe only, at boundary)",N(S155)&gt;0),"NOTE: reverse L-wall should have no heel. ","")&amp;IF(AND(D155="L-Wall (heel only)",N(R155)&gt;0),"NOTE: L-wall should have no toe. ","")&amp;IF(AND(F155&lt;&gt;"",F155&lt;SG_Criteria!$B$31),"NOTE: q below LTA min "&amp;SG_Criteria!$B$31&amp;" kPa (not for LTA works). ",""))=0,"OK",IF(AND(V155&lt;&gt;"",IFERROR(VALUE(MID(V155,2,2)),0)&lt;SG_Criteria!$B$19),"FAIL: grade below C"&amp;SG_Criteria!$B$19&amp;". ","")&amp;IF(AND(W155&lt;&gt;"",W155&lt;SG_Criteria!$B$20),"FAIL: cover &lt; "&amp;SG_Criteria!$B$20&amp;" mm. ","")&amp;IF(AND(AD155&lt;&gt;"",AD155&lt;1),"FAIL: sliding. ","")&amp;IF(AND(D155="Reverse L-Wall (toe only, at boundary)",N(S155)&gt;0),"NOTE: reverse L-wall should have no heel. ","")&amp;IF(AND(D155="L-Wall (heel only)",N(R155)&gt;0),"NOTE: L-wall should have no toe. ","")&amp;IF(AND(F155&lt;&gt;"",F155&lt;SG_Criteria!$B$31),"NOTE: q below LTA min "&amp;SG_Criteria!$B$31&amp;" kPa (not for LTA works). ","")))</f>
        <v/>
      </c>
      <c r="BK155" s="9"/>
      <c r="BL155" s="9"/>
      <c r="BM155" s="9"/>
      <c r="BN155" s="10" t="str">
        <f aca="false">IF(BM155="","",IFERROR(VLOOKUP(BM155,Projects!$A$5:$D$504,2,0),"Ref not in Projects"))</f>
        <v/>
      </c>
      <c r="BO155" s="10" t="str">
        <f aca="false">IF(BM155="","",IFERROR(VLOOKUP(BM155,Projects!$A$5:$D$504,4,0),"Ref not in Projects"))</f>
        <v/>
      </c>
      <c r="BP155" s="9"/>
      <c r="BQ155" s="9"/>
      <c r="BR155" s="9"/>
      <c r="BS155" s="40"/>
      <c r="BT155" s="9"/>
      <c r="BU155" s="40"/>
      <c r="BV155" s="9"/>
      <c r="BW155" s="40"/>
      <c r="BX155" s="9"/>
      <c r="BY155" s="9"/>
      <c r="BZ155" s="9"/>
      <c r="CA155" s="40"/>
      <c r="CB155" s="40"/>
      <c r="CC155" s="36" t="str">
        <f aca="false">IF(CB155="","",EDATE(CB155,SG_Criteria!$B$54*12))</f>
        <v/>
      </c>
      <c r="CD155" s="33" t="str">
        <f aca="true">IF(A155="","",IF(CB155="","NOTE: not reviewed yet",IF(TODAY()&gt;CC155,"NOTE: review overdue","OK")))</f>
        <v/>
      </c>
      <c r="CE155" s="37" t="str">
        <f aca="false">IF(A155="","",ROUND((IF(LEN(D155)&gt;0,1,0)+IF(LEN(E155)&gt;0,1,0)+IF(LEN(F155)&gt;0,1,0)+IF(LEN(G155)&gt;0,1,0)+IF(LEN(I155)&gt;0,1,0)+IF(LEN(K155)&gt;0,1,0)+IF(LEN(P155)&gt;0,1,0)+IF(LEN(Q155)&gt;0,1,0)+IF(LEN(T155)&gt;0,1,0)+IF(LEN(V155)&gt;0,1,0)+IF(LEN(W155)&gt;0,1,0)+IF(LEN(X155)&gt;0,1,0)+IF(LEN(Z155)&gt;0,1,0)+IF(LEN(AD155)&gt;0,1,0)+IF(LEN(AE155)&gt;0,1,0)+IF(LEN(AG155)&gt;0,1,0)+IF(LEN(AI155)&gt;0,1,0)+IF(LEN(BB155)&gt;0,1,0)+IF(LEN(BC155)&gt;0,1,0)+IF(LEN(AM155)&gt;0,1,0)+IF(LEN(AO155)&gt;0,1,0)+IF(LEN(AP155)&gt;0,1,0)+IF(LEN(AQ155)&gt;0,1,0)+IF(LEN(AR155)&gt;0,1,0)+IF(LEN(BA155)&gt;0,1,0)+IF(LEN(BM155)&gt;0,1,0)+IF(LEN(BZ155)&gt;0,1,0))/27,2))</f>
        <v/>
      </c>
      <c r="CF155" s="10" t="str">
        <f aca="false">IF(D155="","",IF(AND(AP155="Approved",ISERROR(SEARCH("FAIL",BJ155))),"Y","N"))</f>
        <v/>
      </c>
      <c r="CG155" s="10" t="str">
        <f aca="false">IF(D155="","",D155&amp;"|"&amp;E155&amp;"|"&amp;F155&amp;"|"&amp;G155&amp;"|"&amp;CF155)</f>
        <v/>
      </c>
    </row>
    <row r="156" customFormat="false" ht="15" hidden="false" customHeight="false" outlineLevel="0" collapsed="false">
      <c r="A156" s="10" t="str">
        <f aca="false">IF(D156="","","RW-"&amp;IFERROR(VLOOKUP(D156,Lists!$M$4:$N$22,2,0),"??")&amp;"-H"&amp;TEXT(E156*1000,"0000")&amp;"-S"&amp;F156&amp;IF(G156="Y","-GW","")&amp;"-"&amp;AO156)</f>
        <v/>
      </c>
      <c r="B156" s="10" t="str">
        <f aca="false">IF(D156="","",D156&amp;", H = "&amp;TEXT(E156,"0.0")&amp;" m, q = "&amp;F156&amp;" kPa"&amp;IF(G156="Y",", with GWT","")&amp;", "&amp;I156)</f>
        <v/>
      </c>
      <c r="C156" s="9"/>
      <c r="D156" s="9"/>
      <c r="E156" s="39"/>
      <c r="F156" s="38"/>
      <c r="G156" s="9"/>
      <c r="H156" s="38"/>
      <c r="I156" s="9"/>
      <c r="J156" s="38"/>
      <c r="K156" s="38"/>
      <c r="L156" s="38"/>
      <c r="M156" s="42"/>
      <c r="N156" s="9"/>
      <c r="O156" s="38"/>
      <c r="P156" s="38"/>
      <c r="Q156" s="38"/>
      <c r="R156" s="38"/>
      <c r="S156" s="38"/>
      <c r="T156" s="38"/>
      <c r="U156" s="9"/>
      <c r="V156" s="9"/>
      <c r="W156" s="38"/>
      <c r="X156" s="9"/>
      <c r="Y156" s="9"/>
      <c r="Z156" s="9"/>
      <c r="AA156" s="9"/>
      <c r="AB156" s="9"/>
      <c r="AC156" s="9"/>
      <c r="AD156" s="39"/>
      <c r="AE156" s="39"/>
      <c r="AF156" s="39"/>
      <c r="AG156" s="38"/>
      <c r="AH156" s="38"/>
      <c r="AI156" s="9"/>
      <c r="AJ156" s="38"/>
      <c r="AK156" s="9"/>
      <c r="AL156" s="39"/>
      <c r="AM156" s="9"/>
      <c r="AN156" s="9"/>
      <c r="AO156" s="9"/>
      <c r="AP156" s="9"/>
      <c r="AQ156" s="9"/>
      <c r="AR156" s="9"/>
      <c r="AS156" s="9"/>
      <c r="AT156" s="10" t="str">
        <f aca="false">IF(A156="","",SG_Criteria!$B$6&amp;SG_Criteria!$B$8&amp;"\"&amp;A156&amp;"\")</f>
        <v/>
      </c>
      <c r="AU156" s="10" t="str">
        <f aca="false">IF(A156="","",A156&amp;"_CAD.dwg")</f>
        <v/>
      </c>
      <c r="AV156" s="10" t="str">
        <f aca="false">IF(A156="","",A156&amp;"_DWG.pdf")</f>
        <v/>
      </c>
      <c r="AW156" s="10" t="str">
        <f aca="false">IF(A156="","",IF(AS156="Y",A156&amp;"_STAAD.std","n/a"))</f>
        <v/>
      </c>
      <c r="AX156" s="10" t="str">
        <f aca="false">IF(A156="","",A156&amp;"_CALC.xlsx")</f>
        <v/>
      </c>
      <c r="AY156" s="10" t="str">
        <f aca="false">IF(A156="","",A156&amp;"_CALC.pdf")</f>
        <v/>
      </c>
      <c r="AZ156" s="9"/>
      <c r="BA156" s="9"/>
      <c r="BB156" s="39"/>
      <c r="BC156" s="39"/>
      <c r="BD156" s="39"/>
      <c r="BE156" s="39"/>
      <c r="BF156" s="39"/>
      <c r="BG156" s="12" t="str">
        <f aca="false">IF(A156="","",IF(COUNTIF(Rebar_Schedule!$A$5:$A$2004,A156)=0,"",ROUND(SUMIF(Rebar_Schedule!$A$5:$A$2004,A156,Rebar_Schedule!$K$5:$K$2004),1)))</f>
        <v/>
      </c>
      <c r="BH156" s="33" t="str">
        <f aca="false">IF(A156="","",IF(BG156="","No rebar schedule yet",IF(ABS(BG156-N(BC156))/MAX(N(BC156),1)&gt;SG_Criteria!$B$55,"NOTE: register rebar differs from schedule by "&amp;TEXT(ABS(BG156-N(BC156))/MAX(N(BC156),1),"0%"),"OK")))</f>
        <v/>
      </c>
      <c r="BI156" s="33" t="str">
        <f aca="false">IF(OR(D156="",E156=""),"",IF(E156&lt;=IF(OR(D156="Block / Segmental",D156="Gabion",D156="Reinforced Earth (MSE)"),SG_Criteria!$B$34,SG_Criteria!$B$33),"No ERSS submission",IF(E156&lt;=SG_Criteria!$B$35,"QP(ST)",IF(E156&lt;=SG_Criteria!$B$36,"QP(ST) + AC","Geotechnical building works: QP(Geo) + AC"))))</f>
        <v/>
      </c>
      <c r="BJ156" s="33" t="str">
        <f aca="false">IF(D156="","",IF(LEN(IF(AND(V156&lt;&gt;"",IFERROR(VALUE(MID(V156,2,2)),0)&lt;SG_Criteria!$B$19),"FAIL: grade below C"&amp;SG_Criteria!$B$19&amp;". ","")&amp;IF(AND(W156&lt;&gt;"",W156&lt;SG_Criteria!$B$20),"FAIL: cover &lt; "&amp;SG_Criteria!$B$20&amp;" mm. ","")&amp;IF(AND(AD156&lt;&gt;"",AD156&lt;1),"FAIL: sliding. ","")&amp;IF(AND(D156="Reverse L-Wall (toe only, at boundary)",N(S156)&gt;0),"NOTE: reverse L-wall should have no heel. ","")&amp;IF(AND(D156="L-Wall (heel only)",N(R156)&gt;0),"NOTE: L-wall should have no toe. ","")&amp;IF(AND(F156&lt;&gt;"",F156&lt;SG_Criteria!$B$31),"NOTE: q below LTA min "&amp;SG_Criteria!$B$31&amp;" kPa (not for LTA works). ",""))=0,"OK",IF(AND(V156&lt;&gt;"",IFERROR(VALUE(MID(V156,2,2)),0)&lt;SG_Criteria!$B$19),"FAIL: grade below C"&amp;SG_Criteria!$B$19&amp;". ","")&amp;IF(AND(W156&lt;&gt;"",W156&lt;SG_Criteria!$B$20),"FAIL: cover &lt; "&amp;SG_Criteria!$B$20&amp;" mm. ","")&amp;IF(AND(AD156&lt;&gt;"",AD156&lt;1),"FAIL: sliding. ","")&amp;IF(AND(D156="Reverse L-Wall (toe only, at boundary)",N(S156)&gt;0),"NOTE: reverse L-wall should have no heel. ","")&amp;IF(AND(D156="L-Wall (heel only)",N(R156)&gt;0),"NOTE: L-wall should have no toe. ","")&amp;IF(AND(F156&lt;&gt;"",F156&lt;SG_Criteria!$B$31),"NOTE: q below LTA min "&amp;SG_Criteria!$B$31&amp;" kPa (not for LTA works). ","")))</f>
        <v/>
      </c>
      <c r="BK156" s="9"/>
      <c r="BL156" s="9"/>
      <c r="BM156" s="9"/>
      <c r="BN156" s="10" t="str">
        <f aca="false">IF(BM156="","",IFERROR(VLOOKUP(BM156,Projects!$A$5:$D$504,2,0),"Ref not in Projects"))</f>
        <v/>
      </c>
      <c r="BO156" s="10" t="str">
        <f aca="false">IF(BM156="","",IFERROR(VLOOKUP(BM156,Projects!$A$5:$D$504,4,0),"Ref not in Projects"))</f>
        <v/>
      </c>
      <c r="BP156" s="9"/>
      <c r="BQ156" s="9"/>
      <c r="BR156" s="9"/>
      <c r="BS156" s="40"/>
      <c r="BT156" s="9"/>
      <c r="BU156" s="40"/>
      <c r="BV156" s="9"/>
      <c r="BW156" s="40"/>
      <c r="BX156" s="9"/>
      <c r="BY156" s="9"/>
      <c r="BZ156" s="9"/>
      <c r="CA156" s="40"/>
      <c r="CB156" s="40"/>
      <c r="CC156" s="36" t="str">
        <f aca="false">IF(CB156="","",EDATE(CB156,SG_Criteria!$B$54*12))</f>
        <v/>
      </c>
      <c r="CD156" s="33" t="str">
        <f aca="true">IF(A156="","",IF(CB156="","NOTE: not reviewed yet",IF(TODAY()&gt;CC156,"NOTE: review overdue","OK")))</f>
        <v/>
      </c>
      <c r="CE156" s="37" t="str">
        <f aca="false">IF(A156="","",ROUND((IF(LEN(D156)&gt;0,1,0)+IF(LEN(E156)&gt;0,1,0)+IF(LEN(F156)&gt;0,1,0)+IF(LEN(G156)&gt;0,1,0)+IF(LEN(I156)&gt;0,1,0)+IF(LEN(K156)&gt;0,1,0)+IF(LEN(P156)&gt;0,1,0)+IF(LEN(Q156)&gt;0,1,0)+IF(LEN(T156)&gt;0,1,0)+IF(LEN(V156)&gt;0,1,0)+IF(LEN(W156)&gt;0,1,0)+IF(LEN(X156)&gt;0,1,0)+IF(LEN(Z156)&gt;0,1,0)+IF(LEN(AD156)&gt;0,1,0)+IF(LEN(AE156)&gt;0,1,0)+IF(LEN(AG156)&gt;0,1,0)+IF(LEN(AI156)&gt;0,1,0)+IF(LEN(BB156)&gt;0,1,0)+IF(LEN(BC156)&gt;0,1,0)+IF(LEN(AM156)&gt;0,1,0)+IF(LEN(AO156)&gt;0,1,0)+IF(LEN(AP156)&gt;0,1,0)+IF(LEN(AQ156)&gt;0,1,0)+IF(LEN(AR156)&gt;0,1,0)+IF(LEN(BA156)&gt;0,1,0)+IF(LEN(BM156)&gt;0,1,0)+IF(LEN(BZ156)&gt;0,1,0))/27,2))</f>
        <v/>
      </c>
      <c r="CF156" s="10" t="str">
        <f aca="false">IF(D156="","",IF(AND(AP156="Approved",ISERROR(SEARCH("FAIL",BJ156))),"Y","N"))</f>
        <v/>
      </c>
      <c r="CG156" s="10" t="str">
        <f aca="false">IF(D156="","",D156&amp;"|"&amp;E156&amp;"|"&amp;F156&amp;"|"&amp;G156&amp;"|"&amp;CF156)</f>
        <v/>
      </c>
    </row>
    <row r="157" customFormat="false" ht="15" hidden="false" customHeight="false" outlineLevel="0" collapsed="false">
      <c r="A157" s="10" t="str">
        <f aca="false">IF(D157="","","RW-"&amp;IFERROR(VLOOKUP(D157,Lists!$M$4:$N$22,2,0),"??")&amp;"-H"&amp;TEXT(E157*1000,"0000")&amp;"-S"&amp;F157&amp;IF(G157="Y","-GW","")&amp;"-"&amp;AO157)</f>
        <v/>
      </c>
      <c r="B157" s="10" t="str">
        <f aca="false">IF(D157="","",D157&amp;", H = "&amp;TEXT(E157,"0.0")&amp;" m, q = "&amp;F157&amp;" kPa"&amp;IF(G157="Y",", with GWT","")&amp;", "&amp;I157)</f>
        <v/>
      </c>
      <c r="C157" s="9"/>
      <c r="D157" s="9"/>
      <c r="E157" s="39"/>
      <c r="F157" s="38"/>
      <c r="G157" s="9"/>
      <c r="H157" s="38"/>
      <c r="I157" s="9"/>
      <c r="J157" s="38"/>
      <c r="K157" s="38"/>
      <c r="L157" s="38"/>
      <c r="M157" s="42"/>
      <c r="N157" s="9"/>
      <c r="O157" s="38"/>
      <c r="P157" s="38"/>
      <c r="Q157" s="38"/>
      <c r="R157" s="38"/>
      <c r="S157" s="38"/>
      <c r="T157" s="38"/>
      <c r="U157" s="9"/>
      <c r="V157" s="9"/>
      <c r="W157" s="38"/>
      <c r="X157" s="9"/>
      <c r="Y157" s="9"/>
      <c r="Z157" s="9"/>
      <c r="AA157" s="9"/>
      <c r="AB157" s="9"/>
      <c r="AC157" s="9"/>
      <c r="AD157" s="39"/>
      <c r="AE157" s="39"/>
      <c r="AF157" s="39"/>
      <c r="AG157" s="38"/>
      <c r="AH157" s="38"/>
      <c r="AI157" s="9"/>
      <c r="AJ157" s="38"/>
      <c r="AK157" s="9"/>
      <c r="AL157" s="39"/>
      <c r="AM157" s="9"/>
      <c r="AN157" s="9"/>
      <c r="AO157" s="9"/>
      <c r="AP157" s="9"/>
      <c r="AQ157" s="9"/>
      <c r="AR157" s="9"/>
      <c r="AS157" s="9"/>
      <c r="AT157" s="10" t="str">
        <f aca="false">IF(A157="","",SG_Criteria!$B$6&amp;SG_Criteria!$B$8&amp;"\"&amp;A157&amp;"\")</f>
        <v/>
      </c>
      <c r="AU157" s="10" t="str">
        <f aca="false">IF(A157="","",A157&amp;"_CAD.dwg")</f>
        <v/>
      </c>
      <c r="AV157" s="10" t="str">
        <f aca="false">IF(A157="","",A157&amp;"_DWG.pdf")</f>
        <v/>
      </c>
      <c r="AW157" s="10" t="str">
        <f aca="false">IF(A157="","",IF(AS157="Y",A157&amp;"_STAAD.std","n/a"))</f>
        <v/>
      </c>
      <c r="AX157" s="10" t="str">
        <f aca="false">IF(A157="","",A157&amp;"_CALC.xlsx")</f>
        <v/>
      </c>
      <c r="AY157" s="10" t="str">
        <f aca="false">IF(A157="","",A157&amp;"_CALC.pdf")</f>
        <v/>
      </c>
      <c r="AZ157" s="9"/>
      <c r="BA157" s="9"/>
      <c r="BB157" s="39"/>
      <c r="BC157" s="39"/>
      <c r="BD157" s="39"/>
      <c r="BE157" s="39"/>
      <c r="BF157" s="39"/>
      <c r="BG157" s="12" t="str">
        <f aca="false">IF(A157="","",IF(COUNTIF(Rebar_Schedule!$A$5:$A$2004,A157)=0,"",ROUND(SUMIF(Rebar_Schedule!$A$5:$A$2004,A157,Rebar_Schedule!$K$5:$K$2004),1)))</f>
        <v/>
      </c>
      <c r="BH157" s="33" t="str">
        <f aca="false">IF(A157="","",IF(BG157="","No rebar schedule yet",IF(ABS(BG157-N(BC157))/MAX(N(BC157),1)&gt;SG_Criteria!$B$55,"NOTE: register rebar differs from schedule by "&amp;TEXT(ABS(BG157-N(BC157))/MAX(N(BC157),1),"0%"),"OK")))</f>
        <v/>
      </c>
      <c r="BI157" s="33" t="str">
        <f aca="false">IF(OR(D157="",E157=""),"",IF(E157&lt;=IF(OR(D157="Block / Segmental",D157="Gabion",D157="Reinforced Earth (MSE)"),SG_Criteria!$B$34,SG_Criteria!$B$33),"No ERSS submission",IF(E157&lt;=SG_Criteria!$B$35,"QP(ST)",IF(E157&lt;=SG_Criteria!$B$36,"QP(ST) + AC","Geotechnical building works: QP(Geo) + AC"))))</f>
        <v/>
      </c>
      <c r="BJ157" s="33" t="str">
        <f aca="false">IF(D157="","",IF(LEN(IF(AND(V157&lt;&gt;"",IFERROR(VALUE(MID(V157,2,2)),0)&lt;SG_Criteria!$B$19),"FAIL: grade below C"&amp;SG_Criteria!$B$19&amp;". ","")&amp;IF(AND(W157&lt;&gt;"",W157&lt;SG_Criteria!$B$20),"FAIL: cover &lt; "&amp;SG_Criteria!$B$20&amp;" mm. ","")&amp;IF(AND(AD157&lt;&gt;"",AD157&lt;1),"FAIL: sliding. ","")&amp;IF(AND(D157="Reverse L-Wall (toe only, at boundary)",N(S157)&gt;0),"NOTE: reverse L-wall should have no heel. ","")&amp;IF(AND(D157="L-Wall (heel only)",N(R157)&gt;0),"NOTE: L-wall should have no toe. ","")&amp;IF(AND(F157&lt;&gt;"",F157&lt;SG_Criteria!$B$31),"NOTE: q below LTA min "&amp;SG_Criteria!$B$31&amp;" kPa (not for LTA works). ",""))=0,"OK",IF(AND(V157&lt;&gt;"",IFERROR(VALUE(MID(V157,2,2)),0)&lt;SG_Criteria!$B$19),"FAIL: grade below C"&amp;SG_Criteria!$B$19&amp;". ","")&amp;IF(AND(W157&lt;&gt;"",W157&lt;SG_Criteria!$B$20),"FAIL: cover &lt; "&amp;SG_Criteria!$B$20&amp;" mm. ","")&amp;IF(AND(AD157&lt;&gt;"",AD157&lt;1),"FAIL: sliding. ","")&amp;IF(AND(D157="Reverse L-Wall (toe only, at boundary)",N(S157)&gt;0),"NOTE: reverse L-wall should have no heel. ","")&amp;IF(AND(D157="L-Wall (heel only)",N(R157)&gt;0),"NOTE: L-wall should have no toe. ","")&amp;IF(AND(F157&lt;&gt;"",F157&lt;SG_Criteria!$B$31),"NOTE: q below LTA min "&amp;SG_Criteria!$B$31&amp;" kPa (not for LTA works). ","")))</f>
        <v/>
      </c>
      <c r="BK157" s="9"/>
      <c r="BL157" s="9"/>
      <c r="BM157" s="9"/>
      <c r="BN157" s="10" t="str">
        <f aca="false">IF(BM157="","",IFERROR(VLOOKUP(BM157,Projects!$A$5:$D$504,2,0),"Ref not in Projects"))</f>
        <v/>
      </c>
      <c r="BO157" s="10" t="str">
        <f aca="false">IF(BM157="","",IFERROR(VLOOKUP(BM157,Projects!$A$5:$D$504,4,0),"Ref not in Projects"))</f>
        <v/>
      </c>
      <c r="BP157" s="9"/>
      <c r="BQ157" s="9"/>
      <c r="BR157" s="9"/>
      <c r="BS157" s="40"/>
      <c r="BT157" s="9"/>
      <c r="BU157" s="40"/>
      <c r="BV157" s="9"/>
      <c r="BW157" s="40"/>
      <c r="BX157" s="9"/>
      <c r="BY157" s="9"/>
      <c r="BZ157" s="9"/>
      <c r="CA157" s="40"/>
      <c r="CB157" s="40"/>
      <c r="CC157" s="36" t="str">
        <f aca="false">IF(CB157="","",EDATE(CB157,SG_Criteria!$B$54*12))</f>
        <v/>
      </c>
      <c r="CD157" s="33" t="str">
        <f aca="true">IF(A157="","",IF(CB157="","NOTE: not reviewed yet",IF(TODAY()&gt;CC157,"NOTE: review overdue","OK")))</f>
        <v/>
      </c>
      <c r="CE157" s="37" t="str">
        <f aca="false">IF(A157="","",ROUND((IF(LEN(D157)&gt;0,1,0)+IF(LEN(E157)&gt;0,1,0)+IF(LEN(F157)&gt;0,1,0)+IF(LEN(G157)&gt;0,1,0)+IF(LEN(I157)&gt;0,1,0)+IF(LEN(K157)&gt;0,1,0)+IF(LEN(P157)&gt;0,1,0)+IF(LEN(Q157)&gt;0,1,0)+IF(LEN(T157)&gt;0,1,0)+IF(LEN(V157)&gt;0,1,0)+IF(LEN(W157)&gt;0,1,0)+IF(LEN(X157)&gt;0,1,0)+IF(LEN(Z157)&gt;0,1,0)+IF(LEN(AD157)&gt;0,1,0)+IF(LEN(AE157)&gt;0,1,0)+IF(LEN(AG157)&gt;0,1,0)+IF(LEN(AI157)&gt;0,1,0)+IF(LEN(BB157)&gt;0,1,0)+IF(LEN(BC157)&gt;0,1,0)+IF(LEN(AM157)&gt;0,1,0)+IF(LEN(AO157)&gt;0,1,0)+IF(LEN(AP157)&gt;0,1,0)+IF(LEN(AQ157)&gt;0,1,0)+IF(LEN(AR157)&gt;0,1,0)+IF(LEN(BA157)&gt;0,1,0)+IF(LEN(BM157)&gt;0,1,0)+IF(LEN(BZ157)&gt;0,1,0))/27,2))</f>
        <v/>
      </c>
      <c r="CF157" s="10" t="str">
        <f aca="false">IF(D157="","",IF(AND(AP157="Approved",ISERROR(SEARCH("FAIL",BJ157))),"Y","N"))</f>
        <v/>
      </c>
      <c r="CG157" s="10" t="str">
        <f aca="false">IF(D157="","",D157&amp;"|"&amp;E157&amp;"|"&amp;F157&amp;"|"&amp;G157&amp;"|"&amp;CF157)</f>
        <v/>
      </c>
    </row>
    <row r="158" customFormat="false" ht="15" hidden="false" customHeight="false" outlineLevel="0" collapsed="false">
      <c r="A158" s="10" t="str">
        <f aca="false">IF(D158="","","RW-"&amp;IFERROR(VLOOKUP(D158,Lists!$M$4:$N$22,2,0),"??")&amp;"-H"&amp;TEXT(E158*1000,"0000")&amp;"-S"&amp;F158&amp;IF(G158="Y","-GW","")&amp;"-"&amp;AO158)</f>
        <v/>
      </c>
      <c r="B158" s="10" t="str">
        <f aca="false">IF(D158="","",D158&amp;", H = "&amp;TEXT(E158,"0.0")&amp;" m, q = "&amp;F158&amp;" kPa"&amp;IF(G158="Y",", with GWT","")&amp;", "&amp;I158)</f>
        <v/>
      </c>
      <c r="C158" s="9"/>
      <c r="D158" s="9"/>
      <c r="E158" s="39"/>
      <c r="F158" s="38"/>
      <c r="G158" s="9"/>
      <c r="H158" s="38"/>
      <c r="I158" s="9"/>
      <c r="J158" s="38"/>
      <c r="K158" s="38"/>
      <c r="L158" s="38"/>
      <c r="M158" s="42"/>
      <c r="N158" s="9"/>
      <c r="O158" s="38"/>
      <c r="P158" s="38"/>
      <c r="Q158" s="38"/>
      <c r="R158" s="38"/>
      <c r="S158" s="38"/>
      <c r="T158" s="38"/>
      <c r="U158" s="9"/>
      <c r="V158" s="9"/>
      <c r="W158" s="38"/>
      <c r="X158" s="9"/>
      <c r="Y158" s="9"/>
      <c r="Z158" s="9"/>
      <c r="AA158" s="9"/>
      <c r="AB158" s="9"/>
      <c r="AC158" s="9"/>
      <c r="AD158" s="39"/>
      <c r="AE158" s="39"/>
      <c r="AF158" s="39"/>
      <c r="AG158" s="38"/>
      <c r="AH158" s="38"/>
      <c r="AI158" s="9"/>
      <c r="AJ158" s="38"/>
      <c r="AK158" s="9"/>
      <c r="AL158" s="39"/>
      <c r="AM158" s="9"/>
      <c r="AN158" s="9"/>
      <c r="AO158" s="9"/>
      <c r="AP158" s="9"/>
      <c r="AQ158" s="9"/>
      <c r="AR158" s="9"/>
      <c r="AS158" s="9"/>
      <c r="AT158" s="10" t="str">
        <f aca="false">IF(A158="","",SG_Criteria!$B$6&amp;SG_Criteria!$B$8&amp;"\"&amp;A158&amp;"\")</f>
        <v/>
      </c>
      <c r="AU158" s="10" t="str">
        <f aca="false">IF(A158="","",A158&amp;"_CAD.dwg")</f>
        <v/>
      </c>
      <c r="AV158" s="10" t="str">
        <f aca="false">IF(A158="","",A158&amp;"_DWG.pdf")</f>
        <v/>
      </c>
      <c r="AW158" s="10" t="str">
        <f aca="false">IF(A158="","",IF(AS158="Y",A158&amp;"_STAAD.std","n/a"))</f>
        <v/>
      </c>
      <c r="AX158" s="10" t="str">
        <f aca="false">IF(A158="","",A158&amp;"_CALC.xlsx")</f>
        <v/>
      </c>
      <c r="AY158" s="10" t="str">
        <f aca="false">IF(A158="","",A158&amp;"_CALC.pdf")</f>
        <v/>
      </c>
      <c r="AZ158" s="9"/>
      <c r="BA158" s="9"/>
      <c r="BB158" s="39"/>
      <c r="BC158" s="39"/>
      <c r="BD158" s="39"/>
      <c r="BE158" s="39"/>
      <c r="BF158" s="39"/>
      <c r="BG158" s="12" t="str">
        <f aca="false">IF(A158="","",IF(COUNTIF(Rebar_Schedule!$A$5:$A$2004,A158)=0,"",ROUND(SUMIF(Rebar_Schedule!$A$5:$A$2004,A158,Rebar_Schedule!$K$5:$K$2004),1)))</f>
        <v/>
      </c>
      <c r="BH158" s="33" t="str">
        <f aca="false">IF(A158="","",IF(BG158="","No rebar schedule yet",IF(ABS(BG158-N(BC158))/MAX(N(BC158),1)&gt;SG_Criteria!$B$55,"NOTE: register rebar differs from schedule by "&amp;TEXT(ABS(BG158-N(BC158))/MAX(N(BC158),1),"0%"),"OK")))</f>
        <v/>
      </c>
      <c r="BI158" s="33" t="str">
        <f aca="false">IF(OR(D158="",E158=""),"",IF(E158&lt;=IF(OR(D158="Block / Segmental",D158="Gabion",D158="Reinforced Earth (MSE)"),SG_Criteria!$B$34,SG_Criteria!$B$33),"No ERSS submission",IF(E158&lt;=SG_Criteria!$B$35,"QP(ST)",IF(E158&lt;=SG_Criteria!$B$36,"QP(ST) + AC","Geotechnical building works: QP(Geo) + AC"))))</f>
        <v/>
      </c>
      <c r="BJ158" s="33" t="str">
        <f aca="false">IF(D158="","",IF(LEN(IF(AND(V158&lt;&gt;"",IFERROR(VALUE(MID(V158,2,2)),0)&lt;SG_Criteria!$B$19),"FAIL: grade below C"&amp;SG_Criteria!$B$19&amp;". ","")&amp;IF(AND(W158&lt;&gt;"",W158&lt;SG_Criteria!$B$20),"FAIL: cover &lt; "&amp;SG_Criteria!$B$20&amp;" mm. ","")&amp;IF(AND(AD158&lt;&gt;"",AD158&lt;1),"FAIL: sliding. ","")&amp;IF(AND(D158="Reverse L-Wall (toe only, at boundary)",N(S158)&gt;0),"NOTE: reverse L-wall should have no heel. ","")&amp;IF(AND(D158="L-Wall (heel only)",N(R158)&gt;0),"NOTE: L-wall should have no toe. ","")&amp;IF(AND(F158&lt;&gt;"",F158&lt;SG_Criteria!$B$31),"NOTE: q below LTA min "&amp;SG_Criteria!$B$31&amp;" kPa (not for LTA works). ",""))=0,"OK",IF(AND(V158&lt;&gt;"",IFERROR(VALUE(MID(V158,2,2)),0)&lt;SG_Criteria!$B$19),"FAIL: grade below C"&amp;SG_Criteria!$B$19&amp;". ","")&amp;IF(AND(W158&lt;&gt;"",W158&lt;SG_Criteria!$B$20),"FAIL: cover &lt; "&amp;SG_Criteria!$B$20&amp;" mm. ","")&amp;IF(AND(AD158&lt;&gt;"",AD158&lt;1),"FAIL: sliding. ","")&amp;IF(AND(D158="Reverse L-Wall (toe only, at boundary)",N(S158)&gt;0),"NOTE: reverse L-wall should have no heel. ","")&amp;IF(AND(D158="L-Wall (heel only)",N(R158)&gt;0),"NOTE: L-wall should have no toe. ","")&amp;IF(AND(F158&lt;&gt;"",F158&lt;SG_Criteria!$B$31),"NOTE: q below LTA min "&amp;SG_Criteria!$B$31&amp;" kPa (not for LTA works). ","")))</f>
        <v/>
      </c>
      <c r="BK158" s="9"/>
      <c r="BL158" s="9"/>
      <c r="BM158" s="9"/>
      <c r="BN158" s="10" t="str">
        <f aca="false">IF(BM158="","",IFERROR(VLOOKUP(BM158,Projects!$A$5:$D$504,2,0),"Ref not in Projects"))</f>
        <v/>
      </c>
      <c r="BO158" s="10" t="str">
        <f aca="false">IF(BM158="","",IFERROR(VLOOKUP(BM158,Projects!$A$5:$D$504,4,0),"Ref not in Projects"))</f>
        <v/>
      </c>
      <c r="BP158" s="9"/>
      <c r="BQ158" s="9"/>
      <c r="BR158" s="9"/>
      <c r="BS158" s="40"/>
      <c r="BT158" s="9"/>
      <c r="BU158" s="40"/>
      <c r="BV158" s="9"/>
      <c r="BW158" s="40"/>
      <c r="BX158" s="9"/>
      <c r="BY158" s="9"/>
      <c r="BZ158" s="9"/>
      <c r="CA158" s="40"/>
      <c r="CB158" s="40"/>
      <c r="CC158" s="36" t="str">
        <f aca="false">IF(CB158="","",EDATE(CB158,SG_Criteria!$B$54*12))</f>
        <v/>
      </c>
      <c r="CD158" s="33" t="str">
        <f aca="true">IF(A158="","",IF(CB158="","NOTE: not reviewed yet",IF(TODAY()&gt;CC158,"NOTE: review overdue","OK")))</f>
        <v/>
      </c>
      <c r="CE158" s="37" t="str">
        <f aca="false">IF(A158="","",ROUND((IF(LEN(D158)&gt;0,1,0)+IF(LEN(E158)&gt;0,1,0)+IF(LEN(F158)&gt;0,1,0)+IF(LEN(G158)&gt;0,1,0)+IF(LEN(I158)&gt;0,1,0)+IF(LEN(K158)&gt;0,1,0)+IF(LEN(P158)&gt;0,1,0)+IF(LEN(Q158)&gt;0,1,0)+IF(LEN(T158)&gt;0,1,0)+IF(LEN(V158)&gt;0,1,0)+IF(LEN(W158)&gt;0,1,0)+IF(LEN(X158)&gt;0,1,0)+IF(LEN(Z158)&gt;0,1,0)+IF(LEN(AD158)&gt;0,1,0)+IF(LEN(AE158)&gt;0,1,0)+IF(LEN(AG158)&gt;0,1,0)+IF(LEN(AI158)&gt;0,1,0)+IF(LEN(BB158)&gt;0,1,0)+IF(LEN(BC158)&gt;0,1,0)+IF(LEN(AM158)&gt;0,1,0)+IF(LEN(AO158)&gt;0,1,0)+IF(LEN(AP158)&gt;0,1,0)+IF(LEN(AQ158)&gt;0,1,0)+IF(LEN(AR158)&gt;0,1,0)+IF(LEN(BA158)&gt;0,1,0)+IF(LEN(BM158)&gt;0,1,0)+IF(LEN(BZ158)&gt;0,1,0))/27,2))</f>
        <v/>
      </c>
      <c r="CF158" s="10" t="str">
        <f aca="false">IF(D158="","",IF(AND(AP158="Approved",ISERROR(SEARCH("FAIL",BJ158))),"Y","N"))</f>
        <v/>
      </c>
      <c r="CG158" s="10" t="str">
        <f aca="false">IF(D158="","",D158&amp;"|"&amp;E158&amp;"|"&amp;F158&amp;"|"&amp;G158&amp;"|"&amp;CF158)</f>
        <v/>
      </c>
    </row>
    <row r="159" customFormat="false" ht="15" hidden="false" customHeight="false" outlineLevel="0" collapsed="false">
      <c r="A159" s="10" t="str">
        <f aca="false">IF(D159="","","RW-"&amp;IFERROR(VLOOKUP(D159,Lists!$M$4:$N$22,2,0),"??")&amp;"-H"&amp;TEXT(E159*1000,"0000")&amp;"-S"&amp;F159&amp;IF(G159="Y","-GW","")&amp;"-"&amp;AO159)</f>
        <v/>
      </c>
      <c r="B159" s="10" t="str">
        <f aca="false">IF(D159="","",D159&amp;", H = "&amp;TEXT(E159,"0.0")&amp;" m, q = "&amp;F159&amp;" kPa"&amp;IF(G159="Y",", with GWT","")&amp;", "&amp;I159)</f>
        <v/>
      </c>
      <c r="C159" s="9"/>
      <c r="D159" s="9"/>
      <c r="E159" s="39"/>
      <c r="F159" s="38"/>
      <c r="G159" s="9"/>
      <c r="H159" s="38"/>
      <c r="I159" s="9"/>
      <c r="J159" s="38"/>
      <c r="K159" s="38"/>
      <c r="L159" s="38"/>
      <c r="M159" s="42"/>
      <c r="N159" s="9"/>
      <c r="O159" s="38"/>
      <c r="P159" s="38"/>
      <c r="Q159" s="38"/>
      <c r="R159" s="38"/>
      <c r="S159" s="38"/>
      <c r="T159" s="38"/>
      <c r="U159" s="9"/>
      <c r="V159" s="9"/>
      <c r="W159" s="38"/>
      <c r="X159" s="9"/>
      <c r="Y159" s="9"/>
      <c r="Z159" s="9"/>
      <c r="AA159" s="9"/>
      <c r="AB159" s="9"/>
      <c r="AC159" s="9"/>
      <c r="AD159" s="39"/>
      <c r="AE159" s="39"/>
      <c r="AF159" s="39"/>
      <c r="AG159" s="38"/>
      <c r="AH159" s="38"/>
      <c r="AI159" s="9"/>
      <c r="AJ159" s="38"/>
      <c r="AK159" s="9"/>
      <c r="AL159" s="39"/>
      <c r="AM159" s="9"/>
      <c r="AN159" s="9"/>
      <c r="AO159" s="9"/>
      <c r="AP159" s="9"/>
      <c r="AQ159" s="9"/>
      <c r="AR159" s="9"/>
      <c r="AS159" s="9"/>
      <c r="AT159" s="10" t="str">
        <f aca="false">IF(A159="","",SG_Criteria!$B$6&amp;SG_Criteria!$B$8&amp;"\"&amp;A159&amp;"\")</f>
        <v/>
      </c>
      <c r="AU159" s="10" t="str">
        <f aca="false">IF(A159="","",A159&amp;"_CAD.dwg")</f>
        <v/>
      </c>
      <c r="AV159" s="10" t="str">
        <f aca="false">IF(A159="","",A159&amp;"_DWG.pdf")</f>
        <v/>
      </c>
      <c r="AW159" s="10" t="str">
        <f aca="false">IF(A159="","",IF(AS159="Y",A159&amp;"_STAAD.std","n/a"))</f>
        <v/>
      </c>
      <c r="AX159" s="10" t="str">
        <f aca="false">IF(A159="","",A159&amp;"_CALC.xlsx")</f>
        <v/>
      </c>
      <c r="AY159" s="10" t="str">
        <f aca="false">IF(A159="","",A159&amp;"_CALC.pdf")</f>
        <v/>
      </c>
      <c r="AZ159" s="9"/>
      <c r="BA159" s="9"/>
      <c r="BB159" s="39"/>
      <c r="BC159" s="39"/>
      <c r="BD159" s="39"/>
      <c r="BE159" s="39"/>
      <c r="BF159" s="39"/>
      <c r="BG159" s="12" t="str">
        <f aca="false">IF(A159="","",IF(COUNTIF(Rebar_Schedule!$A$5:$A$2004,A159)=0,"",ROUND(SUMIF(Rebar_Schedule!$A$5:$A$2004,A159,Rebar_Schedule!$K$5:$K$2004),1)))</f>
        <v/>
      </c>
      <c r="BH159" s="33" t="str">
        <f aca="false">IF(A159="","",IF(BG159="","No rebar schedule yet",IF(ABS(BG159-N(BC159))/MAX(N(BC159),1)&gt;SG_Criteria!$B$55,"NOTE: register rebar differs from schedule by "&amp;TEXT(ABS(BG159-N(BC159))/MAX(N(BC159),1),"0%"),"OK")))</f>
        <v/>
      </c>
      <c r="BI159" s="33" t="str">
        <f aca="false">IF(OR(D159="",E159=""),"",IF(E159&lt;=IF(OR(D159="Block / Segmental",D159="Gabion",D159="Reinforced Earth (MSE)"),SG_Criteria!$B$34,SG_Criteria!$B$33),"No ERSS submission",IF(E159&lt;=SG_Criteria!$B$35,"QP(ST)",IF(E159&lt;=SG_Criteria!$B$36,"QP(ST) + AC","Geotechnical building works: QP(Geo) + AC"))))</f>
        <v/>
      </c>
      <c r="BJ159" s="33" t="str">
        <f aca="false">IF(D159="","",IF(LEN(IF(AND(V159&lt;&gt;"",IFERROR(VALUE(MID(V159,2,2)),0)&lt;SG_Criteria!$B$19),"FAIL: grade below C"&amp;SG_Criteria!$B$19&amp;". ","")&amp;IF(AND(W159&lt;&gt;"",W159&lt;SG_Criteria!$B$20),"FAIL: cover &lt; "&amp;SG_Criteria!$B$20&amp;" mm. ","")&amp;IF(AND(AD159&lt;&gt;"",AD159&lt;1),"FAIL: sliding. ","")&amp;IF(AND(D159="Reverse L-Wall (toe only, at boundary)",N(S159)&gt;0),"NOTE: reverse L-wall should have no heel. ","")&amp;IF(AND(D159="L-Wall (heel only)",N(R159)&gt;0),"NOTE: L-wall should have no toe. ","")&amp;IF(AND(F159&lt;&gt;"",F159&lt;SG_Criteria!$B$31),"NOTE: q below LTA min "&amp;SG_Criteria!$B$31&amp;" kPa (not for LTA works). ",""))=0,"OK",IF(AND(V159&lt;&gt;"",IFERROR(VALUE(MID(V159,2,2)),0)&lt;SG_Criteria!$B$19),"FAIL: grade below C"&amp;SG_Criteria!$B$19&amp;". ","")&amp;IF(AND(W159&lt;&gt;"",W159&lt;SG_Criteria!$B$20),"FAIL: cover &lt; "&amp;SG_Criteria!$B$20&amp;" mm. ","")&amp;IF(AND(AD159&lt;&gt;"",AD159&lt;1),"FAIL: sliding. ","")&amp;IF(AND(D159="Reverse L-Wall (toe only, at boundary)",N(S159)&gt;0),"NOTE: reverse L-wall should have no heel. ","")&amp;IF(AND(D159="L-Wall (heel only)",N(R159)&gt;0),"NOTE: L-wall should have no toe. ","")&amp;IF(AND(F159&lt;&gt;"",F159&lt;SG_Criteria!$B$31),"NOTE: q below LTA min "&amp;SG_Criteria!$B$31&amp;" kPa (not for LTA works). ","")))</f>
        <v/>
      </c>
      <c r="BK159" s="9"/>
      <c r="BL159" s="9"/>
      <c r="BM159" s="9"/>
      <c r="BN159" s="10" t="str">
        <f aca="false">IF(BM159="","",IFERROR(VLOOKUP(BM159,Projects!$A$5:$D$504,2,0),"Ref not in Projects"))</f>
        <v/>
      </c>
      <c r="BO159" s="10" t="str">
        <f aca="false">IF(BM159="","",IFERROR(VLOOKUP(BM159,Projects!$A$5:$D$504,4,0),"Ref not in Projects"))</f>
        <v/>
      </c>
      <c r="BP159" s="9"/>
      <c r="BQ159" s="9"/>
      <c r="BR159" s="9"/>
      <c r="BS159" s="40"/>
      <c r="BT159" s="9"/>
      <c r="BU159" s="40"/>
      <c r="BV159" s="9"/>
      <c r="BW159" s="40"/>
      <c r="BX159" s="9"/>
      <c r="BY159" s="9"/>
      <c r="BZ159" s="9"/>
      <c r="CA159" s="40"/>
      <c r="CB159" s="40"/>
      <c r="CC159" s="36" t="str">
        <f aca="false">IF(CB159="","",EDATE(CB159,SG_Criteria!$B$54*12))</f>
        <v/>
      </c>
      <c r="CD159" s="33" t="str">
        <f aca="true">IF(A159="","",IF(CB159="","NOTE: not reviewed yet",IF(TODAY()&gt;CC159,"NOTE: review overdue","OK")))</f>
        <v/>
      </c>
      <c r="CE159" s="37" t="str">
        <f aca="false">IF(A159="","",ROUND((IF(LEN(D159)&gt;0,1,0)+IF(LEN(E159)&gt;0,1,0)+IF(LEN(F159)&gt;0,1,0)+IF(LEN(G159)&gt;0,1,0)+IF(LEN(I159)&gt;0,1,0)+IF(LEN(K159)&gt;0,1,0)+IF(LEN(P159)&gt;0,1,0)+IF(LEN(Q159)&gt;0,1,0)+IF(LEN(T159)&gt;0,1,0)+IF(LEN(V159)&gt;0,1,0)+IF(LEN(W159)&gt;0,1,0)+IF(LEN(X159)&gt;0,1,0)+IF(LEN(Z159)&gt;0,1,0)+IF(LEN(AD159)&gt;0,1,0)+IF(LEN(AE159)&gt;0,1,0)+IF(LEN(AG159)&gt;0,1,0)+IF(LEN(AI159)&gt;0,1,0)+IF(LEN(BB159)&gt;0,1,0)+IF(LEN(BC159)&gt;0,1,0)+IF(LEN(AM159)&gt;0,1,0)+IF(LEN(AO159)&gt;0,1,0)+IF(LEN(AP159)&gt;0,1,0)+IF(LEN(AQ159)&gt;0,1,0)+IF(LEN(AR159)&gt;0,1,0)+IF(LEN(BA159)&gt;0,1,0)+IF(LEN(BM159)&gt;0,1,0)+IF(LEN(BZ159)&gt;0,1,0))/27,2))</f>
        <v/>
      </c>
      <c r="CF159" s="10" t="str">
        <f aca="false">IF(D159="","",IF(AND(AP159="Approved",ISERROR(SEARCH("FAIL",BJ159))),"Y","N"))</f>
        <v/>
      </c>
      <c r="CG159" s="10" t="str">
        <f aca="false">IF(D159="","",D159&amp;"|"&amp;E159&amp;"|"&amp;F159&amp;"|"&amp;G159&amp;"|"&amp;CF159)</f>
        <v/>
      </c>
    </row>
    <row r="160" customFormat="false" ht="15" hidden="false" customHeight="false" outlineLevel="0" collapsed="false">
      <c r="A160" s="10" t="str">
        <f aca="false">IF(D160="","","RW-"&amp;IFERROR(VLOOKUP(D160,Lists!$M$4:$N$22,2,0),"??")&amp;"-H"&amp;TEXT(E160*1000,"0000")&amp;"-S"&amp;F160&amp;IF(G160="Y","-GW","")&amp;"-"&amp;AO160)</f>
        <v/>
      </c>
      <c r="B160" s="10" t="str">
        <f aca="false">IF(D160="","",D160&amp;", H = "&amp;TEXT(E160,"0.0")&amp;" m, q = "&amp;F160&amp;" kPa"&amp;IF(G160="Y",", with GWT","")&amp;", "&amp;I160)</f>
        <v/>
      </c>
      <c r="C160" s="9"/>
      <c r="D160" s="9"/>
      <c r="E160" s="39"/>
      <c r="F160" s="38"/>
      <c r="G160" s="9"/>
      <c r="H160" s="38"/>
      <c r="I160" s="9"/>
      <c r="J160" s="38"/>
      <c r="K160" s="38"/>
      <c r="L160" s="38"/>
      <c r="M160" s="42"/>
      <c r="N160" s="9"/>
      <c r="O160" s="38"/>
      <c r="P160" s="38"/>
      <c r="Q160" s="38"/>
      <c r="R160" s="38"/>
      <c r="S160" s="38"/>
      <c r="T160" s="38"/>
      <c r="U160" s="9"/>
      <c r="V160" s="9"/>
      <c r="W160" s="38"/>
      <c r="X160" s="9"/>
      <c r="Y160" s="9"/>
      <c r="Z160" s="9"/>
      <c r="AA160" s="9"/>
      <c r="AB160" s="9"/>
      <c r="AC160" s="9"/>
      <c r="AD160" s="39"/>
      <c r="AE160" s="39"/>
      <c r="AF160" s="39"/>
      <c r="AG160" s="38"/>
      <c r="AH160" s="38"/>
      <c r="AI160" s="9"/>
      <c r="AJ160" s="38"/>
      <c r="AK160" s="9"/>
      <c r="AL160" s="39"/>
      <c r="AM160" s="9"/>
      <c r="AN160" s="9"/>
      <c r="AO160" s="9"/>
      <c r="AP160" s="9"/>
      <c r="AQ160" s="9"/>
      <c r="AR160" s="9"/>
      <c r="AS160" s="9"/>
      <c r="AT160" s="10" t="str">
        <f aca="false">IF(A160="","",SG_Criteria!$B$6&amp;SG_Criteria!$B$8&amp;"\"&amp;A160&amp;"\")</f>
        <v/>
      </c>
      <c r="AU160" s="10" t="str">
        <f aca="false">IF(A160="","",A160&amp;"_CAD.dwg")</f>
        <v/>
      </c>
      <c r="AV160" s="10" t="str">
        <f aca="false">IF(A160="","",A160&amp;"_DWG.pdf")</f>
        <v/>
      </c>
      <c r="AW160" s="10" t="str">
        <f aca="false">IF(A160="","",IF(AS160="Y",A160&amp;"_STAAD.std","n/a"))</f>
        <v/>
      </c>
      <c r="AX160" s="10" t="str">
        <f aca="false">IF(A160="","",A160&amp;"_CALC.xlsx")</f>
        <v/>
      </c>
      <c r="AY160" s="10" t="str">
        <f aca="false">IF(A160="","",A160&amp;"_CALC.pdf")</f>
        <v/>
      </c>
      <c r="AZ160" s="9"/>
      <c r="BA160" s="9"/>
      <c r="BB160" s="39"/>
      <c r="BC160" s="39"/>
      <c r="BD160" s="39"/>
      <c r="BE160" s="39"/>
      <c r="BF160" s="39"/>
      <c r="BG160" s="12" t="str">
        <f aca="false">IF(A160="","",IF(COUNTIF(Rebar_Schedule!$A$5:$A$2004,A160)=0,"",ROUND(SUMIF(Rebar_Schedule!$A$5:$A$2004,A160,Rebar_Schedule!$K$5:$K$2004),1)))</f>
        <v/>
      </c>
      <c r="BH160" s="33" t="str">
        <f aca="false">IF(A160="","",IF(BG160="","No rebar schedule yet",IF(ABS(BG160-N(BC160))/MAX(N(BC160),1)&gt;SG_Criteria!$B$55,"NOTE: register rebar differs from schedule by "&amp;TEXT(ABS(BG160-N(BC160))/MAX(N(BC160),1),"0%"),"OK")))</f>
        <v/>
      </c>
      <c r="BI160" s="33" t="str">
        <f aca="false">IF(OR(D160="",E160=""),"",IF(E160&lt;=IF(OR(D160="Block / Segmental",D160="Gabion",D160="Reinforced Earth (MSE)"),SG_Criteria!$B$34,SG_Criteria!$B$33),"No ERSS submission",IF(E160&lt;=SG_Criteria!$B$35,"QP(ST)",IF(E160&lt;=SG_Criteria!$B$36,"QP(ST) + AC","Geotechnical building works: QP(Geo) + AC"))))</f>
        <v/>
      </c>
      <c r="BJ160" s="33" t="str">
        <f aca="false">IF(D160="","",IF(LEN(IF(AND(V160&lt;&gt;"",IFERROR(VALUE(MID(V160,2,2)),0)&lt;SG_Criteria!$B$19),"FAIL: grade below C"&amp;SG_Criteria!$B$19&amp;". ","")&amp;IF(AND(W160&lt;&gt;"",W160&lt;SG_Criteria!$B$20),"FAIL: cover &lt; "&amp;SG_Criteria!$B$20&amp;" mm. ","")&amp;IF(AND(AD160&lt;&gt;"",AD160&lt;1),"FAIL: sliding. ","")&amp;IF(AND(D160="Reverse L-Wall (toe only, at boundary)",N(S160)&gt;0),"NOTE: reverse L-wall should have no heel. ","")&amp;IF(AND(D160="L-Wall (heel only)",N(R160)&gt;0),"NOTE: L-wall should have no toe. ","")&amp;IF(AND(F160&lt;&gt;"",F160&lt;SG_Criteria!$B$31),"NOTE: q below LTA min "&amp;SG_Criteria!$B$31&amp;" kPa (not for LTA works). ",""))=0,"OK",IF(AND(V160&lt;&gt;"",IFERROR(VALUE(MID(V160,2,2)),0)&lt;SG_Criteria!$B$19),"FAIL: grade below C"&amp;SG_Criteria!$B$19&amp;". ","")&amp;IF(AND(W160&lt;&gt;"",W160&lt;SG_Criteria!$B$20),"FAIL: cover &lt; "&amp;SG_Criteria!$B$20&amp;" mm. ","")&amp;IF(AND(AD160&lt;&gt;"",AD160&lt;1),"FAIL: sliding. ","")&amp;IF(AND(D160="Reverse L-Wall (toe only, at boundary)",N(S160)&gt;0),"NOTE: reverse L-wall should have no heel. ","")&amp;IF(AND(D160="L-Wall (heel only)",N(R160)&gt;0),"NOTE: L-wall should have no toe. ","")&amp;IF(AND(F160&lt;&gt;"",F160&lt;SG_Criteria!$B$31),"NOTE: q below LTA min "&amp;SG_Criteria!$B$31&amp;" kPa (not for LTA works). ","")))</f>
        <v/>
      </c>
      <c r="BK160" s="9"/>
      <c r="BL160" s="9"/>
      <c r="BM160" s="9"/>
      <c r="BN160" s="10" t="str">
        <f aca="false">IF(BM160="","",IFERROR(VLOOKUP(BM160,Projects!$A$5:$D$504,2,0),"Ref not in Projects"))</f>
        <v/>
      </c>
      <c r="BO160" s="10" t="str">
        <f aca="false">IF(BM160="","",IFERROR(VLOOKUP(BM160,Projects!$A$5:$D$504,4,0),"Ref not in Projects"))</f>
        <v/>
      </c>
      <c r="BP160" s="9"/>
      <c r="BQ160" s="9"/>
      <c r="BR160" s="9"/>
      <c r="BS160" s="40"/>
      <c r="BT160" s="9"/>
      <c r="BU160" s="40"/>
      <c r="BV160" s="9"/>
      <c r="BW160" s="40"/>
      <c r="BX160" s="9"/>
      <c r="BY160" s="9"/>
      <c r="BZ160" s="9"/>
      <c r="CA160" s="40"/>
      <c r="CB160" s="40"/>
      <c r="CC160" s="36" t="str">
        <f aca="false">IF(CB160="","",EDATE(CB160,SG_Criteria!$B$54*12))</f>
        <v/>
      </c>
      <c r="CD160" s="33" t="str">
        <f aca="true">IF(A160="","",IF(CB160="","NOTE: not reviewed yet",IF(TODAY()&gt;CC160,"NOTE: review overdue","OK")))</f>
        <v/>
      </c>
      <c r="CE160" s="37" t="str">
        <f aca="false">IF(A160="","",ROUND((IF(LEN(D160)&gt;0,1,0)+IF(LEN(E160)&gt;0,1,0)+IF(LEN(F160)&gt;0,1,0)+IF(LEN(G160)&gt;0,1,0)+IF(LEN(I160)&gt;0,1,0)+IF(LEN(K160)&gt;0,1,0)+IF(LEN(P160)&gt;0,1,0)+IF(LEN(Q160)&gt;0,1,0)+IF(LEN(T160)&gt;0,1,0)+IF(LEN(V160)&gt;0,1,0)+IF(LEN(W160)&gt;0,1,0)+IF(LEN(X160)&gt;0,1,0)+IF(LEN(Z160)&gt;0,1,0)+IF(LEN(AD160)&gt;0,1,0)+IF(LEN(AE160)&gt;0,1,0)+IF(LEN(AG160)&gt;0,1,0)+IF(LEN(AI160)&gt;0,1,0)+IF(LEN(BB160)&gt;0,1,0)+IF(LEN(BC160)&gt;0,1,0)+IF(LEN(AM160)&gt;0,1,0)+IF(LEN(AO160)&gt;0,1,0)+IF(LEN(AP160)&gt;0,1,0)+IF(LEN(AQ160)&gt;0,1,0)+IF(LEN(AR160)&gt;0,1,0)+IF(LEN(BA160)&gt;0,1,0)+IF(LEN(BM160)&gt;0,1,0)+IF(LEN(BZ160)&gt;0,1,0))/27,2))</f>
        <v/>
      </c>
      <c r="CF160" s="10" t="str">
        <f aca="false">IF(D160="","",IF(AND(AP160="Approved",ISERROR(SEARCH("FAIL",BJ160))),"Y","N"))</f>
        <v/>
      </c>
      <c r="CG160" s="10" t="str">
        <f aca="false">IF(D160="","",D160&amp;"|"&amp;E160&amp;"|"&amp;F160&amp;"|"&amp;G160&amp;"|"&amp;CF160)</f>
        <v/>
      </c>
    </row>
    <row r="161" customFormat="false" ht="15" hidden="false" customHeight="false" outlineLevel="0" collapsed="false">
      <c r="A161" s="10" t="str">
        <f aca="false">IF(D161="","","RW-"&amp;IFERROR(VLOOKUP(D161,Lists!$M$4:$N$22,2,0),"??")&amp;"-H"&amp;TEXT(E161*1000,"0000")&amp;"-S"&amp;F161&amp;IF(G161="Y","-GW","")&amp;"-"&amp;AO161)</f>
        <v/>
      </c>
      <c r="B161" s="10" t="str">
        <f aca="false">IF(D161="","",D161&amp;", H = "&amp;TEXT(E161,"0.0")&amp;" m, q = "&amp;F161&amp;" kPa"&amp;IF(G161="Y",", with GWT","")&amp;", "&amp;I161)</f>
        <v/>
      </c>
      <c r="C161" s="9"/>
      <c r="D161" s="9"/>
      <c r="E161" s="39"/>
      <c r="F161" s="38"/>
      <c r="G161" s="9"/>
      <c r="H161" s="38"/>
      <c r="I161" s="9"/>
      <c r="J161" s="38"/>
      <c r="K161" s="38"/>
      <c r="L161" s="38"/>
      <c r="M161" s="42"/>
      <c r="N161" s="9"/>
      <c r="O161" s="38"/>
      <c r="P161" s="38"/>
      <c r="Q161" s="38"/>
      <c r="R161" s="38"/>
      <c r="S161" s="38"/>
      <c r="T161" s="38"/>
      <c r="U161" s="9"/>
      <c r="V161" s="9"/>
      <c r="W161" s="38"/>
      <c r="X161" s="9"/>
      <c r="Y161" s="9"/>
      <c r="Z161" s="9"/>
      <c r="AA161" s="9"/>
      <c r="AB161" s="9"/>
      <c r="AC161" s="9"/>
      <c r="AD161" s="39"/>
      <c r="AE161" s="39"/>
      <c r="AF161" s="39"/>
      <c r="AG161" s="38"/>
      <c r="AH161" s="38"/>
      <c r="AI161" s="9"/>
      <c r="AJ161" s="38"/>
      <c r="AK161" s="9"/>
      <c r="AL161" s="39"/>
      <c r="AM161" s="9"/>
      <c r="AN161" s="9"/>
      <c r="AO161" s="9"/>
      <c r="AP161" s="9"/>
      <c r="AQ161" s="9"/>
      <c r="AR161" s="9"/>
      <c r="AS161" s="9"/>
      <c r="AT161" s="10" t="str">
        <f aca="false">IF(A161="","",SG_Criteria!$B$6&amp;SG_Criteria!$B$8&amp;"\"&amp;A161&amp;"\")</f>
        <v/>
      </c>
      <c r="AU161" s="10" t="str">
        <f aca="false">IF(A161="","",A161&amp;"_CAD.dwg")</f>
        <v/>
      </c>
      <c r="AV161" s="10" t="str">
        <f aca="false">IF(A161="","",A161&amp;"_DWG.pdf")</f>
        <v/>
      </c>
      <c r="AW161" s="10" t="str">
        <f aca="false">IF(A161="","",IF(AS161="Y",A161&amp;"_STAAD.std","n/a"))</f>
        <v/>
      </c>
      <c r="AX161" s="10" t="str">
        <f aca="false">IF(A161="","",A161&amp;"_CALC.xlsx")</f>
        <v/>
      </c>
      <c r="AY161" s="10" t="str">
        <f aca="false">IF(A161="","",A161&amp;"_CALC.pdf")</f>
        <v/>
      </c>
      <c r="AZ161" s="9"/>
      <c r="BA161" s="9"/>
      <c r="BB161" s="39"/>
      <c r="BC161" s="39"/>
      <c r="BD161" s="39"/>
      <c r="BE161" s="39"/>
      <c r="BF161" s="39"/>
      <c r="BG161" s="12" t="str">
        <f aca="false">IF(A161="","",IF(COUNTIF(Rebar_Schedule!$A$5:$A$2004,A161)=0,"",ROUND(SUMIF(Rebar_Schedule!$A$5:$A$2004,A161,Rebar_Schedule!$K$5:$K$2004),1)))</f>
        <v/>
      </c>
      <c r="BH161" s="33" t="str">
        <f aca="false">IF(A161="","",IF(BG161="","No rebar schedule yet",IF(ABS(BG161-N(BC161))/MAX(N(BC161),1)&gt;SG_Criteria!$B$55,"NOTE: register rebar differs from schedule by "&amp;TEXT(ABS(BG161-N(BC161))/MAX(N(BC161),1),"0%"),"OK")))</f>
        <v/>
      </c>
      <c r="BI161" s="33" t="str">
        <f aca="false">IF(OR(D161="",E161=""),"",IF(E161&lt;=IF(OR(D161="Block / Segmental",D161="Gabion",D161="Reinforced Earth (MSE)"),SG_Criteria!$B$34,SG_Criteria!$B$33),"No ERSS submission",IF(E161&lt;=SG_Criteria!$B$35,"QP(ST)",IF(E161&lt;=SG_Criteria!$B$36,"QP(ST) + AC","Geotechnical building works: QP(Geo) + AC"))))</f>
        <v/>
      </c>
      <c r="BJ161" s="33" t="str">
        <f aca="false">IF(D161="","",IF(LEN(IF(AND(V161&lt;&gt;"",IFERROR(VALUE(MID(V161,2,2)),0)&lt;SG_Criteria!$B$19),"FAIL: grade below C"&amp;SG_Criteria!$B$19&amp;". ","")&amp;IF(AND(W161&lt;&gt;"",W161&lt;SG_Criteria!$B$20),"FAIL: cover &lt; "&amp;SG_Criteria!$B$20&amp;" mm. ","")&amp;IF(AND(AD161&lt;&gt;"",AD161&lt;1),"FAIL: sliding. ","")&amp;IF(AND(D161="Reverse L-Wall (toe only, at boundary)",N(S161)&gt;0),"NOTE: reverse L-wall should have no heel. ","")&amp;IF(AND(D161="L-Wall (heel only)",N(R161)&gt;0),"NOTE: L-wall should have no toe. ","")&amp;IF(AND(F161&lt;&gt;"",F161&lt;SG_Criteria!$B$31),"NOTE: q below LTA min "&amp;SG_Criteria!$B$31&amp;" kPa (not for LTA works). ",""))=0,"OK",IF(AND(V161&lt;&gt;"",IFERROR(VALUE(MID(V161,2,2)),0)&lt;SG_Criteria!$B$19),"FAIL: grade below C"&amp;SG_Criteria!$B$19&amp;". ","")&amp;IF(AND(W161&lt;&gt;"",W161&lt;SG_Criteria!$B$20),"FAIL: cover &lt; "&amp;SG_Criteria!$B$20&amp;" mm. ","")&amp;IF(AND(AD161&lt;&gt;"",AD161&lt;1),"FAIL: sliding. ","")&amp;IF(AND(D161="Reverse L-Wall (toe only, at boundary)",N(S161)&gt;0),"NOTE: reverse L-wall should have no heel. ","")&amp;IF(AND(D161="L-Wall (heel only)",N(R161)&gt;0),"NOTE: L-wall should have no toe. ","")&amp;IF(AND(F161&lt;&gt;"",F161&lt;SG_Criteria!$B$31),"NOTE: q below LTA min "&amp;SG_Criteria!$B$31&amp;" kPa (not for LTA works). ","")))</f>
        <v/>
      </c>
      <c r="BK161" s="9"/>
      <c r="BL161" s="9"/>
      <c r="BM161" s="9"/>
      <c r="BN161" s="10" t="str">
        <f aca="false">IF(BM161="","",IFERROR(VLOOKUP(BM161,Projects!$A$5:$D$504,2,0),"Ref not in Projects"))</f>
        <v/>
      </c>
      <c r="BO161" s="10" t="str">
        <f aca="false">IF(BM161="","",IFERROR(VLOOKUP(BM161,Projects!$A$5:$D$504,4,0),"Ref not in Projects"))</f>
        <v/>
      </c>
      <c r="BP161" s="9"/>
      <c r="BQ161" s="9"/>
      <c r="BR161" s="9"/>
      <c r="BS161" s="40"/>
      <c r="BT161" s="9"/>
      <c r="BU161" s="40"/>
      <c r="BV161" s="9"/>
      <c r="BW161" s="40"/>
      <c r="BX161" s="9"/>
      <c r="BY161" s="9"/>
      <c r="BZ161" s="9"/>
      <c r="CA161" s="40"/>
      <c r="CB161" s="40"/>
      <c r="CC161" s="36" t="str">
        <f aca="false">IF(CB161="","",EDATE(CB161,SG_Criteria!$B$54*12))</f>
        <v/>
      </c>
      <c r="CD161" s="33" t="str">
        <f aca="true">IF(A161="","",IF(CB161="","NOTE: not reviewed yet",IF(TODAY()&gt;CC161,"NOTE: review overdue","OK")))</f>
        <v/>
      </c>
      <c r="CE161" s="37" t="str">
        <f aca="false">IF(A161="","",ROUND((IF(LEN(D161)&gt;0,1,0)+IF(LEN(E161)&gt;0,1,0)+IF(LEN(F161)&gt;0,1,0)+IF(LEN(G161)&gt;0,1,0)+IF(LEN(I161)&gt;0,1,0)+IF(LEN(K161)&gt;0,1,0)+IF(LEN(P161)&gt;0,1,0)+IF(LEN(Q161)&gt;0,1,0)+IF(LEN(T161)&gt;0,1,0)+IF(LEN(V161)&gt;0,1,0)+IF(LEN(W161)&gt;0,1,0)+IF(LEN(X161)&gt;0,1,0)+IF(LEN(Z161)&gt;0,1,0)+IF(LEN(AD161)&gt;0,1,0)+IF(LEN(AE161)&gt;0,1,0)+IF(LEN(AG161)&gt;0,1,0)+IF(LEN(AI161)&gt;0,1,0)+IF(LEN(BB161)&gt;0,1,0)+IF(LEN(BC161)&gt;0,1,0)+IF(LEN(AM161)&gt;0,1,0)+IF(LEN(AO161)&gt;0,1,0)+IF(LEN(AP161)&gt;0,1,0)+IF(LEN(AQ161)&gt;0,1,0)+IF(LEN(AR161)&gt;0,1,0)+IF(LEN(BA161)&gt;0,1,0)+IF(LEN(BM161)&gt;0,1,0)+IF(LEN(BZ161)&gt;0,1,0))/27,2))</f>
        <v/>
      </c>
      <c r="CF161" s="10" t="str">
        <f aca="false">IF(D161="","",IF(AND(AP161="Approved",ISERROR(SEARCH("FAIL",BJ161))),"Y","N"))</f>
        <v/>
      </c>
      <c r="CG161" s="10" t="str">
        <f aca="false">IF(D161="","",D161&amp;"|"&amp;E161&amp;"|"&amp;F161&amp;"|"&amp;G161&amp;"|"&amp;CF161)</f>
        <v/>
      </c>
    </row>
    <row r="162" customFormat="false" ht="15" hidden="false" customHeight="false" outlineLevel="0" collapsed="false">
      <c r="A162" s="10" t="str">
        <f aca="false">IF(D162="","","RW-"&amp;IFERROR(VLOOKUP(D162,Lists!$M$4:$N$22,2,0),"??")&amp;"-H"&amp;TEXT(E162*1000,"0000")&amp;"-S"&amp;F162&amp;IF(G162="Y","-GW","")&amp;"-"&amp;AO162)</f>
        <v/>
      </c>
      <c r="B162" s="10" t="str">
        <f aca="false">IF(D162="","",D162&amp;", H = "&amp;TEXT(E162,"0.0")&amp;" m, q = "&amp;F162&amp;" kPa"&amp;IF(G162="Y",", with GWT","")&amp;", "&amp;I162)</f>
        <v/>
      </c>
      <c r="C162" s="9"/>
      <c r="D162" s="9"/>
      <c r="E162" s="39"/>
      <c r="F162" s="38"/>
      <c r="G162" s="9"/>
      <c r="H162" s="38"/>
      <c r="I162" s="9"/>
      <c r="J162" s="38"/>
      <c r="K162" s="38"/>
      <c r="L162" s="38"/>
      <c r="M162" s="42"/>
      <c r="N162" s="9"/>
      <c r="O162" s="38"/>
      <c r="P162" s="38"/>
      <c r="Q162" s="38"/>
      <c r="R162" s="38"/>
      <c r="S162" s="38"/>
      <c r="T162" s="38"/>
      <c r="U162" s="9"/>
      <c r="V162" s="9"/>
      <c r="W162" s="38"/>
      <c r="X162" s="9"/>
      <c r="Y162" s="9"/>
      <c r="Z162" s="9"/>
      <c r="AA162" s="9"/>
      <c r="AB162" s="9"/>
      <c r="AC162" s="9"/>
      <c r="AD162" s="39"/>
      <c r="AE162" s="39"/>
      <c r="AF162" s="39"/>
      <c r="AG162" s="38"/>
      <c r="AH162" s="38"/>
      <c r="AI162" s="9"/>
      <c r="AJ162" s="38"/>
      <c r="AK162" s="9"/>
      <c r="AL162" s="39"/>
      <c r="AM162" s="9"/>
      <c r="AN162" s="9"/>
      <c r="AO162" s="9"/>
      <c r="AP162" s="9"/>
      <c r="AQ162" s="9"/>
      <c r="AR162" s="9"/>
      <c r="AS162" s="9"/>
      <c r="AT162" s="10" t="str">
        <f aca="false">IF(A162="","",SG_Criteria!$B$6&amp;SG_Criteria!$B$8&amp;"\"&amp;A162&amp;"\")</f>
        <v/>
      </c>
      <c r="AU162" s="10" t="str">
        <f aca="false">IF(A162="","",A162&amp;"_CAD.dwg")</f>
        <v/>
      </c>
      <c r="AV162" s="10" t="str">
        <f aca="false">IF(A162="","",A162&amp;"_DWG.pdf")</f>
        <v/>
      </c>
      <c r="AW162" s="10" t="str">
        <f aca="false">IF(A162="","",IF(AS162="Y",A162&amp;"_STAAD.std","n/a"))</f>
        <v/>
      </c>
      <c r="AX162" s="10" t="str">
        <f aca="false">IF(A162="","",A162&amp;"_CALC.xlsx")</f>
        <v/>
      </c>
      <c r="AY162" s="10" t="str">
        <f aca="false">IF(A162="","",A162&amp;"_CALC.pdf")</f>
        <v/>
      </c>
      <c r="AZ162" s="9"/>
      <c r="BA162" s="9"/>
      <c r="BB162" s="39"/>
      <c r="BC162" s="39"/>
      <c r="BD162" s="39"/>
      <c r="BE162" s="39"/>
      <c r="BF162" s="39"/>
      <c r="BG162" s="12" t="str">
        <f aca="false">IF(A162="","",IF(COUNTIF(Rebar_Schedule!$A$5:$A$2004,A162)=0,"",ROUND(SUMIF(Rebar_Schedule!$A$5:$A$2004,A162,Rebar_Schedule!$K$5:$K$2004),1)))</f>
        <v/>
      </c>
      <c r="BH162" s="33" t="str">
        <f aca="false">IF(A162="","",IF(BG162="","No rebar schedule yet",IF(ABS(BG162-N(BC162))/MAX(N(BC162),1)&gt;SG_Criteria!$B$55,"NOTE: register rebar differs from schedule by "&amp;TEXT(ABS(BG162-N(BC162))/MAX(N(BC162),1),"0%"),"OK")))</f>
        <v/>
      </c>
      <c r="BI162" s="33" t="str">
        <f aca="false">IF(OR(D162="",E162=""),"",IF(E162&lt;=IF(OR(D162="Block / Segmental",D162="Gabion",D162="Reinforced Earth (MSE)"),SG_Criteria!$B$34,SG_Criteria!$B$33),"No ERSS submission",IF(E162&lt;=SG_Criteria!$B$35,"QP(ST)",IF(E162&lt;=SG_Criteria!$B$36,"QP(ST) + AC","Geotechnical building works: QP(Geo) + AC"))))</f>
        <v/>
      </c>
      <c r="BJ162" s="33" t="str">
        <f aca="false">IF(D162="","",IF(LEN(IF(AND(V162&lt;&gt;"",IFERROR(VALUE(MID(V162,2,2)),0)&lt;SG_Criteria!$B$19),"FAIL: grade below C"&amp;SG_Criteria!$B$19&amp;". ","")&amp;IF(AND(W162&lt;&gt;"",W162&lt;SG_Criteria!$B$20),"FAIL: cover &lt; "&amp;SG_Criteria!$B$20&amp;" mm. ","")&amp;IF(AND(AD162&lt;&gt;"",AD162&lt;1),"FAIL: sliding. ","")&amp;IF(AND(D162="Reverse L-Wall (toe only, at boundary)",N(S162)&gt;0),"NOTE: reverse L-wall should have no heel. ","")&amp;IF(AND(D162="L-Wall (heel only)",N(R162)&gt;0),"NOTE: L-wall should have no toe. ","")&amp;IF(AND(F162&lt;&gt;"",F162&lt;SG_Criteria!$B$31),"NOTE: q below LTA min "&amp;SG_Criteria!$B$31&amp;" kPa (not for LTA works). ",""))=0,"OK",IF(AND(V162&lt;&gt;"",IFERROR(VALUE(MID(V162,2,2)),0)&lt;SG_Criteria!$B$19),"FAIL: grade below C"&amp;SG_Criteria!$B$19&amp;". ","")&amp;IF(AND(W162&lt;&gt;"",W162&lt;SG_Criteria!$B$20),"FAIL: cover &lt; "&amp;SG_Criteria!$B$20&amp;" mm. ","")&amp;IF(AND(AD162&lt;&gt;"",AD162&lt;1),"FAIL: sliding. ","")&amp;IF(AND(D162="Reverse L-Wall (toe only, at boundary)",N(S162)&gt;0),"NOTE: reverse L-wall should have no heel. ","")&amp;IF(AND(D162="L-Wall (heel only)",N(R162)&gt;0),"NOTE: L-wall should have no toe. ","")&amp;IF(AND(F162&lt;&gt;"",F162&lt;SG_Criteria!$B$31),"NOTE: q below LTA min "&amp;SG_Criteria!$B$31&amp;" kPa (not for LTA works). ","")))</f>
        <v/>
      </c>
      <c r="BK162" s="9"/>
      <c r="BL162" s="9"/>
      <c r="BM162" s="9"/>
      <c r="BN162" s="10" t="str">
        <f aca="false">IF(BM162="","",IFERROR(VLOOKUP(BM162,Projects!$A$5:$D$504,2,0),"Ref not in Projects"))</f>
        <v/>
      </c>
      <c r="BO162" s="10" t="str">
        <f aca="false">IF(BM162="","",IFERROR(VLOOKUP(BM162,Projects!$A$5:$D$504,4,0),"Ref not in Projects"))</f>
        <v/>
      </c>
      <c r="BP162" s="9"/>
      <c r="BQ162" s="9"/>
      <c r="BR162" s="9"/>
      <c r="BS162" s="40"/>
      <c r="BT162" s="9"/>
      <c r="BU162" s="40"/>
      <c r="BV162" s="9"/>
      <c r="BW162" s="40"/>
      <c r="BX162" s="9"/>
      <c r="BY162" s="9"/>
      <c r="BZ162" s="9"/>
      <c r="CA162" s="40"/>
      <c r="CB162" s="40"/>
      <c r="CC162" s="36" t="str">
        <f aca="false">IF(CB162="","",EDATE(CB162,SG_Criteria!$B$54*12))</f>
        <v/>
      </c>
      <c r="CD162" s="33" t="str">
        <f aca="true">IF(A162="","",IF(CB162="","NOTE: not reviewed yet",IF(TODAY()&gt;CC162,"NOTE: review overdue","OK")))</f>
        <v/>
      </c>
      <c r="CE162" s="37" t="str">
        <f aca="false">IF(A162="","",ROUND((IF(LEN(D162)&gt;0,1,0)+IF(LEN(E162)&gt;0,1,0)+IF(LEN(F162)&gt;0,1,0)+IF(LEN(G162)&gt;0,1,0)+IF(LEN(I162)&gt;0,1,0)+IF(LEN(K162)&gt;0,1,0)+IF(LEN(P162)&gt;0,1,0)+IF(LEN(Q162)&gt;0,1,0)+IF(LEN(T162)&gt;0,1,0)+IF(LEN(V162)&gt;0,1,0)+IF(LEN(W162)&gt;0,1,0)+IF(LEN(X162)&gt;0,1,0)+IF(LEN(Z162)&gt;0,1,0)+IF(LEN(AD162)&gt;0,1,0)+IF(LEN(AE162)&gt;0,1,0)+IF(LEN(AG162)&gt;0,1,0)+IF(LEN(AI162)&gt;0,1,0)+IF(LEN(BB162)&gt;0,1,0)+IF(LEN(BC162)&gt;0,1,0)+IF(LEN(AM162)&gt;0,1,0)+IF(LEN(AO162)&gt;0,1,0)+IF(LEN(AP162)&gt;0,1,0)+IF(LEN(AQ162)&gt;0,1,0)+IF(LEN(AR162)&gt;0,1,0)+IF(LEN(BA162)&gt;0,1,0)+IF(LEN(BM162)&gt;0,1,0)+IF(LEN(BZ162)&gt;0,1,0))/27,2))</f>
        <v/>
      </c>
      <c r="CF162" s="10" t="str">
        <f aca="false">IF(D162="","",IF(AND(AP162="Approved",ISERROR(SEARCH("FAIL",BJ162))),"Y","N"))</f>
        <v/>
      </c>
      <c r="CG162" s="10" t="str">
        <f aca="false">IF(D162="","",D162&amp;"|"&amp;E162&amp;"|"&amp;F162&amp;"|"&amp;G162&amp;"|"&amp;CF162)</f>
        <v/>
      </c>
    </row>
    <row r="163" customFormat="false" ht="15" hidden="false" customHeight="false" outlineLevel="0" collapsed="false">
      <c r="A163" s="10" t="str">
        <f aca="false">IF(D163="","","RW-"&amp;IFERROR(VLOOKUP(D163,Lists!$M$4:$N$22,2,0),"??")&amp;"-H"&amp;TEXT(E163*1000,"0000")&amp;"-S"&amp;F163&amp;IF(G163="Y","-GW","")&amp;"-"&amp;AO163)</f>
        <v/>
      </c>
      <c r="B163" s="10" t="str">
        <f aca="false">IF(D163="","",D163&amp;", H = "&amp;TEXT(E163,"0.0")&amp;" m, q = "&amp;F163&amp;" kPa"&amp;IF(G163="Y",", with GWT","")&amp;", "&amp;I163)</f>
        <v/>
      </c>
      <c r="C163" s="9"/>
      <c r="D163" s="9"/>
      <c r="E163" s="39"/>
      <c r="F163" s="38"/>
      <c r="G163" s="9"/>
      <c r="H163" s="38"/>
      <c r="I163" s="9"/>
      <c r="J163" s="38"/>
      <c r="K163" s="38"/>
      <c r="L163" s="38"/>
      <c r="M163" s="42"/>
      <c r="N163" s="9"/>
      <c r="O163" s="38"/>
      <c r="P163" s="38"/>
      <c r="Q163" s="38"/>
      <c r="R163" s="38"/>
      <c r="S163" s="38"/>
      <c r="T163" s="38"/>
      <c r="U163" s="9"/>
      <c r="V163" s="9"/>
      <c r="W163" s="38"/>
      <c r="X163" s="9"/>
      <c r="Y163" s="9"/>
      <c r="Z163" s="9"/>
      <c r="AA163" s="9"/>
      <c r="AB163" s="9"/>
      <c r="AC163" s="9"/>
      <c r="AD163" s="39"/>
      <c r="AE163" s="39"/>
      <c r="AF163" s="39"/>
      <c r="AG163" s="38"/>
      <c r="AH163" s="38"/>
      <c r="AI163" s="9"/>
      <c r="AJ163" s="38"/>
      <c r="AK163" s="9"/>
      <c r="AL163" s="39"/>
      <c r="AM163" s="9"/>
      <c r="AN163" s="9"/>
      <c r="AO163" s="9"/>
      <c r="AP163" s="9"/>
      <c r="AQ163" s="9"/>
      <c r="AR163" s="9"/>
      <c r="AS163" s="9"/>
      <c r="AT163" s="10" t="str">
        <f aca="false">IF(A163="","",SG_Criteria!$B$6&amp;SG_Criteria!$B$8&amp;"\"&amp;A163&amp;"\")</f>
        <v/>
      </c>
      <c r="AU163" s="10" t="str">
        <f aca="false">IF(A163="","",A163&amp;"_CAD.dwg")</f>
        <v/>
      </c>
      <c r="AV163" s="10" t="str">
        <f aca="false">IF(A163="","",A163&amp;"_DWG.pdf")</f>
        <v/>
      </c>
      <c r="AW163" s="10" t="str">
        <f aca="false">IF(A163="","",IF(AS163="Y",A163&amp;"_STAAD.std","n/a"))</f>
        <v/>
      </c>
      <c r="AX163" s="10" t="str">
        <f aca="false">IF(A163="","",A163&amp;"_CALC.xlsx")</f>
        <v/>
      </c>
      <c r="AY163" s="10" t="str">
        <f aca="false">IF(A163="","",A163&amp;"_CALC.pdf")</f>
        <v/>
      </c>
      <c r="AZ163" s="9"/>
      <c r="BA163" s="9"/>
      <c r="BB163" s="39"/>
      <c r="BC163" s="39"/>
      <c r="BD163" s="39"/>
      <c r="BE163" s="39"/>
      <c r="BF163" s="39"/>
      <c r="BG163" s="12" t="str">
        <f aca="false">IF(A163="","",IF(COUNTIF(Rebar_Schedule!$A$5:$A$2004,A163)=0,"",ROUND(SUMIF(Rebar_Schedule!$A$5:$A$2004,A163,Rebar_Schedule!$K$5:$K$2004),1)))</f>
        <v/>
      </c>
      <c r="BH163" s="33" t="str">
        <f aca="false">IF(A163="","",IF(BG163="","No rebar schedule yet",IF(ABS(BG163-N(BC163))/MAX(N(BC163),1)&gt;SG_Criteria!$B$55,"NOTE: register rebar differs from schedule by "&amp;TEXT(ABS(BG163-N(BC163))/MAX(N(BC163),1),"0%"),"OK")))</f>
        <v/>
      </c>
      <c r="BI163" s="33" t="str">
        <f aca="false">IF(OR(D163="",E163=""),"",IF(E163&lt;=IF(OR(D163="Block / Segmental",D163="Gabion",D163="Reinforced Earth (MSE)"),SG_Criteria!$B$34,SG_Criteria!$B$33),"No ERSS submission",IF(E163&lt;=SG_Criteria!$B$35,"QP(ST)",IF(E163&lt;=SG_Criteria!$B$36,"QP(ST) + AC","Geotechnical building works: QP(Geo) + AC"))))</f>
        <v/>
      </c>
      <c r="BJ163" s="33" t="str">
        <f aca="false">IF(D163="","",IF(LEN(IF(AND(V163&lt;&gt;"",IFERROR(VALUE(MID(V163,2,2)),0)&lt;SG_Criteria!$B$19),"FAIL: grade below C"&amp;SG_Criteria!$B$19&amp;". ","")&amp;IF(AND(W163&lt;&gt;"",W163&lt;SG_Criteria!$B$20),"FAIL: cover &lt; "&amp;SG_Criteria!$B$20&amp;" mm. ","")&amp;IF(AND(AD163&lt;&gt;"",AD163&lt;1),"FAIL: sliding. ","")&amp;IF(AND(D163="Reverse L-Wall (toe only, at boundary)",N(S163)&gt;0),"NOTE: reverse L-wall should have no heel. ","")&amp;IF(AND(D163="L-Wall (heel only)",N(R163)&gt;0),"NOTE: L-wall should have no toe. ","")&amp;IF(AND(F163&lt;&gt;"",F163&lt;SG_Criteria!$B$31),"NOTE: q below LTA min "&amp;SG_Criteria!$B$31&amp;" kPa (not for LTA works). ",""))=0,"OK",IF(AND(V163&lt;&gt;"",IFERROR(VALUE(MID(V163,2,2)),0)&lt;SG_Criteria!$B$19),"FAIL: grade below C"&amp;SG_Criteria!$B$19&amp;". ","")&amp;IF(AND(W163&lt;&gt;"",W163&lt;SG_Criteria!$B$20),"FAIL: cover &lt; "&amp;SG_Criteria!$B$20&amp;" mm. ","")&amp;IF(AND(AD163&lt;&gt;"",AD163&lt;1),"FAIL: sliding. ","")&amp;IF(AND(D163="Reverse L-Wall (toe only, at boundary)",N(S163)&gt;0),"NOTE: reverse L-wall should have no heel. ","")&amp;IF(AND(D163="L-Wall (heel only)",N(R163)&gt;0),"NOTE: L-wall should have no toe. ","")&amp;IF(AND(F163&lt;&gt;"",F163&lt;SG_Criteria!$B$31),"NOTE: q below LTA min "&amp;SG_Criteria!$B$31&amp;" kPa (not for LTA works). ","")))</f>
        <v/>
      </c>
      <c r="BK163" s="9"/>
      <c r="BL163" s="9"/>
      <c r="BM163" s="9"/>
      <c r="BN163" s="10" t="str">
        <f aca="false">IF(BM163="","",IFERROR(VLOOKUP(BM163,Projects!$A$5:$D$504,2,0),"Ref not in Projects"))</f>
        <v/>
      </c>
      <c r="BO163" s="10" t="str">
        <f aca="false">IF(BM163="","",IFERROR(VLOOKUP(BM163,Projects!$A$5:$D$504,4,0),"Ref not in Projects"))</f>
        <v/>
      </c>
      <c r="BP163" s="9"/>
      <c r="BQ163" s="9"/>
      <c r="BR163" s="9"/>
      <c r="BS163" s="40"/>
      <c r="BT163" s="9"/>
      <c r="BU163" s="40"/>
      <c r="BV163" s="9"/>
      <c r="BW163" s="40"/>
      <c r="BX163" s="9"/>
      <c r="BY163" s="9"/>
      <c r="BZ163" s="9"/>
      <c r="CA163" s="40"/>
      <c r="CB163" s="40"/>
      <c r="CC163" s="36" t="str">
        <f aca="false">IF(CB163="","",EDATE(CB163,SG_Criteria!$B$54*12))</f>
        <v/>
      </c>
      <c r="CD163" s="33" t="str">
        <f aca="true">IF(A163="","",IF(CB163="","NOTE: not reviewed yet",IF(TODAY()&gt;CC163,"NOTE: review overdue","OK")))</f>
        <v/>
      </c>
      <c r="CE163" s="37" t="str">
        <f aca="false">IF(A163="","",ROUND((IF(LEN(D163)&gt;0,1,0)+IF(LEN(E163)&gt;0,1,0)+IF(LEN(F163)&gt;0,1,0)+IF(LEN(G163)&gt;0,1,0)+IF(LEN(I163)&gt;0,1,0)+IF(LEN(K163)&gt;0,1,0)+IF(LEN(P163)&gt;0,1,0)+IF(LEN(Q163)&gt;0,1,0)+IF(LEN(T163)&gt;0,1,0)+IF(LEN(V163)&gt;0,1,0)+IF(LEN(W163)&gt;0,1,0)+IF(LEN(X163)&gt;0,1,0)+IF(LEN(Z163)&gt;0,1,0)+IF(LEN(AD163)&gt;0,1,0)+IF(LEN(AE163)&gt;0,1,0)+IF(LEN(AG163)&gt;0,1,0)+IF(LEN(AI163)&gt;0,1,0)+IF(LEN(BB163)&gt;0,1,0)+IF(LEN(BC163)&gt;0,1,0)+IF(LEN(AM163)&gt;0,1,0)+IF(LEN(AO163)&gt;0,1,0)+IF(LEN(AP163)&gt;0,1,0)+IF(LEN(AQ163)&gt;0,1,0)+IF(LEN(AR163)&gt;0,1,0)+IF(LEN(BA163)&gt;0,1,0)+IF(LEN(BM163)&gt;0,1,0)+IF(LEN(BZ163)&gt;0,1,0))/27,2))</f>
        <v/>
      </c>
      <c r="CF163" s="10" t="str">
        <f aca="false">IF(D163="","",IF(AND(AP163="Approved",ISERROR(SEARCH("FAIL",BJ163))),"Y","N"))</f>
        <v/>
      </c>
      <c r="CG163" s="10" t="str">
        <f aca="false">IF(D163="","",D163&amp;"|"&amp;E163&amp;"|"&amp;F163&amp;"|"&amp;G163&amp;"|"&amp;CF163)</f>
        <v/>
      </c>
    </row>
    <row r="164" customFormat="false" ht="15" hidden="false" customHeight="false" outlineLevel="0" collapsed="false">
      <c r="A164" s="10" t="str">
        <f aca="false">IF(D164="","","RW-"&amp;IFERROR(VLOOKUP(D164,Lists!$M$4:$N$22,2,0),"??")&amp;"-H"&amp;TEXT(E164*1000,"0000")&amp;"-S"&amp;F164&amp;IF(G164="Y","-GW","")&amp;"-"&amp;AO164)</f>
        <v/>
      </c>
      <c r="B164" s="10" t="str">
        <f aca="false">IF(D164="","",D164&amp;", H = "&amp;TEXT(E164,"0.0")&amp;" m, q = "&amp;F164&amp;" kPa"&amp;IF(G164="Y",", with GWT","")&amp;", "&amp;I164)</f>
        <v/>
      </c>
      <c r="C164" s="9"/>
      <c r="D164" s="9"/>
      <c r="E164" s="39"/>
      <c r="F164" s="38"/>
      <c r="G164" s="9"/>
      <c r="H164" s="38"/>
      <c r="I164" s="9"/>
      <c r="J164" s="38"/>
      <c r="K164" s="38"/>
      <c r="L164" s="38"/>
      <c r="M164" s="42"/>
      <c r="N164" s="9"/>
      <c r="O164" s="38"/>
      <c r="P164" s="38"/>
      <c r="Q164" s="38"/>
      <c r="R164" s="38"/>
      <c r="S164" s="38"/>
      <c r="T164" s="38"/>
      <c r="U164" s="9"/>
      <c r="V164" s="9"/>
      <c r="W164" s="38"/>
      <c r="X164" s="9"/>
      <c r="Y164" s="9"/>
      <c r="Z164" s="9"/>
      <c r="AA164" s="9"/>
      <c r="AB164" s="9"/>
      <c r="AC164" s="9"/>
      <c r="AD164" s="39"/>
      <c r="AE164" s="39"/>
      <c r="AF164" s="39"/>
      <c r="AG164" s="38"/>
      <c r="AH164" s="38"/>
      <c r="AI164" s="9"/>
      <c r="AJ164" s="38"/>
      <c r="AK164" s="9"/>
      <c r="AL164" s="39"/>
      <c r="AM164" s="9"/>
      <c r="AN164" s="9"/>
      <c r="AO164" s="9"/>
      <c r="AP164" s="9"/>
      <c r="AQ164" s="9"/>
      <c r="AR164" s="9"/>
      <c r="AS164" s="9"/>
      <c r="AT164" s="10" t="str">
        <f aca="false">IF(A164="","",SG_Criteria!$B$6&amp;SG_Criteria!$B$8&amp;"\"&amp;A164&amp;"\")</f>
        <v/>
      </c>
      <c r="AU164" s="10" t="str">
        <f aca="false">IF(A164="","",A164&amp;"_CAD.dwg")</f>
        <v/>
      </c>
      <c r="AV164" s="10" t="str">
        <f aca="false">IF(A164="","",A164&amp;"_DWG.pdf")</f>
        <v/>
      </c>
      <c r="AW164" s="10" t="str">
        <f aca="false">IF(A164="","",IF(AS164="Y",A164&amp;"_STAAD.std","n/a"))</f>
        <v/>
      </c>
      <c r="AX164" s="10" t="str">
        <f aca="false">IF(A164="","",A164&amp;"_CALC.xlsx")</f>
        <v/>
      </c>
      <c r="AY164" s="10" t="str">
        <f aca="false">IF(A164="","",A164&amp;"_CALC.pdf")</f>
        <v/>
      </c>
      <c r="AZ164" s="9"/>
      <c r="BA164" s="9"/>
      <c r="BB164" s="39"/>
      <c r="BC164" s="39"/>
      <c r="BD164" s="39"/>
      <c r="BE164" s="39"/>
      <c r="BF164" s="39"/>
      <c r="BG164" s="12" t="str">
        <f aca="false">IF(A164="","",IF(COUNTIF(Rebar_Schedule!$A$5:$A$2004,A164)=0,"",ROUND(SUMIF(Rebar_Schedule!$A$5:$A$2004,A164,Rebar_Schedule!$K$5:$K$2004),1)))</f>
        <v/>
      </c>
      <c r="BH164" s="33" t="str">
        <f aca="false">IF(A164="","",IF(BG164="","No rebar schedule yet",IF(ABS(BG164-N(BC164))/MAX(N(BC164),1)&gt;SG_Criteria!$B$55,"NOTE: register rebar differs from schedule by "&amp;TEXT(ABS(BG164-N(BC164))/MAX(N(BC164),1),"0%"),"OK")))</f>
        <v/>
      </c>
      <c r="BI164" s="33" t="str">
        <f aca="false">IF(OR(D164="",E164=""),"",IF(E164&lt;=IF(OR(D164="Block / Segmental",D164="Gabion",D164="Reinforced Earth (MSE)"),SG_Criteria!$B$34,SG_Criteria!$B$33),"No ERSS submission",IF(E164&lt;=SG_Criteria!$B$35,"QP(ST)",IF(E164&lt;=SG_Criteria!$B$36,"QP(ST) + AC","Geotechnical building works: QP(Geo) + AC"))))</f>
        <v/>
      </c>
      <c r="BJ164" s="33" t="str">
        <f aca="false">IF(D164="","",IF(LEN(IF(AND(V164&lt;&gt;"",IFERROR(VALUE(MID(V164,2,2)),0)&lt;SG_Criteria!$B$19),"FAIL: grade below C"&amp;SG_Criteria!$B$19&amp;". ","")&amp;IF(AND(W164&lt;&gt;"",W164&lt;SG_Criteria!$B$20),"FAIL: cover &lt; "&amp;SG_Criteria!$B$20&amp;" mm. ","")&amp;IF(AND(AD164&lt;&gt;"",AD164&lt;1),"FAIL: sliding. ","")&amp;IF(AND(D164="Reverse L-Wall (toe only, at boundary)",N(S164)&gt;0),"NOTE: reverse L-wall should have no heel. ","")&amp;IF(AND(D164="L-Wall (heel only)",N(R164)&gt;0),"NOTE: L-wall should have no toe. ","")&amp;IF(AND(F164&lt;&gt;"",F164&lt;SG_Criteria!$B$31),"NOTE: q below LTA min "&amp;SG_Criteria!$B$31&amp;" kPa (not for LTA works). ",""))=0,"OK",IF(AND(V164&lt;&gt;"",IFERROR(VALUE(MID(V164,2,2)),0)&lt;SG_Criteria!$B$19),"FAIL: grade below C"&amp;SG_Criteria!$B$19&amp;". ","")&amp;IF(AND(W164&lt;&gt;"",W164&lt;SG_Criteria!$B$20),"FAIL: cover &lt; "&amp;SG_Criteria!$B$20&amp;" mm. ","")&amp;IF(AND(AD164&lt;&gt;"",AD164&lt;1),"FAIL: sliding. ","")&amp;IF(AND(D164="Reverse L-Wall (toe only, at boundary)",N(S164)&gt;0),"NOTE: reverse L-wall should have no heel. ","")&amp;IF(AND(D164="L-Wall (heel only)",N(R164)&gt;0),"NOTE: L-wall should have no toe. ","")&amp;IF(AND(F164&lt;&gt;"",F164&lt;SG_Criteria!$B$31),"NOTE: q below LTA min "&amp;SG_Criteria!$B$31&amp;" kPa (not for LTA works). ","")))</f>
        <v/>
      </c>
      <c r="BK164" s="9"/>
      <c r="BL164" s="9"/>
      <c r="BM164" s="9"/>
      <c r="BN164" s="10" t="str">
        <f aca="false">IF(BM164="","",IFERROR(VLOOKUP(BM164,Projects!$A$5:$D$504,2,0),"Ref not in Projects"))</f>
        <v/>
      </c>
      <c r="BO164" s="10" t="str">
        <f aca="false">IF(BM164="","",IFERROR(VLOOKUP(BM164,Projects!$A$5:$D$504,4,0),"Ref not in Projects"))</f>
        <v/>
      </c>
      <c r="BP164" s="9"/>
      <c r="BQ164" s="9"/>
      <c r="BR164" s="9"/>
      <c r="BS164" s="40"/>
      <c r="BT164" s="9"/>
      <c r="BU164" s="40"/>
      <c r="BV164" s="9"/>
      <c r="BW164" s="40"/>
      <c r="BX164" s="9"/>
      <c r="BY164" s="9"/>
      <c r="BZ164" s="9"/>
      <c r="CA164" s="40"/>
      <c r="CB164" s="40"/>
      <c r="CC164" s="36" t="str">
        <f aca="false">IF(CB164="","",EDATE(CB164,SG_Criteria!$B$54*12))</f>
        <v/>
      </c>
      <c r="CD164" s="33" t="str">
        <f aca="true">IF(A164="","",IF(CB164="","NOTE: not reviewed yet",IF(TODAY()&gt;CC164,"NOTE: review overdue","OK")))</f>
        <v/>
      </c>
      <c r="CE164" s="37" t="str">
        <f aca="false">IF(A164="","",ROUND((IF(LEN(D164)&gt;0,1,0)+IF(LEN(E164)&gt;0,1,0)+IF(LEN(F164)&gt;0,1,0)+IF(LEN(G164)&gt;0,1,0)+IF(LEN(I164)&gt;0,1,0)+IF(LEN(K164)&gt;0,1,0)+IF(LEN(P164)&gt;0,1,0)+IF(LEN(Q164)&gt;0,1,0)+IF(LEN(T164)&gt;0,1,0)+IF(LEN(V164)&gt;0,1,0)+IF(LEN(W164)&gt;0,1,0)+IF(LEN(X164)&gt;0,1,0)+IF(LEN(Z164)&gt;0,1,0)+IF(LEN(AD164)&gt;0,1,0)+IF(LEN(AE164)&gt;0,1,0)+IF(LEN(AG164)&gt;0,1,0)+IF(LEN(AI164)&gt;0,1,0)+IF(LEN(BB164)&gt;0,1,0)+IF(LEN(BC164)&gt;0,1,0)+IF(LEN(AM164)&gt;0,1,0)+IF(LEN(AO164)&gt;0,1,0)+IF(LEN(AP164)&gt;0,1,0)+IF(LEN(AQ164)&gt;0,1,0)+IF(LEN(AR164)&gt;0,1,0)+IF(LEN(BA164)&gt;0,1,0)+IF(LEN(BM164)&gt;0,1,0)+IF(LEN(BZ164)&gt;0,1,0))/27,2))</f>
        <v/>
      </c>
      <c r="CF164" s="10" t="str">
        <f aca="false">IF(D164="","",IF(AND(AP164="Approved",ISERROR(SEARCH("FAIL",BJ164))),"Y","N"))</f>
        <v/>
      </c>
      <c r="CG164" s="10" t="str">
        <f aca="false">IF(D164="","",D164&amp;"|"&amp;E164&amp;"|"&amp;F164&amp;"|"&amp;G164&amp;"|"&amp;CF164)</f>
        <v/>
      </c>
    </row>
    <row r="165" customFormat="false" ht="15" hidden="false" customHeight="false" outlineLevel="0" collapsed="false">
      <c r="A165" s="10" t="str">
        <f aca="false">IF(D165="","","RW-"&amp;IFERROR(VLOOKUP(D165,Lists!$M$4:$N$22,2,0),"??")&amp;"-H"&amp;TEXT(E165*1000,"0000")&amp;"-S"&amp;F165&amp;IF(G165="Y","-GW","")&amp;"-"&amp;AO165)</f>
        <v/>
      </c>
      <c r="B165" s="10" t="str">
        <f aca="false">IF(D165="","",D165&amp;", H = "&amp;TEXT(E165,"0.0")&amp;" m, q = "&amp;F165&amp;" kPa"&amp;IF(G165="Y",", with GWT","")&amp;", "&amp;I165)</f>
        <v/>
      </c>
      <c r="C165" s="9"/>
      <c r="D165" s="9"/>
      <c r="E165" s="39"/>
      <c r="F165" s="38"/>
      <c r="G165" s="9"/>
      <c r="H165" s="38"/>
      <c r="I165" s="9"/>
      <c r="J165" s="38"/>
      <c r="K165" s="38"/>
      <c r="L165" s="38"/>
      <c r="M165" s="42"/>
      <c r="N165" s="9"/>
      <c r="O165" s="38"/>
      <c r="P165" s="38"/>
      <c r="Q165" s="38"/>
      <c r="R165" s="38"/>
      <c r="S165" s="38"/>
      <c r="T165" s="38"/>
      <c r="U165" s="9"/>
      <c r="V165" s="9"/>
      <c r="W165" s="38"/>
      <c r="X165" s="9"/>
      <c r="Y165" s="9"/>
      <c r="Z165" s="9"/>
      <c r="AA165" s="9"/>
      <c r="AB165" s="9"/>
      <c r="AC165" s="9"/>
      <c r="AD165" s="39"/>
      <c r="AE165" s="39"/>
      <c r="AF165" s="39"/>
      <c r="AG165" s="38"/>
      <c r="AH165" s="38"/>
      <c r="AI165" s="9"/>
      <c r="AJ165" s="38"/>
      <c r="AK165" s="9"/>
      <c r="AL165" s="39"/>
      <c r="AM165" s="9"/>
      <c r="AN165" s="9"/>
      <c r="AO165" s="9"/>
      <c r="AP165" s="9"/>
      <c r="AQ165" s="9"/>
      <c r="AR165" s="9"/>
      <c r="AS165" s="9"/>
      <c r="AT165" s="10" t="str">
        <f aca="false">IF(A165="","",SG_Criteria!$B$6&amp;SG_Criteria!$B$8&amp;"\"&amp;A165&amp;"\")</f>
        <v/>
      </c>
      <c r="AU165" s="10" t="str">
        <f aca="false">IF(A165="","",A165&amp;"_CAD.dwg")</f>
        <v/>
      </c>
      <c r="AV165" s="10" t="str">
        <f aca="false">IF(A165="","",A165&amp;"_DWG.pdf")</f>
        <v/>
      </c>
      <c r="AW165" s="10" t="str">
        <f aca="false">IF(A165="","",IF(AS165="Y",A165&amp;"_STAAD.std","n/a"))</f>
        <v/>
      </c>
      <c r="AX165" s="10" t="str">
        <f aca="false">IF(A165="","",A165&amp;"_CALC.xlsx")</f>
        <v/>
      </c>
      <c r="AY165" s="10" t="str">
        <f aca="false">IF(A165="","",A165&amp;"_CALC.pdf")</f>
        <v/>
      </c>
      <c r="AZ165" s="9"/>
      <c r="BA165" s="9"/>
      <c r="BB165" s="39"/>
      <c r="BC165" s="39"/>
      <c r="BD165" s="39"/>
      <c r="BE165" s="39"/>
      <c r="BF165" s="39"/>
      <c r="BG165" s="12" t="str">
        <f aca="false">IF(A165="","",IF(COUNTIF(Rebar_Schedule!$A$5:$A$2004,A165)=0,"",ROUND(SUMIF(Rebar_Schedule!$A$5:$A$2004,A165,Rebar_Schedule!$K$5:$K$2004),1)))</f>
        <v/>
      </c>
      <c r="BH165" s="33" t="str">
        <f aca="false">IF(A165="","",IF(BG165="","No rebar schedule yet",IF(ABS(BG165-N(BC165))/MAX(N(BC165),1)&gt;SG_Criteria!$B$55,"NOTE: register rebar differs from schedule by "&amp;TEXT(ABS(BG165-N(BC165))/MAX(N(BC165),1),"0%"),"OK")))</f>
        <v/>
      </c>
      <c r="BI165" s="33" t="str">
        <f aca="false">IF(OR(D165="",E165=""),"",IF(E165&lt;=IF(OR(D165="Block / Segmental",D165="Gabion",D165="Reinforced Earth (MSE)"),SG_Criteria!$B$34,SG_Criteria!$B$33),"No ERSS submission",IF(E165&lt;=SG_Criteria!$B$35,"QP(ST)",IF(E165&lt;=SG_Criteria!$B$36,"QP(ST) + AC","Geotechnical building works: QP(Geo) + AC"))))</f>
        <v/>
      </c>
      <c r="BJ165" s="33" t="str">
        <f aca="false">IF(D165="","",IF(LEN(IF(AND(V165&lt;&gt;"",IFERROR(VALUE(MID(V165,2,2)),0)&lt;SG_Criteria!$B$19),"FAIL: grade below C"&amp;SG_Criteria!$B$19&amp;". ","")&amp;IF(AND(W165&lt;&gt;"",W165&lt;SG_Criteria!$B$20),"FAIL: cover &lt; "&amp;SG_Criteria!$B$20&amp;" mm. ","")&amp;IF(AND(AD165&lt;&gt;"",AD165&lt;1),"FAIL: sliding. ","")&amp;IF(AND(D165="Reverse L-Wall (toe only, at boundary)",N(S165)&gt;0),"NOTE: reverse L-wall should have no heel. ","")&amp;IF(AND(D165="L-Wall (heel only)",N(R165)&gt;0),"NOTE: L-wall should have no toe. ","")&amp;IF(AND(F165&lt;&gt;"",F165&lt;SG_Criteria!$B$31),"NOTE: q below LTA min "&amp;SG_Criteria!$B$31&amp;" kPa (not for LTA works). ",""))=0,"OK",IF(AND(V165&lt;&gt;"",IFERROR(VALUE(MID(V165,2,2)),0)&lt;SG_Criteria!$B$19),"FAIL: grade below C"&amp;SG_Criteria!$B$19&amp;". ","")&amp;IF(AND(W165&lt;&gt;"",W165&lt;SG_Criteria!$B$20),"FAIL: cover &lt; "&amp;SG_Criteria!$B$20&amp;" mm. ","")&amp;IF(AND(AD165&lt;&gt;"",AD165&lt;1),"FAIL: sliding. ","")&amp;IF(AND(D165="Reverse L-Wall (toe only, at boundary)",N(S165)&gt;0),"NOTE: reverse L-wall should have no heel. ","")&amp;IF(AND(D165="L-Wall (heel only)",N(R165)&gt;0),"NOTE: L-wall should have no toe. ","")&amp;IF(AND(F165&lt;&gt;"",F165&lt;SG_Criteria!$B$31),"NOTE: q below LTA min "&amp;SG_Criteria!$B$31&amp;" kPa (not for LTA works). ","")))</f>
        <v/>
      </c>
      <c r="BK165" s="9"/>
      <c r="BL165" s="9"/>
      <c r="BM165" s="9"/>
      <c r="BN165" s="10" t="str">
        <f aca="false">IF(BM165="","",IFERROR(VLOOKUP(BM165,Projects!$A$5:$D$504,2,0),"Ref not in Projects"))</f>
        <v/>
      </c>
      <c r="BO165" s="10" t="str">
        <f aca="false">IF(BM165="","",IFERROR(VLOOKUP(BM165,Projects!$A$5:$D$504,4,0),"Ref not in Projects"))</f>
        <v/>
      </c>
      <c r="BP165" s="9"/>
      <c r="BQ165" s="9"/>
      <c r="BR165" s="9"/>
      <c r="BS165" s="40"/>
      <c r="BT165" s="9"/>
      <c r="BU165" s="40"/>
      <c r="BV165" s="9"/>
      <c r="BW165" s="40"/>
      <c r="BX165" s="9"/>
      <c r="BY165" s="9"/>
      <c r="BZ165" s="9"/>
      <c r="CA165" s="40"/>
      <c r="CB165" s="40"/>
      <c r="CC165" s="36" t="str">
        <f aca="false">IF(CB165="","",EDATE(CB165,SG_Criteria!$B$54*12))</f>
        <v/>
      </c>
      <c r="CD165" s="33" t="str">
        <f aca="true">IF(A165="","",IF(CB165="","NOTE: not reviewed yet",IF(TODAY()&gt;CC165,"NOTE: review overdue","OK")))</f>
        <v/>
      </c>
      <c r="CE165" s="37" t="str">
        <f aca="false">IF(A165="","",ROUND((IF(LEN(D165)&gt;0,1,0)+IF(LEN(E165)&gt;0,1,0)+IF(LEN(F165)&gt;0,1,0)+IF(LEN(G165)&gt;0,1,0)+IF(LEN(I165)&gt;0,1,0)+IF(LEN(K165)&gt;0,1,0)+IF(LEN(P165)&gt;0,1,0)+IF(LEN(Q165)&gt;0,1,0)+IF(LEN(T165)&gt;0,1,0)+IF(LEN(V165)&gt;0,1,0)+IF(LEN(W165)&gt;0,1,0)+IF(LEN(X165)&gt;0,1,0)+IF(LEN(Z165)&gt;0,1,0)+IF(LEN(AD165)&gt;0,1,0)+IF(LEN(AE165)&gt;0,1,0)+IF(LEN(AG165)&gt;0,1,0)+IF(LEN(AI165)&gt;0,1,0)+IF(LEN(BB165)&gt;0,1,0)+IF(LEN(BC165)&gt;0,1,0)+IF(LEN(AM165)&gt;0,1,0)+IF(LEN(AO165)&gt;0,1,0)+IF(LEN(AP165)&gt;0,1,0)+IF(LEN(AQ165)&gt;0,1,0)+IF(LEN(AR165)&gt;0,1,0)+IF(LEN(BA165)&gt;0,1,0)+IF(LEN(BM165)&gt;0,1,0)+IF(LEN(BZ165)&gt;0,1,0))/27,2))</f>
        <v/>
      </c>
      <c r="CF165" s="10" t="str">
        <f aca="false">IF(D165="","",IF(AND(AP165="Approved",ISERROR(SEARCH("FAIL",BJ165))),"Y","N"))</f>
        <v/>
      </c>
      <c r="CG165" s="10" t="str">
        <f aca="false">IF(D165="","",D165&amp;"|"&amp;E165&amp;"|"&amp;F165&amp;"|"&amp;G165&amp;"|"&amp;CF165)</f>
        <v/>
      </c>
    </row>
    <row r="166" customFormat="false" ht="15" hidden="false" customHeight="false" outlineLevel="0" collapsed="false">
      <c r="A166" s="10" t="str">
        <f aca="false">IF(D166="","","RW-"&amp;IFERROR(VLOOKUP(D166,Lists!$M$4:$N$22,2,0),"??")&amp;"-H"&amp;TEXT(E166*1000,"0000")&amp;"-S"&amp;F166&amp;IF(G166="Y","-GW","")&amp;"-"&amp;AO166)</f>
        <v/>
      </c>
      <c r="B166" s="10" t="str">
        <f aca="false">IF(D166="","",D166&amp;", H = "&amp;TEXT(E166,"0.0")&amp;" m, q = "&amp;F166&amp;" kPa"&amp;IF(G166="Y",", with GWT","")&amp;", "&amp;I166)</f>
        <v/>
      </c>
      <c r="C166" s="9"/>
      <c r="D166" s="9"/>
      <c r="E166" s="39"/>
      <c r="F166" s="38"/>
      <c r="G166" s="9"/>
      <c r="H166" s="38"/>
      <c r="I166" s="9"/>
      <c r="J166" s="38"/>
      <c r="K166" s="38"/>
      <c r="L166" s="38"/>
      <c r="M166" s="42"/>
      <c r="N166" s="9"/>
      <c r="O166" s="38"/>
      <c r="P166" s="38"/>
      <c r="Q166" s="38"/>
      <c r="R166" s="38"/>
      <c r="S166" s="38"/>
      <c r="T166" s="38"/>
      <c r="U166" s="9"/>
      <c r="V166" s="9"/>
      <c r="W166" s="38"/>
      <c r="X166" s="9"/>
      <c r="Y166" s="9"/>
      <c r="Z166" s="9"/>
      <c r="AA166" s="9"/>
      <c r="AB166" s="9"/>
      <c r="AC166" s="9"/>
      <c r="AD166" s="39"/>
      <c r="AE166" s="39"/>
      <c r="AF166" s="39"/>
      <c r="AG166" s="38"/>
      <c r="AH166" s="38"/>
      <c r="AI166" s="9"/>
      <c r="AJ166" s="38"/>
      <c r="AK166" s="9"/>
      <c r="AL166" s="39"/>
      <c r="AM166" s="9"/>
      <c r="AN166" s="9"/>
      <c r="AO166" s="9"/>
      <c r="AP166" s="9"/>
      <c r="AQ166" s="9"/>
      <c r="AR166" s="9"/>
      <c r="AS166" s="9"/>
      <c r="AT166" s="10" t="str">
        <f aca="false">IF(A166="","",SG_Criteria!$B$6&amp;SG_Criteria!$B$8&amp;"\"&amp;A166&amp;"\")</f>
        <v/>
      </c>
      <c r="AU166" s="10" t="str">
        <f aca="false">IF(A166="","",A166&amp;"_CAD.dwg")</f>
        <v/>
      </c>
      <c r="AV166" s="10" t="str">
        <f aca="false">IF(A166="","",A166&amp;"_DWG.pdf")</f>
        <v/>
      </c>
      <c r="AW166" s="10" t="str">
        <f aca="false">IF(A166="","",IF(AS166="Y",A166&amp;"_STAAD.std","n/a"))</f>
        <v/>
      </c>
      <c r="AX166" s="10" t="str">
        <f aca="false">IF(A166="","",A166&amp;"_CALC.xlsx")</f>
        <v/>
      </c>
      <c r="AY166" s="10" t="str">
        <f aca="false">IF(A166="","",A166&amp;"_CALC.pdf")</f>
        <v/>
      </c>
      <c r="AZ166" s="9"/>
      <c r="BA166" s="9"/>
      <c r="BB166" s="39"/>
      <c r="BC166" s="39"/>
      <c r="BD166" s="39"/>
      <c r="BE166" s="39"/>
      <c r="BF166" s="39"/>
      <c r="BG166" s="12" t="str">
        <f aca="false">IF(A166="","",IF(COUNTIF(Rebar_Schedule!$A$5:$A$2004,A166)=0,"",ROUND(SUMIF(Rebar_Schedule!$A$5:$A$2004,A166,Rebar_Schedule!$K$5:$K$2004),1)))</f>
        <v/>
      </c>
      <c r="BH166" s="33" t="str">
        <f aca="false">IF(A166="","",IF(BG166="","No rebar schedule yet",IF(ABS(BG166-N(BC166))/MAX(N(BC166),1)&gt;SG_Criteria!$B$55,"NOTE: register rebar differs from schedule by "&amp;TEXT(ABS(BG166-N(BC166))/MAX(N(BC166),1),"0%"),"OK")))</f>
        <v/>
      </c>
      <c r="BI166" s="33" t="str">
        <f aca="false">IF(OR(D166="",E166=""),"",IF(E166&lt;=IF(OR(D166="Block / Segmental",D166="Gabion",D166="Reinforced Earth (MSE)"),SG_Criteria!$B$34,SG_Criteria!$B$33),"No ERSS submission",IF(E166&lt;=SG_Criteria!$B$35,"QP(ST)",IF(E166&lt;=SG_Criteria!$B$36,"QP(ST) + AC","Geotechnical building works: QP(Geo) + AC"))))</f>
        <v/>
      </c>
      <c r="BJ166" s="33" t="str">
        <f aca="false">IF(D166="","",IF(LEN(IF(AND(V166&lt;&gt;"",IFERROR(VALUE(MID(V166,2,2)),0)&lt;SG_Criteria!$B$19),"FAIL: grade below C"&amp;SG_Criteria!$B$19&amp;". ","")&amp;IF(AND(W166&lt;&gt;"",W166&lt;SG_Criteria!$B$20),"FAIL: cover &lt; "&amp;SG_Criteria!$B$20&amp;" mm. ","")&amp;IF(AND(AD166&lt;&gt;"",AD166&lt;1),"FAIL: sliding. ","")&amp;IF(AND(D166="Reverse L-Wall (toe only, at boundary)",N(S166)&gt;0),"NOTE: reverse L-wall should have no heel. ","")&amp;IF(AND(D166="L-Wall (heel only)",N(R166)&gt;0),"NOTE: L-wall should have no toe. ","")&amp;IF(AND(F166&lt;&gt;"",F166&lt;SG_Criteria!$B$31),"NOTE: q below LTA min "&amp;SG_Criteria!$B$31&amp;" kPa (not for LTA works). ",""))=0,"OK",IF(AND(V166&lt;&gt;"",IFERROR(VALUE(MID(V166,2,2)),0)&lt;SG_Criteria!$B$19),"FAIL: grade below C"&amp;SG_Criteria!$B$19&amp;". ","")&amp;IF(AND(W166&lt;&gt;"",W166&lt;SG_Criteria!$B$20),"FAIL: cover &lt; "&amp;SG_Criteria!$B$20&amp;" mm. ","")&amp;IF(AND(AD166&lt;&gt;"",AD166&lt;1),"FAIL: sliding. ","")&amp;IF(AND(D166="Reverse L-Wall (toe only, at boundary)",N(S166)&gt;0),"NOTE: reverse L-wall should have no heel. ","")&amp;IF(AND(D166="L-Wall (heel only)",N(R166)&gt;0),"NOTE: L-wall should have no toe. ","")&amp;IF(AND(F166&lt;&gt;"",F166&lt;SG_Criteria!$B$31),"NOTE: q below LTA min "&amp;SG_Criteria!$B$31&amp;" kPa (not for LTA works). ","")))</f>
        <v/>
      </c>
      <c r="BK166" s="9"/>
      <c r="BL166" s="9"/>
      <c r="BM166" s="9"/>
      <c r="BN166" s="10" t="str">
        <f aca="false">IF(BM166="","",IFERROR(VLOOKUP(BM166,Projects!$A$5:$D$504,2,0),"Ref not in Projects"))</f>
        <v/>
      </c>
      <c r="BO166" s="10" t="str">
        <f aca="false">IF(BM166="","",IFERROR(VLOOKUP(BM166,Projects!$A$5:$D$504,4,0),"Ref not in Projects"))</f>
        <v/>
      </c>
      <c r="BP166" s="9"/>
      <c r="BQ166" s="9"/>
      <c r="BR166" s="9"/>
      <c r="BS166" s="40"/>
      <c r="BT166" s="9"/>
      <c r="BU166" s="40"/>
      <c r="BV166" s="9"/>
      <c r="BW166" s="40"/>
      <c r="BX166" s="9"/>
      <c r="BY166" s="9"/>
      <c r="BZ166" s="9"/>
      <c r="CA166" s="40"/>
      <c r="CB166" s="40"/>
      <c r="CC166" s="36" t="str">
        <f aca="false">IF(CB166="","",EDATE(CB166,SG_Criteria!$B$54*12))</f>
        <v/>
      </c>
      <c r="CD166" s="33" t="str">
        <f aca="true">IF(A166="","",IF(CB166="","NOTE: not reviewed yet",IF(TODAY()&gt;CC166,"NOTE: review overdue","OK")))</f>
        <v/>
      </c>
      <c r="CE166" s="37" t="str">
        <f aca="false">IF(A166="","",ROUND((IF(LEN(D166)&gt;0,1,0)+IF(LEN(E166)&gt;0,1,0)+IF(LEN(F166)&gt;0,1,0)+IF(LEN(G166)&gt;0,1,0)+IF(LEN(I166)&gt;0,1,0)+IF(LEN(K166)&gt;0,1,0)+IF(LEN(P166)&gt;0,1,0)+IF(LEN(Q166)&gt;0,1,0)+IF(LEN(T166)&gt;0,1,0)+IF(LEN(V166)&gt;0,1,0)+IF(LEN(W166)&gt;0,1,0)+IF(LEN(X166)&gt;0,1,0)+IF(LEN(Z166)&gt;0,1,0)+IF(LEN(AD166)&gt;0,1,0)+IF(LEN(AE166)&gt;0,1,0)+IF(LEN(AG166)&gt;0,1,0)+IF(LEN(AI166)&gt;0,1,0)+IF(LEN(BB166)&gt;0,1,0)+IF(LEN(BC166)&gt;0,1,0)+IF(LEN(AM166)&gt;0,1,0)+IF(LEN(AO166)&gt;0,1,0)+IF(LEN(AP166)&gt;0,1,0)+IF(LEN(AQ166)&gt;0,1,0)+IF(LEN(AR166)&gt;0,1,0)+IF(LEN(BA166)&gt;0,1,0)+IF(LEN(BM166)&gt;0,1,0)+IF(LEN(BZ166)&gt;0,1,0))/27,2))</f>
        <v/>
      </c>
      <c r="CF166" s="10" t="str">
        <f aca="false">IF(D166="","",IF(AND(AP166="Approved",ISERROR(SEARCH("FAIL",BJ166))),"Y","N"))</f>
        <v/>
      </c>
      <c r="CG166" s="10" t="str">
        <f aca="false">IF(D166="","",D166&amp;"|"&amp;E166&amp;"|"&amp;F166&amp;"|"&amp;G166&amp;"|"&amp;CF166)</f>
        <v/>
      </c>
    </row>
    <row r="167" customFormat="false" ht="15" hidden="false" customHeight="false" outlineLevel="0" collapsed="false">
      <c r="A167" s="10" t="str">
        <f aca="false">IF(D167="","","RW-"&amp;IFERROR(VLOOKUP(D167,Lists!$M$4:$N$22,2,0),"??")&amp;"-H"&amp;TEXT(E167*1000,"0000")&amp;"-S"&amp;F167&amp;IF(G167="Y","-GW","")&amp;"-"&amp;AO167)</f>
        <v/>
      </c>
      <c r="B167" s="10" t="str">
        <f aca="false">IF(D167="","",D167&amp;", H = "&amp;TEXT(E167,"0.0")&amp;" m, q = "&amp;F167&amp;" kPa"&amp;IF(G167="Y",", with GWT","")&amp;", "&amp;I167)</f>
        <v/>
      </c>
      <c r="C167" s="9"/>
      <c r="D167" s="9"/>
      <c r="E167" s="39"/>
      <c r="F167" s="38"/>
      <c r="G167" s="9"/>
      <c r="H167" s="38"/>
      <c r="I167" s="9"/>
      <c r="J167" s="38"/>
      <c r="K167" s="38"/>
      <c r="L167" s="38"/>
      <c r="M167" s="42"/>
      <c r="N167" s="9"/>
      <c r="O167" s="38"/>
      <c r="P167" s="38"/>
      <c r="Q167" s="38"/>
      <c r="R167" s="38"/>
      <c r="S167" s="38"/>
      <c r="T167" s="38"/>
      <c r="U167" s="9"/>
      <c r="V167" s="9"/>
      <c r="W167" s="38"/>
      <c r="X167" s="9"/>
      <c r="Y167" s="9"/>
      <c r="Z167" s="9"/>
      <c r="AA167" s="9"/>
      <c r="AB167" s="9"/>
      <c r="AC167" s="9"/>
      <c r="AD167" s="39"/>
      <c r="AE167" s="39"/>
      <c r="AF167" s="39"/>
      <c r="AG167" s="38"/>
      <c r="AH167" s="38"/>
      <c r="AI167" s="9"/>
      <c r="AJ167" s="38"/>
      <c r="AK167" s="9"/>
      <c r="AL167" s="39"/>
      <c r="AM167" s="9"/>
      <c r="AN167" s="9"/>
      <c r="AO167" s="9"/>
      <c r="AP167" s="9"/>
      <c r="AQ167" s="9"/>
      <c r="AR167" s="9"/>
      <c r="AS167" s="9"/>
      <c r="AT167" s="10" t="str">
        <f aca="false">IF(A167="","",SG_Criteria!$B$6&amp;SG_Criteria!$B$8&amp;"\"&amp;A167&amp;"\")</f>
        <v/>
      </c>
      <c r="AU167" s="10" t="str">
        <f aca="false">IF(A167="","",A167&amp;"_CAD.dwg")</f>
        <v/>
      </c>
      <c r="AV167" s="10" t="str">
        <f aca="false">IF(A167="","",A167&amp;"_DWG.pdf")</f>
        <v/>
      </c>
      <c r="AW167" s="10" t="str">
        <f aca="false">IF(A167="","",IF(AS167="Y",A167&amp;"_STAAD.std","n/a"))</f>
        <v/>
      </c>
      <c r="AX167" s="10" t="str">
        <f aca="false">IF(A167="","",A167&amp;"_CALC.xlsx")</f>
        <v/>
      </c>
      <c r="AY167" s="10" t="str">
        <f aca="false">IF(A167="","",A167&amp;"_CALC.pdf")</f>
        <v/>
      </c>
      <c r="AZ167" s="9"/>
      <c r="BA167" s="9"/>
      <c r="BB167" s="39"/>
      <c r="BC167" s="39"/>
      <c r="BD167" s="39"/>
      <c r="BE167" s="39"/>
      <c r="BF167" s="39"/>
      <c r="BG167" s="12" t="str">
        <f aca="false">IF(A167="","",IF(COUNTIF(Rebar_Schedule!$A$5:$A$2004,A167)=0,"",ROUND(SUMIF(Rebar_Schedule!$A$5:$A$2004,A167,Rebar_Schedule!$K$5:$K$2004),1)))</f>
        <v/>
      </c>
      <c r="BH167" s="33" t="str">
        <f aca="false">IF(A167="","",IF(BG167="","No rebar schedule yet",IF(ABS(BG167-N(BC167))/MAX(N(BC167),1)&gt;SG_Criteria!$B$55,"NOTE: register rebar differs from schedule by "&amp;TEXT(ABS(BG167-N(BC167))/MAX(N(BC167),1),"0%"),"OK")))</f>
        <v/>
      </c>
      <c r="BI167" s="33" t="str">
        <f aca="false">IF(OR(D167="",E167=""),"",IF(E167&lt;=IF(OR(D167="Block / Segmental",D167="Gabion",D167="Reinforced Earth (MSE)"),SG_Criteria!$B$34,SG_Criteria!$B$33),"No ERSS submission",IF(E167&lt;=SG_Criteria!$B$35,"QP(ST)",IF(E167&lt;=SG_Criteria!$B$36,"QP(ST) + AC","Geotechnical building works: QP(Geo) + AC"))))</f>
        <v/>
      </c>
      <c r="BJ167" s="33" t="str">
        <f aca="false">IF(D167="","",IF(LEN(IF(AND(V167&lt;&gt;"",IFERROR(VALUE(MID(V167,2,2)),0)&lt;SG_Criteria!$B$19),"FAIL: grade below C"&amp;SG_Criteria!$B$19&amp;". ","")&amp;IF(AND(W167&lt;&gt;"",W167&lt;SG_Criteria!$B$20),"FAIL: cover &lt; "&amp;SG_Criteria!$B$20&amp;" mm. ","")&amp;IF(AND(AD167&lt;&gt;"",AD167&lt;1),"FAIL: sliding. ","")&amp;IF(AND(D167="Reverse L-Wall (toe only, at boundary)",N(S167)&gt;0),"NOTE: reverse L-wall should have no heel. ","")&amp;IF(AND(D167="L-Wall (heel only)",N(R167)&gt;0),"NOTE: L-wall should have no toe. ","")&amp;IF(AND(F167&lt;&gt;"",F167&lt;SG_Criteria!$B$31),"NOTE: q below LTA min "&amp;SG_Criteria!$B$31&amp;" kPa (not for LTA works). ",""))=0,"OK",IF(AND(V167&lt;&gt;"",IFERROR(VALUE(MID(V167,2,2)),0)&lt;SG_Criteria!$B$19),"FAIL: grade below C"&amp;SG_Criteria!$B$19&amp;". ","")&amp;IF(AND(W167&lt;&gt;"",W167&lt;SG_Criteria!$B$20),"FAIL: cover &lt; "&amp;SG_Criteria!$B$20&amp;" mm. ","")&amp;IF(AND(AD167&lt;&gt;"",AD167&lt;1),"FAIL: sliding. ","")&amp;IF(AND(D167="Reverse L-Wall (toe only, at boundary)",N(S167)&gt;0),"NOTE: reverse L-wall should have no heel. ","")&amp;IF(AND(D167="L-Wall (heel only)",N(R167)&gt;0),"NOTE: L-wall should have no toe. ","")&amp;IF(AND(F167&lt;&gt;"",F167&lt;SG_Criteria!$B$31),"NOTE: q below LTA min "&amp;SG_Criteria!$B$31&amp;" kPa (not for LTA works). ","")))</f>
        <v/>
      </c>
      <c r="BK167" s="9"/>
      <c r="BL167" s="9"/>
      <c r="BM167" s="9"/>
      <c r="BN167" s="10" t="str">
        <f aca="false">IF(BM167="","",IFERROR(VLOOKUP(BM167,Projects!$A$5:$D$504,2,0),"Ref not in Projects"))</f>
        <v/>
      </c>
      <c r="BO167" s="10" t="str">
        <f aca="false">IF(BM167="","",IFERROR(VLOOKUP(BM167,Projects!$A$5:$D$504,4,0),"Ref not in Projects"))</f>
        <v/>
      </c>
      <c r="BP167" s="9"/>
      <c r="BQ167" s="9"/>
      <c r="BR167" s="9"/>
      <c r="BS167" s="40"/>
      <c r="BT167" s="9"/>
      <c r="BU167" s="40"/>
      <c r="BV167" s="9"/>
      <c r="BW167" s="40"/>
      <c r="BX167" s="9"/>
      <c r="BY167" s="9"/>
      <c r="BZ167" s="9"/>
      <c r="CA167" s="40"/>
      <c r="CB167" s="40"/>
      <c r="CC167" s="36" t="str">
        <f aca="false">IF(CB167="","",EDATE(CB167,SG_Criteria!$B$54*12))</f>
        <v/>
      </c>
      <c r="CD167" s="33" t="str">
        <f aca="true">IF(A167="","",IF(CB167="","NOTE: not reviewed yet",IF(TODAY()&gt;CC167,"NOTE: review overdue","OK")))</f>
        <v/>
      </c>
      <c r="CE167" s="37" t="str">
        <f aca="false">IF(A167="","",ROUND((IF(LEN(D167)&gt;0,1,0)+IF(LEN(E167)&gt;0,1,0)+IF(LEN(F167)&gt;0,1,0)+IF(LEN(G167)&gt;0,1,0)+IF(LEN(I167)&gt;0,1,0)+IF(LEN(K167)&gt;0,1,0)+IF(LEN(P167)&gt;0,1,0)+IF(LEN(Q167)&gt;0,1,0)+IF(LEN(T167)&gt;0,1,0)+IF(LEN(V167)&gt;0,1,0)+IF(LEN(W167)&gt;0,1,0)+IF(LEN(X167)&gt;0,1,0)+IF(LEN(Z167)&gt;0,1,0)+IF(LEN(AD167)&gt;0,1,0)+IF(LEN(AE167)&gt;0,1,0)+IF(LEN(AG167)&gt;0,1,0)+IF(LEN(AI167)&gt;0,1,0)+IF(LEN(BB167)&gt;0,1,0)+IF(LEN(BC167)&gt;0,1,0)+IF(LEN(AM167)&gt;0,1,0)+IF(LEN(AO167)&gt;0,1,0)+IF(LEN(AP167)&gt;0,1,0)+IF(LEN(AQ167)&gt;0,1,0)+IF(LEN(AR167)&gt;0,1,0)+IF(LEN(BA167)&gt;0,1,0)+IF(LEN(BM167)&gt;0,1,0)+IF(LEN(BZ167)&gt;0,1,0))/27,2))</f>
        <v/>
      </c>
      <c r="CF167" s="10" t="str">
        <f aca="false">IF(D167="","",IF(AND(AP167="Approved",ISERROR(SEARCH("FAIL",BJ167))),"Y","N"))</f>
        <v/>
      </c>
      <c r="CG167" s="10" t="str">
        <f aca="false">IF(D167="","",D167&amp;"|"&amp;E167&amp;"|"&amp;F167&amp;"|"&amp;G167&amp;"|"&amp;CF167)</f>
        <v/>
      </c>
    </row>
    <row r="168" customFormat="false" ht="15" hidden="false" customHeight="false" outlineLevel="0" collapsed="false">
      <c r="A168" s="10" t="str">
        <f aca="false">IF(D168="","","RW-"&amp;IFERROR(VLOOKUP(D168,Lists!$M$4:$N$22,2,0),"??")&amp;"-H"&amp;TEXT(E168*1000,"0000")&amp;"-S"&amp;F168&amp;IF(G168="Y","-GW","")&amp;"-"&amp;AO168)</f>
        <v/>
      </c>
      <c r="B168" s="10" t="str">
        <f aca="false">IF(D168="","",D168&amp;", H = "&amp;TEXT(E168,"0.0")&amp;" m, q = "&amp;F168&amp;" kPa"&amp;IF(G168="Y",", with GWT","")&amp;", "&amp;I168)</f>
        <v/>
      </c>
      <c r="C168" s="9"/>
      <c r="D168" s="9"/>
      <c r="E168" s="39"/>
      <c r="F168" s="38"/>
      <c r="G168" s="9"/>
      <c r="H168" s="38"/>
      <c r="I168" s="9"/>
      <c r="J168" s="38"/>
      <c r="K168" s="38"/>
      <c r="L168" s="38"/>
      <c r="M168" s="42"/>
      <c r="N168" s="9"/>
      <c r="O168" s="38"/>
      <c r="P168" s="38"/>
      <c r="Q168" s="38"/>
      <c r="R168" s="38"/>
      <c r="S168" s="38"/>
      <c r="T168" s="38"/>
      <c r="U168" s="9"/>
      <c r="V168" s="9"/>
      <c r="W168" s="38"/>
      <c r="X168" s="9"/>
      <c r="Y168" s="9"/>
      <c r="Z168" s="9"/>
      <c r="AA168" s="9"/>
      <c r="AB168" s="9"/>
      <c r="AC168" s="9"/>
      <c r="AD168" s="39"/>
      <c r="AE168" s="39"/>
      <c r="AF168" s="39"/>
      <c r="AG168" s="38"/>
      <c r="AH168" s="38"/>
      <c r="AI168" s="9"/>
      <c r="AJ168" s="38"/>
      <c r="AK168" s="9"/>
      <c r="AL168" s="39"/>
      <c r="AM168" s="9"/>
      <c r="AN168" s="9"/>
      <c r="AO168" s="9"/>
      <c r="AP168" s="9"/>
      <c r="AQ168" s="9"/>
      <c r="AR168" s="9"/>
      <c r="AS168" s="9"/>
      <c r="AT168" s="10" t="str">
        <f aca="false">IF(A168="","",SG_Criteria!$B$6&amp;SG_Criteria!$B$8&amp;"\"&amp;A168&amp;"\")</f>
        <v/>
      </c>
      <c r="AU168" s="10" t="str">
        <f aca="false">IF(A168="","",A168&amp;"_CAD.dwg")</f>
        <v/>
      </c>
      <c r="AV168" s="10" t="str">
        <f aca="false">IF(A168="","",A168&amp;"_DWG.pdf")</f>
        <v/>
      </c>
      <c r="AW168" s="10" t="str">
        <f aca="false">IF(A168="","",IF(AS168="Y",A168&amp;"_STAAD.std","n/a"))</f>
        <v/>
      </c>
      <c r="AX168" s="10" t="str">
        <f aca="false">IF(A168="","",A168&amp;"_CALC.xlsx")</f>
        <v/>
      </c>
      <c r="AY168" s="10" t="str">
        <f aca="false">IF(A168="","",A168&amp;"_CALC.pdf")</f>
        <v/>
      </c>
      <c r="AZ168" s="9"/>
      <c r="BA168" s="9"/>
      <c r="BB168" s="39"/>
      <c r="BC168" s="39"/>
      <c r="BD168" s="39"/>
      <c r="BE168" s="39"/>
      <c r="BF168" s="39"/>
      <c r="BG168" s="12" t="str">
        <f aca="false">IF(A168="","",IF(COUNTIF(Rebar_Schedule!$A$5:$A$2004,A168)=0,"",ROUND(SUMIF(Rebar_Schedule!$A$5:$A$2004,A168,Rebar_Schedule!$K$5:$K$2004),1)))</f>
        <v/>
      </c>
      <c r="BH168" s="33" t="str">
        <f aca="false">IF(A168="","",IF(BG168="","No rebar schedule yet",IF(ABS(BG168-N(BC168))/MAX(N(BC168),1)&gt;SG_Criteria!$B$55,"NOTE: register rebar differs from schedule by "&amp;TEXT(ABS(BG168-N(BC168))/MAX(N(BC168),1),"0%"),"OK")))</f>
        <v/>
      </c>
      <c r="BI168" s="33" t="str">
        <f aca="false">IF(OR(D168="",E168=""),"",IF(E168&lt;=IF(OR(D168="Block / Segmental",D168="Gabion",D168="Reinforced Earth (MSE)"),SG_Criteria!$B$34,SG_Criteria!$B$33),"No ERSS submission",IF(E168&lt;=SG_Criteria!$B$35,"QP(ST)",IF(E168&lt;=SG_Criteria!$B$36,"QP(ST) + AC","Geotechnical building works: QP(Geo) + AC"))))</f>
        <v/>
      </c>
      <c r="BJ168" s="33" t="str">
        <f aca="false">IF(D168="","",IF(LEN(IF(AND(V168&lt;&gt;"",IFERROR(VALUE(MID(V168,2,2)),0)&lt;SG_Criteria!$B$19),"FAIL: grade below C"&amp;SG_Criteria!$B$19&amp;". ","")&amp;IF(AND(W168&lt;&gt;"",W168&lt;SG_Criteria!$B$20),"FAIL: cover &lt; "&amp;SG_Criteria!$B$20&amp;" mm. ","")&amp;IF(AND(AD168&lt;&gt;"",AD168&lt;1),"FAIL: sliding. ","")&amp;IF(AND(D168="Reverse L-Wall (toe only, at boundary)",N(S168)&gt;0),"NOTE: reverse L-wall should have no heel. ","")&amp;IF(AND(D168="L-Wall (heel only)",N(R168)&gt;0),"NOTE: L-wall should have no toe. ","")&amp;IF(AND(F168&lt;&gt;"",F168&lt;SG_Criteria!$B$31),"NOTE: q below LTA min "&amp;SG_Criteria!$B$31&amp;" kPa (not for LTA works). ",""))=0,"OK",IF(AND(V168&lt;&gt;"",IFERROR(VALUE(MID(V168,2,2)),0)&lt;SG_Criteria!$B$19),"FAIL: grade below C"&amp;SG_Criteria!$B$19&amp;". ","")&amp;IF(AND(W168&lt;&gt;"",W168&lt;SG_Criteria!$B$20),"FAIL: cover &lt; "&amp;SG_Criteria!$B$20&amp;" mm. ","")&amp;IF(AND(AD168&lt;&gt;"",AD168&lt;1),"FAIL: sliding. ","")&amp;IF(AND(D168="Reverse L-Wall (toe only, at boundary)",N(S168)&gt;0),"NOTE: reverse L-wall should have no heel. ","")&amp;IF(AND(D168="L-Wall (heel only)",N(R168)&gt;0),"NOTE: L-wall should have no toe. ","")&amp;IF(AND(F168&lt;&gt;"",F168&lt;SG_Criteria!$B$31),"NOTE: q below LTA min "&amp;SG_Criteria!$B$31&amp;" kPa (not for LTA works). ","")))</f>
        <v/>
      </c>
      <c r="BK168" s="9"/>
      <c r="BL168" s="9"/>
      <c r="BM168" s="9"/>
      <c r="BN168" s="10" t="str">
        <f aca="false">IF(BM168="","",IFERROR(VLOOKUP(BM168,Projects!$A$5:$D$504,2,0),"Ref not in Projects"))</f>
        <v/>
      </c>
      <c r="BO168" s="10" t="str">
        <f aca="false">IF(BM168="","",IFERROR(VLOOKUP(BM168,Projects!$A$5:$D$504,4,0),"Ref not in Projects"))</f>
        <v/>
      </c>
      <c r="BP168" s="9"/>
      <c r="BQ168" s="9"/>
      <c r="BR168" s="9"/>
      <c r="BS168" s="40"/>
      <c r="BT168" s="9"/>
      <c r="BU168" s="40"/>
      <c r="BV168" s="9"/>
      <c r="BW168" s="40"/>
      <c r="BX168" s="9"/>
      <c r="BY168" s="9"/>
      <c r="BZ168" s="9"/>
      <c r="CA168" s="40"/>
      <c r="CB168" s="40"/>
      <c r="CC168" s="36" t="str">
        <f aca="false">IF(CB168="","",EDATE(CB168,SG_Criteria!$B$54*12))</f>
        <v/>
      </c>
      <c r="CD168" s="33" t="str">
        <f aca="true">IF(A168="","",IF(CB168="","NOTE: not reviewed yet",IF(TODAY()&gt;CC168,"NOTE: review overdue","OK")))</f>
        <v/>
      </c>
      <c r="CE168" s="37" t="str">
        <f aca="false">IF(A168="","",ROUND((IF(LEN(D168)&gt;0,1,0)+IF(LEN(E168)&gt;0,1,0)+IF(LEN(F168)&gt;0,1,0)+IF(LEN(G168)&gt;0,1,0)+IF(LEN(I168)&gt;0,1,0)+IF(LEN(K168)&gt;0,1,0)+IF(LEN(P168)&gt;0,1,0)+IF(LEN(Q168)&gt;0,1,0)+IF(LEN(T168)&gt;0,1,0)+IF(LEN(V168)&gt;0,1,0)+IF(LEN(W168)&gt;0,1,0)+IF(LEN(X168)&gt;0,1,0)+IF(LEN(Z168)&gt;0,1,0)+IF(LEN(AD168)&gt;0,1,0)+IF(LEN(AE168)&gt;0,1,0)+IF(LEN(AG168)&gt;0,1,0)+IF(LEN(AI168)&gt;0,1,0)+IF(LEN(BB168)&gt;0,1,0)+IF(LEN(BC168)&gt;0,1,0)+IF(LEN(AM168)&gt;0,1,0)+IF(LEN(AO168)&gt;0,1,0)+IF(LEN(AP168)&gt;0,1,0)+IF(LEN(AQ168)&gt;0,1,0)+IF(LEN(AR168)&gt;0,1,0)+IF(LEN(BA168)&gt;0,1,0)+IF(LEN(BM168)&gt;0,1,0)+IF(LEN(BZ168)&gt;0,1,0))/27,2))</f>
        <v/>
      </c>
      <c r="CF168" s="10" t="str">
        <f aca="false">IF(D168="","",IF(AND(AP168="Approved",ISERROR(SEARCH("FAIL",BJ168))),"Y","N"))</f>
        <v/>
      </c>
      <c r="CG168" s="10" t="str">
        <f aca="false">IF(D168="","",D168&amp;"|"&amp;E168&amp;"|"&amp;F168&amp;"|"&amp;G168&amp;"|"&amp;CF168)</f>
        <v/>
      </c>
    </row>
    <row r="169" customFormat="false" ht="15" hidden="false" customHeight="false" outlineLevel="0" collapsed="false">
      <c r="A169" s="10" t="str">
        <f aca="false">IF(D169="","","RW-"&amp;IFERROR(VLOOKUP(D169,Lists!$M$4:$N$22,2,0),"??")&amp;"-H"&amp;TEXT(E169*1000,"0000")&amp;"-S"&amp;F169&amp;IF(G169="Y","-GW","")&amp;"-"&amp;AO169)</f>
        <v/>
      </c>
      <c r="B169" s="10" t="str">
        <f aca="false">IF(D169="","",D169&amp;", H = "&amp;TEXT(E169,"0.0")&amp;" m, q = "&amp;F169&amp;" kPa"&amp;IF(G169="Y",", with GWT","")&amp;", "&amp;I169)</f>
        <v/>
      </c>
      <c r="C169" s="9"/>
      <c r="D169" s="9"/>
      <c r="E169" s="39"/>
      <c r="F169" s="38"/>
      <c r="G169" s="9"/>
      <c r="H169" s="38"/>
      <c r="I169" s="9"/>
      <c r="J169" s="38"/>
      <c r="K169" s="38"/>
      <c r="L169" s="38"/>
      <c r="M169" s="42"/>
      <c r="N169" s="9"/>
      <c r="O169" s="38"/>
      <c r="P169" s="38"/>
      <c r="Q169" s="38"/>
      <c r="R169" s="38"/>
      <c r="S169" s="38"/>
      <c r="T169" s="38"/>
      <c r="U169" s="9"/>
      <c r="V169" s="9"/>
      <c r="W169" s="38"/>
      <c r="X169" s="9"/>
      <c r="Y169" s="9"/>
      <c r="Z169" s="9"/>
      <c r="AA169" s="9"/>
      <c r="AB169" s="9"/>
      <c r="AC169" s="9"/>
      <c r="AD169" s="39"/>
      <c r="AE169" s="39"/>
      <c r="AF169" s="39"/>
      <c r="AG169" s="38"/>
      <c r="AH169" s="38"/>
      <c r="AI169" s="9"/>
      <c r="AJ169" s="38"/>
      <c r="AK169" s="9"/>
      <c r="AL169" s="39"/>
      <c r="AM169" s="9"/>
      <c r="AN169" s="9"/>
      <c r="AO169" s="9"/>
      <c r="AP169" s="9"/>
      <c r="AQ169" s="9"/>
      <c r="AR169" s="9"/>
      <c r="AS169" s="9"/>
      <c r="AT169" s="10" t="str">
        <f aca="false">IF(A169="","",SG_Criteria!$B$6&amp;SG_Criteria!$B$8&amp;"\"&amp;A169&amp;"\")</f>
        <v/>
      </c>
      <c r="AU169" s="10" t="str">
        <f aca="false">IF(A169="","",A169&amp;"_CAD.dwg")</f>
        <v/>
      </c>
      <c r="AV169" s="10" t="str">
        <f aca="false">IF(A169="","",A169&amp;"_DWG.pdf")</f>
        <v/>
      </c>
      <c r="AW169" s="10" t="str">
        <f aca="false">IF(A169="","",IF(AS169="Y",A169&amp;"_STAAD.std","n/a"))</f>
        <v/>
      </c>
      <c r="AX169" s="10" t="str">
        <f aca="false">IF(A169="","",A169&amp;"_CALC.xlsx")</f>
        <v/>
      </c>
      <c r="AY169" s="10" t="str">
        <f aca="false">IF(A169="","",A169&amp;"_CALC.pdf")</f>
        <v/>
      </c>
      <c r="AZ169" s="9"/>
      <c r="BA169" s="9"/>
      <c r="BB169" s="39"/>
      <c r="BC169" s="39"/>
      <c r="BD169" s="39"/>
      <c r="BE169" s="39"/>
      <c r="BF169" s="39"/>
      <c r="BG169" s="12" t="str">
        <f aca="false">IF(A169="","",IF(COUNTIF(Rebar_Schedule!$A$5:$A$2004,A169)=0,"",ROUND(SUMIF(Rebar_Schedule!$A$5:$A$2004,A169,Rebar_Schedule!$K$5:$K$2004),1)))</f>
        <v/>
      </c>
      <c r="BH169" s="33" t="str">
        <f aca="false">IF(A169="","",IF(BG169="","No rebar schedule yet",IF(ABS(BG169-N(BC169))/MAX(N(BC169),1)&gt;SG_Criteria!$B$55,"NOTE: register rebar differs from schedule by "&amp;TEXT(ABS(BG169-N(BC169))/MAX(N(BC169),1),"0%"),"OK")))</f>
        <v/>
      </c>
      <c r="BI169" s="33" t="str">
        <f aca="false">IF(OR(D169="",E169=""),"",IF(E169&lt;=IF(OR(D169="Block / Segmental",D169="Gabion",D169="Reinforced Earth (MSE)"),SG_Criteria!$B$34,SG_Criteria!$B$33),"No ERSS submission",IF(E169&lt;=SG_Criteria!$B$35,"QP(ST)",IF(E169&lt;=SG_Criteria!$B$36,"QP(ST) + AC","Geotechnical building works: QP(Geo) + AC"))))</f>
        <v/>
      </c>
      <c r="BJ169" s="33" t="str">
        <f aca="false">IF(D169="","",IF(LEN(IF(AND(V169&lt;&gt;"",IFERROR(VALUE(MID(V169,2,2)),0)&lt;SG_Criteria!$B$19),"FAIL: grade below C"&amp;SG_Criteria!$B$19&amp;". ","")&amp;IF(AND(W169&lt;&gt;"",W169&lt;SG_Criteria!$B$20),"FAIL: cover &lt; "&amp;SG_Criteria!$B$20&amp;" mm. ","")&amp;IF(AND(AD169&lt;&gt;"",AD169&lt;1),"FAIL: sliding. ","")&amp;IF(AND(D169="Reverse L-Wall (toe only, at boundary)",N(S169)&gt;0),"NOTE: reverse L-wall should have no heel. ","")&amp;IF(AND(D169="L-Wall (heel only)",N(R169)&gt;0),"NOTE: L-wall should have no toe. ","")&amp;IF(AND(F169&lt;&gt;"",F169&lt;SG_Criteria!$B$31),"NOTE: q below LTA min "&amp;SG_Criteria!$B$31&amp;" kPa (not for LTA works). ",""))=0,"OK",IF(AND(V169&lt;&gt;"",IFERROR(VALUE(MID(V169,2,2)),0)&lt;SG_Criteria!$B$19),"FAIL: grade below C"&amp;SG_Criteria!$B$19&amp;". ","")&amp;IF(AND(W169&lt;&gt;"",W169&lt;SG_Criteria!$B$20),"FAIL: cover &lt; "&amp;SG_Criteria!$B$20&amp;" mm. ","")&amp;IF(AND(AD169&lt;&gt;"",AD169&lt;1),"FAIL: sliding. ","")&amp;IF(AND(D169="Reverse L-Wall (toe only, at boundary)",N(S169)&gt;0),"NOTE: reverse L-wall should have no heel. ","")&amp;IF(AND(D169="L-Wall (heel only)",N(R169)&gt;0),"NOTE: L-wall should have no toe. ","")&amp;IF(AND(F169&lt;&gt;"",F169&lt;SG_Criteria!$B$31),"NOTE: q below LTA min "&amp;SG_Criteria!$B$31&amp;" kPa (not for LTA works). ","")))</f>
        <v/>
      </c>
      <c r="BK169" s="9"/>
      <c r="BL169" s="9"/>
      <c r="BM169" s="9"/>
      <c r="BN169" s="10" t="str">
        <f aca="false">IF(BM169="","",IFERROR(VLOOKUP(BM169,Projects!$A$5:$D$504,2,0),"Ref not in Projects"))</f>
        <v/>
      </c>
      <c r="BO169" s="10" t="str">
        <f aca="false">IF(BM169="","",IFERROR(VLOOKUP(BM169,Projects!$A$5:$D$504,4,0),"Ref not in Projects"))</f>
        <v/>
      </c>
      <c r="BP169" s="9"/>
      <c r="BQ169" s="9"/>
      <c r="BR169" s="9"/>
      <c r="BS169" s="40"/>
      <c r="BT169" s="9"/>
      <c r="BU169" s="40"/>
      <c r="BV169" s="9"/>
      <c r="BW169" s="40"/>
      <c r="BX169" s="9"/>
      <c r="BY169" s="9"/>
      <c r="BZ169" s="9"/>
      <c r="CA169" s="40"/>
      <c r="CB169" s="40"/>
      <c r="CC169" s="36" t="str">
        <f aca="false">IF(CB169="","",EDATE(CB169,SG_Criteria!$B$54*12))</f>
        <v/>
      </c>
      <c r="CD169" s="33" t="str">
        <f aca="true">IF(A169="","",IF(CB169="","NOTE: not reviewed yet",IF(TODAY()&gt;CC169,"NOTE: review overdue","OK")))</f>
        <v/>
      </c>
      <c r="CE169" s="37" t="str">
        <f aca="false">IF(A169="","",ROUND((IF(LEN(D169)&gt;0,1,0)+IF(LEN(E169)&gt;0,1,0)+IF(LEN(F169)&gt;0,1,0)+IF(LEN(G169)&gt;0,1,0)+IF(LEN(I169)&gt;0,1,0)+IF(LEN(K169)&gt;0,1,0)+IF(LEN(P169)&gt;0,1,0)+IF(LEN(Q169)&gt;0,1,0)+IF(LEN(T169)&gt;0,1,0)+IF(LEN(V169)&gt;0,1,0)+IF(LEN(W169)&gt;0,1,0)+IF(LEN(X169)&gt;0,1,0)+IF(LEN(Z169)&gt;0,1,0)+IF(LEN(AD169)&gt;0,1,0)+IF(LEN(AE169)&gt;0,1,0)+IF(LEN(AG169)&gt;0,1,0)+IF(LEN(AI169)&gt;0,1,0)+IF(LEN(BB169)&gt;0,1,0)+IF(LEN(BC169)&gt;0,1,0)+IF(LEN(AM169)&gt;0,1,0)+IF(LEN(AO169)&gt;0,1,0)+IF(LEN(AP169)&gt;0,1,0)+IF(LEN(AQ169)&gt;0,1,0)+IF(LEN(AR169)&gt;0,1,0)+IF(LEN(BA169)&gt;0,1,0)+IF(LEN(BM169)&gt;0,1,0)+IF(LEN(BZ169)&gt;0,1,0))/27,2))</f>
        <v/>
      </c>
      <c r="CF169" s="10" t="str">
        <f aca="false">IF(D169="","",IF(AND(AP169="Approved",ISERROR(SEARCH("FAIL",BJ169))),"Y","N"))</f>
        <v/>
      </c>
      <c r="CG169" s="10" t="str">
        <f aca="false">IF(D169="","",D169&amp;"|"&amp;E169&amp;"|"&amp;F169&amp;"|"&amp;G169&amp;"|"&amp;CF169)</f>
        <v/>
      </c>
    </row>
    <row r="170" customFormat="false" ht="15" hidden="false" customHeight="false" outlineLevel="0" collapsed="false">
      <c r="A170" s="10" t="str">
        <f aca="false">IF(D170="","","RW-"&amp;IFERROR(VLOOKUP(D170,Lists!$M$4:$N$22,2,0),"??")&amp;"-H"&amp;TEXT(E170*1000,"0000")&amp;"-S"&amp;F170&amp;IF(G170="Y","-GW","")&amp;"-"&amp;AO170)</f>
        <v/>
      </c>
      <c r="B170" s="10" t="str">
        <f aca="false">IF(D170="","",D170&amp;", H = "&amp;TEXT(E170,"0.0")&amp;" m, q = "&amp;F170&amp;" kPa"&amp;IF(G170="Y",", with GWT","")&amp;", "&amp;I170)</f>
        <v/>
      </c>
      <c r="C170" s="9"/>
      <c r="D170" s="9"/>
      <c r="E170" s="39"/>
      <c r="F170" s="38"/>
      <c r="G170" s="9"/>
      <c r="H170" s="38"/>
      <c r="I170" s="9"/>
      <c r="J170" s="38"/>
      <c r="K170" s="38"/>
      <c r="L170" s="38"/>
      <c r="M170" s="42"/>
      <c r="N170" s="9"/>
      <c r="O170" s="38"/>
      <c r="P170" s="38"/>
      <c r="Q170" s="38"/>
      <c r="R170" s="38"/>
      <c r="S170" s="38"/>
      <c r="T170" s="38"/>
      <c r="U170" s="9"/>
      <c r="V170" s="9"/>
      <c r="W170" s="38"/>
      <c r="X170" s="9"/>
      <c r="Y170" s="9"/>
      <c r="Z170" s="9"/>
      <c r="AA170" s="9"/>
      <c r="AB170" s="9"/>
      <c r="AC170" s="9"/>
      <c r="AD170" s="39"/>
      <c r="AE170" s="39"/>
      <c r="AF170" s="39"/>
      <c r="AG170" s="38"/>
      <c r="AH170" s="38"/>
      <c r="AI170" s="9"/>
      <c r="AJ170" s="38"/>
      <c r="AK170" s="9"/>
      <c r="AL170" s="39"/>
      <c r="AM170" s="9"/>
      <c r="AN170" s="9"/>
      <c r="AO170" s="9"/>
      <c r="AP170" s="9"/>
      <c r="AQ170" s="9"/>
      <c r="AR170" s="9"/>
      <c r="AS170" s="9"/>
      <c r="AT170" s="10" t="str">
        <f aca="false">IF(A170="","",SG_Criteria!$B$6&amp;SG_Criteria!$B$8&amp;"\"&amp;A170&amp;"\")</f>
        <v/>
      </c>
      <c r="AU170" s="10" t="str">
        <f aca="false">IF(A170="","",A170&amp;"_CAD.dwg")</f>
        <v/>
      </c>
      <c r="AV170" s="10" t="str">
        <f aca="false">IF(A170="","",A170&amp;"_DWG.pdf")</f>
        <v/>
      </c>
      <c r="AW170" s="10" t="str">
        <f aca="false">IF(A170="","",IF(AS170="Y",A170&amp;"_STAAD.std","n/a"))</f>
        <v/>
      </c>
      <c r="AX170" s="10" t="str">
        <f aca="false">IF(A170="","",A170&amp;"_CALC.xlsx")</f>
        <v/>
      </c>
      <c r="AY170" s="10" t="str">
        <f aca="false">IF(A170="","",A170&amp;"_CALC.pdf")</f>
        <v/>
      </c>
      <c r="AZ170" s="9"/>
      <c r="BA170" s="9"/>
      <c r="BB170" s="39"/>
      <c r="BC170" s="39"/>
      <c r="BD170" s="39"/>
      <c r="BE170" s="39"/>
      <c r="BF170" s="39"/>
      <c r="BG170" s="12" t="str">
        <f aca="false">IF(A170="","",IF(COUNTIF(Rebar_Schedule!$A$5:$A$2004,A170)=0,"",ROUND(SUMIF(Rebar_Schedule!$A$5:$A$2004,A170,Rebar_Schedule!$K$5:$K$2004),1)))</f>
        <v/>
      </c>
      <c r="BH170" s="33" t="str">
        <f aca="false">IF(A170="","",IF(BG170="","No rebar schedule yet",IF(ABS(BG170-N(BC170))/MAX(N(BC170),1)&gt;SG_Criteria!$B$55,"NOTE: register rebar differs from schedule by "&amp;TEXT(ABS(BG170-N(BC170))/MAX(N(BC170),1),"0%"),"OK")))</f>
        <v/>
      </c>
      <c r="BI170" s="33" t="str">
        <f aca="false">IF(OR(D170="",E170=""),"",IF(E170&lt;=IF(OR(D170="Block / Segmental",D170="Gabion",D170="Reinforced Earth (MSE)"),SG_Criteria!$B$34,SG_Criteria!$B$33),"No ERSS submission",IF(E170&lt;=SG_Criteria!$B$35,"QP(ST)",IF(E170&lt;=SG_Criteria!$B$36,"QP(ST) + AC","Geotechnical building works: QP(Geo) + AC"))))</f>
        <v/>
      </c>
      <c r="BJ170" s="33" t="str">
        <f aca="false">IF(D170="","",IF(LEN(IF(AND(V170&lt;&gt;"",IFERROR(VALUE(MID(V170,2,2)),0)&lt;SG_Criteria!$B$19),"FAIL: grade below C"&amp;SG_Criteria!$B$19&amp;". ","")&amp;IF(AND(W170&lt;&gt;"",W170&lt;SG_Criteria!$B$20),"FAIL: cover &lt; "&amp;SG_Criteria!$B$20&amp;" mm. ","")&amp;IF(AND(AD170&lt;&gt;"",AD170&lt;1),"FAIL: sliding. ","")&amp;IF(AND(D170="Reverse L-Wall (toe only, at boundary)",N(S170)&gt;0),"NOTE: reverse L-wall should have no heel. ","")&amp;IF(AND(D170="L-Wall (heel only)",N(R170)&gt;0),"NOTE: L-wall should have no toe. ","")&amp;IF(AND(F170&lt;&gt;"",F170&lt;SG_Criteria!$B$31),"NOTE: q below LTA min "&amp;SG_Criteria!$B$31&amp;" kPa (not for LTA works). ",""))=0,"OK",IF(AND(V170&lt;&gt;"",IFERROR(VALUE(MID(V170,2,2)),0)&lt;SG_Criteria!$B$19),"FAIL: grade below C"&amp;SG_Criteria!$B$19&amp;". ","")&amp;IF(AND(W170&lt;&gt;"",W170&lt;SG_Criteria!$B$20),"FAIL: cover &lt; "&amp;SG_Criteria!$B$20&amp;" mm. ","")&amp;IF(AND(AD170&lt;&gt;"",AD170&lt;1),"FAIL: sliding. ","")&amp;IF(AND(D170="Reverse L-Wall (toe only, at boundary)",N(S170)&gt;0),"NOTE: reverse L-wall should have no heel. ","")&amp;IF(AND(D170="L-Wall (heel only)",N(R170)&gt;0),"NOTE: L-wall should have no toe. ","")&amp;IF(AND(F170&lt;&gt;"",F170&lt;SG_Criteria!$B$31),"NOTE: q below LTA min "&amp;SG_Criteria!$B$31&amp;" kPa (not for LTA works). ","")))</f>
        <v/>
      </c>
      <c r="BK170" s="9"/>
      <c r="BL170" s="9"/>
      <c r="BM170" s="9"/>
      <c r="BN170" s="10" t="str">
        <f aca="false">IF(BM170="","",IFERROR(VLOOKUP(BM170,Projects!$A$5:$D$504,2,0),"Ref not in Projects"))</f>
        <v/>
      </c>
      <c r="BO170" s="10" t="str">
        <f aca="false">IF(BM170="","",IFERROR(VLOOKUP(BM170,Projects!$A$5:$D$504,4,0),"Ref not in Projects"))</f>
        <v/>
      </c>
      <c r="BP170" s="9"/>
      <c r="BQ170" s="9"/>
      <c r="BR170" s="9"/>
      <c r="BS170" s="40"/>
      <c r="BT170" s="9"/>
      <c r="BU170" s="40"/>
      <c r="BV170" s="9"/>
      <c r="BW170" s="40"/>
      <c r="BX170" s="9"/>
      <c r="BY170" s="9"/>
      <c r="BZ170" s="9"/>
      <c r="CA170" s="40"/>
      <c r="CB170" s="40"/>
      <c r="CC170" s="36" t="str">
        <f aca="false">IF(CB170="","",EDATE(CB170,SG_Criteria!$B$54*12))</f>
        <v/>
      </c>
      <c r="CD170" s="33" t="str">
        <f aca="true">IF(A170="","",IF(CB170="","NOTE: not reviewed yet",IF(TODAY()&gt;CC170,"NOTE: review overdue","OK")))</f>
        <v/>
      </c>
      <c r="CE170" s="37" t="str">
        <f aca="false">IF(A170="","",ROUND((IF(LEN(D170)&gt;0,1,0)+IF(LEN(E170)&gt;0,1,0)+IF(LEN(F170)&gt;0,1,0)+IF(LEN(G170)&gt;0,1,0)+IF(LEN(I170)&gt;0,1,0)+IF(LEN(K170)&gt;0,1,0)+IF(LEN(P170)&gt;0,1,0)+IF(LEN(Q170)&gt;0,1,0)+IF(LEN(T170)&gt;0,1,0)+IF(LEN(V170)&gt;0,1,0)+IF(LEN(W170)&gt;0,1,0)+IF(LEN(X170)&gt;0,1,0)+IF(LEN(Z170)&gt;0,1,0)+IF(LEN(AD170)&gt;0,1,0)+IF(LEN(AE170)&gt;0,1,0)+IF(LEN(AG170)&gt;0,1,0)+IF(LEN(AI170)&gt;0,1,0)+IF(LEN(BB170)&gt;0,1,0)+IF(LEN(BC170)&gt;0,1,0)+IF(LEN(AM170)&gt;0,1,0)+IF(LEN(AO170)&gt;0,1,0)+IF(LEN(AP170)&gt;0,1,0)+IF(LEN(AQ170)&gt;0,1,0)+IF(LEN(AR170)&gt;0,1,0)+IF(LEN(BA170)&gt;0,1,0)+IF(LEN(BM170)&gt;0,1,0)+IF(LEN(BZ170)&gt;0,1,0))/27,2))</f>
        <v/>
      </c>
      <c r="CF170" s="10" t="str">
        <f aca="false">IF(D170="","",IF(AND(AP170="Approved",ISERROR(SEARCH("FAIL",BJ170))),"Y","N"))</f>
        <v/>
      </c>
      <c r="CG170" s="10" t="str">
        <f aca="false">IF(D170="","",D170&amp;"|"&amp;E170&amp;"|"&amp;F170&amp;"|"&amp;G170&amp;"|"&amp;CF170)</f>
        <v/>
      </c>
    </row>
    <row r="171" customFormat="false" ht="15" hidden="false" customHeight="false" outlineLevel="0" collapsed="false">
      <c r="A171" s="10" t="str">
        <f aca="false">IF(D171="","","RW-"&amp;IFERROR(VLOOKUP(D171,Lists!$M$4:$N$22,2,0),"??")&amp;"-H"&amp;TEXT(E171*1000,"0000")&amp;"-S"&amp;F171&amp;IF(G171="Y","-GW","")&amp;"-"&amp;AO171)</f>
        <v/>
      </c>
      <c r="B171" s="10" t="str">
        <f aca="false">IF(D171="","",D171&amp;", H = "&amp;TEXT(E171,"0.0")&amp;" m, q = "&amp;F171&amp;" kPa"&amp;IF(G171="Y",", with GWT","")&amp;", "&amp;I171)</f>
        <v/>
      </c>
      <c r="C171" s="9"/>
      <c r="D171" s="9"/>
      <c r="E171" s="39"/>
      <c r="F171" s="38"/>
      <c r="G171" s="9"/>
      <c r="H171" s="38"/>
      <c r="I171" s="9"/>
      <c r="J171" s="38"/>
      <c r="K171" s="38"/>
      <c r="L171" s="38"/>
      <c r="M171" s="42"/>
      <c r="N171" s="9"/>
      <c r="O171" s="38"/>
      <c r="P171" s="38"/>
      <c r="Q171" s="38"/>
      <c r="R171" s="38"/>
      <c r="S171" s="38"/>
      <c r="T171" s="38"/>
      <c r="U171" s="9"/>
      <c r="V171" s="9"/>
      <c r="W171" s="38"/>
      <c r="X171" s="9"/>
      <c r="Y171" s="9"/>
      <c r="Z171" s="9"/>
      <c r="AA171" s="9"/>
      <c r="AB171" s="9"/>
      <c r="AC171" s="9"/>
      <c r="AD171" s="39"/>
      <c r="AE171" s="39"/>
      <c r="AF171" s="39"/>
      <c r="AG171" s="38"/>
      <c r="AH171" s="38"/>
      <c r="AI171" s="9"/>
      <c r="AJ171" s="38"/>
      <c r="AK171" s="9"/>
      <c r="AL171" s="39"/>
      <c r="AM171" s="9"/>
      <c r="AN171" s="9"/>
      <c r="AO171" s="9"/>
      <c r="AP171" s="9"/>
      <c r="AQ171" s="9"/>
      <c r="AR171" s="9"/>
      <c r="AS171" s="9"/>
      <c r="AT171" s="10" t="str">
        <f aca="false">IF(A171="","",SG_Criteria!$B$6&amp;SG_Criteria!$B$8&amp;"\"&amp;A171&amp;"\")</f>
        <v/>
      </c>
      <c r="AU171" s="10" t="str">
        <f aca="false">IF(A171="","",A171&amp;"_CAD.dwg")</f>
        <v/>
      </c>
      <c r="AV171" s="10" t="str">
        <f aca="false">IF(A171="","",A171&amp;"_DWG.pdf")</f>
        <v/>
      </c>
      <c r="AW171" s="10" t="str">
        <f aca="false">IF(A171="","",IF(AS171="Y",A171&amp;"_STAAD.std","n/a"))</f>
        <v/>
      </c>
      <c r="AX171" s="10" t="str">
        <f aca="false">IF(A171="","",A171&amp;"_CALC.xlsx")</f>
        <v/>
      </c>
      <c r="AY171" s="10" t="str">
        <f aca="false">IF(A171="","",A171&amp;"_CALC.pdf")</f>
        <v/>
      </c>
      <c r="AZ171" s="9"/>
      <c r="BA171" s="9"/>
      <c r="BB171" s="39"/>
      <c r="BC171" s="39"/>
      <c r="BD171" s="39"/>
      <c r="BE171" s="39"/>
      <c r="BF171" s="39"/>
      <c r="BG171" s="12" t="str">
        <f aca="false">IF(A171="","",IF(COUNTIF(Rebar_Schedule!$A$5:$A$2004,A171)=0,"",ROUND(SUMIF(Rebar_Schedule!$A$5:$A$2004,A171,Rebar_Schedule!$K$5:$K$2004),1)))</f>
        <v/>
      </c>
      <c r="BH171" s="33" t="str">
        <f aca="false">IF(A171="","",IF(BG171="","No rebar schedule yet",IF(ABS(BG171-N(BC171))/MAX(N(BC171),1)&gt;SG_Criteria!$B$55,"NOTE: register rebar differs from schedule by "&amp;TEXT(ABS(BG171-N(BC171))/MAX(N(BC171),1),"0%"),"OK")))</f>
        <v/>
      </c>
      <c r="BI171" s="33" t="str">
        <f aca="false">IF(OR(D171="",E171=""),"",IF(E171&lt;=IF(OR(D171="Block / Segmental",D171="Gabion",D171="Reinforced Earth (MSE)"),SG_Criteria!$B$34,SG_Criteria!$B$33),"No ERSS submission",IF(E171&lt;=SG_Criteria!$B$35,"QP(ST)",IF(E171&lt;=SG_Criteria!$B$36,"QP(ST) + AC","Geotechnical building works: QP(Geo) + AC"))))</f>
        <v/>
      </c>
      <c r="BJ171" s="33" t="str">
        <f aca="false">IF(D171="","",IF(LEN(IF(AND(V171&lt;&gt;"",IFERROR(VALUE(MID(V171,2,2)),0)&lt;SG_Criteria!$B$19),"FAIL: grade below C"&amp;SG_Criteria!$B$19&amp;". ","")&amp;IF(AND(W171&lt;&gt;"",W171&lt;SG_Criteria!$B$20),"FAIL: cover &lt; "&amp;SG_Criteria!$B$20&amp;" mm. ","")&amp;IF(AND(AD171&lt;&gt;"",AD171&lt;1),"FAIL: sliding. ","")&amp;IF(AND(D171="Reverse L-Wall (toe only, at boundary)",N(S171)&gt;0),"NOTE: reverse L-wall should have no heel. ","")&amp;IF(AND(D171="L-Wall (heel only)",N(R171)&gt;0),"NOTE: L-wall should have no toe. ","")&amp;IF(AND(F171&lt;&gt;"",F171&lt;SG_Criteria!$B$31),"NOTE: q below LTA min "&amp;SG_Criteria!$B$31&amp;" kPa (not for LTA works). ",""))=0,"OK",IF(AND(V171&lt;&gt;"",IFERROR(VALUE(MID(V171,2,2)),0)&lt;SG_Criteria!$B$19),"FAIL: grade below C"&amp;SG_Criteria!$B$19&amp;". ","")&amp;IF(AND(W171&lt;&gt;"",W171&lt;SG_Criteria!$B$20),"FAIL: cover &lt; "&amp;SG_Criteria!$B$20&amp;" mm. ","")&amp;IF(AND(AD171&lt;&gt;"",AD171&lt;1),"FAIL: sliding. ","")&amp;IF(AND(D171="Reverse L-Wall (toe only, at boundary)",N(S171)&gt;0),"NOTE: reverse L-wall should have no heel. ","")&amp;IF(AND(D171="L-Wall (heel only)",N(R171)&gt;0),"NOTE: L-wall should have no toe. ","")&amp;IF(AND(F171&lt;&gt;"",F171&lt;SG_Criteria!$B$31),"NOTE: q below LTA min "&amp;SG_Criteria!$B$31&amp;" kPa (not for LTA works). ","")))</f>
        <v/>
      </c>
      <c r="BK171" s="9"/>
      <c r="BL171" s="9"/>
      <c r="BM171" s="9"/>
      <c r="BN171" s="10" t="str">
        <f aca="false">IF(BM171="","",IFERROR(VLOOKUP(BM171,Projects!$A$5:$D$504,2,0),"Ref not in Projects"))</f>
        <v/>
      </c>
      <c r="BO171" s="10" t="str">
        <f aca="false">IF(BM171="","",IFERROR(VLOOKUP(BM171,Projects!$A$5:$D$504,4,0),"Ref not in Projects"))</f>
        <v/>
      </c>
      <c r="BP171" s="9"/>
      <c r="BQ171" s="9"/>
      <c r="BR171" s="9"/>
      <c r="BS171" s="40"/>
      <c r="BT171" s="9"/>
      <c r="BU171" s="40"/>
      <c r="BV171" s="9"/>
      <c r="BW171" s="40"/>
      <c r="BX171" s="9"/>
      <c r="BY171" s="9"/>
      <c r="BZ171" s="9"/>
      <c r="CA171" s="40"/>
      <c r="CB171" s="40"/>
      <c r="CC171" s="36" t="str">
        <f aca="false">IF(CB171="","",EDATE(CB171,SG_Criteria!$B$54*12))</f>
        <v/>
      </c>
      <c r="CD171" s="33" t="str">
        <f aca="true">IF(A171="","",IF(CB171="","NOTE: not reviewed yet",IF(TODAY()&gt;CC171,"NOTE: review overdue","OK")))</f>
        <v/>
      </c>
      <c r="CE171" s="37" t="str">
        <f aca="false">IF(A171="","",ROUND((IF(LEN(D171)&gt;0,1,0)+IF(LEN(E171)&gt;0,1,0)+IF(LEN(F171)&gt;0,1,0)+IF(LEN(G171)&gt;0,1,0)+IF(LEN(I171)&gt;0,1,0)+IF(LEN(K171)&gt;0,1,0)+IF(LEN(P171)&gt;0,1,0)+IF(LEN(Q171)&gt;0,1,0)+IF(LEN(T171)&gt;0,1,0)+IF(LEN(V171)&gt;0,1,0)+IF(LEN(W171)&gt;0,1,0)+IF(LEN(X171)&gt;0,1,0)+IF(LEN(Z171)&gt;0,1,0)+IF(LEN(AD171)&gt;0,1,0)+IF(LEN(AE171)&gt;0,1,0)+IF(LEN(AG171)&gt;0,1,0)+IF(LEN(AI171)&gt;0,1,0)+IF(LEN(BB171)&gt;0,1,0)+IF(LEN(BC171)&gt;0,1,0)+IF(LEN(AM171)&gt;0,1,0)+IF(LEN(AO171)&gt;0,1,0)+IF(LEN(AP171)&gt;0,1,0)+IF(LEN(AQ171)&gt;0,1,0)+IF(LEN(AR171)&gt;0,1,0)+IF(LEN(BA171)&gt;0,1,0)+IF(LEN(BM171)&gt;0,1,0)+IF(LEN(BZ171)&gt;0,1,0))/27,2))</f>
        <v/>
      </c>
      <c r="CF171" s="10" t="str">
        <f aca="false">IF(D171="","",IF(AND(AP171="Approved",ISERROR(SEARCH("FAIL",BJ171))),"Y","N"))</f>
        <v/>
      </c>
      <c r="CG171" s="10" t="str">
        <f aca="false">IF(D171="","",D171&amp;"|"&amp;E171&amp;"|"&amp;F171&amp;"|"&amp;G171&amp;"|"&amp;CF171)</f>
        <v/>
      </c>
    </row>
    <row r="172" customFormat="false" ht="15" hidden="false" customHeight="false" outlineLevel="0" collapsed="false">
      <c r="A172" s="10" t="str">
        <f aca="false">IF(D172="","","RW-"&amp;IFERROR(VLOOKUP(D172,Lists!$M$4:$N$22,2,0),"??")&amp;"-H"&amp;TEXT(E172*1000,"0000")&amp;"-S"&amp;F172&amp;IF(G172="Y","-GW","")&amp;"-"&amp;AO172)</f>
        <v/>
      </c>
      <c r="B172" s="10" t="str">
        <f aca="false">IF(D172="","",D172&amp;", H = "&amp;TEXT(E172,"0.0")&amp;" m, q = "&amp;F172&amp;" kPa"&amp;IF(G172="Y",", with GWT","")&amp;", "&amp;I172)</f>
        <v/>
      </c>
      <c r="C172" s="9"/>
      <c r="D172" s="9"/>
      <c r="E172" s="39"/>
      <c r="F172" s="38"/>
      <c r="G172" s="9"/>
      <c r="H172" s="38"/>
      <c r="I172" s="9"/>
      <c r="J172" s="38"/>
      <c r="K172" s="38"/>
      <c r="L172" s="38"/>
      <c r="M172" s="42"/>
      <c r="N172" s="9"/>
      <c r="O172" s="38"/>
      <c r="P172" s="38"/>
      <c r="Q172" s="38"/>
      <c r="R172" s="38"/>
      <c r="S172" s="38"/>
      <c r="T172" s="38"/>
      <c r="U172" s="9"/>
      <c r="V172" s="9"/>
      <c r="W172" s="38"/>
      <c r="X172" s="9"/>
      <c r="Y172" s="9"/>
      <c r="Z172" s="9"/>
      <c r="AA172" s="9"/>
      <c r="AB172" s="9"/>
      <c r="AC172" s="9"/>
      <c r="AD172" s="39"/>
      <c r="AE172" s="39"/>
      <c r="AF172" s="39"/>
      <c r="AG172" s="38"/>
      <c r="AH172" s="38"/>
      <c r="AI172" s="9"/>
      <c r="AJ172" s="38"/>
      <c r="AK172" s="9"/>
      <c r="AL172" s="39"/>
      <c r="AM172" s="9"/>
      <c r="AN172" s="9"/>
      <c r="AO172" s="9"/>
      <c r="AP172" s="9"/>
      <c r="AQ172" s="9"/>
      <c r="AR172" s="9"/>
      <c r="AS172" s="9"/>
      <c r="AT172" s="10" t="str">
        <f aca="false">IF(A172="","",SG_Criteria!$B$6&amp;SG_Criteria!$B$8&amp;"\"&amp;A172&amp;"\")</f>
        <v/>
      </c>
      <c r="AU172" s="10" t="str">
        <f aca="false">IF(A172="","",A172&amp;"_CAD.dwg")</f>
        <v/>
      </c>
      <c r="AV172" s="10" t="str">
        <f aca="false">IF(A172="","",A172&amp;"_DWG.pdf")</f>
        <v/>
      </c>
      <c r="AW172" s="10" t="str">
        <f aca="false">IF(A172="","",IF(AS172="Y",A172&amp;"_STAAD.std","n/a"))</f>
        <v/>
      </c>
      <c r="AX172" s="10" t="str">
        <f aca="false">IF(A172="","",A172&amp;"_CALC.xlsx")</f>
        <v/>
      </c>
      <c r="AY172" s="10" t="str">
        <f aca="false">IF(A172="","",A172&amp;"_CALC.pdf")</f>
        <v/>
      </c>
      <c r="AZ172" s="9"/>
      <c r="BA172" s="9"/>
      <c r="BB172" s="39"/>
      <c r="BC172" s="39"/>
      <c r="BD172" s="39"/>
      <c r="BE172" s="39"/>
      <c r="BF172" s="39"/>
      <c r="BG172" s="12" t="str">
        <f aca="false">IF(A172="","",IF(COUNTIF(Rebar_Schedule!$A$5:$A$2004,A172)=0,"",ROUND(SUMIF(Rebar_Schedule!$A$5:$A$2004,A172,Rebar_Schedule!$K$5:$K$2004),1)))</f>
        <v/>
      </c>
      <c r="BH172" s="33" t="str">
        <f aca="false">IF(A172="","",IF(BG172="","No rebar schedule yet",IF(ABS(BG172-N(BC172))/MAX(N(BC172),1)&gt;SG_Criteria!$B$55,"NOTE: register rebar differs from schedule by "&amp;TEXT(ABS(BG172-N(BC172))/MAX(N(BC172),1),"0%"),"OK")))</f>
        <v/>
      </c>
      <c r="BI172" s="33" t="str">
        <f aca="false">IF(OR(D172="",E172=""),"",IF(E172&lt;=IF(OR(D172="Block / Segmental",D172="Gabion",D172="Reinforced Earth (MSE)"),SG_Criteria!$B$34,SG_Criteria!$B$33),"No ERSS submission",IF(E172&lt;=SG_Criteria!$B$35,"QP(ST)",IF(E172&lt;=SG_Criteria!$B$36,"QP(ST) + AC","Geotechnical building works: QP(Geo) + AC"))))</f>
        <v/>
      </c>
      <c r="BJ172" s="33" t="str">
        <f aca="false">IF(D172="","",IF(LEN(IF(AND(V172&lt;&gt;"",IFERROR(VALUE(MID(V172,2,2)),0)&lt;SG_Criteria!$B$19),"FAIL: grade below C"&amp;SG_Criteria!$B$19&amp;". ","")&amp;IF(AND(W172&lt;&gt;"",W172&lt;SG_Criteria!$B$20),"FAIL: cover &lt; "&amp;SG_Criteria!$B$20&amp;" mm. ","")&amp;IF(AND(AD172&lt;&gt;"",AD172&lt;1),"FAIL: sliding. ","")&amp;IF(AND(D172="Reverse L-Wall (toe only, at boundary)",N(S172)&gt;0),"NOTE: reverse L-wall should have no heel. ","")&amp;IF(AND(D172="L-Wall (heel only)",N(R172)&gt;0),"NOTE: L-wall should have no toe. ","")&amp;IF(AND(F172&lt;&gt;"",F172&lt;SG_Criteria!$B$31),"NOTE: q below LTA min "&amp;SG_Criteria!$B$31&amp;" kPa (not for LTA works). ",""))=0,"OK",IF(AND(V172&lt;&gt;"",IFERROR(VALUE(MID(V172,2,2)),0)&lt;SG_Criteria!$B$19),"FAIL: grade below C"&amp;SG_Criteria!$B$19&amp;". ","")&amp;IF(AND(W172&lt;&gt;"",W172&lt;SG_Criteria!$B$20),"FAIL: cover &lt; "&amp;SG_Criteria!$B$20&amp;" mm. ","")&amp;IF(AND(AD172&lt;&gt;"",AD172&lt;1),"FAIL: sliding. ","")&amp;IF(AND(D172="Reverse L-Wall (toe only, at boundary)",N(S172)&gt;0),"NOTE: reverse L-wall should have no heel. ","")&amp;IF(AND(D172="L-Wall (heel only)",N(R172)&gt;0),"NOTE: L-wall should have no toe. ","")&amp;IF(AND(F172&lt;&gt;"",F172&lt;SG_Criteria!$B$31),"NOTE: q below LTA min "&amp;SG_Criteria!$B$31&amp;" kPa (not for LTA works). ","")))</f>
        <v/>
      </c>
      <c r="BK172" s="9"/>
      <c r="BL172" s="9"/>
      <c r="BM172" s="9"/>
      <c r="BN172" s="10" t="str">
        <f aca="false">IF(BM172="","",IFERROR(VLOOKUP(BM172,Projects!$A$5:$D$504,2,0),"Ref not in Projects"))</f>
        <v/>
      </c>
      <c r="BO172" s="10" t="str">
        <f aca="false">IF(BM172="","",IFERROR(VLOOKUP(BM172,Projects!$A$5:$D$504,4,0),"Ref not in Projects"))</f>
        <v/>
      </c>
      <c r="BP172" s="9"/>
      <c r="BQ172" s="9"/>
      <c r="BR172" s="9"/>
      <c r="BS172" s="40"/>
      <c r="BT172" s="9"/>
      <c r="BU172" s="40"/>
      <c r="BV172" s="9"/>
      <c r="BW172" s="40"/>
      <c r="BX172" s="9"/>
      <c r="BY172" s="9"/>
      <c r="BZ172" s="9"/>
      <c r="CA172" s="40"/>
      <c r="CB172" s="40"/>
      <c r="CC172" s="36" t="str">
        <f aca="false">IF(CB172="","",EDATE(CB172,SG_Criteria!$B$54*12))</f>
        <v/>
      </c>
      <c r="CD172" s="33" t="str">
        <f aca="true">IF(A172="","",IF(CB172="","NOTE: not reviewed yet",IF(TODAY()&gt;CC172,"NOTE: review overdue","OK")))</f>
        <v/>
      </c>
      <c r="CE172" s="37" t="str">
        <f aca="false">IF(A172="","",ROUND((IF(LEN(D172)&gt;0,1,0)+IF(LEN(E172)&gt;0,1,0)+IF(LEN(F172)&gt;0,1,0)+IF(LEN(G172)&gt;0,1,0)+IF(LEN(I172)&gt;0,1,0)+IF(LEN(K172)&gt;0,1,0)+IF(LEN(P172)&gt;0,1,0)+IF(LEN(Q172)&gt;0,1,0)+IF(LEN(T172)&gt;0,1,0)+IF(LEN(V172)&gt;0,1,0)+IF(LEN(W172)&gt;0,1,0)+IF(LEN(X172)&gt;0,1,0)+IF(LEN(Z172)&gt;0,1,0)+IF(LEN(AD172)&gt;0,1,0)+IF(LEN(AE172)&gt;0,1,0)+IF(LEN(AG172)&gt;0,1,0)+IF(LEN(AI172)&gt;0,1,0)+IF(LEN(BB172)&gt;0,1,0)+IF(LEN(BC172)&gt;0,1,0)+IF(LEN(AM172)&gt;0,1,0)+IF(LEN(AO172)&gt;0,1,0)+IF(LEN(AP172)&gt;0,1,0)+IF(LEN(AQ172)&gt;0,1,0)+IF(LEN(AR172)&gt;0,1,0)+IF(LEN(BA172)&gt;0,1,0)+IF(LEN(BM172)&gt;0,1,0)+IF(LEN(BZ172)&gt;0,1,0))/27,2))</f>
        <v/>
      </c>
      <c r="CF172" s="10" t="str">
        <f aca="false">IF(D172="","",IF(AND(AP172="Approved",ISERROR(SEARCH("FAIL",BJ172))),"Y","N"))</f>
        <v/>
      </c>
      <c r="CG172" s="10" t="str">
        <f aca="false">IF(D172="","",D172&amp;"|"&amp;E172&amp;"|"&amp;F172&amp;"|"&amp;G172&amp;"|"&amp;CF172)</f>
        <v/>
      </c>
    </row>
    <row r="173" customFormat="false" ht="15" hidden="false" customHeight="false" outlineLevel="0" collapsed="false">
      <c r="A173" s="10" t="str">
        <f aca="false">IF(D173="","","RW-"&amp;IFERROR(VLOOKUP(D173,Lists!$M$4:$N$22,2,0),"??")&amp;"-H"&amp;TEXT(E173*1000,"0000")&amp;"-S"&amp;F173&amp;IF(G173="Y","-GW","")&amp;"-"&amp;AO173)</f>
        <v/>
      </c>
      <c r="B173" s="10" t="str">
        <f aca="false">IF(D173="","",D173&amp;", H = "&amp;TEXT(E173,"0.0")&amp;" m, q = "&amp;F173&amp;" kPa"&amp;IF(G173="Y",", with GWT","")&amp;", "&amp;I173)</f>
        <v/>
      </c>
      <c r="C173" s="9"/>
      <c r="D173" s="9"/>
      <c r="E173" s="39"/>
      <c r="F173" s="38"/>
      <c r="G173" s="9"/>
      <c r="H173" s="38"/>
      <c r="I173" s="9"/>
      <c r="J173" s="38"/>
      <c r="K173" s="38"/>
      <c r="L173" s="38"/>
      <c r="M173" s="42"/>
      <c r="N173" s="9"/>
      <c r="O173" s="38"/>
      <c r="P173" s="38"/>
      <c r="Q173" s="38"/>
      <c r="R173" s="38"/>
      <c r="S173" s="38"/>
      <c r="T173" s="38"/>
      <c r="U173" s="9"/>
      <c r="V173" s="9"/>
      <c r="W173" s="38"/>
      <c r="X173" s="9"/>
      <c r="Y173" s="9"/>
      <c r="Z173" s="9"/>
      <c r="AA173" s="9"/>
      <c r="AB173" s="9"/>
      <c r="AC173" s="9"/>
      <c r="AD173" s="39"/>
      <c r="AE173" s="39"/>
      <c r="AF173" s="39"/>
      <c r="AG173" s="38"/>
      <c r="AH173" s="38"/>
      <c r="AI173" s="9"/>
      <c r="AJ173" s="38"/>
      <c r="AK173" s="9"/>
      <c r="AL173" s="39"/>
      <c r="AM173" s="9"/>
      <c r="AN173" s="9"/>
      <c r="AO173" s="9"/>
      <c r="AP173" s="9"/>
      <c r="AQ173" s="9"/>
      <c r="AR173" s="9"/>
      <c r="AS173" s="9"/>
      <c r="AT173" s="10" t="str">
        <f aca="false">IF(A173="","",SG_Criteria!$B$6&amp;SG_Criteria!$B$8&amp;"\"&amp;A173&amp;"\")</f>
        <v/>
      </c>
      <c r="AU173" s="10" t="str">
        <f aca="false">IF(A173="","",A173&amp;"_CAD.dwg")</f>
        <v/>
      </c>
      <c r="AV173" s="10" t="str">
        <f aca="false">IF(A173="","",A173&amp;"_DWG.pdf")</f>
        <v/>
      </c>
      <c r="AW173" s="10" t="str">
        <f aca="false">IF(A173="","",IF(AS173="Y",A173&amp;"_STAAD.std","n/a"))</f>
        <v/>
      </c>
      <c r="AX173" s="10" t="str">
        <f aca="false">IF(A173="","",A173&amp;"_CALC.xlsx")</f>
        <v/>
      </c>
      <c r="AY173" s="10" t="str">
        <f aca="false">IF(A173="","",A173&amp;"_CALC.pdf")</f>
        <v/>
      </c>
      <c r="AZ173" s="9"/>
      <c r="BA173" s="9"/>
      <c r="BB173" s="39"/>
      <c r="BC173" s="39"/>
      <c r="BD173" s="39"/>
      <c r="BE173" s="39"/>
      <c r="BF173" s="39"/>
      <c r="BG173" s="12" t="str">
        <f aca="false">IF(A173="","",IF(COUNTIF(Rebar_Schedule!$A$5:$A$2004,A173)=0,"",ROUND(SUMIF(Rebar_Schedule!$A$5:$A$2004,A173,Rebar_Schedule!$K$5:$K$2004),1)))</f>
        <v/>
      </c>
      <c r="BH173" s="33" t="str">
        <f aca="false">IF(A173="","",IF(BG173="","No rebar schedule yet",IF(ABS(BG173-N(BC173))/MAX(N(BC173),1)&gt;SG_Criteria!$B$55,"NOTE: register rebar differs from schedule by "&amp;TEXT(ABS(BG173-N(BC173))/MAX(N(BC173),1),"0%"),"OK")))</f>
        <v/>
      </c>
      <c r="BI173" s="33" t="str">
        <f aca="false">IF(OR(D173="",E173=""),"",IF(E173&lt;=IF(OR(D173="Block / Segmental",D173="Gabion",D173="Reinforced Earth (MSE)"),SG_Criteria!$B$34,SG_Criteria!$B$33),"No ERSS submission",IF(E173&lt;=SG_Criteria!$B$35,"QP(ST)",IF(E173&lt;=SG_Criteria!$B$36,"QP(ST) + AC","Geotechnical building works: QP(Geo) + AC"))))</f>
        <v/>
      </c>
      <c r="BJ173" s="33" t="str">
        <f aca="false">IF(D173="","",IF(LEN(IF(AND(V173&lt;&gt;"",IFERROR(VALUE(MID(V173,2,2)),0)&lt;SG_Criteria!$B$19),"FAIL: grade below C"&amp;SG_Criteria!$B$19&amp;". ","")&amp;IF(AND(W173&lt;&gt;"",W173&lt;SG_Criteria!$B$20),"FAIL: cover &lt; "&amp;SG_Criteria!$B$20&amp;" mm. ","")&amp;IF(AND(AD173&lt;&gt;"",AD173&lt;1),"FAIL: sliding. ","")&amp;IF(AND(D173="Reverse L-Wall (toe only, at boundary)",N(S173)&gt;0),"NOTE: reverse L-wall should have no heel. ","")&amp;IF(AND(D173="L-Wall (heel only)",N(R173)&gt;0),"NOTE: L-wall should have no toe. ","")&amp;IF(AND(F173&lt;&gt;"",F173&lt;SG_Criteria!$B$31),"NOTE: q below LTA min "&amp;SG_Criteria!$B$31&amp;" kPa (not for LTA works). ",""))=0,"OK",IF(AND(V173&lt;&gt;"",IFERROR(VALUE(MID(V173,2,2)),0)&lt;SG_Criteria!$B$19),"FAIL: grade below C"&amp;SG_Criteria!$B$19&amp;". ","")&amp;IF(AND(W173&lt;&gt;"",W173&lt;SG_Criteria!$B$20),"FAIL: cover &lt; "&amp;SG_Criteria!$B$20&amp;" mm. ","")&amp;IF(AND(AD173&lt;&gt;"",AD173&lt;1),"FAIL: sliding. ","")&amp;IF(AND(D173="Reverse L-Wall (toe only, at boundary)",N(S173)&gt;0),"NOTE: reverse L-wall should have no heel. ","")&amp;IF(AND(D173="L-Wall (heel only)",N(R173)&gt;0),"NOTE: L-wall should have no toe. ","")&amp;IF(AND(F173&lt;&gt;"",F173&lt;SG_Criteria!$B$31),"NOTE: q below LTA min "&amp;SG_Criteria!$B$31&amp;" kPa (not for LTA works). ","")))</f>
        <v/>
      </c>
      <c r="BK173" s="9"/>
      <c r="BL173" s="9"/>
      <c r="BM173" s="9"/>
      <c r="BN173" s="10" t="str">
        <f aca="false">IF(BM173="","",IFERROR(VLOOKUP(BM173,Projects!$A$5:$D$504,2,0),"Ref not in Projects"))</f>
        <v/>
      </c>
      <c r="BO173" s="10" t="str">
        <f aca="false">IF(BM173="","",IFERROR(VLOOKUP(BM173,Projects!$A$5:$D$504,4,0),"Ref not in Projects"))</f>
        <v/>
      </c>
      <c r="BP173" s="9"/>
      <c r="BQ173" s="9"/>
      <c r="BR173" s="9"/>
      <c r="BS173" s="40"/>
      <c r="BT173" s="9"/>
      <c r="BU173" s="40"/>
      <c r="BV173" s="9"/>
      <c r="BW173" s="40"/>
      <c r="BX173" s="9"/>
      <c r="BY173" s="9"/>
      <c r="BZ173" s="9"/>
      <c r="CA173" s="40"/>
      <c r="CB173" s="40"/>
      <c r="CC173" s="36" t="str">
        <f aca="false">IF(CB173="","",EDATE(CB173,SG_Criteria!$B$54*12))</f>
        <v/>
      </c>
      <c r="CD173" s="33" t="str">
        <f aca="true">IF(A173="","",IF(CB173="","NOTE: not reviewed yet",IF(TODAY()&gt;CC173,"NOTE: review overdue","OK")))</f>
        <v/>
      </c>
      <c r="CE173" s="37" t="str">
        <f aca="false">IF(A173="","",ROUND((IF(LEN(D173)&gt;0,1,0)+IF(LEN(E173)&gt;0,1,0)+IF(LEN(F173)&gt;0,1,0)+IF(LEN(G173)&gt;0,1,0)+IF(LEN(I173)&gt;0,1,0)+IF(LEN(K173)&gt;0,1,0)+IF(LEN(P173)&gt;0,1,0)+IF(LEN(Q173)&gt;0,1,0)+IF(LEN(T173)&gt;0,1,0)+IF(LEN(V173)&gt;0,1,0)+IF(LEN(W173)&gt;0,1,0)+IF(LEN(X173)&gt;0,1,0)+IF(LEN(Z173)&gt;0,1,0)+IF(LEN(AD173)&gt;0,1,0)+IF(LEN(AE173)&gt;0,1,0)+IF(LEN(AG173)&gt;0,1,0)+IF(LEN(AI173)&gt;0,1,0)+IF(LEN(BB173)&gt;0,1,0)+IF(LEN(BC173)&gt;0,1,0)+IF(LEN(AM173)&gt;0,1,0)+IF(LEN(AO173)&gt;0,1,0)+IF(LEN(AP173)&gt;0,1,0)+IF(LEN(AQ173)&gt;0,1,0)+IF(LEN(AR173)&gt;0,1,0)+IF(LEN(BA173)&gt;0,1,0)+IF(LEN(BM173)&gt;0,1,0)+IF(LEN(BZ173)&gt;0,1,0))/27,2))</f>
        <v/>
      </c>
      <c r="CF173" s="10" t="str">
        <f aca="false">IF(D173="","",IF(AND(AP173="Approved",ISERROR(SEARCH("FAIL",BJ173))),"Y","N"))</f>
        <v/>
      </c>
      <c r="CG173" s="10" t="str">
        <f aca="false">IF(D173="","",D173&amp;"|"&amp;E173&amp;"|"&amp;F173&amp;"|"&amp;G173&amp;"|"&amp;CF173)</f>
        <v/>
      </c>
    </row>
    <row r="174" customFormat="false" ht="15" hidden="false" customHeight="false" outlineLevel="0" collapsed="false">
      <c r="A174" s="10" t="str">
        <f aca="false">IF(D174="","","RW-"&amp;IFERROR(VLOOKUP(D174,Lists!$M$4:$N$22,2,0),"??")&amp;"-H"&amp;TEXT(E174*1000,"0000")&amp;"-S"&amp;F174&amp;IF(G174="Y","-GW","")&amp;"-"&amp;AO174)</f>
        <v/>
      </c>
      <c r="B174" s="10" t="str">
        <f aca="false">IF(D174="","",D174&amp;", H = "&amp;TEXT(E174,"0.0")&amp;" m, q = "&amp;F174&amp;" kPa"&amp;IF(G174="Y",", with GWT","")&amp;", "&amp;I174)</f>
        <v/>
      </c>
      <c r="C174" s="9"/>
      <c r="D174" s="9"/>
      <c r="E174" s="39"/>
      <c r="F174" s="38"/>
      <c r="G174" s="9"/>
      <c r="H174" s="38"/>
      <c r="I174" s="9"/>
      <c r="J174" s="38"/>
      <c r="K174" s="38"/>
      <c r="L174" s="38"/>
      <c r="M174" s="42"/>
      <c r="N174" s="9"/>
      <c r="O174" s="38"/>
      <c r="P174" s="38"/>
      <c r="Q174" s="38"/>
      <c r="R174" s="38"/>
      <c r="S174" s="38"/>
      <c r="T174" s="38"/>
      <c r="U174" s="9"/>
      <c r="V174" s="9"/>
      <c r="W174" s="38"/>
      <c r="X174" s="9"/>
      <c r="Y174" s="9"/>
      <c r="Z174" s="9"/>
      <c r="AA174" s="9"/>
      <c r="AB174" s="9"/>
      <c r="AC174" s="9"/>
      <c r="AD174" s="39"/>
      <c r="AE174" s="39"/>
      <c r="AF174" s="39"/>
      <c r="AG174" s="38"/>
      <c r="AH174" s="38"/>
      <c r="AI174" s="9"/>
      <c r="AJ174" s="38"/>
      <c r="AK174" s="9"/>
      <c r="AL174" s="39"/>
      <c r="AM174" s="9"/>
      <c r="AN174" s="9"/>
      <c r="AO174" s="9"/>
      <c r="AP174" s="9"/>
      <c r="AQ174" s="9"/>
      <c r="AR174" s="9"/>
      <c r="AS174" s="9"/>
      <c r="AT174" s="10" t="str">
        <f aca="false">IF(A174="","",SG_Criteria!$B$6&amp;SG_Criteria!$B$8&amp;"\"&amp;A174&amp;"\")</f>
        <v/>
      </c>
      <c r="AU174" s="10" t="str">
        <f aca="false">IF(A174="","",A174&amp;"_CAD.dwg")</f>
        <v/>
      </c>
      <c r="AV174" s="10" t="str">
        <f aca="false">IF(A174="","",A174&amp;"_DWG.pdf")</f>
        <v/>
      </c>
      <c r="AW174" s="10" t="str">
        <f aca="false">IF(A174="","",IF(AS174="Y",A174&amp;"_STAAD.std","n/a"))</f>
        <v/>
      </c>
      <c r="AX174" s="10" t="str">
        <f aca="false">IF(A174="","",A174&amp;"_CALC.xlsx")</f>
        <v/>
      </c>
      <c r="AY174" s="10" t="str">
        <f aca="false">IF(A174="","",A174&amp;"_CALC.pdf")</f>
        <v/>
      </c>
      <c r="AZ174" s="9"/>
      <c r="BA174" s="9"/>
      <c r="BB174" s="39"/>
      <c r="BC174" s="39"/>
      <c r="BD174" s="39"/>
      <c r="BE174" s="39"/>
      <c r="BF174" s="39"/>
      <c r="BG174" s="12" t="str">
        <f aca="false">IF(A174="","",IF(COUNTIF(Rebar_Schedule!$A$5:$A$2004,A174)=0,"",ROUND(SUMIF(Rebar_Schedule!$A$5:$A$2004,A174,Rebar_Schedule!$K$5:$K$2004),1)))</f>
        <v/>
      </c>
      <c r="BH174" s="33" t="str">
        <f aca="false">IF(A174="","",IF(BG174="","No rebar schedule yet",IF(ABS(BG174-N(BC174))/MAX(N(BC174),1)&gt;SG_Criteria!$B$55,"NOTE: register rebar differs from schedule by "&amp;TEXT(ABS(BG174-N(BC174))/MAX(N(BC174),1),"0%"),"OK")))</f>
        <v/>
      </c>
      <c r="BI174" s="33" t="str">
        <f aca="false">IF(OR(D174="",E174=""),"",IF(E174&lt;=IF(OR(D174="Block / Segmental",D174="Gabion",D174="Reinforced Earth (MSE)"),SG_Criteria!$B$34,SG_Criteria!$B$33),"No ERSS submission",IF(E174&lt;=SG_Criteria!$B$35,"QP(ST)",IF(E174&lt;=SG_Criteria!$B$36,"QP(ST) + AC","Geotechnical building works: QP(Geo) + AC"))))</f>
        <v/>
      </c>
      <c r="BJ174" s="33" t="str">
        <f aca="false">IF(D174="","",IF(LEN(IF(AND(V174&lt;&gt;"",IFERROR(VALUE(MID(V174,2,2)),0)&lt;SG_Criteria!$B$19),"FAIL: grade below C"&amp;SG_Criteria!$B$19&amp;". ","")&amp;IF(AND(W174&lt;&gt;"",W174&lt;SG_Criteria!$B$20),"FAIL: cover &lt; "&amp;SG_Criteria!$B$20&amp;" mm. ","")&amp;IF(AND(AD174&lt;&gt;"",AD174&lt;1),"FAIL: sliding. ","")&amp;IF(AND(D174="Reverse L-Wall (toe only, at boundary)",N(S174)&gt;0),"NOTE: reverse L-wall should have no heel. ","")&amp;IF(AND(D174="L-Wall (heel only)",N(R174)&gt;0),"NOTE: L-wall should have no toe. ","")&amp;IF(AND(F174&lt;&gt;"",F174&lt;SG_Criteria!$B$31),"NOTE: q below LTA min "&amp;SG_Criteria!$B$31&amp;" kPa (not for LTA works). ",""))=0,"OK",IF(AND(V174&lt;&gt;"",IFERROR(VALUE(MID(V174,2,2)),0)&lt;SG_Criteria!$B$19),"FAIL: grade below C"&amp;SG_Criteria!$B$19&amp;". ","")&amp;IF(AND(W174&lt;&gt;"",W174&lt;SG_Criteria!$B$20),"FAIL: cover &lt; "&amp;SG_Criteria!$B$20&amp;" mm. ","")&amp;IF(AND(AD174&lt;&gt;"",AD174&lt;1),"FAIL: sliding. ","")&amp;IF(AND(D174="Reverse L-Wall (toe only, at boundary)",N(S174)&gt;0),"NOTE: reverse L-wall should have no heel. ","")&amp;IF(AND(D174="L-Wall (heel only)",N(R174)&gt;0),"NOTE: L-wall should have no toe. ","")&amp;IF(AND(F174&lt;&gt;"",F174&lt;SG_Criteria!$B$31),"NOTE: q below LTA min "&amp;SG_Criteria!$B$31&amp;" kPa (not for LTA works). ","")))</f>
        <v/>
      </c>
      <c r="BK174" s="9"/>
      <c r="BL174" s="9"/>
      <c r="BM174" s="9"/>
      <c r="BN174" s="10" t="str">
        <f aca="false">IF(BM174="","",IFERROR(VLOOKUP(BM174,Projects!$A$5:$D$504,2,0),"Ref not in Projects"))</f>
        <v/>
      </c>
      <c r="BO174" s="10" t="str">
        <f aca="false">IF(BM174="","",IFERROR(VLOOKUP(BM174,Projects!$A$5:$D$504,4,0),"Ref not in Projects"))</f>
        <v/>
      </c>
      <c r="BP174" s="9"/>
      <c r="BQ174" s="9"/>
      <c r="BR174" s="9"/>
      <c r="BS174" s="40"/>
      <c r="BT174" s="9"/>
      <c r="BU174" s="40"/>
      <c r="BV174" s="9"/>
      <c r="BW174" s="40"/>
      <c r="BX174" s="9"/>
      <c r="BY174" s="9"/>
      <c r="BZ174" s="9"/>
      <c r="CA174" s="40"/>
      <c r="CB174" s="40"/>
      <c r="CC174" s="36" t="str">
        <f aca="false">IF(CB174="","",EDATE(CB174,SG_Criteria!$B$54*12))</f>
        <v/>
      </c>
      <c r="CD174" s="33" t="str">
        <f aca="true">IF(A174="","",IF(CB174="","NOTE: not reviewed yet",IF(TODAY()&gt;CC174,"NOTE: review overdue","OK")))</f>
        <v/>
      </c>
      <c r="CE174" s="37" t="str">
        <f aca="false">IF(A174="","",ROUND((IF(LEN(D174)&gt;0,1,0)+IF(LEN(E174)&gt;0,1,0)+IF(LEN(F174)&gt;0,1,0)+IF(LEN(G174)&gt;0,1,0)+IF(LEN(I174)&gt;0,1,0)+IF(LEN(K174)&gt;0,1,0)+IF(LEN(P174)&gt;0,1,0)+IF(LEN(Q174)&gt;0,1,0)+IF(LEN(T174)&gt;0,1,0)+IF(LEN(V174)&gt;0,1,0)+IF(LEN(W174)&gt;0,1,0)+IF(LEN(X174)&gt;0,1,0)+IF(LEN(Z174)&gt;0,1,0)+IF(LEN(AD174)&gt;0,1,0)+IF(LEN(AE174)&gt;0,1,0)+IF(LEN(AG174)&gt;0,1,0)+IF(LEN(AI174)&gt;0,1,0)+IF(LEN(BB174)&gt;0,1,0)+IF(LEN(BC174)&gt;0,1,0)+IF(LEN(AM174)&gt;0,1,0)+IF(LEN(AO174)&gt;0,1,0)+IF(LEN(AP174)&gt;0,1,0)+IF(LEN(AQ174)&gt;0,1,0)+IF(LEN(AR174)&gt;0,1,0)+IF(LEN(BA174)&gt;0,1,0)+IF(LEN(BM174)&gt;0,1,0)+IF(LEN(BZ174)&gt;0,1,0))/27,2))</f>
        <v/>
      </c>
      <c r="CF174" s="10" t="str">
        <f aca="false">IF(D174="","",IF(AND(AP174="Approved",ISERROR(SEARCH("FAIL",BJ174))),"Y","N"))</f>
        <v/>
      </c>
      <c r="CG174" s="10" t="str">
        <f aca="false">IF(D174="","",D174&amp;"|"&amp;E174&amp;"|"&amp;F174&amp;"|"&amp;G174&amp;"|"&amp;CF174)</f>
        <v/>
      </c>
    </row>
    <row r="175" customFormat="false" ht="15" hidden="false" customHeight="false" outlineLevel="0" collapsed="false">
      <c r="A175" s="10" t="str">
        <f aca="false">IF(D175="","","RW-"&amp;IFERROR(VLOOKUP(D175,Lists!$M$4:$N$22,2,0),"??")&amp;"-H"&amp;TEXT(E175*1000,"0000")&amp;"-S"&amp;F175&amp;IF(G175="Y","-GW","")&amp;"-"&amp;AO175)</f>
        <v/>
      </c>
      <c r="B175" s="10" t="str">
        <f aca="false">IF(D175="","",D175&amp;", H = "&amp;TEXT(E175,"0.0")&amp;" m, q = "&amp;F175&amp;" kPa"&amp;IF(G175="Y",", with GWT","")&amp;", "&amp;I175)</f>
        <v/>
      </c>
      <c r="C175" s="9"/>
      <c r="D175" s="9"/>
      <c r="E175" s="39"/>
      <c r="F175" s="38"/>
      <c r="G175" s="9"/>
      <c r="H175" s="38"/>
      <c r="I175" s="9"/>
      <c r="J175" s="38"/>
      <c r="K175" s="38"/>
      <c r="L175" s="38"/>
      <c r="M175" s="42"/>
      <c r="N175" s="9"/>
      <c r="O175" s="38"/>
      <c r="P175" s="38"/>
      <c r="Q175" s="38"/>
      <c r="R175" s="38"/>
      <c r="S175" s="38"/>
      <c r="T175" s="38"/>
      <c r="U175" s="9"/>
      <c r="V175" s="9"/>
      <c r="W175" s="38"/>
      <c r="X175" s="9"/>
      <c r="Y175" s="9"/>
      <c r="Z175" s="9"/>
      <c r="AA175" s="9"/>
      <c r="AB175" s="9"/>
      <c r="AC175" s="9"/>
      <c r="AD175" s="39"/>
      <c r="AE175" s="39"/>
      <c r="AF175" s="39"/>
      <c r="AG175" s="38"/>
      <c r="AH175" s="38"/>
      <c r="AI175" s="9"/>
      <c r="AJ175" s="38"/>
      <c r="AK175" s="9"/>
      <c r="AL175" s="39"/>
      <c r="AM175" s="9"/>
      <c r="AN175" s="9"/>
      <c r="AO175" s="9"/>
      <c r="AP175" s="9"/>
      <c r="AQ175" s="9"/>
      <c r="AR175" s="9"/>
      <c r="AS175" s="9"/>
      <c r="AT175" s="10" t="str">
        <f aca="false">IF(A175="","",SG_Criteria!$B$6&amp;SG_Criteria!$B$8&amp;"\"&amp;A175&amp;"\")</f>
        <v/>
      </c>
      <c r="AU175" s="10" t="str">
        <f aca="false">IF(A175="","",A175&amp;"_CAD.dwg")</f>
        <v/>
      </c>
      <c r="AV175" s="10" t="str">
        <f aca="false">IF(A175="","",A175&amp;"_DWG.pdf")</f>
        <v/>
      </c>
      <c r="AW175" s="10" t="str">
        <f aca="false">IF(A175="","",IF(AS175="Y",A175&amp;"_STAAD.std","n/a"))</f>
        <v/>
      </c>
      <c r="AX175" s="10" t="str">
        <f aca="false">IF(A175="","",A175&amp;"_CALC.xlsx")</f>
        <v/>
      </c>
      <c r="AY175" s="10" t="str">
        <f aca="false">IF(A175="","",A175&amp;"_CALC.pdf")</f>
        <v/>
      </c>
      <c r="AZ175" s="9"/>
      <c r="BA175" s="9"/>
      <c r="BB175" s="39"/>
      <c r="BC175" s="39"/>
      <c r="BD175" s="39"/>
      <c r="BE175" s="39"/>
      <c r="BF175" s="39"/>
      <c r="BG175" s="12" t="str">
        <f aca="false">IF(A175="","",IF(COUNTIF(Rebar_Schedule!$A$5:$A$2004,A175)=0,"",ROUND(SUMIF(Rebar_Schedule!$A$5:$A$2004,A175,Rebar_Schedule!$K$5:$K$2004),1)))</f>
        <v/>
      </c>
      <c r="BH175" s="33" t="str">
        <f aca="false">IF(A175="","",IF(BG175="","No rebar schedule yet",IF(ABS(BG175-N(BC175))/MAX(N(BC175),1)&gt;SG_Criteria!$B$55,"NOTE: register rebar differs from schedule by "&amp;TEXT(ABS(BG175-N(BC175))/MAX(N(BC175),1),"0%"),"OK")))</f>
        <v/>
      </c>
      <c r="BI175" s="33" t="str">
        <f aca="false">IF(OR(D175="",E175=""),"",IF(E175&lt;=IF(OR(D175="Block / Segmental",D175="Gabion",D175="Reinforced Earth (MSE)"),SG_Criteria!$B$34,SG_Criteria!$B$33),"No ERSS submission",IF(E175&lt;=SG_Criteria!$B$35,"QP(ST)",IF(E175&lt;=SG_Criteria!$B$36,"QP(ST) + AC","Geotechnical building works: QP(Geo) + AC"))))</f>
        <v/>
      </c>
      <c r="BJ175" s="33" t="str">
        <f aca="false">IF(D175="","",IF(LEN(IF(AND(V175&lt;&gt;"",IFERROR(VALUE(MID(V175,2,2)),0)&lt;SG_Criteria!$B$19),"FAIL: grade below C"&amp;SG_Criteria!$B$19&amp;". ","")&amp;IF(AND(W175&lt;&gt;"",W175&lt;SG_Criteria!$B$20),"FAIL: cover &lt; "&amp;SG_Criteria!$B$20&amp;" mm. ","")&amp;IF(AND(AD175&lt;&gt;"",AD175&lt;1),"FAIL: sliding. ","")&amp;IF(AND(D175="Reverse L-Wall (toe only, at boundary)",N(S175)&gt;0),"NOTE: reverse L-wall should have no heel. ","")&amp;IF(AND(D175="L-Wall (heel only)",N(R175)&gt;0),"NOTE: L-wall should have no toe. ","")&amp;IF(AND(F175&lt;&gt;"",F175&lt;SG_Criteria!$B$31),"NOTE: q below LTA min "&amp;SG_Criteria!$B$31&amp;" kPa (not for LTA works). ",""))=0,"OK",IF(AND(V175&lt;&gt;"",IFERROR(VALUE(MID(V175,2,2)),0)&lt;SG_Criteria!$B$19),"FAIL: grade below C"&amp;SG_Criteria!$B$19&amp;". ","")&amp;IF(AND(W175&lt;&gt;"",W175&lt;SG_Criteria!$B$20),"FAIL: cover &lt; "&amp;SG_Criteria!$B$20&amp;" mm. ","")&amp;IF(AND(AD175&lt;&gt;"",AD175&lt;1),"FAIL: sliding. ","")&amp;IF(AND(D175="Reverse L-Wall (toe only, at boundary)",N(S175)&gt;0),"NOTE: reverse L-wall should have no heel. ","")&amp;IF(AND(D175="L-Wall (heel only)",N(R175)&gt;0),"NOTE: L-wall should have no toe. ","")&amp;IF(AND(F175&lt;&gt;"",F175&lt;SG_Criteria!$B$31),"NOTE: q below LTA min "&amp;SG_Criteria!$B$31&amp;" kPa (not for LTA works). ","")))</f>
        <v/>
      </c>
      <c r="BK175" s="9"/>
      <c r="BL175" s="9"/>
      <c r="BM175" s="9"/>
      <c r="BN175" s="10" t="str">
        <f aca="false">IF(BM175="","",IFERROR(VLOOKUP(BM175,Projects!$A$5:$D$504,2,0),"Ref not in Projects"))</f>
        <v/>
      </c>
      <c r="BO175" s="10" t="str">
        <f aca="false">IF(BM175="","",IFERROR(VLOOKUP(BM175,Projects!$A$5:$D$504,4,0),"Ref not in Projects"))</f>
        <v/>
      </c>
      <c r="BP175" s="9"/>
      <c r="BQ175" s="9"/>
      <c r="BR175" s="9"/>
      <c r="BS175" s="40"/>
      <c r="BT175" s="9"/>
      <c r="BU175" s="40"/>
      <c r="BV175" s="9"/>
      <c r="BW175" s="40"/>
      <c r="BX175" s="9"/>
      <c r="BY175" s="9"/>
      <c r="BZ175" s="9"/>
      <c r="CA175" s="40"/>
      <c r="CB175" s="40"/>
      <c r="CC175" s="36" t="str">
        <f aca="false">IF(CB175="","",EDATE(CB175,SG_Criteria!$B$54*12))</f>
        <v/>
      </c>
      <c r="CD175" s="33" t="str">
        <f aca="true">IF(A175="","",IF(CB175="","NOTE: not reviewed yet",IF(TODAY()&gt;CC175,"NOTE: review overdue","OK")))</f>
        <v/>
      </c>
      <c r="CE175" s="37" t="str">
        <f aca="false">IF(A175="","",ROUND((IF(LEN(D175)&gt;0,1,0)+IF(LEN(E175)&gt;0,1,0)+IF(LEN(F175)&gt;0,1,0)+IF(LEN(G175)&gt;0,1,0)+IF(LEN(I175)&gt;0,1,0)+IF(LEN(K175)&gt;0,1,0)+IF(LEN(P175)&gt;0,1,0)+IF(LEN(Q175)&gt;0,1,0)+IF(LEN(T175)&gt;0,1,0)+IF(LEN(V175)&gt;0,1,0)+IF(LEN(W175)&gt;0,1,0)+IF(LEN(X175)&gt;0,1,0)+IF(LEN(Z175)&gt;0,1,0)+IF(LEN(AD175)&gt;0,1,0)+IF(LEN(AE175)&gt;0,1,0)+IF(LEN(AG175)&gt;0,1,0)+IF(LEN(AI175)&gt;0,1,0)+IF(LEN(BB175)&gt;0,1,0)+IF(LEN(BC175)&gt;0,1,0)+IF(LEN(AM175)&gt;0,1,0)+IF(LEN(AO175)&gt;0,1,0)+IF(LEN(AP175)&gt;0,1,0)+IF(LEN(AQ175)&gt;0,1,0)+IF(LEN(AR175)&gt;0,1,0)+IF(LEN(BA175)&gt;0,1,0)+IF(LEN(BM175)&gt;0,1,0)+IF(LEN(BZ175)&gt;0,1,0))/27,2))</f>
        <v/>
      </c>
      <c r="CF175" s="10" t="str">
        <f aca="false">IF(D175="","",IF(AND(AP175="Approved",ISERROR(SEARCH("FAIL",BJ175))),"Y","N"))</f>
        <v/>
      </c>
      <c r="CG175" s="10" t="str">
        <f aca="false">IF(D175="","",D175&amp;"|"&amp;E175&amp;"|"&amp;F175&amp;"|"&amp;G175&amp;"|"&amp;CF175)</f>
        <v/>
      </c>
    </row>
    <row r="176" customFormat="false" ht="15" hidden="false" customHeight="false" outlineLevel="0" collapsed="false">
      <c r="A176" s="10" t="str">
        <f aca="false">IF(D176="","","RW-"&amp;IFERROR(VLOOKUP(D176,Lists!$M$4:$N$22,2,0),"??")&amp;"-H"&amp;TEXT(E176*1000,"0000")&amp;"-S"&amp;F176&amp;IF(G176="Y","-GW","")&amp;"-"&amp;AO176)</f>
        <v/>
      </c>
      <c r="B176" s="10" t="str">
        <f aca="false">IF(D176="","",D176&amp;", H = "&amp;TEXT(E176,"0.0")&amp;" m, q = "&amp;F176&amp;" kPa"&amp;IF(G176="Y",", with GWT","")&amp;", "&amp;I176)</f>
        <v/>
      </c>
      <c r="C176" s="9"/>
      <c r="D176" s="9"/>
      <c r="E176" s="39"/>
      <c r="F176" s="38"/>
      <c r="G176" s="9"/>
      <c r="H176" s="38"/>
      <c r="I176" s="9"/>
      <c r="J176" s="38"/>
      <c r="K176" s="38"/>
      <c r="L176" s="38"/>
      <c r="M176" s="42"/>
      <c r="N176" s="9"/>
      <c r="O176" s="38"/>
      <c r="P176" s="38"/>
      <c r="Q176" s="38"/>
      <c r="R176" s="38"/>
      <c r="S176" s="38"/>
      <c r="T176" s="38"/>
      <c r="U176" s="9"/>
      <c r="V176" s="9"/>
      <c r="W176" s="38"/>
      <c r="X176" s="9"/>
      <c r="Y176" s="9"/>
      <c r="Z176" s="9"/>
      <c r="AA176" s="9"/>
      <c r="AB176" s="9"/>
      <c r="AC176" s="9"/>
      <c r="AD176" s="39"/>
      <c r="AE176" s="39"/>
      <c r="AF176" s="39"/>
      <c r="AG176" s="38"/>
      <c r="AH176" s="38"/>
      <c r="AI176" s="9"/>
      <c r="AJ176" s="38"/>
      <c r="AK176" s="9"/>
      <c r="AL176" s="39"/>
      <c r="AM176" s="9"/>
      <c r="AN176" s="9"/>
      <c r="AO176" s="9"/>
      <c r="AP176" s="9"/>
      <c r="AQ176" s="9"/>
      <c r="AR176" s="9"/>
      <c r="AS176" s="9"/>
      <c r="AT176" s="10" t="str">
        <f aca="false">IF(A176="","",SG_Criteria!$B$6&amp;SG_Criteria!$B$8&amp;"\"&amp;A176&amp;"\")</f>
        <v/>
      </c>
      <c r="AU176" s="10" t="str">
        <f aca="false">IF(A176="","",A176&amp;"_CAD.dwg")</f>
        <v/>
      </c>
      <c r="AV176" s="10" t="str">
        <f aca="false">IF(A176="","",A176&amp;"_DWG.pdf")</f>
        <v/>
      </c>
      <c r="AW176" s="10" t="str">
        <f aca="false">IF(A176="","",IF(AS176="Y",A176&amp;"_STAAD.std","n/a"))</f>
        <v/>
      </c>
      <c r="AX176" s="10" t="str">
        <f aca="false">IF(A176="","",A176&amp;"_CALC.xlsx")</f>
        <v/>
      </c>
      <c r="AY176" s="10" t="str">
        <f aca="false">IF(A176="","",A176&amp;"_CALC.pdf")</f>
        <v/>
      </c>
      <c r="AZ176" s="9"/>
      <c r="BA176" s="9"/>
      <c r="BB176" s="39"/>
      <c r="BC176" s="39"/>
      <c r="BD176" s="39"/>
      <c r="BE176" s="39"/>
      <c r="BF176" s="39"/>
      <c r="BG176" s="12" t="str">
        <f aca="false">IF(A176="","",IF(COUNTIF(Rebar_Schedule!$A$5:$A$2004,A176)=0,"",ROUND(SUMIF(Rebar_Schedule!$A$5:$A$2004,A176,Rebar_Schedule!$K$5:$K$2004),1)))</f>
        <v/>
      </c>
      <c r="BH176" s="33" t="str">
        <f aca="false">IF(A176="","",IF(BG176="","No rebar schedule yet",IF(ABS(BG176-N(BC176))/MAX(N(BC176),1)&gt;SG_Criteria!$B$55,"NOTE: register rebar differs from schedule by "&amp;TEXT(ABS(BG176-N(BC176))/MAX(N(BC176),1),"0%"),"OK")))</f>
        <v/>
      </c>
      <c r="BI176" s="33" t="str">
        <f aca="false">IF(OR(D176="",E176=""),"",IF(E176&lt;=IF(OR(D176="Block / Segmental",D176="Gabion",D176="Reinforced Earth (MSE)"),SG_Criteria!$B$34,SG_Criteria!$B$33),"No ERSS submission",IF(E176&lt;=SG_Criteria!$B$35,"QP(ST)",IF(E176&lt;=SG_Criteria!$B$36,"QP(ST) + AC","Geotechnical building works: QP(Geo) + AC"))))</f>
        <v/>
      </c>
      <c r="BJ176" s="33" t="str">
        <f aca="false">IF(D176="","",IF(LEN(IF(AND(V176&lt;&gt;"",IFERROR(VALUE(MID(V176,2,2)),0)&lt;SG_Criteria!$B$19),"FAIL: grade below C"&amp;SG_Criteria!$B$19&amp;". ","")&amp;IF(AND(W176&lt;&gt;"",W176&lt;SG_Criteria!$B$20),"FAIL: cover &lt; "&amp;SG_Criteria!$B$20&amp;" mm. ","")&amp;IF(AND(AD176&lt;&gt;"",AD176&lt;1),"FAIL: sliding. ","")&amp;IF(AND(D176="Reverse L-Wall (toe only, at boundary)",N(S176)&gt;0),"NOTE: reverse L-wall should have no heel. ","")&amp;IF(AND(D176="L-Wall (heel only)",N(R176)&gt;0),"NOTE: L-wall should have no toe. ","")&amp;IF(AND(F176&lt;&gt;"",F176&lt;SG_Criteria!$B$31),"NOTE: q below LTA min "&amp;SG_Criteria!$B$31&amp;" kPa (not for LTA works). ",""))=0,"OK",IF(AND(V176&lt;&gt;"",IFERROR(VALUE(MID(V176,2,2)),0)&lt;SG_Criteria!$B$19),"FAIL: grade below C"&amp;SG_Criteria!$B$19&amp;". ","")&amp;IF(AND(W176&lt;&gt;"",W176&lt;SG_Criteria!$B$20),"FAIL: cover &lt; "&amp;SG_Criteria!$B$20&amp;" mm. ","")&amp;IF(AND(AD176&lt;&gt;"",AD176&lt;1),"FAIL: sliding. ","")&amp;IF(AND(D176="Reverse L-Wall (toe only, at boundary)",N(S176)&gt;0),"NOTE: reverse L-wall should have no heel. ","")&amp;IF(AND(D176="L-Wall (heel only)",N(R176)&gt;0),"NOTE: L-wall should have no toe. ","")&amp;IF(AND(F176&lt;&gt;"",F176&lt;SG_Criteria!$B$31),"NOTE: q below LTA min "&amp;SG_Criteria!$B$31&amp;" kPa (not for LTA works). ","")))</f>
        <v/>
      </c>
      <c r="BK176" s="9"/>
      <c r="BL176" s="9"/>
      <c r="BM176" s="9"/>
      <c r="BN176" s="10" t="str">
        <f aca="false">IF(BM176="","",IFERROR(VLOOKUP(BM176,Projects!$A$5:$D$504,2,0),"Ref not in Projects"))</f>
        <v/>
      </c>
      <c r="BO176" s="10" t="str">
        <f aca="false">IF(BM176="","",IFERROR(VLOOKUP(BM176,Projects!$A$5:$D$504,4,0),"Ref not in Projects"))</f>
        <v/>
      </c>
      <c r="BP176" s="9"/>
      <c r="BQ176" s="9"/>
      <c r="BR176" s="9"/>
      <c r="BS176" s="40"/>
      <c r="BT176" s="9"/>
      <c r="BU176" s="40"/>
      <c r="BV176" s="9"/>
      <c r="BW176" s="40"/>
      <c r="BX176" s="9"/>
      <c r="BY176" s="9"/>
      <c r="BZ176" s="9"/>
      <c r="CA176" s="40"/>
      <c r="CB176" s="40"/>
      <c r="CC176" s="36" t="str">
        <f aca="false">IF(CB176="","",EDATE(CB176,SG_Criteria!$B$54*12))</f>
        <v/>
      </c>
      <c r="CD176" s="33" t="str">
        <f aca="true">IF(A176="","",IF(CB176="","NOTE: not reviewed yet",IF(TODAY()&gt;CC176,"NOTE: review overdue","OK")))</f>
        <v/>
      </c>
      <c r="CE176" s="37" t="str">
        <f aca="false">IF(A176="","",ROUND((IF(LEN(D176)&gt;0,1,0)+IF(LEN(E176)&gt;0,1,0)+IF(LEN(F176)&gt;0,1,0)+IF(LEN(G176)&gt;0,1,0)+IF(LEN(I176)&gt;0,1,0)+IF(LEN(K176)&gt;0,1,0)+IF(LEN(P176)&gt;0,1,0)+IF(LEN(Q176)&gt;0,1,0)+IF(LEN(T176)&gt;0,1,0)+IF(LEN(V176)&gt;0,1,0)+IF(LEN(W176)&gt;0,1,0)+IF(LEN(X176)&gt;0,1,0)+IF(LEN(Z176)&gt;0,1,0)+IF(LEN(AD176)&gt;0,1,0)+IF(LEN(AE176)&gt;0,1,0)+IF(LEN(AG176)&gt;0,1,0)+IF(LEN(AI176)&gt;0,1,0)+IF(LEN(BB176)&gt;0,1,0)+IF(LEN(BC176)&gt;0,1,0)+IF(LEN(AM176)&gt;0,1,0)+IF(LEN(AO176)&gt;0,1,0)+IF(LEN(AP176)&gt;0,1,0)+IF(LEN(AQ176)&gt;0,1,0)+IF(LEN(AR176)&gt;0,1,0)+IF(LEN(BA176)&gt;0,1,0)+IF(LEN(BM176)&gt;0,1,0)+IF(LEN(BZ176)&gt;0,1,0))/27,2))</f>
        <v/>
      </c>
      <c r="CF176" s="10" t="str">
        <f aca="false">IF(D176="","",IF(AND(AP176="Approved",ISERROR(SEARCH("FAIL",BJ176))),"Y","N"))</f>
        <v/>
      </c>
      <c r="CG176" s="10" t="str">
        <f aca="false">IF(D176="","",D176&amp;"|"&amp;E176&amp;"|"&amp;F176&amp;"|"&amp;G176&amp;"|"&amp;CF176)</f>
        <v/>
      </c>
    </row>
    <row r="177" customFormat="false" ht="15" hidden="false" customHeight="false" outlineLevel="0" collapsed="false">
      <c r="A177" s="10" t="str">
        <f aca="false">IF(D177="","","RW-"&amp;IFERROR(VLOOKUP(D177,Lists!$M$4:$N$22,2,0),"??")&amp;"-H"&amp;TEXT(E177*1000,"0000")&amp;"-S"&amp;F177&amp;IF(G177="Y","-GW","")&amp;"-"&amp;AO177)</f>
        <v/>
      </c>
      <c r="B177" s="10" t="str">
        <f aca="false">IF(D177="","",D177&amp;", H = "&amp;TEXT(E177,"0.0")&amp;" m, q = "&amp;F177&amp;" kPa"&amp;IF(G177="Y",", with GWT","")&amp;", "&amp;I177)</f>
        <v/>
      </c>
      <c r="C177" s="9"/>
      <c r="D177" s="9"/>
      <c r="E177" s="39"/>
      <c r="F177" s="38"/>
      <c r="G177" s="9"/>
      <c r="H177" s="38"/>
      <c r="I177" s="9"/>
      <c r="J177" s="38"/>
      <c r="K177" s="38"/>
      <c r="L177" s="38"/>
      <c r="M177" s="42"/>
      <c r="N177" s="9"/>
      <c r="O177" s="38"/>
      <c r="P177" s="38"/>
      <c r="Q177" s="38"/>
      <c r="R177" s="38"/>
      <c r="S177" s="38"/>
      <c r="T177" s="38"/>
      <c r="U177" s="9"/>
      <c r="V177" s="9"/>
      <c r="W177" s="38"/>
      <c r="X177" s="9"/>
      <c r="Y177" s="9"/>
      <c r="Z177" s="9"/>
      <c r="AA177" s="9"/>
      <c r="AB177" s="9"/>
      <c r="AC177" s="9"/>
      <c r="AD177" s="39"/>
      <c r="AE177" s="39"/>
      <c r="AF177" s="39"/>
      <c r="AG177" s="38"/>
      <c r="AH177" s="38"/>
      <c r="AI177" s="9"/>
      <c r="AJ177" s="38"/>
      <c r="AK177" s="9"/>
      <c r="AL177" s="39"/>
      <c r="AM177" s="9"/>
      <c r="AN177" s="9"/>
      <c r="AO177" s="9"/>
      <c r="AP177" s="9"/>
      <c r="AQ177" s="9"/>
      <c r="AR177" s="9"/>
      <c r="AS177" s="9"/>
      <c r="AT177" s="10" t="str">
        <f aca="false">IF(A177="","",SG_Criteria!$B$6&amp;SG_Criteria!$B$8&amp;"\"&amp;A177&amp;"\")</f>
        <v/>
      </c>
      <c r="AU177" s="10" t="str">
        <f aca="false">IF(A177="","",A177&amp;"_CAD.dwg")</f>
        <v/>
      </c>
      <c r="AV177" s="10" t="str">
        <f aca="false">IF(A177="","",A177&amp;"_DWG.pdf")</f>
        <v/>
      </c>
      <c r="AW177" s="10" t="str">
        <f aca="false">IF(A177="","",IF(AS177="Y",A177&amp;"_STAAD.std","n/a"))</f>
        <v/>
      </c>
      <c r="AX177" s="10" t="str">
        <f aca="false">IF(A177="","",A177&amp;"_CALC.xlsx")</f>
        <v/>
      </c>
      <c r="AY177" s="10" t="str">
        <f aca="false">IF(A177="","",A177&amp;"_CALC.pdf")</f>
        <v/>
      </c>
      <c r="AZ177" s="9"/>
      <c r="BA177" s="9"/>
      <c r="BB177" s="39"/>
      <c r="BC177" s="39"/>
      <c r="BD177" s="39"/>
      <c r="BE177" s="39"/>
      <c r="BF177" s="39"/>
      <c r="BG177" s="12" t="str">
        <f aca="false">IF(A177="","",IF(COUNTIF(Rebar_Schedule!$A$5:$A$2004,A177)=0,"",ROUND(SUMIF(Rebar_Schedule!$A$5:$A$2004,A177,Rebar_Schedule!$K$5:$K$2004),1)))</f>
        <v/>
      </c>
      <c r="BH177" s="33" t="str">
        <f aca="false">IF(A177="","",IF(BG177="","No rebar schedule yet",IF(ABS(BG177-N(BC177))/MAX(N(BC177),1)&gt;SG_Criteria!$B$55,"NOTE: register rebar differs from schedule by "&amp;TEXT(ABS(BG177-N(BC177))/MAX(N(BC177),1),"0%"),"OK")))</f>
        <v/>
      </c>
      <c r="BI177" s="33" t="str">
        <f aca="false">IF(OR(D177="",E177=""),"",IF(E177&lt;=IF(OR(D177="Block / Segmental",D177="Gabion",D177="Reinforced Earth (MSE)"),SG_Criteria!$B$34,SG_Criteria!$B$33),"No ERSS submission",IF(E177&lt;=SG_Criteria!$B$35,"QP(ST)",IF(E177&lt;=SG_Criteria!$B$36,"QP(ST) + AC","Geotechnical building works: QP(Geo) + AC"))))</f>
        <v/>
      </c>
      <c r="BJ177" s="33" t="str">
        <f aca="false">IF(D177="","",IF(LEN(IF(AND(V177&lt;&gt;"",IFERROR(VALUE(MID(V177,2,2)),0)&lt;SG_Criteria!$B$19),"FAIL: grade below C"&amp;SG_Criteria!$B$19&amp;". ","")&amp;IF(AND(W177&lt;&gt;"",W177&lt;SG_Criteria!$B$20),"FAIL: cover &lt; "&amp;SG_Criteria!$B$20&amp;" mm. ","")&amp;IF(AND(AD177&lt;&gt;"",AD177&lt;1),"FAIL: sliding. ","")&amp;IF(AND(D177="Reverse L-Wall (toe only, at boundary)",N(S177)&gt;0),"NOTE: reverse L-wall should have no heel. ","")&amp;IF(AND(D177="L-Wall (heel only)",N(R177)&gt;0),"NOTE: L-wall should have no toe. ","")&amp;IF(AND(F177&lt;&gt;"",F177&lt;SG_Criteria!$B$31),"NOTE: q below LTA min "&amp;SG_Criteria!$B$31&amp;" kPa (not for LTA works). ",""))=0,"OK",IF(AND(V177&lt;&gt;"",IFERROR(VALUE(MID(V177,2,2)),0)&lt;SG_Criteria!$B$19),"FAIL: grade below C"&amp;SG_Criteria!$B$19&amp;". ","")&amp;IF(AND(W177&lt;&gt;"",W177&lt;SG_Criteria!$B$20),"FAIL: cover &lt; "&amp;SG_Criteria!$B$20&amp;" mm. ","")&amp;IF(AND(AD177&lt;&gt;"",AD177&lt;1),"FAIL: sliding. ","")&amp;IF(AND(D177="Reverse L-Wall (toe only, at boundary)",N(S177)&gt;0),"NOTE: reverse L-wall should have no heel. ","")&amp;IF(AND(D177="L-Wall (heel only)",N(R177)&gt;0),"NOTE: L-wall should have no toe. ","")&amp;IF(AND(F177&lt;&gt;"",F177&lt;SG_Criteria!$B$31),"NOTE: q below LTA min "&amp;SG_Criteria!$B$31&amp;" kPa (not for LTA works). ","")))</f>
        <v/>
      </c>
      <c r="BK177" s="9"/>
      <c r="BL177" s="9"/>
      <c r="BM177" s="9"/>
      <c r="BN177" s="10" t="str">
        <f aca="false">IF(BM177="","",IFERROR(VLOOKUP(BM177,Projects!$A$5:$D$504,2,0),"Ref not in Projects"))</f>
        <v/>
      </c>
      <c r="BO177" s="10" t="str">
        <f aca="false">IF(BM177="","",IFERROR(VLOOKUP(BM177,Projects!$A$5:$D$504,4,0),"Ref not in Projects"))</f>
        <v/>
      </c>
      <c r="BP177" s="9"/>
      <c r="BQ177" s="9"/>
      <c r="BR177" s="9"/>
      <c r="BS177" s="40"/>
      <c r="BT177" s="9"/>
      <c r="BU177" s="40"/>
      <c r="BV177" s="9"/>
      <c r="BW177" s="40"/>
      <c r="BX177" s="9"/>
      <c r="BY177" s="9"/>
      <c r="BZ177" s="9"/>
      <c r="CA177" s="40"/>
      <c r="CB177" s="40"/>
      <c r="CC177" s="36" t="str">
        <f aca="false">IF(CB177="","",EDATE(CB177,SG_Criteria!$B$54*12))</f>
        <v/>
      </c>
      <c r="CD177" s="33" t="str">
        <f aca="true">IF(A177="","",IF(CB177="","NOTE: not reviewed yet",IF(TODAY()&gt;CC177,"NOTE: review overdue","OK")))</f>
        <v/>
      </c>
      <c r="CE177" s="37" t="str">
        <f aca="false">IF(A177="","",ROUND((IF(LEN(D177)&gt;0,1,0)+IF(LEN(E177)&gt;0,1,0)+IF(LEN(F177)&gt;0,1,0)+IF(LEN(G177)&gt;0,1,0)+IF(LEN(I177)&gt;0,1,0)+IF(LEN(K177)&gt;0,1,0)+IF(LEN(P177)&gt;0,1,0)+IF(LEN(Q177)&gt;0,1,0)+IF(LEN(T177)&gt;0,1,0)+IF(LEN(V177)&gt;0,1,0)+IF(LEN(W177)&gt;0,1,0)+IF(LEN(X177)&gt;0,1,0)+IF(LEN(Z177)&gt;0,1,0)+IF(LEN(AD177)&gt;0,1,0)+IF(LEN(AE177)&gt;0,1,0)+IF(LEN(AG177)&gt;0,1,0)+IF(LEN(AI177)&gt;0,1,0)+IF(LEN(BB177)&gt;0,1,0)+IF(LEN(BC177)&gt;0,1,0)+IF(LEN(AM177)&gt;0,1,0)+IF(LEN(AO177)&gt;0,1,0)+IF(LEN(AP177)&gt;0,1,0)+IF(LEN(AQ177)&gt;0,1,0)+IF(LEN(AR177)&gt;0,1,0)+IF(LEN(BA177)&gt;0,1,0)+IF(LEN(BM177)&gt;0,1,0)+IF(LEN(BZ177)&gt;0,1,0))/27,2))</f>
        <v/>
      </c>
      <c r="CF177" s="10" t="str">
        <f aca="false">IF(D177="","",IF(AND(AP177="Approved",ISERROR(SEARCH("FAIL",BJ177))),"Y","N"))</f>
        <v/>
      </c>
      <c r="CG177" s="10" t="str">
        <f aca="false">IF(D177="","",D177&amp;"|"&amp;E177&amp;"|"&amp;F177&amp;"|"&amp;G177&amp;"|"&amp;CF177)</f>
        <v/>
      </c>
    </row>
    <row r="178" customFormat="false" ht="15" hidden="false" customHeight="false" outlineLevel="0" collapsed="false">
      <c r="A178" s="10" t="str">
        <f aca="false">IF(D178="","","RW-"&amp;IFERROR(VLOOKUP(D178,Lists!$M$4:$N$22,2,0),"??")&amp;"-H"&amp;TEXT(E178*1000,"0000")&amp;"-S"&amp;F178&amp;IF(G178="Y","-GW","")&amp;"-"&amp;AO178)</f>
        <v/>
      </c>
      <c r="B178" s="10" t="str">
        <f aca="false">IF(D178="","",D178&amp;", H = "&amp;TEXT(E178,"0.0")&amp;" m, q = "&amp;F178&amp;" kPa"&amp;IF(G178="Y",", with GWT","")&amp;", "&amp;I178)</f>
        <v/>
      </c>
      <c r="C178" s="9"/>
      <c r="D178" s="9"/>
      <c r="E178" s="39"/>
      <c r="F178" s="38"/>
      <c r="G178" s="9"/>
      <c r="H178" s="38"/>
      <c r="I178" s="9"/>
      <c r="J178" s="38"/>
      <c r="K178" s="38"/>
      <c r="L178" s="38"/>
      <c r="M178" s="42"/>
      <c r="N178" s="9"/>
      <c r="O178" s="38"/>
      <c r="P178" s="38"/>
      <c r="Q178" s="38"/>
      <c r="R178" s="38"/>
      <c r="S178" s="38"/>
      <c r="T178" s="38"/>
      <c r="U178" s="9"/>
      <c r="V178" s="9"/>
      <c r="W178" s="38"/>
      <c r="X178" s="9"/>
      <c r="Y178" s="9"/>
      <c r="Z178" s="9"/>
      <c r="AA178" s="9"/>
      <c r="AB178" s="9"/>
      <c r="AC178" s="9"/>
      <c r="AD178" s="39"/>
      <c r="AE178" s="39"/>
      <c r="AF178" s="39"/>
      <c r="AG178" s="38"/>
      <c r="AH178" s="38"/>
      <c r="AI178" s="9"/>
      <c r="AJ178" s="38"/>
      <c r="AK178" s="9"/>
      <c r="AL178" s="39"/>
      <c r="AM178" s="9"/>
      <c r="AN178" s="9"/>
      <c r="AO178" s="9"/>
      <c r="AP178" s="9"/>
      <c r="AQ178" s="9"/>
      <c r="AR178" s="9"/>
      <c r="AS178" s="9"/>
      <c r="AT178" s="10" t="str">
        <f aca="false">IF(A178="","",SG_Criteria!$B$6&amp;SG_Criteria!$B$8&amp;"\"&amp;A178&amp;"\")</f>
        <v/>
      </c>
      <c r="AU178" s="10" t="str">
        <f aca="false">IF(A178="","",A178&amp;"_CAD.dwg")</f>
        <v/>
      </c>
      <c r="AV178" s="10" t="str">
        <f aca="false">IF(A178="","",A178&amp;"_DWG.pdf")</f>
        <v/>
      </c>
      <c r="AW178" s="10" t="str">
        <f aca="false">IF(A178="","",IF(AS178="Y",A178&amp;"_STAAD.std","n/a"))</f>
        <v/>
      </c>
      <c r="AX178" s="10" t="str">
        <f aca="false">IF(A178="","",A178&amp;"_CALC.xlsx")</f>
        <v/>
      </c>
      <c r="AY178" s="10" t="str">
        <f aca="false">IF(A178="","",A178&amp;"_CALC.pdf")</f>
        <v/>
      </c>
      <c r="AZ178" s="9"/>
      <c r="BA178" s="9"/>
      <c r="BB178" s="39"/>
      <c r="BC178" s="39"/>
      <c r="BD178" s="39"/>
      <c r="BE178" s="39"/>
      <c r="BF178" s="39"/>
      <c r="BG178" s="12" t="str">
        <f aca="false">IF(A178="","",IF(COUNTIF(Rebar_Schedule!$A$5:$A$2004,A178)=0,"",ROUND(SUMIF(Rebar_Schedule!$A$5:$A$2004,A178,Rebar_Schedule!$K$5:$K$2004),1)))</f>
        <v/>
      </c>
      <c r="BH178" s="33" t="str">
        <f aca="false">IF(A178="","",IF(BG178="","No rebar schedule yet",IF(ABS(BG178-N(BC178))/MAX(N(BC178),1)&gt;SG_Criteria!$B$55,"NOTE: register rebar differs from schedule by "&amp;TEXT(ABS(BG178-N(BC178))/MAX(N(BC178),1),"0%"),"OK")))</f>
        <v/>
      </c>
      <c r="BI178" s="33" t="str">
        <f aca="false">IF(OR(D178="",E178=""),"",IF(E178&lt;=IF(OR(D178="Block / Segmental",D178="Gabion",D178="Reinforced Earth (MSE)"),SG_Criteria!$B$34,SG_Criteria!$B$33),"No ERSS submission",IF(E178&lt;=SG_Criteria!$B$35,"QP(ST)",IF(E178&lt;=SG_Criteria!$B$36,"QP(ST) + AC","Geotechnical building works: QP(Geo) + AC"))))</f>
        <v/>
      </c>
      <c r="BJ178" s="33" t="str">
        <f aca="false">IF(D178="","",IF(LEN(IF(AND(V178&lt;&gt;"",IFERROR(VALUE(MID(V178,2,2)),0)&lt;SG_Criteria!$B$19),"FAIL: grade below C"&amp;SG_Criteria!$B$19&amp;". ","")&amp;IF(AND(W178&lt;&gt;"",W178&lt;SG_Criteria!$B$20),"FAIL: cover &lt; "&amp;SG_Criteria!$B$20&amp;" mm. ","")&amp;IF(AND(AD178&lt;&gt;"",AD178&lt;1),"FAIL: sliding. ","")&amp;IF(AND(D178="Reverse L-Wall (toe only, at boundary)",N(S178)&gt;0),"NOTE: reverse L-wall should have no heel. ","")&amp;IF(AND(D178="L-Wall (heel only)",N(R178)&gt;0),"NOTE: L-wall should have no toe. ","")&amp;IF(AND(F178&lt;&gt;"",F178&lt;SG_Criteria!$B$31),"NOTE: q below LTA min "&amp;SG_Criteria!$B$31&amp;" kPa (not for LTA works). ",""))=0,"OK",IF(AND(V178&lt;&gt;"",IFERROR(VALUE(MID(V178,2,2)),0)&lt;SG_Criteria!$B$19),"FAIL: grade below C"&amp;SG_Criteria!$B$19&amp;". ","")&amp;IF(AND(W178&lt;&gt;"",W178&lt;SG_Criteria!$B$20),"FAIL: cover &lt; "&amp;SG_Criteria!$B$20&amp;" mm. ","")&amp;IF(AND(AD178&lt;&gt;"",AD178&lt;1),"FAIL: sliding. ","")&amp;IF(AND(D178="Reverse L-Wall (toe only, at boundary)",N(S178)&gt;0),"NOTE: reverse L-wall should have no heel. ","")&amp;IF(AND(D178="L-Wall (heel only)",N(R178)&gt;0),"NOTE: L-wall should have no toe. ","")&amp;IF(AND(F178&lt;&gt;"",F178&lt;SG_Criteria!$B$31),"NOTE: q below LTA min "&amp;SG_Criteria!$B$31&amp;" kPa (not for LTA works). ","")))</f>
        <v/>
      </c>
      <c r="BK178" s="9"/>
      <c r="BL178" s="9"/>
      <c r="BM178" s="9"/>
      <c r="BN178" s="10" t="str">
        <f aca="false">IF(BM178="","",IFERROR(VLOOKUP(BM178,Projects!$A$5:$D$504,2,0),"Ref not in Projects"))</f>
        <v/>
      </c>
      <c r="BO178" s="10" t="str">
        <f aca="false">IF(BM178="","",IFERROR(VLOOKUP(BM178,Projects!$A$5:$D$504,4,0),"Ref not in Projects"))</f>
        <v/>
      </c>
      <c r="BP178" s="9"/>
      <c r="BQ178" s="9"/>
      <c r="BR178" s="9"/>
      <c r="BS178" s="40"/>
      <c r="BT178" s="9"/>
      <c r="BU178" s="40"/>
      <c r="BV178" s="9"/>
      <c r="BW178" s="40"/>
      <c r="BX178" s="9"/>
      <c r="BY178" s="9"/>
      <c r="BZ178" s="9"/>
      <c r="CA178" s="40"/>
      <c r="CB178" s="40"/>
      <c r="CC178" s="36" t="str">
        <f aca="false">IF(CB178="","",EDATE(CB178,SG_Criteria!$B$54*12))</f>
        <v/>
      </c>
      <c r="CD178" s="33" t="str">
        <f aca="true">IF(A178="","",IF(CB178="","NOTE: not reviewed yet",IF(TODAY()&gt;CC178,"NOTE: review overdue","OK")))</f>
        <v/>
      </c>
      <c r="CE178" s="37" t="str">
        <f aca="false">IF(A178="","",ROUND((IF(LEN(D178)&gt;0,1,0)+IF(LEN(E178)&gt;0,1,0)+IF(LEN(F178)&gt;0,1,0)+IF(LEN(G178)&gt;0,1,0)+IF(LEN(I178)&gt;0,1,0)+IF(LEN(K178)&gt;0,1,0)+IF(LEN(P178)&gt;0,1,0)+IF(LEN(Q178)&gt;0,1,0)+IF(LEN(T178)&gt;0,1,0)+IF(LEN(V178)&gt;0,1,0)+IF(LEN(W178)&gt;0,1,0)+IF(LEN(X178)&gt;0,1,0)+IF(LEN(Z178)&gt;0,1,0)+IF(LEN(AD178)&gt;0,1,0)+IF(LEN(AE178)&gt;0,1,0)+IF(LEN(AG178)&gt;0,1,0)+IF(LEN(AI178)&gt;0,1,0)+IF(LEN(BB178)&gt;0,1,0)+IF(LEN(BC178)&gt;0,1,0)+IF(LEN(AM178)&gt;0,1,0)+IF(LEN(AO178)&gt;0,1,0)+IF(LEN(AP178)&gt;0,1,0)+IF(LEN(AQ178)&gt;0,1,0)+IF(LEN(AR178)&gt;0,1,0)+IF(LEN(BA178)&gt;0,1,0)+IF(LEN(BM178)&gt;0,1,0)+IF(LEN(BZ178)&gt;0,1,0))/27,2))</f>
        <v/>
      </c>
      <c r="CF178" s="10" t="str">
        <f aca="false">IF(D178="","",IF(AND(AP178="Approved",ISERROR(SEARCH("FAIL",BJ178))),"Y","N"))</f>
        <v/>
      </c>
      <c r="CG178" s="10" t="str">
        <f aca="false">IF(D178="","",D178&amp;"|"&amp;E178&amp;"|"&amp;F178&amp;"|"&amp;G178&amp;"|"&amp;CF178)</f>
        <v/>
      </c>
    </row>
    <row r="179" customFormat="false" ht="15" hidden="false" customHeight="false" outlineLevel="0" collapsed="false">
      <c r="A179" s="10" t="str">
        <f aca="false">IF(D179="","","RW-"&amp;IFERROR(VLOOKUP(D179,Lists!$M$4:$N$22,2,0),"??")&amp;"-H"&amp;TEXT(E179*1000,"0000")&amp;"-S"&amp;F179&amp;IF(G179="Y","-GW","")&amp;"-"&amp;AO179)</f>
        <v/>
      </c>
      <c r="B179" s="10" t="str">
        <f aca="false">IF(D179="","",D179&amp;", H = "&amp;TEXT(E179,"0.0")&amp;" m, q = "&amp;F179&amp;" kPa"&amp;IF(G179="Y",", with GWT","")&amp;", "&amp;I179)</f>
        <v/>
      </c>
      <c r="C179" s="9"/>
      <c r="D179" s="9"/>
      <c r="E179" s="39"/>
      <c r="F179" s="38"/>
      <c r="G179" s="9"/>
      <c r="H179" s="38"/>
      <c r="I179" s="9"/>
      <c r="J179" s="38"/>
      <c r="K179" s="38"/>
      <c r="L179" s="38"/>
      <c r="M179" s="42"/>
      <c r="N179" s="9"/>
      <c r="O179" s="38"/>
      <c r="P179" s="38"/>
      <c r="Q179" s="38"/>
      <c r="R179" s="38"/>
      <c r="S179" s="38"/>
      <c r="T179" s="38"/>
      <c r="U179" s="9"/>
      <c r="V179" s="9"/>
      <c r="W179" s="38"/>
      <c r="X179" s="9"/>
      <c r="Y179" s="9"/>
      <c r="Z179" s="9"/>
      <c r="AA179" s="9"/>
      <c r="AB179" s="9"/>
      <c r="AC179" s="9"/>
      <c r="AD179" s="39"/>
      <c r="AE179" s="39"/>
      <c r="AF179" s="39"/>
      <c r="AG179" s="38"/>
      <c r="AH179" s="38"/>
      <c r="AI179" s="9"/>
      <c r="AJ179" s="38"/>
      <c r="AK179" s="9"/>
      <c r="AL179" s="39"/>
      <c r="AM179" s="9"/>
      <c r="AN179" s="9"/>
      <c r="AO179" s="9"/>
      <c r="AP179" s="9"/>
      <c r="AQ179" s="9"/>
      <c r="AR179" s="9"/>
      <c r="AS179" s="9"/>
      <c r="AT179" s="10" t="str">
        <f aca="false">IF(A179="","",SG_Criteria!$B$6&amp;SG_Criteria!$B$8&amp;"\"&amp;A179&amp;"\")</f>
        <v/>
      </c>
      <c r="AU179" s="10" t="str">
        <f aca="false">IF(A179="","",A179&amp;"_CAD.dwg")</f>
        <v/>
      </c>
      <c r="AV179" s="10" t="str">
        <f aca="false">IF(A179="","",A179&amp;"_DWG.pdf")</f>
        <v/>
      </c>
      <c r="AW179" s="10" t="str">
        <f aca="false">IF(A179="","",IF(AS179="Y",A179&amp;"_STAAD.std","n/a"))</f>
        <v/>
      </c>
      <c r="AX179" s="10" t="str">
        <f aca="false">IF(A179="","",A179&amp;"_CALC.xlsx")</f>
        <v/>
      </c>
      <c r="AY179" s="10" t="str">
        <f aca="false">IF(A179="","",A179&amp;"_CALC.pdf")</f>
        <v/>
      </c>
      <c r="AZ179" s="9"/>
      <c r="BA179" s="9"/>
      <c r="BB179" s="39"/>
      <c r="BC179" s="39"/>
      <c r="BD179" s="39"/>
      <c r="BE179" s="39"/>
      <c r="BF179" s="39"/>
      <c r="BG179" s="12" t="str">
        <f aca="false">IF(A179="","",IF(COUNTIF(Rebar_Schedule!$A$5:$A$2004,A179)=0,"",ROUND(SUMIF(Rebar_Schedule!$A$5:$A$2004,A179,Rebar_Schedule!$K$5:$K$2004),1)))</f>
        <v/>
      </c>
      <c r="BH179" s="33" t="str">
        <f aca="false">IF(A179="","",IF(BG179="","No rebar schedule yet",IF(ABS(BG179-N(BC179))/MAX(N(BC179),1)&gt;SG_Criteria!$B$55,"NOTE: register rebar differs from schedule by "&amp;TEXT(ABS(BG179-N(BC179))/MAX(N(BC179),1),"0%"),"OK")))</f>
        <v/>
      </c>
      <c r="BI179" s="33" t="str">
        <f aca="false">IF(OR(D179="",E179=""),"",IF(E179&lt;=IF(OR(D179="Block / Segmental",D179="Gabion",D179="Reinforced Earth (MSE)"),SG_Criteria!$B$34,SG_Criteria!$B$33),"No ERSS submission",IF(E179&lt;=SG_Criteria!$B$35,"QP(ST)",IF(E179&lt;=SG_Criteria!$B$36,"QP(ST) + AC","Geotechnical building works: QP(Geo) + AC"))))</f>
        <v/>
      </c>
      <c r="BJ179" s="33" t="str">
        <f aca="false">IF(D179="","",IF(LEN(IF(AND(V179&lt;&gt;"",IFERROR(VALUE(MID(V179,2,2)),0)&lt;SG_Criteria!$B$19),"FAIL: grade below C"&amp;SG_Criteria!$B$19&amp;". ","")&amp;IF(AND(W179&lt;&gt;"",W179&lt;SG_Criteria!$B$20),"FAIL: cover &lt; "&amp;SG_Criteria!$B$20&amp;" mm. ","")&amp;IF(AND(AD179&lt;&gt;"",AD179&lt;1),"FAIL: sliding. ","")&amp;IF(AND(D179="Reverse L-Wall (toe only, at boundary)",N(S179)&gt;0),"NOTE: reverse L-wall should have no heel. ","")&amp;IF(AND(D179="L-Wall (heel only)",N(R179)&gt;0),"NOTE: L-wall should have no toe. ","")&amp;IF(AND(F179&lt;&gt;"",F179&lt;SG_Criteria!$B$31),"NOTE: q below LTA min "&amp;SG_Criteria!$B$31&amp;" kPa (not for LTA works). ",""))=0,"OK",IF(AND(V179&lt;&gt;"",IFERROR(VALUE(MID(V179,2,2)),0)&lt;SG_Criteria!$B$19),"FAIL: grade below C"&amp;SG_Criteria!$B$19&amp;". ","")&amp;IF(AND(W179&lt;&gt;"",W179&lt;SG_Criteria!$B$20),"FAIL: cover &lt; "&amp;SG_Criteria!$B$20&amp;" mm. ","")&amp;IF(AND(AD179&lt;&gt;"",AD179&lt;1),"FAIL: sliding. ","")&amp;IF(AND(D179="Reverse L-Wall (toe only, at boundary)",N(S179)&gt;0),"NOTE: reverse L-wall should have no heel. ","")&amp;IF(AND(D179="L-Wall (heel only)",N(R179)&gt;0),"NOTE: L-wall should have no toe. ","")&amp;IF(AND(F179&lt;&gt;"",F179&lt;SG_Criteria!$B$31),"NOTE: q below LTA min "&amp;SG_Criteria!$B$31&amp;" kPa (not for LTA works). ","")))</f>
        <v/>
      </c>
      <c r="BK179" s="9"/>
      <c r="BL179" s="9"/>
      <c r="BM179" s="9"/>
      <c r="BN179" s="10" t="str">
        <f aca="false">IF(BM179="","",IFERROR(VLOOKUP(BM179,Projects!$A$5:$D$504,2,0),"Ref not in Projects"))</f>
        <v/>
      </c>
      <c r="BO179" s="10" t="str">
        <f aca="false">IF(BM179="","",IFERROR(VLOOKUP(BM179,Projects!$A$5:$D$504,4,0),"Ref not in Projects"))</f>
        <v/>
      </c>
      <c r="BP179" s="9"/>
      <c r="BQ179" s="9"/>
      <c r="BR179" s="9"/>
      <c r="BS179" s="40"/>
      <c r="BT179" s="9"/>
      <c r="BU179" s="40"/>
      <c r="BV179" s="9"/>
      <c r="BW179" s="40"/>
      <c r="BX179" s="9"/>
      <c r="BY179" s="9"/>
      <c r="BZ179" s="9"/>
      <c r="CA179" s="40"/>
      <c r="CB179" s="40"/>
      <c r="CC179" s="36" t="str">
        <f aca="false">IF(CB179="","",EDATE(CB179,SG_Criteria!$B$54*12))</f>
        <v/>
      </c>
      <c r="CD179" s="33" t="str">
        <f aca="true">IF(A179="","",IF(CB179="","NOTE: not reviewed yet",IF(TODAY()&gt;CC179,"NOTE: review overdue","OK")))</f>
        <v/>
      </c>
      <c r="CE179" s="37" t="str">
        <f aca="false">IF(A179="","",ROUND((IF(LEN(D179)&gt;0,1,0)+IF(LEN(E179)&gt;0,1,0)+IF(LEN(F179)&gt;0,1,0)+IF(LEN(G179)&gt;0,1,0)+IF(LEN(I179)&gt;0,1,0)+IF(LEN(K179)&gt;0,1,0)+IF(LEN(P179)&gt;0,1,0)+IF(LEN(Q179)&gt;0,1,0)+IF(LEN(T179)&gt;0,1,0)+IF(LEN(V179)&gt;0,1,0)+IF(LEN(W179)&gt;0,1,0)+IF(LEN(X179)&gt;0,1,0)+IF(LEN(Z179)&gt;0,1,0)+IF(LEN(AD179)&gt;0,1,0)+IF(LEN(AE179)&gt;0,1,0)+IF(LEN(AG179)&gt;0,1,0)+IF(LEN(AI179)&gt;0,1,0)+IF(LEN(BB179)&gt;0,1,0)+IF(LEN(BC179)&gt;0,1,0)+IF(LEN(AM179)&gt;0,1,0)+IF(LEN(AO179)&gt;0,1,0)+IF(LEN(AP179)&gt;0,1,0)+IF(LEN(AQ179)&gt;0,1,0)+IF(LEN(AR179)&gt;0,1,0)+IF(LEN(BA179)&gt;0,1,0)+IF(LEN(BM179)&gt;0,1,0)+IF(LEN(BZ179)&gt;0,1,0))/27,2))</f>
        <v/>
      </c>
      <c r="CF179" s="10" t="str">
        <f aca="false">IF(D179="","",IF(AND(AP179="Approved",ISERROR(SEARCH("FAIL",BJ179))),"Y","N"))</f>
        <v/>
      </c>
      <c r="CG179" s="10" t="str">
        <f aca="false">IF(D179="","",D179&amp;"|"&amp;E179&amp;"|"&amp;F179&amp;"|"&amp;G179&amp;"|"&amp;CF179)</f>
        <v/>
      </c>
    </row>
    <row r="180" customFormat="false" ht="15" hidden="false" customHeight="false" outlineLevel="0" collapsed="false">
      <c r="A180" s="10" t="str">
        <f aca="false">IF(D180="","","RW-"&amp;IFERROR(VLOOKUP(D180,Lists!$M$4:$N$22,2,0),"??")&amp;"-H"&amp;TEXT(E180*1000,"0000")&amp;"-S"&amp;F180&amp;IF(G180="Y","-GW","")&amp;"-"&amp;AO180)</f>
        <v/>
      </c>
      <c r="B180" s="10" t="str">
        <f aca="false">IF(D180="","",D180&amp;", H = "&amp;TEXT(E180,"0.0")&amp;" m, q = "&amp;F180&amp;" kPa"&amp;IF(G180="Y",", with GWT","")&amp;", "&amp;I180)</f>
        <v/>
      </c>
      <c r="C180" s="9"/>
      <c r="D180" s="9"/>
      <c r="E180" s="39"/>
      <c r="F180" s="38"/>
      <c r="G180" s="9"/>
      <c r="H180" s="38"/>
      <c r="I180" s="9"/>
      <c r="J180" s="38"/>
      <c r="K180" s="38"/>
      <c r="L180" s="38"/>
      <c r="M180" s="42"/>
      <c r="N180" s="9"/>
      <c r="O180" s="38"/>
      <c r="P180" s="38"/>
      <c r="Q180" s="38"/>
      <c r="R180" s="38"/>
      <c r="S180" s="38"/>
      <c r="T180" s="38"/>
      <c r="U180" s="9"/>
      <c r="V180" s="9"/>
      <c r="W180" s="38"/>
      <c r="X180" s="9"/>
      <c r="Y180" s="9"/>
      <c r="Z180" s="9"/>
      <c r="AA180" s="9"/>
      <c r="AB180" s="9"/>
      <c r="AC180" s="9"/>
      <c r="AD180" s="39"/>
      <c r="AE180" s="39"/>
      <c r="AF180" s="39"/>
      <c r="AG180" s="38"/>
      <c r="AH180" s="38"/>
      <c r="AI180" s="9"/>
      <c r="AJ180" s="38"/>
      <c r="AK180" s="9"/>
      <c r="AL180" s="39"/>
      <c r="AM180" s="9"/>
      <c r="AN180" s="9"/>
      <c r="AO180" s="9"/>
      <c r="AP180" s="9"/>
      <c r="AQ180" s="9"/>
      <c r="AR180" s="9"/>
      <c r="AS180" s="9"/>
      <c r="AT180" s="10" t="str">
        <f aca="false">IF(A180="","",SG_Criteria!$B$6&amp;SG_Criteria!$B$8&amp;"\"&amp;A180&amp;"\")</f>
        <v/>
      </c>
      <c r="AU180" s="10" t="str">
        <f aca="false">IF(A180="","",A180&amp;"_CAD.dwg")</f>
        <v/>
      </c>
      <c r="AV180" s="10" t="str">
        <f aca="false">IF(A180="","",A180&amp;"_DWG.pdf")</f>
        <v/>
      </c>
      <c r="AW180" s="10" t="str">
        <f aca="false">IF(A180="","",IF(AS180="Y",A180&amp;"_STAAD.std","n/a"))</f>
        <v/>
      </c>
      <c r="AX180" s="10" t="str">
        <f aca="false">IF(A180="","",A180&amp;"_CALC.xlsx")</f>
        <v/>
      </c>
      <c r="AY180" s="10" t="str">
        <f aca="false">IF(A180="","",A180&amp;"_CALC.pdf")</f>
        <v/>
      </c>
      <c r="AZ180" s="9"/>
      <c r="BA180" s="9"/>
      <c r="BB180" s="39"/>
      <c r="BC180" s="39"/>
      <c r="BD180" s="39"/>
      <c r="BE180" s="39"/>
      <c r="BF180" s="39"/>
      <c r="BG180" s="12" t="str">
        <f aca="false">IF(A180="","",IF(COUNTIF(Rebar_Schedule!$A$5:$A$2004,A180)=0,"",ROUND(SUMIF(Rebar_Schedule!$A$5:$A$2004,A180,Rebar_Schedule!$K$5:$K$2004),1)))</f>
        <v/>
      </c>
      <c r="BH180" s="33" t="str">
        <f aca="false">IF(A180="","",IF(BG180="","No rebar schedule yet",IF(ABS(BG180-N(BC180))/MAX(N(BC180),1)&gt;SG_Criteria!$B$55,"NOTE: register rebar differs from schedule by "&amp;TEXT(ABS(BG180-N(BC180))/MAX(N(BC180),1),"0%"),"OK")))</f>
        <v/>
      </c>
      <c r="BI180" s="33" t="str">
        <f aca="false">IF(OR(D180="",E180=""),"",IF(E180&lt;=IF(OR(D180="Block / Segmental",D180="Gabion",D180="Reinforced Earth (MSE)"),SG_Criteria!$B$34,SG_Criteria!$B$33),"No ERSS submission",IF(E180&lt;=SG_Criteria!$B$35,"QP(ST)",IF(E180&lt;=SG_Criteria!$B$36,"QP(ST) + AC","Geotechnical building works: QP(Geo) + AC"))))</f>
        <v/>
      </c>
      <c r="BJ180" s="33" t="str">
        <f aca="false">IF(D180="","",IF(LEN(IF(AND(V180&lt;&gt;"",IFERROR(VALUE(MID(V180,2,2)),0)&lt;SG_Criteria!$B$19),"FAIL: grade below C"&amp;SG_Criteria!$B$19&amp;". ","")&amp;IF(AND(W180&lt;&gt;"",W180&lt;SG_Criteria!$B$20),"FAIL: cover &lt; "&amp;SG_Criteria!$B$20&amp;" mm. ","")&amp;IF(AND(AD180&lt;&gt;"",AD180&lt;1),"FAIL: sliding. ","")&amp;IF(AND(D180="Reverse L-Wall (toe only, at boundary)",N(S180)&gt;0),"NOTE: reverse L-wall should have no heel. ","")&amp;IF(AND(D180="L-Wall (heel only)",N(R180)&gt;0),"NOTE: L-wall should have no toe. ","")&amp;IF(AND(F180&lt;&gt;"",F180&lt;SG_Criteria!$B$31),"NOTE: q below LTA min "&amp;SG_Criteria!$B$31&amp;" kPa (not for LTA works). ",""))=0,"OK",IF(AND(V180&lt;&gt;"",IFERROR(VALUE(MID(V180,2,2)),0)&lt;SG_Criteria!$B$19),"FAIL: grade below C"&amp;SG_Criteria!$B$19&amp;". ","")&amp;IF(AND(W180&lt;&gt;"",W180&lt;SG_Criteria!$B$20),"FAIL: cover &lt; "&amp;SG_Criteria!$B$20&amp;" mm. ","")&amp;IF(AND(AD180&lt;&gt;"",AD180&lt;1),"FAIL: sliding. ","")&amp;IF(AND(D180="Reverse L-Wall (toe only, at boundary)",N(S180)&gt;0),"NOTE: reverse L-wall should have no heel. ","")&amp;IF(AND(D180="L-Wall (heel only)",N(R180)&gt;0),"NOTE: L-wall should have no toe. ","")&amp;IF(AND(F180&lt;&gt;"",F180&lt;SG_Criteria!$B$31),"NOTE: q below LTA min "&amp;SG_Criteria!$B$31&amp;" kPa (not for LTA works). ","")))</f>
        <v/>
      </c>
      <c r="BK180" s="9"/>
      <c r="BL180" s="9"/>
      <c r="BM180" s="9"/>
      <c r="BN180" s="10" t="str">
        <f aca="false">IF(BM180="","",IFERROR(VLOOKUP(BM180,Projects!$A$5:$D$504,2,0),"Ref not in Projects"))</f>
        <v/>
      </c>
      <c r="BO180" s="10" t="str">
        <f aca="false">IF(BM180="","",IFERROR(VLOOKUP(BM180,Projects!$A$5:$D$504,4,0),"Ref not in Projects"))</f>
        <v/>
      </c>
      <c r="BP180" s="9"/>
      <c r="BQ180" s="9"/>
      <c r="BR180" s="9"/>
      <c r="BS180" s="40"/>
      <c r="BT180" s="9"/>
      <c r="BU180" s="40"/>
      <c r="BV180" s="9"/>
      <c r="BW180" s="40"/>
      <c r="BX180" s="9"/>
      <c r="BY180" s="9"/>
      <c r="BZ180" s="9"/>
      <c r="CA180" s="40"/>
      <c r="CB180" s="40"/>
      <c r="CC180" s="36" t="str">
        <f aca="false">IF(CB180="","",EDATE(CB180,SG_Criteria!$B$54*12))</f>
        <v/>
      </c>
      <c r="CD180" s="33" t="str">
        <f aca="true">IF(A180="","",IF(CB180="","NOTE: not reviewed yet",IF(TODAY()&gt;CC180,"NOTE: review overdue","OK")))</f>
        <v/>
      </c>
      <c r="CE180" s="37" t="str">
        <f aca="false">IF(A180="","",ROUND((IF(LEN(D180)&gt;0,1,0)+IF(LEN(E180)&gt;0,1,0)+IF(LEN(F180)&gt;0,1,0)+IF(LEN(G180)&gt;0,1,0)+IF(LEN(I180)&gt;0,1,0)+IF(LEN(K180)&gt;0,1,0)+IF(LEN(P180)&gt;0,1,0)+IF(LEN(Q180)&gt;0,1,0)+IF(LEN(T180)&gt;0,1,0)+IF(LEN(V180)&gt;0,1,0)+IF(LEN(W180)&gt;0,1,0)+IF(LEN(X180)&gt;0,1,0)+IF(LEN(Z180)&gt;0,1,0)+IF(LEN(AD180)&gt;0,1,0)+IF(LEN(AE180)&gt;0,1,0)+IF(LEN(AG180)&gt;0,1,0)+IF(LEN(AI180)&gt;0,1,0)+IF(LEN(BB180)&gt;0,1,0)+IF(LEN(BC180)&gt;0,1,0)+IF(LEN(AM180)&gt;0,1,0)+IF(LEN(AO180)&gt;0,1,0)+IF(LEN(AP180)&gt;0,1,0)+IF(LEN(AQ180)&gt;0,1,0)+IF(LEN(AR180)&gt;0,1,0)+IF(LEN(BA180)&gt;0,1,0)+IF(LEN(BM180)&gt;0,1,0)+IF(LEN(BZ180)&gt;0,1,0))/27,2))</f>
        <v/>
      </c>
      <c r="CF180" s="10" t="str">
        <f aca="false">IF(D180="","",IF(AND(AP180="Approved",ISERROR(SEARCH("FAIL",BJ180))),"Y","N"))</f>
        <v/>
      </c>
      <c r="CG180" s="10" t="str">
        <f aca="false">IF(D180="","",D180&amp;"|"&amp;E180&amp;"|"&amp;F180&amp;"|"&amp;G180&amp;"|"&amp;CF180)</f>
        <v/>
      </c>
    </row>
    <row r="181" customFormat="false" ht="15" hidden="false" customHeight="false" outlineLevel="0" collapsed="false">
      <c r="A181" s="10" t="str">
        <f aca="false">IF(D181="","","RW-"&amp;IFERROR(VLOOKUP(D181,Lists!$M$4:$N$22,2,0),"??")&amp;"-H"&amp;TEXT(E181*1000,"0000")&amp;"-S"&amp;F181&amp;IF(G181="Y","-GW","")&amp;"-"&amp;AO181)</f>
        <v/>
      </c>
      <c r="B181" s="10" t="str">
        <f aca="false">IF(D181="","",D181&amp;", H = "&amp;TEXT(E181,"0.0")&amp;" m, q = "&amp;F181&amp;" kPa"&amp;IF(G181="Y",", with GWT","")&amp;", "&amp;I181)</f>
        <v/>
      </c>
      <c r="C181" s="9"/>
      <c r="D181" s="9"/>
      <c r="E181" s="39"/>
      <c r="F181" s="38"/>
      <c r="G181" s="9"/>
      <c r="H181" s="38"/>
      <c r="I181" s="9"/>
      <c r="J181" s="38"/>
      <c r="K181" s="38"/>
      <c r="L181" s="38"/>
      <c r="M181" s="42"/>
      <c r="N181" s="9"/>
      <c r="O181" s="38"/>
      <c r="P181" s="38"/>
      <c r="Q181" s="38"/>
      <c r="R181" s="38"/>
      <c r="S181" s="38"/>
      <c r="T181" s="38"/>
      <c r="U181" s="9"/>
      <c r="V181" s="9"/>
      <c r="W181" s="38"/>
      <c r="X181" s="9"/>
      <c r="Y181" s="9"/>
      <c r="Z181" s="9"/>
      <c r="AA181" s="9"/>
      <c r="AB181" s="9"/>
      <c r="AC181" s="9"/>
      <c r="AD181" s="39"/>
      <c r="AE181" s="39"/>
      <c r="AF181" s="39"/>
      <c r="AG181" s="38"/>
      <c r="AH181" s="38"/>
      <c r="AI181" s="9"/>
      <c r="AJ181" s="38"/>
      <c r="AK181" s="9"/>
      <c r="AL181" s="39"/>
      <c r="AM181" s="9"/>
      <c r="AN181" s="9"/>
      <c r="AO181" s="9"/>
      <c r="AP181" s="9"/>
      <c r="AQ181" s="9"/>
      <c r="AR181" s="9"/>
      <c r="AS181" s="9"/>
      <c r="AT181" s="10" t="str">
        <f aca="false">IF(A181="","",SG_Criteria!$B$6&amp;SG_Criteria!$B$8&amp;"\"&amp;A181&amp;"\")</f>
        <v/>
      </c>
      <c r="AU181" s="10" t="str">
        <f aca="false">IF(A181="","",A181&amp;"_CAD.dwg")</f>
        <v/>
      </c>
      <c r="AV181" s="10" t="str">
        <f aca="false">IF(A181="","",A181&amp;"_DWG.pdf")</f>
        <v/>
      </c>
      <c r="AW181" s="10" t="str">
        <f aca="false">IF(A181="","",IF(AS181="Y",A181&amp;"_STAAD.std","n/a"))</f>
        <v/>
      </c>
      <c r="AX181" s="10" t="str">
        <f aca="false">IF(A181="","",A181&amp;"_CALC.xlsx")</f>
        <v/>
      </c>
      <c r="AY181" s="10" t="str">
        <f aca="false">IF(A181="","",A181&amp;"_CALC.pdf")</f>
        <v/>
      </c>
      <c r="AZ181" s="9"/>
      <c r="BA181" s="9"/>
      <c r="BB181" s="39"/>
      <c r="BC181" s="39"/>
      <c r="BD181" s="39"/>
      <c r="BE181" s="39"/>
      <c r="BF181" s="39"/>
      <c r="BG181" s="12" t="str">
        <f aca="false">IF(A181="","",IF(COUNTIF(Rebar_Schedule!$A$5:$A$2004,A181)=0,"",ROUND(SUMIF(Rebar_Schedule!$A$5:$A$2004,A181,Rebar_Schedule!$K$5:$K$2004),1)))</f>
        <v/>
      </c>
      <c r="BH181" s="33" t="str">
        <f aca="false">IF(A181="","",IF(BG181="","No rebar schedule yet",IF(ABS(BG181-N(BC181))/MAX(N(BC181),1)&gt;SG_Criteria!$B$55,"NOTE: register rebar differs from schedule by "&amp;TEXT(ABS(BG181-N(BC181))/MAX(N(BC181),1),"0%"),"OK")))</f>
        <v/>
      </c>
      <c r="BI181" s="33" t="str">
        <f aca="false">IF(OR(D181="",E181=""),"",IF(E181&lt;=IF(OR(D181="Block / Segmental",D181="Gabion",D181="Reinforced Earth (MSE)"),SG_Criteria!$B$34,SG_Criteria!$B$33),"No ERSS submission",IF(E181&lt;=SG_Criteria!$B$35,"QP(ST)",IF(E181&lt;=SG_Criteria!$B$36,"QP(ST) + AC","Geotechnical building works: QP(Geo) + AC"))))</f>
        <v/>
      </c>
      <c r="BJ181" s="33" t="str">
        <f aca="false">IF(D181="","",IF(LEN(IF(AND(V181&lt;&gt;"",IFERROR(VALUE(MID(V181,2,2)),0)&lt;SG_Criteria!$B$19),"FAIL: grade below C"&amp;SG_Criteria!$B$19&amp;". ","")&amp;IF(AND(W181&lt;&gt;"",W181&lt;SG_Criteria!$B$20),"FAIL: cover &lt; "&amp;SG_Criteria!$B$20&amp;" mm. ","")&amp;IF(AND(AD181&lt;&gt;"",AD181&lt;1),"FAIL: sliding. ","")&amp;IF(AND(D181="Reverse L-Wall (toe only, at boundary)",N(S181)&gt;0),"NOTE: reverse L-wall should have no heel. ","")&amp;IF(AND(D181="L-Wall (heel only)",N(R181)&gt;0),"NOTE: L-wall should have no toe. ","")&amp;IF(AND(F181&lt;&gt;"",F181&lt;SG_Criteria!$B$31),"NOTE: q below LTA min "&amp;SG_Criteria!$B$31&amp;" kPa (not for LTA works). ",""))=0,"OK",IF(AND(V181&lt;&gt;"",IFERROR(VALUE(MID(V181,2,2)),0)&lt;SG_Criteria!$B$19),"FAIL: grade below C"&amp;SG_Criteria!$B$19&amp;". ","")&amp;IF(AND(W181&lt;&gt;"",W181&lt;SG_Criteria!$B$20),"FAIL: cover &lt; "&amp;SG_Criteria!$B$20&amp;" mm. ","")&amp;IF(AND(AD181&lt;&gt;"",AD181&lt;1),"FAIL: sliding. ","")&amp;IF(AND(D181="Reverse L-Wall (toe only, at boundary)",N(S181)&gt;0),"NOTE: reverse L-wall should have no heel. ","")&amp;IF(AND(D181="L-Wall (heel only)",N(R181)&gt;0),"NOTE: L-wall should have no toe. ","")&amp;IF(AND(F181&lt;&gt;"",F181&lt;SG_Criteria!$B$31),"NOTE: q below LTA min "&amp;SG_Criteria!$B$31&amp;" kPa (not for LTA works). ","")))</f>
        <v/>
      </c>
      <c r="BK181" s="9"/>
      <c r="BL181" s="9"/>
      <c r="BM181" s="9"/>
      <c r="BN181" s="10" t="str">
        <f aca="false">IF(BM181="","",IFERROR(VLOOKUP(BM181,Projects!$A$5:$D$504,2,0),"Ref not in Projects"))</f>
        <v/>
      </c>
      <c r="BO181" s="10" t="str">
        <f aca="false">IF(BM181="","",IFERROR(VLOOKUP(BM181,Projects!$A$5:$D$504,4,0),"Ref not in Projects"))</f>
        <v/>
      </c>
      <c r="BP181" s="9"/>
      <c r="BQ181" s="9"/>
      <c r="BR181" s="9"/>
      <c r="BS181" s="40"/>
      <c r="BT181" s="9"/>
      <c r="BU181" s="40"/>
      <c r="BV181" s="9"/>
      <c r="BW181" s="40"/>
      <c r="BX181" s="9"/>
      <c r="BY181" s="9"/>
      <c r="BZ181" s="9"/>
      <c r="CA181" s="40"/>
      <c r="CB181" s="40"/>
      <c r="CC181" s="36" t="str">
        <f aca="false">IF(CB181="","",EDATE(CB181,SG_Criteria!$B$54*12))</f>
        <v/>
      </c>
      <c r="CD181" s="33" t="str">
        <f aca="true">IF(A181="","",IF(CB181="","NOTE: not reviewed yet",IF(TODAY()&gt;CC181,"NOTE: review overdue","OK")))</f>
        <v/>
      </c>
      <c r="CE181" s="37" t="str">
        <f aca="false">IF(A181="","",ROUND((IF(LEN(D181)&gt;0,1,0)+IF(LEN(E181)&gt;0,1,0)+IF(LEN(F181)&gt;0,1,0)+IF(LEN(G181)&gt;0,1,0)+IF(LEN(I181)&gt;0,1,0)+IF(LEN(K181)&gt;0,1,0)+IF(LEN(P181)&gt;0,1,0)+IF(LEN(Q181)&gt;0,1,0)+IF(LEN(T181)&gt;0,1,0)+IF(LEN(V181)&gt;0,1,0)+IF(LEN(W181)&gt;0,1,0)+IF(LEN(X181)&gt;0,1,0)+IF(LEN(Z181)&gt;0,1,0)+IF(LEN(AD181)&gt;0,1,0)+IF(LEN(AE181)&gt;0,1,0)+IF(LEN(AG181)&gt;0,1,0)+IF(LEN(AI181)&gt;0,1,0)+IF(LEN(BB181)&gt;0,1,0)+IF(LEN(BC181)&gt;0,1,0)+IF(LEN(AM181)&gt;0,1,0)+IF(LEN(AO181)&gt;0,1,0)+IF(LEN(AP181)&gt;0,1,0)+IF(LEN(AQ181)&gt;0,1,0)+IF(LEN(AR181)&gt;0,1,0)+IF(LEN(BA181)&gt;0,1,0)+IF(LEN(BM181)&gt;0,1,0)+IF(LEN(BZ181)&gt;0,1,0))/27,2))</f>
        <v/>
      </c>
      <c r="CF181" s="10" t="str">
        <f aca="false">IF(D181="","",IF(AND(AP181="Approved",ISERROR(SEARCH("FAIL",BJ181))),"Y","N"))</f>
        <v/>
      </c>
      <c r="CG181" s="10" t="str">
        <f aca="false">IF(D181="","",D181&amp;"|"&amp;E181&amp;"|"&amp;F181&amp;"|"&amp;G181&amp;"|"&amp;CF181)</f>
        <v/>
      </c>
    </row>
    <row r="182" customFormat="false" ht="15" hidden="false" customHeight="false" outlineLevel="0" collapsed="false">
      <c r="A182" s="10" t="str">
        <f aca="false">IF(D182="","","RW-"&amp;IFERROR(VLOOKUP(D182,Lists!$M$4:$N$22,2,0),"??")&amp;"-H"&amp;TEXT(E182*1000,"0000")&amp;"-S"&amp;F182&amp;IF(G182="Y","-GW","")&amp;"-"&amp;AO182)</f>
        <v/>
      </c>
      <c r="B182" s="10" t="str">
        <f aca="false">IF(D182="","",D182&amp;", H = "&amp;TEXT(E182,"0.0")&amp;" m, q = "&amp;F182&amp;" kPa"&amp;IF(G182="Y",", with GWT","")&amp;", "&amp;I182)</f>
        <v/>
      </c>
      <c r="C182" s="9"/>
      <c r="D182" s="9"/>
      <c r="E182" s="39"/>
      <c r="F182" s="38"/>
      <c r="G182" s="9"/>
      <c r="H182" s="38"/>
      <c r="I182" s="9"/>
      <c r="J182" s="38"/>
      <c r="K182" s="38"/>
      <c r="L182" s="38"/>
      <c r="M182" s="42"/>
      <c r="N182" s="9"/>
      <c r="O182" s="38"/>
      <c r="P182" s="38"/>
      <c r="Q182" s="38"/>
      <c r="R182" s="38"/>
      <c r="S182" s="38"/>
      <c r="T182" s="38"/>
      <c r="U182" s="9"/>
      <c r="V182" s="9"/>
      <c r="W182" s="38"/>
      <c r="X182" s="9"/>
      <c r="Y182" s="9"/>
      <c r="Z182" s="9"/>
      <c r="AA182" s="9"/>
      <c r="AB182" s="9"/>
      <c r="AC182" s="9"/>
      <c r="AD182" s="39"/>
      <c r="AE182" s="39"/>
      <c r="AF182" s="39"/>
      <c r="AG182" s="38"/>
      <c r="AH182" s="38"/>
      <c r="AI182" s="9"/>
      <c r="AJ182" s="38"/>
      <c r="AK182" s="9"/>
      <c r="AL182" s="39"/>
      <c r="AM182" s="9"/>
      <c r="AN182" s="9"/>
      <c r="AO182" s="9"/>
      <c r="AP182" s="9"/>
      <c r="AQ182" s="9"/>
      <c r="AR182" s="9"/>
      <c r="AS182" s="9"/>
      <c r="AT182" s="10" t="str">
        <f aca="false">IF(A182="","",SG_Criteria!$B$6&amp;SG_Criteria!$B$8&amp;"\"&amp;A182&amp;"\")</f>
        <v/>
      </c>
      <c r="AU182" s="10" t="str">
        <f aca="false">IF(A182="","",A182&amp;"_CAD.dwg")</f>
        <v/>
      </c>
      <c r="AV182" s="10" t="str">
        <f aca="false">IF(A182="","",A182&amp;"_DWG.pdf")</f>
        <v/>
      </c>
      <c r="AW182" s="10" t="str">
        <f aca="false">IF(A182="","",IF(AS182="Y",A182&amp;"_STAAD.std","n/a"))</f>
        <v/>
      </c>
      <c r="AX182" s="10" t="str">
        <f aca="false">IF(A182="","",A182&amp;"_CALC.xlsx")</f>
        <v/>
      </c>
      <c r="AY182" s="10" t="str">
        <f aca="false">IF(A182="","",A182&amp;"_CALC.pdf")</f>
        <v/>
      </c>
      <c r="AZ182" s="9"/>
      <c r="BA182" s="9"/>
      <c r="BB182" s="39"/>
      <c r="BC182" s="39"/>
      <c r="BD182" s="39"/>
      <c r="BE182" s="39"/>
      <c r="BF182" s="39"/>
      <c r="BG182" s="12" t="str">
        <f aca="false">IF(A182="","",IF(COUNTIF(Rebar_Schedule!$A$5:$A$2004,A182)=0,"",ROUND(SUMIF(Rebar_Schedule!$A$5:$A$2004,A182,Rebar_Schedule!$K$5:$K$2004),1)))</f>
        <v/>
      </c>
      <c r="BH182" s="33" t="str">
        <f aca="false">IF(A182="","",IF(BG182="","No rebar schedule yet",IF(ABS(BG182-N(BC182))/MAX(N(BC182),1)&gt;SG_Criteria!$B$55,"NOTE: register rebar differs from schedule by "&amp;TEXT(ABS(BG182-N(BC182))/MAX(N(BC182),1),"0%"),"OK")))</f>
        <v/>
      </c>
      <c r="BI182" s="33" t="str">
        <f aca="false">IF(OR(D182="",E182=""),"",IF(E182&lt;=IF(OR(D182="Block / Segmental",D182="Gabion",D182="Reinforced Earth (MSE)"),SG_Criteria!$B$34,SG_Criteria!$B$33),"No ERSS submission",IF(E182&lt;=SG_Criteria!$B$35,"QP(ST)",IF(E182&lt;=SG_Criteria!$B$36,"QP(ST) + AC","Geotechnical building works: QP(Geo) + AC"))))</f>
        <v/>
      </c>
      <c r="BJ182" s="33" t="str">
        <f aca="false">IF(D182="","",IF(LEN(IF(AND(V182&lt;&gt;"",IFERROR(VALUE(MID(V182,2,2)),0)&lt;SG_Criteria!$B$19),"FAIL: grade below C"&amp;SG_Criteria!$B$19&amp;". ","")&amp;IF(AND(W182&lt;&gt;"",W182&lt;SG_Criteria!$B$20),"FAIL: cover &lt; "&amp;SG_Criteria!$B$20&amp;" mm. ","")&amp;IF(AND(AD182&lt;&gt;"",AD182&lt;1),"FAIL: sliding. ","")&amp;IF(AND(D182="Reverse L-Wall (toe only, at boundary)",N(S182)&gt;0),"NOTE: reverse L-wall should have no heel. ","")&amp;IF(AND(D182="L-Wall (heel only)",N(R182)&gt;0),"NOTE: L-wall should have no toe. ","")&amp;IF(AND(F182&lt;&gt;"",F182&lt;SG_Criteria!$B$31),"NOTE: q below LTA min "&amp;SG_Criteria!$B$31&amp;" kPa (not for LTA works). ",""))=0,"OK",IF(AND(V182&lt;&gt;"",IFERROR(VALUE(MID(V182,2,2)),0)&lt;SG_Criteria!$B$19),"FAIL: grade below C"&amp;SG_Criteria!$B$19&amp;". ","")&amp;IF(AND(W182&lt;&gt;"",W182&lt;SG_Criteria!$B$20),"FAIL: cover &lt; "&amp;SG_Criteria!$B$20&amp;" mm. ","")&amp;IF(AND(AD182&lt;&gt;"",AD182&lt;1),"FAIL: sliding. ","")&amp;IF(AND(D182="Reverse L-Wall (toe only, at boundary)",N(S182)&gt;0),"NOTE: reverse L-wall should have no heel. ","")&amp;IF(AND(D182="L-Wall (heel only)",N(R182)&gt;0),"NOTE: L-wall should have no toe. ","")&amp;IF(AND(F182&lt;&gt;"",F182&lt;SG_Criteria!$B$31),"NOTE: q below LTA min "&amp;SG_Criteria!$B$31&amp;" kPa (not for LTA works). ","")))</f>
        <v/>
      </c>
      <c r="BK182" s="9"/>
      <c r="BL182" s="9"/>
      <c r="BM182" s="9"/>
      <c r="BN182" s="10" t="str">
        <f aca="false">IF(BM182="","",IFERROR(VLOOKUP(BM182,Projects!$A$5:$D$504,2,0),"Ref not in Projects"))</f>
        <v/>
      </c>
      <c r="BO182" s="10" t="str">
        <f aca="false">IF(BM182="","",IFERROR(VLOOKUP(BM182,Projects!$A$5:$D$504,4,0),"Ref not in Projects"))</f>
        <v/>
      </c>
      <c r="BP182" s="9"/>
      <c r="BQ182" s="9"/>
      <c r="BR182" s="9"/>
      <c r="BS182" s="40"/>
      <c r="BT182" s="9"/>
      <c r="BU182" s="40"/>
      <c r="BV182" s="9"/>
      <c r="BW182" s="40"/>
      <c r="BX182" s="9"/>
      <c r="BY182" s="9"/>
      <c r="BZ182" s="9"/>
      <c r="CA182" s="40"/>
      <c r="CB182" s="40"/>
      <c r="CC182" s="36" t="str">
        <f aca="false">IF(CB182="","",EDATE(CB182,SG_Criteria!$B$54*12))</f>
        <v/>
      </c>
      <c r="CD182" s="33" t="str">
        <f aca="true">IF(A182="","",IF(CB182="","NOTE: not reviewed yet",IF(TODAY()&gt;CC182,"NOTE: review overdue","OK")))</f>
        <v/>
      </c>
      <c r="CE182" s="37" t="str">
        <f aca="false">IF(A182="","",ROUND((IF(LEN(D182)&gt;0,1,0)+IF(LEN(E182)&gt;0,1,0)+IF(LEN(F182)&gt;0,1,0)+IF(LEN(G182)&gt;0,1,0)+IF(LEN(I182)&gt;0,1,0)+IF(LEN(K182)&gt;0,1,0)+IF(LEN(P182)&gt;0,1,0)+IF(LEN(Q182)&gt;0,1,0)+IF(LEN(T182)&gt;0,1,0)+IF(LEN(V182)&gt;0,1,0)+IF(LEN(W182)&gt;0,1,0)+IF(LEN(X182)&gt;0,1,0)+IF(LEN(Z182)&gt;0,1,0)+IF(LEN(AD182)&gt;0,1,0)+IF(LEN(AE182)&gt;0,1,0)+IF(LEN(AG182)&gt;0,1,0)+IF(LEN(AI182)&gt;0,1,0)+IF(LEN(BB182)&gt;0,1,0)+IF(LEN(BC182)&gt;0,1,0)+IF(LEN(AM182)&gt;0,1,0)+IF(LEN(AO182)&gt;0,1,0)+IF(LEN(AP182)&gt;0,1,0)+IF(LEN(AQ182)&gt;0,1,0)+IF(LEN(AR182)&gt;0,1,0)+IF(LEN(BA182)&gt;0,1,0)+IF(LEN(BM182)&gt;0,1,0)+IF(LEN(BZ182)&gt;0,1,0))/27,2))</f>
        <v/>
      </c>
      <c r="CF182" s="10" t="str">
        <f aca="false">IF(D182="","",IF(AND(AP182="Approved",ISERROR(SEARCH("FAIL",BJ182))),"Y","N"))</f>
        <v/>
      </c>
      <c r="CG182" s="10" t="str">
        <f aca="false">IF(D182="","",D182&amp;"|"&amp;E182&amp;"|"&amp;F182&amp;"|"&amp;G182&amp;"|"&amp;CF182)</f>
        <v/>
      </c>
    </row>
    <row r="183" customFormat="false" ht="15" hidden="false" customHeight="false" outlineLevel="0" collapsed="false">
      <c r="A183" s="10" t="str">
        <f aca="false">IF(D183="","","RW-"&amp;IFERROR(VLOOKUP(D183,Lists!$M$4:$N$22,2,0),"??")&amp;"-H"&amp;TEXT(E183*1000,"0000")&amp;"-S"&amp;F183&amp;IF(G183="Y","-GW","")&amp;"-"&amp;AO183)</f>
        <v/>
      </c>
      <c r="B183" s="10" t="str">
        <f aca="false">IF(D183="","",D183&amp;", H = "&amp;TEXT(E183,"0.0")&amp;" m, q = "&amp;F183&amp;" kPa"&amp;IF(G183="Y",", with GWT","")&amp;", "&amp;I183)</f>
        <v/>
      </c>
      <c r="C183" s="9"/>
      <c r="D183" s="9"/>
      <c r="E183" s="39"/>
      <c r="F183" s="38"/>
      <c r="G183" s="9"/>
      <c r="H183" s="38"/>
      <c r="I183" s="9"/>
      <c r="J183" s="38"/>
      <c r="K183" s="38"/>
      <c r="L183" s="38"/>
      <c r="M183" s="42"/>
      <c r="N183" s="9"/>
      <c r="O183" s="38"/>
      <c r="P183" s="38"/>
      <c r="Q183" s="38"/>
      <c r="R183" s="38"/>
      <c r="S183" s="38"/>
      <c r="T183" s="38"/>
      <c r="U183" s="9"/>
      <c r="V183" s="9"/>
      <c r="W183" s="38"/>
      <c r="X183" s="9"/>
      <c r="Y183" s="9"/>
      <c r="Z183" s="9"/>
      <c r="AA183" s="9"/>
      <c r="AB183" s="9"/>
      <c r="AC183" s="9"/>
      <c r="AD183" s="39"/>
      <c r="AE183" s="39"/>
      <c r="AF183" s="39"/>
      <c r="AG183" s="38"/>
      <c r="AH183" s="38"/>
      <c r="AI183" s="9"/>
      <c r="AJ183" s="38"/>
      <c r="AK183" s="9"/>
      <c r="AL183" s="39"/>
      <c r="AM183" s="9"/>
      <c r="AN183" s="9"/>
      <c r="AO183" s="9"/>
      <c r="AP183" s="9"/>
      <c r="AQ183" s="9"/>
      <c r="AR183" s="9"/>
      <c r="AS183" s="9"/>
      <c r="AT183" s="10" t="str">
        <f aca="false">IF(A183="","",SG_Criteria!$B$6&amp;SG_Criteria!$B$8&amp;"\"&amp;A183&amp;"\")</f>
        <v/>
      </c>
      <c r="AU183" s="10" t="str">
        <f aca="false">IF(A183="","",A183&amp;"_CAD.dwg")</f>
        <v/>
      </c>
      <c r="AV183" s="10" t="str">
        <f aca="false">IF(A183="","",A183&amp;"_DWG.pdf")</f>
        <v/>
      </c>
      <c r="AW183" s="10" t="str">
        <f aca="false">IF(A183="","",IF(AS183="Y",A183&amp;"_STAAD.std","n/a"))</f>
        <v/>
      </c>
      <c r="AX183" s="10" t="str">
        <f aca="false">IF(A183="","",A183&amp;"_CALC.xlsx")</f>
        <v/>
      </c>
      <c r="AY183" s="10" t="str">
        <f aca="false">IF(A183="","",A183&amp;"_CALC.pdf")</f>
        <v/>
      </c>
      <c r="AZ183" s="9"/>
      <c r="BA183" s="9"/>
      <c r="BB183" s="39"/>
      <c r="BC183" s="39"/>
      <c r="BD183" s="39"/>
      <c r="BE183" s="39"/>
      <c r="BF183" s="39"/>
      <c r="BG183" s="12" t="str">
        <f aca="false">IF(A183="","",IF(COUNTIF(Rebar_Schedule!$A$5:$A$2004,A183)=0,"",ROUND(SUMIF(Rebar_Schedule!$A$5:$A$2004,A183,Rebar_Schedule!$K$5:$K$2004),1)))</f>
        <v/>
      </c>
      <c r="BH183" s="33" t="str">
        <f aca="false">IF(A183="","",IF(BG183="","No rebar schedule yet",IF(ABS(BG183-N(BC183))/MAX(N(BC183),1)&gt;SG_Criteria!$B$55,"NOTE: register rebar differs from schedule by "&amp;TEXT(ABS(BG183-N(BC183))/MAX(N(BC183),1),"0%"),"OK")))</f>
        <v/>
      </c>
      <c r="BI183" s="33" t="str">
        <f aca="false">IF(OR(D183="",E183=""),"",IF(E183&lt;=IF(OR(D183="Block / Segmental",D183="Gabion",D183="Reinforced Earth (MSE)"),SG_Criteria!$B$34,SG_Criteria!$B$33),"No ERSS submission",IF(E183&lt;=SG_Criteria!$B$35,"QP(ST)",IF(E183&lt;=SG_Criteria!$B$36,"QP(ST) + AC","Geotechnical building works: QP(Geo) + AC"))))</f>
        <v/>
      </c>
      <c r="BJ183" s="33" t="str">
        <f aca="false">IF(D183="","",IF(LEN(IF(AND(V183&lt;&gt;"",IFERROR(VALUE(MID(V183,2,2)),0)&lt;SG_Criteria!$B$19),"FAIL: grade below C"&amp;SG_Criteria!$B$19&amp;". ","")&amp;IF(AND(W183&lt;&gt;"",W183&lt;SG_Criteria!$B$20),"FAIL: cover &lt; "&amp;SG_Criteria!$B$20&amp;" mm. ","")&amp;IF(AND(AD183&lt;&gt;"",AD183&lt;1),"FAIL: sliding. ","")&amp;IF(AND(D183="Reverse L-Wall (toe only, at boundary)",N(S183)&gt;0),"NOTE: reverse L-wall should have no heel. ","")&amp;IF(AND(D183="L-Wall (heel only)",N(R183)&gt;0),"NOTE: L-wall should have no toe. ","")&amp;IF(AND(F183&lt;&gt;"",F183&lt;SG_Criteria!$B$31),"NOTE: q below LTA min "&amp;SG_Criteria!$B$31&amp;" kPa (not for LTA works). ",""))=0,"OK",IF(AND(V183&lt;&gt;"",IFERROR(VALUE(MID(V183,2,2)),0)&lt;SG_Criteria!$B$19),"FAIL: grade below C"&amp;SG_Criteria!$B$19&amp;". ","")&amp;IF(AND(W183&lt;&gt;"",W183&lt;SG_Criteria!$B$20),"FAIL: cover &lt; "&amp;SG_Criteria!$B$20&amp;" mm. ","")&amp;IF(AND(AD183&lt;&gt;"",AD183&lt;1),"FAIL: sliding. ","")&amp;IF(AND(D183="Reverse L-Wall (toe only, at boundary)",N(S183)&gt;0),"NOTE: reverse L-wall should have no heel. ","")&amp;IF(AND(D183="L-Wall (heel only)",N(R183)&gt;0),"NOTE: L-wall should have no toe. ","")&amp;IF(AND(F183&lt;&gt;"",F183&lt;SG_Criteria!$B$31),"NOTE: q below LTA min "&amp;SG_Criteria!$B$31&amp;" kPa (not for LTA works). ","")))</f>
        <v/>
      </c>
      <c r="BK183" s="9"/>
      <c r="BL183" s="9"/>
      <c r="BM183" s="9"/>
      <c r="BN183" s="10" t="str">
        <f aca="false">IF(BM183="","",IFERROR(VLOOKUP(BM183,Projects!$A$5:$D$504,2,0),"Ref not in Projects"))</f>
        <v/>
      </c>
      <c r="BO183" s="10" t="str">
        <f aca="false">IF(BM183="","",IFERROR(VLOOKUP(BM183,Projects!$A$5:$D$504,4,0),"Ref not in Projects"))</f>
        <v/>
      </c>
      <c r="BP183" s="9"/>
      <c r="BQ183" s="9"/>
      <c r="BR183" s="9"/>
      <c r="BS183" s="40"/>
      <c r="BT183" s="9"/>
      <c r="BU183" s="40"/>
      <c r="BV183" s="9"/>
      <c r="BW183" s="40"/>
      <c r="BX183" s="9"/>
      <c r="BY183" s="9"/>
      <c r="BZ183" s="9"/>
      <c r="CA183" s="40"/>
      <c r="CB183" s="40"/>
      <c r="CC183" s="36" t="str">
        <f aca="false">IF(CB183="","",EDATE(CB183,SG_Criteria!$B$54*12))</f>
        <v/>
      </c>
      <c r="CD183" s="33" t="str">
        <f aca="true">IF(A183="","",IF(CB183="","NOTE: not reviewed yet",IF(TODAY()&gt;CC183,"NOTE: review overdue","OK")))</f>
        <v/>
      </c>
      <c r="CE183" s="37" t="str">
        <f aca="false">IF(A183="","",ROUND((IF(LEN(D183)&gt;0,1,0)+IF(LEN(E183)&gt;0,1,0)+IF(LEN(F183)&gt;0,1,0)+IF(LEN(G183)&gt;0,1,0)+IF(LEN(I183)&gt;0,1,0)+IF(LEN(K183)&gt;0,1,0)+IF(LEN(P183)&gt;0,1,0)+IF(LEN(Q183)&gt;0,1,0)+IF(LEN(T183)&gt;0,1,0)+IF(LEN(V183)&gt;0,1,0)+IF(LEN(W183)&gt;0,1,0)+IF(LEN(X183)&gt;0,1,0)+IF(LEN(Z183)&gt;0,1,0)+IF(LEN(AD183)&gt;0,1,0)+IF(LEN(AE183)&gt;0,1,0)+IF(LEN(AG183)&gt;0,1,0)+IF(LEN(AI183)&gt;0,1,0)+IF(LEN(BB183)&gt;0,1,0)+IF(LEN(BC183)&gt;0,1,0)+IF(LEN(AM183)&gt;0,1,0)+IF(LEN(AO183)&gt;0,1,0)+IF(LEN(AP183)&gt;0,1,0)+IF(LEN(AQ183)&gt;0,1,0)+IF(LEN(AR183)&gt;0,1,0)+IF(LEN(BA183)&gt;0,1,0)+IF(LEN(BM183)&gt;0,1,0)+IF(LEN(BZ183)&gt;0,1,0))/27,2))</f>
        <v/>
      </c>
      <c r="CF183" s="10" t="str">
        <f aca="false">IF(D183="","",IF(AND(AP183="Approved",ISERROR(SEARCH("FAIL",BJ183))),"Y","N"))</f>
        <v/>
      </c>
      <c r="CG183" s="10" t="str">
        <f aca="false">IF(D183="","",D183&amp;"|"&amp;E183&amp;"|"&amp;F183&amp;"|"&amp;G183&amp;"|"&amp;CF183)</f>
        <v/>
      </c>
    </row>
    <row r="184" customFormat="false" ht="15" hidden="false" customHeight="false" outlineLevel="0" collapsed="false">
      <c r="A184" s="10" t="str">
        <f aca="false">IF(D184="","","RW-"&amp;IFERROR(VLOOKUP(D184,Lists!$M$4:$N$22,2,0),"??")&amp;"-H"&amp;TEXT(E184*1000,"0000")&amp;"-S"&amp;F184&amp;IF(G184="Y","-GW","")&amp;"-"&amp;AO184)</f>
        <v/>
      </c>
      <c r="B184" s="10" t="str">
        <f aca="false">IF(D184="","",D184&amp;", H = "&amp;TEXT(E184,"0.0")&amp;" m, q = "&amp;F184&amp;" kPa"&amp;IF(G184="Y",", with GWT","")&amp;", "&amp;I184)</f>
        <v/>
      </c>
      <c r="C184" s="9"/>
      <c r="D184" s="9"/>
      <c r="E184" s="39"/>
      <c r="F184" s="38"/>
      <c r="G184" s="9"/>
      <c r="H184" s="38"/>
      <c r="I184" s="9"/>
      <c r="J184" s="38"/>
      <c r="K184" s="38"/>
      <c r="L184" s="38"/>
      <c r="M184" s="42"/>
      <c r="N184" s="9"/>
      <c r="O184" s="38"/>
      <c r="P184" s="38"/>
      <c r="Q184" s="38"/>
      <c r="R184" s="38"/>
      <c r="S184" s="38"/>
      <c r="T184" s="38"/>
      <c r="U184" s="9"/>
      <c r="V184" s="9"/>
      <c r="W184" s="38"/>
      <c r="X184" s="9"/>
      <c r="Y184" s="9"/>
      <c r="Z184" s="9"/>
      <c r="AA184" s="9"/>
      <c r="AB184" s="9"/>
      <c r="AC184" s="9"/>
      <c r="AD184" s="39"/>
      <c r="AE184" s="39"/>
      <c r="AF184" s="39"/>
      <c r="AG184" s="38"/>
      <c r="AH184" s="38"/>
      <c r="AI184" s="9"/>
      <c r="AJ184" s="38"/>
      <c r="AK184" s="9"/>
      <c r="AL184" s="39"/>
      <c r="AM184" s="9"/>
      <c r="AN184" s="9"/>
      <c r="AO184" s="9"/>
      <c r="AP184" s="9"/>
      <c r="AQ184" s="9"/>
      <c r="AR184" s="9"/>
      <c r="AS184" s="9"/>
      <c r="AT184" s="10" t="str">
        <f aca="false">IF(A184="","",SG_Criteria!$B$6&amp;SG_Criteria!$B$8&amp;"\"&amp;A184&amp;"\")</f>
        <v/>
      </c>
      <c r="AU184" s="10" t="str">
        <f aca="false">IF(A184="","",A184&amp;"_CAD.dwg")</f>
        <v/>
      </c>
      <c r="AV184" s="10" t="str">
        <f aca="false">IF(A184="","",A184&amp;"_DWG.pdf")</f>
        <v/>
      </c>
      <c r="AW184" s="10" t="str">
        <f aca="false">IF(A184="","",IF(AS184="Y",A184&amp;"_STAAD.std","n/a"))</f>
        <v/>
      </c>
      <c r="AX184" s="10" t="str">
        <f aca="false">IF(A184="","",A184&amp;"_CALC.xlsx")</f>
        <v/>
      </c>
      <c r="AY184" s="10" t="str">
        <f aca="false">IF(A184="","",A184&amp;"_CALC.pdf")</f>
        <v/>
      </c>
      <c r="AZ184" s="9"/>
      <c r="BA184" s="9"/>
      <c r="BB184" s="39"/>
      <c r="BC184" s="39"/>
      <c r="BD184" s="39"/>
      <c r="BE184" s="39"/>
      <c r="BF184" s="39"/>
      <c r="BG184" s="12" t="str">
        <f aca="false">IF(A184="","",IF(COUNTIF(Rebar_Schedule!$A$5:$A$2004,A184)=0,"",ROUND(SUMIF(Rebar_Schedule!$A$5:$A$2004,A184,Rebar_Schedule!$K$5:$K$2004),1)))</f>
        <v/>
      </c>
      <c r="BH184" s="33" t="str">
        <f aca="false">IF(A184="","",IF(BG184="","No rebar schedule yet",IF(ABS(BG184-N(BC184))/MAX(N(BC184),1)&gt;SG_Criteria!$B$55,"NOTE: register rebar differs from schedule by "&amp;TEXT(ABS(BG184-N(BC184))/MAX(N(BC184),1),"0%"),"OK")))</f>
        <v/>
      </c>
      <c r="BI184" s="33" t="str">
        <f aca="false">IF(OR(D184="",E184=""),"",IF(E184&lt;=IF(OR(D184="Block / Segmental",D184="Gabion",D184="Reinforced Earth (MSE)"),SG_Criteria!$B$34,SG_Criteria!$B$33),"No ERSS submission",IF(E184&lt;=SG_Criteria!$B$35,"QP(ST)",IF(E184&lt;=SG_Criteria!$B$36,"QP(ST) + AC","Geotechnical building works: QP(Geo) + AC"))))</f>
        <v/>
      </c>
      <c r="BJ184" s="33" t="str">
        <f aca="false">IF(D184="","",IF(LEN(IF(AND(V184&lt;&gt;"",IFERROR(VALUE(MID(V184,2,2)),0)&lt;SG_Criteria!$B$19),"FAIL: grade below C"&amp;SG_Criteria!$B$19&amp;". ","")&amp;IF(AND(W184&lt;&gt;"",W184&lt;SG_Criteria!$B$20),"FAIL: cover &lt; "&amp;SG_Criteria!$B$20&amp;" mm. ","")&amp;IF(AND(AD184&lt;&gt;"",AD184&lt;1),"FAIL: sliding. ","")&amp;IF(AND(D184="Reverse L-Wall (toe only, at boundary)",N(S184)&gt;0),"NOTE: reverse L-wall should have no heel. ","")&amp;IF(AND(D184="L-Wall (heel only)",N(R184)&gt;0),"NOTE: L-wall should have no toe. ","")&amp;IF(AND(F184&lt;&gt;"",F184&lt;SG_Criteria!$B$31),"NOTE: q below LTA min "&amp;SG_Criteria!$B$31&amp;" kPa (not for LTA works). ",""))=0,"OK",IF(AND(V184&lt;&gt;"",IFERROR(VALUE(MID(V184,2,2)),0)&lt;SG_Criteria!$B$19),"FAIL: grade below C"&amp;SG_Criteria!$B$19&amp;". ","")&amp;IF(AND(W184&lt;&gt;"",W184&lt;SG_Criteria!$B$20),"FAIL: cover &lt; "&amp;SG_Criteria!$B$20&amp;" mm. ","")&amp;IF(AND(AD184&lt;&gt;"",AD184&lt;1),"FAIL: sliding. ","")&amp;IF(AND(D184="Reverse L-Wall (toe only, at boundary)",N(S184)&gt;0),"NOTE: reverse L-wall should have no heel. ","")&amp;IF(AND(D184="L-Wall (heel only)",N(R184)&gt;0),"NOTE: L-wall should have no toe. ","")&amp;IF(AND(F184&lt;&gt;"",F184&lt;SG_Criteria!$B$31),"NOTE: q below LTA min "&amp;SG_Criteria!$B$31&amp;" kPa (not for LTA works). ","")))</f>
        <v/>
      </c>
      <c r="BK184" s="9"/>
      <c r="BL184" s="9"/>
      <c r="BM184" s="9"/>
      <c r="BN184" s="10" t="str">
        <f aca="false">IF(BM184="","",IFERROR(VLOOKUP(BM184,Projects!$A$5:$D$504,2,0),"Ref not in Projects"))</f>
        <v/>
      </c>
      <c r="BO184" s="10" t="str">
        <f aca="false">IF(BM184="","",IFERROR(VLOOKUP(BM184,Projects!$A$5:$D$504,4,0),"Ref not in Projects"))</f>
        <v/>
      </c>
      <c r="BP184" s="9"/>
      <c r="BQ184" s="9"/>
      <c r="BR184" s="9"/>
      <c r="BS184" s="40"/>
      <c r="BT184" s="9"/>
      <c r="BU184" s="40"/>
      <c r="BV184" s="9"/>
      <c r="BW184" s="40"/>
      <c r="BX184" s="9"/>
      <c r="BY184" s="9"/>
      <c r="BZ184" s="9"/>
      <c r="CA184" s="40"/>
      <c r="CB184" s="40"/>
      <c r="CC184" s="36" t="str">
        <f aca="false">IF(CB184="","",EDATE(CB184,SG_Criteria!$B$54*12))</f>
        <v/>
      </c>
      <c r="CD184" s="33" t="str">
        <f aca="true">IF(A184="","",IF(CB184="","NOTE: not reviewed yet",IF(TODAY()&gt;CC184,"NOTE: review overdue","OK")))</f>
        <v/>
      </c>
      <c r="CE184" s="37" t="str">
        <f aca="false">IF(A184="","",ROUND((IF(LEN(D184)&gt;0,1,0)+IF(LEN(E184)&gt;0,1,0)+IF(LEN(F184)&gt;0,1,0)+IF(LEN(G184)&gt;0,1,0)+IF(LEN(I184)&gt;0,1,0)+IF(LEN(K184)&gt;0,1,0)+IF(LEN(P184)&gt;0,1,0)+IF(LEN(Q184)&gt;0,1,0)+IF(LEN(T184)&gt;0,1,0)+IF(LEN(V184)&gt;0,1,0)+IF(LEN(W184)&gt;0,1,0)+IF(LEN(X184)&gt;0,1,0)+IF(LEN(Z184)&gt;0,1,0)+IF(LEN(AD184)&gt;0,1,0)+IF(LEN(AE184)&gt;0,1,0)+IF(LEN(AG184)&gt;0,1,0)+IF(LEN(AI184)&gt;0,1,0)+IF(LEN(BB184)&gt;0,1,0)+IF(LEN(BC184)&gt;0,1,0)+IF(LEN(AM184)&gt;0,1,0)+IF(LEN(AO184)&gt;0,1,0)+IF(LEN(AP184)&gt;0,1,0)+IF(LEN(AQ184)&gt;0,1,0)+IF(LEN(AR184)&gt;0,1,0)+IF(LEN(BA184)&gt;0,1,0)+IF(LEN(BM184)&gt;0,1,0)+IF(LEN(BZ184)&gt;0,1,0))/27,2))</f>
        <v/>
      </c>
      <c r="CF184" s="10" t="str">
        <f aca="false">IF(D184="","",IF(AND(AP184="Approved",ISERROR(SEARCH("FAIL",BJ184))),"Y","N"))</f>
        <v/>
      </c>
      <c r="CG184" s="10" t="str">
        <f aca="false">IF(D184="","",D184&amp;"|"&amp;E184&amp;"|"&amp;F184&amp;"|"&amp;G184&amp;"|"&amp;CF184)</f>
        <v/>
      </c>
    </row>
    <row r="185" customFormat="false" ht="15" hidden="false" customHeight="false" outlineLevel="0" collapsed="false">
      <c r="A185" s="10" t="str">
        <f aca="false">IF(D185="","","RW-"&amp;IFERROR(VLOOKUP(D185,Lists!$M$4:$N$22,2,0),"??")&amp;"-H"&amp;TEXT(E185*1000,"0000")&amp;"-S"&amp;F185&amp;IF(G185="Y","-GW","")&amp;"-"&amp;AO185)</f>
        <v/>
      </c>
      <c r="B185" s="10" t="str">
        <f aca="false">IF(D185="","",D185&amp;", H = "&amp;TEXT(E185,"0.0")&amp;" m, q = "&amp;F185&amp;" kPa"&amp;IF(G185="Y",", with GWT","")&amp;", "&amp;I185)</f>
        <v/>
      </c>
      <c r="C185" s="9"/>
      <c r="D185" s="9"/>
      <c r="E185" s="39"/>
      <c r="F185" s="38"/>
      <c r="G185" s="9"/>
      <c r="H185" s="38"/>
      <c r="I185" s="9"/>
      <c r="J185" s="38"/>
      <c r="K185" s="38"/>
      <c r="L185" s="38"/>
      <c r="M185" s="42"/>
      <c r="N185" s="9"/>
      <c r="O185" s="38"/>
      <c r="P185" s="38"/>
      <c r="Q185" s="38"/>
      <c r="R185" s="38"/>
      <c r="S185" s="38"/>
      <c r="T185" s="38"/>
      <c r="U185" s="9"/>
      <c r="V185" s="9"/>
      <c r="W185" s="38"/>
      <c r="X185" s="9"/>
      <c r="Y185" s="9"/>
      <c r="Z185" s="9"/>
      <c r="AA185" s="9"/>
      <c r="AB185" s="9"/>
      <c r="AC185" s="9"/>
      <c r="AD185" s="39"/>
      <c r="AE185" s="39"/>
      <c r="AF185" s="39"/>
      <c r="AG185" s="38"/>
      <c r="AH185" s="38"/>
      <c r="AI185" s="9"/>
      <c r="AJ185" s="38"/>
      <c r="AK185" s="9"/>
      <c r="AL185" s="39"/>
      <c r="AM185" s="9"/>
      <c r="AN185" s="9"/>
      <c r="AO185" s="9"/>
      <c r="AP185" s="9"/>
      <c r="AQ185" s="9"/>
      <c r="AR185" s="9"/>
      <c r="AS185" s="9"/>
      <c r="AT185" s="10" t="str">
        <f aca="false">IF(A185="","",SG_Criteria!$B$6&amp;SG_Criteria!$B$8&amp;"\"&amp;A185&amp;"\")</f>
        <v/>
      </c>
      <c r="AU185" s="10" t="str">
        <f aca="false">IF(A185="","",A185&amp;"_CAD.dwg")</f>
        <v/>
      </c>
      <c r="AV185" s="10" t="str">
        <f aca="false">IF(A185="","",A185&amp;"_DWG.pdf")</f>
        <v/>
      </c>
      <c r="AW185" s="10" t="str">
        <f aca="false">IF(A185="","",IF(AS185="Y",A185&amp;"_STAAD.std","n/a"))</f>
        <v/>
      </c>
      <c r="AX185" s="10" t="str">
        <f aca="false">IF(A185="","",A185&amp;"_CALC.xlsx")</f>
        <v/>
      </c>
      <c r="AY185" s="10" t="str">
        <f aca="false">IF(A185="","",A185&amp;"_CALC.pdf")</f>
        <v/>
      </c>
      <c r="AZ185" s="9"/>
      <c r="BA185" s="9"/>
      <c r="BB185" s="39"/>
      <c r="BC185" s="39"/>
      <c r="BD185" s="39"/>
      <c r="BE185" s="39"/>
      <c r="BF185" s="39"/>
      <c r="BG185" s="12" t="str">
        <f aca="false">IF(A185="","",IF(COUNTIF(Rebar_Schedule!$A$5:$A$2004,A185)=0,"",ROUND(SUMIF(Rebar_Schedule!$A$5:$A$2004,A185,Rebar_Schedule!$K$5:$K$2004),1)))</f>
        <v/>
      </c>
      <c r="BH185" s="33" t="str">
        <f aca="false">IF(A185="","",IF(BG185="","No rebar schedule yet",IF(ABS(BG185-N(BC185))/MAX(N(BC185),1)&gt;SG_Criteria!$B$55,"NOTE: register rebar differs from schedule by "&amp;TEXT(ABS(BG185-N(BC185))/MAX(N(BC185),1),"0%"),"OK")))</f>
        <v/>
      </c>
      <c r="BI185" s="33" t="str">
        <f aca="false">IF(OR(D185="",E185=""),"",IF(E185&lt;=IF(OR(D185="Block / Segmental",D185="Gabion",D185="Reinforced Earth (MSE)"),SG_Criteria!$B$34,SG_Criteria!$B$33),"No ERSS submission",IF(E185&lt;=SG_Criteria!$B$35,"QP(ST)",IF(E185&lt;=SG_Criteria!$B$36,"QP(ST) + AC","Geotechnical building works: QP(Geo) + AC"))))</f>
        <v/>
      </c>
      <c r="BJ185" s="33" t="str">
        <f aca="false">IF(D185="","",IF(LEN(IF(AND(V185&lt;&gt;"",IFERROR(VALUE(MID(V185,2,2)),0)&lt;SG_Criteria!$B$19),"FAIL: grade below C"&amp;SG_Criteria!$B$19&amp;". ","")&amp;IF(AND(W185&lt;&gt;"",W185&lt;SG_Criteria!$B$20),"FAIL: cover &lt; "&amp;SG_Criteria!$B$20&amp;" mm. ","")&amp;IF(AND(AD185&lt;&gt;"",AD185&lt;1),"FAIL: sliding. ","")&amp;IF(AND(D185="Reverse L-Wall (toe only, at boundary)",N(S185)&gt;0),"NOTE: reverse L-wall should have no heel. ","")&amp;IF(AND(D185="L-Wall (heel only)",N(R185)&gt;0),"NOTE: L-wall should have no toe. ","")&amp;IF(AND(F185&lt;&gt;"",F185&lt;SG_Criteria!$B$31),"NOTE: q below LTA min "&amp;SG_Criteria!$B$31&amp;" kPa (not for LTA works). ",""))=0,"OK",IF(AND(V185&lt;&gt;"",IFERROR(VALUE(MID(V185,2,2)),0)&lt;SG_Criteria!$B$19),"FAIL: grade below C"&amp;SG_Criteria!$B$19&amp;". ","")&amp;IF(AND(W185&lt;&gt;"",W185&lt;SG_Criteria!$B$20),"FAIL: cover &lt; "&amp;SG_Criteria!$B$20&amp;" mm. ","")&amp;IF(AND(AD185&lt;&gt;"",AD185&lt;1),"FAIL: sliding. ","")&amp;IF(AND(D185="Reverse L-Wall (toe only, at boundary)",N(S185)&gt;0),"NOTE: reverse L-wall should have no heel. ","")&amp;IF(AND(D185="L-Wall (heel only)",N(R185)&gt;0),"NOTE: L-wall should have no toe. ","")&amp;IF(AND(F185&lt;&gt;"",F185&lt;SG_Criteria!$B$31),"NOTE: q below LTA min "&amp;SG_Criteria!$B$31&amp;" kPa (not for LTA works). ","")))</f>
        <v/>
      </c>
      <c r="BK185" s="9"/>
      <c r="BL185" s="9"/>
      <c r="BM185" s="9"/>
      <c r="BN185" s="10" t="str">
        <f aca="false">IF(BM185="","",IFERROR(VLOOKUP(BM185,Projects!$A$5:$D$504,2,0),"Ref not in Projects"))</f>
        <v/>
      </c>
      <c r="BO185" s="10" t="str">
        <f aca="false">IF(BM185="","",IFERROR(VLOOKUP(BM185,Projects!$A$5:$D$504,4,0),"Ref not in Projects"))</f>
        <v/>
      </c>
      <c r="BP185" s="9"/>
      <c r="BQ185" s="9"/>
      <c r="BR185" s="9"/>
      <c r="BS185" s="40"/>
      <c r="BT185" s="9"/>
      <c r="BU185" s="40"/>
      <c r="BV185" s="9"/>
      <c r="BW185" s="40"/>
      <c r="BX185" s="9"/>
      <c r="BY185" s="9"/>
      <c r="BZ185" s="9"/>
      <c r="CA185" s="40"/>
      <c r="CB185" s="40"/>
      <c r="CC185" s="36" t="str">
        <f aca="false">IF(CB185="","",EDATE(CB185,SG_Criteria!$B$54*12))</f>
        <v/>
      </c>
      <c r="CD185" s="33" t="str">
        <f aca="true">IF(A185="","",IF(CB185="","NOTE: not reviewed yet",IF(TODAY()&gt;CC185,"NOTE: review overdue","OK")))</f>
        <v/>
      </c>
      <c r="CE185" s="37" t="str">
        <f aca="false">IF(A185="","",ROUND((IF(LEN(D185)&gt;0,1,0)+IF(LEN(E185)&gt;0,1,0)+IF(LEN(F185)&gt;0,1,0)+IF(LEN(G185)&gt;0,1,0)+IF(LEN(I185)&gt;0,1,0)+IF(LEN(K185)&gt;0,1,0)+IF(LEN(P185)&gt;0,1,0)+IF(LEN(Q185)&gt;0,1,0)+IF(LEN(T185)&gt;0,1,0)+IF(LEN(V185)&gt;0,1,0)+IF(LEN(W185)&gt;0,1,0)+IF(LEN(X185)&gt;0,1,0)+IF(LEN(Z185)&gt;0,1,0)+IF(LEN(AD185)&gt;0,1,0)+IF(LEN(AE185)&gt;0,1,0)+IF(LEN(AG185)&gt;0,1,0)+IF(LEN(AI185)&gt;0,1,0)+IF(LEN(BB185)&gt;0,1,0)+IF(LEN(BC185)&gt;0,1,0)+IF(LEN(AM185)&gt;0,1,0)+IF(LEN(AO185)&gt;0,1,0)+IF(LEN(AP185)&gt;0,1,0)+IF(LEN(AQ185)&gt;0,1,0)+IF(LEN(AR185)&gt;0,1,0)+IF(LEN(BA185)&gt;0,1,0)+IF(LEN(BM185)&gt;0,1,0)+IF(LEN(BZ185)&gt;0,1,0))/27,2))</f>
        <v/>
      </c>
      <c r="CF185" s="10" t="str">
        <f aca="false">IF(D185="","",IF(AND(AP185="Approved",ISERROR(SEARCH("FAIL",BJ185))),"Y","N"))</f>
        <v/>
      </c>
      <c r="CG185" s="10" t="str">
        <f aca="false">IF(D185="","",D185&amp;"|"&amp;E185&amp;"|"&amp;F185&amp;"|"&amp;G185&amp;"|"&amp;CF185)</f>
        <v/>
      </c>
    </row>
    <row r="186" customFormat="false" ht="15" hidden="false" customHeight="false" outlineLevel="0" collapsed="false">
      <c r="A186" s="10" t="str">
        <f aca="false">IF(D186="","","RW-"&amp;IFERROR(VLOOKUP(D186,Lists!$M$4:$N$22,2,0),"??")&amp;"-H"&amp;TEXT(E186*1000,"0000")&amp;"-S"&amp;F186&amp;IF(G186="Y","-GW","")&amp;"-"&amp;AO186)</f>
        <v/>
      </c>
      <c r="B186" s="10" t="str">
        <f aca="false">IF(D186="","",D186&amp;", H = "&amp;TEXT(E186,"0.0")&amp;" m, q = "&amp;F186&amp;" kPa"&amp;IF(G186="Y",", with GWT","")&amp;", "&amp;I186)</f>
        <v/>
      </c>
      <c r="C186" s="9"/>
      <c r="D186" s="9"/>
      <c r="E186" s="39"/>
      <c r="F186" s="38"/>
      <c r="G186" s="9"/>
      <c r="H186" s="38"/>
      <c r="I186" s="9"/>
      <c r="J186" s="38"/>
      <c r="K186" s="38"/>
      <c r="L186" s="38"/>
      <c r="M186" s="42"/>
      <c r="N186" s="9"/>
      <c r="O186" s="38"/>
      <c r="P186" s="38"/>
      <c r="Q186" s="38"/>
      <c r="R186" s="38"/>
      <c r="S186" s="38"/>
      <c r="T186" s="38"/>
      <c r="U186" s="9"/>
      <c r="V186" s="9"/>
      <c r="W186" s="38"/>
      <c r="X186" s="9"/>
      <c r="Y186" s="9"/>
      <c r="Z186" s="9"/>
      <c r="AA186" s="9"/>
      <c r="AB186" s="9"/>
      <c r="AC186" s="9"/>
      <c r="AD186" s="39"/>
      <c r="AE186" s="39"/>
      <c r="AF186" s="39"/>
      <c r="AG186" s="38"/>
      <c r="AH186" s="38"/>
      <c r="AI186" s="9"/>
      <c r="AJ186" s="38"/>
      <c r="AK186" s="9"/>
      <c r="AL186" s="39"/>
      <c r="AM186" s="9"/>
      <c r="AN186" s="9"/>
      <c r="AO186" s="9"/>
      <c r="AP186" s="9"/>
      <c r="AQ186" s="9"/>
      <c r="AR186" s="9"/>
      <c r="AS186" s="9"/>
      <c r="AT186" s="10" t="str">
        <f aca="false">IF(A186="","",SG_Criteria!$B$6&amp;SG_Criteria!$B$8&amp;"\"&amp;A186&amp;"\")</f>
        <v/>
      </c>
      <c r="AU186" s="10" t="str">
        <f aca="false">IF(A186="","",A186&amp;"_CAD.dwg")</f>
        <v/>
      </c>
      <c r="AV186" s="10" t="str">
        <f aca="false">IF(A186="","",A186&amp;"_DWG.pdf")</f>
        <v/>
      </c>
      <c r="AW186" s="10" t="str">
        <f aca="false">IF(A186="","",IF(AS186="Y",A186&amp;"_STAAD.std","n/a"))</f>
        <v/>
      </c>
      <c r="AX186" s="10" t="str">
        <f aca="false">IF(A186="","",A186&amp;"_CALC.xlsx")</f>
        <v/>
      </c>
      <c r="AY186" s="10" t="str">
        <f aca="false">IF(A186="","",A186&amp;"_CALC.pdf")</f>
        <v/>
      </c>
      <c r="AZ186" s="9"/>
      <c r="BA186" s="9"/>
      <c r="BB186" s="39"/>
      <c r="BC186" s="39"/>
      <c r="BD186" s="39"/>
      <c r="BE186" s="39"/>
      <c r="BF186" s="39"/>
      <c r="BG186" s="12" t="str">
        <f aca="false">IF(A186="","",IF(COUNTIF(Rebar_Schedule!$A$5:$A$2004,A186)=0,"",ROUND(SUMIF(Rebar_Schedule!$A$5:$A$2004,A186,Rebar_Schedule!$K$5:$K$2004),1)))</f>
        <v/>
      </c>
      <c r="BH186" s="33" t="str">
        <f aca="false">IF(A186="","",IF(BG186="","No rebar schedule yet",IF(ABS(BG186-N(BC186))/MAX(N(BC186),1)&gt;SG_Criteria!$B$55,"NOTE: register rebar differs from schedule by "&amp;TEXT(ABS(BG186-N(BC186))/MAX(N(BC186),1),"0%"),"OK")))</f>
        <v/>
      </c>
      <c r="BI186" s="33" t="str">
        <f aca="false">IF(OR(D186="",E186=""),"",IF(E186&lt;=IF(OR(D186="Block / Segmental",D186="Gabion",D186="Reinforced Earth (MSE)"),SG_Criteria!$B$34,SG_Criteria!$B$33),"No ERSS submission",IF(E186&lt;=SG_Criteria!$B$35,"QP(ST)",IF(E186&lt;=SG_Criteria!$B$36,"QP(ST) + AC","Geotechnical building works: QP(Geo) + AC"))))</f>
        <v/>
      </c>
      <c r="BJ186" s="33" t="str">
        <f aca="false">IF(D186="","",IF(LEN(IF(AND(V186&lt;&gt;"",IFERROR(VALUE(MID(V186,2,2)),0)&lt;SG_Criteria!$B$19),"FAIL: grade below C"&amp;SG_Criteria!$B$19&amp;". ","")&amp;IF(AND(W186&lt;&gt;"",W186&lt;SG_Criteria!$B$20),"FAIL: cover &lt; "&amp;SG_Criteria!$B$20&amp;" mm. ","")&amp;IF(AND(AD186&lt;&gt;"",AD186&lt;1),"FAIL: sliding. ","")&amp;IF(AND(D186="Reverse L-Wall (toe only, at boundary)",N(S186)&gt;0),"NOTE: reverse L-wall should have no heel. ","")&amp;IF(AND(D186="L-Wall (heel only)",N(R186)&gt;0),"NOTE: L-wall should have no toe. ","")&amp;IF(AND(F186&lt;&gt;"",F186&lt;SG_Criteria!$B$31),"NOTE: q below LTA min "&amp;SG_Criteria!$B$31&amp;" kPa (not for LTA works). ",""))=0,"OK",IF(AND(V186&lt;&gt;"",IFERROR(VALUE(MID(V186,2,2)),0)&lt;SG_Criteria!$B$19),"FAIL: grade below C"&amp;SG_Criteria!$B$19&amp;". ","")&amp;IF(AND(W186&lt;&gt;"",W186&lt;SG_Criteria!$B$20),"FAIL: cover &lt; "&amp;SG_Criteria!$B$20&amp;" mm. ","")&amp;IF(AND(AD186&lt;&gt;"",AD186&lt;1),"FAIL: sliding. ","")&amp;IF(AND(D186="Reverse L-Wall (toe only, at boundary)",N(S186)&gt;0),"NOTE: reverse L-wall should have no heel. ","")&amp;IF(AND(D186="L-Wall (heel only)",N(R186)&gt;0),"NOTE: L-wall should have no toe. ","")&amp;IF(AND(F186&lt;&gt;"",F186&lt;SG_Criteria!$B$31),"NOTE: q below LTA min "&amp;SG_Criteria!$B$31&amp;" kPa (not for LTA works). ","")))</f>
        <v/>
      </c>
      <c r="BK186" s="9"/>
      <c r="BL186" s="9"/>
      <c r="BM186" s="9"/>
      <c r="BN186" s="10" t="str">
        <f aca="false">IF(BM186="","",IFERROR(VLOOKUP(BM186,Projects!$A$5:$D$504,2,0),"Ref not in Projects"))</f>
        <v/>
      </c>
      <c r="BO186" s="10" t="str">
        <f aca="false">IF(BM186="","",IFERROR(VLOOKUP(BM186,Projects!$A$5:$D$504,4,0),"Ref not in Projects"))</f>
        <v/>
      </c>
      <c r="BP186" s="9"/>
      <c r="BQ186" s="9"/>
      <c r="BR186" s="9"/>
      <c r="BS186" s="40"/>
      <c r="BT186" s="9"/>
      <c r="BU186" s="40"/>
      <c r="BV186" s="9"/>
      <c r="BW186" s="40"/>
      <c r="BX186" s="9"/>
      <c r="BY186" s="9"/>
      <c r="BZ186" s="9"/>
      <c r="CA186" s="40"/>
      <c r="CB186" s="40"/>
      <c r="CC186" s="36" t="str">
        <f aca="false">IF(CB186="","",EDATE(CB186,SG_Criteria!$B$54*12))</f>
        <v/>
      </c>
      <c r="CD186" s="33" t="str">
        <f aca="true">IF(A186="","",IF(CB186="","NOTE: not reviewed yet",IF(TODAY()&gt;CC186,"NOTE: review overdue","OK")))</f>
        <v/>
      </c>
      <c r="CE186" s="37" t="str">
        <f aca="false">IF(A186="","",ROUND((IF(LEN(D186)&gt;0,1,0)+IF(LEN(E186)&gt;0,1,0)+IF(LEN(F186)&gt;0,1,0)+IF(LEN(G186)&gt;0,1,0)+IF(LEN(I186)&gt;0,1,0)+IF(LEN(K186)&gt;0,1,0)+IF(LEN(P186)&gt;0,1,0)+IF(LEN(Q186)&gt;0,1,0)+IF(LEN(T186)&gt;0,1,0)+IF(LEN(V186)&gt;0,1,0)+IF(LEN(W186)&gt;0,1,0)+IF(LEN(X186)&gt;0,1,0)+IF(LEN(Z186)&gt;0,1,0)+IF(LEN(AD186)&gt;0,1,0)+IF(LEN(AE186)&gt;0,1,0)+IF(LEN(AG186)&gt;0,1,0)+IF(LEN(AI186)&gt;0,1,0)+IF(LEN(BB186)&gt;0,1,0)+IF(LEN(BC186)&gt;0,1,0)+IF(LEN(AM186)&gt;0,1,0)+IF(LEN(AO186)&gt;0,1,0)+IF(LEN(AP186)&gt;0,1,0)+IF(LEN(AQ186)&gt;0,1,0)+IF(LEN(AR186)&gt;0,1,0)+IF(LEN(BA186)&gt;0,1,0)+IF(LEN(BM186)&gt;0,1,0)+IF(LEN(BZ186)&gt;0,1,0))/27,2))</f>
        <v/>
      </c>
      <c r="CF186" s="10" t="str">
        <f aca="false">IF(D186="","",IF(AND(AP186="Approved",ISERROR(SEARCH("FAIL",BJ186))),"Y","N"))</f>
        <v/>
      </c>
      <c r="CG186" s="10" t="str">
        <f aca="false">IF(D186="","",D186&amp;"|"&amp;E186&amp;"|"&amp;F186&amp;"|"&amp;G186&amp;"|"&amp;CF186)</f>
        <v/>
      </c>
    </row>
    <row r="187" customFormat="false" ht="15" hidden="false" customHeight="false" outlineLevel="0" collapsed="false">
      <c r="A187" s="10" t="str">
        <f aca="false">IF(D187="","","RW-"&amp;IFERROR(VLOOKUP(D187,Lists!$M$4:$N$22,2,0),"??")&amp;"-H"&amp;TEXT(E187*1000,"0000")&amp;"-S"&amp;F187&amp;IF(G187="Y","-GW","")&amp;"-"&amp;AO187)</f>
        <v/>
      </c>
      <c r="B187" s="10" t="str">
        <f aca="false">IF(D187="","",D187&amp;", H = "&amp;TEXT(E187,"0.0")&amp;" m, q = "&amp;F187&amp;" kPa"&amp;IF(G187="Y",", with GWT","")&amp;", "&amp;I187)</f>
        <v/>
      </c>
      <c r="C187" s="9"/>
      <c r="D187" s="9"/>
      <c r="E187" s="39"/>
      <c r="F187" s="38"/>
      <c r="G187" s="9"/>
      <c r="H187" s="38"/>
      <c r="I187" s="9"/>
      <c r="J187" s="38"/>
      <c r="K187" s="38"/>
      <c r="L187" s="38"/>
      <c r="M187" s="42"/>
      <c r="N187" s="9"/>
      <c r="O187" s="38"/>
      <c r="P187" s="38"/>
      <c r="Q187" s="38"/>
      <c r="R187" s="38"/>
      <c r="S187" s="38"/>
      <c r="T187" s="38"/>
      <c r="U187" s="9"/>
      <c r="V187" s="9"/>
      <c r="W187" s="38"/>
      <c r="X187" s="9"/>
      <c r="Y187" s="9"/>
      <c r="Z187" s="9"/>
      <c r="AA187" s="9"/>
      <c r="AB187" s="9"/>
      <c r="AC187" s="9"/>
      <c r="AD187" s="39"/>
      <c r="AE187" s="39"/>
      <c r="AF187" s="39"/>
      <c r="AG187" s="38"/>
      <c r="AH187" s="38"/>
      <c r="AI187" s="9"/>
      <c r="AJ187" s="38"/>
      <c r="AK187" s="9"/>
      <c r="AL187" s="39"/>
      <c r="AM187" s="9"/>
      <c r="AN187" s="9"/>
      <c r="AO187" s="9"/>
      <c r="AP187" s="9"/>
      <c r="AQ187" s="9"/>
      <c r="AR187" s="9"/>
      <c r="AS187" s="9"/>
      <c r="AT187" s="10" t="str">
        <f aca="false">IF(A187="","",SG_Criteria!$B$6&amp;SG_Criteria!$B$8&amp;"\"&amp;A187&amp;"\")</f>
        <v/>
      </c>
      <c r="AU187" s="10" t="str">
        <f aca="false">IF(A187="","",A187&amp;"_CAD.dwg")</f>
        <v/>
      </c>
      <c r="AV187" s="10" t="str">
        <f aca="false">IF(A187="","",A187&amp;"_DWG.pdf")</f>
        <v/>
      </c>
      <c r="AW187" s="10" t="str">
        <f aca="false">IF(A187="","",IF(AS187="Y",A187&amp;"_STAAD.std","n/a"))</f>
        <v/>
      </c>
      <c r="AX187" s="10" t="str">
        <f aca="false">IF(A187="","",A187&amp;"_CALC.xlsx")</f>
        <v/>
      </c>
      <c r="AY187" s="10" t="str">
        <f aca="false">IF(A187="","",A187&amp;"_CALC.pdf")</f>
        <v/>
      </c>
      <c r="AZ187" s="9"/>
      <c r="BA187" s="9"/>
      <c r="BB187" s="39"/>
      <c r="BC187" s="39"/>
      <c r="BD187" s="39"/>
      <c r="BE187" s="39"/>
      <c r="BF187" s="39"/>
      <c r="BG187" s="12" t="str">
        <f aca="false">IF(A187="","",IF(COUNTIF(Rebar_Schedule!$A$5:$A$2004,A187)=0,"",ROUND(SUMIF(Rebar_Schedule!$A$5:$A$2004,A187,Rebar_Schedule!$K$5:$K$2004),1)))</f>
        <v/>
      </c>
      <c r="BH187" s="33" t="str">
        <f aca="false">IF(A187="","",IF(BG187="","No rebar schedule yet",IF(ABS(BG187-N(BC187))/MAX(N(BC187),1)&gt;SG_Criteria!$B$55,"NOTE: register rebar differs from schedule by "&amp;TEXT(ABS(BG187-N(BC187))/MAX(N(BC187),1),"0%"),"OK")))</f>
        <v/>
      </c>
      <c r="BI187" s="33" t="str">
        <f aca="false">IF(OR(D187="",E187=""),"",IF(E187&lt;=IF(OR(D187="Block / Segmental",D187="Gabion",D187="Reinforced Earth (MSE)"),SG_Criteria!$B$34,SG_Criteria!$B$33),"No ERSS submission",IF(E187&lt;=SG_Criteria!$B$35,"QP(ST)",IF(E187&lt;=SG_Criteria!$B$36,"QP(ST) + AC","Geotechnical building works: QP(Geo) + AC"))))</f>
        <v/>
      </c>
      <c r="BJ187" s="33" t="str">
        <f aca="false">IF(D187="","",IF(LEN(IF(AND(V187&lt;&gt;"",IFERROR(VALUE(MID(V187,2,2)),0)&lt;SG_Criteria!$B$19),"FAIL: grade below C"&amp;SG_Criteria!$B$19&amp;". ","")&amp;IF(AND(W187&lt;&gt;"",W187&lt;SG_Criteria!$B$20),"FAIL: cover &lt; "&amp;SG_Criteria!$B$20&amp;" mm. ","")&amp;IF(AND(AD187&lt;&gt;"",AD187&lt;1),"FAIL: sliding. ","")&amp;IF(AND(D187="Reverse L-Wall (toe only, at boundary)",N(S187)&gt;0),"NOTE: reverse L-wall should have no heel. ","")&amp;IF(AND(D187="L-Wall (heel only)",N(R187)&gt;0),"NOTE: L-wall should have no toe. ","")&amp;IF(AND(F187&lt;&gt;"",F187&lt;SG_Criteria!$B$31),"NOTE: q below LTA min "&amp;SG_Criteria!$B$31&amp;" kPa (not for LTA works). ",""))=0,"OK",IF(AND(V187&lt;&gt;"",IFERROR(VALUE(MID(V187,2,2)),0)&lt;SG_Criteria!$B$19),"FAIL: grade below C"&amp;SG_Criteria!$B$19&amp;". ","")&amp;IF(AND(W187&lt;&gt;"",W187&lt;SG_Criteria!$B$20),"FAIL: cover &lt; "&amp;SG_Criteria!$B$20&amp;" mm. ","")&amp;IF(AND(AD187&lt;&gt;"",AD187&lt;1),"FAIL: sliding. ","")&amp;IF(AND(D187="Reverse L-Wall (toe only, at boundary)",N(S187)&gt;0),"NOTE: reverse L-wall should have no heel. ","")&amp;IF(AND(D187="L-Wall (heel only)",N(R187)&gt;0),"NOTE: L-wall should have no toe. ","")&amp;IF(AND(F187&lt;&gt;"",F187&lt;SG_Criteria!$B$31),"NOTE: q below LTA min "&amp;SG_Criteria!$B$31&amp;" kPa (not for LTA works). ","")))</f>
        <v/>
      </c>
      <c r="BK187" s="9"/>
      <c r="BL187" s="9"/>
      <c r="BM187" s="9"/>
      <c r="BN187" s="10" t="str">
        <f aca="false">IF(BM187="","",IFERROR(VLOOKUP(BM187,Projects!$A$5:$D$504,2,0),"Ref not in Projects"))</f>
        <v/>
      </c>
      <c r="BO187" s="10" t="str">
        <f aca="false">IF(BM187="","",IFERROR(VLOOKUP(BM187,Projects!$A$5:$D$504,4,0),"Ref not in Projects"))</f>
        <v/>
      </c>
      <c r="BP187" s="9"/>
      <c r="BQ187" s="9"/>
      <c r="BR187" s="9"/>
      <c r="BS187" s="40"/>
      <c r="BT187" s="9"/>
      <c r="BU187" s="40"/>
      <c r="BV187" s="9"/>
      <c r="BW187" s="40"/>
      <c r="BX187" s="9"/>
      <c r="BY187" s="9"/>
      <c r="BZ187" s="9"/>
      <c r="CA187" s="40"/>
      <c r="CB187" s="40"/>
      <c r="CC187" s="36" t="str">
        <f aca="false">IF(CB187="","",EDATE(CB187,SG_Criteria!$B$54*12))</f>
        <v/>
      </c>
      <c r="CD187" s="33" t="str">
        <f aca="true">IF(A187="","",IF(CB187="","NOTE: not reviewed yet",IF(TODAY()&gt;CC187,"NOTE: review overdue","OK")))</f>
        <v/>
      </c>
      <c r="CE187" s="37" t="str">
        <f aca="false">IF(A187="","",ROUND((IF(LEN(D187)&gt;0,1,0)+IF(LEN(E187)&gt;0,1,0)+IF(LEN(F187)&gt;0,1,0)+IF(LEN(G187)&gt;0,1,0)+IF(LEN(I187)&gt;0,1,0)+IF(LEN(K187)&gt;0,1,0)+IF(LEN(P187)&gt;0,1,0)+IF(LEN(Q187)&gt;0,1,0)+IF(LEN(T187)&gt;0,1,0)+IF(LEN(V187)&gt;0,1,0)+IF(LEN(W187)&gt;0,1,0)+IF(LEN(X187)&gt;0,1,0)+IF(LEN(Z187)&gt;0,1,0)+IF(LEN(AD187)&gt;0,1,0)+IF(LEN(AE187)&gt;0,1,0)+IF(LEN(AG187)&gt;0,1,0)+IF(LEN(AI187)&gt;0,1,0)+IF(LEN(BB187)&gt;0,1,0)+IF(LEN(BC187)&gt;0,1,0)+IF(LEN(AM187)&gt;0,1,0)+IF(LEN(AO187)&gt;0,1,0)+IF(LEN(AP187)&gt;0,1,0)+IF(LEN(AQ187)&gt;0,1,0)+IF(LEN(AR187)&gt;0,1,0)+IF(LEN(BA187)&gt;0,1,0)+IF(LEN(BM187)&gt;0,1,0)+IF(LEN(BZ187)&gt;0,1,0))/27,2))</f>
        <v/>
      </c>
      <c r="CF187" s="10" t="str">
        <f aca="false">IF(D187="","",IF(AND(AP187="Approved",ISERROR(SEARCH("FAIL",BJ187))),"Y","N"))</f>
        <v/>
      </c>
      <c r="CG187" s="10" t="str">
        <f aca="false">IF(D187="","",D187&amp;"|"&amp;E187&amp;"|"&amp;F187&amp;"|"&amp;G187&amp;"|"&amp;CF187)</f>
        <v/>
      </c>
    </row>
    <row r="188" customFormat="false" ht="15" hidden="false" customHeight="false" outlineLevel="0" collapsed="false">
      <c r="A188" s="10" t="str">
        <f aca="false">IF(D188="","","RW-"&amp;IFERROR(VLOOKUP(D188,Lists!$M$4:$N$22,2,0),"??")&amp;"-H"&amp;TEXT(E188*1000,"0000")&amp;"-S"&amp;F188&amp;IF(G188="Y","-GW","")&amp;"-"&amp;AO188)</f>
        <v/>
      </c>
      <c r="B188" s="10" t="str">
        <f aca="false">IF(D188="","",D188&amp;", H = "&amp;TEXT(E188,"0.0")&amp;" m, q = "&amp;F188&amp;" kPa"&amp;IF(G188="Y",", with GWT","")&amp;", "&amp;I188)</f>
        <v/>
      </c>
      <c r="C188" s="9"/>
      <c r="D188" s="9"/>
      <c r="E188" s="39"/>
      <c r="F188" s="38"/>
      <c r="G188" s="9"/>
      <c r="H188" s="38"/>
      <c r="I188" s="9"/>
      <c r="J188" s="38"/>
      <c r="K188" s="38"/>
      <c r="L188" s="38"/>
      <c r="M188" s="42"/>
      <c r="N188" s="9"/>
      <c r="O188" s="38"/>
      <c r="P188" s="38"/>
      <c r="Q188" s="38"/>
      <c r="R188" s="38"/>
      <c r="S188" s="38"/>
      <c r="T188" s="38"/>
      <c r="U188" s="9"/>
      <c r="V188" s="9"/>
      <c r="W188" s="38"/>
      <c r="X188" s="9"/>
      <c r="Y188" s="9"/>
      <c r="Z188" s="9"/>
      <c r="AA188" s="9"/>
      <c r="AB188" s="9"/>
      <c r="AC188" s="9"/>
      <c r="AD188" s="39"/>
      <c r="AE188" s="39"/>
      <c r="AF188" s="39"/>
      <c r="AG188" s="38"/>
      <c r="AH188" s="38"/>
      <c r="AI188" s="9"/>
      <c r="AJ188" s="38"/>
      <c r="AK188" s="9"/>
      <c r="AL188" s="39"/>
      <c r="AM188" s="9"/>
      <c r="AN188" s="9"/>
      <c r="AO188" s="9"/>
      <c r="AP188" s="9"/>
      <c r="AQ188" s="9"/>
      <c r="AR188" s="9"/>
      <c r="AS188" s="9"/>
      <c r="AT188" s="10" t="str">
        <f aca="false">IF(A188="","",SG_Criteria!$B$6&amp;SG_Criteria!$B$8&amp;"\"&amp;A188&amp;"\")</f>
        <v/>
      </c>
      <c r="AU188" s="10" t="str">
        <f aca="false">IF(A188="","",A188&amp;"_CAD.dwg")</f>
        <v/>
      </c>
      <c r="AV188" s="10" t="str">
        <f aca="false">IF(A188="","",A188&amp;"_DWG.pdf")</f>
        <v/>
      </c>
      <c r="AW188" s="10" t="str">
        <f aca="false">IF(A188="","",IF(AS188="Y",A188&amp;"_STAAD.std","n/a"))</f>
        <v/>
      </c>
      <c r="AX188" s="10" t="str">
        <f aca="false">IF(A188="","",A188&amp;"_CALC.xlsx")</f>
        <v/>
      </c>
      <c r="AY188" s="10" t="str">
        <f aca="false">IF(A188="","",A188&amp;"_CALC.pdf")</f>
        <v/>
      </c>
      <c r="AZ188" s="9"/>
      <c r="BA188" s="9"/>
      <c r="BB188" s="39"/>
      <c r="BC188" s="39"/>
      <c r="BD188" s="39"/>
      <c r="BE188" s="39"/>
      <c r="BF188" s="39"/>
      <c r="BG188" s="12" t="str">
        <f aca="false">IF(A188="","",IF(COUNTIF(Rebar_Schedule!$A$5:$A$2004,A188)=0,"",ROUND(SUMIF(Rebar_Schedule!$A$5:$A$2004,A188,Rebar_Schedule!$K$5:$K$2004),1)))</f>
        <v/>
      </c>
      <c r="BH188" s="33" t="str">
        <f aca="false">IF(A188="","",IF(BG188="","No rebar schedule yet",IF(ABS(BG188-N(BC188))/MAX(N(BC188),1)&gt;SG_Criteria!$B$55,"NOTE: register rebar differs from schedule by "&amp;TEXT(ABS(BG188-N(BC188))/MAX(N(BC188),1),"0%"),"OK")))</f>
        <v/>
      </c>
      <c r="BI188" s="33" t="str">
        <f aca="false">IF(OR(D188="",E188=""),"",IF(E188&lt;=IF(OR(D188="Block / Segmental",D188="Gabion",D188="Reinforced Earth (MSE)"),SG_Criteria!$B$34,SG_Criteria!$B$33),"No ERSS submission",IF(E188&lt;=SG_Criteria!$B$35,"QP(ST)",IF(E188&lt;=SG_Criteria!$B$36,"QP(ST) + AC","Geotechnical building works: QP(Geo) + AC"))))</f>
        <v/>
      </c>
      <c r="BJ188" s="33" t="str">
        <f aca="false">IF(D188="","",IF(LEN(IF(AND(V188&lt;&gt;"",IFERROR(VALUE(MID(V188,2,2)),0)&lt;SG_Criteria!$B$19),"FAIL: grade below C"&amp;SG_Criteria!$B$19&amp;". ","")&amp;IF(AND(W188&lt;&gt;"",W188&lt;SG_Criteria!$B$20),"FAIL: cover &lt; "&amp;SG_Criteria!$B$20&amp;" mm. ","")&amp;IF(AND(AD188&lt;&gt;"",AD188&lt;1),"FAIL: sliding. ","")&amp;IF(AND(D188="Reverse L-Wall (toe only, at boundary)",N(S188)&gt;0),"NOTE: reverse L-wall should have no heel. ","")&amp;IF(AND(D188="L-Wall (heel only)",N(R188)&gt;0),"NOTE: L-wall should have no toe. ","")&amp;IF(AND(F188&lt;&gt;"",F188&lt;SG_Criteria!$B$31),"NOTE: q below LTA min "&amp;SG_Criteria!$B$31&amp;" kPa (not for LTA works). ",""))=0,"OK",IF(AND(V188&lt;&gt;"",IFERROR(VALUE(MID(V188,2,2)),0)&lt;SG_Criteria!$B$19),"FAIL: grade below C"&amp;SG_Criteria!$B$19&amp;". ","")&amp;IF(AND(W188&lt;&gt;"",W188&lt;SG_Criteria!$B$20),"FAIL: cover &lt; "&amp;SG_Criteria!$B$20&amp;" mm. ","")&amp;IF(AND(AD188&lt;&gt;"",AD188&lt;1),"FAIL: sliding. ","")&amp;IF(AND(D188="Reverse L-Wall (toe only, at boundary)",N(S188)&gt;0),"NOTE: reverse L-wall should have no heel. ","")&amp;IF(AND(D188="L-Wall (heel only)",N(R188)&gt;0),"NOTE: L-wall should have no toe. ","")&amp;IF(AND(F188&lt;&gt;"",F188&lt;SG_Criteria!$B$31),"NOTE: q below LTA min "&amp;SG_Criteria!$B$31&amp;" kPa (not for LTA works). ","")))</f>
        <v/>
      </c>
      <c r="BK188" s="9"/>
      <c r="BL188" s="9"/>
      <c r="BM188" s="9"/>
      <c r="BN188" s="10" t="str">
        <f aca="false">IF(BM188="","",IFERROR(VLOOKUP(BM188,Projects!$A$5:$D$504,2,0),"Ref not in Projects"))</f>
        <v/>
      </c>
      <c r="BO188" s="10" t="str">
        <f aca="false">IF(BM188="","",IFERROR(VLOOKUP(BM188,Projects!$A$5:$D$504,4,0),"Ref not in Projects"))</f>
        <v/>
      </c>
      <c r="BP188" s="9"/>
      <c r="BQ188" s="9"/>
      <c r="BR188" s="9"/>
      <c r="BS188" s="40"/>
      <c r="BT188" s="9"/>
      <c r="BU188" s="40"/>
      <c r="BV188" s="9"/>
      <c r="BW188" s="40"/>
      <c r="BX188" s="9"/>
      <c r="BY188" s="9"/>
      <c r="BZ188" s="9"/>
      <c r="CA188" s="40"/>
      <c r="CB188" s="40"/>
      <c r="CC188" s="36" t="str">
        <f aca="false">IF(CB188="","",EDATE(CB188,SG_Criteria!$B$54*12))</f>
        <v/>
      </c>
      <c r="CD188" s="33" t="str">
        <f aca="true">IF(A188="","",IF(CB188="","NOTE: not reviewed yet",IF(TODAY()&gt;CC188,"NOTE: review overdue","OK")))</f>
        <v/>
      </c>
      <c r="CE188" s="37" t="str">
        <f aca="false">IF(A188="","",ROUND((IF(LEN(D188)&gt;0,1,0)+IF(LEN(E188)&gt;0,1,0)+IF(LEN(F188)&gt;0,1,0)+IF(LEN(G188)&gt;0,1,0)+IF(LEN(I188)&gt;0,1,0)+IF(LEN(K188)&gt;0,1,0)+IF(LEN(P188)&gt;0,1,0)+IF(LEN(Q188)&gt;0,1,0)+IF(LEN(T188)&gt;0,1,0)+IF(LEN(V188)&gt;0,1,0)+IF(LEN(W188)&gt;0,1,0)+IF(LEN(X188)&gt;0,1,0)+IF(LEN(Z188)&gt;0,1,0)+IF(LEN(AD188)&gt;0,1,0)+IF(LEN(AE188)&gt;0,1,0)+IF(LEN(AG188)&gt;0,1,0)+IF(LEN(AI188)&gt;0,1,0)+IF(LEN(BB188)&gt;0,1,0)+IF(LEN(BC188)&gt;0,1,0)+IF(LEN(AM188)&gt;0,1,0)+IF(LEN(AO188)&gt;0,1,0)+IF(LEN(AP188)&gt;0,1,0)+IF(LEN(AQ188)&gt;0,1,0)+IF(LEN(AR188)&gt;0,1,0)+IF(LEN(BA188)&gt;0,1,0)+IF(LEN(BM188)&gt;0,1,0)+IF(LEN(BZ188)&gt;0,1,0))/27,2))</f>
        <v/>
      </c>
      <c r="CF188" s="10" t="str">
        <f aca="false">IF(D188="","",IF(AND(AP188="Approved",ISERROR(SEARCH("FAIL",BJ188))),"Y","N"))</f>
        <v/>
      </c>
      <c r="CG188" s="10" t="str">
        <f aca="false">IF(D188="","",D188&amp;"|"&amp;E188&amp;"|"&amp;F188&amp;"|"&amp;G188&amp;"|"&amp;CF188)</f>
        <v/>
      </c>
    </row>
    <row r="189" customFormat="false" ht="15" hidden="false" customHeight="false" outlineLevel="0" collapsed="false">
      <c r="A189" s="10" t="str">
        <f aca="false">IF(D189="","","RW-"&amp;IFERROR(VLOOKUP(D189,Lists!$M$4:$N$22,2,0),"??")&amp;"-H"&amp;TEXT(E189*1000,"0000")&amp;"-S"&amp;F189&amp;IF(G189="Y","-GW","")&amp;"-"&amp;AO189)</f>
        <v/>
      </c>
      <c r="B189" s="10" t="str">
        <f aca="false">IF(D189="","",D189&amp;", H = "&amp;TEXT(E189,"0.0")&amp;" m, q = "&amp;F189&amp;" kPa"&amp;IF(G189="Y",", with GWT","")&amp;", "&amp;I189)</f>
        <v/>
      </c>
      <c r="C189" s="9"/>
      <c r="D189" s="9"/>
      <c r="E189" s="39"/>
      <c r="F189" s="38"/>
      <c r="G189" s="9"/>
      <c r="H189" s="38"/>
      <c r="I189" s="9"/>
      <c r="J189" s="38"/>
      <c r="K189" s="38"/>
      <c r="L189" s="38"/>
      <c r="M189" s="42"/>
      <c r="N189" s="9"/>
      <c r="O189" s="38"/>
      <c r="P189" s="38"/>
      <c r="Q189" s="38"/>
      <c r="R189" s="38"/>
      <c r="S189" s="38"/>
      <c r="T189" s="38"/>
      <c r="U189" s="9"/>
      <c r="V189" s="9"/>
      <c r="W189" s="38"/>
      <c r="X189" s="9"/>
      <c r="Y189" s="9"/>
      <c r="Z189" s="9"/>
      <c r="AA189" s="9"/>
      <c r="AB189" s="9"/>
      <c r="AC189" s="9"/>
      <c r="AD189" s="39"/>
      <c r="AE189" s="39"/>
      <c r="AF189" s="39"/>
      <c r="AG189" s="38"/>
      <c r="AH189" s="38"/>
      <c r="AI189" s="9"/>
      <c r="AJ189" s="38"/>
      <c r="AK189" s="9"/>
      <c r="AL189" s="39"/>
      <c r="AM189" s="9"/>
      <c r="AN189" s="9"/>
      <c r="AO189" s="9"/>
      <c r="AP189" s="9"/>
      <c r="AQ189" s="9"/>
      <c r="AR189" s="9"/>
      <c r="AS189" s="9"/>
      <c r="AT189" s="10" t="str">
        <f aca="false">IF(A189="","",SG_Criteria!$B$6&amp;SG_Criteria!$B$8&amp;"\"&amp;A189&amp;"\")</f>
        <v/>
      </c>
      <c r="AU189" s="10" t="str">
        <f aca="false">IF(A189="","",A189&amp;"_CAD.dwg")</f>
        <v/>
      </c>
      <c r="AV189" s="10" t="str">
        <f aca="false">IF(A189="","",A189&amp;"_DWG.pdf")</f>
        <v/>
      </c>
      <c r="AW189" s="10" t="str">
        <f aca="false">IF(A189="","",IF(AS189="Y",A189&amp;"_STAAD.std","n/a"))</f>
        <v/>
      </c>
      <c r="AX189" s="10" t="str">
        <f aca="false">IF(A189="","",A189&amp;"_CALC.xlsx")</f>
        <v/>
      </c>
      <c r="AY189" s="10" t="str">
        <f aca="false">IF(A189="","",A189&amp;"_CALC.pdf")</f>
        <v/>
      </c>
      <c r="AZ189" s="9"/>
      <c r="BA189" s="9"/>
      <c r="BB189" s="39"/>
      <c r="BC189" s="39"/>
      <c r="BD189" s="39"/>
      <c r="BE189" s="39"/>
      <c r="BF189" s="39"/>
      <c r="BG189" s="12" t="str">
        <f aca="false">IF(A189="","",IF(COUNTIF(Rebar_Schedule!$A$5:$A$2004,A189)=0,"",ROUND(SUMIF(Rebar_Schedule!$A$5:$A$2004,A189,Rebar_Schedule!$K$5:$K$2004),1)))</f>
        <v/>
      </c>
      <c r="BH189" s="33" t="str">
        <f aca="false">IF(A189="","",IF(BG189="","No rebar schedule yet",IF(ABS(BG189-N(BC189))/MAX(N(BC189),1)&gt;SG_Criteria!$B$55,"NOTE: register rebar differs from schedule by "&amp;TEXT(ABS(BG189-N(BC189))/MAX(N(BC189),1),"0%"),"OK")))</f>
        <v/>
      </c>
      <c r="BI189" s="33" t="str">
        <f aca="false">IF(OR(D189="",E189=""),"",IF(E189&lt;=IF(OR(D189="Block / Segmental",D189="Gabion",D189="Reinforced Earth (MSE)"),SG_Criteria!$B$34,SG_Criteria!$B$33),"No ERSS submission",IF(E189&lt;=SG_Criteria!$B$35,"QP(ST)",IF(E189&lt;=SG_Criteria!$B$36,"QP(ST) + AC","Geotechnical building works: QP(Geo) + AC"))))</f>
        <v/>
      </c>
      <c r="BJ189" s="33" t="str">
        <f aca="false">IF(D189="","",IF(LEN(IF(AND(V189&lt;&gt;"",IFERROR(VALUE(MID(V189,2,2)),0)&lt;SG_Criteria!$B$19),"FAIL: grade below C"&amp;SG_Criteria!$B$19&amp;". ","")&amp;IF(AND(W189&lt;&gt;"",W189&lt;SG_Criteria!$B$20),"FAIL: cover &lt; "&amp;SG_Criteria!$B$20&amp;" mm. ","")&amp;IF(AND(AD189&lt;&gt;"",AD189&lt;1),"FAIL: sliding. ","")&amp;IF(AND(D189="Reverse L-Wall (toe only, at boundary)",N(S189)&gt;0),"NOTE: reverse L-wall should have no heel. ","")&amp;IF(AND(D189="L-Wall (heel only)",N(R189)&gt;0),"NOTE: L-wall should have no toe. ","")&amp;IF(AND(F189&lt;&gt;"",F189&lt;SG_Criteria!$B$31),"NOTE: q below LTA min "&amp;SG_Criteria!$B$31&amp;" kPa (not for LTA works). ",""))=0,"OK",IF(AND(V189&lt;&gt;"",IFERROR(VALUE(MID(V189,2,2)),0)&lt;SG_Criteria!$B$19),"FAIL: grade below C"&amp;SG_Criteria!$B$19&amp;". ","")&amp;IF(AND(W189&lt;&gt;"",W189&lt;SG_Criteria!$B$20),"FAIL: cover &lt; "&amp;SG_Criteria!$B$20&amp;" mm. ","")&amp;IF(AND(AD189&lt;&gt;"",AD189&lt;1),"FAIL: sliding. ","")&amp;IF(AND(D189="Reverse L-Wall (toe only, at boundary)",N(S189)&gt;0),"NOTE: reverse L-wall should have no heel. ","")&amp;IF(AND(D189="L-Wall (heel only)",N(R189)&gt;0),"NOTE: L-wall should have no toe. ","")&amp;IF(AND(F189&lt;&gt;"",F189&lt;SG_Criteria!$B$31),"NOTE: q below LTA min "&amp;SG_Criteria!$B$31&amp;" kPa (not for LTA works). ","")))</f>
        <v/>
      </c>
      <c r="BK189" s="9"/>
      <c r="BL189" s="9"/>
      <c r="BM189" s="9"/>
      <c r="BN189" s="10" t="str">
        <f aca="false">IF(BM189="","",IFERROR(VLOOKUP(BM189,Projects!$A$5:$D$504,2,0),"Ref not in Projects"))</f>
        <v/>
      </c>
      <c r="BO189" s="10" t="str">
        <f aca="false">IF(BM189="","",IFERROR(VLOOKUP(BM189,Projects!$A$5:$D$504,4,0),"Ref not in Projects"))</f>
        <v/>
      </c>
      <c r="BP189" s="9"/>
      <c r="BQ189" s="9"/>
      <c r="BR189" s="9"/>
      <c r="BS189" s="40"/>
      <c r="BT189" s="9"/>
      <c r="BU189" s="40"/>
      <c r="BV189" s="9"/>
      <c r="BW189" s="40"/>
      <c r="BX189" s="9"/>
      <c r="BY189" s="9"/>
      <c r="BZ189" s="9"/>
      <c r="CA189" s="40"/>
      <c r="CB189" s="40"/>
      <c r="CC189" s="36" t="str">
        <f aca="false">IF(CB189="","",EDATE(CB189,SG_Criteria!$B$54*12))</f>
        <v/>
      </c>
      <c r="CD189" s="33" t="str">
        <f aca="true">IF(A189="","",IF(CB189="","NOTE: not reviewed yet",IF(TODAY()&gt;CC189,"NOTE: review overdue","OK")))</f>
        <v/>
      </c>
      <c r="CE189" s="37" t="str">
        <f aca="false">IF(A189="","",ROUND((IF(LEN(D189)&gt;0,1,0)+IF(LEN(E189)&gt;0,1,0)+IF(LEN(F189)&gt;0,1,0)+IF(LEN(G189)&gt;0,1,0)+IF(LEN(I189)&gt;0,1,0)+IF(LEN(K189)&gt;0,1,0)+IF(LEN(P189)&gt;0,1,0)+IF(LEN(Q189)&gt;0,1,0)+IF(LEN(T189)&gt;0,1,0)+IF(LEN(V189)&gt;0,1,0)+IF(LEN(W189)&gt;0,1,0)+IF(LEN(X189)&gt;0,1,0)+IF(LEN(Z189)&gt;0,1,0)+IF(LEN(AD189)&gt;0,1,0)+IF(LEN(AE189)&gt;0,1,0)+IF(LEN(AG189)&gt;0,1,0)+IF(LEN(AI189)&gt;0,1,0)+IF(LEN(BB189)&gt;0,1,0)+IF(LEN(BC189)&gt;0,1,0)+IF(LEN(AM189)&gt;0,1,0)+IF(LEN(AO189)&gt;0,1,0)+IF(LEN(AP189)&gt;0,1,0)+IF(LEN(AQ189)&gt;0,1,0)+IF(LEN(AR189)&gt;0,1,0)+IF(LEN(BA189)&gt;0,1,0)+IF(LEN(BM189)&gt;0,1,0)+IF(LEN(BZ189)&gt;0,1,0))/27,2))</f>
        <v/>
      </c>
      <c r="CF189" s="10" t="str">
        <f aca="false">IF(D189="","",IF(AND(AP189="Approved",ISERROR(SEARCH("FAIL",BJ189))),"Y","N"))</f>
        <v/>
      </c>
      <c r="CG189" s="10" t="str">
        <f aca="false">IF(D189="","",D189&amp;"|"&amp;E189&amp;"|"&amp;F189&amp;"|"&amp;G189&amp;"|"&amp;CF189)</f>
        <v/>
      </c>
    </row>
    <row r="190" customFormat="false" ht="15" hidden="false" customHeight="false" outlineLevel="0" collapsed="false">
      <c r="A190" s="10" t="str">
        <f aca="false">IF(D190="","","RW-"&amp;IFERROR(VLOOKUP(D190,Lists!$M$4:$N$22,2,0),"??")&amp;"-H"&amp;TEXT(E190*1000,"0000")&amp;"-S"&amp;F190&amp;IF(G190="Y","-GW","")&amp;"-"&amp;AO190)</f>
        <v/>
      </c>
      <c r="B190" s="10" t="str">
        <f aca="false">IF(D190="","",D190&amp;", H = "&amp;TEXT(E190,"0.0")&amp;" m, q = "&amp;F190&amp;" kPa"&amp;IF(G190="Y",", with GWT","")&amp;", "&amp;I190)</f>
        <v/>
      </c>
      <c r="C190" s="9"/>
      <c r="D190" s="9"/>
      <c r="E190" s="39"/>
      <c r="F190" s="38"/>
      <c r="G190" s="9"/>
      <c r="H190" s="38"/>
      <c r="I190" s="9"/>
      <c r="J190" s="38"/>
      <c r="K190" s="38"/>
      <c r="L190" s="38"/>
      <c r="M190" s="42"/>
      <c r="N190" s="9"/>
      <c r="O190" s="38"/>
      <c r="P190" s="38"/>
      <c r="Q190" s="38"/>
      <c r="R190" s="38"/>
      <c r="S190" s="38"/>
      <c r="T190" s="38"/>
      <c r="U190" s="9"/>
      <c r="V190" s="9"/>
      <c r="W190" s="38"/>
      <c r="X190" s="9"/>
      <c r="Y190" s="9"/>
      <c r="Z190" s="9"/>
      <c r="AA190" s="9"/>
      <c r="AB190" s="9"/>
      <c r="AC190" s="9"/>
      <c r="AD190" s="39"/>
      <c r="AE190" s="39"/>
      <c r="AF190" s="39"/>
      <c r="AG190" s="38"/>
      <c r="AH190" s="38"/>
      <c r="AI190" s="9"/>
      <c r="AJ190" s="38"/>
      <c r="AK190" s="9"/>
      <c r="AL190" s="39"/>
      <c r="AM190" s="9"/>
      <c r="AN190" s="9"/>
      <c r="AO190" s="9"/>
      <c r="AP190" s="9"/>
      <c r="AQ190" s="9"/>
      <c r="AR190" s="9"/>
      <c r="AS190" s="9"/>
      <c r="AT190" s="10" t="str">
        <f aca="false">IF(A190="","",SG_Criteria!$B$6&amp;SG_Criteria!$B$8&amp;"\"&amp;A190&amp;"\")</f>
        <v/>
      </c>
      <c r="AU190" s="10" t="str">
        <f aca="false">IF(A190="","",A190&amp;"_CAD.dwg")</f>
        <v/>
      </c>
      <c r="AV190" s="10" t="str">
        <f aca="false">IF(A190="","",A190&amp;"_DWG.pdf")</f>
        <v/>
      </c>
      <c r="AW190" s="10" t="str">
        <f aca="false">IF(A190="","",IF(AS190="Y",A190&amp;"_STAAD.std","n/a"))</f>
        <v/>
      </c>
      <c r="AX190" s="10" t="str">
        <f aca="false">IF(A190="","",A190&amp;"_CALC.xlsx")</f>
        <v/>
      </c>
      <c r="AY190" s="10" t="str">
        <f aca="false">IF(A190="","",A190&amp;"_CALC.pdf")</f>
        <v/>
      </c>
      <c r="AZ190" s="9"/>
      <c r="BA190" s="9"/>
      <c r="BB190" s="39"/>
      <c r="BC190" s="39"/>
      <c r="BD190" s="39"/>
      <c r="BE190" s="39"/>
      <c r="BF190" s="39"/>
      <c r="BG190" s="12" t="str">
        <f aca="false">IF(A190="","",IF(COUNTIF(Rebar_Schedule!$A$5:$A$2004,A190)=0,"",ROUND(SUMIF(Rebar_Schedule!$A$5:$A$2004,A190,Rebar_Schedule!$K$5:$K$2004),1)))</f>
        <v/>
      </c>
      <c r="BH190" s="33" t="str">
        <f aca="false">IF(A190="","",IF(BG190="","No rebar schedule yet",IF(ABS(BG190-N(BC190))/MAX(N(BC190),1)&gt;SG_Criteria!$B$55,"NOTE: register rebar differs from schedule by "&amp;TEXT(ABS(BG190-N(BC190))/MAX(N(BC190),1),"0%"),"OK")))</f>
        <v/>
      </c>
      <c r="BI190" s="33" t="str">
        <f aca="false">IF(OR(D190="",E190=""),"",IF(E190&lt;=IF(OR(D190="Block / Segmental",D190="Gabion",D190="Reinforced Earth (MSE)"),SG_Criteria!$B$34,SG_Criteria!$B$33),"No ERSS submission",IF(E190&lt;=SG_Criteria!$B$35,"QP(ST)",IF(E190&lt;=SG_Criteria!$B$36,"QP(ST) + AC","Geotechnical building works: QP(Geo) + AC"))))</f>
        <v/>
      </c>
      <c r="BJ190" s="33" t="str">
        <f aca="false">IF(D190="","",IF(LEN(IF(AND(V190&lt;&gt;"",IFERROR(VALUE(MID(V190,2,2)),0)&lt;SG_Criteria!$B$19),"FAIL: grade below C"&amp;SG_Criteria!$B$19&amp;". ","")&amp;IF(AND(W190&lt;&gt;"",W190&lt;SG_Criteria!$B$20),"FAIL: cover &lt; "&amp;SG_Criteria!$B$20&amp;" mm. ","")&amp;IF(AND(AD190&lt;&gt;"",AD190&lt;1),"FAIL: sliding. ","")&amp;IF(AND(D190="Reverse L-Wall (toe only, at boundary)",N(S190)&gt;0),"NOTE: reverse L-wall should have no heel. ","")&amp;IF(AND(D190="L-Wall (heel only)",N(R190)&gt;0),"NOTE: L-wall should have no toe. ","")&amp;IF(AND(F190&lt;&gt;"",F190&lt;SG_Criteria!$B$31),"NOTE: q below LTA min "&amp;SG_Criteria!$B$31&amp;" kPa (not for LTA works). ",""))=0,"OK",IF(AND(V190&lt;&gt;"",IFERROR(VALUE(MID(V190,2,2)),0)&lt;SG_Criteria!$B$19),"FAIL: grade below C"&amp;SG_Criteria!$B$19&amp;". ","")&amp;IF(AND(W190&lt;&gt;"",W190&lt;SG_Criteria!$B$20),"FAIL: cover &lt; "&amp;SG_Criteria!$B$20&amp;" mm. ","")&amp;IF(AND(AD190&lt;&gt;"",AD190&lt;1),"FAIL: sliding. ","")&amp;IF(AND(D190="Reverse L-Wall (toe only, at boundary)",N(S190)&gt;0),"NOTE: reverse L-wall should have no heel. ","")&amp;IF(AND(D190="L-Wall (heel only)",N(R190)&gt;0),"NOTE: L-wall should have no toe. ","")&amp;IF(AND(F190&lt;&gt;"",F190&lt;SG_Criteria!$B$31),"NOTE: q below LTA min "&amp;SG_Criteria!$B$31&amp;" kPa (not for LTA works). ","")))</f>
        <v/>
      </c>
      <c r="BK190" s="9"/>
      <c r="BL190" s="9"/>
      <c r="BM190" s="9"/>
      <c r="BN190" s="10" t="str">
        <f aca="false">IF(BM190="","",IFERROR(VLOOKUP(BM190,Projects!$A$5:$D$504,2,0),"Ref not in Projects"))</f>
        <v/>
      </c>
      <c r="BO190" s="10" t="str">
        <f aca="false">IF(BM190="","",IFERROR(VLOOKUP(BM190,Projects!$A$5:$D$504,4,0),"Ref not in Projects"))</f>
        <v/>
      </c>
      <c r="BP190" s="9"/>
      <c r="BQ190" s="9"/>
      <c r="BR190" s="9"/>
      <c r="BS190" s="40"/>
      <c r="BT190" s="9"/>
      <c r="BU190" s="40"/>
      <c r="BV190" s="9"/>
      <c r="BW190" s="40"/>
      <c r="BX190" s="9"/>
      <c r="BY190" s="9"/>
      <c r="BZ190" s="9"/>
      <c r="CA190" s="40"/>
      <c r="CB190" s="40"/>
      <c r="CC190" s="36" t="str">
        <f aca="false">IF(CB190="","",EDATE(CB190,SG_Criteria!$B$54*12))</f>
        <v/>
      </c>
      <c r="CD190" s="33" t="str">
        <f aca="true">IF(A190="","",IF(CB190="","NOTE: not reviewed yet",IF(TODAY()&gt;CC190,"NOTE: review overdue","OK")))</f>
        <v/>
      </c>
      <c r="CE190" s="37" t="str">
        <f aca="false">IF(A190="","",ROUND((IF(LEN(D190)&gt;0,1,0)+IF(LEN(E190)&gt;0,1,0)+IF(LEN(F190)&gt;0,1,0)+IF(LEN(G190)&gt;0,1,0)+IF(LEN(I190)&gt;0,1,0)+IF(LEN(K190)&gt;0,1,0)+IF(LEN(P190)&gt;0,1,0)+IF(LEN(Q190)&gt;0,1,0)+IF(LEN(T190)&gt;0,1,0)+IF(LEN(V190)&gt;0,1,0)+IF(LEN(W190)&gt;0,1,0)+IF(LEN(X190)&gt;0,1,0)+IF(LEN(Z190)&gt;0,1,0)+IF(LEN(AD190)&gt;0,1,0)+IF(LEN(AE190)&gt;0,1,0)+IF(LEN(AG190)&gt;0,1,0)+IF(LEN(AI190)&gt;0,1,0)+IF(LEN(BB190)&gt;0,1,0)+IF(LEN(BC190)&gt;0,1,0)+IF(LEN(AM190)&gt;0,1,0)+IF(LEN(AO190)&gt;0,1,0)+IF(LEN(AP190)&gt;0,1,0)+IF(LEN(AQ190)&gt;0,1,0)+IF(LEN(AR190)&gt;0,1,0)+IF(LEN(BA190)&gt;0,1,0)+IF(LEN(BM190)&gt;0,1,0)+IF(LEN(BZ190)&gt;0,1,0))/27,2))</f>
        <v/>
      </c>
      <c r="CF190" s="10" t="str">
        <f aca="false">IF(D190="","",IF(AND(AP190="Approved",ISERROR(SEARCH("FAIL",BJ190))),"Y","N"))</f>
        <v/>
      </c>
      <c r="CG190" s="10" t="str">
        <f aca="false">IF(D190="","",D190&amp;"|"&amp;E190&amp;"|"&amp;F190&amp;"|"&amp;G190&amp;"|"&amp;CF190)</f>
        <v/>
      </c>
    </row>
    <row r="191" customFormat="false" ht="15" hidden="false" customHeight="false" outlineLevel="0" collapsed="false">
      <c r="A191" s="10" t="str">
        <f aca="false">IF(D191="","","RW-"&amp;IFERROR(VLOOKUP(D191,Lists!$M$4:$N$22,2,0),"??")&amp;"-H"&amp;TEXT(E191*1000,"0000")&amp;"-S"&amp;F191&amp;IF(G191="Y","-GW","")&amp;"-"&amp;AO191)</f>
        <v/>
      </c>
      <c r="B191" s="10" t="str">
        <f aca="false">IF(D191="","",D191&amp;", H = "&amp;TEXT(E191,"0.0")&amp;" m, q = "&amp;F191&amp;" kPa"&amp;IF(G191="Y",", with GWT","")&amp;", "&amp;I191)</f>
        <v/>
      </c>
      <c r="C191" s="9"/>
      <c r="D191" s="9"/>
      <c r="E191" s="39"/>
      <c r="F191" s="38"/>
      <c r="G191" s="9"/>
      <c r="H191" s="38"/>
      <c r="I191" s="9"/>
      <c r="J191" s="38"/>
      <c r="K191" s="38"/>
      <c r="L191" s="38"/>
      <c r="M191" s="42"/>
      <c r="N191" s="9"/>
      <c r="O191" s="38"/>
      <c r="P191" s="38"/>
      <c r="Q191" s="38"/>
      <c r="R191" s="38"/>
      <c r="S191" s="38"/>
      <c r="T191" s="38"/>
      <c r="U191" s="9"/>
      <c r="V191" s="9"/>
      <c r="W191" s="38"/>
      <c r="X191" s="9"/>
      <c r="Y191" s="9"/>
      <c r="Z191" s="9"/>
      <c r="AA191" s="9"/>
      <c r="AB191" s="9"/>
      <c r="AC191" s="9"/>
      <c r="AD191" s="39"/>
      <c r="AE191" s="39"/>
      <c r="AF191" s="39"/>
      <c r="AG191" s="38"/>
      <c r="AH191" s="38"/>
      <c r="AI191" s="9"/>
      <c r="AJ191" s="38"/>
      <c r="AK191" s="9"/>
      <c r="AL191" s="39"/>
      <c r="AM191" s="9"/>
      <c r="AN191" s="9"/>
      <c r="AO191" s="9"/>
      <c r="AP191" s="9"/>
      <c r="AQ191" s="9"/>
      <c r="AR191" s="9"/>
      <c r="AS191" s="9"/>
      <c r="AT191" s="10" t="str">
        <f aca="false">IF(A191="","",SG_Criteria!$B$6&amp;SG_Criteria!$B$8&amp;"\"&amp;A191&amp;"\")</f>
        <v/>
      </c>
      <c r="AU191" s="10" t="str">
        <f aca="false">IF(A191="","",A191&amp;"_CAD.dwg")</f>
        <v/>
      </c>
      <c r="AV191" s="10" t="str">
        <f aca="false">IF(A191="","",A191&amp;"_DWG.pdf")</f>
        <v/>
      </c>
      <c r="AW191" s="10" t="str">
        <f aca="false">IF(A191="","",IF(AS191="Y",A191&amp;"_STAAD.std","n/a"))</f>
        <v/>
      </c>
      <c r="AX191" s="10" t="str">
        <f aca="false">IF(A191="","",A191&amp;"_CALC.xlsx")</f>
        <v/>
      </c>
      <c r="AY191" s="10" t="str">
        <f aca="false">IF(A191="","",A191&amp;"_CALC.pdf")</f>
        <v/>
      </c>
      <c r="AZ191" s="9"/>
      <c r="BA191" s="9"/>
      <c r="BB191" s="39"/>
      <c r="BC191" s="39"/>
      <c r="BD191" s="39"/>
      <c r="BE191" s="39"/>
      <c r="BF191" s="39"/>
      <c r="BG191" s="12" t="str">
        <f aca="false">IF(A191="","",IF(COUNTIF(Rebar_Schedule!$A$5:$A$2004,A191)=0,"",ROUND(SUMIF(Rebar_Schedule!$A$5:$A$2004,A191,Rebar_Schedule!$K$5:$K$2004),1)))</f>
        <v/>
      </c>
      <c r="BH191" s="33" t="str">
        <f aca="false">IF(A191="","",IF(BG191="","No rebar schedule yet",IF(ABS(BG191-N(BC191))/MAX(N(BC191),1)&gt;SG_Criteria!$B$55,"NOTE: register rebar differs from schedule by "&amp;TEXT(ABS(BG191-N(BC191))/MAX(N(BC191),1),"0%"),"OK")))</f>
        <v/>
      </c>
      <c r="BI191" s="33" t="str">
        <f aca="false">IF(OR(D191="",E191=""),"",IF(E191&lt;=IF(OR(D191="Block / Segmental",D191="Gabion",D191="Reinforced Earth (MSE)"),SG_Criteria!$B$34,SG_Criteria!$B$33),"No ERSS submission",IF(E191&lt;=SG_Criteria!$B$35,"QP(ST)",IF(E191&lt;=SG_Criteria!$B$36,"QP(ST) + AC","Geotechnical building works: QP(Geo) + AC"))))</f>
        <v/>
      </c>
      <c r="BJ191" s="33" t="str">
        <f aca="false">IF(D191="","",IF(LEN(IF(AND(V191&lt;&gt;"",IFERROR(VALUE(MID(V191,2,2)),0)&lt;SG_Criteria!$B$19),"FAIL: grade below C"&amp;SG_Criteria!$B$19&amp;". ","")&amp;IF(AND(W191&lt;&gt;"",W191&lt;SG_Criteria!$B$20),"FAIL: cover &lt; "&amp;SG_Criteria!$B$20&amp;" mm. ","")&amp;IF(AND(AD191&lt;&gt;"",AD191&lt;1),"FAIL: sliding. ","")&amp;IF(AND(D191="Reverse L-Wall (toe only, at boundary)",N(S191)&gt;0),"NOTE: reverse L-wall should have no heel. ","")&amp;IF(AND(D191="L-Wall (heel only)",N(R191)&gt;0),"NOTE: L-wall should have no toe. ","")&amp;IF(AND(F191&lt;&gt;"",F191&lt;SG_Criteria!$B$31),"NOTE: q below LTA min "&amp;SG_Criteria!$B$31&amp;" kPa (not for LTA works). ",""))=0,"OK",IF(AND(V191&lt;&gt;"",IFERROR(VALUE(MID(V191,2,2)),0)&lt;SG_Criteria!$B$19),"FAIL: grade below C"&amp;SG_Criteria!$B$19&amp;". ","")&amp;IF(AND(W191&lt;&gt;"",W191&lt;SG_Criteria!$B$20),"FAIL: cover &lt; "&amp;SG_Criteria!$B$20&amp;" mm. ","")&amp;IF(AND(AD191&lt;&gt;"",AD191&lt;1),"FAIL: sliding. ","")&amp;IF(AND(D191="Reverse L-Wall (toe only, at boundary)",N(S191)&gt;0),"NOTE: reverse L-wall should have no heel. ","")&amp;IF(AND(D191="L-Wall (heel only)",N(R191)&gt;0),"NOTE: L-wall should have no toe. ","")&amp;IF(AND(F191&lt;&gt;"",F191&lt;SG_Criteria!$B$31),"NOTE: q below LTA min "&amp;SG_Criteria!$B$31&amp;" kPa (not for LTA works). ","")))</f>
        <v/>
      </c>
      <c r="BK191" s="9"/>
      <c r="BL191" s="9"/>
      <c r="BM191" s="9"/>
      <c r="BN191" s="10" t="str">
        <f aca="false">IF(BM191="","",IFERROR(VLOOKUP(BM191,Projects!$A$5:$D$504,2,0),"Ref not in Projects"))</f>
        <v/>
      </c>
      <c r="BO191" s="10" t="str">
        <f aca="false">IF(BM191="","",IFERROR(VLOOKUP(BM191,Projects!$A$5:$D$504,4,0),"Ref not in Projects"))</f>
        <v/>
      </c>
      <c r="BP191" s="9"/>
      <c r="BQ191" s="9"/>
      <c r="BR191" s="9"/>
      <c r="BS191" s="40"/>
      <c r="BT191" s="9"/>
      <c r="BU191" s="40"/>
      <c r="BV191" s="9"/>
      <c r="BW191" s="40"/>
      <c r="BX191" s="9"/>
      <c r="BY191" s="9"/>
      <c r="BZ191" s="9"/>
      <c r="CA191" s="40"/>
      <c r="CB191" s="40"/>
      <c r="CC191" s="36" t="str">
        <f aca="false">IF(CB191="","",EDATE(CB191,SG_Criteria!$B$54*12))</f>
        <v/>
      </c>
      <c r="CD191" s="33" t="str">
        <f aca="true">IF(A191="","",IF(CB191="","NOTE: not reviewed yet",IF(TODAY()&gt;CC191,"NOTE: review overdue","OK")))</f>
        <v/>
      </c>
      <c r="CE191" s="37" t="str">
        <f aca="false">IF(A191="","",ROUND((IF(LEN(D191)&gt;0,1,0)+IF(LEN(E191)&gt;0,1,0)+IF(LEN(F191)&gt;0,1,0)+IF(LEN(G191)&gt;0,1,0)+IF(LEN(I191)&gt;0,1,0)+IF(LEN(K191)&gt;0,1,0)+IF(LEN(P191)&gt;0,1,0)+IF(LEN(Q191)&gt;0,1,0)+IF(LEN(T191)&gt;0,1,0)+IF(LEN(V191)&gt;0,1,0)+IF(LEN(W191)&gt;0,1,0)+IF(LEN(X191)&gt;0,1,0)+IF(LEN(Z191)&gt;0,1,0)+IF(LEN(AD191)&gt;0,1,0)+IF(LEN(AE191)&gt;0,1,0)+IF(LEN(AG191)&gt;0,1,0)+IF(LEN(AI191)&gt;0,1,0)+IF(LEN(BB191)&gt;0,1,0)+IF(LEN(BC191)&gt;0,1,0)+IF(LEN(AM191)&gt;0,1,0)+IF(LEN(AO191)&gt;0,1,0)+IF(LEN(AP191)&gt;0,1,0)+IF(LEN(AQ191)&gt;0,1,0)+IF(LEN(AR191)&gt;0,1,0)+IF(LEN(BA191)&gt;0,1,0)+IF(LEN(BM191)&gt;0,1,0)+IF(LEN(BZ191)&gt;0,1,0))/27,2))</f>
        <v/>
      </c>
      <c r="CF191" s="10" t="str">
        <f aca="false">IF(D191="","",IF(AND(AP191="Approved",ISERROR(SEARCH("FAIL",BJ191))),"Y","N"))</f>
        <v/>
      </c>
      <c r="CG191" s="10" t="str">
        <f aca="false">IF(D191="","",D191&amp;"|"&amp;E191&amp;"|"&amp;F191&amp;"|"&amp;G191&amp;"|"&amp;CF191)</f>
        <v/>
      </c>
    </row>
    <row r="192" customFormat="false" ht="15" hidden="false" customHeight="false" outlineLevel="0" collapsed="false">
      <c r="A192" s="10" t="str">
        <f aca="false">IF(D192="","","RW-"&amp;IFERROR(VLOOKUP(D192,Lists!$M$4:$N$22,2,0),"??")&amp;"-H"&amp;TEXT(E192*1000,"0000")&amp;"-S"&amp;F192&amp;IF(G192="Y","-GW","")&amp;"-"&amp;AO192)</f>
        <v/>
      </c>
      <c r="B192" s="10" t="str">
        <f aca="false">IF(D192="","",D192&amp;", H = "&amp;TEXT(E192,"0.0")&amp;" m, q = "&amp;F192&amp;" kPa"&amp;IF(G192="Y",", with GWT","")&amp;", "&amp;I192)</f>
        <v/>
      </c>
      <c r="C192" s="9"/>
      <c r="D192" s="9"/>
      <c r="E192" s="39"/>
      <c r="F192" s="38"/>
      <c r="G192" s="9"/>
      <c r="H192" s="38"/>
      <c r="I192" s="9"/>
      <c r="J192" s="38"/>
      <c r="K192" s="38"/>
      <c r="L192" s="38"/>
      <c r="M192" s="42"/>
      <c r="N192" s="9"/>
      <c r="O192" s="38"/>
      <c r="P192" s="38"/>
      <c r="Q192" s="38"/>
      <c r="R192" s="38"/>
      <c r="S192" s="38"/>
      <c r="T192" s="38"/>
      <c r="U192" s="9"/>
      <c r="V192" s="9"/>
      <c r="W192" s="38"/>
      <c r="X192" s="9"/>
      <c r="Y192" s="9"/>
      <c r="Z192" s="9"/>
      <c r="AA192" s="9"/>
      <c r="AB192" s="9"/>
      <c r="AC192" s="9"/>
      <c r="AD192" s="39"/>
      <c r="AE192" s="39"/>
      <c r="AF192" s="39"/>
      <c r="AG192" s="38"/>
      <c r="AH192" s="38"/>
      <c r="AI192" s="9"/>
      <c r="AJ192" s="38"/>
      <c r="AK192" s="9"/>
      <c r="AL192" s="39"/>
      <c r="AM192" s="9"/>
      <c r="AN192" s="9"/>
      <c r="AO192" s="9"/>
      <c r="AP192" s="9"/>
      <c r="AQ192" s="9"/>
      <c r="AR192" s="9"/>
      <c r="AS192" s="9"/>
      <c r="AT192" s="10" t="str">
        <f aca="false">IF(A192="","",SG_Criteria!$B$6&amp;SG_Criteria!$B$8&amp;"\"&amp;A192&amp;"\")</f>
        <v/>
      </c>
      <c r="AU192" s="10" t="str">
        <f aca="false">IF(A192="","",A192&amp;"_CAD.dwg")</f>
        <v/>
      </c>
      <c r="AV192" s="10" t="str">
        <f aca="false">IF(A192="","",A192&amp;"_DWG.pdf")</f>
        <v/>
      </c>
      <c r="AW192" s="10" t="str">
        <f aca="false">IF(A192="","",IF(AS192="Y",A192&amp;"_STAAD.std","n/a"))</f>
        <v/>
      </c>
      <c r="AX192" s="10" t="str">
        <f aca="false">IF(A192="","",A192&amp;"_CALC.xlsx")</f>
        <v/>
      </c>
      <c r="AY192" s="10" t="str">
        <f aca="false">IF(A192="","",A192&amp;"_CALC.pdf")</f>
        <v/>
      </c>
      <c r="AZ192" s="9"/>
      <c r="BA192" s="9"/>
      <c r="BB192" s="39"/>
      <c r="BC192" s="39"/>
      <c r="BD192" s="39"/>
      <c r="BE192" s="39"/>
      <c r="BF192" s="39"/>
      <c r="BG192" s="12" t="str">
        <f aca="false">IF(A192="","",IF(COUNTIF(Rebar_Schedule!$A$5:$A$2004,A192)=0,"",ROUND(SUMIF(Rebar_Schedule!$A$5:$A$2004,A192,Rebar_Schedule!$K$5:$K$2004),1)))</f>
        <v/>
      </c>
      <c r="BH192" s="33" t="str">
        <f aca="false">IF(A192="","",IF(BG192="","No rebar schedule yet",IF(ABS(BG192-N(BC192))/MAX(N(BC192),1)&gt;SG_Criteria!$B$55,"NOTE: register rebar differs from schedule by "&amp;TEXT(ABS(BG192-N(BC192))/MAX(N(BC192),1),"0%"),"OK")))</f>
        <v/>
      </c>
      <c r="BI192" s="33" t="str">
        <f aca="false">IF(OR(D192="",E192=""),"",IF(E192&lt;=IF(OR(D192="Block / Segmental",D192="Gabion",D192="Reinforced Earth (MSE)"),SG_Criteria!$B$34,SG_Criteria!$B$33),"No ERSS submission",IF(E192&lt;=SG_Criteria!$B$35,"QP(ST)",IF(E192&lt;=SG_Criteria!$B$36,"QP(ST) + AC","Geotechnical building works: QP(Geo) + AC"))))</f>
        <v/>
      </c>
      <c r="BJ192" s="33" t="str">
        <f aca="false">IF(D192="","",IF(LEN(IF(AND(V192&lt;&gt;"",IFERROR(VALUE(MID(V192,2,2)),0)&lt;SG_Criteria!$B$19),"FAIL: grade below C"&amp;SG_Criteria!$B$19&amp;". ","")&amp;IF(AND(W192&lt;&gt;"",W192&lt;SG_Criteria!$B$20),"FAIL: cover &lt; "&amp;SG_Criteria!$B$20&amp;" mm. ","")&amp;IF(AND(AD192&lt;&gt;"",AD192&lt;1),"FAIL: sliding. ","")&amp;IF(AND(D192="Reverse L-Wall (toe only, at boundary)",N(S192)&gt;0),"NOTE: reverse L-wall should have no heel. ","")&amp;IF(AND(D192="L-Wall (heel only)",N(R192)&gt;0),"NOTE: L-wall should have no toe. ","")&amp;IF(AND(F192&lt;&gt;"",F192&lt;SG_Criteria!$B$31),"NOTE: q below LTA min "&amp;SG_Criteria!$B$31&amp;" kPa (not for LTA works). ",""))=0,"OK",IF(AND(V192&lt;&gt;"",IFERROR(VALUE(MID(V192,2,2)),0)&lt;SG_Criteria!$B$19),"FAIL: grade below C"&amp;SG_Criteria!$B$19&amp;". ","")&amp;IF(AND(W192&lt;&gt;"",W192&lt;SG_Criteria!$B$20),"FAIL: cover &lt; "&amp;SG_Criteria!$B$20&amp;" mm. ","")&amp;IF(AND(AD192&lt;&gt;"",AD192&lt;1),"FAIL: sliding. ","")&amp;IF(AND(D192="Reverse L-Wall (toe only, at boundary)",N(S192)&gt;0),"NOTE: reverse L-wall should have no heel. ","")&amp;IF(AND(D192="L-Wall (heel only)",N(R192)&gt;0),"NOTE: L-wall should have no toe. ","")&amp;IF(AND(F192&lt;&gt;"",F192&lt;SG_Criteria!$B$31),"NOTE: q below LTA min "&amp;SG_Criteria!$B$31&amp;" kPa (not for LTA works). ","")))</f>
        <v/>
      </c>
      <c r="BK192" s="9"/>
      <c r="BL192" s="9"/>
      <c r="BM192" s="9"/>
      <c r="BN192" s="10" t="str">
        <f aca="false">IF(BM192="","",IFERROR(VLOOKUP(BM192,Projects!$A$5:$D$504,2,0),"Ref not in Projects"))</f>
        <v/>
      </c>
      <c r="BO192" s="10" t="str">
        <f aca="false">IF(BM192="","",IFERROR(VLOOKUP(BM192,Projects!$A$5:$D$504,4,0),"Ref not in Projects"))</f>
        <v/>
      </c>
      <c r="BP192" s="9"/>
      <c r="BQ192" s="9"/>
      <c r="BR192" s="9"/>
      <c r="BS192" s="40"/>
      <c r="BT192" s="9"/>
      <c r="BU192" s="40"/>
      <c r="BV192" s="9"/>
      <c r="BW192" s="40"/>
      <c r="BX192" s="9"/>
      <c r="BY192" s="9"/>
      <c r="BZ192" s="9"/>
      <c r="CA192" s="40"/>
      <c r="CB192" s="40"/>
      <c r="CC192" s="36" t="str">
        <f aca="false">IF(CB192="","",EDATE(CB192,SG_Criteria!$B$54*12))</f>
        <v/>
      </c>
      <c r="CD192" s="33" t="str">
        <f aca="true">IF(A192="","",IF(CB192="","NOTE: not reviewed yet",IF(TODAY()&gt;CC192,"NOTE: review overdue","OK")))</f>
        <v/>
      </c>
      <c r="CE192" s="37" t="str">
        <f aca="false">IF(A192="","",ROUND((IF(LEN(D192)&gt;0,1,0)+IF(LEN(E192)&gt;0,1,0)+IF(LEN(F192)&gt;0,1,0)+IF(LEN(G192)&gt;0,1,0)+IF(LEN(I192)&gt;0,1,0)+IF(LEN(K192)&gt;0,1,0)+IF(LEN(P192)&gt;0,1,0)+IF(LEN(Q192)&gt;0,1,0)+IF(LEN(T192)&gt;0,1,0)+IF(LEN(V192)&gt;0,1,0)+IF(LEN(W192)&gt;0,1,0)+IF(LEN(X192)&gt;0,1,0)+IF(LEN(Z192)&gt;0,1,0)+IF(LEN(AD192)&gt;0,1,0)+IF(LEN(AE192)&gt;0,1,0)+IF(LEN(AG192)&gt;0,1,0)+IF(LEN(AI192)&gt;0,1,0)+IF(LEN(BB192)&gt;0,1,0)+IF(LEN(BC192)&gt;0,1,0)+IF(LEN(AM192)&gt;0,1,0)+IF(LEN(AO192)&gt;0,1,0)+IF(LEN(AP192)&gt;0,1,0)+IF(LEN(AQ192)&gt;0,1,0)+IF(LEN(AR192)&gt;0,1,0)+IF(LEN(BA192)&gt;0,1,0)+IF(LEN(BM192)&gt;0,1,0)+IF(LEN(BZ192)&gt;0,1,0))/27,2))</f>
        <v/>
      </c>
      <c r="CF192" s="10" t="str">
        <f aca="false">IF(D192="","",IF(AND(AP192="Approved",ISERROR(SEARCH("FAIL",BJ192))),"Y","N"))</f>
        <v/>
      </c>
      <c r="CG192" s="10" t="str">
        <f aca="false">IF(D192="","",D192&amp;"|"&amp;E192&amp;"|"&amp;F192&amp;"|"&amp;G192&amp;"|"&amp;CF192)</f>
        <v/>
      </c>
    </row>
    <row r="193" customFormat="false" ht="15" hidden="false" customHeight="false" outlineLevel="0" collapsed="false">
      <c r="A193" s="10" t="str">
        <f aca="false">IF(D193="","","RW-"&amp;IFERROR(VLOOKUP(D193,Lists!$M$4:$N$22,2,0),"??")&amp;"-H"&amp;TEXT(E193*1000,"0000")&amp;"-S"&amp;F193&amp;IF(G193="Y","-GW","")&amp;"-"&amp;AO193)</f>
        <v/>
      </c>
      <c r="B193" s="10" t="str">
        <f aca="false">IF(D193="","",D193&amp;", H = "&amp;TEXT(E193,"0.0")&amp;" m, q = "&amp;F193&amp;" kPa"&amp;IF(G193="Y",", with GWT","")&amp;", "&amp;I193)</f>
        <v/>
      </c>
      <c r="C193" s="9"/>
      <c r="D193" s="9"/>
      <c r="E193" s="39"/>
      <c r="F193" s="38"/>
      <c r="G193" s="9"/>
      <c r="H193" s="38"/>
      <c r="I193" s="9"/>
      <c r="J193" s="38"/>
      <c r="K193" s="38"/>
      <c r="L193" s="38"/>
      <c r="M193" s="42"/>
      <c r="N193" s="9"/>
      <c r="O193" s="38"/>
      <c r="P193" s="38"/>
      <c r="Q193" s="38"/>
      <c r="R193" s="38"/>
      <c r="S193" s="38"/>
      <c r="T193" s="38"/>
      <c r="U193" s="9"/>
      <c r="V193" s="9"/>
      <c r="W193" s="38"/>
      <c r="X193" s="9"/>
      <c r="Y193" s="9"/>
      <c r="Z193" s="9"/>
      <c r="AA193" s="9"/>
      <c r="AB193" s="9"/>
      <c r="AC193" s="9"/>
      <c r="AD193" s="39"/>
      <c r="AE193" s="39"/>
      <c r="AF193" s="39"/>
      <c r="AG193" s="38"/>
      <c r="AH193" s="38"/>
      <c r="AI193" s="9"/>
      <c r="AJ193" s="38"/>
      <c r="AK193" s="9"/>
      <c r="AL193" s="39"/>
      <c r="AM193" s="9"/>
      <c r="AN193" s="9"/>
      <c r="AO193" s="9"/>
      <c r="AP193" s="9"/>
      <c r="AQ193" s="9"/>
      <c r="AR193" s="9"/>
      <c r="AS193" s="9"/>
      <c r="AT193" s="10" t="str">
        <f aca="false">IF(A193="","",SG_Criteria!$B$6&amp;SG_Criteria!$B$8&amp;"\"&amp;A193&amp;"\")</f>
        <v/>
      </c>
      <c r="AU193" s="10" t="str">
        <f aca="false">IF(A193="","",A193&amp;"_CAD.dwg")</f>
        <v/>
      </c>
      <c r="AV193" s="10" t="str">
        <f aca="false">IF(A193="","",A193&amp;"_DWG.pdf")</f>
        <v/>
      </c>
      <c r="AW193" s="10" t="str">
        <f aca="false">IF(A193="","",IF(AS193="Y",A193&amp;"_STAAD.std","n/a"))</f>
        <v/>
      </c>
      <c r="AX193" s="10" t="str">
        <f aca="false">IF(A193="","",A193&amp;"_CALC.xlsx")</f>
        <v/>
      </c>
      <c r="AY193" s="10" t="str">
        <f aca="false">IF(A193="","",A193&amp;"_CALC.pdf")</f>
        <v/>
      </c>
      <c r="AZ193" s="9"/>
      <c r="BA193" s="9"/>
      <c r="BB193" s="39"/>
      <c r="BC193" s="39"/>
      <c r="BD193" s="39"/>
      <c r="BE193" s="39"/>
      <c r="BF193" s="39"/>
      <c r="BG193" s="12" t="str">
        <f aca="false">IF(A193="","",IF(COUNTIF(Rebar_Schedule!$A$5:$A$2004,A193)=0,"",ROUND(SUMIF(Rebar_Schedule!$A$5:$A$2004,A193,Rebar_Schedule!$K$5:$K$2004),1)))</f>
        <v/>
      </c>
      <c r="BH193" s="33" t="str">
        <f aca="false">IF(A193="","",IF(BG193="","No rebar schedule yet",IF(ABS(BG193-N(BC193))/MAX(N(BC193),1)&gt;SG_Criteria!$B$55,"NOTE: register rebar differs from schedule by "&amp;TEXT(ABS(BG193-N(BC193))/MAX(N(BC193),1),"0%"),"OK")))</f>
        <v/>
      </c>
      <c r="BI193" s="33" t="str">
        <f aca="false">IF(OR(D193="",E193=""),"",IF(E193&lt;=IF(OR(D193="Block / Segmental",D193="Gabion",D193="Reinforced Earth (MSE)"),SG_Criteria!$B$34,SG_Criteria!$B$33),"No ERSS submission",IF(E193&lt;=SG_Criteria!$B$35,"QP(ST)",IF(E193&lt;=SG_Criteria!$B$36,"QP(ST) + AC","Geotechnical building works: QP(Geo) + AC"))))</f>
        <v/>
      </c>
      <c r="BJ193" s="33" t="str">
        <f aca="false">IF(D193="","",IF(LEN(IF(AND(V193&lt;&gt;"",IFERROR(VALUE(MID(V193,2,2)),0)&lt;SG_Criteria!$B$19),"FAIL: grade below C"&amp;SG_Criteria!$B$19&amp;". ","")&amp;IF(AND(W193&lt;&gt;"",W193&lt;SG_Criteria!$B$20),"FAIL: cover &lt; "&amp;SG_Criteria!$B$20&amp;" mm. ","")&amp;IF(AND(AD193&lt;&gt;"",AD193&lt;1),"FAIL: sliding. ","")&amp;IF(AND(D193="Reverse L-Wall (toe only, at boundary)",N(S193)&gt;0),"NOTE: reverse L-wall should have no heel. ","")&amp;IF(AND(D193="L-Wall (heel only)",N(R193)&gt;0),"NOTE: L-wall should have no toe. ","")&amp;IF(AND(F193&lt;&gt;"",F193&lt;SG_Criteria!$B$31),"NOTE: q below LTA min "&amp;SG_Criteria!$B$31&amp;" kPa (not for LTA works). ",""))=0,"OK",IF(AND(V193&lt;&gt;"",IFERROR(VALUE(MID(V193,2,2)),0)&lt;SG_Criteria!$B$19),"FAIL: grade below C"&amp;SG_Criteria!$B$19&amp;". ","")&amp;IF(AND(W193&lt;&gt;"",W193&lt;SG_Criteria!$B$20),"FAIL: cover &lt; "&amp;SG_Criteria!$B$20&amp;" mm. ","")&amp;IF(AND(AD193&lt;&gt;"",AD193&lt;1),"FAIL: sliding. ","")&amp;IF(AND(D193="Reverse L-Wall (toe only, at boundary)",N(S193)&gt;0),"NOTE: reverse L-wall should have no heel. ","")&amp;IF(AND(D193="L-Wall (heel only)",N(R193)&gt;0),"NOTE: L-wall should have no toe. ","")&amp;IF(AND(F193&lt;&gt;"",F193&lt;SG_Criteria!$B$31),"NOTE: q below LTA min "&amp;SG_Criteria!$B$31&amp;" kPa (not for LTA works). ","")))</f>
        <v/>
      </c>
      <c r="BK193" s="9"/>
      <c r="BL193" s="9"/>
      <c r="BM193" s="9"/>
      <c r="BN193" s="10" t="str">
        <f aca="false">IF(BM193="","",IFERROR(VLOOKUP(BM193,Projects!$A$5:$D$504,2,0),"Ref not in Projects"))</f>
        <v/>
      </c>
      <c r="BO193" s="10" t="str">
        <f aca="false">IF(BM193="","",IFERROR(VLOOKUP(BM193,Projects!$A$5:$D$504,4,0),"Ref not in Projects"))</f>
        <v/>
      </c>
      <c r="BP193" s="9"/>
      <c r="BQ193" s="9"/>
      <c r="BR193" s="9"/>
      <c r="BS193" s="40"/>
      <c r="BT193" s="9"/>
      <c r="BU193" s="40"/>
      <c r="BV193" s="9"/>
      <c r="BW193" s="40"/>
      <c r="BX193" s="9"/>
      <c r="BY193" s="9"/>
      <c r="BZ193" s="9"/>
      <c r="CA193" s="40"/>
      <c r="CB193" s="40"/>
      <c r="CC193" s="36" t="str">
        <f aca="false">IF(CB193="","",EDATE(CB193,SG_Criteria!$B$54*12))</f>
        <v/>
      </c>
      <c r="CD193" s="33" t="str">
        <f aca="true">IF(A193="","",IF(CB193="","NOTE: not reviewed yet",IF(TODAY()&gt;CC193,"NOTE: review overdue","OK")))</f>
        <v/>
      </c>
      <c r="CE193" s="37" t="str">
        <f aca="false">IF(A193="","",ROUND((IF(LEN(D193)&gt;0,1,0)+IF(LEN(E193)&gt;0,1,0)+IF(LEN(F193)&gt;0,1,0)+IF(LEN(G193)&gt;0,1,0)+IF(LEN(I193)&gt;0,1,0)+IF(LEN(K193)&gt;0,1,0)+IF(LEN(P193)&gt;0,1,0)+IF(LEN(Q193)&gt;0,1,0)+IF(LEN(T193)&gt;0,1,0)+IF(LEN(V193)&gt;0,1,0)+IF(LEN(W193)&gt;0,1,0)+IF(LEN(X193)&gt;0,1,0)+IF(LEN(Z193)&gt;0,1,0)+IF(LEN(AD193)&gt;0,1,0)+IF(LEN(AE193)&gt;0,1,0)+IF(LEN(AG193)&gt;0,1,0)+IF(LEN(AI193)&gt;0,1,0)+IF(LEN(BB193)&gt;0,1,0)+IF(LEN(BC193)&gt;0,1,0)+IF(LEN(AM193)&gt;0,1,0)+IF(LEN(AO193)&gt;0,1,0)+IF(LEN(AP193)&gt;0,1,0)+IF(LEN(AQ193)&gt;0,1,0)+IF(LEN(AR193)&gt;0,1,0)+IF(LEN(BA193)&gt;0,1,0)+IF(LEN(BM193)&gt;0,1,0)+IF(LEN(BZ193)&gt;0,1,0))/27,2))</f>
        <v/>
      </c>
      <c r="CF193" s="10" t="str">
        <f aca="false">IF(D193="","",IF(AND(AP193="Approved",ISERROR(SEARCH("FAIL",BJ193))),"Y","N"))</f>
        <v/>
      </c>
      <c r="CG193" s="10" t="str">
        <f aca="false">IF(D193="","",D193&amp;"|"&amp;E193&amp;"|"&amp;F193&amp;"|"&amp;G193&amp;"|"&amp;CF193)</f>
        <v/>
      </c>
    </row>
    <row r="194" customFormat="false" ht="15" hidden="false" customHeight="false" outlineLevel="0" collapsed="false">
      <c r="A194" s="10" t="str">
        <f aca="false">IF(D194="","","RW-"&amp;IFERROR(VLOOKUP(D194,Lists!$M$4:$N$22,2,0),"??")&amp;"-H"&amp;TEXT(E194*1000,"0000")&amp;"-S"&amp;F194&amp;IF(G194="Y","-GW","")&amp;"-"&amp;AO194)</f>
        <v/>
      </c>
      <c r="B194" s="10" t="str">
        <f aca="false">IF(D194="","",D194&amp;", H = "&amp;TEXT(E194,"0.0")&amp;" m, q = "&amp;F194&amp;" kPa"&amp;IF(G194="Y",", with GWT","")&amp;", "&amp;I194)</f>
        <v/>
      </c>
      <c r="C194" s="9"/>
      <c r="D194" s="9"/>
      <c r="E194" s="39"/>
      <c r="F194" s="38"/>
      <c r="G194" s="9"/>
      <c r="H194" s="38"/>
      <c r="I194" s="9"/>
      <c r="J194" s="38"/>
      <c r="K194" s="38"/>
      <c r="L194" s="38"/>
      <c r="M194" s="42"/>
      <c r="N194" s="9"/>
      <c r="O194" s="38"/>
      <c r="P194" s="38"/>
      <c r="Q194" s="38"/>
      <c r="R194" s="38"/>
      <c r="S194" s="38"/>
      <c r="T194" s="38"/>
      <c r="U194" s="9"/>
      <c r="V194" s="9"/>
      <c r="W194" s="38"/>
      <c r="X194" s="9"/>
      <c r="Y194" s="9"/>
      <c r="Z194" s="9"/>
      <c r="AA194" s="9"/>
      <c r="AB194" s="9"/>
      <c r="AC194" s="9"/>
      <c r="AD194" s="39"/>
      <c r="AE194" s="39"/>
      <c r="AF194" s="39"/>
      <c r="AG194" s="38"/>
      <c r="AH194" s="38"/>
      <c r="AI194" s="9"/>
      <c r="AJ194" s="38"/>
      <c r="AK194" s="9"/>
      <c r="AL194" s="39"/>
      <c r="AM194" s="9"/>
      <c r="AN194" s="9"/>
      <c r="AO194" s="9"/>
      <c r="AP194" s="9"/>
      <c r="AQ194" s="9"/>
      <c r="AR194" s="9"/>
      <c r="AS194" s="9"/>
      <c r="AT194" s="10" t="str">
        <f aca="false">IF(A194="","",SG_Criteria!$B$6&amp;SG_Criteria!$B$8&amp;"\"&amp;A194&amp;"\")</f>
        <v/>
      </c>
      <c r="AU194" s="10" t="str">
        <f aca="false">IF(A194="","",A194&amp;"_CAD.dwg")</f>
        <v/>
      </c>
      <c r="AV194" s="10" t="str">
        <f aca="false">IF(A194="","",A194&amp;"_DWG.pdf")</f>
        <v/>
      </c>
      <c r="AW194" s="10" t="str">
        <f aca="false">IF(A194="","",IF(AS194="Y",A194&amp;"_STAAD.std","n/a"))</f>
        <v/>
      </c>
      <c r="AX194" s="10" t="str">
        <f aca="false">IF(A194="","",A194&amp;"_CALC.xlsx")</f>
        <v/>
      </c>
      <c r="AY194" s="10" t="str">
        <f aca="false">IF(A194="","",A194&amp;"_CALC.pdf")</f>
        <v/>
      </c>
      <c r="AZ194" s="9"/>
      <c r="BA194" s="9"/>
      <c r="BB194" s="39"/>
      <c r="BC194" s="39"/>
      <c r="BD194" s="39"/>
      <c r="BE194" s="39"/>
      <c r="BF194" s="39"/>
      <c r="BG194" s="12" t="str">
        <f aca="false">IF(A194="","",IF(COUNTIF(Rebar_Schedule!$A$5:$A$2004,A194)=0,"",ROUND(SUMIF(Rebar_Schedule!$A$5:$A$2004,A194,Rebar_Schedule!$K$5:$K$2004),1)))</f>
        <v/>
      </c>
      <c r="BH194" s="33" t="str">
        <f aca="false">IF(A194="","",IF(BG194="","No rebar schedule yet",IF(ABS(BG194-N(BC194))/MAX(N(BC194),1)&gt;SG_Criteria!$B$55,"NOTE: register rebar differs from schedule by "&amp;TEXT(ABS(BG194-N(BC194))/MAX(N(BC194),1),"0%"),"OK")))</f>
        <v/>
      </c>
      <c r="BI194" s="33" t="str">
        <f aca="false">IF(OR(D194="",E194=""),"",IF(E194&lt;=IF(OR(D194="Block / Segmental",D194="Gabion",D194="Reinforced Earth (MSE)"),SG_Criteria!$B$34,SG_Criteria!$B$33),"No ERSS submission",IF(E194&lt;=SG_Criteria!$B$35,"QP(ST)",IF(E194&lt;=SG_Criteria!$B$36,"QP(ST) + AC","Geotechnical building works: QP(Geo) + AC"))))</f>
        <v/>
      </c>
      <c r="BJ194" s="33" t="str">
        <f aca="false">IF(D194="","",IF(LEN(IF(AND(V194&lt;&gt;"",IFERROR(VALUE(MID(V194,2,2)),0)&lt;SG_Criteria!$B$19),"FAIL: grade below C"&amp;SG_Criteria!$B$19&amp;". ","")&amp;IF(AND(W194&lt;&gt;"",W194&lt;SG_Criteria!$B$20),"FAIL: cover &lt; "&amp;SG_Criteria!$B$20&amp;" mm. ","")&amp;IF(AND(AD194&lt;&gt;"",AD194&lt;1),"FAIL: sliding. ","")&amp;IF(AND(D194="Reverse L-Wall (toe only, at boundary)",N(S194)&gt;0),"NOTE: reverse L-wall should have no heel. ","")&amp;IF(AND(D194="L-Wall (heel only)",N(R194)&gt;0),"NOTE: L-wall should have no toe. ","")&amp;IF(AND(F194&lt;&gt;"",F194&lt;SG_Criteria!$B$31),"NOTE: q below LTA min "&amp;SG_Criteria!$B$31&amp;" kPa (not for LTA works). ",""))=0,"OK",IF(AND(V194&lt;&gt;"",IFERROR(VALUE(MID(V194,2,2)),0)&lt;SG_Criteria!$B$19),"FAIL: grade below C"&amp;SG_Criteria!$B$19&amp;". ","")&amp;IF(AND(W194&lt;&gt;"",W194&lt;SG_Criteria!$B$20),"FAIL: cover &lt; "&amp;SG_Criteria!$B$20&amp;" mm. ","")&amp;IF(AND(AD194&lt;&gt;"",AD194&lt;1),"FAIL: sliding. ","")&amp;IF(AND(D194="Reverse L-Wall (toe only, at boundary)",N(S194)&gt;0),"NOTE: reverse L-wall should have no heel. ","")&amp;IF(AND(D194="L-Wall (heel only)",N(R194)&gt;0),"NOTE: L-wall should have no toe. ","")&amp;IF(AND(F194&lt;&gt;"",F194&lt;SG_Criteria!$B$31),"NOTE: q below LTA min "&amp;SG_Criteria!$B$31&amp;" kPa (not for LTA works). ","")))</f>
        <v/>
      </c>
      <c r="BK194" s="9"/>
      <c r="BL194" s="9"/>
      <c r="BM194" s="9"/>
      <c r="BN194" s="10" t="str">
        <f aca="false">IF(BM194="","",IFERROR(VLOOKUP(BM194,Projects!$A$5:$D$504,2,0),"Ref not in Projects"))</f>
        <v/>
      </c>
      <c r="BO194" s="10" t="str">
        <f aca="false">IF(BM194="","",IFERROR(VLOOKUP(BM194,Projects!$A$5:$D$504,4,0),"Ref not in Projects"))</f>
        <v/>
      </c>
      <c r="BP194" s="9"/>
      <c r="BQ194" s="9"/>
      <c r="BR194" s="9"/>
      <c r="BS194" s="40"/>
      <c r="BT194" s="9"/>
      <c r="BU194" s="40"/>
      <c r="BV194" s="9"/>
      <c r="BW194" s="40"/>
      <c r="BX194" s="9"/>
      <c r="BY194" s="9"/>
      <c r="BZ194" s="9"/>
      <c r="CA194" s="40"/>
      <c r="CB194" s="40"/>
      <c r="CC194" s="36" t="str">
        <f aca="false">IF(CB194="","",EDATE(CB194,SG_Criteria!$B$54*12))</f>
        <v/>
      </c>
      <c r="CD194" s="33" t="str">
        <f aca="true">IF(A194="","",IF(CB194="","NOTE: not reviewed yet",IF(TODAY()&gt;CC194,"NOTE: review overdue","OK")))</f>
        <v/>
      </c>
      <c r="CE194" s="37" t="str">
        <f aca="false">IF(A194="","",ROUND((IF(LEN(D194)&gt;0,1,0)+IF(LEN(E194)&gt;0,1,0)+IF(LEN(F194)&gt;0,1,0)+IF(LEN(G194)&gt;0,1,0)+IF(LEN(I194)&gt;0,1,0)+IF(LEN(K194)&gt;0,1,0)+IF(LEN(P194)&gt;0,1,0)+IF(LEN(Q194)&gt;0,1,0)+IF(LEN(T194)&gt;0,1,0)+IF(LEN(V194)&gt;0,1,0)+IF(LEN(W194)&gt;0,1,0)+IF(LEN(X194)&gt;0,1,0)+IF(LEN(Z194)&gt;0,1,0)+IF(LEN(AD194)&gt;0,1,0)+IF(LEN(AE194)&gt;0,1,0)+IF(LEN(AG194)&gt;0,1,0)+IF(LEN(AI194)&gt;0,1,0)+IF(LEN(BB194)&gt;0,1,0)+IF(LEN(BC194)&gt;0,1,0)+IF(LEN(AM194)&gt;0,1,0)+IF(LEN(AO194)&gt;0,1,0)+IF(LEN(AP194)&gt;0,1,0)+IF(LEN(AQ194)&gt;0,1,0)+IF(LEN(AR194)&gt;0,1,0)+IF(LEN(BA194)&gt;0,1,0)+IF(LEN(BM194)&gt;0,1,0)+IF(LEN(BZ194)&gt;0,1,0))/27,2))</f>
        <v/>
      </c>
      <c r="CF194" s="10" t="str">
        <f aca="false">IF(D194="","",IF(AND(AP194="Approved",ISERROR(SEARCH("FAIL",BJ194))),"Y","N"))</f>
        <v/>
      </c>
      <c r="CG194" s="10" t="str">
        <f aca="false">IF(D194="","",D194&amp;"|"&amp;E194&amp;"|"&amp;F194&amp;"|"&amp;G194&amp;"|"&amp;CF194)</f>
        <v/>
      </c>
    </row>
    <row r="195" customFormat="false" ht="15" hidden="false" customHeight="false" outlineLevel="0" collapsed="false">
      <c r="A195" s="10" t="str">
        <f aca="false">IF(D195="","","RW-"&amp;IFERROR(VLOOKUP(D195,Lists!$M$4:$N$22,2,0),"??")&amp;"-H"&amp;TEXT(E195*1000,"0000")&amp;"-S"&amp;F195&amp;IF(G195="Y","-GW","")&amp;"-"&amp;AO195)</f>
        <v/>
      </c>
      <c r="B195" s="10" t="str">
        <f aca="false">IF(D195="","",D195&amp;", H = "&amp;TEXT(E195,"0.0")&amp;" m, q = "&amp;F195&amp;" kPa"&amp;IF(G195="Y",", with GWT","")&amp;", "&amp;I195)</f>
        <v/>
      </c>
      <c r="C195" s="9"/>
      <c r="D195" s="9"/>
      <c r="E195" s="39"/>
      <c r="F195" s="38"/>
      <c r="G195" s="9"/>
      <c r="H195" s="38"/>
      <c r="I195" s="9"/>
      <c r="J195" s="38"/>
      <c r="K195" s="38"/>
      <c r="L195" s="38"/>
      <c r="M195" s="42"/>
      <c r="N195" s="9"/>
      <c r="O195" s="38"/>
      <c r="P195" s="38"/>
      <c r="Q195" s="38"/>
      <c r="R195" s="38"/>
      <c r="S195" s="38"/>
      <c r="T195" s="38"/>
      <c r="U195" s="9"/>
      <c r="V195" s="9"/>
      <c r="W195" s="38"/>
      <c r="X195" s="9"/>
      <c r="Y195" s="9"/>
      <c r="Z195" s="9"/>
      <c r="AA195" s="9"/>
      <c r="AB195" s="9"/>
      <c r="AC195" s="9"/>
      <c r="AD195" s="39"/>
      <c r="AE195" s="39"/>
      <c r="AF195" s="39"/>
      <c r="AG195" s="38"/>
      <c r="AH195" s="38"/>
      <c r="AI195" s="9"/>
      <c r="AJ195" s="38"/>
      <c r="AK195" s="9"/>
      <c r="AL195" s="39"/>
      <c r="AM195" s="9"/>
      <c r="AN195" s="9"/>
      <c r="AO195" s="9"/>
      <c r="AP195" s="9"/>
      <c r="AQ195" s="9"/>
      <c r="AR195" s="9"/>
      <c r="AS195" s="9"/>
      <c r="AT195" s="10" t="str">
        <f aca="false">IF(A195="","",SG_Criteria!$B$6&amp;SG_Criteria!$B$8&amp;"\"&amp;A195&amp;"\")</f>
        <v/>
      </c>
      <c r="AU195" s="10" t="str">
        <f aca="false">IF(A195="","",A195&amp;"_CAD.dwg")</f>
        <v/>
      </c>
      <c r="AV195" s="10" t="str">
        <f aca="false">IF(A195="","",A195&amp;"_DWG.pdf")</f>
        <v/>
      </c>
      <c r="AW195" s="10" t="str">
        <f aca="false">IF(A195="","",IF(AS195="Y",A195&amp;"_STAAD.std","n/a"))</f>
        <v/>
      </c>
      <c r="AX195" s="10" t="str">
        <f aca="false">IF(A195="","",A195&amp;"_CALC.xlsx")</f>
        <v/>
      </c>
      <c r="AY195" s="10" t="str">
        <f aca="false">IF(A195="","",A195&amp;"_CALC.pdf")</f>
        <v/>
      </c>
      <c r="AZ195" s="9"/>
      <c r="BA195" s="9"/>
      <c r="BB195" s="39"/>
      <c r="BC195" s="39"/>
      <c r="BD195" s="39"/>
      <c r="BE195" s="39"/>
      <c r="BF195" s="39"/>
      <c r="BG195" s="12" t="str">
        <f aca="false">IF(A195="","",IF(COUNTIF(Rebar_Schedule!$A$5:$A$2004,A195)=0,"",ROUND(SUMIF(Rebar_Schedule!$A$5:$A$2004,A195,Rebar_Schedule!$K$5:$K$2004),1)))</f>
        <v/>
      </c>
      <c r="BH195" s="33" t="str">
        <f aca="false">IF(A195="","",IF(BG195="","No rebar schedule yet",IF(ABS(BG195-N(BC195))/MAX(N(BC195),1)&gt;SG_Criteria!$B$55,"NOTE: register rebar differs from schedule by "&amp;TEXT(ABS(BG195-N(BC195))/MAX(N(BC195),1),"0%"),"OK")))</f>
        <v/>
      </c>
      <c r="BI195" s="33" t="str">
        <f aca="false">IF(OR(D195="",E195=""),"",IF(E195&lt;=IF(OR(D195="Block / Segmental",D195="Gabion",D195="Reinforced Earth (MSE)"),SG_Criteria!$B$34,SG_Criteria!$B$33),"No ERSS submission",IF(E195&lt;=SG_Criteria!$B$35,"QP(ST)",IF(E195&lt;=SG_Criteria!$B$36,"QP(ST) + AC","Geotechnical building works: QP(Geo) + AC"))))</f>
        <v/>
      </c>
      <c r="BJ195" s="33" t="str">
        <f aca="false">IF(D195="","",IF(LEN(IF(AND(V195&lt;&gt;"",IFERROR(VALUE(MID(V195,2,2)),0)&lt;SG_Criteria!$B$19),"FAIL: grade below C"&amp;SG_Criteria!$B$19&amp;". ","")&amp;IF(AND(W195&lt;&gt;"",W195&lt;SG_Criteria!$B$20),"FAIL: cover &lt; "&amp;SG_Criteria!$B$20&amp;" mm. ","")&amp;IF(AND(AD195&lt;&gt;"",AD195&lt;1),"FAIL: sliding. ","")&amp;IF(AND(D195="Reverse L-Wall (toe only, at boundary)",N(S195)&gt;0),"NOTE: reverse L-wall should have no heel. ","")&amp;IF(AND(D195="L-Wall (heel only)",N(R195)&gt;0),"NOTE: L-wall should have no toe. ","")&amp;IF(AND(F195&lt;&gt;"",F195&lt;SG_Criteria!$B$31),"NOTE: q below LTA min "&amp;SG_Criteria!$B$31&amp;" kPa (not for LTA works). ",""))=0,"OK",IF(AND(V195&lt;&gt;"",IFERROR(VALUE(MID(V195,2,2)),0)&lt;SG_Criteria!$B$19),"FAIL: grade below C"&amp;SG_Criteria!$B$19&amp;". ","")&amp;IF(AND(W195&lt;&gt;"",W195&lt;SG_Criteria!$B$20),"FAIL: cover &lt; "&amp;SG_Criteria!$B$20&amp;" mm. ","")&amp;IF(AND(AD195&lt;&gt;"",AD195&lt;1),"FAIL: sliding. ","")&amp;IF(AND(D195="Reverse L-Wall (toe only, at boundary)",N(S195)&gt;0),"NOTE: reverse L-wall should have no heel. ","")&amp;IF(AND(D195="L-Wall (heel only)",N(R195)&gt;0),"NOTE: L-wall should have no toe. ","")&amp;IF(AND(F195&lt;&gt;"",F195&lt;SG_Criteria!$B$31),"NOTE: q below LTA min "&amp;SG_Criteria!$B$31&amp;" kPa (not for LTA works). ","")))</f>
        <v/>
      </c>
      <c r="BK195" s="9"/>
      <c r="BL195" s="9"/>
      <c r="BM195" s="9"/>
      <c r="BN195" s="10" t="str">
        <f aca="false">IF(BM195="","",IFERROR(VLOOKUP(BM195,Projects!$A$5:$D$504,2,0),"Ref not in Projects"))</f>
        <v/>
      </c>
      <c r="BO195" s="10" t="str">
        <f aca="false">IF(BM195="","",IFERROR(VLOOKUP(BM195,Projects!$A$5:$D$504,4,0),"Ref not in Projects"))</f>
        <v/>
      </c>
      <c r="BP195" s="9"/>
      <c r="BQ195" s="9"/>
      <c r="BR195" s="9"/>
      <c r="BS195" s="40"/>
      <c r="BT195" s="9"/>
      <c r="BU195" s="40"/>
      <c r="BV195" s="9"/>
      <c r="BW195" s="40"/>
      <c r="BX195" s="9"/>
      <c r="BY195" s="9"/>
      <c r="BZ195" s="9"/>
      <c r="CA195" s="40"/>
      <c r="CB195" s="40"/>
      <c r="CC195" s="36" t="str">
        <f aca="false">IF(CB195="","",EDATE(CB195,SG_Criteria!$B$54*12))</f>
        <v/>
      </c>
      <c r="CD195" s="33" t="str">
        <f aca="true">IF(A195="","",IF(CB195="","NOTE: not reviewed yet",IF(TODAY()&gt;CC195,"NOTE: review overdue","OK")))</f>
        <v/>
      </c>
      <c r="CE195" s="37" t="str">
        <f aca="false">IF(A195="","",ROUND((IF(LEN(D195)&gt;0,1,0)+IF(LEN(E195)&gt;0,1,0)+IF(LEN(F195)&gt;0,1,0)+IF(LEN(G195)&gt;0,1,0)+IF(LEN(I195)&gt;0,1,0)+IF(LEN(K195)&gt;0,1,0)+IF(LEN(P195)&gt;0,1,0)+IF(LEN(Q195)&gt;0,1,0)+IF(LEN(T195)&gt;0,1,0)+IF(LEN(V195)&gt;0,1,0)+IF(LEN(W195)&gt;0,1,0)+IF(LEN(X195)&gt;0,1,0)+IF(LEN(Z195)&gt;0,1,0)+IF(LEN(AD195)&gt;0,1,0)+IF(LEN(AE195)&gt;0,1,0)+IF(LEN(AG195)&gt;0,1,0)+IF(LEN(AI195)&gt;0,1,0)+IF(LEN(BB195)&gt;0,1,0)+IF(LEN(BC195)&gt;0,1,0)+IF(LEN(AM195)&gt;0,1,0)+IF(LEN(AO195)&gt;0,1,0)+IF(LEN(AP195)&gt;0,1,0)+IF(LEN(AQ195)&gt;0,1,0)+IF(LEN(AR195)&gt;0,1,0)+IF(LEN(BA195)&gt;0,1,0)+IF(LEN(BM195)&gt;0,1,0)+IF(LEN(BZ195)&gt;0,1,0))/27,2))</f>
        <v/>
      </c>
      <c r="CF195" s="10" t="str">
        <f aca="false">IF(D195="","",IF(AND(AP195="Approved",ISERROR(SEARCH("FAIL",BJ195))),"Y","N"))</f>
        <v/>
      </c>
      <c r="CG195" s="10" t="str">
        <f aca="false">IF(D195="","",D195&amp;"|"&amp;E195&amp;"|"&amp;F195&amp;"|"&amp;G195&amp;"|"&amp;CF195)</f>
        <v/>
      </c>
    </row>
    <row r="196" customFormat="false" ht="15" hidden="false" customHeight="false" outlineLevel="0" collapsed="false">
      <c r="A196" s="10" t="str">
        <f aca="false">IF(D196="","","RW-"&amp;IFERROR(VLOOKUP(D196,Lists!$M$4:$N$22,2,0),"??")&amp;"-H"&amp;TEXT(E196*1000,"0000")&amp;"-S"&amp;F196&amp;IF(G196="Y","-GW","")&amp;"-"&amp;AO196)</f>
        <v/>
      </c>
      <c r="B196" s="10" t="str">
        <f aca="false">IF(D196="","",D196&amp;", H = "&amp;TEXT(E196,"0.0")&amp;" m, q = "&amp;F196&amp;" kPa"&amp;IF(G196="Y",", with GWT","")&amp;", "&amp;I196)</f>
        <v/>
      </c>
      <c r="C196" s="9"/>
      <c r="D196" s="9"/>
      <c r="E196" s="39"/>
      <c r="F196" s="38"/>
      <c r="G196" s="9"/>
      <c r="H196" s="38"/>
      <c r="I196" s="9"/>
      <c r="J196" s="38"/>
      <c r="K196" s="38"/>
      <c r="L196" s="38"/>
      <c r="M196" s="42"/>
      <c r="N196" s="9"/>
      <c r="O196" s="38"/>
      <c r="P196" s="38"/>
      <c r="Q196" s="38"/>
      <c r="R196" s="38"/>
      <c r="S196" s="38"/>
      <c r="T196" s="38"/>
      <c r="U196" s="9"/>
      <c r="V196" s="9"/>
      <c r="W196" s="38"/>
      <c r="X196" s="9"/>
      <c r="Y196" s="9"/>
      <c r="Z196" s="9"/>
      <c r="AA196" s="9"/>
      <c r="AB196" s="9"/>
      <c r="AC196" s="9"/>
      <c r="AD196" s="39"/>
      <c r="AE196" s="39"/>
      <c r="AF196" s="39"/>
      <c r="AG196" s="38"/>
      <c r="AH196" s="38"/>
      <c r="AI196" s="9"/>
      <c r="AJ196" s="38"/>
      <c r="AK196" s="9"/>
      <c r="AL196" s="39"/>
      <c r="AM196" s="9"/>
      <c r="AN196" s="9"/>
      <c r="AO196" s="9"/>
      <c r="AP196" s="9"/>
      <c r="AQ196" s="9"/>
      <c r="AR196" s="9"/>
      <c r="AS196" s="9"/>
      <c r="AT196" s="10" t="str">
        <f aca="false">IF(A196="","",SG_Criteria!$B$6&amp;SG_Criteria!$B$8&amp;"\"&amp;A196&amp;"\")</f>
        <v/>
      </c>
      <c r="AU196" s="10" t="str">
        <f aca="false">IF(A196="","",A196&amp;"_CAD.dwg")</f>
        <v/>
      </c>
      <c r="AV196" s="10" t="str">
        <f aca="false">IF(A196="","",A196&amp;"_DWG.pdf")</f>
        <v/>
      </c>
      <c r="AW196" s="10" t="str">
        <f aca="false">IF(A196="","",IF(AS196="Y",A196&amp;"_STAAD.std","n/a"))</f>
        <v/>
      </c>
      <c r="AX196" s="10" t="str">
        <f aca="false">IF(A196="","",A196&amp;"_CALC.xlsx")</f>
        <v/>
      </c>
      <c r="AY196" s="10" t="str">
        <f aca="false">IF(A196="","",A196&amp;"_CALC.pdf")</f>
        <v/>
      </c>
      <c r="AZ196" s="9"/>
      <c r="BA196" s="9"/>
      <c r="BB196" s="39"/>
      <c r="BC196" s="39"/>
      <c r="BD196" s="39"/>
      <c r="BE196" s="39"/>
      <c r="BF196" s="39"/>
      <c r="BG196" s="12" t="str">
        <f aca="false">IF(A196="","",IF(COUNTIF(Rebar_Schedule!$A$5:$A$2004,A196)=0,"",ROUND(SUMIF(Rebar_Schedule!$A$5:$A$2004,A196,Rebar_Schedule!$K$5:$K$2004),1)))</f>
        <v/>
      </c>
      <c r="BH196" s="33" t="str">
        <f aca="false">IF(A196="","",IF(BG196="","No rebar schedule yet",IF(ABS(BG196-N(BC196))/MAX(N(BC196),1)&gt;SG_Criteria!$B$55,"NOTE: register rebar differs from schedule by "&amp;TEXT(ABS(BG196-N(BC196))/MAX(N(BC196),1),"0%"),"OK")))</f>
        <v/>
      </c>
      <c r="BI196" s="33" t="str">
        <f aca="false">IF(OR(D196="",E196=""),"",IF(E196&lt;=IF(OR(D196="Block / Segmental",D196="Gabion",D196="Reinforced Earth (MSE)"),SG_Criteria!$B$34,SG_Criteria!$B$33),"No ERSS submission",IF(E196&lt;=SG_Criteria!$B$35,"QP(ST)",IF(E196&lt;=SG_Criteria!$B$36,"QP(ST) + AC","Geotechnical building works: QP(Geo) + AC"))))</f>
        <v/>
      </c>
      <c r="BJ196" s="33" t="str">
        <f aca="false">IF(D196="","",IF(LEN(IF(AND(V196&lt;&gt;"",IFERROR(VALUE(MID(V196,2,2)),0)&lt;SG_Criteria!$B$19),"FAIL: grade below C"&amp;SG_Criteria!$B$19&amp;". ","")&amp;IF(AND(W196&lt;&gt;"",W196&lt;SG_Criteria!$B$20),"FAIL: cover &lt; "&amp;SG_Criteria!$B$20&amp;" mm. ","")&amp;IF(AND(AD196&lt;&gt;"",AD196&lt;1),"FAIL: sliding. ","")&amp;IF(AND(D196="Reverse L-Wall (toe only, at boundary)",N(S196)&gt;0),"NOTE: reverse L-wall should have no heel. ","")&amp;IF(AND(D196="L-Wall (heel only)",N(R196)&gt;0),"NOTE: L-wall should have no toe. ","")&amp;IF(AND(F196&lt;&gt;"",F196&lt;SG_Criteria!$B$31),"NOTE: q below LTA min "&amp;SG_Criteria!$B$31&amp;" kPa (not for LTA works). ",""))=0,"OK",IF(AND(V196&lt;&gt;"",IFERROR(VALUE(MID(V196,2,2)),0)&lt;SG_Criteria!$B$19),"FAIL: grade below C"&amp;SG_Criteria!$B$19&amp;". ","")&amp;IF(AND(W196&lt;&gt;"",W196&lt;SG_Criteria!$B$20),"FAIL: cover &lt; "&amp;SG_Criteria!$B$20&amp;" mm. ","")&amp;IF(AND(AD196&lt;&gt;"",AD196&lt;1),"FAIL: sliding. ","")&amp;IF(AND(D196="Reverse L-Wall (toe only, at boundary)",N(S196)&gt;0),"NOTE: reverse L-wall should have no heel. ","")&amp;IF(AND(D196="L-Wall (heel only)",N(R196)&gt;0),"NOTE: L-wall should have no toe. ","")&amp;IF(AND(F196&lt;&gt;"",F196&lt;SG_Criteria!$B$31),"NOTE: q below LTA min "&amp;SG_Criteria!$B$31&amp;" kPa (not for LTA works). ","")))</f>
        <v/>
      </c>
      <c r="BK196" s="9"/>
      <c r="BL196" s="9"/>
      <c r="BM196" s="9"/>
      <c r="BN196" s="10" t="str">
        <f aca="false">IF(BM196="","",IFERROR(VLOOKUP(BM196,Projects!$A$5:$D$504,2,0),"Ref not in Projects"))</f>
        <v/>
      </c>
      <c r="BO196" s="10" t="str">
        <f aca="false">IF(BM196="","",IFERROR(VLOOKUP(BM196,Projects!$A$5:$D$504,4,0),"Ref not in Projects"))</f>
        <v/>
      </c>
      <c r="BP196" s="9"/>
      <c r="BQ196" s="9"/>
      <c r="BR196" s="9"/>
      <c r="BS196" s="40"/>
      <c r="BT196" s="9"/>
      <c r="BU196" s="40"/>
      <c r="BV196" s="9"/>
      <c r="BW196" s="40"/>
      <c r="BX196" s="9"/>
      <c r="BY196" s="9"/>
      <c r="BZ196" s="9"/>
      <c r="CA196" s="40"/>
      <c r="CB196" s="40"/>
      <c r="CC196" s="36" t="str">
        <f aca="false">IF(CB196="","",EDATE(CB196,SG_Criteria!$B$54*12))</f>
        <v/>
      </c>
      <c r="CD196" s="33" t="str">
        <f aca="true">IF(A196="","",IF(CB196="","NOTE: not reviewed yet",IF(TODAY()&gt;CC196,"NOTE: review overdue","OK")))</f>
        <v/>
      </c>
      <c r="CE196" s="37" t="str">
        <f aca="false">IF(A196="","",ROUND((IF(LEN(D196)&gt;0,1,0)+IF(LEN(E196)&gt;0,1,0)+IF(LEN(F196)&gt;0,1,0)+IF(LEN(G196)&gt;0,1,0)+IF(LEN(I196)&gt;0,1,0)+IF(LEN(K196)&gt;0,1,0)+IF(LEN(P196)&gt;0,1,0)+IF(LEN(Q196)&gt;0,1,0)+IF(LEN(T196)&gt;0,1,0)+IF(LEN(V196)&gt;0,1,0)+IF(LEN(W196)&gt;0,1,0)+IF(LEN(X196)&gt;0,1,0)+IF(LEN(Z196)&gt;0,1,0)+IF(LEN(AD196)&gt;0,1,0)+IF(LEN(AE196)&gt;0,1,0)+IF(LEN(AG196)&gt;0,1,0)+IF(LEN(AI196)&gt;0,1,0)+IF(LEN(BB196)&gt;0,1,0)+IF(LEN(BC196)&gt;0,1,0)+IF(LEN(AM196)&gt;0,1,0)+IF(LEN(AO196)&gt;0,1,0)+IF(LEN(AP196)&gt;0,1,0)+IF(LEN(AQ196)&gt;0,1,0)+IF(LEN(AR196)&gt;0,1,0)+IF(LEN(BA196)&gt;0,1,0)+IF(LEN(BM196)&gt;0,1,0)+IF(LEN(BZ196)&gt;0,1,0))/27,2))</f>
        <v/>
      </c>
      <c r="CF196" s="10" t="str">
        <f aca="false">IF(D196="","",IF(AND(AP196="Approved",ISERROR(SEARCH("FAIL",BJ196))),"Y","N"))</f>
        <v/>
      </c>
      <c r="CG196" s="10" t="str">
        <f aca="false">IF(D196="","",D196&amp;"|"&amp;E196&amp;"|"&amp;F196&amp;"|"&amp;G196&amp;"|"&amp;CF196)</f>
        <v/>
      </c>
    </row>
    <row r="197" customFormat="false" ht="15" hidden="false" customHeight="false" outlineLevel="0" collapsed="false">
      <c r="A197" s="10" t="str">
        <f aca="false">IF(D197="","","RW-"&amp;IFERROR(VLOOKUP(D197,Lists!$M$4:$N$22,2,0),"??")&amp;"-H"&amp;TEXT(E197*1000,"0000")&amp;"-S"&amp;F197&amp;IF(G197="Y","-GW","")&amp;"-"&amp;AO197)</f>
        <v/>
      </c>
      <c r="B197" s="10" t="str">
        <f aca="false">IF(D197="","",D197&amp;", H = "&amp;TEXT(E197,"0.0")&amp;" m, q = "&amp;F197&amp;" kPa"&amp;IF(G197="Y",", with GWT","")&amp;", "&amp;I197)</f>
        <v/>
      </c>
      <c r="C197" s="9"/>
      <c r="D197" s="9"/>
      <c r="E197" s="39"/>
      <c r="F197" s="38"/>
      <c r="G197" s="9"/>
      <c r="H197" s="38"/>
      <c r="I197" s="9"/>
      <c r="J197" s="38"/>
      <c r="K197" s="38"/>
      <c r="L197" s="38"/>
      <c r="M197" s="42"/>
      <c r="N197" s="9"/>
      <c r="O197" s="38"/>
      <c r="P197" s="38"/>
      <c r="Q197" s="38"/>
      <c r="R197" s="38"/>
      <c r="S197" s="38"/>
      <c r="T197" s="38"/>
      <c r="U197" s="9"/>
      <c r="V197" s="9"/>
      <c r="W197" s="38"/>
      <c r="X197" s="9"/>
      <c r="Y197" s="9"/>
      <c r="Z197" s="9"/>
      <c r="AA197" s="9"/>
      <c r="AB197" s="9"/>
      <c r="AC197" s="9"/>
      <c r="AD197" s="39"/>
      <c r="AE197" s="39"/>
      <c r="AF197" s="39"/>
      <c r="AG197" s="38"/>
      <c r="AH197" s="38"/>
      <c r="AI197" s="9"/>
      <c r="AJ197" s="38"/>
      <c r="AK197" s="9"/>
      <c r="AL197" s="39"/>
      <c r="AM197" s="9"/>
      <c r="AN197" s="9"/>
      <c r="AO197" s="9"/>
      <c r="AP197" s="9"/>
      <c r="AQ197" s="9"/>
      <c r="AR197" s="9"/>
      <c r="AS197" s="9"/>
      <c r="AT197" s="10" t="str">
        <f aca="false">IF(A197="","",SG_Criteria!$B$6&amp;SG_Criteria!$B$8&amp;"\"&amp;A197&amp;"\")</f>
        <v/>
      </c>
      <c r="AU197" s="10" t="str">
        <f aca="false">IF(A197="","",A197&amp;"_CAD.dwg")</f>
        <v/>
      </c>
      <c r="AV197" s="10" t="str">
        <f aca="false">IF(A197="","",A197&amp;"_DWG.pdf")</f>
        <v/>
      </c>
      <c r="AW197" s="10" t="str">
        <f aca="false">IF(A197="","",IF(AS197="Y",A197&amp;"_STAAD.std","n/a"))</f>
        <v/>
      </c>
      <c r="AX197" s="10" t="str">
        <f aca="false">IF(A197="","",A197&amp;"_CALC.xlsx")</f>
        <v/>
      </c>
      <c r="AY197" s="10" t="str">
        <f aca="false">IF(A197="","",A197&amp;"_CALC.pdf")</f>
        <v/>
      </c>
      <c r="AZ197" s="9"/>
      <c r="BA197" s="9"/>
      <c r="BB197" s="39"/>
      <c r="BC197" s="39"/>
      <c r="BD197" s="39"/>
      <c r="BE197" s="39"/>
      <c r="BF197" s="39"/>
      <c r="BG197" s="12" t="str">
        <f aca="false">IF(A197="","",IF(COUNTIF(Rebar_Schedule!$A$5:$A$2004,A197)=0,"",ROUND(SUMIF(Rebar_Schedule!$A$5:$A$2004,A197,Rebar_Schedule!$K$5:$K$2004),1)))</f>
        <v/>
      </c>
      <c r="BH197" s="33" t="str">
        <f aca="false">IF(A197="","",IF(BG197="","No rebar schedule yet",IF(ABS(BG197-N(BC197))/MAX(N(BC197),1)&gt;SG_Criteria!$B$55,"NOTE: register rebar differs from schedule by "&amp;TEXT(ABS(BG197-N(BC197))/MAX(N(BC197),1),"0%"),"OK")))</f>
        <v/>
      </c>
      <c r="BI197" s="33" t="str">
        <f aca="false">IF(OR(D197="",E197=""),"",IF(E197&lt;=IF(OR(D197="Block / Segmental",D197="Gabion",D197="Reinforced Earth (MSE)"),SG_Criteria!$B$34,SG_Criteria!$B$33),"No ERSS submission",IF(E197&lt;=SG_Criteria!$B$35,"QP(ST)",IF(E197&lt;=SG_Criteria!$B$36,"QP(ST) + AC","Geotechnical building works: QP(Geo) + AC"))))</f>
        <v/>
      </c>
      <c r="BJ197" s="33" t="str">
        <f aca="false">IF(D197="","",IF(LEN(IF(AND(V197&lt;&gt;"",IFERROR(VALUE(MID(V197,2,2)),0)&lt;SG_Criteria!$B$19),"FAIL: grade below C"&amp;SG_Criteria!$B$19&amp;". ","")&amp;IF(AND(W197&lt;&gt;"",W197&lt;SG_Criteria!$B$20),"FAIL: cover &lt; "&amp;SG_Criteria!$B$20&amp;" mm. ","")&amp;IF(AND(AD197&lt;&gt;"",AD197&lt;1),"FAIL: sliding. ","")&amp;IF(AND(D197="Reverse L-Wall (toe only, at boundary)",N(S197)&gt;0),"NOTE: reverse L-wall should have no heel. ","")&amp;IF(AND(D197="L-Wall (heel only)",N(R197)&gt;0),"NOTE: L-wall should have no toe. ","")&amp;IF(AND(F197&lt;&gt;"",F197&lt;SG_Criteria!$B$31),"NOTE: q below LTA min "&amp;SG_Criteria!$B$31&amp;" kPa (not for LTA works). ",""))=0,"OK",IF(AND(V197&lt;&gt;"",IFERROR(VALUE(MID(V197,2,2)),0)&lt;SG_Criteria!$B$19),"FAIL: grade below C"&amp;SG_Criteria!$B$19&amp;". ","")&amp;IF(AND(W197&lt;&gt;"",W197&lt;SG_Criteria!$B$20),"FAIL: cover &lt; "&amp;SG_Criteria!$B$20&amp;" mm. ","")&amp;IF(AND(AD197&lt;&gt;"",AD197&lt;1),"FAIL: sliding. ","")&amp;IF(AND(D197="Reverse L-Wall (toe only, at boundary)",N(S197)&gt;0),"NOTE: reverse L-wall should have no heel. ","")&amp;IF(AND(D197="L-Wall (heel only)",N(R197)&gt;0),"NOTE: L-wall should have no toe. ","")&amp;IF(AND(F197&lt;&gt;"",F197&lt;SG_Criteria!$B$31),"NOTE: q below LTA min "&amp;SG_Criteria!$B$31&amp;" kPa (not for LTA works). ","")))</f>
        <v/>
      </c>
      <c r="BK197" s="9"/>
      <c r="BL197" s="9"/>
      <c r="BM197" s="9"/>
      <c r="BN197" s="10" t="str">
        <f aca="false">IF(BM197="","",IFERROR(VLOOKUP(BM197,Projects!$A$5:$D$504,2,0),"Ref not in Projects"))</f>
        <v/>
      </c>
      <c r="BO197" s="10" t="str">
        <f aca="false">IF(BM197="","",IFERROR(VLOOKUP(BM197,Projects!$A$5:$D$504,4,0),"Ref not in Projects"))</f>
        <v/>
      </c>
      <c r="BP197" s="9"/>
      <c r="BQ197" s="9"/>
      <c r="BR197" s="9"/>
      <c r="BS197" s="40"/>
      <c r="BT197" s="9"/>
      <c r="BU197" s="40"/>
      <c r="BV197" s="9"/>
      <c r="BW197" s="40"/>
      <c r="BX197" s="9"/>
      <c r="BY197" s="9"/>
      <c r="BZ197" s="9"/>
      <c r="CA197" s="40"/>
      <c r="CB197" s="40"/>
      <c r="CC197" s="36" t="str">
        <f aca="false">IF(CB197="","",EDATE(CB197,SG_Criteria!$B$54*12))</f>
        <v/>
      </c>
      <c r="CD197" s="33" t="str">
        <f aca="true">IF(A197="","",IF(CB197="","NOTE: not reviewed yet",IF(TODAY()&gt;CC197,"NOTE: review overdue","OK")))</f>
        <v/>
      </c>
      <c r="CE197" s="37" t="str">
        <f aca="false">IF(A197="","",ROUND((IF(LEN(D197)&gt;0,1,0)+IF(LEN(E197)&gt;0,1,0)+IF(LEN(F197)&gt;0,1,0)+IF(LEN(G197)&gt;0,1,0)+IF(LEN(I197)&gt;0,1,0)+IF(LEN(K197)&gt;0,1,0)+IF(LEN(P197)&gt;0,1,0)+IF(LEN(Q197)&gt;0,1,0)+IF(LEN(T197)&gt;0,1,0)+IF(LEN(V197)&gt;0,1,0)+IF(LEN(W197)&gt;0,1,0)+IF(LEN(X197)&gt;0,1,0)+IF(LEN(Z197)&gt;0,1,0)+IF(LEN(AD197)&gt;0,1,0)+IF(LEN(AE197)&gt;0,1,0)+IF(LEN(AG197)&gt;0,1,0)+IF(LEN(AI197)&gt;0,1,0)+IF(LEN(BB197)&gt;0,1,0)+IF(LEN(BC197)&gt;0,1,0)+IF(LEN(AM197)&gt;0,1,0)+IF(LEN(AO197)&gt;0,1,0)+IF(LEN(AP197)&gt;0,1,0)+IF(LEN(AQ197)&gt;0,1,0)+IF(LEN(AR197)&gt;0,1,0)+IF(LEN(BA197)&gt;0,1,0)+IF(LEN(BM197)&gt;0,1,0)+IF(LEN(BZ197)&gt;0,1,0))/27,2))</f>
        <v/>
      </c>
      <c r="CF197" s="10" t="str">
        <f aca="false">IF(D197="","",IF(AND(AP197="Approved",ISERROR(SEARCH("FAIL",BJ197))),"Y","N"))</f>
        <v/>
      </c>
      <c r="CG197" s="10" t="str">
        <f aca="false">IF(D197="","",D197&amp;"|"&amp;E197&amp;"|"&amp;F197&amp;"|"&amp;G197&amp;"|"&amp;CF197)</f>
        <v/>
      </c>
    </row>
    <row r="198" customFormat="false" ht="15" hidden="false" customHeight="false" outlineLevel="0" collapsed="false">
      <c r="A198" s="10" t="str">
        <f aca="false">IF(D198="","","RW-"&amp;IFERROR(VLOOKUP(D198,Lists!$M$4:$N$22,2,0),"??")&amp;"-H"&amp;TEXT(E198*1000,"0000")&amp;"-S"&amp;F198&amp;IF(G198="Y","-GW","")&amp;"-"&amp;AO198)</f>
        <v/>
      </c>
      <c r="B198" s="10" t="str">
        <f aca="false">IF(D198="","",D198&amp;", H = "&amp;TEXT(E198,"0.0")&amp;" m, q = "&amp;F198&amp;" kPa"&amp;IF(G198="Y",", with GWT","")&amp;", "&amp;I198)</f>
        <v/>
      </c>
      <c r="C198" s="9"/>
      <c r="D198" s="9"/>
      <c r="E198" s="39"/>
      <c r="F198" s="38"/>
      <c r="G198" s="9"/>
      <c r="H198" s="38"/>
      <c r="I198" s="9"/>
      <c r="J198" s="38"/>
      <c r="K198" s="38"/>
      <c r="L198" s="38"/>
      <c r="M198" s="42"/>
      <c r="N198" s="9"/>
      <c r="O198" s="38"/>
      <c r="P198" s="38"/>
      <c r="Q198" s="38"/>
      <c r="R198" s="38"/>
      <c r="S198" s="38"/>
      <c r="T198" s="38"/>
      <c r="U198" s="9"/>
      <c r="V198" s="9"/>
      <c r="W198" s="38"/>
      <c r="X198" s="9"/>
      <c r="Y198" s="9"/>
      <c r="Z198" s="9"/>
      <c r="AA198" s="9"/>
      <c r="AB198" s="9"/>
      <c r="AC198" s="9"/>
      <c r="AD198" s="39"/>
      <c r="AE198" s="39"/>
      <c r="AF198" s="39"/>
      <c r="AG198" s="38"/>
      <c r="AH198" s="38"/>
      <c r="AI198" s="9"/>
      <c r="AJ198" s="38"/>
      <c r="AK198" s="9"/>
      <c r="AL198" s="39"/>
      <c r="AM198" s="9"/>
      <c r="AN198" s="9"/>
      <c r="AO198" s="9"/>
      <c r="AP198" s="9"/>
      <c r="AQ198" s="9"/>
      <c r="AR198" s="9"/>
      <c r="AS198" s="9"/>
      <c r="AT198" s="10" t="str">
        <f aca="false">IF(A198="","",SG_Criteria!$B$6&amp;SG_Criteria!$B$8&amp;"\"&amp;A198&amp;"\")</f>
        <v/>
      </c>
      <c r="AU198" s="10" t="str">
        <f aca="false">IF(A198="","",A198&amp;"_CAD.dwg")</f>
        <v/>
      </c>
      <c r="AV198" s="10" t="str">
        <f aca="false">IF(A198="","",A198&amp;"_DWG.pdf")</f>
        <v/>
      </c>
      <c r="AW198" s="10" t="str">
        <f aca="false">IF(A198="","",IF(AS198="Y",A198&amp;"_STAAD.std","n/a"))</f>
        <v/>
      </c>
      <c r="AX198" s="10" t="str">
        <f aca="false">IF(A198="","",A198&amp;"_CALC.xlsx")</f>
        <v/>
      </c>
      <c r="AY198" s="10" t="str">
        <f aca="false">IF(A198="","",A198&amp;"_CALC.pdf")</f>
        <v/>
      </c>
      <c r="AZ198" s="9"/>
      <c r="BA198" s="9"/>
      <c r="BB198" s="39"/>
      <c r="BC198" s="39"/>
      <c r="BD198" s="39"/>
      <c r="BE198" s="39"/>
      <c r="BF198" s="39"/>
      <c r="BG198" s="12" t="str">
        <f aca="false">IF(A198="","",IF(COUNTIF(Rebar_Schedule!$A$5:$A$2004,A198)=0,"",ROUND(SUMIF(Rebar_Schedule!$A$5:$A$2004,A198,Rebar_Schedule!$K$5:$K$2004),1)))</f>
        <v/>
      </c>
      <c r="BH198" s="33" t="str">
        <f aca="false">IF(A198="","",IF(BG198="","No rebar schedule yet",IF(ABS(BG198-N(BC198))/MAX(N(BC198),1)&gt;SG_Criteria!$B$55,"NOTE: register rebar differs from schedule by "&amp;TEXT(ABS(BG198-N(BC198))/MAX(N(BC198),1),"0%"),"OK")))</f>
        <v/>
      </c>
      <c r="BI198" s="33" t="str">
        <f aca="false">IF(OR(D198="",E198=""),"",IF(E198&lt;=IF(OR(D198="Block / Segmental",D198="Gabion",D198="Reinforced Earth (MSE)"),SG_Criteria!$B$34,SG_Criteria!$B$33),"No ERSS submission",IF(E198&lt;=SG_Criteria!$B$35,"QP(ST)",IF(E198&lt;=SG_Criteria!$B$36,"QP(ST) + AC","Geotechnical building works: QP(Geo) + AC"))))</f>
        <v/>
      </c>
      <c r="BJ198" s="33" t="str">
        <f aca="false">IF(D198="","",IF(LEN(IF(AND(V198&lt;&gt;"",IFERROR(VALUE(MID(V198,2,2)),0)&lt;SG_Criteria!$B$19),"FAIL: grade below C"&amp;SG_Criteria!$B$19&amp;". ","")&amp;IF(AND(W198&lt;&gt;"",W198&lt;SG_Criteria!$B$20),"FAIL: cover &lt; "&amp;SG_Criteria!$B$20&amp;" mm. ","")&amp;IF(AND(AD198&lt;&gt;"",AD198&lt;1),"FAIL: sliding. ","")&amp;IF(AND(D198="Reverse L-Wall (toe only, at boundary)",N(S198)&gt;0),"NOTE: reverse L-wall should have no heel. ","")&amp;IF(AND(D198="L-Wall (heel only)",N(R198)&gt;0),"NOTE: L-wall should have no toe. ","")&amp;IF(AND(F198&lt;&gt;"",F198&lt;SG_Criteria!$B$31),"NOTE: q below LTA min "&amp;SG_Criteria!$B$31&amp;" kPa (not for LTA works). ",""))=0,"OK",IF(AND(V198&lt;&gt;"",IFERROR(VALUE(MID(V198,2,2)),0)&lt;SG_Criteria!$B$19),"FAIL: grade below C"&amp;SG_Criteria!$B$19&amp;". ","")&amp;IF(AND(W198&lt;&gt;"",W198&lt;SG_Criteria!$B$20),"FAIL: cover &lt; "&amp;SG_Criteria!$B$20&amp;" mm. ","")&amp;IF(AND(AD198&lt;&gt;"",AD198&lt;1),"FAIL: sliding. ","")&amp;IF(AND(D198="Reverse L-Wall (toe only, at boundary)",N(S198)&gt;0),"NOTE: reverse L-wall should have no heel. ","")&amp;IF(AND(D198="L-Wall (heel only)",N(R198)&gt;0),"NOTE: L-wall should have no toe. ","")&amp;IF(AND(F198&lt;&gt;"",F198&lt;SG_Criteria!$B$31),"NOTE: q below LTA min "&amp;SG_Criteria!$B$31&amp;" kPa (not for LTA works). ","")))</f>
        <v/>
      </c>
      <c r="BK198" s="9"/>
      <c r="BL198" s="9"/>
      <c r="BM198" s="9"/>
      <c r="BN198" s="10" t="str">
        <f aca="false">IF(BM198="","",IFERROR(VLOOKUP(BM198,Projects!$A$5:$D$504,2,0),"Ref not in Projects"))</f>
        <v/>
      </c>
      <c r="BO198" s="10" t="str">
        <f aca="false">IF(BM198="","",IFERROR(VLOOKUP(BM198,Projects!$A$5:$D$504,4,0),"Ref not in Projects"))</f>
        <v/>
      </c>
      <c r="BP198" s="9"/>
      <c r="BQ198" s="9"/>
      <c r="BR198" s="9"/>
      <c r="BS198" s="40"/>
      <c r="BT198" s="9"/>
      <c r="BU198" s="40"/>
      <c r="BV198" s="9"/>
      <c r="BW198" s="40"/>
      <c r="BX198" s="9"/>
      <c r="BY198" s="9"/>
      <c r="BZ198" s="9"/>
      <c r="CA198" s="40"/>
      <c r="CB198" s="40"/>
      <c r="CC198" s="36" t="str">
        <f aca="false">IF(CB198="","",EDATE(CB198,SG_Criteria!$B$54*12))</f>
        <v/>
      </c>
      <c r="CD198" s="33" t="str">
        <f aca="true">IF(A198="","",IF(CB198="","NOTE: not reviewed yet",IF(TODAY()&gt;CC198,"NOTE: review overdue","OK")))</f>
        <v/>
      </c>
      <c r="CE198" s="37" t="str">
        <f aca="false">IF(A198="","",ROUND((IF(LEN(D198)&gt;0,1,0)+IF(LEN(E198)&gt;0,1,0)+IF(LEN(F198)&gt;0,1,0)+IF(LEN(G198)&gt;0,1,0)+IF(LEN(I198)&gt;0,1,0)+IF(LEN(K198)&gt;0,1,0)+IF(LEN(P198)&gt;0,1,0)+IF(LEN(Q198)&gt;0,1,0)+IF(LEN(T198)&gt;0,1,0)+IF(LEN(V198)&gt;0,1,0)+IF(LEN(W198)&gt;0,1,0)+IF(LEN(X198)&gt;0,1,0)+IF(LEN(Z198)&gt;0,1,0)+IF(LEN(AD198)&gt;0,1,0)+IF(LEN(AE198)&gt;0,1,0)+IF(LEN(AG198)&gt;0,1,0)+IF(LEN(AI198)&gt;0,1,0)+IF(LEN(BB198)&gt;0,1,0)+IF(LEN(BC198)&gt;0,1,0)+IF(LEN(AM198)&gt;0,1,0)+IF(LEN(AO198)&gt;0,1,0)+IF(LEN(AP198)&gt;0,1,0)+IF(LEN(AQ198)&gt;0,1,0)+IF(LEN(AR198)&gt;0,1,0)+IF(LEN(BA198)&gt;0,1,0)+IF(LEN(BM198)&gt;0,1,0)+IF(LEN(BZ198)&gt;0,1,0))/27,2))</f>
        <v/>
      </c>
      <c r="CF198" s="10" t="str">
        <f aca="false">IF(D198="","",IF(AND(AP198="Approved",ISERROR(SEARCH("FAIL",BJ198))),"Y","N"))</f>
        <v/>
      </c>
      <c r="CG198" s="10" t="str">
        <f aca="false">IF(D198="","",D198&amp;"|"&amp;E198&amp;"|"&amp;F198&amp;"|"&amp;G198&amp;"|"&amp;CF198)</f>
        <v/>
      </c>
    </row>
    <row r="199" customFormat="false" ht="15" hidden="false" customHeight="false" outlineLevel="0" collapsed="false">
      <c r="A199" s="10" t="str">
        <f aca="false">IF(D199="","","RW-"&amp;IFERROR(VLOOKUP(D199,Lists!$M$4:$N$22,2,0),"??")&amp;"-H"&amp;TEXT(E199*1000,"0000")&amp;"-S"&amp;F199&amp;IF(G199="Y","-GW","")&amp;"-"&amp;AO199)</f>
        <v/>
      </c>
      <c r="B199" s="10" t="str">
        <f aca="false">IF(D199="","",D199&amp;", H = "&amp;TEXT(E199,"0.0")&amp;" m, q = "&amp;F199&amp;" kPa"&amp;IF(G199="Y",", with GWT","")&amp;", "&amp;I199)</f>
        <v/>
      </c>
      <c r="C199" s="9"/>
      <c r="D199" s="9"/>
      <c r="E199" s="39"/>
      <c r="F199" s="38"/>
      <c r="G199" s="9"/>
      <c r="H199" s="38"/>
      <c r="I199" s="9"/>
      <c r="J199" s="38"/>
      <c r="K199" s="38"/>
      <c r="L199" s="38"/>
      <c r="M199" s="42"/>
      <c r="N199" s="9"/>
      <c r="O199" s="38"/>
      <c r="P199" s="38"/>
      <c r="Q199" s="38"/>
      <c r="R199" s="38"/>
      <c r="S199" s="38"/>
      <c r="T199" s="38"/>
      <c r="U199" s="9"/>
      <c r="V199" s="9"/>
      <c r="W199" s="38"/>
      <c r="X199" s="9"/>
      <c r="Y199" s="9"/>
      <c r="Z199" s="9"/>
      <c r="AA199" s="9"/>
      <c r="AB199" s="9"/>
      <c r="AC199" s="9"/>
      <c r="AD199" s="39"/>
      <c r="AE199" s="39"/>
      <c r="AF199" s="39"/>
      <c r="AG199" s="38"/>
      <c r="AH199" s="38"/>
      <c r="AI199" s="9"/>
      <c r="AJ199" s="38"/>
      <c r="AK199" s="9"/>
      <c r="AL199" s="39"/>
      <c r="AM199" s="9"/>
      <c r="AN199" s="9"/>
      <c r="AO199" s="9"/>
      <c r="AP199" s="9"/>
      <c r="AQ199" s="9"/>
      <c r="AR199" s="9"/>
      <c r="AS199" s="9"/>
      <c r="AT199" s="10" t="str">
        <f aca="false">IF(A199="","",SG_Criteria!$B$6&amp;SG_Criteria!$B$8&amp;"\"&amp;A199&amp;"\")</f>
        <v/>
      </c>
      <c r="AU199" s="10" t="str">
        <f aca="false">IF(A199="","",A199&amp;"_CAD.dwg")</f>
        <v/>
      </c>
      <c r="AV199" s="10" t="str">
        <f aca="false">IF(A199="","",A199&amp;"_DWG.pdf")</f>
        <v/>
      </c>
      <c r="AW199" s="10" t="str">
        <f aca="false">IF(A199="","",IF(AS199="Y",A199&amp;"_STAAD.std","n/a"))</f>
        <v/>
      </c>
      <c r="AX199" s="10" t="str">
        <f aca="false">IF(A199="","",A199&amp;"_CALC.xlsx")</f>
        <v/>
      </c>
      <c r="AY199" s="10" t="str">
        <f aca="false">IF(A199="","",A199&amp;"_CALC.pdf")</f>
        <v/>
      </c>
      <c r="AZ199" s="9"/>
      <c r="BA199" s="9"/>
      <c r="BB199" s="39"/>
      <c r="BC199" s="39"/>
      <c r="BD199" s="39"/>
      <c r="BE199" s="39"/>
      <c r="BF199" s="39"/>
      <c r="BG199" s="12" t="str">
        <f aca="false">IF(A199="","",IF(COUNTIF(Rebar_Schedule!$A$5:$A$2004,A199)=0,"",ROUND(SUMIF(Rebar_Schedule!$A$5:$A$2004,A199,Rebar_Schedule!$K$5:$K$2004),1)))</f>
        <v/>
      </c>
      <c r="BH199" s="33" t="str">
        <f aca="false">IF(A199="","",IF(BG199="","No rebar schedule yet",IF(ABS(BG199-N(BC199))/MAX(N(BC199),1)&gt;SG_Criteria!$B$55,"NOTE: register rebar differs from schedule by "&amp;TEXT(ABS(BG199-N(BC199))/MAX(N(BC199),1),"0%"),"OK")))</f>
        <v/>
      </c>
      <c r="BI199" s="33" t="str">
        <f aca="false">IF(OR(D199="",E199=""),"",IF(E199&lt;=IF(OR(D199="Block / Segmental",D199="Gabion",D199="Reinforced Earth (MSE)"),SG_Criteria!$B$34,SG_Criteria!$B$33),"No ERSS submission",IF(E199&lt;=SG_Criteria!$B$35,"QP(ST)",IF(E199&lt;=SG_Criteria!$B$36,"QP(ST) + AC","Geotechnical building works: QP(Geo) + AC"))))</f>
        <v/>
      </c>
      <c r="BJ199" s="33" t="str">
        <f aca="false">IF(D199="","",IF(LEN(IF(AND(V199&lt;&gt;"",IFERROR(VALUE(MID(V199,2,2)),0)&lt;SG_Criteria!$B$19),"FAIL: grade below C"&amp;SG_Criteria!$B$19&amp;". ","")&amp;IF(AND(W199&lt;&gt;"",W199&lt;SG_Criteria!$B$20),"FAIL: cover &lt; "&amp;SG_Criteria!$B$20&amp;" mm. ","")&amp;IF(AND(AD199&lt;&gt;"",AD199&lt;1),"FAIL: sliding. ","")&amp;IF(AND(D199="Reverse L-Wall (toe only, at boundary)",N(S199)&gt;0),"NOTE: reverse L-wall should have no heel. ","")&amp;IF(AND(D199="L-Wall (heel only)",N(R199)&gt;0),"NOTE: L-wall should have no toe. ","")&amp;IF(AND(F199&lt;&gt;"",F199&lt;SG_Criteria!$B$31),"NOTE: q below LTA min "&amp;SG_Criteria!$B$31&amp;" kPa (not for LTA works). ",""))=0,"OK",IF(AND(V199&lt;&gt;"",IFERROR(VALUE(MID(V199,2,2)),0)&lt;SG_Criteria!$B$19),"FAIL: grade below C"&amp;SG_Criteria!$B$19&amp;". ","")&amp;IF(AND(W199&lt;&gt;"",W199&lt;SG_Criteria!$B$20),"FAIL: cover &lt; "&amp;SG_Criteria!$B$20&amp;" mm. ","")&amp;IF(AND(AD199&lt;&gt;"",AD199&lt;1),"FAIL: sliding. ","")&amp;IF(AND(D199="Reverse L-Wall (toe only, at boundary)",N(S199)&gt;0),"NOTE: reverse L-wall should have no heel. ","")&amp;IF(AND(D199="L-Wall (heel only)",N(R199)&gt;0),"NOTE: L-wall should have no toe. ","")&amp;IF(AND(F199&lt;&gt;"",F199&lt;SG_Criteria!$B$31),"NOTE: q below LTA min "&amp;SG_Criteria!$B$31&amp;" kPa (not for LTA works). ","")))</f>
        <v/>
      </c>
      <c r="BK199" s="9"/>
      <c r="BL199" s="9"/>
      <c r="BM199" s="9"/>
      <c r="BN199" s="10" t="str">
        <f aca="false">IF(BM199="","",IFERROR(VLOOKUP(BM199,Projects!$A$5:$D$504,2,0),"Ref not in Projects"))</f>
        <v/>
      </c>
      <c r="BO199" s="10" t="str">
        <f aca="false">IF(BM199="","",IFERROR(VLOOKUP(BM199,Projects!$A$5:$D$504,4,0),"Ref not in Projects"))</f>
        <v/>
      </c>
      <c r="BP199" s="9"/>
      <c r="BQ199" s="9"/>
      <c r="BR199" s="9"/>
      <c r="BS199" s="40"/>
      <c r="BT199" s="9"/>
      <c r="BU199" s="40"/>
      <c r="BV199" s="9"/>
      <c r="BW199" s="40"/>
      <c r="BX199" s="9"/>
      <c r="BY199" s="9"/>
      <c r="BZ199" s="9"/>
      <c r="CA199" s="40"/>
      <c r="CB199" s="40"/>
      <c r="CC199" s="36" t="str">
        <f aca="false">IF(CB199="","",EDATE(CB199,SG_Criteria!$B$54*12))</f>
        <v/>
      </c>
      <c r="CD199" s="33" t="str">
        <f aca="true">IF(A199="","",IF(CB199="","NOTE: not reviewed yet",IF(TODAY()&gt;CC199,"NOTE: review overdue","OK")))</f>
        <v/>
      </c>
      <c r="CE199" s="37" t="str">
        <f aca="false">IF(A199="","",ROUND((IF(LEN(D199)&gt;0,1,0)+IF(LEN(E199)&gt;0,1,0)+IF(LEN(F199)&gt;0,1,0)+IF(LEN(G199)&gt;0,1,0)+IF(LEN(I199)&gt;0,1,0)+IF(LEN(K199)&gt;0,1,0)+IF(LEN(P199)&gt;0,1,0)+IF(LEN(Q199)&gt;0,1,0)+IF(LEN(T199)&gt;0,1,0)+IF(LEN(V199)&gt;0,1,0)+IF(LEN(W199)&gt;0,1,0)+IF(LEN(X199)&gt;0,1,0)+IF(LEN(Z199)&gt;0,1,0)+IF(LEN(AD199)&gt;0,1,0)+IF(LEN(AE199)&gt;0,1,0)+IF(LEN(AG199)&gt;0,1,0)+IF(LEN(AI199)&gt;0,1,0)+IF(LEN(BB199)&gt;0,1,0)+IF(LEN(BC199)&gt;0,1,0)+IF(LEN(AM199)&gt;0,1,0)+IF(LEN(AO199)&gt;0,1,0)+IF(LEN(AP199)&gt;0,1,0)+IF(LEN(AQ199)&gt;0,1,0)+IF(LEN(AR199)&gt;0,1,0)+IF(LEN(BA199)&gt;0,1,0)+IF(LEN(BM199)&gt;0,1,0)+IF(LEN(BZ199)&gt;0,1,0))/27,2))</f>
        <v/>
      </c>
      <c r="CF199" s="10" t="str">
        <f aca="false">IF(D199="","",IF(AND(AP199="Approved",ISERROR(SEARCH("FAIL",BJ199))),"Y","N"))</f>
        <v/>
      </c>
      <c r="CG199" s="10" t="str">
        <f aca="false">IF(D199="","",D199&amp;"|"&amp;E199&amp;"|"&amp;F199&amp;"|"&amp;G199&amp;"|"&amp;CF199)</f>
        <v/>
      </c>
    </row>
    <row r="200" customFormat="false" ht="15" hidden="false" customHeight="false" outlineLevel="0" collapsed="false">
      <c r="A200" s="10" t="str">
        <f aca="false">IF(D200="","","RW-"&amp;IFERROR(VLOOKUP(D200,Lists!$M$4:$N$22,2,0),"??")&amp;"-H"&amp;TEXT(E200*1000,"0000")&amp;"-S"&amp;F200&amp;IF(G200="Y","-GW","")&amp;"-"&amp;AO200)</f>
        <v/>
      </c>
      <c r="B200" s="10" t="str">
        <f aca="false">IF(D200="","",D200&amp;", H = "&amp;TEXT(E200,"0.0")&amp;" m, q = "&amp;F200&amp;" kPa"&amp;IF(G200="Y",", with GWT","")&amp;", "&amp;I200)</f>
        <v/>
      </c>
      <c r="C200" s="9"/>
      <c r="D200" s="9"/>
      <c r="E200" s="39"/>
      <c r="F200" s="38"/>
      <c r="G200" s="9"/>
      <c r="H200" s="38"/>
      <c r="I200" s="9"/>
      <c r="J200" s="38"/>
      <c r="K200" s="38"/>
      <c r="L200" s="38"/>
      <c r="M200" s="42"/>
      <c r="N200" s="9"/>
      <c r="O200" s="38"/>
      <c r="P200" s="38"/>
      <c r="Q200" s="38"/>
      <c r="R200" s="38"/>
      <c r="S200" s="38"/>
      <c r="T200" s="38"/>
      <c r="U200" s="9"/>
      <c r="V200" s="9"/>
      <c r="W200" s="38"/>
      <c r="X200" s="9"/>
      <c r="Y200" s="9"/>
      <c r="Z200" s="9"/>
      <c r="AA200" s="9"/>
      <c r="AB200" s="9"/>
      <c r="AC200" s="9"/>
      <c r="AD200" s="39"/>
      <c r="AE200" s="39"/>
      <c r="AF200" s="39"/>
      <c r="AG200" s="38"/>
      <c r="AH200" s="38"/>
      <c r="AI200" s="9"/>
      <c r="AJ200" s="38"/>
      <c r="AK200" s="9"/>
      <c r="AL200" s="39"/>
      <c r="AM200" s="9"/>
      <c r="AN200" s="9"/>
      <c r="AO200" s="9"/>
      <c r="AP200" s="9"/>
      <c r="AQ200" s="9"/>
      <c r="AR200" s="9"/>
      <c r="AS200" s="9"/>
      <c r="AT200" s="10" t="str">
        <f aca="false">IF(A200="","",SG_Criteria!$B$6&amp;SG_Criteria!$B$8&amp;"\"&amp;A200&amp;"\")</f>
        <v/>
      </c>
      <c r="AU200" s="10" t="str">
        <f aca="false">IF(A200="","",A200&amp;"_CAD.dwg")</f>
        <v/>
      </c>
      <c r="AV200" s="10" t="str">
        <f aca="false">IF(A200="","",A200&amp;"_DWG.pdf")</f>
        <v/>
      </c>
      <c r="AW200" s="10" t="str">
        <f aca="false">IF(A200="","",IF(AS200="Y",A200&amp;"_STAAD.std","n/a"))</f>
        <v/>
      </c>
      <c r="AX200" s="10" t="str">
        <f aca="false">IF(A200="","",A200&amp;"_CALC.xlsx")</f>
        <v/>
      </c>
      <c r="AY200" s="10" t="str">
        <f aca="false">IF(A200="","",A200&amp;"_CALC.pdf")</f>
        <v/>
      </c>
      <c r="AZ200" s="9"/>
      <c r="BA200" s="9"/>
      <c r="BB200" s="39"/>
      <c r="BC200" s="39"/>
      <c r="BD200" s="39"/>
      <c r="BE200" s="39"/>
      <c r="BF200" s="39"/>
      <c r="BG200" s="12" t="str">
        <f aca="false">IF(A200="","",IF(COUNTIF(Rebar_Schedule!$A$5:$A$2004,A200)=0,"",ROUND(SUMIF(Rebar_Schedule!$A$5:$A$2004,A200,Rebar_Schedule!$K$5:$K$2004),1)))</f>
        <v/>
      </c>
      <c r="BH200" s="33" t="str">
        <f aca="false">IF(A200="","",IF(BG200="","No rebar schedule yet",IF(ABS(BG200-N(BC200))/MAX(N(BC200),1)&gt;SG_Criteria!$B$55,"NOTE: register rebar differs from schedule by "&amp;TEXT(ABS(BG200-N(BC200))/MAX(N(BC200),1),"0%"),"OK")))</f>
        <v/>
      </c>
      <c r="BI200" s="33" t="str">
        <f aca="false">IF(OR(D200="",E200=""),"",IF(E200&lt;=IF(OR(D200="Block / Segmental",D200="Gabion",D200="Reinforced Earth (MSE)"),SG_Criteria!$B$34,SG_Criteria!$B$33),"No ERSS submission",IF(E200&lt;=SG_Criteria!$B$35,"QP(ST)",IF(E200&lt;=SG_Criteria!$B$36,"QP(ST) + AC","Geotechnical building works: QP(Geo) + AC"))))</f>
        <v/>
      </c>
      <c r="BJ200" s="33" t="str">
        <f aca="false">IF(D200="","",IF(LEN(IF(AND(V200&lt;&gt;"",IFERROR(VALUE(MID(V200,2,2)),0)&lt;SG_Criteria!$B$19),"FAIL: grade below C"&amp;SG_Criteria!$B$19&amp;". ","")&amp;IF(AND(W200&lt;&gt;"",W200&lt;SG_Criteria!$B$20),"FAIL: cover &lt; "&amp;SG_Criteria!$B$20&amp;" mm. ","")&amp;IF(AND(AD200&lt;&gt;"",AD200&lt;1),"FAIL: sliding. ","")&amp;IF(AND(D200="Reverse L-Wall (toe only, at boundary)",N(S200)&gt;0),"NOTE: reverse L-wall should have no heel. ","")&amp;IF(AND(D200="L-Wall (heel only)",N(R200)&gt;0),"NOTE: L-wall should have no toe. ","")&amp;IF(AND(F200&lt;&gt;"",F200&lt;SG_Criteria!$B$31),"NOTE: q below LTA min "&amp;SG_Criteria!$B$31&amp;" kPa (not for LTA works). ",""))=0,"OK",IF(AND(V200&lt;&gt;"",IFERROR(VALUE(MID(V200,2,2)),0)&lt;SG_Criteria!$B$19),"FAIL: grade below C"&amp;SG_Criteria!$B$19&amp;". ","")&amp;IF(AND(W200&lt;&gt;"",W200&lt;SG_Criteria!$B$20),"FAIL: cover &lt; "&amp;SG_Criteria!$B$20&amp;" mm. ","")&amp;IF(AND(AD200&lt;&gt;"",AD200&lt;1),"FAIL: sliding. ","")&amp;IF(AND(D200="Reverse L-Wall (toe only, at boundary)",N(S200)&gt;0),"NOTE: reverse L-wall should have no heel. ","")&amp;IF(AND(D200="L-Wall (heel only)",N(R200)&gt;0),"NOTE: L-wall should have no toe. ","")&amp;IF(AND(F200&lt;&gt;"",F200&lt;SG_Criteria!$B$31),"NOTE: q below LTA min "&amp;SG_Criteria!$B$31&amp;" kPa (not for LTA works). ","")))</f>
        <v/>
      </c>
      <c r="BK200" s="9"/>
      <c r="BL200" s="9"/>
      <c r="BM200" s="9"/>
      <c r="BN200" s="10" t="str">
        <f aca="false">IF(BM200="","",IFERROR(VLOOKUP(BM200,Projects!$A$5:$D$504,2,0),"Ref not in Projects"))</f>
        <v/>
      </c>
      <c r="BO200" s="10" t="str">
        <f aca="false">IF(BM200="","",IFERROR(VLOOKUP(BM200,Projects!$A$5:$D$504,4,0),"Ref not in Projects"))</f>
        <v/>
      </c>
      <c r="BP200" s="9"/>
      <c r="BQ200" s="9"/>
      <c r="BR200" s="9"/>
      <c r="BS200" s="40"/>
      <c r="BT200" s="9"/>
      <c r="BU200" s="40"/>
      <c r="BV200" s="9"/>
      <c r="BW200" s="40"/>
      <c r="BX200" s="9"/>
      <c r="BY200" s="9"/>
      <c r="BZ200" s="9"/>
      <c r="CA200" s="40"/>
      <c r="CB200" s="40"/>
      <c r="CC200" s="36" t="str">
        <f aca="false">IF(CB200="","",EDATE(CB200,SG_Criteria!$B$54*12))</f>
        <v/>
      </c>
      <c r="CD200" s="33" t="str">
        <f aca="true">IF(A200="","",IF(CB200="","NOTE: not reviewed yet",IF(TODAY()&gt;CC200,"NOTE: review overdue","OK")))</f>
        <v/>
      </c>
      <c r="CE200" s="37" t="str">
        <f aca="false">IF(A200="","",ROUND((IF(LEN(D200)&gt;0,1,0)+IF(LEN(E200)&gt;0,1,0)+IF(LEN(F200)&gt;0,1,0)+IF(LEN(G200)&gt;0,1,0)+IF(LEN(I200)&gt;0,1,0)+IF(LEN(K200)&gt;0,1,0)+IF(LEN(P200)&gt;0,1,0)+IF(LEN(Q200)&gt;0,1,0)+IF(LEN(T200)&gt;0,1,0)+IF(LEN(V200)&gt;0,1,0)+IF(LEN(W200)&gt;0,1,0)+IF(LEN(X200)&gt;0,1,0)+IF(LEN(Z200)&gt;0,1,0)+IF(LEN(AD200)&gt;0,1,0)+IF(LEN(AE200)&gt;0,1,0)+IF(LEN(AG200)&gt;0,1,0)+IF(LEN(AI200)&gt;0,1,0)+IF(LEN(BB200)&gt;0,1,0)+IF(LEN(BC200)&gt;0,1,0)+IF(LEN(AM200)&gt;0,1,0)+IF(LEN(AO200)&gt;0,1,0)+IF(LEN(AP200)&gt;0,1,0)+IF(LEN(AQ200)&gt;0,1,0)+IF(LEN(AR200)&gt;0,1,0)+IF(LEN(BA200)&gt;0,1,0)+IF(LEN(BM200)&gt;0,1,0)+IF(LEN(BZ200)&gt;0,1,0))/27,2))</f>
        <v/>
      </c>
      <c r="CF200" s="10" t="str">
        <f aca="false">IF(D200="","",IF(AND(AP200="Approved",ISERROR(SEARCH("FAIL",BJ200))),"Y","N"))</f>
        <v/>
      </c>
      <c r="CG200" s="10" t="str">
        <f aca="false">IF(D200="","",D200&amp;"|"&amp;E200&amp;"|"&amp;F200&amp;"|"&amp;G200&amp;"|"&amp;CF200)</f>
        <v/>
      </c>
    </row>
    <row r="201" customFormat="false" ht="15" hidden="false" customHeight="false" outlineLevel="0" collapsed="false">
      <c r="A201" s="10" t="str">
        <f aca="false">IF(D201="","","RW-"&amp;IFERROR(VLOOKUP(D201,Lists!$M$4:$N$22,2,0),"??")&amp;"-H"&amp;TEXT(E201*1000,"0000")&amp;"-S"&amp;F201&amp;IF(G201="Y","-GW","")&amp;"-"&amp;AO201)</f>
        <v/>
      </c>
      <c r="B201" s="10" t="str">
        <f aca="false">IF(D201="","",D201&amp;", H = "&amp;TEXT(E201,"0.0")&amp;" m, q = "&amp;F201&amp;" kPa"&amp;IF(G201="Y",", with GWT","")&amp;", "&amp;I201)</f>
        <v/>
      </c>
      <c r="C201" s="9"/>
      <c r="D201" s="9"/>
      <c r="E201" s="39"/>
      <c r="F201" s="38"/>
      <c r="G201" s="9"/>
      <c r="H201" s="38"/>
      <c r="I201" s="9"/>
      <c r="J201" s="38"/>
      <c r="K201" s="38"/>
      <c r="L201" s="38"/>
      <c r="M201" s="42"/>
      <c r="N201" s="9"/>
      <c r="O201" s="38"/>
      <c r="P201" s="38"/>
      <c r="Q201" s="38"/>
      <c r="R201" s="38"/>
      <c r="S201" s="38"/>
      <c r="T201" s="38"/>
      <c r="U201" s="9"/>
      <c r="V201" s="9"/>
      <c r="W201" s="38"/>
      <c r="X201" s="9"/>
      <c r="Y201" s="9"/>
      <c r="Z201" s="9"/>
      <c r="AA201" s="9"/>
      <c r="AB201" s="9"/>
      <c r="AC201" s="9"/>
      <c r="AD201" s="39"/>
      <c r="AE201" s="39"/>
      <c r="AF201" s="39"/>
      <c r="AG201" s="38"/>
      <c r="AH201" s="38"/>
      <c r="AI201" s="9"/>
      <c r="AJ201" s="38"/>
      <c r="AK201" s="9"/>
      <c r="AL201" s="39"/>
      <c r="AM201" s="9"/>
      <c r="AN201" s="9"/>
      <c r="AO201" s="9"/>
      <c r="AP201" s="9"/>
      <c r="AQ201" s="9"/>
      <c r="AR201" s="9"/>
      <c r="AS201" s="9"/>
      <c r="AT201" s="10" t="str">
        <f aca="false">IF(A201="","",SG_Criteria!$B$6&amp;SG_Criteria!$B$8&amp;"\"&amp;A201&amp;"\")</f>
        <v/>
      </c>
      <c r="AU201" s="10" t="str">
        <f aca="false">IF(A201="","",A201&amp;"_CAD.dwg")</f>
        <v/>
      </c>
      <c r="AV201" s="10" t="str">
        <f aca="false">IF(A201="","",A201&amp;"_DWG.pdf")</f>
        <v/>
      </c>
      <c r="AW201" s="10" t="str">
        <f aca="false">IF(A201="","",IF(AS201="Y",A201&amp;"_STAAD.std","n/a"))</f>
        <v/>
      </c>
      <c r="AX201" s="10" t="str">
        <f aca="false">IF(A201="","",A201&amp;"_CALC.xlsx")</f>
        <v/>
      </c>
      <c r="AY201" s="10" t="str">
        <f aca="false">IF(A201="","",A201&amp;"_CALC.pdf")</f>
        <v/>
      </c>
      <c r="AZ201" s="9"/>
      <c r="BA201" s="9"/>
      <c r="BB201" s="39"/>
      <c r="BC201" s="39"/>
      <c r="BD201" s="39"/>
      <c r="BE201" s="39"/>
      <c r="BF201" s="39"/>
      <c r="BG201" s="12" t="str">
        <f aca="false">IF(A201="","",IF(COUNTIF(Rebar_Schedule!$A$5:$A$2004,A201)=0,"",ROUND(SUMIF(Rebar_Schedule!$A$5:$A$2004,A201,Rebar_Schedule!$K$5:$K$2004),1)))</f>
        <v/>
      </c>
      <c r="BH201" s="33" t="str">
        <f aca="false">IF(A201="","",IF(BG201="","No rebar schedule yet",IF(ABS(BG201-N(BC201))/MAX(N(BC201),1)&gt;SG_Criteria!$B$55,"NOTE: register rebar differs from schedule by "&amp;TEXT(ABS(BG201-N(BC201))/MAX(N(BC201),1),"0%"),"OK")))</f>
        <v/>
      </c>
      <c r="BI201" s="33" t="str">
        <f aca="false">IF(OR(D201="",E201=""),"",IF(E201&lt;=IF(OR(D201="Block / Segmental",D201="Gabion",D201="Reinforced Earth (MSE)"),SG_Criteria!$B$34,SG_Criteria!$B$33),"No ERSS submission",IF(E201&lt;=SG_Criteria!$B$35,"QP(ST)",IF(E201&lt;=SG_Criteria!$B$36,"QP(ST) + AC","Geotechnical building works: QP(Geo) + AC"))))</f>
        <v/>
      </c>
      <c r="BJ201" s="33" t="str">
        <f aca="false">IF(D201="","",IF(LEN(IF(AND(V201&lt;&gt;"",IFERROR(VALUE(MID(V201,2,2)),0)&lt;SG_Criteria!$B$19),"FAIL: grade below C"&amp;SG_Criteria!$B$19&amp;". ","")&amp;IF(AND(W201&lt;&gt;"",W201&lt;SG_Criteria!$B$20),"FAIL: cover &lt; "&amp;SG_Criteria!$B$20&amp;" mm. ","")&amp;IF(AND(AD201&lt;&gt;"",AD201&lt;1),"FAIL: sliding. ","")&amp;IF(AND(D201="Reverse L-Wall (toe only, at boundary)",N(S201)&gt;0),"NOTE: reverse L-wall should have no heel. ","")&amp;IF(AND(D201="L-Wall (heel only)",N(R201)&gt;0),"NOTE: L-wall should have no toe. ","")&amp;IF(AND(F201&lt;&gt;"",F201&lt;SG_Criteria!$B$31),"NOTE: q below LTA min "&amp;SG_Criteria!$B$31&amp;" kPa (not for LTA works). ",""))=0,"OK",IF(AND(V201&lt;&gt;"",IFERROR(VALUE(MID(V201,2,2)),0)&lt;SG_Criteria!$B$19),"FAIL: grade below C"&amp;SG_Criteria!$B$19&amp;". ","")&amp;IF(AND(W201&lt;&gt;"",W201&lt;SG_Criteria!$B$20),"FAIL: cover &lt; "&amp;SG_Criteria!$B$20&amp;" mm. ","")&amp;IF(AND(AD201&lt;&gt;"",AD201&lt;1),"FAIL: sliding. ","")&amp;IF(AND(D201="Reverse L-Wall (toe only, at boundary)",N(S201)&gt;0),"NOTE: reverse L-wall should have no heel. ","")&amp;IF(AND(D201="L-Wall (heel only)",N(R201)&gt;0),"NOTE: L-wall should have no toe. ","")&amp;IF(AND(F201&lt;&gt;"",F201&lt;SG_Criteria!$B$31),"NOTE: q below LTA min "&amp;SG_Criteria!$B$31&amp;" kPa (not for LTA works). ","")))</f>
        <v/>
      </c>
      <c r="BK201" s="9"/>
      <c r="BL201" s="9"/>
      <c r="BM201" s="9"/>
      <c r="BN201" s="10" t="str">
        <f aca="false">IF(BM201="","",IFERROR(VLOOKUP(BM201,Projects!$A$5:$D$504,2,0),"Ref not in Projects"))</f>
        <v/>
      </c>
      <c r="BO201" s="10" t="str">
        <f aca="false">IF(BM201="","",IFERROR(VLOOKUP(BM201,Projects!$A$5:$D$504,4,0),"Ref not in Projects"))</f>
        <v/>
      </c>
      <c r="BP201" s="9"/>
      <c r="BQ201" s="9"/>
      <c r="BR201" s="9"/>
      <c r="BS201" s="40"/>
      <c r="BT201" s="9"/>
      <c r="BU201" s="40"/>
      <c r="BV201" s="9"/>
      <c r="BW201" s="40"/>
      <c r="BX201" s="9"/>
      <c r="BY201" s="9"/>
      <c r="BZ201" s="9"/>
      <c r="CA201" s="40"/>
      <c r="CB201" s="40"/>
      <c r="CC201" s="36" t="str">
        <f aca="false">IF(CB201="","",EDATE(CB201,SG_Criteria!$B$54*12))</f>
        <v/>
      </c>
      <c r="CD201" s="33" t="str">
        <f aca="true">IF(A201="","",IF(CB201="","NOTE: not reviewed yet",IF(TODAY()&gt;CC201,"NOTE: review overdue","OK")))</f>
        <v/>
      </c>
      <c r="CE201" s="37" t="str">
        <f aca="false">IF(A201="","",ROUND((IF(LEN(D201)&gt;0,1,0)+IF(LEN(E201)&gt;0,1,0)+IF(LEN(F201)&gt;0,1,0)+IF(LEN(G201)&gt;0,1,0)+IF(LEN(I201)&gt;0,1,0)+IF(LEN(K201)&gt;0,1,0)+IF(LEN(P201)&gt;0,1,0)+IF(LEN(Q201)&gt;0,1,0)+IF(LEN(T201)&gt;0,1,0)+IF(LEN(V201)&gt;0,1,0)+IF(LEN(W201)&gt;0,1,0)+IF(LEN(X201)&gt;0,1,0)+IF(LEN(Z201)&gt;0,1,0)+IF(LEN(AD201)&gt;0,1,0)+IF(LEN(AE201)&gt;0,1,0)+IF(LEN(AG201)&gt;0,1,0)+IF(LEN(AI201)&gt;0,1,0)+IF(LEN(BB201)&gt;0,1,0)+IF(LEN(BC201)&gt;0,1,0)+IF(LEN(AM201)&gt;0,1,0)+IF(LEN(AO201)&gt;0,1,0)+IF(LEN(AP201)&gt;0,1,0)+IF(LEN(AQ201)&gt;0,1,0)+IF(LEN(AR201)&gt;0,1,0)+IF(LEN(BA201)&gt;0,1,0)+IF(LEN(BM201)&gt;0,1,0)+IF(LEN(BZ201)&gt;0,1,0))/27,2))</f>
        <v/>
      </c>
      <c r="CF201" s="10" t="str">
        <f aca="false">IF(D201="","",IF(AND(AP201="Approved",ISERROR(SEARCH("FAIL",BJ201))),"Y","N"))</f>
        <v/>
      </c>
      <c r="CG201" s="10" t="str">
        <f aca="false">IF(D201="","",D201&amp;"|"&amp;E201&amp;"|"&amp;F201&amp;"|"&amp;G201&amp;"|"&amp;CF201)</f>
        <v/>
      </c>
    </row>
    <row r="202" customFormat="false" ht="15" hidden="false" customHeight="false" outlineLevel="0" collapsed="false">
      <c r="A202" s="10" t="str">
        <f aca="false">IF(D202="","","RW-"&amp;IFERROR(VLOOKUP(D202,Lists!$M$4:$N$22,2,0),"??")&amp;"-H"&amp;TEXT(E202*1000,"0000")&amp;"-S"&amp;F202&amp;IF(G202="Y","-GW","")&amp;"-"&amp;AO202)</f>
        <v/>
      </c>
      <c r="B202" s="10" t="str">
        <f aca="false">IF(D202="","",D202&amp;", H = "&amp;TEXT(E202,"0.0")&amp;" m, q = "&amp;F202&amp;" kPa"&amp;IF(G202="Y",", with GWT","")&amp;", "&amp;I202)</f>
        <v/>
      </c>
      <c r="C202" s="9"/>
      <c r="D202" s="9"/>
      <c r="E202" s="39"/>
      <c r="F202" s="38"/>
      <c r="G202" s="9"/>
      <c r="H202" s="38"/>
      <c r="I202" s="9"/>
      <c r="J202" s="38"/>
      <c r="K202" s="38"/>
      <c r="L202" s="38"/>
      <c r="M202" s="42"/>
      <c r="N202" s="9"/>
      <c r="O202" s="38"/>
      <c r="P202" s="38"/>
      <c r="Q202" s="38"/>
      <c r="R202" s="38"/>
      <c r="S202" s="38"/>
      <c r="T202" s="38"/>
      <c r="U202" s="9"/>
      <c r="V202" s="9"/>
      <c r="W202" s="38"/>
      <c r="X202" s="9"/>
      <c r="Y202" s="9"/>
      <c r="Z202" s="9"/>
      <c r="AA202" s="9"/>
      <c r="AB202" s="9"/>
      <c r="AC202" s="9"/>
      <c r="AD202" s="39"/>
      <c r="AE202" s="39"/>
      <c r="AF202" s="39"/>
      <c r="AG202" s="38"/>
      <c r="AH202" s="38"/>
      <c r="AI202" s="9"/>
      <c r="AJ202" s="38"/>
      <c r="AK202" s="9"/>
      <c r="AL202" s="39"/>
      <c r="AM202" s="9"/>
      <c r="AN202" s="9"/>
      <c r="AO202" s="9"/>
      <c r="AP202" s="9"/>
      <c r="AQ202" s="9"/>
      <c r="AR202" s="9"/>
      <c r="AS202" s="9"/>
      <c r="AT202" s="10" t="str">
        <f aca="false">IF(A202="","",SG_Criteria!$B$6&amp;SG_Criteria!$B$8&amp;"\"&amp;A202&amp;"\")</f>
        <v/>
      </c>
      <c r="AU202" s="10" t="str">
        <f aca="false">IF(A202="","",A202&amp;"_CAD.dwg")</f>
        <v/>
      </c>
      <c r="AV202" s="10" t="str">
        <f aca="false">IF(A202="","",A202&amp;"_DWG.pdf")</f>
        <v/>
      </c>
      <c r="AW202" s="10" t="str">
        <f aca="false">IF(A202="","",IF(AS202="Y",A202&amp;"_STAAD.std","n/a"))</f>
        <v/>
      </c>
      <c r="AX202" s="10" t="str">
        <f aca="false">IF(A202="","",A202&amp;"_CALC.xlsx")</f>
        <v/>
      </c>
      <c r="AY202" s="10" t="str">
        <f aca="false">IF(A202="","",A202&amp;"_CALC.pdf")</f>
        <v/>
      </c>
      <c r="AZ202" s="9"/>
      <c r="BA202" s="9"/>
      <c r="BB202" s="39"/>
      <c r="BC202" s="39"/>
      <c r="BD202" s="39"/>
      <c r="BE202" s="39"/>
      <c r="BF202" s="39"/>
      <c r="BG202" s="12" t="str">
        <f aca="false">IF(A202="","",IF(COUNTIF(Rebar_Schedule!$A$5:$A$2004,A202)=0,"",ROUND(SUMIF(Rebar_Schedule!$A$5:$A$2004,A202,Rebar_Schedule!$K$5:$K$2004),1)))</f>
        <v/>
      </c>
      <c r="BH202" s="33" t="str">
        <f aca="false">IF(A202="","",IF(BG202="","No rebar schedule yet",IF(ABS(BG202-N(BC202))/MAX(N(BC202),1)&gt;SG_Criteria!$B$55,"NOTE: register rebar differs from schedule by "&amp;TEXT(ABS(BG202-N(BC202))/MAX(N(BC202),1),"0%"),"OK")))</f>
        <v/>
      </c>
      <c r="BI202" s="33" t="str">
        <f aca="false">IF(OR(D202="",E202=""),"",IF(E202&lt;=IF(OR(D202="Block / Segmental",D202="Gabion",D202="Reinforced Earth (MSE)"),SG_Criteria!$B$34,SG_Criteria!$B$33),"No ERSS submission",IF(E202&lt;=SG_Criteria!$B$35,"QP(ST)",IF(E202&lt;=SG_Criteria!$B$36,"QP(ST) + AC","Geotechnical building works: QP(Geo) + AC"))))</f>
        <v/>
      </c>
      <c r="BJ202" s="33" t="str">
        <f aca="false">IF(D202="","",IF(LEN(IF(AND(V202&lt;&gt;"",IFERROR(VALUE(MID(V202,2,2)),0)&lt;SG_Criteria!$B$19),"FAIL: grade below C"&amp;SG_Criteria!$B$19&amp;". ","")&amp;IF(AND(W202&lt;&gt;"",W202&lt;SG_Criteria!$B$20),"FAIL: cover &lt; "&amp;SG_Criteria!$B$20&amp;" mm. ","")&amp;IF(AND(AD202&lt;&gt;"",AD202&lt;1),"FAIL: sliding. ","")&amp;IF(AND(D202="Reverse L-Wall (toe only, at boundary)",N(S202)&gt;0),"NOTE: reverse L-wall should have no heel. ","")&amp;IF(AND(D202="L-Wall (heel only)",N(R202)&gt;0),"NOTE: L-wall should have no toe. ","")&amp;IF(AND(F202&lt;&gt;"",F202&lt;SG_Criteria!$B$31),"NOTE: q below LTA min "&amp;SG_Criteria!$B$31&amp;" kPa (not for LTA works). ",""))=0,"OK",IF(AND(V202&lt;&gt;"",IFERROR(VALUE(MID(V202,2,2)),0)&lt;SG_Criteria!$B$19),"FAIL: grade below C"&amp;SG_Criteria!$B$19&amp;". ","")&amp;IF(AND(W202&lt;&gt;"",W202&lt;SG_Criteria!$B$20),"FAIL: cover &lt; "&amp;SG_Criteria!$B$20&amp;" mm. ","")&amp;IF(AND(AD202&lt;&gt;"",AD202&lt;1),"FAIL: sliding. ","")&amp;IF(AND(D202="Reverse L-Wall (toe only, at boundary)",N(S202)&gt;0),"NOTE: reverse L-wall should have no heel. ","")&amp;IF(AND(D202="L-Wall (heel only)",N(R202)&gt;0),"NOTE: L-wall should have no toe. ","")&amp;IF(AND(F202&lt;&gt;"",F202&lt;SG_Criteria!$B$31),"NOTE: q below LTA min "&amp;SG_Criteria!$B$31&amp;" kPa (not for LTA works). ","")))</f>
        <v/>
      </c>
      <c r="BK202" s="9"/>
      <c r="BL202" s="9"/>
      <c r="BM202" s="9"/>
      <c r="BN202" s="10" t="str">
        <f aca="false">IF(BM202="","",IFERROR(VLOOKUP(BM202,Projects!$A$5:$D$504,2,0),"Ref not in Projects"))</f>
        <v/>
      </c>
      <c r="BO202" s="10" t="str">
        <f aca="false">IF(BM202="","",IFERROR(VLOOKUP(BM202,Projects!$A$5:$D$504,4,0),"Ref not in Projects"))</f>
        <v/>
      </c>
      <c r="BP202" s="9"/>
      <c r="BQ202" s="9"/>
      <c r="BR202" s="9"/>
      <c r="BS202" s="40"/>
      <c r="BT202" s="9"/>
      <c r="BU202" s="40"/>
      <c r="BV202" s="9"/>
      <c r="BW202" s="40"/>
      <c r="BX202" s="9"/>
      <c r="BY202" s="9"/>
      <c r="BZ202" s="9"/>
      <c r="CA202" s="40"/>
      <c r="CB202" s="40"/>
      <c r="CC202" s="36" t="str">
        <f aca="false">IF(CB202="","",EDATE(CB202,SG_Criteria!$B$54*12))</f>
        <v/>
      </c>
      <c r="CD202" s="33" t="str">
        <f aca="true">IF(A202="","",IF(CB202="","NOTE: not reviewed yet",IF(TODAY()&gt;CC202,"NOTE: review overdue","OK")))</f>
        <v/>
      </c>
      <c r="CE202" s="37" t="str">
        <f aca="false">IF(A202="","",ROUND((IF(LEN(D202)&gt;0,1,0)+IF(LEN(E202)&gt;0,1,0)+IF(LEN(F202)&gt;0,1,0)+IF(LEN(G202)&gt;0,1,0)+IF(LEN(I202)&gt;0,1,0)+IF(LEN(K202)&gt;0,1,0)+IF(LEN(P202)&gt;0,1,0)+IF(LEN(Q202)&gt;0,1,0)+IF(LEN(T202)&gt;0,1,0)+IF(LEN(V202)&gt;0,1,0)+IF(LEN(W202)&gt;0,1,0)+IF(LEN(X202)&gt;0,1,0)+IF(LEN(Z202)&gt;0,1,0)+IF(LEN(AD202)&gt;0,1,0)+IF(LEN(AE202)&gt;0,1,0)+IF(LEN(AG202)&gt;0,1,0)+IF(LEN(AI202)&gt;0,1,0)+IF(LEN(BB202)&gt;0,1,0)+IF(LEN(BC202)&gt;0,1,0)+IF(LEN(AM202)&gt;0,1,0)+IF(LEN(AO202)&gt;0,1,0)+IF(LEN(AP202)&gt;0,1,0)+IF(LEN(AQ202)&gt;0,1,0)+IF(LEN(AR202)&gt;0,1,0)+IF(LEN(BA202)&gt;0,1,0)+IF(LEN(BM202)&gt;0,1,0)+IF(LEN(BZ202)&gt;0,1,0))/27,2))</f>
        <v/>
      </c>
      <c r="CF202" s="10" t="str">
        <f aca="false">IF(D202="","",IF(AND(AP202="Approved",ISERROR(SEARCH("FAIL",BJ202))),"Y","N"))</f>
        <v/>
      </c>
      <c r="CG202" s="10" t="str">
        <f aca="false">IF(D202="","",D202&amp;"|"&amp;E202&amp;"|"&amp;F202&amp;"|"&amp;G202&amp;"|"&amp;CF202)</f>
        <v/>
      </c>
    </row>
    <row r="203" customFormat="false" ht="15" hidden="false" customHeight="false" outlineLevel="0" collapsed="false">
      <c r="A203" s="10" t="str">
        <f aca="false">IF(D203="","","RW-"&amp;IFERROR(VLOOKUP(D203,Lists!$M$4:$N$22,2,0),"??")&amp;"-H"&amp;TEXT(E203*1000,"0000")&amp;"-S"&amp;F203&amp;IF(G203="Y","-GW","")&amp;"-"&amp;AO203)</f>
        <v/>
      </c>
      <c r="B203" s="10" t="str">
        <f aca="false">IF(D203="","",D203&amp;", H = "&amp;TEXT(E203,"0.0")&amp;" m, q = "&amp;F203&amp;" kPa"&amp;IF(G203="Y",", with GWT","")&amp;", "&amp;I203)</f>
        <v/>
      </c>
      <c r="C203" s="9"/>
      <c r="D203" s="9"/>
      <c r="E203" s="39"/>
      <c r="F203" s="38"/>
      <c r="G203" s="9"/>
      <c r="H203" s="38"/>
      <c r="I203" s="9"/>
      <c r="J203" s="38"/>
      <c r="K203" s="38"/>
      <c r="L203" s="38"/>
      <c r="M203" s="42"/>
      <c r="N203" s="9"/>
      <c r="O203" s="38"/>
      <c r="P203" s="38"/>
      <c r="Q203" s="38"/>
      <c r="R203" s="38"/>
      <c r="S203" s="38"/>
      <c r="T203" s="38"/>
      <c r="U203" s="9"/>
      <c r="V203" s="9"/>
      <c r="W203" s="38"/>
      <c r="X203" s="9"/>
      <c r="Y203" s="9"/>
      <c r="Z203" s="9"/>
      <c r="AA203" s="9"/>
      <c r="AB203" s="9"/>
      <c r="AC203" s="9"/>
      <c r="AD203" s="39"/>
      <c r="AE203" s="39"/>
      <c r="AF203" s="39"/>
      <c r="AG203" s="38"/>
      <c r="AH203" s="38"/>
      <c r="AI203" s="9"/>
      <c r="AJ203" s="38"/>
      <c r="AK203" s="9"/>
      <c r="AL203" s="39"/>
      <c r="AM203" s="9"/>
      <c r="AN203" s="9"/>
      <c r="AO203" s="9"/>
      <c r="AP203" s="9"/>
      <c r="AQ203" s="9"/>
      <c r="AR203" s="9"/>
      <c r="AS203" s="9"/>
      <c r="AT203" s="10" t="str">
        <f aca="false">IF(A203="","",SG_Criteria!$B$6&amp;SG_Criteria!$B$8&amp;"\"&amp;A203&amp;"\")</f>
        <v/>
      </c>
      <c r="AU203" s="10" t="str">
        <f aca="false">IF(A203="","",A203&amp;"_CAD.dwg")</f>
        <v/>
      </c>
      <c r="AV203" s="10" t="str">
        <f aca="false">IF(A203="","",A203&amp;"_DWG.pdf")</f>
        <v/>
      </c>
      <c r="AW203" s="10" t="str">
        <f aca="false">IF(A203="","",IF(AS203="Y",A203&amp;"_STAAD.std","n/a"))</f>
        <v/>
      </c>
      <c r="AX203" s="10" t="str">
        <f aca="false">IF(A203="","",A203&amp;"_CALC.xlsx")</f>
        <v/>
      </c>
      <c r="AY203" s="10" t="str">
        <f aca="false">IF(A203="","",A203&amp;"_CALC.pdf")</f>
        <v/>
      </c>
      <c r="AZ203" s="9"/>
      <c r="BA203" s="9"/>
      <c r="BB203" s="39"/>
      <c r="BC203" s="39"/>
      <c r="BD203" s="39"/>
      <c r="BE203" s="39"/>
      <c r="BF203" s="39"/>
      <c r="BG203" s="12" t="str">
        <f aca="false">IF(A203="","",IF(COUNTIF(Rebar_Schedule!$A$5:$A$2004,A203)=0,"",ROUND(SUMIF(Rebar_Schedule!$A$5:$A$2004,A203,Rebar_Schedule!$K$5:$K$2004),1)))</f>
        <v/>
      </c>
      <c r="BH203" s="33" t="str">
        <f aca="false">IF(A203="","",IF(BG203="","No rebar schedule yet",IF(ABS(BG203-N(BC203))/MAX(N(BC203),1)&gt;SG_Criteria!$B$55,"NOTE: register rebar differs from schedule by "&amp;TEXT(ABS(BG203-N(BC203))/MAX(N(BC203),1),"0%"),"OK")))</f>
        <v/>
      </c>
      <c r="BI203" s="33" t="str">
        <f aca="false">IF(OR(D203="",E203=""),"",IF(E203&lt;=IF(OR(D203="Block / Segmental",D203="Gabion",D203="Reinforced Earth (MSE)"),SG_Criteria!$B$34,SG_Criteria!$B$33),"No ERSS submission",IF(E203&lt;=SG_Criteria!$B$35,"QP(ST)",IF(E203&lt;=SG_Criteria!$B$36,"QP(ST) + AC","Geotechnical building works: QP(Geo) + AC"))))</f>
        <v/>
      </c>
      <c r="BJ203" s="33" t="str">
        <f aca="false">IF(D203="","",IF(LEN(IF(AND(V203&lt;&gt;"",IFERROR(VALUE(MID(V203,2,2)),0)&lt;SG_Criteria!$B$19),"FAIL: grade below C"&amp;SG_Criteria!$B$19&amp;". ","")&amp;IF(AND(W203&lt;&gt;"",W203&lt;SG_Criteria!$B$20),"FAIL: cover &lt; "&amp;SG_Criteria!$B$20&amp;" mm. ","")&amp;IF(AND(AD203&lt;&gt;"",AD203&lt;1),"FAIL: sliding. ","")&amp;IF(AND(D203="Reverse L-Wall (toe only, at boundary)",N(S203)&gt;0),"NOTE: reverse L-wall should have no heel. ","")&amp;IF(AND(D203="L-Wall (heel only)",N(R203)&gt;0),"NOTE: L-wall should have no toe. ","")&amp;IF(AND(F203&lt;&gt;"",F203&lt;SG_Criteria!$B$31),"NOTE: q below LTA min "&amp;SG_Criteria!$B$31&amp;" kPa (not for LTA works). ",""))=0,"OK",IF(AND(V203&lt;&gt;"",IFERROR(VALUE(MID(V203,2,2)),0)&lt;SG_Criteria!$B$19),"FAIL: grade below C"&amp;SG_Criteria!$B$19&amp;". ","")&amp;IF(AND(W203&lt;&gt;"",W203&lt;SG_Criteria!$B$20),"FAIL: cover &lt; "&amp;SG_Criteria!$B$20&amp;" mm. ","")&amp;IF(AND(AD203&lt;&gt;"",AD203&lt;1),"FAIL: sliding. ","")&amp;IF(AND(D203="Reverse L-Wall (toe only, at boundary)",N(S203)&gt;0),"NOTE: reverse L-wall should have no heel. ","")&amp;IF(AND(D203="L-Wall (heel only)",N(R203)&gt;0),"NOTE: L-wall should have no toe. ","")&amp;IF(AND(F203&lt;&gt;"",F203&lt;SG_Criteria!$B$31),"NOTE: q below LTA min "&amp;SG_Criteria!$B$31&amp;" kPa (not for LTA works). ","")))</f>
        <v/>
      </c>
      <c r="BK203" s="9"/>
      <c r="BL203" s="9"/>
      <c r="BM203" s="9"/>
      <c r="BN203" s="10" t="str">
        <f aca="false">IF(BM203="","",IFERROR(VLOOKUP(BM203,Projects!$A$5:$D$504,2,0),"Ref not in Projects"))</f>
        <v/>
      </c>
      <c r="BO203" s="10" t="str">
        <f aca="false">IF(BM203="","",IFERROR(VLOOKUP(BM203,Projects!$A$5:$D$504,4,0),"Ref not in Projects"))</f>
        <v/>
      </c>
      <c r="BP203" s="9"/>
      <c r="BQ203" s="9"/>
      <c r="BR203" s="9"/>
      <c r="BS203" s="40"/>
      <c r="BT203" s="9"/>
      <c r="BU203" s="40"/>
      <c r="BV203" s="9"/>
      <c r="BW203" s="40"/>
      <c r="BX203" s="9"/>
      <c r="BY203" s="9"/>
      <c r="BZ203" s="9"/>
      <c r="CA203" s="40"/>
      <c r="CB203" s="40"/>
      <c r="CC203" s="36" t="str">
        <f aca="false">IF(CB203="","",EDATE(CB203,SG_Criteria!$B$54*12))</f>
        <v/>
      </c>
      <c r="CD203" s="33" t="str">
        <f aca="true">IF(A203="","",IF(CB203="","NOTE: not reviewed yet",IF(TODAY()&gt;CC203,"NOTE: review overdue","OK")))</f>
        <v/>
      </c>
      <c r="CE203" s="37" t="str">
        <f aca="false">IF(A203="","",ROUND((IF(LEN(D203)&gt;0,1,0)+IF(LEN(E203)&gt;0,1,0)+IF(LEN(F203)&gt;0,1,0)+IF(LEN(G203)&gt;0,1,0)+IF(LEN(I203)&gt;0,1,0)+IF(LEN(K203)&gt;0,1,0)+IF(LEN(P203)&gt;0,1,0)+IF(LEN(Q203)&gt;0,1,0)+IF(LEN(T203)&gt;0,1,0)+IF(LEN(V203)&gt;0,1,0)+IF(LEN(W203)&gt;0,1,0)+IF(LEN(X203)&gt;0,1,0)+IF(LEN(Z203)&gt;0,1,0)+IF(LEN(AD203)&gt;0,1,0)+IF(LEN(AE203)&gt;0,1,0)+IF(LEN(AG203)&gt;0,1,0)+IF(LEN(AI203)&gt;0,1,0)+IF(LEN(BB203)&gt;0,1,0)+IF(LEN(BC203)&gt;0,1,0)+IF(LEN(AM203)&gt;0,1,0)+IF(LEN(AO203)&gt;0,1,0)+IF(LEN(AP203)&gt;0,1,0)+IF(LEN(AQ203)&gt;0,1,0)+IF(LEN(AR203)&gt;0,1,0)+IF(LEN(BA203)&gt;0,1,0)+IF(LEN(BM203)&gt;0,1,0)+IF(LEN(BZ203)&gt;0,1,0))/27,2))</f>
        <v/>
      </c>
      <c r="CF203" s="10" t="str">
        <f aca="false">IF(D203="","",IF(AND(AP203="Approved",ISERROR(SEARCH("FAIL",BJ203))),"Y","N"))</f>
        <v/>
      </c>
      <c r="CG203" s="10" t="str">
        <f aca="false">IF(D203="","",D203&amp;"|"&amp;E203&amp;"|"&amp;F203&amp;"|"&amp;G203&amp;"|"&amp;CF203)</f>
        <v/>
      </c>
    </row>
    <row r="204" customFormat="false" ht="15" hidden="false" customHeight="false" outlineLevel="0" collapsed="false">
      <c r="A204" s="10" t="str">
        <f aca="false">IF(D204="","","RW-"&amp;IFERROR(VLOOKUP(D204,Lists!$M$4:$N$22,2,0),"??")&amp;"-H"&amp;TEXT(E204*1000,"0000")&amp;"-S"&amp;F204&amp;IF(G204="Y","-GW","")&amp;"-"&amp;AO204)</f>
        <v/>
      </c>
      <c r="B204" s="10" t="str">
        <f aca="false">IF(D204="","",D204&amp;", H = "&amp;TEXT(E204,"0.0")&amp;" m, q = "&amp;F204&amp;" kPa"&amp;IF(G204="Y",", with GWT","")&amp;", "&amp;I204)</f>
        <v/>
      </c>
      <c r="C204" s="9"/>
      <c r="D204" s="9"/>
      <c r="E204" s="39"/>
      <c r="F204" s="38"/>
      <c r="G204" s="9"/>
      <c r="H204" s="38"/>
      <c r="I204" s="9"/>
      <c r="J204" s="38"/>
      <c r="K204" s="38"/>
      <c r="L204" s="38"/>
      <c r="M204" s="42"/>
      <c r="N204" s="9"/>
      <c r="O204" s="38"/>
      <c r="P204" s="38"/>
      <c r="Q204" s="38"/>
      <c r="R204" s="38"/>
      <c r="S204" s="38"/>
      <c r="T204" s="38"/>
      <c r="U204" s="9"/>
      <c r="V204" s="9"/>
      <c r="W204" s="38"/>
      <c r="X204" s="9"/>
      <c r="Y204" s="9"/>
      <c r="Z204" s="9"/>
      <c r="AA204" s="9"/>
      <c r="AB204" s="9"/>
      <c r="AC204" s="9"/>
      <c r="AD204" s="39"/>
      <c r="AE204" s="39"/>
      <c r="AF204" s="39"/>
      <c r="AG204" s="38"/>
      <c r="AH204" s="38"/>
      <c r="AI204" s="9"/>
      <c r="AJ204" s="38"/>
      <c r="AK204" s="9"/>
      <c r="AL204" s="39"/>
      <c r="AM204" s="9"/>
      <c r="AN204" s="9"/>
      <c r="AO204" s="9"/>
      <c r="AP204" s="9"/>
      <c r="AQ204" s="9"/>
      <c r="AR204" s="9"/>
      <c r="AS204" s="9"/>
      <c r="AT204" s="10" t="str">
        <f aca="false">IF(A204="","",SG_Criteria!$B$6&amp;SG_Criteria!$B$8&amp;"\"&amp;A204&amp;"\")</f>
        <v/>
      </c>
      <c r="AU204" s="10" t="str">
        <f aca="false">IF(A204="","",A204&amp;"_CAD.dwg")</f>
        <v/>
      </c>
      <c r="AV204" s="10" t="str">
        <f aca="false">IF(A204="","",A204&amp;"_DWG.pdf")</f>
        <v/>
      </c>
      <c r="AW204" s="10" t="str">
        <f aca="false">IF(A204="","",IF(AS204="Y",A204&amp;"_STAAD.std","n/a"))</f>
        <v/>
      </c>
      <c r="AX204" s="10" t="str">
        <f aca="false">IF(A204="","",A204&amp;"_CALC.xlsx")</f>
        <v/>
      </c>
      <c r="AY204" s="10" t="str">
        <f aca="false">IF(A204="","",A204&amp;"_CALC.pdf")</f>
        <v/>
      </c>
      <c r="AZ204" s="9"/>
      <c r="BA204" s="9"/>
      <c r="BB204" s="39"/>
      <c r="BC204" s="39"/>
      <c r="BD204" s="39"/>
      <c r="BE204" s="39"/>
      <c r="BF204" s="39"/>
      <c r="BG204" s="12" t="str">
        <f aca="false">IF(A204="","",IF(COUNTIF(Rebar_Schedule!$A$5:$A$2004,A204)=0,"",ROUND(SUMIF(Rebar_Schedule!$A$5:$A$2004,A204,Rebar_Schedule!$K$5:$K$2004),1)))</f>
        <v/>
      </c>
      <c r="BH204" s="33" t="str">
        <f aca="false">IF(A204="","",IF(BG204="","No rebar schedule yet",IF(ABS(BG204-N(BC204))/MAX(N(BC204),1)&gt;SG_Criteria!$B$55,"NOTE: register rebar differs from schedule by "&amp;TEXT(ABS(BG204-N(BC204))/MAX(N(BC204),1),"0%"),"OK")))</f>
        <v/>
      </c>
      <c r="BI204" s="33" t="str">
        <f aca="false">IF(OR(D204="",E204=""),"",IF(E204&lt;=IF(OR(D204="Block / Segmental",D204="Gabion",D204="Reinforced Earth (MSE)"),SG_Criteria!$B$34,SG_Criteria!$B$33),"No ERSS submission",IF(E204&lt;=SG_Criteria!$B$35,"QP(ST)",IF(E204&lt;=SG_Criteria!$B$36,"QP(ST) + AC","Geotechnical building works: QP(Geo) + AC"))))</f>
        <v/>
      </c>
      <c r="BJ204" s="33" t="str">
        <f aca="false">IF(D204="","",IF(LEN(IF(AND(V204&lt;&gt;"",IFERROR(VALUE(MID(V204,2,2)),0)&lt;SG_Criteria!$B$19),"FAIL: grade below C"&amp;SG_Criteria!$B$19&amp;". ","")&amp;IF(AND(W204&lt;&gt;"",W204&lt;SG_Criteria!$B$20),"FAIL: cover &lt; "&amp;SG_Criteria!$B$20&amp;" mm. ","")&amp;IF(AND(AD204&lt;&gt;"",AD204&lt;1),"FAIL: sliding. ","")&amp;IF(AND(D204="Reverse L-Wall (toe only, at boundary)",N(S204)&gt;0),"NOTE: reverse L-wall should have no heel. ","")&amp;IF(AND(D204="L-Wall (heel only)",N(R204)&gt;0),"NOTE: L-wall should have no toe. ","")&amp;IF(AND(F204&lt;&gt;"",F204&lt;SG_Criteria!$B$31),"NOTE: q below LTA min "&amp;SG_Criteria!$B$31&amp;" kPa (not for LTA works). ",""))=0,"OK",IF(AND(V204&lt;&gt;"",IFERROR(VALUE(MID(V204,2,2)),0)&lt;SG_Criteria!$B$19),"FAIL: grade below C"&amp;SG_Criteria!$B$19&amp;". ","")&amp;IF(AND(W204&lt;&gt;"",W204&lt;SG_Criteria!$B$20),"FAIL: cover &lt; "&amp;SG_Criteria!$B$20&amp;" mm. ","")&amp;IF(AND(AD204&lt;&gt;"",AD204&lt;1),"FAIL: sliding. ","")&amp;IF(AND(D204="Reverse L-Wall (toe only, at boundary)",N(S204)&gt;0),"NOTE: reverse L-wall should have no heel. ","")&amp;IF(AND(D204="L-Wall (heel only)",N(R204)&gt;0),"NOTE: L-wall should have no toe. ","")&amp;IF(AND(F204&lt;&gt;"",F204&lt;SG_Criteria!$B$31),"NOTE: q below LTA min "&amp;SG_Criteria!$B$31&amp;" kPa (not for LTA works). ","")))</f>
        <v/>
      </c>
      <c r="BK204" s="9"/>
      <c r="BL204" s="9"/>
      <c r="BM204" s="9"/>
      <c r="BN204" s="10" t="str">
        <f aca="false">IF(BM204="","",IFERROR(VLOOKUP(BM204,Projects!$A$5:$D$504,2,0),"Ref not in Projects"))</f>
        <v/>
      </c>
      <c r="BO204" s="10" t="str">
        <f aca="false">IF(BM204="","",IFERROR(VLOOKUP(BM204,Projects!$A$5:$D$504,4,0),"Ref not in Projects"))</f>
        <v/>
      </c>
      <c r="BP204" s="9"/>
      <c r="BQ204" s="9"/>
      <c r="BR204" s="9"/>
      <c r="BS204" s="40"/>
      <c r="BT204" s="9"/>
      <c r="BU204" s="40"/>
      <c r="BV204" s="9"/>
      <c r="BW204" s="40"/>
      <c r="BX204" s="9"/>
      <c r="BY204" s="9"/>
      <c r="BZ204" s="9"/>
      <c r="CA204" s="40"/>
      <c r="CB204" s="40"/>
      <c r="CC204" s="36" t="str">
        <f aca="false">IF(CB204="","",EDATE(CB204,SG_Criteria!$B$54*12))</f>
        <v/>
      </c>
      <c r="CD204" s="33" t="str">
        <f aca="true">IF(A204="","",IF(CB204="","NOTE: not reviewed yet",IF(TODAY()&gt;CC204,"NOTE: review overdue","OK")))</f>
        <v/>
      </c>
      <c r="CE204" s="37" t="str">
        <f aca="false">IF(A204="","",ROUND((IF(LEN(D204)&gt;0,1,0)+IF(LEN(E204)&gt;0,1,0)+IF(LEN(F204)&gt;0,1,0)+IF(LEN(G204)&gt;0,1,0)+IF(LEN(I204)&gt;0,1,0)+IF(LEN(K204)&gt;0,1,0)+IF(LEN(P204)&gt;0,1,0)+IF(LEN(Q204)&gt;0,1,0)+IF(LEN(T204)&gt;0,1,0)+IF(LEN(V204)&gt;0,1,0)+IF(LEN(W204)&gt;0,1,0)+IF(LEN(X204)&gt;0,1,0)+IF(LEN(Z204)&gt;0,1,0)+IF(LEN(AD204)&gt;0,1,0)+IF(LEN(AE204)&gt;0,1,0)+IF(LEN(AG204)&gt;0,1,0)+IF(LEN(AI204)&gt;0,1,0)+IF(LEN(BB204)&gt;0,1,0)+IF(LEN(BC204)&gt;0,1,0)+IF(LEN(AM204)&gt;0,1,0)+IF(LEN(AO204)&gt;0,1,0)+IF(LEN(AP204)&gt;0,1,0)+IF(LEN(AQ204)&gt;0,1,0)+IF(LEN(AR204)&gt;0,1,0)+IF(LEN(BA204)&gt;0,1,0)+IF(LEN(BM204)&gt;0,1,0)+IF(LEN(BZ204)&gt;0,1,0))/27,2))</f>
        <v/>
      </c>
      <c r="CF204" s="10" t="str">
        <f aca="false">IF(D204="","",IF(AND(AP204="Approved",ISERROR(SEARCH("FAIL",BJ204))),"Y","N"))</f>
        <v/>
      </c>
      <c r="CG204" s="10" t="str">
        <f aca="false">IF(D204="","",D204&amp;"|"&amp;E204&amp;"|"&amp;F204&amp;"|"&amp;G204&amp;"|"&amp;CF204)</f>
        <v/>
      </c>
    </row>
    <row r="205" customFormat="false" ht="15" hidden="false" customHeight="false" outlineLevel="0" collapsed="false">
      <c r="A205" s="10" t="str">
        <f aca="false">IF(D205="","","RW-"&amp;IFERROR(VLOOKUP(D205,Lists!$M$4:$N$22,2,0),"??")&amp;"-H"&amp;TEXT(E205*1000,"0000")&amp;"-S"&amp;F205&amp;IF(G205="Y","-GW","")&amp;"-"&amp;AO205)</f>
        <v/>
      </c>
      <c r="B205" s="10" t="str">
        <f aca="false">IF(D205="","",D205&amp;", H = "&amp;TEXT(E205,"0.0")&amp;" m, q = "&amp;F205&amp;" kPa"&amp;IF(G205="Y",", with GWT","")&amp;", "&amp;I205)</f>
        <v/>
      </c>
      <c r="C205" s="9"/>
      <c r="D205" s="9"/>
      <c r="E205" s="39"/>
      <c r="F205" s="38"/>
      <c r="G205" s="9"/>
      <c r="H205" s="38"/>
      <c r="I205" s="9"/>
      <c r="J205" s="38"/>
      <c r="K205" s="38"/>
      <c r="L205" s="38"/>
      <c r="M205" s="42"/>
      <c r="N205" s="9"/>
      <c r="O205" s="38"/>
      <c r="P205" s="38"/>
      <c r="Q205" s="38"/>
      <c r="R205" s="38"/>
      <c r="S205" s="38"/>
      <c r="T205" s="38"/>
      <c r="U205" s="9"/>
      <c r="V205" s="9"/>
      <c r="W205" s="38"/>
      <c r="X205" s="9"/>
      <c r="Y205" s="9"/>
      <c r="Z205" s="9"/>
      <c r="AA205" s="9"/>
      <c r="AB205" s="9"/>
      <c r="AC205" s="9"/>
      <c r="AD205" s="39"/>
      <c r="AE205" s="39"/>
      <c r="AF205" s="39"/>
      <c r="AG205" s="38"/>
      <c r="AH205" s="38"/>
      <c r="AI205" s="9"/>
      <c r="AJ205" s="38"/>
      <c r="AK205" s="9"/>
      <c r="AL205" s="39"/>
      <c r="AM205" s="9"/>
      <c r="AN205" s="9"/>
      <c r="AO205" s="9"/>
      <c r="AP205" s="9"/>
      <c r="AQ205" s="9"/>
      <c r="AR205" s="9"/>
      <c r="AS205" s="9"/>
      <c r="AT205" s="10" t="str">
        <f aca="false">IF(A205="","",SG_Criteria!$B$6&amp;SG_Criteria!$B$8&amp;"\"&amp;A205&amp;"\")</f>
        <v/>
      </c>
      <c r="AU205" s="10" t="str">
        <f aca="false">IF(A205="","",A205&amp;"_CAD.dwg")</f>
        <v/>
      </c>
      <c r="AV205" s="10" t="str">
        <f aca="false">IF(A205="","",A205&amp;"_DWG.pdf")</f>
        <v/>
      </c>
      <c r="AW205" s="10" t="str">
        <f aca="false">IF(A205="","",IF(AS205="Y",A205&amp;"_STAAD.std","n/a"))</f>
        <v/>
      </c>
      <c r="AX205" s="10" t="str">
        <f aca="false">IF(A205="","",A205&amp;"_CALC.xlsx")</f>
        <v/>
      </c>
      <c r="AY205" s="10" t="str">
        <f aca="false">IF(A205="","",A205&amp;"_CALC.pdf")</f>
        <v/>
      </c>
      <c r="AZ205" s="9"/>
      <c r="BA205" s="9"/>
      <c r="BB205" s="39"/>
      <c r="BC205" s="39"/>
      <c r="BD205" s="39"/>
      <c r="BE205" s="39"/>
      <c r="BF205" s="39"/>
      <c r="BG205" s="12" t="str">
        <f aca="false">IF(A205="","",IF(COUNTIF(Rebar_Schedule!$A$5:$A$2004,A205)=0,"",ROUND(SUMIF(Rebar_Schedule!$A$5:$A$2004,A205,Rebar_Schedule!$K$5:$K$2004),1)))</f>
        <v/>
      </c>
      <c r="BH205" s="33" t="str">
        <f aca="false">IF(A205="","",IF(BG205="","No rebar schedule yet",IF(ABS(BG205-N(BC205))/MAX(N(BC205),1)&gt;SG_Criteria!$B$55,"NOTE: register rebar differs from schedule by "&amp;TEXT(ABS(BG205-N(BC205))/MAX(N(BC205),1),"0%"),"OK")))</f>
        <v/>
      </c>
      <c r="BI205" s="33" t="str">
        <f aca="false">IF(OR(D205="",E205=""),"",IF(E205&lt;=IF(OR(D205="Block / Segmental",D205="Gabion",D205="Reinforced Earth (MSE)"),SG_Criteria!$B$34,SG_Criteria!$B$33),"No ERSS submission",IF(E205&lt;=SG_Criteria!$B$35,"QP(ST)",IF(E205&lt;=SG_Criteria!$B$36,"QP(ST) + AC","Geotechnical building works: QP(Geo) + AC"))))</f>
        <v/>
      </c>
      <c r="BJ205" s="33" t="str">
        <f aca="false">IF(D205="","",IF(LEN(IF(AND(V205&lt;&gt;"",IFERROR(VALUE(MID(V205,2,2)),0)&lt;SG_Criteria!$B$19),"FAIL: grade below C"&amp;SG_Criteria!$B$19&amp;". ","")&amp;IF(AND(W205&lt;&gt;"",W205&lt;SG_Criteria!$B$20),"FAIL: cover &lt; "&amp;SG_Criteria!$B$20&amp;" mm. ","")&amp;IF(AND(AD205&lt;&gt;"",AD205&lt;1),"FAIL: sliding. ","")&amp;IF(AND(D205="Reverse L-Wall (toe only, at boundary)",N(S205)&gt;0),"NOTE: reverse L-wall should have no heel. ","")&amp;IF(AND(D205="L-Wall (heel only)",N(R205)&gt;0),"NOTE: L-wall should have no toe. ","")&amp;IF(AND(F205&lt;&gt;"",F205&lt;SG_Criteria!$B$31),"NOTE: q below LTA min "&amp;SG_Criteria!$B$31&amp;" kPa (not for LTA works). ",""))=0,"OK",IF(AND(V205&lt;&gt;"",IFERROR(VALUE(MID(V205,2,2)),0)&lt;SG_Criteria!$B$19),"FAIL: grade below C"&amp;SG_Criteria!$B$19&amp;". ","")&amp;IF(AND(W205&lt;&gt;"",W205&lt;SG_Criteria!$B$20),"FAIL: cover &lt; "&amp;SG_Criteria!$B$20&amp;" mm. ","")&amp;IF(AND(AD205&lt;&gt;"",AD205&lt;1),"FAIL: sliding. ","")&amp;IF(AND(D205="Reverse L-Wall (toe only, at boundary)",N(S205)&gt;0),"NOTE: reverse L-wall should have no heel. ","")&amp;IF(AND(D205="L-Wall (heel only)",N(R205)&gt;0),"NOTE: L-wall should have no toe. ","")&amp;IF(AND(F205&lt;&gt;"",F205&lt;SG_Criteria!$B$31),"NOTE: q below LTA min "&amp;SG_Criteria!$B$31&amp;" kPa (not for LTA works). ","")))</f>
        <v/>
      </c>
      <c r="BK205" s="9"/>
      <c r="BL205" s="9"/>
      <c r="BM205" s="9"/>
      <c r="BN205" s="10" t="str">
        <f aca="false">IF(BM205="","",IFERROR(VLOOKUP(BM205,Projects!$A$5:$D$504,2,0),"Ref not in Projects"))</f>
        <v/>
      </c>
      <c r="BO205" s="10" t="str">
        <f aca="false">IF(BM205="","",IFERROR(VLOOKUP(BM205,Projects!$A$5:$D$504,4,0),"Ref not in Projects"))</f>
        <v/>
      </c>
      <c r="BP205" s="9"/>
      <c r="BQ205" s="9"/>
      <c r="BR205" s="9"/>
      <c r="BS205" s="40"/>
      <c r="BT205" s="9"/>
      <c r="BU205" s="40"/>
      <c r="BV205" s="9"/>
      <c r="BW205" s="40"/>
      <c r="BX205" s="9"/>
      <c r="BY205" s="9"/>
      <c r="BZ205" s="9"/>
      <c r="CA205" s="40"/>
      <c r="CB205" s="40"/>
      <c r="CC205" s="36" t="str">
        <f aca="false">IF(CB205="","",EDATE(CB205,SG_Criteria!$B$54*12))</f>
        <v/>
      </c>
      <c r="CD205" s="33" t="str">
        <f aca="true">IF(A205="","",IF(CB205="","NOTE: not reviewed yet",IF(TODAY()&gt;CC205,"NOTE: review overdue","OK")))</f>
        <v/>
      </c>
      <c r="CE205" s="37" t="str">
        <f aca="false">IF(A205="","",ROUND((IF(LEN(D205)&gt;0,1,0)+IF(LEN(E205)&gt;0,1,0)+IF(LEN(F205)&gt;0,1,0)+IF(LEN(G205)&gt;0,1,0)+IF(LEN(I205)&gt;0,1,0)+IF(LEN(K205)&gt;0,1,0)+IF(LEN(P205)&gt;0,1,0)+IF(LEN(Q205)&gt;0,1,0)+IF(LEN(T205)&gt;0,1,0)+IF(LEN(V205)&gt;0,1,0)+IF(LEN(W205)&gt;0,1,0)+IF(LEN(X205)&gt;0,1,0)+IF(LEN(Z205)&gt;0,1,0)+IF(LEN(AD205)&gt;0,1,0)+IF(LEN(AE205)&gt;0,1,0)+IF(LEN(AG205)&gt;0,1,0)+IF(LEN(AI205)&gt;0,1,0)+IF(LEN(BB205)&gt;0,1,0)+IF(LEN(BC205)&gt;0,1,0)+IF(LEN(AM205)&gt;0,1,0)+IF(LEN(AO205)&gt;0,1,0)+IF(LEN(AP205)&gt;0,1,0)+IF(LEN(AQ205)&gt;0,1,0)+IF(LEN(AR205)&gt;0,1,0)+IF(LEN(BA205)&gt;0,1,0)+IF(LEN(BM205)&gt;0,1,0)+IF(LEN(BZ205)&gt;0,1,0))/27,2))</f>
        <v/>
      </c>
      <c r="CF205" s="10" t="str">
        <f aca="false">IF(D205="","",IF(AND(AP205="Approved",ISERROR(SEARCH("FAIL",BJ205))),"Y","N"))</f>
        <v/>
      </c>
      <c r="CG205" s="10" t="str">
        <f aca="false">IF(D205="","",D205&amp;"|"&amp;E205&amp;"|"&amp;F205&amp;"|"&amp;G205&amp;"|"&amp;CF205)</f>
        <v/>
      </c>
    </row>
    <row r="206" customFormat="false" ht="15" hidden="false" customHeight="false" outlineLevel="0" collapsed="false">
      <c r="A206" s="10" t="str">
        <f aca="false">IF(D206="","","RW-"&amp;IFERROR(VLOOKUP(D206,Lists!$M$4:$N$22,2,0),"??")&amp;"-H"&amp;TEXT(E206*1000,"0000")&amp;"-S"&amp;F206&amp;IF(G206="Y","-GW","")&amp;"-"&amp;AO206)</f>
        <v/>
      </c>
      <c r="B206" s="10" t="str">
        <f aca="false">IF(D206="","",D206&amp;", H = "&amp;TEXT(E206,"0.0")&amp;" m, q = "&amp;F206&amp;" kPa"&amp;IF(G206="Y",", with GWT","")&amp;", "&amp;I206)</f>
        <v/>
      </c>
      <c r="C206" s="9"/>
      <c r="D206" s="9"/>
      <c r="E206" s="39"/>
      <c r="F206" s="38"/>
      <c r="G206" s="9"/>
      <c r="H206" s="38"/>
      <c r="I206" s="9"/>
      <c r="J206" s="38"/>
      <c r="K206" s="38"/>
      <c r="L206" s="38"/>
      <c r="M206" s="42"/>
      <c r="N206" s="9"/>
      <c r="O206" s="38"/>
      <c r="P206" s="38"/>
      <c r="Q206" s="38"/>
      <c r="R206" s="38"/>
      <c r="S206" s="38"/>
      <c r="T206" s="38"/>
      <c r="U206" s="9"/>
      <c r="V206" s="9"/>
      <c r="W206" s="38"/>
      <c r="X206" s="9"/>
      <c r="Y206" s="9"/>
      <c r="Z206" s="9"/>
      <c r="AA206" s="9"/>
      <c r="AB206" s="9"/>
      <c r="AC206" s="9"/>
      <c r="AD206" s="39"/>
      <c r="AE206" s="39"/>
      <c r="AF206" s="39"/>
      <c r="AG206" s="38"/>
      <c r="AH206" s="38"/>
      <c r="AI206" s="9"/>
      <c r="AJ206" s="38"/>
      <c r="AK206" s="9"/>
      <c r="AL206" s="39"/>
      <c r="AM206" s="9"/>
      <c r="AN206" s="9"/>
      <c r="AO206" s="9"/>
      <c r="AP206" s="9"/>
      <c r="AQ206" s="9"/>
      <c r="AR206" s="9"/>
      <c r="AS206" s="9"/>
      <c r="AT206" s="10" t="str">
        <f aca="false">IF(A206="","",SG_Criteria!$B$6&amp;SG_Criteria!$B$8&amp;"\"&amp;A206&amp;"\")</f>
        <v/>
      </c>
      <c r="AU206" s="10" t="str">
        <f aca="false">IF(A206="","",A206&amp;"_CAD.dwg")</f>
        <v/>
      </c>
      <c r="AV206" s="10" t="str">
        <f aca="false">IF(A206="","",A206&amp;"_DWG.pdf")</f>
        <v/>
      </c>
      <c r="AW206" s="10" t="str">
        <f aca="false">IF(A206="","",IF(AS206="Y",A206&amp;"_STAAD.std","n/a"))</f>
        <v/>
      </c>
      <c r="AX206" s="10" t="str">
        <f aca="false">IF(A206="","",A206&amp;"_CALC.xlsx")</f>
        <v/>
      </c>
      <c r="AY206" s="10" t="str">
        <f aca="false">IF(A206="","",A206&amp;"_CALC.pdf")</f>
        <v/>
      </c>
      <c r="AZ206" s="9"/>
      <c r="BA206" s="9"/>
      <c r="BB206" s="39"/>
      <c r="BC206" s="39"/>
      <c r="BD206" s="39"/>
      <c r="BE206" s="39"/>
      <c r="BF206" s="39"/>
      <c r="BG206" s="12" t="str">
        <f aca="false">IF(A206="","",IF(COUNTIF(Rebar_Schedule!$A$5:$A$2004,A206)=0,"",ROUND(SUMIF(Rebar_Schedule!$A$5:$A$2004,A206,Rebar_Schedule!$K$5:$K$2004),1)))</f>
        <v/>
      </c>
      <c r="BH206" s="33" t="str">
        <f aca="false">IF(A206="","",IF(BG206="","No rebar schedule yet",IF(ABS(BG206-N(BC206))/MAX(N(BC206),1)&gt;SG_Criteria!$B$55,"NOTE: register rebar differs from schedule by "&amp;TEXT(ABS(BG206-N(BC206))/MAX(N(BC206),1),"0%"),"OK")))</f>
        <v/>
      </c>
      <c r="BI206" s="33" t="str">
        <f aca="false">IF(OR(D206="",E206=""),"",IF(E206&lt;=IF(OR(D206="Block / Segmental",D206="Gabion",D206="Reinforced Earth (MSE)"),SG_Criteria!$B$34,SG_Criteria!$B$33),"No ERSS submission",IF(E206&lt;=SG_Criteria!$B$35,"QP(ST)",IF(E206&lt;=SG_Criteria!$B$36,"QP(ST) + AC","Geotechnical building works: QP(Geo) + AC"))))</f>
        <v/>
      </c>
      <c r="BJ206" s="33" t="str">
        <f aca="false">IF(D206="","",IF(LEN(IF(AND(V206&lt;&gt;"",IFERROR(VALUE(MID(V206,2,2)),0)&lt;SG_Criteria!$B$19),"FAIL: grade below C"&amp;SG_Criteria!$B$19&amp;". ","")&amp;IF(AND(W206&lt;&gt;"",W206&lt;SG_Criteria!$B$20),"FAIL: cover &lt; "&amp;SG_Criteria!$B$20&amp;" mm. ","")&amp;IF(AND(AD206&lt;&gt;"",AD206&lt;1),"FAIL: sliding. ","")&amp;IF(AND(D206="Reverse L-Wall (toe only, at boundary)",N(S206)&gt;0),"NOTE: reverse L-wall should have no heel. ","")&amp;IF(AND(D206="L-Wall (heel only)",N(R206)&gt;0),"NOTE: L-wall should have no toe. ","")&amp;IF(AND(F206&lt;&gt;"",F206&lt;SG_Criteria!$B$31),"NOTE: q below LTA min "&amp;SG_Criteria!$B$31&amp;" kPa (not for LTA works). ",""))=0,"OK",IF(AND(V206&lt;&gt;"",IFERROR(VALUE(MID(V206,2,2)),0)&lt;SG_Criteria!$B$19),"FAIL: grade below C"&amp;SG_Criteria!$B$19&amp;". ","")&amp;IF(AND(W206&lt;&gt;"",W206&lt;SG_Criteria!$B$20),"FAIL: cover &lt; "&amp;SG_Criteria!$B$20&amp;" mm. ","")&amp;IF(AND(AD206&lt;&gt;"",AD206&lt;1),"FAIL: sliding. ","")&amp;IF(AND(D206="Reverse L-Wall (toe only, at boundary)",N(S206)&gt;0),"NOTE: reverse L-wall should have no heel. ","")&amp;IF(AND(D206="L-Wall (heel only)",N(R206)&gt;0),"NOTE: L-wall should have no toe. ","")&amp;IF(AND(F206&lt;&gt;"",F206&lt;SG_Criteria!$B$31),"NOTE: q below LTA min "&amp;SG_Criteria!$B$31&amp;" kPa (not for LTA works). ","")))</f>
        <v/>
      </c>
      <c r="BK206" s="9"/>
      <c r="BL206" s="9"/>
      <c r="BM206" s="9"/>
      <c r="BN206" s="10" t="str">
        <f aca="false">IF(BM206="","",IFERROR(VLOOKUP(BM206,Projects!$A$5:$D$504,2,0),"Ref not in Projects"))</f>
        <v/>
      </c>
      <c r="BO206" s="10" t="str">
        <f aca="false">IF(BM206="","",IFERROR(VLOOKUP(BM206,Projects!$A$5:$D$504,4,0),"Ref not in Projects"))</f>
        <v/>
      </c>
      <c r="BP206" s="9"/>
      <c r="BQ206" s="9"/>
      <c r="BR206" s="9"/>
      <c r="BS206" s="40"/>
      <c r="BT206" s="9"/>
      <c r="BU206" s="40"/>
      <c r="BV206" s="9"/>
      <c r="BW206" s="40"/>
      <c r="BX206" s="9"/>
      <c r="BY206" s="9"/>
      <c r="BZ206" s="9"/>
      <c r="CA206" s="40"/>
      <c r="CB206" s="40"/>
      <c r="CC206" s="36" t="str">
        <f aca="false">IF(CB206="","",EDATE(CB206,SG_Criteria!$B$54*12))</f>
        <v/>
      </c>
      <c r="CD206" s="33" t="str">
        <f aca="true">IF(A206="","",IF(CB206="","NOTE: not reviewed yet",IF(TODAY()&gt;CC206,"NOTE: review overdue","OK")))</f>
        <v/>
      </c>
      <c r="CE206" s="37" t="str">
        <f aca="false">IF(A206="","",ROUND((IF(LEN(D206)&gt;0,1,0)+IF(LEN(E206)&gt;0,1,0)+IF(LEN(F206)&gt;0,1,0)+IF(LEN(G206)&gt;0,1,0)+IF(LEN(I206)&gt;0,1,0)+IF(LEN(K206)&gt;0,1,0)+IF(LEN(P206)&gt;0,1,0)+IF(LEN(Q206)&gt;0,1,0)+IF(LEN(T206)&gt;0,1,0)+IF(LEN(V206)&gt;0,1,0)+IF(LEN(W206)&gt;0,1,0)+IF(LEN(X206)&gt;0,1,0)+IF(LEN(Z206)&gt;0,1,0)+IF(LEN(AD206)&gt;0,1,0)+IF(LEN(AE206)&gt;0,1,0)+IF(LEN(AG206)&gt;0,1,0)+IF(LEN(AI206)&gt;0,1,0)+IF(LEN(BB206)&gt;0,1,0)+IF(LEN(BC206)&gt;0,1,0)+IF(LEN(AM206)&gt;0,1,0)+IF(LEN(AO206)&gt;0,1,0)+IF(LEN(AP206)&gt;0,1,0)+IF(LEN(AQ206)&gt;0,1,0)+IF(LEN(AR206)&gt;0,1,0)+IF(LEN(BA206)&gt;0,1,0)+IF(LEN(BM206)&gt;0,1,0)+IF(LEN(BZ206)&gt;0,1,0))/27,2))</f>
        <v/>
      </c>
      <c r="CF206" s="10" t="str">
        <f aca="false">IF(D206="","",IF(AND(AP206="Approved",ISERROR(SEARCH("FAIL",BJ206))),"Y","N"))</f>
        <v/>
      </c>
      <c r="CG206" s="10" t="str">
        <f aca="false">IF(D206="","",D206&amp;"|"&amp;E206&amp;"|"&amp;F206&amp;"|"&amp;G206&amp;"|"&amp;CF206)</f>
        <v/>
      </c>
    </row>
    <row r="207" customFormat="false" ht="15" hidden="false" customHeight="false" outlineLevel="0" collapsed="false">
      <c r="A207" s="10" t="str">
        <f aca="false">IF(D207="","","RW-"&amp;IFERROR(VLOOKUP(D207,Lists!$M$4:$N$22,2,0),"??")&amp;"-H"&amp;TEXT(E207*1000,"0000")&amp;"-S"&amp;F207&amp;IF(G207="Y","-GW","")&amp;"-"&amp;AO207)</f>
        <v/>
      </c>
      <c r="B207" s="10" t="str">
        <f aca="false">IF(D207="","",D207&amp;", H = "&amp;TEXT(E207,"0.0")&amp;" m, q = "&amp;F207&amp;" kPa"&amp;IF(G207="Y",", with GWT","")&amp;", "&amp;I207)</f>
        <v/>
      </c>
      <c r="C207" s="9"/>
      <c r="D207" s="9"/>
      <c r="E207" s="39"/>
      <c r="F207" s="38"/>
      <c r="G207" s="9"/>
      <c r="H207" s="38"/>
      <c r="I207" s="9"/>
      <c r="J207" s="38"/>
      <c r="K207" s="38"/>
      <c r="L207" s="38"/>
      <c r="M207" s="42"/>
      <c r="N207" s="9"/>
      <c r="O207" s="38"/>
      <c r="P207" s="38"/>
      <c r="Q207" s="38"/>
      <c r="R207" s="38"/>
      <c r="S207" s="38"/>
      <c r="T207" s="38"/>
      <c r="U207" s="9"/>
      <c r="V207" s="9"/>
      <c r="W207" s="38"/>
      <c r="X207" s="9"/>
      <c r="Y207" s="9"/>
      <c r="Z207" s="9"/>
      <c r="AA207" s="9"/>
      <c r="AB207" s="9"/>
      <c r="AC207" s="9"/>
      <c r="AD207" s="39"/>
      <c r="AE207" s="39"/>
      <c r="AF207" s="39"/>
      <c r="AG207" s="38"/>
      <c r="AH207" s="38"/>
      <c r="AI207" s="9"/>
      <c r="AJ207" s="38"/>
      <c r="AK207" s="9"/>
      <c r="AL207" s="39"/>
      <c r="AM207" s="9"/>
      <c r="AN207" s="9"/>
      <c r="AO207" s="9"/>
      <c r="AP207" s="9"/>
      <c r="AQ207" s="9"/>
      <c r="AR207" s="9"/>
      <c r="AS207" s="9"/>
      <c r="AT207" s="10" t="str">
        <f aca="false">IF(A207="","",SG_Criteria!$B$6&amp;SG_Criteria!$B$8&amp;"\"&amp;A207&amp;"\")</f>
        <v/>
      </c>
      <c r="AU207" s="10" t="str">
        <f aca="false">IF(A207="","",A207&amp;"_CAD.dwg")</f>
        <v/>
      </c>
      <c r="AV207" s="10" t="str">
        <f aca="false">IF(A207="","",A207&amp;"_DWG.pdf")</f>
        <v/>
      </c>
      <c r="AW207" s="10" t="str">
        <f aca="false">IF(A207="","",IF(AS207="Y",A207&amp;"_STAAD.std","n/a"))</f>
        <v/>
      </c>
      <c r="AX207" s="10" t="str">
        <f aca="false">IF(A207="","",A207&amp;"_CALC.xlsx")</f>
        <v/>
      </c>
      <c r="AY207" s="10" t="str">
        <f aca="false">IF(A207="","",A207&amp;"_CALC.pdf")</f>
        <v/>
      </c>
      <c r="AZ207" s="9"/>
      <c r="BA207" s="9"/>
      <c r="BB207" s="39"/>
      <c r="BC207" s="39"/>
      <c r="BD207" s="39"/>
      <c r="BE207" s="39"/>
      <c r="BF207" s="39"/>
      <c r="BG207" s="12" t="str">
        <f aca="false">IF(A207="","",IF(COUNTIF(Rebar_Schedule!$A$5:$A$2004,A207)=0,"",ROUND(SUMIF(Rebar_Schedule!$A$5:$A$2004,A207,Rebar_Schedule!$K$5:$K$2004),1)))</f>
        <v/>
      </c>
      <c r="BH207" s="33" t="str">
        <f aca="false">IF(A207="","",IF(BG207="","No rebar schedule yet",IF(ABS(BG207-N(BC207))/MAX(N(BC207),1)&gt;SG_Criteria!$B$55,"NOTE: register rebar differs from schedule by "&amp;TEXT(ABS(BG207-N(BC207))/MAX(N(BC207),1),"0%"),"OK")))</f>
        <v/>
      </c>
      <c r="BI207" s="33" t="str">
        <f aca="false">IF(OR(D207="",E207=""),"",IF(E207&lt;=IF(OR(D207="Block / Segmental",D207="Gabion",D207="Reinforced Earth (MSE)"),SG_Criteria!$B$34,SG_Criteria!$B$33),"No ERSS submission",IF(E207&lt;=SG_Criteria!$B$35,"QP(ST)",IF(E207&lt;=SG_Criteria!$B$36,"QP(ST) + AC","Geotechnical building works: QP(Geo) + AC"))))</f>
        <v/>
      </c>
      <c r="BJ207" s="33" t="str">
        <f aca="false">IF(D207="","",IF(LEN(IF(AND(V207&lt;&gt;"",IFERROR(VALUE(MID(V207,2,2)),0)&lt;SG_Criteria!$B$19),"FAIL: grade below C"&amp;SG_Criteria!$B$19&amp;". ","")&amp;IF(AND(W207&lt;&gt;"",W207&lt;SG_Criteria!$B$20),"FAIL: cover &lt; "&amp;SG_Criteria!$B$20&amp;" mm. ","")&amp;IF(AND(AD207&lt;&gt;"",AD207&lt;1),"FAIL: sliding. ","")&amp;IF(AND(D207="Reverse L-Wall (toe only, at boundary)",N(S207)&gt;0),"NOTE: reverse L-wall should have no heel. ","")&amp;IF(AND(D207="L-Wall (heel only)",N(R207)&gt;0),"NOTE: L-wall should have no toe. ","")&amp;IF(AND(F207&lt;&gt;"",F207&lt;SG_Criteria!$B$31),"NOTE: q below LTA min "&amp;SG_Criteria!$B$31&amp;" kPa (not for LTA works). ",""))=0,"OK",IF(AND(V207&lt;&gt;"",IFERROR(VALUE(MID(V207,2,2)),0)&lt;SG_Criteria!$B$19),"FAIL: grade below C"&amp;SG_Criteria!$B$19&amp;". ","")&amp;IF(AND(W207&lt;&gt;"",W207&lt;SG_Criteria!$B$20),"FAIL: cover &lt; "&amp;SG_Criteria!$B$20&amp;" mm. ","")&amp;IF(AND(AD207&lt;&gt;"",AD207&lt;1),"FAIL: sliding. ","")&amp;IF(AND(D207="Reverse L-Wall (toe only, at boundary)",N(S207)&gt;0),"NOTE: reverse L-wall should have no heel. ","")&amp;IF(AND(D207="L-Wall (heel only)",N(R207)&gt;0),"NOTE: L-wall should have no toe. ","")&amp;IF(AND(F207&lt;&gt;"",F207&lt;SG_Criteria!$B$31),"NOTE: q below LTA min "&amp;SG_Criteria!$B$31&amp;" kPa (not for LTA works). ","")))</f>
        <v/>
      </c>
      <c r="BK207" s="9"/>
      <c r="BL207" s="9"/>
      <c r="BM207" s="9"/>
      <c r="BN207" s="10" t="str">
        <f aca="false">IF(BM207="","",IFERROR(VLOOKUP(BM207,Projects!$A$5:$D$504,2,0),"Ref not in Projects"))</f>
        <v/>
      </c>
      <c r="BO207" s="10" t="str">
        <f aca="false">IF(BM207="","",IFERROR(VLOOKUP(BM207,Projects!$A$5:$D$504,4,0),"Ref not in Projects"))</f>
        <v/>
      </c>
      <c r="BP207" s="9"/>
      <c r="BQ207" s="9"/>
      <c r="BR207" s="9"/>
      <c r="BS207" s="40"/>
      <c r="BT207" s="9"/>
      <c r="BU207" s="40"/>
      <c r="BV207" s="9"/>
      <c r="BW207" s="40"/>
      <c r="BX207" s="9"/>
      <c r="BY207" s="9"/>
      <c r="BZ207" s="9"/>
      <c r="CA207" s="40"/>
      <c r="CB207" s="40"/>
      <c r="CC207" s="36" t="str">
        <f aca="false">IF(CB207="","",EDATE(CB207,SG_Criteria!$B$54*12))</f>
        <v/>
      </c>
      <c r="CD207" s="33" t="str">
        <f aca="true">IF(A207="","",IF(CB207="","NOTE: not reviewed yet",IF(TODAY()&gt;CC207,"NOTE: review overdue","OK")))</f>
        <v/>
      </c>
      <c r="CE207" s="37" t="str">
        <f aca="false">IF(A207="","",ROUND((IF(LEN(D207)&gt;0,1,0)+IF(LEN(E207)&gt;0,1,0)+IF(LEN(F207)&gt;0,1,0)+IF(LEN(G207)&gt;0,1,0)+IF(LEN(I207)&gt;0,1,0)+IF(LEN(K207)&gt;0,1,0)+IF(LEN(P207)&gt;0,1,0)+IF(LEN(Q207)&gt;0,1,0)+IF(LEN(T207)&gt;0,1,0)+IF(LEN(V207)&gt;0,1,0)+IF(LEN(W207)&gt;0,1,0)+IF(LEN(X207)&gt;0,1,0)+IF(LEN(Z207)&gt;0,1,0)+IF(LEN(AD207)&gt;0,1,0)+IF(LEN(AE207)&gt;0,1,0)+IF(LEN(AG207)&gt;0,1,0)+IF(LEN(AI207)&gt;0,1,0)+IF(LEN(BB207)&gt;0,1,0)+IF(LEN(BC207)&gt;0,1,0)+IF(LEN(AM207)&gt;0,1,0)+IF(LEN(AO207)&gt;0,1,0)+IF(LEN(AP207)&gt;0,1,0)+IF(LEN(AQ207)&gt;0,1,0)+IF(LEN(AR207)&gt;0,1,0)+IF(LEN(BA207)&gt;0,1,0)+IF(LEN(BM207)&gt;0,1,0)+IF(LEN(BZ207)&gt;0,1,0))/27,2))</f>
        <v/>
      </c>
      <c r="CF207" s="10" t="str">
        <f aca="false">IF(D207="","",IF(AND(AP207="Approved",ISERROR(SEARCH("FAIL",BJ207))),"Y","N"))</f>
        <v/>
      </c>
      <c r="CG207" s="10" t="str">
        <f aca="false">IF(D207="","",D207&amp;"|"&amp;E207&amp;"|"&amp;F207&amp;"|"&amp;G207&amp;"|"&amp;CF207)</f>
        <v/>
      </c>
    </row>
    <row r="208" customFormat="false" ht="15" hidden="false" customHeight="false" outlineLevel="0" collapsed="false">
      <c r="A208" s="10" t="str">
        <f aca="false">IF(D208="","","RW-"&amp;IFERROR(VLOOKUP(D208,Lists!$M$4:$N$22,2,0),"??")&amp;"-H"&amp;TEXT(E208*1000,"0000")&amp;"-S"&amp;F208&amp;IF(G208="Y","-GW","")&amp;"-"&amp;AO208)</f>
        <v/>
      </c>
      <c r="B208" s="10" t="str">
        <f aca="false">IF(D208="","",D208&amp;", H = "&amp;TEXT(E208,"0.0")&amp;" m, q = "&amp;F208&amp;" kPa"&amp;IF(G208="Y",", with GWT","")&amp;", "&amp;I208)</f>
        <v/>
      </c>
      <c r="C208" s="9"/>
      <c r="D208" s="9"/>
      <c r="E208" s="39"/>
      <c r="F208" s="38"/>
      <c r="G208" s="9"/>
      <c r="H208" s="38"/>
      <c r="I208" s="9"/>
      <c r="J208" s="38"/>
      <c r="K208" s="38"/>
      <c r="L208" s="38"/>
      <c r="M208" s="42"/>
      <c r="N208" s="9"/>
      <c r="O208" s="38"/>
      <c r="P208" s="38"/>
      <c r="Q208" s="38"/>
      <c r="R208" s="38"/>
      <c r="S208" s="38"/>
      <c r="T208" s="38"/>
      <c r="U208" s="9"/>
      <c r="V208" s="9"/>
      <c r="W208" s="38"/>
      <c r="X208" s="9"/>
      <c r="Y208" s="9"/>
      <c r="Z208" s="9"/>
      <c r="AA208" s="9"/>
      <c r="AB208" s="9"/>
      <c r="AC208" s="9"/>
      <c r="AD208" s="39"/>
      <c r="AE208" s="39"/>
      <c r="AF208" s="39"/>
      <c r="AG208" s="38"/>
      <c r="AH208" s="38"/>
      <c r="AI208" s="9"/>
      <c r="AJ208" s="38"/>
      <c r="AK208" s="9"/>
      <c r="AL208" s="39"/>
      <c r="AM208" s="9"/>
      <c r="AN208" s="9"/>
      <c r="AO208" s="9"/>
      <c r="AP208" s="9"/>
      <c r="AQ208" s="9"/>
      <c r="AR208" s="9"/>
      <c r="AS208" s="9"/>
      <c r="AT208" s="10" t="str">
        <f aca="false">IF(A208="","",SG_Criteria!$B$6&amp;SG_Criteria!$B$8&amp;"\"&amp;A208&amp;"\")</f>
        <v/>
      </c>
      <c r="AU208" s="10" t="str">
        <f aca="false">IF(A208="","",A208&amp;"_CAD.dwg")</f>
        <v/>
      </c>
      <c r="AV208" s="10" t="str">
        <f aca="false">IF(A208="","",A208&amp;"_DWG.pdf")</f>
        <v/>
      </c>
      <c r="AW208" s="10" t="str">
        <f aca="false">IF(A208="","",IF(AS208="Y",A208&amp;"_STAAD.std","n/a"))</f>
        <v/>
      </c>
      <c r="AX208" s="10" t="str">
        <f aca="false">IF(A208="","",A208&amp;"_CALC.xlsx")</f>
        <v/>
      </c>
      <c r="AY208" s="10" t="str">
        <f aca="false">IF(A208="","",A208&amp;"_CALC.pdf")</f>
        <v/>
      </c>
      <c r="AZ208" s="9"/>
      <c r="BA208" s="9"/>
      <c r="BB208" s="39"/>
      <c r="BC208" s="39"/>
      <c r="BD208" s="39"/>
      <c r="BE208" s="39"/>
      <c r="BF208" s="39"/>
      <c r="BG208" s="12" t="str">
        <f aca="false">IF(A208="","",IF(COUNTIF(Rebar_Schedule!$A$5:$A$2004,A208)=0,"",ROUND(SUMIF(Rebar_Schedule!$A$5:$A$2004,A208,Rebar_Schedule!$K$5:$K$2004),1)))</f>
        <v/>
      </c>
      <c r="BH208" s="33" t="str">
        <f aca="false">IF(A208="","",IF(BG208="","No rebar schedule yet",IF(ABS(BG208-N(BC208))/MAX(N(BC208),1)&gt;SG_Criteria!$B$55,"NOTE: register rebar differs from schedule by "&amp;TEXT(ABS(BG208-N(BC208))/MAX(N(BC208),1),"0%"),"OK")))</f>
        <v/>
      </c>
      <c r="BI208" s="33" t="str">
        <f aca="false">IF(OR(D208="",E208=""),"",IF(E208&lt;=IF(OR(D208="Block / Segmental",D208="Gabion",D208="Reinforced Earth (MSE)"),SG_Criteria!$B$34,SG_Criteria!$B$33),"No ERSS submission",IF(E208&lt;=SG_Criteria!$B$35,"QP(ST)",IF(E208&lt;=SG_Criteria!$B$36,"QP(ST) + AC","Geotechnical building works: QP(Geo) + AC"))))</f>
        <v/>
      </c>
      <c r="BJ208" s="33" t="str">
        <f aca="false">IF(D208="","",IF(LEN(IF(AND(V208&lt;&gt;"",IFERROR(VALUE(MID(V208,2,2)),0)&lt;SG_Criteria!$B$19),"FAIL: grade below C"&amp;SG_Criteria!$B$19&amp;". ","")&amp;IF(AND(W208&lt;&gt;"",W208&lt;SG_Criteria!$B$20),"FAIL: cover &lt; "&amp;SG_Criteria!$B$20&amp;" mm. ","")&amp;IF(AND(AD208&lt;&gt;"",AD208&lt;1),"FAIL: sliding. ","")&amp;IF(AND(D208="Reverse L-Wall (toe only, at boundary)",N(S208)&gt;0),"NOTE: reverse L-wall should have no heel. ","")&amp;IF(AND(D208="L-Wall (heel only)",N(R208)&gt;0),"NOTE: L-wall should have no toe. ","")&amp;IF(AND(F208&lt;&gt;"",F208&lt;SG_Criteria!$B$31),"NOTE: q below LTA min "&amp;SG_Criteria!$B$31&amp;" kPa (not for LTA works). ",""))=0,"OK",IF(AND(V208&lt;&gt;"",IFERROR(VALUE(MID(V208,2,2)),0)&lt;SG_Criteria!$B$19),"FAIL: grade below C"&amp;SG_Criteria!$B$19&amp;". ","")&amp;IF(AND(W208&lt;&gt;"",W208&lt;SG_Criteria!$B$20),"FAIL: cover &lt; "&amp;SG_Criteria!$B$20&amp;" mm. ","")&amp;IF(AND(AD208&lt;&gt;"",AD208&lt;1),"FAIL: sliding. ","")&amp;IF(AND(D208="Reverse L-Wall (toe only, at boundary)",N(S208)&gt;0),"NOTE: reverse L-wall should have no heel. ","")&amp;IF(AND(D208="L-Wall (heel only)",N(R208)&gt;0),"NOTE: L-wall should have no toe. ","")&amp;IF(AND(F208&lt;&gt;"",F208&lt;SG_Criteria!$B$31),"NOTE: q below LTA min "&amp;SG_Criteria!$B$31&amp;" kPa (not for LTA works). ","")))</f>
        <v/>
      </c>
      <c r="BK208" s="9"/>
      <c r="BL208" s="9"/>
      <c r="BM208" s="9"/>
      <c r="BN208" s="10" t="str">
        <f aca="false">IF(BM208="","",IFERROR(VLOOKUP(BM208,Projects!$A$5:$D$504,2,0),"Ref not in Projects"))</f>
        <v/>
      </c>
      <c r="BO208" s="10" t="str">
        <f aca="false">IF(BM208="","",IFERROR(VLOOKUP(BM208,Projects!$A$5:$D$504,4,0),"Ref not in Projects"))</f>
        <v/>
      </c>
      <c r="BP208" s="9"/>
      <c r="BQ208" s="9"/>
      <c r="BR208" s="9"/>
      <c r="BS208" s="40"/>
      <c r="BT208" s="9"/>
      <c r="BU208" s="40"/>
      <c r="BV208" s="9"/>
      <c r="BW208" s="40"/>
      <c r="BX208" s="9"/>
      <c r="BY208" s="9"/>
      <c r="BZ208" s="9"/>
      <c r="CA208" s="40"/>
      <c r="CB208" s="40"/>
      <c r="CC208" s="36" t="str">
        <f aca="false">IF(CB208="","",EDATE(CB208,SG_Criteria!$B$54*12))</f>
        <v/>
      </c>
      <c r="CD208" s="33" t="str">
        <f aca="true">IF(A208="","",IF(CB208="","NOTE: not reviewed yet",IF(TODAY()&gt;CC208,"NOTE: review overdue","OK")))</f>
        <v/>
      </c>
      <c r="CE208" s="37" t="str">
        <f aca="false">IF(A208="","",ROUND((IF(LEN(D208)&gt;0,1,0)+IF(LEN(E208)&gt;0,1,0)+IF(LEN(F208)&gt;0,1,0)+IF(LEN(G208)&gt;0,1,0)+IF(LEN(I208)&gt;0,1,0)+IF(LEN(K208)&gt;0,1,0)+IF(LEN(P208)&gt;0,1,0)+IF(LEN(Q208)&gt;0,1,0)+IF(LEN(T208)&gt;0,1,0)+IF(LEN(V208)&gt;0,1,0)+IF(LEN(W208)&gt;0,1,0)+IF(LEN(X208)&gt;0,1,0)+IF(LEN(Z208)&gt;0,1,0)+IF(LEN(AD208)&gt;0,1,0)+IF(LEN(AE208)&gt;0,1,0)+IF(LEN(AG208)&gt;0,1,0)+IF(LEN(AI208)&gt;0,1,0)+IF(LEN(BB208)&gt;0,1,0)+IF(LEN(BC208)&gt;0,1,0)+IF(LEN(AM208)&gt;0,1,0)+IF(LEN(AO208)&gt;0,1,0)+IF(LEN(AP208)&gt;0,1,0)+IF(LEN(AQ208)&gt;0,1,0)+IF(LEN(AR208)&gt;0,1,0)+IF(LEN(BA208)&gt;0,1,0)+IF(LEN(BM208)&gt;0,1,0)+IF(LEN(BZ208)&gt;0,1,0))/27,2))</f>
        <v/>
      </c>
      <c r="CF208" s="10" t="str">
        <f aca="false">IF(D208="","",IF(AND(AP208="Approved",ISERROR(SEARCH("FAIL",BJ208))),"Y","N"))</f>
        <v/>
      </c>
      <c r="CG208" s="10" t="str">
        <f aca="false">IF(D208="","",D208&amp;"|"&amp;E208&amp;"|"&amp;F208&amp;"|"&amp;G208&amp;"|"&amp;CF208)</f>
        <v/>
      </c>
    </row>
    <row r="209" customFormat="false" ht="15" hidden="false" customHeight="false" outlineLevel="0" collapsed="false">
      <c r="A209" s="10" t="str">
        <f aca="false">IF(D209="","","RW-"&amp;IFERROR(VLOOKUP(D209,Lists!$M$4:$N$22,2,0),"??")&amp;"-H"&amp;TEXT(E209*1000,"0000")&amp;"-S"&amp;F209&amp;IF(G209="Y","-GW","")&amp;"-"&amp;AO209)</f>
        <v/>
      </c>
      <c r="B209" s="10" t="str">
        <f aca="false">IF(D209="","",D209&amp;", H = "&amp;TEXT(E209,"0.0")&amp;" m, q = "&amp;F209&amp;" kPa"&amp;IF(G209="Y",", with GWT","")&amp;", "&amp;I209)</f>
        <v/>
      </c>
      <c r="C209" s="9"/>
      <c r="D209" s="9"/>
      <c r="E209" s="39"/>
      <c r="F209" s="38"/>
      <c r="G209" s="9"/>
      <c r="H209" s="38"/>
      <c r="I209" s="9"/>
      <c r="J209" s="38"/>
      <c r="K209" s="38"/>
      <c r="L209" s="38"/>
      <c r="M209" s="42"/>
      <c r="N209" s="9"/>
      <c r="O209" s="38"/>
      <c r="P209" s="38"/>
      <c r="Q209" s="38"/>
      <c r="R209" s="38"/>
      <c r="S209" s="38"/>
      <c r="T209" s="38"/>
      <c r="U209" s="9"/>
      <c r="V209" s="9"/>
      <c r="W209" s="38"/>
      <c r="X209" s="9"/>
      <c r="Y209" s="9"/>
      <c r="Z209" s="9"/>
      <c r="AA209" s="9"/>
      <c r="AB209" s="9"/>
      <c r="AC209" s="9"/>
      <c r="AD209" s="39"/>
      <c r="AE209" s="39"/>
      <c r="AF209" s="39"/>
      <c r="AG209" s="38"/>
      <c r="AH209" s="38"/>
      <c r="AI209" s="9"/>
      <c r="AJ209" s="38"/>
      <c r="AK209" s="9"/>
      <c r="AL209" s="39"/>
      <c r="AM209" s="9"/>
      <c r="AN209" s="9"/>
      <c r="AO209" s="9"/>
      <c r="AP209" s="9"/>
      <c r="AQ209" s="9"/>
      <c r="AR209" s="9"/>
      <c r="AS209" s="9"/>
      <c r="AT209" s="10" t="str">
        <f aca="false">IF(A209="","",SG_Criteria!$B$6&amp;SG_Criteria!$B$8&amp;"\"&amp;A209&amp;"\")</f>
        <v/>
      </c>
      <c r="AU209" s="10" t="str">
        <f aca="false">IF(A209="","",A209&amp;"_CAD.dwg")</f>
        <v/>
      </c>
      <c r="AV209" s="10" t="str">
        <f aca="false">IF(A209="","",A209&amp;"_DWG.pdf")</f>
        <v/>
      </c>
      <c r="AW209" s="10" t="str">
        <f aca="false">IF(A209="","",IF(AS209="Y",A209&amp;"_STAAD.std","n/a"))</f>
        <v/>
      </c>
      <c r="AX209" s="10" t="str">
        <f aca="false">IF(A209="","",A209&amp;"_CALC.xlsx")</f>
        <v/>
      </c>
      <c r="AY209" s="10" t="str">
        <f aca="false">IF(A209="","",A209&amp;"_CALC.pdf")</f>
        <v/>
      </c>
      <c r="AZ209" s="9"/>
      <c r="BA209" s="9"/>
      <c r="BB209" s="39"/>
      <c r="BC209" s="39"/>
      <c r="BD209" s="39"/>
      <c r="BE209" s="39"/>
      <c r="BF209" s="39"/>
      <c r="BG209" s="12" t="str">
        <f aca="false">IF(A209="","",IF(COUNTIF(Rebar_Schedule!$A$5:$A$2004,A209)=0,"",ROUND(SUMIF(Rebar_Schedule!$A$5:$A$2004,A209,Rebar_Schedule!$K$5:$K$2004),1)))</f>
        <v/>
      </c>
      <c r="BH209" s="33" t="str">
        <f aca="false">IF(A209="","",IF(BG209="","No rebar schedule yet",IF(ABS(BG209-N(BC209))/MAX(N(BC209),1)&gt;SG_Criteria!$B$55,"NOTE: register rebar differs from schedule by "&amp;TEXT(ABS(BG209-N(BC209))/MAX(N(BC209),1),"0%"),"OK")))</f>
        <v/>
      </c>
      <c r="BI209" s="33" t="str">
        <f aca="false">IF(OR(D209="",E209=""),"",IF(E209&lt;=IF(OR(D209="Block / Segmental",D209="Gabion",D209="Reinforced Earth (MSE)"),SG_Criteria!$B$34,SG_Criteria!$B$33),"No ERSS submission",IF(E209&lt;=SG_Criteria!$B$35,"QP(ST)",IF(E209&lt;=SG_Criteria!$B$36,"QP(ST) + AC","Geotechnical building works: QP(Geo) + AC"))))</f>
        <v/>
      </c>
      <c r="BJ209" s="33" t="str">
        <f aca="false">IF(D209="","",IF(LEN(IF(AND(V209&lt;&gt;"",IFERROR(VALUE(MID(V209,2,2)),0)&lt;SG_Criteria!$B$19),"FAIL: grade below C"&amp;SG_Criteria!$B$19&amp;". ","")&amp;IF(AND(W209&lt;&gt;"",W209&lt;SG_Criteria!$B$20),"FAIL: cover &lt; "&amp;SG_Criteria!$B$20&amp;" mm. ","")&amp;IF(AND(AD209&lt;&gt;"",AD209&lt;1),"FAIL: sliding. ","")&amp;IF(AND(D209="Reverse L-Wall (toe only, at boundary)",N(S209)&gt;0),"NOTE: reverse L-wall should have no heel. ","")&amp;IF(AND(D209="L-Wall (heel only)",N(R209)&gt;0),"NOTE: L-wall should have no toe. ","")&amp;IF(AND(F209&lt;&gt;"",F209&lt;SG_Criteria!$B$31),"NOTE: q below LTA min "&amp;SG_Criteria!$B$31&amp;" kPa (not for LTA works). ",""))=0,"OK",IF(AND(V209&lt;&gt;"",IFERROR(VALUE(MID(V209,2,2)),0)&lt;SG_Criteria!$B$19),"FAIL: grade below C"&amp;SG_Criteria!$B$19&amp;". ","")&amp;IF(AND(W209&lt;&gt;"",W209&lt;SG_Criteria!$B$20),"FAIL: cover &lt; "&amp;SG_Criteria!$B$20&amp;" mm. ","")&amp;IF(AND(AD209&lt;&gt;"",AD209&lt;1),"FAIL: sliding. ","")&amp;IF(AND(D209="Reverse L-Wall (toe only, at boundary)",N(S209)&gt;0),"NOTE: reverse L-wall should have no heel. ","")&amp;IF(AND(D209="L-Wall (heel only)",N(R209)&gt;0),"NOTE: L-wall should have no toe. ","")&amp;IF(AND(F209&lt;&gt;"",F209&lt;SG_Criteria!$B$31),"NOTE: q below LTA min "&amp;SG_Criteria!$B$31&amp;" kPa (not for LTA works). ","")))</f>
        <v/>
      </c>
      <c r="BK209" s="9"/>
      <c r="BL209" s="9"/>
      <c r="BM209" s="9"/>
      <c r="BN209" s="10" t="str">
        <f aca="false">IF(BM209="","",IFERROR(VLOOKUP(BM209,Projects!$A$5:$D$504,2,0),"Ref not in Projects"))</f>
        <v/>
      </c>
      <c r="BO209" s="10" t="str">
        <f aca="false">IF(BM209="","",IFERROR(VLOOKUP(BM209,Projects!$A$5:$D$504,4,0),"Ref not in Projects"))</f>
        <v/>
      </c>
      <c r="BP209" s="9"/>
      <c r="BQ209" s="9"/>
      <c r="BR209" s="9"/>
      <c r="BS209" s="40"/>
      <c r="BT209" s="9"/>
      <c r="BU209" s="40"/>
      <c r="BV209" s="9"/>
      <c r="BW209" s="40"/>
      <c r="BX209" s="9"/>
      <c r="BY209" s="9"/>
      <c r="BZ209" s="9"/>
      <c r="CA209" s="40"/>
      <c r="CB209" s="40"/>
      <c r="CC209" s="36" t="str">
        <f aca="false">IF(CB209="","",EDATE(CB209,SG_Criteria!$B$54*12))</f>
        <v/>
      </c>
      <c r="CD209" s="33" t="str">
        <f aca="true">IF(A209="","",IF(CB209="","NOTE: not reviewed yet",IF(TODAY()&gt;CC209,"NOTE: review overdue","OK")))</f>
        <v/>
      </c>
      <c r="CE209" s="37" t="str">
        <f aca="false">IF(A209="","",ROUND((IF(LEN(D209)&gt;0,1,0)+IF(LEN(E209)&gt;0,1,0)+IF(LEN(F209)&gt;0,1,0)+IF(LEN(G209)&gt;0,1,0)+IF(LEN(I209)&gt;0,1,0)+IF(LEN(K209)&gt;0,1,0)+IF(LEN(P209)&gt;0,1,0)+IF(LEN(Q209)&gt;0,1,0)+IF(LEN(T209)&gt;0,1,0)+IF(LEN(V209)&gt;0,1,0)+IF(LEN(W209)&gt;0,1,0)+IF(LEN(X209)&gt;0,1,0)+IF(LEN(Z209)&gt;0,1,0)+IF(LEN(AD209)&gt;0,1,0)+IF(LEN(AE209)&gt;0,1,0)+IF(LEN(AG209)&gt;0,1,0)+IF(LEN(AI209)&gt;0,1,0)+IF(LEN(BB209)&gt;0,1,0)+IF(LEN(BC209)&gt;0,1,0)+IF(LEN(AM209)&gt;0,1,0)+IF(LEN(AO209)&gt;0,1,0)+IF(LEN(AP209)&gt;0,1,0)+IF(LEN(AQ209)&gt;0,1,0)+IF(LEN(AR209)&gt;0,1,0)+IF(LEN(BA209)&gt;0,1,0)+IF(LEN(BM209)&gt;0,1,0)+IF(LEN(BZ209)&gt;0,1,0))/27,2))</f>
        <v/>
      </c>
      <c r="CF209" s="10" t="str">
        <f aca="false">IF(D209="","",IF(AND(AP209="Approved",ISERROR(SEARCH("FAIL",BJ209))),"Y","N"))</f>
        <v/>
      </c>
      <c r="CG209" s="10" t="str">
        <f aca="false">IF(D209="","",D209&amp;"|"&amp;E209&amp;"|"&amp;F209&amp;"|"&amp;G209&amp;"|"&amp;CF209)</f>
        <v/>
      </c>
    </row>
    <row r="210" customFormat="false" ht="15" hidden="false" customHeight="false" outlineLevel="0" collapsed="false">
      <c r="A210" s="10" t="str">
        <f aca="false">IF(D210="","","RW-"&amp;IFERROR(VLOOKUP(D210,Lists!$M$4:$N$22,2,0),"??")&amp;"-H"&amp;TEXT(E210*1000,"0000")&amp;"-S"&amp;F210&amp;IF(G210="Y","-GW","")&amp;"-"&amp;AO210)</f>
        <v/>
      </c>
      <c r="B210" s="10" t="str">
        <f aca="false">IF(D210="","",D210&amp;", H = "&amp;TEXT(E210,"0.0")&amp;" m, q = "&amp;F210&amp;" kPa"&amp;IF(G210="Y",", with GWT","")&amp;", "&amp;I210)</f>
        <v/>
      </c>
      <c r="C210" s="9"/>
      <c r="D210" s="9"/>
      <c r="E210" s="39"/>
      <c r="F210" s="38"/>
      <c r="G210" s="9"/>
      <c r="H210" s="38"/>
      <c r="I210" s="9"/>
      <c r="J210" s="38"/>
      <c r="K210" s="38"/>
      <c r="L210" s="38"/>
      <c r="M210" s="42"/>
      <c r="N210" s="9"/>
      <c r="O210" s="38"/>
      <c r="P210" s="38"/>
      <c r="Q210" s="38"/>
      <c r="R210" s="38"/>
      <c r="S210" s="38"/>
      <c r="T210" s="38"/>
      <c r="U210" s="9"/>
      <c r="V210" s="9"/>
      <c r="W210" s="38"/>
      <c r="X210" s="9"/>
      <c r="Y210" s="9"/>
      <c r="Z210" s="9"/>
      <c r="AA210" s="9"/>
      <c r="AB210" s="9"/>
      <c r="AC210" s="9"/>
      <c r="AD210" s="39"/>
      <c r="AE210" s="39"/>
      <c r="AF210" s="39"/>
      <c r="AG210" s="38"/>
      <c r="AH210" s="38"/>
      <c r="AI210" s="9"/>
      <c r="AJ210" s="38"/>
      <c r="AK210" s="9"/>
      <c r="AL210" s="39"/>
      <c r="AM210" s="9"/>
      <c r="AN210" s="9"/>
      <c r="AO210" s="9"/>
      <c r="AP210" s="9"/>
      <c r="AQ210" s="9"/>
      <c r="AR210" s="9"/>
      <c r="AS210" s="9"/>
      <c r="AT210" s="10" t="str">
        <f aca="false">IF(A210="","",SG_Criteria!$B$6&amp;SG_Criteria!$B$8&amp;"\"&amp;A210&amp;"\")</f>
        <v/>
      </c>
      <c r="AU210" s="10" t="str">
        <f aca="false">IF(A210="","",A210&amp;"_CAD.dwg")</f>
        <v/>
      </c>
      <c r="AV210" s="10" t="str">
        <f aca="false">IF(A210="","",A210&amp;"_DWG.pdf")</f>
        <v/>
      </c>
      <c r="AW210" s="10" t="str">
        <f aca="false">IF(A210="","",IF(AS210="Y",A210&amp;"_STAAD.std","n/a"))</f>
        <v/>
      </c>
      <c r="AX210" s="10" t="str">
        <f aca="false">IF(A210="","",A210&amp;"_CALC.xlsx")</f>
        <v/>
      </c>
      <c r="AY210" s="10" t="str">
        <f aca="false">IF(A210="","",A210&amp;"_CALC.pdf")</f>
        <v/>
      </c>
      <c r="AZ210" s="9"/>
      <c r="BA210" s="9"/>
      <c r="BB210" s="39"/>
      <c r="BC210" s="39"/>
      <c r="BD210" s="39"/>
      <c r="BE210" s="39"/>
      <c r="BF210" s="39"/>
      <c r="BG210" s="12" t="str">
        <f aca="false">IF(A210="","",IF(COUNTIF(Rebar_Schedule!$A$5:$A$2004,A210)=0,"",ROUND(SUMIF(Rebar_Schedule!$A$5:$A$2004,A210,Rebar_Schedule!$K$5:$K$2004),1)))</f>
        <v/>
      </c>
      <c r="BH210" s="33" t="str">
        <f aca="false">IF(A210="","",IF(BG210="","No rebar schedule yet",IF(ABS(BG210-N(BC210))/MAX(N(BC210),1)&gt;SG_Criteria!$B$55,"NOTE: register rebar differs from schedule by "&amp;TEXT(ABS(BG210-N(BC210))/MAX(N(BC210),1),"0%"),"OK")))</f>
        <v/>
      </c>
      <c r="BI210" s="33" t="str">
        <f aca="false">IF(OR(D210="",E210=""),"",IF(E210&lt;=IF(OR(D210="Block / Segmental",D210="Gabion",D210="Reinforced Earth (MSE)"),SG_Criteria!$B$34,SG_Criteria!$B$33),"No ERSS submission",IF(E210&lt;=SG_Criteria!$B$35,"QP(ST)",IF(E210&lt;=SG_Criteria!$B$36,"QP(ST) + AC","Geotechnical building works: QP(Geo) + AC"))))</f>
        <v/>
      </c>
      <c r="BJ210" s="33" t="str">
        <f aca="false">IF(D210="","",IF(LEN(IF(AND(V210&lt;&gt;"",IFERROR(VALUE(MID(V210,2,2)),0)&lt;SG_Criteria!$B$19),"FAIL: grade below C"&amp;SG_Criteria!$B$19&amp;". ","")&amp;IF(AND(W210&lt;&gt;"",W210&lt;SG_Criteria!$B$20),"FAIL: cover &lt; "&amp;SG_Criteria!$B$20&amp;" mm. ","")&amp;IF(AND(AD210&lt;&gt;"",AD210&lt;1),"FAIL: sliding. ","")&amp;IF(AND(D210="Reverse L-Wall (toe only, at boundary)",N(S210)&gt;0),"NOTE: reverse L-wall should have no heel. ","")&amp;IF(AND(D210="L-Wall (heel only)",N(R210)&gt;0),"NOTE: L-wall should have no toe. ","")&amp;IF(AND(F210&lt;&gt;"",F210&lt;SG_Criteria!$B$31),"NOTE: q below LTA min "&amp;SG_Criteria!$B$31&amp;" kPa (not for LTA works). ",""))=0,"OK",IF(AND(V210&lt;&gt;"",IFERROR(VALUE(MID(V210,2,2)),0)&lt;SG_Criteria!$B$19),"FAIL: grade below C"&amp;SG_Criteria!$B$19&amp;". ","")&amp;IF(AND(W210&lt;&gt;"",W210&lt;SG_Criteria!$B$20),"FAIL: cover &lt; "&amp;SG_Criteria!$B$20&amp;" mm. ","")&amp;IF(AND(AD210&lt;&gt;"",AD210&lt;1),"FAIL: sliding. ","")&amp;IF(AND(D210="Reverse L-Wall (toe only, at boundary)",N(S210)&gt;0),"NOTE: reverse L-wall should have no heel. ","")&amp;IF(AND(D210="L-Wall (heel only)",N(R210)&gt;0),"NOTE: L-wall should have no toe. ","")&amp;IF(AND(F210&lt;&gt;"",F210&lt;SG_Criteria!$B$31),"NOTE: q below LTA min "&amp;SG_Criteria!$B$31&amp;" kPa (not for LTA works). ","")))</f>
        <v/>
      </c>
      <c r="BK210" s="9"/>
      <c r="BL210" s="9"/>
      <c r="BM210" s="9"/>
      <c r="BN210" s="10" t="str">
        <f aca="false">IF(BM210="","",IFERROR(VLOOKUP(BM210,Projects!$A$5:$D$504,2,0),"Ref not in Projects"))</f>
        <v/>
      </c>
      <c r="BO210" s="10" t="str">
        <f aca="false">IF(BM210="","",IFERROR(VLOOKUP(BM210,Projects!$A$5:$D$504,4,0),"Ref not in Projects"))</f>
        <v/>
      </c>
      <c r="BP210" s="9"/>
      <c r="BQ210" s="9"/>
      <c r="BR210" s="9"/>
      <c r="BS210" s="40"/>
      <c r="BT210" s="9"/>
      <c r="BU210" s="40"/>
      <c r="BV210" s="9"/>
      <c r="BW210" s="40"/>
      <c r="BX210" s="9"/>
      <c r="BY210" s="9"/>
      <c r="BZ210" s="9"/>
      <c r="CA210" s="40"/>
      <c r="CB210" s="40"/>
      <c r="CC210" s="36" t="str">
        <f aca="false">IF(CB210="","",EDATE(CB210,SG_Criteria!$B$54*12))</f>
        <v/>
      </c>
      <c r="CD210" s="33" t="str">
        <f aca="true">IF(A210="","",IF(CB210="","NOTE: not reviewed yet",IF(TODAY()&gt;CC210,"NOTE: review overdue","OK")))</f>
        <v/>
      </c>
      <c r="CE210" s="37" t="str">
        <f aca="false">IF(A210="","",ROUND((IF(LEN(D210)&gt;0,1,0)+IF(LEN(E210)&gt;0,1,0)+IF(LEN(F210)&gt;0,1,0)+IF(LEN(G210)&gt;0,1,0)+IF(LEN(I210)&gt;0,1,0)+IF(LEN(K210)&gt;0,1,0)+IF(LEN(P210)&gt;0,1,0)+IF(LEN(Q210)&gt;0,1,0)+IF(LEN(T210)&gt;0,1,0)+IF(LEN(V210)&gt;0,1,0)+IF(LEN(W210)&gt;0,1,0)+IF(LEN(X210)&gt;0,1,0)+IF(LEN(Z210)&gt;0,1,0)+IF(LEN(AD210)&gt;0,1,0)+IF(LEN(AE210)&gt;0,1,0)+IF(LEN(AG210)&gt;0,1,0)+IF(LEN(AI210)&gt;0,1,0)+IF(LEN(BB210)&gt;0,1,0)+IF(LEN(BC210)&gt;0,1,0)+IF(LEN(AM210)&gt;0,1,0)+IF(LEN(AO210)&gt;0,1,0)+IF(LEN(AP210)&gt;0,1,0)+IF(LEN(AQ210)&gt;0,1,0)+IF(LEN(AR210)&gt;0,1,0)+IF(LEN(BA210)&gt;0,1,0)+IF(LEN(BM210)&gt;0,1,0)+IF(LEN(BZ210)&gt;0,1,0))/27,2))</f>
        <v/>
      </c>
      <c r="CF210" s="10" t="str">
        <f aca="false">IF(D210="","",IF(AND(AP210="Approved",ISERROR(SEARCH("FAIL",BJ210))),"Y","N"))</f>
        <v/>
      </c>
      <c r="CG210" s="10" t="str">
        <f aca="false">IF(D210="","",D210&amp;"|"&amp;E210&amp;"|"&amp;F210&amp;"|"&amp;G210&amp;"|"&amp;CF210)</f>
        <v/>
      </c>
    </row>
    <row r="211" customFormat="false" ht="15" hidden="false" customHeight="false" outlineLevel="0" collapsed="false">
      <c r="A211" s="10" t="str">
        <f aca="false">IF(D211="","","RW-"&amp;IFERROR(VLOOKUP(D211,Lists!$M$4:$N$22,2,0),"??")&amp;"-H"&amp;TEXT(E211*1000,"0000")&amp;"-S"&amp;F211&amp;IF(G211="Y","-GW","")&amp;"-"&amp;AO211)</f>
        <v/>
      </c>
      <c r="B211" s="10" t="str">
        <f aca="false">IF(D211="","",D211&amp;", H = "&amp;TEXT(E211,"0.0")&amp;" m, q = "&amp;F211&amp;" kPa"&amp;IF(G211="Y",", with GWT","")&amp;", "&amp;I211)</f>
        <v/>
      </c>
      <c r="C211" s="9"/>
      <c r="D211" s="9"/>
      <c r="E211" s="39"/>
      <c r="F211" s="38"/>
      <c r="G211" s="9"/>
      <c r="H211" s="38"/>
      <c r="I211" s="9"/>
      <c r="J211" s="38"/>
      <c r="K211" s="38"/>
      <c r="L211" s="38"/>
      <c r="M211" s="42"/>
      <c r="N211" s="9"/>
      <c r="O211" s="38"/>
      <c r="P211" s="38"/>
      <c r="Q211" s="38"/>
      <c r="R211" s="38"/>
      <c r="S211" s="38"/>
      <c r="T211" s="38"/>
      <c r="U211" s="9"/>
      <c r="V211" s="9"/>
      <c r="W211" s="38"/>
      <c r="X211" s="9"/>
      <c r="Y211" s="9"/>
      <c r="Z211" s="9"/>
      <c r="AA211" s="9"/>
      <c r="AB211" s="9"/>
      <c r="AC211" s="9"/>
      <c r="AD211" s="39"/>
      <c r="AE211" s="39"/>
      <c r="AF211" s="39"/>
      <c r="AG211" s="38"/>
      <c r="AH211" s="38"/>
      <c r="AI211" s="9"/>
      <c r="AJ211" s="38"/>
      <c r="AK211" s="9"/>
      <c r="AL211" s="39"/>
      <c r="AM211" s="9"/>
      <c r="AN211" s="9"/>
      <c r="AO211" s="9"/>
      <c r="AP211" s="9"/>
      <c r="AQ211" s="9"/>
      <c r="AR211" s="9"/>
      <c r="AS211" s="9"/>
      <c r="AT211" s="10" t="str">
        <f aca="false">IF(A211="","",SG_Criteria!$B$6&amp;SG_Criteria!$B$8&amp;"\"&amp;A211&amp;"\")</f>
        <v/>
      </c>
      <c r="AU211" s="10" t="str">
        <f aca="false">IF(A211="","",A211&amp;"_CAD.dwg")</f>
        <v/>
      </c>
      <c r="AV211" s="10" t="str">
        <f aca="false">IF(A211="","",A211&amp;"_DWG.pdf")</f>
        <v/>
      </c>
      <c r="AW211" s="10" t="str">
        <f aca="false">IF(A211="","",IF(AS211="Y",A211&amp;"_STAAD.std","n/a"))</f>
        <v/>
      </c>
      <c r="AX211" s="10" t="str">
        <f aca="false">IF(A211="","",A211&amp;"_CALC.xlsx")</f>
        <v/>
      </c>
      <c r="AY211" s="10" t="str">
        <f aca="false">IF(A211="","",A211&amp;"_CALC.pdf")</f>
        <v/>
      </c>
      <c r="AZ211" s="9"/>
      <c r="BA211" s="9"/>
      <c r="BB211" s="39"/>
      <c r="BC211" s="39"/>
      <c r="BD211" s="39"/>
      <c r="BE211" s="39"/>
      <c r="BF211" s="39"/>
      <c r="BG211" s="12" t="str">
        <f aca="false">IF(A211="","",IF(COUNTIF(Rebar_Schedule!$A$5:$A$2004,A211)=0,"",ROUND(SUMIF(Rebar_Schedule!$A$5:$A$2004,A211,Rebar_Schedule!$K$5:$K$2004),1)))</f>
        <v/>
      </c>
      <c r="BH211" s="33" t="str">
        <f aca="false">IF(A211="","",IF(BG211="","No rebar schedule yet",IF(ABS(BG211-N(BC211))/MAX(N(BC211),1)&gt;SG_Criteria!$B$55,"NOTE: register rebar differs from schedule by "&amp;TEXT(ABS(BG211-N(BC211))/MAX(N(BC211),1),"0%"),"OK")))</f>
        <v/>
      </c>
      <c r="BI211" s="33" t="str">
        <f aca="false">IF(OR(D211="",E211=""),"",IF(E211&lt;=IF(OR(D211="Block / Segmental",D211="Gabion",D211="Reinforced Earth (MSE)"),SG_Criteria!$B$34,SG_Criteria!$B$33),"No ERSS submission",IF(E211&lt;=SG_Criteria!$B$35,"QP(ST)",IF(E211&lt;=SG_Criteria!$B$36,"QP(ST) + AC","Geotechnical building works: QP(Geo) + AC"))))</f>
        <v/>
      </c>
      <c r="BJ211" s="33" t="str">
        <f aca="false">IF(D211="","",IF(LEN(IF(AND(V211&lt;&gt;"",IFERROR(VALUE(MID(V211,2,2)),0)&lt;SG_Criteria!$B$19),"FAIL: grade below C"&amp;SG_Criteria!$B$19&amp;". ","")&amp;IF(AND(W211&lt;&gt;"",W211&lt;SG_Criteria!$B$20),"FAIL: cover &lt; "&amp;SG_Criteria!$B$20&amp;" mm. ","")&amp;IF(AND(AD211&lt;&gt;"",AD211&lt;1),"FAIL: sliding. ","")&amp;IF(AND(D211="Reverse L-Wall (toe only, at boundary)",N(S211)&gt;0),"NOTE: reverse L-wall should have no heel. ","")&amp;IF(AND(D211="L-Wall (heel only)",N(R211)&gt;0),"NOTE: L-wall should have no toe. ","")&amp;IF(AND(F211&lt;&gt;"",F211&lt;SG_Criteria!$B$31),"NOTE: q below LTA min "&amp;SG_Criteria!$B$31&amp;" kPa (not for LTA works). ",""))=0,"OK",IF(AND(V211&lt;&gt;"",IFERROR(VALUE(MID(V211,2,2)),0)&lt;SG_Criteria!$B$19),"FAIL: grade below C"&amp;SG_Criteria!$B$19&amp;". ","")&amp;IF(AND(W211&lt;&gt;"",W211&lt;SG_Criteria!$B$20),"FAIL: cover &lt; "&amp;SG_Criteria!$B$20&amp;" mm. ","")&amp;IF(AND(AD211&lt;&gt;"",AD211&lt;1),"FAIL: sliding. ","")&amp;IF(AND(D211="Reverse L-Wall (toe only, at boundary)",N(S211)&gt;0),"NOTE: reverse L-wall should have no heel. ","")&amp;IF(AND(D211="L-Wall (heel only)",N(R211)&gt;0),"NOTE: L-wall should have no toe. ","")&amp;IF(AND(F211&lt;&gt;"",F211&lt;SG_Criteria!$B$31),"NOTE: q below LTA min "&amp;SG_Criteria!$B$31&amp;" kPa (not for LTA works). ","")))</f>
        <v/>
      </c>
      <c r="BK211" s="9"/>
      <c r="BL211" s="9"/>
      <c r="BM211" s="9"/>
      <c r="BN211" s="10" t="str">
        <f aca="false">IF(BM211="","",IFERROR(VLOOKUP(BM211,Projects!$A$5:$D$504,2,0),"Ref not in Projects"))</f>
        <v/>
      </c>
      <c r="BO211" s="10" t="str">
        <f aca="false">IF(BM211="","",IFERROR(VLOOKUP(BM211,Projects!$A$5:$D$504,4,0),"Ref not in Projects"))</f>
        <v/>
      </c>
      <c r="BP211" s="9"/>
      <c r="BQ211" s="9"/>
      <c r="BR211" s="9"/>
      <c r="BS211" s="40"/>
      <c r="BT211" s="9"/>
      <c r="BU211" s="40"/>
      <c r="BV211" s="9"/>
      <c r="BW211" s="40"/>
      <c r="BX211" s="9"/>
      <c r="BY211" s="9"/>
      <c r="BZ211" s="9"/>
      <c r="CA211" s="40"/>
      <c r="CB211" s="40"/>
      <c r="CC211" s="36" t="str">
        <f aca="false">IF(CB211="","",EDATE(CB211,SG_Criteria!$B$54*12))</f>
        <v/>
      </c>
      <c r="CD211" s="33" t="str">
        <f aca="true">IF(A211="","",IF(CB211="","NOTE: not reviewed yet",IF(TODAY()&gt;CC211,"NOTE: review overdue","OK")))</f>
        <v/>
      </c>
      <c r="CE211" s="37" t="str">
        <f aca="false">IF(A211="","",ROUND((IF(LEN(D211)&gt;0,1,0)+IF(LEN(E211)&gt;0,1,0)+IF(LEN(F211)&gt;0,1,0)+IF(LEN(G211)&gt;0,1,0)+IF(LEN(I211)&gt;0,1,0)+IF(LEN(K211)&gt;0,1,0)+IF(LEN(P211)&gt;0,1,0)+IF(LEN(Q211)&gt;0,1,0)+IF(LEN(T211)&gt;0,1,0)+IF(LEN(V211)&gt;0,1,0)+IF(LEN(W211)&gt;0,1,0)+IF(LEN(X211)&gt;0,1,0)+IF(LEN(Z211)&gt;0,1,0)+IF(LEN(AD211)&gt;0,1,0)+IF(LEN(AE211)&gt;0,1,0)+IF(LEN(AG211)&gt;0,1,0)+IF(LEN(AI211)&gt;0,1,0)+IF(LEN(BB211)&gt;0,1,0)+IF(LEN(BC211)&gt;0,1,0)+IF(LEN(AM211)&gt;0,1,0)+IF(LEN(AO211)&gt;0,1,0)+IF(LEN(AP211)&gt;0,1,0)+IF(LEN(AQ211)&gt;0,1,0)+IF(LEN(AR211)&gt;0,1,0)+IF(LEN(BA211)&gt;0,1,0)+IF(LEN(BM211)&gt;0,1,0)+IF(LEN(BZ211)&gt;0,1,0))/27,2))</f>
        <v/>
      </c>
      <c r="CF211" s="10" t="str">
        <f aca="false">IF(D211="","",IF(AND(AP211="Approved",ISERROR(SEARCH("FAIL",BJ211))),"Y","N"))</f>
        <v/>
      </c>
      <c r="CG211" s="10" t="str">
        <f aca="false">IF(D211="","",D211&amp;"|"&amp;E211&amp;"|"&amp;F211&amp;"|"&amp;G211&amp;"|"&amp;CF211)</f>
        <v/>
      </c>
    </row>
    <row r="212" customFormat="false" ht="15" hidden="false" customHeight="false" outlineLevel="0" collapsed="false">
      <c r="A212" s="10" t="str">
        <f aca="false">IF(D212="","","RW-"&amp;IFERROR(VLOOKUP(D212,Lists!$M$4:$N$22,2,0),"??")&amp;"-H"&amp;TEXT(E212*1000,"0000")&amp;"-S"&amp;F212&amp;IF(G212="Y","-GW","")&amp;"-"&amp;AO212)</f>
        <v/>
      </c>
      <c r="B212" s="10" t="str">
        <f aca="false">IF(D212="","",D212&amp;", H = "&amp;TEXT(E212,"0.0")&amp;" m, q = "&amp;F212&amp;" kPa"&amp;IF(G212="Y",", with GWT","")&amp;", "&amp;I212)</f>
        <v/>
      </c>
      <c r="C212" s="9"/>
      <c r="D212" s="9"/>
      <c r="E212" s="39"/>
      <c r="F212" s="38"/>
      <c r="G212" s="9"/>
      <c r="H212" s="38"/>
      <c r="I212" s="9"/>
      <c r="J212" s="38"/>
      <c r="K212" s="38"/>
      <c r="L212" s="38"/>
      <c r="M212" s="42"/>
      <c r="N212" s="9"/>
      <c r="O212" s="38"/>
      <c r="P212" s="38"/>
      <c r="Q212" s="38"/>
      <c r="R212" s="38"/>
      <c r="S212" s="38"/>
      <c r="T212" s="38"/>
      <c r="U212" s="9"/>
      <c r="V212" s="9"/>
      <c r="W212" s="38"/>
      <c r="X212" s="9"/>
      <c r="Y212" s="9"/>
      <c r="Z212" s="9"/>
      <c r="AA212" s="9"/>
      <c r="AB212" s="9"/>
      <c r="AC212" s="9"/>
      <c r="AD212" s="39"/>
      <c r="AE212" s="39"/>
      <c r="AF212" s="39"/>
      <c r="AG212" s="38"/>
      <c r="AH212" s="38"/>
      <c r="AI212" s="9"/>
      <c r="AJ212" s="38"/>
      <c r="AK212" s="9"/>
      <c r="AL212" s="39"/>
      <c r="AM212" s="9"/>
      <c r="AN212" s="9"/>
      <c r="AO212" s="9"/>
      <c r="AP212" s="9"/>
      <c r="AQ212" s="9"/>
      <c r="AR212" s="9"/>
      <c r="AS212" s="9"/>
      <c r="AT212" s="10" t="str">
        <f aca="false">IF(A212="","",SG_Criteria!$B$6&amp;SG_Criteria!$B$8&amp;"\"&amp;A212&amp;"\")</f>
        <v/>
      </c>
      <c r="AU212" s="10" t="str">
        <f aca="false">IF(A212="","",A212&amp;"_CAD.dwg")</f>
        <v/>
      </c>
      <c r="AV212" s="10" t="str">
        <f aca="false">IF(A212="","",A212&amp;"_DWG.pdf")</f>
        <v/>
      </c>
      <c r="AW212" s="10" t="str">
        <f aca="false">IF(A212="","",IF(AS212="Y",A212&amp;"_STAAD.std","n/a"))</f>
        <v/>
      </c>
      <c r="AX212" s="10" t="str">
        <f aca="false">IF(A212="","",A212&amp;"_CALC.xlsx")</f>
        <v/>
      </c>
      <c r="AY212" s="10" t="str">
        <f aca="false">IF(A212="","",A212&amp;"_CALC.pdf")</f>
        <v/>
      </c>
      <c r="AZ212" s="9"/>
      <c r="BA212" s="9"/>
      <c r="BB212" s="39"/>
      <c r="BC212" s="39"/>
      <c r="BD212" s="39"/>
      <c r="BE212" s="39"/>
      <c r="BF212" s="39"/>
      <c r="BG212" s="12" t="str">
        <f aca="false">IF(A212="","",IF(COUNTIF(Rebar_Schedule!$A$5:$A$2004,A212)=0,"",ROUND(SUMIF(Rebar_Schedule!$A$5:$A$2004,A212,Rebar_Schedule!$K$5:$K$2004),1)))</f>
        <v/>
      </c>
      <c r="BH212" s="33" t="str">
        <f aca="false">IF(A212="","",IF(BG212="","No rebar schedule yet",IF(ABS(BG212-N(BC212))/MAX(N(BC212),1)&gt;SG_Criteria!$B$55,"NOTE: register rebar differs from schedule by "&amp;TEXT(ABS(BG212-N(BC212))/MAX(N(BC212),1),"0%"),"OK")))</f>
        <v/>
      </c>
      <c r="BI212" s="33" t="str">
        <f aca="false">IF(OR(D212="",E212=""),"",IF(E212&lt;=IF(OR(D212="Block / Segmental",D212="Gabion",D212="Reinforced Earth (MSE)"),SG_Criteria!$B$34,SG_Criteria!$B$33),"No ERSS submission",IF(E212&lt;=SG_Criteria!$B$35,"QP(ST)",IF(E212&lt;=SG_Criteria!$B$36,"QP(ST) + AC","Geotechnical building works: QP(Geo) + AC"))))</f>
        <v/>
      </c>
      <c r="BJ212" s="33" t="str">
        <f aca="false">IF(D212="","",IF(LEN(IF(AND(V212&lt;&gt;"",IFERROR(VALUE(MID(V212,2,2)),0)&lt;SG_Criteria!$B$19),"FAIL: grade below C"&amp;SG_Criteria!$B$19&amp;". ","")&amp;IF(AND(W212&lt;&gt;"",W212&lt;SG_Criteria!$B$20),"FAIL: cover &lt; "&amp;SG_Criteria!$B$20&amp;" mm. ","")&amp;IF(AND(AD212&lt;&gt;"",AD212&lt;1),"FAIL: sliding. ","")&amp;IF(AND(D212="Reverse L-Wall (toe only, at boundary)",N(S212)&gt;0),"NOTE: reverse L-wall should have no heel. ","")&amp;IF(AND(D212="L-Wall (heel only)",N(R212)&gt;0),"NOTE: L-wall should have no toe. ","")&amp;IF(AND(F212&lt;&gt;"",F212&lt;SG_Criteria!$B$31),"NOTE: q below LTA min "&amp;SG_Criteria!$B$31&amp;" kPa (not for LTA works). ",""))=0,"OK",IF(AND(V212&lt;&gt;"",IFERROR(VALUE(MID(V212,2,2)),0)&lt;SG_Criteria!$B$19),"FAIL: grade below C"&amp;SG_Criteria!$B$19&amp;". ","")&amp;IF(AND(W212&lt;&gt;"",W212&lt;SG_Criteria!$B$20),"FAIL: cover &lt; "&amp;SG_Criteria!$B$20&amp;" mm. ","")&amp;IF(AND(AD212&lt;&gt;"",AD212&lt;1),"FAIL: sliding. ","")&amp;IF(AND(D212="Reverse L-Wall (toe only, at boundary)",N(S212)&gt;0),"NOTE: reverse L-wall should have no heel. ","")&amp;IF(AND(D212="L-Wall (heel only)",N(R212)&gt;0),"NOTE: L-wall should have no toe. ","")&amp;IF(AND(F212&lt;&gt;"",F212&lt;SG_Criteria!$B$31),"NOTE: q below LTA min "&amp;SG_Criteria!$B$31&amp;" kPa (not for LTA works). ","")))</f>
        <v/>
      </c>
      <c r="BK212" s="9"/>
      <c r="BL212" s="9"/>
      <c r="BM212" s="9"/>
      <c r="BN212" s="10" t="str">
        <f aca="false">IF(BM212="","",IFERROR(VLOOKUP(BM212,Projects!$A$5:$D$504,2,0),"Ref not in Projects"))</f>
        <v/>
      </c>
      <c r="BO212" s="10" t="str">
        <f aca="false">IF(BM212="","",IFERROR(VLOOKUP(BM212,Projects!$A$5:$D$504,4,0),"Ref not in Projects"))</f>
        <v/>
      </c>
      <c r="BP212" s="9"/>
      <c r="BQ212" s="9"/>
      <c r="BR212" s="9"/>
      <c r="BS212" s="40"/>
      <c r="BT212" s="9"/>
      <c r="BU212" s="40"/>
      <c r="BV212" s="9"/>
      <c r="BW212" s="40"/>
      <c r="BX212" s="9"/>
      <c r="BY212" s="9"/>
      <c r="BZ212" s="9"/>
      <c r="CA212" s="40"/>
      <c r="CB212" s="40"/>
      <c r="CC212" s="36" t="str">
        <f aca="false">IF(CB212="","",EDATE(CB212,SG_Criteria!$B$54*12))</f>
        <v/>
      </c>
      <c r="CD212" s="33" t="str">
        <f aca="true">IF(A212="","",IF(CB212="","NOTE: not reviewed yet",IF(TODAY()&gt;CC212,"NOTE: review overdue","OK")))</f>
        <v/>
      </c>
      <c r="CE212" s="37" t="str">
        <f aca="false">IF(A212="","",ROUND((IF(LEN(D212)&gt;0,1,0)+IF(LEN(E212)&gt;0,1,0)+IF(LEN(F212)&gt;0,1,0)+IF(LEN(G212)&gt;0,1,0)+IF(LEN(I212)&gt;0,1,0)+IF(LEN(K212)&gt;0,1,0)+IF(LEN(P212)&gt;0,1,0)+IF(LEN(Q212)&gt;0,1,0)+IF(LEN(T212)&gt;0,1,0)+IF(LEN(V212)&gt;0,1,0)+IF(LEN(W212)&gt;0,1,0)+IF(LEN(X212)&gt;0,1,0)+IF(LEN(Z212)&gt;0,1,0)+IF(LEN(AD212)&gt;0,1,0)+IF(LEN(AE212)&gt;0,1,0)+IF(LEN(AG212)&gt;0,1,0)+IF(LEN(AI212)&gt;0,1,0)+IF(LEN(BB212)&gt;0,1,0)+IF(LEN(BC212)&gt;0,1,0)+IF(LEN(AM212)&gt;0,1,0)+IF(LEN(AO212)&gt;0,1,0)+IF(LEN(AP212)&gt;0,1,0)+IF(LEN(AQ212)&gt;0,1,0)+IF(LEN(AR212)&gt;0,1,0)+IF(LEN(BA212)&gt;0,1,0)+IF(LEN(BM212)&gt;0,1,0)+IF(LEN(BZ212)&gt;0,1,0))/27,2))</f>
        <v/>
      </c>
      <c r="CF212" s="10" t="str">
        <f aca="false">IF(D212="","",IF(AND(AP212="Approved",ISERROR(SEARCH("FAIL",BJ212))),"Y","N"))</f>
        <v/>
      </c>
      <c r="CG212" s="10" t="str">
        <f aca="false">IF(D212="","",D212&amp;"|"&amp;E212&amp;"|"&amp;F212&amp;"|"&amp;G212&amp;"|"&amp;CF212)</f>
        <v/>
      </c>
    </row>
    <row r="213" customFormat="false" ht="15" hidden="false" customHeight="false" outlineLevel="0" collapsed="false">
      <c r="A213" s="10" t="str">
        <f aca="false">IF(D213="","","RW-"&amp;IFERROR(VLOOKUP(D213,Lists!$M$4:$N$22,2,0),"??")&amp;"-H"&amp;TEXT(E213*1000,"0000")&amp;"-S"&amp;F213&amp;IF(G213="Y","-GW","")&amp;"-"&amp;AO213)</f>
        <v/>
      </c>
      <c r="B213" s="10" t="str">
        <f aca="false">IF(D213="","",D213&amp;", H = "&amp;TEXT(E213,"0.0")&amp;" m, q = "&amp;F213&amp;" kPa"&amp;IF(G213="Y",", with GWT","")&amp;", "&amp;I213)</f>
        <v/>
      </c>
      <c r="C213" s="9"/>
      <c r="D213" s="9"/>
      <c r="E213" s="39"/>
      <c r="F213" s="38"/>
      <c r="G213" s="9"/>
      <c r="H213" s="38"/>
      <c r="I213" s="9"/>
      <c r="J213" s="38"/>
      <c r="K213" s="38"/>
      <c r="L213" s="38"/>
      <c r="M213" s="42"/>
      <c r="N213" s="9"/>
      <c r="O213" s="38"/>
      <c r="P213" s="38"/>
      <c r="Q213" s="38"/>
      <c r="R213" s="38"/>
      <c r="S213" s="38"/>
      <c r="T213" s="38"/>
      <c r="U213" s="9"/>
      <c r="V213" s="9"/>
      <c r="W213" s="38"/>
      <c r="X213" s="9"/>
      <c r="Y213" s="9"/>
      <c r="Z213" s="9"/>
      <c r="AA213" s="9"/>
      <c r="AB213" s="9"/>
      <c r="AC213" s="9"/>
      <c r="AD213" s="39"/>
      <c r="AE213" s="39"/>
      <c r="AF213" s="39"/>
      <c r="AG213" s="38"/>
      <c r="AH213" s="38"/>
      <c r="AI213" s="9"/>
      <c r="AJ213" s="38"/>
      <c r="AK213" s="9"/>
      <c r="AL213" s="39"/>
      <c r="AM213" s="9"/>
      <c r="AN213" s="9"/>
      <c r="AO213" s="9"/>
      <c r="AP213" s="9"/>
      <c r="AQ213" s="9"/>
      <c r="AR213" s="9"/>
      <c r="AS213" s="9"/>
      <c r="AT213" s="10" t="str">
        <f aca="false">IF(A213="","",SG_Criteria!$B$6&amp;SG_Criteria!$B$8&amp;"\"&amp;A213&amp;"\")</f>
        <v/>
      </c>
      <c r="AU213" s="10" t="str">
        <f aca="false">IF(A213="","",A213&amp;"_CAD.dwg")</f>
        <v/>
      </c>
      <c r="AV213" s="10" t="str">
        <f aca="false">IF(A213="","",A213&amp;"_DWG.pdf")</f>
        <v/>
      </c>
      <c r="AW213" s="10" t="str">
        <f aca="false">IF(A213="","",IF(AS213="Y",A213&amp;"_STAAD.std","n/a"))</f>
        <v/>
      </c>
      <c r="AX213" s="10" t="str">
        <f aca="false">IF(A213="","",A213&amp;"_CALC.xlsx")</f>
        <v/>
      </c>
      <c r="AY213" s="10" t="str">
        <f aca="false">IF(A213="","",A213&amp;"_CALC.pdf")</f>
        <v/>
      </c>
      <c r="AZ213" s="9"/>
      <c r="BA213" s="9"/>
      <c r="BB213" s="39"/>
      <c r="BC213" s="39"/>
      <c r="BD213" s="39"/>
      <c r="BE213" s="39"/>
      <c r="BF213" s="39"/>
      <c r="BG213" s="12" t="str">
        <f aca="false">IF(A213="","",IF(COUNTIF(Rebar_Schedule!$A$5:$A$2004,A213)=0,"",ROUND(SUMIF(Rebar_Schedule!$A$5:$A$2004,A213,Rebar_Schedule!$K$5:$K$2004),1)))</f>
        <v/>
      </c>
      <c r="BH213" s="33" t="str">
        <f aca="false">IF(A213="","",IF(BG213="","No rebar schedule yet",IF(ABS(BG213-N(BC213))/MAX(N(BC213),1)&gt;SG_Criteria!$B$55,"NOTE: register rebar differs from schedule by "&amp;TEXT(ABS(BG213-N(BC213))/MAX(N(BC213),1),"0%"),"OK")))</f>
        <v/>
      </c>
      <c r="BI213" s="33" t="str">
        <f aca="false">IF(OR(D213="",E213=""),"",IF(E213&lt;=IF(OR(D213="Block / Segmental",D213="Gabion",D213="Reinforced Earth (MSE)"),SG_Criteria!$B$34,SG_Criteria!$B$33),"No ERSS submission",IF(E213&lt;=SG_Criteria!$B$35,"QP(ST)",IF(E213&lt;=SG_Criteria!$B$36,"QP(ST) + AC","Geotechnical building works: QP(Geo) + AC"))))</f>
        <v/>
      </c>
      <c r="BJ213" s="33" t="str">
        <f aca="false">IF(D213="","",IF(LEN(IF(AND(V213&lt;&gt;"",IFERROR(VALUE(MID(V213,2,2)),0)&lt;SG_Criteria!$B$19),"FAIL: grade below C"&amp;SG_Criteria!$B$19&amp;". ","")&amp;IF(AND(W213&lt;&gt;"",W213&lt;SG_Criteria!$B$20),"FAIL: cover &lt; "&amp;SG_Criteria!$B$20&amp;" mm. ","")&amp;IF(AND(AD213&lt;&gt;"",AD213&lt;1),"FAIL: sliding. ","")&amp;IF(AND(D213="Reverse L-Wall (toe only, at boundary)",N(S213)&gt;0),"NOTE: reverse L-wall should have no heel. ","")&amp;IF(AND(D213="L-Wall (heel only)",N(R213)&gt;0),"NOTE: L-wall should have no toe. ","")&amp;IF(AND(F213&lt;&gt;"",F213&lt;SG_Criteria!$B$31),"NOTE: q below LTA min "&amp;SG_Criteria!$B$31&amp;" kPa (not for LTA works). ",""))=0,"OK",IF(AND(V213&lt;&gt;"",IFERROR(VALUE(MID(V213,2,2)),0)&lt;SG_Criteria!$B$19),"FAIL: grade below C"&amp;SG_Criteria!$B$19&amp;". ","")&amp;IF(AND(W213&lt;&gt;"",W213&lt;SG_Criteria!$B$20),"FAIL: cover &lt; "&amp;SG_Criteria!$B$20&amp;" mm. ","")&amp;IF(AND(AD213&lt;&gt;"",AD213&lt;1),"FAIL: sliding. ","")&amp;IF(AND(D213="Reverse L-Wall (toe only, at boundary)",N(S213)&gt;0),"NOTE: reverse L-wall should have no heel. ","")&amp;IF(AND(D213="L-Wall (heel only)",N(R213)&gt;0),"NOTE: L-wall should have no toe. ","")&amp;IF(AND(F213&lt;&gt;"",F213&lt;SG_Criteria!$B$31),"NOTE: q below LTA min "&amp;SG_Criteria!$B$31&amp;" kPa (not for LTA works). ","")))</f>
        <v/>
      </c>
      <c r="BK213" s="9"/>
      <c r="BL213" s="9"/>
      <c r="BM213" s="9"/>
      <c r="BN213" s="10" t="str">
        <f aca="false">IF(BM213="","",IFERROR(VLOOKUP(BM213,Projects!$A$5:$D$504,2,0),"Ref not in Projects"))</f>
        <v/>
      </c>
      <c r="BO213" s="10" t="str">
        <f aca="false">IF(BM213="","",IFERROR(VLOOKUP(BM213,Projects!$A$5:$D$504,4,0),"Ref not in Projects"))</f>
        <v/>
      </c>
      <c r="BP213" s="9"/>
      <c r="BQ213" s="9"/>
      <c r="BR213" s="9"/>
      <c r="BS213" s="40"/>
      <c r="BT213" s="9"/>
      <c r="BU213" s="40"/>
      <c r="BV213" s="9"/>
      <c r="BW213" s="40"/>
      <c r="BX213" s="9"/>
      <c r="BY213" s="9"/>
      <c r="BZ213" s="9"/>
      <c r="CA213" s="40"/>
      <c r="CB213" s="40"/>
      <c r="CC213" s="36" t="str">
        <f aca="false">IF(CB213="","",EDATE(CB213,SG_Criteria!$B$54*12))</f>
        <v/>
      </c>
      <c r="CD213" s="33" t="str">
        <f aca="true">IF(A213="","",IF(CB213="","NOTE: not reviewed yet",IF(TODAY()&gt;CC213,"NOTE: review overdue","OK")))</f>
        <v/>
      </c>
      <c r="CE213" s="37" t="str">
        <f aca="false">IF(A213="","",ROUND((IF(LEN(D213)&gt;0,1,0)+IF(LEN(E213)&gt;0,1,0)+IF(LEN(F213)&gt;0,1,0)+IF(LEN(G213)&gt;0,1,0)+IF(LEN(I213)&gt;0,1,0)+IF(LEN(K213)&gt;0,1,0)+IF(LEN(P213)&gt;0,1,0)+IF(LEN(Q213)&gt;0,1,0)+IF(LEN(T213)&gt;0,1,0)+IF(LEN(V213)&gt;0,1,0)+IF(LEN(W213)&gt;0,1,0)+IF(LEN(X213)&gt;0,1,0)+IF(LEN(Z213)&gt;0,1,0)+IF(LEN(AD213)&gt;0,1,0)+IF(LEN(AE213)&gt;0,1,0)+IF(LEN(AG213)&gt;0,1,0)+IF(LEN(AI213)&gt;0,1,0)+IF(LEN(BB213)&gt;0,1,0)+IF(LEN(BC213)&gt;0,1,0)+IF(LEN(AM213)&gt;0,1,0)+IF(LEN(AO213)&gt;0,1,0)+IF(LEN(AP213)&gt;0,1,0)+IF(LEN(AQ213)&gt;0,1,0)+IF(LEN(AR213)&gt;0,1,0)+IF(LEN(BA213)&gt;0,1,0)+IF(LEN(BM213)&gt;0,1,0)+IF(LEN(BZ213)&gt;0,1,0))/27,2))</f>
        <v/>
      </c>
      <c r="CF213" s="10" t="str">
        <f aca="false">IF(D213="","",IF(AND(AP213="Approved",ISERROR(SEARCH("FAIL",BJ213))),"Y","N"))</f>
        <v/>
      </c>
      <c r="CG213" s="10" t="str">
        <f aca="false">IF(D213="","",D213&amp;"|"&amp;E213&amp;"|"&amp;F213&amp;"|"&amp;G213&amp;"|"&amp;CF213)</f>
        <v/>
      </c>
    </row>
    <row r="214" customFormat="false" ht="15" hidden="false" customHeight="false" outlineLevel="0" collapsed="false">
      <c r="A214" s="10" t="str">
        <f aca="false">IF(D214="","","RW-"&amp;IFERROR(VLOOKUP(D214,Lists!$M$4:$N$22,2,0),"??")&amp;"-H"&amp;TEXT(E214*1000,"0000")&amp;"-S"&amp;F214&amp;IF(G214="Y","-GW","")&amp;"-"&amp;AO214)</f>
        <v/>
      </c>
      <c r="B214" s="10" t="str">
        <f aca="false">IF(D214="","",D214&amp;", H = "&amp;TEXT(E214,"0.0")&amp;" m, q = "&amp;F214&amp;" kPa"&amp;IF(G214="Y",", with GWT","")&amp;", "&amp;I214)</f>
        <v/>
      </c>
      <c r="C214" s="9"/>
      <c r="D214" s="9"/>
      <c r="E214" s="39"/>
      <c r="F214" s="38"/>
      <c r="G214" s="9"/>
      <c r="H214" s="38"/>
      <c r="I214" s="9"/>
      <c r="J214" s="38"/>
      <c r="K214" s="38"/>
      <c r="L214" s="38"/>
      <c r="M214" s="42"/>
      <c r="N214" s="9"/>
      <c r="O214" s="38"/>
      <c r="P214" s="38"/>
      <c r="Q214" s="38"/>
      <c r="R214" s="38"/>
      <c r="S214" s="38"/>
      <c r="T214" s="38"/>
      <c r="U214" s="9"/>
      <c r="V214" s="9"/>
      <c r="W214" s="38"/>
      <c r="X214" s="9"/>
      <c r="Y214" s="9"/>
      <c r="Z214" s="9"/>
      <c r="AA214" s="9"/>
      <c r="AB214" s="9"/>
      <c r="AC214" s="9"/>
      <c r="AD214" s="39"/>
      <c r="AE214" s="39"/>
      <c r="AF214" s="39"/>
      <c r="AG214" s="38"/>
      <c r="AH214" s="38"/>
      <c r="AI214" s="9"/>
      <c r="AJ214" s="38"/>
      <c r="AK214" s="9"/>
      <c r="AL214" s="39"/>
      <c r="AM214" s="9"/>
      <c r="AN214" s="9"/>
      <c r="AO214" s="9"/>
      <c r="AP214" s="9"/>
      <c r="AQ214" s="9"/>
      <c r="AR214" s="9"/>
      <c r="AS214" s="9"/>
      <c r="AT214" s="10" t="str">
        <f aca="false">IF(A214="","",SG_Criteria!$B$6&amp;SG_Criteria!$B$8&amp;"\"&amp;A214&amp;"\")</f>
        <v/>
      </c>
      <c r="AU214" s="10" t="str">
        <f aca="false">IF(A214="","",A214&amp;"_CAD.dwg")</f>
        <v/>
      </c>
      <c r="AV214" s="10" t="str">
        <f aca="false">IF(A214="","",A214&amp;"_DWG.pdf")</f>
        <v/>
      </c>
      <c r="AW214" s="10" t="str">
        <f aca="false">IF(A214="","",IF(AS214="Y",A214&amp;"_STAAD.std","n/a"))</f>
        <v/>
      </c>
      <c r="AX214" s="10" t="str">
        <f aca="false">IF(A214="","",A214&amp;"_CALC.xlsx")</f>
        <v/>
      </c>
      <c r="AY214" s="10" t="str">
        <f aca="false">IF(A214="","",A214&amp;"_CALC.pdf")</f>
        <v/>
      </c>
      <c r="AZ214" s="9"/>
      <c r="BA214" s="9"/>
      <c r="BB214" s="39"/>
      <c r="BC214" s="39"/>
      <c r="BD214" s="39"/>
      <c r="BE214" s="39"/>
      <c r="BF214" s="39"/>
      <c r="BG214" s="12" t="str">
        <f aca="false">IF(A214="","",IF(COUNTIF(Rebar_Schedule!$A$5:$A$2004,A214)=0,"",ROUND(SUMIF(Rebar_Schedule!$A$5:$A$2004,A214,Rebar_Schedule!$K$5:$K$2004),1)))</f>
        <v/>
      </c>
      <c r="BH214" s="33" t="str">
        <f aca="false">IF(A214="","",IF(BG214="","No rebar schedule yet",IF(ABS(BG214-N(BC214))/MAX(N(BC214),1)&gt;SG_Criteria!$B$55,"NOTE: register rebar differs from schedule by "&amp;TEXT(ABS(BG214-N(BC214))/MAX(N(BC214),1),"0%"),"OK")))</f>
        <v/>
      </c>
      <c r="BI214" s="33" t="str">
        <f aca="false">IF(OR(D214="",E214=""),"",IF(E214&lt;=IF(OR(D214="Block / Segmental",D214="Gabion",D214="Reinforced Earth (MSE)"),SG_Criteria!$B$34,SG_Criteria!$B$33),"No ERSS submission",IF(E214&lt;=SG_Criteria!$B$35,"QP(ST)",IF(E214&lt;=SG_Criteria!$B$36,"QP(ST) + AC","Geotechnical building works: QP(Geo) + AC"))))</f>
        <v/>
      </c>
      <c r="BJ214" s="33" t="str">
        <f aca="false">IF(D214="","",IF(LEN(IF(AND(V214&lt;&gt;"",IFERROR(VALUE(MID(V214,2,2)),0)&lt;SG_Criteria!$B$19),"FAIL: grade below C"&amp;SG_Criteria!$B$19&amp;". ","")&amp;IF(AND(W214&lt;&gt;"",W214&lt;SG_Criteria!$B$20),"FAIL: cover &lt; "&amp;SG_Criteria!$B$20&amp;" mm. ","")&amp;IF(AND(AD214&lt;&gt;"",AD214&lt;1),"FAIL: sliding. ","")&amp;IF(AND(D214="Reverse L-Wall (toe only, at boundary)",N(S214)&gt;0),"NOTE: reverse L-wall should have no heel. ","")&amp;IF(AND(D214="L-Wall (heel only)",N(R214)&gt;0),"NOTE: L-wall should have no toe. ","")&amp;IF(AND(F214&lt;&gt;"",F214&lt;SG_Criteria!$B$31),"NOTE: q below LTA min "&amp;SG_Criteria!$B$31&amp;" kPa (not for LTA works). ",""))=0,"OK",IF(AND(V214&lt;&gt;"",IFERROR(VALUE(MID(V214,2,2)),0)&lt;SG_Criteria!$B$19),"FAIL: grade below C"&amp;SG_Criteria!$B$19&amp;". ","")&amp;IF(AND(W214&lt;&gt;"",W214&lt;SG_Criteria!$B$20),"FAIL: cover &lt; "&amp;SG_Criteria!$B$20&amp;" mm. ","")&amp;IF(AND(AD214&lt;&gt;"",AD214&lt;1),"FAIL: sliding. ","")&amp;IF(AND(D214="Reverse L-Wall (toe only, at boundary)",N(S214)&gt;0),"NOTE: reverse L-wall should have no heel. ","")&amp;IF(AND(D214="L-Wall (heel only)",N(R214)&gt;0),"NOTE: L-wall should have no toe. ","")&amp;IF(AND(F214&lt;&gt;"",F214&lt;SG_Criteria!$B$31),"NOTE: q below LTA min "&amp;SG_Criteria!$B$31&amp;" kPa (not for LTA works). ","")))</f>
        <v/>
      </c>
      <c r="BK214" s="9"/>
      <c r="BL214" s="9"/>
      <c r="BM214" s="9"/>
      <c r="BN214" s="10" t="str">
        <f aca="false">IF(BM214="","",IFERROR(VLOOKUP(BM214,Projects!$A$5:$D$504,2,0),"Ref not in Projects"))</f>
        <v/>
      </c>
      <c r="BO214" s="10" t="str">
        <f aca="false">IF(BM214="","",IFERROR(VLOOKUP(BM214,Projects!$A$5:$D$504,4,0),"Ref not in Projects"))</f>
        <v/>
      </c>
      <c r="BP214" s="9"/>
      <c r="BQ214" s="9"/>
      <c r="BR214" s="9"/>
      <c r="BS214" s="40"/>
      <c r="BT214" s="9"/>
      <c r="BU214" s="40"/>
      <c r="BV214" s="9"/>
      <c r="BW214" s="40"/>
      <c r="BX214" s="9"/>
      <c r="BY214" s="9"/>
      <c r="BZ214" s="9"/>
      <c r="CA214" s="40"/>
      <c r="CB214" s="40"/>
      <c r="CC214" s="36" t="str">
        <f aca="false">IF(CB214="","",EDATE(CB214,SG_Criteria!$B$54*12))</f>
        <v/>
      </c>
      <c r="CD214" s="33" t="str">
        <f aca="true">IF(A214="","",IF(CB214="","NOTE: not reviewed yet",IF(TODAY()&gt;CC214,"NOTE: review overdue","OK")))</f>
        <v/>
      </c>
      <c r="CE214" s="37" t="str">
        <f aca="false">IF(A214="","",ROUND((IF(LEN(D214)&gt;0,1,0)+IF(LEN(E214)&gt;0,1,0)+IF(LEN(F214)&gt;0,1,0)+IF(LEN(G214)&gt;0,1,0)+IF(LEN(I214)&gt;0,1,0)+IF(LEN(K214)&gt;0,1,0)+IF(LEN(P214)&gt;0,1,0)+IF(LEN(Q214)&gt;0,1,0)+IF(LEN(T214)&gt;0,1,0)+IF(LEN(V214)&gt;0,1,0)+IF(LEN(W214)&gt;0,1,0)+IF(LEN(X214)&gt;0,1,0)+IF(LEN(Z214)&gt;0,1,0)+IF(LEN(AD214)&gt;0,1,0)+IF(LEN(AE214)&gt;0,1,0)+IF(LEN(AG214)&gt;0,1,0)+IF(LEN(AI214)&gt;0,1,0)+IF(LEN(BB214)&gt;0,1,0)+IF(LEN(BC214)&gt;0,1,0)+IF(LEN(AM214)&gt;0,1,0)+IF(LEN(AO214)&gt;0,1,0)+IF(LEN(AP214)&gt;0,1,0)+IF(LEN(AQ214)&gt;0,1,0)+IF(LEN(AR214)&gt;0,1,0)+IF(LEN(BA214)&gt;0,1,0)+IF(LEN(BM214)&gt;0,1,0)+IF(LEN(BZ214)&gt;0,1,0))/27,2))</f>
        <v/>
      </c>
      <c r="CF214" s="10" t="str">
        <f aca="false">IF(D214="","",IF(AND(AP214="Approved",ISERROR(SEARCH("FAIL",BJ214))),"Y","N"))</f>
        <v/>
      </c>
      <c r="CG214" s="10" t="str">
        <f aca="false">IF(D214="","",D214&amp;"|"&amp;E214&amp;"|"&amp;F214&amp;"|"&amp;G214&amp;"|"&amp;CF214)</f>
        <v/>
      </c>
    </row>
    <row r="215" customFormat="false" ht="15" hidden="false" customHeight="false" outlineLevel="0" collapsed="false">
      <c r="A215" s="10" t="str">
        <f aca="false">IF(D215="","","RW-"&amp;IFERROR(VLOOKUP(D215,Lists!$M$4:$N$22,2,0),"??")&amp;"-H"&amp;TEXT(E215*1000,"0000")&amp;"-S"&amp;F215&amp;IF(G215="Y","-GW","")&amp;"-"&amp;AO215)</f>
        <v/>
      </c>
      <c r="B215" s="10" t="str">
        <f aca="false">IF(D215="","",D215&amp;", H = "&amp;TEXT(E215,"0.0")&amp;" m, q = "&amp;F215&amp;" kPa"&amp;IF(G215="Y",", with GWT","")&amp;", "&amp;I215)</f>
        <v/>
      </c>
      <c r="C215" s="9"/>
      <c r="D215" s="9"/>
      <c r="E215" s="39"/>
      <c r="F215" s="38"/>
      <c r="G215" s="9"/>
      <c r="H215" s="38"/>
      <c r="I215" s="9"/>
      <c r="J215" s="38"/>
      <c r="K215" s="38"/>
      <c r="L215" s="38"/>
      <c r="M215" s="42"/>
      <c r="N215" s="9"/>
      <c r="O215" s="38"/>
      <c r="P215" s="38"/>
      <c r="Q215" s="38"/>
      <c r="R215" s="38"/>
      <c r="S215" s="38"/>
      <c r="T215" s="38"/>
      <c r="U215" s="9"/>
      <c r="V215" s="9"/>
      <c r="W215" s="38"/>
      <c r="X215" s="9"/>
      <c r="Y215" s="9"/>
      <c r="Z215" s="9"/>
      <c r="AA215" s="9"/>
      <c r="AB215" s="9"/>
      <c r="AC215" s="9"/>
      <c r="AD215" s="39"/>
      <c r="AE215" s="39"/>
      <c r="AF215" s="39"/>
      <c r="AG215" s="38"/>
      <c r="AH215" s="38"/>
      <c r="AI215" s="9"/>
      <c r="AJ215" s="38"/>
      <c r="AK215" s="9"/>
      <c r="AL215" s="39"/>
      <c r="AM215" s="9"/>
      <c r="AN215" s="9"/>
      <c r="AO215" s="9"/>
      <c r="AP215" s="9"/>
      <c r="AQ215" s="9"/>
      <c r="AR215" s="9"/>
      <c r="AS215" s="9"/>
      <c r="AT215" s="10" t="str">
        <f aca="false">IF(A215="","",SG_Criteria!$B$6&amp;SG_Criteria!$B$8&amp;"\"&amp;A215&amp;"\")</f>
        <v/>
      </c>
      <c r="AU215" s="10" t="str">
        <f aca="false">IF(A215="","",A215&amp;"_CAD.dwg")</f>
        <v/>
      </c>
      <c r="AV215" s="10" t="str">
        <f aca="false">IF(A215="","",A215&amp;"_DWG.pdf")</f>
        <v/>
      </c>
      <c r="AW215" s="10" t="str">
        <f aca="false">IF(A215="","",IF(AS215="Y",A215&amp;"_STAAD.std","n/a"))</f>
        <v/>
      </c>
      <c r="AX215" s="10" t="str">
        <f aca="false">IF(A215="","",A215&amp;"_CALC.xlsx")</f>
        <v/>
      </c>
      <c r="AY215" s="10" t="str">
        <f aca="false">IF(A215="","",A215&amp;"_CALC.pdf")</f>
        <v/>
      </c>
      <c r="AZ215" s="9"/>
      <c r="BA215" s="9"/>
      <c r="BB215" s="39"/>
      <c r="BC215" s="39"/>
      <c r="BD215" s="39"/>
      <c r="BE215" s="39"/>
      <c r="BF215" s="39"/>
      <c r="BG215" s="12" t="str">
        <f aca="false">IF(A215="","",IF(COUNTIF(Rebar_Schedule!$A$5:$A$2004,A215)=0,"",ROUND(SUMIF(Rebar_Schedule!$A$5:$A$2004,A215,Rebar_Schedule!$K$5:$K$2004),1)))</f>
        <v/>
      </c>
      <c r="BH215" s="33" t="str">
        <f aca="false">IF(A215="","",IF(BG215="","No rebar schedule yet",IF(ABS(BG215-N(BC215))/MAX(N(BC215),1)&gt;SG_Criteria!$B$55,"NOTE: register rebar differs from schedule by "&amp;TEXT(ABS(BG215-N(BC215))/MAX(N(BC215),1),"0%"),"OK")))</f>
        <v/>
      </c>
      <c r="BI215" s="33" t="str">
        <f aca="false">IF(OR(D215="",E215=""),"",IF(E215&lt;=IF(OR(D215="Block / Segmental",D215="Gabion",D215="Reinforced Earth (MSE)"),SG_Criteria!$B$34,SG_Criteria!$B$33),"No ERSS submission",IF(E215&lt;=SG_Criteria!$B$35,"QP(ST)",IF(E215&lt;=SG_Criteria!$B$36,"QP(ST) + AC","Geotechnical building works: QP(Geo) + AC"))))</f>
        <v/>
      </c>
      <c r="BJ215" s="33" t="str">
        <f aca="false">IF(D215="","",IF(LEN(IF(AND(V215&lt;&gt;"",IFERROR(VALUE(MID(V215,2,2)),0)&lt;SG_Criteria!$B$19),"FAIL: grade below C"&amp;SG_Criteria!$B$19&amp;". ","")&amp;IF(AND(W215&lt;&gt;"",W215&lt;SG_Criteria!$B$20),"FAIL: cover &lt; "&amp;SG_Criteria!$B$20&amp;" mm. ","")&amp;IF(AND(AD215&lt;&gt;"",AD215&lt;1),"FAIL: sliding. ","")&amp;IF(AND(D215="Reverse L-Wall (toe only, at boundary)",N(S215)&gt;0),"NOTE: reverse L-wall should have no heel. ","")&amp;IF(AND(D215="L-Wall (heel only)",N(R215)&gt;0),"NOTE: L-wall should have no toe. ","")&amp;IF(AND(F215&lt;&gt;"",F215&lt;SG_Criteria!$B$31),"NOTE: q below LTA min "&amp;SG_Criteria!$B$31&amp;" kPa (not for LTA works). ",""))=0,"OK",IF(AND(V215&lt;&gt;"",IFERROR(VALUE(MID(V215,2,2)),0)&lt;SG_Criteria!$B$19),"FAIL: grade below C"&amp;SG_Criteria!$B$19&amp;". ","")&amp;IF(AND(W215&lt;&gt;"",W215&lt;SG_Criteria!$B$20),"FAIL: cover &lt; "&amp;SG_Criteria!$B$20&amp;" mm. ","")&amp;IF(AND(AD215&lt;&gt;"",AD215&lt;1),"FAIL: sliding. ","")&amp;IF(AND(D215="Reverse L-Wall (toe only, at boundary)",N(S215)&gt;0),"NOTE: reverse L-wall should have no heel. ","")&amp;IF(AND(D215="L-Wall (heel only)",N(R215)&gt;0),"NOTE: L-wall should have no toe. ","")&amp;IF(AND(F215&lt;&gt;"",F215&lt;SG_Criteria!$B$31),"NOTE: q below LTA min "&amp;SG_Criteria!$B$31&amp;" kPa (not for LTA works). ","")))</f>
        <v/>
      </c>
      <c r="BK215" s="9"/>
      <c r="BL215" s="9"/>
      <c r="BM215" s="9"/>
      <c r="BN215" s="10" t="str">
        <f aca="false">IF(BM215="","",IFERROR(VLOOKUP(BM215,Projects!$A$5:$D$504,2,0),"Ref not in Projects"))</f>
        <v/>
      </c>
      <c r="BO215" s="10" t="str">
        <f aca="false">IF(BM215="","",IFERROR(VLOOKUP(BM215,Projects!$A$5:$D$504,4,0),"Ref not in Projects"))</f>
        <v/>
      </c>
      <c r="BP215" s="9"/>
      <c r="BQ215" s="9"/>
      <c r="BR215" s="9"/>
      <c r="BS215" s="40"/>
      <c r="BT215" s="9"/>
      <c r="BU215" s="40"/>
      <c r="BV215" s="9"/>
      <c r="BW215" s="40"/>
      <c r="BX215" s="9"/>
      <c r="BY215" s="9"/>
      <c r="BZ215" s="9"/>
      <c r="CA215" s="40"/>
      <c r="CB215" s="40"/>
      <c r="CC215" s="36" t="str">
        <f aca="false">IF(CB215="","",EDATE(CB215,SG_Criteria!$B$54*12))</f>
        <v/>
      </c>
      <c r="CD215" s="33" t="str">
        <f aca="true">IF(A215="","",IF(CB215="","NOTE: not reviewed yet",IF(TODAY()&gt;CC215,"NOTE: review overdue","OK")))</f>
        <v/>
      </c>
      <c r="CE215" s="37" t="str">
        <f aca="false">IF(A215="","",ROUND((IF(LEN(D215)&gt;0,1,0)+IF(LEN(E215)&gt;0,1,0)+IF(LEN(F215)&gt;0,1,0)+IF(LEN(G215)&gt;0,1,0)+IF(LEN(I215)&gt;0,1,0)+IF(LEN(K215)&gt;0,1,0)+IF(LEN(P215)&gt;0,1,0)+IF(LEN(Q215)&gt;0,1,0)+IF(LEN(T215)&gt;0,1,0)+IF(LEN(V215)&gt;0,1,0)+IF(LEN(W215)&gt;0,1,0)+IF(LEN(X215)&gt;0,1,0)+IF(LEN(Z215)&gt;0,1,0)+IF(LEN(AD215)&gt;0,1,0)+IF(LEN(AE215)&gt;0,1,0)+IF(LEN(AG215)&gt;0,1,0)+IF(LEN(AI215)&gt;0,1,0)+IF(LEN(BB215)&gt;0,1,0)+IF(LEN(BC215)&gt;0,1,0)+IF(LEN(AM215)&gt;0,1,0)+IF(LEN(AO215)&gt;0,1,0)+IF(LEN(AP215)&gt;0,1,0)+IF(LEN(AQ215)&gt;0,1,0)+IF(LEN(AR215)&gt;0,1,0)+IF(LEN(BA215)&gt;0,1,0)+IF(LEN(BM215)&gt;0,1,0)+IF(LEN(BZ215)&gt;0,1,0))/27,2))</f>
        <v/>
      </c>
      <c r="CF215" s="10" t="str">
        <f aca="false">IF(D215="","",IF(AND(AP215="Approved",ISERROR(SEARCH("FAIL",BJ215))),"Y","N"))</f>
        <v/>
      </c>
      <c r="CG215" s="10" t="str">
        <f aca="false">IF(D215="","",D215&amp;"|"&amp;E215&amp;"|"&amp;F215&amp;"|"&amp;G215&amp;"|"&amp;CF215)</f>
        <v/>
      </c>
    </row>
    <row r="216" customFormat="false" ht="15" hidden="false" customHeight="false" outlineLevel="0" collapsed="false">
      <c r="A216" s="10" t="str">
        <f aca="false">IF(D216="","","RW-"&amp;IFERROR(VLOOKUP(D216,Lists!$M$4:$N$22,2,0),"??")&amp;"-H"&amp;TEXT(E216*1000,"0000")&amp;"-S"&amp;F216&amp;IF(G216="Y","-GW","")&amp;"-"&amp;AO216)</f>
        <v/>
      </c>
      <c r="B216" s="10" t="str">
        <f aca="false">IF(D216="","",D216&amp;", H = "&amp;TEXT(E216,"0.0")&amp;" m, q = "&amp;F216&amp;" kPa"&amp;IF(G216="Y",", with GWT","")&amp;", "&amp;I216)</f>
        <v/>
      </c>
      <c r="C216" s="9"/>
      <c r="D216" s="9"/>
      <c r="E216" s="39"/>
      <c r="F216" s="38"/>
      <c r="G216" s="9"/>
      <c r="H216" s="38"/>
      <c r="I216" s="9"/>
      <c r="J216" s="38"/>
      <c r="K216" s="38"/>
      <c r="L216" s="38"/>
      <c r="M216" s="42"/>
      <c r="N216" s="9"/>
      <c r="O216" s="38"/>
      <c r="P216" s="38"/>
      <c r="Q216" s="38"/>
      <c r="R216" s="38"/>
      <c r="S216" s="38"/>
      <c r="T216" s="38"/>
      <c r="U216" s="9"/>
      <c r="V216" s="9"/>
      <c r="W216" s="38"/>
      <c r="X216" s="9"/>
      <c r="Y216" s="9"/>
      <c r="Z216" s="9"/>
      <c r="AA216" s="9"/>
      <c r="AB216" s="9"/>
      <c r="AC216" s="9"/>
      <c r="AD216" s="39"/>
      <c r="AE216" s="39"/>
      <c r="AF216" s="39"/>
      <c r="AG216" s="38"/>
      <c r="AH216" s="38"/>
      <c r="AI216" s="9"/>
      <c r="AJ216" s="38"/>
      <c r="AK216" s="9"/>
      <c r="AL216" s="39"/>
      <c r="AM216" s="9"/>
      <c r="AN216" s="9"/>
      <c r="AO216" s="9"/>
      <c r="AP216" s="9"/>
      <c r="AQ216" s="9"/>
      <c r="AR216" s="9"/>
      <c r="AS216" s="9"/>
      <c r="AT216" s="10" t="str">
        <f aca="false">IF(A216="","",SG_Criteria!$B$6&amp;SG_Criteria!$B$8&amp;"\"&amp;A216&amp;"\")</f>
        <v/>
      </c>
      <c r="AU216" s="10" t="str">
        <f aca="false">IF(A216="","",A216&amp;"_CAD.dwg")</f>
        <v/>
      </c>
      <c r="AV216" s="10" t="str">
        <f aca="false">IF(A216="","",A216&amp;"_DWG.pdf")</f>
        <v/>
      </c>
      <c r="AW216" s="10" t="str">
        <f aca="false">IF(A216="","",IF(AS216="Y",A216&amp;"_STAAD.std","n/a"))</f>
        <v/>
      </c>
      <c r="AX216" s="10" t="str">
        <f aca="false">IF(A216="","",A216&amp;"_CALC.xlsx")</f>
        <v/>
      </c>
      <c r="AY216" s="10" t="str">
        <f aca="false">IF(A216="","",A216&amp;"_CALC.pdf")</f>
        <v/>
      </c>
      <c r="AZ216" s="9"/>
      <c r="BA216" s="9"/>
      <c r="BB216" s="39"/>
      <c r="BC216" s="39"/>
      <c r="BD216" s="39"/>
      <c r="BE216" s="39"/>
      <c r="BF216" s="39"/>
      <c r="BG216" s="12" t="str">
        <f aca="false">IF(A216="","",IF(COUNTIF(Rebar_Schedule!$A$5:$A$2004,A216)=0,"",ROUND(SUMIF(Rebar_Schedule!$A$5:$A$2004,A216,Rebar_Schedule!$K$5:$K$2004),1)))</f>
        <v/>
      </c>
      <c r="BH216" s="33" t="str">
        <f aca="false">IF(A216="","",IF(BG216="","No rebar schedule yet",IF(ABS(BG216-N(BC216))/MAX(N(BC216),1)&gt;SG_Criteria!$B$55,"NOTE: register rebar differs from schedule by "&amp;TEXT(ABS(BG216-N(BC216))/MAX(N(BC216),1),"0%"),"OK")))</f>
        <v/>
      </c>
      <c r="BI216" s="33" t="str">
        <f aca="false">IF(OR(D216="",E216=""),"",IF(E216&lt;=IF(OR(D216="Block / Segmental",D216="Gabion",D216="Reinforced Earth (MSE)"),SG_Criteria!$B$34,SG_Criteria!$B$33),"No ERSS submission",IF(E216&lt;=SG_Criteria!$B$35,"QP(ST)",IF(E216&lt;=SG_Criteria!$B$36,"QP(ST) + AC","Geotechnical building works: QP(Geo) + AC"))))</f>
        <v/>
      </c>
      <c r="BJ216" s="33" t="str">
        <f aca="false">IF(D216="","",IF(LEN(IF(AND(V216&lt;&gt;"",IFERROR(VALUE(MID(V216,2,2)),0)&lt;SG_Criteria!$B$19),"FAIL: grade below C"&amp;SG_Criteria!$B$19&amp;". ","")&amp;IF(AND(W216&lt;&gt;"",W216&lt;SG_Criteria!$B$20),"FAIL: cover &lt; "&amp;SG_Criteria!$B$20&amp;" mm. ","")&amp;IF(AND(AD216&lt;&gt;"",AD216&lt;1),"FAIL: sliding. ","")&amp;IF(AND(D216="Reverse L-Wall (toe only, at boundary)",N(S216)&gt;0),"NOTE: reverse L-wall should have no heel. ","")&amp;IF(AND(D216="L-Wall (heel only)",N(R216)&gt;0),"NOTE: L-wall should have no toe. ","")&amp;IF(AND(F216&lt;&gt;"",F216&lt;SG_Criteria!$B$31),"NOTE: q below LTA min "&amp;SG_Criteria!$B$31&amp;" kPa (not for LTA works). ",""))=0,"OK",IF(AND(V216&lt;&gt;"",IFERROR(VALUE(MID(V216,2,2)),0)&lt;SG_Criteria!$B$19),"FAIL: grade below C"&amp;SG_Criteria!$B$19&amp;". ","")&amp;IF(AND(W216&lt;&gt;"",W216&lt;SG_Criteria!$B$20),"FAIL: cover &lt; "&amp;SG_Criteria!$B$20&amp;" mm. ","")&amp;IF(AND(AD216&lt;&gt;"",AD216&lt;1),"FAIL: sliding. ","")&amp;IF(AND(D216="Reverse L-Wall (toe only, at boundary)",N(S216)&gt;0),"NOTE: reverse L-wall should have no heel. ","")&amp;IF(AND(D216="L-Wall (heel only)",N(R216)&gt;0),"NOTE: L-wall should have no toe. ","")&amp;IF(AND(F216&lt;&gt;"",F216&lt;SG_Criteria!$B$31),"NOTE: q below LTA min "&amp;SG_Criteria!$B$31&amp;" kPa (not for LTA works). ","")))</f>
        <v/>
      </c>
      <c r="BK216" s="9"/>
      <c r="BL216" s="9"/>
      <c r="BM216" s="9"/>
      <c r="BN216" s="10" t="str">
        <f aca="false">IF(BM216="","",IFERROR(VLOOKUP(BM216,Projects!$A$5:$D$504,2,0),"Ref not in Projects"))</f>
        <v/>
      </c>
      <c r="BO216" s="10" t="str">
        <f aca="false">IF(BM216="","",IFERROR(VLOOKUP(BM216,Projects!$A$5:$D$504,4,0),"Ref not in Projects"))</f>
        <v/>
      </c>
      <c r="BP216" s="9"/>
      <c r="BQ216" s="9"/>
      <c r="BR216" s="9"/>
      <c r="BS216" s="40"/>
      <c r="BT216" s="9"/>
      <c r="BU216" s="40"/>
      <c r="BV216" s="9"/>
      <c r="BW216" s="40"/>
      <c r="BX216" s="9"/>
      <c r="BY216" s="9"/>
      <c r="BZ216" s="9"/>
      <c r="CA216" s="40"/>
      <c r="CB216" s="40"/>
      <c r="CC216" s="36" t="str">
        <f aca="false">IF(CB216="","",EDATE(CB216,SG_Criteria!$B$54*12))</f>
        <v/>
      </c>
      <c r="CD216" s="33" t="str">
        <f aca="true">IF(A216="","",IF(CB216="","NOTE: not reviewed yet",IF(TODAY()&gt;CC216,"NOTE: review overdue","OK")))</f>
        <v/>
      </c>
      <c r="CE216" s="37" t="str">
        <f aca="false">IF(A216="","",ROUND((IF(LEN(D216)&gt;0,1,0)+IF(LEN(E216)&gt;0,1,0)+IF(LEN(F216)&gt;0,1,0)+IF(LEN(G216)&gt;0,1,0)+IF(LEN(I216)&gt;0,1,0)+IF(LEN(K216)&gt;0,1,0)+IF(LEN(P216)&gt;0,1,0)+IF(LEN(Q216)&gt;0,1,0)+IF(LEN(T216)&gt;0,1,0)+IF(LEN(V216)&gt;0,1,0)+IF(LEN(W216)&gt;0,1,0)+IF(LEN(X216)&gt;0,1,0)+IF(LEN(Z216)&gt;0,1,0)+IF(LEN(AD216)&gt;0,1,0)+IF(LEN(AE216)&gt;0,1,0)+IF(LEN(AG216)&gt;0,1,0)+IF(LEN(AI216)&gt;0,1,0)+IF(LEN(BB216)&gt;0,1,0)+IF(LEN(BC216)&gt;0,1,0)+IF(LEN(AM216)&gt;0,1,0)+IF(LEN(AO216)&gt;0,1,0)+IF(LEN(AP216)&gt;0,1,0)+IF(LEN(AQ216)&gt;0,1,0)+IF(LEN(AR216)&gt;0,1,0)+IF(LEN(BA216)&gt;0,1,0)+IF(LEN(BM216)&gt;0,1,0)+IF(LEN(BZ216)&gt;0,1,0))/27,2))</f>
        <v/>
      </c>
      <c r="CF216" s="10" t="str">
        <f aca="false">IF(D216="","",IF(AND(AP216="Approved",ISERROR(SEARCH("FAIL",BJ216))),"Y","N"))</f>
        <v/>
      </c>
      <c r="CG216" s="10" t="str">
        <f aca="false">IF(D216="","",D216&amp;"|"&amp;E216&amp;"|"&amp;F216&amp;"|"&amp;G216&amp;"|"&amp;CF216)</f>
        <v/>
      </c>
    </row>
    <row r="217" customFormat="false" ht="15" hidden="false" customHeight="false" outlineLevel="0" collapsed="false">
      <c r="A217" s="10" t="str">
        <f aca="false">IF(D217="","","RW-"&amp;IFERROR(VLOOKUP(D217,Lists!$M$4:$N$22,2,0),"??")&amp;"-H"&amp;TEXT(E217*1000,"0000")&amp;"-S"&amp;F217&amp;IF(G217="Y","-GW","")&amp;"-"&amp;AO217)</f>
        <v/>
      </c>
      <c r="B217" s="10" t="str">
        <f aca="false">IF(D217="","",D217&amp;", H = "&amp;TEXT(E217,"0.0")&amp;" m, q = "&amp;F217&amp;" kPa"&amp;IF(G217="Y",", with GWT","")&amp;", "&amp;I217)</f>
        <v/>
      </c>
      <c r="C217" s="9"/>
      <c r="D217" s="9"/>
      <c r="E217" s="39"/>
      <c r="F217" s="38"/>
      <c r="G217" s="9"/>
      <c r="H217" s="38"/>
      <c r="I217" s="9"/>
      <c r="J217" s="38"/>
      <c r="K217" s="38"/>
      <c r="L217" s="38"/>
      <c r="M217" s="42"/>
      <c r="N217" s="9"/>
      <c r="O217" s="38"/>
      <c r="P217" s="38"/>
      <c r="Q217" s="38"/>
      <c r="R217" s="38"/>
      <c r="S217" s="38"/>
      <c r="T217" s="38"/>
      <c r="U217" s="9"/>
      <c r="V217" s="9"/>
      <c r="W217" s="38"/>
      <c r="X217" s="9"/>
      <c r="Y217" s="9"/>
      <c r="Z217" s="9"/>
      <c r="AA217" s="9"/>
      <c r="AB217" s="9"/>
      <c r="AC217" s="9"/>
      <c r="AD217" s="39"/>
      <c r="AE217" s="39"/>
      <c r="AF217" s="39"/>
      <c r="AG217" s="38"/>
      <c r="AH217" s="38"/>
      <c r="AI217" s="9"/>
      <c r="AJ217" s="38"/>
      <c r="AK217" s="9"/>
      <c r="AL217" s="39"/>
      <c r="AM217" s="9"/>
      <c r="AN217" s="9"/>
      <c r="AO217" s="9"/>
      <c r="AP217" s="9"/>
      <c r="AQ217" s="9"/>
      <c r="AR217" s="9"/>
      <c r="AS217" s="9"/>
      <c r="AT217" s="10" t="str">
        <f aca="false">IF(A217="","",SG_Criteria!$B$6&amp;SG_Criteria!$B$8&amp;"\"&amp;A217&amp;"\")</f>
        <v/>
      </c>
      <c r="AU217" s="10" t="str">
        <f aca="false">IF(A217="","",A217&amp;"_CAD.dwg")</f>
        <v/>
      </c>
      <c r="AV217" s="10" t="str">
        <f aca="false">IF(A217="","",A217&amp;"_DWG.pdf")</f>
        <v/>
      </c>
      <c r="AW217" s="10" t="str">
        <f aca="false">IF(A217="","",IF(AS217="Y",A217&amp;"_STAAD.std","n/a"))</f>
        <v/>
      </c>
      <c r="AX217" s="10" t="str">
        <f aca="false">IF(A217="","",A217&amp;"_CALC.xlsx")</f>
        <v/>
      </c>
      <c r="AY217" s="10" t="str">
        <f aca="false">IF(A217="","",A217&amp;"_CALC.pdf")</f>
        <v/>
      </c>
      <c r="AZ217" s="9"/>
      <c r="BA217" s="9"/>
      <c r="BB217" s="39"/>
      <c r="BC217" s="39"/>
      <c r="BD217" s="39"/>
      <c r="BE217" s="39"/>
      <c r="BF217" s="39"/>
      <c r="BG217" s="12" t="str">
        <f aca="false">IF(A217="","",IF(COUNTIF(Rebar_Schedule!$A$5:$A$2004,A217)=0,"",ROUND(SUMIF(Rebar_Schedule!$A$5:$A$2004,A217,Rebar_Schedule!$K$5:$K$2004),1)))</f>
        <v/>
      </c>
      <c r="BH217" s="33" t="str">
        <f aca="false">IF(A217="","",IF(BG217="","No rebar schedule yet",IF(ABS(BG217-N(BC217))/MAX(N(BC217),1)&gt;SG_Criteria!$B$55,"NOTE: register rebar differs from schedule by "&amp;TEXT(ABS(BG217-N(BC217))/MAX(N(BC217),1),"0%"),"OK")))</f>
        <v/>
      </c>
      <c r="BI217" s="33" t="str">
        <f aca="false">IF(OR(D217="",E217=""),"",IF(E217&lt;=IF(OR(D217="Block / Segmental",D217="Gabion",D217="Reinforced Earth (MSE)"),SG_Criteria!$B$34,SG_Criteria!$B$33),"No ERSS submission",IF(E217&lt;=SG_Criteria!$B$35,"QP(ST)",IF(E217&lt;=SG_Criteria!$B$36,"QP(ST) + AC","Geotechnical building works: QP(Geo) + AC"))))</f>
        <v/>
      </c>
      <c r="BJ217" s="33" t="str">
        <f aca="false">IF(D217="","",IF(LEN(IF(AND(V217&lt;&gt;"",IFERROR(VALUE(MID(V217,2,2)),0)&lt;SG_Criteria!$B$19),"FAIL: grade below C"&amp;SG_Criteria!$B$19&amp;". ","")&amp;IF(AND(W217&lt;&gt;"",W217&lt;SG_Criteria!$B$20),"FAIL: cover &lt; "&amp;SG_Criteria!$B$20&amp;" mm. ","")&amp;IF(AND(AD217&lt;&gt;"",AD217&lt;1),"FAIL: sliding. ","")&amp;IF(AND(D217="Reverse L-Wall (toe only, at boundary)",N(S217)&gt;0),"NOTE: reverse L-wall should have no heel. ","")&amp;IF(AND(D217="L-Wall (heel only)",N(R217)&gt;0),"NOTE: L-wall should have no toe. ","")&amp;IF(AND(F217&lt;&gt;"",F217&lt;SG_Criteria!$B$31),"NOTE: q below LTA min "&amp;SG_Criteria!$B$31&amp;" kPa (not for LTA works). ",""))=0,"OK",IF(AND(V217&lt;&gt;"",IFERROR(VALUE(MID(V217,2,2)),0)&lt;SG_Criteria!$B$19),"FAIL: grade below C"&amp;SG_Criteria!$B$19&amp;". ","")&amp;IF(AND(W217&lt;&gt;"",W217&lt;SG_Criteria!$B$20),"FAIL: cover &lt; "&amp;SG_Criteria!$B$20&amp;" mm. ","")&amp;IF(AND(AD217&lt;&gt;"",AD217&lt;1),"FAIL: sliding. ","")&amp;IF(AND(D217="Reverse L-Wall (toe only, at boundary)",N(S217)&gt;0),"NOTE: reverse L-wall should have no heel. ","")&amp;IF(AND(D217="L-Wall (heel only)",N(R217)&gt;0),"NOTE: L-wall should have no toe. ","")&amp;IF(AND(F217&lt;&gt;"",F217&lt;SG_Criteria!$B$31),"NOTE: q below LTA min "&amp;SG_Criteria!$B$31&amp;" kPa (not for LTA works). ","")))</f>
        <v/>
      </c>
      <c r="BK217" s="9"/>
      <c r="BL217" s="9"/>
      <c r="BM217" s="9"/>
      <c r="BN217" s="10" t="str">
        <f aca="false">IF(BM217="","",IFERROR(VLOOKUP(BM217,Projects!$A$5:$D$504,2,0),"Ref not in Projects"))</f>
        <v/>
      </c>
      <c r="BO217" s="10" t="str">
        <f aca="false">IF(BM217="","",IFERROR(VLOOKUP(BM217,Projects!$A$5:$D$504,4,0),"Ref not in Projects"))</f>
        <v/>
      </c>
      <c r="BP217" s="9"/>
      <c r="BQ217" s="9"/>
      <c r="BR217" s="9"/>
      <c r="BS217" s="40"/>
      <c r="BT217" s="9"/>
      <c r="BU217" s="40"/>
      <c r="BV217" s="9"/>
      <c r="BW217" s="40"/>
      <c r="BX217" s="9"/>
      <c r="BY217" s="9"/>
      <c r="BZ217" s="9"/>
      <c r="CA217" s="40"/>
      <c r="CB217" s="40"/>
      <c r="CC217" s="36" t="str">
        <f aca="false">IF(CB217="","",EDATE(CB217,SG_Criteria!$B$54*12))</f>
        <v/>
      </c>
      <c r="CD217" s="33" t="str">
        <f aca="true">IF(A217="","",IF(CB217="","NOTE: not reviewed yet",IF(TODAY()&gt;CC217,"NOTE: review overdue","OK")))</f>
        <v/>
      </c>
      <c r="CE217" s="37" t="str">
        <f aca="false">IF(A217="","",ROUND((IF(LEN(D217)&gt;0,1,0)+IF(LEN(E217)&gt;0,1,0)+IF(LEN(F217)&gt;0,1,0)+IF(LEN(G217)&gt;0,1,0)+IF(LEN(I217)&gt;0,1,0)+IF(LEN(K217)&gt;0,1,0)+IF(LEN(P217)&gt;0,1,0)+IF(LEN(Q217)&gt;0,1,0)+IF(LEN(T217)&gt;0,1,0)+IF(LEN(V217)&gt;0,1,0)+IF(LEN(W217)&gt;0,1,0)+IF(LEN(X217)&gt;0,1,0)+IF(LEN(Z217)&gt;0,1,0)+IF(LEN(AD217)&gt;0,1,0)+IF(LEN(AE217)&gt;0,1,0)+IF(LEN(AG217)&gt;0,1,0)+IF(LEN(AI217)&gt;0,1,0)+IF(LEN(BB217)&gt;0,1,0)+IF(LEN(BC217)&gt;0,1,0)+IF(LEN(AM217)&gt;0,1,0)+IF(LEN(AO217)&gt;0,1,0)+IF(LEN(AP217)&gt;0,1,0)+IF(LEN(AQ217)&gt;0,1,0)+IF(LEN(AR217)&gt;0,1,0)+IF(LEN(BA217)&gt;0,1,0)+IF(LEN(BM217)&gt;0,1,0)+IF(LEN(BZ217)&gt;0,1,0))/27,2))</f>
        <v/>
      </c>
      <c r="CF217" s="10" t="str">
        <f aca="false">IF(D217="","",IF(AND(AP217="Approved",ISERROR(SEARCH("FAIL",BJ217))),"Y","N"))</f>
        <v/>
      </c>
      <c r="CG217" s="10" t="str">
        <f aca="false">IF(D217="","",D217&amp;"|"&amp;E217&amp;"|"&amp;F217&amp;"|"&amp;G217&amp;"|"&amp;CF217)</f>
        <v/>
      </c>
    </row>
    <row r="218" customFormat="false" ht="15" hidden="false" customHeight="false" outlineLevel="0" collapsed="false">
      <c r="A218" s="10" t="str">
        <f aca="false">IF(D218="","","RW-"&amp;IFERROR(VLOOKUP(D218,Lists!$M$4:$N$22,2,0),"??")&amp;"-H"&amp;TEXT(E218*1000,"0000")&amp;"-S"&amp;F218&amp;IF(G218="Y","-GW","")&amp;"-"&amp;AO218)</f>
        <v/>
      </c>
      <c r="B218" s="10" t="str">
        <f aca="false">IF(D218="","",D218&amp;", H = "&amp;TEXT(E218,"0.0")&amp;" m, q = "&amp;F218&amp;" kPa"&amp;IF(G218="Y",", with GWT","")&amp;", "&amp;I218)</f>
        <v/>
      </c>
      <c r="C218" s="9"/>
      <c r="D218" s="9"/>
      <c r="E218" s="39"/>
      <c r="F218" s="38"/>
      <c r="G218" s="9"/>
      <c r="H218" s="38"/>
      <c r="I218" s="9"/>
      <c r="J218" s="38"/>
      <c r="K218" s="38"/>
      <c r="L218" s="38"/>
      <c r="M218" s="42"/>
      <c r="N218" s="9"/>
      <c r="O218" s="38"/>
      <c r="P218" s="38"/>
      <c r="Q218" s="38"/>
      <c r="R218" s="38"/>
      <c r="S218" s="38"/>
      <c r="T218" s="38"/>
      <c r="U218" s="9"/>
      <c r="V218" s="9"/>
      <c r="W218" s="38"/>
      <c r="X218" s="9"/>
      <c r="Y218" s="9"/>
      <c r="Z218" s="9"/>
      <c r="AA218" s="9"/>
      <c r="AB218" s="9"/>
      <c r="AC218" s="9"/>
      <c r="AD218" s="39"/>
      <c r="AE218" s="39"/>
      <c r="AF218" s="39"/>
      <c r="AG218" s="38"/>
      <c r="AH218" s="38"/>
      <c r="AI218" s="9"/>
      <c r="AJ218" s="38"/>
      <c r="AK218" s="9"/>
      <c r="AL218" s="39"/>
      <c r="AM218" s="9"/>
      <c r="AN218" s="9"/>
      <c r="AO218" s="9"/>
      <c r="AP218" s="9"/>
      <c r="AQ218" s="9"/>
      <c r="AR218" s="9"/>
      <c r="AS218" s="9"/>
      <c r="AT218" s="10" t="str">
        <f aca="false">IF(A218="","",SG_Criteria!$B$6&amp;SG_Criteria!$B$8&amp;"\"&amp;A218&amp;"\")</f>
        <v/>
      </c>
      <c r="AU218" s="10" t="str">
        <f aca="false">IF(A218="","",A218&amp;"_CAD.dwg")</f>
        <v/>
      </c>
      <c r="AV218" s="10" t="str">
        <f aca="false">IF(A218="","",A218&amp;"_DWG.pdf")</f>
        <v/>
      </c>
      <c r="AW218" s="10" t="str">
        <f aca="false">IF(A218="","",IF(AS218="Y",A218&amp;"_STAAD.std","n/a"))</f>
        <v/>
      </c>
      <c r="AX218" s="10" t="str">
        <f aca="false">IF(A218="","",A218&amp;"_CALC.xlsx")</f>
        <v/>
      </c>
      <c r="AY218" s="10" t="str">
        <f aca="false">IF(A218="","",A218&amp;"_CALC.pdf")</f>
        <v/>
      </c>
      <c r="AZ218" s="9"/>
      <c r="BA218" s="9"/>
      <c r="BB218" s="39"/>
      <c r="BC218" s="39"/>
      <c r="BD218" s="39"/>
      <c r="BE218" s="39"/>
      <c r="BF218" s="39"/>
      <c r="BG218" s="12" t="str">
        <f aca="false">IF(A218="","",IF(COUNTIF(Rebar_Schedule!$A$5:$A$2004,A218)=0,"",ROUND(SUMIF(Rebar_Schedule!$A$5:$A$2004,A218,Rebar_Schedule!$K$5:$K$2004),1)))</f>
        <v/>
      </c>
      <c r="BH218" s="33" t="str">
        <f aca="false">IF(A218="","",IF(BG218="","No rebar schedule yet",IF(ABS(BG218-N(BC218))/MAX(N(BC218),1)&gt;SG_Criteria!$B$55,"NOTE: register rebar differs from schedule by "&amp;TEXT(ABS(BG218-N(BC218))/MAX(N(BC218),1),"0%"),"OK")))</f>
        <v/>
      </c>
      <c r="BI218" s="33" t="str">
        <f aca="false">IF(OR(D218="",E218=""),"",IF(E218&lt;=IF(OR(D218="Block / Segmental",D218="Gabion",D218="Reinforced Earth (MSE)"),SG_Criteria!$B$34,SG_Criteria!$B$33),"No ERSS submission",IF(E218&lt;=SG_Criteria!$B$35,"QP(ST)",IF(E218&lt;=SG_Criteria!$B$36,"QP(ST) + AC","Geotechnical building works: QP(Geo) + AC"))))</f>
        <v/>
      </c>
      <c r="BJ218" s="33" t="str">
        <f aca="false">IF(D218="","",IF(LEN(IF(AND(V218&lt;&gt;"",IFERROR(VALUE(MID(V218,2,2)),0)&lt;SG_Criteria!$B$19),"FAIL: grade below C"&amp;SG_Criteria!$B$19&amp;". ","")&amp;IF(AND(W218&lt;&gt;"",W218&lt;SG_Criteria!$B$20),"FAIL: cover &lt; "&amp;SG_Criteria!$B$20&amp;" mm. ","")&amp;IF(AND(AD218&lt;&gt;"",AD218&lt;1),"FAIL: sliding. ","")&amp;IF(AND(D218="Reverse L-Wall (toe only, at boundary)",N(S218)&gt;0),"NOTE: reverse L-wall should have no heel. ","")&amp;IF(AND(D218="L-Wall (heel only)",N(R218)&gt;0),"NOTE: L-wall should have no toe. ","")&amp;IF(AND(F218&lt;&gt;"",F218&lt;SG_Criteria!$B$31),"NOTE: q below LTA min "&amp;SG_Criteria!$B$31&amp;" kPa (not for LTA works). ",""))=0,"OK",IF(AND(V218&lt;&gt;"",IFERROR(VALUE(MID(V218,2,2)),0)&lt;SG_Criteria!$B$19),"FAIL: grade below C"&amp;SG_Criteria!$B$19&amp;". ","")&amp;IF(AND(W218&lt;&gt;"",W218&lt;SG_Criteria!$B$20),"FAIL: cover &lt; "&amp;SG_Criteria!$B$20&amp;" mm. ","")&amp;IF(AND(AD218&lt;&gt;"",AD218&lt;1),"FAIL: sliding. ","")&amp;IF(AND(D218="Reverse L-Wall (toe only, at boundary)",N(S218)&gt;0),"NOTE: reverse L-wall should have no heel. ","")&amp;IF(AND(D218="L-Wall (heel only)",N(R218)&gt;0),"NOTE: L-wall should have no toe. ","")&amp;IF(AND(F218&lt;&gt;"",F218&lt;SG_Criteria!$B$31),"NOTE: q below LTA min "&amp;SG_Criteria!$B$31&amp;" kPa (not for LTA works). ","")))</f>
        <v/>
      </c>
      <c r="BK218" s="9"/>
      <c r="BL218" s="9"/>
      <c r="BM218" s="9"/>
      <c r="BN218" s="10" t="str">
        <f aca="false">IF(BM218="","",IFERROR(VLOOKUP(BM218,Projects!$A$5:$D$504,2,0),"Ref not in Projects"))</f>
        <v/>
      </c>
      <c r="BO218" s="10" t="str">
        <f aca="false">IF(BM218="","",IFERROR(VLOOKUP(BM218,Projects!$A$5:$D$504,4,0),"Ref not in Projects"))</f>
        <v/>
      </c>
      <c r="BP218" s="9"/>
      <c r="BQ218" s="9"/>
      <c r="BR218" s="9"/>
      <c r="BS218" s="40"/>
      <c r="BT218" s="9"/>
      <c r="BU218" s="40"/>
      <c r="BV218" s="9"/>
      <c r="BW218" s="40"/>
      <c r="BX218" s="9"/>
      <c r="BY218" s="9"/>
      <c r="BZ218" s="9"/>
      <c r="CA218" s="40"/>
      <c r="CB218" s="40"/>
      <c r="CC218" s="36" t="str">
        <f aca="false">IF(CB218="","",EDATE(CB218,SG_Criteria!$B$54*12))</f>
        <v/>
      </c>
      <c r="CD218" s="33" t="str">
        <f aca="true">IF(A218="","",IF(CB218="","NOTE: not reviewed yet",IF(TODAY()&gt;CC218,"NOTE: review overdue","OK")))</f>
        <v/>
      </c>
      <c r="CE218" s="37" t="str">
        <f aca="false">IF(A218="","",ROUND((IF(LEN(D218)&gt;0,1,0)+IF(LEN(E218)&gt;0,1,0)+IF(LEN(F218)&gt;0,1,0)+IF(LEN(G218)&gt;0,1,0)+IF(LEN(I218)&gt;0,1,0)+IF(LEN(K218)&gt;0,1,0)+IF(LEN(P218)&gt;0,1,0)+IF(LEN(Q218)&gt;0,1,0)+IF(LEN(T218)&gt;0,1,0)+IF(LEN(V218)&gt;0,1,0)+IF(LEN(W218)&gt;0,1,0)+IF(LEN(X218)&gt;0,1,0)+IF(LEN(Z218)&gt;0,1,0)+IF(LEN(AD218)&gt;0,1,0)+IF(LEN(AE218)&gt;0,1,0)+IF(LEN(AG218)&gt;0,1,0)+IF(LEN(AI218)&gt;0,1,0)+IF(LEN(BB218)&gt;0,1,0)+IF(LEN(BC218)&gt;0,1,0)+IF(LEN(AM218)&gt;0,1,0)+IF(LEN(AO218)&gt;0,1,0)+IF(LEN(AP218)&gt;0,1,0)+IF(LEN(AQ218)&gt;0,1,0)+IF(LEN(AR218)&gt;0,1,0)+IF(LEN(BA218)&gt;0,1,0)+IF(LEN(BM218)&gt;0,1,0)+IF(LEN(BZ218)&gt;0,1,0))/27,2))</f>
        <v/>
      </c>
      <c r="CF218" s="10" t="str">
        <f aca="false">IF(D218="","",IF(AND(AP218="Approved",ISERROR(SEARCH("FAIL",BJ218))),"Y","N"))</f>
        <v/>
      </c>
      <c r="CG218" s="10" t="str">
        <f aca="false">IF(D218="","",D218&amp;"|"&amp;E218&amp;"|"&amp;F218&amp;"|"&amp;G218&amp;"|"&amp;CF218)</f>
        <v/>
      </c>
    </row>
    <row r="219" customFormat="false" ht="15" hidden="false" customHeight="false" outlineLevel="0" collapsed="false">
      <c r="A219" s="10" t="str">
        <f aca="false">IF(D219="","","RW-"&amp;IFERROR(VLOOKUP(D219,Lists!$M$4:$N$22,2,0),"??")&amp;"-H"&amp;TEXT(E219*1000,"0000")&amp;"-S"&amp;F219&amp;IF(G219="Y","-GW","")&amp;"-"&amp;AO219)</f>
        <v/>
      </c>
      <c r="B219" s="10" t="str">
        <f aca="false">IF(D219="","",D219&amp;", H = "&amp;TEXT(E219,"0.0")&amp;" m, q = "&amp;F219&amp;" kPa"&amp;IF(G219="Y",", with GWT","")&amp;", "&amp;I219)</f>
        <v/>
      </c>
      <c r="C219" s="9"/>
      <c r="D219" s="9"/>
      <c r="E219" s="39"/>
      <c r="F219" s="38"/>
      <c r="G219" s="9"/>
      <c r="H219" s="38"/>
      <c r="I219" s="9"/>
      <c r="J219" s="38"/>
      <c r="K219" s="38"/>
      <c r="L219" s="38"/>
      <c r="M219" s="42"/>
      <c r="N219" s="9"/>
      <c r="O219" s="38"/>
      <c r="P219" s="38"/>
      <c r="Q219" s="38"/>
      <c r="R219" s="38"/>
      <c r="S219" s="38"/>
      <c r="T219" s="38"/>
      <c r="U219" s="9"/>
      <c r="V219" s="9"/>
      <c r="W219" s="38"/>
      <c r="X219" s="9"/>
      <c r="Y219" s="9"/>
      <c r="Z219" s="9"/>
      <c r="AA219" s="9"/>
      <c r="AB219" s="9"/>
      <c r="AC219" s="9"/>
      <c r="AD219" s="39"/>
      <c r="AE219" s="39"/>
      <c r="AF219" s="39"/>
      <c r="AG219" s="38"/>
      <c r="AH219" s="38"/>
      <c r="AI219" s="9"/>
      <c r="AJ219" s="38"/>
      <c r="AK219" s="9"/>
      <c r="AL219" s="39"/>
      <c r="AM219" s="9"/>
      <c r="AN219" s="9"/>
      <c r="AO219" s="9"/>
      <c r="AP219" s="9"/>
      <c r="AQ219" s="9"/>
      <c r="AR219" s="9"/>
      <c r="AS219" s="9"/>
      <c r="AT219" s="10" t="str">
        <f aca="false">IF(A219="","",SG_Criteria!$B$6&amp;SG_Criteria!$B$8&amp;"\"&amp;A219&amp;"\")</f>
        <v/>
      </c>
      <c r="AU219" s="10" t="str">
        <f aca="false">IF(A219="","",A219&amp;"_CAD.dwg")</f>
        <v/>
      </c>
      <c r="AV219" s="10" t="str">
        <f aca="false">IF(A219="","",A219&amp;"_DWG.pdf")</f>
        <v/>
      </c>
      <c r="AW219" s="10" t="str">
        <f aca="false">IF(A219="","",IF(AS219="Y",A219&amp;"_STAAD.std","n/a"))</f>
        <v/>
      </c>
      <c r="AX219" s="10" t="str">
        <f aca="false">IF(A219="","",A219&amp;"_CALC.xlsx")</f>
        <v/>
      </c>
      <c r="AY219" s="10" t="str">
        <f aca="false">IF(A219="","",A219&amp;"_CALC.pdf")</f>
        <v/>
      </c>
      <c r="AZ219" s="9"/>
      <c r="BA219" s="9"/>
      <c r="BB219" s="39"/>
      <c r="BC219" s="39"/>
      <c r="BD219" s="39"/>
      <c r="BE219" s="39"/>
      <c r="BF219" s="39"/>
      <c r="BG219" s="12" t="str">
        <f aca="false">IF(A219="","",IF(COUNTIF(Rebar_Schedule!$A$5:$A$2004,A219)=0,"",ROUND(SUMIF(Rebar_Schedule!$A$5:$A$2004,A219,Rebar_Schedule!$K$5:$K$2004),1)))</f>
        <v/>
      </c>
      <c r="BH219" s="33" t="str">
        <f aca="false">IF(A219="","",IF(BG219="","No rebar schedule yet",IF(ABS(BG219-N(BC219))/MAX(N(BC219),1)&gt;SG_Criteria!$B$55,"NOTE: register rebar differs from schedule by "&amp;TEXT(ABS(BG219-N(BC219))/MAX(N(BC219),1),"0%"),"OK")))</f>
        <v/>
      </c>
      <c r="BI219" s="33" t="str">
        <f aca="false">IF(OR(D219="",E219=""),"",IF(E219&lt;=IF(OR(D219="Block / Segmental",D219="Gabion",D219="Reinforced Earth (MSE)"),SG_Criteria!$B$34,SG_Criteria!$B$33),"No ERSS submission",IF(E219&lt;=SG_Criteria!$B$35,"QP(ST)",IF(E219&lt;=SG_Criteria!$B$36,"QP(ST) + AC","Geotechnical building works: QP(Geo) + AC"))))</f>
        <v/>
      </c>
      <c r="BJ219" s="33" t="str">
        <f aca="false">IF(D219="","",IF(LEN(IF(AND(V219&lt;&gt;"",IFERROR(VALUE(MID(V219,2,2)),0)&lt;SG_Criteria!$B$19),"FAIL: grade below C"&amp;SG_Criteria!$B$19&amp;". ","")&amp;IF(AND(W219&lt;&gt;"",W219&lt;SG_Criteria!$B$20),"FAIL: cover &lt; "&amp;SG_Criteria!$B$20&amp;" mm. ","")&amp;IF(AND(AD219&lt;&gt;"",AD219&lt;1),"FAIL: sliding. ","")&amp;IF(AND(D219="Reverse L-Wall (toe only, at boundary)",N(S219)&gt;0),"NOTE: reverse L-wall should have no heel. ","")&amp;IF(AND(D219="L-Wall (heel only)",N(R219)&gt;0),"NOTE: L-wall should have no toe. ","")&amp;IF(AND(F219&lt;&gt;"",F219&lt;SG_Criteria!$B$31),"NOTE: q below LTA min "&amp;SG_Criteria!$B$31&amp;" kPa (not for LTA works). ",""))=0,"OK",IF(AND(V219&lt;&gt;"",IFERROR(VALUE(MID(V219,2,2)),0)&lt;SG_Criteria!$B$19),"FAIL: grade below C"&amp;SG_Criteria!$B$19&amp;". ","")&amp;IF(AND(W219&lt;&gt;"",W219&lt;SG_Criteria!$B$20),"FAIL: cover &lt; "&amp;SG_Criteria!$B$20&amp;" mm. ","")&amp;IF(AND(AD219&lt;&gt;"",AD219&lt;1),"FAIL: sliding. ","")&amp;IF(AND(D219="Reverse L-Wall (toe only, at boundary)",N(S219)&gt;0),"NOTE: reverse L-wall should have no heel. ","")&amp;IF(AND(D219="L-Wall (heel only)",N(R219)&gt;0),"NOTE: L-wall should have no toe. ","")&amp;IF(AND(F219&lt;&gt;"",F219&lt;SG_Criteria!$B$31),"NOTE: q below LTA min "&amp;SG_Criteria!$B$31&amp;" kPa (not for LTA works). ","")))</f>
        <v/>
      </c>
      <c r="BK219" s="9"/>
      <c r="BL219" s="9"/>
      <c r="BM219" s="9"/>
      <c r="BN219" s="10" t="str">
        <f aca="false">IF(BM219="","",IFERROR(VLOOKUP(BM219,Projects!$A$5:$D$504,2,0),"Ref not in Projects"))</f>
        <v/>
      </c>
      <c r="BO219" s="10" t="str">
        <f aca="false">IF(BM219="","",IFERROR(VLOOKUP(BM219,Projects!$A$5:$D$504,4,0),"Ref not in Projects"))</f>
        <v/>
      </c>
      <c r="BP219" s="9"/>
      <c r="BQ219" s="9"/>
      <c r="BR219" s="9"/>
      <c r="BS219" s="40"/>
      <c r="BT219" s="9"/>
      <c r="BU219" s="40"/>
      <c r="BV219" s="9"/>
      <c r="BW219" s="40"/>
      <c r="BX219" s="9"/>
      <c r="BY219" s="9"/>
      <c r="BZ219" s="9"/>
      <c r="CA219" s="40"/>
      <c r="CB219" s="40"/>
      <c r="CC219" s="36" t="str">
        <f aca="false">IF(CB219="","",EDATE(CB219,SG_Criteria!$B$54*12))</f>
        <v/>
      </c>
      <c r="CD219" s="33" t="str">
        <f aca="true">IF(A219="","",IF(CB219="","NOTE: not reviewed yet",IF(TODAY()&gt;CC219,"NOTE: review overdue","OK")))</f>
        <v/>
      </c>
      <c r="CE219" s="37" t="str">
        <f aca="false">IF(A219="","",ROUND((IF(LEN(D219)&gt;0,1,0)+IF(LEN(E219)&gt;0,1,0)+IF(LEN(F219)&gt;0,1,0)+IF(LEN(G219)&gt;0,1,0)+IF(LEN(I219)&gt;0,1,0)+IF(LEN(K219)&gt;0,1,0)+IF(LEN(P219)&gt;0,1,0)+IF(LEN(Q219)&gt;0,1,0)+IF(LEN(T219)&gt;0,1,0)+IF(LEN(V219)&gt;0,1,0)+IF(LEN(W219)&gt;0,1,0)+IF(LEN(X219)&gt;0,1,0)+IF(LEN(Z219)&gt;0,1,0)+IF(LEN(AD219)&gt;0,1,0)+IF(LEN(AE219)&gt;0,1,0)+IF(LEN(AG219)&gt;0,1,0)+IF(LEN(AI219)&gt;0,1,0)+IF(LEN(BB219)&gt;0,1,0)+IF(LEN(BC219)&gt;0,1,0)+IF(LEN(AM219)&gt;0,1,0)+IF(LEN(AO219)&gt;0,1,0)+IF(LEN(AP219)&gt;0,1,0)+IF(LEN(AQ219)&gt;0,1,0)+IF(LEN(AR219)&gt;0,1,0)+IF(LEN(BA219)&gt;0,1,0)+IF(LEN(BM219)&gt;0,1,0)+IF(LEN(BZ219)&gt;0,1,0))/27,2))</f>
        <v/>
      </c>
      <c r="CF219" s="10" t="str">
        <f aca="false">IF(D219="","",IF(AND(AP219="Approved",ISERROR(SEARCH("FAIL",BJ219))),"Y","N"))</f>
        <v/>
      </c>
      <c r="CG219" s="10" t="str">
        <f aca="false">IF(D219="","",D219&amp;"|"&amp;E219&amp;"|"&amp;F219&amp;"|"&amp;G219&amp;"|"&amp;CF219)</f>
        <v/>
      </c>
    </row>
    <row r="220" customFormat="false" ht="15" hidden="false" customHeight="false" outlineLevel="0" collapsed="false">
      <c r="A220" s="10" t="str">
        <f aca="false">IF(D220="","","RW-"&amp;IFERROR(VLOOKUP(D220,Lists!$M$4:$N$22,2,0),"??")&amp;"-H"&amp;TEXT(E220*1000,"0000")&amp;"-S"&amp;F220&amp;IF(G220="Y","-GW","")&amp;"-"&amp;AO220)</f>
        <v/>
      </c>
      <c r="B220" s="10" t="str">
        <f aca="false">IF(D220="","",D220&amp;", H = "&amp;TEXT(E220,"0.0")&amp;" m, q = "&amp;F220&amp;" kPa"&amp;IF(G220="Y",", with GWT","")&amp;", "&amp;I220)</f>
        <v/>
      </c>
      <c r="C220" s="9"/>
      <c r="D220" s="9"/>
      <c r="E220" s="39"/>
      <c r="F220" s="38"/>
      <c r="G220" s="9"/>
      <c r="H220" s="38"/>
      <c r="I220" s="9"/>
      <c r="J220" s="38"/>
      <c r="K220" s="38"/>
      <c r="L220" s="38"/>
      <c r="M220" s="42"/>
      <c r="N220" s="9"/>
      <c r="O220" s="38"/>
      <c r="P220" s="38"/>
      <c r="Q220" s="38"/>
      <c r="R220" s="38"/>
      <c r="S220" s="38"/>
      <c r="T220" s="38"/>
      <c r="U220" s="9"/>
      <c r="V220" s="9"/>
      <c r="W220" s="38"/>
      <c r="X220" s="9"/>
      <c r="Y220" s="9"/>
      <c r="Z220" s="9"/>
      <c r="AA220" s="9"/>
      <c r="AB220" s="9"/>
      <c r="AC220" s="9"/>
      <c r="AD220" s="39"/>
      <c r="AE220" s="39"/>
      <c r="AF220" s="39"/>
      <c r="AG220" s="38"/>
      <c r="AH220" s="38"/>
      <c r="AI220" s="9"/>
      <c r="AJ220" s="38"/>
      <c r="AK220" s="9"/>
      <c r="AL220" s="39"/>
      <c r="AM220" s="9"/>
      <c r="AN220" s="9"/>
      <c r="AO220" s="9"/>
      <c r="AP220" s="9"/>
      <c r="AQ220" s="9"/>
      <c r="AR220" s="9"/>
      <c r="AS220" s="9"/>
      <c r="AT220" s="10" t="str">
        <f aca="false">IF(A220="","",SG_Criteria!$B$6&amp;SG_Criteria!$B$8&amp;"\"&amp;A220&amp;"\")</f>
        <v/>
      </c>
      <c r="AU220" s="10" t="str">
        <f aca="false">IF(A220="","",A220&amp;"_CAD.dwg")</f>
        <v/>
      </c>
      <c r="AV220" s="10" t="str">
        <f aca="false">IF(A220="","",A220&amp;"_DWG.pdf")</f>
        <v/>
      </c>
      <c r="AW220" s="10" t="str">
        <f aca="false">IF(A220="","",IF(AS220="Y",A220&amp;"_STAAD.std","n/a"))</f>
        <v/>
      </c>
      <c r="AX220" s="10" t="str">
        <f aca="false">IF(A220="","",A220&amp;"_CALC.xlsx")</f>
        <v/>
      </c>
      <c r="AY220" s="10" t="str">
        <f aca="false">IF(A220="","",A220&amp;"_CALC.pdf")</f>
        <v/>
      </c>
      <c r="AZ220" s="9"/>
      <c r="BA220" s="9"/>
      <c r="BB220" s="39"/>
      <c r="BC220" s="39"/>
      <c r="BD220" s="39"/>
      <c r="BE220" s="39"/>
      <c r="BF220" s="39"/>
      <c r="BG220" s="12" t="str">
        <f aca="false">IF(A220="","",IF(COUNTIF(Rebar_Schedule!$A$5:$A$2004,A220)=0,"",ROUND(SUMIF(Rebar_Schedule!$A$5:$A$2004,A220,Rebar_Schedule!$K$5:$K$2004),1)))</f>
        <v/>
      </c>
      <c r="BH220" s="33" t="str">
        <f aca="false">IF(A220="","",IF(BG220="","No rebar schedule yet",IF(ABS(BG220-N(BC220))/MAX(N(BC220),1)&gt;SG_Criteria!$B$55,"NOTE: register rebar differs from schedule by "&amp;TEXT(ABS(BG220-N(BC220))/MAX(N(BC220),1),"0%"),"OK")))</f>
        <v/>
      </c>
      <c r="BI220" s="33" t="str">
        <f aca="false">IF(OR(D220="",E220=""),"",IF(E220&lt;=IF(OR(D220="Block / Segmental",D220="Gabion",D220="Reinforced Earth (MSE)"),SG_Criteria!$B$34,SG_Criteria!$B$33),"No ERSS submission",IF(E220&lt;=SG_Criteria!$B$35,"QP(ST)",IF(E220&lt;=SG_Criteria!$B$36,"QP(ST) + AC","Geotechnical building works: QP(Geo) + AC"))))</f>
        <v/>
      </c>
      <c r="BJ220" s="33" t="str">
        <f aca="false">IF(D220="","",IF(LEN(IF(AND(V220&lt;&gt;"",IFERROR(VALUE(MID(V220,2,2)),0)&lt;SG_Criteria!$B$19),"FAIL: grade below C"&amp;SG_Criteria!$B$19&amp;". ","")&amp;IF(AND(W220&lt;&gt;"",W220&lt;SG_Criteria!$B$20),"FAIL: cover &lt; "&amp;SG_Criteria!$B$20&amp;" mm. ","")&amp;IF(AND(AD220&lt;&gt;"",AD220&lt;1),"FAIL: sliding. ","")&amp;IF(AND(D220="Reverse L-Wall (toe only, at boundary)",N(S220)&gt;0),"NOTE: reverse L-wall should have no heel. ","")&amp;IF(AND(D220="L-Wall (heel only)",N(R220)&gt;0),"NOTE: L-wall should have no toe. ","")&amp;IF(AND(F220&lt;&gt;"",F220&lt;SG_Criteria!$B$31),"NOTE: q below LTA min "&amp;SG_Criteria!$B$31&amp;" kPa (not for LTA works). ",""))=0,"OK",IF(AND(V220&lt;&gt;"",IFERROR(VALUE(MID(V220,2,2)),0)&lt;SG_Criteria!$B$19),"FAIL: grade below C"&amp;SG_Criteria!$B$19&amp;". ","")&amp;IF(AND(W220&lt;&gt;"",W220&lt;SG_Criteria!$B$20),"FAIL: cover &lt; "&amp;SG_Criteria!$B$20&amp;" mm. ","")&amp;IF(AND(AD220&lt;&gt;"",AD220&lt;1),"FAIL: sliding. ","")&amp;IF(AND(D220="Reverse L-Wall (toe only, at boundary)",N(S220)&gt;0),"NOTE: reverse L-wall should have no heel. ","")&amp;IF(AND(D220="L-Wall (heel only)",N(R220)&gt;0),"NOTE: L-wall should have no toe. ","")&amp;IF(AND(F220&lt;&gt;"",F220&lt;SG_Criteria!$B$31),"NOTE: q below LTA min "&amp;SG_Criteria!$B$31&amp;" kPa (not for LTA works). ","")))</f>
        <v/>
      </c>
      <c r="BK220" s="9"/>
      <c r="BL220" s="9"/>
      <c r="BM220" s="9"/>
      <c r="BN220" s="10" t="str">
        <f aca="false">IF(BM220="","",IFERROR(VLOOKUP(BM220,Projects!$A$5:$D$504,2,0),"Ref not in Projects"))</f>
        <v/>
      </c>
      <c r="BO220" s="10" t="str">
        <f aca="false">IF(BM220="","",IFERROR(VLOOKUP(BM220,Projects!$A$5:$D$504,4,0),"Ref not in Projects"))</f>
        <v/>
      </c>
      <c r="BP220" s="9"/>
      <c r="BQ220" s="9"/>
      <c r="BR220" s="9"/>
      <c r="BS220" s="40"/>
      <c r="BT220" s="9"/>
      <c r="BU220" s="40"/>
      <c r="BV220" s="9"/>
      <c r="BW220" s="40"/>
      <c r="BX220" s="9"/>
      <c r="BY220" s="9"/>
      <c r="BZ220" s="9"/>
      <c r="CA220" s="40"/>
      <c r="CB220" s="40"/>
      <c r="CC220" s="36" t="str">
        <f aca="false">IF(CB220="","",EDATE(CB220,SG_Criteria!$B$54*12))</f>
        <v/>
      </c>
      <c r="CD220" s="33" t="str">
        <f aca="true">IF(A220="","",IF(CB220="","NOTE: not reviewed yet",IF(TODAY()&gt;CC220,"NOTE: review overdue","OK")))</f>
        <v/>
      </c>
      <c r="CE220" s="37" t="str">
        <f aca="false">IF(A220="","",ROUND((IF(LEN(D220)&gt;0,1,0)+IF(LEN(E220)&gt;0,1,0)+IF(LEN(F220)&gt;0,1,0)+IF(LEN(G220)&gt;0,1,0)+IF(LEN(I220)&gt;0,1,0)+IF(LEN(K220)&gt;0,1,0)+IF(LEN(P220)&gt;0,1,0)+IF(LEN(Q220)&gt;0,1,0)+IF(LEN(T220)&gt;0,1,0)+IF(LEN(V220)&gt;0,1,0)+IF(LEN(W220)&gt;0,1,0)+IF(LEN(X220)&gt;0,1,0)+IF(LEN(Z220)&gt;0,1,0)+IF(LEN(AD220)&gt;0,1,0)+IF(LEN(AE220)&gt;0,1,0)+IF(LEN(AG220)&gt;0,1,0)+IF(LEN(AI220)&gt;0,1,0)+IF(LEN(BB220)&gt;0,1,0)+IF(LEN(BC220)&gt;0,1,0)+IF(LEN(AM220)&gt;0,1,0)+IF(LEN(AO220)&gt;0,1,0)+IF(LEN(AP220)&gt;0,1,0)+IF(LEN(AQ220)&gt;0,1,0)+IF(LEN(AR220)&gt;0,1,0)+IF(LEN(BA220)&gt;0,1,0)+IF(LEN(BM220)&gt;0,1,0)+IF(LEN(BZ220)&gt;0,1,0))/27,2))</f>
        <v/>
      </c>
      <c r="CF220" s="10" t="str">
        <f aca="false">IF(D220="","",IF(AND(AP220="Approved",ISERROR(SEARCH("FAIL",BJ220))),"Y","N"))</f>
        <v/>
      </c>
      <c r="CG220" s="10" t="str">
        <f aca="false">IF(D220="","",D220&amp;"|"&amp;E220&amp;"|"&amp;F220&amp;"|"&amp;G220&amp;"|"&amp;CF220)</f>
        <v/>
      </c>
    </row>
    <row r="221" customFormat="false" ht="15" hidden="false" customHeight="false" outlineLevel="0" collapsed="false">
      <c r="A221" s="10" t="str">
        <f aca="false">IF(D221="","","RW-"&amp;IFERROR(VLOOKUP(D221,Lists!$M$4:$N$22,2,0),"??")&amp;"-H"&amp;TEXT(E221*1000,"0000")&amp;"-S"&amp;F221&amp;IF(G221="Y","-GW","")&amp;"-"&amp;AO221)</f>
        <v/>
      </c>
      <c r="B221" s="10" t="str">
        <f aca="false">IF(D221="","",D221&amp;", H = "&amp;TEXT(E221,"0.0")&amp;" m, q = "&amp;F221&amp;" kPa"&amp;IF(G221="Y",", with GWT","")&amp;", "&amp;I221)</f>
        <v/>
      </c>
      <c r="C221" s="9"/>
      <c r="D221" s="9"/>
      <c r="E221" s="39"/>
      <c r="F221" s="38"/>
      <c r="G221" s="9"/>
      <c r="H221" s="38"/>
      <c r="I221" s="9"/>
      <c r="J221" s="38"/>
      <c r="K221" s="38"/>
      <c r="L221" s="38"/>
      <c r="M221" s="42"/>
      <c r="N221" s="9"/>
      <c r="O221" s="38"/>
      <c r="P221" s="38"/>
      <c r="Q221" s="38"/>
      <c r="R221" s="38"/>
      <c r="S221" s="38"/>
      <c r="T221" s="38"/>
      <c r="U221" s="9"/>
      <c r="V221" s="9"/>
      <c r="W221" s="38"/>
      <c r="X221" s="9"/>
      <c r="Y221" s="9"/>
      <c r="Z221" s="9"/>
      <c r="AA221" s="9"/>
      <c r="AB221" s="9"/>
      <c r="AC221" s="9"/>
      <c r="AD221" s="39"/>
      <c r="AE221" s="39"/>
      <c r="AF221" s="39"/>
      <c r="AG221" s="38"/>
      <c r="AH221" s="38"/>
      <c r="AI221" s="9"/>
      <c r="AJ221" s="38"/>
      <c r="AK221" s="9"/>
      <c r="AL221" s="39"/>
      <c r="AM221" s="9"/>
      <c r="AN221" s="9"/>
      <c r="AO221" s="9"/>
      <c r="AP221" s="9"/>
      <c r="AQ221" s="9"/>
      <c r="AR221" s="9"/>
      <c r="AS221" s="9"/>
      <c r="AT221" s="10" t="str">
        <f aca="false">IF(A221="","",SG_Criteria!$B$6&amp;SG_Criteria!$B$8&amp;"\"&amp;A221&amp;"\")</f>
        <v/>
      </c>
      <c r="AU221" s="10" t="str">
        <f aca="false">IF(A221="","",A221&amp;"_CAD.dwg")</f>
        <v/>
      </c>
      <c r="AV221" s="10" t="str">
        <f aca="false">IF(A221="","",A221&amp;"_DWG.pdf")</f>
        <v/>
      </c>
      <c r="AW221" s="10" t="str">
        <f aca="false">IF(A221="","",IF(AS221="Y",A221&amp;"_STAAD.std","n/a"))</f>
        <v/>
      </c>
      <c r="AX221" s="10" t="str">
        <f aca="false">IF(A221="","",A221&amp;"_CALC.xlsx")</f>
        <v/>
      </c>
      <c r="AY221" s="10" t="str">
        <f aca="false">IF(A221="","",A221&amp;"_CALC.pdf")</f>
        <v/>
      </c>
      <c r="AZ221" s="9"/>
      <c r="BA221" s="9"/>
      <c r="BB221" s="39"/>
      <c r="BC221" s="39"/>
      <c r="BD221" s="39"/>
      <c r="BE221" s="39"/>
      <c r="BF221" s="39"/>
      <c r="BG221" s="12" t="str">
        <f aca="false">IF(A221="","",IF(COUNTIF(Rebar_Schedule!$A$5:$A$2004,A221)=0,"",ROUND(SUMIF(Rebar_Schedule!$A$5:$A$2004,A221,Rebar_Schedule!$K$5:$K$2004),1)))</f>
        <v/>
      </c>
      <c r="BH221" s="33" t="str">
        <f aca="false">IF(A221="","",IF(BG221="","No rebar schedule yet",IF(ABS(BG221-N(BC221))/MAX(N(BC221),1)&gt;SG_Criteria!$B$55,"NOTE: register rebar differs from schedule by "&amp;TEXT(ABS(BG221-N(BC221))/MAX(N(BC221),1),"0%"),"OK")))</f>
        <v/>
      </c>
      <c r="BI221" s="33" t="str">
        <f aca="false">IF(OR(D221="",E221=""),"",IF(E221&lt;=IF(OR(D221="Block / Segmental",D221="Gabion",D221="Reinforced Earth (MSE)"),SG_Criteria!$B$34,SG_Criteria!$B$33),"No ERSS submission",IF(E221&lt;=SG_Criteria!$B$35,"QP(ST)",IF(E221&lt;=SG_Criteria!$B$36,"QP(ST) + AC","Geotechnical building works: QP(Geo) + AC"))))</f>
        <v/>
      </c>
      <c r="BJ221" s="33" t="str">
        <f aca="false">IF(D221="","",IF(LEN(IF(AND(V221&lt;&gt;"",IFERROR(VALUE(MID(V221,2,2)),0)&lt;SG_Criteria!$B$19),"FAIL: grade below C"&amp;SG_Criteria!$B$19&amp;". ","")&amp;IF(AND(W221&lt;&gt;"",W221&lt;SG_Criteria!$B$20),"FAIL: cover &lt; "&amp;SG_Criteria!$B$20&amp;" mm. ","")&amp;IF(AND(AD221&lt;&gt;"",AD221&lt;1),"FAIL: sliding. ","")&amp;IF(AND(D221="Reverse L-Wall (toe only, at boundary)",N(S221)&gt;0),"NOTE: reverse L-wall should have no heel. ","")&amp;IF(AND(D221="L-Wall (heel only)",N(R221)&gt;0),"NOTE: L-wall should have no toe. ","")&amp;IF(AND(F221&lt;&gt;"",F221&lt;SG_Criteria!$B$31),"NOTE: q below LTA min "&amp;SG_Criteria!$B$31&amp;" kPa (not for LTA works). ",""))=0,"OK",IF(AND(V221&lt;&gt;"",IFERROR(VALUE(MID(V221,2,2)),0)&lt;SG_Criteria!$B$19),"FAIL: grade below C"&amp;SG_Criteria!$B$19&amp;". ","")&amp;IF(AND(W221&lt;&gt;"",W221&lt;SG_Criteria!$B$20),"FAIL: cover &lt; "&amp;SG_Criteria!$B$20&amp;" mm. ","")&amp;IF(AND(AD221&lt;&gt;"",AD221&lt;1),"FAIL: sliding. ","")&amp;IF(AND(D221="Reverse L-Wall (toe only, at boundary)",N(S221)&gt;0),"NOTE: reverse L-wall should have no heel. ","")&amp;IF(AND(D221="L-Wall (heel only)",N(R221)&gt;0),"NOTE: L-wall should have no toe. ","")&amp;IF(AND(F221&lt;&gt;"",F221&lt;SG_Criteria!$B$31),"NOTE: q below LTA min "&amp;SG_Criteria!$B$31&amp;" kPa (not for LTA works). ","")))</f>
        <v/>
      </c>
      <c r="BK221" s="9"/>
      <c r="BL221" s="9"/>
      <c r="BM221" s="9"/>
      <c r="BN221" s="10" t="str">
        <f aca="false">IF(BM221="","",IFERROR(VLOOKUP(BM221,Projects!$A$5:$D$504,2,0),"Ref not in Projects"))</f>
        <v/>
      </c>
      <c r="BO221" s="10" t="str">
        <f aca="false">IF(BM221="","",IFERROR(VLOOKUP(BM221,Projects!$A$5:$D$504,4,0),"Ref not in Projects"))</f>
        <v/>
      </c>
      <c r="BP221" s="9"/>
      <c r="BQ221" s="9"/>
      <c r="BR221" s="9"/>
      <c r="BS221" s="40"/>
      <c r="BT221" s="9"/>
      <c r="BU221" s="40"/>
      <c r="BV221" s="9"/>
      <c r="BW221" s="40"/>
      <c r="BX221" s="9"/>
      <c r="BY221" s="9"/>
      <c r="BZ221" s="9"/>
      <c r="CA221" s="40"/>
      <c r="CB221" s="40"/>
      <c r="CC221" s="36" t="str">
        <f aca="false">IF(CB221="","",EDATE(CB221,SG_Criteria!$B$54*12))</f>
        <v/>
      </c>
      <c r="CD221" s="33" t="str">
        <f aca="true">IF(A221="","",IF(CB221="","NOTE: not reviewed yet",IF(TODAY()&gt;CC221,"NOTE: review overdue","OK")))</f>
        <v/>
      </c>
      <c r="CE221" s="37" t="str">
        <f aca="false">IF(A221="","",ROUND((IF(LEN(D221)&gt;0,1,0)+IF(LEN(E221)&gt;0,1,0)+IF(LEN(F221)&gt;0,1,0)+IF(LEN(G221)&gt;0,1,0)+IF(LEN(I221)&gt;0,1,0)+IF(LEN(K221)&gt;0,1,0)+IF(LEN(P221)&gt;0,1,0)+IF(LEN(Q221)&gt;0,1,0)+IF(LEN(T221)&gt;0,1,0)+IF(LEN(V221)&gt;0,1,0)+IF(LEN(W221)&gt;0,1,0)+IF(LEN(X221)&gt;0,1,0)+IF(LEN(Z221)&gt;0,1,0)+IF(LEN(AD221)&gt;0,1,0)+IF(LEN(AE221)&gt;0,1,0)+IF(LEN(AG221)&gt;0,1,0)+IF(LEN(AI221)&gt;0,1,0)+IF(LEN(BB221)&gt;0,1,0)+IF(LEN(BC221)&gt;0,1,0)+IF(LEN(AM221)&gt;0,1,0)+IF(LEN(AO221)&gt;0,1,0)+IF(LEN(AP221)&gt;0,1,0)+IF(LEN(AQ221)&gt;0,1,0)+IF(LEN(AR221)&gt;0,1,0)+IF(LEN(BA221)&gt;0,1,0)+IF(LEN(BM221)&gt;0,1,0)+IF(LEN(BZ221)&gt;0,1,0))/27,2))</f>
        <v/>
      </c>
      <c r="CF221" s="10" t="str">
        <f aca="false">IF(D221="","",IF(AND(AP221="Approved",ISERROR(SEARCH("FAIL",BJ221))),"Y","N"))</f>
        <v/>
      </c>
      <c r="CG221" s="10" t="str">
        <f aca="false">IF(D221="","",D221&amp;"|"&amp;E221&amp;"|"&amp;F221&amp;"|"&amp;G221&amp;"|"&amp;CF221)</f>
        <v/>
      </c>
    </row>
    <row r="222" customFormat="false" ht="15" hidden="false" customHeight="false" outlineLevel="0" collapsed="false">
      <c r="A222" s="10" t="str">
        <f aca="false">IF(D222="","","RW-"&amp;IFERROR(VLOOKUP(D222,Lists!$M$4:$N$22,2,0),"??")&amp;"-H"&amp;TEXT(E222*1000,"0000")&amp;"-S"&amp;F222&amp;IF(G222="Y","-GW","")&amp;"-"&amp;AO222)</f>
        <v/>
      </c>
      <c r="B222" s="10" t="str">
        <f aca="false">IF(D222="","",D222&amp;", H = "&amp;TEXT(E222,"0.0")&amp;" m, q = "&amp;F222&amp;" kPa"&amp;IF(G222="Y",", with GWT","")&amp;", "&amp;I222)</f>
        <v/>
      </c>
      <c r="C222" s="9"/>
      <c r="D222" s="9"/>
      <c r="E222" s="39"/>
      <c r="F222" s="38"/>
      <c r="G222" s="9"/>
      <c r="H222" s="38"/>
      <c r="I222" s="9"/>
      <c r="J222" s="38"/>
      <c r="K222" s="38"/>
      <c r="L222" s="38"/>
      <c r="M222" s="42"/>
      <c r="N222" s="9"/>
      <c r="O222" s="38"/>
      <c r="P222" s="38"/>
      <c r="Q222" s="38"/>
      <c r="R222" s="38"/>
      <c r="S222" s="38"/>
      <c r="T222" s="38"/>
      <c r="U222" s="9"/>
      <c r="V222" s="9"/>
      <c r="W222" s="38"/>
      <c r="X222" s="9"/>
      <c r="Y222" s="9"/>
      <c r="Z222" s="9"/>
      <c r="AA222" s="9"/>
      <c r="AB222" s="9"/>
      <c r="AC222" s="9"/>
      <c r="AD222" s="39"/>
      <c r="AE222" s="39"/>
      <c r="AF222" s="39"/>
      <c r="AG222" s="38"/>
      <c r="AH222" s="38"/>
      <c r="AI222" s="9"/>
      <c r="AJ222" s="38"/>
      <c r="AK222" s="9"/>
      <c r="AL222" s="39"/>
      <c r="AM222" s="9"/>
      <c r="AN222" s="9"/>
      <c r="AO222" s="9"/>
      <c r="AP222" s="9"/>
      <c r="AQ222" s="9"/>
      <c r="AR222" s="9"/>
      <c r="AS222" s="9"/>
      <c r="AT222" s="10" t="str">
        <f aca="false">IF(A222="","",SG_Criteria!$B$6&amp;SG_Criteria!$B$8&amp;"\"&amp;A222&amp;"\")</f>
        <v/>
      </c>
      <c r="AU222" s="10" t="str">
        <f aca="false">IF(A222="","",A222&amp;"_CAD.dwg")</f>
        <v/>
      </c>
      <c r="AV222" s="10" t="str">
        <f aca="false">IF(A222="","",A222&amp;"_DWG.pdf")</f>
        <v/>
      </c>
      <c r="AW222" s="10" t="str">
        <f aca="false">IF(A222="","",IF(AS222="Y",A222&amp;"_STAAD.std","n/a"))</f>
        <v/>
      </c>
      <c r="AX222" s="10" t="str">
        <f aca="false">IF(A222="","",A222&amp;"_CALC.xlsx")</f>
        <v/>
      </c>
      <c r="AY222" s="10" t="str">
        <f aca="false">IF(A222="","",A222&amp;"_CALC.pdf")</f>
        <v/>
      </c>
      <c r="AZ222" s="9"/>
      <c r="BA222" s="9"/>
      <c r="BB222" s="39"/>
      <c r="BC222" s="39"/>
      <c r="BD222" s="39"/>
      <c r="BE222" s="39"/>
      <c r="BF222" s="39"/>
      <c r="BG222" s="12" t="str">
        <f aca="false">IF(A222="","",IF(COUNTIF(Rebar_Schedule!$A$5:$A$2004,A222)=0,"",ROUND(SUMIF(Rebar_Schedule!$A$5:$A$2004,A222,Rebar_Schedule!$K$5:$K$2004),1)))</f>
        <v/>
      </c>
      <c r="BH222" s="33" t="str">
        <f aca="false">IF(A222="","",IF(BG222="","No rebar schedule yet",IF(ABS(BG222-N(BC222))/MAX(N(BC222),1)&gt;SG_Criteria!$B$55,"NOTE: register rebar differs from schedule by "&amp;TEXT(ABS(BG222-N(BC222))/MAX(N(BC222),1),"0%"),"OK")))</f>
        <v/>
      </c>
      <c r="BI222" s="33" t="str">
        <f aca="false">IF(OR(D222="",E222=""),"",IF(E222&lt;=IF(OR(D222="Block / Segmental",D222="Gabion",D222="Reinforced Earth (MSE)"),SG_Criteria!$B$34,SG_Criteria!$B$33),"No ERSS submission",IF(E222&lt;=SG_Criteria!$B$35,"QP(ST)",IF(E222&lt;=SG_Criteria!$B$36,"QP(ST) + AC","Geotechnical building works: QP(Geo) + AC"))))</f>
        <v/>
      </c>
      <c r="BJ222" s="33" t="str">
        <f aca="false">IF(D222="","",IF(LEN(IF(AND(V222&lt;&gt;"",IFERROR(VALUE(MID(V222,2,2)),0)&lt;SG_Criteria!$B$19),"FAIL: grade below C"&amp;SG_Criteria!$B$19&amp;". ","")&amp;IF(AND(W222&lt;&gt;"",W222&lt;SG_Criteria!$B$20),"FAIL: cover &lt; "&amp;SG_Criteria!$B$20&amp;" mm. ","")&amp;IF(AND(AD222&lt;&gt;"",AD222&lt;1),"FAIL: sliding. ","")&amp;IF(AND(D222="Reverse L-Wall (toe only, at boundary)",N(S222)&gt;0),"NOTE: reverse L-wall should have no heel. ","")&amp;IF(AND(D222="L-Wall (heel only)",N(R222)&gt;0),"NOTE: L-wall should have no toe. ","")&amp;IF(AND(F222&lt;&gt;"",F222&lt;SG_Criteria!$B$31),"NOTE: q below LTA min "&amp;SG_Criteria!$B$31&amp;" kPa (not for LTA works). ",""))=0,"OK",IF(AND(V222&lt;&gt;"",IFERROR(VALUE(MID(V222,2,2)),0)&lt;SG_Criteria!$B$19),"FAIL: grade below C"&amp;SG_Criteria!$B$19&amp;". ","")&amp;IF(AND(W222&lt;&gt;"",W222&lt;SG_Criteria!$B$20),"FAIL: cover &lt; "&amp;SG_Criteria!$B$20&amp;" mm. ","")&amp;IF(AND(AD222&lt;&gt;"",AD222&lt;1),"FAIL: sliding. ","")&amp;IF(AND(D222="Reverse L-Wall (toe only, at boundary)",N(S222)&gt;0),"NOTE: reverse L-wall should have no heel. ","")&amp;IF(AND(D222="L-Wall (heel only)",N(R222)&gt;0),"NOTE: L-wall should have no toe. ","")&amp;IF(AND(F222&lt;&gt;"",F222&lt;SG_Criteria!$B$31),"NOTE: q below LTA min "&amp;SG_Criteria!$B$31&amp;" kPa (not for LTA works). ","")))</f>
        <v/>
      </c>
      <c r="BK222" s="9"/>
      <c r="BL222" s="9"/>
      <c r="BM222" s="9"/>
      <c r="BN222" s="10" t="str">
        <f aca="false">IF(BM222="","",IFERROR(VLOOKUP(BM222,Projects!$A$5:$D$504,2,0),"Ref not in Projects"))</f>
        <v/>
      </c>
      <c r="BO222" s="10" t="str">
        <f aca="false">IF(BM222="","",IFERROR(VLOOKUP(BM222,Projects!$A$5:$D$504,4,0),"Ref not in Projects"))</f>
        <v/>
      </c>
      <c r="BP222" s="9"/>
      <c r="BQ222" s="9"/>
      <c r="BR222" s="9"/>
      <c r="BS222" s="40"/>
      <c r="BT222" s="9"/>
      <c r="BU222" s="40"/>
      <c r="BV222" s="9"/>
      <c r="BW222" s="40"/>
      <c r="BX222" s="9"/>
      <c r="BY222" s="9"/>
      <c r="BZ222" s="9"/>
      <c r="CA222" s="40"/>
      <c r="CB222" s="40"/>
      <c r="CC222" s="36" t="str">
        <f aca="false">IF(CB222="","",EDATE(CB222,SG_Criteria!$B$54*12))</f>
        <v/>
      </c>
      <c r="CD222" s="33" t="str">
        <f aca="true">IF(A222="","",IF(CB222="","NOTE: not reviewed yet",IF(TODAY()&gt;CC222,"NOTE: review overdue","OK")))</f>
        <v/>
      </c>
      <c r="CE222" s="37" t="str">
        <f aca="false">IF(A222="","",ROUND((IF(LEN(D222)&gt;0,1,0)+IF(LEN(E222)&gt;0,1,0)+IF(LEN(F222)&gt;0,1,0)+IF(LEN(G222)&gt;0,1,0)+IF(LEN(I222)&gt;0,1,0)+IF(LEN(K222)&gt;0,1,0)+IF(LEN(P222)&gt;0,1,0)+IF(LEN(Q222)&gt;0,1,0)+IF(LEN(T222)&gt;0,1,0)+IF(LEN(V222)&gt;0,1,0)+IF(LEN(W222)&gt;0,1,0)+IF(LEN(X222)&gt;0,1,0)+IF(LEN(Z222)&gt;0,1,0)+IF(LEN(AD222)&gt;0,1,0)+IF(LEN(AE222)&gt;0,1,0)+IF(LEN(AG222)&gt;0,1,0)+IF(LEN(AI222)&gt;0,1,0)+IF(LEN(BB222)&gt;0,1,0)+IF(LEN(BC222)&gt;0,1,0)+IF(LEN(AM222)&gt;0,1,0)+IF(LEN(AO222)&gt;0,1,0)+IF(LEN(AP222)&gt;0,1,0)+IF(LEN(AQ222)&gt;0,1,0)+IF(LEN(AR222)&gt;0,1,0)+IF(LEN(BA222)&gt;0,1,0)+IF(LEN(BM222)&gt;0,1,0)+IF(LEN(BZ222)&gt;0,1,0))/27,2))</f>
        <v/>
      </c>
      <c r="CF222" s="10" t="str">
        <f aca="false">IF(D222="","",IF(AND(AP222="Approved",ISERROR(SEARCH("FAIL",BJ222))),"Y","N"))</f>
        <v/>
      </c>
      <c r="CG222" s="10" t="str">
        <f aca="false">IF(D222="","",D222&amp;"|"&amp;E222&amp;"|"&amp;F222&amp;"|"&amp;G222&amp;"|"&amp;CF222)</f>
        <v/>
      </c>
    </row>
    <row r="223" customFormat="false" ht="15" hidden="false" customHeight="false" outlineLevel="0" collapsed="false">
      <c r="A223" s="10" t="str">
        <f aca="false">IF(D223="","","RW-"&amp;IFERROR(VLOOKUP(D223,Lists!$M$4:$N$22,2,0),"??")&amp;"-H"&amp;TEXT(E223*1000,"0000")&amp;"-S"&amp;F223&amp;IF(G223="Y","-GW","")&amp;"-"&amp;AO223)</f>
        <v/>
      </c>
      <c r="B223" s="10" t="str">
        <f aca="false">IF(D223="","",D223&amp;", H = "&amp;TEXT(E223,"0.0")&amp;" m, q = "&amp;F223&amp;" kPa"&amp;IF(G223="Y",", with GWT","")&amp;", "&amp;I223)</f>
        <v/>
      </c>
      <c r="C223" s="9"/>
      <c r="D223" s="9"/>
      <c r="E223" s="39"/>
      <c r="F223" s="38"/>
      <c r="G223" s="9"/>
      <c r="H223" s="38"/>
      <c r="I223" s="9"/>
      <c r="J223" s="38"/>
      <c r="K223" s="38"/>
      <c r="L223" s="38"/>
      <c r="M223" s="42"/>
      <c r="N223" s="9"/>
      <c r="O223" s="38"/>
      <c r="P223" s="38"/>
      <c r="Q223" s="38"/>
      <c r="R223" s="38"/>
      <c r="S223" s="38"/>
      <c r="T223" s="38"/>
      <c r="U223" s="9"/>
      <c r="V223" s="9"/>
      <c r="W223" s="38"/>
      <c r="X223" s="9"/>
      <c r="Y223" s="9"/>
      <c r="Z223" s="9"/>
      <c r="AA223" s="9"/>
      <c r="AB223" s="9"/>
      <c r="AC223" s="9"/>
      <c r="AD223" s="39"/>
      <c r="AE223" s="39"/>
      <c r="AF223" s="39"/>
      <c r="AG223" s="38"/>
      <c r="AH223" s="38"/>
      <c r="AI223" s="9"/>
      <c r="AJ223" s="38"/>
      <c r="AK223" s="9"/>
      <c r="AL223" s="39"/>
      <c r="AM223" s="9"/>
      <c r="AN223" s="9"/>
      <c r="AO223" s="9"/>
      <c r="AP223" s="9"/>
      <c r="AQ223" s="9"/>
      <c r="AR223" s="9"/>
      <c r="AS223" s="9"/>
      <c r="AT223" s="10" t="str">
        <f aca="false">IF(A223="","",SG_Criteria!$B$6&amp;SG_Criteria!$B$8&amp;"\"&amp;A223&amp;"\")</f>
        <v/>
      </c>
      <c r="AU223" s="10" t="str">
        <f aca="false">IF(A223="","",A223&amp;"_CAD.dwg")</f>
        <v/>
      </c>
      <c r="AV223" s="10" t="str">
        <f aca="false">IF(A223="","",A223&amp;"_DWG.pdf")</f>
        <v/>
      </c>
      <c r="AW223" s="10" t="str">
        <f aca="false">IF(A223="","",IF(AS223="Y",A223&amp;"_STAAD.std","n/a"))</f>
        <v/>
      </c>
      <c r="AX223" s="10" t="str">
        <f aca="false">IF(A223="","",A223&amp;"_CALC.xlsx")</f>
        <v/>
      </c>
      <c r="AY223" s="10" t="str">
        <f aca="false">IF(A223="","",A223&amp;"_CALC.pdf")</f>
        <v/>
      </c>
      <c r="AZ223" s="9"/>
      <c r="BA223" s="9"/>
      <c r="BB223" s="39"/>
      <c r="BC223" s="39"/>
      <c r="BD223" s="39"/>
      <c r="BE223" s="39"/>
      <c r="BF223" s="39"/>
      <c r="BG223" s="12" t="str">
        <f aca="false">IF(A223="","",IF(COUNTIF(Rebar_Schedule!$A$5:$A$2004,A223)=0,"",ROUND(SUMIF(Rebar_Schedule!$A$5:$A$2004,A223,Rebar_Schedule!$K$5:$K$2004),1)))</f>
        <v/>
      </c>
      <c r="BH223" s="33" t="str">
        <f aca="false">IF(A223="","",IF(BG223="","No rebar schedule yet",IF(ABS(BG223-N(BC223))/MAX(N(BC223),1)&gt;SG_Criteria!$B$55,"NOTE: register rebar differs from schedule by "&amp;TEXT(ABS(BG223-N(BC223))/MAX(N(BC223),1),"0%"),"OK")))</f>
        <v/>
      </c>
      <c r="BI223" s="33" t="str">
        <f aca="false">IF(OR(D223="",E223=""),"",IF(E223&lt;=IF(OR(D223="Block / Segmental",D223="Gabion",D223="Reinforced Earth (MSE)"),SG_Criteria!$B$34,SG_Criteria!$B$33),"No ERSS submission",IF(E223&lt;=SG_Criteria!$B$35,"QP(ST)",IF(E223&lt;=SG_Criteria!$B$36,"QP(ST) + AC","Geotechnical building works: QP(Geo) + AC"))))</f>
        <v/>
      </c>
      <c r="BJ223" s="33" t="str">
        <f aca="false">IF(D223="","",IF(LEN(IF(AND(V223&lt;&gt;"",IFERROR(VALUE(MID(V223,2,2)),0)&lt;SG_Criteria!$B$19),"FAIL: grade below C"&amp;SG_Criteria!$B$19&amp;". ","")&amp;IF(AND(W223&lt;&gt;"",W223&lt;SG_Criteria!$B$20),"FAIL: cover &lt; "&amp;SG_Criteria!$B$20&amp;" mm. ","")&amp;IF(AND(AD223&lt;&gt;"",AD223&lt;1),"FAIL: sliding. ","")&amp;IF(AND(D223="Reverse L-Wall (toe only, at boundary)",N(S223)&gt;0),"NOTE: reverse L-wall should have no heel. ","")&amp;IF(AND(D223="L-Wall (heel only)",N(R223)&gt;0),"NOTE: L-wall should have no toe. ","")&amp;IF(AND(F223&lt;&gt;"",F223&lt;SG_Criteria!$B$31),"NOTE: q below LTA min "&amp;SG_Criteria!$B$31&amp;" kPa (not for LTA works). ",""))=0,"OK",IF(AND(V223&lt;&gt;"",IFERROR(VALUE(MID(V223,2,2)),0)&lt;SG_Criteria!$B$19),"FAIL: grade below C"&amp;SG_Criteria!$B$19&amp;". ","")&amp;IF(AND(W223&lt;&gt;"",W223&lt;SG_Criteria!$B$20),"FAIL: cover &lt; "&amp;SG_Criteria!$B$20&amp;" mm. ","")&amp;IF(AND(AD223&lt;&gt;"",AD223&lt;1),"FAIL: sliding. ","")&amp;IF(AND(D223="Reverse L-Wall (toe only, at boundary)",N(S223)&gt;0),"NOTE: reverse L-wall should have no heel. ","")&amp;IF(AND(D223="L-Wall (heel only)",N(R223)&gt;0),"NOTE: L-wall should have no toe. ","")&amp;IF(AND(F223&lt;&gt;"",F223&lt;SG_Criteria!$B$31),"NOTE: q below LTA min "&amp;SG_Criteria!$B$31&amp;" kPa (not for LTA works). ","")))</f>
        <v/>
      </c>
      <c r="BK223" s="9"/>
      <c r="BL223" s="9"/>
      <c r="BM223" s="9"/>
      <c r="BN223" s="10" t="str">
        <f aca="false">IF(BM223="","",IFERROR(VLOOKUP(BM223,Projects!$A$5:$D$504,2,0),"Ref not in Projects"))</f>
        <v/>
      </c>
      <c r="BO223" s="10" t="str">
        <f aca="false">IF(BM223="","",IFERROR(VLOOKUP(BM223,Projects!$A$5:$D$504,4,0),"Ref not in Projects"))</f>
        <v/>
      </c>
      <c r="BP223" s="9"/>
      <c r="BQ223" s="9"/>
      <c r="BR223" s="9"/>
      <c r="BS223" s="40"/>
      <c r="BT223" s="9"/>
      <c r="BU223" s="40"/>
      <c r="BV223" s="9"/>
      <c r="BW223" s="40"/>
      <c r="BX223" s="9"/>
      <c r="BY223" s="9"/>
      <c r="BZ223" s="9"/>
      <c r="CA223" s="40"/>
      <c r="CB223" s="40"/>
      <c r="CC223" s="36" t="str">
        <f aca="false">IF(CB223="","",EDATE(CB223,SG_Criteria!$B$54*12))</f>
        <v/>
      </c>
      <c r="CD223" s="33" t="str">
        <f aca="true">IF(A223="","",IF(CB223="","NOTE: not reviewed yet",IF(TODAY()&gt;CC223,"NOTE: review overdue","OK")))</f>
        <v/>
      </c>
      <c r="CE223" s="37" t="str">
        <f aca="false">IF(A223="","",ROUND((IF(LEN(D223)&gt;0,1,0)+IF(LEN(E223)&gt;0,1,0)+IF(LEN(F223)&gt;0,1,0)+IF(LEN(G223)&gt;0,1,0)+IF(LEN(I223)&gt;0,1,0)+IF(LEN(K223)&gt;0,1,0)+IF(LEN(P223)&gt;0,1,0)+IF(LEN(Q223)&gt;0,1,0)+IF(LEN(T223)&gt;0,1,0)+IF(LEN(V223)&gt;0,1,0)+IF(LEN(W223)&gt;0,1,0)+IF(LEN(X223)&gt;0,1,0)+IF(LEN(Z223)&gt;0,1,0)+IF(LEN(AD223)&gt;0,1,0)+IF(LEN(AE223)&gt;0,1,0)+IF(LEN(AG223)&gt;0,1,0)+IF(LEN(AI223)&gt;0,1,0)+IF(LEN(BB223)&gt;0,1,0)+IF(LEN(BC223)&gt;0,1,0)+IF(LEN(AM223)&gt;0,1,0)+IF(LEN(AO223)&gt;0,1,0)+IF(LEN(AP223)&gt;0,1,0)+IF(LEN(AQ223)&gt;0,1,0)+IF(LEN(AR223)&gt;0,1,0)+IF(LEN(BA223)&gt;0,1,0)+IF(LEN(BM223)&gt;0,1,0)+IF(LEN(BZ223)&gt;0,1,0))/27,2))</f>
        <v/>
      </c>
      <c r="CF223" s="10" t="str">
        <f aca="false">IF(D223="","",IF(AND(AP223="Approved",ISERROR(SEARCH("FAIL",BJ223))),"Y","N"))</f>
        <v/>
      </c>
      <c r="CG223" s="10" t="str">
        <f aca="false">IF(D223="","",D223&amp;"|"&amp;E223&amp;"|"&amp;F223&amp;"|"&amp;G223&amp;"|"&amp;CF223)</f>
        <v/>
      </c>
    </row>
    <row r="224" customFormat="false" ht="15" hidden="false" customHeight="false" outlineLevel="0" collapsed="false">
      <c r="A224" s="10" t="str">
        <f aca="false">IF(D224="","","RW-"&amp;IFERROR(VLOOKUP(D224,Lists!$M$4:$N$22,2,0),"??")&amp;"-H"&amp;TEXT(E224*1000,"0000")&amp;"-S"&amp;F224&amp;IF(G224="Y","-GW","")&amp;"-"&amp;AO224)</f>
        <v/>
      </c>
      <c r="B224" s="10" t="str">
        <f aca="false">IF(D224="","",D224&amp;", H = "&amp;TEXT(E224,"0.0")&amp;" m, q = "&amp;F224&amp;" kPa"&amp;IF(G224="Y",", with GWT","")&amp;", "&amp;I224)</f>
        <v/>
      </c>
      <c r="C224" s="9"/>
      <c r="D224" s="9"/>
      <c r="E224" s="39"/>
      <c r="F224" s="38"/>
      <c r="G224" s="9"/>
      <c r="H224" s="38"/>
      <c r="I224" s="9"/>
      <c r="J224" s="38"/>
      <c r="K224" s="38"/>
      <c r="L224" s="38"/>
      <c r="M224" s="42"/>
      <c r="N224" s="9"/>
      <c r="O224" s="38"/>
      <c r="P224" s="38"/>
      <c r="Q224" s="38"/>
      <c r="R224" s="38"/>
      <c r="S224" s="38"/>
      <c r="T224" s="38"/>
      <c r="U224" s="9"/>
      <c r="V224" s="9"/>
      <c r="W224" s="38"/>
      <c r="X224" s="9"/>
      <c r="Y224" s="9"/>
      <c r="Z224" s="9"/>
      <c r="AA224" s="9"/>
      <c r="AB224" s="9"/>
      <c r="AC224" s="9"/>
      <c r="AD224" s="39"/>
      <c r="AE224" s="39"/>
      <c r="AF224" s="39"/>
      <c r="AG224" s="38"/>
      <c r="AH224" s="38"/>
      <c r="AI224" s="9"/>
      <c r="AJ224" s="38"/>
      <c r="AK224" s="9"/>
      <c r="AL224" s="39"/>
      <c r="AM224" s="9"/>
      <c r="AN224" s="9"/>
      <c r="AO224" s="9"/>
      <c r="AP224" s="9"/>
      <c r="AQ224" s="9"/>
      <c r="AR224" s="9"/>
      <c r="AS224" s="9"/>
      <c r="AT224" s="10" t="str">
        <f aca="false">IF(A224="","",SG_Criteria!$B$6&amp;SG_Criteria!$B$8&amp;"\"&amp;A224&amp;"\")</f>
        <v/>
      </c>
      <c r="AU224" s="10" t="str">
        <f aca="false">IF(A224="","",A224&amp;"_CAD.dwg")</f>
        <v/>
      </c>
      <c r="AV224" s="10" t="str">
        <f aca="false">IF(A224="","",A224&amp;"_DWG.pdf")</f>
        <v/>
      </c>
      <c r="AW224" s="10" t="str">
        <f aca="false">IF(A224="","",IF(AS224="Y",A224&amp;"_STAAD.std","n/a"))</f>
        <v/>
      </c>
      <c r="AX224" s="10" t="str">
        <f aca="false">IF(A224="","",A224&amp;"_CALC.xlsx")</f>
        <v/>
      </c>
      <c r="AY224" s="10" t="str">
        <f aca="false">IF(A224="","",A224&amp;"_CALC.pdf")</f>
        <v/>
      </c>
      <c r="AZ224" s="9"/>
      <c r="BA224" s="9"/>
      <c r="BB224" s="39"/>
      <c r="BC224" s="39"/>
      <c r="BD224" s="39"/>
      <c r="BE224" s="39"/>
      <c r="BF224" s="39"/>
      <c r="BG224" s="12" t="str">
        <f aca="false">IF(A224="","",IF(COUNTIF(Rebar_Schedule!$A$5:$A$2004,A224)=0,"",ROUND(SUMIF(Rebar_Schedule!$A$5:$A$2004,A224,Rebar_Schedule!$K$5:$K$2004),1)))</f>
        <v/>
      </c>
      <c r="BH224" s="33" t="str">
        <f aca="false">IF(A224="","",IF(BG224="","No rebar schedule yet",IF(ABS(BG224-N(BC224))/MAX(N(BC224),1)&gt;SG_Criteria!$B$55,"NOTE: register rebar differs from schedule by "&amp;TEXT(ABS(BG224-N(BC224))/MAX(N(BC224),1),"0%"),"OK")))</f>
        <v/>
      </c>
      <c r="BI224" s="33" t="str">
        <f aca="false">IF(OR(D224="",E224=""),"",IF(E224&lt;=IF(OR(D224="Block / Segmental",D224="Gabion",D224="Reinforced Earth (MSE)"),SG_Criteria!$B$34,SG_Criteria!$B$33),"No ERSS submission",IF(E224&lt;=SG_Criteria!$B$35,"QP(ST)",IF(E224&lt;=SG_Criteria!$B$36,"QP(ST) + AC","Geotechnical building works: QP(Geo) + AC"))))</f>
        <v/>
      </c>
      <c r="BJ224" s="33" t="str">
        <f aca="false">IF(D224="","",IF(LEN(IF(AND(V224&lt;&gt;"",IFERROR(VALUE(MID(V224,2,2)),0)&lt;SG_Criteria!$B$19),"FAIL: grade below C"&amp;SG_Criteria!$B$19&amp;". ","")&amp;IF(AND(W224&lt;&gt;"",W224&lt;SG_Criteria!$B$20),"FAIL: cover &lt; "&amp;SG_Criteria!$B$20&amp;" mm. ","")&amp;IF(AND(AD224&lt;&gt;"",AD224&lt;1),"FAIL: sliding. ","")&amp;IF(AND(D224="Reverse L-Wall (toe only, at boundary)",N(S224)&gt;0),"NOTE: reverse L-wall should have no heel. ","")&amp;IF(AND(D224="L-Wall (heel only)",N(R224)&gt;0),"NOTE: L-wall should have no toe. ","")&amp;IF(AND(F224&lt;&gt;"",F224&lt;SG_Criteria!$B$31),"NOTE: q below LTA min "&amp;SG_Criteria!$B$31&amp;" kPa (not for LTA works). ",""))=0,"OK",IF(AND(V224&lt;&gt;"",IFERROR(VALUE(MID(V224,2,2)),0)&lt;SG_Criteria!$B$19),"FAIL: grade below C"&amp;SG_Criteria!$B$19&amp;". ","")&amp;IF(AND(W224&lt;&gt;"",W224&lt;SG_Criteria!$B$20),"FAIL: cover &lt; "&amp;SG_Criteria!$B$20&amp;" mm. ","")&amp;IF(AND(AD224&lt;&gt;"",AD224&lt;1),"FAIL: sliding. ","")&amp;IF(AND(D224="Reverse L-Wall (toe only, at boundary)",N(S224)&gt;0),"NOTE: reverse L-wall should have no heel. ","")&amp;IF(AND(D224="L-Wall (heel only)",N(R224)&gt;0),"NOTE: L-wall should have no toe. ","")&amp;IF(AND(F224&lt;&gt;"",F224&lt;SG_Criteria!$B$31),"NOTE: q below LTA min "&amp;SG_Criteria!$B$31&amp;" kPa (not for LTA works). ","")))</f>
        <v/>
      </c>
      <c r="BK224" s="9"/>
      <c r="BL224" s="9"/>
      <c r="BM224" s="9"/>
      <c r="BN224" s="10" t="str">
        <f aca="false">IF(BM224="","",IFERROR(VLOOKUP(BM224,Projects!$A$5:$D$504,2,0),"Ref not in Projects"))</f>
        <v/>
      </c>
      <c r="BO224" s="10" t="str">
        <f aca="false">IF(BM224="","",IFERROR(VLOOKUP(BM224,Projects!$A$5:$D$504,4,0),"Ref not in Projects"))</f>
        <v/>
      </c>
      <c r="BP224" s="9"/>
      <c r="BQ224" s="9"/>
      <c r="BR224" s="9"/>
      <c r="BS224" s="40"/>
      <c r="BT224" s="9"/>
      <c r="BU224" s="40"/>
      <c r="BV224" s="9"/>
      <c r="BW224" s="40"/>
      <c r="BX224" s="9"/>
      <c r="BY224" s="9"/>
      <c r="BZ224" s="9"/>
      <c r="CA224" s="40"/>
      <c r="CB224" s="40"/>
      <c r="CC224" s="36" t="str">
        <f aca="false">IF(CB224="","",EDATE(CB224,SG_Criteria!$B$54*12))</f>
        <v/>
      </c>
      <c r="CD224" s="33" t="str">
        <f aca="true">IF(A224="","",IF(CB224="","NOTE: not reviewed yet",IF(TODAY()&gt;CC224,"NOTE: review overdue","OK")))</f>
        <v/>
      </c>
      <c r="CE224" s="37" t="str">
        <f aca="false">IF(A224="","",ROUND((IF(LEN(D224)&gt;0,1,0)+IF(LEN(E224)&gt;0,1,0)+IF(LEN(F224)&gt;0,1,0)+IF(LEN(G224)&gt;0,1,0)+IF(LEN(I224)&gt;0,1,0)+IF(LEN(K224)&gt;0,1,0)+IF(LEN(P224)&gt;0,1,0)+IF(LEN(Q224)&gt;0,1,0)+IF(LEN(T224)&gt;0,1,0)+IF(LEN(V224)&gt;0,1,0)+IF(LEN(W224)&gt;0,1,0)+IF(LEN(X224)&gt;0,1,0)+IF(LEN(Z224)&gt;0,1,0)+IF(LEN(AD224)&gt;0,1,0)+IF(LEN(AE224)&gt;0,1,0)+IF(LEN(AG224)&gt;0,1,0)+IF(LEN(AI224)&gt;0,1,0)+IF(LEN(BB224)&gt;0,1,0)+IF(LEN(BC224)&gt;0,1,0)+IF(LEN(AM224)&gt;0,1,0)+IF(LEN(AO224)&gt;0,1,0)+IF(LEN(AP224)&gt;0,1,0)+IF(LEN(AQ224)&gt;0,1,0)+IF(LEN(AR224)&gt;0,1,0)+IF(LEN(BA224)&gt;0,1,0)+IF(LEN(BM224)&gt;0,1,0)+IF(LEN(BZ224)&gt;0,1,0))/27,2))</f>
        <v/>
      </c>
      <c r="CF224" s="10" t="str">
        <f aca="false">IF(D224="","",IF(AND(AP224="Approved",ISERROR(SEARCH("FAIL",BJ224))),"Y","N"))</f>
        <v/>
      </c>
      <c r="CG224" s="10" t="str">
        <f aca="false">IF(D224="","",D224&amp;"|"&amp;E224&amp;"|"&amp;F224&amp;"|"&amp;G224&amp;"|"&amp;CF224)</f>
        <v/>
      </c>
    </row>
    <row r="225" customFormat="false" ht="15" hidden="false" customHeight="false" outlineLevel="0" collapsed="false">
      <c r="A225" s="10" t="str">
        <f aca="false">IF(D225="","","RW-"&amp;IFERROR(VLOOKUP(D225,Lists!$M$4:$N$22,2,0),"??")&amp;"-H"&amp;TEXT(E225*1000,"0000")&amp;"-S"&amp;F225&amp;IF(G225="Y","-GW","")&amp;"-"&amp;AO225)</f>
        <v/>
      </c>
      <c r="B225" s="10" t="str">
        <f aca="false">IF(D225="","",D225&amp;", H = "&amp;TEXT(E225,"0.0")&amp;" m, q = "&amp;F225&amp;" kPa"&amp;IF(G225="Y",", with GWT","")&amp;", "&amp;I225)</f>
        <v/>
      </c>
      <c r="C225" s="9"/>
      <c r="D225" s="9"/>
      <c r="E225" s="39"/>
      <c r="F225" s="38"/>
      <c r="G225" s="9"/>
      <c r="H225" s="38"/>
      <c r="I225" s="9"/>
      <c r="J225" s="38"/>
      <c r="K225" s="38"/>
      <c r="L225" s="38"/>
      <c r="M225" s="42"/>
      <c r="N225" s="9"/>
      <c r="O225" s="38"/>
      <c r="P225" s="38"/>
      <c r="Q225" s="38"/>
      <c r="R225" s="38"/>
      <c r="S225" s="38"/>
      <c r="T225" s="38"/>
      <c r="U225" s="9"/>
      <c r="V225" s="9"/>
      <c r="W225" s="38"/>
      <c r="X225" s="9"/>
      <c r="Y225" s="9"/>
      <c r="Z225" s="9"/>
      <c r="AA225" s="9"/>
      <c r="AB225" s="9"/>
      <c r="AC225" s="9"/>
      <c r="AD225" s="39"/>
      <c r="AE225" s="39"/>
      <c r="AF225" s="39"/>
      <c r="AG225" s="38"/>
      <c r="AH225" s="38"/>
      <c r="AI225" s="9"/>
      <c r="AJ225" s="38"/>
      <c r="AK225" s="9"/>
      <c r="AL225" s="39"/>
      <c r="AM225" s="9"/>
      <c r="AN225" s="9"/>
      <c r="AO225" s="9"/>
      <c r="AP225" s="9"/>
      <c r="AQ225" s="9"/>
      <c r="AR225" s="9"/>
      <c r="AS225" s="9"/>
      <c r="AT225" s="10" t="str">
        <f aca="false">IF(A225="","",SG_Criteria!$B$6&amp;SG_Criteria!$B$8&amp;"\"&amp;A225&amp;"\")</f>
        <v/>
      </c>
      <c r="AU225" s="10" t="str">
        <f aca="false">IF(A225="","",A225&amp;"_CAD.dwg")</f>
        <v/>
      </c>
      <c r="AV225" s="10" t="str">
        <f aca="false">IF(A225="","",A225&amp;"_DWG.pdf")</f>
        <v/>
      </c>
      <c r="AW225" s="10" t="str">
        <f aca="false">IF(A225="","",IF(AS225="Y",A225&amp;"_STAAD.std","n/a"))</f>
        <v/>
      </c>
      <c r="AX225" s="10" t="str">
        <f aca="false">IF(A225="","",A225&amp;"_CALC.xlsx")</f>
        <v/>
      </c>
      <c r="AY225" s="10" t="str">
        <f aca="false">IF(A225="","",A225&amp;"_CALC.pdf")</f>
        <v/>
      </c>
      <c r="AZ225" s="9"/>
      <c r="BA225" s="9"/>
      <c r="BB225" s="39"/>
      <c r="BC225" s="39"/>
      <c r="BD225" s="39"/>
      <c r="BE225" s="39"/>
      <c r="BF225" s="39"/>
      <c r="BG225" s="12" t="str">
        <f aca="false">IF(A225="","",IF(COUNTIF(Rebar_Schedule!$A$5:$A$2004,A225)=0,"",ROUND(SUMIF(Rebar_Schedule!$A$5:$A$2004,A225,Rebar_Schedule!$K$5:$K$2004),1)))</f>
        <v/>
      </c>
      <c r="BH225" s="33" t="str">
        <f aca="false">IF(A225="","",IF(BG225="","No rebar schedule yet",IF(ABS(BG225-N(BC225))/MAX(N(BC225),1)&gt;SG_Criteria!$B$55,"NOTE: register rebar differs from schedule by "&amp;TEXT(ABS(BG225-N(BC225))/MAX(N(BC225),1),"0%"),"OK")))</f>
        <v/>
      </c>
      <c r="BI225" s="33" t="str">
        <f aca="false">IF(OR(D225="",E225=""),"",IF(E225&lt;=IF(OR(D225="Block / Segmental",D225="Gabion",D225="Reinforced Earth (MSE)"),SG_Criteria!$B$34,SG_Criteria!$B$33),"No ERSS submission",IF(E225&lt;=SG_Criteria!$B$35,"QP(ST)",IF(E225&lt;=SG_Criteria!$B$36,"QP(ST) + AC","Geotechnical building works: QP(Geo) + AC"))))</f>
        <v/>
      </c>
      <c r="BJ225" s="33" t="str">
        <f aca="false">IF(D225="","",IF(LEN(IF(AND(V225&lt;&gt;"",IFERROR(VALUE(MID(V225,2,2)),0)&lt;SG_Criteria!$B$19),"FAIL: grade below C"&amp;SG_Criteria!$B$19&amp;". ","")&amp;IF(AND(W225&lt;&gt;"",W225&lt;SG_Criteria!$B$20),"FAIL: cover &lt; "&amp;SG_Criteria!$B$20&amp;" mm. ","")&amp;IF(AND(AD225&lt;&gt;"",AD225&lt;1),"FAIL: sliding. ","")&amp;IF(AND(D225="Reverse L-Wall (toe only, at boundary)",N(S225)&gt;0),"NOTE: reverse L-wall should have no heel. ","")&amp;IF(AND(D225="L-Wall (heel only)",N(R225)&gt;0),"NOTE: L-wall should have no toe. ","")&amp;IF(AND(F225&lt;&gt;"",F225&lt;SG_Criteria!$B$31),"NOTE: q below LTA min "&amp;SG_Criteria!$B$31&amp;" kPa (not for LTA works). ",""))=0,"OK",IF(AND(V225&lt;&gt;"",IFERROR(VALUE(MID(V225,2,2)),0)&lt;SG_Criteria!$B$19),"FAIL: grade below C"&amp;SG_Criteria!$B$19&amp;". ","")&amp;IF(AND(W225&lt;&gt;"",W225&lt;SG_Criteria!$B$20),"FAIL: cover &lt; "&amp;SG_Criteria!$B$20&amp;" mm. ","")&amp;IF(AND(AD225&lt;&gt;"",AD225&lt;1),"FAIL: sliding. ","")&amp;IF(AND(D225="Reverse L-Wall (toe only, at boundary)",N(S225)&gt;0),"NOTE: reverse L-wall should have no heel. ","")&amp;IF(AND(D225="L-Wall (heel only)",N(R225)&gt;0),"NOTE: L-wall should have no toe. ","")&amp;IF(AND(F225&lt;&gt;"",F225&lt;SG_Criteria!$B$31),"NOTE: q below LTA min "&amp;SG_Criteria!$B$31&amp;" kPa (not for LTA works). ","")))</f>
        <v/>
      </c>
      <c r="BK225" s="9"/>
      <c r="BL225" s="9"/>
      <c r="BM225" s="9"/>
      <c r="BN225" s="10" t="str">
        <f aca="false">IF(BM225="","",IFERROR(VLOOKUP(BM225,Projects!$A$5:$D$504,2,0),"Ref not in Projects"))</f>
        <v/>
      </c>
      <c r="BO225" s="10" t="str">
        <f aca="false">IF(BM225="","",IFERROR(VLOOKUP(BM225,Projects!$A$5:$D$504,4,0),"Ref not in Projects"))</f>
        <v/>
      </c>
      <c r="BP225" s="9"/>
      <c r="BQ225" s="9"/>
      <c r="BR225" s="9"/>
      <c r="BS225" s="40"/>
      <c r="BT225" s="9"/>
      <c r="BU225" s="40"/>
      <c r="BV225" s="9"/>
      <c r="BW225" s="40"/>
      <c r="BX225" s="9"/>
      <c r="BY225" s="9"/>
      <c r="BZ225" s="9"/>
      <c r="CA225" s="40"/>
      <c r="CB225" s="40"/>
      <c r="CC225" s="36" t="str">
        <f aca="false">IF(CB225="","",EDATE(CB225,SG_Criteria!$B$54*12))</f>
        <v/>
      </c>
      <c r="CD225" s="33" t="str">
        <f aca="true">IF(A225="","",IF(CB225="","NOTE: not reviewed yet",IF(TODAY()&gt;CC225,"NOTE: review overdue","OK")))</f>
        <v/>
      </c>
      <c r="CE225" s="37" t="str">
        <f aca="false">IF(A225="","",ROUND((IF(LEN(D225)&gt;0,1,0)+IF(LEN(E225)&gt;0,1,0)+IF(LEN(F225)&gt;0,1,0)+IF(LEN(G225)&gt;0,1,0)+IF(LEN(I225)&gt;0,1,0)+IF(LEN(K225)&gt;0,1,0)+IF(LEN(P225)&gt;0,1,0)+IF(LEN(Q225)&gt;0,1,0)+IF(LEN(T225)&gt;0,1,0)+IF(LEN(V225)&gt;0,1,0)+IF(LEN(W225)&gt;0,1,0)+IF(LEN(X225)&gt;0,1,0)+IF(LEN(Z225)&gt;0,1,0)+IF(LEN(AD225)&gt;0,1,0)+IF(LEN(AE225)&gt;0,1,0)+IF(LEN(AG225)&gt;0,1,0)+IF(LEN(AI225)&gt;0,1,0)+IF(LEN(BB225)&gt;0,1,0)+IF(LEN(BC225)&gt;0,1,0)+IF(LEN(AM225)&gt;0,1,0)+IF(LEN(AO225)&gt;0,1,0)+IF(LEN(AP225)&gt;0,1,0)+IF(LEN(AQ225)&gt;0,1,0)+IF(LEN(AR225)&gt;0,1,0)+IF(LEN(BA225)&gt;0,1,0)+IF(LEN(BM225)&gt;0,1,0)+IF(LEN(BZ225)&gt;0,1,0))/27,2))</f>
        <v/>
      </c>
      <c r="CF225" s="10" t="str">
        <f aca="false">IF(D225="","",IF(AND(AP225="Approved",ISERROR(SEARCH("FAIL",BJ225))),"Y","N"))</f>
        <v/>
      </c>
      <c r="CG225" s="10" t="str">
        <f aca="false">IF(D225="","",D225&amp;"|"&amp;E225&amp;"|"&amp;F225&amp;"|"&amp;G225&amp;"|"&amp;CF225)</f>
        <v/>
      </c>
    </row>
    <row r="226" customFormat="false" ht="15" hidden="false" customHeight="false" outlineLevel="0" collapsed="false">
      <c r="A226" s="10" t="str">
        <f aca="false">IF(D226="","","RW-"&amp;IFERROR(VLOOKUP(D226,Lists!$M$4:$N$22,2,0),"??")&amp;"-H"&amp;TEXT(E226*1000,"0000")&amp;"-S"&amp;F226&amp;IF(G226="Y","-GW","")&amp;"-"&amp;AO226)</f>
        <v/>
      </c>
      <c r="B226" s="10" t="str">
        <f aca="false">IF(D226="","",D226&amp;", H = "&amp;TEXT(E226,"0.0")&amp;" m, q = "&amp;F226&amp;" kPa"&amp;IF(G226="Y",", with GWT","")&amp;", "&amp;I226)</f>
        <v/>
      </c>
      <c r="C226" s="9"/>
      <c r="D226" s="9"/>
      <c r="E226" s="39"/>
      <c r="F226" s="38"/>
      <c r="G226" s="9"/>
      <c r="H226" s="38"/>
      <c r="I226" s="9"/>
      <c r="J226" s="38"/>
      <c r="K226" s="38"/>
      <c r="L226" s="38"/>
      <c r="M226" s="42"/>
      <c r="N226" s="9"/>
      <c r="O226" s="38"/>
      <c r="P226" s="38"/>
      <c r="Q226" s="38"/>
      <c r="R226" s="38"/>
      <c r="S226" s="38"/>
      <c r="T226" s="38"/>
      <c r="U226" s="9"/>
      <c r="V226" s="9"/>
      <c r="W226" s="38"/>
      <c r="X226" s="9"/>
      <c r="Y226" s="9"/>
      <c r="Z226" s="9"/>
      <c r="AA226" s="9"/>
      <c r="AB226" s="9"/>
      <c r="AC226" s="9"/>
      <c r="AD226" s="39"/>
      <c r="AE226" s="39"/>
      <c r="AF226" s="39"/>
      <c r="AG226" s="38"/>
      <c r="AH226" s="38"/>
      <c r="AI226" s="9"/>
      <c r="AJ226" s="38"/>
      <c r="AK226" s="9"/>
      <c r="AL226" s="39"/>
      <c r="AM226" s="9"/>
      <c r="AN226" s="9"/>
      <c r="AO226" s="9"/>
      <c r="AP226" s="9"/>
      <c r="AQ226" s="9"/>
      <c r="AR226" s="9"/>
      <c r="AS226" s="9"/>
      <c r="AT226" s="10" t="str">
        <f aca="false">IF(A226="","",SG_Criteria!$B$6&amp;SG_Criteria!$B$8&amp;"\"&amp;A226&amp;"\")</f>
        <v/>
      </c>
      <c r="AU226" s="10" t="str">
        <f aca="false">IF(A226="","",A226&amp;"_CAD.dwg")</f>
        <v/>
      </c>
      <c r="AV226" s="10" t="str">
        <f aca="false">IF(A226="","",A226&amp;"_DWG.pdf")</f>
        <v/>
      </c>
      <c r="AW226" s="10" t="str">
        <f aca="false">IF(A226="","",IF(AS226="Y",A226&amp;"_STAAD.std","n/a"))</f>
        <v/>
      </c>
      <c r="AX226" s="10" t="str">
        <f aca="false">IF(A226="","",A226&amp;"_CALC.xlsx")</f>
        <v/>
      </c>
      <c r="AY226" s="10" t="str">
        <f aca="false">IF(A226="","",A226&amp;"_CALC.pdf")</f>
        <v/>
      </c>
      <c r="AZ226" s="9"/>
      <c r="BA226" s="9"/>
      <c r="BB226" s="39"/>
      <c r="BC226" s="39"/>
      <c r="BD226" s="39"/>
      <c r="BE226" s="39"/>
      <c r="BF226" s="39"/>
      <c r="BG226" s="12" t="str">
        <f aca="false">IF(A226="","",IF(COUNTIF(Rebar_Schedule!$A$5:$A$2004,A226)=0,"",ROUND(SUMIF(Rebar_Schedule!$A$5:$A$2004,A226,Rebar_Schedule!$K$5:$K$2004),1)))</f>
        <v/>
      </c>
      <c r="BH226" s="33" t="str">
        <f aca="false">IF(A226="","",IF(BG226="","No rebar schedule yet",IF(ABS(BG226-N(BC226))/MAX(N(BC226),1)&gt;SG_Criteria!$B$55,"NOTE: register rebar differs from schedule by "&amp;TEXT(ABS(BG226-N(BC226))/MAX(N(BC226),1),"0%"),"OK")))</f>
        <v/>
      </c>
      <c r="BI226" s="33" t="str">
        <f aca="false">IF(OR(D226="",E226=""),"",IF(E226&lt;=IF(OR(D226="Block / Segmental",D226="Gabion",D226="Reinforced Earth (MSE)"),SG_Criteria!$B$34,SG_Criteria!$B$33),"No ERSS submission",IF(E226&lt;=SG_Criteria!$B$35,"QP(ST)",IF(E226&lt;=SG_Criteria!$B$36,"QP(ST) + AC","Geotechnical building works: QP(Geo) + AC"))))</f>
        <v/>
      </c>
      <c r="BJ226" s="33" t="str">
        <f aca="false">IF(D226="","",IF(LEN(IF(AND(V226&lt;&gt;"",IFERROR(VALUE(MID(V226,2,2)),0)&lt;SG_Criteria!$B$19),"FAIL: grade below C"&amp;SG_Criteria!$B$19&amp;". ","")&amp;IF(AND(W226&lt;&gt;"",W226&lt;SG_Criteria!$B$20),"FAIL: cover &lt; "&amp;SG_Criteria!$B$20&amp;" mm. ","")&amp;IF(AND(AD226&lt;&gt;"",AD226&lt;1),"FAIL: sliding. ","")&amp;IF(AND(D226="Reverse L-Wall (toe only, at boundary)",N(S226)&gt;0),"NOTE: reverse L-wall should have no heel. ","")&amp;IF(AND(D226="L-Wall (heel only)",N(R226)&gt;0),"NOTE: L-wall should have no toe. ","")&amp;IF(AND(F226&lt;&gt;"",F226&lt;SG_Criteria!$B$31),"NOTE: q below LTA min "&amp;SG_Criteria!$B$31&amp;" kPa (not for LTA works). ",""))=0,"OK",IF(AND(V226&lt;&gt;"",IFERROR(VALUE(MID(V226,2,2)),0)&lt;SG_Criteria!$B$19),"FAIL: grade below C"&amp;SG_Criteria!$B$19&amp;". ","")&amp;IF(AND(W226&lt;&gt;"",W226&lt;SG_Criteria!$B$20),"FAIL: cover &lt; "&amp;SG_Criteria!$B$20&amp;" mm. ","")&amp;IF(AND(AD226&lt;&gt;"",AD226&lt;1),"FAIL: sliding. ","")&amp;IF(AND(D226="Reverse L-Wall (toe only, at boundary)",N(S226)&gt;0),"NOTE: reverse L-wall should have no heel. ","")&amp;IF(AND(D226="L-Wall (heel only)",N(R226)&gt;0),"NOTE: L-wall should have no toe. ","")&amp;IF(AND(F226&lt;&gt;"",F226&lt;SG_Criteria!$B$31),"NOTE: q below LTA min "&amp;SG_Criteria!$B$31&amp;" kPa (not for LTA works). ","")))</f>
        <v/>
      </c>
      <c r="BK226" s="9"/>
      <c r="BL226" s="9"/>
      <c r="BM226" s="9"/>
      <c r="BN226" s="10" t="str">
        <f aca="false">IF(BM226="","",IFERROR(VLOOKUP(BM226,Projects!$A$5:$D$504,2,0),"Ref not in Projects"))</f>
        <v/>
      </c>
      <c r="BO226" s="10" t="str">
        <f aca="false">IF(BM226="","",IFERROR(VLOOKUP(BM226,Projects!$A$5:$D$504,4,0),"Ref not in Projects"))</f>
        <v/>
      </c>
      <c r="BP226" s="9"/>
      <c r="BQ226" s="9"/>
      <c r="BR226" s="9"/>
      <c r="BS226" s="40"/>
      <c r="BT226" s="9"/>
      <c r="BU226" s="40"/>
      <c r="BV226" s="9"/>
      <c r="BW226" s="40"/>
      <c r="BX226" s="9"/>
      <c r="BY226" s="9"/>
      <c r="BZ226" s="9"/>
      <c r="CA226" s="40"/>
      <c r="CB226" s="40"/>
      <c r="CC226" s="36" t="str">
        <f aca="false">IF(CB226="","",EDATE(CB226,SG_Criteria!$B$54*12))</f>
        <v/>
      </c>
      <c r="CD226" s="33" t="str">
        <f aca="true">IF(A226="","",IF(CB226="","NOTE: not reviewed yet",IF(TODAY()&gt;CC226,"NOTE: review overdue","OK")))</f>
        <v/>
      </c>
      <c r="CE226" s="37" t="str">
        <f aca="false">IF(A226="","",ROUND((IF(LEN(D226)&gt;0,1,0)+IF(LEN(E226)&gt;0,1,0)+IF(LEN(F226)&gt;0,1,0)+IF(LEN(G226)&gt;0,1,0)+IF(LEN(I226)&gt;0,1,0)+IF(LEN(K226)&gt;0,1,0)+IF(LEN(P226)&gt;0,1,0)+IF(LEN(Q226)&gt;0,1,0)+IF(LEN(T226)&gt;0,1,0)+IF(LEN(V226)&gt;0,1,0)+IF(LEN(W226)&gt;0,1,0)+IF(LEN(X226)&gt;0,1,0)+IF(LEN(Z226)&gt;0,1,0)+IF(LEN(AD226)&gt;0,1,0)+IF(LEN(AE226)&gt;0,1,0)+IF(LEN(AG226)&gt;0,1,0)+IF(LEN(AI226)&gt;0,1,0)+IF(LEN(BB226)&gt;0,1,0)+IF(LEN(BC226)&gt;0,1,0)+IF(LEN(AM226)&gt;0,1,0)+IF(LEN(AO226)&gt;0,1,0)+IF(LEN(AP226)&gt;0,1,0)+IF(LEN(AQ226)&gt;0,1,0)+IF(LEN(AR226)&gt;0,1,0)+IF(LEN(BA226)&gt;0,1,0)+IF(LEN(BM226)&gt;0,1,0)+IF(LEN(BZ226)&gt;0,1,0))/27,2))</f>
        <v/>
      </c>
      <c r="CF226" s="10" t="str">
        <f aca="false">IF(D226="","",IF(AND(AP226="Approved",ISERROR(SEARCH("FAIL",BJ226))),"Y","N"))</f>
        <v/>
      </c>
      <c r="CG226" s="10" t="str">
        <f aca="false">IF(D226="","",D226&amp;"|"&amp;E226&amp;"|"&amp;F226&amp;"|"&amp;G226&amp;"|"&amp;CF226)</f>
        <v/>
      </c>
    </row>
    <row r="227" customFormat="false" ht="15" hidden="false" customHeight="false" outlineLevel="0" collapsed="false">
      <c r="A227" s="10" t="str">
        <f aca="false">IF(D227="","","RW-"&amp;IFERROR(VLOOKUP(D227,Lists!$M$4:$N$22,2,0),"??")&amp;"-H"&amp;TEXT(E227*1000,"0000")&amp;"-S"&amp;F227&amp;IF(G227="Y","-GW","")&amp;"-"&amp;AO227)</f>
        <v/>
      </c>
      <c r="B227" s="10" t="str">
        <f aca="false">IF(D227="","",D227&amp;", H = "&amp;TEXT(E227,"0.0")&amp;" m, q = "&amp;F227&amp;" kPa"&amp;IF(G227="Y",", with GWT","")&amp;", "&amp;I227)</f>
        <v/>
      </c>
      <c r="C227" s="9"/>
      <c r="D227" s="9"/>
      <c r="E227" s="39"/>
      <c r="F227" s="38"/>
      <c r="G227" s="9"/>
      <c r="H227" s="38"/>
      <c r="I227" s="9"/>
      <c r="J227" s="38"/>
      <c r="K227" s="38"/>
      <c r="L227" s="38"/>
      <c r="M227" s="42"/>
      <c r="N227" s="9"/>
      <c r="O227" s="38"/>
      <c r="P227" s="38"/>
      <c r="Q227" s="38"/>
      <c r="R227" s="38"/>
      <c r="S227" s="38"/>
      <c r="T227" s="38"/>
      <c r="U227" s="9"/>
      <c r="V227" s="9"/>
      <c r="W227" s="38"/>
      <c r="X227" s="9"/>
      <c r="Y227" s="9"/>
      <c r="Z227" s="9"/>
      <c r="AA227" s="9"/>
      <c r="AB227" s="9"/>
      <c r="AC227" s="9"/>
      <c r="AD227" s="39"/>
      <c r="AE227" s="39"/>
      <c r="AF227" s="39"/>
      <c r="AG227" s="38"/>
      <c r="AH227" s="38"/>
      <c r="AI227" s="9"/>
      <c r="AJ227" s="38"/>
      <c r="AK227" s="9"/>
      <c r="AL227" s="39"/>
      <c r="AM227" s="9"/>
      <c r="AN227" s="9"/>
      <c r="AO227" s="9"/>
      <c r="AP227" s="9"/>
      <c r="AQ227" s="9"/>
      <c r="AR227" s="9"/>
      <c r="AS227" s="9"/>
      <c r="AT227" s="10" t="str">
        <f aca="false">IF(A227="","",SG_Criteria!$B$6&amp;SG_Criteria!$B$8&amp;"\"&amp;A227&amp;"\")</f>
        <v/>
      </c>
      <c r="AU227" s="10" t="str">
        <f aca="false">IF(A227="","",A227&amp;"_CAD.dwg")</f>
        <v/>
      </c>
      <c r="AV227" s="10" t="str">
        <f aca="false">IF(A227="","",A227&amp;"_DWG.pdf")</f>
        <v/>
      </c>
      <c r="AW227" s="10" t="str">
        <f aca="false">IF(A227="","",IF(AS227="Y",A227&amp;"_STAAD.std","n/a"))</f>
        <v/>
      </c>
      <c r="AX227" s="10" t="str">
        <f aca="false">IF(A227="","",A227&amp;"_CALC.xlsx")</f>
        <v/>
      </c>
      <c r="AY227" s="10" t="str">
        <f aca="false">IF(A227="","",A227&amp;"_CALC.pdf")</f>
        <v/>
      </c>
      <c r="AZ227" s="9"/>
      <c r="BA227" s="9"/>
      <c r="BB227" s="39"/>
      <c r="BC227" s="39"/>
      <c r="BD227" s="39"/>
      <c r="BE227" s="39"/>
      <c r="BF227" s="39"/>
      <c r="BG227" s="12" t="str">
        <f aca="false">IF(A227="","",IF(COUNTIF(Rebar_Schedule!$A$5:$A$2004,A227)=0,"",ROUND(SUMIF(Rebar_Schedule!$A$5:$A$2004,A227,Rebar_Schedule!$K$5:$K$2004),1)))</f>
        <v/>
      </c>
      <c r="BH227" s="33" t="str">
        <f aca="false">IF(A227="","",IF(BG227="","No rebar schedule yet",IF(ABS(BG227-N(BC227))/MAX(N(BC227),1)&gt;SG_Criteria!$B$55,"NOTE: register rebar differs from schedule by "&amp;TEXT(ABS(BG227-N(BC227))/MAX(N(BC227),1),"0%"),"OK")))</f>
        <v/>
      </c>
      <c r="BI227" s="33" t="str">
        <f aca="false">IF(OR(D227="",E227=""),"",IF(E227&lt;=IF(OR(D227="Block / Segmental",D227="Gabion",D227="Reinforced Earth (MSE)"),SG_Criteria!$B$34,SG_Criteria!$B$33),"No ERSS submission",IF(E227&lt;=SG_Criteria!$B$35,"QP(ST)",IF(E227&lt;=SG_Criteria!$B$36,"QP(ST) + AC","Geotechnical building works: QP(Geo) + AC"))))</f>
        <v/>
      </c>
      <c r="BJ227" s="33" t="str">
        <f aca="false">IF(D227="","",IF(LEN(IF(AND(V227&lt;&gt;"",IFERROR(VALUE(MID(V227,2,2)),0)&lt;SG_Criteria!$B$19),"FAIL: grade below C"&amp;SG_Criteria!$B$19&amp;". ","")&amp;IF(AND(W227&lt;&gt;"",W227&lt;SG_Criteria!$B$20),"FAIL: cover &lt; "&amp;SG_Criteria!$B$20&amp;" mm. ","")&amp;IF(AND(AD227&lt;&gt;"",AD227&lt;1),"FAIL: sliding. ","")&amp;IF(AND(D227="Reverse L-Wall (toe only, at boundary)",N(S227)&gt;0),"NOTE: reverse L-wall should have no heel. ","")&amp;IF(AND(D227="L-Wall (heel only)",N(R227)&gt;0),"NOTE: L-wall should have no toe. ","")&amp;IF(AND(F227&lt;&gt;"",F227&lt;SG_Criteria!$B$31),"NOTE: q below LTA min "&amp;SG_Criteria!$B$31&amp;" kPa (not for LTA works). ",""))=0,"OK",IF(AND(V227&lt;&gt;"",IFERROR(VALUE(MID(V227,2,2)),0)&lt;SG_Criteria!$B$19),"FAIL: grade below C"&amp;SG_Criteria!$B$19&amp;". ","")&amp;IF(AND(W227&lt;&gt;"",W227&lt;SG_Criteria!$B$20),"FAIL: cover &lt; "&amp;SG_Criteria!$B$20&amp;" mm. ","")&amp;IF(AND(AD227&lt;&gt;"",AD227&lt;1),"FAIL: sliding. ","")&amp;IF(AND(D227="Reverse L-Wall (toe only, at boundary)",N(S227)&gt;0),"NOTE: reverse L-wall should have no heel. ","")&amp;IF(AND(D227="L-Wall (heel only)",N(R227)&gt;0),"NOTE: L-wall should have no toe. ","")&amp;IF(AND(F227&lt;&gt;"",F227&lt;SG_Criteria!$B$31),"NOTE: q below LTA min "&amp;SG_Criteria!$B$31&amp;" kPa (not for LTA works). ","")))</f>
        <v/>
      </c>
      <c r="BK227" s="9"/>
      <c r="BL227" s="9"/>
      <c r="BM227" s="9"/>
      <c r="BN227" s="10" t="str">
        <f aca="false">IF(BM227="","",IFERROR(VLOOKUP(BM227,Projects!$A$5:$D$504,2,0),"Ref not in Projects"))</f>
        <v/>
      </c>
      <c r="BO227" s="10" t="str">
        <f aca="false">IF(BM227="","",IFERROR(VLOOKUP(BM227,Projects!$A$5:$D$504,4,0),"Ref not in Projects"))</f>
        <v/>
      </c>
      <c r="BP227" s="9"/>
      <c r="BQ227" s="9"/>
      <c r="BR227" s="9"/>
      <c r="BS227" s="40"/>
      <c r="BT227" s="9"/>
      <c r="BU227" s="40"/>
      <c r="BV227" s="9"/>
      <c r="BW227" s="40"/>
      <c r="BX227" s="9"/>
      <c r="BY227" s="9"/>
      <c r="BZ227" s="9"/>
      <c r="CA227" s="40"/>
      <c r="CB227" s="40"/>
      <c r="CC227" s="36" t="str">
        <f aca="false">IF(CB227="","",EDATE(CB227,SG_Criteria!$B$54*12))</f>
        <v/>
      </c>
      <c r="CD227" s="33" t="str">
        <f aca="true">IF(A227="","",IF(CB227="","NOTE: not reviewed yet",IF(TODAY()&gt;CC227,"NOTE: review overdue","OK")))</f>
        <v/>
      </c>
      <c r="CE227" s="37" t="str">
        <f aca="false">IF(A227="","",ROUND((IF(LEN(D227)&gt;0,1,0)+IF(LEN(E227)&gt;0,1,0)+IF(LEN(F227)&gt;0,1,0)+IF(LEN(G227)&gt;0,1,0)+IF(LEN(I227)&gt;0,1,0)+IF(LEN(K227)&gt;0,1,0)+IF(LEN(P227)&gt;0,1,0)+IF(LEN(Q227)&gt;0,1,0)+IF(LEN(T227)&gt;0,1,0)+IF(LEN(V227)&gt;0,1,0)+IF(LEN(W227)&gt;0,1,0)+IF(LEN(X227)&gt;0,1,0)+IF(LEN(Z227)&gt;0,1,0)+IF(LEN(AD227)&gt;0,1,0)+IF(LEN(AE227)&gt;0,1,0)+IF(LEN(AG227)&gt;0,1,0)+IF(LEN(AI227)&gt;0,1,0)+IF(LEN(BB227)&gt;0,1,0)+IF(LEN(BC227)&gt;0,1,0)+IF(LEN(AM227)&gt;0,1,0)+IF(LEN(AO227)&gt;0,1,0)+IF(LEN(AP227)&gt;0,1,0)+IF(LEN(AQ227)&gt;0,1,0)+IF(LEN(AR227)&gt;0,1,0)+IF(LEN(BA227)&gt;0,1,0)+IF(LEN(BM227)&gt;0,1,0)+IF(LEN(BZ227)&gt;0,1,0))/27,2))</f>
        <v/>
      </c>
      <c r="CF227" s="10" t="str">
        <f aca="false">IF(D227="","",IF(AND(AP227="Approved",ISERROR(SEARCH("FAIL",BJ227))),"Y","N"))</f>
        <v/>
      </c>
      <c r="CG227" s="10" t="str">
        <f aca="false">IF(D227="","",D227&amp;"|"&amp;E227&amp;"|"&amp;F227&amp;"|"&amp;G227&amp;"|"&amp;CF227)</f>
        <v/>
      </c>
    </row>
    <row r="228" customFormat="false" ht="15" hidden="false" customHeight="false" outlineLevel="0" collapsed="false">
      <c r="A228" s="10" t="str">
        <f aca="false">IF(D228="","","RW-"&amp;IFERROR(VLOOKUP(D228,Lists!$M$4:$N$22,2,0),"??")&amp;"-H"&amp;TEXT(E228*1000,"0000")&amp;"-S"&amp;F228&amp;IF(G228="Y","-GW","")&amp;"-"&amp;AO228)</f>
        <v/>
      </c>
      <c r="B228" s="10" t="str">
        <f aca="false">IF(D228="","",D228&amp;", H = "&amp;TEXT(E228,"0.0")&amp;" m, q = "&amp;F228&amp;" kPa"&amp;IF(G228="Y",", with GWT","")&amp;", "&amp;I228)</f>
        <v/>
      </c>
      <c r="C228" s="9"/>
      <c r="D228" s="9"/>
      <c r="E228" s="39"/>
      <c r="F228" s="38"/>
      <c r="G228" s="9"/>
      <c r="H228" s="38"/>
      <c r="I228" s="9"/>
      <c r="J228" s="38"/>
      <c r="K228" s="38"/>
      <c r="L228" s="38"/>
      <c r="M228" s="42"/>
      <c r="N228" s="9"/>
      <c r="O228" s="38"/>
      <c r="P228" s="38"/>
      <c r="Q228" s="38"/>
      <c r="R228" s="38"/>
      <c r="S228" s="38"/>
      <c r="T228" s="38"/>
      <c r="U228" s="9"/>
      <c r="V228" s="9"/>
      <c r="W228" s="38"/>
      <c r="X228" s="9"/>
      <c r="Y228" s="9"/>
      <c r="Z228" s="9"/>
      <c r="AA228" s="9"/>
      <c r="AB228" s="9"/>
      <c r="AC228" s="9"/>
      <c r="AD228" s="39"/>
      <c r="AE228" s="39"/>
      <c r="AF228" s="39"/>
      <c r="AG228" s="38"/>
      <c r="AH228" s="38"/>
      <c r="AI228" s="9"/>
      <c r="AJ228" s="38"/>
      <c r="AK228" s="9"/>
      <c r="AL228" s="39"/>
      <c r="AM228" s="9"/>
      <c r="AN228" s="9"/>
      <c r="AO228" s="9"/>
      <c r="AP228" s="9"/>
      <c r="AQ228" s="9"/>
      <c r="AR228" s="9"/>
      <c r="AS228" s="9"/>
      <c r="AT228" s="10" t="str">
        <f aca="false">IF(A228="","",SG_Criteria!$B$6&amp;SG_Criteria!$B$8&amp;"\"&amp;A228&amp;"\")</f>
        <v/>
      </c>
      <c r="AU228" s="10" t="str">
        <f aca="false">IF(A228="","",A228&amp;"_CAD.dwg")</f>
        <v/>
      </c>
      <c r="AV228" s="10" t="str">
        <f aca="false">IF(A228="","",A228&amp;"_DWG.pdf")</f>
        <v/>
      </c>
      <c r="AW228" s="10" t="str">
        <f aca="false">IF(A228="","",IF(AS228="Y",A228&amp;"_STAAD.std","n/a"))</f>
        <v/>
      </c>
      <c r="AX228" s="10" t="str">
        <f aca="false">IF(A228="","",A228&amp;"_CALC.xlsx")</f>
        <v/>
      </c>
      <c r="AY228" s="10" t="str">
        <f aca="false">IF(A228="","",A228&amp;"_CALC.pdf")</f>
        <v/>
      </c>
      <c r="AZ228" s="9"/>
      <c r="BA228" s="9"/>
      <c r="BB228" s="39"/>
      <c r="BC228" s="39"/>
      <c r="BD228" s="39"/>
      <c r="BE228" s="39"/>
      <c r="BF228" s="39"/>
      <c r="BG228" s="12" t="str">
        <f aca="false">IF(A228="","",IF(COUNTIF(Rebar_Schedule!$A$5:$A$2004,A228)=0,"",ROUND(SUMIF(Rebar_Schedule!$A$5:$A$2004,A228,Rebar_Schedule!$K$5:$K$2004),1)))</f>
        <v/>
      </c>
      <c r="BH228" s="33" t="str">
        <f aca="false">IF(A228="","",IF(BG228="","No rebar schedule yet",IF(ABS(BG228-N(BC228))/MAX(N(BC228),1)&gt;SG_Criteria!$B$55,"NOTE: register rebar differs from schedule by "&amp;TEXT(ABS(BG228-N(BC228))/MAX(N(BC228),1),"0%"),"OK")))</f>
        <v/>
      </c>
      <c r="BI228" s="33" t="str">
        <f aca="false">IF(OR(D228="",E228=""),"",IF(E228&lt;=IF(OR(D228="Block / Segmental",D228="Gabion",D228="Reinforced Earth (MSE)"),SG_Criteria!$B$34,SG_Criteria!$B$33),"No ERSS submission",IF(E228&lt;=SG_Criteria!$B$35,"QP(ST)",IF(E228&lt;=SG_Criteria!$B$36,"QP(ST) + AC","Geotechnical building works: QP(Geo) + AC"))))</f>
        <v/>
      </c>
      <c r="BJ228" s="33" t="str">
        <f aca="false">IF(D228="","",IF(LEN(IF(AND(V228&lt;&gt;"",IFERROR(VALUE(MID(V228,2,2)),0)&lt;SG_Criteria!$B$19),"FAIL: grade below C"&amp;SG_Criteria!$B$19&amp;". ","")&amp;IF(AND(W228&lt;&gt;"",W228&lt;SG_Criteria!$B$20),"FAIL: cover &lt; "&amp;SG_Criteria!$B$20&amp;" mm. ","")&amp;IF(AND(AD228&lt;&gt;"",AD228&lt;1),"FAIL: sliding. ","")&amp;IF(AND(D228="Reverse L-Wall (toe only, at boundary)",N(S228)&gt;0),"NOTE: reverse L-wall should have no heel. ","")&amp;IF(AND(D228="L-Wall (heel only)",N(R228)&gt;0),"NOTE: L-wall should have no toe. ","")&amp;IF(AND(F228&lt;&gt;"",F228&lt;SG_Criteria!$B$31),"NOTE: q below LTA min "&amp;SG_Criteria!$B$31&amp;" kPa (not for LTA works). ",""))=0,"OK",IF(AND(V228&lt;&gt;"",IFERROR(VALUE(MID(V228,2,2)),0)&lt;SG_Criteria!$B$19),"FAIL: grade below C"&amp;SG_Criteria!$B$19&amp;". ","")&amp;IF(AND(W228&lt;&gt;"",W228&lt;SG_Criteria!$B$20),"FAIL: cover &lt; "&amp;SG_Criteria!$B$20&amp;" mm. ","")&amp;IF(AND(AD228&lt;&gt;"",AD228&lt;1),"FAIL: sliding. ","")&amp;IF(AND(D228="Reverse L-Wall (toe only, at boundary)",N(S228)&gt;0),"NOTE: reverse L-wall should have no heel. ","")&amp;IF(AND(D228="L-Wall (heel only)",N(R228)&gt;0),"NOTE: L-wall should have no toe. ","")&amp;IF(AND(F228&lt;&gt;"",F228&lt;SG_Criteria!$B$31),"NOTE: q below LTA min "&amp;SG_Criteria!$B$31&amp;" kPa (not for LTA works). ","")))</f>
        <v/>
      </c>
      <c r="BK228" s="9"/>
      <c r="BL228" s="9"/>
      <c r="BM228" s="9"/>
      <c r="BN228" s="10" t="str">
        <f aca="false">IF(BM228="","",IFERROR(VLOOKUP(BM228,Projects!$A$5:$D$504,2,0),"Ref not in Projects"))</f>
        <v/>
      </c>
      <c r="BO228" s="10" t="str">
        <f aca="false">IF(BM228="","",IFERROR(VLOOKUP(BM228,Projects!$A$5:$D$504,4,0),"Ref not in Projects"))</f>
        <v/>
      </c>
      <c r="BP228" s="9"/>
      <c r="BQ228" s="9"/>
      <c r="BR228" s="9"/>
      <c r="BS228" s="40"/>
      <c r="BT228" s="9"/>
      <c r="BU228" s="40"/>
      <c r="BV228" s="9"/>
      <c r="BW228" s="40"/>
      <c r="BX228" s="9"/>
      <c r="BY228" s="9"/>
      <c r="BZ228" s="9"/>
      <c r="CA228" s="40"/>
      <c r="CB228" s="40"/>
      <c r="CC228" s="36" t="str">
        <f aca="false">IF(CB228="","",EDATE(CB228,SG_Criteria!$B$54*12))</f>
        <v/>
      </c>
      <c r="CD228" s="33" t="str">
        <f aca="true">IF(A228="","",IF(CB228="","NOTE: not reviewed yet",IF(TODAY()&gt;CC228,"NOTE: review overdue","OK")))</f>
        <v/>
      </c>
      <c r="CE228" s="37" t="str">
        <f aca="false">IF(A228="","",ROUND((IF(LEN(D228)&gt;0,1,0)+IF(LEN(E228)&gt;0,1,0)+IF(LEN(F228)&gt;0,1,0)+IF(LEN(G228)&gt;0,1,0)+IF(LEN(I228)&gt;0,1,0)+IF(LEN(K228)&gt;0,1,0)+IF(LEN(P228)&gt;0,1,0)+IF(LEN(Q228)&gt;0,1,0)+IF(LEN(T228)&gt;0,1,0)+IF(LEN(V228)&gt;0,1,0)+IF(LEN(W228)&gt;0,1,0)+IF(LEN(X228)&gt;0,1,0)+IF(LEN(Z228)&gt;0,1,0)+IF(LEN(AD228)&gt;0,1,0)+IF(LEN(AE228)&gt;0,1,0)+IF(LEN(AG228)&gt;0,1,0)+IF(LEN(AI228)&gt;0,1,0)+IF(LEN(BB228)&gt;0,1,0)+IF(LEN(BC228)&gt;0,1,0)+IF(LEN(AM228)&gt;0,1,0)+IF(LEN(AO228)&gt;0,1,0)+IF(LEN(AP228)&gt;0,1,0)+IF(LEN(AQ228)&gt;0,1,0)+IF(LEN(AR228)&gt;0,1,0)+IF(LEN(BA228)&gt;0,1,0)+IF(LEN(BM228)&gt;0,1,0)+IF(LEN(BZ228)&gt;0,1,0))/27,2))</f>
        <v/>
      </c>
      <c r="CF228" s="10" t="str">
        <f aca="false">IF(D228="","",IF(AND(AP228="Approved",ISERROR(SEARCH("FAIL",BJ228))),"Y","N"))</f>
        <v/>
      </c>
      <c r="CG228" s="10" t="str">
        <f aca="false">IF(D228="","",D228&amp;"|"&amp;E228&amp;"|"&amp;F228&amp;"|"&amp;G228&amp;"|"&amp;CF228)</f>
        <v/>
      </c>
    </row>
    <row r="229" customFormat="false" ht="15" hidden="false" customHeight="false" outlineLevel="0" collapsed="false">
      <c r="A229" s="10" t="str">
        <f aca="false">IF(D229="","","RW-"&amp;IFERROR(VLOOKUP(D229,Lists!$M$4:$N$22,2,0),"??")&amp;"-H"&amp;TEXT(E229*1000,"0000")&amp;"-S"&amp;F229&amp;IF(G229="Y","-GW","")&amp;"-"&amp;AO229)</f>
        <v/>
      </c>
      <c r="B229" s="10" t="str">
        <f aca="false">IF(D229="","",D229&amp;", H = "&amp;TEXT(E229,"0.0")&amp;" m, q = "&amp;F229&amp;" kPa"&amp;IF(G229="Y",", with GWT","")&amp;", "&amp;I229)</f>
        <v/>
      </c>
      <c r="C229" s="9"/>
      <c r="D229" s="9"/>
      <c r="E229" s="39"/>
      <c r="F229" s="38"/>
      <c r="G229" s="9"/>
      <c r="H229" s="38"/>
      <c r="I229" s="9"/>
      <c r="J229" s="38"/>
      <c r="K229" s="38"/>
      <c r="L229" s="38"/>
      <c r="M229" s="42"/>
      <c r="N229" s="9"/>
      <c r="O229" s="38"/>
      <c r="P229" s="38"/>
      <c r="Q229" s="38"/>
      <c r="R229" s="38"/>
      <c r="S229" s="38"/>
      <c r="T229" s="38"/>
      <c r="U229" s="9"/>
      <c r="V229" s="9"/>
      <c r="W229" s="38"/>
      <c r="X229" s="9"/>
      <c r="Y229" s="9"/>
      <c r="Z229" s="9"/>
      <c r="AA229" s="9"/>
      <c r="AB229" s="9"/>
      <c r="AC229" s="9"/>
      <c r="AD229" s="39"/>
      <c r="AE229" s="39"/>
      <c r="AF229" s="39"/>
      <c r="AG229" s="38"/>
      <c r="AH229" s="38"/>
      <c r="AI229" s="9"/>
      <c r="AJ229" s="38"/>
      <c r="AK229" s="9"/>
      <c r="AL229" s="39"/>
      <c r="AM229" s="9"/>
      <c r="AN229" s="9"/>
      <c r="AO229" s="9"/>
      <c r="AP229" s="9"/>
      <c r="AQ229" s="9"/>
      <c r="AR229" s="9"/>
      <c r="AS229" s="9"/>
      <c r="AT229" s="10" t="str">
        <f aca="false">IF(A229="","",SG_Criteria!$B$6&amp;SG_Criteria!$B$8&amp;"\"&amp;A229&amp;"\")</f>
        <v/>
      </c>
      <c r="AU229" s="10" t="str">
        <f aca="false">IF(A229="","",A229&amp;"_CAD.dwg")</f>
        <v/>
      </c>
      <c r="AV229" s="10" t="str">
        <f aca="false">IF(A229="","",A229&amp;"_DWG.pdf")</f>
        <v/>
      </c>
      <c r="AW229" s="10" t="str">
        <f aca="false">IF(A229="","",IF(AS229="Y",A229&amp;"_STAAD.std","n/a"))</f>
        <v/>
      </c>
      <c r="AX229" s="10" t="str">
        <f aca="false">IF(A229="","",A229&amp;"_CALC.xlsx")</f>
        <v/>
      </c>
      <c r="AY229" s="10" t="str">
        <f aca="false">IF(A229="","",A229&amp;"_CALC.pdf")</f>
        <v/>
      </c>
      <c r="AZ229" s="9"/>
      <c r="BA229" s="9"/>
      <c r="BB229" s="39"/>
      <c r="BC229" s="39"/>
      <c r="BD229" s="39"/>
      <c r="BE229" s="39"/>
      <c r="BF229" s="39"/>
      <c r="BG229" s="12" t="str">
        <f aca="false">IF(A229="","",IF(COUNTIF(Rebar_Schedule!$A$5:$A$2004,A229)=0,"",ROUND(SUMIF(Rebar_Schedule!$A$5:$A$2004,A229,Rebar_Schedule!$K$5:$K$2004),1)))</f>
        <v/>
      </c>
      <c r="BH229" s="33" t="str">
        <f aca="false">IF(A229="","",IF(BG229="","No rebar schedule yet",IF(ABS(BG229-N(BC229))/MAX(N(BC229),1)&gt;SG_Criteria!$B$55,"NOTE: register rebar differs from schedule by "&amp;TEXT(ABS(BG229-N(BC229))/MAX(N(BC229),1),"0%"),"OK")))</f>
        <v/>
      </c>
      <c r="BI229" s="33" t="str">
        <f aca="false">IF(OR(D229="",E229=""),"",IF(E229&lt;=IF(OR(D229="Block / Segmental",D229="Gabion",D229="Reinforced Earth (MSE)"),SG_Criteria!$B$34,SG_Criteria!$B$33),"No ERSS submission",IF(E229&lt;=SG_Criteria!$B$35,"QP(ST)",IF(E229&lt;=SG_Criteria!$B$36,"QP(ST) + AC","Geotechnical building works: QP(Geo) + AC"))))</f>
        <v/>
      </c>
      <c r="BJ229" s="33" t="str">
        <f aca="false">IF(D229="","",IF(LEN(IF(AND(V229&lt;&gt;"",IFERROR(VALUE(MID(V229,2,2)),0)&lt;SG_Criteria!$B$19),"FAIL: grade below C"&amp;SG_Criteria!$B$19&amp;". ","")&amp;IF(AND(W229&lt;&gt;"",W229&lt;SG_Criteria!$B$20),"FAIL: cover &lt; "&amp;SG_Criteria!$B$20&amp;" mm. ","")&amp;IF(AND(AD229&lt;&gt;"",AD229&lt;1),"FAIL: sliding. ","")&amp;IF(AND(D229="Reverse L-Wall (toe only, at boundary)",N(S229)&gt;0),"NOTE: reverse L-wall should have no heel. ","")&amp;IF(AND(D229="L-Wall (heel only)",N(R229)&gt;0),"NOTE: L-wall should have no toe. ","")&amp;IF(AND(F229&lt;&gt;"",F229&lt;SG_Criteria!$B$31),"NOTE: q below LTA min "&amp;SG_Criteria!$B$31&amp;" kPa (not for LTA works). ",""))=0,"OK",IF(AND(V229&lt;&gt;"",IFERROR(VALUE(MID(V229,2,2)),0)&lt;SG_Criteria!$B$19),"FAIL: grade below C"&amp;SG_Criteria!$B$19&amp;". ","")&amp;IF(AND(W229&lt;&gt;"",W229&lt;SG_Criteria!$B$20),"FAIL: cover &lt; "&amp;SG_Criteria!$B$20&amp;" mm. ","")&amp;IF(AND(AD229&lt;&gt;"",AD229&lt;1),"FAIL: sliding. ","")&amp;IF(AND(D229="Reverse L-Wall (toe only, at boundary)",N(S229)&gt;0),"NOTE: reverse L-wall should have no heel. ","")&amp;IF(AND(D229="L-Wall (heel only)",N(R229)&gt;0),"NOTE: L-wall should have no toe. ","")&amp;IF(AND(F229&lt;&gt;"",F229&lt;SG_Criteria!$B$31),"NOTE: q below LTA min "&amp;SG_Criteria!$B$31&amp;" kPa (not for LTA works). ","")))</f>
        <v/>
      </c>
      <c r="BK229" s="9"/>
      <c r="BL229" s="9"/>
      <c r="BM229" s="9"/>
      <c r="BN229" s="10" t="str">
        <f aca="false">IF(BM229="","",IFERROR(VLOOKUP(BM229,Projects!$A$5:$D$504,2,0),"Ref not in Projects"))</f>
        <v/>
      </c>
      <c r="BO229" s="10" t="str">
        <f aca="false">IF(BM229="","",IFERROR(VLOOKUP(BM229,Projects!$A$5:$D$504,4,0),"Ref not in Projects"))</f>
        <v/>
      </c>
      <c r="BP229" s="9"/>
      <c r="BQ229" s="9"/>
      <c r="BR229" s="9"/>
      <c r="BS229" s="40"/>
      <c r="BT229" s="9"/>
      <c r="BU229" s="40"/>
      <c r="BV229" s="9"/>
      <c r="BW229" s="40"/>
      <c r="BX229" s="9"/>
      <c r="BY229" s="9"/>
      <c r="BZ229" s="9"/>
      <c r="CA229" s="40"/>
      <c r="CB229" s="40"/>
      <c r="CC229" s="36" t="str">
        <f aca="false">IF(CB229="","",EDATE(CB229,SG_Criteria!$B$54*12))</f>
        <v/>
      </c>
      <c r="CD229" s="33" t="str">
        <f aca="true">IF(A229="","",IF(CB229="","NOTE: not reviewed yet",IF(TODAY()&gt;CC229,"NOTE: review overdue","OK")))</f>
        <v/>
      </c>
      <c r="CE229" s="37" t="str">
        <f aca="false">IF(A229="","",ROUND((IF(LEN(D229)&gt;0,1,0)+IF(LEN(E229)&gt;0,1,0)+IF(LEN(F229)&gt;0,1,0)+IF(LEN(G229)&gt;0,1,0)+IF(LEN(I229)&gt;0,1,0)+IF(LEN(K229)&gt;0,1,0)+IF(LEN(P229)&gt;0,1,0)+IF(LEN(Q229)&gt;0,1,0)+IF(LEN(T229)&gt;0,1,0)+IF(LEN(V229)&gt;0,1,0)+IF(LEN(W229)&gt;0,1,0)+IF(LEN(X229)&gt;0,1,0)+IF(LEN(Z229)&gt;0,1,0)+IF(LEN(AD229)&gt;0,1,0)+IF(LEN(AE229)&gt;0,1,0)+IF(LEN(AG229)&gt;0,1,0)+IF(LEN(AI229)&gt;0,1,0)+IF(LEN(BB229)&gt;0,1,0)+IF(LEN(BC229)&gt;0,1,0)+IF(LEN(AM229)&gt;0,1,0)+IF(LEN(AO229)&gt;0,1,0)+IF(LEN(AP229)&gt;0,1,0)+IF(LEN(AQ229)&gt;0,1,0)+IF(LEN(AR229)&gt;0,1,0)+IF(LEN(BA229)&gt;0,1,0)+IF(LEN(BM229)&gt;0,1,0)+IF(LEN(BZ229)&gt;0,1,0))/27,2))</f>
        <v/>
      </c>
      <c r="CF229" s="10" t="str">
        <f aca="false">IF(D229="","",IF(AND(AP229="Approved",ISERROR(SEARCH("FAIL",BJ229))),"Y","N"))</f>
        <v/>
      </c>
      <c r="CG229" s="10" t="str">
        <f aca="false">IF(D229="","",D229&amp;"|"&amp;E229&amp;"|"&amp;F229&amp;"|"&amp;G229&amp;"|"&amp;CF229)</f>
        <v/>
      </c>
    </row>
    <row r="230" customFormat="false" ht="15" hidden="false" customHeight="false" outlineLevel="0" collapsed="false">
      <c r="A230" s="10" t="str">
        <f aca="false">IF(D230="","","RW-"&amp;IFERROR(VLOOKUP(D230,Lists!$M$4:$N$22,2,0),"??")&amp;"-H"&amp;TEXT(E230*1000,"0000")&amp;"-S"&amp;F230&amp;IF(G230="Y","-GW","")&amp;"-"&amp;AO230)</f>
        <v/>
      </c>
      <c r="B230" s="10" t="str">
        <f aca="false">IF(D230="","",D230&amp;", H = "&amp;TEXT(E230,"0.0")&amp;" m, q = "&amp;F230&amp;" kPa"&amp;IF(G230="Y",", with GWT","")&amp;", "&amp;I230)</f>
        <v/>
      </c>
      <c r="C230" s="9"/>
      <c r="D230" s="9"/>
      <c r="E230" s="39"/>
      <c r="F230" s="38"/>
      <c r="G230" s="9"/>
      <c r="H230" s="38"/>
      <c r="I230" s="9"/>
      <c r="J230" s="38"/>
      <c r="K230" s="38"/>
      <c r="L230" s="38"/>
      <c r="M230" s="42"/>
      <c r="N230" s="9"/>
      <c r="O230" s="38"/>
      <c r="P230" s="38"/>
      <c r="Q230" s="38"/>
      <c r="R230" s="38"/>
      <c r="S230" s="38"/>
      <c r="T230" s="38"/>
      <c r="U230" s="9"/>
      <c r="V230" s="9"/>
      <c r="W230" s="38"/>
      <c r="X230" s="9"/>
      <c r="Y230" s="9"/>
      <c r="Z230" s="9"/>
      <c r="AA230" s="9"/>
      <c r="AB230" s="9"/>
      <c r="AC230" s="9"/>
      <c r="AD230" s="39"/>
      <c r="AE230" s="39"/>
      <c r="AF230" s="39"/>
      <c r="AG230" s="38"/>
      <c r="AH230" s="38"/>
      <c r="AI230" s="9"/>
      <c r="AJ230" s="38"/>
      <c r="AK230" s="9"/>
      <c r="AL230" s="39"/>
      <c r="AM230" s="9"/>
      <c r="AN230" s="9"/>
      <c r="AO230" s="9"/>
      <c r="AP230" s="9"/>
      <c r="AQ230" s="9"/>
      <c r="AR230" s="9"/>
      <c r="AS230" s="9"/>
      <c r="AT230" s="10" t="str">
        <f aca="false">IF(A230="","",SG_Criteria!$B$6&amp;SG_Criteria!$B$8&amp;"\"&amp;A230&amp;"\")</f>
        <v/>
      </c>
      <c r="AU230" s="10" t="str">
        <f aca="false">IF(A230="","",A230&amp;"_CAD.dwg")</f>
        <v/>
      </c>
      <c r="AV230" s="10" t="str">
        <f aca="false">IF(A230="","",A230&amp;"_DWG.pdf")</f>
        <v/>
      </c>
      <c r="AW230" s="10" t="str">
        <f aca="false">IF(A230="","",IF(AS230="Y",A230&amp;"_STAAD.std","n/a"))</f>
        <v/>
      </c>
      <c r="AX230" s="10" t="str">
        <f aca="false">IF(A230="","",A230&amp;"_CALC.xlsx")</f>
        <v/>
      </c>
      <c r="AY230" s="10" t="str">
        <f aca="false">IF(A230="","",A230&amp;"_CALC.pdf")</f>
        <v/>
      </c>
      <c r="AZ230" s="9"/>
      <c r="BA230" s="9"/>
      <c r="BB230" s="39"/>
      <c r="BC230" s="39"/>
      <c r="BD230" s="39"/>
      <c r="BE230" s="39"/>
      <c r="BF230" s="39"/>
      <c r="BG230" s="12" t="str">
        <f aca="false">IF(A230="","",IF(COUNTIF(Rebar_Schedule!$A$5:$A$2004,A230)=0,"",ROUND(SUMIF(Rebar_Schedule!$A$5:$A$2004,A230,Rebar_Schedule!$K$5:$K$2004),1)))</f>
        <v/>
      </c>
      <c r="BH230" s="33" t="str">
        <f aca="false">IF(A230="","",IF(BG230="","No rebar schedule yet",IF(ABS(BG230-N(BC230))/MAX(N(BC230),1)&gt;SG_Criteria!$B$55,"NOTE: register rebar differs from schedule by "&amp;TEXT(ABS(BG230-N(BC230))/MAX(N(BC230),1),"0%"),"OK")))</f>
        <v/>
      </c>
      <c r="BI230" s="33" t="str">
        <f aca="false">IF(OR(D230="",E230=""),"",IF(E230&lt;=IF(OR(D230="Block / Segmental",D230="Gabion",D230="Reinforced Earth (MSE)"),SG_Criteria!$B$34,SG_Criteria!$B$33),"No ERSS submission",IF(E230&lt;=SG_Criteria!$B$35,"QP(ST)",IF(E230&lt;=SG_Criteria!$B$36,"QP(ST) + AC","Geotechnical building works: QP(Geo) + AC"))))</f>
        <v/>
      </c>
      <c r="BJ230" s="33" t="str">
        <f aca="false">IF(D230="","",IF(LEN(IF(AND(V230&lt;&gt;"",IFERROR(VALUE(MID(V230,2,2)),0)&lt;SG_Criteria!$B$19),"FAIL: grade below C"&amp;SG_Criteria!$B$19&amp;". ","")&amp;IF(AND(W230&lt;&gt;"",W230&lt;SG_Criteria!$B$20),"FAIL: cover &lt; "&amp;SG_Criteria!$B$20&amp;" mm. ","")&amp;IF(AND(AD230&lt;&gt;"",AD230&lt;1),"FAIL: sliding. ","")&amp;IF(AND(D230="Reverse L-Wall (toe only, at boundary)",N(S230)&gt;0),"NOTE: reverse L-wall should have no heel. ","")&amp;IF(AND(D230="L-Wall (heel only)",N(R230)&gt;0),"NOTE: L-wall should have no toe. ","")&amp;IF(AND(F230&lt;&gt;"",F230&lt;SG_Criteria!$B$31),"NOTE: q below LTA min "&amp;SG_Criteria!$B$31&amp;" kPa (not for LTA works). ",""))=0,"OK",IF(AND(V230&lt;&gt;"",IFERROR(VALUE(MID(V230,2,2)),0)&lt;SG_Criteria!$B$19),"FAIL: grade below C"&amp;SG_Criteria!$B$19&amp;". ","")&amp;IF(AND(W230&lt;&gt;"",W230&lt;SG_Criteria!$B$20),"FAIL: cover &lt; "&amp;SG_Criteria!$B$20&amp;" mm. ","")&amp;IF(AND(AD230&lt;&gt;"",AD230&lt;1),"FAIL: sliding. ","")&amp;IF(AND(D230="Reverse L-Wall (toe only, at boundary)",N(S230)&gt;0),"NOTE: reverse L-wall should have no heel. ","")&amp;IF(AND(D230="L-Wall (heel only)",N(R230)&gt;0),"NOTE: L-wall should have no toe. ","")&amp;IF(AND(F230&lt;&gt;"",F230&lt;SG_Criteria!$B$31),"NOTE: q below LTA min "&amp;SG_Criteria!$B$31&amp;" kPa (not for LTA works). ","")))</f>
        <v/>
      </c>
      <c r="BK230" s="9"/>
      <c r="BL230" s="9"/>
      <c r="BM230" s="9"/>
      <c r="BN230" s="10" t="str">
        <f aca="false">IF(BM230="","",IFERROR(VLOOKUP(BM230,Projects!$A$5:$D$504,2,0),"Ref not in Projects"))</f>
        <v/>
      </c>
      <c r="BO230" s="10" t="str">
        <f aca="false">IF(BM230="","",IFERROR(VLOOKUP(BM230,Projects!$A$5:$D$504,4,0),"Ref not in Projects"))</f>
        <v/>
      </c>
      <c r="BP230" s="9"/>
      <c r="BQ230" s="9"/>
      <c r="BR230" s="9"/>
      <c r="BS230" s="40"/>
      <c r="BT230" s="9"/>
      <c r="BU230" s="40"/>
      <c r="BV230" s="9"/>
      <c r="BW230" s="40"/>
      <c r="BX230" s="9"/>
      <c r="BY230" s="9"/>
      <c r="BZ230" s="9"/>
      <c r="CA230" s="40"/>
      <c r="CB230" s="40"/>
      <c r="CC230" s="36" t="str">
        <f aca="false">IF(CB230="","",EDATE(CB230,SG_Criteria!$B$54*12))</f>
        <v/>
      </c>
      <c r="CD230" s="33" t="str">
        <f aca="true">IF(A230="","",IF(CB230="","NOTE: not reviewed yet",IF(TODAY()&gt;CC230,"NOTE: review overdue","OK")))</f>
        <v/>
      </c>
      <c r="CE230" s="37" t="str">
        <f aca="false">IF(A230="","",ROUND((IF(LEN(D230)&gt;0,1,0)+IF(LEN(E230)&gt;0,1,0)+IF(LEN(F230)&gt;0,1,0)+IF(LEN(G230)&gt;0,1,0)+IF(LEN(I230)&gt;0,1,0)+IF(LEN(K230)&gt;0,1,0)+IF(LEN(P230)&gt;0,1,0)+IF(LEN(Q230)&gt;0,1,0)+IF(LEN(T230)&gt;0,1,0)+IF(LEN(V230)&gt;0,1,0)+IF(LEN(W230)&gt;0,1,0)+IF(LEN(X230)&gt;0,1,0)+IF(LEN(Z230)&gt;0,1,0)+IF(LEN(AD230)&gt;0,1,0)+IF(LEN(AE230)&gt;0,1,0)+IF(LEN(AG230)&gt;0,1,0)+IF(LEN(AI230)&gt;0,1,0)+IF(LEN(BB230)&gt;0,1,0)+IF(LEN(BC230)&gt;0,1,0)+IF(LEN(AM230)&gt;0,1,0)+IF(LEN(AO230)&gt;0,1,0)+IF(LEN(AP230)&gt;0,1,0)+IF(LEN(AQ230)&gt;0,1,0)+IF(LEN(AR230)&gt;0,1,0)+IF(LEN(BA230)&gt;0,1,0)+IF(LEN(BM230)&gt;0,1,0)+IF(LEN(BZ230)&gt;0,1,0))/27,2))</f>
        <v/>
      </c>
      <c r="CF230" s="10" t="str">
        <f aca="false">IF(D230="","",IF(AND(AP230="Approved",ISERROR(SEARCH("FAIL",BJ230))),"Y","N"))</f>
        <v/>
      </c>
      <c r="CG230" s="10" t="str">
        <f aca="false">IF(D230="","",D230&amp;"|"&amp;E230&amp;"|"&amp;F230&amp;"|"&amp;G230&amp;"|"&amp;CF230)</f>
        <v/>
      </c>
    </row>
    <row r="231" customFormat="false" ht="15" hidden="false" customHeight="false" outlineLevel="0" collapsed="false">
      <c r="A231" s="10" t="str">
        <f aca="false">IF(D231="","","RW-"&amp;IFERROR(VLOOKUP(D231,Lists!$M$4:$N$22,2,0),"??")&amp;"-H"&amp;TEXT(E231*1000,"0000")&amp;"-S"&amp;F231&amp;IF(G231="Y","-GW","")&amp;"-"&amp;AO231)</f>
        <v/>
      </c>
      <c r="B231" s="10" t="str">
        <f aca="false">IF(D231="","",D231&amp;", H = "&amp;TEXT(E231,"0.0")&amp;" m, q = "&amp;F231&amp;" kPa"&amp;IF(G231="Y",", with GWT","")&amp;", "&amp;I231)</f>
        <v/>
      </c>
      <c r="C231" s="9"/>
      <c r="D231" s="9"/>
      <c r="E231" s="39"/>
      <c r="F231" s="38"/>
      <c r="G231" s="9"/>
      <c r="H231" s="38"/>
      <c r="I231" s="9"/>
      <c r="J231" s="38"/>
      <c r="K231" s="38"/>
      <c r="L231" s="38"/>
      <c r="M231" s="42"/>
      <c r="N231" s="9"/>
      <c r="O231" s="38"/>
      <c r="P231" s="38"/>
      <c r="Q231" s="38"/>
      <c r="R231" s="38"/>
      <c r="S231" s="38"/>
      <c r="T231" s="38"/>
      <c r="U231" s="9"/>
      <c r="V231" s="9"/>
      <c r="W231" s="38"/>
      <c r="X231" s="9"/>
      <c r="Y231" s="9"/>
      <c r="Z231" s="9"/>
      <c r="AA231" s="9"/>
      <c r="AB231" s="9"/>
      <c r="AC231" s="9"/>
      <c r="AD231" s="39"/>
      <c r="AE231" s="39"/>
      <c r="AF231" s="39"/>
      <c r="AG231" s="38"/>
      <c r="AH231" s="38"/>
      <c r="AI231" s="9"/>
      <c r="AJ231" s="38"/>
      <c r="AK231" s="9"/>
      <c r="AL231" s="39"/>
      <c r="AM231" s="9"/>
      <c r="AN231" s="9"/>
      <c r="AO231" s="9"/>
      <c r="AP231" s="9"/>
      <c r="AQ231" s="9"/>
      <c r="AR231" s="9"/>
      <c r="AS231" s="9"/>
      <c r="AT231" s="10" t="str">
        <f aca="false">IF(A231="","",SG_Criteria!$B$6&amp;SG_Criteria!$B$8&amp;"\"&amp;A231&amp;"\")</f>
        <v/>
      </c>
      <c r="AU231" s="10" t="str">
        <f aca="false">IF(A231="","",A231&amp;"_CAD.dwg")</f>
        <v/>
      </c>
      <c r="AV231" s="10" t="str">
        <f aca="false">IF(A231="","",A231&amp;"_DWG.pdf")</f>
        <v/>
      </c>
      <c r="AW231" s="10" t="str">
        <f aca="false">IF(A231="","",IF(AS231="Y",A231&amp;"_STAAD.std","n/a"))</f>
        <v/>
      </c>
      <c r="AX231" s="10" t="str">
        <f aca="false">IF(A231="","",A231&amp;"_CALC.xlsx")</f>
        <v/>
      </c>
      <c r="AY231" s="10" t="str">
        <f aca="false">IF(A231="","",A231&amp;"_CALC.pdf")</f>
        <v/>
      </c>
      <c r="AZ231" s="9"/>
      <c r="BA231" s="9"/>
      <c r="BB231" s="39"/>
      <c r="BC231" s="39"/>
      <c r="BD231" s="39"/>
      <c r="BE231" s="39"/>
      <c r="BF231" s="39"/>
      <c r="BG231" s="12" t="str">
        <f aca="false">IF(A231="","",IF(COUNTIF(Rebar_Schedule!$A$5:$A$2004,A231)=0,"",ROUND(SUMIF(Rebar_Schedule!$A$5:$A$2004,A231,Rebar_Schedule!$K$5:$K$2004),1)))</f>
        <v/>
      </c>
      <c r="BH231" s="33" t="str">
        <f aca="false">IF(A231="","",IF(BG231="","No rebar schedule yet",IF(ABS(BG231-N(BC231))/MAX(N(BC231),1)&gt;SG_Criteria!$B$55,"NOTE: register rebar differs from schedule by "&amp;TEXT(ABS(BG231-N(BC231))/MAX(N(BC231),1),"0%"),"OK")))</f>
        <v/>
      </c>
      <c r="BI231" s="33" t="str">
        <f aca="false">IF(OR(D231="",E231=""),"",IF(E231&lt;=IF(OR(D231="Block / Segmental",D231="Gabion",D231="Reinforced Earth (MSE)"),SG_Criteria!$B$34,SG_Criteria!$B$33),"No ERSS submission",IF(E231&lt;=SG_Criteria!$B$35,"QP(ST)",IF(E231&lt;=SG_Criteria!$B$36,"QP(ST) + AC","Geotechnical building works: QP(Geo) + AC"))))</f>
        <v/>
      </c>
      <c r="BJ231" s="33" t="str">
        <f aca="false">IF(D231="","",IF(LEN(IF(AND(V231&lt;&gt;"",IFERROR(VALUE(MID(V231,2,2)),0)&lt;SG_Criteria!$B$19),"FAIL: grade below C"&amp;SG_Criteria!$B$19&amp;". ","")&amp;IF(AND(W231&lt;&gt;"",W231&lt;SG_Criteria!$B$20),"FAIL: cover &lt; "&amp;SG_Criteria!$B$20&amp;" mm. ","")&amp;IF(AND(AD231&lt;&gt;"",AD231&lt;1),"FAIL: sliding. ","")&amp;IF(AND(D231="Reverse L-Wall (toe only, at boundary)",N(S231)&gt;0),"NOTE: reverse L-wall should have no heel. ","")&amp;IF(AND(D231="L-Wall (heel only)",N(R231)&gt;0),"NOTE: L-wall should have no toe. ","")&amp;IF(AND(F231&lt;&gt;"",F231&lt;SG_Criteria!$B$31),"NOTE: q below LTA min "&amp;SG_Criteria!$B$31&amp;" kPa (not for LTA works). ",""))=0,"OK",IF(AND(V231&lt;&gt;"",IFERROR(VALUE(MID(V231,2,2)),0)&lt;SG_Criteria!$B$19),"FAIL: grade below C"&amp;SG_Criteria!$B$19&amp;". ","")&amp;IF(AND(W231&lt;&gt;"",W231&lt;SG_Criteria!$B$20),"FAIL: cover &lt; "&amp;SG_Criteria!$B$20&amp;" mm. ","")&amp;IF(AND(AD231&lt;&gt;"",AD231&lt;1),"FAIL: sliding. ","")&amp;IF(AND(D231="Reverse L-Wall (toe only, at boundary)",N(S231)&gt;0),"NOTE: reverse L-wall should have no heel. ","")&amp;IF(AND(D231="L-Wall (heel only)",N(R231)&gt;0),"NOTE: L-wall should have no toe. ","")&amp;IF(AND(F231&lt;&gt;"",F231&lt;SG_Criteria!$B$31),"NOTE: q below LTA min "&amp;SG_Criteria!$B$31&amp;" kPa (not for LTA works). ","")))</f>
        <v/>
      </c>
      <c r="BK231" s="9"/>
      <c r="BL231" s="9"/>
      <c r="BM231" s="9"/>
      <c r="BN231" s="10" t="str">
        <f aca="false">IF(BM231="","",IFERROR(VLOOKUP(BM231,Projects!$A$5:$D$504,2,0),"Ref not in Projects"))</f>
        <v/>
      </c>
      <c r="BO231" s="10" t="str">
        <f aca="false">IF(BM231="","",IFERROR(VLOOKUP(BM231,Projects!$A$5:$D$504,4,0),"Ref not in Projects"))</f>
        <v/>
      </c>
      <c r="BP231" s="9"/>
      <c r="BQ231" s="9"/>
      <c r="BR231" s="9"/>
      <c r="BS231" s="40"/>
      <c r="BT231" s="9"/>
      <c r="BU231" s="40"/>
      <c r="BV231" s="9"/>
      <c r="BW231" s="40"/>
      <c r="BX231" s="9"/>
      <c r="BY231" s="9"/>
      <c r="BZ231" s="9"/>
      <c r="CA231" s="40"/>
      <c r="CB231" s="40"/>
      <c r="CC231" s="36" t="str">
        <f aca="false">IF(CB231="","",EDATE(CB231,SG_Criteria!$B$54*12))</f>
        <v/>
      </c>
      <c r="CD231" s="33" t="str">
        <f aca="true">IF(A231="","",IF(CB231="","NOTE: not reviewed yet",IF(TODAY()&gt;CC231,"NOTE: review overdue","OK")))</f>
        <v/>
      </c>
      <c r="CE231" s="37" t="str">
        <f aca="false">IF(A231="","",ROUND((IF(LEN(D231)&gt;0,1,0)+IF(LEN(E231)&gt;0,1,0)+IF(LEN(F231)&gt;0,1,0)+IF(LEN(G231)&gt;0,1,0)+IF(LEN(I231)&gt;0,1,0)+IF(LEN(K231)&gt;0,1,0)+IF(LEN(P231)&gt;0,1,0)+IF(LEN(Q231)&gt;0,1,0)+IF(LEN(T231)&gt;0,1,0)+IF(LEN(V231)&gt;0,1,0)+IF(LEN(W231)&gt;0,1,0)+IF(LEN(X231)&gt;0,1,0)+IF(LEN(Z231)&gt;0,1,0)+IF(LEN(AD231)&gt;0,1,0)+IF(LEN(AE231)&gt;0,1,0)+IF(LEN(AG231)&gt;0,1,0)+IF(LEN(AI231)&gt;0,1,0)+IF(LEN(BB231)&gt;0,1,0)+IF(LEN(BC231)&gt;0,1,0)+IF(LEN(AM231)&gt;0,1,0)+IF(LEN(AO231)&gt;0,1,0)+IF(LEN(AP231)&gt;0,1,0)+IF(LEN(AQ231)&gt;0,1,0)+IF(LEN(AR231)&gt;0,1,0)+IF(LEN(BA231)&gt;0,1,0)+IF(LEN(BM231)&gt;0,1,0)+IF(LEN(BZ231)&gt;0,1,0))/27,2))</f>
        <v/>
      </c>
      <c r="CF231" s="10" t="str">
        <f aca="false">IF(D231="","",IF(AND(AP231="Approved",ISERROR(SEARCH("FAIL",BJ231))),"Y","N"))</f>
        <v/>
      </c>
      <c r="CG231" s="10" t="str">
        <f aca="false">IF(D231="","",D231&amp;"|"&amp;E231&amp;"|"&amp;F231&amp;"|"&amp;G231&amp;"|"&amp;CF231)</f>
        <v/>
      </c>
    </row>
    <row r="232" customFormat="false" ht="15" hidden="false" customHeight="false" outlineLevel="0" collapsed="false">
      <c r="A232" s="10" t="str">
        <f aca="false">IF(D232="","","RW-"&amp;IFERROR(VLOOKUP(D232,Lists!$M$4:$N$22,2,0),"??")&amp;"-H"&amp;TEXT(E232*1000,"0000")&amp;"-S"&amp;F232&amp;IF(G232="Y","-GW","")&amp;"-"&amp;AO232)</f>
        <v/>
      </c>
      <c r="B232" s="10" t="str">
        <f aca="false">IF(D232="","",D232&amp;", H = "&amp;TEXT(E232,"0.0")&amp;" m, q = "&amp;F232&amp;" kPa"&amp;IF(G232="Y",", with GWT","")&amp;", "&amp;I232)</f>
        <v/>
      </c>
      <c r="C232" s="9"/>
      <c r="D232" s="9"/>
      <c r="E232" s="39"/>
      <c r="F232" s="38"/>
      <c r="G232" s="9"/>
      <c r="H232" s="38"/>
      <c r="I232" s="9"/>
      <c r="J232" s="38"/>
      <c r="K232" s="38"/>
      <c r="L232" s="38"/>
      <c r="M232" s="42"/>
      <c r="N232" s="9"/>
      <c r="O232" s="38"/>
      <c r="P232" s="38"/>
      <c r="Q232" s="38"/>
      <c r="R232" s="38"/>
      <c r="S232" s="38"/>
      <c r="T232" s="38"/>
      <c r="U232" s="9"/>
      <c r="V232" s="9"/>
      <c r="W232" s="38"/>
      <c r="X232" s="9"/>
      <c r="Y232" s="9"/>
      <c r="Z232" s="9"/>
      <c r="AA232" s="9"/>
      <c r="AB232" s="9"/>
      <c r="AC232" s="9"/>
      <c r="AD232" s="39"/>
      <c r="AE232" s="39"/>
      <c r="AF232" s="39"/>
      <c r="AG232" s="38"/>
      <c r="AH232" s="38"/>
      <c r="AI232" s="9"/>
      <c r="AJ232" s="38"/>
      <c r="AK232" s="9"/>
      <c r="AL232" s="39"/>
      <c r="AM232" s="9"/>
      <c r="AN232" s="9"/>
      <c r="AO232" s="9"/>
      <c r="AP232" s="9"/>
      <c r="AQ232" s="9"/>
      <c r="AR232" s="9"/>
      <c r="AS232" s="9"/>
      <c r="AT232" s="10" t="str">
        <f aca="false">IF(A232="","",SG_Criteria!$B$6&amp;SG_Criteria!$B$8&amp;"\"&amp;A232&amp;"\")</f>
        <v/>
      </c>
      <c r="AU232" s="10" t="str">
        <f aca="false">IF(A232="","",A232&amp;"_CAD.dwg")</f>
        <v/>
      </c>
      <c r="AV232" s="10" t="str">
        <f aca="false">IF(A232="","",A232&amp;"_DWG.pdf")</f>
        <v/>
      </c>
      <c r="AW232" s="10" t="str">
        <f aca="false">IF(A232="","",IF(AS232="Y",A232&amp;"_STAAD.std","n/a"))</f>
        <v/>
      </c>
      <c r="AX232" s="10" t="str">
        <f aca="false">IF(A232="","",A232&amp;"_CALC.xlsx")</f>
        <v/>
      </c>
      <c r="AY232" s="10" t="str">
        <f aca="false">IF(A232="","",A232&amp;"_CALC.pdf")</f>
        <v/>
      </c>
      <c r="AZ232" s="9"/>
      <c r="BA232" s="9"/>
      <c r="BB232" s="39"/>
      <c r="BC232" s="39"/>
      <c r="BD232" s="39"/>
      <c r="BE232" s="39"/>
      <c r="BF232" s="39"/>
      <c r="BG232" s="12" t="str">
        <f aca="false">IF(A232="","",IF(COUNTIF(Rebar_Schedule!$A$5:$A$2004,A232)=0,"",ROUND(SUMIF(Rebar_Schedule!$A$5:$A$2004,A232,Rebar_Schedule!$K$5:$K$2004),1)))</f>
        <v/>
      </c>
      <c r="BH232" s="33" t="str">
        <f aca="false">IF(A232="","",IF(BG232="","No rebar schedule yet",IF(ABS(BG232-N(BC232))/MAX(N(BC232),1)&gt;SG_Criteria!$B$55,"NOTE: register rebar differs from schedule by "&amp;TEXT(ABS(BG232-N(BC232))/MAX(N(BC232),1),"0%"),"OK")))</f>
        <v/>
      </c>
      <c r="BI232" s="33" t="str">
        <f aca="false">IF(OR(D232="",E232=""),"",IF(E232&lt;=IF(OR(D232="Block / Segmental",D232="Gabion",D232="Reinforced Earth (MSE)"),SG_Criteria!$B$34,SG_Criteria!$B$33),"No ERSS submission",IF(E232&lt;=SG_Criteria!$B$35,"QP(ST)",IF(E232&lt;=SG_Criteria!$B$36,"QP(ST) + AC","Geotechnical building works: QP(Geo) + AC"))))</f>
        <v/>
      </c>
      <c r="BJ232" s="33" t="str">
        <f aca="false">IF(D232="","",IF(LEN(IF(AND(V232&lt;&gt;"",IFERROR(VALUE(MID(V232,2,2)),0)&lt;SG_Criteria!$B$19),"FAIL: grade below C"&amp;SG_Criteria!$B$19&amp;". ","")&amp;IF(AND(W232&lt;&gt;"",W232&lt;SG_Criteria!$B$20),"FAIL: cover &lt; "&amp;SG_Criteria!$B$20&amp;" mm. ","")&amp;IF(AND(AD232&lt;&gt;"",AD232&lt;1),"FAIL: sliding. ","")&amp;IF(AND(D232="Reverse L-Wall (toe only, at boundary)",N(S232)&gt;0),"NOTE: reverse L-wall should have no heel. ","")&amp;IF(AND(D232="L-Wall (heel only)",N(R232)&gt;0),"NOTE: L-wall should have no toe. ","")&amp;IF(AND(F232&lt;&gt;"",F232&lt;SG_Criteria!$B$31),"NOTE: q below LTA min "&amp;SG_Criteria!$B$31&amp;" kPa (not for LTA works). ",""))=0,"OK",IF(AND(V232&lt;&gt;"",IFERROR(VALUE(MID(V232,2,2)),0)&lt;SG_Criteria!$B$19),"FAIL: grade below C"&amp;SG_Criteria!$B$19&amp;". ","")&amp;IF(AND(W232&lt;&gt;"",W232&lt;SG_Criteria!$B$20),"FAIL: cover &lt; "&amp;SG_Criteria!$B$20&amp;" mm. ","")&amp;IF(AND(AD232&lt;&gt;"",AD232&lt;1),"FAIL: sliding. ","")&amp;IF(AND(D232="Reverse L-Wall (toe only, at boundary)",N(S232)&gt;0),"NOTE: reverse L-wall should have no heel. ","")&amp;IF(AND(D232="L-Wall (heel only)",N(R232)&gt;0),"NOTE: L-wall should have no toe. ","")&amp;IF(AND(F232&lt;&gt;"",F232&lt;SG_Criteria!$B$31),"NOTE: q below LTA min "&amp;SG_Criteria!$B$31&amp;" kPa (not for LTA works). ","")))</f>
        <v/>
      </c>
      <c r="BK232" s="9"/>
      <c r="BL232" s="9"/>
      <c r="BM232" s="9"/>
      <c r="BN232" s="10" t="str">
        <f aca="false">IF(BM232="","",IFERROR(VLOOKUP(BM232,Projects!$A$5:$D$504,2,0),"Ref not in Projects"))</f>
        <v/>
      </c>
      <c r="BO232" s="10" t="str">
        <f aca="false">IF(BM232="","",IFERROR(VLOOKUP(BM232,Projects!$A$5:$D$504,4,0),"Ref not in Projects"))</f>
        <v/>
      </c>
      <c r="BP232" s="9"/>
      <c r="BQ232" s="9"/>
      <c r="BR232" s="9"/>
      <c r="BS232" s="40"/>
      <c r="BT232" s="9"/>
      <c r="BU232" s="40"/>
      <c r="BV232" s="9"/>
      <c r="BW232" s="40"/>
      <c r="BX232" s="9"/>
      <c r="BY232" s="9"/>
      <c r="BZ232" s="9"/>
      <c r="CA232" s="40"/>
      <c r="CB232" s="40"/>
      <c r="CC232" s="36" t="str">
        <f aca="false">IF(CB232="","",EDATE(CB232,SG_Criteria!$B$54*12))</f>
        <v/>
      </c>
      <c r="CD232" s="33" t="str">
        <f aca="true">IF(A232="","",IF(CB232="","NOTE: not reviewed yet",IF(TODAY()&gt;CC232,"NOTE: review overdue","OK")))</f>
        <v/>
      </c>
      <c r="CE232" s="37" t="str">
        <f aca="false">IF(A232="","",ROUND((IF(LEN(D232)&gt;0,1,0)+IF(LEN(E232)&gt;0,1,0)+IF(LEN(F232)&gt;0,1,0)+IF(LEN(G232)&gt;0,1,0)+IF(LEN(I232)&gt;0,1,0)+IF(LEN(K232)&gt;0,1,0)+IF(LEN(P232)&gt;0,1,0)+IF(LEN(Q232)&gt;0,1,0)+IF(LEN(T232)&gt;0,1,0)+IF(LEN(V232)&gt;0,1,0)+IF(LEN(W232)&gt;0,1,0)+IF(LEN(X232)&gt;0,1,0)+IF(LEN(Z232)&gt;0,1,0)+IF(LEN(AD232)&gt;0,1,0)+IF(LEN(AE232)&gt;0,1,0)+IF(LEN(AG232)&gt;0,1,0)+IF(LEN(AI232)&gt;0,1,0)+IF(LEN(BB232)&gt;0,1,0)+IF(LEN(BC232)&gt;0,1,0)+IF(LEN(AM232)&gt;0,1,0)+IF(LEN(AO232)&gt;0,1,0)+IF(LEN(AP232)&gt;0,1,0)+IF(LEN(AQ232)&gt;0,1,0)+IF(LEN(AR232)&gt;0,1,0)+IF(LEN(BA232)&gt;0,1,0)+IF(LEN(BM232)&gt;0,1,0)+IF(LEN(BZ232)&gt;0,1,0))/27,2))</f>
        <v/>
      </c>
      <c r="CF232" s="10" t="str">
        <f aca="false">IF(D232="","",IF(AND(AP232="Approved",ISERROR(SEARCH("FAIL",BJ232))),"Y","N"))</f>
        <v/>
      </c>
      <c r="CG232" s="10" t="str">
        <f aca="false">IF(D232="","",D232&amp;"|"&amp;E232&amp;"|"&amp;F232&amp;"|"&amp;G232&amp;"|"&amp;CF232)</f>
        <v/>
      </c>
    </row>
    <row r="233" customFormat="false" ht="15" hidden="false" customHeight="false" outlineLevel="0" collapsed="false">
      <c r="A233" s="10" t="str">
        <f aca="false">IF(D233="","","RW-"&amp;IFERROR(VLOOKUP(D233,Lists!$M$4:$N$22,2,0),"??")&amp;"-H"&amp;TEXT(E233*1000,"0000")&amp;"-S"&amp;F233&amp;IF(G233="Y","-GW","")&amp;"-"&amp;AO233)</f>
        <v/>
      </c>
      <c r="B233" s="10" t="str">
        <f aca="false">IF(D233="","",D233&amp;", H = "&amp;TEXT(E233,"0.0")&amp;" m, q = "&amp;F233&amp;" kPa"&amp;IF(G233="Y",", with GWT","")&amp;", "&amp;I233)</f>
        <v/>
      </c>
      <c r="C233" s="9"/>
      <c r="D233" s="9"/>
      <c r="E233" s="39"/>
      <c r="F233" s="38"/>
      <c r="G233" s="9"/>
      <c r="H233" s="38"/>
      <c r="I233" s="9"/>
      <c r="J233" s="38"/>
      <c r="K233" s="38"/>
      <c r="L233" s="38"/>
      <c r="M233" s="42"/>
      <c r="N233" s="9"/>
      <c r="O233" s="38"/>
      <c r="P233" s="38"/>
      <c r="Q233" s="38"/>
      <c r="R233" s="38"/>
      <c r="S233" s="38"/>
      <c r="T233" s="38"/>
      <c r="U233" s="9"/>
      <c r="V233" s="9"/>
      <c r="W233" s="38"/>
      <c r="X233" s="9"/>
      <c r="Y233" s="9"/>
      <c r="Z233" s="9"/>
      <c r="AA233" s="9"/>
      <c r="AB233" s="9"/>
      <c r="AC233" s="9"/>
      <c r="AD233" s="39"/>
      <c r="AE233" s="39"/>
      <c r="AF233" s="39"/>
      <c r="AG233" s="38"/>
      <c r="AH233" s="38"/>
      <c r="AI233" s="9"/>
      <c r="AJ233" s="38"/>
      <c r="AK233" s="9"/>
      <c r="AL233" s="39"/>
      <c r="AM233" s="9"/>
      <c r="AN233" s="9"/>
      <c r="AO233" s="9"/>
      <c r="AP233" s="9"/>
      <c r="AQ233" s="9"/>
      <c r="AR233" s="9"/>
      <c r="AS233" s="9"/>
      <c r="AT233" s="10" t="str">
        <f aca="false">IF(A233="","",SG_Criteria!$B$6&amp;SG_Criteria!$B$8&amp;"\"&amp;A233&amp;"\")</f>
        <v/>
      </c>
      <c r="AU233" s="10" t="str">
        <f aca="false">IF(A233="","",A233&amp;"_CAD.dwg")</f>
        <v/>
      </c>
      <c r="AV233" s="10" t="str">
        <f aca="false">IF(A233="","",A233&amp;"_DWG.pdf")</f>
        <v/>
      </c>
      <c r="AW233" s="10" t="str">
        <f aca="false">IF(A233="","",IF(AS233="Y",A233&amp;"_STAAD.std","n/a"))</f>
        <v/>
      </c>
      <c r="AX233" s="10" t="str">
        <f aca="false">IF(A233="","",A233&amp;"_CALC.xlsx")</f>
        <v/>
      </c>
      <c r="AY233" s="10" t="str">
        <f aca="false">IF(A233="","",A233&amp;"_CALC.pdf")</f>
        <v/>
      </c>
      <c r="AZ233" s="9"/>
      <c r="BA233" s="9"/>
      <c r="BB233" s="39"/>
      <c r="BC233" s="39"/>
      <c r="BD233" s="39"/>
      <c r="BE233" s="39"/>
      <c r="BF233" s="39"/>
      <c r="BG233" s="12" t="str">
        <f aca="false">IF(A233="","",IF(COUNTIF(Rebar_Schedule!$A$5:$A$2004,A233)=0,"",ROUND(SUMIF(Rebar_Schedule!$A$5:$A$2004,A233,Rebar_Schedule!$K$5:$K$2004),1)))</f>
        <v/>
      </c>
      <c r="BH233" s="33" t="str">
        <f aca="false">IF(A233="","",IF(BG233="","No rebar schedule yet",IF(ABS(BG233-N(BC233))/MAX(N(BC233),1)&gt;SG_Criteria!$B$55,"NOTE: register rebar differs from schedule by "&amp;TEXT(ABS(BG233-N(BC233))/MAX(N(BC233),1),"0%"),"OK")))</f>
        <v/>
      </c>
      <c r="BI233" s="33" t="str">
        <f aca="false">IF(OR(D233="",E233=""),"",IF(E233&lt;=IF(OR(D233="Block / Segmental",D233="Gabion",D233="Reinforced Earth (MSE)"),SG_Criteria!$B$34,SG_Criteria!$B$33),"No ERSS submission",IF(E233&lt;=SG_Criteria!$B$35,"QP(ST)",IF(E233&lt;=SG_Criteria!$B$36,"QP(ST) + AC","Geotechnical building works: QP(Geo) + AC"))))</f>
        <v/>
      </c>
      <c r="BJ233" s="33" t="str">
        <f aca="false">IF(D233="","",IF(LEN(IF(AND(V233&lt;&gt;"",IFERROR(VALUE(MID(V233,2,2)),0)&lt;SG_Criteria!$B$19),"FAIL: grade below C"&amp;SG_Criteria!$B$19&amp;". ","")&amp;IF(AND(W233&lt;&gt;"",W233&lt;SG_Criteria!$B$20),"FAIL: cover &lt; "&amp;SG_Criteria!$B$20&amp;" mm. ","")&amp;IF(AND(AD233&lt;&gt;"",AD233&lt;1),"FAIL: sliding. ","")&amp;IF(AND(D233="Reverse L-Wall (toe only, at boundary)",N(S233)&gt;0),"NOTE: reverse L-wall should have no heel. ","")&amp;IF(AND(D233="L-Wall (heel only)",N(R233)&gt;0),"NOTE: L-wall should have no toe. ","")&amp;IF(AND(F233&lt;&gt;"",F233&lt;SG_Criteria!$B$31),"NOTE: q below LTA min "&amp;SG_Criteria!$B$31&amp;" kPa (not for LTA works). ",""))=0,"OK",IF(AND(V233&lt;&gt;"",IFERROR(VALUE(MID(V233,2,2)),0)&lt;SG_Criteria!$B$19),"FAIL: grade below C"&amp;SG_Criteria!$B$19&amp;". ","")&amp;IF(AND(W233&lt;&gt;"",W233&lt;SG_Criteria!$B$20),"FAIL: cover &lt; "&amp;SG_Criteria!$B$20&amp;" mm. ","")&amp;IF(AND(AD233&lt;&gt;"",AD233&lt;1),"FAIL: sliding. ","")&amp;IF(AND(D233="Reverse L-Wall (toe only, at boundary)",N(S233)&gt;0),"NOTE: reverse L-wall should have no heel. ","")&amp;IF(AND(D233="L-Wall (heel only)",N(R233)&gt;0),"NOTE: L-wall should have no toe. ","")&amp;IF(AND(F233&lt;&gt;"",F233&lt;SG_Criteria!$B$31),"NOTE: q below LTA min "&amp;SG_Criteria!$B$31&amp;" kPa (not for LTA works). ","")))</f>
        <v/>
      </c>
      <c r="BK233" s="9"/>
      <c r="BL233" s="9"/>
      <c r="BM233" s="9"/>
      <c r="BN233" s="10" t="str">
        <f aca="false">IF(BM233="","",IFERROR(VLOOKUP(BM233,Projects!$A$5:$D$504,2,0),"Ref not in Projects"))</f>
        <v/>
      </c>
      <c r="BO233" s="10" t="str">
        <f aca="false">IF(BM233="","",IFERROR(VLOOKUP(BM233,Projects!$A$5:$D$504,4,0),"Ref not in Projects"))</f>
        <v/>
      </c>
      <c r="BP233" s="9"/>
      <c r="BQ233" s="9"/>
      <c r="BR233" s="9"/>
      <c r="BS233" s="40"/>
      <c r="BT233" s="9"/>
      <c r="BU233" s="40"/>
      <c r="BV233" s="9"/>
      <c r="BW233" s="40"/>
      <c r="BX233" s="9"/>
      <c r="BY233" s="9"/>
      <c r="BZ233" s="9"/>
      <c r="CA233" s="40"/>
      <c r="CB233" s="40"/>
      <c r="CC233" s="36" t="str">
        <f aca="false">IF(CB233="","",EDATE(CB233,SG_Criteria!$B$54*12))</f>
        <v/>
      </c>
      <c r="CD233" s="33" t="str">
        <f aca="true">IF(A233="","",IF(CB233="","NOTE: not reviewed yet",IF(TODAY()&gt;CC233,"NOTE: review overdue","OK")))</f>
        <v/>
      </c>
      <c r="CE233" s="37" t="str">
        <f aca="false">IF(A233="","",ROUND((IF(LEN(D233)&gt;0,1,0)+IF(LEN(E233)&gt;0,1,0)+IF(LEN(F233)&gt;0,1,0)+IF(LEN(G233)&gt;0,1,0)+IF(LEN(I233)&gt;0,1,0)+IF(LEN(K233)&gt;0,1,0)+IF(LEN(P233)&gt;0,1,0)+IF(LEN(Q233)&gt;0,1,0)+IF(LEN(T233)&gt;0,1,0)+IF(LEN(V233)&gt;0,1,0)+IF(LEN(W233)&gt;0,1,0)+IF(LEN(X233)&gt;0,1,0)+IF(LEN(Z233)&gt;0,1,0)+IF(LEN(AD233)&gt;0,1,0)+IF(LEN(AE233)&gt;0,1,0)+IF(LEN(AG233)&gt;0,1,0)+IF(LEN(AI233)&gt;0,1,0)+IF(LEN(BB233)&gt;0,1,0)+IF(LEN(BC233)&gt;0,1,0)+IF(LEN(AM233)&gt;0,1,0)+IF(LEN(AO233)&gt;0,1,0)+IF(LEN(AP233)&gt;0,1,0)+IF(LEN(AQ233)&gt;0,1,0)+IF(LEN(AR233)&gt;0,1,0)+IF(LEN(BA233)&gt;0,1,0)+IF(LEN(BM233)&gt;0,1,0)+IF(LEN(BZ233)&gt;0,1,0))/27,2))</f>
        <v/>
      </c>
      <c r="CF233" s="10" t="str">
        <f aca="false">IF(D233="","",IF(AND(AP233="Approved",ISERROR(SEARCH("FAIL",BJ233))),"Y","N"))</f>
        <v/>
      </c>
      <c r="CG233" s="10" t="str">
        <f aca="false">IF(D233="","",D233&amp;"|"&amp;E233&amp;"|"&amp;F233&amp;"|"&amp;G233&amp;"|"&amp;CF233)</f>
        <v/>
      </c>
    </row>
    <row r="234" customFormat="false" ht="15" hidden="false" customHeight="false" outlineLevel="0" collapsed="false">
      <c r="A234" s="10" t="str">
        <f aca="false">IF(D234="","","RW-"&amp;IFERROR(VLOOKUP(D234,Lists!$M$4:$N$22,2,0),"??")&amp;"-H"&amp;TEXT(E234*1000,"0000")&amp;"-S"&amp;F234&amp;IF(G234="Y","-GW","")&amp;"-"&amp;AO234)</f>
        <v/>
      </c>
      <c r="B234" s="10" t="str">
        <f aca="false">IF(D234="","",D234&amp;", H = "&amp;TEXT(E234,"0.0")&amp;" m, q = "&amp;F234&amp;" kPa"&amp;IF(G234="Y",", with GWT","")&amp;", "&amp;I234)</f>
        <v/>
      </c>
      <c r="C234" s="9"/>
      <c r="D234" s="9"/>
      <c r="E234" s="39"/>
      <c r="F234" s="38"/>
      <c r="G234" s="9"/>
      <c r="H234" s="38"/>
      <c r="I234" s="9"/>
      <c r="J234" s="38"/>
      <c r="K234" s="38"/>
      <c r="L234" s="38"/>
      <c r="M234" s="42"/>
      <c r="N234" s="9"/>
      <c r="O234" s="38"/>
      <c r="P234" s="38"/>
      <c r="Q234" s="38"/>
      <c r="R234" s="38"/>
      <c r="S234" s="38"/>
      <c r="T234" s="38"/>
      <c r="U234" s="9"/>
      <c r="V234" s="9"/>
      <c r="W234" s="38"/>
      <c r="X234" s="9"/>
      <c r="Y234" s="9"/>
      <c r="Z234" s="9"/>
      <c r="AA234" s="9"/>
      <c r="AB234" s="9"/>
      <c r="AC234" s="9"/>
      <c r="AD234" s="39"/>
      <c r="AE234" s="39"/>
      <c r="AF234" s="39"/>
      <c r="AG234" s="38"/>
      <c r="AH234" s="38"/>
      <c r="AI234" s="9"/>
      <c r="AJ234" s="38"/>
      <c r="AK234" s="9"/>
      <c r="AL234" s="39"/>
      <c r="AM234" s="9"/>
      <c r="AN234" s="9"/>
      <c r="AO234" s="9"/>
      <c r="AP234" s="9"/>
      <c r="AQ234" s="9"/>
      <c r="AR234" s="9"/>
      <c r="AS234" s="9"/>
      <c r="AT234" s="10" t="str">
        <f aca="false">IF(A234="","",SG_Criteria!$B$6&amp;SG_Criteria!$B$8&amp;"\"&amp;A234&amp;"\")</f>
        <v/>
      </c>
      <c r="AU234" s="10" t="str">
        <f aca="false">IF(A234="","",A234&amp;"_CAD.dwg")</f>
        <v/>
      </c>
      <c r="AV234" s="10" t="str">
        <f aca="false">IF(A234="","",A234&amp;"_DWG.pdf")</f>
        <v/>
      </c>
      <c r="AW234" s="10" t="str">
        <f aca="false">IF(A234="","",IF(AS234="Y",A234&amp;"_STAAD.std","n/a"))</f>
        <v/>
      </c>
      <c r="AX234" s="10" t="str">
        <f aca="false">IF(A234="","",A234&amp;"_CALC.xlsx")</f>
        <v/>
      </c>
      <c r="AY234" s="10" t="str">
        <f aca="false">IF(A234="","",A234&amp;"_CALC.pdf")</f>
        <v/>
      </c>
      <c r="AZ234" s="9"/>
      <c r="BA234" s="9"/>
      <c r="BB234" s="39"/>
      <c r="BC234" s="39"/>
      <c r="BD234" s="39"/>
      <c r="BE234" s="39"/>
      <c r="BF234" s="39"/>
      <c r="BG234" s="12" t="str">
        <f aca="false">IF(A234="","",IF(COUNTIF(Rebar_Schedule!$A$5:$A$2004,A234)=0,"",ROUND(SUMIF(Rebar_Schedule!$A$5:$A$2004,A234,Rebar_Schedule!$K$5:$K$2004),1)))</f>
        <v/>
      </c>
      <c r="BH234" s="33" t="str">
        <f aca="false">IF(A234="","",IF(BG234="","No rebar schedule yet",IF(ABS(BG234-N(BC234))/MAX(N(BC234),1)&gt;SG_Criteria!$B$55,"NOTE: register rebar differs from schedule by "&amp;TEXT(ABS(BG234-N(BC234))/MAX(N(BC234),1),"0%"),"OK")))</f>
        <v/>
      </c>
      <c r="BI234" s="33" t="str">
        <f aca="false">IF(OR(D234="",E234=""),"",IF(E234&lt;=IF(OR(D234="Block / Segmental",D234="Gabion",D234="Reinforced Earth (MSE)"),SG_Criteria!$B$34,SG_Criteria!$B$33),"No ERSS submission",IF(E234&lt;=SG_Criteria!$B$35,"QP(ST)",IF(E234&lt;=SG_Criteria!$B$36,"QP(ST) + AC","Geotechnical building works: QP(Geo) + AC"))))</f>
        <v/>
      </c>
      <c r="BJ234" s="33" t="str">
        <f aca="false">IF(D234="","",IF(LEN(IF(AND(V234&lt;&gt;"",IFERROR(VALUE(MID(V234,2,2)),0)&lt;SG_Criteria!$B$19),"FAIL: grade below C"&amp;SG_Criteria!$B$19&amp;". ","")&amp;IF(AND(W234&lt;&gt;"",W234&lt;SG_Criteria!$B$20),"FAIL: cover &lt; "&amp;SG_Criteria!$B$20&amp;" mm. ","")&amp;IF(AND(AD234&lt;&gt;"",AD234&lt;1),"FAIL: sliding. ","")&amp;IF(AND(D234="Reverse L-Wall (toe only, at boundary)",N(S234)&gt;0),"NOTE: reverse L-wall should have no heel. ","")&amp;IF(AND(D234="L-Wall (heel only)",N(R234)&gt;0),"NOTE: L-wall should have no toe. ","")&amp;IF(AND(F234&lt;&gt;"",F234&lt;SG_Criteria!$B$31),"NOTE: q below LTA min "&amp;SG_Criteria!$B$31&amp;" kPa (not for LTA works). ",""))=0,"OK",IF(AND(V234&lt;&gt;"",IFERROR(VALUE(MID(V234,2,2)),0)&lt;SG_Criteria!$B$19),"FAIL: grade below C"&amp;SG_Criteria!$B$19&amp;". ","")&amp;IF(AND(W234&lt;&gt;"",W234&lt;SG_Criteria!$B$20),"FAIL: cover &lt; "&amp;SG_Criteria!$B$20&amp;" mm. ","")&amp;IF(AND(AD234&lt;&gt;"",AD234&lt;1),"FAIL: sliding. ","")&amp;IF(AND(D234="Reverse L-Wall (toe only, at boundary)",N(S234)&gt;0),"NOTE: reverse L-wall should have no heel. ","")&amp;IF(AND(D234="L-Wall (heel only)",N(R234)&gt;0),"NOTE: L-wall should have no toe. ","")&amp;IF(AND(F234&lt;&gt;"",F234&lt;SG_Criteria!$B$31),"NOTE: q below LTA min "&amp;SG_Criteria!$B$31&amp;" kPa (not for LTA works). ","")))</f>
        <v/>
      </c>
      <c r="BK234" s="9"/>
      <c r="BL234" s="9"/>
      <c r="BM234" s="9"/>
      <c r="BN234" s="10" t="str">
        <f aca="false">IF(BM234="","",IFERROR(VLOOKUP(BM234,Projects!$A$5:$D$504,2,0),"Ref not in Projects"))</f>
        <v/>
      </c>
      <c r="BO234" s="10" t="str">
        <f aca="false">IF(BM234="","",IFERROR(VLOOKUP(BM234,Projects!$A$5:$D$504,4,0),"Ref not in Projects"))</f>
        <v/>
      </c>
      <c r="BP234" s="9"/>
      <c r="BQ234" s="9"/>
      <c r="BR234" s="9"/>
      <c r="BS234" s="40"/>
      <c r="BT234" s="9"/>
      <c r="BU234" s="40"/>
      <c r="BV234" s="9"/>
      <c r="BW234" s="40"/>
      <c r="BX234" s="9"/>
      <c r="BY234" s="9"/>
      <c r="BZ234" s="9"/>
      <c r="CA234" s="40"/>
      <c r="CB234" s="40"/>
      <c r="CC234" s="36" t="str">
        <f aca="false">IF(CB234="","",EDATE(CB234,SG_Criteria!$B$54*12))</f>
        <v/>
      </c>
      <c r="CD234" s="33" t="str">
        <f aca="true">IF(A234="","",IF(CB234="","NOTE: not reviewed yet",IF(TODAY()&gt;CC234,"NOTE: review overdue","OK")))</f>
        <v/>
      </c>
      <c r="CE234" s="37" t="str">
        <f aca="false">IF(A234="","",ROUND((IF(LEN(D234)&gt;0,1,0)+IF(LEN(E234)&gt;0,1,0)+IF(LEN(F234)&gt;0,1,0)+IF(LEN(G234)&gt;0,1,0)+IF(LEN(I234)&gt;0,1,0)+IF(LEN(K234)&gt;0,1,0)+IF(LEN(P234)&gt;0,1,0)+IF(LEN(Q234)&gt;0,1,0)+IF(LEN(T234)&gt;0,1,0)+IF(LEN(V234)&gt;0,1,0)+IF(LEN(W234)&gt;0,1,0)+IF(LEN(X234)&gt;0,1,0)+IF(LEN(Z234)&gt;0,1,0)+IF(LEN(AD234)&gt;0,1,0)+IF(LEN(AE234)&gt;0,1,0)+IF(LEN(AG234)&gt;0,1,0)+IF(LEN(AI234)&gt;0,1,0)+IF(LEN(BB234)&gt;0,1,0)+IF(LEN(BC234)&gt;0,1,0)+IF(LEN(AM234)&gt;0,1,0)+IF(LEN(AO234)&gt;0,1,0)+IF(LEN(AP234)&gt;0,1,0)+IF(LEN(AQ234)&gt;0,1,0)+IF(LEN(AR234)&gt;0,1,0)+IF(LEN(BA234)&gt;0,1,0)+IF(LEN(BM234)&gt;0,1,0)+IF(LEN(BZ234)&gt;0,1,0))/27,2))</f>
        <v/>
      </c>
      <c r="CF234" s="10" t="str">
        <f aca="false">IF(D234="","",IF(AND(AP234="Approved",ISERROR(SEARCH("FAIL",BJ234))),"Y","N"))</f>
        <v/>
      </c>
      <c r="CG234" s="10" t="str">
        <f aca="false">IF(D234="","",D234&amp;"|"&amp;E234&amp;"|"&amp;F234&amp;"|"&amp;G234&amp;"|"&amp;CF234)</f>
        <v/>
      </c>
    </row>
    <row r="235" customFormat="false" ht="15" hidden="false" customHeight="false" outlineLevel="0" collapsed="false">
      <c r="A235" s="10" t="str">
        <f aca="false">IF(D235="","","RW-"&amp;IFERROR(VLOOKUP(D235,Lists!$M$4:$N$22,2,0),"??")&amp;"-H"&amp;TEXT(E235*1000,"0000")&amp;"-S"&amp;F235&amp;IF(G235="Y","-GW","")&amp;"-"&amp;AO235)</f>
        <v/>
      </c>
      <c r="B235" s="10" t="str">
        <f aca="false">IF(D235="","",D235&amp;", H = "&amp;TEXT(E235,"0.0")&amp;" m, q = "&amp;F235&amp;" kPa"&amp;IF(G235="Y",", with GWT","")&amp;", "&amp;I235)</f>
        <v/>
      </c>
      <c r="C235" s="9"/>
      <c r="D235" s="9"/>
      <c r="E235" s="39"/>
      <c r="F235" s="38"/>
      <c r="G235" s="9"/>
      <c r="H235" s="38"/>
      <c r="I235" s="9"/>
      <c r="J235" s="38"/>
      <c r="K235" s="38"/>
      <c r="L235" s="38"/>
      <c r="M235" s="42"/>
      <c r="N235" s="9"/>
      <c r="O235" s="38"/>
      <c r="P235" s="38"/>
      <c r="Q235" s="38"/>
      <c r="R235" s="38"/>
      <c r="S235" s="38"/>
      <c r="T235" s="38"/>
      <c r="U235" s="9"/>
      <c r="V235" s="9"/>
      <c r="W235" s="38"/>
      <c r="X235" s="9"/>
      <c r="Y235" s="9"/>
      <c r="Z235" s="9"/>
      <c r="AA235" s="9"/>
      <c r="AB235" s="9"/>
      <c r="AC235" s="9"/>
      <c r="AD235" s="39"/>
      <c r="AE235" s="39"/>
      <c r="AF235" s="39"/>
      <c r="AG235" s="38"/>
      <c r="AH235" s="38"/>
      <c r="AI235" s="9"/>
      <c r="AJ235" s="38"/>
      <c r="AK235" s="9"/>
      <c r="AL235" s="39"/>
      <c r="AM235" s="9"/>
      <c r="AN235" s="9"/>
      <c r="AO235" s="9"/>
      <c r="AP235" s="9"/>
      <c r="AQ235" s="9"/>
      <c r="AR235" s="9"/>
      <c r="AS235" s="9"/>
      <c r="AT235" s="10" t="str">
        <f aca="false">IF(A235="","",SG_Criteria!$B$6&amp;SG_Criteria!$B$8&amp;"\"&amp;A235&amp;"\")</f>
        <v/>
      </c>
      <c r="AU235" s="10" t="str">
        <f aca="false">IF(A235="","",A235&amp;"_CAD.dwg")</f>
        <v/>
      </c>
      <c r="AV235" s="10" t="str">
        <f aca="false">IF(A235="","",A235&amp;"_DWG.pdf")</f>
        <v/>
      </c>
      <c r="AW235" s="10" t="str">
        <f aca="false">IF(A235="","",IF(AS235="Y",A235&amp;"_STAAD.std","n/a"))</f>
        <v/>
      </c>
      <c r="AX235" s="10" t="str">
        <f aca="false">IF(A235="","",A235&amp;"_CALC.xlsx")</f>
        <v/>
      </c>
      <c r="AY235" s="10" t="str">
        <f aca="false">IF(A235="","",A235&amp;"_CALC.pdf")</f>
        <v/>
      </c>
      <c r="AZ235" s="9"/>
      <c r="BA235" s="9"/>
      <c r="BB235" s="39"/>
      <c r="BC235" s="39"/>
      <c r="BD235" s="39"/>
      <c r="BE235" s="39"/>
      <c r="BF235" s="39"/>
      <c r="BG235" s="12" t="str">
        <f aca="false">IF(A235="","",IF(COUNTIF(Rebar_Schedule!$A$5:$A$2004,A235)=0,"",ROUND(SUMIF(Rebar_Schedule!$A$5:$A$2004,A235,Rebar_Schedule!$K$5:$K$2004),1)))</f>
        <v/>
      </c>
      <c r="BH235" s="33" t="str">
        <f aca="false">IF(A235="","",IF(BG235="","No rebar schedule yet",IF(ABS(BG235-N(BC235))/MAX(N(BC235),1)&gt;SG_Criteria!$B$55,"NOTE: register rebar differs from schedule by "&amp;TEXT(ABS(BG235-N(BC235))/MAX(N(BC235),1),"0%"),"OK")))</f>
        <v/>
      </c>
      <c r="BI235" s="33" t="str">
        <f aca="false">IF(OR(D235="",E235=""),"",IF(E235&lt;=IF(OR(D235="Block / Segmental",D235="Gabion",D235="Reinforced Earth (MSE)"),SG_Criteria!$B$34,SG_Criteria!$B$33),"No ERSS submission",IF(E235&lt;=SG_Criteria!$B$35,"QP(ST)",IF(E235&lt;=SG_Criteria!$B$36,"QP(ST) + AC","Geotechnical building works: QP(Geo) + AC"))))</f>
        <v/>
      </c>
      <c r="BJ235" s="33" t="str">
        <f aca="false">IF(D235="","",IF(LEN(IF(AND(V235&lt;&gt;"",IFERROR(VALUE(MID(V235,2,2)),0)&lt;SG_Criteria!$B$19),"FAIL: grade below C"&amp;SG_Criteria!$B$19&amp;". ","")&amp;IF(AND(W235&lt;&gt;"",W235&lt;SG_Criteria!$B$20),"FAIL: cover &lt; "&amp;SG_Criteria!$B$20&amp;" mm. ","")&amp;IF(AND(AD235&lt;&gt;"",AD235&lt;1),"FAIL: sliding. ","")&amp;IF(AND(D235="Reverse L-Wall (toe only, at boundary)",N(S235)&gt;0),"NOTE: reverse L-wall should have no heel. ","")&amp;IF(AND(D235="L-Wall (heel only)",N(R235)&gt;0),"NOTE: L-wall should have no toe. ","")&amp;IF(AND(F235&lt;&gt;"",F235&lt;SG_Criteria!$B$31),"NOTE: q below LTA min "&amp;SG_Criteria!$B$31&amp;" kPa (not for LTA works). ",""))=0,"OK",IF(AND(V235&lt;&gt;"",IFERROR(VALUE(MID(V235,2,2)),0)&lt;SG_Criteria!$B$19),"FAIL: grade below C"&amp;SG_Criteria!$B$19&amp;". ","")&amp;IF(AND(W235&lt;&gt;"",W235&lt;SG_Criteria!$B$20),"FAIL: cover &lt; "&amp;SG_Criteria!$B$20&amp;" mm. ","")&amp;IF(AND(AD235&lt;&gt;"",AD235&lt;1),"FAIL: sliding. ","")&amp;IF(AND(D235="Reverse L-Wall (toe only, at boundary)",N(S235)&gt;0),"NOTE: reverse L-wall should have no heel. ","")&amp;IF(AND(D235="L-Wall (heel only)",N(R235)&gt;0),"NOTE: L-wall should have no toe. ","")&amp;IF(AND(F235&lt;&gt;"",F235&lt;SG_Criteria!$B$31),"NOTE: q below LTA min "&amp;SG_Criteria!$B$31&amp;" kPa (not for LTA works). ","")))</f>
        <v/>
      </c>
      <c r="BK235" s="9"/>
      <c r="BL235" s="9"/>
      <c r="BM235" s="9"/>
      <c r="BN235" s="10" t="str">
        <f aca="false">IF(BM235="","",IFERROR(VLOOKUP(BM235,Projects!$A$5:$D$504,2,0),"Ref not in Projects"))</f>
        <v/>
      </c>
      <c r="BO235" s="10" t="str">
        <f aca="false">IF(BM235="","",IFERROR(VLOOKUP(BM235,Projects!$A$5:$D$504,4,0),"Ref not in Projects"))</f>
        <v/>
      </c>
      <c r="BP235" s="9"/>
      <c r="BQ235" s="9"/>
      <c r="BR235" s="9"/>
      <c r="BS235" s="40"/>
      <c r="BT235" s="9"/>
      <c r="BU235" s="40"/>
      <c r="BV235" s="9"/>
      <c r="BW235" s="40"/>
      <c r="BX235" s="9"/>
      <c r="BY235" s="9"/>
      <c r="BZ235" s="9"/>
      <c r="CA235" s="40"/>
      <c r="CB235" s="40"/>
      <c r="CC235" s="36" t="str">
        <f aca="false">IF(CB235="","",EDATE(CB235,SG_Criteria!$B$54*12))</f>
        <v/>
      </c>
      <c r="CD235" s="33" t="str">
        <f aca="true">IF(A235="","",IF(CB235="","NOTE: not reviewed yet",IF(TODAY()&gt;CC235,"NOTE: review overdue","OK")))</f>
        <v/>
      </c>
      <c r="CE235" s="37" t="str">
        <f aca="false">IF(A235="","",ROUND((IF(LEN(D235)&gt;0,1,0)+IF(LEN(E235)&gt;0,1,0)+IF(LEN(F235)&gt;0,1,0)+IF(LEN(G235)&gt;0,1,0)+IF(LEN(I235)&gt;0,1,0)+IF(LEN(K235)&gt;0,1,0)+IF(LEN(P235)&gt;0,1,0)+IF(LEN(Q235)&gt;0,1,0)+IF(LEN(T235)&gt;0,1,0)+IF(LEN(V235)&gt;0,1,0)+IF(LEN(W235)&gt;0,1,0)+IF(LEN(X235)&gt;0,1,0)+IF(LEN(Z235)&gt;0,1,0)+IF(LEN(AD235)&gt;0,1,0)+IF(LEN(AE235)&gt;0,1,0)+IF(LEN(AG235)&gt;0,1,0)+IF(LEN(AI235)&gt;0,1,0)+IF(LEN(BB235)&gt;0,1,0)+IF(LEN(BC235)&gt;0,1,0)+IF(LEN(AM235)&gt;0,1,0)+IF(LEN(AO235)&gt;0,1,0)+IF(LEN(AP235)&gt;0,1,0)+IF(LEN(AQ235)&gt;0,1,0)+IF(LEN(AR235)&gt;0,1,0)+IF(LEN(BA235)&gt;0,1,0)+IF(LEN(BM235)&gt;0,1,0)+IF(LEN(BZ235)&gt;0,1,0))/27,2))</f>
        <v/>
      </c>
      <c r="CF235" s="10" t="str">
        <f aca="false">IF(D235="","",IF(AND(AP235="Approved",ISERROR(SEARCH("FAIL",BJ235))),"Y","N"))</f>
        <v/>
      </c>
      <c r="CG235" s="10" t="str">
        <f aca="false">IF(D235="","",D235&amp;"|"&amp;E235&amp;"|"&amp;F235&amp;"|"&amp;G235&amp;"|"&amp;CF235)</f>
        <v/>
      </c>
    </row>
    <row r="236" customFormat="false" ht="15" hidden="false" customHeight="false" outlineLevel="0" collapsed="false">
      <c r="A236" s="10" t="str">
        <f aca="false">IF(D236="","","RW-"&amp;IFERROR(VLOOKUP(D236,Lists!$M$4:$N$22,2,0),"??")&amp;"-H"&amp;TEXT(E236*1000,"0000")&amp;"-S"&amp;F236&amp;IF(G236="Y","-GW","")&amp;"-"&amp;AO236)</f>
        <v/>
      </c>
      <c r="B236" s="10" t="str">
        <f aca="false">IF(D236="","",D236&amp;", H = "&amp;TEXT(E236,"0.0")&amp;" m, q = "&amp;F236&amp;" kPa"&amp;IF(G236="Y",", with GWT","")&amp;", "&amp;I236)</f>
        <v/>
      </c>
      <c r="C236" s="9"/>
      <c r="D236" s="9"/>
      <c r="E236" s="39"/>
      <c r="F236" s="38"/>
      <c r="G236" s="9"/>
      <c r="H236" s="38"/>
      <c r="I236" s="9"/>
      <c r="J236" s="38"/>
      <c r="K236" s="38"/>
      <c r="L236" s="38"/>
      <c r="M236" s="42"/>
      <c r="N236" s="9"/>
      <c r="O236" s="38"/>
      <c r="P236" s="38"/>
      <c r="Q236" s="38"/>
      <c r="R236" s="38"/>
      <c r="S236" s="38"/>
      <c r="T236" s="38"/>
      <c r="U236" s="9"/>
      <c r="V236" s="9"/>
      <c r="W236" s="38"/>
      <c r="X236" s="9"/>
      <c r="Y236" s="9"/>
      <c r="Z236" s="9"/>
      <c r="AA236" s="9"/>
      <c r="AB236" s="9"/>
      <c r="AC236" s="9"/>
      <c r="AD236" s="39"/>
      <c r="AE236" s="39"/>
      <c r="AF236" s="39"/>
      <c r="AG236" s="38"/>
      <c r="AH236" s="38"/>
      <c r="AI236" s="9"/>
      <c r="AJ236" s="38"/>
      <c r="AK236" s="9"/>
      <c r="AL236" s="39"/>
      <c r="AM236" s="9"/>
      <c r="AN236" s="9"/>
      <c r="AO236" s="9"/>
      <c r="AP236" s="9"/>
      <c r="AQ236" s="9"/>
      <c r="AR236" s="9"/>
      <c r="AS236" s="9"/>
      <c r="AT236" s="10" t="str">
        <f aca="false">IF(A236="","",SG_Criteria!$B$6&amp;SG_Criteria!$B$8&amp;"\"&amp;A236&amp;"\")</f>
        <v/>
      </c>
      <c r="AU236" s="10" t="str">
        <f aca="false">IF(A236="","",A236&amp;"_CAD.dwg")</f>
        <v/>
      </c>
      <c r="AV236" s="10" t="str">
        <f aca="false">IF(A236="","",A236&amp;"_DWG.pdf")</f>
        <v/>
      </c>
      <c r="AW236" s="10" t="str">
        <f aca="false">IF(A236="","",IF(AS236="Y",A236&amp;"_STAAD.std","n/a"))</f>
        <v/>
      </c>
      <c r="AX236" s="10" t="str">
        <f aca="false">IF(A236="","",A236&amp;"_CALC.xlsx")</f>
        <v/>
      </c>
      <c r="AY236" s="10" t="str">
        <f aca="false">IF(A236="","",A236&amp;"_CALC.pdf")</f>
        <v/>
      </c>
      <c r="AZ236" s="9"/>
      <c r="BA236" s="9"/>
      <c r="BB236" s="39"/>
      <c r="BC236" s="39"/>
      <c r="BD236" s="39"/>
      <c r="BE236" s="39"/>
      <c r="BF236" s="39"/>
      <c r="BG236" s="12" t="str">
        <f aca="false">IF(A236="","",IF(COUNTIF(Rebar_Schedule!$A$5:$A$2004,A236)=0,"",ROUND(SUMIF(Rebar_Schedule!$A$5:$A$2004,A236,Rebar_Schedule!$K$5:$K$2004),1)))</f>
        <v/>
      </c>
      <c r="BH236" s="33" t="str">
        <f aca="false">IF(A236="","",IF(BG236="","No rebar schedule yet",IF(ABS(BG236-N(BC236))/MAX(N(BC236),1)&gt;SG_Criteria!$B$55,"NOTE: register rebar differs from schedule by "&amp;TEXT(ABS(BG236-N(BC236))/MAX(N(BC236),1),"0%"),"OK")))</f>
        <v/>
      </c>
      <c r="BI236" s="33" t="str">
        <f aca="false">IF(OR(D236="",E236=""),"",IF(E236&lt;=IF(OR(D236="Block / Segmental",D236="Gabion",D236="Reinforced Earth (MSE)"),SG_Criteria!$B$34,SG_Criteria!$B$33),"No ERSS submission",IF(E236&lt;=SG_Criteria!$B$35,"QP(ST)",IF(E236&lt;=SG_Criteria!$B$36,"QP(ST) + AC","Geotechnical building works: QP(Geo) + AC"))))</f>
        <v/>
      </c>
      <c r="BJ236" s="33" t="str">
        <f aca="false">IF(D236="","",IF(LEN(IF(AND(V236&lt;&gt;"",IFERROR(VALUE(MID(V236,2,2)),0)&lt;SG_Criteria!$B$19),"FAIL: grade below C"&amp;SG_Criteria!$B$19&amp;". ","")&amp;IF(AND(W236&lt;&gt;"",W236&lt;SG_Criteria!$B$20),"FAIL: cover &lt; "&amp;SG_Criteria!$B$20&amp;" mm. ","")&amp;IF(AND(AD236&lt;&gt;"",AD236&lt;1),"FAIL: sliding. ","")&amp;IF(AND(D236="Reverse L-Wall (toe only, at boundary)",N(S236)&gt;0),"NOTE: reverse L-wall should have no heel. ","")&amp;IF(AND(D236="L-Wall (heel only)",N(R236)&gt;0),"NOTE: L-wall should have no toe. ","")&amp;IF(AND(F236&lt;&gt;"",F236&lt;SG_Criteria!$B$31),"NOTE: q below LTA min "&amp;SG_Criteria!$B$31&amp;" kPa (not for LTA works). ",""))=0,"OK",IF(AND(V236&lt;&gt;"",IFERROR(VALUE(MID(V236,2,2)),0)&lt;SG_Criteria!$B$19),"FAIL: grade below C"&amp;SG_Criteria!$B$19&amp;". ","")&amp;IF(AND(W236&lt;&gt;"",W236&lt;SG_Criteria!$B$20),"FAIL: cover &lt; "&amp;SG_Criteria!$B$20&amp;" mm. ","")&amp;IF(AND(AD236&lt;&gt;"",AD236&lt;1),"FAIL: sliding. ","")&amp;IF(AND(D236="Reverse L-Wall (toe only, at boundary)",N(S236)&gt;0),"NOTE: reverse L-wall should have no heel. ","")&amp;IF(AND(D236="L-Wall (heel only)",N(R236)&gt;0),"NOTE: L-wall should have no toe. ","")&amp;IF(AND(F236&lt;&gt;"",F236&lt;SG_Criteria!$B$31),"NOTE: q below LTA min "&amp;SG_Criteria!$B$31&amp;" kPa (not for LTA works). ","")))</f>
        <v/>
      </c>
      <c r="BK236" s="9"/>
      <c r="BL236" s="9"/>
      <c r="BM236" s="9"/>
      <c r="BN236" s="10" t="str">
        <f aca="false">IF(BM236="","",IFERROR(VLOOKUP(BM236,Projects!$A$5:$D$504,2,0),"Ref not in Projects"))</f>
        <v/>
      </c>
      <c r="BO236" s="10" t="str">
        <f aca="false">IF(BM236="","",IFERROR(VLOOKUP(BM236,Projects!$A$5:$D$504,4,0),"Ref not in Projects"))</f>
        <v/>
      </c>
      <c r="BP236" s="9"/>
      <c r="BQ236" s="9"/>
      <c r="BR236" s="9"/>
      <c r="BS236" s="40"/>
      <c r="BT236" s="9"/>
      <c r="BU236" s="40"/>
      <c r="BV236" s="9"/>
      <c r="BW236" s="40"/>
      <c r="BX236" s="9"/>
      <c r="BY236" s="9"/>
      <c r="BZ236" s="9"/>
      <c r="CA236" s="40"/>
      <c r="CB236" s="40"/>
      <c r="CC236" s="36" t="str">
        <f aca="false">IF(CB236="","",EDATE(CB236,SG_Criteria!$B$54*12))</f>
        <v/>
      </c>
      <c r="CD236" s="33" t="str">
        <f aca="true">IF(A236="","",IF(CB236="","NOTE: not reviewed yet",IF(TODAY()&gt;CC236,"NOTE: review overdue","OK")))</f>
        <v/>
      </c>
      <c r="CE236" s="37" t="str">
        <f aca="false">IF(A236="","",ROUND((IF(LEN(D236)&gt;0,1,0)+IF(LEN(E236)&gt;0,1,0)+IF(LEN(F236)&gt;0,1,0)+IF(LEN(G236)&gt;0,1,0)+IF(LEN(I236)&gt;0,1,0)+IF(LEN(K236)&gt;0,1,0)+IF(LEN(P236)&gt;0,1,0)+IF(LEN(Q236)&gt;0,1,0)+IF(LEN(T236)&gt;0,1,0)+IF(LEN(V236)&gt;0,1,0)+IF(LEN(W236)&gt;0,1,0)+IF(LEN(X236)&gt;0,1,0)+IF(LEN(Z236)&gt;0,1,0)+IF(LEN(AD236)&gt;0,1,0)+IF(LEN(AE236)&gt;0,1,0)+IF(LEN(AG236)&gt;0,1,0)+IF(LEN(AI236)&gt;0,1,0)+IF(LEN(BB236)&gt;0,1,0)+IF(LEN(BC236)&gt;0,1,0)+IF(LEN(AM236)&gt;0,1,0)+IF(LEN(AO236)&gt;0,1,0)+IF(LEN(AP236)&gt;0,1,0)+IF(LEN(AQ236)&gt;0,1,0)+IF(LEN(AR236)&gt;0,1,0)+IF(LEN(BA236)&gt;0,1,0)+IF(LEN(BM236)&gt;0,1,0)+IF(LEN(BZ236)&gt;0,1,0))/27,2))</f>
        <v/>
      </c>
      <c r="CF236" s="10" t="str">
        <f aca="false">IF(D236="","",IF(AND(AP236="Approved",ISERROR(SEARCH("FAIL",BJ236))),"Y","N"))</f>
        <v/>
      </c>
      <c r="CG236" s="10" t="str">
        <f aca="false">IF(D236="","",D236&amp;"|"&amp;E236&amp;"|"&amp;F236&amp;"|"&amp;G236&amp;"|"&amp;CF236)</f>
        <v/>
      </c>
    </row>
    <row r="237" customFormat="false" ht="15" hidden="false" customHeight="false" outlineLevel="0" collapsed="false">
      <c r="A237" s="10" t="str">
        <f aca="false">IF(D237="","","RW-"&amp;IFERROR(VLOOKUP(D237,Lists!$M$4:$N$22,2,0),"??")&amp;"-H"&amp;TEXT(E237*1000,"0000")&amp;"-S"&amp;F237&amp;IF(G237="Y","-GW","")&amp;"-"&amp;AO237)</f>
        <v/>
      </c>
      <c r="B237" s="10" t="str">
        <f aca="false">IF(D237="","",D237&amp;", H = "&amp;TEXT(E237,"0.0")&amp;" m, q = "&amp;F237&amp;" kPa"&amp;IF(G237="Y",", with GWT","")&amp;", "&amp;I237)</f>
        <v/>
      </c>
      <c r="C237" s="9"/>
      <c r="D237" s="9"/>
      <c r="E237" s="39"/>
      <c r="F237" s="38"/>
      <c r="G237" s="9"/>
      <c r="H237" s="38"/>
      <c r="I237" s="9"/>
      <c r="J237" s="38"/>
      <c r="K237" s="38"/>
      <c r="L237" s="38"/>
      <c r="M237" s="42"/>
      <c r="N237" s="9"/>
      <c r="O237" s="38"/>
      <c r="P237" s="38"/>
      <c r="Q237" s="38"/>
      <c r="R237" s="38"/>
      <c r="S237" s="38"/>
      <c r="T237" s="38"/>
      <c r="U237" s="9"/>
      <c r="V237" s="9"/>
      <c r="W237" s="38"/>
      <c r="X237" s="9"/>
      <c r="Y237" s="9"/>
      <c r="Z237" s="9"/>
      <c r="AA237" s="9"/>
      <c r="AB237" s="9"/>
      <c r="AC237" s="9"/>
      <c r="AD237" s="39"/>
      <c r="AE237" s="39"/>
      <c r="AF237" s="39"/>
      <c r="AG237" s="38"/>
      <c r="AH237" s="38"/>
      <c r="AI237" s="9"/>
      <c r="AJ237" s="38"/>
      <c r="AK237" s="9"/>
      <c r="AL237" s="39"/>
      <c r="AM237" s="9"/>
      <c r="AN237" s="9"/>
      <c r="AO237" s="9"/>
      <c r="AP237" s="9"/>
      <c r="AQ237" s="9"/>
      <c r="AR237" s="9"/>
      <c r="AS237" s="9"/>
      <c r="AT237" s="10" t="str">
        <f aca="false">IF(A237="","",SG_Criteria!$B$6&amp;SG_Criteria!$B$8&amp;"\"&amp;A237&amp;"\")</f>
        <v/>
      </c>
      <c r="AU237" s="10" t="str">
        <f aca="false">IF(A237="","",A237&amp;"_CAD.dwg")</f>
        <v/>
      </c>
      <c r="AV237" s="10" t="str">
        <f aca="false">IF(A237="","",A237&amp;"_DWG.pdf")</f>
        <v/>
      </c>
      <c r="AW237" s="10" t="str">
        <f aca="false">IF(A237="","",IF(AS237="Y",A237&amp;"_STAAD.std","n/a"))</f>
        <v/>
      </c>
      <c r="AX237" s="10" t="str">
        <f aca="false">IF(A237="","",A237&amp;"_CALC.xlsx")</f>
        <v/>
      </c>
      <c r="AY237" s="10" t="str">
        <f aca="false">IF(A237="","",A237&amp;"_CALC.pdf")</f>
        <v/>
      </c>
      <c r="AZ237" s="9"/>
      <c r="BA237" s="9"/>
      <c r="BB237" s="39"/>
      <c r="BC237" s="39"/>
      <c r="BD237" s="39"/>
      <c r="BE237" s="39"/>
      <c r="BF237" s="39"/>
      <c r="BG237" s="12" t="str">
        <f aca="false">IF(A237="","",IF(COUNTIF(Rebar_Schedule!$A$5:$A$2004,A237)=0,"",ROUND(SUMIF(Rebar_Schedule!$A$5:$A$2004,A237,Rebar_Schedule!$K$5:$K$2004),1)))</f>
        <v/>
      </c>
      <c r="BH237" s="33" t="str">
        <f aca="false">IF(A237="","",IF(BG237="","No rebar schedule yet",IF(ABS(BG237-N(BC237))/MAX(N(BC237),1)&gt;SG_Criteria!$B$55,"NOTE: register rebar differs from schedule by "&amp;TEXT(ABS(BG237-N(BC237))/MAX(N(BC237),1),"0%"),"OK")))</f>
        <v/>
      </c>
      <c r="BI237" s="33" t="str">
        <f aca="false">IF(OR(D237="",E237=""),"",IF(E237&lt;=IF(OR(D237="Block / Segmental",D237="Gabion",D237="Reinforced Earth (MSE)"),SG_Criteria!$B$34,SG_Criteria!$B$33),"No ERSS submission",IF(E237&lt;=SG_Criteria!$B$35,"QP(ST)",IF(E237&lt;=SG_Criteria!$B$36,"QP(ST) + AC","Geotechnical building works: QP(Geo) + AC"))))</f>
        <v/>
      </c>
      <c r="BJ237" s="33" t="str">
        <f aca="false">IF(D237="","",IF(LEN(IF(AND(V237&lt;&gt;"",IFERROR(VALUE(MID(V237,2,2)),0)&lt;SG_Criteria!$B$19),"FAIL: grade below C"&amp;SG_Criteria!$B$19&amp;". ","")&amp;IF(AND(W237&lt;&gt;"",W237&lt;SG_Criteria!$B$20),"FAIL: cover &lt; "&amp;SG_Criteria!$B$20&amp;" mm. ","")&amp;IF(AND(AD237&lt;&gt;"",AD237&lt;1),"FAIL: sliding. ","")&amp;IF(AND(D237="Reverse L-Wall (toe only, at boundary)",N(S237)&gt;0),"NOTE: reverse L-wall should have no heel. ","")&amp;IF(AND(D237="L-Wall (heel only)",N(R237)&gt;0),"NOTE: L-wall should have no toe. ","")&amp;IF(AND(F237&lt;&gt;"",F237&lt;SG_Criteria!$B$31),"NOTE: q below LTA min "&amp;SG_Criteria!$B$31&amp;" kPa (not for LTA works). ",""))=0,"OK",IF(AND(V237&lt;&gt;"",IFERROR(VALUE(MID(V237,2,2)),0)&lt;SG_Criteria!$B$19),"FAIL: grade below C"&amp;SG_Criteria!$B$19&amp;". ","")&amp;IF(AND(W237&lt;&gt;"",W237&lt;SG_Criteria!$B$20),"FAIL: cover &lt; "&amp;SG_Criteria!$B$20&amp;" mm. ","")&amp;IF(AND(AD237&lt;&gt;"",AD237&lt;1),"FAIL: sliding. ","")&amp;IF(AND(D237="Reverse L-Wall (toe only, at boundary)",N(S237)&gt;0),"NOTE: reverse L-wall should have no heel. ","")&amp;IF(AND(D237="L-Wall (heel only)",N(R237)&gt;0),"NOTE: L-wall should have no toe. ","")&amp;IF(AND(F237&lt;&gt;"",F237&lt;SG_Criteria!$B$31),"NOTE: q below LTA min "&amp;SG_Criteria!$B$31&amp;" kPa (not for LTA works). ","")))</f>
        <v/>
      </c>
      <c r="BK237" s="9"/>
      <c r="BL237" s="9"/>
      <c r="BM237" s="9"/>
      <c r="BN237" s="10" t="str">
        <f aca="false">IF(BM237="","",IFERROR(VLOOKUP(BM237,Projects!$A$5:$D$504,2,0),"Ref not in Projects"))</f>
        <v/>
      </c>
      <c r="BO237" s="10" t="str">
        <f aca="false">IF(BM237="","",IFERROR(VLOOKUP(BM237,Projects!$A$5:$D$504,4,0),"Ref not in Projects"))</f>
        <v/>
      </c>
      <c r="BP237" s="9"/>
      <c r="BQ237" s="9"/>
      <c r="BR237" s="9"/>
      <c r="BS237" s="40"/>
      <c r="BT237" s="9"/>
      <c r="BU237" s="40"/>
      <c r="BV237" s="9"/>
      <c r="BW237" s="40"/>
      <c r="BX237" s="9"/>
      <c r="BY237" s="9"/>
      <c r="BZ237" s="9"/>
      <c r="CA237" s="40"/>
      <c r="CB237" s="40"/>
      <c r="CC237" s="36" t="str">
        <f aca="false">IF(CB237="","",EDATE(CB237,SG_Criteria!$B$54*12))</f>
        <v/>
      </c>
      <c r="CD237" s="33" t="str">
        <f aca="true">IF(A237="","",IF(CB237="","NOTE: not reviewed yet",IF(TODAY()&gt;CC237,"NOTE: review overdue","OK")))</f>
        <v/>
      </c>
      <c r="CE237" s="37" t="str">
        <f aca="false">IF(A237="","",ROUND((IF(LEN(D237)&gt;0,1,0)+IF(LEN(E237)&gt;0,1,0)+IF(LEN(F237)&gt;0,1,0)+IF(LEN(G237)&gt;0,1,0)+IF(LEN(I237)&gt;0,1,0)+IF(LEN(K237)&gt;0,1,0)+IF(LEN(P237)&gt;0,1,0)+IF(LEN(Q237)&gt;0,1,0)+IF(LEN(T237)&gt;0,1,0)+IF(LEN(V237)&gt;0,1,0)+IF(LEN(W237)&gt;0,1,0)+IF(LEN(X237)&gt;0,1,0)+IF(LEN(Z237)&gt;0,1,0)+IF(LEN(AD237)&gt;0,1,0)+IF(LEN(AE237)&gt;0,1,0)+IF(LEN(AG237)&gt;0,1,0)+IF(LEN(AI237)&gt;0,1,0)+IF(LEN(BB237)&gt;0,1,0)+IF(LEN(BC237)&gt;0,1,0)+IF(LEN(AM237)&gt;0,1,0)+IF(LEN(AO237)&gt;0,1,0)+IF(LEN(AP237)&gt;0,1,0)+IF(LEN(AQ237)&gt;0,1,0)+IF(LEN(AR237)&gt;0,1,0)+IF(LEN(BA237)&gt;0,1,0)+IF(LEN(BM237)&gt;0,1,0)+IF(LEN(BZ237)&gt;0,1,0))/27,2))</f>
        <v/>
      </c>
      <c r="CF237" s="10" t="str">
        <f aca="false">IF(D237="","",IF(AND(AP237="Approved",ISERROR(SEARCH("FAIL",BJ237))),"Y","N"))</f>
        <v/>
      </c>
      <c r="CG237" s="10" t="str">
        <f aca="false">IF(D237="","",D237&amp;"|"&amp;E237&amp;"|"&amp;F237&amp;"|"&amp;G237&amp;"|"&amp;CF237)</f>
        <v/>
      </c>
    </row>
    <row r="238" customFormat="false" ht="15" hidden="false" customHeight="false" outlineLevel="0" collapsed="false">
      <c r="A238" s="10" t="str">
        <f aca="false">IF(D238="","","RW-"&amp;IFERROR(VLOOKUP(D238,Lists!$M$4:$N$22,2,0),"??")&amp;"-H"&amp;TEXT(E238*1000,"0000")&amp;"-S"&amp;F238&amp;IF(G238="Y","-GW","")&amp;"-"&amp;AO238)</f>
        <v/>
      </c>
      <c r="B238" s="10" t="str">
        <f aca="false">IF(D238="","",D238&amp;", H = "&amp;TEXT(E238,"0.0")&amp;" m, q = "&amp;F238&amp;" kPa"&amp;IF(G238="Y",", with GWT","")&amp;", "&amp;I238)</f>
        <v/>
      </c>
      <c r="C238" s="9"/>
      <c r="D238" s="9"/>
      <c r="E238" s="39"/>
      <c r="F238" s="38"/>
      <c r="G238" s="9"/>
      <c r="H238" s="38"/>
      <c r="I238" s="9"/>
      <c r="J238" s="38"/>
      <c r="K238" s="38"/>
      <c r="L238" s="38"/>
      <c r="M238" s="42"/>
      <c r="N238" s="9"/>
      <c r="O238" s="38"/>
      <c r="P238" s="38"/>
      <c r="Q238" s="38"/>
      <c r="R238" s="38"/>
      <c r="S238" s="38"/>
      <c r="T238" s="38"/>
      <c r="U238" s="9"/>
      <c r="V238" s="9"/>
      <c r="W238" s="38"/>
      <c r="X238" s="9"/>
      <c r="Y238" s="9"/>
      <c r="Z238" s="9"/>
      <c r="AA238" s="9"/>
      <c r="AB238" s="9"/>
      <c r="AC238" s="9"/>
      <c r="AD238" s="39"/>
      <c r="AE238" s="39"/>
      <c r="AF238" s="39"/>
      <c r="AG238" s="38"/>
      <c r="AH238" s="38"/>
      <c r="AI238" s="9"/>
      <c r="AJ238" s="38"/>
      <c r="AK238" s="9"/>
      <c r="AL238" s="39"/>
      <c r="AM238" s="9"/>
      <c r="AN238" s="9"/>
      <c r="AO238" s="9"/>
      <c r="AP238" s="9"/>
      <c r="AQ238" s="9"/>
      <c r="AR238" s="9"/>
      <c r="AS238" s="9"/>
      <c r="AT238" s="10" t="str">
        <f aca="false">IF(A238="","",SG_Criteria!$B$6&amp;SG_Criteria!$B$8&amp;"\"&amp;A238&amp;"\")</f>
        <v/>
      </c>
      <c r="AU238" s="10" t="str">
        <f aca="false">IF(A238="","",A238&amp;"_CAD.dwg")</f>
        <v/>
      </c>
      <c r="AV238" s="10" t="str">
        <f aca="false">IF(A238="","",A238&amp;"_DWG.pdf")</f>
        <v/>
      </c>
      <c r="AW238" s="10" t="str">
        <f aca="false">IF(A238="","",IF(AS238="Y",A238&amp;"_STAAD.std","n/a"))</f>
        <v/>
      </c>
      <c r="AX238" s="10" t="str">
        <f aca="false">IF(A238="","",A238&amp;"_CALC.xlsx")</f>
        <v/>
      </c>
      <c r="AY238" s="10" t="str">
        <f aca="false">IF(A238="","",A238&amp;"_CALC.pdf")</f>
        <v/>
      </c>
      <c r="AZ238" s="9"/>
      <c r="BA238" s="9"/>
      <c r="BB238" s="39"/>
      <c r="BC238" s="39"/>
      <c r="BD238" s="39"/>
      <c r="BE238" s="39"/>
      <c r="BF238" s="39"/>
      <c r="BG238" s="12" t="str">
        <f aca="false">IF(A238="","",IF(COUNTIF(Rebar_Schedule!$A$5:$A$2004,A238)=0,"",ROUND(SUMIF(Rebar_Schedule!$A$5:$A$2004,A238,Rebar_Schedule!$K$5:$K$2004),1)))</f>
        <v/>
      </c>
      <c r="BH238" s="33" t="str">
        <f aca="false">IF(A238="","",IF(BG238="","No rebar schedule yet",IF(ABS(BG238-N(BC238))/MAX(N(BC238),1)&gt;SG_Criteria!$B$55,"NOTE: register rebar differs from schedule by "&amp;TEXT(ABS(BG238-N(BC238))/MAX(N(BC238),1),"0%"),"OK")))</f>
        <v/>
      </c>
      <c r="BI238" s="33" t="str">
        <f aca="false">IF(OR(D238="",E238=""),"",IF(E238&lt;=IF(OR(D238="Block / Segmental",D238="Gabion",D238="Reinforced Earth (MSE)"),SG_Criteria!$B$34,SG_Criteria!$B$33),"No ERSS submission",IF(E238&lt;=SG_Criteria!$B$35,"QP(ST)",IF(E238&lt;=SG_Criteria!$B$36,"QP(ST) + AC","Geotechnical building works: QP(Geo) + AC"))))</f>
        <v/>
      </c>
      <c r="BJ238" s="33" t="str">
        <f aca="false">IF(D238="","",IF(LEN(IF(AND(V238&lt;&gt;"",IFERROR(VALUE(MID(V238,2,2)),0)&lt;SG_Criteria!$B$19),"FAIL: grade below C"&amp;SG_Criteria!$B$19&amp;". ","")&amp;IF(AND(W238&lt;&gt;"",W238&lt;SG_Criteria!$B$20),"FAIL: cover &lt; "&amp;SG_Criteria!$B$20&amp;" mm. ","")&amp;IF(AND(AD238&lt;&gt;"",AD238&lt;1),"FAIL: sliding. ","")&amp;IF(AND(D238="Reverse L-Wall (toe only, at boundary)",N(S238)&gt;0),"NOTE: reverse L-wall should have no heel. ","")&amp;IF(AND(D238="L-Wall (heel only)",N(R238)&gt;0),"NOTE: L-wall should have no toe. ","")&amp;IF(AND(F238&lt;&gt;"",F238&lt;SG_Criteria!$B$31),"NOTE: q below LTA min "&amp;SG_Criteria!$B$31&amp;" kPa (not for LTA works). ",""))=0,"OK",IF(AND(V238&lt;&gt;"",IFERROR(VALUE(MID(V238,2,2)),0)&lt;SG_Criteria!$B$19),"FAIL: grade below C"&amp;SG_Criteria!$B$19&amp;". ","")&amp;IF(AND(W238&lt;&gt;"",W238&lt;SG_Criteria!$B$20),"FAIL: cover &lt; "&amp;SG_Criteria!$B$20&amp;" mm. ","")&amp;IF(AND(AD238&lt;&gt;"",AD238&lt;1),"FAIL: sliding. ","")&amp;IF(AND(D238="Reverse L-Wall (toe only, at boundary)",N(S238)&gt;0),"NOTE: reverse L-wall should have no heel. ","")&amp;IF(AND(D238="L-Wall (heel only)",N(R238)&gt;0),"NOTE: L-wall should have no toe. ","")&amp;IF(AND(F238&lt;&gt;"",F238&lt;SG_Criteria!$B$31),"NOTE: q below LTA min "&amp;SG_Criteria!$B$31&amp;" kPa (not for LTA works). ","")))</f>
        <v/>
      </c>
      <c r="BK238" s="9"/>
      <c r="BL238" s="9"/>
      <c r="BM238" s="9"/>
      <c r="BN238" s="10" t="str">
        <f aca="false">IF(BM238="","",IFERROR(VLOOKUP(BM238,Projects!$A$5:$D$504,2,0),"Ref not in Projects"))</f>
        <v/>
      </c>
      <c r="BO238" s="10" t="str">
        <f aca="false">IF(BM238="","",IFERROR(VLOOKUP(BM238,Projects!$A$5:$D$504,4,0),"Ref not in Projects"))</f>
        <v/>
      </c>
      <c r="BP238" s="9"/>
      <c r="BQ238" s="9"/>
      <c r="BR238" s="9"/>
      <c r="BS238" s="40"/>
      <c r="BT238" s="9"/>
      <c r="BU238" s="40"/>
      <c r="BV238" s="9"/>
      <c r="BW238" s="40"/>
      <c r="BX238" s="9"/>
      <c r="BY238" s="9"/>
      <c r="BZ238" s="9"/>
      <c r="CA238" s="40"/>
      <c r="CB238" s="40"/>
      <c r="CC238" s="36" t="str">
        <f aca="false">IF(CB238="","",EDATE(CB238,SG_Criteria!$B$54*12))</f>
        <v/>
      </c>
      <c r="CD238" s="33" t="str">
        <f aca="true">IF(A238="","",IF(CB238="","NOTE: not reviewed yet",IF(TODAY()&gt;CC238,"NOTE: review overdue","OK")))</f>
        <v/>
      </c>
      <c r="CE238" s="37" t="str">
        <f aca="false">IF(A238="","",ROUND((IF(LEN(D238)&gt;0,1,0)+IF(LEN(E238)&gt;0,1,0)+IF(LEN(F238)&gt;0,1,0)+IF(LEN(G238)&gt;0,1,0)+IF(LEN(I238)&gt;0,1,0)+IF(LEN(K238)&gt;0,1,0)+IF(LEN(P238)&gt;0,1,0)+IF(LEN(Q238)&gt;0,1,0)+IF(LEN(T238)&gt;0,1,0)+IF(LEN(V238)&gt;0,1,0)+IF(LEN(W238)&gt;0,1,0)+IF(LEN(X238)&gt;0,1,0)+IF(LEN(Z238)&gt;0,1,0)+IF(LEN(AD238)&gt;0,1,0)+IF(LEN(AE238)&gt;0,1,0)+IF(LEN(AG238)&gt;0,1,0)+IF(LEN(AI238)&gt;0,1,0)+IF(LEN(BB238)&gt;0,1,0)+IF(LEN(BC238)&gt;0,1,0)+IF(LEN(AM238)&gt;0,1,0)+IF(LEN(AO238)&gt;0,1,0)+IF(LEN(AP238)&gt;0,1,0)+IF(LEN(AQ238)&gt;0,1,0)+IF(LEN(AR238)&gt;0,1,0)+IF(LEN(BA238)&gt;0,1,0)+IF(LEN(BM238)&gt;0,1,0)+IF(LEN(BZ238)&gt;0,1,0))/27,2))</f>
        <v/>
      </c>
      <c r="CF238" s="10" t="str">
        <f aca="false">IF(D238="","",IF(AND(AP238="Approved",ISERROR(SEARCH("FAIL",BJ238))),"Y","N"))</f>
        <v/>
      </c>
      <c r="CG238" s="10" t="str">
        <f aca="false">IF(D238="","",D238&amp;"|"&amp;E238&amp;"|"&amp;F238&amp;"|"&amp;G238&amp;"|"&amp;CF238)</f>
        <v/>
      </c>
    </row>
    <row r="239" customFormat="false" ht="15" hidden="false" customHeight="false" outlineLevel="0" collapsed="false">
      <c r="A239" s="10" t="str">
        <f aca="false">IF(D239="","","RW-"&amp;IFERROR(VLOOKUP(D239,Lists!$M$4:$N$22,2,0),"??")&amp;"-H"&amp;TEXT(E239*1000,"0000")&amp;"-S"&amp;F239&amp;IF(G239="Y","-GW","")&amp;"-"&amp;AO239)</f>
        <v/>
      </c>
      <c r="B239" s="10" t="str">
        <f aca="false">IF(D239="","",D239&amp;", H = "&amp;TEXT(E239,"0.0")&amp;" m, q = "&amp;F239&amp;" kPa"&amp;IF(G239="Y",", with GWT","")&amp;", "&amp;I239)</f>
        <v/>
      </c>
      <c r="C239" s="9"/>
      <c r="D239" s="9"/>
      <c r="E239" s="39"/>
      <c r="F239" s="38"/>
      <c r="G239" s="9"/>
      <c r="H239" s="38"/>
      <c r="I239" s="9"/>
      <c r="J239" s="38"/>
      <c r="K239" s="38"/>
      <c r="L239" s="38"/>
      <c r="M239" s="42"/>
      <c r="N239" s="9"/>
      <c r="O239" s="38"/>
      <c r="P239" s="38"/>
      <c r="Q239" s="38"/>
      <c r="R239" s="38"/>
      <c r="S239" s="38"/>
      <c r="T239" s="38"/>
      <c r="U239" s="9"/>
      <c r="V239" s="9"/>
      <c r="W239" s="38"/>
      <c r="X239" s="9"/>
      <c r="Y239" s="9"/>
      <c r="Z239" s="9"/>
      <c r="AA239" s="9"/>
      <c r="AB239" s="9"/>
      <c r="AC239" s="9"/>
      <c r="AD239" s="39"/>
      <c r="AE239" s="39"/>
      <c r="AF239" s="39"/>
      <c r="AG239" s="38"/>
      <c r="AH239" s="38"/>
      <c r="AI239" s="9"/>
      <c r="AJ239" s="38"/>
      <c r="AK239" s="9"/>
      <c r="AL239" s="39"/>
      <c r="AM239" s="9"/>
      <c r="AN239" s="9"/>
      <c r="AO239" s="9"/>
      <c r="AP239" s="9"/>
      <c r="AQ239" s="9"/>
      <c r="AR239" s="9"/>
      <c r="AS239" s="9"/>
      <c r="AT239" s="10" t="str">
        <f aca="false">IF(A239="","",SG_Criteria!$B$6&amp;SG_Criteria!$B$8&amp;"\"&amp;A239&amp;"\")</f>
        <v/>
      </c>
      <c r="AU239" s="10" t="str">
        <f aca="false">IF(A239="","",A239&amp;"_CAD.dwg")</f>
        <v/>
      </c>
      <c r="AV239" s="10" t="str">
        <f aca="false">IF(A239="","",A239&amp;"_DWG.pdf")</f>
        <v/>
      </c>
      <c r="AW239" s="10" t="str">
        <f aca="false">IF(A239="","",IF(AS239="Y",A239&amp;"_STAAD.std","n/a"))</f>
        <v/>
      </c>
      <c r="AX239" s="10" t="str">
        <f aca="false">IF(A239="","",A239&amp;"_CALC.xlsx")</f>
        <v/>
      </c>
      <c r="AY239" s="10" t="str">
        <f aca="false">IF(A239="","",A239&amp;"_CALC.pdf")</f>
        <v/>
      </c>
      <c r="AZ239" s="9"/>
      <c r="BA239" s="9"/>
      <c r="BB239" s="39"/>
      <c r="BC239" s="39"/>
      <c r="BD239" s="39"/>
      <c r="BE239" s="39"/>
      <c r="BF239" s="39"/>
      <c r="BG239" s="12" t="str">
        <f aca="false">IF(A239="","",IF(COUNTIF(Rebar_Schedule!$A$5:$A$2004,A239)=0,"",ROUND(SUMIF(Rebar_Schedule!$A$5:$A$2004,A239,Rebar_Schedule!$K$5:$K$2004),1)))</f>
        <v/>
      </c>
      <c r="BH239" s="33" t="str">
        <f aca="false">IF(A239="","",IF(BG239="","No rebar schedule yet",IF(ABS(BG239-N(BC239))/MAX(N(BC239),1)&gt;SG_Criteria!$B$55,"NOTE: register rebar differs from schedule by "&amp;TEXT(ABS(BG239-N(BC239))/MAX(N(BC239),1),"0%"),"OK")))</f>
        <v/>
      </c>
      <c r="BI239" s="33" t="str">
        <f aca="false">IF(OR(D239="",E239=""),"",IF(E239&lt;=IF(OR(D239="Block / Segmental",D239="Gabion",D239="Reinforced Earth (MSE)"),SG_Criteria!$B$34,SG_Criteria!$B$33),"No ERSS submission",IF(E239&lt;=SG_Criteria!$B$35,"QP(ST)",IF(E239&lt;=SG_Criteria!$B$36,"QP(ST) + AC","Geotechnical building works: QP(Geo) + AC"))))</f>
        <v/>
      </c>
      <c r="BJ239" s="33" t="str">
        <f aca="false">IF(D239="","",IF(LEN(IF(AND(V239&lt;&gt;"",IFERROR(VALUE(MID(V239,2,2)),0)&lt;SG_Criteria!$B$19),"FAIL: grade below C"&amp;SG_Criteria!$B$19&amp;". ","")&amp;IF(AND(W239&lt;&gt;"",W239&lt;SG_Criteria!$B$20),"FAIL: cover &lt; "&amp;SG_Criteria!$B$20&amp;" mm. ","")&amp;IF(AND(AD239&lt;&gt;"",AD239&lt;1),"FAIL: sliding. ","")&amp;IF(AND(D239="Reverse L-Wall (toe only, at boundary)",N(S239)&gt;0),"NOTE: reverse L-wall should have no heel. ","")&amp;IF(AND(D239="L-Wall (heel only)",N(R239)&gt;0),"NOTE: L-wall should have no toe. ","")&amp;IF(AND(F239&lt;&gt;"",F239&lt;SG_Criteria!$B$31),"NOTE: q below LTA min "&amp;SG_Criteria!$B$31&amp;" kPa (not for LTA works). ",""))=0,"OK",IF(AND(V239&lt;&gt;"",IFERROR(VALUE(MID(V239,2,2)),0)&lt;SG_Criteria!$B$19),"FAIL: grade below C"&amp;SG_Criteria!$B$19&amp;". ","")&amp;IF(AND(W239&lt;&gt;"",W239&lt;SG_Criteria!$B$20),"FAIL: cover &lt; "&amp;SG_Criteria!$B$20&amp;" mm. ","")&amp;IF(AND(AD239&lt;&gt;"",AD239&lt;1),"FAIL: sliding. ","")&amp;IF(AND(D239="Reverse L-Wall (toe only, at boundary)",N(S239)&gt;0),"NOTE: reverse L-wall should have no heel. ","")&amp;IF(AND(D239="L-Wall (heel only)",N(R239)&gt;0),"NOTE: L-wall should have no toe. ","")&amp;IF(AND(F239&lt;&gt;"",F239&lt;SG_Criteria!$B$31),"NOTE: q below LTA min "&amp;SG_Criteria!$B$31&amp;" kPa (not for LTA works). ","")))</f>
        <v/>
      </c>
      <c r="BK239" s="9"/>
      <c r="BL239" s="9"/>
      <c r="BM239" s="9"/>
      <c r="BN239" s="10" t="str">
        <f aca="false">IF(BM239="","",IFERROR(VLOOKUP(BM239,Projects!$A$5:$D$504,2,0),"Ref not in Projects"))</f>
        <v/>
      </c>
      <c r="BO239" s="10" t="str">
        <f aca="false">IF(BM239="","",IFERROR(VLOOKUP(BM239,Projects!$A$5:$D$504,4,0),"Ref not in Projects"))</f>
        <v/>
      </c>
      <c r="BP239" s="9"/>
      <c r="BQ239" s="9"/>
      <c r="BR239" s="9"/>
      <c r="BS239" s="40"/>
      <c r="BT239" s="9"/>
      <c r="BU239" s="40"/>
      <c r="BV239" s="9"/>
      <c r="BW239" s="40"/>
      <c r="BX239" s="9"/>
      <c r="BY239" s="9"/>
      <c r="BZ239" s="9"/>
      <c r="CA239" s="40"/>
      <c r="CB239" s="40"/>
      <c r="CC239" s="36" t="str">
        <f aca="false">IF(CB239="","",EDATE(CB239,SG_Criteria!$B$54*12))</f>
        <v/>
      </c>
      <c r="CD239" s="33" t="str">
        <f aca="true">IF(A239="","",IF(CB239="","NOTE: not reviewed yet",IF(TODAY()&gt;CC239,"NOTE: review overdue","OK")))</f>
        <v/>
      </c>
      <c r="CE239" s="37" t="str">
        <f aca="false">IF(A239="","",ROUND((IF(LEN(D239)&gt;0,1,0)+IF(LEN(E239)&gt;0,1,0)+IF(LEN(F239)&gt;0,1,0)+IF(LEN(G239)&gt;0,1,0)+IF(LEN(I239)&gt;0,1,0)+IF(LEN(K239)&gt;0,1,0)+IF(LEN(P239)&gt;0,1,0)+IF(LEN(Q239)&gt;0,1,0)+IF(LEN(T239)&gt;0,1,0)+IF(LEN(V239)&gt;0,1,0)+IF(LEN(W239)&gt;0,1,0)+IF(LEN(X239)&gt;0,1,0)+IF(LEN(Z239)&gt;0,1,0)+IF(LEN(AD239)&gt;0,1,0)+IF(LEN(AE239)&gt;0,1,0)+IF(LEN(AG239)&gt;0,1,0)+IF(LEN(AI239)&gt;0,1,0)+IF(LEN(BB239)&gt;0,1,0)+IF(LEN(BC239)&gt;0,1,0)+IF(LEN(AM239)&gt;0,1,0)+IF(LEN(AO239)&gt;0,1,0)+IF(LEN(AP239)&gt;0,1,0)+IF(LEN(AQ239)&gt;0,1,0)+IF(LEN(AR239)&gt;0,1,0)+IF(LEN(BA239)&gt;0,1,0)+IF(LEN(BM239)&gt;0,1,0)+IF(LEN(BZ239)&gt;0,1,0))/27,2))</f>
        <v/>
      </c>
      <c r="CF239" s="10" t="str">
        <f aca="false">IF(D239="","",IF(AND(AP239="Approved",ISERROR(SEARCH("FAIL",BJ239))),"Y","N"))</f>
        <v/>
      </c>
      <c r="CG239" s="10" t="str">
        <f aca="false">IF(D239="","",D239&amp;"|"&amp;E239&amp;"|"&amp;F239&amp;"|"&amp;G239&amp;"|"&amp;CF239)</f>
        <v/>
      </c>
    </row>
    <row r="240" customFormat="false" ht="15" hidden="false" customHeight="false" outlineLevel="0" collapsed="false">
      <c r="A240" s="10" t="str">
        <f aca="false">IF(D240="","","RW-"&amp;IFERROR(VLOOKUP(D240,Lists!$M$4:$N$22,2,0),"??")&amp;"-H"&amp;TEXT(E240*1000,"0000")&amp;"-S"&amp;F240&amp;IF(G240="Y","-GW","")&amp;"-"&amp;AO240)</f>
        <v/>
      </c>
      <c r="B240" s="10" t="str">
        <f aca="false">IF(D240="","",D240&amp;", H = "&amp;TEXT(E240,"0.0")&amp;" m, q = "&amp;F240&amp;" kPa"&amp;IF(G240="Y",", with GWT","")&amp;", "&amp;I240)</f>
        <v/>
      </c>
      <c r="C240" s="9"/>
      <c r="D240" s="9"/>
      <c r="E240" s="39"/>
      <c r="F240" s="38"/>
      <c r="G240" s="9"/>
      <c r="H240" s="38"/>
      <c r="I240" s="9"/>
      <c r="J240" s="38"/>
      <c r="K240" s="38"/>
      <c r="L240" s="38"/>
      <c r="M240" s="42"/>
      <c r="N240" s="9"/>
      <c r="O240" s="38"/>
      <c r="P240" s="38"/>
      <c r="Q240" s="38"/>
      <c r="R240" s="38"/>
      <c r="S240" s="38"/>
      <c r="T240" s="38"/>
      <c r="U240" s="9"/>
      <c r="V240" s="9"/>
      <c r="W240" s="38"/>
      <c r="X240" s="9"/>
      <c r="Y240" s="9"/>
      <c r="Z240" s="9"/>
      <c r="AA240" s="9"/>
      <c r="AB240" s="9"/>
      <c r="AC240" s="9"/>
      <c r="AD240" s="39"/>
      <c r="AE240" s="39"/>
      <c r="AF240" s="39"/>
      <c r="AG240" s="38"/>
      <c r="AH240" s="38"/>
      <c r="AI240" s="9"/>
      <c r="AJ240" s="38"/>
      <c r="AK240" s="9"/>
      <c r="AL240" s="39"/>
      <c r="AM240" s="9"/>
      <c r="AN240" s="9"/>
      <c r="AO240" s="9"/>
      <c r="AP240" s="9"/>
      <c r="AQ240" s="9"/>
      <c r="AR240" s="9"/>
      <c r="AS240" s="9"/>
      <c r="AT240" s="10" t="str">
        <f aca="false">IF(A240="","",SG_Criteria!$B$6&amp;SG_Criteria!$B$8&amp;"\"&amp;A240&amp;"\")</f>
        <v/>
      </c>
      <c r="AU240" s="10" t="str">
        <f aca="false">IF(A240="","",A240&amp;"_CAD.dwg")</f>
        <v/>
      </c>
      <c r="AV240" s="10" t="str">
        <f aca="false">IF(A240="","",A240&amp;"_DWG.pdf")</f>
        <v/>
      </c>
      <c r="AW240" s="10" t="str">
        <f aca="false">IF(A240="","",IF(AS240="Y",A240&amp;"_STAAD.std","n/a"))</f>
        <v/>
      </c>
      <c r="AX240" s="10" t="str">
        <f aca="false">IF(A240="","",A240&amp;"_CALC.xlsx")</f>
        <v/>
      </c>
      <c r="AY240" s="10" t="str">
        <f aca="false">IF(A240="","",A240&amp;"_CALC.pdf")</f>
        <v/>
      </c>
      <c r="AZ240" s="9"/>
      <c r="BA240" s="9"/>
      <c r="BB240" s="39"/>
      <c r="BC240" s="39"/>
      <c r="BD240" s="39"/>
      <c r="BE240" s="39"/>
      <c r="BF240" s="39"/>
      <c r="BG240" s="12" t="str">
        <f aca="false">IF(A240="","",IF(COUNTIF(Rebar_Schedule!$A$5:$A$2004,A240)=0,"",ROUND(SUMIF(Rebar_Schedule!$A$5:$A$2004,A240,Rebar_Schedule!$K$5:$K$2004),1)))</f>
        <v/>
      </c>
      <c r="BH240" s="33" t="str">
        <f aca="false">IF(A240="","",IF(BG240="","No rebar schedule yet",IF(ABS(BG240-N(BC240))/MAX(N(BC240),1)&gt;SG_Criteria!$B$55,"NOTE: register rebar differs from schedule by "&amp;TEXT(ABS(BG240-N(BC240))/MAX(N(BC240),1),"0%"),"OK")))</f>
        <v/>
      </c>
      <c r="BI240" s="33" t="str">
        <f aca="false">IF(OR(D240="",E240=""),"",IF(E240&lt;=IF(OR(D240="Block / Segmental",D240="Gabion",D240="Reinforced Earth (MSE)"),SG_Criteria!$B$34,SG_Criteria!$B$33),"No ERSS submission",IF(E240&lt;=SG_Criteria!$B$35,"QP(ST)",IF(E240&lt;=SG_Criteria!$B$36,"QP(ST) + AC","Geotechnical building works: QP(Geo) + AC"))))</f>
        <v/>
      </c>
      <c r="BJ240" s="33" t="str">
        <f aca="false">IF(D240="","",IF(LEN(IF(AND(V240&lt;&gt;"",IFERROR(VALUE(MID(V240,2,2)),0)&lt;SG_Criteria!$B$19),"FAIL: grade below C"&amp;SG_Criteria!$B$19&amp;". ","")&amp;IF(AND(W240&lt;&gt;"",W240&lt;SG_Criteria!$B$20),"FAIL: cover &lt; "&amp;SG_Criteria!$B$20&amp;" mm. ","")&amp;IF(AND(AD240&lt;&gt;"",AD240&lt;1),"FAIL: sliding. ","")&amp;IF(AND(D240="Reverse L-Wall (toe only, at boundary)",N(S240)&gt;0),"NOTE: reverse L-wall should have no heel. ","")&amp;IF(AND(D240="L-Wall (heel only)",N(R240)&gt;0),"NOTE: L-wall should have no toe. ","")&amp;IF(AND(F240&lt;&gt;"",F240&lt;SG_Criteria!$B$31),"NOTE: q below LTA min "&amp;SG_Criteria!$B$31&amp;" kPa (not for LTA works). ",""))=0,"OK",IF(AND(V240&lt;&gt;"",IFERROR(VALUE(MID(V240,2,2)),0)&lt;SG_Criteria!$B$19),"FAIL: grade below C"&amp;SG_Criteria!$B$19&amp;". ","")&amp;IF(AND(W240&lt;&gt;"",W240&lt;SG_Criteria!$B$20),"FAIL: cover &lt; "&amp;SG_Criteria!$B$20&amp;" mm. ","")&amp;IF(AND(AD240&lt;&gt;"",AD240&lt;1),"FAIL: sliding. ","")&amp;IF(AND(D240="Reverse L-Wall (toe only, at boundary)",N(S240)&gt;0),"NOTE: reverse L-wall should have no heel. ","")&amp;IF(AND(D240="L-Wall (heel only)",N(R240)&gt;0),"NOTE: L-wall should have no toe. ","")&amp;IF(AND(F240&lt;&gt;"",F240&lt;SG_Criteria!$B$31),"NOTE: q below LTA min "&amp;SG_Criteria!$B$31&amp;" kPa (not for LTA works). ","")))</f>
        <v/>
      </c>
      <c r="BK240" s="9"/>
      <c r="BL240" s="9"/>
      <c r="BM240" s="9"/>
      <c r="BN240" s="10" t="str">
        <f aca="false">IF(BM240="","",IFERROR(VLOOKUP(BM240,Projects!$A$5:$D$504,2,0),"Ref not in Projects"))</f>
        <v/>
      </c>
      <c r="BO240" s="10" t="str">
        <f aca="false">IF(BM240="","",IFERROR(VLOOKUP(BM240,Projects!$A$5:$D$504,4,0),"Ref not in Projects"))</f>
        <v/>
      </c>
      <c r="BP240" s="9"/>
      <c r="BQ240" s="9"/>
      <c r="BR240" s="9"/>
      <c r="BS240" s="40"/>
      <c r="BT240" s="9"/>
      <c r="BU240" s="40"/>
      <c r="BV240" s="9"/>
      <c r="BW240" s="40"/>
      <c r="BX240" s="9"/>
      <c r="BY240" s="9"/>
      <c r="BZ240" s="9"/>
      <c r="CA240" s="40"/>
      <c r="CB240" s="40"/>
      <c r="CC240" s="36" t="str">
        <f aca="false">IF(CB240="","",EDATE(CB240,SG_Criteria!$B$54*12))</f>
        <v/>
      </c>
      <c r="CD240" s="33" t="str">
        <f aca="true">IF(A240="","",IF(CB240="","NOTE: not reviewed yet",IF(TODAY()&gt;CC240,"NOTE: review overdue","OK")))</f>
        <v/>
      </c>
      <c r="CE240" s="37" t="str">
        <f aca="false">IF(A240="","",ROUND((IF(LEN(D240)&gt;0,1,0)+IF(LEN(E240)&gt;0,1,0)+IF(LEN(F240)&gt;0,1,0)+IF(LEN(G240)&gt;0,1,0)+IF(LEN(I240)&gt;0,1,0)+IF(LEN(K240)&gt;0,1,0)+IF(LEN(P240)&gt;0,1,0)+IF(LEN(Q240)&gt;0,1,0)+IF(LEN(T240)&gt;0,1,0)+IF(LEN(V240)&gt;0,1,0)+IF(LEN(W240)&gt;0,1,0)+IF(LEN(X240)&gt;0,1,0)+IF(LEN(Z240)&gt;0,1,0)+IF(LEN(AD240)&gt;0,1,0)+IF(LEN(AE240)&gt;0,1,0)+IF(LEN(AG240)&gt;0,1,0)+IF(LEN(AI240)&gt;0,1,0)+IF(LEN(BB240)&gt;0,1,0)+IF(LEN(BC240)&gt;0,1,0)+IF(LEN(AM240)&gt;0,1,0)+IF(LEN(AO240)&gt;0,1,0)+IF(LEN(AP240)&gt;0,1,0)+IF(LEN(AQ240)&gt;0,1,0)+IF(LEN(AR240)&gt;0,1,0)+IF(LEN(BA240)&gt;0,1,0)+IF(LEN(BM240)&gt;0,1,0)+IF(LEN(BZ240)&gt;0,1,0))/27,2))</f>
        <v/>
      </c>
      <c r="CF240" s="10" t="str">
        <f aca="false">IF(D240="","",IF(AND(AP240="Approved",ISERROR(SEARCH("FAIL",BJ240))),"Y","N"))</f>
        <v/>
      </c>
      <c r="CG240" s="10" t="str">
        <f aca="false">IF(D240="","",D240&amp;"|"&amp;E240&amp;"|"&amp;F240&amp;"|"&amp;G240&amp;"|"&amp;CF240)</f>
        <v/>
      </c>
    </row>
    <row r="241" customFormat="false" ht="15" hidden="false" customHeight="false" outlineLevel="0" collapsed="false">
      <c r="A241" s="10" t="str">
        <f aca="false">IF(D241="","","RW-"&amp;IFERROR(VLOOKUP(D241,Lists!$M$4:$N$22,2,0),"??")&amp;"-H"&amp;TEXT(E241*1000,"0000")&amp;"-S"&amp;F241&amp;IF(G241="Y","-GW","")&amp;"-"&amp;AO241)</f>
        <v/>
      </c>
      <c r="B241" s="10" t="str">
        <f aca="false">IF(D241="","",D241&amp;", H = "&amp;TEXT(E241,"0.0")&amp;" m, q = "&amp;F241&amp;" kPa"&amp;IF(G241="Y",", with GWT","")&amp;", "&amp;I241)</f>
        <v/>
      </c>
      <c r="C241" s="9"/>
      <c r="D241" s="9"/>
      <c r="E241" s="39"/>
      <c r="F241" s="38"/>
      <c r="G241" s="9"/>
      <c r="H241" s="38"/>
      <c r="I241" s="9"/>
      <c r="J241" s="38"/>
      <c r="K241" s="38"/>
      <c r="L241" s="38"/>
      <c r="M241" s="42"/>
      <c r="N241" s="9"/>
      <c r="O241" s="38"/>
      <c r="P241" s="38"/>
      <c r="Q241" s="38"/>
      <c r="R241" s="38"/>
      <c r="S241" s="38"/>
      <c r="T241" s="38"/>
      <c r="U241" s="9"/>
      <c r="V241" s="9"/>
      <c r="W241" s="38"/>
      <c r="X241" s="9"/>
      <c r="Y241" s="9"/>
      <c r="Z241" s="9"/>
      <c r="AA241" s="9"/>
      <c r="AB241" s="9"/>
      <c r="AC241" s="9"/>
      <c r="AD241" s="39"/>
      <c r="AE241" s="39"/>
      <c r="AF241" s="39"/>
      <c r="AG241" s="38"/>
      <c r="AH241" s="38"/>
      <c r="AI241" s="9"/>
      <c r="AJ241" s="38"/>
      <c r="AK241" s="9"/>
      <c r="AL241" s="39"/>
      <c r="AM241" s="9"/>
      <c r="AN241" s="9"/>
      <c r="AO241" s="9"/>
      <c r="AP241" s="9"/>
      <c r="AQ241" s="9"/>
      <c r="AR241" s="9"/>
      <c r="AS241" s="9"/>
      <c r="AT241" s="10" t="str">
        <f aca="false">IF(A241="","",SG_Criteria!$B$6&amp;SG_Criteria!$B$8&amp;"\"&amp;A241&amp;"\")</f>
        <v/>
      </c>
      <c r="AU241" s="10" t="str">
        <f aca="false">IF(A241="","",A241&amp;"_CAD.dwg")</f>
        <v/>
      </c>
      <c r="AV241" s="10" t="str">
        <f aca="false">IF(A241="","",A241&amp;"_DWG.pdf")</f>
        <v/>
      </c>
      <c r="AW241" s="10" t="str">
        <f aca="false">IF(A241="","",IF(AS241="Y",A241&amp;"_STAAD.std","n/a"))</f>
        <v/>
      </c>
      <c r="AX241" s="10" t="str">
        <f aca="false">IF(A241="","",A241&amp;"_CALC.xlsx")</f>
        <v/>
      </c>
      <c r="AY241" s="10" t="str">
        <f aca="false">IF(A241="","",A241&amp;"_CALC.pdf")</f>
        <v/>
      </c>
      <c r="AZ241" s="9"/>
      <c r="BA241" s="9"/>
      <c r="BB241" s="39"/>
      <c r="BC241" s="39"/>
      <c r="BD241" s="39"/>
      <c r="BE241" s="39"/>
      <c r="BF241" s="39"/>
      <c r="BG241" s="12" t="str">
        <f aca="false">IF(A241="","",IF(COUNTIF(Rebar_Schedule!$A$5:$A$2004,A241)=0,"",ROUND(SUMIF(Rebar_Schedule!$A$5:$A$2004,A241,Rebar_Schedule!$K$5:$K$2004),1)))</f>
        <v/>
      </c>
      <c r="BH241" s="33" t="str">
        <f aca="false">IF(A241="","",IF(BG241="","No rebar schedule yet",IF(ABS(BG241-N(BC241))/MAX(N(BC241),1)&gt;SG_Criteria!$B$55,"NOTE: register rebar differs from schedule by "&amp;TEXT(ABS(BG241-N(BC241))/MAX(N(BC241),1),"0%"),"OK")))</f>
        <v/>
      </c>
      <c r="BI241" s="33" t="str">
        <f aca="false">IF(OR(D241="",E241=""),"",IF(E241&lt;=IF(OR(D241="Block / Segmental",D241="Gabion",D241="Reinforced Earth (MSE)"),SG_Criteria!$B$34,SG_Criteria!$B$33),"No ERSS submission",IF(E241&lt;=SG_Criteria!$B$35,"QP(ST)",IF(E241&lt;=SG_Criteria!$B$36,"QP(ST) + AC","Geotechnical building works: QP(Geo) + AC"))))</f>
        <v/>
      </c>
      <c r="BJ241" s="33" t="str">
        <f aca="false">IF(D241="","",IF(LEN(IF(AND(V241&lt;&gt;"",IFERROR(VALUE(MID(V241,2,2)),0)&lt;SG_Criteria!$B$19),"FAIL: grade below C"&amp;SG_Criteria!$B$19&amp;". ","")&amp;IF(AND(W241&lt;&gt;"",W241&lt;SG_Criteria!$B$20),"FAIL: cover &lt; "&amp;SG_Criteria!$B$20&amp;" mm. ","")&amp;IF(AND(AD241&lt;&gt;"",AD241&lt;1),"FAIL: sliding. ","")&amp;IF(AND(D241="Reverse L-Wall (toe only, at boundary)",N(S241)&gt;0),"NOTE: reverse L-wall should have no heel. ","")&amp;IF(AND(D241="L-Wall (heel only)",N(R241)&gt;0),"NOTE: L-wall should have no toe. ","")&amp;IF(AND(F241&lt;&gt;"",F241&lt;SG_Criteria!$B$31),"NOTE: q below LTA min "&amp;SG_Criteria!$B$31&amp;" kPa (not for LTA works). ",""))=0,"OK",IF(AND(V241&lt;&gt;"",IFERROR(VALUE(MID(V241,2,2)),0)&lt;SG_Criteria!$B$19),"FAIL: grade below C"&amp;SG_Criteria!$B$19&amp;". ","")&amp;IF(AND(W241&lt;&gt;"",W241&lt;SG_Criteria!$B$20),"FAIL: cover &lt; "&amp;SG_Criteria!$B$20&amp;" mm. ","")&amp;IF(AND(AD241&lt;&gt;"",AD241&lt;1),"FAIL: sliding. ","")&amp;IF(AND(D241="Reverse L-Wall (toe only, at boundary)",N(S241)&gt;0),"NOTE: reverse L-wall should have no heel. ","")&amp;IF(AND(D241="L-Wall (heel only)",N(R241)&gt;0),"NOTE: L-wall should have no toe. ","")&amp;IF(AND(F241&lt;&gt;"",F241&lt;SG_Criteria!$B$31),"NOTE: q below LTA min "&amp;SG_Criteria!$B$31&amp;" kPa (not for LTA works). ","")))</f>
        <v/>
      </c>
      <c r="BK241" s="9"/>
      <c r="BL241" s="9"/>
      <c r="BM241" s="9"/>
      <c r="BN241" s="10" t="str">
        <f aca="false">IF(BM241="","",IFERROR(VLOOKUP(BM241,Projects!$A$5:$D$504,2,0),"Ref not in Projects"))</f>
        <v/>
      </c>
      <c r="BO241" s="10" t="str">
        <f aca="false">IF(BM241="","",IFERROR(VLOOKUP(BM241,Projects!$A$5:$D$504,4,0),"Ref not in Projects"))</f>
        <v/>
      </c>
      <c r="BP241" s="9"/>
      <c r="BQ241" s="9"/>
      <c r="BR241" s="9"/>
      <c r="BS241" s="40"/>
      <c r="BT241" s="9"/>
      <c r="BU241" s="40"/>
      <c r="BV241" s="9"/>
      <c r="BW241" s="40"/>
      <c r="BX241" s="9"/>
      <c r="BY241" s="9"/>
      <c r="BZ241" s="9"/>
      <c r="CA241" s="40"/>
      <c r="CB241" s="40"/>
      <c r="CC241" s="36" t="str">
        <f aca="false">IF(CB241="","",EDATE(CB241,SG_Criteria!$B$54*12))</f>
        <v/>
      </c>
      <c r="CD241" s="33" t="str">
        <f aca="true">IF(A241="","",IF(CB241="","NOTE: not reviewed yet",IF(TODAY()&gt;CC241,"NOTE: review overdue","OK")))</f>
        <v/>
      </c>
      <c r="CE241" s="37" t="str">
        <f aca="false">IF(A241="","",ROUND((IF(LEN(D241)&gt;0,1,0)+IF(LEN(E241)&gt;0,1,0)+IF(LEN(F241)&gt;0,1,0)+IF(LEN(G241)&gt;0,1,0)+IF(LEN(I241)&gt;0,1,0)+IF(LEN(K241)&gt;0,1,0)+IF(LEN(P241)&gt;0,1,0)+IF(LEN(Q241)&gt;0,1,0)+IF(LEN(T241)&gt;0,1,0)+IF(LEN(V241)&gt;0,1,0)+IF(LEN(W241)&gt;0,1,0)+IF(LEN(X241)&gt;0,1,0)+IF(LEN(Z241)&gt;0,1,0)+IF(LEN(AD241)&gt;0,1,0)+IF(LEN(AE241)&gt;0,1,0)+IF(LEN(AG241)&gt;0,1,0)+IF(LEN(AI241)&gt;0,1,0)+IF(LEN(BB241)&gt;0,1,0)+IF(LEN(BC241)&gt;0,1,0)+IF(LEN(AM241)&gt;0,1,0)+IF(LEN(AO241)&gt;0,1,0)+IF(LEN(AP241)&gt;0,1,0)+IF(LEN(AQ241)&gt;0,1,0)+IF(LEN(AR241)&gt;0,1,0)+IF(LEN(BA241)&gt;0,1,0)+IF(LEN(BM241)&gt;0,1,0)+IF(LEN(BZ241)&gt;0,1,0))/27,2))</f>
        <v/>
      </c>
      <c r="CF241" s="10" t="str">
        <f aca="false">IF(D241="","",IF(AND(AP241="Approved",ISERROR(SEARCH("FAIL",BJ241))),"Y","N"))</f>
        <v/>
      </c>
      <c r="CG241" s="10" t="str">
        <f aca="false">IF(D241="","",D241&amp;"|"&amp;E241&amp;"|"&amp;F241&amp;"|"&amp;G241&amp;"|"&amp;CF241)</f>
        <v/>
      </c>
    </row>
    <row r="242" customFormat="false" ht="15" hidden="false" customHeight="false" outlineLevel="0" collapsed="false">
      <c r="A242" s="10" t="str">
        <f aca="false">IF(D242="","","RW-"&amp;IFERROR(VLOOKUP(D242,Lists!$M$4:$N$22,2,0),"??")&amp;"-H"&amp;TEXT(E242*1000,"0000")&amp;"-S"&amp;F242&amp;IF(G242="Y","-GW","")&amp;"-"&amp;AO242)</f>
        <v/>
      </c>
      <c r="B242" s="10" t="str">
        <f aca="false">IF(D242="","",D242&amp;", H = "&amp;TEXT(E242,"0.0")&amp;" m, q = "&amp;F242&amp;" kPa"&amp;IF(G242="Y",", with GWT","")&amp;", "&amp;I242)</f>
        <v/>
      </c>
      <c r="C242" s="9"/>
      <c r="D242" s="9"/>
      <c r="E242" s="39"/>
      <c r="F242" s="38"/>
      <c r="G242" s="9"/>
      <c r="H242" s="38"/>
      <c r="I242" s="9"/>
      <c r="J242" s="38"/>
      <c r="K242" s="38"/>
      <c r="L242" s="38"/>
      <c r="M242" s="42"/>
      <c r="N242" s="9"/>
      <c r="O242" s="38"/>
      <c r="P242" s="38"/>
      <c r="Q242" s="38"/>
      <c r="R242" s="38"/>
      <c r="S242" s="38"/>
      <c r="T242" s="38"/>
      <c r="U242" s="9"/>
      <c r="V242" s="9"/>
      <c r="W242" s="38"/>
      <c r="X242" s="9"/>
      <c r="Y242" s="9"/>
      <c r="Z242" s="9"/>
      <c r="AA242" s="9"/>
      <c r="AB242" s="9"/>
      <c r="AC242" s="9"/>
      <c r="AD242" s="39"/>
      <c r="AE242" s="39"/>
      <c r="AF242" s="39"/>
      <c r="AG242" s="38"/>
      <c r="AH242" s="38"/>
      <c r="AI242" s="9"/>
      <c r="AJ242" s="38"/>
      <c r="AK242" s="9"/>
      <c r="AL242" s="39"/>
      <c r="AM242" s="9"/>
      <c r="AN242" s="9"/>
      <c r="AO242" s="9"/>
      <c r="AP242" s="9"/>
      <c r="AQ242" s="9"/>
      <c r="AR242" s="9"/>
      <c r="AS242" s="9"/>
      <c r="AT242" s="10" t="str">
        <f aca="false">IF(A242="","",SG_Criteria!$B$6&amp;SG_Criteria!$B$8&amp;"\"&amp;A242&amp;"\")</f>
        <v/>
      </c>
      <c r="AU242" s="10" t="str">
        <f aca="false">IF(A242="","",A242&amp;"_CAD.dwg")</f>
        <v/>
      </c>
      <c r="AV242" s="10" t="str">
        <f aca="false">IF(A242="","",A242&amp;"_DWG.pdf")</f>
        <v/>
      </c>
      <c r="AW242" s="10" t="str">
        <f aca="false">IF(A242="","",IF(AS242="Y",A242&amp;"_STAAD.std","n/a"))</f>
        <v/>
      </c>
      <c r="AX242" s="10" t="str">
        <f aca="false">IF(A242="","",A242&amp;"_CALC.xlsx")</f>
        <v/>
      </c>
      <c r="AY242" s="10" t="str">
        <f aca="false">IF(A242="","",A242&amp;"_CALC.pdf")</f>
        <v/>
      </c>
      <c r="AZ242" s="9"/>
      <c r="BA242" s="9"/>
      <c r="BB242" s="39"/>
      <c r="BC242" s="39"/>
      <c r="BD242" s="39"/>
      <c r="BE242" s="39"/>
      <c r="BF242" s="39"/>
      <c r="BG242" s="12" t="str">
        <f aca="false">IF(A242="","",IF(COUNTIF(Rebar_Schedule!$A$5:$A$2004,A242)=0,"",ROUND(SUMIF(Rebar_Schedule!$A$5:$A$2004,A242,Rebar_Schedule!$K$5:$K$2004),1)))</f>
        <v/>
      </c>
      <c r="BH242" s="33" t="str">
        <f aca="false">IF(A242="","",IF(BG242="","No rebar schedule yet",IF(ABS(BG242-N(BC242))/MAX(N(BC242),1)&gt;SG_Criteria!$B$55,"NOTE: register rebar differs from schedule by "&amp;TEXT(ABS(BG242-N(BC242))/MAX(N(BC242),1),"0%"),"OK")))</f>
        <v/>
      </c>
      <c r="BI242" s="33" t="str">
        <f aca="false">IF(OR(D242="",E242=""),"",IF(E242&lt;=IF(OR(D242="Block / Segmental",D242="Gabion",D242="Reinforced Earth (MSE)"),SG_Criteria!$B$34,SG_Criteria!$B$33),"No ERSS submission",IF(E242&lt;=SG_Criteria!$B$35,"QP(ST)",IF(E242&lt;=SG_Criteria!$B$36,"QP(ST) + AC","Geotechnical building works: QP(Geo) + AC"))))</f>
        <v/>
      </c>
      <c r="BJ242" s="33" t="str">
        <f aca="false">IF(D242="","",IF(LEN(IF(AND(V242&lt;&gt;"",IFERROR(VALUE(MID(V242,2,2)),0)&lt;SG_Criteria!$B$19),"FAIL: grade below C"&amp;SG_Criteria!$B$19&amp;". ","")&amp;IF(AND(W242&lt;&gt;"",W242&lt;SG_Criteria!$B$20),"FAIL: cover &lt; "&amp;SG_Criteria!$B$20&amp;" mm. ","")&amp;IF(AND(AD242&lt;&gt;"",AD242&lt;1),"FAIL: sliding. ","")&amp;IF(AND(D242="Reverse L-Wall (toe only, at boundary)",N(S242)&gt;0),"NOTE: reverse L-wall should have no heel. ","")&amp;IF(AND(D242="L-Wall (heel only)",N(R242)&gt;0),"NOTE: L-wall should have no toe. ","")&amp;IF(AND(F242&lt;&gt;"",F242&lt;SG_Criteria!$B$31),"NOTE: q below LTA min "&amp;SG_Criteria!$B$31&amp;" kPa (not for LTA works). ",""))=0,"OK",IF(AND(V242&lt;&gt;"",IFERROR(VALUE(MID(V242,2,2)),0)&lt;SG_Criteria!$B$19),"FAIL: grade below C"&amp;SG_Criteria!$B$19&amp;". ","")&amp;IF(AND(W242&lt;&gt;"",W242&lt;SG_Criteria!$B$20),"FAIL: cover &lt; "&amp;SG_Criteria!$B$20&amp;" mm. ","")&amp;IF(AND(AD242&lt;&gt;"",AD242&lt;1),"FAIL: sliding. ","")&amp;IF(AND(D242="Reverse L-Wall (toe only, at boundary)",N(S242)&gt;0),"NOTE: reverse L-wall should have no heel. ","")&amp;IF(AND(D242="L-Wall (heel only)",N(R242)&gt;0),"NOTE: L-wall should have no toe. ","")&amp;IF(AND(F242&lt;&gt;"",F242&lt;SG_Criteria!$B$31),"NOTE: q below LTA min "&amp;SG_Criteria!$B$31&amp;" kPa (not for LTA works). ","")))</f>
        <v/>
      </c>
      <c r="BK242" s="9"/>
      <c r="BL242" s="9"/>
      <c r="BM242" s="9"/>
      <c r="BN242" s="10" t="str">
        <f aca="false">IF(BM242="","",IFERROR(VLOOKUP(BM242,Projects!$A$5:$D$504,2,0),"Ref not in Projects"))</f>
        <v/>
      </c>
      <c r="BO242" s="10" t="str">
        <f aca="false">IF(BM242="","",IFERROR(VLOOKUP(BM242,Projects!$A$5:$D$504,4,0),"Ref not in Projects"))</f>
        <v/>
      </c>
      <c r="BP242" s="9"/>
      <c r="BQ242" s="9"/>
      <c r="BR242" s="9"/>
      <c r="BS242" s="40"/>
      <c r="BT242" s="9"/>
      <c r="BU242" s="40"/>
      <c r="BV242" s="9"/>
      <c r="BW242" s="40"/>
      <c r="BX242" s="9"/>
      <c r="BY242" s="9"/>
      <c r="BZ242" s="9"/>
      <c r="CA242" s="40"/>
      <c r="CB242" s="40"/>
      <c r="CC242" s="36" t="str">
        <f aca="false">IF(CB242="","",EDATE(CB242,SG_Criteria!$B$54*12))</f>
        <v/>
      </c>
      <c r="CD242" s="33" t="str">
        <f aca="true">IF(A242="","",IF(CB242="","NOTE: not reviewed yet",IF(TODAY()&gt;CC242,"NOTE: review overdue","OK")))</f>
        <v/>
      </c>
      <c r="CE242" s="37" t="str">
        <f aca="false">IF(A242="","",ROUND((IF(LEN(D242)&gt;0,1,0)+IF(LEN(E242)&gt;0,1,0)+IF(LEN(F242)&gt;0,1,0)+IF(LEN(G242)&gt;0,1,0)+IF(LEN(I242)&gt;0,1,0)+IF(LEN(K242)&gt;0,1,0)+IF(LEN(P242)&gt;0,1,0)+IF(LEN(Q242)&gt;0,1,0)+IF(LEN(T242)&gt;0,1,0)+IF(LEN(V242)&gt;0,1,0)+IF(LEN(W242)&gt;0,1,0)+IF(LEN(X242)&gt;0,1,0)+IF(LEN(Z242)&gt;0,1,0)+IF(LEN(AD242)&gt;0,1,0)+IF(LEN(AE242)&gt;0,1,0)+IF(LEN(AG242)&gt;0,1,0)+IF(LEN(AI242)&gt;0,1,0)+IF(LEN(BB242)&gt;0,1,0)+IF(LEN(BC242)&gt;0,1,0)+IF(LEN(AM242)&gt;0,1,0)+IF(LEN(AO242)&gt;0,1,0)+IF(LEN(AP242)&gt;0,1,0)+IF(LEN(AQ242)&gt;0,1,0)+IF(LEN(AR242)&gt;0,1,0)+IF(LEN(BA242)&gt;0,1,0)+IF(LEN(BM242)&gt;0,1,0)+IF(LEN(BZ242)&gt;0,1,0))/27,2))</f>
        <v/>
      </c>
      <c r="CF242" s="10" t="str">
        <f aca="false">IF(D242="","",IF(AND(AP242="Approved",ISERROR(SEARCH("FAIL",BJ242))),"Y","N"))</f>
        <v/>
      </c>
      <c r="CG242" s="10" t="str">
        <f aca="false">IF(D242="","",D242&amp;"|"&amp;E242&amp;"|"&amp;F242&amp;"|"&amp;G242&amp;"|"&amp;CF242)</f>
        <v/>
      </c>
    </row>
    <row r="243" customFormat="false" ht="15" hidden="false" customHeight="false" outlineLevel="0" collapsed="false">
      <c r="A243" s="10" t="str">
        <f aca="false">IF(D243="","","RW-"&amp;IFERROR(VLOOKUP(D243,Lists!$M$4:$N$22,2,0),"??")&amp;"-H"&amp;TEXT(E243*1000,"0000")&amp;"-S"&amp;F243&amp;IF(G243="Y","-GW","")&amp;"-"&amp;AO243)</f>
        <v/>
      </c>
      <c r="B243" s="10" t="str">
        <f aca="false">IF(D243="","",D243&amp;", H = "&amp;TEXT(E243,"0.0")&amp;" m, q = "&amp;F243&amp;" kPa"&amp;IF(G243="Y",", with GWT","")&amp;", "&amp;I243)</f>
        <v/>
      </c>
      <c r="C243" s="9"/>
      <c r="D243" s="9"/>
      <c r="E243" s="39"/>
      <c r="F243" s="38"/>
      <c r="G243" s="9"/>
      <c r="H243" s="38"/>
      <c r="I243" s="9"/>
      <c r="J243" s="38"/>
      <c r="K243" s="38"/>
      <c r="L243" s="38"/>
      <c r="M243" s="42"/>
      <c r="N243" s="9"/>
      <c r="O243" s="38"/>
      <c r="P243" s="38"/>
      <c r="Q243" s="38"/>
      <c r="R243" s="38"/>
      <c r="S243" s="38"/>
      <c r="T243" s="38"/>
      <c r="U243" s="9"/>
      <c r="V243" s="9"/>
      <c r="W243" s="38"/>
      <c r="X243" s="9"/>
      <c r="Y243" s="9"/>
      <c r="Z243" s="9"/>
      <c r="AA243" s="9"/>
      <c r="AB243" s="9"/>
      <c r="AC243" s="9"/>
      <c r="AD243" s="39"/>
      <c r="AE243" s="39"/>
      <c r="AF243" s="39"/>
      <c r="AG243" s="38"/>
      <c r="AH243" s="38"/>
      <c r="AI243" s="9"/>
      <c r="AJ243" s="38"/>
      <c r="AK243" s="9"/>
      <c r="AL243" s="39"/>
      <c r="AM243" s="9"/>
      <c r="AN243" s="9"/>
      <c r="AO243" s="9"/>
      <c r="AP243" s="9"/>
      <c r="AQ243" s="9"/>
      <c r="AR243" s="9"/>
      <c r="AS243" s="9"/>
      <c r="AT243" s="10" t="str">
        <f aca="false">IF(A243="","",SG_Criteria!$B$6&amp;SG_Criteria!$B$8&amp;"\"&amp;A243&amp;"\")</f>
        <v/>
      </c>
      <c r="AU243" s="10" t="str">
        <f aca="false">IF(A243="","",A243&amp;"_CAD.dwg")</f>
        <v/>
      </c>
      <c r="AV243" s="10" t="str">
        <f aca="false">IF(A243="","",A243&amp;"_DWG.pdf")</f>
        <v/>
      </c>
      <c r="AW243" s="10" t="str">
        <f aca="false">IF(A243="","",IF(AS243="Y",A243&amp;"_STAAD.std","n/a"))</f>
        <v/>
      </c>
      <c r="AX243" s="10" t="str">
        <f aca="false">IF(A243="","",A243&amp;"_CALC.xlsx")</f>
        <v/>
      </c>
      <c r="AY243" s="10" t="str">
        <f aca="false">IF(A243="","",A243&amp;"_CALC.pdf")</f>
        <v/>
      </c>
      <c r="AZ243" s="9"/>
      <c r="BA243" s="9"/>
      <c r="BB243" s="39"/>
      <c r="BC243" s="39"/>
      <c r="BD243" s="39"/>
      <c r="BE243" s="39"/>
      <c r="BF243" s="39"/>
      <c r="BG243" s="12" t="str">
        <f aca="false">IF(A243="","",IF(COUNTIF(Rebar_Schedule!$A$5:$A$2004,A243)=0,"",ROUND(SUMIF(Rebar_Schedule!$A$5:$A$2004,A243,Rebar_Schedule!$K$5:$K$2004),1)))</f>
        <v/>
      </c>
      <c r="BH243" s="33" t="str">
        <f aca="false">IF(A243="","",IF(BG243="","No rebar schedule yet",IF(ABS(BG243-N(BC243))/MAX(N(BC243),1)&gt;SG_Criteria!$B$55,"NOTE: register rebar differs from schedule by "&amp;TEXT(ABS(BG243-N(BC243))/MAX(N(BC243),1),"0%"),"OK")))</f>
        <v/>
      </c>
      <c r="BI243" s="33" t="str">
        <f aca="false">IF(OR(D243="",E243=""),"",IF(E243&lt;=IF(OR(D243="Block / Segmental",D243="Gabion",D243="Reinforced Earth (MSE)"),SG_Criteria!$B$34,SG_Criteria!$B$33),"No ERSS submission",IF(E243&lt;=SG_Criteria!$B$35,"QP(ST)",IF(E243&lt;=SG_Criteria!$B$36,"QP(ST) + AC","Geotechnical building works: QP(Geo) + AC"))))</f>
        <v/>
      </c>
      <c r="BJ243" s="33" t="str">
        <f aca="false">IF(D243="","",IF(LEN(IF(AND(V243&lt;&gt;"",IFERROR(VALUE(MID(V243,2,2)),0)&lt;SG_Criteria!$B$19),"FAIL: grade below C"&amp;SG_Criteria!$B$19&amp;". ","")&amp;IF(AND(W243&lt;&gt;"",W243&lt;SG_Criteria!$B$20),"FAIL: cover &lt; "&amp;SG_Criteria!$B$20&amp;" mm. ","")&amp;IF(AND(AD243&lt;&gt;"",AD243&lt;1),"FAIL: sliding. ","")&amp;IF(AND(D243="Reverse L-Wall (toe only, at boundary)",N(S243)&gt;0),"NOTE: reverse L-wall should have no heel. ","")&amp;IF(AND(D243="L-Wall (heel only)",N(R243)&gt;0),"NOTE: L-wall should have no toe. ","")&amp;IF(AND(F243&lt;&gt;"",F243&lt;SG_Criteria!$B$31),"NOTE: q below LTA min "&amp;SG_Criteria!$B$31&amp;" kPa (not for LTA works). ",""))=0,"OK",IF(AND(V243&lt;&gt;"",IFERROR(VALUE(MID(V243,2,2)),0)&lt;SG_Criteria!$B$19),"FAIL: grade below C"&amp;SG_Criteria!$B$19&amp;". ","")&amp;IF(AND(W243&lt;&gt;"",W243&lt;SG_Criteria!$B$20),"FAIL: cover &lt; "&amp;SG_Criteria!$B$20&amp;" mm. ","")&amp;IF(AND(AD243&lt;&gt;"",AD243&lt;1),"FAIL: sliding. ","")&amp;IF(AND(D243="Reverse L-Wall (toe only, at boundary)",N(S243)&gt;0),"NOTE: reverse L-wall should have no heel. ","")&amp;IF(AND(D243="L-Wall (heel only)",N(R243)&gt;0),"NOTE: L-wall should have no toe. ","")&amp;IF(AND(F243&lt;&gt;"",F243&lt;SG_Criteria!$B$31),"NOTE: q below LTA min "&amp;SG_Criteria!$B$31&amp;" kPa (not for LTA works). ","")))</f>
        <v/>
      </c>
      <c r="BK243" s="9"/>
      <c r="BL243" s="9"/>
      <c r="BM243" s="9"/>
      <c r="BN243" s="10" t="str">
        <f aca="false">IF(BM243="","",IFERROR(VLOOKUP(BM243,Projects!$A$5:$D$504,2,0),"Ref not in Projects"))</f>
        <v/>
      </c>
      <c r="BO243" s="10" t="str">
        <f aca="false">IF(BM243="","",IFERROR(VLOOKUP(BM243,Projects!$A$5:$D$504,4,0),"Ref not in Projects"))</f>
        <v/>
      </c>
      <c r="BP243" s="9"/>
      <c r="BQ243" s="9"/>
      <c r="BR243" s="9"/>
      <c r="BS243" s="40"/>
      <c r="BT243" s="9"/>
      <c r="BU243" s="40"/>
      <c r="BV243" s="9"/>
      <c r="BW243" s="40"/>
      <c r="BX243" s="9"/>
      <c r="BY243" s="9"/>
      <c r="BZ243" s="9"/>
      <c r="CA243" s="40"/>
      <c r="CB243" s="40"/>
      <c r="CC243" s="36" t="str">
        <f aca="false">IF(CB243="","",EDATE(CB243,SG_Criteria!$B$54*12))</f>
        <v/>
      </c>
      <c r="CD243" s="33" t="str">
        <f aca="true">IF(A243="","",IF(CB243="","NOTE: not reviewed yet",IF(TODAY()&gt;CC243,"NOTE: review overdue","OK")))</f>
        <v/>
      </c>
      <c r="CE243" s="37" t="str">
        <f aca="false">IF(A243="","",ROUND((IF(LEN(D243)&gt;0,1,0)+IF(LEN(E243)&gt;0,1,0)+IF(LEN(F243)&gt;0,1,0)+IF(LEN(G243)&gt;0,1,0)+IF(LEN(I243)&gt;0,1,0)+IF(LEN(K243)&gt;0,1,0)+IF(LEN(P243)&gt;0,1,0)+IF(LEN(Q243)&gt;0,1,0)+IF(LEN(T243)&gt;0,1,0)+IF(LEN(V243)&gt;0,1,0)+IF(LEN(W243)&gt;0,1,0)+IF(LEN(X243)&gt;0,1,0)+IF(LEN(Z243)&gt;0,1,0)+IF(LEN(AD243)&gt;0,1,0)+IF(LEN(AE243)&gt;0,1,0)+IF(LEN(AG243)&gt;0,1,0)+IF(LEN(AI243)&gt;0,1,0)+IF(LEN(BB243)&gt;0,1,0)+IF(LEN(BC243)&gt;0,1,0)+IF(LEN(AM243)&gt;0,1,0)+IF(LEN(AO243)&gt;0,1,0)+IF(LEN(AP243)&gt;0,1,0)+IF(LEN(AQ243)&gt;0,1,0)+IF(LEN(AR243)&gt;0,1,0)+IF(LEN(BA243)&gt;0,1,0)+IF(LEN(BM243)&gt;0,1,0)+IF(LEN(BZ243)&gt;0,1,0))/27,2))</f>
        <v/>
      </c>
      <c r="CF243" s="10" t="str">
        <f aca="false">IF(D243="","",IF(AND(AP243="Approved",ISERROR(SEARCH("FAIL",BJ243))),"Y","N"))</f>
        <v/>
      </c>
      <c r="CG243" s="10" t="str">
        <f aca="false">IF(D243="","",D243&amp;"|"&amp;E243&amp;"|"&amp;F243&amp;"|"&amp;G243&amp;"|"&amp;CF243)</f>
        <v/>
      </c>
    </row>
    <row r="244" customFormat="false" ht="15" hidden="false" customHeight="false" outlineLevel="0" collapsed="false">
      <c r="A244" s="10" t="str">
        <f aca="false">IF(D244="","","RW-"&amp;IFERROR(VLOOKUP(D244,Lists!$M$4:$N$22,2,0),"??")&amp;"-H"&amp;TEXT(E244*1000,"0000")&amp;"-S"&amp;F244&amp;IF(G244="Y","-GW","")&amp;"-"&amp;AO244)</f>
        <v/>
      </c>
      <c r="B244" s="10" t="str">
        <f aca="false">IF(D244="","",D244&amp;", H = "&amp;TEXT(E244,"0.0")&amp;" m, q = "&amp;F244&amp;" kPa"&amp;IF(G244="Y",", with GWT","")&amp;", "&amp;I244)</f>
        <v/>
      </c>
      <c r="C244" s="9"/>
      <c r="D244" s="9"/>
      <c r="E244" s="39"/>
      <c r="F244" s="38"/>
      <c r="G244" s="9"/>
      <c r="H244" s="38"/>
      <c r="I244" s="9"/>
      <c r="J244" s="38"/>
      <c r="K244" s="38"/>
      <c r="L244" s="38"/>
      <c r="M244" s="42"/>
      <c r="N244" s="9"/>
      <c r="O244" s="38"/>
      <c r="P244" s="38"/>
      <c r="Q244" s="38"/>
      <c r="R244" s="38"/>
      <c r="S244" s="38"/>
      <c r="T244" s="38"/>
      <c r="U244" s="9"/>
      <c r="V244" s="9"/>
      <c r="W244" s="38"/>
      <c r="X244" s="9"/>
      <c r="Y244" s="9"/>
      <c r="Z244" s="9"/>
      <c r="AA244" s="9"/>
      <c r="AB244" s="9"/>
      <c r="AC244" s="9"/>
      <c r="AD244" s="39"/>
      <c r="AE244" s="39"/>
      <c r="AF244" s="39"/>
      <c r="AG244" s="38"/>
      <c r="AH244" s="38"/>
      <c r="AI244" s="9"/>
      <c r="AJ244" s="38"/>
      <c r="AK244" s="9"/>
      <c r="AL244" s="39"/>
      <c r="AM244" s="9"/>
      <c r="AN244" s="9"/>
      <c r="AO244" s="9"/>
      <c r="AP244" s="9"/>
      <c r="AQ244" s="9"/>
      <c r="AR244" s="9"/>
      <c r="AS244" s="9"/>
      <c r="AT244" s="10" t="str">
        <f aca="false">IF(A244="","",SG_Criteria!$B$6&amp;SG_Criteria!$B$8&amp;"\"&amp;A244&amp;"\")</f>
        <v/>
      </c>
      <c r="AU244" s="10" t="str">
        <f aca="false">IF(A244="","",A244&amp;"_CAD.dwg")</f>
        <v/>
      </c>
      <c r="AV244" s="10" t="str">
        <f aca="false">IF(A244="","",A244&amp;"_DWG.pdf")</f>
        <v/>
      </c>
      <c r="AW244" s="10" t="str">
        <f aca="false">IF(A244="","",IF(AS244="Y",A244&amp;"_STAAD.std","n/a"))</f>
        <v/>
      </c>
      <c r="AX244" s="10" t="str">
        <f aca="false">IF(A244="","",A244&amp;"_CALC.xlsx")</f>
        <v/>
      </c>
      <c r="AY244" s="10" t="str">
        <f aca="false">IF(A244="","",A244&amp;"_CALC.pdf")</f>
        <v/>
      </c>
      <c r="AZ244" s="9"/>
      <c r="BA244" s="9"/>
      <c r="BB244" s="39"/>
      <c r="BC244" s="39"/>
      <c r="BD244" s="39"/>
      <c r="BE244" s="39"/>
      <c r="BF244" s="39"/>
      <c r="BG244" s="12" t="str">
        <f aca="false">IF(A244="","",IF(COUNTIF(Rebar_Schedule!$A$5:$A$2004,A244)=0,"",ROUND(SUMIF(Rebar_Schedule!$A$5:$A$2004,A244,Rebar_Schedule!$K$5:$K$2004),1)))</f>
        <v/>
      </c>
      <c r="BH244" s="33" t="str">
        <f aca="false">IF(A244="","",IF(BG244="","No rebar schedule yet",IF(ABS(BG244-N(BC244))/MAX(N(BC244),1)&gt;SG_Criteria!$B$55,"NOTE: register rebar differs from schedule by "&amp;TEXT(ABS(BG244-N(BC244))/MAX(N(BC244),1),"0%"),"OK")))</f>
        <v/>
      </c>
      <c r="BI244" s="33" t="str">
        <f aca="false">IF(OR(D244="",E244=""),"",IF(E244&lt;=IF(OR(D244="Block / Segmental",D244="Gabion",D244="Reinforced Earth (MSE)"),SG_Criteria!$B$34,SG_Criteria!$B$33),"No ERSS submission",IF(E244&lt;=SG_Criteria!$B$35,"QP(ST)",IF(E244&lt;=SG_Criteria!$B$36,"QP(ST) + AC","Geotechnical building works: QP(Geo) + AC"))))</f>
        <v/>
      </c>
      <c r="BJ244" s="33" t="str">
        <f aca="false">IF(D244="","",IF(LEN(IF(AND(V244&lt;&gt;"",IFERROR(VALUE(MID(V244,2,2)),0)&lt;SG_Criteria!$B$19),"FAIL: grade below C"&amp;SG_Criteria!$B$19&amp;". ","")&amp;IF(AND(W244&lt;&gt;"",W244&lt;SG_Criteria!$B$20),"FAIL: cover &lt; "&amp;SG_Criteria!$B$20&amp;" mm. ","")&amp;IF(AND(AD244&lt;&gt;"",AD244&lt;1),"FAIL: sliding. ","")&amp;IF(AND(D244="Reverse L-Wall (toe only, at boundary)",N(S244)&gt;0),"NOTE: reverse L-wall should have no heel. ","")&amp;IF(AND(D244="L-Wall (heel only)",N(R244)&gt;0),"NOTE: L-wall should have no toe. ","")&amp;IF(AND(F244&lt;&gt;"",F244&lt;SG_Criteria!$B$31),"NOTE: q below LTA min "&amp;SG_Criteria!$B$31&amp;" kPa (not for LTA works). ",""))=0,"OK",IF(AND(V244&lt;&gt;"",IFERROR(VALUE(MID(V244,2,2)),0)&lt;SG_Criteria!$B$19),"FAIL: grade below C"&amp;SG_Criteria!$B$19&amp;". ","")&amp;IF(AND(W244&lt;&gt;"",W244&lt;SG_Criteria!$B$20),"FAIL: cover &lt; "&amp;SG_Criteria!$B$20&amp;" mm. ","")&amp;IF(AND(AD244&lt;&gt;"",AD244&lt;1),"FAIL: sliding. ","")&amp;IF(AND(D244="Reverse L-Wall (toe only, at boundary)",N(S244)&gt;0),"NOTE: reverse L-wall should have no heel. ","")&amp;IF(AND(D244="L-Wall (heel only)",N(R244)&gt;0),"NOTE: L-wall should have no toe. ","")&amp;IF(AND(F244&lt;&gt;"",F244&lt;SG_Criteria!$B$31),"NOTE: q below LTA min "&amp;SG_Criteria!$B$31&amp;" kPa (not for LTA works). ","")))</f>
        <v/>
      </c>
      <c r="BK244" s="9"/>
      <c r="BL244" s="9"/>
      <c r="BM244" s="9"/>
      <c r="BN244" s="10" t="str">
        <f aca="false">IF(BM244="","",IFERROR(VLOOKUP(BM244,Projects!$A$5:$D$504,2,0),"Ref not in Projects"))</f>
        <v/>
      </c>
      <c r="BO244" s="10" t="str">
        <f aca="false">IF(BM244="","",IFERROR(VLOOKUP(BM244,Projects!$A$5:$D$504,4,0),"Ref not in Projects"))</f>
        <v/>
      </c>
      <c r="BP244" s="9"/>
      <c r="BQ244" s="9"/>
      <c r="BR244" s="9"/>
      <c r="BS244" s="40"/>
      <c r="BT244" s="9"/>
      <c r="BU244" s="40"/>
      <c r="BV244" s="9"/>
      <c r="BW244" s="40"/>
      <c r="BX244" s="9"/>
      <c r="BY244" s="9"/>
      <c r="BZ244" s="9"/>
      <c r="CA244" s="40"/>
      <c r="CB244" s="40"/>
      <c r="CC244" s="36" t="str">
        <f aca="false">IF(CB244="","",EDATE(CB244,SG_Criteria!$B$54*12))</f>
        <v/>
      </c>
      <c r="CD244" s="33" t="str">
        <f aca="true">IF(A244="","",IF(CB244="","NOTE: not reviewed yet",IF(TODAY()&gt;CC244,"NOTE: review overdue","OK")))</f>
        <v/>
      </c>
      <c r="CE244" s="37" t="str">
        <f aca="false">IF(A244="","",ROUND((IF(LEN(D244)&gt;0,1,0)+IF(LEN(E244)&gt;0,1,0)+IF(LEN(F244)&gt;0,1,0)+IF(LEN(G244)&gt;0,1,0)+IF(LEN(I244)&gt;0,1,0)+IF(LEN(K244)&gt;0,1,0)+IF(LEN(P244)&gt;0,1,0)+IF(LEN(Q244)&gt;0,1,0)+IF(LEN(T244)&gt;0,1,0)+IF(LEN(V244)&gt;0,1,0)+IF(LEN(W244)&gt;0,1,0)+IF(LEN(X244)&gt;0,1,0)+IF(LEN(Z244)&gt;0,1,0)+IF(LEN(AD244)&gt;0,1,0)+IF(LEN(AE244)&gt;0,1,0)+IF(LEN(AG244)&gt;0,1,0)+IF(LEN(AI244)&gt;0,1,0)+IF(LEN(BB244)&gt;0,1,0)+IF(LEN(BC244)&gt;0,1,0)+IF(LEN(AM244)&gt;0,1,0)+IF(LEN(AO244)&gt;0,1,0)+IF(LEN(AP244)&gt;0,1,0)+IF(LEN(AQ244)&gt;0,1,0)+IF(LEN(AR244)&gt;0,1,0)+IF(LEN(BA244)&gt;0,1,0)+IF(LEN(BM244)&gt;0,1,0)+IF(LEN(BZ244)&gt;0,1,0))/27,2))</f>
        <v/>
      </c>
      <c r="CF244" s="10" t="str">
        <f aca="false">IF(D244="","",IF(AND(AP244="Approved",ISERROR(SEARCH("FAIL",BJ244))),"Y","N"))</f>
        <v/>
      </c>
      <c r="CG244" s="10" t="str">
        <f aca="false">IF(D244="","",D244&amp;"|"&amp;E244&amp;"|"&amp;F244&amp;"|"&amp;G244&amp;"|"&amp;CF244)</f>
        <v/>
      </c>
    </row>
    <row r="245" customFormat="false" ht="15" hidden="false" customHeight="false" outlineLevel="0" collapsed="false">
      <c r="A245" s="10" t="str">
        <f aca="false">IF(D245="","","RW-"&amp;IFERROR(VLOOKUP(D245,Lists!$M$4:$N$22,2,0),"??")&amp;"-H"&amp;TEXT(E245*1000,"0000")&amp;"-S"&amp;F245&amp;IF(G245="Y","-GW","")&amp;"-"&amp;AO245)</f>
        <v/>
      </c>
      <c r="B245" s="10" t="str">
        <f aca="false">IF(D245="","",D245&amp;", H = "&amp;TEXT(E245,"0.0")&amp;" m, q = "&amp;F245&amp;" kPa"&amp;IF(G245="Y",", with GWT","")&amp;", "&amp;I245)</f>
        <v/>
      </c>
      <c r="C245" s="9"/>
      <c r="D245" s="9"/>
      <c r="E245" s="39"/>
      <c r="F245" s="38"/>
      <c r="G245" s="9"/>
      <c r="H245" s="38"/>
      <c r="I245" s="9"/>
      <c r="J245" s="38"/>
      <c r="K245" s="38"/>
      <c r="L245" s="38"/>
      <c r="M245" s="42"/>
      <c r="N245" s="9"/>
      <c r="O245" s="38"/>
      <c r="P245" s="38"/>
      <c r="Q245" s="38"/>
      <c r="R245" s="38"/>
      <c r="S245" s="38"/>
      <c r="T245" s="38"/>
      <c r="U245" s="9"/>
      <c r="V245" s="9"/>
      <c r="W245" s="38"/>
      <c r="X245" s="9"/>
      <c r="Y245" s="9"/>
      <c r="Z245" s="9"/>
      <c r="AA245" s="9"/>
      <c r="AB245" s="9"/>
      <c r="AC245" s="9"/>
      <c r="AD245" s="39"/>
      <c r="AE245" s="39"/>
      <c r="AF245" s="39"/>
      <c r="AG245" s="38"/>
      <c r="AH245" s="38"/>
      <c r="AI245" s="9"/>
      <c r="AJ245" s="38"/>
      <c r="AK245" s="9"/>
      <c r="AL245" s="39"/>
      <c r="AM245" s="9"/>
      <c r="AN245" s="9"/>
      <c r="AO245" s="9"/>
      <c r="AP245" s="9"/>
      <c r="AQ245" s="9"/>
      <c r="AR245" s="9"/>
      <c r="AS245" s="9"/>
      <c r="AT245" s="10" t="str">
        <f aca="false">IF(A245="","",SG_Criteria!$B$6&amp;SG_Criteria!$B$8&amp;"\"&amp;A245&amp;"\")</f>
        <v/>
      </c>
      <c r="AU245" s="10" t="str">
        <f aca="false">IF(A245="","",A245&amp;"_CAD.dwg")</f>
        <v/>
      </c>
      <c r="AV245" s="10" t="str">
        <f aca="false">IF(A245="","",A245&amp;"_DWG.pdf")</f>
        <v/>
      </c>
      <c r="AW245" s="10" t="str">
        <f aca="false">IF(A245="","",IF(AS245="Y",A245&amp;"_STAAD.std","n/a"))</f>
        <v/>
      </c>
      <c r="AX245" s="10" t="str">
        <f aca="false">IF(A245="","",A245&amp;"_CALC.xlsx")</f>
        <v/>
      </c>
      <c r="AY245" s="10" t="str">
        <f aca="false">IF(A245="","",A245&amp;"_CALC.pdf")</f>
        <v/>
      </c>
      <c r="AZ245" s="9"/>
      <c r="BA245" s="9"/>
      <c r="BB245" s="39"/>
      <c r="BC245" s="39"/>
      <c r="BD245" s="39"/>
      <c r="BE245" s="39"/>
      <c r="BF245" s="39"/>
      <c r="BG245" s="12" t="str">
        <f aca="false">IF(A245="","",IF(COUNTIF(Rebar_Schedule!$A$5:$A$2004,A245)=0,"",ROUND(SUMIF(Rebar_Schedule!$A$5:$A$2004,A245,Rebar_Schedule!$K$5:$K$2004),1)))</f>
        <v/>
      </c>
      <c r="BH245" s="33" t="str">
        <f aca="false">IF(A245="","",IF(BG245="","No rebar schedule yet",IF(ABS(BG245-N(BC245))/MAX(N(BC245),1)&gt;SG_Criteria!$B$55,"NOTE: register rebar differs from schedule by "&amp;TEXT(ABS(BG245-N(BC245))/MAX(N(BC245),1),"0%"),"OK")))</f>
        <v/>
      </c>
      <c r="BI245" s="33" t="str">
        <f aca="false">IF(OR(D245="",E245=""),"",IF(E245&lt;=IF(OR(D245="Block / Segmental",D245="Gabion",D245="Reinforced Earth (MSE)"),SG_Criteria!$B$34,SG_Criteria!$B$33),"No ERSS submission",IF(E245&lt;=SG_Criteria!$B$35,"QP(ST)",IF(E245&lt;=SG_Criteria!$B$36,"QP(ST) + AC","Geotechnical building works: QP(Geo) + AC"))))</f>
        <v/>
      </c>
      <c r="BJ245" s="33" t="str">
        <f aca="false">IF(D245="","",IF(LEN(IF(AND(V245&lt;&gt;"",IFERROR(VALUE(MID(V245,2,2)),0)&lt;SG_Criteria!$B$19),"FAIL: grade below C"&amp;SG_Criteria!$B$19&amp;". ","")&amp;IF(AND(W245&lt;&gt;"",W245&lt;SG_Criteria!$B$20),"FAIL: cover &lt; "&amp;SG_Criteria!$B$20&amp;" mm. ","")&amp;IF(AND(AD245&lt;&gt;"",AD245&lt;1),"FAIL: sliding. ","")&amp;IF(AND(D245="Reverse L-Wall (toe only, at boundary)",N(S245)&gt;0),"NOTE: reverse L-wall should have no heel. ","")&amp;IF(AND(D245="L-Wall (heel only)",N(R245)&gt;0),"NOTE: L-wall should have no toe. ","")&amp;IF(AND(F245&lt;&gt;"",F245&lt;SG_Criteria!$B$31),"NOTE: q below LTA min "&amp;SG_Criteria!$B$31&amp;" kPa (not for LTA works). ",""))=0,"OK",IF(AND(V245&lt;&gt;"",IFERROR(VALUE(MID(V245,2,2)),0)&lt;SG_Criteria!$B$19),"FAIL: grade below C"&amp;SG_Criteria!$B$19&amp;". ","")&amp;IF(AND(W245&lt;&gt;"",W245&lt;SG_Criteria!$B$20),"FAIL: cover &lt; "&amp;SG_Criteria!$B$20&amp;" mm. ","")&amp;IF(AND(AD245&lt;&gt;"",AD245&lt;1),"FAIL: sliding. ","")&amp;IF(AND(D245="Reverse L-Wall (toe only, at boundary)",N(S245)&gt;0),"NOTE: reverse L-wall should have no heel. ","")&amp;IF(AND(D245="L-Wall (heel only)",N(R245)&gt;0),"NOTE: L-wall should have no toe. ","")&amp;IF(AND(F245&lt;&gt;"",F245&lt;SG_Criteria!$B$31),"NOTE: q below LTA min "&amp;SG_Criteria!$B$31&amp;" kPa (not for LTA works). ","")))</f>
        <v/>
      </c>
      <c r="BK245" s="9"/>
      <c r="BL245" s="9"/>
      <c r="BM245" s="9"/>
      <c r="BN245" s="10" t="str">
        <f aca="false">IF(BM245="","",IFERROR(VLOOKUP(BM245,Projects!$A$5:$D$504,2,0),"Ref not in Projects"))</f>
        <v/>
      </c>
      <c r="BO245" s="10" t="str">
        <f aca="false">IF(BM245="","",IFERROR(VLOOKUP(BM245,Projects!$A$5:$D$504,4,0),"Ref not in Projects"))</f>
        <v/>
      </c>
      <c r="BP245" s="9"/>
      <c r="BQ245" s="9"/>
      <c r="BR245" s="9"/>
      <c r="BS245" s="40"/>
      <c r="BT245" s="9"/>
      <c r="BU245" s="40"/>
      <c r="BV245" s="9"/>
      <c r="BW245" s="40"/>
      <c r="BX245" s="9"/>
      <c r="BY245" s="9"/>
      <c r="BZ245" s="9"/>
      <c r="CA245" s="40"/>
      <c r="CB245" s="40"/>
      <c r="CC245" s="36" t="str">
        <f aca="false">IF(CB245="","",EDATE(CB245,SG_Criteria!$B$54*12))</f>
        <v/>
      </c>
      <c r="CD245" s="33" t="str">
        <f aca="true">IF(A245="","",IF(CB245="","NOTE: not reviewed yet",IF(TODAY()&gt;CC245,"NOTE: review overdue","OK")))</f>
        <v/>
      </c>
      <c r="CE245" s="37" t="str">
        <f aca="false">IF(A245="","",ROUND((IF(LEN(D245)&gt;0,1,0)+IF(LEN(E245)&gt;0,1,0)+IF(LEN(F245)&gt;0,1,0)+IF(LEN(G245)&gt;0,1,0)+IF(LEN(I245)&gt;0,1,0)+IF(LEN(K245)&gt;0,1,0)+IF(LEN(P245)&gt;0,1,0)+IF(LEN(Q245)&gt;0,1,0)+IF(LEN(T245)&gt;0,1,0)+IF(LEN(V245)&gt;0,1,0)+IF(LEN(W245)&gt;0,1,0)+IF(LEN(X245)&gt;0,1,0)+IF(LEN(Z245)&gt;0,1,0)+IF(LEN(AD245)&gt;0,1,0)+IF(LEN(AE245)&gt;0,1,0)+IF(LEN(AG245)&gt;0,1,0)+IF(LEN(AI245)&gt;0,1,0)+IF(LEN(BB245)&gt;0,1,0)+IF(LEN(BC245)&gt;0,1,0)+IF(LEN(AM245)&gt;0,1,0)+IF(LEN(AO245)&gt;0,1,0)+IF(LEN(AP245)&gt;0,1,0)+IF(LEN(AQ245)&gt;0,1,0)+IF(LEN(AR245)&gt;0,1,0)+IF(LEN(BA245)&gt;0,1,0)+IF(LEN(BM245)&gt;0,1,0)+IF(LEN(BZ245)&gt;0,1,0))/27,2))</f>
        <v/>
      </c>
      <c r="CF245" s="10" t="str">
        <f aca="false">IF(D245="","",IF(AND(AP245="Approved",ISERROR(SEARCH("FAIL",BJ245))),"Y","N"))</f>
        <v/>
      </c>
      <c r="CG245" s="10" t="str">
        <f aca="false">IF(D245="","",D245&amp;"|"&amp;E245&amp;"|"&amp;F245&amp;"|"&amp;G245&amp;"|"&amp;CF245)</f>
        <v/>
      </c>
    </row>
    <row r="246" customFormat="false" ht="15" hidden="false" customHeight="false" outlineLevel="0" collapsed="false">
      <c r="A246" s="10" t="str">
        <f aca="false">IF(D246="","","RW-"&amp;IFERROR(VLOOKUP(D246,Lists!$M$4:$N$22,2,0),"??")&amp;"-H"&amp;TEXT(E246*1000,"0000")&amp;"-S"&amp;F246&amp;IF(G246="Y","-GW","")&amp;"-"&amp;AO246)</f>
        <v/>
      </c>
      <c r="B246" s="10" t="str">
        <f aca="false">IF(D246="","",D246&amp;", H = "&amp;TEXT(E246,"0.0")&amp;" m, q = "&amp;F246&amp;" kPa"&amp;IF(G246="Y",", with GWT","")&amp;", "&amp;I246)</f>
        <v/>
      </c>
      <c r="C246" s="9"/>
      <c r="D246" s="9"/>
      <c r="E246" s="39"/>
      <c r="F246" s="38"/>
      <c r="G246" s="9"/>
      <c r="H246" s="38"/>
      <c r="I246" s="9"/>
      <c r="J246" s="38"/>
      <c r="K246" s="38"/>
      <c r="L246" s="38"/>
      <c r="M246" s="42"/>
      <c r="N246" s="9"/>
      <c r="O246" s="38"/>
      <c r="P246" s="38"/>
      <c r="Q246" s="38"/>
      <c r="R246" s="38"/>
      <c r="S246" s="38"/>
      <c r="T246" s="38"/>
      <c r="U246" s="9"/>
      <c r="V246" s="9"/>
      <c r="W246" s="38"/>
      <c r="X246" s="9"/>
      <c r="Y246" s="9"/>
      <c r="Z246" s="9"/>
      <c r="AA246" s="9"/>
      <c r="AB246" s="9"/>
      <c r="AC246" s="9"/>
      <c r="AD246" s="39"/>
      <c r="AE246" s="39"/>
      <c r="AF246" s="39"/>
      <c r="AG246" s="38"/>
      <c r="AH246" s="38"/>
      <c r="AI246" s="9"/>
      <c r="AJ246" s="38"/>
      <c r="AK246" s="9"/>
      <c r="AL246" s="39"/>
      <c r="AM246" s="9"/>
      <c r="AN246" s="9"/>
      <c r="AO246" s="9"/>
      <c r="AP246" s="9"/>
      <c r="AQ246" s="9"/>
      <c r="AR246" s="9"/>
      <c r="AS246" s="9"/>
      <c r="AT246" s="10" t="str">
        <f aca="false">IF(A246="","",SG_Criteria!$B$6&amp;SG_Criteria!$B$8&amp;"\"&amp;A246&amp;"\")</f>
        <v/>
      </c>
      <c r="AU246" s="10" t="str">
        <f aca="false">IF(A246="","",A246&amp;"_CAD.dwg")</f>
        <v/>
      </c>
      <c r="AV246" s="10" t="str">
        <f aca="false">IF(A246="","",A246&amp;"_DWG.pdf")</f>
        <v/>
      </c>
      <c r="AW246" s="10" t="str">
        <f aca="false">IF(A246="","",IF(AS246="Y",A246&amp;"_STAAD.std","n/a"))</f>
        <v/>
      </c>
      <c r="AX246" s="10" t="str">
        <f aca="false">IF(A246="","",A246&amp;"_CALC.xlsx")</f>
        <v/>
      </c>
      <c r="AY246" s="10" t="str">
        <f aca="false">IF(A246="","",A246&amp;"_CALC.pdf")</f>
        <v/>
      </c>
      <c r="AZ246" s="9"/>
      <c r="BA246" s="9"/>
      <c r="BB246" s="39"/>
      <c r="BC246" s="39"/>
      <c r="BD246" s="39"/>
      <c r="BE246" s="39"/>
      <c r="BF246" s="39"/>
      <c r="BG246" s="12" t="str">
        <f aca="false">IF(A246="","",IF(COUNTIF(Rebar_Schedule!$A$5:$A$2004,A246)=0,"",ROUND(SUMIF(Rebar_Schedule!$A$5:$A$2004,A246,Rebar_Schedule!$K$5:$K$2004),1)))</f>
        <v/>
      </c>
      <c r="BH246" s="33" t="str">
        <f aca="false">IF(A246="","",IF(BG246="","No rebar schedule yet",IF(ABS(BG246-N(BC246))/MAX(N(BC246),1)&gt;SG_Criteria!$B$55,"NOTE: register rebar differs from schedule by "&amp;TEXT(ABS(BG246-N(BC246))/MAX(N(BC246),1),"0%"),"OK")))</f>
        <v/>
      </c>
      <c r="BI246" s="33" t="str">
        <f aca="false">IF(OR(D246="",E246=""),"",IF(E246&lt;=IF(OR(D246="Block / Segmental",D246="Gabion",D246="Reinforced Earth (MSE)"),SG_Criteria!$B$34,SG_Criteria!$B$33),"No ERSS submission",IF(E246&lt;=SG_Criteria!$B$35,"QP(ST)",IF(E246&lt;=SG_Criteria!$B$36,"QP(ST) + AC","Geotechnical building works: QP(Geo) + AC"))))</f>
        <v/>
      </c>
      <c r="BJ246" s="33" t="str">
        <f aca="false">IF(D246="","",IF(LEN(IF(AND(V246&lt;&gt;"",IFERROR(VALUE(MID(V246,2,2)),0)&lt;SG_Criteria!$B$19),"FAIL: grade below C"&amp;SG_Criteria!$B$19&amp;". ","")&amp;IF(AND(W246&lt;&gt;"",W246&lt;SG_Criteria!$B$20),"FAIL: cover &lt; "&amp;SG_Criteria!$B$20&amp;" mm. ","")&amp;IF(AND(AD246&lt;&gt;"",AD246&lt;1),"FAIL: sliding. ","")&amp;IF(AND(D246="Reverse L-Wall (toe only, at boundary)",N(S246)&gt;0),"NOTE: reverse L-wall should have no heel. ","")&amp;IF(AND(D246="L-Wall (heel only)",N(R246)&gt;0),"NOTE: L-wall should have no toe. ","")&amp;IF(AND(F246&lt;&gt;"",F246&lt;SG_Criteria!$B$31),"NOTE: q below LTA min "&amp;SG_Criteria!$B$31&amp;" kPa (not for LTA works). ",""))=0,"OK",IF(AND(V246&lt;&gt;"",IFERROR(VALUE(MID(V246,2,2)),0)&lt;SG_Criteria!$B$19),"FAIL: grade below C"&amp;SG_Criteria!$B$19&amp;". ","")&amp;IF(AND(W246&lt;&gt;"",W246&lt;SG_Criteria!$B$20),"FAIL: cover &lt; "&amp;SG_Criteria!$B$20&amp;" mm. ","")&amp;IF(AND(AD246&lt;&gt;"",AD246&lt;1),"FAIL: sliding. ","")&amp;IF(AND(D246="Reverse L-Wall (toe only, at boundary)",N(S246)&gt;0),"NOTE: reverse L-wall should have no heel. ","")&amp;IF(AND(D246="L-Wall (heel only)",N(R246)&gt;0),"NOTE: L-wall should have no toe. ","")&amp;IF(AND(F246&lt;&gt;"",F246&lt;SG_Criteria!$B$31),"NOTE: q below LTA min "&amp;SG_Criteria!$B$31&amp;" kPa (not for LTA works). ","")))</f>
        <v/>
      </c>
      <c r="BK246" s="9"/>
      <c r="BL246" s="9"/>
      <c r="BM246" s="9"/>
      <c r="BN246" s="10" t="str">
        <f aca="false">IF(BM246="","",IFERROR(VLOOKUP(BM246,Projects!$A$5:$D$504,2,0),"Ref not in Projects"))</f>
        <v/>
      </c>
      <c r="BO246" s="10" t="str">
        <f aca="false">IF(BM246="","",IFERROR(VLOOKUP(BM246,Projects!$A$5:$D$504,4,0),"Ref not in Projects"))</f>
        <v/>
      </c>
      <c r="BP246" s="9"/>
      <c r="BQ246" s="9"/>
      <c r="BR246" s="9"/>
      <c r="BS246" s="40"/>
      <c r="BT246" s="9"/>
      <c r="BU246" s="40"/>
      <c r="BV246" s="9"/>
      <c r="BW246" s="40"/>
      <c r="BX246" s="9"/>
      <c r="BY246" s="9"/>
      <c r="BZ246" s="9"/>
      <c r="CA246" s="40"/>
      <c r="CB246" s="40"/>
      <c r="CC246" s="36" t="str">
        <f aca="false">IF(CB246="","",EDATE(CB246,SG_Criteria!$B$54*12))</f>
        <v/>
      </c>
      <c r="CD246" s="33" t="str">
        <f aca="true">IF(A246="","",IF(CB246="","NOTE: not reviewed yet",IF(TODAY()&gt;CC246,"NOTE: review overdue","OK")))</f>
        <v/>
      </c>
      <c r="CE246" s="37" t="str">
        <f aca="false">IF(A246="","",ROUND((IF(LEN(D246)&gt;0,1,0)+IF(LEN(E246)&gt;0,1,0)+IF(LEN(F246)&gt;0,1,0)+IF(LEN(G246)&gt;0,1,0)+IF(LEN(I246)&gt;0,1,0)+IF(LEN(K246)&gt;0,1,0)+IF(LEN(P246)&gt;0,1,0)+IF(LEN(Q246)&gt;0,1,0)+IF(LEN(T246)&gt;0,1,0)+IF(LEN(V246)&gt;0,1,0)+IF(LEN(W246)&gt;0,1,0)+IF(LEN(X246)&gt;0,1,0)+IF(LEN(Z246)&gt;0,1,0)+IF(LEN(AD246)&gt;0,1,0)+IF(LEN(AE246)&gt;0,1,0)+IF(LEN(AG246)&gt;0,1,0)+IF(LEN(AI246)&gt;0,1,0)+IF(LEN(BB246)&gt;0,1,0)+IF(LEN(BC246)&gt;0,1,0)+IF(LEN(AM246)&gt;0,1,0)+IF(LEN(AO246)&gt;0,1,0)+IF(LEN(AP246)&gt;0,1,0)+IF(LEN(AQ246)&gt;0,1,0)+IF(LEN(AR246)&gt;0,1,0)+IF(LEN(BA246)&gt;0,1,0)+IF(LEN(BM246)&gt;0,1,0)+IF(LEN(BZ246)&gt;0,1,0))/27,2))</f>
        <v/>
      </c>
      <c r="CF246" s="10" t="str">
        <f aca="false">IF(D246="","",IF(AND(AP246="Approved",ISERROR(SEARCH("FAIL",BJ246))),"Y","N"))</f>
        <v/>
      </c>
      <c r="CG246" s="10" t="str">
        <f aca="false">IF(D246="","",D246&amp;"|"&amp;E246&amp;"|"&amp;F246&amp;"|"&amp;G246&amp;"|"&amp;CF246)</f>
        <v/>
      </c>
    </row>
    <row r="247" customFormat="false" ht="15" hidden="false" customHeight="false" outlineLevel="0" collapsed="false">
      <c r="A247" s="10" t="str">
        <f aca="false">IF(D247="","","RW-"&amp;IFERROR(VLOOKUP(D247,Lists!$M$4:$N$22,2,0),"??")&amp;"-H"&amp;TEXT(E247*1000,"0000")&amp;"-S"&amp;F247&amp;IF(G247="Y","-GW","")&amp;"-"&amp;AO247)</f>
        <v/>
      </c>
      <c r="B247" s="10" t="str">
        <f aca="false">IF(D247="","",D247&amp;", H = "&amp;TEXT(E247,"0.0")&amp;" m, q = "&amp;F247&amp;" kPa"&amp;IF(G247="Y",", with GWT","")&amp;", "&amp;I247)</f>
        <v/>
      </c>
      <c r="C247" s="9"/>
      <c r="D247" s="9"/>
      <c r="E247" s="39"/>
      <c r="F247" s="38"/>
      <c r="G247" s="9"/>
      <c r="H247" s="38"/>
      <c r="I247" s="9"/>
      <c r="J247" s="38"/>
      <c r="K247" s="38"/>
      <c r="L247" s="38"/>
      <c r="M247" s="42"/>
      <c r="N247" s="9"/>
      <c r="O247" s="38"/>
      <c r="P247" s="38"/>
      <c r="Q247" s="38"/>
      <c r="R247" s="38"/>
      <c r="S247" s="38"/>
      <c r="T247" s="38"/>
      <c r="U247" s="9"/>
      <c r="V247" s="9"/>
      <c r="W247" s="38"/>
      <c r="X247" s="9"/>
      <c r="Y247" s="9"/>
      <c r="Z247" s="9"/>
      <c r="AA247" s="9"/>
      <c r="AB247" s="9"/>
      <c r="AC247" s="9"/>
      <c r="AD247" s="39"/>
      <c r="AE247" s="39"/>
      <c r="AF247" s="39"/>
      <c r="AG247" s="38"/>
      <c r="AH247" s="38"/>
      <c r="AI247" s="9"/>
      <c r="AJ247" s="38"/>
      <c r="AK247" s="9"/>
      <c r="AL247" s="39"/>
      <c r="AM247" s="9"/>
      <c r="AN247" s="9"/>
      <c r="AO247" s="9"/>
      <c r="AP247" s="9"/>
      <c r="AQ247" s="9"/>
      <c r="AR247" s="9"/>
      <c r="AS247" s="9"/>
      <c r="AT247" s="10" t="str">
        <f aca="false">IF(A247="","",SG_Criteria!$B$6&amp;SG_Criteria!$B$8&amp;"\"&amp;A247&amp;"\")</f>
        <v/>
      </c>
      <c r="AU247" s="10" t="str">
        <f aca="false">IF(A247="","",A247&amp;"_CAD.dwg")</f>
        <v/>
      </c>
      <c r="AV247" s="10" t="str">
        <f aca="false">IF(A247="","",A247&amp;"_DWG.pdf")</f>
        <v/>
      </c>
      <c r="AW247" s="10" t="str">
        <f aca="false">IF(A247="","",IF(AS247="Y",A247&amp;"_STAAD.std","n/a"))</f>
        <v/>
      </c>
      <c r="AX247" s="10" t="str">
        <f aca="false">IF(A247="","",A247&amp;"_CALC.xlsx")</f>
        <v/>
      </c>
      <c r="AY247" s="10" t="str">
        <f aca="false">IF(A247="","",A247&amp;"_CALC.pdf")</f>
        <v/>
      </c>
      <c r="AZ247" s="9"/>
      <c r="BA247" s="9"/>
      <c r="BB247" s="39"/>
      <c r="BC247" s="39"/>
      <c r="BD247" s="39"/>
      <c r="BE247" s="39"/>
      <c r="BF247" s="39"/>
      <c r="BG247" s="12" t="str">
        <f aca="false">IF(A247="","",IF(COUNTIF(Rebar_Schedule!$A$5:$A$2004,A247)=0,"",ROUND(SUMIF(Rebar_Schedule!$A$5:$A$2004,A247,Rebar_Schedule!$K$5:$K$2004),1)))</f>
        <v/>
      </c>
      <c r="BH247" s="33" t="str">
        <f aca="false">IF(A247="","",IF(BG247="","No rebar schedule yet",IF(ABS(BG247-N(BC247))/MAX(N(BC247),1)&gt;SG_Criteria!$B$55,"NOTE: register rebar differs from schedule by "&amp;TEXT(ABS(BG247-N(BC247))/MAX(N(BC247),1),"0%"),"OK")))</f>
        <v/>
      </c>
      <c r="BI247" s="33" t="str">
        <f aca="false">IF(OR(D247="",E247=""),"",IF(E247&lt;=IF(OR(D247="Block / Segmental",D247="Gabion",D247="Reinforced Earth (MSE)"),SG_Criteria!$B$34,SG_Criteria!$B$33),"No ERSS submission",IF(E247&lt;=SG_Criteria!$B$35,"QP(ST)",IF(E247&lt;=SG_Criteria!$B$36,"QP(ST) + AC","Geotechnical building works: QP(Geo) + AC"))))</f>
        <v/>
      </c>
      <c r="BJ247" s="33" t="str">
        <f aca="false">IF(D247="","",IF(LEN(IF(AND(V247&lt;&gt;"",IFERROR(VALUE(MID(V247,2,2)),0)&lt;SG_Criteria!$B$19),"FAIL: grade below C"&amp;SG_Criteria!$B$19&amp;". ","")&amp;IF(AND(W247&lt;&gt;"",W247&lt;SG_Criteria!$B$20),"FAIL: cover &lt; "&amp;SG_Criteria!$B$20&amp;" mm. ","")&amp;IF(AND(AD247&lt;&gt;"",AD247&lt;1),"FAIL: sliding. ","")&amp;IF(AND(D247="Reverse L-Wall (toe only, at boundary)",N(S247)&gt;0),"NOTE: reverse L-wall should have no heel. ","")&amp;IF(AND(D247="L-Wall (heel only)",N(R247)&gt;0),"NOTE: L-wall should have no toe. ","")&amp;IF(AND(F247&lt;&gt;"",F247&lt;SG_Criteria!$B$31),"NOTE: q below LTA min "&amp;SG_Criteria!$B$31&amp;" kPa (not for LTA works). ",""))=0,"OK",IF(AND(V247&lt;&gt;"",IFERROR(VALUE(MID(V247,2,2)),0)&lt;SG_Criteria!$B$19),"FAIL: grade below C"&amp;SG_Criteria!$B$19&amp;". ","")&amp;IF(AND(W247&lt;&gt;"",W247&lt;SG_Criteria!$B$20),"FAIL: cover &lt; "&amp;SG_Criteria!$B$20&amp;" mm. ","")&amp;IF(AND(AD247&lt;&gt;"",AD247&lt;1),"FAIL: sliding. ","")&amp;IF(AND(D247="Reverse L-Wall (toe only, at boundary)",N(S247)&gt;0),"NOTE: reverse L-wall should have no heel. ","")&amp;IF(AND(D247="L-Wall (heel only)",N(R247)&gt;0),"NOTE: L-wall should have no toe. ","")&amp;IF(AND(F247&lt;&gt;"",F247&lt;SG_Criteria!$B$31),"NOTE: q below LTA min "&amp;SG_Criteria!$B$31&amp;" kPa (not for LTA works). ","")))</f>
        <v/>
      </c>
      <c r="BK247" s="9"/>
      <c r="BL247" s="9"/>
      <c r="BM247" s="9"/>
      <c r="BN247" s="10" t="str">
        <f aca="false">IF(BM247="","",IFERROR(VLOOKUP(BM247,Projects!$A$5:$D$504,2,0),"Ref not in Projects"))</f>
        <v/>
      </c>
      <c r="BO247" s="10" t="str">
        <f aca="false">IF(BM247="","",IFERROR(VLOOKUP(BM247,Projects!$A$5:$D$504,4,0),"Ref not in Projects"))</f>
        <v/>
      </c>
      <c r="BP247" s="9"/>
      <c r="BQ247" s="9"/>
      <c r="BR247" s="9"/>
      <c r="BS247" s="40"/>
      <c r="BT247" s="9"/>
      <c r="BU247" s="40"/>
      <c r="BV247" s="9"/>
      <c r="BW247" s="40"/>
      <c r="BX247" s="9"/>
      <c r="BY247" s="9"/>
      <c r="BZ247" s="9"/>
      <c r="CA247" s="40"/>
      <c r="CB247" s="40"/>
      <c r="CC247" s="36" t="str">
        <f aca="false">IF(CB247="","",EDATE(CB247,SG_Criteria!$B$54*12))</f>
        <v/>
      </c>
      <c r="CD247" s="33" t="str">
        <f aca="true">IF(A247="","",IF(CB247="","NOTE: not reviewed yet",IF(TODAY()&gt;CC247,"NOTE: review overdue","OK")))</f>
        <v/>
      </c>
      <c r="CE247" s="37" t="str">
        <f aca="false">IF(A247="","",ROUND((IF(LEN(D247)&gt;0,1,0)+IF(LEN(E247)&gt;0,1,0)+IF(LEN(F247)&gt;0,1,0)+IF(LEN(G247)&gt;0,1,0)+IF(LEN(I247)&gt;0,1,0)+IF(LEN(K247)&gt;0,1,0)+IF(LEN(P247)&gt;0,1,0)+IF(LEN(Q247)&gt;0,1,0)+IF(LEN(T247)&gt;0,1,0)+IF(LEN(V247)&gt;0,1,0)+IF(LEN(W247)&gt;0,1,0)+IF(LEN(X247)&gt;0,1,0)+IF(LEN(Z247)&gt;0,1,0)+IF(LEN(AD247)&gt;0,1,0)+IF(LEN(AE247)&gt;0,1,0)+IF(LEN(AG247)&gt;0,1,0)+IF(LEN(AI247)&gt;0,1,0)+IF(LEN(BB247)&gt;0,1,0)+IF(LEN(BC247)&gt;0,1,0)+IF(LEN(AM247)&gt;0,1,0)+IF(LEN(AO247)&gt;0,1,0)+IF(LEN(AP247)&gt;0,1,0)+IF(LEN(AQ247)&gt;0,1,0)+IF(LEN(AR247)&gt;0,1,0)+IF(LEN(BA247)&gt;0,1,0)+IF(LEN(BM247)&gt;0,1,0)+IF(LEN(BZ247)&gt;0,1,0))/27,2))</f>
        <v/>
      </c>
      <c r="CF247" s="10" t="str">
        <f aca="false">IF(D247="","",IF(AND(AP247="Approved",ISERROR(SEARCH("FAIL",BJ247))),"Y","N"))</f>
        <v/>
      </c>
      <c r="CG247" s="10" t="str">
        <f aca="false">IF(D247="","",D247&amp;"|"&amp;E247&amp;"|"&amp;F247&amp;"|"&amp;G247&amp;"|"&amp;CF247)</f>
        <v/>
      </c>
    </row>
    <row r="248" customFormat="false" ht="15" hidden="false" customHeight="false" outlineLevel="0" collapsed="false">
      <c r="A248" s="10" t="str">
        <f aca="false">IF(D248="","","RW-"&amp;IFERROR(VLOOKUP(D248,Lists!$M$4:$N$22,2,0),"??")&amp;"-H"&amp;TEXT(E248*1000,"0000")&amp;"-S"&amp;F248&amp;IF(G248="Y","-GW","")&amp;"-"&amp;AO248)</f>
        <v/>
      </c>
      <c r="B248" s="10" t="str">
        <f aca="false">IF(D248="","",D248&amp;", H = "&amp;TEXT(E248,"0.0")&amp;" m, q = "&amp;F248&amp;" kPa"&amp;IF(G248="Y",", with GWT","")&amp;", "&amp;I248)</f>
        <v/>
      </c>
      <c r="C248" s="9"/>
      <c r="D248" s="9"/>
      <c r="E248" s="39"/>
      <c r="F248" s="38"/>
      <c r="G248" s="9"/>
      <c r="H248" s="38"/>
      <c r="I248" s="9"/>
      <c r="J248" s="38"/>
      <c r="K248" s="38"/>
      <c r="L248" s="38"/>
      <c r="M248" s="42"/>
      <c r="N248" s="9"/>
      <c r="O248" s="38"/>
      <c r="P248" s="38"/>
      <c r="Q248" s="38"/>
      <c r="R248" s="38"/>
      <c r="S248" s="38"/>
      <c r="T248" s="38"/>
      <c r="U248" s="9"/>
      <c r="V248" s="9"/>
      <c r="W248" s="38"/>
      <c r="X248" s="9"/>
      <c r="Y248" s="9"/>
      <c r="Z248" s="9"/>
      <c r="AA248" s="9"/>
      <c r="AB248" s="9"/>
      <c r="AC248" s="9"/>
      <c r="AD248" s="39"/>
      <c r="AE248" s="39"/>
      <c r="AF248" s="39"/>
      <c r="AG248" s="38"/>
      <c r="AH248" s="38"/>
      <c r="AI248" s="9"/>
      <c r="AJ248" s="38"/>
      <c r="AK248" s="9"/>
      <c r="AL248" s="39"/>
      <c r="AM248" s="9"/>
      <c r="AN248" s="9"/>
      <c r="AO248" s="9"/>
      <c r="AP248" s="9"/>
      <c r="AQ248" s="9"/>
      <c r="AR248" s="9"/>
      <c r="AS248" s="9"/>
      <c r="AT248" s="10" t="str">
        <f aca="false">IF(A248="","",SG_Criteria!$B$6&amp;SG_Criteria!$B$8&amp;"\"&amp;A248&amp;"\")</f>
        <v/>
      </c>
      <c r="AU248" s="10" t="str">
        <f aca="false">IF(A248="","",A248&amp;"_CAD.dwg")</f>
        <v/>
      </c>
      <c r="AV248" s="10" t="str">
        <f aca="false">IF(A248="","",A248&amp;"_DWG.pdf")</f>
        <v/>
      </c>
      <c r="AW248" s="10" t="str">
        <f aca="false">IF(A248="","",IF(AS248="Y",A248&amp;"_STAAD.std","n/a"))</f>
        <v/>
      </c>
      <c r="AX248" s="10" t="str">
        <f aca="false">IF(A248="","",A248&amp;"_CALC.xlsx")</f>
        <v/>
      </c>
      <c r="AY248" s="10" t="str">
        <f aca="false">IF(A248="","",A248&amp;"_CALC.pdf")</f>
        <v/>
      </c>
      <c r="AZ248" s="9"/>
      <c r="BA248" s="9"/>
      <c r="BB248" s="39"/>
      <c r="BC248" s="39"/>
      <c r="BD248" s="39"/>
      <c r="BE248" s="39"/>
      <c r="BF248" s="39"/>
      <c r="BG248" s="12" t="str">
        <f aca="false">IF(A248="","",IF(COUNTIF(Rebar_Schedule!$A$5:$A$2004,A248)=0,"",ROUND(SUMIF(Rebar_Schedule!$A$5:$A$2004,A248,Rebar_Schedule!$K$5:$K$2004),1)))</f>
        <v/>
      </c>
      <c r="BH248" s="33" t="str">
        <f aca="false">IF(A248="","",IF(BG248="","No rebar schedule yet",IF(ABS(BG248-N(BC248))/MAX(N(BC248),1)&gt;SG_Criteria!$B$55,"NOTE: register rebar differs from schedule by "&amp;TEXT(ABS(BG248-N(BC248))/MAX(N(BC248),1),"0%"),"OK")))</f>
        <v/>
      </c>
      <c r="BI248" s="33" t="str">
        <f aca="false">IF(OR(D248="",E248=""),"",IF(E248&lt;=IF(OR(D248="Block / Segmental",D248="Gabion",D248="Reinforced Earth (MSE)"),SG_Criteria!$B$34,SG_Criteria!$B$33),"No ERSS submission",IF(E248&lt;=SG_Criteria!$B$35,"QP(ST)",IF(E248&lt;=SG_Criteria!$B$36,"QP(ST) + AC","Geotechnical building works: QP(Geo) + AC"))))</f>
        <v/>
      </c>
      <c r="BJ248" s="33" t="str">
        <f aca="false">IF(D248="","",IF(LEN(IF(AND(V248&lt;&gt;"",IFERROR(VALUE(MID(V248,2,2)),0)&lt;SG_Criteria!$B$19),"FAIL: grade below C"&amp;SG_Criteria!$B$19&amp;". ","")&amp;IF(AND(W248&lt;&gt;"",W248&lt;SG_Criteria!$B$20),"FAIL: cover &lt; "&amp;SG_Criteria!$B$20&amp;" mm. ","")&amp;IF(AND(AD248&lt;&gt;"",AD248&lt;1),"FAIL: sliding. ","")&amp;IF(AND(D248="Reverse L-Wall (toe only, at boundary)",N(S248)&gt;0),"NOTE: reverse L-wall should have no heel. ","")&amp;IF(AND(D248="L-Wall (heel only)",N(R248)&gt;0),"NOTE: L-wall should have no toe. ","")&amp;IF(AND(F248&lt;&gt;"",F248&lt;SG_Criteria!$B$31),"NOTE: q below LTA min "&amp;SG_Criteria!$B$31&amp;" kPa (not for LTA works). ",""))=0,"OK",IF(AND(V248&lt;&gt;"",IFERROR(VALUE(MID(V248,2,2)),0)&lt;SG_Criteria!$B$19),"FAIL: grade below C"&amp;SG_Criteria!$B$19&amp;". ","")&amp;IF(AND(W248&lt;&gt;"",W248&lt;SG_Criteria!$B$20),"FAIL: cover &lt; "&amp;SG_Criteria!$B$20&amp;" mm. ","")&amp;IF(AND(AD248&lt;&gt;"",AD248&lt;1),"FAIL: sliding. ","")&amp;IF(AND(D248="Reverse L-Wall (toe only, at boundary)",N(S248)&gt;0),"NOTE: reverse L-wall should have no heel. ","")&amp;IF(AND(D248="L-Wall (heel only)",N(R248)&gt;0),"NOTE: L-wall should have no toe. ","")&amp;IF(AND(F248&lt;&gt;"",F248&lt;SG_Criteria!$B$31),"NOTE: q below LTA min "&amp;SG_Criteria!$B$31&amp;" kPa (not for LTA works). ","")))</f>
        <v/>
      </c>
      <c r="BK248" s="9"/>
      <c r="BL248" s="9"/>
      <c r="BM248" s="9"/>
      <c r="BN248" s="10" t="str">
        <f aca="false">IF(BM248="","",IFERROR(VLOOKUP(BM248,Projects!$A$5:$D$504,2,0),"Ref not in Projects"))</f>
        <v/>
      </c>
      <c r="BO248" s="10" t="str">
        <f aca="false">IF(BM248="","",IFERROR(VLOOKUP(BM248,Projects!$A$5:$D$504,4,0),"Ref not in Projects"))</f>
        <v/>
      </c>
      <c r="BP248" s="9"/>
      <c r="BQ248" s="9"/>
      <c r="BR248" s="9"/>
      <c r="BS248" s="40"/>
      <c r="BT248" s="9"/>
      <c r="BU248" s="40"/>
      <c r="BV248" s="9"/>
      <c r="BW248" s="40"/>
      <c r="BX248" s="9"/>
      <c r="BY248" s="9"/>
      <c r="BZ248" s="9"/>
      <c r="CA248" s="40"/>
      <c r="CB248" s="40"/>
      <c r="CC248" s="36" t="str">
        <f aca="false">IF(CB248="","",EDATE(CB248,SG_Criteria!$B$54*12))</f>
        <v/>
      </c>
      <c r="CD248" s="33" t="str">
        <f aca="true">IF(A248="","",IF(CB248="","NOTE: not reviewed yet",IF(TODAY()&gt;CC248,"NOTE: review overdue","OK")))</f>
        <v/>
      </c>
      <c r="CE248" s="37" t="str">
        <f aca="false">IF(A248="","",ROUND((IF(LEN(D248)&gt;0,1,0)+IF(LEN(E248)&gt;0,1,0)+IF(LEN(F248)&gt;0,1,0)+IF(LEN(G248)&gt;0,1,0)+IF(LEN(I248)&gt;0,1,0)+IF(LEN(K248)&gt;0,1,0)+IF(LEN(P248)&gt;0,1,0)+IF(LEN(Q248)&gt;0,1,0)+IF(LEN(T248)&gt;0,1,0)+IF(LEN(V248)&gt;0,1,0)+IF(LEN(W248)&gt;0,1,0)+IF(LEN(X248)&gt;0,1,0)+IF(LEN(Z248)&gt;0,1,0)+IF(LEN(AD248)&gt;0,1,0)+IF(LEN(AE248)&gt;0,1,0)+IF(LEN(AG248)&gt;0,1,0)+IF(LEN(AI248)&gt;0,1,0)+IF(LEN(BB248)&gt;0,1,0)+IF(LEN(BC248)&gt;0,1,0)+IF(LEN(AM248)&gt;0,1,0)+IF(LEN(AO248)&gt;0,1,0)+IF(LEN(AP248)&gt;0,1,0)+IF(LEN(AQ248)&gt;0,1,0)+IF(LEN(AR248)&gt;0,1,0)+IF(LEN(BA248)&gt;0,1,0)+IF(LEN(BM248)&gt;0,1,0)+IF(LEN(BZ248)&gt;0,1,0))/27,2))</f>
        <v/>
      </c>
      <c r="CF248" s="10" t="str">
        <f aca="false">IF(D248="","",IF(AND(AP248="Approved",ISERROR(SEARCH("FAIL",BJ248))),"Y","N"))</f>
        <v/>
      </c>
      <c r="CG248" s="10" t="str">
        <f aca="false">IF(D248="","",D248&amp;"|"&amp;E248&amp;"|"&amp;F248&amp;"|"&amp;G248&amp;"|"&amp;CF248)</f>
        <v/>
      </c>
    </row>
    <row r="249" customFormat="false" ht="15" hidden="false" customHeight="false" outlineLevel="0" collapsed="false">
      <c r="A249" s="10" t="str">
        <f aca="false">IF(D249="","","RW-"&amp;IFERROR(VLOOKUP(D249,Lists!$M$4:$N$22,2,0),"??")&amp;"-H"&amp;TEXT(E249*1000,"0000")&amp;"-S"&amp;F249&amp;IF(G249="Y","-GW","")&amp;"-"&amp;AO249)</f>
        <v/>
      </c>
      <c r="B249" s="10" t="str">
        <f aca="false">IF(D249="","",D249&amp;", H = "&amp;TEXT(E249,"0.0")&amp;" m, q = "&amp;F249&amp;" kPa"&amp;IF(G249="Y",", with GWT","")&amp;", "&amp;I249)</f>
        <v/>
      </c>
      <c r="C249" s="9"/>
      <c r="D249" s="9"/>
      <c r="E249" s="39"/>
      <c r="F249" s="38"/>
      <c r="G249" s="9"/>
      <c r="H249" s="38"/>
      <c r="I249" s="9"/>
      <c r="J249" s="38"/>
      <c r="K249" s="38"/>
      <c r="L249" s="38"/>
      <c r="M249" s="42"/>
      <c r="N249" s="9"/>
      <c r="O249" s="38"/>
      <c r="P249" s="38"/>
      <c r="Q249" s="38"/>
      <c r="R249" s="38"/>
      <c r="S249" s="38"/>
      <c r="T249" s="38"/>
      <c r="U249" s="9"/>
      <c r="V249" s="9"/>
      <c r="W249" s="38"/>
      <c r="X249" s="9"/>
      <c r="Y249" s="9"/>
      <c r="Z249" s="9"/>
      <c r="AA249" s="9"/>
      <c r="AB249" s="9"/>
      <c r="AC249" s="9"/>
      <c r="AD249" s="39"/>
      <c r="AE249" s="39"/>
      <c r="AF249" s="39"/>
      <c r="AG249" s="38"/>
      <c r="AH249" s="38"/>
      <c r="AI249" s="9"/>
      <c r="AJ249" s="38"/>
      <c r="AK249" s="9"/>
      <c r="AL249" s="39"/>
      <c r="AM249" s="9"/>
      <c r="AN249" s="9"/>
      <c r="AO249" s="9"/>
      <c r="AP249" s="9"/>
      <c r="AQ249" s="9"/>
      <c r="AR249" s="9"/>
      <c r="AS249" s="9"/>
      <c r="AT249" s="10" t="str">
        <f aca="false">IF(A249="","",SG_Criteria!$B$6&amp;SG_Criteria!$B$8&amp;"\"&amp;A249&amp;"\")</f>
        <v/>
      </c>
      <c r="AU249" s="10" t="str">
        <f aca="false">IF(A249="","",A249&amp;"_CAD.dwg")</f>
        <v/>
      </c>
      <c r="AV249" s="10" t="str">
        <f aca="false">IF(A249="","",A249&amp;"_DWG.pdf")</f>
        <v/>
      </c>
      <c r="AW249" s="10" t="str">
        <f aca="false">IF(A249="","",IF(AS249="Y",A249&amp;"_STAAD.std","n/a"))</f>
        <v/>
      </c>
      <c r="AX249" s="10" t="str">
        <f aca="false">IF(A249="","",A249&amp;"_CALC.xlsx")</f>
        <v/>
      </c>
      <c r="AY249" s="10" t="str">
        <f aca="false">IF(A249="","",A249&amp;"_CALC.pdf")</f>
        <v/>
      </c>
      <c r="AZ249" s="9"/>
      <c r="BA249" s="9"/>
      <c r="BB249" s="39"/>
      <c r="BC249" s="39"/>
      <c r="BD249" s="39"/>
      <c r="BE249" s="39"/>
      <c r="BF249" s="39"/>
      <c r="BG249" s="12" t="str">
        <f aca="false">IF(A249="","",IF(COUNTIF(Rebar_Schedule!$A$5:$A$2004,A249)=0,"",ROUND(SUMIF(Rebar_Schedule!$A$5:$A$2004,A249,Rebar_Schedule!$K$5:$K$2004),1)))</f>
        <v/>
      </c>
      <c r="BH249" s="33" t="str">
        <f aca="false">IF(A249="","",IF(BG249="","No rebar schedule yet",IF(ABS(BG249-N(BC249))/MAX(N(BC249),1)&gt;SG_Criteria!$B$55,"NOTE: register rebar differs from schedule by "&amp;TEXT(ABS(BG249-N(BC249))/MAX(N(BC249),1),"0%"),"OK")))</f>
        <v/>
      </c>
      <c r="BI249" s="33" t="str">
        <f aca="false">IF(OR(D249="",E249=""),"",IF(E249&lt;=IF(OR(D249="Block / Segmental",D249="Gabion",D249="Reinforced Earth (MSE)"),SG_Criteria!$B$34,SG_Criteria!$B$33),"No ERSS submission",IF(E249&lt;=SG_Criteria!$B$35,"QP(ST)",IF(E249&lt;=SG_Criteria!$B$36,"QP(ST) + AC","Geotechnical building works: QP(Geo) + AC"))))</f>
        <v/>
      </c>
      <c r="BJ249" s="33" t="str">
        <f aca="false">IF(D249="","",IF(LEN(IF(AND(V249&lt;&gt;"",IFERROR(VALUE(MID(V249,2,2)),0)&lt;SG_Criteria!$B$19),"FAIL: grade below C"&amp;SG_Criteria!$B$19&amp;". ","")&amp;IF(AND(W249&lt;&gt;"",W249&lt;SG_Criteria!$B$20),"FAIL: cover &lt; "&amp;SG_Criteria!$B$20&amp;" mm. ","")&amp;IF(AND(AD249&lt;&gt;"",AD249&lt;1),"FAIL: sliding. ","")&amp;IF(AND(D249="Reverse L-Wall (toe only, at boundary)",N(S249)&gt;0),"NOTE: reverse L-wall should have no heel. ","")&amp;IF(AND(D249="L-Wall (heel only)",N(R249)&gt;0),"NOTE: L-wall should have no toe. ","")&amp;IF(AND(F249&lt;&gt;"",F249&lt;SG_Criteria!$B$31),"NOTE: q below LTA min "&amp;SG_Criteria!$B$31&amp;" kPa (not for LTA works). ",""))=0,"OK",IF(AND(V249&lt;&gt;"",IFERROR(VALUE(MID(V249,2,2)),0)&lt;SG_Criteria!$B$19),"FAIL: grade below C"&amp;SG_Criteria!$B$19&amp;". ","")&amp;IF(AND(W249&lt;&gt;"",W249&lt;SG_Criteria!$B$20),"FAIL: cover &lt; "&amp;SG_Criteria!$B$20&amp;" mm. ","")&amp;IF(AND(AD249&lt;&gt;"",AD249&lt;1),"FAIL: sliding. ","")&amp;IF(AND(D249="Reverse L-Wall (toe only, at boundary)",N(S249)&gt;0),"NOTE: reverse L-wall should have no heel. ","")&amp;IF(AND(D249="L-Wall (heel only)",N(R249)&gt;0),"NOTE: L-wall should have no toe. ","")&amp;IF(AND(F249&lt;&gt;"",F249&lt;SG_Criteria!$B$31),"NOTE: q below LTA min "&amp;SG_Criteria!$B$31&amp;" kPa (not for LTA works). ","")))</f>
        <v/>
      </c>
      <c r="BK249" s="9"/>
      <c r="BL249" s="9"/>
      <c r="BM249" s="9"/>
      <c r="BN249" s="10" t="str">
        <f aca="false">IF(BM249="","",IFERROR(VLOOKUP(BM249,Projects!$A$5:$D$504,2,0),"Ref not in Projects"))</f>
        <v/>
      </c>
      <c r="BO249" s="10" t="str">
        <f aca="false">IF(BM249="","",IFERROR(VLOOKUP(BM249,Projects!$A$5:$D$504,4,0),"Ref not in Projects"))</f>
        <v/>
      </c>
      <c r="BP249" s="9"/>
      <c r="BQ249" s="9"/>
      <c r="BR249" s="9"/>
      <c r="BS249" s="40"/>
      <c r="BT249" s="9"/>
      <c r="BU249" s="40"/>
      <c r="BV249" s="9"/>
      <c r="BW249" s="40"/>
      <c r="BX249" s="9"/>
      <c r="BY249" s="9"/>
      <c r="BZ249" s="9"/>
      <c r="CA249" s="40"/>
      <c r="CB249" s="40"/>
      <c r="CC249" s="36" t="str">
        <f aca="false">IF(CB249="","",EDATE(CB249,SG_Criteria!$B$54*12))</f>
        <v/>
      </c>
      <c r="CD249" s="33" t="str">
        <f aca="true">IF(A249="","",IF(CB249="","NOTE: not reviewed yet",IF(TODAY()&gt;CC249,"NOTE: review overdue","OK")))</f>
        <v/>
      </c>
      <c r="CE249" s="37" t="str">
        <f aca="false">IF(A249="","",ROUND((IF(LEN(D249)&gt;0,1,0)+IF(LEN(E249)&gt;0,1,0)+IF(LEN(F249)&gt;0,1,0)+IF(LEN(G249)&gt;0,1,0)+IF(LEN(I249)&gt;0,1,0)+IF(LEN(K249)&gt;0,1,0)+IF(LEN(P249)&gt;0,1,0)+IF(LEN(Q249)&gt;0,1,0)+IF(LEN(T249)&gt;0,1,0)+IF(LEN(V249)&gt;0,1,0)+IF(LEN(W249)&gt;0,1,0)+IF(LEN(X249)&gt;0,1,0)+IF(LEN(Z249)&gt;0,1,0)+IF(LEN(AD249)&gt;0,1,0)+IF(LEN(AE249)&gt;0,1,0)+IF(LEN(AG249)&gt;0,1,0)+IF(LEN(AI249)&gt;0,1,0)+IF(LEN(BB249)&gt;0,1,0)+IF(LEN(BC249)&gt;0,1,0)+IF(LEN(AM249)&gt;0,1,0)+IF(LEN(AO249)&gt;0,1,0)+IF(LEN(AP249)&gt;0,1,0)+IF(LEN(AQ249)&gt;0,1,0)+IF(LEN(AR249)&gt;0,1,0)+IF(LEN(BA249)&gt;0,1,0)+IF(LEN(BM249)&gt;0,1,0)+IF(LEN(BZ249)&gt;0,1,0))/27,2))</f>
        <v/>
      </c>
      <c r="CF249" s="10" t="str">
        <f aca="false">IF(D249="","",IF(AND(AP249="Approved",ISERROR(SEARCH("FAIL",BJ249))),"Y","N"))</f>
        <v/>
      </c>
      <c r="CG249" s="10" t="str">
        <f aca="false">IF(D249="","",D249&amp;"|"&amp;E249&amp;"|"&amp;F249&amp;"|"&amp;G249&amp;"|"&amp;CF249)</f>
        <v/>
      </c>
    </row>
    <row r="250" customFormat="false" ht="15" hidden="false" customHeight="false" outlineLevel="0" collapsed="false">
      <c r="A250" s="10" t="str">
        <f aca="false">IF(D250="","","RW-"&amp;IFERROR(VLOOKUP(D250,Lists!$M$4:$N$22,2,0),"??")&amp;"-H"&amp;TEXT(E250*1000,"0000")&amp;"-S"&amp;F250&amp;IF(G250="Y","-GW","")&amp;"-"&amp;AO250)</f>
        <v/>
      </c>
      <c r="B250" s="10" t="str">
        <f aca="false">IF(D250="","",D250&amp;", H = "&amp;TEXT(E250,"0.0")&amp;" m, q = "&amp;F250&amp;" kPa"&amp;IF(G250="Y",", with GWT","")&amp;", "&amp;I250)</f>
        <v/>
      </c>
      <c r="C250" s="9"/>
      <c r="D250" s="9"/>
      <c r="E250" s="39"/>
      <c r="F250" s="38"/>
      <c r="G250" s="9"/>
      <c r="H250" s="38"/>
      <c r="I250" s="9"/>
      <c r="J250" s="38"/>
      <c r="K250" s="38"/>
      <c r="L250" s="38"/>
      <c r="M250" s="42"/>
      <c r="N250" s="9"/>
      <c r="O250" s="38"/>
      <c r="P250" s="38"/>
      <c r="Q250" s="38"/>
      <c r="R250" s="38"/>
      <c r="S250" s="38"/>
      <c r="T250" s="38"/>
      <c r="U250" s="9"/>
      <c r="V250" s="9"/>
      <c r="W250" s="38"/>
      <c r="X250" s="9"/>
      <c r="Y250" s="9"/>
      <c r="Z250" s="9"/>
      <c r="AA250" s="9"/>
      <c r="AB250" s="9"/>
      <c r="AC250" s="9"/>
      <c r="AD250" s="39"/>
      <c r="AE250" s="39"/>
      <c r="AF250" s="39"/>
      <c r="AG250" s="38"/>
      <c r="AH250" s="38"/>
      <c r="AI250" s="9"/>
      <c r="AJ250" s="38"/>
      <c r="AK250" s="9"/>
      <c r="AL250" s="39"/>
      <c r="AM250" s="9"/>
      <c r="AN250" s="9"/>
      <c r="AO250" s="9"/>
      <c r="AP250" s="9"/>
      <c r="AQ250" s="9"/>
      <c r="AR250" s="9"/>
      <c r="AS250" s="9"/>
      <c r="AT250" s="10" t="str">
        <f aca="false">IF(A250="","",SG_Criteria!$B$6&amp;SG_Criteria!$B$8&amp;"\"&amp;A250&amp;"\")</f>
        <v/>
      </c>
      <c r="AU250" s="10" t="str">
        <f aca="false">IF(A250="","",A250&amp;"_CAD.dwg")</f>
        <v/>
      </c>
      <c r="AV250" s="10" t="str">
        <f aca="false">IF(A250="","",A250&amp;"_DWG.pdf")</f>
        <v/>
      </c>
      <c r="AW250" s="10" t="str">
        <f aca="false">IF(A250="","",IF(AS250="Y",A250&amp;"_STAAD.std","n/a"))</f>
        <v/>
      </c>
      <c r="AX250" s="10" t="str">
        <f aca="false">IF(A250="","",A250&amp;"_CALC.xlsx")</f>
        <v/>
      </c>
      <c r="AY250" s="10" t="str">
        <f aca="false">IF(A250="","",A250&amp;"_CALC.pdf")</f>
        <v/>
      </c>
      <c r="AZ250" s="9"/>
      <c r="BA250" s="9"/>
      <c r="BB250" s="39"/>
      <c r="BC250" s="39"/>
      <c r="BD250" s="39"/>
      <c r="BE250" s="39"/>
      <c r="BF250" s="39"/>
      <c r="BG250" s="12" t="str">
        <f aca="false">IF(A250="","",IF(COUNTIF(Rebar_Schedule!$A$5:$A$2004,A250)=0,"",ROUND(SUMIF(Rebar_Schedule!$A$5:$A$2004,A250,Rebar_Schedule!$K$5:$K$2004),1)))</f>
        <v/>
      </c>
      <c r="BH250" s="33" t="str">
        <f aca="false">IF(A250="","",IF(BG250="","No rebar schedule yet",IF(ABS(BG250-N(BC250))/MAX(N(BC250),1)&gt;SG_Criteria!$B$55,"NOTE: register rebar differs from schedule by "&amp;TEXT(ABS(BG250-N(BC250))/MAX(N(BC250),1),"0%"),"OK")))</f>
        <v/>
      </c>
      <c r="BI250" s="33" t="str">
        <f aca="false">IF(OR(D250="",E250=""),"",IF(E250&lt;=IF(OR(D250="Block / Segmental",D250="Gabion",D250="Reinforced Earth (MSE)"),SG_Criteria!$B$34,SG_Criteria!$B$33),"No ERSS submission",IF(E250&lt;=SG_Criteria!$B$35,"QP(ST)",IF(E250&lt;=SG_Criteria!$B$36,"QP(ST) + AC","Geotechnical building works: QP(Geo) + AC"))))</f>
        <v/>
      </c>
      <c r="BJ250" s="33" t="str">
        <f aca="false">IF(D250="","",IF(LEN(IF(AND(V250&lt;&gt;"",IFERROR(VALUE(MID(V250,2,2)),0)&lt;SG_Criteria!$B$19),"FAIL: grade below C"&amp;SG_Criteria!$B$19&amp;". ","")&amp;IF(AND(W250&lt;&gt;"",W250&lt;SG_Criteria!$B$20),"FAIL: cover &lt; "&amp;SG_Criteria!$B$20&amp;" mm. ","")&amp;IF(AND(AD250&lt;&gt;"",AD250&lt;1),"FAIL: sliding. ","")&amp;IF(AND(D250="Reverse L-Wall (toe only, at boundary)",N(S250)&gt;0),"NOTE: reverse L-wall should have no heel. ","")&amp;IF(AND(D250="L-Wall (heel only)",N(R250)&gt;0),"NOTE: L-wall should have no toe. ","")&amp;IF(AND(F250&lt;&gt;"",F250&lt;SG_Criteria!$B$31),"NOTE: q below LTA min "&amp;SG_Criteria!$B$31&amp;" kPa (not for LTA works). ",""))=0,"OK",IF(AND(V250&lt;&gt;"",IFERROR(VALUE(MID(V250,2,2)),0)&lt;SG_Criteria!$B$19),"FAIL: grade below C"&amp;SG_Criteria!$B$19&amp;". ","")&amp;IF(AND(W250&lt;&gt;"",W250&lt;SG_Criteria!$B$20),"FAIL: cover &lt; "&amp;SG_Criteria!$B$20&amp;" mm. ","")&amp;IF(AND(AD250&lt;&gt;"",AD250&lt;1),"FAIL: sliding. ","")&amp;IF(AND(D250="Reverse L-Wall (toe only, at boundary)",N(S250)&gt;0),"NOTE: reverse L-wall should have no heel. ","")&amp;IF(AND(D250="L-Wall (heel only)",N(R250)&gt;0),"NOTE: L-wall should have no toe. ","")&amp;IF(AND(F250&lt;&gt;"",F250&lt;SG_Criteria!$B$31),"NOTE: q below LTA min "&amp;SG_Criteria!$B$31&amp;" kPa (not for LTA works). ","")))</f>
        <v/>
      </c>
      <c r="BK250" s="9"/>
      <c r="BL250" s="9"/>
      <c r="BM250" s="9"/>
      <c r="BN250" s="10" t="str">
        <f aca="false">IF(BM250="","",IFERROR(VLOOKUP(BM250,Projects!$A$5:$D$504,2,0),"Ref not in Projects"))</f>
        <v/>
      </c>
      <c r="BO250" s="10" t="str">
        <f aca="false">IF(BM250="","",IFERROR(VLOOKUP(BM250,Projects!$A$5:$D$504,4,0),"Ref not in Projects"))</f>
        <v/>
      </c>
      <c r="BP250" s="9"/>
      <c r="BQ250" s="9"/>
      <c r="BR250" s="9"/>
      <c r="BS250" s="40"/>
      <c r="BT250" s="9"/>
      <c r="BU250" s="40"/>
      <c r="BV250" s="9"/>
      <c r="BW250" s="40"/>
      <c r="BX250" s="9"/>
      <c r="BY250" s="9"/>
      <c r="BZ250" s="9"/>
      <c r="CA250" s="40"/>
      <c r="CB250" s="40"/>
      <c r="CC250" s="36" t="str">
        <f aca="false">IF(CB250="","",EDATE(CB250,SG_Criteria!$B$54*12))</f>
        <v/>
      </c>
      <c r="CD250" s="33" t="str">
        <f aca="true">IF(A250="","",IF(CB250="","NOTE: not reviewed yet",IF(TODAY()&gt;CC250,"NOTE: review overdue","OK")))</f>
        <v/>
      </c>
      <c r="CE250" s="37" t="str">
        <f aca="false">IF(A250="","",ROUND((IF(LEN(D250)&gt;0,1,0)+IF(LEN(E250)&gt;0,1,0)+IF(LEN(F250)&gt;0,1,0)+IF(LEN(G250)&gt;0,1,0)+IF(LEN(I250)&gt;0,1,0)+IF(LEN(K250)&gt;0,1,0)+IF(LEN(P250)&gt;0,1,0)+IF(LEN(Q250)&gt;0,1,0)+IF(LEN(T250)&gt;0,1,0)+IF(LEN(V250)&gt;0,1,0)+IF(LEN(W250)&gt;0,1,0)+IF(LEN(X250)&gt;0,1,0)+IF(LEN(Z250)&gt;0,1,0)+IF(LEN(AD250)&gt;0,1,0)+IF(LEN(AE250)&gt;0,1,0)+IF(LEN(AG250)&gt;0,1,0)+IF(LEN(AI250)&gt;0,1,0)+IF(LEN(BB250)&gt;0,1,0)+IF(LEN(BC250)&gt;0,1,0)+IF(LEN(AM250)&gt;0,1,0)+IF(LEN(AO250)&gt;0,1,0)+IF(LEN(AP250)&gt;0,1,0)+IF(LEN(AQ250)&gt;0,1,0)+IF(LEN(AR250)&gt;0,1,0)+IF(LEN(BA250)&gt;0,1,0)+IF(LEN(BM250)&gt;0,1,0)+IF(LEN(BZ250)&gt;0,1,0))/27,2))</f>
        <v/>
      </c>
      <c r="CF250" s="10" t="str">
        <f aca="false">IF(D250="","",IF(AND(AP250="Approved",ISERROR(SEARCH("FAIL",BJ250))),"Y","N"))</f>
        <v/>
      </c>
      <c r="CG250" s="10" t="str">
        <f aca="false">IF(D250="","",D250&amp;"|"&amp;E250&amp;"|"&amp;F250&amp;"|"&amp;G250&amp;"|"&amp;CF250)</f>
        <v/>
      </c>
    </row>
    <row r="251" customFormat="false" ht="15" hidden="false" customHeight="false" outlineLevel="0" collapsed="false">
      <c r="A251" s="10" t="str">
        <f aca="false">IF(D251="","","RW-"&amp;IFERROR(VLOOKUP(D251,Lists!$M$4:$N$22,2,0),"??")&amp;"-H"&amp;TEXT(E251*1000,"0000")&amp;"-S"&amp;F251&amp;IF(G251="Y","-GW","")&amp;"-"&amp;AO251)</f>
        <v/>
      </c>
      <c r="B251" s="10" t="str">
        <f aca="false">IF(D251="","",D251&amp;", H = "&amp;TEXT(E251,"0.0")&amp;" m, q = "&amp;F251&amp;" kPa"&amp;IF(G251="Y",", with GWT","")&amp;", "&amp;I251)</f>
        <v/>
      </c>
      <c r="C251" s="9"/>
      <c r="D251" s="9"/>
      <c r="E251" s="39"/>
      <c r="F251" s="38"/>
      <c r="G251" s="9"/>
      <c r="H251" s="38"/>
      <c r="I251" s="9"/>
      <c r="J251" s="38"/>
      <c r="K251" s="38"/>
      <c r="L251" s="38"/>
      <c r="M251" s="42"/>
      <c r="N251" s="9"/>
      <c r="O251" s="38"/>
      <c r="P251" s="38"/>
      <c r="Q251" s="38"/>
      <c r="R251" s="38"/>
      <c r="S251" s="38"/>
      <c r="T251" s="38"/>
      <c r="U251" s="9"/>
      <c r="V251" s="9"/>
      <c r="W251" s="38"/>
      <c r="X251" s="9"/>
      <c r="Y251" s="9"/>
      <c r="Z251" s="9"/>
      <c r="AA251" s="9"/>
      <c r="AB251" s="9"/>
      <c r="AC251" s="9"/>
      <c r="AD251" s="39"/>
      <c r="AE251" s="39"/>
      <c r="AF251" s="39"/>
      <c r="AG251" s="38"/>
      <c r="AH251" s="38"/>
      <c r="AI251" s="9"/>
      <c r="AJ251" s="38"/>
      <c r="AK251" s="9"/>
      <c r="AL251" s="39"/>
      <c r="AM251" s="9"/>
      <c r="AN251" s="9"/>
      <c r="AO251" s="9"/>
      <c r="AP251" s="9"/>
      <c r="AQ251" s="9"/>
      <c r="AR251" s="9"/>
      <c r="AS251" s="9"/>
      <c r="AT251" s="10" t="str">
        <f aca="false">IF(A251="","",SG_Criteria!$B$6&amp;SG_Criteria!$B$8&amp;"\"&amp;A251&amp;"\")</f>
        <v/>
      </c>
      <c r="AU251" s="10" t="str">
        <f aca="false">IF(A251="","",A251&amp;"_CAD.dwg")</f>
        <v/>
      </c>
      <c r="AV251" s="10" t="str">
        <f aca="false">IF(A251="","",A251&amp;"_DWG.pdf")</f>
        <v/>
      </c>
      <c r="AW251" s="10" t="str">
        <f aca="false">IF(A251="","",IF(AS251="Y",A251&amp;"_STAAD.std","n/a"))</f>
        <v/>
      </c>
      <c r="AX251" s="10" t="str">
        <f aca="false">IF(A251="","",A251&amp;"_CALC.xlsx")</f>
        <v/>
      </c>
      <c r="AY251" s="10" t="str">
        <f aca="false">IF(A251="","",A251&amp;"_CALC.pdf")</f>
        <v/>
      </c>
      <c r="AZ251" s="9"/>
      <c r="BA251" s="9"/>
      <c r="BB251" s="39"/>
      <c r="BC251" s="39"/>
      <c r="BD251" s="39"/>
      <c r="BE251" s="39"/>
      <c r="BF251" s="39"/>
      <c r="BG251" s="12" t="str">
        <f aca="false">IF(A251="","",IF(COUNTIF(Rebar_Schedule!$A$5:$A$2004,A251)=0,"",ROUND(SUMIF(Rebar_Schedule!$A$5:$A$2004,A251,Rebar_Schedule!$K$5:$K$2004),1)))</f>
        <v/>
      </c>
      <c r="BH251" s="33" t="str">
        <f aca="false">IF(A251="","",IF(BG251="","No rebar schedule yet",IF(ABS(BG251-N(BC251))/MAX(N(BC251),1)&gt;SG_Criteria!$B$55,"NOTE: register rebar differs from schedule by "&amp;TEXT(ABS(BG251-N(BC251))/MAX(N(BC251),1),"0%"),"OK")))</f>
        <v/>
      </c>
      <c r="BI251" s="33" t="str">
        <f aca="false">IF(OR(D251="",E251=""),"",IF(E251&lt;=IF(OR(D251="Block / Segmental",D251="Gabion",D251="Reinforced Earth (MSE)"),SG_Criteria!$B$34,SG_Criteria!$B$33),"No ERSS submission",IF(E251&lt;=SG_Criteria!$B$35,"QP(ST)",IF(E251&lt;=SG_Criteria!$B$36,"QP(ST) + AC","Geotechnical building works: QP(Geo) + AC"))))</f>
        <v/>
      </c>
      <c r="BJ251" s="33" t="str">
        <f aca="false">IF(D251="","",IF(LEN(IF(AND(V251&lt;&gt;"",IFERROR(VALUE(MID(V251,2,2)),0)&lt;SG_Criteria!$B$19),"FAIL: grade below C"&amp;SG_Criteria!$B$19&amp;". ","")&amp;IF(AND(W251&lt;&gt;"",W251&lt;SG_Criteria!$B$20),"FAIL: cover &lt; "&amp;SG_Criteria!$B$20&amp;" mm. ","")&amp;IF(AND(AD251&lt;&gt;"",AD251&lt;1),"FAIL: sliding. ","")&amp;IF(AND(D251="Reverse L-Wall (toe only, at boundary)",N(S251)&gt;0),"NOTE: reverse L-wall should have no heel. ","")&amp;IF(AND(D251="L-Wall (heel only)",N(R251)&gt;0),"NOTE: L-wall should have no toe. ","")&amp;IF(AND(F251&lt;&gt;"",F251&lt;SG_Criteria!$B$31),"NOTE: q below LTA min "&amp;SG_Criteria!$B$31&amp;" kPa (not for LTA works). ",""))=0,"OK",IF(AND(V251&lt;&gt;"",IFERROR(VALUE(MID(V251,2,2)),0)&lt;SG_Criteria!$B$19),"FAIL: grade below C"&amp;SG_Criteria!$B$19&amp;". ","")&amp;IF(AND(W251&lt;&gt;"",W251&lt;SG_Criteria!$B$20),"FAIL: cover &lt; "&amp;SG_Criteria!$B$20&amp;" mm. ","")&amp;IF(AND(AD251&lt;&gt;"",AD251&lt;1),"FAIL: sliding. ","")&amp;IF(AND(D251="Reverse L-Wall (toe only, at boundary)",N(S251)&gt;0),"NOTE: reverse L-wall should have no heel. ","")&amp;IF(AND(D251="L-Wall (heel only)",N(R251)&gt;0),"NOTE: L-wall should have no toe. ","")&amp;IF(AND(F251&lt;&gt;"",F251&lt;SG_Criteria!$B$31),"NOTE: q below LTA min "&amp;SG_Criteria!$B$31&amp;" kPa (not for LTA works). ","")))</f>
        <v/>
      </c>
      <c r="BK251" s="9"/>
      <c r="BL251" s="9"/>
      <c r="BM251" s="9"/>
      <c r="BN251" s="10" t="str">
        <f aca="false">IF(BM251="","",IFERROR(VLOOKUP(BM251,Projects!$A$5:$D$504,2,0),"Ref not in Projects"))</f>
        <v/>
      </c>
      <c r="BO251" s="10" t="str">
        <f aca="false">IF(BM251="","",IFERROR(VLOOKUP(BM251,Projects!$A$5:$D$504,4,0),"Ref not in Projects"))</f>
        <v/>
      </c>
      <c r="BP251" s="9"/>
      <c r="BQ251" s="9"/>
      <c r="BR251" s="9"/>
      <c r="BS251" s="40"/>
      <c r="BT251" s="9"/>
      <c r="BU251" s="40"/>
      <c r="BV251" s="9"/>
      <c r="BW251" s="40"/>
      <c r="BX251" s="9"/>
      <c r="BY251" s="9"/>
      <c r="BZ251" s="9"/>
      <c r="CA251" s="40"/>
      <c r="CB251" s="40"/>
      <c r="CC251" s="36" t="str">
        <f aca="false">IF(CB251="","",EDATE(CB251,SG_Criteria!$B$54*12))</f>
        <v/>
      </c>
      <c r="CD251" s="33" t="str">
        <f aca="true">IF(A251="","",IF(CB251="","NOTE: not reviewed yet",IF(TODAY()&gt;CC251,"NOTE: review overdue","OK")))</f>
        <v/>
      </c>
      <c r="CE251" s="37" t="str">
        <f aca="false">IF(A251="","",ROUND((IF(LEN(D251)&gt;0,1,0)+IF(LEN(E251)&gt;0,1,0)+IF(LEN(F251)&gt;0,1,0)+IF(LEN(G251)&gt;0,1,0)+IF(LEN(I251)&gt;0,1,0)+IF(LEN(K251)&gt;0,1,0)+IF(LEN(P251)&gt;0,1,0)+IF(LEN(Q251)&gt;0,1,0)+IF(LEN(T251)&gt;0,1,0)+IF(LEN(V251)&gt;0,1,0)+IF(LEN(W251)&gt;0,1,0)+IF(LEN(X251)&gt;0,1,0)+IF(LEN(Z251)&gt;0,1,0)+IF(LEN(AD251)&gt;0,1,0)+IF(LEN(AE251)&gt;0,1,0)+IF(LEN(AG251)&gt;0,1,0)+IF(LEN(AI251)&gt;0,1,0)+IF(LEN(BB251)&gt;0,1,0)+IF(LEN(BC251)&gt;0,1,0)+IF(LEN(AM251)&gt;0,1,0)+IF(LEN(AO251)&gt;0,1,0)+IF(LEN(AP251)&gt;0,1,0)+IF(LEN(AQ251)&gt;0,1,0)+IF(LEN(AR251)&gt;0,1,0)+IF(LEN(BA251)&gt;0,1,0)+IF(LEN(BM251)&gt;0,1,0)+IF(LEN(BZ251)&gt;0,1,0))/27,2))</f>
        <v/>
      </c>
      <c r="CF251" s="10" t="str">
        <f aca="false">IF(D251="","",IF(AND(AP251="Approved",ISERROR(SEARCH("FAIL",BJ251))),"Y","N"))</f>
        <v/>
      </c>
      <c r="CG251" s="10" t="str">
        <f aca="false">IF(D251="","",D251&amp;"|"&amp;E251&amp;"|"&amp;F251&amp;"|"&amp;G251&amp;"|"&amp;CF251)</f>
        <v/>
      </c>
    </row>
    <row r="252" customFormat="false" ht="15" hidden="false" customHeight="false" outlineLevel="0" collapsed="false">
      <c r="A252" s="10" t="str">
        <f aca="false">IF(D252="","","RW-"&amp;IFERROR(VLOOKUP(D252,Lists!$M$4:$N$22,2,0),"??")&amp;"-H"&amp;TEXT(E252*1000,"0000")&amp;"-S"&amp;F252&amp;IF(G252="Y","-GW","")&amp;"-"&amp;AO252)</f>
        <v/>
      </c>
      <c r="B252" s="10" t="str">
        <f aca="false">IF(D252="","",D252&amp;", H = "&amp;TEXT(E252,"0.0")&amp;" m, q = "&amp;F252&amp;" kPa"&amp;IF(G252="Y",", with GWT","")&amp;", "&amp;I252)</f>
        <v/>
      </c>
      <c r="C252" s="9"/>
      <c r="D252" s="9"/>
      <c r="E252" s="39"/>
      <c r="F252" s="38"/>
      <c r="G252" s="9"/>
      <c r="H252" s="38"/>
      <c r="I252" s="9"/>
      <c r="J252" s="38"/>
      <c r="K252" s="38"/>
      <c r="L252" s="38"/>
      <c r="M252" s="42"/>
      <c r="N252" s="9"/>
      <c r="O252" s="38"/>
      <c r="P252" s="38"/>
      <c r="Q252" s="38"/>
      <c r="R252" s="38"/>
      <c r="S252" s="38"/>
      <c r="T252" s="38"/>
      <c r="U252" s="9"/>
      <c r="V252" s="9"/>
      <c r="W252" s="38"/>
      <c r="X252" s="9"/>
      <c r="Y252" s="9"/>
      <c r="Z252" s="9"/>
      <c r="AA252" s="9"/>
      <c r="AB252" s="9"/>
      <c r="AC252" s="9"/>
      <c r="AD252" s="39"/>
      <c r="AE252" s="39"/>
      <c r="AF252" s="39"/>
      <c r="AG252" s="38"/>
      <c r="AH252" s="38"/>
      <c r="AI252" s="9"/>
      <c r="AJ252" s="38"/>
      <c r="AK252" s="9"/>
      <c r="AL252" s="39"/>
      <c r="AM252" s="9"/>
      <c r="AN252" s="9"/>
      <c r="AO252" s="9"/>
      <c r="AP252" s="9"/>
      <c r="AQ252" s="9"/>
      <c r="AR252" s="9"/>
      <c r="AS252" s="9"/>
      <c r="AT252" s="10" t="str">
        <f aca="false">IF(A252="","",SG_Criteria!$B$6&amp;SG_Criteria!$B$8&amp;"\"&amp;A252&amp;"\")</f>
        <v/>
      </c>
      <c r="AU252" s="10" t="str">
        <f aca="false">IF(A252="","",A252&amp;"_CAD.dwg")</f>
        <v/>
      </c>
      <c r="AV252" s="10" t="str">
        <f aca="false">IF(A252="","",A252&amp;"_DWG.pdf")</f>
        <v/>
      </c>
      <c r="AW252" s="10" t="str">
        <f aca="false">IF(A252="","",IF(AS252="Y",A252&amp;"_STAAD.std","n/a"))</f>
        <v/>
      </c>
      <c r="AX252" s="10" t="str">
        <f aca="false">IF(A252="","",A252&amp;"_CALC.xlsx")</f>
        <v/>
      </c>
      <c r="AY252" s="10" t="str">
        <f aca="false">IF(A252="","",A252&amp;"_CALC.pdf")</f>
        <v/>
      </c>
      <c r="AZ252" s="9"/>
      <c r="BA252" s="9"/>
      <c r="BB252" s="39"/>
      <c r="BC252" s="39"/>
      <c r="BD252" s="39"/>
      <c r="BE252" s="39"/>
      <c r="BF252" s="39"/>
      <c r="BG252" s="12" t="str">
        <f aca="false">IF(A252="","",IF(COUNTIF(Rebar_Schedule!$A$5:$A$2004,A252)=0,"",ROUND(SUMIF(Rebar_Schedule!$A$5:$A$2004,A252,Rebar_Schedule!$K$5:$K$2004),1)))</f>
        <v/>
      </c>
      <c r="BH252" s="33" t="str">
        <f aca="false">IF(A252="","",IF(BG252="","No rebar schedule yet",IF(ABS(BG252-N(BC252))/MAX(N(BC252),1)&gt;SG_Criteria!$B$55,"NOTE: register rebar differs from schedule by "&amp;TEXT(ABS(BG252-N(BC252))/MAX(N(BC252),1),"0%"),"OK")))</f>
        <v/>
      </c>
      <c r="BI252" s="33" t="str">
        <f aca="false">IF(OR(D252="",E252=""),"",IF(E252&lt;=IF(OR(D252="Block / Segmental",D252="Gabion",D252="Reinforced Earth (MSE)"),SG_Criteria!$B$34,SG_Criteria!$B$33),"No ERSS submission",IF(E252&lt;=SG_Criteria!$B$35,"QP(ST)",IF(E252&lt;=SG_Criteria!$B$36,"QP(ST) + AC","Geotechnical building works: QP(Geo) + AC"))))</f>
        <v/>
      </c>
      <c r="BJ252" s="33" t="str">
        <f aca="false">IF(D252="","",IF(LEN(IF(AND(V252&lt;&gt;"",IFERROR(VALUE(MID(V252,2,2)),0)&lt;SG_Criteria!$B$19),"FAIL: grade below C"&amp;SG_Criteria!$B$19&amp;". ","")&amp;IF(AND(W252&lt;&gt;"",W252&lt;SG_Criteria!$B$20),"FAIL: cover &lt; "&amp;SG_Criteria!$B$20&amp;" mm. ","")&amp;IF(AND(AD252&lt;&gt;"",AD252&lt;1),"FAIL: sliding. ","")&amp;IF(AND(D252="Reverse L-Wall (toe only, at boundary)",N(S252)&gt;0),"NOTE: reverse L-wall should have no heel. ","")&amp;IF(AND(D252="L-Wall (heel only)",N(R252)&gt;0),"NOTE: L-wall should have no toe. ","")&amp;IF(AND(F252&lt;&gt;"",F252&lt;SG_Criteria!$B$31),"NOTE: q below LTA min "&amp;SG_Criteria!$B$31&amp;" kPa (not for LTA works). ",""))=0,"OK",IF(AND(V252&lt;&gt;"",IFERROR(VALUE(MID(V252,2,2)),0)&lt;SG_Criteria!$B$19),"FAIL: grade below C"&amp;SG_Criteria!$B$19&amp;". ","")&amp;IF(AND(W252&lt;&gt;"",W252&lt;SG_Criteria!$B$20),"FAIL: cover &lt; "&amp;SG_Criteria!$B$20&amp;" mm. ","")&amp;IF(AND(AD252&lt;&gt;"",AD252&lt;1),"FAIL: sliding. ","")&amp;IF(AND(D252="Reverse L-Wall (toe only, at boundary)",N(S252)&gt;0),"NOTE: reverse L-wall should have no heel. ","")&amp;IF(AND(D252="L-Wall (heel only)",N(R252)&gt;0),"NOTE: L-wall should have no toe. ","")&amp;IF(AND(F252&lt;&gt;"",F252&lt;SG_Criteria!$B$31),"NOTE: q below LTA min "&amp;SG_Criteria!$B$31&amp;" kPa (not for LTA works). ","")))</f>
        <v/>
      </c>
      <c r="BK252" s="9"/>
      <c r="BL252" s="9"/>
      <c r="BM252" s="9"/>
      <c r="BN252" s="10" t="str">
        <f aca="false">IF(BM252="","",IFERROR(VLOOKUP(BM252,Projects!$A$5:$D$504,2,0),"Ref not in Projects"))</f>
        <v/>
      </c>
      <c r="BO252" s="10" t="str">
        <f aca="false">IF(BM252="","",IFERROR(VLOOKUP(BM252,Projects!$A$5:$D$504,4,0),"Ref not in Projects"))</f>
        <v/>
      </c>
      <c r="BP252" s="9"/>
      <c r="BQ252" s="9"/>
      <c r="BR252" s="9"/>
      <c r="BS252" s="40"/>
      <c r="BT252" s="9"/>
      <c r="BU252" s="40"/>
      <c r="BV252" s="9"/>
      <c r="BW252" s="40"/>
      <c r="BX252" s="9"/>
      <c r="BY252" s="9"/>
      <c r="BZ252" s="9"/>
      <c r="CA252" s="40"/>
      <c r="CB252" s="40"/>
      <c r="CC252" s="36" t="str">
        <f aca="false">IF(CB252="","",EDATE(CB252,SG_Criteria!$B$54*12))</f>
        <v/>
      </c>
      <c r="CD252" s="33" t="str">
        <f aca="true">IF(A252="","",IF(CB252="","NOTE: not reviewed yet",IF(TODAY()&gt;CC252,"NOTE: review overdue","OK")))</f>
        <v/>
      </c>
      <c r="CE252" s="37" t="str">
        <f aca="false">IF(A252="","",ROUND((IF(LEN(D252)&gt;0,1,0)+IF(LEN(E252)&gt;0,1,0)+IF(LEN(F252)&gt;0,1,0)+IF(LEN(G252)&gt;0,1,0)+IF(LEN(I252)&gt;0,1,0)+IF(LEN(K252)&gt;0,1,0)+IF(LEN(P252)&gt;0,1,0)+IF(LEN(Q252)&gt;0,1,0)+IF(LEN(T252)&gt;0,1,0)+IF(LEN(V252)&gt;0,1,0)+IF(LEN(W252)&gt;0,1,0)+IF(LEN(X252)&gt;0,1,0)+IF(LEN(Z252)&gt;0,1,0)+IF(LEN(AD252)&gt;0,1,0)+IF(LEN(AE252)&gt;0,1,0)+IF(LEN(AG252)&gt;0,1,0)+IF(LEN(AI252)&gt;0,1,0)+IF(LEN(BB252)&gt;0,1,0)+IF(LEN(BC252)&gt;0,1,0)+IF(LEN(AM252)&gt;0,1,0)+IF(LEN(AO252)&gt;0,1,0)+IF(LEN(AP252)&gt;0,1,0)+IF(LEN(AQ252)&gt;0,1,0)+IF(LEN(AR252)&gt;0,1,0)+IF(LEN(BA252)&gt;0,1,0)+IF(LEN(BM252)&gt;0,1,0)+IF(LEN(BZ252)&gt;0,1,0))/27,2))</f>
        <v/>
      </c>
      <c r="CF252" s="10" t="str">
        <f aca="false">IF(D252="","",IF(AND(AP252="Approved",ISERROR(SEARCH("FAIL",BJ252))),"Y","N"))</f>
        <v/>
      </c>
      <c r="CG252" s="10" t="str">
        <f aca="false">IF(D252="","",D252&amp;"|"&amp;E252&amp;"|"&amp;F252&amp;"|"&amp;G252&amp;"|"&amp;CF252)</f>
        <v/>
      </c>
    </row>
    <row r="253" customFormat="false" ht="15" hidden="false" customHeight="false" outlineLevel="0" collapsed="false">
      <c r="A253" s="10" t="str">
        <f aca="false">IF(D253="","","RW-"&amp;IFERROR(VLOOKUP(D253,Lists!$M$4:$N$22,2,0),"??")&amp;"-H"&amp;TEXT(E253*1000,"0000")&amp;"-S"&amp;F253&amp;IF(G253="Y","-GW","")&amp;"-"&amp;AO253)</f>
        <v/>
      </c>
      <c r="B253" s="10" t="str">
        <f aca="false">IF(D253="","",D253&amp;", H = "&amp;TEXT(E253,"0.0")&amp;" m, q = "&amp;F253&amp;" kPa"&amp;IF(G253="Y",", with GWT","")&amp;", "&amp;I253)</f>
        <v/>
      </c>
      <c r="C253" s="9"/>
      <c r="D253" s="9"/>
      <c r="E253" s="39"/>
      <c r="F253" s="38"/>
      <c r="G253" s="9"/>
      <c r="H253" s="38"/>
      <c r="I253" s="9"/>
      <c r="J253" s="38"/>
      <c r="K253" s="38"/>
      <c r="L253" s="38"/>
      <c r="M253" s="42"/>
      <c r="N253" s="9"/>
      <c r="O253" s="38"/>
      <c r="P253" s="38"/>
      <c r="Q253" s="38"/>
      <c r="R253" s="38"/>
      <c r="S253" s="38"/>
      <c r="T253" s="38"/>
      <c r="U253" s="9"/>
      <c r="V253" s="9"/>
      <c r="W253" s="38"/>
      <c r="X253" s="9"/>
      <c r="Y253" s="9"/>
      <c r="Z253" s="9"/>
      <c r="AA253" s="9"/>
      <c r="AB253" s="9"/>
      <c r="AC253" s="9"/>
      <c r="AD253" s="39"/>
      <c r="AE253" s="39"/>
      <c r="AF253" s="39"/>
      <c r="AG253" s="38"/>
      <c r="AH253" s="38"/>
      <c r="AI253" s="9"/>
      <c r="AJ253" s="38"/>
      <c r="AK253" s="9"/>
      <c r="AL253" s="39"/>
      <c r="AM253" s="9"/>
      <c r="AN253" s="9"/>
      <c r="AO253" s="9"/>
      <c r="AP253" s="9"/>
      <c r="AQ253" s="9"/>
      <c r="AR253" s="9"/>
      <c r="AS253" s="9"/>
      <c r="AT253" s="10" t="str">
        <f aca="false">IF(A253="","",SG_Criteria!$B$6&amp;SG_Criteria!$B$8&amp;"\"&amp;A253&amp;"\")</f>
        <v/>
      </c>
      <c r="AU253" s="10" t="str">
        <f aca="false">IF(A253="","",A253&amp;"_CAD.dwg")</f>
        <v/>
      </c>
      <c r="AV253" s="10" t="str">
        <f aca="false">IF(A253="","",A253&amp;"_DWG.pdf")</f>
        <v/>
      </c>
      <c r="AW253" s="10" t="str">
        <f aca="false">IF(A253="","",IF(AS253="Y",A253&amp;"_STAAD.std","n/a"))</f>
        <v/>
      </c>
      <c r="AX253" s="10" t="str">
        <f aca="false">IF(A253="","",A253&amp;"_CALC.xlsx")</f>
        <v/>
      </c>
      <c r="AY253" s="10" t="str">
        <f aca="false">IF(A253="","",A253&amp;"_CALC.pdf")</f>
        <v/>
      </c>
      <c r="AZ253" s="9"/>
      <c r="BA253" s="9"/>
      <c r="BB253" s="39"/>
      <c r="BC253" s="39"/>
      <c r="BD253" s="39"/>
      <c r="BE253" s="39"/>
      <c r="BF253" s="39"/>
      <c r="BG253" s="12" t="str">
        <f aca="false">IF(A253="","",IF(COUNTIF(Rebar_Schedule!$A$5:$A$2004,A253)=0,"",ROUND(SUMIF(Rebar_Schedule!$A$5:$A$2004,A253,Rebar_Schedule!$K$5:$K$2004),1)))</f>
        <v/>
      </c>
      <c r="BH253" s="33" t="str">
        <f aca="false">IF(A253="","",IF(BG253="","No rebar schedule yet",IF(ABS(BG253-N(BC253))/MAX(N(BC253),1)&gt;SG_Criteria!$B$55,"NOTE: register rebar differs from schedule by "&amp;TEXT(ABS(BG253-N(BC253))/MAX(N(BC253),1),"0%"),"OK")))</f>
        <v/>
      </c>
      <c r="BI253" s="33" t="str">
        <f aca="false">IF(OR(D253="",E253=""),"",IF(E253&lt;=IF(OR(D253="Block / Segmental",D253="Gabion",D253="Reinforced Earth (MSE)"),SG_Criteria!$B$34,SG_Criteria!$B$33),"No ERSS submission",IF(E253&lt;=SG_Criteria!$B$35,"QP(ST)",IF(E253&lt;=SG_Criteria!$B$36,"QP(ST) + AC","Geotechnical building works: QP(Geo) + AC"))))</f>
        <v/>
      </c>
      <c r="BJ253" s="33" t="str">
        <f aca="false">IF(D253="","",IF(LEN(IF(AND(V253&lt;&gt;"",IFERROR(VALUE(MID(V253,2,2)),0)&lt;SG_Criteria!$B$19),"FAIL: grade below C"&amp;SG_Criteria!$B$19&amp;". ","")&amp;IF(AND(W253&lt;&gt;"",W253&lt;SG_Criteria!$B$20),"FAIL: cover &lt; "&amp;SG_Criteria!$B$20&amp;" mm. ","")&amp;IF(AND(AD253&lt;&gt;"",AD253&lt;1),"FAIL: sliding. ","")&amp;IF(AND(D253="Reverse L-Wall (toe only, at boundary)",N(S253)&gt;0),"NOTE: reverse L-wall should have no heel. ","")&amp;IF(AND(D253="L-Wall (heel only)",N(R253)&gt;0),"NOTE: L-wall should have no toe. ","")&amp;IF(AND(F253&lt;&gt;"",F253&lt;SG_Criteria!$B$31),"NOTE: q below LTA min "&amp;SG_Criteria!$B$31&amp;" kPa (not for LTA works). ",""))=0,"OK",IF(AND(V253&lt;&gt;"",IFERROR(VALUE(MID(V253,2,2)),0)&lt;SG_Criteria!$B$19),"FAIL: grade below C"&amp;SG_Criteria!$B$19&amp;". ","")&amp;IF(AND(W253&lt;&gt;"",W253&lt;SG_Criteria!$B$20),"FAIL: cover &lt; "&amp;SG_Criteria!$B$20&amp;" mm. ","")&amp;IF(AND(AD253&lt;&gt;"",AD253&lt;1),"FAIL: sliding. ","")&amp;IF(AND(D253="Reverse L-Wall (toe only, at boundary)",N(S253)&gt;0),"NOTE: reverse L-wall should have no heel. ","")&amp;IF(AND(D253="L-Wall (heel only)",N(R253)&gt;0),"NOTE: L-wall should have no toe. ","")&amp;IF(AND(F253&lt;&gt;"",F253&lt;SG_Criteria!$B$31),"NOTE: q below LTA min "&amp;SG_Criteria!$B$31&amp;" kPa (not for LTA works). ","")))</f>
        <v/>
      </c>
      <c r="BK253" s="9"/>
      <c r="BL253" s="9"/>
      <c r="BM253" s="9"/>
      <c r="BN253" s="10" t="str">
        <f aca="false">IF(BM253="","",IFERROR(VLOOKUP(BM253,Projects!$A$5:$D$504,2,0),"Ref not in Projects"))</f>
        <v/>
      </c>
      <c r="BO253" s="10" t="str">
        <f aca="false">IF(BM253="","",IFERROR(VLOOKUP(BM253,Projects!$A$5:$D$504,4,0),"Ref not in Projects"))</f>
        <v/>
      </c>
      <c r="BP253" s="9"/>
      <c r="BQ253" s="9"/>
      <c r="BR253" s="9"/>
      <c r="BS253" s="40"/>
      <c r="BT253" s="9"/>
      <c r="BU253" s="40"/>
      <c r="BV253" s="9"/>
      <c r="BW253" s="40"/>
      <c r="BX253" s="9"/>
      <c r="BY253" s="9"/>
      <c r="BZ253" s="9"/>
      <c r="CA253" s="40"/>
      <c r="CB253" s="40"/>
      <c r="CC253" s="36" t="str">
        <f aca="false">IF(CB253="","",EDATE(CB253,SG_Criteria!$B$54*12))</f>
        <v/>
      </c>
      <c r="CD253" s="33" t="str">
        <f aca="true">IF(A253="","",IF(CB253="","NOTE: not reviewed yet",IF(TODAY()&gt;CC253,"NOTE: review overdue","OK")))</f>
        <v/>
      </c>
      <c r="CE253" s="37" t="str">
        <f aca="false">IF(A253="","",ROUND((IF(LEN(D253)&gt;0,1,0)+IF(LEN(E253)&gt;0,1,0)+IF(LEN(F253)&gt;0,1,0)+IF(LEN(G253)&gt;0,1,0)+IF(LEN(I253)&gt;0,1,0)+IF(LEN(K253)&gt;0,1,0)+IF(LEN(P253)&gt;0,1,0)+IF(LEN(Q253)&gt;0,1,0)+IF(LEN(T253)&gt;0,1,0)+IF(LEN(V253)&gt;0,1,0)+IF(LEN(W253)&gt;0,1,0)+IF(LEN(X253)&gt;0,1,0)+IF(LEN(Z253)&gt;0,1,0)+IF(LEN(AD253)&gt;0,1,0)+IF(LEN(AE253)&gt;0,1,0)+IF(LEN(AG253)&gt;0,1,0)+IF(LEN(AI253)&gt;0,1,0)+IF(LEN(BB253)&gt;0,1,0)+IF(LEN(BC253)&gt;0,1,0)+IF(LEN(AM253)&gt;0,1,0)+IF(LEN(AO253)&gt;0,1,0)+IF(LEN(AP253)&gt;0,1,0)+IF(LEN(AQ253)&gt;0,1,0)+IF(LEN(AR253)&gt;0,1,0)+IF(LEN(BA253)&gt;0,1,0)+IF(LEN(BM253)&gt;0,1,0)+IF(LEN(BZ253)&gt;0,1,0))/27,2))</f>
        <v/>
      </c>
      <c r="CF253" s="10" t="str">
        <f aca="false">IF(D253="","",IF(AND(AP253="Approved",ISERROR(SEARCH("FAIL",BJ253))),"Y","N"))</f>
        <v/>
      </c>
      <c r="CG253" s="10" t="str">
        <f aca="false">IF(D253="","",D253&amp;"|"&amp;E253&amp;"|"&amp;F253&amp;"|"&amp;G253&amp;"|"&amp;CF253)</f>
        <v/>
      </c>
    </row>
    <row r="254" customFormat="false" ht="15" hidden="false" customHeight="false" outlineLevel="0" collapsed="false">
      <c r="A254" s="10" t="str">
        <f aca="false">IF(D254="","","RW-"&amp;IFERROR(VLOOKUP(D254,Lists!$M$4:$N$22,2,0),"??")&amp;"-H"&amp;TEXT(E254*1000,"0000")&amp;"-S"&amp;F254&amp;IF(G254="Y","-GW","")&amp;"-"&amp;AO254)</f>
        <v/>
      </c>
      <c r="B254" s="10" t="str">
        <f aca="false">IF(D254="","",D254&amp;", H = "&amp;TEXT(E254,"0.0")&amp;" m, q = "&amp;F254&amp;" kPa"&amp;IF(G254="Y",", with GWT","")&amp;", "&amp;I254)</f>
        <v/>
      </c>
      <c r="C254" s="9"/>
      <c r="D254" s="9"/>
      <c r="E254" s="39"/>
      <c r="F254" s="38"/>
      <c r="G254" s="9"/>
      <c r="H254" s="38"/>
      <c r="I254" s="9"/>
      <c r="J254" s="38"/>
      <c r="K254" s="38"/>
      <c r="L254" s="38"/>
      <c r="M254" s="42"/>
      <c r="N254" s="9"/>
      <c r="O254" s="38"/>
      <c r="P254" s="38"/>
      <c r="Q254" s="38"/>
      <c r="R254" s="38"/>
      <c r="S254" s="38"/>
      <c r="T254" s="38"/>
      <c r="U254" s="9"/>
      <c r="V254" s="9"/>
      <c r="W254" s="38"/>
      <c r="X254" s="9"/>
      <c r="Y254" s="9"/>
      <c r="Z254" s="9"/>
      <c r="AA254" s="9"/>
      <c r="AB254" s="9"/>
      <c r="AC254" s="9"/>
      <c r="AD254" s="39"/>
      <c r="AE254" s="39"/>
      <c r="AF254" s="39"/>
      <c r="AG254" s="38"/>
      <c r="AH254" s="38"/>
      <c r="AI254" s="9"/>
      <c r="AJ254" s="38"/>
      <c r="AK254" s="9"/>
      <c r="AL254" s="39"/>
      <c r="AM254" s="9"/>
      <c r="AN254" s="9"/>
      <c r="AO254" s="9"/>
      <c r="AP254" s="9"/>
      <c r="AQ254" s="9"/>
      <c r="AR254" s="9"/>
      <c r="AS254" s="9"/>
      <c r="AT254" s="10" t="str">
        <f aca="false">IF(A254="","",SG_Criteria!$B$6&amp;SG_Criteria!$B$8&amp;"\"&amp;A254&amp;"\")</f>
        <v/>
      </c>
      <c r="AU254" s="10" t="str">
        <f aca="false">IF(A254="","",A254&amp;"_CAD.dwg")</f>
        <v/>
      </c>
      <c r="AV254" s="10" t="str">
        <f aca="false">IF(A254="","",A254&amp;"_DWG.pdf")</f>
        <v/>
      </c>
      <c r="AW254" s="10" t="str">
        <f aca="false">IF(A254="","",IF(AS254="Y",A254&amp;"_STAAD.std","n/a"))</f>
        <v/>
      </c>
      <c r="AX254" s="10" t="str">
        <f aca="false">IF(A254="","",A254&amp;"_CALC.xlsx")</f>
        <v/>
      </c>
      <c r="AY254" s="10" t="str">
        <f aca="false">IF(A254="","",A254&amp;"_CALC.pdf")</f>
        <v/>
      </c>
      <c r="AZ254" s="9"/>
      <c r="BA254" s="9"/>
      <c r="BB254" s="39"/>
      <c r="BC254" s="39"/>
      <c r="BD254" s="39"/>
      <c r="BE254" s="39"/>
      <c r="BF254" s="39"/>
      <c r="BG254" s="12" t="str">
        <f aca="false">IF(A254="","",IF(COUNTIF(Rebar_Schedule!$A$5:$A$2004,A254)=0,"",ROUND(SUMIF(Rebar_Schedule!$A$5:$A$2004,A254,Rebar_Schedule!$K$5:$K$2004),1)))</f>
        <v/>
      </c>
      <c r="BH254" s="33" t="str">
        <f aca="false">IF(A254="","",IF(BG254="","No rebar schedule yet",IF(ABS(BG254-N(BC254))/MAX(N(BC254),1)&gt;SG_Criteria!$B$55,"NOTE: register rebar differs from schedule by "&amp;TEXT(ABS(BG254-N(BC254))/MAX(N(BC254),1),"0%"),"OK")))</f>
        <v/>
      </c>
      <c r="BI254" s="33" t="str">
        <f aca="false">IF(OR(D254="",E254=""),"",IF(E254&lt;=IF(OR(D254="Block / Segmental",D254="Gabion",D254="Reinforced Earth (MSE)"),SG_Criteria!$B$34,SG_Criteria!$B$33),"No ERSS submission",IF(E254&lt;=SG_Criteria!$B$35,"QP(ST)",IF(E254&lt;=SG_Criteria!$B$36,"QP(ST) + AC","Geotechnical building works: QP(Geo) + AC"))))</f>
        <v/>
      </c>
      <c r="BJ254" s="33" t="str">
        <f aca="false">IF(D254="","",IF(LEN(IF(AND(V254&lt;&gt;"",IFERROR(VALUE(MID(V254,2,2)),0)&lt;SG_Criteria!$B$19),"FAIL: grade below C"&amp;SG_Criteria!$B$19&amp;". ","")&amp;IF(AND(W254&lt;&gt;"",W254&lt;SG_Criteria!$B$20),"FAIL: cover &lt; "&amp;SG_Criteria!$B$20&amp;" mm. ","")&amp;IF(AND(AD254&lt;&gt;"",AD254&lt;1),"FAIL: sliding. ","")&amp;IF(AND(D254="Reverse L-Wall (toe only, at boundary)",N(S254)&gt;0),"NOTE: reverse L-wall should have no heel. ","")&amp;IF(AND(D254="L-Wall (heel only)",N(R254)&gt;0),"NOTE: L-wall should have no toe. ","")&amp;IF(AND(F254&lt;&gt;"",F254&lt;SG_Criteria!$B$31),"NOTE: q below LTA min "&amp;SG_Criteria!$B$31&amp;" kPa (not for LTA works). ",""))=0,"OK",IF(AND(V254&lt;&gt;"",IFERROR(VALUE(MID(V254,2,2)),0)&lt;SG_Criteria!$B$19),"FAIL: grade below C"&amp;SG_Criteria!$B$19&amp;". ","")&amp;IF(AND(W254&lt;&gt;"",W254&lt;SG_Criteria!$B$20),"FAIL: cover &lt; "&amp;SG_Criteria!$B$20&amp;" mm. ","")&amp;IF(AND(AD254&lt;&gt;"",AD254&lt;1),"FAIL: sliding. ","")&amp;IF(AND(D254="Reverse L-Wall (toe only, at boundary)",N(S254)&gt;0),"NOTE: reverse L-wall should have no heel. ","")&amp;IF(AND(D254="L-Wall (heel only)",N(R254)&gt;0),"NOTE: L-wall should have no toe. ","")&amp;IF(AND(F254&lt;&gt;"",F254&lt;SG_Criteria!$B$31),"NOTE: q below LTA min "&amp;SG_Criteria!$B$31&amp;" kPa (not for LTA works). ","")))</f>
        <v/>
      </c>
      <c r="BK254" s="9"/>
      <c r="BL254" s="9"/>
      <c r="BM254" s="9"/>
      <c r="BN254" s="10" t="str">
        <f aca="false">IF(BM254="","",IFERROR(VLOOKUP(BM254,Projects!$A$5:$D$504,2,0),"Ref not in Projects"))</f>
        <v/>
      </c>
      <c r="BO254" s="10" t="str">
        <f aca="false">IF(BM254="","",IFERROR(VLOOKUP(BM254,Projects!$A$5:$D$504,4,0),"Ref not in Projects"))</f>
        <v/>
      </c>
      <c r="BP254" s="9"/>
      <c r="BQ254" s="9"/>
      <c r="BR254" s="9"/>
      <c r="BS254" s="40"/>
      <c r="BT254" s="9"/>
      <c r="BU254" s="40"/>
      <c r="BV254" s="9"/>
      <c r="BW254" s="40"/>
      <c r="BX254" s="9"/>
      <c r="BY254" s="9"/>
      <c r="BZ254" s="9"/>
      <c r="CA254" s="40"/>
      <c r="CB254" s="40"/>
      <c r="CC254" s="36" t="str">
        <f aca="false">IF(CB254="","",EDATE(CB254,SG_Criteria!$B$54*12))</f>
        <v/>
      </c>
      <c r="CD254" s="33" t="str">
        <f aca="true">IF(A254="","",IF(CB254="","NOTE: not reviewed yet",IF(TODAY()&gt;CC254,"NOTE: review overdue","OK")))</f>
        <v/>
      </c>
      <c r="CE254" s="37" t="str">
        <f aca="false">IF(A254="","",ROUND((IF(LEN(D254)&gt;0,1,0)+IF(LEN(E254)&gt;0,1,0)+IF(LEN(F254)&gt;0,1,0)+IF(LEN(G254)&gt;0,1,0)+IF(LEN(I254)&gt;0,1,0)+IF(LEN(K254)&gt;0,1,0)+IF(LEN(P254)&gt;0,1,0)+IF(LEN(Q254)&gt;0,1,0)+IF(LEN(T254)&gt;0,1,0)+IF(LEN(V254)&gt;0,1,0)+IF(LEN(W254)&gt;0,1,0)+IF(LEN(X254)&gt;0,1,0)+IF(LEN(Z254)&gt;0,1,0)+IF(LEN(AD254)&gt;0,1,0)+IF(LEN(AE254)&gt;0,1,0)+IF(LEN(AG254)&gt;0,1,0)+IF(LEN(AI254)&gt;0,1,0)+IF(LEN(BB254)&gt;0,1,0)+IF(LEN(BC254)&gt;0,1,0)+IF(LEN(AM254)&gt;0,1,0)+IF(LEN(AO254)&gt;0,1,0)+IF(LEN(AP254)&gt;0,1,0)+IF(LEN(AQ254)&gt;0,1,0)+IF(LEN(AR254)&gt;0,1,0)+IF(LEN(BA254)&gt;0,1,0)+IF(LEN(BM254)&gt;0,1,0)+IF(LEN(BZ254)&gt;0,1,0))/27,2))</f>
        <v/>
      </c>
      <c r="CF254" s="10" t="str">
        <f aca="false">IF(D254="","",IF(AND(AP254="Approved",ISERROR(SEARCH("FAIL",BJ254))),"Y","N"))</f>
        <v/>
      </c>
      <c r="CG254" s="10" t="str">
        <f aca="false">IF(D254="","",D254&amp;"|"&amp;E254&amp;"|"&amp;F254&amp;"|"&amp;G254&amp;"|"&amp;CF254)</f>
        <v/>
      </c>
    </row>
    <row r="255" customFormat="false" ht="15" hidden="false" customHeight="false" outlineLevel="0" collapsed="false">
      <c r="A255" s="10" t="str">
        <f aca="false">IF(D255="","","RW-"&amp;IFERROR(VLOOKUP(D255,Lists!$M$4:$N$22,2,0),"??")&amp;"-H"&amp;TEXT(E255*1000,"0000")&amp;"-S"&amp;F255&amp;IF(G255="Y","-GW","")&amp;"-"&amp;AO255)</f>
        <v/>
      </c>
      <c r="B255" s="10" t="str">
        <f aca="false">IF(D255="","",D255&amp;", H = "&amp;TEXT(E255,"0.0")&amp;" m, q = "&amp;F255&amp;" kPa"&amp;IF(G255="Y",", with GWT","")&amp;", "&amp;I255)</f>
        <v/>
      </c>
      <c r="C255" s="9"/>
      <c r="D255" s="9"/>
      <c r="E255" s="39"/>
      <c r="F255" s="38"/>
      <c r="G255" s="9"/>
      <c r="H255" s="38"/>
      <c r="I255" s="9"/>
      <c r="J255" s="38"/>
      <c r="K255" s="38"/>
      <c r="L255" s="38"/>
      <c r="M255" s="42"/>
      <c r="N255" s="9"/>
      <c r="O255" s="38"/>
      <c r="P255" s="38"/>
      <c r="Q255" s="38"/>
      <c r="R255" s="38"/>
      <c r="S255" s="38"/>
      <c r="T255" s="38"/>
      <c r="U255" s="9"/>
      <c r="V255" s="9"/>
      <c r="W255" s="38"/>
      <c r="X255" s="9"/>
      <c r="Y255" s="9"/>
      <c r="Z255" s="9"/>
      <c r="AA255" s="9"/>
      <c r="AB255" s="9"/>
      <c r="AC255" s="9"/>
      <c r="AD255" s="39"/>
      <c r="AE255" s="39"/>
      <c r="AF255" s="39"/>
      <c r="AG255" s="38"/>
      <c r="AH255" s="38"/>
      <c r="AI255" s="9"/>
      <c r="AJ255" s="38"/>
      <c r="AK255" s="9"/>
      <c r="AL255" s="39"/>
      <c r="AM255" s="9"/>
      <c r="AN255" s="9"/>
      <c r="AO255" s="9"/>
      <c r="AP255" s="9"/>
      <c r="AQ255" s="9"/>
      <c r="AR255" s="9"/>
      <c r="AS255" s="9"/>
      <c r="AT255" s="10" t="str">
        <f aca="false">IF(A255="","",SG_Criteria!$B$6&amp;SG_Criteria!$B$8&amp;"\"&amp;A255&amp;"\")</f>
        <v/>
      </c>
      <c r="AU255" s="10" t="str">
        <f aca="false">IF(A255="","",A255&amp;"_CAD.dwg")</f>
        <v/>
      </c>
      <c r="AV255" s="10" t="str">
        <f aca="false">IF(A255="","",A255&amp;"_DWG.pdf")</f>
        <v/>
      </c>
      <c r="AW255" s="10" t="str">
        <f aca="false">IF(A255="","",IF(AS255="Y",A255&amp;"_STAAD.std","n/a"))</f>
        <v/>
      </c>
      <c r="AX255" s="10" t="str">
        <f aca="false">IF(A255="","",A255&amp;"_CALC.xlsx")</f>
        <v/>
      </c>
      <c r="AY255" s="10" t="str">
        <f aca="false">IF(A255="","",A255&amp;"_CALC.pdf")</f>
        <v/>
      </c>
      <c r="AZ255" s="9"/>
      <c r="BA255" s="9"/>
      <c r="BB255" s="39"/>
      <c r="BC255" s="39"/>
      <c r="BD255" s="39"/>
      <c r="BE255" s="39"/>
      <c r="BF255" s="39"/>
      <c r="BG255" s="12" t="str">
        <f aca="false">IF(A255="","",IF(COUNTIF(Rebar_Schedule!$A$5:$A$2004,A255)=0,"",ROUND(SUMIF(Rebar_Schedule!$A$5:$A$2004,A255,Rebar_Schedule!$K$5:$K$2004),1)))</f>
        <v/>
      </c>
      <c r="BH255" s="33" t="str">
        <f aca="false">IF(A255="","",IF(BG255="","No rebar schedule yet",IF(ABS(BG255-N(BC255))/MAX(N(BC255),1)&gt;SG_Criteria!$B$55,"NOTE: register rebar differs from schedule by "&amp;TEXT(ABS(BG255-N(BC255))/MAX(N(BC255),1),"0%"),"OK")))</f>
        <v/>
      </c>
      <c r="BI255" s="33" t="str">
        <f aca="false">IF(OR(D255="",E255=""),"",IF(E255&lt;=IF(OR(D255="Block / Segmental",D255="Gabion",D255="Reinforced Earth (MSE)"),SG_Criteria!$B$34,SG_Criteria!$B$33),"No ERSS submission",IF(E255&lt;=SG_Criteria!$B$35,"QP(ST)",IF(E255&lt;=SG_Criteria!$B$36,"QP(ST) + AC","Geotechnical building works: QP(Geo) + AC"))))</f>
        <v/>
      </c>
      <c r="BJ255" s="33" t="str">
        <f aca="false">IF(D255="","",IF(LEN(IF(AND(V255&lt;&gt;"",IFERROR(VALUE(MID(V255,2,2)),0)&lt;SG_Criteria!$B$19),"FAIL: grade below C"&amp;SG_Criteria!$B$19&amp;". ","")&amp;IF(AND(W255&lt;&gt;"",W255&lt;SG_Criteria!$B$20),"FAIL: cover &lt; "&amp;SG_Criteria!$B$20&amp;" mm. ","")&amp;IF(AND(AD255&lt;&gt;"",AD255&lt;1),"FAIL: sliding. ","")&amp;IF(AND(D255="Reverse L-Wall (toe only, at boundary)",N(S255)&gt;0),"NOTE: reverse L-wall should have no heel. ","")&amp;IF(AND(D255="L-Wall (heel only)",N(R255)&gt;0),"NOTE: L-wall should have no toe. ","")&amp;IF(AND(F255&lt;&gt;"",F255&lt;SG_Criteria!$B$31),"NOTE: q below LTA min "&amp;SG_Criteria!$B$31&amp;" kPa (not for LTA works). ",""))=0,"OK",IF(AND(V255&lt;&gt;"",IFERROR(VALUE(MID(V255,2,2)),0)&lt;SG_Criteria!$B$19),"FAIL: grade below C"&amp;SG_Criteria!$B$19&amp;". ","")&amp;IF(AND(W255&lt;&gt;"",W255&lt;SG_Criteria!$B$20),"FAIL: cover &lt; "&amp;SG_Criteria!$B$20&amp;" mm. ","")&amp;IF(AND(AD255&lt;&gt;"",AD255&lt;1),"FAIL: sliding. ","")&amp;IF(AND(D255="Reverse L-Wall (toe only, at boundary)",N(S255)&gt;0),"NOTE: reverse L-wall should have no heel. ","")&amp;IF(AND(D255="L-Wall (heel only)",N(R255)&gt;0),"NOTE: L-wall should have no toe. ","")&amp;IF(AND(F255&lt;&gt;"",F255&lt;SG_Criteria!$B$31),"NOTE: q below LTA min "&amp;SG_Criteria!$B$31&amp;" kPa (not for LTA works). ","")))</f>
        <v/>
      </c>
      <c r="BK255" s="9"/>
      <c r="BL255" s="9"/>
      <c r="BM255" s="9"/>
      <c r="BN255" s="10" t="str">
        <f aca="false">IF(BM255="","",IFERROR(VLOOKUP(BM255,Projects!$A$5:$D$504,2,0),"Ref not in Projects"))</f>
        <v/>
      </c>
      <c r="BO255" s="10" t="str">
        <f aca="false">IF(BM255="","",IFERROR(VLOOKUP(BM255,Projects!$A$5:$D$504,4,0),"Ref not in Projects"))</f>
        <v/>
      </c>
      <c r="BP255" s="9"/>
      <c r="BQ255" s="9"/>
      <c r="BR255" s="9"/>
      <c r="BS255" s="40"/>
      <c r="BT255" s="9"/>
      <c r="BU255" s="40"/>
      <c r="BV255" s="9"/>
      <c r="BW255" s="40"/>
      <c r="BX255" s="9"/>
      <c r="BY255" s="9"/>
      <c r="BZ255" s="9"/>
      <c r="CA255" s="40"/>
      <c r="CB255" s="40"/>
      <c r="CC255" s="36" t="str">
        <f aca="false">IF(CB255="","",EDATE(CB255,SG_Criteria!$B$54*12))</f>
        <v/>
      </c>
      <c r="CD255" s="33" t="str">
        <f aca="true">IF(A255="","",IF(CB255="","NOTE: not reviewed yet",IF(TODAY()&gt;CC255,"NOTE: review overdue","OK")))</f>
        <v/>
      </c>
      <c r="CE255" s="37" t="str">
        <f aca="false">IF(A255="","",ROUND((IF(LEN(D255)&gt;0,1,0)+IF(LEN(E255)&gt;0,1,0)+IF(LEN(F255)&gt;0,1,0)+IF(LEN(G255)&gt;0,1,0)+IF(LEN(I255)&gt;0,1,0)+IF(LEN(K255)&gt;0,1,0)+IF(LEN(P255)&gt;0,1,0)+IF(LEN(Q255)&gt;0,1,0)+IF(LEN(T255)&gt;0,1,0)+IF(LEN(V255)&gt;0,1,0)+IF(LEN(W255)&gt;0,1,0)+IF(LEN(X255)&gt;0,1,0)+IF(LEN(Z255)&gt;0,1,0)+IF(LEN(AD255)&gt;0,1,0)+IF(LEN(AE255)&gt;0,1,0)+IF(LEN(AG255)&gt;0,1,0)+IF(LEN(AI255)&gt;0,1,0)+IF(LEN(BB255)&gt;0,1,0)+IF(LEN(BC255)&gt;0,1,0)+IF(LEN(AM255)&gt;0,1,0)+IF(LEN(AO255)&gt;0,1,0)+IF(LEN(AP255)&gt;0,1,0)+IF(LEN(AQ255)&gt;0,1,0)+IF(LEN(AR255)&gt;0,1,0)+IF(LEN(BA255)&gt;0,1,0)+IF(LEN(BM255)&gt;0,1,0)+IF(LEN(BZ255)&gt;0,1,0))/27,2))</f>
        <v/>
      </c>
      <c r="CF255" s="10" t="str">
        <f aca="false">IF(D255="","",IF(AND(AP255="Approved",ISERROR(SEARCH("FAIL",BJ255))),"Y","N"))</f>
        <v/>
      </c>
      <c r="CG255" s="10" t="str">
        <f aca="false">IF(D255="","",D255&amp;"|"&amp;E255&amp;"|"&amp;F255&amp;"|"&amp;G255&amp;"|"&amp;CF255)</f>
        <v/>
      </c>
    </row>
    <row r="256" customFormat="false" ht="15" hidden="false" customHeight="false" outlineLevel="0" collapsed="false">
      <c r="A256" s="10" t="str">
        <f aca="false">IF(D256="","","RW-"&amp;IFERROR(VLOOKUP(D256,Lists!$M$4:$N$22,2,0),"??")&amp;"-H"&amp;TEXT(E256*1000,"0000")&amp;"-S"&amp;F256&amp;IF(G256="Y","-GW","")&amp;"-"&amp;AO256)</f>
        <v/>
      </c>
      <c r="B256" s="10" t="str">
        <f aca="false">IF(D256="","",D256&amp;", H = "&amp;TEXT(E256,"0.0")&amp;" m, q = "&amp;F256&amp;" kPa"&amp;IF(G256="Y",", with GWT","")&amp;", "&amp;I256)</f>
        <v/>
      </c>
      <c r="C256" s="9"/>
      <c r="D256" s="9"/>
      <c r="E256" s="39"/>
      <c r="F256" s="38"/>
      <c r="G256" s="9"/>
      <c r="H256" s="38"/>
      <c r="I256" s="9"/>
      <c r="J256" s="38"/>
      <c r="K256" s="38"/>
      <c r="L256" s="38"/>
      <c r="M256" s="42"/>
      <c r="N256" s="9"/>
      <c r="O256" s="38"/>
      <c r="P256" s="38"/>
      <c r="Q256" s="38"/>
      <c r="R256" s="38"/>
      <c r="S256" s="38"/>
      <c r="T256" s="38"/>
      <c r="U256" s="9"/>
      <c r="V256" s="9"/>
      <c r="W256" s="38"/>
      <c r="X256" s="9"/>
      <c r="Y256" s="9"/>
      <c r="Z256" s="9"/>
      <c r="AA256" s="9"/>
      <c r="AB256" s="9"/>
      <c r="AC256" s="9"/>
      <c r="AD256" s="39"/>
      <c r="AE256" s="39"/>
      <c r="AF256" s="39"/>
      <c r="AG256" s="38"/>
      <c r="AH256" s="38"/>
      <c r="AI256" s="9"/>
      <c r="AJ256" s="38"/>
      <c r="AK256" s="9"/>
      <c r="AL256" s="39"/>
      <c r="AM256" s="9"/>
      <c r="AN256" s="9"/>
      <c r="AO256" s="9"/>
      <c r="AP256" s="9"/>
      <c r="AQ256" s="9"/>
      <c r="AR256" s="9"/>
      <c r="AS256" s="9"/>
      <c r="AT256" s="10" t="str">
        <f aca="false">IF(A256="","",SG_Criteria!$B$6&amp;SG_Criteria!$B$8&amp;"\"&amp;A256&amp;"\")</f>
        <v/>
      </c>
      <c r="AU256" s="10" t="str">
        <f aca="false">IF(A256="","",A256&amp;"_CAD.dwg")</f>
        <v/>
      </c>
      <c r="AV256" s="10" t="str">
        <f aca="false">IF(A256="","",A256&amp;"_DWG.pdf")</f>
        <v/>
      </c>
      <c r="AW256" s="10" t="str">
        <f aca="false">IF(A256="","",IF(AS256="Y",A256&amp;"_STAAD.std","n/a"))</f>
        <v/>
      </c>
      <c r="AX256" s="10" t="str">
        <f aca="false">IF(A256="","",A256&amp;"_CALC.xlsx")</f>
        <v/>
      </c>
      <c r="AY256" s="10" t="str">
        <f aca="false">IF(A256="","",A256&amp;"_CALC.pdf")</f>
        <v/>
      </c>
      <c r="AZ256" s="9"/>
      <c r="BA256" s="9"/>
      <c r="BB256" s="39"/>
      <c r="BC256" s="39"/>
      <c r="BD256" s="39"/>
      <c r="BE256" s="39"/>
      <c r="BF256" s="39"/>
      <c r="BG256" s="12" t="str">
        <f aca="false">IF(A256="","",IF(COUNTIF(Rebar_Schedule!$A$5:$A$2004,A256)=0,"",ROUND(SUMIF(Rebar_Schedule!$A$5:$A$2004,A256,Rebar_Schedule!$K$5:$K$2004),1)))</f>
        <v/>
      </c>
      <c r="BH256" s="33" t="str">
        <f aca="false">IF(A256="","",IF(BG256="","No rebar schedule yet",IF(ABS(BG256-N(BC256))/MAX(N(BC256),1)&gt;SG_Criteria!$B$55,"NOTE: register rebar differs from schedule by "&amp;TEXT(ABS(BG256-N(BC256))/MAX(N(BC256),1),"0%"),"OK")))</f>
        <v/>
      </c>
      <c r="BI256" s="33" t="str">
        <f aca="false">IF(OR(D256="",E256=""),"",IF(E256&lt;=IF(OR(D256="Block / Segmental",D256="Gabion",D256="Reinforced Earth (MSE)"),SG_Criteria!$B$34,SG_Criteria!$B$33),"No ERSS submission",IF(E256&lt;=SG_Criteria!$B$35,"QP(ST)",IF(E256&lt;=SG_Criteria!$B$36,"QP(ST) + AC","Geotechnical building works: QP(Geo) + AC"))))</f>
        <v/>
      </c>
      <c r="BJ256" s="33" t="str">
        <f aca="false">IF(D256="","",IF(LEN(IF(AND(V256&lt;&gt;"",IFERROR(VALUE(MID(V256,2,2)),0)&lt;SG_Criteria!$B$19),"FAIL: grade below C"&amp;SG_Criteria!$B$19&amp;". ","")&amp;IF(AND(W256&lt;&gt;"",W256&lt;SG_Criteria!$B$20),"FAIL: cover &lt; "&amp;SG_Criteria!$B$20&amp;" mm. ","")&amp;IF(AND(AD256&lt;&gt;"",AD256&lt;1),"FAIL: sliding. ","")&amp;IF(AND(D256="Reverse L-Wall (toe only, at boundary)",N(S256)&gt;0),"NOTE: reverse L-wall should have no heel. ","")&amp;IF(AND(D256="L-Wall (heel only)",N(R256)&gt;0),"NOTE: L-wall should have no toe. ","")&amp;IF(AND(F256&lt;&gt;"",F256&lt;SG_Criteria!$B$31),"NOTE: q below LTA min "&amp;SG_Criteria!$B$31&amp;" kPa (not for LTA works). ",""))=0,"OK",IF(AND(V256&lt;&gt;"",IFERROR(VALUE(MID(V256,2,2)),0)&lt;SG_Criteria!$B$19),"FAIL: grade below C"&amp;SG_Criteria!$B$19&amp;". ","")&amp;IF(AND(W256&lt;&gt;"",W256&lt;SG_Criteria!$B$20),"FAIL: cover &lt; "&amp;SG_Criteria!$B$20&amp;" mm. ","")&amp;IF(AND(AD256&lt;&gt;"",AD256&lt;1),"FAIL: sliding. ","")&amp;IF(AND(D256="Reverse L-Wall (toe only, at boundary)",N(S256)&gt;0),"NOTE: reverse L-wall should have no heel. ","")&amp;IF(AND(D256="L-Wall (heel only)",N(R256)&gt;0),"NOTE: L-wall should have no toe. ","")&amp;IF(AND(F256&lt;&gt;"",F256&lt;SG_Criteria!$B$31),"NOTE: q below LTA min "&amp;SG_Criteria!$B$31&amp;" kPa (not for LTA works). ","")))</f>
        <v/>
      </c>
      <c r="BK256" s="9"/>
      <c r="BL256" s="9"/>
      <c r="BM256" s="9"/>
      <c r="BN256" s="10" t="str">
        <f aca="false">IF(BM256="","",IFERROR(VLOOKUP(BM256,Projects!$A$5:$D$504,2,0),"Ref not in Projects"))</f>
        <v/>
      </c>
      <c r="BO256" s="10" t="str">
        <f aca="false">IF(BM256="","",IFERROR(VLOOKUP(BM256,Projects!$A$5:$D$504,4,0),"Ref not in Projects"))</f>
        <v/>
      </c>
      <c r="BP256" s="9"/>
      <c r="BQ256" s="9"/>
      <c r="BR256" s="9"/>
      <c r="BS256" s="40"/>
      <c r="BT256" s="9"/>
      <c r="BU256" s="40"/>
      <c r="BV256" s="9"/>
      <c r="BW256" s="40"/>
      <c r="BX256" s="9"/>
      <c r="BY256" s="9"/>
      <c r="BZ256" s="9"/>
      <c r="CA256" s="40"/>
      <c r="CB256" s="40"/>
      <c r="CC256" s="36" t="str">
        <f aca="false">IF(CB256="","",EDATE(CB256,SG_Criteria!$B$54*12))</f>
        <v/>
      </c>
      <c r="CD256" s="33" t="str">
        <f aca="true">IF(A256="","",IF(CB256="","NOTE: not reviewed yet",IF(TODAY()&gt;CC256,"NOTE: review overdue","OK")))</f>
        <v/>
      </c>
      <c r="CE256" s="37" t="str">
        <f aca="false">IF(A256="","",ROUND((IF(LEN(D256)&gt;0,1,0)+IF(LEN(E256)&gt;0,1,0)+IF(LEN(F256)&gt;0,1,0)+IF(LEN(G256)&gt;0,1,0)+IF(LEN(I256)&gt;0,1,0)+IF(LEN(K256)&gt;0,1,0)+IF(LEN(P256)&gt;0,1,0)+IF(LEN(Q256)&gt;0,1,0)+IF(LEN(T256)&gt;0,1,0)+IF(LEN(V256)&gt;0,1,0)+IF(LEN(W256)&gt;0,1,0)+IF(LEN(X256)&gt;0,1,0)+IF(LEN(Z256)&gt;0,1,0)+IF(LEN(AD256)&gt;0,1,0)+IF(LEN(AE256)&gt;0,1,0)+IF(LEN(AG256)&gt;0,1,0)+IF(LEN(AI256)&gt;0,1,0)+IF(LEN(BB256)&gt;0,1,0)+IF(LEN(BC256)&gt;0,1,0)+IF(LEN(AM256)&gt;0,1,0)+IF(LEN(AO256)&gt;0,1,0)+IF(LEN(AP256)&gt;0,1,0)+IF(LEN(AQ256)&gt;0,1,0)+IF(LEN(AR256)&gt;0,1,0)+IF(LEN(BA256)&gt;0,1,0)+IF(LEN(BM256)&gt;0,1,0)+IF(LEN(BZ256)&gt;0,1,0))/27,2))</f>
        <v/>
      </c>
      <c r="CF256" s="10" t="str">
        <f aca="false">IF(D256="","",IF(AND(AP256="Approved",ISERROR(SEARCH("FAIL",BJ256))),"Y","N"))</f>
        <v/>
      </c>
      <c r="CG256" s="10" t="str">
        <f aca="false">IF(D256="","",D256&amp;"|"&amp;E256&amp;"|"&amp;F256&amp;"|"&amp;G256&amp;"|"&amp;CF256)</f>
        <v/>
      </c>
    </row>
    <row r="257" customFormat="false" ht="15" hidden="false" customHeight="false" outlineLevel="0" collapsed="false">
      <c r="A257" s="10" t="str">
        <f aca="false">IF(D257="","","RW-"&amp;IFERROR(VLOOKUP(D257,Lists!$M$4:$N$22,2,0),"??")&amp;"-H"&amp;TEXT(E257*1000,"0000")&amp;"-S"&amp;F257&amp;IF(G257="Y","-GW","")&amp;"-"&amp;AO257)</f>
        <v/>
      </c>
      <c r="B257" s="10" t="str">
        <f aca="false">IF(D257="","",D257&amp;", H = "&amp;TEXT(E257,"0.0")&amp;" m, q = "&amp;F257&amp;" kPa"&amp;IF(G257="Y",", with GWT","")&amp;", "&amp;I257)</f>
        <v/>
      </c>
      <c r="C257" s="9"/>
      <c r="D257" s="9"/>
      <c r="E257" s="39"/>
      <c r="F257" s="38"/>
      <c r="G257" s="9"/>
      <c r="H257" s="38"/>
      <c r="I257" s="9"/>
      <c r="J257" s="38"/>
      <c r="K257" s="38"/>
      <c r="L257" s="38"/>
      <c r="M257" s="42"/>
      <c r="N257" s="9"/>
      <c r="O257" s="38"/>
      <c r="P257" s="38"/>
      <c r="Q257" s="38"/>
      <c r="R257" s="38"/>
      <c r="S257" s="38"/>
      <c r="T257" s="38"/>
      <c r="U257" s="9"/>
      <c r="V257" s="9"/>
      <c r="W257" s="38"/>
      <c r="X257" s="9"/>
      <c r="Y257" s="9"/>
      <c r="Z257" s="9"/>
      <c r="AA257" s="9"/>
      <c r="AB257" s="9"/>
      <c r="AC257" s="9"/>
      <c r="AD257" s="39"/>
      <c r="AE257" s="39"/>
      <c r="AF257" s="39"/>
      <c r="AG257" s="38"/>
      <c r="AH257" s="38"/>
      <c r="AI257" s="9"/>
      <c r="AJ257" s="38"/>
      <c r="AK257" s="9"/>
      <c r="AL257" s="39"/>
      <c r="AM257" s="9"/>
      <c r="AN257" s="9"/>
      <c r="AO257" s="9"/>
      <c r="AP257" s="9"/>
      <c r="AQ257" s="9"/>
      <c r="AR257" s="9"/>
      <c r="AS257" s="9"/>
      <c r="AT257" s="10" t="str">
        <f aca="false">IF(A257="","",SG_Criteria!$B$6&amp;SG_Criteria!$B$8&amp;"\"&amp;A257&amp;"\")</f>
        <v/>
      </c>
      <c r="AU257" s="10" t="str">
        <f aca="false">IF(A257="","",A257&amp;"_CAD.dwg")</f>
        <v/>
      </c>
      <c r="AV257" s="10" t="str">
        <f aca="false">IF(A257="","",A257&amp;"_DWG.pdf")</f>
        <v/>
      </c>
      <c r="AW257" s="10" t="str">
        <f aca="false">IF(A257="","",IF(AS257="Y",A257&amp;"_STAAD.std","n/a"))</f>
        <v/>
      </c>
      <c r="AX257" s="10" t="str">
        <f aca="false">IF(A257="","",A257&amp;"_CALC.xlsx")</f>
        <v/>
      </c>
      <c r="AY257" s="10" t="str">
        <f aca="false">IF(A257="","",A257&amp;"_CALC.pdf")</f>
        <v/>
      </c>
      <c r="AZ257" s="9"/>
      <c r="BA257" s="9"/>
      <c r="BB257" s="39"/>
      <c r="BC257" s="39"/>
      <c r="BD257" s="39"/>
      <c r="BE257" s="39"/>
      <c r="BF257" s="39"/>
      <c r="BG257" s="12" t="str">
        <f aca="false">IF(A257="","",IF(COUNTIF(Rebar_Schedule!$A$5:$A$2004,A257)=0,"",ROUND(SUMIF(Rebar_Schedule!$A$5:$A$2004,A257,Rebar_Schedule!$K$5:$K$2004),1)))</f>
        <v/>
      </c>
      <c r="BH257" s="33" t="str">
        <f aca="false">IF(A257="","",IF(BG257="","No rebar schedule yet",IF(ABS(BG257-N(BC257))/MAX(N(BC257),1)&gt;SG_Criteria!$B$55,"NOTE: register rebar differs from schedule by "&amp;TEXT(ABS(BG257-N(BC257))/MAX(N(BC257),1),"0%"),"OK")))</f>
        <v/>
      </c>
      <c r="BI257" s="33" t="str">
        <f aca="false">IF(OR(D257="",E257=""),"",IF(E257&lt;=IF(OR(D257="Block / Segmental",D257="Gabion",D257="Reinforced Earth (MSE)"),SG_Criteria!$B$34,SG_Criteria!$B$33),"No ERSS submission",IF(E257&lt;=SG_Criteria!$B$35,"QP(ST)",IF(E257&lt;=SG_Criteria!$B$36,"QP(ST) + AC","Geotechnical building works: QP(Geo) + AC"))))</f>
        <v/>
      </c>
      <c r="BJ257" s="33" t="str">
        <f aca="false">IF(D257="","",IF(LEN(IF(AND(V257&lt;&gt;"",IFERROR(VALUE(MID(V257,2,2)),0)&lt;SG_Criteria!$B$19),"FAIL: grade below C"&amp;SG_Criteria!$B$19&amp;". ","")&amp;IF(AND(W257&lt;&gt;"",W257&lt;SG_Criteria!$B$20),"FAIL: cover &lt; "&amp;SG_Criteria!$B$20&amp;" mm. ","")&amp;IF(AND(AD257&lt;&gt;"",AD257&lt;1),"FAIL: sliding. ","")&amp;IF(AND(D257="Reverse L-Wall (toe only, at boundary)",N(S257)&gt;0),"NOTE: reverse L-wall should have no heel. ","")&amp;IF(AND(D257="L-Wall (heel only)",N(R257)&gt;0),"NOTE: L-wall should have no toe. ","")&amp;IF(AND(F257&lt;&gt;"",F257&lt;SG_Criteria!$B$31),"NOTE: q below LTA min "&amp;SG_Criteria!$B$31&amp;" kPa (not for LTA works). ",""))=0,"OK",IF(AND(V257&lt;&gt;"",IFERROR(VALUE(MID(V257,2,2)),0)&lt;SG_Criteria!$B$19),"FAIL: grade below C"&amp;SG_Criteria!$B$19&amp;". ","")&amp;IF(AND(W257&lt;&gt;"",W257&lt;SG_Criteria!$B$20),"FAIL: cover &lt; "&amp;SG_Criteria!$B$20&amp;" mm. ","")&amp;IF(AND(AD257&lt;&gt;"",AD257&lt;1),"FAIL: sliding. ","")&amp;IF(AND(D257="Reverse L-Wall (toe only, at boundary)",N(S257)&gt;0),"NOTE: reverse L-wall should have no heel. ","")&amp;IF(AND(D257="L-Wall (heel only)",N(R257)&gt;0),"NOTE: L-wall should have no toe. ","")&amp;IF(AND(F257&lt;&gt;"",F257&lt;SG_Criteria!$B$31),"NOTE: q below LTA min "&amp;SG_Criteria!$B$31&amp;" kPa (not for LTA works). ","")))</f>
        <v/>
      </c>
      <c r="BK257" s="9"/>
      <c r="BL257" s="9"/>
      <c r="BM257" s="9"/>
      <c r="BN257" s="10" t="str">
        <f aca="false">IF(BM257="","",IFERROR(VLOOKUP(BM257,Projects!$A$5:$D$504,2,0),"Ref not in Projects"))</f>
        <v/>
      </c>
      <c r="BO257" s="10" t="str">
        <f aca="false">IF(BM257="","",IFERROR(VLOOKUP(BM257,Projects!$A$5:$D$504,4,0),"Ref not in Projects"))</f>
        <v/>
      </c>
      <c r="BP257" s="9"/>
      <c r="BQ257" s="9"/>
      <c r="BR257" s="9"/>
      <c r="BS257" s="40"/>
      <c r="BT257" s="9"/>
      <c r="BU257" s="40"/>
      <c r="BV257" s="9"/>
      <c r="BW257" s="40"/>
      <c r="BX257" s="9"/>
      <c r="BY257" s="9"/>
      <c r="BZ257" s="9"/>
      <c r="CA257" s="40"/>
      <c r="CB257" s="40"/>
      <c r="CC257" s="36" t="str">
        <f aca="false">IF(CB257="","",EDATE(CB257,SG_Criteria!$B$54*12))</f>
        <v/>
      </c>
      <c r="CD257" s="33" t="str">
        <f aca="true">IF(A257="","",IF(CB257="","NOTE: not reviewed yet",IF(TODAY()&gt;CC257,"NOTE: review overdue","OK")))</f>
        <v/>
      </c>
      <c r="CE257" s="37" t="str">
        <f aca="false">IF(A257="","",ROUND((IF(LEN(D257)&gt;0,1,0)+IF(LEN(E257)&gt;0,1,0)+IF(LEN(F257)&gt;0,1,0)+IF(LEN(G257)&gt;0,1,0)+IF(LEN(I257)&gt;0,1,0)+IF(LEN(K257)&gt;0,1,0)+IF(LEN(P257)&gt;0,1,0)+IF(LEN(Q257)&gt;0,1,0)+IF(LEN(T257)&gt;0,1,0)+IF(LEN(V257)&gt;0,1,0)+IF(LEN(W257)&gt;0,1,0)+IF(LEN(X257)&gt;0,1,0)+IF(LEN(Z257)&gt;0,1,0)+IF(LEN(AD257)&gt;0,1,0)+IF(LEN(AE257)&gt;0,1,0)+IF(LEN(AG257)&gt;0,1,0)+IF(LEN(AI257)&gt;0,1,0)+IF(LEN(BB257)&gt;0,1,0)+IF(LEN(BC257)&gt;0,1,0)+IF(LEN(AM257)&gt;0,1,0)+IF(LEN(AO257)&gt;0,1,0)+IF(LEN(AP257)&gt;0,1,0)+IF(LEN(AQ257)&gt;0,1,0)+IF(LEN(AR257)&gt;0,1,0)+IF(LEN(BA257)&gt;0,1,0)+IF(LEN(BM257)&gt;0,1,0)+IF(LEN(BZ257)&gt;0,1,0))/27,2))</f>
        <v/>
      </c>
      <c r="CF257" s="10" t="str">
        <f aca="false">IF(D257="","",IF(AND(AP257="Approved",ISERROR(SEARCH("FAIL",BJ257))),"Y","N"))</f>
        <v/>
      </c>
      <c r="CG257" s="10" t="str">
        <f aca="false">IF(D257="","",D257&amp;"|"&amp;E257&amp;"|"&amp;F257&amp;"|"&amp;G257&amp;"|"&amp;CF257)</f>
        <v/>
      </c>
    </row>
    <row r="258" customFormat="false" ht="15" hidden="false" customHeight="false" outlineLevel="0" collapsed="false">
      <c r="A258" s="10" t="str">
        <f aca="false">IF(D258="","","RW-"&amp;IFERROR(VLOOKUP(D258,Lists!$M$4:$N$22,2,0),"??")&amp;"-H"&amp;TEXT(E258*1000,"0000")&amp;"-S"&amp;F258&amp;IF(G258="Y","-GW","")&amp;"-"&amp;AO258)</f>
        <v/>
      </c>
      <c r="B258" s="10" t="str">
        <f aca="false">IF(D258="","",D258&amp;", H = "&amp;TEXT(E258,"0.0")&amp;" m, q = "&amp;F258&amp;" kPa"&amp;IF(G258="Y",", with GWT","")&amp;", "&amp;I258)</f>
        <v/>
      </c>
      <c r="C258" s="9"/>
      <c r="D258" s="9"/>
      <c r="E258" s="39"/>
      <c r="F258" s="38"/>
      <c r="G258" s="9"/>
      <c r="H258" s="38"/>
      <c r="I258" s="9"/>
      <c r="J258" s="38"/>
      <c r="K258" s="38"/>
      <c r="L258" s="38"/>
      <c r="M258" s="42"/>
      <c r="N258" s="9"/>
      <c r="O258" s="38"/>
      <c r="P258" s="38"/>
      <c r="Q258" s="38"/>
      <c r="R258" s="38"/>
      <c r="S258" s="38"/>
      <c r="T258" s="38"/>
      <c r="U258" s="9"/>
      <c r="V258" s="9"/>
      <c r="W258" s="38"/>
      <c r="X258" s="9"/>
      <c r="Y258" s="9"/>
      <c r="Z258" s="9"/>
      <c r="AA258" s="9"/>
      <c r="AB258" s="9"/>
      <c r="AC258" s="9"/>
      <c r="AD258" s="39"/>
      <c r="AE258" s="39"/>
      <c r="AF258" s="39"/>
      <c r="AG258" s="38"/>
      <c r="AH258" s="38"/>
      <c r="AI258" s="9"/>
      <c r="AJ258" s="38"/>
      <c r="AK258" s="9"/>
      <c r="AL258" s="39"/>
      <c r="AM258" s="9"/>
      <c r="AN258" s="9"/>
      <c r="AO258" s="9"/>
      <c r="AP258" s="9"/>
      <c r="AQ258" s="9"/>
      <c r="AR258" s="9"/>
      <c r="AS258" s="9"/>
      <c r="AT258" s="10" t="str">
        <f aca="false">IF(A258="","",SG_Criteria!$B$6&amp;SG_Criteria!$B$8&amp;"\"&amp;A258&amp;"\")</f>
        <v/>
      </c>
      <c r="AU258" s="10" t="str">
        <f aca="false">IF(A258="","",A258&amp;"_CAD.dwg")</f>
        <v/>
      </c>
      <c r="AV258" s="10" t="str">
        <f aca="false">IF(A258="","",A258&amp;"_DWG.pdf")</f>
        <v/>
      </c>
      <c r="AW258" s="10" t="str">
        <f aca="false">IF(A258="","",IF(AS258="Y",A258&amp;"_STAAD.std","n/a"))</f>
        <v/>
      </c>
      <c r="AX258" s="10" t="str">
        <f aca="false">IF(A258="","",A258&amp;"_CALC.xlsx")</f>
        <v/>
      </c>
      <c r="AY258" s="10" t="str">
        <f aca="false">IF(A258="","",A258&amp;"_CALC.pdf")</f>
        <v/>
      </c>
      <c r="AZ258" s="9"/>
      <c r="BA258" s="9"/>
      <c r="BB258" s="39"/>
      <c r="BC258" s="39"/>
      <c r="BD258" s="39"/>
      <c r="BE258" s="39"/>
      <c r="BF258" s="39"/>
      <c r="BG258" s="12" t="str">
        <f aca="false">IF(A258="","",IF(COUNTIF(Rebar_Schedule!$A$5:$A$2004,A258)=0,"",ROUND(SUMIF(Rebar_Schedule!$A$5:$A$2004,A258,Rebar_Schedule!$K$5:$K$2004),1)))</f>
        <v/>
      </c>
      <c r="BH258" s="33" t="str">
        <f aca="false">IF(A258="","",IF(BG258="","No rebar schedule yet",IF(ABS(BG258-N(BC258))/MAX(N(BC258),1)&gt;SG_Criteria!$B$55,"NOTE: register rebar differs from schedule by "&amp;TEXT(ABS(BG258-N(BC258))/MAX(N(BC258),1),"0%"),"OK")))</f>
        <v/>
      </c>
      <c r="BI258" s="33" t="str">
        <f aca="false">IF(OR(D258="",E258=""),"",IF(E258&lt;=IF(OR(D258="Block / Segmental",D258="Gabion",D258="Reinforced Earth (MSE)"),SG_Criteria!$B$34,SG_Criteria!$B$33),"No ERSS submission",IF(E258&lt;=SG_Criteria!$B$35,"QP(ST)",IF(E258&lt;=SG_Criteria!$B$36,"QP(ST) + AC","Geotechnical building works: QP(Geo) + AC"))))</f>
        <v/>
      </c>
      <c r="BJ258" s="33" t="str">
        <f aca="false">IF(D258="","",IF(LEN(IF(AND(V258&lt;&gt;"",IFERROR(VALUE(MID(V258,2,2)),0)&lt;SG_Criteria!$B$19),"FAIL: grade below C"&amp;SG_Criteria!$B$19&amp;". ","")&amp;IF(AND(W258&lt;&gt;"",W258&lt;SG_Criteria!$B$20),"FAIL: cover &lt; "&amp;SG_Criteria!$B$20&amp;" mm. ","")&amp;IF(AND(AD258&lt;&gt;"",AD258&lt;1),"FAIL: sliding. ","")&amp;IF(AND(D258="Reverse L-Wall (toe only, at boundary)",N(S258)&gt;0),"NOTE: reverse L-wall should have no heel. ","")&amp;IF(AND(D258="L-Wall (heel only)",N(R258)&gt;0),"NOTE: L-wall should have no toe. ","")&amp;IF(AND(F258&lt;&gt;"",F258&lt;SG_Criteria!$B$31),"NOTE: q below LTA min "&amp;SG_Criteria!$B$31&amp;" kPa (not for LTA works). ",""))=0,"OK",IF(AND(V258&lt;&gt;"",IFERROR(VALUE(MID(V258,2,2)),0)&lt;SG_Criteria!$B$19),"FAIL: grade below C"&amp;SG_Criteria!$B$19&amp;". ","")&amp;IF(AND(W258&lt;&gt;"",W258&lt;SG_Criteria!$B$20),"FAIL: cover &lt; "&amp;SG_Criteria!$B$20&amp;" mm. ","")&amp;IF(AND(AD258&lt;&gt;"",AD258&lt;1),"FAIL: sliding. ","")&amp;IF(AND(D258="Reverse L-Wall (toe only, at boundary)",N(S258)&gt;0),"NOTE: reverse L-wall should have no heel. ","")&amp;IF(AND(D258="L-Wall (heel only)",N(R258)&gt;0),"NOTE: L-wall should have no toe. ","")&amp;IF(AND(F258&lt;&gt;"",F258&lt;SG_Criteria!$B$31),"NOTE: q below LTA min "&amp;SG_Criteria!$B$31&amp;" kPa (not for LTA works). ","")))</f>
        <v/>
      </c>
      <c r="BK258" s="9"/>
      <c r="BL258" s="9"/>
      <c r="BM258" s="9"/>
      <c r="BN258" s="10" t="str">
        <f aca="false">IF(BM258="","",IFERROR(VLOOKUP(BM258,Projects!$A$5:$D$504,2,0),"Ref not in Projects"))</f>
        <v/>
      </c>
      <c r="BO258" s="10" t="str">
        <f aca="false">IF(BM258="","",IFERROR(VLOOKUP(BM258,Projects!$A$5:$D$504,4,0),"Ref not in Projects"))</f>
        <v/>
      </c>
      <c r="BP258" s="9"/>
      <c r="BQ258" s="9"/>
      <c r="BR258" s="9"/>
      <c r="BS258" s="40"/>
      <c r="BT258" s="9"/>
      <c r="BU258" s="40"/>
      <c r="BV258" s="9"/>
      <c r="BW258" s="40"/>
      <c r="BX258" s="9"/>
      <c r="BY258" s="9"/>
      <c r="BZ258" s="9"/>
      <c r="CA258" s="40"/>
      <c r="CB258" s="40"/>
      <c r="CC258" s="36" t="str">
        <f aca="false">IF(CB258="","",EDATE(CB258,SG_Criteria!$B$54*12))</f>
        <v/>
      </c>
      <c r="CD258" s="33" t="str">
        <f aca="true">IF(A258="","",IF(CB258="","NOTE: not reviewed yet",IF(TODAY()&gt;CC258,"NOTE: review overdue","OK")))</f>
        <v/>
      </c>
      <c r="CE258" s="37" t="str">
        <f aca="false">IF(A258="","",ROUND((IF(LEN(D258)&gt;0,1,0)+IF(LEN(E258)&gt;0,1,0)+IF(LEN(F258)&gt;0,1,0)+IF(LEN(G258)&gt;0,1,0)+IF(LEN(I258)&gt;0,1,0)+IF(LEN(K258)&gt;0,1,0)+IF(LEN(P258)&gt;0,1,0)+IF(LEN(Q258)&gt;0,1,0)+IF(LEN(T258)&gt;0,1,0)+IF(LEN(V258)&gt;0,1,0)+IF(LEN(W258)&gt;0,1,0)+IF(LEN(X258)&gt;0,1,0)+IF(LEN(Z258)&gt;0,1,0)+IF(LEN(AD258)&gt;0,1,0)+IF(LEN(AE258)&gt;0,1,0)+IF(LEN(AG258)&gt;0,1,0)+IF(LEN(AI258)&gt;0,1,0)+IF(LEN(BB258)&gt;0,1,0)+IF(LEN(BC258)&gt;0,1,0)+IF(LEN(AM258)&gt;0,1,0)+IF(LEN(AO258)&gt;0,1,0)+IF(LEN(AP258)&gt;0,1,0)+IF(LEN(AQ258)&gt;0,1,0)+IF(LEN(AR258)&gt;0,1,0)+IF(LEN(BA258)&gt;0,1,0)+IF(LEN(BM258)&gt;0,1,0)+IF(LEN(BZ258)&gt;0,1,0))/27,2))</f>
        <v/>
      </c>
      <c r="CF258" s="10" t="str">
        <f aca="false">IF(D258="","",IF(AND(AP258="Approved",ISERROR(SEARCH("FAIL",BJ258))),"Y","N"))</f>
        <v/>
      </c>
      <c r="CG258" s="10" t="str">
        <f aca="false">IF(D258="","",D258&amp;"|"&amp;E258&amp;"|"&amp;F258&amp;"|"&amp;G258&amp;"|"&amp;CF258)</f>
        <v/>
      </c>
    </row>
    <row r="259" customFormat="false" ht="15" hidden="false" customHeight="false" outlineLevel="0" collapsed="false">
      <c r="A259" s="10" t="str">
        <f aca="false">IF(D259="","","RW-"&amp;IFERROR(VLOOKUP(D259,Lists!$M$4:$N$22,2,0),"??")&amp;"-H"&amp;TEXT(E259*1000,"0000")&amp;"-S"&amp;F259&amp;IF(G259="Y","-GW","")&amp;"-"&amp;AO259)</f>
        <v/>
      </c>
      <c r="B259" s="10" t="str">
        <f aca="false">IF(D259="","",D259&amp;", H = "&amp;TEXT(E259,"0.0")&amp;" m, q = "&amp;F259&amp;" kPa"&amp;IF(G259="Y",", with GWT","")&amp;", "&amp;I259)</f>
        <v/>
      </c>
      <c r="C259" s="9"/>
      <c r="D259" s="9"/>
      <c r="E259" s="39"/>
      <c r="F259" s="38"/>
      <c r="G259" s="9"/>
      <c r="H259" s="38"/>
      <c r="I259" s="9"/>
      <c r="J259" s="38"/>
      <c r="K259" s="38"/>
      <c r="L259" s="38"/>
      <c r="M259" s="42"/>
      <c r="N259" s="9"/>
      <c r="O259" s="38"/>
      <c r="P259" s="38"/>
      <c r="Q259" s="38"/>
      <c r="R259" s="38"/>
      <c r="S259" s="38"/>
      <c r="T259" s="38"/>
      <c r="U259" s="9"/>
      <c r="V259" s="9"/>
      <c r="W259" s="38"/>
      <c r="X259" s="9"/>
      <c r="Y259" s="9"/>
      <c r="Z259" s="9"/>
      <c r="AA259" s="9"/>
      <c r="AB259" s="9"/>
      <c r="AC259" s="9"/>
      <c r="AD259" s="39"/>
      <c r="AE259" s="39"/>
      <c r="AF259" s="39"/>
      <c r="AG259" s="38"/>
      <c r="AH259" s="38"/>
      <c r="AI259" s="9"/>
      <c r="AJ259" s="38"/>
      <c r="AK259" s="9"/>
      <c r="AL259" s="39"/>
      <c r="AM259" s="9"/>
      <c r="AN259" s="9"/>
      <c r="AO259" s="9"/>
      <c r="AP259" s="9"/>
      <c r="AQ259" s="9"/>
      <c r="AR259" s="9"/>
      <c r="AS259" s="9"/>
      <c r="AT259" s="10" t="str">
        <f aca="false">IF(A259="","",SG_Criteria!$B$6&amp;SG_Criteria!$B$8&amp;"\"&amp;A259&amp;"\")</f>
        <v/>
      </c>
      <c r="AU259" s="10" t="str">
        <f aca="false">IF(A259="","",A259&amp;"_CAD.dwg")</f>
        <v/>
      </c>
      <c r="AV259" s="10" t="str">
        <f aca="false">IF(A259="","",A259&amp;"_DWG.pdf")</f>
        <v/>
      </c>
      <c r="AW259" s="10" t="str">
        <f aca="false">IF(A259="","",IF(AS259="Y",A259&amp;"_STAAD.std","n/a"))</f>
        <v/>
      </c>
      <c r="AX259" s="10" t="str">
        <f aca="false">IF(A259="","",A259&amp;"_CALC.xlsx")</f>
        <v/>
      </c>
      <c r="AY259" s="10" t="str">
        <f aca="false">IF(A259="","",A259&amp;"_CALC.pdf")</f>
        <v/>
      </c>
      <c r="AZ259" s="9"/>
      <c r="BA259" s="9"/>
      <c r="BB259" s="39"/>
      <c r="BC259" s="39"/>
      <c r="BD259" s="39"/>
      <c r="BE259" s="39"/>
      <c r="BF259" s="39"/>
      <c r="BG259" s="12" t="str">
        <f aca="false">IF(A259="","",IF(COUNTIF(Rebar_Schedule!$A$5:$A$2004,A259)=0,"",ROUND(SUMIF(Rebar_Schedule!$A$5:$A$2004,A259,Rebar_Schedule!$K$5:$K$2004),1)))</f>
        <v/>
      </c>
      <c r="BH259" s="33" t="str">
        <f aca="false">IF(A259="","",IF(BG259="","No rebar schedule yet",IF(ABS(BG259-N(BC259))/MAX(N(BC259),1)&gt;SG_Criteria!$B$55,"NOTE: register rebar differs from schedule by "&amp;TEXT(ABS(BG259-N(BC259))/MAX(N(BC259),1),"0%"),"OK")))</f>
        <v/>
      </c>
      <c r="BI259" s="33" t="str">
        <f aca="false">IF(OR(D259="",E259=""),"",IF(E259&lt;=IF(OR(D259="Block / Segmental",D259="Gabion",D259="Reinforced Earth (MSE)"),SG_Criteria!$B$34,SG_Criteria!$B$33),"No ERSS submission",IF(E259&lt;=SG_Criteria!$B$35,"QP(ST)",IF(E259&lt;=SG_Criteria!$B$36,"QP(ST) + AC","Geotechnical building works: QP(Geo) + AC"))))</f>
        <v/>
      </c>
      <c r="BJ259" s="33" t="str">
        <f aca="false">IF(D259="","",IF(LEN(IF(AND(V259&lt;&gt;"",IFERROR(VALUE(MID(V259,2,2)),0)&lt;SG_Criteria!$B$19),"FAIL: grade below C"&amp;SG_Criteria!$B$19&amp;". ","")&amp;IF(AND(W259&lt;&gt;"",W259&lt;SG_Criteria!$B$20),"FAIL: cover &lt; "&amp;SG_Criteria!$B$20&amp;" mm. ","")&amp;IF(AND(AD259&lt;&gt;"",AD259&lt;1),"FAIL: sliding. ","")&amp;IF(AND(D259="Reverse L-Wall (toe only, at boundary)",N(S259)&gt;0),"NOTE: reverse L-wall should have no heel. ","")&amp;IF(AND(D259="L-Wall (heel only)",N(R259)&gt;0),"NOTE: L-wall should have no toe. ","")&amp;IF(AND(F259&lt;&gt;"",F259&lt;SG_Criteria!$B$31),"NOTE: q below LTA min "&amp;SG_Criteria!$B$31&amp;" kPa (not for LTA works). ",""))=0,"OK",IF(AND(V259&lt;&gt;"",IFERROR(VALUE(MID(V259,2,2)),0)&lt;SG_Criteria!$B$19),"FAIL: grade below C"&amp;SG_Criteria!$B$19&amp;". ","")&amp;IF(AND(W259&lt;&gt;"",W259&lt;SG_Criteria!$B$20),"FAIL: cover &lt; "&amp;SG_Criteria!$B$20&amp;" mm. ","")&amp;IF(AND(AD259&lt;&gt;"",AD259&lt;1),"FAIL: sliding. ","")&amp;IF(AND(D259="Reverse L-Wall (toe only, at boundary)",N(S259)&gt;0),"NOTE: reverse L-wall should have no heel. ","")&amp;IF(AND(D259="L-Wall (heel only)",N(R259)&gt;0),"NOTE: L-wall should have no toe. ","")&amp;IF(AND(F259&lt;&gt;"",F259&lt;SG_Criteria!$B$31),"NOTE: q below LTA min "&amp;SG_Criteria!$B$31&amp;" kPa (not for LTA works). ","")))</f>
        <v/>
      </c>
      <c r="BK259" s="9"/>
      <c r="BL259" s="9"/>
      <c r="BM259" s="9"/>
      <c r="BN259" s="10" t="str">
        <f aca="false">IF(BM259="","",IFERROR(VLOOKUP(BM259,Projects!$A$5:$D$504,2,0),"Ref not in Projects"))</f>
        <v/>
      </c>
      <c r="BO259" s="10" t="str">
        <f aca="false">IF(BM259="","",IFERROR(VLOOKUP(BM259,Projects!$A$5:$D$504,4,0),"Ref not in Projects"))</f>
        <v/>
      </c>
      <c r="BP259" s="9"/>
      <c r="BQ259" s="9"/>
      <c r="BR259" s="9"/>
      <c r="BS259" s="40"/>
      <c r="BT259" s="9"/>
      <c r="BU259" s="40"/>
      <c r="BV259" s="9"/>
      <c r="BW259" s="40"/>
      <c r="BX259" s="9"/>
      <c r="BY259" s="9"/>
      <c r="BZ259" s="9"/>
      <c r="CA259" s="40"/>
      <c r="CB259" s="40"/>
      <c r="CC259" s="36" t="str">
        <f aca="false">IF(CB259="","",EDATE(CB259,SG_Criteria!$B$54*12))</f>
        <v/>
      </c>
      <c r="CD259" s="33" t="str">
        <f aca="true">IF(A259="","",IF(CB259="","NOTE: not reviewed yet",IF(TODAY()&gt;CC259,"NOTE: review overdue","OK")))</f>
        <v/>
      </c>
      <c r="CE259" s="37" t="str">
        <f aca="false">IF(A259="","",ROUND((IF(LEN(D259)&gt;0,1,0)+IF(LEN(E259)&gt;0,1,0)+IF(LEN(F259)&gt;0,1,0)+IF(LEN(G259)&gt;0,1,0)+IF(LEN(I259)&gt;0,1,0)+IF(LEN(K259)&gt;0,1,0)+IF(LEN(P259)&gt;0,1,0)+IF(LEN(Q259)&gt;0,1,0)+IF(LEN(T259)&gt;0,1,0)+IF(LEN(V259)&gt;0,1,0)+IF(LEN(W259)&gt;0,1,0)+IF(LEN(X259)&gt;0,1,0)+IF(LEN(Z259)&gt;0,1,0)+IF(LEN(AD259)&gt;0,1,0)+IF(LEN(AE259)&gt;0,1,0)+IF(LEN(AG259)&gt;0,1,0)+IF(LEN(AI259)&gt;0,1,0)+IF(LEN(BB259)&gt;0,1,0)+IF(LEN(BC259)&gt;0,1,0)+IF(LEN(AM259)&gt;0,1,0)+IF(LEN(AO259)&gt;0,1,0)+IF(LEN(AP259)&gt;0,1,0)+IF(LEN(AQ259)&gt;0,1,0)+IF(LEN(AR259)&gt;0,1,0)+IF(LEN(BA259)&gt;0,1,0)+IF(LEN(BM259)&gt;0,1,0)+IF(LEN(BZ259)&gt;0,1,0))/27,2))</f>
        <v/>
      </c>
      <c r="CF259" s="10" t="str">
        <f aca="false">IF(D259="","",IF(AND(AP259="Approved",ISERROR(SEARCH("FAIL",BJ259))),"Y","N"))</f>
        <v/>
      </c>
      <c r="CG259" s="10" t="str">
        <f aca="false">IF(D259="","",D259&amp;"|"&amp;E259&amp;"|"&amp;F259&amp;"|"&amp;G259&amp;"|"&amp;CF259)</f>
        <v/>
      </c>
    </row>
    <row r="260" customFormat="false" ht="15" hidden="false" customHeight="false" outlineLevel="0" collapsed="false">
      <c r="A260" s="10" t="str">
        <f aca="false">IF(D260="","","RW-"&amp;IFERROR(VLOOKUP(D260,Lists!$M$4:$N$22,2,0),"??")&amp;"-H"&amp;TEXT(E260*1000,"0000")&amp;"-S"&amp;F260&amp;IF(G260="Y","-GW","")&amp;"-"&amp;AO260)</f>
        <v/>
      </c>
      <c r="B260" s="10" t="str">
        <f aca="false">IF(D260="","",D260&amp;", H = "&amp;TEXT(E260,"0.0")&amp;" m, q = "&amp;F260&amp;" kPa"&amp;IF(G260="Y",", with GWT","")&amp;", "&amp;I260)</f>
        <v/>
      </c>
      <c r="C260" s="9"/>
      <c r="D260" s="9"/>
      <c r="E260" s="39"/>
      <c r="F260" s="38"/>
      <c r="G260" s="9"/>
      <c r="H260" s="38"/>
      <c r="I260" s="9"/>
      <c r="J260" s="38"/>
      <c r="K260" s="38"/>
      <c r="L260" s="38"/>
      <c r="M260" s="42"/>
      <c r="N260" s="9"/>
      <c r="O260" s="38"/>
      <c r="P260" s="38"/>
      <c r="Q260" s="38"/>
      <c r="R260" s="38"/>
      <c r="S260" s="38"/>
      <c r="T260" s="38"/>
      <c r="U260" s="9"/>
      <c r="V260" s="9"/>
      <c r="W260" s="38"/>
      <c r="X260" s="9"/>
      <c r="Y260" s="9"/>
      <c r="Z260" s="9"/>
      <c r="AA260" s="9"/>
      <c r="AB260" s="9"/>
      <c r="AC260" s="9"/>
      <c r="AD260" s="39"/>
      <c r="AE260" s="39"/>
      <c r="AF260" s="39"/>
      <c r="AG260" s="38"/>
      <c r="AH260" s="38"/>
      <c r="AI260" s="9"/>
      <c r="AJ260" s="38"/>
      <c r="AK260" s="9"/>
      <c r="AL260" s="39"/>
      <c r="AM260" s="9"/>
      <c r="AN260" s="9"/>
      <c r="AO260" s="9"/>
      <c r="AP260" s="9"/>
      <c r="AQ260" s="9"/>
      <c r="AR260" s="9"/>
      <c r="AS260" s="9"/>
      <c r="AT260" s="10" t="str">
        <f aca="false">IF(A260="","",SG_Criteria!$B$6&amp;SG_Criteria!$B$8&amp;"\"&amp;A260&amp;"\")</f>
        <v/>
      </c>
      <c r="AU260" s="10" t="str">
        <f aca="false">IF(A260="","",A260&amp;"_CAD.dwg")</f>
        <v/>
      </c>
      <c r="AV260" s="10" t="str">
        <f aca="false">IF(A260="","",A260&amp;"_DWG.pdf")</f>
        <v/>
      </c>
      <c r="AW260" s="10" t="str">
        <f aca="false">IF(A260="","",IF(AS260="Y",A260&amp;"_STAAD.std","n/a"))</f>
        <v/>
      </c>
      <c r="AX260" s="10" t="str">
        <f aca="false">IF(A260="","",A260&amp;"_CALC.xlsx")</f>
        <v/>
      </c>
      <c r="AY260" s="10" t="str">
        <f aca="false">IF(A260="","",A260&amp;"_CALC.pdf")</f>
        <v/>
      </c>
      <c r="AZ260" s="9"/>
      <c r="BA260" s="9"/>
      <c r="BB260" s="39"/>
      <c r="BC260" s="39"/>
      <c r="BD260" s="39"/>
      <c r="BE260" s="39"/>
      <c r="BF260" s="39"/>
      <c r="BG260" s="12" t="str">
        <f aca="false">IF(A260="","",IF(COUNTIF(Rebar_Schedule!$A$5:$A$2004,A260)=0,"",ROUND(SUMIF(Rebar_Schedule!$A$5:$A$2004,A260,Rebar_Schedule!$K$5:$K$2004),1)))</f>
        <v/>
      </c>
      <c r="BH260" s="33" t="str">
        <f aca="false">IF(A260="","",IF(BG260="","No rebar schedule yet",IF(ABS(BG260-N(BC260))/MAX(N(BC260),1)&gt;SG_Criteria!$B$55,"NOTE: register rebar differs from schedule by "&amp;TEXT(ABS(BG260-N(BC260))/MAX(N(BC260),1),"0%"),"OK")))</f>
        <v/>
      </c>
      <c r="BI260" s="33" t="str">
        <f aca="false">IF(OR(D260="",E260=""),"",IF(E260&lt;=IF(OR(D260="Block / Segmental",D260="Gabion",D260="Reinforced Earth (MSE)"),SG_Criteria!$B$34,SG_Criteria!$B$33),"No ERSS submission",IF(E260&lt;=SG_Criteria!$B$35,"QP(ST)",IF(E260&lt;=SG_Criteria!$B$36,"QP(ST) + AC","Geotechnical building works: QP(Geo) + AC"))))</f>
        <v/>
      </c>
      <c r="BJ260" s="33" t="str">
        <f aca="false">IF(D260="","",IF(LEN(IF(AND(V260&lt;&gt;"",IFERROR(VALUE(MID(V260,2,2)),0)&lt;SG_Criteria!$B$19),"FAIL: grade below C"&amp;SG_Criteria!$B$19&amp;". ","")&amp;IF(AND(W260&lt;&gt;"",W260&lt;SG_Criteria!$B$20),"FAIL: cover &lt; "&amp;SG_Criteria!$B$20&amp;" mm. ","")&amp;IF(AND(AD260&lt;&gt;"",AD260&lt;1),"FAIL: sliding. ","")&amp;IF(AND(D260="Reverse L-Wall (toe only, at boundary)",N(S260)&gt;0),"NOTE: reverse L-wall should have no heel. ","")&amp;IF(AND(D260="L-Wall (heel only)",N(R260)&gt;0),"NOTE: L-wall should have no toe. ","")&amp;IF(AND(F260&lt;&gt;"",F260&lt;SG_Criteria!$B$31),"NOTE: q below LTA min "&amp;SG_Criteria!$B$31&amp;" kPa (not for LTA works). ",""))=0,"OK",IF(AND(V260&lt;&gt;"",IFERROR(VALUE(MID(V260,2,2)),0)&lt;SG_Criteria!$B$19),"FAIL: grade below C"&amp;SG_Criteria!$B$19&amp;". ","")&amp;IF(AND(W260&lt;&gt;"",W260&lt;SG_Criteria!$B$20),"FAIL: cover &lt; "&amp;SG_Criteria!$B$20&amp;" mm. ","")&amp;IF(AND(AD260&lt;&gt;"",AD260&lt;1),"FAIL: sliding. ","")&amp;IF(AND(D260="Reverse L-Wall (toe only, at boundary)",N(S260)&gt;0),"NOTE: reverse L-wall should have no heel. ","")&amp;IF(AND(D260="L-Wall (heel only)",N(R260)&gt;0),"NOTE: L-wall should have no toe. ","")&amp;IF(AND(F260&lt;&gt;"",F260&lt;SG_Criteria!$B$31),"NOTE: q below LTA min "&amp;SG_Criteria!$B$31&amp;" kPa (not for LTA works). ","")))</f>
        <v/>
      </c>
      <c r="BK260" s="9"/>
      <c r="BL260" s="9"/>
      <c r="BM260" s="9"/>
      <c r="BN260" s="10" t="str">
        <f aca="false">IF(BM260="","",IFERROR(VLOOKUP(BM260,Projects!$A$5:$D$504,2,0),"Ref not in Projects"))</f>
        <v/>
      </c>
      <c r="BO260" s="10" t="str">
        <f aca="false">IF(BM260="","",IFERROR(VLOOKUP(BM260,Projects!$A$5:$D$504,4,0),"Ref not in Projects"))</f>
        <v/>
      </c>
      <c r="BP260" s="9"/>
      <c r="BQ260" s="9"/>
      <c r="BR260" s="9"/>
      <c r="BS260" s="40"/>
      <c r="BT260" s="9"/>
      <c r="BU260" s="40"/>
      <c r="BV260" s="9"/>
      <c r="BW260" s="40"/>
      <c r="BX260" s="9"/>
      <c r="BY260" s="9"/>
      <c r="BZ260" s="9"/>
      <c r="CA260" s="40"/>
      <c r="CB260" s="40"/>
      <c r="CC260" s="36" t="str">
        <f aca="false">IF(CB260="","",EDATE(CB260,SG_Criteria!$B$54*12))</f>
        <v/>
      </c>
      <c r="CD260" s="33" t="str">
        <f aca="true">IF(A260="","",IF(CB260="","NOTE: not reviewed yet",IF(TODAY()&gt;CC260,"NOTE: review overdue","OK")))</f>
        <v/>
      </c>
      <c r="CE260" s="37" t="str">
        <f aca="false">IF(A260="","",ROUND((IF(LEN(D260)&gt;0,1,0)+IF(LEN(E260)&gt;0,1,0)+IF(LEN(F260)&gt;0,1,0)+IF(LEN(G260)&gt;0,1,0)+IF(LEN(I260)&gt;0,1,0)+IF(LEN(K260)&gt;0,1,0)+IF(LEN(P260)&gt;0,1,0)+IF(LEN(Q260)&gt;0,1,0)+IF(LEN(T260)&gt;0,1,0)+IF(LEN(V260)&gt;0,1,0)+IF(LEN(W260)&gt;0,1,0)+IF(LEN(X260)&gt;0,1,0)+IF(LEN(Z260)&gt;0,1,0)+IF(LEN(AD260)&gt;0,1,0)+IF(LEN(AE260)&gt;0,1,0)+IF(LEN(AG260)&gt;0,1,0)+IF(LEN(AI260)&gt;0,1,0)+IF(LEN(BB260)&gt;0,1,0)+IF(LEN(BC260)&gt;0,1,0)+IF(LEN(AM260)&gt;0,1,0)+IF(LEN(AO260)&gt;0,1,0)+IF(LEN(AP260)&gt;0,1,0)+IF(LEN(AQ260)&gt;0,1,0)+IF(LEN(AR260)&gt;0,1,0)+IF(LEN(BA260)&gt;0,1,0)+IF(LEN(BM260)&gt;0,1,0)+IF(LEN(BZ260)&gt;0,1,0))/27,2))</f>
        <v/>
      </c>
      <c r="CF260" s="10" t="str">
        <f aca="false">IF(D260="","",IF(AND(AP260="Approved",ISERROR(SEARCH("FAIL",BJ260))),"Y","N"))</f>
        <v/>
      </c>
      <c r="CG260" s="10" t="str">
        <f aca="false">IF(D260="","",D260&amp;"|"&amp;E260&amp;"|"&amp;F260&amp;"|"&amp;G260&amp;"|"&amp;CF260)</f>
        <v/>
      </c>
    </row>
    <row r="261" customFormat="false" ht="15" hidden="false" customHeight="false" outlineLevel="0" collapsed="false">
      <c r="A261" s="10" t="str">
        <f aca="false">IF(D261="","","RW-"&amp;IFERROR(VLOOKUP(D261,Lists!$M$4:$N$22,2,0),"??")&amp;"-H"&amp;TEXT(E261*1000,"0000")&amp;"-S"&amp;F261&amp;IF(G261="Y","-GW","")&amp;"-"&amp;AO261)</f>
        <v/>
      </c>
      <c r="B261" s="10" t="str">
        <f aca="false">IF(D261="","",D261&amp;", H = "&amp;TEXT(E261,"0.0")&amp;" m, q = "&amp;F261&amp;" kPa"&amp;IF(G261="Y",", with GWT","")&amp;", "&amp;I261)</f>
        <v/>
      </c>
      <c r="C261" s="9"/>
      <c r="D261" s="9"/>
      <c r="E261" s="39"/>
      <c r="F261" s="38"/>
      <c r="G261" s="9"/>
      <c r="H261" s="38"/>
      <c r="I261" s="9"/>
      <c r="J261" s="38"/>
      <c r="K261" s="38"/>
      <c r="L261" s="38"/>
      <c r="M261" s="42"/>
      <c r="N261" s="9"/>
      <c r="O261" s="38"/>
      <c r="P261" s="38"/>
      <c r="Q261" s="38"/>
      <c r="R261" s="38"/>
      <c r="S261" s="38"/>
      <c r="T261" s="38"/>
      <c r="U261" s="9"/>
      <c r="V261" s="9"/>
      <c r="W261" s="38"/>
      <c r="X261" s="9"/>
      <c r="Y261" s="9"/>
      <c r="Z261" s="9"/>
      <c r="AA261" s="9"/>
      <c r="AB261" s="9"/>
      <c r="AC261" s="9"/>
      <c r="AD261" s="39"/>
      <c r="AE261" s="39"/>
      <c r="AF261" s="39"/>
      <c r="AG261" s="38"/>
      <c r="AH261" s="38"/>
      <c r="AI261" s="9"/>
      <c r="AJ261" s="38"/>
      <c r="AK261" s="9"/>
      <c r="AL261" s="39"/>
      <c r="AM261" s="9"/>
      <c r="AN261" s="9"/>
      <c r="AO261" s="9"/>
      <c r="AP261" s="9"/>
      <c r="AQ261" s="9"/>
      <c r="AR261" s="9"/>
      <c r="AS261" s="9"/>
      <c r="AT261" s="10" t="str">
        <f aca="false">IF(A261="","",SG_Criteria!$B$6&amp;SG_Criteria!$B$8&amp;"\"&amp;A261&amp;"\")</f>
        <v/>
      </c>
      <c r="AU261" s="10" t="str">
        <f aca="false">IF(A261="","",A261&amp;"_CAD.dwg")</f>
        <v/>
      </c>
      <c r="AV261" s="10" t="str">
        <f aca="false">IF(A261="","",A261&amp;"_DWG.pdf")</f>
        <v/>
      </c>
      <c r="AW261" s="10" t="str">
        <f aca="false">IF(A261="","",IF(AS261="Y",A261&amp;"_STAAD.std","n/a"))</f>
        <v/>
      </c>
      <c r="AX261" s="10" t="str">
        <f aca="false">IF(A261="","",A261&amp;"_CALC.xlsx")</f>
        <v/>
      </c>
      <c r="AY261" s="10" t="str">
        <f aca="false">IF(A261="","",A261&amp;"_CALC.pdf")</f>
        <v/>
      </c>
      <c r="AZ261" s="9"/>
      <c r="BA261" s="9"/>
      <c r="BB261" s="39"/>
      <c r="BC261" s="39"/>
      <c r="BD261" s="39"/>
      <c r="BE261" s="39"/>
      <c r="BF261" s="39"/>
      <c r="BG261" s="12" t="str">
        <f aca="false">IF(A261="","",IF(COUNTIF(Rebar_Schedule!$A$5:$A$2004,A261)=0,"",ROUND(SUMIF(Rebar_Schedule!$A$5:$A$2004,A261,Rebar_Schedule!$K$5:$K$2004),1)))</f>
        <v/>
      </c>
      <c r="BH261" s="33" t="str">
        <f aca="false">IF(A261="","",IF(BG261="","No rebar schedule yet",IF(ABS(BG261-N(BC261))/MAX(N(BC261),1)&gt;SG_Criteria!$B$55,"NOTE: register rebar differs from schedule by "&amp;TEXT(ABS(BG261-N(BC261))/MAX(N(BC261),1),"0%"),"OK")))</f>
        <v/>
      </c>
      <c r="BI261" s="33" t="str">
        <f aca="false">IF(OR(D261="",E261=""),"",IF(E261&lt;=IF(OR(D261="Block / Segmental",D261="Gabion",D261="Reinforced Earth (MSE)"),SG_Criteria!$B$34,SG_Criteria!$B$33),"No ERSS submission",IF(E261&lt;=SG_Criteria!$B$35,"QP(ST)",IF(E261&lt;=SG_Criteria!$B$36,"QP(ST) + AC","Geotechnical building works: QP(Geo) + AC"))))</f>
        <v/>
      </c>
      <c r="BJ261" s="33" t="str">
        <f aca="false">IF(D261="","",IF(LEN(IF(AND(V261&lt;&gt;"",IFERROR(VALUE(MID(V261,2,2)),0)&lt;SG_Criteria!$B$19),"FAIL: grade below C"&amp;SG_Criteria!$B$19&amp;". ","")&amp;IF(AND(W261&lt;&gt;"",W261&lt;SG_Criteria!$B$20),"FAIL: cover &lt; "&amp;SG_Criteria!$B$20&amp;" mm. ","")&amp;IF(AND(AD261&lt;&gt;"",AD261&lt;1),"FAIL: sliding. ","")&amp;IF(AND(D261="Reverse L-Wall (toe only, at boundary)",N(S261)&gt;0),"NOTE: reverse L-wall should have no heel. ","")&amp;IF(AND(D261="L-Wall (heel only)",N(R261)&gt;0),"NOTE: L-wall should have no toe. ","")&amp;IF(AND(F261&lt;&gt;"",F261&lt;SG_Criteria!$B$31),"NOTE: q below LTA min "&amp;SG_Criteria!$B$31&amp;" kPa (not for LTA works). ",""))=0,"OK",IF(AND(V261&lt;&gt;"",IFERROR(VALUE(MID(V261,2,2)),0)&lt;SG_Criteria!$B$19),"FAIL: grade below C"&amp;SG_Criteria!$B$19&amp;". ","")&amp;IF(AND(W261&lt;&gt;"",W261&lt;SG_Criteria!$B$20),"FAIL: cover &lt; "&amp;SG_Criteria!$B$20&amp;" mm. ","")&amp;IF(AND(AD261&lt;&gt;"",AD261&lt;1),"FAIL: sliding. ","")&amp;IF(AND(D261="Reverse L-Wall (toe only, at boundary)",N(S261)&gt;0),"NOTE: reverse L-wall should have no heel. ","")&amp;IF(AND(D261="L-Wall (heel only)",N(R261)&gt;0),"NOTE: L-wall should have no toe. ","")&amp;IF(AND(F261&lt;&gt;"",F261&lt;SG_Criteria!$B$31),"NOTE: q below LTA min "&amp;SG_Criteria!$B$31&amp;" kPa (not for LTA works). ","")))</f>
        <v/>
      </c>
      <c r="BK261" s="9"/>
      <c r="BL261" s="9"/>
      <c r="BM261" s="9"/>
      <c r="BN261" s="10" t="str">
        <f aca="false">IF(BM261="","",IFERROR(VLOOKUP(BM261,Projects!$A$5:$D$504,2,0),"Ref not in Projects"))</f>
        <v/>
      </c>
      <c r="BO261" s="10" t="str">
        <f aca="false">IF(BM261="","",IFERROR(VLOOKUP(BM261,Projects!$A$5:$D$504,4,0),"Ref not in Projects"))</f>
        <v/>
      </c>
      <c r="BP261" s="9"/>
      <c r="BQ261" s="9"/>
      <c r="BR261" s="9"/>
      <c r="BS261" s="40"/>
      <c r="BT261" s="9"/>
      <c r="BU261" s="40"/>
      <c r="BV261" s="9"/>
      <c r="BW261" s="40"/>
      <c r="BX261" s="9"/>
      <c r="BY261" s="9"/>
      <c r="BZ261" s="9"/>
      <c r="CA261" s="40"/>
      <c r="CB261" s="40"/>
      <c r="CC261" s="36" t="str">
        <f aca="false">IF(CB261="","",EDATE(CB261,SG_Criteria!$B$54*12))</f>
        <v/>
      </c>
      <c r="CD261" s="33" t="str">
        <f aca="true">IF(A261="","",IF(CB261="","NOTE: not reviewed yet",IF(TODAY()&gt;CC261,"NOTE: review overdue","OK")))</f>
        <v/>
      </c>
      <c r="CE261" s="37" t="str">
        <f aca="false">IF(A261="","",ROUND((IF(LEN(D261)&gt;0,1,0)+IF(LEN(E261)&gt;0,1,0)+IF(LEN(F261)&gt;0,1,0)+IF(LEN(G261)&gt;0,1,0)+IF(LEN(I261)&gt;0,1,0)+IF(LEN(K261)&gt;0,1,0)+IF(LEN(P261)&gt;0,1,0)+IF(LEN(Q261)&gt;0,1,0)+IF(LEN(T261)&gt;0,1,0)+IF(LEN(V261)&gt;0,1,0)+IF(LEN(W261)&gt;0,1,0)+IF(LEN(X261)&gt;0,1,0)+IF(LEN(Z261)&gt;0,1,0)+IF(LEN(AD261)&gt;0,1,0)+IF(LEN(AE261)&gt;0,1,0)+IF(LEN(AG261)&gt;0,1,0)+IF(LEN(AI261)&gt;0,1,0)+IF(LEN(BB261)&gt;0,1,0)+IF(LEN(BC261)&gt;0,1,0)+IF(LEN(AM261)&gt;0,1,0)+IF(LEN(AO261)&gt;0,1,0)+IF(LEN(AP261)&gt;0,1,0)+IF(LEN(AQ261)&gt;0,1,0)+IF(LEN(AR261)&gt;0,1,0)+IF(LEN(BA261)&gt;0,1,0)+IF(LEN(BM261)&gt;0,1,0)+IF(LEN(BZ261)&gt;0,1,0))/27,2))</f>
        <v/>
      </c>
      <c r="CF261" s="10" t="str">
        <f aca="false">IF(D261="","",IF(AND(AP261="Approved",ISERROR(SEARCH("FAIL",BJ261))),"Y","N"))</f>
        <v/>
      </c>
      <c r="CG261" s="10" t="str">
        <f aca="false">IF(D261="","",D261&amp;"|"&amp;E261&amp;"|"&amp;F261&amp;"|"&amp;G261&amp;"|"&amp;CF261)</f>
        <v/>
      </c>
    </row>
    <row r="262" customFormat="false" ht="15" hidden="false" customHeight="false" outlineLevel="0" collapsed="false">
      <c r="A262" s="10" t="str">
        <f aca="false">IF(D262="","","RW-"&amp;IFERROR(VLOOKUP(D262,Lists!$M$4:$N$22,2,0),"??")&amp;"-H"&amp;TEXT(E262*1000,"0000")&amp;"-S"&amp;F262&amp;IF(G262="Y","-GW","")&amp;"-"&amp;AO262)</f>
        <v/>
      </c>
      <c r="B262" s="10" t="str">
        <f aca="false">IF(D262="","",D262&amp;", H = "&amp;TEXT(E262,"0.0")&amp;" m, q = "&amp;F262&amp;" kPa"&amp;IF(G262="Y",", with GWT","")&amp;", "&amp;I262)</f>
        <v/>
      </c>
      <c r="C262" s="9"/>
      <c r="D262" s="9"/>
      <c r="E262" s="39"/>
      <c r="F262" s="38"/>
      <c r="G262" s="9"/>
      <c r="H262" s="38"/>
      <c r="I262" s="9"/>
      <c r="J262" s="38"/>
      <c r="K262" s="38"/>
      <c r="L262" s="38"/>
      <c r="M262" s="42"/>
      <c r="N262" s="9"/>
      <c r="O262" s="38"/>
      <c r="P262" s="38"/>
      <c r="Q262" s="38"/>
      <c r="R262" s="38"/>
      <c r="S262" s="38"/>
      <c r="T262" s="38"/>
      <c r="U262" s="9"/>
      <c r="V262" s="9"/>
      <c r="W262" s="38"/>
      <c r="X262" s="9"/>
      <c r="Y262" s="9"/>
      <c r="Z262" s="9"/>
      <c r="AA262" s="9"/>
      <c r="AB262" s="9"/>
      <c r="AC262" s="9"/>
      <c r="AD262" s="39"/>
      <c r="AE262" s="39"/>
      <c r="AF262" s="39"/>
      <c r="AG262" s="38"/>
      <c r="AH262" s="38"/>
      <c r="AI262" s="9"/>
      <c r="AJ262" s="38"/>
      <c r="AK262" s="9"/>
      <c r="AL262" s="39"/>
      <c r="AM262" s="9"/>
      <c r="AN262" s="9"/>
      <c r="AO262" s="9"/>
      <c r="AP262" s="9"/>
      <c r="AQ262" s="9"/>
      <c r="AR262" s="9"/>
      <c r="AS262" s="9"/>
      <c r="AT262" s="10" t="str">
        <f aca="false">IF(A262="","",SG_Criteria!$B$6&amp;SG_Criteria!$B$8&amp;"\"&amp;A262&amp;"\")</f>
        <v/>
      </c>
      <c r="AU262" s="10" t="str">
        <f aca="false">IF(A262="","",A262&amp;"_CAD.dwg")</f>
        <v/>
      </c>
      <c r="AV262" s="10" t="str">
        <f aca="false">IF(A262="","",A262&amp;"_DWG.pdf")</f>
        <v/>
      </c>
      <c r="AW262" s="10" t="str">
        <f aca="false">IF(A262="","",IF(AS262="Y",A262&amp;"_STAAD.std","n/a"))</f>
        <v/>
      </c>
      <c r="AX262" s="10" t="str">
        <f aca="false">IF(A262="","",A262&amp;"_CALC.xlsx")</f>
        <v/>
      </c>
      <c r="AY262" s="10" t="str">
        <f aca="false">IF(A262="","",A262&amp;"_CALC.pdf")</f>
        <v/>
      </c>
      <c r="AZ262" s="9"/>
      <c r="BA262" s="9"/>
      <c r="BB262" s="39"/>
      <c r="BC262" s="39"/>
      <c r="BD262" s="39"/>
      <c r="BE262" s="39"/>
      <c r="BF262" s="39"/>
      <c r="BG262" s="12" t="str">
        <f aca="false">IF(A262="","",IF(COUNTIF(Rebar_Schedule!$A$5:$A$2004,A262)=0,"",ROUND(SUMIF(Rebar_Schedule!$A$5:$A$2004,A262,Rebar_Schedule!$K$5:$K$2004),1)))</f>
        <v/>
      </c>
      <c r="BH262" s="33" t="str">
        <f aca="false">IF(A262="","",IF(BG262="","No rebar schedule yet",IF(ABS(BG262-N(BC262))/MAX(N(BC262),1)&gt;SG_Criteria!$B$55,"NOTE: register rebar differs from schedule by "&amp;TEXT(ABS(BG262-N(BC262))/MAX(N(BC262),1),"0%"),"OK")))</f>
        <v/>
      </c>
      <c r="BI262" s="33" t="str">
        <f aca="false">IF(OR(D262="",E262=""),"",IF(E262&lt;=IF(OR(D262="Block / Segmental",D262="Gabion",D262="Reinforced Earth (MSE)"),SG_Criteria!$B$34,SG_Criteria!$B$33),"No ERSS submission",IF(E262&lt;=SG_Criteria!$B$35,"QP(ST)",IF(E262&lt;=SG_Criteria!$B$36,"QP(ST) + AC","Geotechnical building works: QP(Geo) + AC"))))</f>
        <v/>
      </c>
      <c r="BJ262" s="33" t="str">
        <f aca="false">IF(D262="","",IF(LEN(IF(AND(V262&lt;&gt;"",IFERROR(VALUE(MID(V262,2,2)),0)&lt;SG_Criteria!$B$19),"FAIL: grade below C"&amp;SG_Criteria!$B$19&amp;". ","")&amp;IF(AND(W262&lt;&gt;"",W262&lt;SG_Criteria!$B$20),"FAIL: cover &lt; "&amp;SG_Criteria!$B$20&amp;" mm. ","")&amp;IF(AND(AD262&lt;&gt;"",AD262&lt;1),"FAIL: sliding. ","")&amp;IF(AND(D262="Reverse L-Wall (toe only, at boundary)",N(S262)&gt;0),"NOTE: reverse L-wall should have no heel. ","")&amp;IF(AND(D262="L-Wall (heel only)",N(R262)&gt;0),"NOTE: L-wall should have no toe. ","")&amp;IF(AND(F262&lt;&gt;"",F262&lt;SG_Criteria!$B$31),"NOTE: q below LTA min "&amp;SG_Criteria!$B$31&amp;" kPa (not for LTA works). ",""))=0,"OK",IF(AND(V262&lt;&gt;"",IFERROR(VALUE(MID(V262,2,2)),0)&lt;SG_Criteria!$B$19),"FAIL: grade below C"&amp;SG_Criteria!$B$19&amp;". ","")&amp;IF(AND(W262&lt;&gt;"",W262&lt;SG_Criteria!$B$20),"FAIL: cover &lt; "&amp;SG_Criteria!$B$20&amp;" mm. ","")&amp;IF(AND(AD262&lt;&gt;"",AD262&lt;1),"FAIL: sliding. ","")&amp;IF(AND(D262="Reverse L-Wall (toe only, at boundary)",N(S262)&gt;0),"NOTE: reverse L-wall should have no heel. ","")&amp;IF(AND(D262="L-Wall (heel only)",N(R262)&gt;0),"NOTE: L-wall should have no toe. ","")&amp;IF(AND(F262&lt;&gt;"",F262&lt;SG_Criteria!$B$31),"NOTE: q below LTA min "&amp;SG_Criteria!$B$31&amp;" kPa (not for LTA works). ","")))</f>
        <v/>
      </c>
      <c r="BK262" s="9"/>
      <c r="BL262" s="9"/>
      <c r="BM262" s="9"/>
      <c r="BN262" s="10" t="str">
        <f aca="false">IF(BM262="","",IFERROR(VLOOKUP(BM262,Projects!$A$5:$D$504,2,0),"Ref not in Projects"))</f>
        <v/>
      </c>
      <c r="BO262" s="10" t="str">
        <f aca="false">IF(BM262="","",IFERROR(VLOOKUP(BM262,Projects!$A$5:$D$504,4,0),"Ref not in Projects"))</f>
        <v/>
      </c>
      <c r="BP262" s="9"/>
      <c r="BQ262" s="9"/>
      <c r="BR262" s="9"/>
      <c r="BS262" s="40"/>
      <c r="BT262" s="9"/>
      <c r="BU262" s="40"/>
      <c r="BV262" s="9"/>
      <c r="BW262" s="40"/>
      <c r="BX262" s="9"/>
      <c r="BY262" s="9"/>
      <c r="BZ262" s="9"/>
      <c r="CA262" s="40"/>
      <c r="CB262" s="40"/>
      <c r="CC262" s="36" t="str">
        <f aca="false">IF(CB262="","",EDATE(CB262,SG_Criteria!$B$54*12))</f>
        <v/>
      </c>
      <c r="CD262" s="33" t="str">
        <f aca="true">IF(A262="","",IF(CB262="","NOTE: not reviewed yet",IF(TODAY()&gt;CC262,"NOTE: review overdue","OK")))</f>
        <v/>
      </c>
      <c r="CE262" s="37" t="str">
        <f aca="false">IF(A262="","",ROUND((IF(LEN(D262)&gt;0,1,0)+IF(LEN(E262)&gt;0,1,0)+IF(LEN(F262)&gt;0,1,0)+IF(LEN(G262)&gt;0,1,0)+IF(LEN(I262)&gt;0,1,0)+IF(LEN(K262)&gt;0,1,0)+IF(LEN(P262)&gt;0,1,0)+IF(LEN(Q262)&gt;0,1,0)+IF(LEN(T262)&gt;0,1,0)+IF(LEN(V262)&gt;0,1,0)+IF(LEN(W262)&gt;0,1,0)+IF(LEN(X262)&gt;0,1,0)+IF(LEN(Z262)&gt;0,1,0)+IF(LEN(AD262)&gt;0,1,0)+IF(LEN(AE262)&gt;0,1,0)+IF(LEN(AG262)&gt;0,1,0)+IF(LEN(AI262)&gt;0,1,0)+IF(LEN(BB262)&gt;0,1,0)+IF(LEN(BC262)&gt;0,1,0)+IF(LEN(AM262)&gt;0,1,0)+IF(LEN(AO262)&gt;0,1,0)+IF(LEN(AP262)&gt;0,1,0)+IF(LEN(AQ262)&gt;0,1,0)+IF(LEN(AR262)&gt;0,1,0)+IF(LEN(BA262)&gt;0,1,0)+IF(LEN(BM262)&gt;0,1,0)+IF(LEN(BZ262)&gt;0,1,0))/27,2))</f>
        <v/>
      </c>
      <c r="CF262" s="10" t="str">
        <f aca="false">IF(D262="","",IF(AND(AP262="Approved",ISERROR(SEARCH("FAIL",BJ262))),"Y","N"))</f>
        <v/>
      </c>
      <c r="CG262" s="10" t="str">
        <f aca="false">IF(D262="","",D262&amp;"|"&amp;E262&amp;"|"&amp;F262&amp;"|"&amp;G262&amp;"|"&amp;CF262)</f>
        <v/>
      </c>
    </row>
    <row r="263" customFormat="false" ht="15" hidden="false" customHeight="false" outlineLevel="0" collapsed="false">
      <c r="A263" s="10" t="str">
        <f aca="false">IF(D263="","","RW-"&amp;IFERROR(VLOOKUP(D263,Lists!$M$4:$N$22,2,0),"??")&amp;"-H"&amp;TEXT(E263*1000,"0000")&amp;"-S"&amp;F263&amp;IF(G263="Y","-GW","")&amp;"-"&amp;AO263)</f>
        <v/>
      </c>
      <c r="B263" s="10" t="str">
        <f aca="false">IF(D263="","",D263&amp;", H = "&amp;TEXT(E263,"0.0")&amp;" m, q = "&amp;F263&amp;" kPa"&amp;IF(G263="Y",", with GWT","")&amp;", "&amp;I263)</f>
        <v/>
      </c>
      <c r="C263" s="9"/>
      <c r="D263" s="9"/>
      <c r="E263" s="39"/>
      <c r="F263" s="38"/>
      <c r="G263" s="9"/>
      <c r="H263" s="38"/>
      <c r="I263" s="9"/>
      <c r="J263" s="38"/>
      <c r="K263" s="38"/>
      <c r="L263" s="38"/>
      <c r="M263" s="42"/>
      <c r="N263" s="9"/>
      <c r="O263" s="38"/>
      <c r="P263" s="38"/>
      <c r="Q263" s="38"/>
      <c r="R263" s="38"/>
      <c r="S263" s="38"/>
      <c r="T263" s="38"/>
      <c r="U263" s="9"/>
      <c r="V263" s="9"/>
      <c r="W263" s="38"/>
      <c r="X263" s="9"/>
      <c r="Y263" s="9"/>
      <c r="Z263" s="9"/>
      <c r="AA263" s="9"/>
      <c r="AB263" s="9"/>
      <c r="AC263" s="9"/>
      <c r="AD263" s="39"/>
      <c r="AE263" s="39"/>
      <c r="AF263" s="39"/>
      <c r="AG263" s="38"/>
      <c r="AH263" s="38"/>
      <c r="AI263" s="9"/>
      <c r="AJ263" s="38"/>
      <c r="AK263" s="9"/>
      <c r="AL263" s="39"/>
      <c r="AM263" s="9"/>
      <c r="AN263" s="9"/>
      <c r="AO263" s="9"/>
      <c r="AP263" s="9"/>
      <c r="AQ263" s="9"/>
      <c r="AR263" s="9"/>
      <c r="AS263" s="9"/>
      <c r="AT263" s="10" t="str">
        <f aca="false">IF(A263="","",SG_Criteria!$B$6&amp;SG_Criteria!$B$8&amp;"\"&amp;A263&amp;"\")</f>
        <v/>
      </c>
      <c r="AU263" s="10" t="str">
        <f aca="false">IF(A263="","",A263&amp;"_CAD.dwg")</f>
        <v/>
      </c>
      <c r="AV263" s="10" t="str">
        <f aca="false">IF(A263="","",A263&amp;"_DWG.pdf")</f>
        <v/>
      </c>
      <c r="AW263" s="10" t="str">
        <f aca="false">IF(A263="","",IF(AS263="Y",A263&amp;"_STAAD.std","n/a"))</f>
        <v/>
      </c>
      <c r="AX263" s="10" t="str">
        <f aca="false">IF(A263="","",A263&amp;"_CALC.xlsx")</f>
        <v/>
      </c>
      <c r="AY263" s="10" t="str">
        <f aca="false">IF(A263="","",A263&amp;"_CALC.pdf")</f>
        <v/>
      </c>
      <c r="AZ263" s="9"/>
      <c r="BA263" s="9"/>
      <c r="BB263" s="39"/>
      <c r="BC263" s="39"/>
      <c r="BD263" s="39"/>
      <c r="BE263" s="39"/>
      <c r="BF263" s="39"/>
      <c r="BG263" s="12" t="str">
        <f aca="false">IF(A263="","",IF(COUNTIF(Rebar_Schedule!$A$5:$A$2004,A263)=0,"",ROUND(SUMIF(Rebar_Schedule!$A$5:$A$2004,A263,Rebar_Schedule!$K$5:$K$2004),1)))</f>
        <v/>
      </c>
      <c r="BH263" s="33" t="str">
        <f aca="false">IF(A263="","",IF(BG263="","No rebar schedule yet",IF(ABS(BG263-N(BC263))/MAX(N(BC263),1)&gt;SG_Criteria!$B$55,"NOTE: register rebar differs from schedule by "&amp;TEXT(ABS(BG263-N(BC263))/MAX(N(BC263),1),"0%"),"OK")))</f>
        <v/>
      </c>
      <c r="BI263" s="33" t="str">
        <f aca="false">IF(OR(D263="",E263=""),"",IF(E263&lt;=IF(OR(D263="Block / Segmental",D263="Gabion",D263="Reinforced Earth (MSE)"),SG_Criteria!$B$34,SG_Criteria!$B$33),"No ERSS submission",IF(E263&lt;=SG_Criteria!$B$35,"QP(ST)",IF(E263&lt;=SG_Criteria!$B$36,"QP(ST) + AC","Geotechnical building works: QP(Geo) + AC"))))</f>
        <v/>
      </c>
      <c r="BJ263" s="33" t="str">
        <f aca="false">IF(D263="","",IF(LEN(IF(AND(V263&lt;&gt;"",IFERROR(VALUE(MID(V263,2,2)),0)&lt;SG_Criteria!$B$19),"FAIL: grade below C"&amp;SG_Criteria!$B$19&amp;". ","")&amp;IF(AND(W263&lt;&gt;"",W263&lt;SG_Criteria!$B$20),"FAIL: cover &lt; "&amp;SG_Criteria!$B$20&amp;" mm. ","")&amp;IF(AND(AD263&lt;&gt;"",AD263&lt;1),"FAIL: sliding. ","")&amp;IF(AND(D263="Reverse L-Wall (toe only, at boundary)",N(S263)&gt;0),"NOTE: reverse L-wall should have no heel. ","")&amp;IF(AND(D263="L-Wall (heel only)",N(R263)&gt;0),"NOTE: L-wall should have no toe. ","")&amp;IF(AND(F263&lt;&gt;"",F263&lt;SG_Criteria!$B$31),"NOTE: q below LTA min "&amp;SG_Criteria!$B$31&amp;" kPa (not for LTA works). ",""))=0,"OK",IF(AND(V263&lt;&gt;"",IFERROR(VALUE(MID(V263,2,2)),0)&lt;SG_Criteria!$B$19),"FAIL: grade below C"&amp;SG_Criteria!$B$19&amp;". ","")&amp;IF(AND(W263&lt;&gt;"",W263&lt;SG_Criteria!$B$20),"FAIL: cover &lt; "&amp;SG_Criteria!$B$20&amp;" mm. ","")&amp;IF(AND(AD263&lt;&gt;"",AD263&lt;1),"FAIL: sliding. ","")&amp;IF(AND(D263="Reverse L-Wall (toe only, at boundary)",N(S263)&gt;0),"NOTE: reverse L-wall should have no heel. ","")&amp;IF(AND(D263="L-Wall (heel only)",N(R263)&gt;0),"NOTE: L-wall should have no toe. ","")&amp;IF(AND(F263&lt;&gt;"",F263&lt;SG_Criteria!$B$31),"NOTE: q below LTA min "&amp;SG_Criteria!$B$31&amp;" kPa (not for LTA works). ","")))</f>
        <v/>
      </c>
      <c r="BK263" s="9"/>
      <c r="BL263" s="9"/>
      <c r="BM263" s="9"/>
      <c r="BN263" s="10" t="str">
        <f aca="false">IF(BM263="","",IFERROR(VLOOKUP(BM263,Projects!$A$5:$D$504,2,0),"Ref not in Projects"))</f>
        <v/>
      </c>
      <c r="BO263" s="10" t="str">
        <f aca="false">IF(BM263="","",IFERROR(VLOOKUP(BM263,Projects!$A$5:$D$504,4,0),"Ref not in Projects"))</f>
        <v/>
      </c>
      <c r="BP263" s="9"/>
      <c r="BQ263" s="9"/>
      <c r="BR263" s="9"/>
      <c r="BS263" s="40"/>
      <c r="BT263" s="9"/>
      <c r="BU263" s="40"/>
      <c r="BV263" s="9"/>
      <c r="BW263" s="40"/>
      <c r="BX263" s="9"/>
      <c r="BY263" s="9"/>
      <c r="BZ263" s="9"/>
      <c r="CA263" s="40"/>
      <c r="CB263" s="40"/>
      <c r="CC263" s="36" t="str">
        <f aca="false">IF(CB263="","",EDATE(CB263,SG_Criteria!$B$54*12))</f>
        <v/>
      </c>
      <c r="CD263" s="33" t="str">
        <f aca="true">IF(A263="","",IF(CB263="","NOTE: not reviewed yet",IF(TODAY()&gt;CC263,"NOTE: review overdue","OK")))</f>
        <v/>
      </c>
      <c r="CE263" s="37" t="str">
        <f aca="false">IF(A263="","",ROUND((IF(LEN(D263)&gt;0,1,0)+IF(LEN(E263)&gt;0,1,0)+IF(LEN(F263)&gt;0,1,0)+IF(LEN(G263)&gt;0,1,0)+IF(LEN(I263)&gt;0,1,0)+IF(LEN(K263)&gt;0,1,0)+IF(LEN(P263)&gt;0,1,0)+IF(LEN(Q263)&gt;0,1,0)+IF(LEN(T263)&gt;0,1,0)+IF(LEN(V263)&gt;0,1,0)+IF(LEN(W263)&gt;0,1,0)+IF(LEN(X263)&gt;0,1,0)+IF(LEN(Z263)&gt;0,1,0)+IF(LEN(AD263)&gt;0,1,0)+IF(LEN(AE263)&gt;0,1,0)+IF(LEN(AG263)&gt;0,1,0)+IF(LEN(AI263)&gt;0,1,0)+IF(LEN(BB263)&gt;0,1,0)+IF(LEN(BC263)&gt;0,1,0)+IF(LEN(AM263)&gt;0,1,0)+IF(LEN(AO263)&gt;0,1,0)+IF(LEN(AP263)&gt;0,1,0)+IF(LEN(AQ263)&gt;0,1,0)+IF(LEN(AR263)&gt;0,1,0)+IF(LEN(BA263)&gt;0,1,0)+IF(LEN(BM263)&gt;0,1,0)+IF(LEN(BZ263)&gt;0,1,0))/27,2))</f>
        <v/>
      </c>
      <c r="CF263" s="10" t="str">
        <f aca="false">IF(D263="","",IF(AND(AP263="Approved",ISERROR(SEARCH("FAIL",BJ263))),"Y","N"))</f>
        <v/>
      </c>
      <c r="CG263" s="10" t="str">
        <f aca="false">IF(D263="","",D263&amp;"|"&amp;E263&amp;"|"&amp;F263&amp;"|"&amp;G263&amp;"|"&amp;CF263)</f>
        <v/>
      </c>
    </row>
    <row r="264" customFormat="false" ht="15" hidden="false" customHeight="false" outlineLevel="0" collapsed="false">
      <c r="A264" s="10" t="str">
        <f aca="false">IF(D264="","","RW-"&amp;IFERROR(VLOOKUP(D264,Lists!$M$4:$N$22,2,0),"??")&amp;"-H"&amp;TEXT(E264*1000,"0000")&amp;"-S"&amp;F264&amp;IF(G264="Y","-GW","")&amp;"-"&amp;AO264)</f>
        <v/>
      </c>
      <c r="B264" s="10" t="str">
        <f aca="false">IF(D264="","",D264&amp;", H = "&amp;TEXT(E264,"0.0")&amp;" m, q = "&amp;F264&amp;" kPa"&amp;IF(G264="Y",", with GWT","")&amp;", "&amp;I264)</f>
        <v/>
      </c>
      <c r="C264" s="9"/>
      <c r="D264" s="9"/>
      <c r="E264" s="39"/>
      <c r="F264" s="38"/>
      <c r="G264" s="9"/>
      <c r="H264" s="38"/>
      <c r="I264" s="9"/>
      <c r="J264" s="38"/>
      <c r="K264" s="38"/>
      <c r="L264" s="38"/>
      <c r="M264" s="42"/>
      <c r="N264" s="9"/>
      <c r="O264" s="38"/>
      <c r="P264" s="38"/>
      <c r="Q264" s="38"/>
      <c r="R264" s="38"/>
      <c r="S264" s="38"/>
      <c r="T264" s="38"/>
      <c r="U264" s="9"/>
      <c r="V264" s="9"/>
      <c r="W264" s="38"/>
      <c r="X264" s="9"/>
      <c r="Y264" s="9"/>
      <c r="Z264" s="9"/>
      <c r="AA264" s="9"/>
      <c r="AB264" s="9"/>
      <c r="AC264" s="9"/>
      <c r="AD264" s="39"/>
      <c r="AE264" s="39"/>
      <c r="AF264" s="39"/>
      <c r="AG264" s="38"/>
      <c r="AH264" s="38"/>
      <c r="AI264" s="9"/>
      <c r="AJ264" s="38"/>
      <c r="AK264" s="9"/>
      <c r="AL264" s="39"/>
      <c r="AM264" s="9"/>
      <c r="AN264" s="9"/>
      <c r="AO264" s="9"/>
      <c r="AP264" s="9"/>
      <c r="AQ264" s="9"/>
      <c r="AR264" s="9"/>
      <c r="AS264" s="9"/>
      <c r="AT264" s="10" t="str">
        <f aca="false">IF(A264="","",SG_Criteria!$B$6&amp;SG_Criteria!$B$8&amp;"\"&amp;A264&amp;"\")</f>
        <v/>
      </c>
      <c r="AU264" s="10" t="str">
        <f aca="false">IF(A264="","",A264&amp;"_CAD.dwg")</f>
        <v/>
      </c>
      <c r="AV264" s="10" t="str">
        <f aca="false">IF(A264="","",A264&amp;"_DWG.pdf")</f>
        <v/>
      </c>
      <c r="AW264" s="10" t="str">
        <f aca="false">IF(A264="","",IF(AS264="Y",A264&amp;"_STAAD.std","n/a"))</f>
        <v/>
      </c>
      <c r="AX264" s="10" t="str">
        <f aca="false">IF(A264="","",A264&amp;"_CALC.xlsx")</f>
        <v/>
      </c>
      <c r="AY264" s="10" t="str">
        <f aca="false">IF(A264="","",A264&amp;"_CALC.pdf")</f>
        <v/>
      </c>
      <c r="AZ264" s="9"/>
      <c r="BA264" s="9"/>
      <c r="BB264" s="39"/>
      <c r="BC264" s="39"/>
      <c r="BD264" s="39"/>
      <c r="BE264" s="39"/>
      <c r="BF264" s="39"/>
      <c r="BG264" s="12" t="str">
        <f aca="false">IF(A264="","",IF(COUNTIF(Rebar_Schedule!$A$5:$A$2004,A264)=0,"",ROUND(SUMIF(Rebar_Schedule!$A$5:$A$2004,A264,Rebar_Schedule!$K$5:$K$2004),1)))</f>
        <v/>
      </c>
      <c r="BH264" s="33" t="str">
        <f aca="false">IF(A264="","",IF(BG264="","No rebar schedule yet",IF(ABS(BG264-N(BC264))/MAX(N(BC264),1)&gt;SG_Criteria!$B$55,"NOTE: register rebar differs from schedule by "&amp;TEXT(ABS(BG264-N(BC264))/MAX(N(BC264),1),"0%"),"OK")))</f>
        <v/>
      </c>
      <c r="BI264" s="33" t="str">
        <f aca="false">IF(OR(D264="",E264=""),"",IF(E264&lt;=IF(OR(D264="Block / Segmental",D264="Gabion",D264="Reinforced Earth (MSE)"),SG_Criteria!$B$34,SG_Criteria!$B$33),"No ERSS submission",IF(E264&lt;=SG_Criteria!$B$35,"QP(ST)",IF(E264&lt;=SG_Criteria!$B$36,"QP(ST) + AC","Geotechnical building works: QP(Geo) + AC"))))</f>
        <v/>
      </c>
      <c r="BJ264" s="33" t="str">
        <f aca="false">IF(D264="","",IF(LEN(IF(AND(V264&lt;&gt;"",IFERROR(VALUE(MID(V264,2,2)),0)&lt;SG_Criteria!$B$19),"FAIL: grade below C"&amp;SG_Criteria!$B$19&amp;". ","")&amp;IF(AND(W264&lt;&gt;"",W264&lt;SG_Criteria!$B$20),"FAIL: cover &lt; "&amp;SG_Criteria!$B$20&amp;" mm. ","")&amp;IF(AND(AD264&lt;&gt;"",AD264&lt;1),"FAIL: sliding. ","")&amp;IF(AND(D264="Reverse L-Wall (toe only, at boundary)",N(S264)&gt;0),"NOTE: reverse L-wall should have no heel. ","")&amp;IF(AND(D264="L-Wall (heel only)",N(R264)&gt;0),"NOTE: L-wall should have no toe. ","")&amp;IF(AND(F264&lt;&gt;"",F264&lt;SG_Criteria!$B$31),"NOTE: q below LTA min "&amp;SG_Criteria!$B$31&amp;" kPa (not for LTA works). ",""))=0,"OK",IF(AND(V264&lt;&gt;"",IFERROR(VALUE(MID(V264,2,2)),0)&lt;SG_Criteria!$B$19),"FAIL: grade below C"&amp;SG_Criteria!$B$19&amp;". ","")&amp;IF(AND(W264&lt;&gt;"",W264&lt;SG_Criteria!$B$20),"FAIL: cover &lt; "&amp;SG_Criteria!$B$20&amp;" mm. ","")&amp;IF(AND(AD264&lt;&gt;"",AD264&lt;1),"FAIL: sliding. ","")&amp;IF(AND(D264="Reverse L-Wall (toe only, at boundary)",N(S264)&gt;0),"NOTE: reverse L-wall should have no heel. ","")&amp;IF(AND(D264="L-Wall (heel only)",N(R264)&gt;0),"NOTE: L-wall should have no toe. ","")&amp;IF(AND(F264&lt;&gt;"",F264&lt;SG_Criteria!$B$31),"NOTE: q below LTA min "&amp;SG_Criteria!$B$31&amp;" kPa (not for LTA works). ","")))</f>
        <v/>
      </c>
      <c r="BK264" s="9"/>
      <c r="BL264" s="9"/>
      <c r="BM264" s="9"/>
      <c r="BN264" s="10" t="str">
        <f aca="false">IF(BM264="","",IFERROR(VLOOKUP(BM264,Projects!$A$5:$D$504,2,0),"Ref not in Projects"))</f>
        <v/>
      </c>
      <c r="BO264" s="10" t="str">
        <f aca="false">IF(BM264="","",IFERROR(VLOOKUP(BM264,Projects!$A$5:$D$504,4,0),"Ref not in Projects"))</f>
        <v/>
      </c>
      <c r="BP264" s="9"/>
      <c r="BQ264" s="9"/>
      <c r="BR264" s="9"/>
      <c r="BS264" s="40"/>
      <c r="BT264" s="9"/>
      <c r="BU264" s="40"/>
      <c r="BV264" s="9"/>
      <c r="BW264" s="40"/>
      <c r="BX264" s="9"/>
      <c r="BY264" s="9"/>
      <c r="BZ264" s="9"/>
      <c r="CA264" s="40"/>
      <c r="CB264" s="40"/>
      <c r="CC264" s="36" t="str">
        <f aca="false">IF(CB264="","",EDATE(CB264,SG_Criteria!$B$54*12))</f>
        <v/>
      </c>
      <c r="CD264" s="33" t="str">
        <f aca="true">IF(A264="","",IF(CB264="","NOTE: not reviewed yet",IF(TODAY()&gt;CC264,"NOTE: review overdue","OK")))</f>
        <v/>
      </c>
      <c r="CE264" s="37" t="str">
        <f aca="false">IF(A264="","",ROUND((IF(LEN(D264)&gt;0,1,0)+IF(LEN(E264)&gt;0,1,0)+IF(LEN(F264)&gt;0,1,0)+IF(LEN(G264)&gt;0,1,0)+IF(LEN(I264)&gt;0,1,0)+IF(LEN(K264)&gt;0,1,0)+IF(LEN(P264)&gt;0,1,0)+IF(LEN(Q264)&gt;0,1,0)+IF(LEN(T264)&gt;0,1,0)+IF(LEN(V264)&gt;0,1,0)+IF(LEN(W264)&gt;0,1,0)+IF(LEN(X264)&gt;0,1,0)+IF(LEN(Z264)&gt;0,1,0)+IF(LEN(AD264)&gt;0,1,0)+IF(LEN(AE264)&gt;0,1,0)+IF(LEN(AG264)&gt;0,1,0)+IF(LEN(AI264)&gt;0,1,0)+IF(LEN(BB264)&gt;0,1,0)+IF(LEN(BC264)&gt;0,1,0)+IF(LEN(AM264)&gt;0,1,0)+IF(LEN(AO264)&gt;0,1,0)+IF(LEN(AP264)&gt;0,1,0)+IF(LEN(AQ264)&gt;0,1,0)+IF(LEN(AR264)&gt;0,1,0)+IF(LEN(BA264)&gt;0,1,0)+IF(LEN(BM264)&gt;0,1,0)+IF(LEN(BZ264)&gt;0,1,0))/27,2))</f>
        <v/>
      </c>
      <c r="CF264" s="10" t="str">
        <f aca="false">IF(D264="","",IF(AND(AP264="Approved",ISERROR(SEARCH("FAIL",BJ264))),"Y","N"))</f>
        <v/>
      </c>
      <c r="CG264" s="10" t="str">
        <f aca="false">IF(D264="","",D264&amp;"|"&amp;E264&amp;"|"&amp;F264&amp;"|"&amp;G264&amp;"|"&amp;CF264)</f>
        <v/>
      </c>
    </row>
    <row r="265" customFormat="false" ht="15" hidden="false" customHeight="false" outlineLevel="0" collapsed="false">
      <c r="A265" s="10" t="str">
        <f aca="false">IF(D265="","","RW-"&amp;IFERROR(VLOOKUP(D265,Lists!$M$4:$N$22,2,0),"??")&amp;"-H"&amp;TEXT(E265*1000,"0000")&amp;"-S"&amp;F265&amp;IF(G265="Y","-GW","")&amp;"-"&amp;AO265)</f>
        <v/>
      </c>
      <c r="B265" s="10" t="str">
        <f aca="false">IF(D265="","",D265&amp;", H = "&amp;TEXT(E265,"0.0")&amp;" m, q = "&amp;F265&amp;" kPa"&amp;IF(G265="Y",", with GWT","")&amp;", "&amp;I265)</f>
        <v/>
      </c>
      <c r="C265" s="9"/>
      <c r="D265" s="9"/>
      <c r="E265" s="39"/>
      <c r="F265" s="38"/>
      <c r="G265" s="9"/>
      <c r="H265" s="38"/>
      <c r="I265" s="9"/>
      <c r="J265" s="38"/>
      <c r="K265" s="38"/>
      <c r="L265" s="38"/>
      <c r="M265" s="42"/>
      <c r="N265" s="9"/>
      <c r="O265" s="38"/>
      <c r="P265" s="38"/>
      <c r="Q265" s="38"/>
      <c r="R265" s="38"/>
      <c r="S265" s="38"/>
      <c r="T265" s="38"/>
      <c r="U265" s="9"/>
      <c r="V265" s="9"/>
      <c r="W265" s="38"/>
      <c r="X265" s="9"/>
      <c r="Y265" s="9"/>
      <c r="Z265" s="9"/>
      <c r="AA265" s="9"/>
      <c r="AB265" s="9"/>
      <c r="AC265" s="9"/>
      <c r="AD265" s="39"/>
      <c r="AE265" s="39"/>
      <c r="AF265" s="39"/>
      <c r="AG265" s="38"/>
      <c r="AH265" s="38"/>
      <c r="AI265" s="9"/>
      <c r="AJ265" s="38"/>
      <c r="AK265" s="9"/>
      <c r="AL265" s="39"/>
      <c r="AM265" s="9"/>
      <c r="AN265" s="9"/>
      <c r="AO265" s="9"/>
      <c r="AP265" s="9"/>
      <c r="AQ265" s="9"/>
      <c r="AR265" s="9"/>
      <c r="AS265" s="9"/>
      <c r="AT265" s="10" t="str">
        <f aca="false">IF(A265="","",SG_Criteria!$B$6&amp;SG_Criteria!$B$8&amp;"\"&amp;A265&amp;"\")</f>
        <v/>
      </c>
      <c r="AU265" s="10" t="str">
        <f aca="false">IF(A265="","",A265&amp;"_CAD.dwg")</f>
        <v/>
      </c>
      <c r="AV265" s="10" t="str">
        <f aca="false">IF(A265="","",A265&amp;"_DWG.pdf")</f>
        <v/>
      </c>
      <c r="AW265" s="10" t="str">
        <f aca="false">IF(A265="","",IF(AS265="Y",A265&amp;"_STAAD.std","n/a"))</f>
        <v/>
      </c>
      <c r="AX265" s="10" t="str">
        <f aca="false">IF(A265="","",A265&amp;"_CALC.xlsx")</f>
        <v/>
      </c>
      <c r="AY265" s="10" t="str">
        <f aca="false">IF(A265="","",A265&amp;"_CALC.pdf")</f>
        <v/>
      </c>
      <c r="AZ265" s="9"/>
      <c r="BA265" s="9"/>
      <c r="BB265" s="39"/>
      <c r="BC265" s="39"/>
      <c r="BD265" s="39"/>
      <c r="BE265" s="39"/>
      <c r="BF265" s="39"/>
      <c r="BG265" s="12" t="str">
        <f aca="false">IF(A265="","",IF(COUNTIF(Rebar_Schedule!$A$5:$A$2004,A265)=0,"",ROUND(SUMIF(Rebar_Schedule!$A$5:$A$2004,A265,Rebar_Schedule!$K$5:$K$2004),1)))</f>
        <v/>
      </c>
      <c r="BH265" s="33" t="str">
        <f aca="false">IF(A265="","",IF(BG265="","No rebar schedule yet",IF(ABS(BG265-N(BC265))/MAX(N(BC265),1)&gt;SG_Criteria!$B$55,"NOTE: register rebar differs from schedule by "&amp;TEXT(ABS(BG265-N(BC265))/MAX(N(BC265),1),"0%"),"OK")))</f>
        <v/>
      </c>
      <c r="BI265" s="33" t="str">
        <f aca="false">IF(OR(D265="",E265=""),"",IF(E265&lt;=IF(OR(D265="Block / Segmental",D265="Gabion",D265="Reinforced Earth (MSE)"),SG_Criteria!$B$34,SG_Criteria!$B$33),"No ERSS submission",IF(E265&lt;=SG_Criteria!$B$35,"QP(ST)",IF(E265&lt;=SG_Criteria!$B$36,"QP(ST) + AC","Geotechnical building works: QP(Geo) + AC"))))</f>
        <v/>
      </c>
      <c r="BJ265" s="33" t="str">
        <f aca="false">IF(D265="","",IF(LEN(IF(AND(V265&lt;&gt;"",IFERROR(VALUE(MID(V265,2,2)),0)&lt;SG_Criteria!$B$19),"FAIL: grade below C"&amp;SG_Criteria!$B$19&amp;". ","")&amp;IF(AND(W265&lt;&gt;"",W265&lt;SG_Criteria!$B$20),"FAIL: cover &lt; "&amp;SG_Criteria!$B$20&amp;" mm. ","")&amp;IF(AND(AD265&lt;&gt;"",AD265&lt;1),"FAIL: sliding. ","")&amp;IF(AND(D265="Reverse L-Wall (toe only, at boundary)",N(S265)&gt;0),"NOTE: reverse L-wall should have no heel. ","")&amp;IF(AND(D265="L-Wall (heel only)",N(R265)&gt;0),"NOTE: L-wall should have no toe. ","")&amp;IF(AND(F265&lt;&gt;"",F265&lt;SG_Criteria!$B$31),"NOTE: q below LTA min "&amp;SG_Criteria!$B$31&amp;" kPa (not for LTA works). ",""))=0,"OK",IF(AND(V265&lt;&gt;"",IFERROR(VALUE(MID(V265,2,2)),0)&lt;SG_Criteria!$B$19),"FAIL: grade below C"&amp;SG_Criteria!$B$19&amp;". ","")&amp;IF(AND(W265&lt;&gt;"",W265&lt;SG_Criteria!$B$20),"FAIL: cover &lt; "&amp;SG_Criteria!$B$20&amp;" mm. ","")&amp;IF(AND(AD265&lt;&gt;"",AD265&lt;1),"FAIL: sliding. ","")&amp;IF(AND(D265="Reverse L-Wall (toe only, at boundary)",N(S265)&gt;0),"NOTE: reverse L-wall should have no heel. ","")&amp;IF(AND(D265="L-Wall (heel only)",N(R265)&gt;0),"NOTE: L-wall should have no toe. ","")&amp;IF(AND(F265&lt;&gt;"",F265&lt;SG_Criteria!$B$31),"NOTE: q below LTA min "&amp;SG_Criteria!$B$31&amp;" kPa (not for LTA works). ","")))</f>
        <v/>
      </c>
      <c r="BK265" s="9"/>
      <c r="BL265" s="9"/>
      <c r="BM265" s="9"/>
      <c r="BN265" s="10" t="str">
        <f aca="false">IF(BM265="","",IFERROR(VLOOKUP(BM265,Projects!$A$5:$D$504,2,0),"Ref not in Projects"))</f>
        <v/>
      </c>
      <c r="BO265" s="10" t="str">
        <f aca="false">IF(BM265="","",IFERROR(VLOOKUP(BM265,Projects!$A$5:$D$504,4,0),"Ref not in Projects"))</f>
        <v/>
      </c>
      <c r="BP265" s="9"/>
      <c r="BQ265" s="9"/>
      <c r="BR265" s="9"/>
      <c r="BS265" s="40"/>
      <c r="BT265" s="9"/>
      <c r="BU265" s="40"/>
      <c r="BV265" s="9"/>
      <c r="BW265" s="40"/>
      <c r="BX265" s="9"/>
      <c r="BY265" s="9"/>
      <c r="BZ265" s="9"/>
      <c r="CA265" s="40"/>
      <c r="CB265" s="40"/>
      <c r="CC265" s="36" t="str">
        <f aca="false">IF(CB265="","",EDATE(CB265,SG_Criteria!$B$54*12))</f>
        <v/>
      </c>
      <c r="CD265" s="33" t="str">
        <f aca="true">IF(A265="","",IF(CB265="","NOTE: not reviewed yet",IF(TODAY()&gt;CC265,"NOTE: review overdue","OK")))</f>
        <v/>
      </c>
      <c r="CE265" s="37" t="str">
        <f aca="false">IF(A265="","",ROUND((IF(LEN(D265)&gt;0,1,0)+IF(LEN(E265)&gt;0,1,0)+IF(LEN(F265)&gt;0,1,0)+IF(LEN(G265)&gt;0,1,0)+IF(LEN(I265)&gt;0,1,0)+IF(LEN(K265)&gt;0,1,0)+IF(LEN(P265)&gt;0,1,0)+IF(LEN(Q265)&gt;0,1,0)+IF(LEN(T265)&gt;0,1,0)+IF(LEN(V265)&gt;0,1,0)+IF(LEN(W265)&gt;0,1,0)+IF(LEN(X265)&gt;0,1,0)+IF(LEN(Z265)&gt;0,1,0)+IF(LEN(AD265)&gt;0,1,0)+IF(LEN(AE265)&gt;0,1,0)+IF(LEN(AG265)&gt;0,1,0)+IF(LEN(AI265)&gt;0,1,0)+IF(LEN(BB265)&gt;0,1,0)+IF(LEN(BC265)&gt;0,1,0)+IF(LEN(AM265)&gt;0,1,0)+IF(LEN(AO265)&gt;0,1,0)+IF(LEN(AP265)&gt;0,1,0)+IF(LEN(AQ265)&gt;0,1,0)+IF(LEN(AR265)&gt;0,1,0)+IF(LEN(BA265)&gt;0,1,0)+IF(LEN(BM265)&gt;0,1,0)+IF(LEN(BZ265)&gt;0,1,0))/27,2))</f>
        <v/>
      </c>
      <c r="CF265" s="10" t="str">
        <f aca="false">IF(D265="","",IF(AND(AP265="Approved",ISERROR(SEARCH("FAIL",BJ265))),"Y","N"))</f>
        <v/>
      </c>
      <c r="CG265" s="10" t="str">
        <f aca="false">IF(D265="","",D265&amp;"|"&amp;E265&amp;"|"&amp;F265&amp;"|"&amp;G265&amp;"|"&amp;CF265)</f>
        <v/>
      </c>
    </row>
    <row r="266" customFormat="false" ht="15" hidden="false" customHeight="false" outlineLevel="0" collapsed="false">
      <c r="A266" s="10" t="str">
        <f aca="false">IF(D266="","","RW-"&amp;IFERROR(VLOOKUP(D266,Lists!$M$4:$N$22,2,0),"??")&amp;"-H"&amp;TEXT(E266*1000,"0000")&amp;"-S"&amp;F266&amp;IF(G266="Y","-GW","")&amp;"-"&amp;AO266)</f>
        <v/>
      </c>
      <c r="B266" s="10" t="str">
        <f aca="false">IF(D266="","",D266&amp;", H = "&amp;TEXT(E266,"0.0")&amp;" m, q = "&amp;F266&amp;" kPa"&amp;IF(G266="Y",", with GWT","")&amp;", "&amp;I266)</f>
        <v/>
      </c>
      <c r="C266" s="9"/>
      <c r="D266" s="9"/>
      <c r="E266" s="39"/>
      <c r="F266" s="38"/>
      <c r="G266" s="9"/>
      <c r="H266" s="38"/>
      <c r="I266" s="9"/>
      <c r="J266" s="38"/>
      <c r="K266" s="38"/>
      <c r="L266" s="38"/>
      <c r="M266" s="42"/>
      <c r="N266" s="9"/>
      <c r="O266" s="38"/>
      <c r="P266" s="38"/>
      <c r="Q266" s="38"/>
      <c r="R266" s="38"/>
      <c r="S266" s="38"/>
      <c r="T266" s="38"/>
      <c r="U266" s="9"/>
      <c r="V266" s="9"/>
      <c r="W266" s="38"/>
      <c r="X266" s="9"/>
      <c r="Y266" s="9"/>
      <c r="Z266" s="9"/>
      <c r="AA266" s="9"/>
      <c r="AB266" s="9"/>
      <c r="AC266" s="9"/>
      <c r="AD266" s="39"/>
      <c r="AE266" s="39"/>
      <c r="AF266" s="39"/>
      <c r="AG266" s="38"/>
      <c r="AH266" s="38"/>
      <c r="AI266" s="9"/>
      <c r="AJ266" s="38"/>
      <c r="AK266" s="9"/>
      <c r="AL266" s="39"/>
      <c r="AM266" s="9"/>
      <c r="AN266" s="9"/>
      <c r="AO266" s="9"/>
      <c r="AP266" s="9"/>
      <c r="AQ266" s="9"/>
      <c r="AR266" s="9"/>
      <c r="AS266" s="9"/>
      <c r="AT266" s="10" t="str">
        <f aca="false">IF(A266="","",SG_Criteria!$B$6&amp;SG_Criteria!$B$8&amp;"\"&amp;A266&amp;"\")</f>
        <v/>
      </c>
      <c r="AU266" s="10" t="str">
        <f aca="false">IF(A266="","",A266&amp;"_CAD.dwg")</f>
        <v/>
      </c>
      <c r="AV266" s="10" t="str">
        <f aca="false">IF(A266="","",A266&amp;"_DWG.pdf")</f>
        <v/>
      </c>
      <c r="AW266" s="10" t="str">
        <f aca="false">IF(A266="","",IF(AS266="Y",A266&amp;"_STAAD.std","n/a"))</f>
        <v/>
      </c>
      <c r="AX266" s="10" t="str">
        <f aca="false">IF(A266="","",A266&amp;"_CALC.xlsx")</f>
        <v/>
      </c>
      <c r="AY266" s="10" t="str">
        <f aca="false">IF(A266="","",A266&amp;"_CALC.pdf")</f>
        <v/>
      </c>
      <c r="AZ266" s="9"/>
      <c r="BA266" s="9"/>
      <c r="BB266" s="39"/>
      <c r="BC266" s="39"/>
      <c r="BD266" s="39"/>
      <c r="BE266" s="39"/>
      <c r="BF266" s="39"/>
      <c r="BG266" s="12" t="str">
        <f aca="false">IF(A266="","",IF(COUNTIF(Rebar_Schedule!$A$5:$A$2004,A266)=0,"",ROUND(SUMIF(Rebar_Schedule!$A$5:$A$2004,A266,Rebar_Schedule!$K$5:$K$2004),1)))</f>
        <v/>
      </c>
      <c r="BH266" s="33" t="str">
        <f aca="false">IF(A266="","",IF(BG266="","No rebar schedule yet",IF(ABS(BG266-N(BC266))/MAX(N(BC266),1)&gt;SG_Criteria!$B$55,"NOTE: register rebar differs from schedule by "&amp;TEXT(ABS(BG266-N(BC266))/MAX(N(BC266),1),"0%"),"OK")))</f>
        <v/>
      </c>
      <c r="BI266" s="33" t="str">
        <f aca="false">IF(OR(D266="",E266=""),"",IF(E266&lt;=IF(OR(D266="Block / Segmental",D266="Gabion",D266="Reinforced Earth (MSE)"),SG_Criteria!$B$34,SG_Criteria!$B$33),"No ERSS submission",IF(E266&lt;=SG_Criteria!$B$35,"QP(ST)",IF(E266&lt;=SG_Criteria!$B$36,"QP(ST) + AC","Geotechnical building works: QP(Geo) + AC"))))</f>
        <v/>
      </c>
      <c r="BJ266" s="33" t="str">
        <f aca="false">IF(D266="","",IF(LEN(IF(AND(V266&lt;&gt;"",IFERROR(VALUE(MID(V266,2,2)),0)&lt;SG_Criteria!$B$19),"FAIL: grade below C"&amp;SG_Criteria!$B$19&amp;". ","")&amp;IF(AND(W266&lt;&gt;"",W266&lt;SG_Criteria!$B$20),"FAIL: cover &lt; "&amp;SG_Criteria!$B$20&amp;" mm. ","")&amp;IF(AND(AD266&lt;&gt;"",AD266&lt;1),"FAIL: sliding. ","")&amp;IF(AND(D266="Reverse L-Wall (toe only, at boundary)",N(S266)&gt;0),"NOTE: reverse L-wall should have no heel. ","")&amp;IF(AND(D266="L-Wall (heel only)",N(R266)&gt;0),"NOTE: L-wall should have no toe. ","")&amp;IF(AND(F266&lt;&gt;"",F266&lt;SG_Criteria!$B$31),"NOTE: q below LTA min "&amp;SG_Criteria!$B$31&amp;" kPa (not for LTA works). ",""))=0,"OK",IF(AND(V266&lt;&gt;"",IFERROR(VALUE(MID(V266,2,2)),0)&lt;SG_Criteria!$B$19),"FAIL: grade below C"&amp;SG_Criteria!$B$19&amp;". ","")&amp;IF(AND(W266&lt;&gt;"",W266&lt;SG_Criteria!$B$20),"FAIL: cover &lt; "&amp;SG_Criteria!$B$20&amp;" mm. ","")&amp;IF(AND(AD266&lt;&gt;"",AD266&lt;1),"FAIL: sliding. ","")&amp;IF(AND(D266="Reverse L-Wall (toe only, at boundary)",N(S266)&gt;0),"NOTE: reverse L-wall should have no heel. ","")&amp;IF(AND(D266="L-Wall (heel only)",N(R266)&gt;0),"NOTE: L-wall should have no toe. ","")&amp;IF(AND(F266&lt;&gt;"",F266&lt;SG_Criteria!$B$31),"NOTE: q below LTA min "&amp;SG_Criteria!$B$31&amp;" kPa (not for LTA works). ","")))</f>
        <v/>
      </c>
      <c r="BK266" s="9"/>
      <c r="BL266" s="9"/>
      <c r="BM266" s="9"/>
      <c r="BN266" s="10" t="str">
        <f aca="false">IF(BM266="","",IFERROR(VLOOKUP(BM266,Projects!$A$5:$D$504,2,0),"Ref not in Projects"))</f>
        <v/>
      </c>
      <c r="BO266" s="10" t="str">
        <f aca="false">IF(BM266="","",IFERROR(VLOOKUP(BM266,Projects!$A$5:$D$504,4,0),"Ref not in Projects"))</f>
        <v/>
      </c>
      <c r="BP266" s="9"/>
      <c r="BQ266" s="9"/>
      <c r="BR266" s="9"/>
      <c r="BS266" s="40"/>
      <c r="BT266" s="9"/>
      <c r="BU266" s="40"/>
      <c r="BV266" s="9"/>
      <c r="BW266" s="40"/>
      <c r="BX266" s="9"/>
      <c r="BY266" s="9"/>
      <c r="BZ266" s="9"/>
      <c r="CA266" s="40"/>
      <c r="CB266" s="40"/>
      <c r="CC266" s="36" t="str">
        <f aca="false">IF(CB266="","",EDATE(CB266,SG_Criteria!$B$54*12))</f>
        <v/>
      </c>
      <c r="CD266" s="33" t="str">
        <f aca="true">IF(A266="","",IF(CB266="","NOTE: not reviewed yet",IF(TODAY()&gt;CC266,"NOTE: review overdue","OK")))</f>
        <v/>
      </c>
      <c r="CE266" s="37" t="str">
        <f aca="false">IF(A266="","",ROUND((IF(LEN(D266)&gt;0,1,0)+IF(LEN(E266)&gt;0,1,0)+IF(LEN(F266)&gt;0,1,0)+IF(LEN(G266)&gt;0,1,0)+IF(LEN(I266)&gt;0,1,0)+IF(LEN(K266)&gt;0,1,0)+IF(LEN(P266)&gt;0,1,0)+IF(LEN(Q266)&gt;0,1,0)+IF(LEN(T266)&gt;0,1,0)+IF(LEN(V266)&gt;0,1,0)+IF(LEN(W266)&gt;0,1,0)+IF(LEN(X266)&gt;0,1,0)+IF(LEN(Z266)&gt;0,1,0)+IF(LEN(AD266)&gt;0,1,0)+IF(LEN(AE266)&gt;0,1,0)+IF(LEN(AG266)&gt;0,1,0)+IF(LEN(AI266)&gt;0,1,0)+IF(LEN(BB266)&gt;0,1,0)+IF(LEN(BC266)&gt;0,1,0)+IF(LEN(AM266)&gt;0,1,0)+IF(LEN(AO266)&gt;0,1,0)+IF(LEN(AP266)&gt;0,1,0)+IF(LEN(AQ266)&gt;0,1,0)+IF(LEN(AR266)&gt;0,1,0)+IF(LEN(BA266)&gt;0,1,0)+IF(LEN(BM266)&gt;0,1,0)+IF(LEN(BZ266)&gt;0,1,0))/27,2))</f>
        <v/>
      </c>
      <c r="CF266" s="10" t="str">
        <f aca="false">IF(D266="","",IF(AND(AP266="Approved",ISERROR(SEARCH("FAIL",BJ266))),"Y","N"))</f>
        <v/>
      </c>
      <c r="CG266" s="10" t="str">
        <f aca="false">IF(D266="","",D266&amp;"|"&amp;E266&amp;"|"&amp;F266&amp;"|"&amp;G266&amp;"|"&amp;CF266)</f>
        <v/>
      </c>
    </row>
    <row r="267" customFormat="false" ht="15" hidden="false" customHeight="false" outlineLevel="0" collapsed="false">
      <c r="A267" s="10" t="str">
        <f aca="false">IF(D267="","","RW-"&amp;IFERROR(VLOOKUP(D267,Lists!$M$4:$N$22,2,0),"??")&amp;"-H"&amp;TEXT(E267*1000,"0000")&amp;"-S"&amp;F267&amp;IF(G267="Y","-GW","")&amp;"-"&amp;AO267)</f>
        <v/>
      </c>
      <c r="B267" s="10" t="str">
        <f aca="false">IF(D267="","",D267&amp;", H = "&amp;TEXT(E267,"0.0")&amp;" m, q = "&amp;F267&amp;" kPa"&amp;IF(G267="Y",", with GWT","")&amp;", "&amp;I267)</f>
        <v/>
      </c>
      <c r="C267" s="9"/>
      <c r="D267" s="9"/>
      <c r="E267" s="39"/>
      <c r="F267" s="38"/>
      <c r="G267" s="9"/>
      <c r="H267" s="38"/>
      <c r="I267" s="9"/>
      <c r="J267" s="38"/>
      <c r="K267" s="38"/>
      <c r="L267" s="38"/>
      <c r="M267" s="42"/>
      <c r="N267" s="9"/>
      <c r="O267" s="38"/>
      <c r="P267" s="38"/>
      <c r="Q267" s="38"/>
      <c r="R267" s="38"/>
      <c r="S267" s="38"/>
      <c r="T267" s="38"/>
      <c r="U267" s="9"/>
      <c r="V267" s="9"/>
      <c r="W267" s="38"/>
      <c r="X267" s="9"/>
      <c r="Y267" s="9"/>
      <c r="Z267" s="9"/>
      <c r="AA267" s="9"/>
      <c r="AB267" s="9"/>
      <c r="AC267" s="9"/>
      <c r="AD267" s="39"/>
      <c r="AE267" s="39"/>
      <c r="AF267" s="39"/>
      <c r="AG267" s="38"/>
      <c r="AH267" s="38"/>
      <c r="AI267" s="9"/>
      <c r="AJ267" s="38"/>
      <c r="AK267" s="9"/>
      <c r="AL267" s="39"/>
      <c r="AM267" s="9"/>
      <c r="AN267" s="9"/>
      <c r="AO267" s="9"/>
      <c r="AP267" s="9"/>
      <c r="AQ267" s="9"/>
      <c r="AR267" s="9"/>
      <c r="AS267" s="9"/>
      <c r="AT267" s="10" t="str">
        <f aca="false">IF(A267="","",SG_Criteria!$B$6&amp;SG_Criteria!$B$8&amp;"\"&amp;A267&amp;"\")</f>
        <v/>
      </c>
      <c r="AU267" s="10" t="str">
        <f aca="false">IF(A267="","",A267&amp;"_CAD.dwg")</f>
        <v/>
      </c>
      <c r="AV267" s="10" t="str">
        <f aca="false">IF(A267="","",A267&amp;"_DWG.pdf")</f>
        <v/>
      </c>
      <c r="AW267" s="10" t="str">
        <f aca="false">IF(A267="","",IF(AS267="Y",A267&amp;"_STAAD.std","n/a"))</f>
        <v/>
      </c>
      <c r="AX267" s="10" t="str">
        <f aca="false">IF(A267="","",A267&amp;"_CALC.xlsx")</f>
        <v/>
      </c>
      <c r="AY267" s="10" t="str">
        <f aca="false">IF(A267="","",A267&amp;"_CALC.pdf")</f>
        <v/>
      </c>
      <c r="AZ267" s="9"/>
      <c r="BA267" s="9"/>
      <c r="BB267" s="39"/>
      <c r="BC267" s="39"/>
      <c r="BD267" s="39"/>
      <c r="BE267" s="39"/>
      <c r="BF267" s="39"/>
      <c r="BG267" s="12" t="str">
        <f aca="false">IF(A267="","",IF(COUNTIF(Rebar_Schedule!$A$5:$A$2004,A267)=0,"",ROUND(SUMIF(Rebar_Schedule!$A$5:$A$2004,A267,Rebar_Schedule!$K$5:$K$2004),1)))</f>
        <v/>
      </c>
      <c r="BH267" s="33" t="str">
        <f aca="false">IF(A267="","",IF(BG267="","No rebar schedule yet",IF(ABS(BG267-N(BC267))/MAX(N(BC267),1)&gt;SG_Criteria!$B$55,"NOTE: register rebar differs from schedule by "&amp;TEXT(ABS(BG267-N(BC267))/MAX(N(BC267),1),"0%"),"OK")))</f>
        <v/>
      </c>
      <c r="BI267" s="33" t="str">
        <f aca="false">IF(OR(D267="",E267=""),"",IF(E267&lt;=IF(OR(D267="Block / Segmental",D267="Gabion",D267="Reinforced Earth (MSE)"),SG_Criteria!$B$34,SG_Criteria!$B$33),"No ERSS submission",IF(E267&lt;=SG_Criteria!$B$35,"QP(ST)",IF(E267&lt;=SG_Criteria!$B$36,"QP(ST) + AC","Geotechnical building works: QP(Geo) + AC"))))</f>
        <v/>
      </c>
      <c r="BJ267" s="33" t="str">
        <f aca="false">IF(D267="","",IF(LEN(IF(AND(V267&lt;&gt;"",IFERROR(VALUE(MID(V267,2,2)),0)&lt;SG_Criteria!$B$19),"FAIL: grade below C"&amp;SG_Criteria!$B$19&amp;". ","")&amp;IF(AND(W267&lt;&gt;"",W267&lt;SG_Criteria!$B$20),"FAIL: cover &lt; "&amp;SG_Criteria!$B$20&amp;" mm. ","")&amp;IF(AND(AD267&lt;&gt;"",AD267&lt;1),"FAIL: sliding. ","")&amp;IF(AND(D267="Reverse L-Wall (toe only, at boundary)",N(S267)&gt;0),"NOTE: reverse L-wall should have no heel. ","")&amp;IF(AND(D267="L-Wall (heel only)",N(R267)&gt;0),"NOTE: L-wall should have no toe. ","")&amp;IF(AND(F267&lt;&gt;"",F267&lt;SG_Criteria!$B$31),"NOTE: q below LTA min "&amp;SG_Criteria!$B$31&amp;" kPa (not for LTA works). ",""))=0,"OK",IF(AND(V267&lt;&gt;"",IFERROR(VALUE(MID(V267,2,2)),0)&lt;SG_Criteria!$B$19),"FAIL: grade below C"&amp;SG_Criteria!$B$19&amp;". ","")&amp;IF(AND(W267&lt;&gt;"",W267&lt;SG_Criteria!$B$20),"FAIL: cover &lt; "&amp;SG_Criteria!$B$20&amp;" mm. ","")&amp;IF(AND(AD267&lt;&gt;"",AD267&lt;1),"FAIL: sliding. ","")&amp;IF(AND(D267="Reverse L-Wall (toe only, at boundary)",N(S267)&gt;0),"NOTE: reverse L-wall should have no heel. ","")&amp;IF(AND(D267="L-Wall (heel only)",N(R267)&gt;0),"NOTE: L-wall should have no toe. ","")&amp;IF(AND(F267&lt;&gt;"",F267&lt;SG_Criteria!$B$31),"NOTE: q below LTA min "&amp;SG_Criteria!$B$31&amp;" kPa (not for LTA works). ","")))</f>
        <v/>
      </c>
      <c r="BK267" s="9"/>
      <c r="BL267" s="9"/>
      <c r="BM267" s="9"/>
      <c r="BN267" s="10" t="str">
        <f aca="false">IF(BM267="","",IFERROR(VLOOKUP(BM267,Projects!$A$5:$D$504,2,0),"Ref not in Projects"))</f>
        <v/>
      </c>
      <c r="BO267" s="10" t="str">
        <f aca="false">IF(BM267="","",IFERROR(VLOOKUP(BM267,Projects!$A$5:$D$504,4,0),"Ref not in Projects"))</f>
        <v/>
      </c>
      <c r="BP267" s="9"/>
      <c r="BQ267" s="9"/>
      <c r="BR267" s="9"/>
      <c r="BS267" s="40"/>
      <c r="BT267" s="9"/>
      <c r="BU267" s="40"/>
      <c r="BV267" s="9"/>
      <c r="BW267" s="40"/>
      <c r="BX267" s="9"/>
      <c r="BY267" s="9"/>
      <c r="BZ267" s="9"/>
      <c r="CA267" s="40"/>
      <c r="CB267" s="40"/>
      <c r="CC267" s="36" t="str">
        <f aca="false">IF(CB267="","",EDATE(CB267,SG_Criteria!$B$54*12))</f>
        <v/>
      </c>
      <c r="CD267" s="33" t="str">
        <f aca="true">IF(A267="","",IF(CB267="","NOTE: not reviewed yet",IF(TODAY()&gt;CC267,"NOTE: review overdue","OK")))</f>
        <v/>
      </c>
      <c r="CE267" s="37" t="str">
        <f aca="false">IF(A267="","",ROUND((IF(LEN(D267)&gt;0,1,0)+IF(LEN(E267)&gt;0,1,0)+IF(LEN(F267)&gt;0,1,0)+IF(LEN(G267)&gt;0,1,0)+IF(LEN(I267)&gt;0,1,0)+IF(LEN(K267)&gt;0,1,0)+IF(LEN(P267)&gt;0,1,0)+IF(LEN(Q267)&gt;0,1,0)+IF(LEN(T267)&gt;0,1,0)+IF(LEN(V267)&gt;0,1,0)+IF(LEN(W267)&gt;0,1,0)+IF(LEN(X267)&gt;0,1,0)+IF(LEN(Z267)&gt;0,1,0)+IF(LEN(AD267)&gt;0,1,0)+IF(LEN(AE267)&gt;0,1,0)+IF(LEN(AG267)&gt;0,1,0)+IF(LEN(AI267)&gt;0,1,0)+IF(LEN(BB267)&gt;0,1,0)+IF(LEN(BC267)&gt;0,1,0)+IF(LEN(AM267)&gt;0,1,0)+IF(LEN(AO267)&gt;0,1,0)+IF(LEN(AP267)&gt;0,1,0)+IF(LEN(AQ267)&gt;0,1,0)+IF(LEN(AR267)&gt;0,1,0)+IF(LEN(BA267)&gt;0,1,0)+IF(LEN(BM267)&gt;0,1,0)+IF(LEN(BZ267)&gt;0,1,0))/27,2))</f>
        <v/>
      </c>
      <c r="CF267" s="10" t="str">
        <f aca="false">IF(D267="","",IF(AND(AP267="Approved",ISERROR(SEARCH("FAIL",BJ267))),"Y","N"))</f>
        <v/>
      </c>
      <c r="CG267" s="10" t="str">
        <f aca="false">IF(D267="","",D267&amp;"|"&amp;E267&amp;"|"&amp;F267&amp;"|"&amp;G267&amp;"|"&amp;CF267)</f>
        <v/>
      </c>
    </row>
    <row r="268" customFormat="false" ht="15" hidden="false" customHeight="false" outlineLevel="0" collapsed="false">
      <c r="A268" s="10" t="str">
        <f aca="false">IF(D268="","","RW-"&amp;IFERROR(VLOOKUP(D268,Lists!$M$4:$N$22,2,0),"??")&amp;"-H"&amp;TEXT(E268*1000,"0000")&amp;"-S"&amp;F268&amp;IF(G268="Y","-GW","")&amp;"-"&amp;AO268)</f>
        <v/>
      </c>
      <c r="B268" s="10" t="str">
        <f aca="false">IF(D268="","",D268&amp;", H = "&amp;TEXT(E268,"0.0")&amp;" m, q = "&amp;F268&amp;" kPa"&amp;IF(G268="Y",", with GWT","")&amp;", "&amp;I268)</f>
        <v/>
      </c>
      <c r="C268" s="9"/>
      <c r="D268" s="9"/>
      <c r="E268" s="39"/>
      <c r="F268" s="38"/>
      <c r="G268" s="9"/>
      <c r="H268" s="38"/>
      <c r="I268" s="9"/>
      <c r="J268" s="38"/>
      <c r="K268" s="38"/>
      <c r="L268" s="38"/>
      <c r="M268" s="42"/>
      <c r="N268" s="9"/>
      <c r="O268" s="38"/>
      <c r="P268" s="38"/>
      <c r="Q268" s="38"/>
      <c r="R268" s="38"/>
      <c r="S268" s="38"/>
      <c r="T268" s="38"/>
      <c r="U268" s="9"/>
      <c r="V268" s="9"/>
      <c r="W268" s="38"/>
      <c r="X268" s="9"/>
      <c r="Y268" s="9"/>
      <c r="Z268" s="9"/>
      <c r="AA268" s="9"/>
      <c r="AB268" s="9"/>
      <c r="AC268" s="9"/>
      <c r="AD268" s="39"/>
      <c r="AE268" s="39"/>
      <c r="AF268" s="39"/>
      <c r="AG268" s="38"/>
      <c r="AH268" s="38"/>
      <c r="AI268" s="9"/>
      <c r="AJ268" s="38"/>
      <c r="AK268" s="9"/>
      <c r="AL268" s="39"/>
      <c r="AM268" s="9"/>
      <c r="AN268" s="9"/>
      <c r="AO268" s="9"/>
      <c r="AP268" s="9"/>
      <c r="AQ268" s="9"/>
      <c r="AR268" s="9"/>
      <c r="AS268" s="9"/>
      <c r="AT268" s="10" t="str">
        <f aca="false">IF(A268="","",SG_Criteria!$B$6&amp;SG_Criteria!$B$8&amp;"\"&amp;A268&amp;"\")</f>
        <v/>
      </c>
      <c r="AU268" s="10" t="str">
        <f aca="false">IF(A268="","",A268&amp;"_CAD.dwg")</f>
        <v/>
      </c>
      <c r="AV268" s="10" t="str">
        <f aca="false">IF(A268="","",A268&amp;"_DWG.pdf")</f>
        <v/>
      </c>
      <c r="AW268" s="10" t="str">
        <f aca="false">IF(A268="","",IF(AS268="Y",A268&amp;"_STAAD.std","n/a"))</f>
        <v/>
      </c>
      <c r="AX268" s="10" t="str">
        <f aca="false">IF(A268="","",A268&amp;"_CALC.xlsx")</f>
        <v/>
      </c>
      <c r="AY268" s="10" t="str">
        <f aca="false">IF(A268="","",A268&amp;"_CALC.pdf")</f>
        <v/>
      </c>
      <c r="AZ268" s="9"/>
      <c r="BA268" s="9"/>
      <c r="BB268" s="39"/>
      <c r="BC268" s="39"/>
      <c r="BD268" s="39"/>
      <c r="BE268" s="39"/>
      <c r="BF268" s="39"/>
      <c r="BG268" s="12" t="str">
        <f aca="false">IF(A268="","",IF(COUNTIF(Rebar_Schedule!$A$5:$A$2004,A268)=0,"",ROUND(SUMIF(Rebar_Schedule!$A$5:$A$2004,A268,Rebar_Schedule!$K$5:$K$2004),1)))</f>
        <v/>
      </c>
      <c r="BH268" s="33" t="str">
        <f aca="false">IF(A268="","",IF(BG268="","No rebar schedule yet",IF(ABS(BG268-N(BC268))/MAX(N(BC268),1)&gt;SG_Criteria!$B$55,"NOTE: register rebar differs from schedule by "&amp;TEXT(ABS(BG268-N(BC268))/MAX(N(BC268),1),"0%"),"OK")))</f>
        <v/>
      </c>
      <c r="BI268" s="33" t="str">
        <f aca="false">IF(OR(D268="",E268=""),"",IF(E268&lt;=IF(OR(D268="Block / Segmental",D268="Gabion",D268="Reinforced Earth (MSE)"),SG_Criteria!$B$34,SG_Criteria!$B$33),"No ERSS submission",IF(E268&lt;=SG_Criteria!$B$35,"QP(ST)",IF(E268&lt;=SG_Criteria!$B$36,"QP(ST) + AC","Geotechnical building works: QP(Geo) + AC"))))</f>
        <v/>
      </c>
      <c r="BJ268" s="33" t="str">
        <f aca="false">IF(D268="","",IF(LEN(IF(AND(V268&lt;&gt;"",IFERROR(VALUE(MID(V268,2,2)),0)&lt;SG_Criteria!$B$19),"FAIL: grade below C"&amp;SG_Criteria!$B$19&amp;". ","")&amp;IF(AND(W268&lt;&gt;"",W268&lt;SG_Criteria!$B$20),"FAIL: cover &lt; "&amp;SG_Criteria!$B$20&amp;" mm. ","")&amp;IF(AND(AD268&lt;&gt;"",AD268&lt;1),"FAIL: sliding. ","")&amp;IF(AND(D268="Reverse L-Wall (toe only, at boundary)",N(S268)&gt;0),"NOTE: reverse L-wall should have no heel. ","")&amp;IF(AND(D268="L-Wall (heel only)",N(R268)&gt;0),"NOTE: L-wall should have no toe. ","")&amp;IF(AND(F268&lt;&gt;"",F268&lt;SG_Criteria!$B$31),"NOTE: q below LTA min "&amp;SG_Criteria!$B$31&amp;" kPa (not for LTA works). ",""))=0,"OK",IF(AND(V268&lt;&gt;"",IFERROR(VALUE(MID(V268,2,2)),0)&lt;SG_Criteria!$B$19),"FAIL: grade below C"&amp;SG_Criteria!$B$19&amp;". ","")&amp;IF(AND(W268&lt;&gt;"",W268&lt;SG_Criteria!$B$20),"FAIL: cover &lt; "&amp;SG_Criteria!$B$20&amp;" mm. ","")&amp;IF(AND(AD268&lt;&gt;"",AD268&lt;1),"FAIL: sliding. ","")&amp;IF(AND(D268="Reverse L-Wall (toe only, at boundary)",N(S268)&gt;0),"NOTE: reverse L-wall should have no heel. ","")&amp;IF(AND(D268="L-Wall (heel only)",N(R268)&gt;0),"NOTE: L-wall should have no toe. ","")&amp;IF(AND(F268&lt;&gt;"",F268&lt;SG_Criteria!$B$31),"NOTE: q below LTA min "&amp;SG_Criteria!$B$31&amp;" kPa (not for LTA works). ","")))</f>
        <v/>
      </c>
      <c r="BK268" s="9"/>
      <c r="BL268" s="9"/>
      <c r="BM268" s="9"/>
      <c r="BN268" s="10" t="str">
        <f aca="false">IF(BM268="","",IFERROR(VLOOKUP(BM268,Projects!$A$5:$D$504,2,0),"Ref not in Projects"))</f>
        <v/>
      </c>
      <c r="BO268" s="10" t="str">
        <f aca="false">IF(BM268="","",IFERROR(VLOOKUP(BM268,Projects!$A$5:$D$504,4,0),"Ref not in Projects"))</f>
        <v/>
      </c>
      <c r="BP268" s="9"/>
      <c r="BQ268" s="9"/>
      <c r="BR268" s="9"/>
      <c r="BS268" s="40"/>
      <c r="BT268" s="9"/>
      <c r="BU268" s="40"/>
      <c r="BV268" s="9"/>
      <c r="BW268" s="40"/>
      <c r="BX268" s="9"/>
      <c r="BY268" s="9"/>
      <c r="BZ268" s="9"/>
      <c r="CA268" s="40"/>
      <c r="CB268" s="40"/>
      <c r="CC268" s="36" t="str">
        <f aca="false">IF(CB268="","",EDATE(CB268,SG_Criteria!$B$54*12))</f>
        <v/>
      </c>
      <c r="CD268" s="33" t="str">
        <f aca="true">IF(A268="","",IF(CB268="","NOTE: not reviewed yet",IF(TODAY()&gt;CC268,"NOTE: review overdue","OK")))</f>
        <v/>
      </c>
      <c r="CE268" s="37" t="str">
        <f aca="false">IF(A268="","",ROUND((IF(LEN(D268)&gt;0,1,0)+IF(LEN(E268)&gt;0,1,0)+IF(LEN(F268)&gt;0,1,0)+IF(LEN(G268)&gt;0,1,0)+IF(LEN(I268)&gt;0,1,0)+IF(LEN(K268)&gt;0,1,0)+IF(LEN(P268)&gt;0,1,0)+IF(LEN(Q268)&gt;0,1,0)+IF(LEN(T268)&gt;0,1,0)+IF(LEN(V268)&gt;0,1,0)+IF(LEN(W268)&gt;0,1,0)+IF(LEN(X268)&gt;0,1,0)+IF(LEN(Z268)&gt;0,1,0)+IF(LEN(AD268)&gt;0,1,0)+IF(LEN(AE268)&gt;0,1,0)+IF(LEN(AG268)&gt;0,1,0)+IF(LEN(AI268)&gt;0,1,0)+IF(LEN(BB268)&gt;0,1,0)+IF(LEN(BC268)&gt;0,1,0)+IF(LEN(AM268)&gt;0,1,0)+IF(LEN(AO268)&gt;0,1,0)+IF(LEN(AP268)&gt;0,1,0)+IF(LEN(AQ268)&gt;0,1,0)+IF(LEN(AR268)&gt;0,1,0)+IF(LEN(BA268)&gt;0,1,0)+IF(LEN(BM268)&gt;0,1,0)+IF(LEN(BZ268)&gt;0,1,0))/27,2))</f>
        <v/>
      </c>
      <c r="CF268" s="10" t="str">
        <f aca="false">IF(D268="","",IF(AND(AP268="Approved",ISERROR(SEARCH("FAIL",BJ268))),"Y","N"))</f>
        <v/>
      </c>
      <c r="CG268" s="10" t="str">
        <f aca="false">IF(D268="","",D268&amp;"|"&amp;E268&amp;"|"&amp;F268&amp;"|"&amp;G268&amp;"|"&amp;CF268)</f>
        <v/>
      </c>
    </row>
    <row r="269" customFormat="false" ht="15" hidden="false" customHeight="false" outlineLevel="0" collapsed="false">
      <c r="A269" s="10" t="str">
        <f aca="false">IF(D269="","","RW-"&amp;IFERROR(VLOOKUP(D269,Lists!$M$4:$N$22,2,0),"??")&amp;"-H"&amp;TEXT(E269*1000,"0000")&amp;"-S"&amp;F269&amp;IF(G269="Y","-GW","")&amp;"-"&amp;AO269)</f>
        <v/>
      </c>
      <c r="B269" s="10" t="str">
        <f aca="false">IF(D269="","",D269&amp;", H = "&amp;TEXT(E269,"0.0")&amp;" m, q = "&amp;F269&amp;" kPa"&amp;IF(G269="Y",", with GWT","")&amp;", "&amp;I269)</f>
        <v/>
      </c>
      <c r="C269" s="9"/>
      <c r="D269" s="9"/>
      <c r="E269" s="39"/>
      <c r="F269" s="38"/>
      <c r="G269" s="9"/>
      <c r="H269" s="38"/>
      <c r="I269" s="9"/>
      <c r="J269" s="38"/>
      <c r="K269" s="38"/>
      <c r="L269" s="38"/>
      <c r="M269" s="42"/>
      <c r="N269" s="9"/>
      <c r="O269" s="38"/>
      <c r="P269" s="38"/>
      <c r="Q269" s="38"/>
      <c r="R269" s="38"/>
      <c r="S269" s="38"/>
      <c r="T269" s="38"/>
      <c r="U269" s="9"/>
      <c r="V269" s="9"/>
      <c r="W269" s="38"/>
      <c r="X269" s="9"/>
      <c r="Y269" s="9"/>
      <c r="Z269" s="9"/>
      <c r="AA269" s="9"/>
      <c r="AB269" s="9"/>
      <c r="AC269" s="9"/>
      <c r="AD269" s="39"/>
      <c r="AE269" s="39"/>
      <c r="AF269" s="39"/>
      <c r="AG269" s="38"/>
      <c r="AH269" s="38"/>
      <c r="AI269" s="9"/>
      <c r="AJ269" s="38"/>
      <c r="AK269" s="9"/>
      <c r="AL269" s="39"/>
      <c r="AM269" s="9"/>
      <c r="AN269" s="9"/>
      <c r="AO269" s="9"/>
      <c r="AP269" s="9"/>
      <c r="AQ269" s="9"/>
      <c r="AR269" s="9"/>
      <c r="AS269" s="9"/>
      <c r="AT269" s="10" t="str">
        <f aca="false">IF(A269="","",SG_Criteria!$B$6&amp;SG_Criteria!$B$8&amp;"\"&amp;A269&amp;"\")</f>
        <v/>
      </c>
      <c r="AU269" s="10" t="str">
        <f aca="false">IF(A269="","",A269&amp;"_CAD.dwg")</f>
        <v/>
      </c>
      <c r="AV269" s="10" t="str">
        <f aca="false">IF(A269="","",A269&amp;"_DWG.pdf")</f>
        <v/>
      </c>
      <c r="AW269" s="10" t="str">
        <f aca="false">IF(A269="","",IF(AS269="Y",A269&amp;"_STAAD.std","n/a"))</f>
        <v/>
      </c>
      <c r="AX269" s="10" t="str">
        <f aca="false">IF(A269="","",A269&amp;"_CALC.xlsx")</f>
        <v/>
      </c>
      <c r="AY269" s="10" t="str">
        <f aca="false">IF(A269="","",A269&amp;"_CALC.pdf")</f>
        <v/>
      </c>
      <c r="AZ269" s="9"/>
      <c r="BA269" s="9"/>
      <c r="BB269" s="39"/>
      <c r="BC269" s="39"/>
      <c r="BD269" s="39"/>
      <c r="BE269" s="39"/>
      <c r="BF269" s="39"/>
      <c r="BG269" s="12" t="str">
        <f aca="false">IF(A269="","",IF(COUNTIF(Rebar_Schedule!$A$5:$A$2004,A269)=0,"",ROUND(SUMIF(Rebar_Schedule!$A$5:$A$2004,A269,Rebar_Schedule!$K$5:$K$2004),1)))</f>
        <v/>
      </c>
      <c r="BH269" s="33" t="str">
        <f aca="false">IF(A269="","",IF(BG269="","No rebar schedule yet",IF(ABS(BG269-N(BC269))/MAX(N(BC269),1)&gt;SG_Criteria!$B$55,"NOTE: register rebar differs from schedule by "&amp;TEXT(ABS(BG269-N(BC269))/MAX(N(BC269),1),"0%"),"OK")))</f>
        <v/>
      </c>
      <c r="BI269" s="33" t="str">
        <f aca="false">IF(OR(D269="",E269=""),"",IF(E269&lt;=IF(OR(D269="Block / Segmental",D269="Gabion",D269="Reinforced Earth (MSE)"),SG_Criteria!$B$34,SG_Criteria!$B$33),"No ERSS submission",IF(E269&lt;=SG_Criteria!$B$35,"QP(ST)",IF(E269&lt;=SG_Criteria!$B$36,"QP(ST) + AC","Geotechnical building works: QP(Geo) + AC"))))</f>
        <v/>
      </c>
      <c r="BJ269" s="33" t="str">
        <f aca="false">IF(D269="","",IF(LEN(IF(AND(V269&lt;&gt;"",IFERROR(VALUE(MID(V269,2,2)),0)&lt;SG_Criteria!$B$19),"FAIL: grade below C"&amp;SG_Criteria!$B$19&amp;". ","")&amp;IF(AND(W269&lt;&gt;"",W269&lt;SG_Criteria!$B$20),"FAIL: cover &lt; "&amp;SG_Criteria!$B$20&amp;" mm. ","")&amp;IF(AND(AD269&lt;&gt;"",AD269&lt;1),"FAIL: sliding. ","")&amp;IF(AND(D269="Reverse L-Wall (toe only, at boundary)",N(S269)&gt;0),"NOTE: reverse L-wall should have no heel. ","")&amp;IF(AND(D269="L-Wall (heel only)",N(R269)&gt;0),"NOTE: L-wall should have no toe. ","")&amp;IF(AND(F269&lt;&gt;"",F269&lt;SG_Criteria!$B$31),"NOTE: q below LTA min "&amp;SG_Criteria!$B$31&amp;" kPa (not for LTA works). ",""))=0,"OK",IF(AND(V269&lt;&gt;"",IFERROR(VALUE(MID(V269,2,2)),0)&lt;SG_Criteria!$B$19),"FAIL: grade below C"&amp;SG_Criteria!$B$19&amp;". ","")&amp;IF(AND(W269&lt;&gt;"",W269&lt;SG_Criteria!$B$20),"FAIL: cover &lt; "&amp;SG_Criteria!$B$20&amp;" mm. ","")&amp;IF(AND(AD269&lt;&gt;"",AD269&lt;1),"FAIL: sliding. ","")&amp;IF(AND(D269="Reverse L-Wall (toe only, at boundary)",N(S269)&gt;0),"NOTE: reverse L-wall should have no heel. ","")&amp;IF(AND(D269="L-Wall (heel only)",N(R269)&gt;0),"NOTE: L-wall should have no toe. ","")&amp;IF(AND(F269&lt;&gt;"",F269&lt;SG_Criteria!$B$31),"NOTE: q below LTA min "&amp;SG_Criteria!$B$31&amp;" kPa (not for LTA works). ","")))</f>
        <v/>
      </c>
      <c r="BK269" s="9"/>
      <c r="BL269" s="9"/>
      <c r="BM269" s="9"/>
      <c r="BN269" s="10" t="str">
        <f aca="false">IF(BM269="","",IFERROR(VLOOKUP(BM269,Projects!$A$5:$D$504,2,0),"Ref not in Projects"))</f>
        <v/>
      </c>
      <c r="BO269" s="10" t="str">
        <f aca="false">IF(BM269="","",IFERROR(VLOOKUP(BM269,Projects!$A$5:$D$504,4,0),"Ref not in Projects"))</f>
        <v/>
      </c>
      <c r="BP269" s="9"/>
      <c r="BQ269" s="9"/>
      <c r="BR269" s="9"/>
      <c r="BS269" s="40"/>
      <c r="BT269" s="9"/>
      <c r="BU269" s="40"/>
      <c r="BV269" s="9"/>
      <c r="BW269" s="40"/>
      <c r="BX269" s="9"/>
      <c r="BY269" s="9"/>
      <c r="BZ269" s="9"/>
      <c r="CA269" s="40"/>
      <c r="CB269" s="40"/>
      <c r="CC269" s="36" t="str">
        <f aca="false">IF(CB269="","",EDATE(CB269,SG_Criteria!$B$54*12))</f>
        <v/>
      </c>
      <c r="CD269" s="33" t="str">
        <f aca="true">IF(A269="","",IF(CB269="","NOTE: not reviewed yet",IF(TODAY()&gt;CC269,"NOTE: review overdue","OK")))</f>
        <v/>
      </c>
      <c r="CE269" s="37" t="str">
        <f aca="false">IF(A269="","",ROUND((IF(LEN(D269)&gt;0,1,0)+IF(LEN(E269)&gt;0,1,0)+IF(LEN(F269)&gt;0,1,0)+IF(LEN(G269)&gt;0,1,0)+IF(LEN(I269)&gt;0,1,0)+IF(LEN(K269)&gt;0,1,0)+IF(LEN(P269)&gt;0,1,0)+IF(LEN(Q269)&gt;0,1,0)+IF(LEN(T269)&gt;0,1,0)+IF(LEN(V269)&gt;0,1,0)+IF(LEN(W269)&gt;0,1,0)+IF(LEN(X269)&gt;0,1,0)+IF(LEN(Z269)&gt;0,1,0)+IF(LEN(AD269)&gt;0,1,0)+IF(LEN(AE269)&gt;0,1,0)+IF(LEN(AG269)&gt;0,1,0)+IF(LEN(AI269)&gt;0,1,0)+IF(LEN(BB269)&gt;0,1,0)+IF(LEN(BC269)&gt;0,1,0)+IF(LEN(AM269)&gt;0,1,0)+IF(LEN(AO269)&gt;0,1,0)+IF(LEN(AP269)&gt;0,1,0)+IF(LEN(AQ269)&gt;0,1,0)+IF(LEN(AR269)&gt;0,1,0)+IF(LEN(BA269)&gt;0,1,0)+IF(LEN(BM269)&gt;0,1,0)+IF(LEN(BZ269)&gt;0,1,0))/27,2))</f>
        <v/>
      </c>
      <c r="CF269" s="10" t="str">
        <f aca="false">IF(D269="","",IF(AND(AP269="Approved",ISERROR(SEARCH("FAIL",BJ269))),"Y","N"))</f>
        <v/>
      </c>
      <c r="CG269" s="10" t="str">
        <f aca="false">IF(D269="","",D269&amp;"|"&amp;E269&amp;"|"&amp;F269&amp;"|"&amp;G269&amp;"|"&amp;CF269)</f>
        <v/>
      </c>
    </row>
    <row r="270" customFormat="false" ht="15" hidden="false" customHeight="false" outlineLevel="0" collapsed="false">
      <c r="A270" s="10" t="str">
        <f aca="false">IF(D270="","","RW-"&amp;IFERROR(VLOOKUP(D270,Lists!$M$4:$N$22,2,0),"??")&amp;"-H"&amp;TEXT(E270*1000,"0000")&amp;"-S"&amp;F270&amp;IF(G270="Y","-GW","")&amp;"-"&amp;AO270)</f>
        <v/>
      </c>
      <c r="B270" s="10" t="str">
        <f aca="false">IF(D270="","",D270&amp;", H = "&amp;TEXT(E270,"0.0")&amp;" m, q = "&amp;F270&amp;" kPa"&amp;IF(G270="Y",", with GWT","")&amp;", "&amp;I270)</f>
        <v/>
      </c>
      <c r="C270" s="9"/>
      <c r="D270" s="9"/>
      <c r="E270" s="39"/>
      <c r="F270" s="38"/>
      <c r="G270" s="9"/>
      <c r="H270" s="38"/>
      <c r="I270" s="9"/>
      <c r="J270" s="38"/>
      <c r="K270" s="38"/>
      <c r="L270" s="38"/>
      <c r="M270" s="42"/>
      <c r="N270" s="9"/>
      <c r="O270" s="38"/>
      <c r="P270" s="38"/>
      <c r="Q270" s="38"/>
      <c r="R270" s="38"/>
      <c r="S270" s="38"/>
      <c r="T270" s="38"/>
      <c r="U270" s="9"/>
      <c r="V270" s="9"/>
      <c r="W270" s="38"/>
      <c r="X270" s="9"/>
      <c r="Y270" s="9"/>
      <c r="Z270" s="9"/>
      <c r="AA270" s="9"/>
      <c r="AB270" s="9"/>
      <c r="AC270" s="9"/>
      <c r="AD270" s="39"/>
      <c r="AE270" s="39"/>
      <c r="AF270" s="39"/>
      <c r="AG270" s="38"/>
      <c r="AH270" s="38"/>
      <c r="AI270" s="9"/>
      <c r="AJ270" s="38"/>
      <c r="AK270" s="9"/>
      <c r="AL270" s="39"/>
      <c r="AM270" s="9"/>
      <c r="AN270" s="9"/>
      <c r="AO270" s="9"/>
      <c r="AP270" s="9"/>
      <c r="AQ270" s="9"/>
      <c r="AR270" s="9"/>
      <c r="AS270" s="9"/>
      <c r="AT270" s="10" t="str">
        <f aca="false">IF(A270="","",SG_Criteria!$B$6&amp;SG_Criteria!$B$8&amp;"\"&amp;A270&amp;"\")</f>
        <v/>
      </c>
      <c r="AU270" s="10" t="str">
        <f aca="false">IF(A270="","",A270&amp;"_CAD.dwg")</f>
        <v/>
      </c>
      <c r="AV270" s="10" t="str">
        <f aca="false">IF(A270="","",A270&amp;"_DWG.pdf")</f>
        <v/>
      </c>
      <c r="AW270" s="10" t="str">
        <f aca="false">IF(A270="","",IF(AS270="Y",A270&amp;"_STAAD.std","n/a"))</f>
        <v/>
      </c>
      <c r="AX270" s="10" t="str">
        <f aca="false">IF(A270="","",A270&amp;"_CALC.xlsx")</f>
        <v/>
      </c>
      <c r="AY270" s="10" t="str">
        <f aca="false">IF(A270="","",A270&amp;"_CALC.pdf")</f>
        <v/>
      </c>
      <c r="AZ270" s="9"/>
      <c r="BA270" s="9"/>
      <c r="BB270" s="39"/>
      <c r="BC270" s="39"/>
      <c r="BD270" s="39"/>
      <c r="BE270" s="39"/>
      <c r="BF270" s="39"/>
      <c r="BG270" s="12" t="str">
        <f aca="false">IF(A270="","",IF(COUNTIF(Rebar_Schedule!$A$5:$A$2004,A270)=0,"",ROUND(SUMIF(Rebar_Schedule!$A$5:$A$2004,A270,Rebar_Schedule!$K$5:$K$2004),1)))</f>
        <v/>
      </c>
      <c r="BH270" s="33" t="str">
        <f aca="false">IF(A270="","",IF(BG270="","No rebar schedule yet",IF(ABS(BG270-N(BC270))/MAX(N(BC270),1)&gt;SG_Criteria!$B$55,"NOTE: register rebar differs from schedule by "&amp;TEXT(ABS(BG270-N(BC270))/MAX(N(BC270),1),"0%"),"OK")))</f>
        <v/>
      </c>
      <c r="BI270" s="33" t="str">
        <f aca="false">IF(OR(D270="",E270=""),"",IF(E270&lt;=IF(OR(D270="Block / Segmental",D270="Gabion",D270="Reinforced Earth (MSE)"),SG_Criteria!$B$34,SG_Criteria!$B$33),"No ERSS submission",IF(E270&lt;=SG_Criteria!$B$35,"QP(ST)",IF(E270&lt;=SG_Criteria!$B$36,"QP(ST) + AC","Geotechnical building works: QP(Geo) + AC"))))</f>
        <v/>
      </c>
      <c r="BJ270" s="33" t="str">
        <f aca="false">IF(D270="","",IF(LEN(IF(AND(V270&lt;&gt;"",IFERROR(VALUE(MID(V270,2,2)),0)&lt;SG_Criteria!$B$19),"FAIL: grade below C"&amp;SG_Criteria!$B$19&amp;". ","")&amp;IF(AND(W270&lt;&gt;"",W270&lt;SG_Criteria!$B$20),"FAIL: cover &lt; "&amp;SG_Criteria!$B$20&amp;" mm. ","")&amp;IF(AND(AD270&lt;&gt;"",AD270&lt;1),"FAIL: sliding. ","")&amp;IF(AND(D270="Reverse L-Wall (toe only, at boundary)",N(S270)&gt;0),"NOTE: reverse L-wall should have no heel. ","")&amp;IF(AND(D270="L-Wall (heel only)",N(R270)&gt;0),"NOTE: L-wall should have no toe. ","")&amp;IF(AND(F270&lt;&gt;"",F270&lt;SG_Criteria!$B$31),"NOTE: q below LTA min "&amp;SG_Criteria!$B$31&amp;" kPa (not for LTA works). ",""))=0,"OK",IF(AND(V270&lt;&gt;"",IFERROR(VALUE(MID(V270,2,2)),0)&lt;SG_Criteria!$B$19),"FAIL: grade below C"&amp;SG_Criteria!$B$19&amp;". ","")&amp;IF(AND(W270&lt;&gt;"",W270&lt;SG_Criteria!$B$20),"FAIL: cover &lt; "&amp;SG_Criteria!$B$20&amp;" mm. ","")&amp;IF(AND(AD270&lt;&gt;"",AD270&lt;1),"FAIL: sliding. ","")&amp;IF(AND(D270="Reverse L-Wall (toe only, at boundary)",N(S270)&gt;0),"NOTE: reverse L-wall should have no heel. ","")&amp;IF(AND(D270="L-Wall (heel only)",N(R270)&gt;0),"NOTE: L-wall should have no toe. ","")&amp;IF(AND(F270&lt;&gt;"",F270&lt;SG_Criteria!$B$31),"NOTE: q below LTA min "&amp;SG_Criteria!$B$31&amp;" kPa (not for LTA works). ","")))</f>
        <v/>
      </c>
      <c r="BK270" s="9"/>
      <c r="BL270" s="9"/>
      <c r="BM270" s="9"/>
      <c r="BN270" s="10" t="str">
        <f aca="false">IF(BM270="","",IFERROR(VLOOKUP(BM270,Projects!$A$5:$D$504,2,0),"Ref not in Projects"))</f>
        <v/>
      </c>
      <c r="BO270" s="10" t="str">
        <f aca="false">IF(BM270="","",IFERROR(VLOOKUP(BM270,Projects!$A$5:$D$504,4,0),"Ref not in Projects"))</f>
        <v/>
      </c>
      <c r="BP270" s="9"/>
      <c r="BQ270" s="9"/>
      <c r="BR270" s="9"/>
      <c r="BS270" s="40"/>
      <c r="BT270" s="9"/>
      <c r="BU270" s="40"/>
      <c r="BV270" s="9"/>
      <c r="BW270" s="40"/>
      <c r="BX270" s="9"/>
      <c r="BY270" s="9"/>
      <c r="BZ270" s="9"/>
      <c r="CA270" s="40"/>
      <c r="CB270" s="40"/>
      <c r="CC270" s="36" t="str">
        <f aca="false">IF(CB270="","",EDATE(CB270,SG_Criteria!$B$54*12))</f>
        <v/>
      </c>
      <c r="CD270" s="33" t="str">
        <f aca="true">IF(A270="","",IF(CB270="","NOTE: not reviewed yet",IF(TODAY()&gt;CC270,"NOTE: review overdue","OK")))</f>
        <v/>
      </c>
      <c r="CE270" s="37" t="str">
        <f aca="false">IF(A270="","",ROUND((IF(LEN(D270)&gt;0,1,0)+IF(LEN(E270)&gt;0,1,0)+IF(LEN(F270)&gt;0,1,0)+IF(LEN(G270)&gt;0,1,0)+IF(LEN(I270)&gt;0,1,0)+IF(LEN(K270)&gt;0,1,0)+IF(LEN(P270)&gt;0,1,0)+IF(LEN(Q270)&gt;0,1,0)+IF(LEN(T270)&gt;0,1,0)+IF(LEN(V270)&gt;0,1,0)+IF(LEN(W270)&gt;0,1,0)+IF(LEN(X270)&gt;0,1,0)+IF(LEN(Z270)&gt;0,1,0)+IF(LEN(AD270)&gt;0,1,0)+IF(LEN(AE270)&gt;0,1,0)+IF(LEN(AG270)&gt;0,1,0)+IF(LEN(AI270)&gt;0,1,0)+IF(LEN(BB270)&gt;0,1,0)+IF(LEN(BC270)&gt;0,1,0)+IF(LEN(AM270)&gt;0,1,0)+IF(LEN(AO270)&gt;0,1,0)+IF(LEN(AP270)&gt;0,1,0)+IF(LEN(AQ270)&gt;0,1,0)+IF(LEN(AR270)&gt;0,1,0)+IF(LEN(BA270)&gt;0,1,0)+IF(LEN(BM270)&gt;0,1,0)+IF(LEN(BZ270)&gt;0,1,0))/27,2))</f>
        <v/>
      </c>
      <c r="CF270" s="10" t="str">
        <f aca="false">IF(D270="","",IF(AND(AP270="Approved",ISERROR(SEARCH("FAIL",BJ270))),"Y","N"))</f>
        <v/>
      </c>
      <c r="CG270" s="10" t="str">
        <f aca="false">IF(D270="","",D270&amp;"|"&amp;E270&amp;"|"&amp;F270&amp;"|"&amp;G270&amp;"|"&amp;CF270)</f>
        <v/>
      </c>
    </row>
    <row r="271" customFormat="false" ht="15" hidden="false" customHeight="false" outlineLevel="0" collapsed="false">
      <c r="A271" s="10" t="str">
        <f aca="false">IF(D271="","","RW-"&amp;IFERROR(VLOOKUP(D271,Lists!$M$4:$N$22,2,0),"??")&amp;"-H"&amp;TEXT(E271*1000,"0000")&amp;"-S"&amp;F271&amp;IF(G271="Y","-GW","")&amp;"-"&amp;AO271)</f>
        <v/>
      </c>
      <c r="B271" s="10" t="str">
        <f aca="false">IF(D271="","",D271&amp;", H = "&amp;TEXT(E271,"0.0")&amp;" m, q = "&amp;F271&amp;" kPa"&amp;IF(G271="Y",", with GWT","")&amp;", "&amp;I271)</f>
        <v/>
      </c>
      <c r="C271" s="9"/>
      <c r="D271" s="9"/>
      <c r="E271" s="39"/>
      <c r="F271" s="38"/>
      <c r="G271" s="9"/>
      <c r="H271" s="38"/>
      <c r="I271" s="9"/>
      <c r="J271" s="38"/>
      <c r="K271" s="38"/>
      <c r="L271" s="38"/>
      <c r="M271" s="42"/>
      <c r="N271" s="9"/>
      <c r="O271" s="38"/>
      <c r="P271" s="38"/>
      <c r="Q271" s="38"/>
      <c r="R271" s="38"/>
      <c r="S271" s="38"/>
      <c r="T271" s="38"/>
      <c r="U271" s="9"/>
      <c r="V271" s="9"/>
      <c r="W271" s="38"/>
      <c r="X271" s="9"/>
      <c r="Y271" s="9"/>
      <c r="Z271" s="9"/>
      <c r="AA271" s="9"/>
      <c r="AB271" s="9"/>
      <c r="AC271" s="9"/>
      <c r="AD271" s="39"/>
      <c r="AE271" s="39"/>
      <c r="AF271" s="39"/>
      <c r="AG271" s="38"/>
      <c r="AH271" s="38"/>
      <c r="AI271" s="9"/>
      <c r="AJ271" s="38"/>
      <c r="AK271" s="9"/>
      <c r="AL271" s="39"/>
      <c r="AM271" s="9"/>
      <c r="AN271" s="9"/>
      <c r="AO271" s="9"/>
      <c r="AP271" s="9"/>
      <c r="AQ271" s="9"/>
      <c r="AR271" s="9"/>
      <c r="AS271" s="9"/>
      <c r="AT271" s="10" t="str">
        <f aca="false">IF(A271="","",SG_Criteria!$B$6&amp;SG_Criteria!$B$8&amp;"\"&amp;A271&amp;"\")</f>
        <v/>
      </c>
      <c r="AU271" s="10" t="str">
        <f aca="false">IF(A271="","",A271&amp;"_CAD.dwg")</f>
        <v/>
      </c>
      <c r="AV271" s="10" t="str">
        <f aca="false">IF(A271="","",A271&amp;"_DWG.pdf")</f>
        <v/>
      </c>
      <c r="AW271" s="10" t="str">
        <f aca="false">IF(A271="","",IF(AS271="Y",A271&amp;"_STAAD.std","n/a"))</f>
        <v/>
      </c>
      <c r="AX271" s="10" t="str">
        <f aca="false">IF(A271="","",A271&amp;"_CALC.xlsx")</f>
        <v/>
      </c>
      <c r="AY271" s="10" t="str">
        <f aca="false">IF(A271="","",A271&amp;"_CALC.pdf")</f>
        <v/>
      </c>
      <c r="AZ271" s="9"/>
      <c r="BA271" s="9"/>
      <c r="BB271" s="39"/>
      <c r="BC271" s="39"/>
      <c r="BD271" s="39"/>
      <c r="BE271" s="39"/>
      <c r="BF271" s="39"/>
      <c r="BG271" s="12" t="str">
        <f aca="false">IF(A271="","",IF(COUNTIF(Rebar_Schedule!$A$5:$A$2004,A271)=0,"",ROUND(SUMIF(Rebar_Schedule!$A$5:$A$2004,A271,Rebar_Schedule!$K$5:$K$2004),1)))</f>
        <v/>
      </c>
      <c r="BH271" s="33" t="str">
        <f aca="false">IF(A271="","",IF(BG271="","No rebar schedule yet",IF(ABS(BG271-N(BC271))/MAX(N(BC271),1)&gt;SG_Criteria!$B$55,"NOTE: register rebar differs from schedule by "&amp;TEXT(ABS(BG271-N(BC271))/MAX(N(BC271),1),"0%"),"OK")))</f>
        <v/>
      </c>
      <c r="BI271" s="33" t="str">
        <f aca="false">IF(OR(D271="",E271=""),"",IF(E271&lt;=IF(OR(D271="Block / Segmental",D271="Gabion",D271="Reinforced Earth (MSE)"),SG_Criteria!$B$34,SG_Criteria!$B$33),"No ERSS submission",IF(E271&lt;=SG_Criteria!$B$35,"QP(ST)",IF(E271&lt;=SG_Criteria!$B$36,"QP(ST) + AC","Geotechnical building works: QP(Geo) + AC"))))</f>
        <v/>
      </c>
      <c r="BJ271" s="33" t="str">
        <f aca="false">IF(D271="","",IF(LEN(IF(AND(V271&lt;&gt;"",IFERROR(VALUE(MID(V271,2,2)),0)&lt;SG_Criteria!$B$19),"FAIL: grade below C"&amp;SG_Criteria!$B$19&amp;". ","")&amp;IF(AND(W271&lt;&gt;"",W271&lt;SG_Criteria!$B$20),"FAIL: cover &lt; "&amp;SG_Criteria!$B$20&amp;" mm. ","")&amp;IF(AND(AD271&lt;&gt;"",AD271&lt;1),"FAIL: sliding. ","")&amp;IF(AND(D271="Reverse L-Wall (toe only, at boundary)",N(S271)&gt;0),"NOTE: reverse L-wall should have no heel. ","")&amp;IF(AND(D271="L-Wall (heel only)",N(R271)&gt;0),"NOTE: L-wall should have no toe. ","")&amp;IF(AND(F271&lt;&gt;"",F271&lt;SG_Criteria!$B$31),"NOTE: q below LTA min "&amp;SG_Criteria!$B$31&amp;" kPa (not for LTA works). ",""))=0,"OK",IF(AND(V271&lt;&gt;"",IFERROR(VALUE(MID(V271,2,2)),0)&lt;SG_Criteria!$B$19),"FAIL: grade below C"&amp;SG_Criteria!$B$19&amp;". ","")&amp;IF(AND(W271&lt;&gt;"",W271&lt;SG_Criteria!$B$20),"FAIL: cover &lt; "&amp;SG_Criteria!$B$20&amp;" mm. ","")&amp;IF(AND(AD271&lt;&gt;"",AD271&lt;1),"FAIL: sliding. ","")&amp;IF(AND(D271="Reverse L-Wall (toe only, at boundary)",N(S271)&gt;0),"NOTE: reverse L-wall should have no heel. ","")&amp;IF(AND(D271="L-Wall (heel only)",N(R271)&gt;0),"NOTE: L-wall should have no toe. ","")&amp;IF(AND(F271&lt;&gt;"",F271&lt;SG_Criteria!$B$31),"NOTE: q below LTA min "&amp;SG_Criteria!$B$31&amp;" kPa (not for LTA works). ","")))</f>
        <v/>
      </c>
      <c r="BK271" s="9"/>
      <c r="BL271" s="9"/>
      <c r="BM271" s="9"/>
      <c r="BN271" s="10" t="str">
        <f aca="false">IF(BM271="","",IFERROR(VLOOKUP(BM271,Projects!$A$5:$D$504,2,0),"Ref not in Projects"))</f>
        <v/>
      </c>
      <c r="BO271" s="10" t="str">
        <f aca="false">IF(BM271="","",IFERROR(VLOOKUP(BM271,Projects!$A$5:$D$504,4,0),"Ref not in Projects"))</f>
        <v/>
      </c>
      <c r="BP271" s="9"/>
      <c r="BQ271" s="9"/>
      <c r="BR271" s="9"/>
      <c r="BS271" s="40"/>
      <c r="BT271" s="9"/>
      <c r="BU271" s="40"/>
      <c r="BV271" s="9"/>
      <c r="BW271" s="40"/>
      <c r="BX271" s="9"/>
      <c r="BY271" s="9"/>
      <c r="BZ271" s="9"/>
      <c r="CA271" s="40"/>
      <c r="CB271" s="40"/>
      <c r="CC271" s="36" t="str">
        <f aca="false">IF(CB271="","",EDATE(CB271,SG_Criteria!$B$54*12))</f>
        <v/>
      </c>
      <c r="CD271" s="33" t="str">
        <f aca="true">IF(A271="","",IF(CB271="","NOTE: not reviewed yet",IF(TODAY()&gt;CC271,"NOTE: review overdue","OK")))</f>
        <v/>
      </c>
      <c r="CE271" s="37" t="str">
        <f aca="false">IF(A271="","",ROUND((IF(LEN(D271)&gt;0,1,0)+IF(LEN(E271)&gt;0,1,0)+IF(LEN(F271)&gt;0,1,0)+IF(LEN(G271)&gt;0,1,0)+IF(LEN(I271)&gt;0,1,0)+IF(LEN(K271)&gt;0,1,0)+IF(LEN(P271)&gt;0,1,0)+IF(LEN(Q271)&gt;0,1,0)+IF(LEN(T271)&gt;0,1,0)+IF(LEN(V271)&gt;0,1,0)+IF(LEN(W271)&gt;0,1,0)+IF(LEN(X271)&gt;0,1,0)+IF(LEN(Z271)&gt;0,1,0)+IF(LEN(AD271)&gt;0,1,0)+IF(LEN(AE271)&gt;0,1,0)+IF(LEN(AG271)&gt;0,1,0)+IF(LEN(AI271)&gt;0,1,0)+IF(LEN(BB271)&gt;0,1,0)+IF(LEN(BC271)&gt;0,1,0)+IF(LEN(AM271)&gt;0,1,0)+IF(LEN(AO271)&gt;0,1,0)+IF(LEN(AP271)&gt;0,1,0)+IF(LEN(AQ271)&gt;0,1,0)+IF(LEN(AR271)&gt;0,1,0)+IF(LEN(BA271)&gt;0,1,0)+IF(LEN(BM271)&gt;0,1,0)+IF(LEN(BZ271)&gt;0,1,0))/27,2))</f>
        <v/>
      </c>
      <c r="CF271" s="10" t="str">
        <f aca="false">IF(D271="","",IF(AND(AP271="Approved",ISERROR(SEARCH("FAIL",BJ271))),"Y","N"))</f>
        <v/>
      </c>
      <c r="CG271" s="10" t="str">
        <f aca="false">IF(D271="","",D271&amp;"|"&amp;E271&amp;"|"&amp;F271&amp;"|"&amp;G271&amp;"|"&amp;CF271)</f>
        <v/>
      </c>
    </row>
    <row r="272" customFormat="false" ht="15" hidden="false" customHeight="false" outlineLevel="0" collapsed="false">
      <c r="A272" s="10" t="str">
        <f aca="false">IF(D272="","","RW-"&amp;IFERROR(VLOOKUP(D272,Lists!$M$4:$N$22,2,0),"??")&amp;"-H"&amp;TEXT(E272*1000,"0000")&amp;"-S"&amp;F272&amp;IF(G272="Y","-GW","")&amp;"-"&amp;AO272)</f>
        <v/>
      </c>
      <c r="B272" s="10" t="str">
        <f aca="false">IF(D272="","",D272&amp;", H = "&amp;TEXT(E272,"0.0")&amp;" m, q = "&amp;F272&amp;" kPa"&amp;IF(G272="Y",", with GWT","")&amp;", "&amp;I272)</f>
        <v/>
      </c>
      <c r="C272" s="9"/>
      <c r="D272" s="9"/>
      <c r="E272" s="39"/>
      <c r="F272" s="38"/>
      <c r="G272" s="9"/>
      <c r="H272" s="38"/>
      <c r="I272" s="9"/>
      <c r="J272" s="38"/>
      <c r="K272" s="38"/>
      <c r="L272" s="38"/>
      <c r="M272" s="42"/>
      <c r="N272" s="9"/>
      <c r="O272" s="38"/>
      <c r="P272" s="38"/>
      <c r="Q272" s="38"/>
      <c r="R272" s="38"/>
      <c r="S272" s="38"/>
      <c r="T272" s="38"/>
      <c r="U272" s="9"/>
      <c r="V272" s="9"/>
      <c r="W272" s="38"/>
      <c r="X272" s="9"/>
      <c r="Y272" s="9"/>
      <c r="Z272" s="9"/>
      <c r="AA272" s="9"/>
      <c r="AB272" s="9"/>
      <c r="AC272" s="9"/>
      <c r="AD272" s="39"/>
      <c r="AE272" s="39"/>
      <c r="AF272" s="39"/>
      <c r="AG272" s="38"/>
      <c r="AH272" s="38"/>
      <c r="AI272" s="9"/>
      <c r="AJ272" s="38"/>
      <c r="AK272" s="9"/>
      <c r="AL272" s="39"/>
      <c r="AM272" s="9"/>
      <c r="AN272" s="9"/>
      <c r="AO272" s="9"/>
      <c r="AP272" s="9"/>
      <c r="AQ272" s="9"/>
      <c r="AR272" s="9"/>
      <c r="AS272" s="9"/>
      <c r="AT272" s="10" t="str">
        <f aca="false">IF(A272="","",SG_Criteria!$B$6&amp;SG_Criteria!$B$8&amp;"\"&amp;A272&amp;"\")</f>
        <v/>
      </c>
      <c r="AU272" s="10" t="str">
        <f aca="false">IF(A272="","",A272&amp;"_CAD.dwg")</f>
        <v/>
      </c>
      <c r="AV272" s="10" t="str">
        <f aca="false">IF(A272="","",A272&amp;"_DWG.pdf")</f>
        <v/>
      </c>
      <c r="AW272" s="10" t="str">
        <f aca="false">IF(A272="","",IF(AS272="Y",A272&amp;"_STAAD.std","n/a"))</f>
        <v/>
      </c>
      <c r="AX272" s="10" t="str">
        <f aca="false">IF(A272="","",A272&amp;"_CALC.xlsx")</f>
        <v/>
      </c>
      <c r="AY272" s="10" t="str">
        <f aca="false">IF(A272="","",A272&amp;"_CALC.pdf")</f>
        <v/>
      </c>
      <c r="AZ272" s="9"/>
      <c r="BA272" s="9"/>
      <c r="BB272" s="39"/>
      <c r="BC272" s="39"/>
      <c r="BD272" s="39"/>
      <c r="BE272" s="39"/>
      <c r="BF272" s="39"/>
      <c r="BG272" s="12" t="str">
        <f aca="false">IF(A272="","",IF(COUNTIF(Rebar_Schedule!$A$5:$A$2004,A272)=0,"",ROUND(SUMIF(Rebar_Schedule!$A$5:$A$2004,A272,Rebar_Schedule!$K$5:$K$2004),1)))</f>
        <v/>
      </c>
      <c r="BH272" s="33" t="str">
        <f aca="false">IF(A272="","",IF(BG272="","No rebar schedule yet",IF(ABS(BG272-N(BC272))/MAX(N(BC272),1)&gt;SG_Criteria!$B$55,"NOTE: register rebar differs from schedule by "&amp;TEXT(ABS(BG272-N(BC272))/MAX(N(BC272),1),"0%"),"OK")))</f>
        <v/>
      </c>
      <c r="BI272" s="33" t="str">
        <f aca="false">IF(OR(D272="",E272=""),"",IF(E272&lt;=IF(OR(D272="Block / Segmental",D272="Gabion",D272="Reinforced Earth (MSE)"),SG_Criteria!$B$34,SG_Criteria!$B$33),"No ERSS submission",IF(E272&lt;=SG_Criteria!$B$35,"QP(ST)",IF(E272&lt;=SG_Criteria!$B$36,"QP(ST) + AC","Geotechnical building works: QP(Geo) + AC"))))</f>
        <v/>
      </c>
      <c r="BJ272" s="33" t="str">
        <f aca="false">IF(D272="","",IF(LEN(IF(AND(V272&lt;&gt;"",IFERROR(VALUE(MID(V272,2,2)),0)&lt;SG_Criteria!$B$19),"FAIL: grade below C"&amp;SG_Criteria!$B$19&amp;". ","")&amp;IF(AND(W272&lt;&gt;"",W272&lt;SG_Criteria!$B$20),"FAIL: cover &lt; "&amp;SG_Criteria!$B$20&amp;" mm. ","")&amp;IF(AND(AD272&lt;&gt;"",AD272&lt;1),"FAIL: sliding. ","")&amp;IF(AND(D272="Reverse L-Wall (toe only, at boundary)",N(S272)&gt;0),"NOTE: reverse L-wall should have no heel. ","")&amp;IF(AND(D272="L-Wall (heel only)",N(R272)&gt;0),"NOTE: L-wall should have no toe. ","")&amp;IF(AND(F272&lt;&gt;"",F272&lt;SG_Criteria!$B$31),"NOTE: q below LTA min "&amp;SG_Criteria!$B$31&amp;" kPa (not for LTA works). ",""))=0,"OK",IF(AND(V272&lt;&gt;"",IFERROR(VALUE(MID(V272,2,2)),0)&lt;SG_Criteria!$B$19),"FAIL: grade below C"&amp;SG_Criteria!$B$19&amp;". ","")&amp;IF(AND(W272&lt;&gt;"",W272&lt;SG_Criteria!$B$20),"FAIL: cover &lt; "&amp;SG_Criteria!$B$20&amp;" mm. ","")&amp;IF(AND(AD272&lt;&gt;"",AD272&lt;1),"FAIL: sliding. ","")&amp;IF(AND(D272="Reverse L-Wall (toe only, at boundary)",N(S272)&gt;0),"NOTE: reverse L-wall should have no heel. ","")&amp;IF(AND(D272="L-Wall (heel only)",N(R272)&gt;0),"NOTE: L-wall should have no toe. ","")&amp;IF(AND(F272&lt;&gt;"",F272&lt;SG_Criteria!$B$31),"NOTE: q below LTA min "&amp;SG_Criteria!$B$31&amp;" kPa (not for LTA works). ","")))</f>
        <v/>
      </c>
      <c r="BK272" s="9"/>
      <c r="BL272" s="9"/>
      <c r="BM272" s="9"/>
      <c r="BN272" s="10" t="str">
        <f aca="false">IF(BM272="","",IFERROR(VLOOKUP(BM272,Projects!$A$5:$D$504,2,0),"Ref not in Projects"))</f>
        <v/>
      </c>
      <c r="BO272" s="10" t="str">
        <f aca="false">IF(BM272="","",IFERROR(VLOOKUP(BM272,Projects!$A$5:$D$504,4,0),"Ref not in Projects"))</f>
        <v/>
      </c>
      <c r="BP272" s="9"/>
      <c r="BQ272" s="9"/>
      <c r="BR272" s="9"/>
      <c r="BS272" s="40"/>
      <c r="BT272" s="9"/>
      <c r="BU272" s="40"/>
      <c r="BV272" s="9"/>
      <c r="BW272" s="40"/>
      <c r="BX272" s="9"/>
      <c r="BY272" s="9"/>
      <c r="BZ272" s="9"/>
      <c r="CA272" s="40"/>
      <c r="CB272" s="40"/>
      <c r="CC272" s="36" t="str">
        <f aca="false">IF(CB272="","",EDATE(CB272,SG_Criteria!$B$54*12))</f>
        <v/>
      </c>
      <c r="CD272" s="33" t="str">
        <f aca="true">IF(A272="","",IF(CB272="","NOTE: not reviewed yet",IF(TODAY()&gt;CC272,"NOTE: review overdue","OK")))</f>
        <v/>
      </c>
      <c r="CE272" s="37" t="str">
        <f aca="false">IF(A272="","",ROUND((IF(LEN(D272)&gt;0,1,0)+IF(LEN(E272)&gt;0,1,0)+IF(LEN(F272)&gt;0,1,0)+IF(LEN(G272)&gt;0,1,0)+IF(LEN(I272)&gt;0,1,0)+IF(LEN(K272)&gt;0,1,0)+IF(LEN(P272)&gt;0,1,0)+IF(LEN(Q272)&gt;0,1,0)+IF(LEN(T272)&gt;0,1,0)+IF(LEN(V272)&gt;0,1,0)+IF(LEN(W272)&gt;0,1,0)+IF(LEN(X272)&gt;0,1,0)+IF(LEN(Z272)&gt;0,1,0)+IF(LEN(AD272)&gt;0,1,0)+IF(LEN(AE272)&gt;0,1,0)+IF(LEN(AG272)&gt;0,1,0)+IF(LEN(AI272)&gt;0,1,0)+IF(LEN(BB272)&gt;0,1,0)+IF(LEN(BC272)&gt;0,1,0)+IF(LEN(AM272)&gt;0,1,0)+IF(LEN(AO272)&gt;0,1,0)+IF(LEN(AP272)&gt;0,1,0)+IF(LEN(AQ272)&gt;0,1,0)+IF(LEN(AR272)&gt;0,1,0)+IF(LEN(BA272)&gt;0,1,0)+IF(LEN(BM272)&gt;0,1,0)+IF(LEN(BZ272)&gt;0,1,0))/27,2))</f>
        <v/>
      </c>
      <c r="CF272" s="10" t="str">
        <f aca="false">IF(D272="","",IF(AND(AP272="Approved",ISERROR(SEARCH("FAIL",BJ272))),"Y","N"))</f>
        <v/>
      </c>
      <c r="CG272" s="10" t="str">
        <f aca="false">IF(D272="","",D272&amp;"|"&amp;E272&amp;"|"&amp;F272&amp;"|"&amp;G272&amp;"|"&amp;CF272)</f>
        <v/>
      </c>
    </row>
    <row r="273" customFormat="false" ht="15" hidden="false" customHeight="false" outlineLevel="0" collapsed="false">
      <c r="A273" s="10" t="str">
        <f aca="false">IF(D273="","","RW-"&amp;IFERROR(VLOOKUP(D273,Lists!$M$4:$N$22,2,0),"??")&amp;"-H"&amp;TEXT(E273*1000,"0000")&amp;"-S"&amp;F273&amp;IF(G273="Y","-GW","")&amp;"-"&amp;AO273)</f>
        <v/>
      </c>
      <c r="B273" s="10" t="str">
        <f aca="false">IF(D273="","",D273&amp;", H = "&amp;TEXT(E273,"0.0")&amp;" m, q = "&amp;F273&amp;" kPa"&amp;IF(G273="Y",", with GWT","")&amp;", "&amp;I273)</f>
        <v/>
      </c>
      <c r="C273" s="9"/>
      <c r="D273" s="9"/>
      <c r="E273" s="39"/>
      <c r="F273" s="38"/>
      <c r="G273" s="9"/>
      <c r="H273" s="38"/>
      <c r="I273" s="9"/>
      <c r="J273" s="38"/>
      <c r="K273" s="38"/>
      <c r="L273" s="38"/>
      <c r="M273" s="42"/>
      <c r="N273" s="9"/>
      <c r="O273" s="38"/>
      <c r="P273" s="38"/>
      <c r="Q273" s="38"/>
      <c r="R273" s="38"/>
      <c r="S273" s="38"/>
      <c r="T273" s="38"/>
      <c r="U273" s="9"/>
      <c r="V273" s="9"/>
      <c r="W273" s="38"/>
      <c r="X273" s="9"/>
      <c r="Y273" s="9"/>
      <c r="Z273" s="9"/>
      <c r="AA273" s="9"/>
      <c r="AB273" s="9"/>
      <c r="AC273" s="9"/>
      <c r="AD273" s="39"/>
      <c r="AE273" s="39"/>
      <c r="AF273" s="39"/>
      <c r="AG273" s="38"/>
      <c r="AH273" s="38"/>
      <c r="AI273" s="9"/>
      <c r="AJ273" s="38"/>
      <c r="AK273" s="9"/>
      <c r="AL273" s="39"/>
      <c r="AM273" s="9"/>
      <c r="AN273" s="9"/>
      <c r="AO273" s="9"/>
      <c r="AP273" s="9"/>
      <c r="AQ273" s="9"/>
      <c r="AR273" s="9"/>
      <c r="AS273" s="9"/>
      <c r="AT273" s="10" t="str">
        <f aca="false">IF(A273="","",SG_Criteria!$B$6&amp;SG_Criteria!$B$8&amp;"\"&amp;A273&amp;"\")</f>
        <v/>
      </c>
      <c r="AU273" s="10" t="str">
        <f aca="false">IF(A273="","",A273&amp;"_CAD.dwg")</f>
        <v/>
      </c>
      <c r="AV273" s="10" t="str">
        <f aca="false">IF(A273="","",A273&amp;"_DWG.pdf")</f>
        <v/>
      </c>
      <c r="AW273" s="10" t="str">
        <f aca="false">IF(A273="","",IF(AS273="Y",A273&amp;"_STAAD.std","n/a"))</f>
        <v/>
      </c>
      <c r="AX273" s="10" t="str">
        <f aca="false">IF(A273="","",A273&amp;"_CALC.xlsx")</f>
        <v/>
      </c>
      <c r="AY273" s="10" t="str">
        <f aca="false">IF(A273="","",A273&amp;"_CALC.pdf")</f>
        <v/>
      </c>
      <c r="AZ273" s="9"/>
      <c r="BA273" s="9"/>
      <c r="BB273" s="39"/>
      <c r="BC273" s="39"/>
      <c r="BD273" s="39"/>
      <c r="BE273" s="39"/>
      <c r="BF273" s="39"/>
      <c r="BG273" s="12" t="str">
        <f aca="false">IF(A273="","",IF(COUNTIF(Rebar_Schedule!$A$5:$A$2004,A273)=0,"",ROUND(SUMIF(Rebar_Schedule!$A$5:$A$2004,A273,Rebar_Schedule!$K$5:$K$2004),1)))</f>
        <v/>
      </c>
      <c r="BH273" s="33" t="str">
        <f aca="false">IF(A273="","",IF(BG273="","No rebar schedule yet",IF(ABS(BG273-N(BC273))/MAX(N(BC273),1)&gt;SG_Criteria!$B$55,"NOTE: register rebar differs from schedule by "&amp;TEXT(ABS(BG273-N(BC273))/MAX(N(BC273),1),"0%"),"OK")))</f>
        <v/>
      </c>
      <c r="BI273" s="33" t="str">
        <f aca="false">IF(OR(D273="",E273=""),"",IF(E273&lt;=IF(OR(D273="Block / Segmental",D273="Gabion",D273="Reinforced Earth (MSE)"),SG_Criteria!$B$34,SG_Criteria!$B$33),"No ERSS submission",IF(E273&lt;=SG_Criteria!$B$35,"QP(ST)",IF(E273&lt;=SG_Criteria!$B$36,"QP(ST) + AC","Geotechnical building works: QP(Geo) + AC"))))</f>
        <v/>
      </c>
      <c r="BJ273" s="33" t="str">
        <f aca="false">IF(D273="","",IF(LEN(IF(AND(V273&lt;&gt;"",IFERROR(VALUE(MID(V273,2,2)),0)&lt;SG_Criteria!$B$19),"FAIL: grade below C"&amp;SG_Criteria!$B$19&amp;". ","")&amp;IF(AND(W273&lt;&gt;"",W273&lt;SG_Criteria!$B$20),"FAIL: cover &lt; "&amp;SG_Criteria!$B$20&amp;" mm. ","")&amp;IF(AND(AD273&lt;&gt;"",AD273&lt;1),"FAIL: sliding. ","")&amp;IF(AND(D273="Reverse L-Wall (toe only, at boundary)",N(S273)&gt;0),"NOTE: reverse L-wall should have no heel. ","")&amp;IF(AND(D273="L-Wall (heel only)",N(R273)&gt;0),"NOTE: L-wall should have no toe. ","")&amp;IF(AND(F273&lt;&gt;"",F273&lt;SG_Criteria!$B$31),"NOTE: q below LTA min "&amp;SG_Criteria!$B$31&amp;" kPa (not for LTA works). ",""))=0,"OK",IF(AND(V273&lt;&gt;"",IFERROR(VALUE(MID(V273,2,2)),0)&lt;SG_Criteria!$B$19),"FAIL: grade below C"&amp;SG_Criteria!$B$19&amp;". ","")&amp;IF(AND(W273&lt;&gt;"",W273&lt;SG_Criteria!$B$20),"FAIL: cover &lt; "&amp;SG_Criteria!$B$20&amp;" mm. ","")&amp;IF(AND(AD273&lt;&gt;"",AD273&lt;1),"FAIL: sliding. ","")&amp;IF(AND(D273="Reverse L-Wall (toe only, at boundary)",N(S273)&gt;0),"NOTE: reverse L-wall should have no heel. ","")&amp;IF(AND(D273="L-Wall (heel only)",N(R273)&gt;0),"NOTE: L-wall should have no toe. ","")&amp;IF(AND(F273&lt;&gt;"",F273&lt;SG_Criteria!$B$31),"NOTE: q below LTA min "&amp;SG_Criteria!$B$31&amp;" kPa (not for LTA works). ","")))</f>
        <v/>
      </c>
      <c r="BK273" s="9"/>
      <c r="BL273" s="9"/>
      <c r="BM273" s="9"/>
      <c r="BN273" s="10" t="str">
        <f aca="false">IF(BM273="","",IFERROR(VLOOKUP(BM273,Projects!$A$5:$D$504,2,0),"Ref not in Projects"))</f>
        <v/>
      </c>
      <c r="BO273" s="10" t="str">
        <f aca="false">IF(BM273="","",IFERROR(VLOOKUP(BM273,Projects!$A$5:$D$504,4,0),"Ref not in Projects"))</f>
        <v/>
      </c>
      <c r="BP273" s="9"/>
      <c r="BQ273" s="9"/>
      <c r="BR273" s="9"/>
      <c r="BS273" s="40"/>
      <c r="BT273" s="9"/>
      <c r="BU273" s="40"/>
      <c r="BV273" s="9"/>
      <c r="BW273" s="40"/>
      <c r="BX273" s="9"/>
      <c r="BY273" s="9"/>
      <c r="BZ273" s="9"/>
      <c r="CA273" s="40"/>
      <c r="CB273" s="40"/>
      <c r="CC273" s="36" t="str">
        <f aca="false">IF(CB273="","",EDATE(CB273,SG_Criteria!$B$54*12))</f>
        <v/>
      </c>
      <c r="CD273" s="33" t="str">
        <f aca="true">IF(A273="","",IF(CB273="","NOTE: not reviewed yet",IF(TODAY()&gt;CC273,"NOTE: review overdue","OK")))</f>
        <v/>
      </c>
      <c r="CE273" s="37" t="str">
        <f aca="false">IF(A273="","",ROUND((IF(LEN(D273)&gt;0,1,0)+IF(LEN(E273)&gt;0,1,0)+IF(LEN(F273)&gt;0,1,0)+IF(LEN(G273)&gt;0,1,0)+IF(LEN(I273)&gt;0,1,0)+IF(LEN(K273)&gt;0,1,0)+IF(LEN(P273)&gt;0,1,0)+IF(LEN(Q273)&gt;0,1,0)+IF(LEN(T273)&gt;0,1,0)+IF(LEN(V273)&gt;0,1,0)+IF(LEN(W273)&gt;0,1,0)+IF(LEN(X273)&gt;0,1,0)+IF(LEN(Z273)&gt;0,1,0)+IF(LEN(AD273)&gt;0,1,0)+IF(LEN(AE273)&gt;0,1,0)+IF(LEN(AG273)&gt;0,1,0)+IF(LEN(AI273)&gt;0,1,0)+IF(LEN(BB273)&gt;0,1,0)+IF(LEN(BC273)&gt;0,1,0)+IF(LEN(AM273)&gt;0,1,0)+IF(LEN(AO273)&gt;0,1,0)+IF(LEN(AP273)&gt;0,1,0)+IF(LEN(AQ273)&gt;0,1,0)+IF(LEN(AR273)&gt;0,1,0)+IF(LEN(BA273)&gt;0,1,0)+IF(LEN(BM273)&gt;0,1,0)+IF(LEN(BZ273)&gt;0,1,0))/27,2))</f>
        <v/>
      </c>
      <c r="CF273" s="10" t="str">
        <f aca="false">IF(D273="","",IF(AND(AP273="Approved",ISERROR(SEARCH("FAIL",BJ273))),"Y","N"))</f>
        <v/>
      </c>
      <c r="CG273" s="10" t="str">
        <f aca="false">IF(D273="","",D273&amp;"|"&amp;E273&amp;"|"&amp;F273&amp;"|"&amp;G273&amp;"|"&amp;CF273)</f>
        <v/>
      </c>
    </row>
    <row r="274" customFormat="false" ht="15" hidden="false" customHeight="false" outlineLevel="0" collapsed="false">
      <c r="A274" s="10" t="str">
        <f aca="false">IF(D274="","","RW-"&amp;IFERROR(VLOOKUP(D274,Lists!$M$4:$N$22,2,0),"??")&amp;"-H"&amp;TEXT(E274*1000,"0000")&amp;"-S"&amp;F274&amp;IF(G274="Y","-GW","")&amp;"-"&amp;AO274)</f>
        <v/>
      </c>
      <c r="B274" s="10" t="str">
        <f aca="false">IF(D274="","",D274&amp;", H = "&amp;TEXT(E274,"0.0")&amp;" m, q = "&amp;F274&amp;" kPa"&amp;IF(G274="Y",", with GWT","")&amp;", "&amp;I274)</f>
        <v/>
      </c>
      <c r="C274" s="9"/>
      <c r="D274" s="9"/>
      <c r="E274" s="39"/>
      <c r="F274" s="38"/>
      <c r="G274" s="9"/>
      <c r="H274" s="38"/>
      <c r="I274" s="9"/>
      <c r="J274" s="38"/>
      <c r="K274" s="38"/>
      <c r="L274" s="38"/>
      <c r="M274" s="42"/>
      <c r="N274" s="9"/>
      <c r="O274" s="38"/>
      <c r="P274" s="38"/>
      <c r="Q274" s="38"/>
      <c r="R274" s="38"/>
      <c r="S274" s="38"/>
      <c r="T274" s="38"/>
      <c r="U274" s="9"/>
      <c r="V274" s="9"/>
      <c r="W274" s="38"/>
      <c r="X274" s="9"/>
      <c r="Y274" s="9"/>
      <c r="Z274" s="9"/>
      <c r="AA274" s="9"/>
      <c r="AB274" s="9"/>
      <c r="AC274" s="9"/>
      <c r="AD274" s="39"/>
      <c r="AE274" s="39"/>
      <c r="AF274" s="39"/>
      <c r="AG274" s="38"/>
      <c r="AH274" s="38"/>
      <c r="AI274" s="9"/>
      <c r="AJ274" s="38"/>
      <c r="AK274" s="9"/>
      <c r="AL274" s="39"/>
      <c r="AM274" s="9"/>
      <c r="AN274" s="9"/>
      <c r="AO274" s="9"/>
      <c r="AP274" s="9"/>
      <c r="AQ274" s="9"/>
      <c r="AR274" s="9"/>
      <c r="AS274" s="9"/>
      <c r="AT274" s="10" t="str">
        <f aca="false">IF(A274="","",SG_Criteria!$B$6&amp;SG_Criteria!$B$8&amp;"\"&amp;A274&amp;"\")</f>
        <v/>
      </c>
      <c r="AU274" s="10" t="str">
        <f aca="false">IF(A274="","",A274&amp;"_CAD.dwg")</f>
        <v/>
      </c>
      <c r="AV274" s="10" t="str">
        <f aca="false">IF(A274="","",A274&amp;"_DWG.pdf")</f>
        <v/>
      </c>
      <c r="AW274" s="10" t="str">
        <f aca="false">IF(A274="","",IF(AS274="Y",A274&amp;"_STAAD.std","n/a"))</f>
        <v/>
      </c>
      <c r="AX274" s="10" t="str">
        <f aca="false">IF(A274="","",A274&amp;"_CALC.xlsx")</f>
        <v/>
      </c>
      <c r="AY274" s="10" t="str">
        <f aca="false">IF(A274="","",A274&amp;"_CALC.pdf")</f>
        <v/>
      </c>
      <c r="AZ274" s="9"/>
      <c r="BA274" s="9"/>
      <c r="BB274" s="39"/>
      <c r="BC274" s="39"/>
      <c r="BD274" s="39"/>
      <c r="BE274" s="39"/>
      <c r="BF274" s="39"/>
      <c r="BG274" s="12" t="str">
        <f aca="false">IF(A274="","",IF(COUNTIF(Rebar_Schedule!$A$5:$A$2004,A274)=0,"",ROUND(SUMIF(Rebar_Schedule!$A$5:$A$2004,A274,Rebar_Schedule!$K$5:$K$2004),1)))</f>
        <v/>
      </c>
      <c r="BH274" s="33" t="str">
        <f aca="false">IF(A274="","",IF(BG274="","No rebar schedule yet",IF(ABS(BG274-N(BC274))/MAX(N(BC274),1)&gt;SG_Criteria!$B$55,"NOTE: register rebar differs from schedule by "&amp;TEXT(ABS(BG274-N(BC274))/MAX(N(BC274),1),"0%"),"OK")))</f>
        <v/>
      </c>
      <c r="BI274" s="33" t="str">
        <f aca="false">IF(OR(D274="",E274=""),"",IF(E274&lt;=IF(OR(D274="Block / Segmental",D274="Gabion",D274="Reinforced Earth (MSE)"),SG_Criteria!$B$34,SG_Criteria!$B$33),"No ERSS submission",IF(E274&lt;=SG_Criteria!$B$35,"QP(ST)",IF(E274&lt;=SG_Criteria!$B$36,"QP(ST) + AC","Geotechnical building works: QP(Geo) + AC"))))</f>
        <v/>
      </c>
      <c r="BJ274" s="33" t="str">
        <f aca="false">IF(D274="","",IF(LEN(IF(AND(V274&lt;&gt;"",IFERROR(VALUE(MID(V274,2,2)),0)&lt;SG_Criteria!$B$19),"FAIL: grade below C"&amp;SG_Criteria!$B$19&amp;". ","")&amp;IF(AND(W274&lt;&gt;"",W274&lt;SG_Criteria!$B$20),"FAIL: cover &lt; "&amp;SG_Criteria!$B$20&amp;" mm. ","")&amp;IF(AND(AD274&lt;&gt;"",AD274&lt;1),"FAIL: sliding. ","")&amp;IF(AND(D274="Reverse L-Wall (toe only, at boundary)",N(S274)&gt;0),"NOTE: reverse L-wall should have no heel. ","")&amp;IF(AND(D274="L-Wall (heel only)",N(R274)&gt;0),"NOTE: L-wall should have no toe. ","")&amp;IF(AND(F274&lt;&gt;"",F274&lt;SG_Criteria!$B$31),"NOTE: q below LTA min "&amp;SG_Criteria!$B$31&amp;" kPa (not for LTA works). ",""))=0,"OK",IF(AND(V274&lt;&gt;"",IFERROR(VALUE(MID(V274,2,2)),0)&lt;SG_Criteria!$B$19),"FAIL: grade below C"&amp;SG_Criteria!$B$19&amp;". ","")&amp;IF(AND(W274&lt;&gt;"",W274&lt;SG_Criteria!$B$20),"FAIL: cover &lt; "&amp;SG_Criteria!$B$20&amp;" mm. ","")&amp;IF(AND(AD274&lt;&gt;"",AD274&lt;1),"FAIL: sliding. ","")&amp;IF(AND(D274="Reverse L-Wall (toe only, at boundary)",N(S274)&gt;0),"NOTE: reverse L-wall should have no heel. ","")&amp;IF(AND(D274="L-Wall (heel only)",N(R274)&gt;0),"NOTE: L-wall should have no toe. ","")&amp;IF(AND(F274&lt;&gt;"",F274&lt;SG_Criteria!$B$31),"NOTE: q below LTA min "&amp;SG_Criteria!$B$31&amp;" kPa (not for LTA works). ","")))</f>
        <v/>
      </c>
      <c r="BK274" s="9"/>
      <c r="BL274" s="9"/>
      <c r="BM274" s="9"/>
      <c r="BN274" s="10" t="str">
        <f aca="false">IF(BM274="","",IFERROR(VLOOKUP(BM274,Projects!$A$5:$D$504,2,0),"Ref not in Projects"))</f>
        <v/>
      </c>
      <c r="BO274" s="10" t="str">
        <f aca="false">IF(BM274="","",IFERROR(VLOOKUP(BM274,Projects!$A$5:$D$504,4,0),"Ref not in Projects"))</f>
        <v/>
      </c>
      <c r="BP274" s="9"/>
      <c r="BQ274" s="9"/>
      <c r="BR274" s="9"/>
      <c r="BS274" s="40"/>
      <c r="BT274" s="9"/>
      <c r="BU274" s="40"/>
      <c r="BV274" s="9"/>
      <c r="BW274" s="40"/>
      <c r="BX274" s="9"/>
      <c r="BY274" s="9"/>
      <c r="BZ274" s="9"/>
      <c r="CA274" s="40"/>
      <c r="CB274" s="40"/>
      <c r="CC274" s="36" t="str">
        <f aca="false">IF(CB274="","",EDATE(CB274,SG_Criteria!$B$54*12))</f>
        <v/>
      </c>
      <c r="CD274" s="33" t="str">
        <f aca="true">IF(A274="","",IF(CB274="","NOTE: not reviewed yet",IF(TODAY()&gt;CC274,"NOTE: review overdue","OK")))</f>
        <v/>
      </c>
      <c r="CE274" s="37" t="str">
        <f aca="false">IF(A274="","",ROUND((IF(LEN(D274)&gt;0,1,0)+IF(LEN(E274)&gt;0,1,0)+IF(LEN(F274)&gt;0,1,0)+IF(LEN(G274)&gt;0,1,0)+IF(LEN(I274)&gt;0,1,0)+IF(LEN(K274)&gt;0,1,0)+IF(LEN(P274)&gt;0,1,0)+IF(LEN(Q274)&gt;0,1,0)+IF(LEN(T274)&gt;0,1,0)+IF(LEN(V274)&gt;0,1,0)+IF(LEN(W274)&gt;0,1,0)+IF(LEN(X274)&gt;0,1,0)+IF(LEN(Z274)&gt;0,1,0)+IF(LEN(AD274)&gt;0,1,0)+IF(LEN(AE274)&gt;0,1,0)+IF(LEN(AG274)&gt;0,1,0)+IF(LEN(AI274)&gt;0,1,0)+IF(LEN(BB274)&gt;0,1,0)+IF(LEN(BC274)&gt;0,1,0)+IF(LEN(AM274)&gt;0,1,0)+IF(LEN(AO274)&gt;0,1,0)+IF(LEN(AP274)&gt;0,1,0)+IF(LEN(AQ274)&gt;0,1,0)+IF(LEN(AR274)&gt;0,1,0)+IF(LEN(BA274)&gt;0,1,0)+IF(LEN(BM274)&gt;0,1,0)+IF(LEN(BZ274)&gt;0,1,0))/27,2))</f>
        <v/>
      </c>
      <c r="CF274" s="10" t="str">
        <f aca="false">IF(D274="","",IF(AND(AP274="Approved",ISERROR(SEARCH("FAIL",BJ274))),"Y","N"))</f>
        <v/>
      </c>
      <c r="CG274" s="10" t="str">
        <f aca="false">IF(D274="","",D274&amp;"|"&amp;E274&amp;"|"&amp;F274&amp;"|"&amp;G274&amp;"|"&amp;CF274)</f>
        <v/>
      </c>
    </row>
    <row r="275" customFormat="false" ht="15" hidden="false" customHeight="false" outlineLevel="0" collapsed="false">
      <c r="A275" s="10" t="str">
        <f aca="false">IF(D275="","","RW-"&amp;IFERROR(VLOOKUP(D275,Lists!$M$4:$N$22,2,0),"??")&amp;"-H"&amp;TEXT(E275*1000,"0000")&amp;"-S"&amp;F275&amp;IF(G275="Y","-GW","")&amp;"-"&amp;AO275)</f>
        <v/>
      </c>
      <c r="B275" s="10" t="str">
        <f aca="false">IF(D275="","",D275&amp;", H = "&amp;TEXT(E275,"0.0")&amp;" m, q = "&amp;F275&amp;" kPa"&amp;IF(G275="Y",", with GWT","")&amp;", "&amp;I275)</f>
        <v/>
      </c>
      <c r="C275" s="9"/>
      <c r="D275" s="9"/>
      <c r="E275" s="39"/>
      <c r="F275" s="38"/>
      <c r="G275" s="9"/>
      <c r="H275" s="38"/>
      <c r="I275" s="9"/>
      <c r="J275" s="38"/>
      <c r="K275" s="38"/>
      <c r="L275" s="38"/>
      <c r="M275" s="42"/>
      <c r="N275" s="9"/>
      <c r="O275" s="38"/>
      <c r="P275" s="38"/>
      <c r="Q275" s="38"/>
      <c r="R275" s="38"/>
      <c r="S275" s="38"/>
      <c r="T275" s="38"/>
      <c r="U275" s="9"/>
      <c r="V275" s="9"/>
      <c r="W275" s="38"/>
      <c r="X275" s="9"/>
      <c r="Y275" s="9"/>
      <c r="Z275" s="9"/>
      <c r="AA275" s="9"/>
      <c r="AB275" s="9"/>
      <c r="AC275" s="9"/>
      <c r="AD275" s="39"/>
      <c r="AE275" s="39"/>
      <c r="AF275" s="39"/>
      <c r="AG275" s="38"/>
      <c r="AH275" s="38"/>
      <c r="AI275" s="9"/>
      <c r="AJ275" s="38"/>
      <c r="AK275" s="9"/>
      <c r="AL275" s="39"/>
      <c r="AM275" s="9"/>
      <c r="AN275" s="9"/>
      <c r="AO275" s="9"/>
      <c r="AP275" s="9"/>
      <c r="AQ275" s="9"/>
      <c r="AR275" s="9"/>
      <c r="AS275" s="9"/>
      <c r="AT275" s="10" t="str">
        <f aca="false">IF(A275="","",SG_Criteria!$B$6&amp;SG_Criteria!$B$8&amp;"\"&amp;A275&amp;"\")</f>
        <v/>
      </c>
      <c r="AU275" s="10" t="str">
        <f aca="false">IF(A275="","",A275&amp;"_CAD.dwg")</f>
        <v/>
      </c>
      <c r="AV275" s="10" t="str">
        <f aca="false">IF(A275="","",A275&amp;"_DWG.pdf")</f>
        <v/>
      </c>
      <c r="AW275" s="10" t="str">
        <f aca="false">IF(A275="","",IF(AS275="Y",A275&amp;"_STAAD.std","n/a"))</f>
        <v/>
      </c>
      <c r="AX275" s="10" t="str">
        <f aca="false">IF(A275="","",A275&amp;"_CALC.xlsx")</f>
        <v/>
      </c>
      <c r="AY275" s="10" t="str">
        <f aca="false">IF(A275="","",A275&amp;"_CALC.pdf")</f>
        <v/>
      </c>
      <c r="AZ275" s="9"/>
      <c r="BA275" s="9"/>
      <c r="BB275" s="39"/>
      <c r="BC275" s="39"/>
      <c r="BD275" s="39"/>
      <c r="BE275" s="39"/>
      <c r="BF275" s="39"/>
      <c r="BG275" s="12" t="str">
        <f aca="false">IF(A275="","",IF(COUNTIF(Rebar_Schedule!$A$5:$A$2004,A275)=0,"",ROUND(SUMIF(Rebar_Schedule!$A$5:$A$2004,A275,Rebar_Schedule!$K$5:$K$2004),1)))</f>
        <v/>
      </c>
      <c r="BH275" s="33" t="str">
        <f aca="false">IF(A275="","",IF(BG275="","No rebar schedule yet",IF(ABS(BG275-N(BC275))/MAX(N(BC275),1)&gt;SG_Criteria!$B$55,"NOTE: register rebar differs from schedule by "&amp;TEXT(ABS(BG275-N(BC275))/MAX(N(BC275),1),"0%"),"OK")))</f>
        <v/>
      </c>
      <c r="BI275" s="33" t="str">
        <f aca="false">IF(OR(D275="",E275=""),"",IF(E275&lt;=IF(OR(D275="Block / Segmental",D275="Gabion",D275="Reinforced Earth (MSE)"),SG_Criteria!$B$34,SG_Criteria!$B$33),"No ERSS submission",IF(E275&lt;=SG_Criteria!$B$35,"QP(ST)",IF(E275&lt;=SG_Criteria!$B$36,"QP(ST) + AC","Geotechnical building works: QP(Geo) + AC"))))</f>
        <v/>
      </c>
      <c r="BJ275" s="33" t="str">
        <f aca="false">IF(D275="","",IF(LEN(IF(AND(V275&lt;&gt;"",IFERROR(VALUE(MID(V275,2,2)),0)&lt;SG_Criteria!$B$19),"FAIL: grade below C"&amp;SG_Criteria!$B$19&amp;". ","")&amp;IF(AND(W275&lt;&gt;"",W275&lt;SG_Criteria!$B$20),"FAIL: cover &lt; "&amp;SG_Criteria!$B$20&amp;" mm. ","")&amp;IF(AND(AD275&lt;&gt;"",AD275&lt;1),"FAIL: sliding. ","")&amp;IF(AND(D275="Reverse L-Wall (toe only, at boundary)",N(S275)&gt;0),"NOTE: reverse L-wall should have no heel. ","")&amp;IF(AND(D275="L-Wall (heel only)",N(R275)&gt;0),"NOTE: L-wall should have no toe. ","")&amp;IF(AND(F275&lt;&gt;"",F275&lt;SG_Criteria!$B$31),"NOTE: q below LTA min "&amp;SG_Criteria!$B$31&amp;" kPa (not for LTA works). ",""))=0,"OK",IF(AND(V275&lt;&gt;"",IFERROR(VALUE(MID(V275,2,2)),0)&lt;SG_Criteria!$B$19),"FAIL: grade below C"&amp;SG_Criteria!$B$19&amp;". ","")&amp;IF(AND(W275&lt;&gt;"",W275&lt;SG_Criteria!$B$20),"FAIL: cover &lt; "&amp;SG_Criteria!$B$20&amp;" mm. ","")&amp;IF(AND(AD275&lt;&gt;"",AD275&lt;1),"FAIL: sliding. ","")&amp;IF(AND(D275="Reverse L-Wall (toe only, at boundary)",N(S275)&gt;0),"NOTE: reverse L-wall should have no heel. ","")&amp;IF(AND(D275="L-Wall (heel only)",N(R275)&gt;0),"NOTE: L-wall should have no toe. ","")&amp;IF(AND(F275&lt;&gt;"",F275&lt;SG_Criteria!$B$31),"NOTE: q below LTA min "&amp;SG_Criteria!$B$31&amp;" kPa (not for LTA works). ","")))</f>
        <v/>
      </c>
      <c r="BK275" s="9"/>
      <c r="BL275" s="9"/>
      <c r="BM275" s="9"/>
      <c r="BN275" s="10" t="str">
        <f aca="false">IF(BM275="","",IFERROR(VLOOKUP(BM275,Projects!$A$5:$D$504,2,0),"Ref not in Projects"))</f>
        <v/>
      </c>
      <c r="BO275" s="10" t="str">
        <f aca="false">IF(BM275="","",IFERROR(VLOOKUP(BM275,Projects!$A$5:$D$504,4,0),"Ref not in Projects"))</f>
        <v/>
      </c>
      <c r="BP275" s="9"/>
      <c r="BQ275" s="9"/>
      <c r="BR275" s="9"/>
      <c r="BS275" s="40"/>
      <c r="BT275" s="9"/>
      <c r="BU275" s="40"/>
      <c r="BV275" s="9"/>
      <c r="BW275" s="40"/>
      <c r="BX275" s="9"/>
      <c r="BY275" s="9"/>
      <c r="BZ275" s="9"/>
      <c r="CA275" s="40"/>
      <c r="CB275" s="40"/>
      <c r="CC275" s="36" t="str">
        <f aca="false">IF(CB275="","",EDATE(CB275,SG_Criteria!$B$54*12))</f>
        <v/>
      </c>
      <c r="CD275" s="33" t="str">
        <f aca="true">IF(A275="","",IF(CB275="","NOTE: not reviewed yet",IF(TODAY()&gt;CC275,"NOTE: review overdue","OK")))</f>
        <v/>
      </c>
      <c r="CE275" s="37" t="str">
        <f aca="false">IF(A275="","",ROUND((IF(LEN(D275)&gt;0,1,0)+IF(LEN(E275)&gt;0,1,0)+IF(LEN(F275)&gt;0,1,0)+IF(LEN(G275)&gt;0,1,0)+IF(LEN(I275)&gt;0,1,0)+IF(LEN(K275)&gt;0,1,0)+IF(LEN(P275)&gt;0,1,0)+IF(LEN(Q275)&gt;0,1,0)+IF(LEN(T275)&gt;0,1,0)+IF(LEN(V275)&gt;0,1,0)+IF(LEN(W275)&gt;0,1,0)+IF(LEN(X275)&gt;0,1,0)+IF(LEN(Z275)&gt;0,1,0)+IF(LEN(AD275)&gt;0,1,0)+IF(LEN(AE275)&gt;0,1,0)+IF(LEN(AG275)&gt;0,1,0)+IF(LEN(AI275)&gt;0,1,0)+IF(LEN(BB275)&gt;0,1,0)+IF(LEN(BC275)&gt;0,1,0)+IF(LEN(AM275)&gt;0,1,0)+IF(LEN(AO275)&gt;0,1,0)+IF(LEN(AP275)&gt;0,1,0)+IF(LEN(AQ275)&gt;0,1,0)+IF(LEN(AR275)&gt;0,1,0)+IF(LEN(BA275)&gt;0,1,0)+IF(LEN(BM275)&gt;0,1,0)+IF(LEN(BZ275)&gt;0,1,0))/27,2))</f>
        <v/>
      </c>
      <c r="CF275" s="10" t="str">
        <f aca="false">IF(D275="","",IF(AND(AP275="Approved",ISERROR(SEARCH("FAIL",BJ275))),"Y","N"))</f>
        <v/>
      </c>
      <c r="CG275" s="10" t="str">
        <f aca="false">IF(D275="","",D275&amp;"|"&amp;E275&amp;"|"&amp;F275&amp;"|"&amp;G275&amp;"|"&amp;CF275)</f>
        <v/>
      </c>
    </row>
    <row r="276" customFormat="false" ht="15" hidden="false" customHeight="false" outlineLevel="0" collapsed="false">
      <c r="A276" s="10" t="str">
        <f aca="false">IF(D276="","","RW-"&amp;IFERROR(VLOOKUP(D276,Lists!$M$4:$N$22,2,0),"??")&amp;"-H"&amp;TEXT(E276*1000,"0000")&amp;"-S"&amp;F276&amp;IF(G276="Y","-GW","")&amp;"-"&amp;AO276)</f>
        <v/>
      </c>
      <c r="B276" s="10" t="str">
        <f aca="false">IF(D276="","",D276&amp;", H = "&amp;TEXT(E276,"0.0")&amp;" m, q = "&amp;F276&amp;" kPa"&amp;IF(G276="Y",", with GWT","")&amp;", "&amp;I276)</f>
        <v/>
      </c>
      <c r="C276" s="9"/>
      <c r="D276" s="9"/>
      <c r="E276" s="39"/>
      <c r="F276" s="38"/>
      <c r="G276" s="9"/>
      <c r="H276" s="38"/>
      <c r="I276" s="9"/>
      <c r="J276" s="38"/>
      <c r="K276" s="38"/>
      <c r="L276" s="38"/>
      <c r="M276" s="42"/>
      <c r="N276" s="9"/>
      <c r="O276" s="38"/>
      <c r="P276" s="38"/>
      <c r="Q276" s="38"/>
      <c r="R276" s="38"/>
      <c r="S276" s="38"/>
      <c r="T276" s="38"/>
      <c r="U276" s="9"/>
      <c r="V276" s="9"/>
      <c r="W276" s="38"/>
      <c r="X276" s="9"/>
      <c r="Y276" s="9"/>
      <c r="Z276" s="9"/>
      <c r="AA276" s="9"/>
      <c r="AB276" s="9"/>
      <c r="AC276" s="9"/>
      <c r="AD276" s="39"/>
      <c r="AE276" s="39"/>
      <c r="AF276" s="39"/>
      <c r="AG276" s="38"/>
      <c r="AH276" s="38"/>
      <c r="AI276" s="9"/>
      <c r="AJ276" s="38"/>
      <c r="AK276" s="9"/>
      <c r="AL276" s="39"/>
      <c r="AM276" s="9"/>
      <c r="AN276" s="9"/>
      <c r="AO276" s="9"/>
      <c r="AP276" s="9"/>
      <c r="AQ276" s="9"/>
      <c r="AR276" s="9"/>
      <c r="AS276" s="9"/>
      <c r="AT276" s="10" t="str">
        <f aca="false">IF(A276="","",SG_Criteria!$B$6&amp;SG_Criteria!$B$8&amp;"\"&amp;A276&amp;"\")</f>
        <v/>
      </c>
      <c r="AU276" s="10" t="str">
        <f aca="false">IF(A276="","",A276&amp;"_CAD.dwg")</f>
        <v/>
      </c>
      <c r="AV276" s="10" t="str">
        <f aca="false">IF(A276="","",A276&amp;"_DWG.pdf")</f>
        <v/>
      </c>
      <c r="AW276" s="10" t="str">
        <f aca="false">IF(A276="","",IF(AS276="Y",A276&amp;"_STAAD.std","n/a"))</f>
        <v/>
      </c>
      <c r="AX276" s="10" t="str">
        <f aca="false">IF(A276="","",A276&amp;"_CALC.xlsx")</f>
        <v/>
      </c>
      <c r="AY276" s="10" t="str">
        <f aca="false">IF(A276="","",A276&amp;"_CALC.pdf")</f>
        <v/>
      </c>
      <c r="AZ276" s="9"/>
      <c r="BA276" s="9"/>
      <c r="BB276" s="39"/>
      <c r="BC276" s="39"/>
      <c r="BD276" s="39"/>
      <c r="BE276" s="39"/>
      <c r="BF276" s="39"/>
      <c r="BG276" s="12" t="str">
        <f aca="false">IF(A276="","",IF(COUNTIF(Rebar_Schedule!$A$5:$A$2004,A276)=0,"",ROUND(SUMIF(Rebar_Schedule!$A$5:$A$2004,A276,Rebar_Schedule!$K$5:$K$2004),1)))</f>
        <v/>
      </c>
      <c r="BH276" s="33" t="str">
        <f aca="false">IF(A276="","",IF(BG276="","No rebar schedule yet",IF(ABS(BG276-N(BC276))/MAX(N(BC276),1)&gt;SG_Criteria!$B$55,"NOTE: register rebar differs from schedule by "&amp;TEXT(ABS(BG276-N(BC276))/MAX(N(BC276),1),"0%"),"OK")))</f>
        <v/>
      </c>
      <c r="BI276" s="33" t="str">
        <f aca="false">IF(OR(D276="",E276=""),"",IF(E276&lt;=IF(OR(D276="Block / Segmental",D276="Gabion",D276="Reinforced Earth (MSE)"),SG_Criteria!$B$34,SG_Criteria!$B$33),"No ERSS submission",IF(E276&lt;=SG_Criteria!$B$35,"QP(ST)",IF(E276&lt;=SG_Criteria!$B$36,"QP(ST) + AC","Geotechnical building works: QP(Geo) + AC"))))</f>
        <v/>
      </c>
      <c r="BJ276" s="33" t="str">
        <f aca="false">IF(D276="","",IF(LEN(IF(AND(V276&lt;&gt;"",IFERROR(VALUE(MID(V276,2,2)),0)&lt;SG_Criteria!$B$19),"FAIL: grade below C"&amp;SG_Criteria!$B$19&amp;". ","")&amp;IF(AND(W276&lt;&gt;"",W276&lt;SG_Criteria!$B$20),"FAIL: cover &lt; "&amp;SG_Criteria!$B$20&amp;" mm. ","")&amp;IF(AND(AD276&lt;&gt;"",AD276&lt;1),"FAIL: sliding. ","")&amp;IF(AND(D276="Reverse L-Wall (toe only, at boundary)",N(S276)&gt;0),"NOTE: reverse L-wall should have no heel. ","")&amp;IF(AND(D276="L-Wall (heel only)",N(R276)&gt;0),"NOTE: L-wall should have no toe. ","")&amp;IF(AND(F276&lt;&gt;"",F276&lt;SG_Criteria!$B$31),"NOTE: q below LTA min "&amp;SG_Criteria!$B$31&amp;" kPa (not for LTA works). ",""))=0,"OK",IF(AND(V276&lt;&gt;"",IFERROR(VALUE(MID(V276,2,2)),0)&lt;SG_Criteria!$B$19),"FAIL: grade below C"&amp;SG_Criteria!$B$19&amp;". ","")&amp;IF(AND(W276&lt;&gt;"",W276&lt;SG_Criteria!$B$20),"FAIL: cover &lt; "&amp;SG_Criteria!$B$20&amp;" mm. ","")&amp;IF(AND(AD276&lt;&gt;"",AD276&lt;1),"FAIL: sliding. ","")&amp;IF(AND(D276="Reverse L-Wall (toe only, at boundary)",N(S276)&gt;0),"NOTE: reverse L-wall should have no heel. ","")&amp;IF(AND(D276="L-Wall (heel only)",N(R276)&gt;0),"NOTE: L-wall should have no toe. ","")&amp;IF(AND(F276&lt;&gt;"",F276&lt;SG_Criteria!$B$31),"NOTE: q below LTA min "&amp;SG_Criteria!$B$31&amp;" kPa (not for LTA works). ","")))</f>
        <v/>
      </c>
      <c r="BK276" s="9"/>
      <c r="BL276" s="9"/>
      <c r="BM276" s="9"/>
      <c r="BN276" s="10" t="str">
        <f aca="false">IF(BM276="","",IFERROR(VLOOKUP(BM276,Projects!$A$5:$D$504,2,0),"Ref not in Projects"))</f>
        <v/>
      </c>
      <c r="BO276" s="10" t="str">
        <f aca="false">IF(BM276="","",IFERROR(VLOOKUP(BM276,Projects!$A$5:$D$504,4,0),"Ref not in Projects"))</f>
        <v/>
      </c>
      <c r="BP276" s="9"/>
      <c r="BQ276" s="9"/>
      <c r="BR276" s="9"/>
      <c r="BS276" s="40"/>
      <c r="BT276" s="9"/>
      <c r="BU276" s="40"/>
      <c r="BV276" s="9"/>
      <c r="BW276" s="40"/>
      <c r="BX276" s="9"/>
      <c r="BY276" s="9"/>
      <c r="BZ276" s="9"/>
      <c r="CA276" s="40"/>
      <c r="CB276" s="40"/>
      <c r="CC276" s="36" t="str">
        <f aca="false">IF(CB276="","",EDATE(CB276,SG_Criteria!$B$54*12))</f>
        <v/>
      </c>
      <c r="CD276" s="33" t="str">
        <f aca="true">IF(A276="","",IF(CB276="","NOTE: not reviewed yet",IF(TODAY()&gt;CC276,"NOTE: review overdue","OK")))</f>
        <v/>
      </c>
      <c r="CE276" s="37" t="str">
        <f aca="false">IF(A276="","",ROUND((IF(LEN(D276)&gt;0,1,0)+IF(LEN(E276)&gt;0,1,0)+IF(LEN(F276)&gt;0,1,0)+IF(LEN(G276)&gt;0,1,0)+IF(LEN(I276)&gt;0,1,0)+IF(LEN(K276)&gt;0,1,0)+IF(LEN(P276)&gt;0,1,0)+IF(LEN(Q276)&gt;0,1,0)+IF(LEN(T276)&gt;0,1,0)+IF(LEN(V276)&gt;0,1,0)+IF(LEN(W276)&gt;0,1,0)+IF(LEN(X276)&gt;0,1,0)+IF(LEN(Z276)&gt;0,1,0)+IF(LEN(AD276)&gt;0,1,0)+IF(LEN(AE276)&gt;0,1,0)+IF(LEN(AG276)&gt;0,1,0)+IF(LEN(AI276)&gt;0,1,0)+IF(LEN(BB276)&gt;0,1,0)+IF(LEN(BC276)&gt;0,1,0)+IF(LEN(AM276)&gt;0,1,0)+IF(LEN(AO276)&gt;0,1,0)+IF(LEN(AP276)&gt;0,1,0)+IF(LEN(AQ276)&gt;0,1,0)+IF(LEN(AR276)&gt;0,1,0)+IF(LEN(BA276)&gt;0,1,0)+IF(LEN(BM276)&gt;0,1,0)+IF(LEN(BZ276)&gt;0,1,0))/27,2))</f>
        <v/>
      </c>
      <c r="CF276" s="10" t="str">
        <f aca="false">IF(D276="","",IF(AND(AP276="Approved",ISERROR(SEARCH("FAIL",BJ276))),"Y","N"))</f>
        <v/>
      </c>
      <c r="CG276" s="10" t="str">
        <f aca="false">IF(D276="","",D276&amp;"|"&amp;E276&amp;"|"&amp;F276&amp;"|"&amp;G276&amp;"|"&amp;CF276)</f>
        <v/>
      </c>
    </row>
    <row r="277" customFormat="false" ht="15" hidden="false" customHeight="false" outlineLevel="0" collapsed="false">
      <c r="A277" s="10" t="str">
        <f aca="false">IF(D277="","","RW-"&amp;IFERROR(VLOOKUP(D277,Lists!$M$4:$N$22,2,0),"??")&amp;"-H"&amp;TEXT(E277*1000,"0000")&amp;"-S"&amp;F277&amp;IF(G277="Y","-GW","")&amp;"-"&amp;AO277)</f>
        <v/>
      </c>
      <c r="B277" s="10" t="str">
        <f aca="false">IF(D277="","",D277&amp;", H = "&amp;TEXT(E277,"0.0")&amp;" m, q = "&amp;F277&amp;" kPa"&amp;IF(G277="Y",", with GWT","")&amp;", "&amp;I277)</f>
        <v/>
      </c>
      <c r="C277" s="9"/>
      <c r="D277" s="9"/>
      <c r="E277" s="39"/>
      <c r="F277" s="38"/>
      <c r="G277" s="9"/>
      <c r="H277" s="38"/>
      <c r="I277" s="9"/>
      <c r="J277" s="38"/>
      <c r="K277" s="38"/>
      <c r="L277" s="38"/>
      <c r="M277" s="42"/>
      <c r="N277" s="9"/>
      <c r="O277" s="38"/>
      <c r="P277" s="38"/>
      <c r="Q277" s="38"/>
      <c r="R277" s="38"/>
      <c r="S277" s="38"/>
      <c r="T277" s="38"/>
      <c r="U277" s="9"/>
      <c r="V277" s="9"/>
      <c r="W277" s="38"/>
      <c r="X277" s="9"/>
      <c r="Y277" s="9"/>
      <c r="Z277" s="9"/>
      <c r="AA277" s="9"/>
      <c r="AB277" s="9"/>
      <c r="AC277" s="9"/>
      <c r="AD277" s="39"/>
      <c r="AE277" s="39"/>
      <c r="AF277" s="39"/>
      <c r="AG277" s="38"/>
      <c r="AH277" s="38"/>
      <c r="AI277" s="9"/>
      <c r="AJ277" s="38"/>
      <c r="AK277" s="9"/>
      <c r="AL277" s="39"/>
      <c r="AM277" s="9"/>
      <c r="AN277" s="9"/>
      <c r="AO277" s="9"/>
      <c r="AP277" s="9"/>
      <c r="AQ277" s="9"/>
      <c r="AR277" s="9"/>
      <c r="AS277" s="9"/>
      <c r="AT277" s="10" t="str">
        <f aca="false">IF(A277="","",SG_Criteria!$B$6&amp;SG_Criteria!$B$8&amp;"\"&amp;A277&amp;"\")</f>
        <v/>
      </c>
      <c r="AU277" s="10" t="str">
        <f aca="false">IF(A277="","",A277&amp;"_CAD.dwg")</f>
        <v/>
      </c>
      <c r="AV277" s="10" t="str">
        <f aca="false">IF(A277="","",A277&amp;"_DWG.pdf")</f>
        <v/>
      </c>
      <c r="AW277" s="10" t="str">
        <f aca="false">IF(A277="","",IF(AS277="Y",A277&amp;"_STAAD.std","n/a"))</f>
        <v/>
      </c>
      <c r="AX277" s="10" t="str">
        <f aca="false">IF(A277="","",A277&amp;"_CALC.xlsx")</f>
        <v/>
      </c>
      <c r="AY277" s="10" t="str">
        <f aca="false">IF(A277="","",A277&amp;"_CALC.pdf")</f>
        <v/>
      </c>
      <c r="AZ277" s="9"/>
      <c r="BA277" s="9"/>
      <c r="BB277" s="39"/>
      <c r="BC277" s="39"/>
      <c r="BD277" s="39"/>
      <c r="BE277" s="39"/>
      <c r="BF277" s="39"/>
      <c r="BG277" s="12" t="str">
        <f aca="false">IF(A277="","",IF(COUNTIF(Rebar_Schedule!$A$5:$A$2004,A277)=0,"",ROUND(SUMIF(Rebar_Schedule!$A$5:$A$2004,A277,Rebar_Schedule!$K$5:$K$2004),1)))</f>
        <v/>
      </c>
      <c r="BH277" s="33" t="str">
        <f aca="false">IF(A277="","",IF(BG277="","No rebar schedule yet",IF(ABS(BG277-N(BC277))/MAX(N(BC277),1)&gt;SG_Criteria!$B$55,"NOTE: register rebar differs from schedule by "&amp;TEXT(ABS(BG277-N(BC277))/MAX(N(BC277),1),"0%"),"OK")))</f>
        <v/>
      </c>
      <c r="BI277" s="33" t="str">
        <f aca="false">IF(OR(D277="",E277=""),"",IF(E277&lt;=IF(OR(D277="Block / Segmental",D277="Gabion",D277="Reinforced Earth (MSE)"),SG_Criteria!$B$34,SG_Criteria!$B$33),"No ERSS submission",IF(E277&lt;=SG_Criteria!$B$35,"QP(ST)",IF(E277&lt;=SG_Criteria!$B$36,"QP(ST) + AC","Geotechnical building works: QP(Geo) + AC"))))</f>
        <v/>
      </c>
      <c r="BJ277" s="33" t="str">
        <f aca="false">IF(D277="","",IF(LEN(IF(AND(V277&lt;&gt;"",IFERROR(VALUE(MID(V277,2,2)),0)&lt;SG_Criteria!$B$19),"FAIL: grade below C"&amp;SG_Criteria!$B$19&amp;". ","")&amp;IF(AND(W277&lt;&gt;"",W277&lt;SG_Criteria!$B$20),"FAIL: cover &lt; "&amp;SG_Criteria!$B$20&amp;" mm. ","")&amp;IF(AND(AD277&lt;&gt;"",AD277&lt;1),"FAIL: sliding. ","")&amp;IF(AND(D277="Reverse L-Wall (toe only, at boundary)",N(S277)&gt;0),"NOTE: reverse L-wall should have no heel. ","")&amp;IF(AND(D277="L-Wall (heel only)",N(R277)&gt;0),"NOTE: L-wall should have no toe. ","")&amp;IF(AND(F277&lt;&gt;"",F277&lt;SG_Criteria!$B$31),"NOTE: q below LTA min "&amp;SG_Criteria!$B$31&amp;" kPa (not for LTA works). ",""))=0,"OK",IF(AND(V277&lt;&gt;"",IFERROR(VALUE(MID(V277,2,2)),0)&lt;SG_Criteria!$B$19),"FAIL: grade below C"&amp;SG_Criteria!$B$19&amp;". ","")&amp;IF(AND(W277&lt;&gt;"",W277&lt;SG_Criteria!$B$20),"FAIL: cover &lt; "&amp;SG_Criteria!$B$20&amp;" mm. ","")&amp;IF(AND(AD277&lt;&gt;"",AD277&lt;1),"FAIL: sliding. ","")&amp;IF(AND(D277="Reverse L-Wall (toe only, at boundary)",N(S277)&gt;0),"NOTE: reverse L-wall should have no heel. ","")&amp;IF(AND(D277="L-Wall (heel only)",N(R277)&gt;0),"NOTE: L-wall should have no toe. ","")&amp;IF(AND(F277&lt;&gt;"",F277&lt;SG_Criteria!$B$31),"NOTE: q below LTA min "&amp;SG_Criteria!$B$31&amp;" kPa (not for LTA works). ","")))</f>
        <v/>
      </c>
      <c r="BK277" s="9"/>
      <c r="BL277" s="9"/>
      <c r="BM277" s="9"/>
      <c r="BN277" s="10" t="str">
        <f aca="false">IF(BM277="","",IFERROR(VLOOKUP(BM277,Projects!$A$5:$D$504,2,0),"Ref not in Projects"))</f>
        <v/>
      </c>
      <c r="BO277" s="10" t="str">
        <f aca="false">IF(BM277="","",IFERROR(VLOOKUP(BM277,Projects!$A$5:$D$504,4,0),"Ref not in Projects"))</f>
        <v/>
      </c>
      <c r="BP277" s="9"/>
      <c r="BQ277" s="9"/>
      <c r="BR277" s="9"/>
      <c r="BS277" s="40"/>
      <c r="BT277" s="9"/>
      <c r="BU277" s="40"/>
      <c r="BV277" s="9"/>
      <c r="BW277" s="40"/>
      <c r="BX277" s="9"/>
      <c r="BY277" s="9"/>
      <c r="BZ277" s="9"/>
      <c r="CA277" s="40"/>
      <c r="CB277" s="40"/>
      <c r="CC277" s="36" t="str">
        <f aca="false">IF(CB277="","",EDATE(CB277,SG_Criteria!$B$54*12))</f>
        <v/>
      </c>
      <c r="CD277" s="33" t="str">
        <f aca="true">IF(A277="","",IF(CB277="","NOTE: not reviewed yet",IF(TODAY()&gt;CC277,"NOTE: review overdue","OK")))</f>
        <v/>
      </c>
      <c r="CE277" s="37" t="str">
        <f aca="false">IF(A277="","",ROUND((IF(LEN(D277)&gt;0,1,0)+IF(LEN(E277)&gt;0,1,0)+IF(LEN(F277)&gt;0,1,0)+IF(LEN(G277)&gt;0,1,0)+IF(LEN(I277)&gt;0,1,0)+IF(LEN(K277)&gt;0,1,0)+IF(LEN(P277)&gt;0,1,0)+IF(LEN(Q277)&gt;0,1,0)+IF(LEN(T277)&gt;0,1,0)+IF(LEN(V277)&gt;0,1,0)+IF(LEN(W277)&gt;0,1,0)+IF(LEN(X277)&gt;0,1,0)+IF(LEN(Z277)&gt;0,1,0)+IF(LEN(AD277)&gt;0,1,0)+IF(LEN(AE277)&gt;0,1,0)+IF(LEN(AG277)&gt;0,1,0)+IF(LEN(AI277)&gt;0,1,0)+IF(LEN(BB277)&gt;0,1,0)+IF(LEN(BC277)&gt;0,1,0)+IF(LEN(AM277)&gt;0,1,0)+IF(LEN(AO277)&gt;0,1,0)+IF(LEN(AP277)&gt;0,1,0)+IF(LEN(AQ277)&gt;0,1,0)+IF(LEN(AR277)&gt;0,1,0)+IF(LEN(BA277)&gt;0,1,0)+IF(LEN(BM277)&gt;0,1,0)+IF(LEN(BZ277)&gt;0,1,0))/27,2))</f>
        <v/>
      </c>
      <c r="CF277" s="10" t="str">
        <f aca="false">IF(D277="","",IF(AND(AP277="Approved",ISERROR(SEARCH("FAIL",BJ277))),"Y","N"))</f>
        <v/>
      </c>
      <c r="CG277" s="10" t="str">
        <f aca="false">IF(D277="","",D277&amp;"|"&amp;E277&amp;"|"&amp;F277&amp;"|"&amp;G277&amp;"|"&amp;CF277)</f>
        <v/>
      </c>
    </row>
    <row r="278" customFormat="false" ht="15" hidden="false" customHeight="false" outlineLevel="0" collapsed="false">
      <c r="A278" s="10" t="str">
        <f aca="false">IF(D278="","","RW-"&amp;IFERROR(VLOOKUP(D278,Lists!$M$4:$N$22,2,0),"??")&amp;"-H"&amp;TEXT(E278*1000,"0000")&amp;"-S"&amp;F278&amp;IF(G278="Y","-GW","")&amp;"-"&amp;AO278)</f>
        <v/>
      </c>
      <c r="B278" s="10" t="str">
        <f aca="false">IF(D278="","",D278&amp;", H = "&amp;TEXT(E278,"0.0")&amp;" m, q = "&amp;F278&amp;" kPa"&amp;IF(G278="Y",", with GWT","")&amp;", "&amp;I278)</f>
        <v/>
      </c>
      <c r="C278" s="9"/>
      <c r="D278" s="9"/>
      <c r="E278" s="39"/>
      <c r="F278" s="38"/>
      <c r="G278" s="9"/>
      <c r="H278" s="38"/>
      <c r="I278" s="9"/>
      <c r="J278" s="38"/>
      <c r="K278" s="38"/>
      <c r="L278" s="38"/>
      <c r="M278" s="42"/>
      <c r="N278" s="9"/>
      <c r="O278" s="38"/>
      <c r="P278" s="38"/>
      <c r="Q278" s="38"/>
      <c r="R278" s="38"/>
      <c r="S278" s="38"/>
      <c r="T278" s="38"/>
      <c r="U278" s="9"/>
      <c r="V278" s="9"/>
      <c r="W278" s="38"/>
      <c r="X278" s="9"/>
      <c r="Y278" s="9"/>
      <c r="Z278" s="9"/>
      <c r="AA278" s="9"/>
      <c r="AB278" s="9"/>
      <c r="AC278" s="9"/>
      <c r="AD278" s="39"/>
      <c r="AE278" s="39"/>
      <c r="AF278" s="39"/>
      <c r="AG278" s="38"/>
      <c r="AH278" s="38"/>
      <c r="AI278" s="9"/>
      <c r="AJ278" s="38"/>
      <c r="AK278" s="9"/>
      <c r="AL278" s="39"/>
      <c r="AM278" s="9"/>
      <c r="AN278" s="9"/>
      <c r="AO278" s="9"/>
      <c r="AP278" s="9"/>
      <c r="AQ278" s="9"/>
      <c r="AR278" s="9"/>
      <c r="AS278" s="9"/>
      <c r="AT278" s="10" t="str">
        <f aca="false">IF(A278="","",SG_Criteria!$B$6&amp;SG_Criteria!$B$8&amp;"\"&amp;A278&amp;"\")</f>
        <v/>
      </c>
      <c r="AU278" s="10" t="str">
        <f aca="false">IF(A278="","",A278&amp;"_CAD.dwg")</f>
        <v/>
      </c>
      <c r="AV278" s="10" t="str">
        <f aca="false">IF(A278="","",A278&amp;"_DWG.pdf")</f>
        <v/>
      </c>
      <c r="AW278" s="10" t="str">
        <f aca="false">IF(A278="","",IF(AS278="Y",A278&amp;"_STAAD.std","n/a"))</f>
        <v/>
      </c>
      <c r="AX278" s="10" t="str">
        <f aca="false">IF(A278="","",A278&amp;"_CALC.xlsx")</f>
        <v/>
      </c>
      <c r="AY278" s="10" t="str">
        <f aca="false">IF(A278="","",A278&amp;"_CALC.pdf")</f>
        <v/>
      </c>
      <c r="AZ278" s="9"/>
      <c r="BA278" s="9"/>
      <c r="BB278" s="39"/>
      <c r="BC278" s="39"/>
      <c r="BD278" s="39"/>
      <c r="BE278" s="39"/>
      <c r="BF278" s="39"/>
      <c r="BG278" s="12" t="str">
        <f aca="false">IF(A278="","",IF(COUNTIF(Rebar_Schedule!$A$5:$A$2004,A278)=0,"",ROUND(SUMIF(Rebar_Schedule!$A$5:$A$2004,A278,Rebar_Schedule!$K$5:$K$2004),1)))</f>
        <v/>
      </c>
      <c r="BH278" s="33" t="str">
        <f aca="false">IF(A278="","",IF(BG278="","No rebar schedule yet",IF(ABS(BG278-N(BC278))/MAX(N(BC278),1)&gt;SG_Criteria!$B$55,"NOTE: register rebar differs from schedule by "&amp;TEXT(ABS(BG278-N(BC278))/MAX(N(BC278),1),"0%"),"OK")))</f>
        <v/>
      </c>
      <c r="BI278" s="33" t="str">
        <f aca="false">IF(OR(D278="",E278=""),"",IF(E278&lt;=IF(OR(D278="Block / Segmental",D278="Gabion",D278="Reinforced Earth (MSE)"),SG_Criteria!$B$34,SG_Criteria!$B$33),"No ERSS submission",IF(E278&lt;=SG_Criteria!$B$35,"QP(ST)",IF(E278&lt;=SG_Criteria!$B$36,"QP(ST) + AC","Geotechnical building works: QP(Geo) + AC"))))</f>
        <v/>
      </c>
      <c r="BJ278" s="33" t="str">
        <f aca="false">IF(D278="","",IF(LEN(IF(AND(V278&lt;&gt;"",IFERROR(VALUE(MID(V278,2,2)),0)&lt;SG_Criteria!$B$19),"FAIL: grade below C"&amp;SG_Criteria!$B$19&amp;". ","")&amp;IF(AND(W278&lt;&gt;"",W278&lt;SG_Criteria!$B$20),"FAIL: cover &lt; "&amp;SG_Criteria!$B$20&amp;" mm. ","")&amp;IF(AND(AD278&lt;&gt;"",AD278&lt;1),"FAIL: sliding. ","")&amp;IF(AND(D278="Reverse L-Wall (toe only, at boundary)",N(S278)&gt;0),"NOTE: reverse L-wall should have no heel. ","")&amp;IF(AND(D278="L-Wall (heel only)",N(R278)&gt;0),"NOTE: L-wall should have no toe. ","")&amp;IF(AND(F278&lt;&gt;"",F278&lt;SG_Criteria!$B$31),"NOTE: q below LTA min "&amp;SG_Criteria!$B$31&amp;" kPa (not for LTA works). ",""))=0,"OK",IF(AND(V278&lt;&gt;"",IFERROR(VALUE(MID(V278,2,2)),0)&lt;SG_Criteria!$B$19),"FAIL: grade below C"&amp;SG_Criteria!$B$19&amp;". ","")&amp;IF(AND(W278&lt;&gt;"",W278&lt;SG_Criteria!$B$20),"FAIL: cover &lt; "&amp;SG_Criteria!$B$20&amp;" mm. ","")&amp;IF(AND(AD278&lt;&gt;"",AD278&lt;1),"FAIL: sliding. ","")&amp;IF(AND(D278="Reverse L-Wall (toe only, at boundary)",N(S278)&gt;0),"NOTE: reverse L-wall should have no heel. ","")&amp;IF(AND(D278="L-Wall (heel only)",N(R278)&gt;0),"NOTE: L-wall should have no toe. ","")&amp;IF(AND(F278&lt;&gt;"",F278&lt;SG_Criteria!$B$31),"NOTE: q below LTA min "&amp;SG_Criteria!$B$31&amp;" kPa (not for LTA works). ","")))</f>
        <v/>
      </c>
      <c r="BK278" s="9"/>
      <c r="BL278" s="9"/>
      <c r="BM278" s="9"/>
      <c r="BN278" s="10" t="str">
        <f aca="false">IF(BM278="","",IFERROR(VLOOKUP(BM278,Projects!$A$5:$D$504,2,0),"Ref not in Projects"))</f>
        <v/>
      </c>
      <c r="BO278" s="10" t="str">
        <f aca="false">IF(BM278="","",IFERROR(VLOOKUP(BM278,Projects!$A$5:$D$504,4,0),"Ref not in Projects"))</f>
        <v/>
      </c>
      <c r="BP278" s="9"/>
      <c r="BQ278" s="9"/>
      <c r="BR278" s="9"/>
      <c r="BS278" s="40"/>
      <c r="BT278" s="9"/>
      <c r="BU278" s="40"/>
      <c r="BV278" s="9"/>
      <c r="BW278" s="40"/>
      <c r="BX278" s="9"/>
      <c r="BY278" s="9"/>
      <c r="BZ278" s="9"/>
      <c r="CA278" s="40"/>
      <c r="CB278" s="40"/>
      <c r="CC278" s="36" t="str">
        <f aca="false">IF(CB278="","",EDATE(CB278,SG_Criteria!$B$54*12))</f>
        <v/>
      </c>
      <c r="CD278" s="33" t="str">
        <f aca="true">IF(A278="","",IF(CB278="","NOTE: not reviewed yet",IF(TODAY()&gt;CC278,"NOTE: review overdue","OK")))</f>
        <v/>
      </c>
      <c r="CE278" s="37" t="str">
        <f aca="false">IF(A278="","",ROUND((IF(LEN(D278)&gt;0,1,0)+IF(LEN(E278)&gt;0,1,0)+IF(LEN(F278)&gt;0,1,0)+IF(LEN(G278)&gt;0,1,0)+IF(LEN(I278)&gt;0,1,0)+IF(LEN(K278)&gt;0,1,0)+IF(LEN(P278)&gt;0,1,0)+IF(LEN(Q278)&gt;0,1,0)+IF(LEN(T278)&gt;0,1,0)+IF(LEN(V278)&gt;0,1,0)+IF(LEN(W278)&gt;0,1,0)+IF(LEN(X278)&gt;0,1,0)+IF(LEN(Z278)&gt;0,1,0)+IF(LEN(AD278)&gt;0,1,0)+IF(LEN(AE278)&gt;0,1,0)+IF(LEN(AG278)&gt;0,1,0)+IF(LEN(AI278)&gt;0,1,0)+IF(LEN(BB278)&gt;0,1,0)+IF(LEN(BC278)&gt;0,1,0)+IF(LEN(AM278)&gt;0,1,0)+IF(LEN(AO278)&gt;0,1,0)+IF(LEN(AP278)&gt;0,1,0)+IF(LEN(AQ278)&gt;0,1,0)+IF(LEN(AR278)&gt;0,1,0)+IF(LEN(BA278)&gt;0,1,0)+IF(LEN(BM278)&gt;0,1,0)+IF(LEN(BZ278)&gt;0,1,0))/27,2))</f>
        <v/>
      </c>
      <c r="CF278" s="10" t="str">
        <f aca="false">IF(D278="","",IF(AND(AP278="Approved",ISERROR(SEARCH("FAIL",BJ278))),"Y","N"))</f>
        <v/>
      </c>
      <c r="CG278" s="10" t="str">
        <f aca="false">IF(D278="","",D278&amp;"|"&amp;E278&amp;"|"&amp;F278&amp;"|"&amp;G278&amp;"|"&amp;CF278)</f>
        <v/>
      </c>
    </row>
    <row r="279" customFormat="false" ht="15" hidden="false" customHeight="false" outlineLevel="0" collapsed="false">
      <c r="A279" s="10" t="str">
        <f aca="false">IF(D279="","","RW-"&amp;IFERROR(VLOOKUP(D279,Lists!$M$4:$N$22,2,0),"??")&amp;"-H"&amp;TEXT(E279*1000,"0000")&amp;"-S"&amp;F279&amp;IF(G279="Y","-GW","")&amp;"-"&amp;AO279)</f>
        <v/>
      </c>
      <c r="B279" s="10" t="str">
        <f aca="false">IF(D279="","",D279&amp;", H = "&amp;TEXT(E279,"0.0")&amp;" m, q = "&amp;F279&amp;" kPa"&amp;IF(G279="Y",", with GWT","")&amp;", "&amp;I279)</f>
        <v/>
      </c>
      <c r="C279" s="9"/>
      <c r="D279" s="9"/>
      <c r="E279" s="39"/>
      <c r="F279" s="38"/>
      <c r="G279" s="9"/>
      <c r="H279" s="38"/>
      <c r="I279" s="9"/>
      <c r="J279" s="38"/>
      <c r="K279" s="38"/>
      <c r="L279" s="38"/>
      <c r="M279" s="42"/>
      <c r="N279" s="9"/>
      <c r="O279" s="38"/>
      <c r="P279" s="38"/>
      <c r="Q279" s="38"/>
      <c r="R279" s="38"/>
      <c r="S279" s="38"/>
      <c r="T279" s="38"/>
      <c r="U279" s="9"/>
      <c r="V279" s="9"/>
      <c r="W279" s="38"/>
      <c r="X279" s="9"/>
      <c r="Y279" s="9"/>
      <c r="Z279" s="9"/>
      <c r="AA279" s="9"/>
      <c r="AB279" s="9"/>
      <c r="AC279" s="9"/>
      <c r="AD279" s="39"/>
      <c r="AE279" s="39"/>
      <c r="AF279" s="39"/>
      <c r="AG279" s="38"/>
      <c r="AH279" s="38"/>
      <c r="AI279" s="9"/>
      <c r="AJ279" s="38"/>
      <c r="AK279" s="9"/>
      <c r="AL279" s="39"/>
      <c r="AM279" s="9"/>
      <c r="AN279" s="9"/>
      <c r="AO279" s="9"/>
      <c r="AP279" s="9"/>
      <c r="AQ279" s="9"/>
      <c r="AR279" s="9"/>
      <c r="AS279" s="9"/>
      <c r="AT279" s="10" t="str">
        <f aca="false">IF(A279="","",SG_Criteria!$B$6&amp;SG_Criteria!$B$8&amp;"\"&amp;A279&amp;"\")</f>
        <v/>
      </c>
      <c r="AU279" s="10" t="str">
        <f aca="false">IF(A279="","",A279&amp;"_CAD.dwg")</f>
        <v/>
      </c>
      <c r="AV279" s="10" t="str">
        <f aca="false">IF(A279="","",A279&amp;"_DWG.pdf")</f>
        <v/>
      </c>
      <c r="AW279" s="10" t="str">
        <f aca="false">IF(A279="","",IF(AS279="Y",A279&amp;"_STAAD.std","n/a"))</f>
        <v/>
      </c>
      <c r="AX279" s="10" t="str">
        <f aca="false">IF(A279="","",A279&amp;"_CALC.xlsx")</f>
        <v/>
      </c>
      <c r="AY279" s="10" t="str">
        <f aca="false">IF(A279="","",A279&amp;"_CALC.pdf")</f>
        <v/>
      </c>
      <c r="AZ279" s="9"/>
      <c r="BA279" s="9"/>
      <c r="BB279" s="39"/>
      <c r="BC279" s="39"/>
      <c r="BD279" s="39"/>
      <c r="BE279" s="39"/>
      <c r="BF279" s="39"/>
      <c r="BG279" s="12" t="str">
        <f aca="false">IF(A279="","",IF(COUNTIF(Rebar_Schedule!$A$5:$A$2004,A279)=0,"",ROUND(SUMIF(Rebar_Schedule!$A$5:$A$2004,A279,Rebar_Schedule!$K$5:$K$2004),1)))</f>
        <v/>
      </c>
      <c r="BH279" s="33" t="str">
        <f aca="false">IF(A279="","",IF(BG279="","No rebar schedule yet",IF(ABS(BG279-N(BC279))/MAX(N(BC279),1)&gt;SG_Criteria!$B$55,"NOTE: register rebar differs from schedule by "&amp;TEXT(ABS(BG279-N(BC279))/MAX(N(BC279),1),"0%"),"OK")))</f>
        <v/>
      </c>
      <c r="BI279" s="33" t="str">
        <f aca="false">IF(OR(D279="",E279=""),"",IF(E279&lt;=IF(OR(D279="Block / Segmental",D279="Gabion",D279="Reinforced Earth (MSE)"),SG_Criteria!$B$34,SG_Criteria!$B$33),"No ERSS submission",IF(E279&lt;=SG_Criteria!$B$35,"QP(ST)",IF(E279&lt;=SG_Criteria!$B$36,"QP(ST) + AC","Geotechnical building works: QP(Geo) + AC"))))</f>
        <v/>
      </c>
      <c r="BJ279" s="33" t="str">
        <f aca="false">IF(D279="","",IF(LEN(IF(AND(V279&lt;&gt;"",IFERROR(VALUE(MID(V279,2,2)),0)&lt;SG_Criteria!$B$19),"FAIL: grade below C"&amp;SG_Criteria!$B$19&amp;". ","")&amp;IF(AND(W279&lt;&gt;"",W279&lt;SG_Criteria!$B$20),"FAIL: cover &lt; "&amp;SG_Criteria!$B$20&amp;" mm. ","")&amp;IF(AND(AD279&lt;&gt;"",AD279&lt;1),"FAIL: sliding. ","")&amp;IF(AND(D279="Reverse L-Wall (toe only, at boundary)",N(S279)&gt;0),"NOTE: reverse L-wall should have no heel. ","")&amp;IF(AND(D279="L-Wall (heel only)",N(R279)&gt;0),"NOTE: L-wall should have no toe. ","")&amp;IF(AND(F279&lt;&gt;"",F279&lt;SG_Criteria!$B$31),"NOTE: q below LTA min "&amp;SG_Criteria!$B$31&amp;" kPa (not for LTA works). ",""))=0,"OK",IF(AND(V279&lt;&gt;"",IFERROR(VALUE(MID(V279,2,2)),0)&lt;SG_Criteria!$B$19),"FAIL: grade below C"&amp;SG_Criteria!$B$19&amp;". ","")&amp;IF(AND(W279&lt;&gt;"",W279&lt;SG_Criteria!$B$20),"FAIL: cover &lt; "&amp;SG_Criteria!$B$20&amp;" mm. ","")&amp;IF(AND(AD279&lt;&gt;"",AD279&lt;1),"FAIL: sliding. ","")&amp;IF(AND(D279="Reverse L-Wall (toe only, at boundary)",N(S279)&gt;0),"NOTE: reverse L-wall should have no heel. ","")&amp;IF(AND(D279="L-Wall (heel only)",N(R279)&gt;0),"NOTE: L-wall should have no toe. ","")&amp;IF(AND(F279&lt;&gt;"",F279&lt;SG_Criteria!$B$31),"NOTE: q below LTA min "&amp;SG_Criteria!$B$31&amp;" kPa (not for LTA works). ","")))</f>
        <v/>
      </c>
      <c r="BK279" s="9"/>
      <c r="BL279" s="9"/>
      <c r="BM279" s="9"/>
      <c r="BN279" s="10" t="str">
        <f aca="false">IF(BM279="","",IFERROR(VLOOKUP(BM279,Projects!$A$5:$D$504,2,0),"Ref not in Projects"))</f>
        <v/>
      </c>
      <c r="BO279" s="10" t="str">
        <f aca="false">IF(BM279="","",IFERROR(VLOOKUP(BM279,Projects!$A$5:$D$504,4,0),"Ref not in Projects"))</f>
        <v/>
      </c>
      <c r="BP279" s="9"/>
      <c r="BQ279" s="9"/>
      <c r="BR279" s="9"/>
      <c r="BS279" s="40"/>
      <c r="BT279" s="9"/>
      <c r="BU279" s="40"/>
      <c r="BV279" s="9"/>
      <c r="BW279" s="40"/>
      <c r="BX279" s="9"/>
      <c r="BY279" s="9"/>
      <c r="BZ279" s="9"/>
      <c r="CA279" s="40"/>
      <c r="CB279" s="40"/>
      <c r="CC279" s="36" t="str">
        <f aca="false">IF(CB279="","",EDATE(CB279,SG_Criteria!$B$54*12))</f>
        <v/>
      </c>
      <c r="CD279" s="33" t="str">
        <f aca="true">IF(A279="","",IF(CB279="","NOTE: not reviewed yet",IF(TODAY()&gt;CC279,"NOTE: review overdue","OK")))</f>
        <v/>
      </c>
      <c r="CE279" s="37" t="str">
        <f aca="false">IF(A279="","",ROUND((IF(LEN(D279)&gt;0,1,0)+IF(LEN(E279)&gt;0,1,0)+IF(LEN(F279)&gt;0,1,0)+IF(LEN(G279)&gt;0,1,0)+IF(LEN(I279)&gt;0,1,0)+IF(LEN(K279)&gt;0,1,0)+IF(LEN(P279)&gt;0,1,0)+IF(LEN(Q279)&gt;0,1,0)+IF(LEN(T279)&gt;0,1,0)+IF(LEN(V279)&gt;0,1,0)+IF(LEN(W279)&gt;0,1,0)+IF(LEN(X279)&gt;0,1,0)+IF(LEN(Z279)&gt;0,1,0)+IF(LEN(AD279)&gt;0,1,0)+IF(LEN(AE279)&gt;0,1,0)+IF(LEN(AG279)&gt;0,1,0)+IF(LEN(AI279)&gt;0,1,0)+IF(LEN(BB279)&gt;0,1,0)+IF(LEN(BC279)&gt;0,1,0)+IF(LEN(AM279)&gt;0,1,0)+IF(LEN(AO279)&gt;0,1,0)+IF(LEN(AP279)&gt;0,1,0)+IF(LEN(AQ279)&gt;0,1,0)+IF(LEN(AR279)&gt;0,1,0)+IF(LEN(BA279)&gt;0,1,0)+IF(LEN(BM279)&gt;0,1,0)+IF(LEN(BZ279)&gt;0,1,0))/27,2))</f>
        <v/>
      </c>
      <c r="CF279" s="10" t="str">
        <f aca="false">IF(D279="","",IF(AND(AP279="Approved",ISERROR(SEARCH("FAIL",BJ279))),"Y","N"))</f>
        <v/>
      </c>
      <c r="CG279" s="10" t="str">
        <f aca="false">IF(D279="","",D279&amp;"|"&amp;E279&amp;"|"&amp;F279&amp;"|"&amp;G279&amp;"|"&amp;CF279)</f>
        <v/>
      </c>
    </row>
    <row r="280" customFormat="false" ht="15" hidden="false" customHeight="false" outlineLevel="0" collapsed="false">
      <c r="A280" s="10" t="str">
        <f aca="false">IF(D280="","","RW-"&amp;IFERROR(VLOOKUP(D280,Lists!$M$4:$N$22,2,0),"??")&amp;"-H"&amp;TEXT(E280*1000,"0000")&amp;"-S"&amp;F280&amp;IF(G280="Y","-GW","")&amp;"-"&amp;AO280)</f>
        <v/>
      </c>
      <c r="B280" s="10" t="str">
        <f aca="false">IF(D280="","",D280&amp;", H = "&amp;TEXT(E280,"0.0")&amp;" m, q = "&amp;F280&amp;" kPa"&amp;IF(G280="Y",", with GWT","")&amp;", "&amp;I280)</f>
        <v/>
      </c>
      <c r="C280" s="9"/>
      <c r="D280" s="9"/>
      <c r="E280" s="39"/>
      <c r="F280" s="38"/>
      <c r="G280" s="9"/>
      <c r="H280" s="38"/>
      <c r="I280" s="9"/>
      <c r="J280" s="38"/>
      <c r="K280" s="38"/>
      <c r="L280" s="38"/>
      <c r="M280" s="42"/>
      <c r="N280" s="9"/>
      <c r="O280" s="38"/>
      <c r="P280" s="38"/>
      <c r="Q280" s="38"/>
      <c r="R280" s="38"/>
      <c r="S280" s="38"/>
      <c r="T280" s="38"/>
      <c r="U280" s="9"/>
      <c r="V280" s="9"/>
      <c r="W280" s="38"/>
      <c r="X280" s="9"/>
      <c r="Y280" s="9"/>
      <c r="Z280" s="9"/>
      <c r="AA280" s="9"/>
      <c r="AB280" s="9"/>
      <c r="AC280" s="9"/>
      <c r="AD280" s="39"/>
      <c r="AE280" s="39"/>
      <c r="AF280" s="39"/>
      <c r="AG280" s="38"/>
      <c r="AH280" s="38"/>
      <c r="AI280" s="9"/>
      <c r="AJ280" s="38"/>
      <c r="AK280" s="9"/>
      <c r="AL280" s="39"/>
      <c r="AM280" s="9"/>
      <c r="AN280" s="9"/>
      <c r="AO280" s="9"/>
      <c r="AP280" s="9"/>
      <c r="AQ280" s="9"/>
      <c r="AR280" s="9"/>
      <c r="AS280" s="9"/>
      <c r="AT280" s="10" t="str">
        <f aca="false">IF(A280="","",SG_Criteria!$B$6&amp;SG_Criteria!$B$8&amp;"\"&amp;A280&amp;"\")</f>
        <v/>
      </c>
      <c r="AU280" s="10" t="str">
        <f aca="false">IF(A280="","",A280&amp;"_CAD.dwg")</f>
        <v/>
      </c>
      <c r="AV280" s="10" t="str">
        <f aca="false">IF(A280="","",A280&amp;"_DWG.pdf")</f>
        <v/>
      </c>
      <c r="AW280" s="10" t="str">
        <f aca="false">IF(A280="","",IF(AS280="Y",A280&amp;"_STAAD.std","n/a"))</f>
        <v/>
      </c>
      <c r="AX280" s="10" t="str">
        <f aca="false">IF(A280="","",A280&amp;"_CALC.xlsx")</f>
        <v/>
      </c>
      <c r="AY280" s="10" t="str">
        <f aca="false">IF(A280="","",A280&amp;"_CALC.pdf")</f>
        <v/>
      </c>
      <c r="AZ280" s="9"/>
      <c r="BA280" s="9"/>
      <c r="BB280" s="39"/>
      <c r="BC280" s="39"/>
      <c r="BD280" s="39"/>
      <c r="BE280" s="39"/>
      <c r="BF280" s="39"/>
      <c r="BG280" s="12" t="str">
        <f aca="false">IF(A280="","",IF(COUNTIF(Rebar_Schedule!$A$5:$A$2004,A280)=0,"",ROUND(SUMIF(Rebar_Schedule!$A$5:$A$2004,A280,Rebar_Schedule!$K$5:$K$2004),1)))</f>
        <v/>
      </c>
      <c r="BH280" s="33" t="str">
        <f aca="false">IF(A280="","",IF(BG280="","No rebar schedule yet",IF(ABS(BG280-N(BC280))/MAX(N(BC280),1)&gt;SG_Criteria!$B$55,"NOTE: register rebar differs from schedule by "&amp;TEXT(ABS(BG280-N(BC280))/MAX(N(BC280),1),"0%"),"OK")))</f>
        <v/>
      </c>
      <c r="BI280" s="33" t="str">
        <f aca="false">IF(OR(D280="",E280=""),"",IF(E280&lt;=IF(OR(D280="Block / Segmental",D280="Gabion",D280="Reinforced Earth (MSE)"),SG_Criteria!$B$34,SG_Criteria!$B$33),"No ERSS submission",IF(E280&lt;=SG_Criteria!$B$35,"QP(ST)",IF(E280&lt;=SG_Criteria!$B$36,"QP(ST) + AC","Geotechnical building works: QP(Geo) + AC"))))</f>
        <v/>
      </c>
      <c r="BJ280" s="33" t="str">
        <f aca="false">IF(D280="","",IF(LEN(IF(AND(V280&lt;&gt;"",IFERROR(VALUE(MID(V280,2,2)),0)&lt;SG_Criteria!$B$19),"FAIL: grade below C"&amp;SG_Criteria!$B$19&amp;". ","")&amp;IF(AND(W280&lt;&gt;"",W280&lt;SG_Criteria!$B$20),"FAIL: cover &lt; "&amp;SG_Criteria!$B$20&amp;" mm. ","")&amp;IF(AND(AD280&lt;&gt;"",AD280&lt;1),"FAIL: sliding. ","")&amp;IF(AND(D280="Reverse L-Wall (toe only, at boundary)",N(S280)&gt;0),"NOTE: reverse L-wall should have no heel. ","")&amp;IF(AND(D280="L-Wall (heel only)",N(R280)&gt;0),"NOTE: L-wall should have no toe. ","")&amp;IF(AND(F280&lt;&gt;"",F280&lt;SG_Criteria!$B$31),"NOTE: q below LTA min "&amp;SG_Criteria!$B$31&amp;" kPa (not for LTA works). ",""))=0,"OK",IF(AND(V280&lt;&gt;"",IFERROR(VALUE(MID(V280,2,2)),0)&lt;SG_Criteria!$B$19),"FAIL: grade below C"&amp;SG_Criteria!$B$19&amp;". ","")&amp;IF(AND(W280&lt;&gt;"",W280&lt;SG_Criteria!$B$20),"FAIL: cover &lt; "&amp;SG_Criteria!$B$20&amp;" mm. ","")&amp;IF(AND(AD280&lt;&gt;"",AD280&lt;1),"FAIL: sliding. ","")&amp;IF(AND(D280="Reverse L-Wall (toe only, at boundary)",N(S280)&gt;0),"NOTE: reverse L-wall should have no heel. ","")&amp;IF(AND(D280="L-Wall (heel only)",N(R280)&gt;0),"NOTE: L-wall should have no toe. ","")&amp;IF(AND(F280&lt;&gt;"",F280&lt;SG_Criteria!$B$31),"NOTE: q below LTA min "&amp;SG_Criteria!$B$31&amp;" kPa (not for LTA works). ","")))</f>
        <v/>
      </c>
      <c r="BK280" s="9"/>
      <c r="BL280" s="9"/>
      <c r="BM280" s="9"/>
      <c r="BN280" s="10" t="str">
        <f aca="false">IF(BM280="","",IFERROR(VLOOKUP(BM280,Projects!$A$5:$D$504,2,0),"Ref not in Projects"))</f>
        <v/>
      </c>
      <c r="BO280" s="10" t="str">
        <f aca="false">IF(BM280="","",IFERROR(VLOOKUP(BM280,Projects!$A$5:$D$504,4,0),"Ref not in Projects"))</f>
        <v/>
      </c>
      <c r="BP280" s="9"/>
      <c r="BQ280" s="9"/>
      <c r="BR280" s="9"/>
      <c r="BS280" s="40"/>
      <c r="BT280" s="9"/>
      <c r="BU280" s="40"/>
      <c r="BV280" s="9"/>
      <c r="BW280" s="40"/>
      <c r="BX280" s="9"/>
      <c r="BY280" s="9"/>
      <c r="BZ280" s="9"/>
      <c r="CA280" s="40"/>
      <c r="CB280" s="40"/>
      <c r="CC280" s="36" t="str">
        <f aca="false">IF(CB280="","",EDATE(CB280,SG_Criteria!$B$54*12))</f>
        <v/>
      </c>
      <c r="CD280" s="33" t="str">
        <f aca="true">IF(A280="","",IF(CB280="","NOTE: not reviewed yet",IF(TODAY()&gt;CC280,"NOTE: review overdue","OK")))</f>
        <v/>
      </c>
      <c r="CE280" s="37" t="str">
        <f aca="false">IF(A280="","",ROUND((IF(LEN(D280)&gt;0,1,0)+IF(LEN(E280)&gt;0,1,0)+IF(LEN(F280)&gt;0,1,0)+IF(LEN(G280)&gt;0,1,0)+IF(LEN(I280)&gt;0,1,0)+IF(LEN(K280)&gt;0,1,0)+IF(LEN(P280)&gt;0,1,0)+IF(LEN(Q280)&gt;0,1,0)+IF(LEN(T280)&gt;0,1,0)+IF(LEN(V280)&gt;0,1,0)+IF(LEN(W280)&gt;0,1,0)+IF(LEN(X280)&gt;0,1,0)+IF(LEN(Z280)&gt;0,1,0)+IF(LEN(AD280)&gt;0,1,0)+IF(LEN(AE280)&gt;0,1,0)+IF(LEN(AG280)&gt;0,1,0)+IF(LEN(AI280)&gt;0,1,0)+IF(LEN(BB280)&gt;0,1,0)+IF(LEN(BC280)&gt;0,1,0)+IF(LEN(AM280)&gt;0,1,0)+IF(LEN(AO280)&gt;0,1,0)+IF(LEN(AP280)&gt;0,1,0)+IF(LEN(AQ280)&gt;0,1,0)+IF(LEN(AR280)&gt;0,1,0)+IF(LEN(BA280)&gt;0,1,0)+IF(LEN(BM280)&gt;0,1,0)+IF(LEN(BZ280)&gt;0,1,0))/27,2))</f>
        <v/>
      </c>
      <c r="CF280" s="10" t="str">
        <f aca="false">IF(D280="","",IF(AND(AP280="Approved",ISERROR(SEARCH("FAIL",BJ280))),"Y","N"))</f>
        <v/>
      </c>
      <c r="CG280" s="10" t="str">
        <f aca="false">IF(D280="","",D280&amp;"|"&amp;E280&amp;"|"&amp;F280&amp;"|"&amp;G280&amp;"|"&amp;CF280)</f>
        <v/>
      </c>
    </row>
    <row r="281" customFormat="false" ht="15" hidden="false" customHeight="false" outlineLevel="0" collapsed="false">
      <c r="A281" s="10" t="str">
        <f aca="false">IF(D281="","","RW-"&amp;IFERROR(VLOOKUP(D281,Lists!$M$4:$N$22,2,0),"??")&amp;"-H"&amp;TEXT(E281*1000,"0000")&amp;"-S"&amp;F281&amp;IF(G281="Y","-GW","")&amp;"-"&amp;AO281)</f>
        <v/>
      </c>
      <c r="B281" s="10" t="str">
        <f aca="false">IF(D281="","",D281&amp;", H = "&amp;TEXT(E281,"0.0")&amp;" m, q = "&amp;F281&amp;" kPa"&amp;IF(G281="Y",", with GWT","")&amp;", "&amp;I281)</f>
        <v/>
      </c>
      <c r="C281" s="9"/>
      <c r="D281" s="9"/>
      <c r="E281" s="39"/>
      <c r="F281" s="38"/>
      <c r="G281" s="9"/>
      <c r="H281" s="38"/>
      <c r="I281" s="9"/>
      <c r="J281" s="38"/>
      <c r="K281" s="38"/>
      <c r="L281" s="38"/>
      <c r="M281" s="42"/>
      <c r="N281" s="9"/>
      <c r="O281" s="38"/>
      <c r="P281" s="38"/>
      <c r="Q281" s="38"/>
      <c r="R281" s="38"/>
      <c r="S281" s="38"/>
      <c r="T281" s="38"/>
      <c r="U281" s="9"/>
      <c r="V281" s="9"/>
      <c r="W281" s="38"/>
      <c r="X281" s="9"/>
      <c r="Y281" s="9"/>
      <c r="Z281" s="9"/>
      <c r="AA281" s="9"/>
      <c r="AB281" s="9"/>
      <c r="AC281" s="9"/>
      <c r="AD281" s="39"/>
      <c r="AE281" s="39"/>
      <c r="AF281" s="39"/>
      <c r="AG281" s="38"/>
      <c r="AH281" s="38"/>
      <c r="AI281" s="9"/>
      <c r="AJ281" s="38"/>
      <c r="AK281" s="9"/>
      <c r="AL281" s="39"/>
      <c r="AM281" s="9"/>
      <c r="AN281" s="9"/>
      <c r="AO281" s="9"/>
      <c r="AP281" s="9"/>
      <c r="AQ281" s="9"/>
      <c r="AR281" s="9"/>
      <c r="AS281" s="9"/>
      <c r="AT281" s="10" t="str">
        <f aca="false">IF(A281="","",SG_Criteria!$B$6&amp;SG_Criteria!$B$8&amp;"\"&amp;A281&amp;"\")</f>
        <v/>
      </c>
      <c r="AU281" s="10" t="str">
        <f aca="false">IF(A281="","",A281&amp;"_CAD.dwg")</f>
        <v/>
      </c>
      <c r="AV281" s="10" t="str">
        <f aca="false">IF(A281="","",A281&amp;"_DWG.pdf")</f>
        <v/>
      </c>
      <c r="AW281" s="10" t="str">
        <f aca="false">IF(A281="","",IF(AS281="Y",A281&amp;"_STAAD.std","n/a"))</f>
        <v/>
      </c>
      <c r="AX281" s="10" t="str">
        <f aca="false">IF(A281="","",A281&amp;"_CALC.xlsx")</f>
        <v/>
      </c>
      <c r="AY281" s="10" t="str">
        <f aca="false">IF(A281="","",A281&amp;"_CALC.pdf")</f>
        <v/>
      </c>
      <c r="AZ281" s="9"/>
      <c r="BA281" s="9"/>
      <c r="BB281" s="39"/>
      <c r="BC281" s="39"/>
      <c r="BD281" s="39"/>
      <c r="BE281" s="39"/>
      <c r="BF281" s="39"/>
      <c r="BG281" s="12" t="str">
        <f aca="false">IF(A281="","",IF(COUNTIF(Rebar_Schedule!$A$5:$A$2004,A281)=0,"",ROUND(SUMIF(Rebar_Schedule!$A$5:$A$2004,A281,Rebar_Schedule!$K$5:$K$2004),1)))</f>
        <v/>
      </c>
      <c r="BH281" s="33" t="str">
        <f aca="false">IF(A281="","",IF(BG281="","No rebar schedule yet",IF(ABS(BG281-N(BC281))/MAX(N(BC281),1)&gt;SG_Criteria!$B$55,"NOTE: register rebar differs from schedule by "&amp;TEXT(ABS(BG281-N(BC281))/MAX(N(BC281),1),"0%"),"OK")))</f>
        <v/>
      </c>
      <c r="BI281" s="33" t="str">
        <f aca="false">IF(OR(D281="",E281=""),"",IF(E281&lt;=IF(OR(D281="Block / Segmental",D281="Gabion",D281="Reinforced Earth (MSE)"),SG_Criteria!$B$34,SG_Criteria!$B$33),"No ERSS submission",IF(E281&lt;=SG_Criteria!$B$35,"QP(ST)",IF(E281&lt;=SG_Criteria!$B$36,"QP(ST) + AC","Geotechnical building works: QP(Geo) + AC"))))</f>
        <v/>
      </c>
      <c r="BJ281" s="33" t="str">
        <f aca="false">IF(D281="","",IF(LEN(IF(AND(V281&lt;&gt;"",IFERROR(VALUE(MID(V281,2,2)),0)&lt;SG_Criteria!$B$19),"FAIL: grade below C"&amp;SG_Criteria!$B$19&amp;". ","")&amp;IF(AND(W281&lt;&gt;"",W281&lt;SG_Criteria!$B$20),"FAIL: cover &lt; "&amp;SG_Criteria!$B$20&amp;" mm. ","")&amp;IF(AND(AD281&lt;&gt;"",AD281&lt;1),"FAIL: sliding. ","")&amp;IF(AND(D281="Reverse L-Wall (toe only, at boundary)",N(S281)&gt;0),"NOTE: reverse L-wall should have no heel. ","")&amp;IF(AND(D281="L-Wall (heel only)",N(R281)&gt;0),"NOTE: L-wall should have no toe. ","")&amp;IF(AND(F281&lt;&gt;"",F281&lt;SG_Criteria!$B$31),"NOTE: q below LTA min "&amp;SG_Criteria!$B$31&amp;" kPa (not for LTA works). ",""))=0,"OK",IF(AND(V281&lt;&gt;"",IFERROR(VALUE(MID(V281,2,2)),0)&lt;SG_Criteria!$B$19),"FAIL: grade below C"&amp;SG_Criteria!$B$19&amp;". ","")&amp;IF(AND(W281&lt;&gt;"",W281&lt;SG_Criteria!$B$20),"FAIL: cover &lt; "&amp;SG_Criteria!$B$20&amp;" mm. ","")&amp;IF(AND(AD281&lt;&gt;"",AD281&lt;1),"FAIL: sliding. ","")&amp;IF(AND(D281="Reverse L-Wall (toe only, at boundary)",N(S281)&gt;0),"NOTE: reverse L-wall should have no heel. ","")&amp;IF(AND(D281="L-Wall (heel only)",N(R281)&gt;0),"NOTE: L-wall should have no toe. ","")&amp;IF(AND(F281&lt;&gt;"",F281&lt;SG_Criteria!$B$31),"NOTE: q below LTA min "&amp;SG_Criteria!$B$31&amp;" kPa (not for LTA works). ","")))</f>
        <v/>
      </c>
      <c r="BK281" s="9"/>
      <c r="BL281" s="9"/>
      <c r="BM281" s="9"/>
      <c r="BN281" s="10" t="str">
        <f aca="false">IF(BM281="","",IFERROR(VLOOKUP(BM281,Projects!$A$5:$D$504,2,0),"Ref not in Projects"))</f>
        <v/>
      </c>
      <c r="BO281" s="10" t="str">
        <f aca="false">IF(BM281="","",IFERROR(VLOOKUP(BM281,Projects!$A$5:$D$504,4,0),"Ref not in Projects"))</f>
        <v/>
      </c>
      <c r="BP281" s="9"/>
      <c r="BQ281" s="9"/>
      <c r="BR281" s="9"/>
      <c r="BS281" s="40"/>
      <c r="BT281" s="9"/>
      <c r="BU281" s="40"/>
      <c r="BV281" s="9"/>
      <c r="BW281" s="40"/>
      <c r="BX281" s="9"/>
      <c r="BY281" s="9"/>
      <c r="BZ281" s="9"/>
      <c r="CA281" s="40"/>
      <c r="CB281" s="40"/>
      <c r="CC281" s="36" t="str">
        <f aca="false">IF(CB281="","",EDATE(CB281,SG_Criteria!$B$54*12))</f>
        <v/>
      </c>
      <c r="CD281" s="33" t="str">
        <f aca="true">IF(A281="","",IF(CB281="","NOTE: not reviewed yet",IF(TODAY()&gt;CC281,"NOTE: review overdue","OK")))</f>
        <v/>
      </c>
      <c r="CE281" s="37" t="str">
        <f aca="false">IF(A281="","",ROUND((IF(LEN(D281)&gt;0,1,0)+IF(LEN(E281)&gt;0,1,0)+IF(LEN(F281)&gt;0,1,0)+IF(LEN(G281)&gt;0,1,0)+IF(LEN(I281)&gt;0,1,0)+IF(LEN(K281)&gt;0,1,0)+IF(LEN(P281)&gt;0,1,0)+IF(LEN(Q281)&gt;0,1,0)+IF(LEN(T281)&gt;0,1,0)+IF(LEN(V281)&gt;0,1,0)+IF(LEN(W281)&gt;0,1,0)+IF(LEN(X281)&gt;0,1,0)+IF(LEN(Z281)&gt;0,1,0)+IF(LEN(AD281)&gt;0,1,0)+IF(LEN(AE281)&gt;0,1,0)+IF(LEN(AG281)&gt;0,1,0)+IF(LEN(AI281)&gt;0,1,0)+IF(LEN(BB281)&gt;0,1,0)+IF(LEN(BC281)&gt;0,1,0)+IF(LEN(AM281)&gt;0,1,0)+IF(LEN(AO281)&gt;0,1,0)+IF(LEN(AP281)&gt;0,1,0)+IF(LEN(AQ281)&gt;0,1,0)+IF(LEN(AR281)&gt;0,1,0)+IF(LEN(BA281)&gt;0,1,0)+IF(LEN(BM281)&gt;0,1,0)+IF(LEN(BZ281)&gt;0,1,0))/27,2))</f>
        <v/>
      </c>
      <c r="CF281" s="10" t="str">
        <f aca="false">IF(D281="","",IF(AND(AP281="Approved",ISERROR(SEARCH("FAIL",BJ281))),"Y","N"))</f>
        <v/>
      </c>
      <c r="CG281" s="10" t="str">
        <f aca="false">IF(D281="","",D281&amp;"|"&amp;E281&amp;"|"&amp;F281&amp;"|"&amp;G281&amp;"|"&amp;CF281)</f>
        <v/>
      </c>
    </row>
    <row r="282" customFormat="false" ht="15" hidden="false" customHeight="false" outlineLevel="0" collapsed="false">
      <c r="A282" s="10" t="str">
        <f aca="false">IF(D282="","","RW-"&amp;IFERROR(VLOOKUP(D282,Lists!$M$4:$N$22,2,0),"??")&amp;"-H"&amp;TEXT(E282*1000,"0000")&amp;"-S"&amp;F282&amp;IF(G282="Y","-GW","")&amp;"-"&amp;AO282)</f>
        <v/>
      </c>
      <c r="B282" s="10" t="str">
        <f aca="false">IF(D282="","",D282&amp;", H = "&amp;TEXT(E282,"0.0")&amp;" m, q = "&amp;F282&amp;" kPa"&amp;IF(G282="Y",", with GWT","")&amp;", "&amp;I282)</f>
        <v/>
      </c>
      <c r="C282" s="9"/>
      <c r="D282" s="9"/>
      <c r="E282" s="39"/>
      <c r="F282" s="38"/>
      <c r="G282" s="9"/>
      <c r="H282" s="38"/>
      <c r="I282" s="9"/>
      <c r="J282" s="38"/>
      <c r="K282" s="38"/>
      <c r="L282" s="38"/>
      <c r="M282" s="42"/>
      <c r="N282" s="9"/>
      <c r="O282" s="38"/>
      <c r="P282" s="38"/>
      <c r="Q282" s="38"/>
      <c r="R282" s="38"/>
      <c r="S282" s="38"/>
      <c r="T282" s="38"/>
      <c r="U282" s="9"/>
      <c r="V282" s="9"/>
      <c r="W282" s="38"/>
      <c r="X282" s="9"/>
      <c r="Y282" s="9"/>
      <c r="Z282" s="9"/>
      <c r="AA282" s="9"/>
      <c r="AB282" s="9"/>
      <c r="AC282" s="9"/>
      <c r="AD282" s="39"/>
      <c r="AE282" s="39"/>
      <c r="AF282" s="39"/>
      <c r="AG282" s="38"/>
      <c r="AH282" s="38"/>
      <c r="AI282" s="9"/>
      <c r="AJ282" s="38"/>
      <c r="AK282" s="9"/>
      <c r="AL282" s="39"/>
      <c r="AM282" s="9"/>
      <c r="AN282" s="9"/>
      <c r="AO282" s="9"/>
      <c r="AP282" s="9"/>
      <c r="AQ282" s="9"/>
      <c r="AR282" s="9"/>
      <c r="AS282" s="9"/>
      <c r="AT282" s="10" t="str">
        <f aca="false">IF(A282="","",SG_Criteria!$B$6&amp;SG_Criteria!$B$8&amp;"\"&amp;A282&amp;"\")</f>
        <v/>
      </c>
      <c r="AU282" s="10" t="str">
        <f aca="false">IF(A282="","",A282&amp;"_CAD.dwg")</f>
        <v/>
      </c>
      <c r="AV282" s="10" t="str">
        <f aca="false">IF(A282="","",A282&amp;"_DWG.pdf")</f>
        <v/>
      </c>
      <c r="AW282" s="10" t="str">
        <f aca="false">IF(A282="","",IF(AS282="Y",A282&amp;"_STAAD.std","n/a"))</f>
        <v/>
      </c>
      <c r="AX282" s="10" t="str">
        <f aca="false">IF(A282="","",A282&amp;"_CALC.xlsx")</f>
        <v/>
      </c>
      <c r="AY282" s="10" t="str">
        <f aca="false">IF(A282="","",A282&amp;"_CALC.pdf")</f>
        <v/>
      </c>
      <c r="AZ282" s="9"/>
      <c r="BA282" s="9"/>
      <c r="BB282" s="39"/>
      <c r="BC282" s="39"/>
      <c r="BD282" s="39"/>
      <c r="BE282" s="39"/>
      <c r="BF282" s="39"/>
      <c r="BG282" s="12" t="str">
        <f aca="false">IF(A282="","",IF(COUNTIF(Rebar_Schedule!$A$5:$A$2004,A282)=0,"",ROUND(SUMIF(Rebar_Schedule!$A$5:$A$2004,A282,Rebar_Schedule!$K$5:$K$2004),1)))</f>
        <v/>
      </c>
      <c r="BH282" s="33" t="str">
        <f aca="false">IF(A282="","",IF(BG282="","No rebar schedule yet",IF(ABS(BG282-N(BC282))/MAX(N(BC282),1)&gt;SG_Criteria!$B$55,"NOTE: register rebar differs from schedule by "&amp;TEXT(ABS(BG282-N(BC282))/MAX(N(BC282),1),"0%"),"OK")))</f>
        <v/>
      </c>
      <c r="BI282" s="33" t="str">
        <f aca="false">IF(OR(D282="",E282=""),"",IF(E282&lt;=IF(OR(D282="Block / Segmental",D282="Gabion",D282="Reinforced Earth (MSE)"),SG_Criteria!$B$34,SG_Criteria!$B$33),"No ERSS submission",IF(E282&lt;=SG_Criteria!$B$35,"QP(ST)",IF(E282&lt;=SG_Criteria!$B$36,"QP(ST) + AC","Geotechnical building works: QP(Geo) + AC"))))</f>
        <v/>
      </c>
      <c r="BJ282" s="33" t="str">
        <f aca="false">IF(D282="","",IF(LEN(IF(AND(V282&lt;&gt;"",IFERROR(VALUE(MID(V282,2,2)),0)&lt;SG_Criteria!$B$19),"FAIL: grade below C"&amp;SG_Criteria!$B$19&amp;". ","")&amp;IF(AND(W282&lt;&gt;"",W282&lt;SG_Criteria!$B$20),"FAIL: cover &lt; "&amp;SG_Criteria!$B$20&amp;" mm. ","")&amp;IF(AND(AD282&lt;&gt;"",AD282&lt;1),"FAIL: sliding. ","")&amp;IF(AND(D282="Reverse L-Wall (toe only, at boundary)",N(S282)&gt;0),"NOTE: reverse L-wall should have no heel. ","")&amp;IF(AND(D282="L-Wall (heel only)",N(R282)&gt;0),"NOTE: L-wall should have no toe. ","")&amp;IF(AND(F282&lt;&gt;"",F282&lt;SG_Criteria!$B$31),"NOTE: q below LTA min "&amp;SG_Criteria!$B$31&amp;" kPa (not for LTA works). ",""))=0,"OK",IF(AND(V282&lt;&gt;"",IFERROR(VALUE(MID(V282,2,2)),0)&lt;SG_Criteria!$B$19),"FAIL: grade below C"&amp;SG_Criteria!$B$19&amp;". ","")&amp;IF(AND(W282&lt;&gt;"",W282&lt;SG_Criteria!$B$20),"FAIL: cover &lt; "&amp;SG_Criteria!$B$20&amp;" mm. ","")&amp;IF(AND(AD282&lt;&gt;"",AD282&lt;1),"FAIL: sliding. ","")&amp;IF(AND(D282="Reverse L-Wall (toe only, at boundary)",N(S282)&gt;0),"NOTE: reverse L-wall should have no heel. ","")&amp;IF(AND(D282="L-Wall (heel only)",N(R282)&gt;0),"NOTE: L-wall should have no toe. ","")&amp;IF(AND(F282&lt;&gt;"",F282&lt;SG_Criteria!$B$31),"NOTE: q below LTA min "&amp;SG_Criteria!$B$31&amp;" kPa (not for LTA works). ","")))</f>
        <v/>
      </c>
      <c r="BK282" s="9"/>
      <c r="BL282" s="9"/>
      <c r="BM282" s="9"/>
      <c r="BN282" s="10" t="str">
        <f aca="false">IF(BM282="","",IFERROR(VLOOKUP(BM282,Projects!$A$5:$D$504,2,0),"Ref not in Projects"))</f>
        <v/>
      </c>
      <c r="BO282" s="10" t="str">
        <f aca="false">IF(BM282="","",IFERROR(VLOOKUP(BM282,Projects!$A$5:$D$504,4,0),"Ref not in Projects"))</f>
        <v/>
      </c>
      <c r="BP282" s="9"/>
      <c r="BQ282" s="9"/>
      <c r="BR282" s="9"/>
      <c r="BS282" s="40"/>
      <c r="BT282" s="9"/>
      <c r="BU282" s="40"/>
      <c r="BV282" s="9"/>
      <c r="BW282" s="40"/>
      <c r="BX282" s="9"/>
      <c r="BY282" s="9"/>
      <c r="BZ282" s="9"/>
      <c r="CA282" s="40"/>
      <c r="CB282" s="40"/>
      <c r="CC282" s="36" t="str">
        <f aca="false">IF(CB282="","",EDATE(CB282,SG_Criteria!$B$54*12))</f>
        <v/>
      </c>
      <c r="CD282" s="33" t="str">
        <f aca="true">IF(A282="","",IF(CB282="","NOTE: not reviewed yet",IF(TODAY()&gt;CC282,"NOTE: review overdue","OK")))</f>
        <v/>
      </c>
      <c r="CE282" s="37" t="str">
        <f aca="false">IF(A282="","",ROUND((IF(LEN(D282)&gt;0,1,0)+IF(LEN(E282)&gt;0,1,0)+IF(LEN(F282)&gt;0,1,0)+IF(LEN(G282)&gt;0,1,0)+IF(LEN(I282)&gt;0,1,0)+IF(LEN(K282)&gt;0,1,0)+IF(LEN(P282)&gt;0,1,0)+IF(LEN(Q282)&gt;0,1,0)+IF(LEN(T282)&gt;0,1,0)+IF(LEN(V282)&gt;0,1,0)+IF(LEN(W282)&gt;0,1,0)+IF(LEN(X282)&gt;0,1,0)+IF(LEN(Z282)&gt;0,1,0)+IF(LEN(AD282)&gt;0,1,0)+IF(LEN(AE282)&gt;0,1,0)+IF(LEN(AG282)&gt;0,1,0)+IF(LEN(AI282)&gt;0,1,0)+IF(LEN(BB282)&gt;0,1,0)+IF(LEN(BC282)&gt;0,1,0)+IF(LEN(AM282)&gt;0,1,0)+IF(LEN(AO282)&gt;0,1,0)+IF(LEN(AP282)&gt;0,1,0)+IF(LEN(AQ282)&gt;0,1,0)+IF(LEN(AR282)&gt;0,1,0)+IF(LEN(BA282)&gt;0,1,0)+IF(LEN(BM282)&gt;0,1,0)+IF(LEN(BZ282)&gt;0,1,0))/27,2))</f>
        <v/>
      </c>
      <c r="CF282" s="10" t="str">
        <f aca="false">IF(D282="","",IF(AND(AP282="Approved",ISERROR(SEARCH("FAIL",BJ282))),"Y","N"))</f>
        <v/>
      </c>
      <c r="CG282" s="10" t="str">
        <f aca="false">IF(D282="","",D282&amp;"|"&amp;E282&amp;"|"&amp;F282&amp;"|"&amp;G282&amp;"|"&amp;CF282)</f>
        <v/>
      </c>
    </row>
    <row r="283" customFormat="false" ht="15" hidden="false" customHeight="false" outlineLevel="0" collapsed="false">
      <c r="A283" s="10" t="str">
        <f aca="false">IF(D283="","","RW-"&amp;IFERROR(VLOOKUP(D283,Lists!$M$4:$N$22,2,0),"??")&amp;"-H"&amp;TEXT(E283*1000,"0000")&amp;"-S"&amp;F283&amp;IF(G283="Y","-GW","")&amp;"-"&amp;AO283)</f>
        <v/>
      </c>
      <c r="B283" s="10" t="str">
        <f aca="false">IF(D283="","",D283&amp;", H = "&amp;TEXT(E283,"0.0")&amp;" m, q = "&amp;F283&amp;" kPa"&amp;IF(G283="Y",", with GWT","")&amp;", "&amp;I283)</f>
        <v/>
      </c>
      <c r="C283" s="9"/>
      <c r="D283" s="9"/>
      <c r="E283" s="39"/>
      <c r="F283" s="38"/>
      <c r="G283" s="9"/>
      <c r="H283" s="38"/>
      <c r="I283" s="9"/>
      <c r="J283" s="38"/>
      <c r="K283" s="38"/>
      <c r="L283" s="38"/>
      <c r="M283" s="42"/>
      <c r="N283" s="9"/>
      <c r="O283" s="38"/>
      <c r="P283" s="38"/>
      <c r="Q283" s="38"/>
      <c r="R283" s="38"/>
      <c r="S283" s="38"/>
      <c r="T283" s="38"/>
      <c r="U283" s="9"/>
      <c r="V283" s="9"/>
      <c r="W283" s="38"/>
      <c r="X283" s="9"/>
      <c r="Y283" s="9"/>
      <c r="Z283" s="9"/>
      <c r="AA283" s="9"/>
      <c r="AB283" s="9"/>
      <c r="AC283" s="9"/>
      <c r="AD283" s="39"/>
      <c r="AE283" s="39"/>
      <c r="AF283" s="39"/>
      <c r="AG283" s="38"/>
      <c r="AH283" s="38"/>
      <c r="AI283" s="9"/>
      <c r="AJ283" s="38"/>
      <c r="AK283" s="9"/>
      <c r="AL283" s="39"/>
      <c r="AM283" s="9"/>
      <c r="AN283" s="9"/>
      <c r="AO283" s="9"/>
      <c r="AP283" s="9"/>
      <c r="AQ283" s="9"/>
      <c r="AR283" s="9"/>
      <c r="AS283" s="9"/>
      <c r="AT283" s="10" t="str">
        <f aca="false">IF(A283="","",SG_Criteria!$B$6&amp;SG_Criteria!$B$8&amp;"\"&amp;A283&amp;"\")</f>
        <v/>
      </c>
      <c r="AU283" s="10" t="str">
        <f aca="false">IF(A283="","",A283&amp;"_CAD.dwg")</f>
        <v/>
      </c>
      <c r="AV283" s="10" t="str">
        <f aca="false">IF(A283="","",A283&amp;"_DWG.pdf")</f>
        <v/>
      </c>
      <c r="AW283" s="10" t="str">
        <f aca="false">IF(A283="","",IF(AS283="Y",A283&amp;"_STAAD.std","n/a"))</f>
        <v/>
      </c>
      <c r="AX283" s="10" t="str">
        <f aca="false">IF(A283="","",A283&amp;"_CALC.xlsx")</f>
        <v/>
      </c>
      <c r="AY283" s="10" t="str">
        <f aca="false">IF(A283="","",A283&amp;"_CALC.pdf")</f>
        <v/>
      </c>
      <c r="AZ283" s="9"/>
      <c r="BA283" s="9"/>
      <c r="BB283" s="39"/>
      <c r="BC283" s="39"/>
      <c r="BD283" s="39"/>
      <c r="BE283" s="39"/>
      <c r="BF283" s="39"/>
      <c r="BG283" s="12" t="str">
        <f aca="false">IF(A283="","",IF(COUNTIF(Rebar_Schedule!$A$5:$A$2004,A283)=0,"",ROUND(SUMIF(Rebar_Schedule!$A$5:$A$2004,A283,Rebar_Schedule!$K$5:$K$2004),1)))</f>
        <v/>
      </c>
      <c r="BH283" s="33" t="str">
        <f aca="false">IF(A283="","",IF(BG283="","No rebar schedule yet",IF(ABS(BG283-N(BC283))/MAX(N(BC283),1)&gt;SG_Criteria!$B$55,"NOTE: register rebar differs from schedule by "&amp;TEXT(ABS(BG283-N(BC283))/MAX(N(BC283),1),"0%"),"OK")))</f>
        <v/>
      </c>
      <c r="BI283" s="33" t="str">
        <f aca="false">IF(OR(D283="",E283=""),"",IF(E283&lt;=IF(OR(D283="Block / Segmental",D283="Gabion",D283="Reinforced Earth (MSE)"),SG_Criteria!$B$34,SG_Criteria!$B$33),"No ERSS submission",IF(E283&lt;=SG_Criteria!$B$35,"QP(ST)",IF(E283&lt;=SG_Criteria!$B$36,"QP(ST) + AC","Geotechnical building works: QP(Geo) + AC"))))</f>
        <v/>
      </c>
      <c r="BJ283" s="33" t="str">
        <f aca="false">IF(D283="","",IF(LEN(IF(AND(V283&lt;&gt;"",IFERROR(VALUE(MID(V283,2,2)),0)&lt;SG_Criteria!$B$19),"FAIL: grade below C"&amp;SG_Criteria!$B$19&amp;". ","")&amp;IF(AND(W283&lt;&gt;"",W283&lt;SG_Criteria!$B$20),"FAIL: cover &lt; "&amp;SG_Criteria!$B$20&amp;" mm. ","")&amp;IF(AND(AD283&lt;&gt;"",AD283&lt;1),"FAIL: sliding. ","")&amp;IF(AND(D283="Reverse L-Wall (toe only, at boundary)",N(S283)&gt;0),"NOTE: reverse L-wall should have no heel. ","")&amp;IF(AND(D283="L-Wall (heel only)",N(R283)&gt;0),"NOTE: L-wall should have no toe. ","")&amp;IF(AND(F283&lt;&gt;"",F283&lt;SG_Criteria!$B$31),"NOTE: q below LTA min "&amp;SG_Criteria!$B$31&amp;" kPa (not for LTA works). ",""))=0,"OK",IF(AND(V283&lt;&gt;"",IFERROR(VALUE(MID(V283,2,2)),0)&lt;SG_Criteria!$B$19),"FAIL: grade below C"&amp;SG_Criteria!$B$19&amp;". ","")&amp;IF(AND(W283&lt;&gt;"",W283&lt;SG_Criteria!$B$20),"FAIL: cover &lt; "&amp;SG_Criteria!$B$20&amp;" mm. ","")&amp;IF(AND(AD283&lt;&gt;"",AD283&lt;1),"FAIL: sliding. ","")&amp;IF(AND(D283="Reverse L-Wall (toe only, at boundary)",N(S283)&gt;0),"NOTE: reverse L-wall should have no heel. ","")&amp;IF(AND(D283="L-Wall (heel only)",N(R283)&gt;0),"NOTE: L-wall should have no toe. ","")&amp;IF(AND(F283&lt;&gt;"",F283&lt;SG_Criteria!$B$31),"NOTE: q below LTA min "&amp;SG_Criteria!$B$31&amp;" kPa (not for LTA works). ","")))</f>
        <v/>
      </c>
      <c r="BK283" s="9"/>
      <c r="BL283" s="9"/>
      <c r="BM283" s="9"/>
      <c r="BN283" s="10" t="str">
        <f aca="false">IF(BM283="","",IFERROR(VLOOKUP(BM283,Projects!$A$5:$D$504,2,0),"Ref not in Projects"))</f>
        <v/>
      </c>
      <c r="BO283" s="10" t="str">
        <f aca="false">IF(BM283="","",IFERROR(VLOOKUP(BM283,Projects!$A$5:$D$504,4,0),"Ref not in Projects"))</f>
        <v/>
      </c>
      <c r="BP283" s="9"/>
      <c r="BQ283" s="9"/>
      <c r="BR283" s="9"/>
      <c r="BS283" s="40"/>
      <c r="BT283" s="9"/>
      <c r="BU283" s="40"/>
      <c r="BV283" s="9"/>
      <c r="BW283" s="40"/>
      <c r="BX283" s="9"/>
      <c r="BY283" s="9"/>
      <c r="BZ283" s="9"/>
      <c r="CA283" s="40"/>
      <c r="CB283" s="40"/>
      <c r="CC283" s="36" t="str">
        <f aca="false">IF(CB283="","",EDATE(CB283,SG_Criteria!$B$54*12))</f>
        <v/>
      </c>
      <c r="CD283" s="33" t="str">
        <f aca="true">IF(A283="","",IF(CB283="","NOTE: not reviewed yet",IF(TODAY()&gt;CC283,"NOTE: review overdue","OK")))</f>
        <v/>
      </c>
      <c r="CE283" s="37" t="str">
        <f aca="false">IF(A283="","",ROUND((IF(LEN(D283)&gt;0,1,0)+IF(LEN(E283)&gt;0,1,0)+IF(LEN(F283)&gt;0,1,0)+IF(LEN(G283)&gt;0,1,0)+IF(LEN(I283)&gt;0,1,0)+IF(LEN(K283)&gt;0,1,0)+IF(LEN(P283)&gt;0,1,0)+IF(LEN(Q283)&gt;0,1,0)+IF(LEN(T283)&gt;0,1,0)+IF(LEN(V283)&gt;0,1,0)+IF(LEN(W283)&gt;0,1,0)+IF(LEN(X283)&gt;0,1,0)+IF(LEN(Z283)&gt;0,1,0)+IF(LEN(AD283)&gt;0,1,0)+IF(LEN(AE283)&gt;0,1,0)+IF(LEN(AG283)&gt;0,1,0)+IF(LEN(AI283)&gt;0,1,0)+IF(LEN(BB283)&gt;0,1,0)+IF(LEN(BC283)&gt;0,1,0)+IF(LEN(AM283)&gt;0,1,0)+IF(LEN(AO283)&gt;0,1,0)+IF(LEN(AP283)&gt;0,1,0)+IF(LEN(AQ283)&gt;0,1,0)+IF(LEN(AR283)&gt;0,1,0)+IF(LEN(BA283)&gt;0,1,0)+IF(LEN(BM283)&gt;0,1,0)+IF(LEN(BZ283)&gt;0,1,0))/27,2))</f>
        <v/>
      </c>
      <c r="CF283" s="10" t="str">
        <f aca="false">IF(D283="","",IF(AND(AP283="Approved",ISERROR(SEARCH("FAIL",BJ283))),"Y","N"))</f>
        <v/>
      </c>
      <c r="CG283" s="10" t="str">
        <f aca="false">IF(D283="","",D283&amp;"|"&amp;E283&amp;"|"&amp;F283&amp;"|"&amp;G283&amp;"|"&amp;CF283)</f>
        <v/>
      </c>
    </row>
    <row r="284" customFormat="false" ht="15" hidden="false" customHeight="false" outlineLevel="0" collapsed="false">
      <c r="A284" s="10" t="str">
        <f aca="false">IF(D284="","","RW-"&amp;IFERROR(VLOOKUP(D284,Lists!$M$4:$N$22,2,0),"??")&amp;"-H"&amp;TEXT(E284*1000,"0000")&amp;"-S"&amp;F284&amp;IF(G284="Y","-GW","")&amp;"-"&amp;AO284)</f>
        <v/>
      </c>
      <c r="B284" s="10" t="str">
        <f aca="false">IF(D284="","",D284&amp;", H = "&amp;TEXT(E284,"0.0")&amp;" m, q = "&amp;F284&amp;" kPa"&amp;IF(G284="Y",", with GWT","")&amp;", "&amp;I284)</f>
        <v/>
      </c>
      <c r="C284" s="9"/>
      <c r="D284" s="9"/>
      <c r="E284" s="39"/>
      <c r="F284" s="38"/>
      <c r="G284" s="9"/>
      <c r="H284" s="38"/>
      <c r="I284" s="9"/>
      <c r="J284" s="38"/>
      <c r="K284" s="38"/>
      <c r="L284" s="38"/>
      <c r="M284" s="42"/>
      <c r="N284" s="9"/>
      <c r="O284" s="38"/>
      <c r="P284" s="38"/>
      <c r="Q284" s="38"/>
      <c r="R284" s="38"/>
      <c r="S284" s="38"/>
      <c r="T284" s="38"/>
      <c r="U284" s="9"/>
      <c r="V284" s="9"/>
      <c r="W284" s="38"/>
      <c r="X284" s="9"/>
      <c r="Y284" s="9"/>
      <c r="Z284" s="9"/>
      <c r="AA284" s="9"/>
      <c r="AB284" s="9"/>
      <c r="AC284" s="9"/>
      <c r="AD284" s="39"/>
      <c r="AE284" s="39"/>
      <c r="AF284" s="39"/>
      <c r="AG284" s="38"/>
      <c r="AH284" s="38"/>
      <c r="AI284" s="9"/>
      <c r="AJ284" s="38"/>
      <c r="AK284" s="9"/>
      <c r="AL284" s="39"/>
      <c r="AM284" s="9"/>
      <c r="AN284" s="9"/>
      <c r="AO284" s="9"/>
      <c r="AP284" s="9"/>
      <c r="AQ284" s="9"/>
      <c r="AR284" s="9"/>
      <c r="AS284" s="9"/>
      <c r="AT284" s="10" t="str">
        <f aca="false">IF(A284="","",SG_Criteria!$B$6&amp;SG_Criteria!$B$8&amp;"\"&amp;A284&amp;"\")</f>
        <v/>
      </c>
      <c r="AU284" s="10" t="str">
        <f aca="false">IF(A284="","",A284&amp;"_CAD.dwg")</f>
        <v/>
      </c>
      <c r="AV284" s="10" t="str">
        <f aca="false">IF(A284="","",A284&amp;"_DWG.pdf")</f>
        <v/>
      </c>
      <c r="AW284" s="10" t="str">
        <f aca="false">IF(A284="","",IF(AS284="Y",A284&amp;"_STAAD.std","n/a"))</f>
        <v/>
      </c>
      <c r="AX284" s="10" t="str">
        <f aca="false">IF(A284="","",A284&amp;"_CALC.xlsx")</f>
        <v/>
      </c>
      <c r="AY284" s="10" t="str">
        <f aca="false">IF(A284="","",A284&amp;"_CALC.pdf")</f>
        <v/>
      </c>
      <c r="AZ284" s="9"/>
      <c r="BA284" s="9"/>
      <c r="BB284" s="39"/>
      <c r="BC284" s="39"/>
      <c r="BD284" s="39"/>
      <c r="BE284" s="39"/>
      <c r="BF284" s="39"/>
      <c r="BG284" s="12" t="str">
        <f aca="false">IF(A284="","",IF(COUNTIF(Rebar_Schedule!$A$5:$A$2004,A284)=0,"",ROUND(SUMIF(Rebar_Schedule!$A$5:$A$2004,A284,Rebar_Schedule!$K$5:$K$2004),1)))</f>
        <v/>
      </c>
      <c r="BH284" s="33" t="str">
        <f aca="false">IF(A284="","",IF(BG284="","No rebar schedule yet",IF(ABS(BG284-N(BC284))/MAX(N(BC284),1)&gt;SG_Criteria!$B$55,"NOTE: register rebar differs from schedule by "&amp;TEXT(ABS(BG284-N(BC284))/MAX(N(BC284),1),"0%"),"OK")))</f>
        <v/>
      </c>
      <c r="BI284" s="33" t="str">
        <f aca="false">IF(OR(D284="",E284=""),"",IF(E284&lt;=IF(OR(D284="Block / Segmental",D284="Gabion",D284="Reinforced Earth (MSE)"),SG_Criteria!$B$34,SG_Criteria!$B$33),"No ERSS submission",IF(E284&lt;=SG_Criteria!$B$35,"QP(ST)",IF(E284&lt;=SG_Criteria!$B$36,"QP(ST) + AC","Geotechnical building works: QP(Geo) + AC"))))</f>
        <v/>
      </c>
      <c r="BJ284" s="33" t="str">
        <f aca="false">IF(D284="","",IF(LEN(IF(AND(V284&lt;&gt;"",IFERROR(VALUE(MID(V284,2,2)),0)&lt;SG_Criteria!$B$19),"FAIL: grade below C"&amp;SG_Criteria!$B$19&amp;". ","")&amp;IF(AND(W284&lt;&gt;"",W284&lt;SG_Criteria!$B$20),"FAIL: cover &lt; "&amp;SG_Criteria!$B$20&amp;" mm. ","")&amp;IF(AND(AD284&lt;&gt;"",AD284&lt;1),"FAIL: sliding. ","")&amp;IF(AND(D284="Reverse L-Wall (toe only, at boundary)",N(S284)&gt;0),"NOTE: reverse L-wall should have no heel. ","")&amp;IF(AND(D284="L-Wall (heel only)",N(R284)&gt;0),"NOTE: L-wall should have no toe. ","")&amp;IF(AND(F284&lt;&gt;"",F284&lt;SG_Criteria!$B$31),"NOTE: q below LTA min "&amp;SG_Criteria!$B$31&amp;" kPa (not for LTA works). ",""))=0,"OK",IF(AND(V284&lt;&gt;"",IFERROR(VALUE(MID(V284,2,2)),0)&lt;SG_Criteria!$B$19),"FAIL: grade below C"&amp;SG_Criteria!$B$19&amp;". ","")&amp;IF(AND(W284&lt;&gt;"",W284&lt;SG_Criteria!$B$20),"FAIL: cover &lt; "&amp;SG_Criteria!$B$20&amp;" mm. ","")&amp;IF(AND(AD284&lt;&gt;"",AD284&lt;1),"FAIL: sliding. ","")&amp;IF(AND(D284="Reverse L-Wall (toe only, at boundary)",N(S284)&gt;0),"NOTE: reverse L-wall should have no heel. ","")&amp;IF(AND(D284="L-Wall (heel only)",N(R284)&gt;0),"NOTE: L-wall should have no toe. ","")&amp;IF(AND(F284&lt;&gt;"",F284&lt;SG_Criteria!$B$31),"NOTE: q below LTA min "&amp;SG_Criteria!$B$31&amp;" kPa (not for LTA works). ","")))</f>
        <v/>
      </c>
      <c r="BK284" s="9"/>
      <c r="BL284" s="9"/>
      <c r="BM284" s="9"/>
      <c r="BN284" s="10" t="str">
        <f aca="false">IF(BM284="","",IFERROR(VLOOKUP(BM284,Projects!$A$5:$D$504,2,0),"Ref not in Projects"))</f>
        <v/>
      </c>
      <c r="BO284" s="10" t="str">
        <f aca="false">IF(BM284="","",IFERROR(VLOOKUP(BM284,Projects!$A$5:$D$504,4,0),"Ref not in Projects"))</f>
        <v/>
      </c>
      <c r="BP284" s="9"/>
      <c r="BQ284" s="9"/>
      <c r="BR284" s="9"/>
      <c r="BS284" s="40"/>
      <c r="BT284" s="9"/>
      <c r="BU284" s="40"/>
      <c r="BV284" s="9"/>
      <c r="BW284" s="40"/>
      <c r="BX284" s="9"/>
      <c r="BY284" s="9"/>
      <c r="BZ284" s="9"/>
      <c r="CA284" s="40"/>
      <c r="CB284" s="40"/>
      <c r="CC284" s="36" t="str">
        <f aca="false">IF(CB284="","",EDATE(CB284,SG_Criteria!$B$54*12))</f>
        <v/>
      </c>
      <c r="CD284" s="33" t="str">
        <f aca="true">IF(A284="","",IF(CB284="","NOTE: not reviewed yet",IF(TODAY()&gt;CC284,"NOTE: review overdue","OK")))</f>
        <v/>
      </c>
      <c r="CE284" s="37" t="str">
        <f aca="false">IF(A284="","",ROUND((IF(LEN(D284)&gt;0,1,0)+IF(LEN(E284)&gt;0,1,0)+IF(LEN(F284)&gt;0,1,0)+IF(LEN(G284)&gt;0,1,0)+IF(LEN(I284)&gt;0,1,0)+IF(LEN(K284)&gt;0,1,0)+IF(LEN(P284)&gt;0,1,0)+IF(LEN(Q284)&gt;0,1,0)+IF(LEN(T284)&gt;0,1,0)+IF(LEN(V284)&gt;0,1,0)+IF(LEN(W284)&gt;0,1,0)+IF(LEN(X284)&gt;0,1,0)+IF(LEN(Z284)&gt;0,1,0)+IF(LEN(AD284)&gt;0,1,0)+IF(LEN(AE284)&gt;0,1,0)+IF(LEN(AG284)&gt;0,1,0)+IF(LEN(AI284)&gt;0,1,0)+IF(LEN(BB284)&gt;0,1,0)+IF(LEN(BC284)&gt;0,1,0)+IF(LEN(AM284)&gt;0,1,0)+IF(LEN(AO284)&gt;0,1,0)+IF(LEN(AP284)&gt;0,1,0)+IF(LEN(AQ284)&gt;0,1,0)+IF(LEN(AR284)&gt;0,1,0)+IF(LEN(BA284)&gt;0,1,0)+IF(LEN(BM284)&gt;0,1,0)+IF(LEN(BZ284)&gt;0,1,0))/27,2))</f>
        <v/>
      </c>
      <c r="CF284" s="10" t="str">
        <f aca="false">IF(D284="","",IF(AND(AP284="Approved",ISERROR(SEARCH("FAIL",BJ284))),"Y","N"))</f>
        <v/>
      </c>
      <c r="CG284" s="10" t="str">
        <f aca="false">IF(D284="","",D284&amp;"|"&amp;E284&amp;"|"&amp;F284&amp;"|"&amp;G284&amp;"|"&amp;CF284)</f>
        <v/>
      </c>
    </row>
    <row r="285" customFormat="false" ht="15" hidden="false" customHeight="false" outlineLevel="0" collapsed="false">
      <c r="A285" s="10" t="str">
        <f aca="false">IF(D285="","","RW-"&amp;IFERROR(VLOOKUP(D285,Lists!$M$4:$N$22,2,0),"??")&amp;"-H"&amp;TEXT(E285*1000,"0000")&amp;"-S"&amp;F285&amp;IF(G285="Y","-GW","")&amp;"-"&amp;AO285)</f>
        <v/>
      </c>
      <c r="B285" s="10" t="str">
        <f aca="false">IF(D285="","",D285&amp;", H = "&amp;TEXT(E285,"0.0")&amp;" m, q = "&amp;F285&amp;" kPa"&amp;IF(G285="Y",", with GWT","")&amp;", "&amp;I285)</f>
        <v/>
      </c>
      <c r="C285" s="9"/>
      <c r="D285" s="9"/>
      <c r="E285" s="39"/>
      <c r="F285" s="38"/>
      <c r="G285" s="9"/>
      <c r="H285" s="38"/>
      <c r="I285" s="9"/>
      <c r="J285" s="38"/>
      <c r="K285" s="38"/>
      <c r="L285" s="38"/>
      <c r="M285" s="42"/>
      <c r="N285" s="9"/>
      <c r="O285" s="38"/>
      <c r="P285" s="38"/>
      <c r="Q285" s="38"/>
      <c r="R285" s="38"/>
      <c r="S285" s="38"/>
      <c r="T285" s="38"/>
      <c r="U285" s="9"/>
      <c r="V285" s="9"/>
      <c r="W285" s="38"/>
      <c r="X285" s="9"/>
      <c r="Y285" s="9"/>
      <c r="Z285" s="9"/>
      <c r="AA285" s="9"/>
      <c r="AB285" s="9"/>
      <c r="AC285" s="9"/>
      <c r="AD285" s="39"/>
      <c r="AE285" s="39"/>
      <c r="AF285" s="39"/>
      <c r="AG285" s="38"/>
      <c r="AH285" s="38"/>
      <c r="AI285" s="9"/>
      <c r="AJ285" s="38"/>
      <c r="AK285" s="9"/>
      <c r="AL285" s="39"/>
      <c r="AM285" s="9"/>
      <c r="AN285" s="9"/>
      <c r="AO285" s="9"/>
      <c r="AP285" s="9"/>
      <c r="AQ285" s="9"/>
      <c r="AR285" s="9"/>
      <c r="AS285" s="9"/>
      <c r="AT285" s="10" t="str">
        <f aca="false">IF(A285="","",SG_Criteria!$B$6&amp;SG_Criteria!$B$8&amp;"\"&amp;A285&amp;"\")</f>
        <v/>
      </c>
      <c r="AU285" s="10" t="str">
        <f aca="false">IF(A285="","",A285&amp;"_CAD.dwg")</f>
        <v/>
      </c>
      <c r="AV285" s="10" t="str">
        <f aca="false">IF(A285="","",A285&amp;"_DWG.pdf")</f>
        <v/>
      </c>
      <c r="AW285" s="10" t="str">
        <f aca="false">IF(A285="","",IF(AS285="Y",A285&amp;"_STAAD.std","n/a"))</f>
        <v/>
      </c>
      <c r="AX285" s="10" t="str">
        <f aca="false">IF(A285="","",A285&amp;"_CALC.xlsx")</f>
        <v/>
      </c>
      <c r="AY285" s="10" t="str">
        <f aca="false">IF(A285="","",A285&amp;"_CALC.pdf")</f>
        <v/>
      </c>
      <c r="AZ285" s="9"/>
      <c r="BA285" s="9"/>
      <c r="BB285" s="39"/>
      <c r="BC285" s="39"/>
      <c r="BD285" s="39"/>
      <c r="BE285" s="39"/>
      <c r="BF285" s="39"/>
      <c r="BG285" s="12" t="str">
        <f aca="false">IF(A285="","",IF(COUNTIF(Rebar_Schedule!$A$5:$A$2004,A285)=0,"",ROUND(SUMIF(Rebar_Schedule!$A$5:$A$2004,A285,Rebar_Schedule!$K$5:$K$2004),1)))</f>
        <v/>
      </c>
      <c r="BH285" s="33" t="str">
        <f aca="false">IF(A285="","",IF(BG285="","No rebar schedule yet",IF(ABS(BG285-N(BC285))/MAX(N(BC285),1)&gt;SG_Criteria!$B$55,"NOTE: register rebar differs from schedule by "&amp;TEXT(ABS(BG285-N(BC285))/MAX(N(BC285),1),"0%"),"OK")))</f>
        <v/>
      </c>
      <c r="BI285" s="33" t="str">
        <f aca="false">IF(OR(D285="",E285=""),"",IF(E285&lt;=IF(OR(D285="Block / Segmental",D285="Gabion",D285="Reinforced Earth (MSE)"),SG_Criteria!$B$34,SG_Criteria!$B$33),"No ERSS submission",IF(E285&lt;=SG_Criteria!$B$35,"QP(ST)",IF(E285&lt;=SG_Criteria!$B$36,"QP(ST) + AC","Geotechnical building works: QP(Geo) + AC"))))</f>
        <v/>
      </c>
      <c r="BJ285" s="33" t="str">
        <f aca="false">IF(D285="","",IF(LEN(IF(AND(V285&lt;&gt;"",IFERROR(VALUE(MID(V285,2,2)),0)&lt;SG_Criteria!$B$19),"FAIL: grade below C"&amp;SG_Criteria!$B$19&amp;". ","")&amp;IF(AND(W285&lt;&gt;"",W285&lt;SG_Criteria!$B$20),"FAIL: cover &lt; "&amp;SG_Criteria!$B$20&amp;" mm. ","")&amp;IF(AND(AD285&lt;&gt;"",AD285&lt;1),"FAIL: sliding. ","")&amp;IF(AND(D285="Reverse L-Wall (toe only, at boundary)",N(S285)&gt;0),"NOTE: reverse L-wall should have no heel. ","")&amp;IF(AND(D285="L-Wall (heel only)",N(R285)&gt;0),"NOTE: L-wall should have no toe. ","")&amp;IF(AND(F285&lt;&gt;"",F285&lt;SG_Criteria!$B$31),"NOTE: q below LTA min "&amp;SG_Criteria!$B$31&amp;" kPa (not for LTA works). ",""))=0,"OK",IF(AND(V285&lt;&gt;"",IFERROR(VALUE(MID(V285,2,2)),0)&lt;SG_Criteria!$B$19),"FAIL: grade below C"&amp;SG_Criteria!$B$19&amp;". ","")&amp;IF(AND(W285&lt;&gt;"",W285&lt;SG_Criteria!$B$20),"FAIL: cover &lt; "&amp;SG_Criteria!$B$20&amp;" mm. ","")&amp;IF(AND(AD285&lt;&gt;"",AD285&lt;1),"FAIL: sliding. ","")&amp;IF(AND(D285="Reverse L-Wall (toe only, at boundary)",N(S285)&gt;0),"NOTE: reverse L-wall should have no heel. ","")&amp;IF(AND(D285="L-Wall (heel only)",N(R285)&gt;0),"NOTE: L-wall should have no toe. ","")&amp;IF(AND(F285&lt;&gt;"",F285&lt;SG_Criteria!$B$31),"NOTE: q below LTA min "&amp;SG_Criteria!$B$31&amp;" kPa (not for LTA works). ","")))</f>
        <v/>
      </c>
      <c r="BK285" s="9"/>
      <c r="BL285" s="9"/>
      <c r="BM285" s="9"/>
      <c r="BN285" s="10" t="str">
        <f aca="false">IF(BM285="","",IFERROR(VLOOKUP(BM285,Projects!$A$5:$D$504,2,0),"Ref not in Projects"))</f>
        <v/>
      </c>
      <c r="BO285" s="10" t="str">
        <f aca="false">IF(BM285="","",IFERROR(VLOOKUP(BM285,Projects!$A$5:$D$504,4,0),"Ref not in Projects"))</f>
        <v/>
      </c>
      <c r="BP285" s="9"/>
      <c r="BQ285" s="9"/>
      <c r="BR285" s="9"/>
      <c r="BS285" s="40"/>
      <c r="BT285" s="9"/>
      <c r="BU285" s="40"/>
      <c r="BV285" s="9"/>
      <c r="BW285" s="40"/>
      <c r="BX285" s="9"/>
      <c r="BY285" s="9"/>
      <c r="BZ285" s="9"/>
      <c r="CA285" s="40"/>
      <c r="CB285" s="40"/>
      <c r="CC285" s="36" t="str">
        <f aca="false">IF(CB285="","",EDATE(CB285,SG_Criteria!$B$54*12))</f>
        <v/>
      </c>
      <c r="CD285" s="33" t="str">
        <f aca="true">IF(A285="","",IF(CB285="","NOTE: not reviewed yet",IF(TODAY()&gt;CC285,"NOTE: review overdue","OK")))</f>
        <v/>
      </c>
      <c r="CE285" s="37" t="str">
        <f aca="false">IF(A285="","",ROUND((IF(LEN(D285)&gt;0,1,0)+IF(LEN(E285)&gt;0,1,0)+IF(LEN(F285)&gt;0,1,0)+IF(LEN(G285)&gt;0,1,0)+IF(LEN(I285)&gt;0,1,0)+IF(LEN(K285)&gt;0,1,0)+IF(LEN(P285)&gt;0,1,0)+IF(LEN(Q285)&gt;0,1,0)+IF(LEN(T285)&gt;0,1,0)+IF(LEN(V285)&gt;0,1,0)+IF(LEN(W285)&gt;0,1,0)+IF(LEN(X285)&gt;0,1,0)+IF(LEN(Z285)&gt;0,1,0)+IF(LEN(AD285)&gt;0,1,0)+IF(LEN(AE285)&gt;0,1,0)+IF(LEN(AG285)&gt;0,1,0)+IF(LEN(AI285)&gt;0,1,0)+IF(LEN(BB285)&gt;0,1,0)+IF(LEN(BC285)&gt;0,1,0)+IF(LEN(AM285)&gt;0,1,0)+IF(LEN(AO285)&gt;0,1,0)+IF(LEN(AP285)&gt;0,1,0)+IF(LEN(AQ285)&gt;0,1,0)+IF(LEN(AR285)&gt;0,1,0)+IF(LEN(BA285)&gt;0,1,0)+IF(LEN(BM285)&gt;0,1,0)+IF(LEN(BZ285)&gt;0,1,0))/27,2))</f>
        <v/>
      </c>
      <c r="CF285" s="10" t="str">
        <f aca="false">IF(D285="","",IF(AND(AP285="Approved",ISERROR(SEARCH("FAIL",BJ285))),"Y","N"))</f>
        <v/>
      </c>
      <c r="CG285" s="10" t="str">
        <f aca="false">IF(D285="","",D285&amp;"|"&amp;E285&amp;"|"&amp;F285&amp;"|"&amp;G285&amp;"|"&amp;CF285)</f>
        <v/>
      </c>
    </row>
    <row r="286" customFormat="false" ht="15" hidden="false" customHeight="false" outlineLevel="0" collapsed="false">
      <c r="A286" s="10" t="str">
        <f aca="false">IF(D286="","","RW-"&amp;IFERROR(VLOOKUP(D286,Lists!$M$4:$N$22,2,0),"??")&amp;"-H"&amp;TEXT(E286*1000,"0000")&amp;"-S"&amp;F286&amp;IF(G286="Y","-GW","")&amp;"-"&amp;AO286)</f>
        <v/>
      </c>
      <c r="B286" s="10" t="str">
        <f aca="false">IF(D286="","",D286&amp;", H = "&amp;TEXT(E286,"0.0")&amp;" m, q = "&amp;F286&amp;" kPa"&amp;IF(G286="Y",", with GWT","")&amp;", "&amp;I286)</f>
        <v/>
      </c>
      <c r="C286" s="9"/>
      <c r="D286" s="9"/>
      <c r="E286" s="39"/>
      <c r="F286" s="38"/>
      <c r="G286" s="9"/>
      <c r="H286" s="38"/>
      <c r="I286" s="9"/>
      <c r="J286" s="38"/>
      <c r="K286" s="38"/>
      <c r="L286" s="38"/>
      <c r="M286" s="42"/>
      <c r="N286" s="9"/>
      <c r="O286" s="38"/>
      <c r="P286" s="38"/>
      <c r="Q286" s="38"/>
      <c r="R286" s="38"/>
      <c r="S286" s="38"/>
      <c r="T286" s="38"/>
      <c r="U286" s="9"/>
      <c r="V286" s="9"/>
      <c r="W286" s="38"/>
      <c r="X286" s="9"/>
      <c r="Y286" s="9"/>
      <c r="Z286" s="9"/>
      <c r="AA286" s="9"/>
      <c r="AB286" s="9"/>
      <c r="AC286" s="9"/>
      <c r="AD286" s="39"/>
      <c r="AE286" s="39"/>
      <c r="AF286" s="39"/>
      <c r="AG286" s="38"/>
      <c r="AH286" s="38"/>
      <c r="AI286" s="9"/>
      <c r="AJ286" s="38"/>
      <c r="AK286" s="9"/>
      <c r="AL286" s="39"/>
      <c r="AM286" s="9"/>
      <c r="AN286" s="9"/>
      <c r="AO286" s="9"/>
      <c r="AP286" s="9"/>
      <c r="AQ286" s="9"/>
      <c r="AR286" s="9"/>
      <c r="AS286" s="9"/>
      <c r="AT286" s="10" t="str">
        <f aca="false">IF(A286="","",SG_Criteria!$B$6&amp;SG_Criteria!$B$8&amp;"\"&amp;A286&amp;"\")</f>
        <v/>
      </c>
      <c r="AU286" s="10" t="str">
        <f aca="false">IF(A286="","",A286&amp;"_CAD.dwg")</f>
        <v/>
      </c>
      <c r="AV286" s="10" t="str">
        <f aca="false">IF(A286="","",A286&amp;"_DWG.pdf")</f>
        <v/>
      </c>
      <c r="AW286" s="10" t="str">
        <f aca="false">IF(A286="","",IF(AS286="Y",A286&amp;"_STAAD.std","n/a"))</f>
        <v/>
      </c>
      <c r="AX286" s="10" t="str">
        <f aca="false">IF(A286="","",A286&amp;"_CALC.xlsx")</f>
        <v/>
      </c>
      <c r="AY286" s="10" t="str">
        <f aca="false">IF(A286="","",A286&amp;"_CALC.pdf")</f>
        <v/>
      </c>
      <c r="AZ286" s="9"/>
      <c r="BA286" s="9"/>
      <c r="BB286" s="39"/>
      <c r="BC286" s="39"/>
      <c r="BD286" s="39"/>
      <c r="BE286" s="39"/>
      <c r="BF286" s="39"/>
      <c r="BG286" s="12" t="str">
        <f aca="false">IF(A286="","",IF(COUNTIF(Rebar_Schedule!$A$5:$A$2004,A286)=0,"",ROUND(SUMIF(Rebar_Schedule!$A$5:$A$2004,A286,Rebar_Schedule!$K$5:$K$2004),1)))</f>
        <v/>
      </c>
      <c r="BH286" s="33" t="str">
        <f aca="false">IF(A286="","",IF(BG286="","No rebar schedule yet",IF(ABS(BG286-N(BC286))/MAX(N(BC286),1)&gt;SG_Criteria!$B$55,"NOTE: register rebar differs from schedule by "&amp;TEXT(ABS(BG286-N(BC286))/MAX(N(BC286),1),"0%"),"OK")))</f>
        <v/>
      </c>
      <c r="BI286" s="33" t="str">
        <f aca="false">IF(OR(D286="",E286=""),"",IF(E286&lt;=IF(OR(D286="Block / Segmental",D286="Gabion",D286="Reinforced Earth (MSE)"),SG_Criteria!$B$34,SG_Criteria!$B$33),"No ERSS submission",IF(E286&lt;=SG_Criteria!$B$35,"QP(ST)",IF(E286&lt;=SG_Criteria!$B$36,"QP(ST) + AC","Geotechnical building works: QP(Geo) + AC"))))</f>
        <v/>
      </c>
      <c r="BJ286" s="33" t="str">
        <f aca="false">IF(D286="","",IF(LEN(IF(AND(V286&lt;&gt;"",IFERROR(VALUE(MID(V286,2,2)),0)&lt;SG_Criteria!$B$19),"FAIL: grade below C"&amp;SG_Criteria!$B$19&amp;". ","")&amp;IF(AND(W286&lt;&gt;"",W286&lt;SG_Criteria!$B$20),"FAIL: cover &lt; "&amp;SG_Criteria!$B$20&amp;" mm. ","")&amp;IF(AND(AD286&lt;&gt;"",AD286&lt;1),"FAIL: sliding. ","")&amp;IF(AND(D286="Reverse L-Wall (toe only, at boundary)",N(S286)&gt;0),"NOTE: reverse L-wall should have no heel. ","")&amp;IF(AND(D286="L-Wall (heel only)",N(R286)&gt;0),"NOTE: L-wall should have no toe. ","")&amp;IF(AND(F286&lt;&gt;"",F286&lt;SG_Criteria!$B$31),"NOTE: q below LTA min "&amp;SG_Criteria!$B$31&amp;" kPa (not for LTA works). ",""))=0,"OK",IF(AND(V286&lt;&gt;"",IFERROR(VALUE(MID(V286,2,2)),0)&lt;SG_Criteria!$B$19),"FAIL: grade below C"&amp;SG_Criteria!$B$19&amp;". ","")&amp;IF(AND(W286&lt;&gt;"",W286&lt;SG_Criteria!$B$20),"FAIL: cover &lt; "&amp;SG_Criteria!$B$20&amp;" mm. ","")&amp;IF(AND(AD286&lt;&gt;"",AD286&lt;1),"FAIL: sliding. ","")&amp;IF(AND(D286="Reverse L-Wall (toe only, at boundary)",N(S286)&gt;0),"NOTE: reverse L-wall should have no heel. ","")&amp;IF(AND(D286="L-Wall (heel only)",N(R286)&gt;0),"NOTE: L-wall should have no toe. ","")&amp;IF(AND(F286&lt;&gt;"",F286&lt;SG_Criteria!$B$31),"NOTE: q below LTA min "&amp;SG_Criteria!$B$31&amp;" kPa (not for LTA works). ","")))</f>
        <v/>
      </c>
      <c r="BK286" s="9"/>
      <c r="BL286" s="9"/>
      <c r="BM286" s="9"/>
      <c r="BN286" s="10" t="str">
        <f aca="false">IF(BM286="","",IFERROR(VLOOKUP(BM286,Projects!$A$5:$D$504,2,0),"Ref not in Projects"))</f>
        <v/>
      </c>
      <c r="BO286" s="10" t="str">
        <f aca="false">IF(BM286="","",IFERROR(VLOOKUP(BM286,Projects!$A$5:$D$504,4,0),"Ref not in Projects"))</f>
        <v/>
      </c>
      <c r="BP286" s="9"/>
      <c r="BQ286" s="9"/>
      <c r="BR286" s="9"/>
      <c r="BS286" s="40"/>
      <c r="BT286" s="9"/>
      <c r="BU286" s="40"/>
      <c r="BV286" s="9"/>
      <c r="BW286" s="40"/>
      <c r="BX286" s="9"/>
      <c r="BY286" s="9"/>
      <c r="BZ286" s="9"/>
      <c r="CA286" s="40"/>
      <c r="CB286" s="40"/>
      <c r="CC286" s="36" t="str">
        <f aca="false">IF(CB286="","",EDATE(CB286,SG_Criteria!$B$54*12))</f>
        <v/>
      </c>
      <c r="CD286" s="33" t="str">
        <f aca="true">IF(A286="","",IF(CB286="","NOTE: not reviewed yet",IF(TODAY()&gt;CC286,"NOTE: review overdue","OK")))</f>
        <v/>
      </c>
      <c r="CE286" s="37" t="str">
        <f aca="false">IF(A286="","",ROUND((IF(LEN(D286)&gt;0,1,0)+IF(LEN(E286)&gt;0,1,0)+IF(LEN(F286)&gt;0,1,0)+IF(LEN(G286)&gt;0,1,0)+IF(LEN(I286)&gt;0,1,0)+IF(LEN(K286)&gt;0,1,0)+IF(LEN(P286)&gt;0,1,0)+IF(LEN(Q286)&gt;0,1,0)+IF(LEN(T286)&gt;0,1,0)+IF(LEN(V286)&gt;0,1,0)+IF(LEN(W286)&gt;0,1,0)+IF(LEN(X286)&gt;0,1,0)+IF(LEN(Z286)&gt;0,1,0)+IF(LEN(AD286)&gt;0,1,0)+IF(LEN(AE286)&gt;0,1,0)+IF(LEN(AG286)&gt;0,1,0)+IF(LEN(AI286)&gt;0,1,0)+IF(LEN(BB286)&gt;0,1,0)+IF(LEN(BC286)&gt;0,1,0)+IF(LEN(AM286)&gt;0,1,0)+IF(LEN(AO286)&gt;0,1,0)+IF(LEN(AP286)&gt;0,1,0)+IF(LEN(AQ286)&gt;0,1,0)+IF(LEN(AR286)&gt;0,1,0)+IF(LEN(BA286)&gt;0,1,0)+IF(LEN(BM286)&gt;0,1,0)+IF(LEN(BZ286)&gt;0,1,0))/27,2))</f>
        <v/>
      </c>
      <c r="CF286" s="10" t="str">
        <f aca="false">IF(D286="","",IF(AND(AP286="Approved",ISERROR(SEARCH("FAIL",BJ286))),"Y","N"))</f>
        <v/>
      </c>
      <c r="CG286" s="10" t="str">
        <f aca="false">IF(D286="","",D286&amp;"|"&amp;E286&amp;"|"&amp;F286&amp;"|"&amp;G286&amp;"|"&amp;CF286)</f>
        <v/>
      </c>
    </row>
    <row r="287" customFormat="false" ht="15" hidden="false" customHeight="false" outlineLevel="0" collapsed="false">
      <c r="A287" s="10" t="str">
        <f aca="false">IF(D287="","","RW-"&amp;IFERROR(VLOOKUP(D287,Lists!$M$4:$N$22,2,0),"??")&amp;"-H"&amp;TEXT(E287*1000,"0000")&amp;"-S"&amp;F287&amp;IF(G287="Y","-GW","")&amp;"-"&amp;AO287)</f>
        <v/>
      </c>
      <c r="B287" s="10" t="str">
        <f aca="false">IF(D287="","",D287&amp;", H = "&amp;TEXT(E287,"0.0")&amp;" m, q = "&amp;F287&amp;" kPa"&amp;IF(G287="Y",", with GWT","")&amp;", "&amp;I287)</f>
        <v/>
      </c>
      <c r="C287" s="9"/>
      <c r="D287" s="9"/>
      <c r="E287" s="39"/>
      <c r="F287" s="38"/>
      <c r="G287" s="9"/>
      <c r="H287" s="38"/>
      <c r="I287" s="9"/>
      <c r="J287" s="38"/>
      <c r="K287" s="38"/>
      <c r="L287" s="38"/>
      <c r="M287" s="42"/>
      <c r="N287" s="9"/>
      <c r="O287" s="38"/>
      <c r="P287" s="38"/>
      <c r="Q287" s="38"/>
      <c r="R287" s="38"/>
      <c r="S287" s="38"/>
      <c r="T287" s="38"/>
      <c r="U287" s="9"/>
      <c r="V287" s="9"/>
      <c r="W287" s="38"/>
      <c r="X287" s="9"/>
      <c r="Y287" s="9"/>
      <c r="Z287" s="9"/>
      <c r="AA287" s="9"/>
      <c r="AB287" s="9"/>
      <c r="AC287" s="9"/>
      <c r="AD287" s="39"/>
      <c r="AE287" s="39"/>
      <c r="AF287" s="39"/>
      <c r="AG287" s="38"/>
      <c r="AH287" s="38"/>
      <c r="AI287" s="9"/>
      <c r="AJ287" s="38"/>
      <c r="AK287" s="9"/>
      <c r="AL287" s="39"/>
      <c r="AM287" s="9"/>
      <c r="AN287" s="9"/>
      <c r="AO287" s="9"/>
      <c r="AP287" s="9"/>
      <c r="AQ287" s="9"/>
      <c r="AR287" s="9"/>
      <c r="AS287" s="9"/>
      <c r="AT287" s="10" t="str">
        <f aca="false">IF(A287="","",SG_Criteria!$B$6&amp;SG_Criteria!$B$8&amp;"\"&amp;A287&amp;"\")</f>
        <v/>
      </c>
      <c r="AU287" s="10" t="str">
        <f aca="false">IF(A287="","",A287&amp;"_CAD.dwg")</f>
        <v/>
      </c>
      <c r="AV287" s="10" t="str">
        <f aca="false">IF(A287="","",A287&amp;"_DWG.pdf")</f>
        <v/>
      </c>
      <c r="AW287" s="10" t="str">
        <f aca="false">IF(A287="","",IF(AS287="Y",A287&amp;"_STAAD.std","n/a"))</f>
        <v/>
      </c>
      <c r="AX287" s="10" t="str">
        <f aca="false">IF(A287="","",A287&amp;"_CALC.xlsx")</f>
        <v/>
      </c>
      <c r="AY287" s="10" t="str">
        <f aca="false">IF(A287="","",A287&amp;"_CALC.pdf")</f>
        <v/>
      </c>
      <c r="AZ287" s="9"/>
      <c r="BA287" s="9"/>
      <c r="BB287" s="39"/>
      <c r="BC287" s="39"/>
      <c r="BD287" s="39"/>
      <c r="BE287" s="39"/>
      <c r="BF287" s="39"/>
      <c r="BG287" s="12" t="str">
        <f aca="false">IF(A287="","",IF(COUNTIF(Rebar_Schedule!$A$5:$A$2004,A287)=0,"",ROUND(SUMIF(Rebar_Schedule!$A$5:$A$2004,A287,Rebar_Schedule!$K$5:$K$2004),1)))</f>
        <v/>
      </c>
      <c r="BH287" s="33" t="str">
        <f aca="false">IF(A287="","",IF(BG287="","No rebar schedule yet",IF(ABS(BG287-N(BC287))/MAX(N(BC287),1)&gt;SG_Criteria!$B$55,"NOTE: register rebar differs from schedule by "&amp;TEXT(ABS(BG287-N(BC287))/MAX(N(BC287),1),"0%"),"OK")))</f>
        <v/>
      </c>
      <c r="BI287" s="33" t="str">
        <f aca="false">IF(OR(D287="",E287=""),"",IF(E287&lt;=IF(OR(D287="Block / Segmental",D287="Gabion",D287="Reinforced Earth (MSE)"),SG_Criteria!$B$34,SG_Criteria!$B$33),"No ERSS submission",IF(E287&lt;=SG_Criteria!$B$35,"QP(ST)",IF(E287&lt;=SG_Criteria!$B$36,"QP(ST) + AC","Geotechnical building works: QP(Geo) + AC"))))</f>
        <v/>
      </c>
      <c r="BJ287" s="33" t="str">
        <f aca="false">IF(D287="","",IF(LEN(IF(AND(V287&lt;&gt;"",IFERROR(VALUE(MID(V287,2,2)),0)&lt;SG_Criteria!$B$19),"FAIL: grade below C"&amp;SG_Criteria!$B$19&amp;". ","")&amp;IF(AND(W287&lt;&gt;"",W287&lt;SG_Criteria!$B$20),"FAIL: cover &lt; "&amp;SG_Criteria!$B$20&amp;" mm. ","")&amp;IF(AND(AD287&lt;&gt;"",AD287&lt;1),"FAIL: sliding. ","")&amp;IF(AND(D287="Reverse L-Wall (toe only, at boundary)",N(S287)&gt;0),"NOTE: reverse L-wall should have no heel. ","")&amp;IF(AND(D287="L-Wall (heel only)",N(R287)&gt;0),"NOTE: L-wall should have no toe. ","")&amp;IF(AND(F287&lt;&gt;"",F287&lt;SG_Criteria!$B$31),"NOTE: q below LTA min "&amp;SG_Criteria!$B$31&amp;" kPa (not for LTA works). ",""))=0,"OK",IF(AND(V287&lt;&gt;"",IFERROR(VALUE(MID(V287,2,2)),0)&lt;SG_Criteria!$B$19),"FAIL: grade below C"&amp;SG_Criteria!$B$19&amp;". ","")&amp;IF(AND(W287&lt;&gt;"",W287&lt;SG_Criteria!$B$20),"FAIL: cover &lt; "&amp;SG_Criteria!$B$20&amp;" mm. ","")&amp;IF(AND(AD287&lt;&gt;"",AD287&lt;1),"FAIL: sliding. ","")&amp;IF(AND(D287="Reverse L-Wall (toe only, at boundary)",N(S287)&gt;0),"NOTE: reverse L-wall should have no heel. ","")&amp;IF(AND(D287="L-Wall (heel only)",N(R287)&gt;0),"NOTE: L-wall should have no toe. ","")&amp;IF(AND(F287&lt;&gt;"",F287&lt;SG_Criteria!$B$31),"NOTE: q below LTA min "&amp;SG_Criteria!$B$31&amp;" kPa (not for LTA works). ","")))</f>
        <v/>
      </c>
      <c r="BK287" s="9"/>
      <c r="BL287" s="9"/>
      <c r="BM287" s="9"/>
      <c r="BN287" s="10" t="str">
        <f aca="false">IF(BM287="","",IFERROR(VLOOKUP(BM287,Projects!$A$5:$D$504,2,0),"Ref not in Projects"))</f>
        <v/>
      </c>
      <c r="BO287" s="10" t="str">
        <f aca="false">IF(BM287="","",IFERROR(VLOOKUP(BM287,Projects!$A$5:$D$504,4,0),"Ref not in Projects"))</f>
        <v/>
      </c>
      <c r="BP287" s="9"/>
      <c r="BQ287" s="9"/>
      <c r="BR287" s="9"/>
      <c r="BS287" s="40"/>
      <c r="BT287" s="9"/>
      <c r="BU287" s="40"/>
      <c r="BV287" s="9"/>
      <c r="BW287" s="40"/>
      <c r="BX287" s="9"/>
      <c r="BY287" s="9"/>
      <c r="BZ287" s="9"/>
      <c r="CA287" s="40"/>
      <c r="CB287" s="40"/>
      <c r="CC287" s="36" t="str">
        <f aca="false">IF(CB287="","",EDATE(CB287,SG_Criteria!$B$54*12))</f>
        <v/>
      </c>
      <c r="CD287" s="33" t="str">
        <f aca="true">IF(A287="","",IF(CB287="","NOTE: not reviewed yet",IF(TODAY()&gt;CC287,"NOTE: review overdue","OK")))</f>
        <v/>
      </c>
      <c r="CE287" s="37" t="str">
        <f aca="false">IF(A287="","",ROUND((IF(LEN(D287)&gt;0,1,0)+IF(LEN(E287)&gt;0,1,0)+IF(LEN(F287)&gt;0,1,0)+IF(LEN(G287)&gt;0,1,0)+IF(LEN(I287)&gt;0,1,0)+IF(LEN(K287)&gt;0,1,0)+IF(LEN(P287)&gt;0,1,0)+IF(LEN(Q287)&gt;0,1,0)+IF(LEN(T287)&gt;0,1,0)+IF(LEN(V287)&gt;0,1,0)+IF(LEN(W287)&gt;0,1,0)+IF(LEN(X287)&gt;0,1,0)+IF(LEN(Z287)&gt;0,1,0)+IF(LEN(AD287)&gt;0,1,0)+IF(LEN(AE287)&gt;0,1,0)+IF(LEN(AG287)&gt;0,1,0)+IF(LEN(AI287)&gt;0,1,0)+IF(LEN(BB287)&gt;0,1,0)+IF(LEN(BC287)&gt;0,1,0)+IF(LEN(AM287)&gt;0,1,0)+IF(LEN(AO287)&gt;0,1,0)+IF(LEN(AP287)&gt;0,1,0)+IF(LEN(AQ287)&gt;0,1,0)+IF(LEN(AR287)&gt;0,1,0)+IF(LEN(BA287)&gt;0,1,0)+IF(LEN(BM287)&gt;0,1,0)+IF(LEN(BZ287)&gt;0,1,0))/27,2))</f>
        <v/>
      </c>
      <c r="CF287" s="10" t="str">
        <f aca="false">IF(D287="","",IF(AND(AP287="Approved",ISERROR(SEARCH("FAIL",BJ287))),"Y","N"))</f>
        <v/>
      </c>
      <c r="CG287" s="10" t="str">
        <f aca="false">IF(D287="","",D287&amp;"|"&amp;E287&amp;"|"&amp;F287&amp;"|"&amp;G287&amp;"|"&amp;CF287)</f>
        <v/>
      </c>
    </row>
    <row r="288" customFormat="false" ht="15" hidden="false" customHeight="false" outlineLevel="0" collapsed="false">
      <c r="A288" s="10" t="str">
        <f aca="false">IF(D288="","","RW-"&amp;IFERROR(VLOOKUP(D288,Lists!$M$4:$N$22,2,0),"??")&amp;"-H"&amp;TEXT(E288*1000,"0000")&amp;"-S"&amp;F288&amp;IF(G288="Y","-GW","")&amp;"-"&amp;AO288)</f>
        <v/>
      </c>
      <c r="B288" s="10" t="str">
        <f aca="false">IF(D288="","",D288&amp;", H = "&amp;TEXT(E288,"0.0")&amp;" m, q = "&amp;F288&amp;" kPa"&amp;IF(G288="Y",", with GWT","")&amp;", "&amp;I288)</f>
        <v/>
      </c>
      <c r="C288" s="9"/>
      <c r="D288" s="9"/>
      <c r="E288" s="39"/>
      <c r="F288" s="38"/>
      <c r="G288" s="9"/>
      <c r="H288" s="38"/>
      <c r="I288" s="9"/>
      <c r="J288" s="38"/>
      <c r="K288" s="38"/>
      <c r="L288" s="38"/>
      <c r="M288" s="42"/>
      <c r="N288" s="9"/>
      <c r="O288" s="38"/>
      <c r="P288" s="38"/>
      <c r="Q288" s="38"/>
      <c r="R288" s="38"/>
      <c r="S288" s="38"/>
      <c r="T288" s="38"/>
      <c r="U288" s="9"/>
      <c r="V288" s="9"/>
      <c r="W288" s="38"/>
      <c r="X288" s="9"/>
      <c r="Y288" s="9"/>
      <c r="Z288" s="9"/>
      <c r="AA288" s="9"/>
      <c r="AB288" s="9"/>
      <c r="AC288" s="9"/>
      <c r="AD288" s="39"/>
      <c r="AE288" s="39"/>
      <c r="AF288" s="39"/>
      <c r="AG288" s="38"/>
      <c r="AH288" s="38"/>
      <c r="AI288" s="9"/>
      <c r="AJ288" s="38"/>
      <c r="AK288" s="9"/>
      <c r="AL288" s="39"/>
      <c r="AM288" s="9"/>
      <c r="AN288" s="9"/>
      <c r="AO288" s="9"/>
      <c r="AP288" s="9"/>
      <c r="AQ288" s="9"/>
      <c r="AR288" s="9"/>
      <c r="AS288" s="9"/>
      <c r="AT288" s="10" t="str">
        <f aca="false">IF(A288="","",SG_Criteria!$B$6&amp;SG_Criteria!$B$8&amp;"\"&amp;A288&amp;"\")</f>
        <v/>
      </c>
      <c r="AU288" s="10" t="str">
        <f aca="false">IF(A288="","",A288&amp;"_CAD.dwg")</f>
        <v/>
      </c>
      <c r="AV288" s="10" t="str">
        <f aca="false">IF(A288="","",A288&amp;"_DWG.pdf")</f>
        <v/>
      </c>
      <c r="AW288" s="10" t="str">
        <f aca="false">IF(A288="","",IF(AS288="Y",A288&amp;"_STAAD.std","n/a"))</f>
        <v/>
      </c>
      <c r="AX288" s="10" t="str">
        <f aca="false">IF(A288="","",A288&amp;"_CALC.xlsx")</f>
        <v/>
      </c>
      <c r="AY288" s="10" t="str">
        <f aca="false">IF(A288="","",A288&amp;"_CALC.pdf")</f>
        <v/>
      </c>
      <c r="AZ288" s="9"/>
      <c r="BA288" s="9"/>
      <c r="BB288" s="39"/>
      <c r="BC288" s="39"/>
      <c r="BD288" s="39"/>
      <c r="BE288" s="39"/>
      <c r="BF288" s="39"/>
      <c r="BG288" s="12" t="str">
        <f aca="false">IF(A288="","",IF(COUNTIF(Rebar_Schedule!$A$5:$A$2004,A288)=0,"",ROUND(SUMIF(Rebar_Schedule!$A$5:$A$2004,A288,Rebar_Schedule!$K$5:$K$2004),1)))</f>
        <v/>
      </c>
      <c r="BH288" s="33" t="str">
        <f aca="false">IF(A288="","",IF(BG288="","No rebar schedule yet",IF(ABS(BG288-N(BC288))/MAX(N(BC288),1)&gt;SG_Criteria!$B$55,"NOTE: register rebar differs from schedule by "&amp;TEXT(ABS(BG288-N(BC288))/MAX(N(BC288),1),"0%"),"OK")))</f>
        <v/>
      </c>
      <c r="BI288" s="33" t="str">
        <f aca="false">IF(OR(D288="",E288=""),"",IF(E288&lt;=IF(OR(D288="Block / Segmental",D288="Gabion",D288="Reinforced Earth (MSE)"),SG_Criteria!$B$34,SG_Criteria!$B$33),"No ERSS submission",IF(E288&lt;=SG_Criteria!$B$35,"QP(ST)",IF(E288&lt;=SG_Criteria!$B$36,"QP(ST) + AC","Geotechnical building works: QP(Geo) + AC"))))</f>
        <v/>
      </c>
      <c r="BJ288" s="33" t="str">
        <f aca="false">IF(D288="","",IF(LEN(IF(AND(V288&lt;&gt;"",IFERROR(VALUE(MID(V288,2,2)),0)&lt;SG_Criteria!$B$19),"FAIL: grade below C"&amp;SG_Criteria!$B$19&amp;". ","")&amp;IF(AND(W288&lt;&gt;"",W288&lt;SG_Criteria!$B$20),"FAIL: cover &lt; "&amp;SG_Criteria!$B$20&amp;" mm. ","")&amp;IF(AND(AD288&lt;&gt;"",AD288&lt;1),"FAIL: sliding. ","")&amp;IF(AND(D288="Reverse L-Wall (toe only, at boundary)",N(S288)&gt;0),"NOTE: reverse L-wall should have no heel. ","")&amp;IF(AND(D288="L-Wall (heel only)",N(R288)&gt;0),"NOTE: L-wall should have no toe. ","")&amp;IF(AND(F288&lt;&gt;"",F288&lt;SG_Criteria!$B$31),"NOTE: q below LTA min "&amp;SG_Criteria!$B$31&amp;" kPa (not for LTA works). ",""))=0,"OK",IF(AND(V288&lt;&gt;"",IFERROR(VALUE(MID(V288,2,2)),0)&lt;SG_Criteria!$B$19),"FAIL: grade below C"&amp;SG_Criteria!$B$19&amp;". ","")&amp;IF(AND(W288&lt;&gt;"",W288&lt;SG_Criteria!$B$20),"FAIL: cover &lt; "&amp;SG_Criteria!$B$20&amp;" mm. ","")&amp;IF(AND(AD288&lt;&gt;"",AD288&lt;1),"FAIL: sliding. ","")&amp;IF(AND(D288="Reverse L-Wall (toe only, at boundary)",N(S288)&gt;0),"NOTE: reverse L-wall should have no heel. ","")&amp;IF(AND(D288="L-Wall (heel only)",N(R288)&gt;0),"NOTE: L-wall should have no toe. ","")&amp;IF(AND(F288&lt;&gt;"",F288&lt;SG_Criteria!$B$31),"NOTE: q below LTA min "&amp;SG_Criteria!$B$31&amp;" kPa (not for LTA works). ","")))</f>
        <v/>
      </c>
      <c r="BK288" s="9"/>
      <c r="BL288" s="9"/>
      <c r="BM288" s="9"/>
      <c r="BN288" s="10" t="str">
        <f aca="false">IF(BM288="","",IFERROR(VLOOKUP(BM288,Projects!$A$5:$D$504,2,0),"Ref not in Projects"))</f>
        <v/>
      </c>
      <c r="BO288" s="10" t="str">
        <f aca="false">IF(BM288="","",IFERROR(VLOOKUP(BM288,Projects!$A$5:$D$504,4,0),"Ref not in Projects"))</f>
        <v/>
      </c>
      <c r="BP288" s="9"/>
      <c r="BQ288" s="9"/>
      <c r="BR288" s="9"/>
      <c r="BS288" s="40"/>
      <c r="BT288" s="9"/>
      <c r="BU288" s="40"/>
      <c r="BV288" s="9"/>
      <c r="BW288" s="40"/>
      <c r="BX288" s="9"/>
      <c r="BY288" s="9"/>
      <c r="BZ288" s="9"/>
      <c r="CA288" s="40"/>
      <c r="CB288" s="40"/>
      <c r="CC288" s="36" t="str">
        <f aca="false">IF(CB288="","",EDATE(CB288,SG_Criteria!$B$54*12))</f>
        <v/>
      </c>
      <c r="CD288" s="33" t="str">
        <f aca="true">IF(A288="","",IF(CB288="","NOTE: not reviewed yet",IF(TODAY()&gt;CC288,"NOTE: review overdue","OK")))</f>
        <v/>
      </c>
      <c r="CE288" s="37" t="str">
        <f aca="false">IF(A288="","",ROUND((IF(LEN(D288)&gt;0,1,0)+IF(LEN(E288)&gt;0,1,0)+IF(LEN(F288)&gt;0,1,0)+IF(LEN(G288)&gt;0,1,0)+IF(LEN(I288)&gt;0,1,0)+IF(LEN(K288)&gt;0,1,0)+IF(LEN(P288)&gt;0,1,0)+IF(LEN(Q288)&gt;0,1,0)+IF(LEN(T288)&gt;0,1,0)+IF(LEN(V288)&gt;0,1,0)+IF(LEN(W288)&gt;0,1,0)+IF(LEN(X288)&gt;0,1,0)+IF(LEN(Z288)&gt;0,1,0)+IF(LEN(AD288)&gt;0,1,0)+IF(LEN(AE288)&gt;0,1,0)+IF(LEN(AG288)&gt;0,1,0)+IF(LEN(AI288)&gt;0,1,0)+IF(LEN(BB288)&gt;0,1,0)+IF(LEN(BC288)&gt;0,1,0)+IF(LEN(AM288)&gt;0,1,0)+IF(LEN(AO288)&gt;0,1,0)+IF(LEN(AP288)&gt;0,1,0)+IF(LEN(AQ288)&gt;0,1,0)+IF(LEN(AR288)&gt;0,1,0)+IF(LEN(BA288)&gt;0,1,0)+IF(LEN(BM288)&gt;0,1,0)+IF(LEN(BZ288)&gt;0,1,0))/27,2))</f>
        <v/>
      </c>
      <c r="CF288" s="10" t="str">
        <f aca="false">IF(D288="","",IF(AND(AP288="Approved",ISERROR(SEARCH("FAIL",BJ288))),"Y","N"))</f>
        <v/>
      </c>
      <c r="CG288" s="10" t="str">
        <f aca="false">IF(D288="","",D288&amp;"|"&amp;E288&amp;"|"&amp;F288&amp;"|"&amp;G288&amp;"|"&amp;CF288)</f>
        <v/>
      </c>
    </row>
    <row r="289" customFormat="false" ht="15" hidden="false" customHeight="false" outlineLevel="0" collapsed="false">
      <c r="A289" s="10" t="str">
        <f aca="false">IF(D289="","","RW-"&amp;IFERROR(VLOOKUP(D289,Lists!$M$4:$N$22,2,0),"??")&amp;"-H"&amp;TEXT(E289*1000,"0000")&amp;"-S"&amp;F289&amp;IF(G289="Y","-GW","")&amp;"-"&amp;AO289)</f>
        <v/>
      </c>
      <c r="B289" s="10" t="str">
        <f aca="false">IF(D289="","",D289&amp;", H = "&amp;TEXT(E289,"0.0")&amp;" m, q = "&amp;F289&amp;" kPa"&amp;IF(G289="Y",", with GWT","")&amp;", "&amp;I289)</f>
        <v/>
      </c>
      <c r="C289" s="9"/>
      <c r="D289" s="9"/>
      <c r="E289" s="39"/>
      <c r="F289" s="38"/>
      <c r="G289" s="9"/>
      <c r="H289" s="38"/>
      <c r="I289" s="9"/>
      <c r="J289" s="38"/>
      <c r="K289" s="38"/>
      <c r="L289" s="38"/>
      <c r="M289" s="42"/>
      <c r="N289" s="9"/>
      <c r="O289" s="38"/>
      <c r="P289" s="38"/>
      <c r="Q289" s="38"/>
      <c r="R289" s="38"/>
      <c r="S289" s="38"/>
      <c r="T289" s="38"/>
      <c r="U289" s="9"/>
      <c r="V289" s="9"/>
      <c r="W289" s="38"/>
      <c r="X289" s="9"/>
      <c r="Y289" s="9"/>
      <c r="Z289" s="9"/>
      <c r="AA289" s="9"/>
      <c r="AB289" s="9"/>
      <c r="AC289" s="9"/>
      <c r="AD289" s="39"/>
      <c r="AE289" s="39"/>
      <c r="AF289" s="39"/>
      <c r="AG289" s="38"/>
      <c r="AH289" s="38"/>
      <c r="AI289" s="9"/>
      <c r="AJ289" s="38"/>
      <c r="AK289" s="9"/>
      <c r="AL289" s="39"/>
      <c r="AM289" s="9"/>
      <c r="AN289" s="9"/>
      <c r="AO289" s="9"/>
      <c r="AP289" s="9"/>
      <c r="AQ289" s="9"/>
      <c r="AR289" s="9"/>
      <c r="AS289" s="9"/>
      <c r="AT289" s="10" t="str">
        <f aca="false">IF(A289="","",SG_Criteria!$B$6&amp;SG_Criteria!$B$8&amp;"\"&amp;A289&amp;"\")</f>
        <v/>
      </c>
      <c r="AU289" s="10" t="str">
        <f aca="false">IF(A289="","",A289&amp;"_CAD.dwg")</f>
        <v/>
      </c>
      <c r="AV289" s="10" t="str">
        <f aca="false">IF(A289="","",A289&amp;"_DWG.pdf")</f>
        <v/>
      </c>
      <c r="AW289" s="10" t="str">
        <f aca="false">IF(A289="","",IF(AS289="Y",A289&amp;"_STAAD.std","n/a"))</f>
        <v/>
      </c>
      <c r="AX289" s="10" t="str">
        <f aca="false">IF(A289="","",A289&amp;"_CALC.xlsx")</f>
        <v/>
      </c>
      <c r="AY289" s="10" t="str">
        <f aca="false">IF(A289="","",A289&amp;"_CALC.pdf")</f>
        <v/>
      </c>
      <c r="AZ289" s="9"/>
      <c r="BA289" s="9"/>
      <c r="BB289" s="39"/>
      <c r="BC289" s="39"/>
      <c r="BD289" s="39"/>
      <c r="BE289" s="39"/>
      <c r="BF289" s="39"/>
      <c r="BG289" s="12" t="str">
        <f aca="false">IF(A289="","",IF(COUNTIF(Rebar_Schedule!$A$5:$A$2004,A289)=0,"",ROUND(SUMIF(Rebar_Schedule!$A$5:$A$2004,A289,Rebar_Schedule!$K$5:$K$2004),1)))</f>
        <v/>
      </c>
      <c r="BH289" s="33" t="str">
        <f aca="false">IF(A289="","",IF(BG289="","No rebar schedule yet",IF(ABS(BG289-N(BC289))/MAX(N(BC289),1)&gt;SG_Criteria!$B$55,"NOTE: register rebar differs from schedule by "&amp;TEXT(ABS(BG289-N(BC289))/MAX(N(BC289),1),"0%"),"OK")))</f>
        <v/>
      </c>
      <c r="BI289" s="33" t="str">
        <f aca="false">IF(OR(D289="",E289=""),"",IF(E289&lt;=IF(OR(D289="Block / Segmental",D289="Gabion",D289="Reinforced Earth (MSE)"),SG_Criteria!$B$34,SG_Criteria!$B$33),"No ERSS submission",IF(E289&lt;=SG_Criteria!$B$35,"QP(ST)",IF(E289&lt;=SG_Criteria!$B$36,"QP(ST) + AC","Geotechnical building works: QP(Geo) + AC"))))</f>
        <v/>
      </c>
      <c r="BJ289" s="33" t="str">
        <f aca="false">IF(D289="","",IF(LEN(IF(AND(V289&lt;&gt;"",IFERROR(VALUE(MID(V289,2,2)),0)&lt;SG_Criteria!$B$19),"FAIL: grade below C"&amp;SG_Criteria!$B$19&amp;". ","")&amp;IF(AND(W289&lt;&gt;"",W289&lt;SG_Criteria!$B$20),"FAIL: cover &lt; "&amp;SG_Criteria!$B$20&amp;" mm. ","")&amp;IF(AND(AD289&lt;&gt;"",AD289&lt;1),"FAIL: sliding. ","")&amp;IF(AND(D289="Reverse L-Wall (toe only, at boundary)",N(S289)&gt;0),"NOTE: reverse L-wall should have no heel. ","")&amp;IF(AND(D289="L-Wall (heel only)",N(R289)&gt;0),"NOTE: L-wall should have no toe. ","")&amp;IF(AND(F289&lt;&gt;"",F289&lt;SG_Criteria!$B$31),"NOTE: q below LTA min "&amp;SG_Criteria!$B$31&amp;" kPa (not for LTA works). ",""))=0,"OK",IF(AND(V289&lt;&gt;"",IFERROR(VALUE(MID(V289,2,2)),0)&lt;SG_Criteria!$B$19),"FAIL: grade below C"&amp;SG_Criteria!$B$19&amp;". ","")&amp;IF(AND(W289&lt;&gt;"",W289&lt;SG_Criteria!$B$20),"FAIL: cover &lt; "&amp;SG_Criteria!$B$20&amp;" mm. ","")&amp;IF(AND(AD289&lt;&gt;"",AD289&lt;1),"FAIL: sliding. ","")&amp;IF(AND(D289="Reverse L-Wall (toe only, at boundary)",N(S289)&gt;0),"NOTE: reverse L-wall should have no heel. ","")&amp;IF(AND(D289="L-Wall (heel only)",N(R289)&gt;0),"NOTE: L-wall should have no toe. ","")&amp;IF(AND(F289&lt;&gt;"",F289&lt;SG_Criteria!$B$31),"NOTE: q below LTA min "&amp;SG_Criteria!$B$31&amp;" kPa (not for LTA works). ","")))</f>
        <v/>
      </c>
      <c r="BK289" s="9"/>
      <c r="BL289" s="9"/>
      <c r="BM289" s="9"/>
      <c r="BN289" s="10" t="str">
        <f aca="false">IF(BM289="","",IFERROR(VLOOKUP(BM289,Projects!$A$5:$D$504,2,0),"Ref not in Projects"))</f>
        <v/>
      </c>
      <c r="BO289" s="10" t="str">
        <f aca="false">IF(BM289="","",IFERROR(VLOOKUP(BM289,Projects!$A$5:$D$504,4,0),"Ref not in Projects"))</f>
        <v/>
      </c>
      <c r="BP289" s="9"/>
      <c r="BQ289" s="9"/>
      <c r="BR289" s="9"/>
      <c r="BS289" s="40"/>
      <c r="BT289" s="9"/>
      <c r="BU289" s="40"/>
      <c r="BV289" s="9"/>
      <c r="BW289" s="40"/>
      <c r="BX289" s="9"/>
      <c r="BY289" s="9"/>
      <c r="BZ289" s="9"/>
      <c r="CA289" s="40"/>
      <c r="CB289" s="40"/>
      <c r="CC289" s="36" t="str">
        <f aca="false">IF(CB289="","",EDATE(CB289,SG_Criteria!$B$54*12))</f>
        <v/>
      </c>
      <c r="CD289" s="33" t="str">
        <f aca="true">IF(A289="","",IF(CB289="","NOTE: not reviewed yet",IF(TODAY()&gt;CC289,"NOTE: review overdue","OK")))</f>
        <v/>
      </c>
      <c r="CE289" s="37" t="str">
        <f aca="false">IF(A289="","",ROUND((IF(LEN(D289)&gt;0,1,0)+IF(LEN(E289)&gt;0,1,0)+IF(LEN(F289)&gt;0,1,0)+IF(LEN(G289)&gt;0,1,0)+IF(LEN(I289)&gt;0,1,0)+IF(LEN(K289)&gt;0,1,0)+IF(LEN(P289)&gt;0,1,0)+IF(LEN(Q289)&gt;0,1,0)+IF(LEN(T289)&gt;0,1,0)+IF(LEN(V289)&gt;0,1,0)+IF(LEN(W289)&gt;0,1,0)+IF(LEN(X289)&gt;0,1,0)+IF(LEN(Z289)&gt;0,1,0)+IF(LEN(AD289)&gt;0,1,0)+IF(LEN(AE289)&gt;0,1,0)+IF(LEN(AG289)&gt;0,1,0)+IF(LEN(AI289)&gt;0,1,0)+IF(LEN(BB289)&gt;0,1,0)+IF(LEN(BC289)&gt;0,1,0)+IF(LEN(AM289)&gt;0,1,0)+IF(LEN(AO289)&gt;0,1,0)+IF(LEN(AP289)&gt;0,1,0)+IF(LEN(AQ289)&gt;0,1,0)+IF(LEN(AR289)&gt;0,1,0)+IF(LEN(BA289)&gt;0,1,0)+IF(LEN(BM289)&gt;0,1,0)+IF(LEN(BZ289)&gt;0,1,0))/27,2))</f>
        <v/>
      </c>
      <c r="CF289" s="10" t="str">
        <f aca="false">IF(D289="","",IF(AND(AP289="Approved",ISERROR(SEARCH("FAIL",BJ289))),"Y","N"))</f>
        <v/>
      </c>
      <c r="CG289" s="10" t="str">
        <f aca="false">IF(D289="","",D289&amp;"|"&amp;E289&amp;"|"&amp;F289&amp;"|"&amp;G289&amp;"|"&amp;CF289)</f>
        <v/>
      </c>
    </row>
    <row r="290" customFormat="false" ht="15" hidden="false" customHeight="false" outlineLevel="0" collapsed="false">
      <c r="A290" s="10" t="str">
        <f aca="false">IF(D290="","","RW-"&amp;IFERROR(VLOOKUP(D290,Lists!$M$4:$N$22,2,0),"??")&amp;"-H"&amp;TEXT(E290*1000,"0000")&amp;"-S"&amp;F290&amp;IF(G290="Y","-GW","")&amp;"-"&amp;AO290)</f>
        <v/>
      </c>
      <c r="B290" s="10" t="str">
        <f aca="false">IF(D290="","",D290&amp;", H = "&amp;TEXT(E290,"0.0")&amp;" m, q = "&amp;F290&amp;" kPa"&amp;IF(G290="Y",", with GWT","")&amp;", "&amp;I290)</f>
        <v/>
      </c>
      <c r="C290" s="9"/>
      <c r="D290" s="9"/>
      <c r="E290" s="39"/>
      <c r="F290" s="38"/>
      <c r="G290" s="9"/>
      <c r="H290" s="38"/>
      <c r="I290" s="9"/>
      <c r="J290" s="38"/>
      <c r="K290" s="38"/>
      <c r="L290" s="38"/>
      <c r="M290" s="42"/>
      <c r="N290" s="9"/>
      <c r="O290" s="38"/>
      <c r="P290" s="38"/>
      <c r="Q290" s="38"/>
      <c r="R290" s="38"/>
      <c r="S290" s="38"/>
      <c r="T290" s="38"/>
      <c r="U290" s="9"/>
      <c r="V290" s="9"/>
      <c r="W290" s="38"/>
      <c r="X290" s="9"/>
      <c r="Y290" s="9"/>
      <c r="Z290" s="9"/>
      <c r="AA290" s="9"/>
      <c r="AB290" s="9"/>
      <c r="AC290" s="9"/>
      <c r="AD290" s="39"/>
      <c r="AE290" s="39"/>
      <c r="AF290" s="39"/>
      <c r="AG290" s="38"/>
      <c r="AH290" s="38"/>
      <c r="AI290" s="9"/>
      <c r="AJ290" s="38"/>
      <c r="AK290" s="9"/>
      <c r="AL290" s="39"/>
      <c r="AM290" s="9"/>
      <c r="AN290" s="9"/>
      <c r="AO290" s="9"/>
      <c r="AP290" s="9"/>
      <c r="AQ290" s="9"/>
      <c r="AR290" s="9"/>
      <c r="AS290" s="9"/>
      <c r="AT290" s="10" t="str">
        <f aca="false">IF(A290="","",SG_Criteria!$B$6&amp;SG_Criteria!$B$8&amp;"\"&amp;A290&amp;"\")</f>
        <v/>
      </c>
      <c r="AU290" s="10" t="str">
        <f aca="false">IF(A290="","",A290&amp;"_CAD.dwg")</f>
        <v/>
      </c>
      <c r="AV290" s="10" t="str">
        <f aca="false">IF(A290="","",A290&amp;"_DWG.pdf")</f>
        <v/>
      </c>
      <c r="AW290" s="10" t="str">
        <f aca="false">IF(A290="","",IF(AS290="Y",A290&amp;"_STAAD.std","n/a"))</f>
        <v/>
      </c>
      <c r="AX290" s="10" t="str">
        <f aca="false">IF(A290="","",A290&amp;"_CALC.xlsx")</f>
        <v/>
      </c>
      <c r="AY290" s="10" t="str">
        <f aca="false">IF(A290="","",A290&amp;"_CALC.pdf")</f>
        <v/>
      </c>
      <c r="AZ290" s="9"/>
      <c r="BA290" s="9"/>
      <c r="BB290" s="39"/>
      <c r="BC290" s="39"/>
      <c r="BD290" s="39"/>
      <c r="BE290" s="39"/>
      <c r="BF290" s="39"/>
      <c r="BG290" s="12" t="str">
        <f aca="false">IF(A290="","",IF(COUNTIF(Rebar_Schedule!$A$5:$A$2004,A290)=0,"",ROUND(SUMIF(Rebar_Schedule!$A$5:$A$2004,A290,Rebar_Schedule!$K$5:$K$2004),1)))</f>
        <v/>
      </c>
      <c r="BH290" s="33" t="str">
        <f aca="false">IF(A290="","",IF(BG290="","No rebar schedule yet",IF(ABS(BG290-N(BC290))/MAX(N(BC290),1)&gt;SG_Criteria!$B$55,"NOTE: register rebar differs from schedule by "&amp;TEXT(ABS(BG290-N(BC290))/MAX(N(BC290),1),"0%"),"OK")))</f>
        <v/>
      </c>
      <c r="BI290" s="33" t="str">
        <f aca="false">IF(OR(D290="",E290=""),"",IF(E290&lt;=IF(OR(D290="Block / Segmental",D290="Gabion",D290="Reinforced Earth (MSE)"),SG_Criteria!$B$34,SG_Criteria!$B$33),"No ERSS submission",IF(E290&lt;=SG_Criteria!$B$35,"QP(ST)",IF(E290&lt;=SG_Criteria!$B$36,"QP(ST) + AC","Geotechnical building works: QP(Geo) + AC"))))</f>
        <v/>
      </c>
      <c r="BJ290" s="33" t="str">
        <f aca="false">IF(D290="","",IF(LEN(IF(AND(V290&lt;&gt;"",IFERROR(VALUE(MID(V290,2,2)),0)&lt;SG_Criteria!$B$19),"FAIL: grade below C"&amp;SG_Criteria!$B$19&amp;". ","")&amp;IF(AND(W290&lt;&gt;"",W290&lt;SG_Criteria!$B$20),"FAIL: cover &lt; "&amp;SG_Criteria!$B$20&amp;" mm. ","")&amp;IF(AND(AD290&lt;&gt;"",AD290&lt;1),"FAIL: sliding. ","")&amp;IF(AND(D290="Reverse L-Wall (toe only, at boundary)",N(S290)&gt;0),"NOTE: reverse L-wall should have no heel. ","")&amp;IF(AND(D290="L-Wall (heel only)",N(R290)&gt;0),"NOTE: L-wall should have no toe. ","")&amp;IF(AND(F290&lt;&gt;"",F290&lt;SG_Criteria!$B$31),"NOTE: q below LTA min "&amp;SG_Criteria!$B$31&amp;" kPa (not for LTA works). ",""))=0,"OK",IF(AND(V290&lt;&gt;"",IFERROR(VALUE(MID(V290,2,2)),0)&lt;SG_Criteria!$B$19),"FAIL: grade below C"&amp;SG_Criteria!$B$19&amp;". ","")&amp;IF(AND(W290&lt;&gt;"",W290&lt;SG_Criteria!$B$20),"FAIL: cover &lt; "&amp;SG_Criteria!$B$20&amp;" mm. ","")&amp;IF(AND(AD290&lt;&gt;"",AD290&lt;1),"FAIL: sliding. ","")&amp;IF(AND(D290="Reverse L-Wall (toe only, at boundary)",N(S290)&gt;0),"NOTE: reverse L-wall should have no heel. ","")&amp;IF(AND(D290="L-Wall (heel only)",N(R290)&gt;0),"NOTE: L-wall should have no toe. ","")&amp;IF(AND(F290&lt;&gt;"",F290&lt;SG_Criteria!$B$31),"NOTE: q below LTA min "&amp;SG_Criteria!$B$31&amp;" kPa (not for LTA works). ","")))</f>
        <v/>
      </c>
      <c r="BK290" s="9"/>
      <c r="BL290" s="9"/>
      <c r="BM290" s="9"/>
      <c r="BN290" s="10" t="str">
        <f aca="false">IF(BM290="","",IFERROR(VLOOKUP(BM290,Projects!$A$5:$D$504,2,0),"Ref not in Projects"))</f>
        <v/>
      </c>
      <c r="BO290" s="10" t="str">
        <f aca="false">IF(BM290="","",IFERROR(VLOOKUP(BM290,Projects!$A$5:$D$504,4,0),"Ref not in Projects"))</f>
        <v/>
      </c>
      <c r="BP290" s="9"/>
      <c r="BQ290" s="9"/>
      <c r="BR290" s="9"/>
      <c r="BS290" s="40"/>
      <c r="BT290" s="9"/>
      <c r="BU290" s="40"/>
      <c r="BV290" s="9"/>
      <c r="BW290" s="40"/>
      <c r="BX290" s="9"/>
      <c r="BY290" s="9"/>
      <c r="BZ290" s="9"/>
      <c r="CA290" s="40"/>
      <c r="CB290" s="40"/>
      <c r="CC290" s="36" t="str">
        <f aca="false">IF(CB290="","",EDATE(CB290,SG_Criteria!$B$54*12))</f>
        <v/>
      </c>
      <c r="CD290" s="33" t="str">
        <f aca="true">IF(A290="","",IF(CB290="","NOTE: not reviewed yet",IF(TODAY()&gt;CC290,"NOTE: review overdue","OK")))</f>
        <v/>
      </c>
      <c r="CE290" s="37" t="str">
        <f aca="false">IF(A290="","",ROUND((IF(LEN(D290)&gt;0,1,0)+IF(LEN(E290)&gt;0,1,0)+IF(LEN(F290)&gt;0,1,0)+IF(LEN(G290)&gt;0,1,0)+IF(LEN(I290)&gt;0,1,0)+IF(LEN(K290)&gt;0,1,0)+IF(LEN(P290)&gt;0,1,0)+IF(LEN(Q290)&gt;0,1,0)+IF(LEN(T290)&gt;0,1,0)+IF(LEN(V290)&gt;0,1,0)+IF(LEN(W290)&gt;0,1,0)+IF(LEN(X290)&gt;0,1,0)+IF(LEN(Z290)&gt;0,1,0)+IF(LEN(AD290)&gt;0,1,0)+IF(LEN(AE290)&gt;0,1,0)+IF(LEN(AG290)&gt;0,1,0)+IF(LEN(AI290)&gt;0,1,0)+IF(LEN(BB290)&gt;0,1,0)+IF(LEN(BC290)&gt;0,1,0)+IF(LEN(AM290)&gt;0,1,0)+IF(LEN(AO290)&gt;0,1,0)+IF(LEN(AP290)&gt;0,1,0)+IF(LEN(AQ290)&gt;0,1,0)+IF(LEN(AR290)&gt;0,1,0)+IF(LEN(BA290)&gt;0,1,0)+IF(LEN(BM290)&gt;0,1,0)+IF(LEN(BZ290)&gt;0,1,0))/27,2))</f>
        <v/>
      </c>
      <c r="CF290" s="10" t="str">
        <f aca="false">IF(D290="","",IF(AND(AP290="Approved",ISERROR(SEARCH("FAIL",BJ290))),"Y","N"))</f>
        <v/>
      </c>
      <c r="CG290" s="10" t="str">
        <f aca="false">IF(D290="","",D290&amp;"|"&amp;E290&amp;"|"&amp;F290&amp;"|"&amp;G290&amp;"|"&amp;CF290)</f>
        <v/>
      </c>
    </row>
    <row r="291" customFormat="false" ht="15" hidden="false" customHeight="false" outlineLevel="0" collapsed="false">
      <c r="A291" s="10" t="str">
        <f aca="false">IF(D291="","","RW-"&amp;IFERROR(VLOOKUP(D291,Lists!$M$4:$N$22,2,0),"??")&amp;"-H"&amp;TEXT(E291*1000,"0000")&amp;"-S"&amp;F291&amp;IF(G291="Y","-GW","")&amp;"-"&amp;AO291)</f>
        <v/>
      </c>
      <c r="B291" s="10" t="str">
        <f aca="false">IF(D291="","",D291&amp;", H = "&amp;TEXT(E291,"0.0")&amp;" m, q = "&amp;F291&amp;" kPa"&amp;IF(G291="Y",", with GWT","")&amp;", "&amp;I291)</f>
        <v/>
      </c>
      <c r="C291" s="9"/>
      <c r="D291" s="9"/>
      <c r="E291" s="39"/>
      <c r="F291" s="38"/>
      <c r="G291" s="9"/>
      <c r="H291" s="38"/>
      <c r="I291" s="9"/>
      <c r="J291" s="38"/>
      <c r="K291" s="38"/>
      <c r="L291" s="38"/>
      <c r="M291" s="42"/>
      <c r="N291" s="9"/>
      <c r="O291" s="38"/>
      <c r="P291" s="38"/>
      <c r="Q291" s="38"/>
      <c r="R291" s="38"/>
      <c r="S291" s="38"/>
      <c r="T291" s="38"/>
      <c r="U291" s="9"/>
      <c r="V291" s="9"/>
      <c r="W291" s="38"/>
      <c r="X291" s="9"/>
      <c r="Y291" s="9"/>
      <c r="Z291" s="9"/>
      <c r="AA291" s="9"/>
      <c r="AB291" s="9"/>
      <c r="AC291" s="9"/>
      <c r="AD291" s="39"/>
      <c r="AE291" s="39"/>
      <c r="AF291" s="39"/>
      <c r="AG291" s="38"/>
      <c r="AH291" s="38"/>
      <c r="AI291" s="9"/>
      <c r="AJ291" s="38"/>
      <c r="AK291" s="9"/>
      <c r="AL291" s="39"/>
      <c r="AM291" s="9"/>
      <c r="AN291" s="9"/>
      <c r="AO291" s="9"/>
      <c r="AP291" s="9"/>
      <c r="AQ291" s="9"/>
      <c r="AR291" s="9"/>
      <c r="AS291" s="9"/>
      <c r="AT291" s="10" t="str">
        <f aca="false">IF(A291="","",SG_Criteria!$B$6&amp;SG_Criteria!$B$8&amp;"\"&amp;A291&amp;"\")</f>
        <v/>
      </c>
      <c r="AU291" s="10" t="str">
        <f aca="false">IF(A291="","",A291&amp;"_CAD.dwg")</f>
        <v/>
      </c>
      <c r="AV291" s="10" t="str">
        <f aca="false">IF(A291="","",A291&amp;"_DWG.pdf")</f>
        <v/>
      </c>
      <c r="AW291" s="10" t="str">
        <f aca="false">IF(A291="","",IF(AS291="Y",A291&amp;"_STAAD.std","n/a"))</f>
        <v/>
      </c>
      <c r="AX291" s="10" t="str">
        <f aca="false">IF(A291="","",A291&amp;"_CALC.xlsx")</f>
        <v/>
      </c>
      <c r="AY291" s="10" t="str">
        <f aca="false">IF(A291="","",A291&amp;"_CALC.pdf")</f>
        <v/>
      </c>
      <c r="AZ291" s="9"/>
      <c r="BA291" s="9"/>
      <c r="BB291" s="39"/>
      <c r="BC291" s="39"/>
      <c r="BD291" s="39"/>
      <c r="BE291" s="39"/>
      <c r="BF291" s="39"/>
      <c r="BG291" s="12" t="str">
        <f aca="false">IF(A291="","",IF(COUNTIF(Rebar_Schedule!$A$5:$A$2004,A291)=0,"",ROUND(SUMIF(Rebar_Schedule!$A$5:$A$2004,A291,Rebar_Schedule!$K$5:$K$2004),1)))</f>
        <v/>
      </c>
      <c r="BH291" s="33" t="str">
        <f aca="false">IF(A291="","",IF(BG291="","No rebar schedule yet",IF(ABS(BG291-N(BC291))/MAX(N(BC291),1)&gt;SG_Criteria!$B$55,"NOTE: register rebar differs from schedule by "&amp;TEXT(ABS(BG291-N(BC291))/MAX(N(BC291),1),"0%"),"OK")))</f>
        <v/>
      </c>
      <c r="BI291" s="33" t="str">
        <f aca="false">IF(OR(D291="",E291=""),"",IF(E291&lt;=IF(OR(D291="Block / Segmental",D291="Gabion",D291="Reinforced Earth (MSE)"),SG_Criteria!$B$34,SG_Criteria!$B$33),"No ERSS submission",IF(E291&lt;=SG_Criteria!$B$35,"QP(ST)",IF(E291&lt;=SG_Criteria!$B$36,"QP(ST) + AC","Geotechnical building works: QP(Geo) + AC"))))</f>
        <v/>
      </c>
      <c r="BJ291" s="33" t="str">
        <f aca="false">IF(D291="","",IF(LEN(IF(AND(V291&lt;&gt;"",IFERROR(VALUE(MID(V291,2,2)),0)&lt;SG_Criteria!$B$19),"FAIL: grade below C"&amp;SG_Criteria!$B$19&amp;". ","")&amp;IF(AND(W291&lt;&gt;"",W291&lt;SG_Criteria!$B$20),"FAIL: cover &lt; "&amp;SG_Criteria!$B$20&amp;" mm. ","")&amp;IF(AND(AD291&lt;&gt;"",AD291&lt;1),"FAIL: sliding. ","")&amp;IF(AND(D291="Reverse L-Wall (toe only, at boundary)",N(S291)&gt;0),"NOTE: reverse L-wall should have no heel. ","")&amp;IF(AND(D291="L-Wall (heel only)",N(R291)&gt;0),"NOTE: L-wall should have no toe. ","")&amp;IF(AND(F291&lt;&gt;"",F291&lt;SG_Criteria!$B$31),"NOTE: q below LTA min "&amp;SG_Criteria!$B$31&amp;" kPa (not for LTA works). ",""))=0,"OK",IF(AND(V291&lt;&gt;"",IFERROR(VALUE(MID(V291,2,2)),0)&lt;SG_Criteria!$B$19),"FAIL: grade below C"&amp;SG_Criteria!$B$19&amp;". ","")&amp;IF(AND(W291&lt;&gt;"",W291&lt;SG_Criteria!$B$20),"FAIL: cover &lt; "&amp;SG_Criteria!$B$20&amp;" mm. ","")&amp;IF(AND(AD291&lt;&gt;"",AD291&lt;1),"FAIL: sliding. ","")&amp;IF(AND(D291="Reverse L-Wall (toe only, at boundary)",N(S291)&gt;0),"NOTE: reverse L-wall should have no heel. ","")&amp;IF(AND(D291="L-Wall (heel only)",N(R291)&gt;0),"NOTE: L-wall should have no toe. ","")&amp;IF(AND(F291&lt;&gt;"",F291&lt;SG_Criteria!$B$31),"NOTE: q below LTA min "&amp;SG_Criteria!$B$31&amp;" kPa (not for LTA works). ","")))</f>
        <v/>
      </c>
      <c r="BK291" s="9"/>
      <c r="BL291" s="9"/>
      <c r="BM291" s="9"/>
      <c r="BN291" s="10" t="str">
        <f aca="false">IF(BM291="","",IFERROR(VLOOKUP(BM291,Projects!$A$5:$D$504,2,0),"Ref not in Projects"))</f>
        <v/>
      </c>
      <c r="BO291" s="10" t="str">
        <f aca="false">IF(BM291="","",IFERROR(VLOOKUP(BM291,Projects!$A$5:$D$504,4,0),"Ref not in Projects"))</f>
        <v/>
      </c>
      <c r="BP291" s="9"/>
      <c r="BQ291" s="9"/>
      <c r="BR291" s="9"/>
      <c r="BS291" s="40"/>
      <c r="BT291" s="9"/>
      <c r="BU291" s="40"/>
      <c r="BV291" s="9"/>
      <c r="BW291" s="40"/>
      <c r="BX291" s="9"/>
      <c r="BY291" s="9"/>
      <c r="BZ291" s="9"/>
      <c r="CA291" s="40"/>
      <c r="CB291" s="40"/>
      <c r="CC291" s="36" t="str">
        <f aca="false">IF(CB291="","",EDATE(CB291,SG_Criteria!$B$54*12))</f>
        <v/>
      </c>
      <c r="CD291" s="33" t="str">
        <f aca="true">IF(A291="","",IF(CB291="","NOTE: not reviewed yet",IF(TODAY()&gt;CC291,"NOTE: review overdue","OK")))</f>
        <v/>
      </c>
      <c r="CE291" s="37" t="str">
        <f aca="false">IF(A291="","",ROUND((IF(LEN(D291)&gt;0,1,0)+IF(LEN(E291)&gt;0,1,0)+IF(LEN(F291)&gt;0,1,0)+IF(LEN(G291)&gt;0,1,0)+IF(LEN(I291)&gt;0,1,0)+IF(LEN(K291)&gt;0,1,0)+IF(LEN(P291)&gt;0,1,0)+IF(LEN(Q291)&gt;0,1,0)+IF(LEN(T291)&gt;0,1,0)+IF(LEN(V291)&gt;0,1,0)+IF(LEN(W291)&gt;0,1,0)+IF(LEN(X291)&gt;0,1,0)+IF(LEN(Z291)&gt;0,1,0)+IF(LEN(AD291)&gt;0,1,0)+IF(LEN(AE291)&gt;0,1,0)+IF(LEN(AG291)&gt;0,1,0)+IF(LEN(AI291)&gt;0,1,0)+IF(LEN(BB291)&gt;0,1,0)+IF(LEN(BC291)&gt;0,1,0)+IF(LEN(AM291)&gt;0,1,0)+IF(LEN(AO291)&gt;0,1,0)+IF(LEN(AP291)&gt;0,1,0)+IF(LEN(AQ291)&gt;0,1,0)+IF(LEN(AR291)&gt;0,1,0)+IF(LEN(BA291)&gt;0,1,0)+IF(LEN(BM291)&gt;0,1,0)+IF(LEN(BZ291)&gt;0,1,0))/27,2))</f>
        <v/>
      </c>
      <c r="CF291" s="10" t="str">
        <f aca="false">IF(D291="","",IF(AND(AP291="Approved",ISERROR(SEARCH("FAIL",BJ291))),"Y","N"))</f>
        <v/>
      </c>
      <c r="CG291" s="10" t="str">
        <f aca="false">IF(D291="","",D291&amp;"|"&amp;E291&amp;"|"&amp;F291&amp;"|"&amp;G291&amp;"|"&amp;CF291)</f>
        <v/>
      </c>
    </row>
    <row r="292" customFormat="false" ht="15" hidden="false" customHeight="false" outlineLevel="0" collapsed="false">
      <c r="A292" s="10" t="str">
        <f aca="false">IF(D292="","","RW-"&amp;IFERROR(VLOOKUP(D292,Lists!$M$4:$N$22,2,0),"??")&amp;"-H"&amp;TEXT(E292*1000,"0000")&amp;"-S"&amp;F292&amp;IF(G292="Y","-GW","")&amp;"-"&amp;AO292)</f>
        <v/>
      </c>
      <c r="B292" s="10" t="str">
        <f aca="false">IF(D292="","",D292&amp;", H = "&amp;TEXT(E292,"0.0")&amp;" m, q = "&amp;F292&amp;" kPa"&amp;IF(G292="Y",", with GWT","")&amp;", "&amp;I292)</f>
        <v/>
      </c>
      <c r="C292" s="9"/>
      <c r="D292" s="9"/>
      <c r="E292" s="39"/>
      <c r="F292" s="38"/>
      <c r="G292" s="9"/>
      <c r="H292" s="38"/>
      <c r="I292" s="9"/>
      <c r="J292" s="38"/>
      <c r="K292" s="38"/>
      <c r="L292" s="38"/>
      <c r="M292" s="42"/>
      <c r="N292" s="9"/>
      <c r="O292" s="38"/>
      <c r="P292" s="38"/>
      <c r="Q292" s="38"/>
      <c r="R292" s="38"/>
      <c r="S292" s="38"/>
      <c r="T292" s="38"/>
      <c r="U292" s="9"/>
      <c r="V292" s="9"/>
      <c r="W292" s="38"/>
      <c r="X292" s="9"/>
      <c r="Y292" s="9"/>
      <c r="Z292" s="9"/>
      <c r="AA292" s="9"/>
      <c r="AB292" s="9"/>
      <c r="AC292" s="9"/>
      <c r="AD292" s="39"/>
      <c r="AE292" s="39"/>
      <c r="AF292" s="39"/>
      <c r="AG292" s="38"/>
      <c r="AH292" s="38"/>
      <c r="AI292" s="9"/>
      <c r="AJ292" s="38"/>
      <c r="AK292" s="9"/>
      <c r="AL292" s="39"/>
      <c r="AM292" s="9"/>
      <c r="AN292" s="9"/>
      <c r="AO292" s="9"/>
      <c r="AP292" s="9"/>
      <c r="AQ292" s="9"/>
      <c r="AR292" s="9"/>
      <c r="AS292" s="9"/>
      <c r="AT292" s="10" t="str">
        <f aca="false">IF(A292="","",SG_Criteria!$B$6&amp;SG_Criteria!$B$8&amp;"\"&amp;A292&amp;"\")</f>
        <v/>
      </c>
      <c r="AU292" s="10" t="str">
        <f aca="false">IF(A292="","",A292&amp;"_CAD.dwg")</f>
        <v/>
      </c>
      <c r="AV292" s="10" t="str">
        <f aca="false">IF(A292="","",A292&amp;"_DWG.pdf")</f>
        <v/>
      </c>
      <c r="AW292" s="10" t="str">
        <f aca="false">IF(A292="","",IF(AS292="Y",A292&amp;"_STAAD.std","n/a"))</f>
        <v/>
      </c>
      <c r="AX292" s="10" t="str">
        <f aca="false">IF(A292="","",A292&amp;"_CALC.xlsx")</f>
        <v/>
      </c>
      <c r="AY292" s="10" t="str">
        <f aca="false">IF(A292="","",A292&amp;"_CALC.pdf")</f>
        <v/>
      </c>
      <c r="AZ292" s="9"/>
      <c r="BA292" s="9"/>
      <c r="BB292" s="39"/>
      <c r="BC292" s="39"/>
      <c r="BD292" s="39"/>
      <c r="BE292" s="39"/>
      <c r="BF292" s="39"/>
      <c r="BG292" s="12" t="str">
        <f aca="false">IF(A292="","",IF(COUNTIF(Rebar_Schedule!$A$5:$A$2004,A292)=0,"",ROUND(SUMIF(Rebar_Schedule!$A$5:$A$2004,A292,Rebar_Schedule!$K$5:$K$2004),1)))</f>
        <v/>
      </c>
      <c r="BH292" s="33" t="str">
        <f aca="false">IF(A292="","",IF(BG292="","No rebar schedule yet",IF(ABS(BG292-N(BC292))/MAX(N(BC292),1)&gt;SG_Criteria!$B$55,"NOTE: register rebar differs from schedule by "&amp;TEXT(ABS(BG292-N(BC292))/MAX(N(BC292),1),"0%"),"OK")))</f>
        <v/>
      </c>
      <c r="BI292" s="33" t="str">
        <f aca="false">IF(OR(D292="",E292=""),"",IF(E292&lt;=IF(OR(D292="Block / Segmental",D292="Gabion",D292="Reinforced Earth (MSE)"),SG_Criteria!$B$34,SG_Criteria!$B$33),"No ERSS submission",IF(E292&lt;=SG_Criteria!$B$35,"QP(ST)",IF(E292&lt;=SG_Criteria!$B$36,"QP(ST) + AC","Geotechnical building works: QP(Geo) + AC"))))</f>
        <v/>
      </c>
      <c r="BJ292" s="33" t="str">
        <f aca="false">IF(D292="","",IF(LEN(IF(AND(V292&lt;&gt;"",IFERROR(VALUE(MID(V292,2,2)),0)&lt;SG_Criteria!$B$19),"FAIL: grade below C"&amp;SG_Criteria!$B$19&amp;". ","")&amp;IF(AND(W292&lt;&gt;"",W292&lt;SG_Criteria!$B$20),"FAIL: cover &lt; "&amp;SG_Criteria!$B$20&amp;" mm. ","")&amp;IF(AND(AD292&lt;&gt;"",AD292&lt;1),"FAIL: sliding. ","")&amp;IF(AND(D292="Reverse L-Wall (toe only, at boundary)",N(S292)&gt;0),"NOTE: reverse L-wall should have no heel. ","")&amp;IF(AND(D292="L-Wall (heel only)",N(R292)&gt;0),"NOTE: L-wall should have no toe. ","")&amp;IF(AND(F292&lt;&gt;"",F292&lt;SG_Criteria!$B$31),"NOTE: q below LTA min "&amp;SG_Criteria!$B$31&amp;" kPa (not for LTA works). ",""))=0,"OK",IF(AND(V292&lt;&gt;"",IFERROR(VALUE(MID(V292,2,2)),0)&lt;SG_Criteria!$B$19),"FAIL: grade below C"&amp;SG_Criteria!$B$19&amp;". ","")&amp;IF(AND(W292&lt;&gt;"",W292&lt;SG_Criteria!$B$20),"FAIL: cover &lt; "&amp;SG_Criteria!$B$20&amp;" mm. ","")&amp;IF(AND(AD292&lt;&gt;"",AD292&lt;1),"FAIL: sliding. ","")&amp;IF(AND(D292="Reverse L-Wall (toe only, at boundary)",N(S292)&gt;0),"NOTE: reverse L-wall should have no heel. ","")&amp;IF(AND(D292="L-Wall (heel only)",N(R292)&gt;0),"NOTE: L-wall should have no toe. ","")&amp;IF(AND(F292&lt;&gt;"",F292&lt;SG_Criteria!$B$31),"NOTE: q below LTA min "&amp;SG_Criteria!$B$31&amp;" kPa (not for LTA works). ","")))</f>
        <v/>
      </c>
      <c r="BK292" s="9"/>
      <c r="BL292" s="9"/>
      <c r="BM292" s="9"/>
      <c r="BN292" s="10" t="str">
        <f aca="false">IF(BM292="","",IFERROR(VLOOKUP(BM292,Projects!$A$5:$D$504,2,0),"Ref not in Projects"))</f>
        <v/>
      </c>
      <c r="BO292" s="10" t="str">
        <f aca="false">IF(BM292="","",IFERROR(VLOOKUP(BM292,Projects!$A$5:$D$504,4,0),"Ref not in Projects"))</f>
        <v/>
      </c>
      <c r="BP292" s="9"/>
      <c r="BQ292" s="9"/>
      <c r="BR292" s="9"/>
      <c r="BS292" s="40"/>
      <c r="BT292" s="9"/>
      <c r="BU292" s="40"/>
      <c r="BV292" s="9"/>
      <c r="BW292" s="40"/>
      <c r="BX292" s="9"/>
      <c r="BY292" s="9"/>
      <c r="BZ292" s="9"/>
      <c r="CA292" s="40"/>
      <c r="CB292" s="40"/>
      <c r="CC292" s="36" t="str">
        <f aca="false">IF(CB292="","",EDATE(CB292,SG_Criteria!$B$54*12))</f>
        <v/>
      </c>
      <c r="CD292" s="33" t="str">
        <f aca="true">IF(A292="","",IF(CB292="","NOTE: not reviewed yet",IF(TODAY()&gt;CC292,"NOTE: review overdue","OK")))</f>
        <v/>
      </c>
      <c r="CE292" s="37" t="str">
        <f aca="false">IF(A292="","",ROUND((IF(LEN(D292)&gt;0,1,0)+IF(LEN(E292)&gt;0,1,0)+IF(LEN(F292)&gt;0,1,0)+IF(LEN(G292)&gt;0,1,0)+IF(LEN(I292)&gt;0,1,0)+IF(LEN(K292)&gt;0,1,0)+IF(LEN(P292)&gt;0,1,0)+IF(LEN(Q292)&gt;0,1,0)+IF(LEN(T292)&gt;0,1,0)+IF(LEN(V292)&gt;0,1,0)+IF(LEN(W292)&gt;0,1,0)+IF(LEN(X292)&gt;0,1,0)+IF(LEN(Z292)&gt;0,1,0)+IF(LEN(AD292)&gt;0,1,0)+IF(LEN(AE292)&gt;0,1,0)+IF(LEN(AG292)&gt;0,1,0)+IF(LEN(AI292)&gt;0,1,0)+IF(LEN(BB292)&gt;0,1,0)+IF(LEN(BC292)&gt;0,1,0)+IF(LEN(AM292)&gt;0,1,0)+IF(LEN(AO292)&gt;0,1,0)+IF(LEN(AP292)&gt;0,1,0)+IF(LEN(AQ292)&gt;0,1,0)+IF(LEN(AR292)&gt;0,1,0)+IF(LEN(BA292)&gt;0,1,0)+IF(LEN(BM292)&gt;0,1,0)+IF(LEN(BZ292)&gt;0,1,0))/27,2))</f>
        <v/>
      </c>
      <c r="CF292" s="10" t="str">
        <f aca="false">IF(D292="","",IF(AND(AP292="Approved",ISERROR(SEARCH("FAIL",BJ292))),"Y","N"))</f>
        <v/>
      </c>
      <c r="CG292" s="10" t="str">
        <f aca="false">IF(D292="","",D292&amp;"|"&amp;E292&amp;"|"&amp;F292&amp;"|"&amp;G292&amp;"|"&amp;CF292)</f>
        <v/>
      </c>
    </row>
    <row r="293" customFormat="false" ht="15" hidden="false" customHeight="false" outlineLevel="0" collapsed="false">
      <c r="A293" s="10" t="str">
        <f aca="false">IF(D293="","","RW-"&amp;IFERROR(VLOOKUP(D293,Lists!$M$4:$N$22,2,0),"??")&amp;"-H"&amp;TEXT(E293*1000,"0000")&amp;"-S"&amp;F293&amp;IF(G293="Y","-GW","")&amp;"-"&amp;AO293)</f>
        <v/>
      </c>
      <c r="B293" s="10" t="str">
        <f aca="false">IF(D293="","",D293&amp;", H = "&amp;TEXT(E293,"0.0")&amp;" m, q = "&amp;F293&amp;" kPa"&amp;IF(G293="Y",", with GWT","")&amp;", "&amp;I293)</f>
        <v/>
      </c>
      <c r="C293" s="9"/>
      <c r="D293" s="9"/>
      <c r="E293" s="39"/>
      <c r="F293" s="38"/>
      <c r="G293" s="9"/>
      <c r="H293" s="38"/>
      <c r="I293" s="9"/>
      <c r="J293" s="38"/>
      <c r="K293" s="38"/>
      <c r="L293" s="38"/>
      <c r="M293" s="42"/>
      <c r="N293" s="9"/>
      <c r="O293" s="38"/>
      <c r="P293" s="38"/>
      <c r="Q293" s="38"/>
      <c r="R293" s="38"/>
      <c r="S293" s="38"/>
      <c r="T293" s="38"/>
      <c r="U293" s="9"/>
      <c r="V293" s="9"/>
      <c r="W293" s="38"/>
      <c r="X293" s="9"/>
      <c r="Y293" s="9"/>
      <c r="Z293" s="9"/>
      <c r="AA293" s="9"/>
      <c r="AB293" s="9"/>
      <c r="AC293" s="9"/>
      <c r="AD293" s="39"/>
      <c r="AE293" s="39"/>
      <c r="AF293" s="39"/>
      <c r="AG293" s="38"/>
      <c r="AH293" s="38"/>
      <c r="AI293" s="9"/>
      <c r="AJ293" s="38"/>
      <c r="AK293" s="9"/>
      <c r="AL293" s="39"/>
      <c r="AM293" s="9"/>
      <c r="AN293" s="9"/>
      <c r="AO293" s="9"/>
      <c r="AP293" s="9"/>
      <c r="AQ293" s="9"/>
      <c r="AR293" s="9"/>
      <c r="AS293" s="9"/>
      <c r="AT293" s="10" t="str">
        <f aca="false">IF(A293="","",SG_Criteria!$B$6&amp;SG_Criteria!$B$8&amp;"\"&amp;A293&amp;"\")</f>
        <v/>
      </c>
      <c r="AU293" s="10" t="str">
        <f aca="false">IF(A293="","",A293&amp;"_CAD.dwg")</f>
        <v/>
      </c>
      <c r="AV293" s="10" t="str">
        <f aca="false">IF(A293="","",A293&amp;"_DWG.pdf")</f>
        <v/>
      </c>
      <c r="AW293" s="10" t="str">
        <f aca="false">IF(A293="","",IF(AS293="Y",A293&amp;"_STAAD.std","n/a"))</f>
        <v/>
      </c>
      <c r="AX293" s="10" t="str">
        <f aca="false">IF(A293="","",A293&amp;"_CALC.xlsx")</f>
        <v/>
      </c>
      <c r="AY293" s="10" t="str">
        <f aca="false">IF(A293="","",A293&amp;"_CALC.pdf")</f>
        <v/>
      </c>
      <c r="AZ293" s="9"/>
      <c r="BA293" s="9"/>
      <c r="BB293" s="39"/>
      <c r="BC293" s="39"/>
      <c r="BD293" s="39"/>
      <c r="BE293" s="39"/>
      <c r="BF293" s="39"/>
      <c r="BG293" s="12" t="str">
        <f aca="false">IF(A293="","",IF(COUNTIF(Rebar_Schedule!$A$5:$A$2004,A293)=0,"",ROUND(SUMIF(Rebar_Schedule!$A$5:$A$2004,A293,Rebar_Schedule!$K$5:$K$2004),1)))</f>
        <v/>
      </c>
      <c r="BH293" s="33" t="str">
        <f aca="false">IF(A293="","",IF(BG293="","No rebar schedule yet",IF(ABS(BG293-N(BC293))/MAX(N(BC293),1)&gt;SG_Criteria!$B$55,"NOTE: register rebar differs from schedule by "&amp;TEXT(ABS(BG293-N(BC293))/MAX(N(BC293),1),"0%"),"OK")))</f>
        <v/>
      </c>
      <c r="BI293" s="33" t="str">
        <f aca="false">IF(OR(D293="",E293=""),"",IF(E293&lt;=IF(OR(D293="Block / Segmental",D293="Gabion",D293="Reinforced Earth (MSE)"),SG_Criteria!$B$34,SG_Criteria!$B$33),"No ERSS submission",IF(E293&lt;=SG_Criteria!$B$35,"QP(ST)",IF(E293&lt;=SG_Criteria!$B$36,"QP(ST) + AC","Geotechnical building works: QP(Geo) + AC"))))</f>
        <v/>
      </c>
      <c r="BJ293" s="33" t="str">
        <f aca="false">IF(D293="","",IF(LEN(IF(AND(V293&lt;&gt;"",IFERROR(VALUE(MID(V293,2,2)),0)&lt;SG_Criteria!$B$19),"FAIL: grade below C"&amp;SG_Criteria!$B$19&amp;". ","")&amp;IF(AND(W293&lt;&gt;"",W293&lt;SG_Criteria!$B$20),"FAIL: cover &lt; "&amp;SG_Criteria!$B$20&amp;" mm. ","")&amp;IF(AND(AD293&lt;&gt;"",AD293&lt;1),"FAIL: sliding. ","")&amp;IF(AND(D293="Reverse L-Wall (toe only, at boundary)",N(S293)&gt;0),"NOTE: reverse L-wall should have no heel. ","")&amp;IF(AND(D293="L-Wall (heel only)",N(R293)&gt;0),"NOTE: L-wall should have no toe. ","")&amp;IF(AND(F293&lt;&gt;"",F293&lt;SG_Criteria!$B$31),"NOTE: q below LTA min "&amp;SG_Criteria!$B$31&amp;" kPa (not for LTA works). ",""))=0,"OK",IF(AND(V293&lt;&gt;"",IFERROR(VALUE(MID(V293,2,2)),0)&lt;SG_Criteria!$B$19),"FAIL: grade below C"&amp;SG_Criteria!$B$19&amp;". ","")&amp;IF(AND(W293&lt;&gt;"",W293&lt;SG_Criteria!$B$20),"FAIL: cover &lt; "&amp;SG_Criteria!$B$20&amp;" mm. ","")&amp;IF(AND(AD293&lt;&gt;"",AD293&lt;1),"FAIL: sliding. ","")&amp;IF(AND(D293="Reverse L-Wall (toe only, at boundary)",N(S293)&gt;0),"NOTE: reverse L-wall should have no heel. ","")&amp;IF(AND(D293="L-Wall (heel only)",N(R293)&gt;0),"NOTE: L-wall should have no toe. ","")&amp;IF(AND(F293&lt;&gt;"",F293&lt;SG_Criteria!$B$31),"NOTE: q below LTA min "&amp;SG_Criteria!$B$31&amp;" kPa (not for LTA works). ","")))</f>
        <v/>
      </c>
      <c r="BK293" s="9"/>
      <c r="BL293" s="9"/>
      <c r="BM293" s="9"/>
      <c r="BN293" s="10" t="str">
        <f aca="false">IF(BM293="","",IFERROR(VLOOKUP(BM293,Projects!$A$5:$D$504,2,0),"Ref not in Projects"))</f>
        <v/>
      </c>
      <c r="BO293" s="10" t="str">
        <f aca="false">IF(BM293="","",IFERROR(VLOOKUP(BM293,Projects!$A$5:$D$504,4,0),"Ref not in Projects"))</f>
        <v/>
      </c>
      <c r="BP293" s="9"/>
      <c r="BQ293" s="9"/>
      <c r="BR293" s="9"/>
      <c r="BS293" s="40"/>
      <c r="BT293" s="9"/>
      <c r="BU293" s="40"/>
      <c r="BV293" s="9"/>
      <c r="BW293" s="40"/>
      <c r="BX293" s="9"/>
      <c r="BY293" s="9"/>
      <c r="BZ293" s="9"/>
      <c r="CA293" s="40"/>
      <c r="CB293" s="40"/>
      <c r="CC293" s="36" t="str">
        <f aca="false">IF(CB293="","",EDATE(CB293,SG_Criteria!$B$54*12))</f>
        <v/>
      </c>
      <c r="CD293" s="33" t="str">
        <f aca="true">IF(A293="","",IF(CB293="","NOTE: not reviewed yet",IF(TODAY()&gt;CC293,"NOTE: review overdue","OK")))</f>
        <v/>
      </c>
      <c r="CE293" s="37" t="str">
        <f aca="false">IF(A293="","",ROUND((IF(LEN(D293)&gt;0,1,0)+IF(LEN(E293)&gt;0,1,0)+IF(LEN(F293)&gt;0,1,0)+IF(LEN(G293)&gt;0,1,0)+IF(LEN(I293)&gt;0,1,0)+IF(LEN(K293)&gt;0,1,0)+IF(LEN(P293)&gt;0,1,0)+IF(LEN(Q293)&gt;0,1,0)+IF(LEN(T293)&gt;0,1,0)+IF(LEN(V293)&gt;0,1,0)+IF(LEN(W293)&gt;0,1,0)+IF(LEN(X293)&gt;0,1,0)+IF(LEN(Z293)&gt;0,1,0)+IF(LEN(AD293)&gt;0,1,0)+IF(LEN(AE293)&gt;0,1,0)+IF(LEN(AG293)&gt;0,1,0)+IF(LEN(AI293)&gt;0,1,0)+IF(LEN(BB293)&gt;0,1,0)+IF(LEN(BC293)&gt;0,1,0)+IF(LEN(AM293)&gt;0,1,0)+IF(LEN(AO293)&gt;0,1,0)+IF(LEN(AP293)&gt;0,1,0)+IF(LEN(AQ293)&gt;0,1,0)+IF(LEN(AR293)&gt;0,1,0)+IF(LEN(BA293)&gt;0,1,0)+IF(LEN(BM293)&gt;0,1,0)+IF(LEN(BZ293)&gt;0,1,0))/27,2))</f>
        <v/>
      </c>
      <c r="CF293" s="10" t="str">
        <f aca="false">IF(D293="","",IF(AND(AP293="Approved",ISERROR(SEARCH("FAIL",BJ293))),"Y","N"))</f>
        <v/>
      </c>
      <c r="CG293" s="10" t="str">
        <f aca="false">IF(D293="","",D293&amp;"|"&amp;E293&amp;"|"&amp;F293&amp;"|"&amp;G293&amp;"|"&amp;CF293)</f>
        <v/>
      </c>
    </row>
    <row r="294" customFormat="false" ht="15" hidden="false" customHeight="false" outlineLevel="0" collapsed="false">
      <c r="A294" s="10" t="str">
        <f aca="false">IF(D294="","","RW-"&amp;IFERROR(VLOOKUP(D294,Lists!$M$4:$N$22,2,0),"??")&amp;"-H"&amp;TEXT(E294*1000,"0000")&amp;"-S"&amp;F294&amp;IF(G294="Y","-GW","")&amp;"-"&amp;AO294)</f>
        <v/>
      </c>
      <c r="B294" s="10" t="str">
        <f aca="false">IF(D294="","",D294&amp;", H = "&amp;TEXT(E294,"0.0")&amp;" m, q = "&amp;F294&amp;" kPa"&amp;IF(G294="Y",", with GWT","")&amp;", "&amp;I294)</f>
        <v/>
      </c>
      <c r="C294" s="9"/>
      <c r="D294" s="9"/>
      <c r="E294" s="39"/>
      <c r="F294" s="38"/>
      <c r="G294" s="9"/>
      <c r="H294" s="38"/>
      <c r="I294" s="9"/>
      <c r="J294" s="38"/>
      <c r="K294" s="38"/>
      <c r="L294" s="38"/>
      <c r="M294" s="42"/>
      <c r="N294" s="9"/>
      <c r="O294" s="38"/>
      <c r="P294" s="38"/>
      <c r="Q294" s="38"/>
      <c r="R294" s="38"/>
      <c r="S294" s="38"/>
      <c r="T294" s="38"/>
      <c r="U294" s="9"/>
      <c r="V294" s="9"/>
      <c r="W294" s="38"/>
      <c r="X294" s="9"/>
      <c r="Y294" s="9"/>
      <c r="Z294" s="9"/>
      <c r="AA294" s="9"/>
      <c r="AB294" s="9"/>
      <c r="AC294" s="9"/>
      <c r="AD294" s="39"/>
      <c r="AE294" s="39"/>
      <c r="AF294" s="39"/>
      <c r="AG294" s="38"/>
      <c r="AH294" s="38"/>
      <c r="AI294" s="9"/>
      <c r="AJ294" s="38"/>
      <c r="AK294" s="9"/>
      <c r="AL294" s="39"/>
      <c r="AM294" s="9"/>
      <c r="AN294" s="9"/>
      <c r="AO294" s="9"/>
      <c r="AP294" s="9"/>
      <c r="AQ294" s="9"/>
      <c r="AR294" s="9"/>
      <c r="AS294" s="9"/>
      <c r="AT294" s="10" t="str">
        <f aca="false">IF(A294="","",SG_Criteria!$B$6&amp;SG_Criteria!$B$8&amp;"\"&amp;A294&amp;"\")</f>
        <v/>
      </c>
      <c r="AU294" s="10" t="str">
        <f aca="false">IF(A294="","",A294&amp;"_CAD.dwg")</f>
        <v/>
      </c>
      <c r="AV294" s="10" t="str">
        <f aca="false">IF(A294="","",A294&amp;"_DWG.pdf")</f>
        <v/>
      </c>
      <c r="AW294" s="10" t="str">
        <f aca="false">IF(A294="","",IF(AS294="Y",A294&amp;"_STAAD.std","n/a"))</f>
        <v/>
      </c>
      <c r="AX294" s="10" t="str">
        <f aca="false">IF(A294="","",A294&amp;"_CALC.xlsx")</f>
        <v/>
      </c>
      <c r="AY294" s="10" t="str">
        <f aca="false">IF(A294="","",A294&amp;"_CALC.pdf")</f>
        <v/>
      </c>
      <c r="AZ294" s="9"/>
      <c r="BA294" s="9"/>
      <c r="BB294" s="39"/>
      <c r="BC294" s="39"/>
      <c r="BD294" s="39"/>
      <c r="BE294" s="39"/>
      <c r="BF294" s="39"/>
      <c r="BG294" s="12" t="str">
        <f aca="false">IF(A294="","",IF(COUNTIF(Rebar_Schedule!$A$5:$A$2004,A294)=0,"",ROUND(SUMIF(Rebar_Schedule!$A$5:$A$2004,A294,Rebar_Schedule!$K$5:$K$2004),1)))</f>
        <v/>
      </c>
      <c r="BH294" s="33" t="str">
        <f aca="false">IF(A294="","",IF(BG294="","No rebar schedule yet",IF(ABS(BG294-N(BC294))/MAX(N(BC294),1)&gt;SG_Criteria!$B$55,"NOTE: register rebar differs from schedule by "&amp;TEXT(ABS(BG294-N(BC294))/MAX(N(BC294),1),"0%"),"OK")))</f>
        <v/>
      </c>
      <c r="BI294" s="33" t="str">
        <f aca="false">IF(OR(D294="",E294=""),"",IF(E294&lt;=IF(OR(D294="Block / Segmental",D294="Gabion",D294="Reinforced Earth (MSE)"),SG_Criteria!$B$34,SG_Criteria!$B$33),"No ERSS submission",IF(E294&lt;=SG_Criteria!$B$35,"QP(ST)",IF(E294&lt;=SG_Criteria!$B$36,"QP(ST) + AC","Geotechnical building works: QP(Geo) + AC"))))</f>
        <v/>
      </c>
      <c r="BJ294" s="33" t="str">
        <f aca="false">IF(D294="","",IF(LEN(IF(AND(V294&lt;&gt;"",IFERROR(VALUE(MID(V294,2,2)),0)&lt;SG_Criteria!$B$19),"FAIL: grade below C"&amp;SG_Criteria!$B$19&amp;". ","")&amp;IF(AND(W294&lt;&gt;"",W294&lt;SG_Criteria!$B$20),"FAIL: cover &lt; "&amp;SG_Criteria!$B$20&amp;" mm. ","")&amp;IF(AND(AD294&lt;&gt;"",AD294&lt;1),"FAIL: sliding. ","")&amp;IF(AND(D294="Reverse L-Wall (toe only, at boundary)",N(S294)&gt;0),"NOTE: reverse L-wall should have no heel. ","")&amp;IF(AND(D294="L-Wall (heel only)",N(R294)&gt;0),"NOTE: L-wall should have no toe. ","")&amp;IF(AND(F294&lt;&gt;"",F294&lt;SG_Criteria!$B$31),"NOTE: q below LTA min "&amp;SG_Criteria!$B$31&amp;" kPa (not for LTA works). ",""))=0,"OK",IF(AND(V294&lt;&gt;"",IFERROR(VALUE(MID(V294,2,2)),0)&lt;SG_Criteria!$B$19),"FAIL: grade below C"&amp;SG_Criteria!$B$19&amp;". ","")&amp;IF(AND(W294&lt;&gt;"",W294&lt;SG_Criteria!$B$20),"FAIL: cover &lt; "&amp;SG_Criteria!$B$20&amp;" mm. ","")&amp;IF(AND(AD294&lt;&gt;"",AD294&lt;1),"FAIL: sliding. ","")&amp;IF(AND(D294="Reverse L-Wall (toe only, at boundary)",N(S294)&gt;0),"NOTE: reverse L-wall should have no heel. ","")&amp;IF(AND(D294="L-Wall (heel only)",N(R294)&gt;0),"NOTE: L-wall should have no toe. ","")&amp;IF(AND(F294&lt;&gt;"",F294&lt;SG_Criteria!$B$31),"NOTE: q below LTA min "&amp;SG_Criteria!$B$31&amp;" kPa (not for LTA works). ","")))</f>
        <v/>
      </c>
      <c r="BK294" s="9"/>
      <c r="BL294" s="9"/>
      <c r="BM294" s="9"/>
      <c r="BN294" s="10" t="str">
        <f aca="false">IF(BM294="","",IFERROR(VLOOKUP(BM294,Projects!$A$5:$D$504,2,0),"Ref not in Projects"))</f>
        <v/>
      </c>
      <c r="BO294" s="10" t="str">
        <f aca="false">IF(BM294="","",IFERROR(VLOOKUP(BM294,Projects!$A$5:$D$504,4,0),"Ref not in Projects"))</f>
        <v/>
      </c>
      <c r="BP294" s="9"/>
      <c r="BQ294" s="9"/>
      <c r="BR294" s="9"/>
      <c r="BS294" s="40"/>
      <c r="BT294" s="9"/>
      <c r="BU294" s="40"/>
      <c r="BV294" s="9"/>
      <c r="BW294" s="40"/>
      <c r="BX294" s="9"/>
      <c r="BY294" s="9"/>
      <c r="BZ294" s="9"/>
      <c r="CA294" s="40"/>
      <c r="CB294" s="40"/>
      <c r="CC294" s="36" t="str">
        <f aca="false">IF(CB294="","",EDATE(CB294,SG_Criteria!$B$54*12))</f>
        <v/>
      </c>
      <c r="CD294" s="33" t="str">
        <f aca="true">IF(A294="","",IF(CB294="","NOTE: not reviewed yet",IF(TODAY()&gt;CC294,"NOTE: review overdue","OK")))</f>
        <v/>
      </c>
      <c r="CE294" s="37" t="str">
        <f aca="false">IF(A294="","",ROUND((IF(LEN(D294)&gt;0,1,0)+IF(LEN(E294)&gt;0,1,0)+IF(LEN(F294)&gt;0,1,0)+IF(LEN(G294)&gt;0,1,0)+IF(LEN(I294)&gt;0,1,0)+IF(LEN(K294)&gt;0,1,0)+IF(LEN(P294)&gt;0,1,0)+IF(LEN(Q294)&gt;0,1,0)+IF(LEN(T294)&gt;0,1,0)+IF(LEN(V294)&gt;0,1,0)+IF(LEN(W294)&gt;0,1,0)+IF(LEN(X294)&gt;0,1,0)+IF(LEN(Z294)&gt;0,1,0)+IF(LEN(AD294)&gt;0,1,0)+IF(LEN(AE294)&gt;0,1,0)+IF(LEN(AG294)&gt;0,1,0)+IF(LEN(AI294)&gt;0,1,0)+IF(LEN(BB294)&gt;0,1,0)+IF(LEN(BC294)&gt;0,1,0)+IF(LEN(AM294)&gt;0,1,0)+IF(LEN(AO294)&gt;0,1,0)+IF(LEN(AP294)&gt;0,1,0)+IF(LEN(AQ294)&gt;0,1,0)+IF(LEN(AR294)&gt;0,1,0)+IF(LEN(BA294)&gt;0,1,0)+IF(LEN(BM294)&gt;0,1,0)+IF(LEN(BZ294)&gt;0,1,0))/27,2))</f>
        <v/>
      </c>
      <c r="CF294" s="10" t="str">
        <f aca="false">IF(D294="","",IF(AND(AP294="Approved",ISERROR(SEARCH("FAIL",BJ294))),"Y","N"))</f>
        <v/>
      </c>
      <c r="CG294" s="10" t="str">
        <f aca="false">IF(D294="","",D294&amp;"|"&amp;E294&amp;"|"&amp;F294&amp;"|"&amp;G294&amp;"|"&amp;CF294)</f>
        <v/>
      </c>
    </row>
    <row r="295" customFormat="false" ht="15" hidden="false" customHeight="false" outlineLevel="0" collapsed="false">
      <c r="A295" s="10" t="str">
        <f aca="false">IF(D295="","","RW-"&amp;IFERROR(VLOOKUP(D295,Lists!$M$4:$N$22,2,0),"??")&amp;"-H"&amp;TEXT(E295*1000,"0000")&amp;"-S"&amp;F295&amp;IF(G295="Y","-GW","")&amp;"-"&amp;AO295)</f>
        <v/>
      </c>
      <c r="B295" s="10" t="str">
        <f aca="false">IF(D295="","",D295&amp;", H = "&amp;TEXT(E295,"0.0")&amp;" m, q = "&amp;F295&amp;" kPa"&amp;IF(G295="Y",", with GWT","")&amp;", "&amp;I295)</f>
        <v/>
      </c>
      <c r="C295" s="9"/>
      <c r="D295" s="9"/>
      <c r="E295" s="39"/>
      <c r="F295" s="38"/>
      <c r="G295" s="9"/>
      <c r="H295" s="38"/>
      <c r="I295" s="9"/>
      <c r="J295" s="38"/>
      <c r="K295" s="38"/>
      <c r="L295" s="38"/>
      <c r="M295" s="42"/>
      <c r="N295" s="9"/>
      <c r="O295" s="38"/>
      <c r="P295" s="38"/>
      <c r="Q295" s="38"/>
      <c r="R295" s="38"/>
      <c r="S295" s="38"/>
      <c r="T295" s="38"/>
      <c r="U295" s="9"/>
      <c r="V295" s="9"/>
      <c r="W295" s="38"/>
      <c r="X295" s="9"/>
      <c r="Y295" s="9"/>
      <c r="Z295" s="9"/>
      <c r="AA295" s="9"/>
      <c r="AB295" s="9"/>
      <c r="AC295" s="9"/>
      <c r="AD295" s="39"/>
      <c r="AE295" s="39"/>
      <c r="AF295" s="39"/>
      <c r="AG295" s="38"/>
      <c r="AH295" s="38"/>
      <c r="AI295" s="9"/>
      <c r="AJ295" s="38"/>
      <c r="AK295" s="9"/>
      <c r="AL295" s="39"/>
      <c r="AM295" s="9"/>
      <c r="AN295" s="9"/>
      <c r="AO295" s="9"/>
      <c r="AP295" s="9"/>
      <c r="AQ295" s="9"/>
      <c r="AR295" s="9"/>
      <c r="AS295" s="9"/>
      <c r="AT295" s="10" t="str">
        <f aca="false">IF(A295="","",SG_Criteria!$B$6&amp;SG_Criteria!$B$8&amp;"\"&amp;A295&amp;"\")</f>
        <v/>
      </c>
      <c r="AU295" s="10" t="str">
        <f aca="false">IF(A295="","",A295&amp;"_CAD.dwg")</f>
        <v/>
      </c>
      <c r="AV295" s="10" t="str">
        <f aca="false">IF(A295="","",A295&amp;"_DWG.pdf")</f>
        <v/>
      </c>
      <c r="AW295" s="10" t="str">
        <f aca="false">IF(A295="","",IF(AS295="Y",A295&amp;"_STAAD.std","n/a"))</f>
        <v/>
      </c>
      <c r="AX295" s="10" t="str">
        <f aca="false">IF(A295="","",A295&amp;"_CALC.xlsx")</f>
        <v/>
      </c>
      <c r="AY295" s="10" t="str">
        <f aca="false">IF(A295="","",A295&amp;"_CALC.pdf")</f>
        <v/>
      </c>
      <c r="AZ295" s="9"/>
      <c r="BA295" s="9"/>
      <c r="BB295" s="39"/>
      <c r="BC295" s="39"/>
      <c r="BD295" s="39"/>
      <c r="BE295" s="39"/>
      <c r="BF295" s="39"/>
      <c r="BG295" s="12" t="str">
        <f aca="false">IF(A295="","",IF(COUNTIF(Rebar_Schedule!$A$5:$A$2004,A295)=0,"",ROUND(SUMIF(Rebar_Schedule!$A$5:$A$2004,A295,Rebar_Schedule!$K$5:$K$2004),1)))</f>
        <v/>
      </c>
      <c r="BH295" s="33" t="str">
        <f aca="false">IF(A295="","",IF(BG295="","No rebar schedule yet",IF(ABS(BG295-N(BC295))/MAX(N(BC295),1)&gt;SG_Criteria!$B$55,"NOTE: register rebar differs from schedule by "&amp;TEXT(ABS(BG295-N(BC295))/MAX(N(BC295),1),"0%"),"OK")))</f>
        <v/>
      </c>
      <c r="BI295" s="33" t="str">
        <f aca="false">IF(OR(D295="",E295=""),"",IF(E295&lt;=IF(OR(D295="Block / Segmental",D295="Gabion",D295="Reinforced Earth (MSE)"),SG_Criteria!$B$34,SG_Criteria!$B$33),"No ERSS submission",IF(E295&lt;=SG_Criteria!$B$35,"QP(ST)",IF(E295&lt;=SG_Criteria!$B$36,"QP(ST) + AC","Geotechnical building works: QP(Geo) + AC"))))</f>
        <v/>
      </c>
      <c r="BJ295" s="33" t="str">
        <f aca="false">IF(D295="","",IF(LEN(IF(AND(V295&lt;&gt;"",IFERROR(VALUE(MID(V295,2,2)),0)&lt;SG_Criteria!$B$19),"FAIL: grade below C"&amp;SG_Criteria!$B$19&amp;". ","")&amp;IF(AND(W295&lt;&gt;"",W295&lt;SG_Criteria!$B$20),"FAIL: cover &lt; "&amp;SG_Criteria!$B$20&amp;" mm. ","")&amp;IF(AND(AD295&lt;&gt;"",AD295&lt;1),"FAIL: sliding. ","")&amp;IF(AND(D295="Reverse L-Wall (toe only, at boundary)",N(S295)&gt;0),"NOTE: reverse L-wall should have no heel. ","")&amp;IF(AND(D295="L-Wall (heel only)",N(R295)&gt;0),"NOTE: L-wall should have no toe. ","")&amp;IF(AND(F295&lt;&gt;"",F295&lt;SG_Criteria!$B$31),"NOTE: q below LTA min "&amp;SG_Criteria!$B$31&amp;" kPa (not for LTA works). ",""))=0,"OK",IF(AND(V295&lt;&gt;"",IFERROR(VALUE(MID(V295,2,2)),0)&lt;SG_Criteria!$B$19),"FAIL: grade below C"&amp;SG_Criteria!$B$19&amp;". ","")&amp;IF(AND(W295&lt;&gt;"",W295&lt;SG_Criteria!$B$20),"FAIL: cover &lt; "&amp;SG_Criteria!$B$20&amp;" mm. ","")&amp;IF(AND(AD295&lt;&gt;"",AD295&lt;1),"FAIL: sliding. ","")&amp;IF(AND(D295="Reverse L-Wall (toe only, at boundary)",N(S295)&gt;0),"NOTE: reverse L-wall should have no heel. ","")&amp;IF(AND(D295="L-Wall (heel only)",N(R295)&gt;0),"NOTE: L-wall should have no toe. ","")&amp;IF(AND(F295&lt;&gt;"",F295&lt;SG_Criteria!$B$31),"NOTE: q below LTA min "&amp;SG_Criteria!$B$31&amp;" kPa (not for LTA works). ","")))</f>
        <v/>
      </c>
      <c r="BK295" s="9"/>
      <c r="BL295" s="9"/>
      <c r="BM295" s="9"/>
      <c r="BN295" s="10" t="str">
        <f aca="false">IF(BM295="","",IFERROR(VLOOKUP(BM295,Projects!$A$5:$D$504,2,0),"Ref not in Projects"))</f>
        <v/>
      </c>
      <c r="BO295" s="10" t="str">
        <f aca="false">IF(BM295="","",IFERROR(VLOOKUP(BM295,Projects!$A$5:$D$504,4,0),"Ref not in Projects"))</f>
        <v/>
      </c>
      <c r="BP295" s="9"/>
      <c r="BQ295" s="9"/>
      <c r="BR295" s="9"/>
      <c r="BS295" s="40"/>
      <c r="BT295" s="9"/>
      <c r="BU295" s="40"/>
      <c r="BV295" s="9"/>
      <c r="BW295" s="40"/>
      <c r="BX295" s="9"/>
      <c r="BY295" s="9"/>
      <c r="BZ295" s="9"/>
      <c r="CA295" s="40"/>
      <c r="CB295" s="40"/>
      <c r="CC295" s="36" t="str">
        <f aca="false">IF(CB295="","",EDATE(CB295,SG_Criteria!$B$54*12))</f>
        <v/>
      </c>
      <c r="CD295" s="33" t="str">
        <f aca="true">IF(A295="","",IF(CB295="","NOTE: not reviewed yet",IF(TODAY()&gt;CC295,"NOTE: review overdue","OK")))</f>
        <v/>
      </c>
      <c r="CE295" s="37" t="str">
        <f aca="false">IF(A295="","",ROUND((IF(LEN(D295)&gt;0,1,0)+IF(LEN(E295)&gt;0,1,0)+IF(LEN(F295)&gt;0,1,0)+IF(LEN(G295)&gt;0,1,0)+IF(LEN(I295)&gt;0,1,0)+IF(LEN(K295)&gt;0,1,0)+IF(LEN(P295)&gt;0,1,0)+IF(LEN(Q295)&gt;0,1,0)+IF(LEN(T295)&gt;0,1,0)+IF(LEN(V295)&gt;0,1,0)+IF(LEN(W295)&gt;0,1,0)+IF(LEN(X295)&gt;0,1,0)+IF(LEN(Z295)&gt;0,1,0)+IF(LEN(AD295)&gt;0,1,0)+IF(LEN(AE295)&gt;0,1,0)+IF(LEN(AG295)&gt;0,1,0)+IF(LEN(AI295)&gt;0,1,0)+IF(LEN(BB295)&gt;0,1,0)+IF(LEN(BC295)&gt;0,1,0)+IF(LEN(AM295)&gt;0,1,0)+IF(LEN(AO295)&gt;0,1,0)+IF(LEN(AP295)&gt;0,1,0)+IF(LEN(AQ295)&gt;0,1,0)+IF(LEN(AR295)&gt;0,1,0)+IF(LEN(BA295)&gt;0,1,0)+IF(LEN(BM295)&gt;0,1,0)+IF(LEN(BZ295)&gt;0,1,0))/27,2))</f>
        <v/>
      </c>
      <c r="CF295" s="10" t="str">
        <f aca="false">IF(D295="","",IF(AND(AP295="Approved",ISERROR(SEARCH("FAIL",BJ295))),"Y","N"))</f>
        <v/>
      </c>
      <c r="CG295" s="10" t="str">
        <f aca="false">IF(D295="","",D295&amp;"|"&amp;E295&amp;"|"&amp;F295&amp;"|"&amp;G295&amp;"|"&amp;CF295)</f>
        <v/>
      </c>
    </row>
    <row r="296" customFormat="false" ht="15" hidden="false" customHeight="false" outlineLevel="0" collapsed="false">
      <c r="A296" s="10" t="str">
        <f aca="false">IF(D296="","","RW-"&amp;IFERROR(VLOOKUP(D296,Lists!$M$4:$N$22,2,0),"??")&amp;"-H"&amp;TEXT(E296*1000,"0000")&amp;"-S"&amp;F296&amp;IF(G296="Y","-GW","")&amp;"-"&amp;AO296)</f>
        <v/>
      </c>
      <c r="B296" s="10" t="str">
        <f aca="false">IF(D296="","",D296&amp;", H = "&amp;TEXT(E296,"0.0")&amp;" m, q = "&amp;F296&amp;" kPa"&amp;IF(G296="Y",", with GWT","")&amp;", "&amp;I296)</f>
        <v/>
      </c>
      <c r="C296" s="9"/>
      <c r="D296" s="9"/>
      <c r="E296" s="39"/>
      <c r="F296" s="38"/>
      <c r="G296" s="9"/>
      <c r="H296" s="38"/>
      <c r="I296" s="9"/>
      <c r="J296" s="38"/>
      <c r="K296" s="38"/>
      <c r="L296" s="38"/>
      <c r="M296" s="42"/>
      <c r="N296" s="9"/>
      <c r="O296" s="38"/>
      <c r="P296" s="38"/>
      <c r="Q296" s="38"/>
      <c r="R296" s="38"/>
      <c r="S296" s="38"/>
      <c r="T296" s="38"/>
      <c r="U296" s="9"/>
      <c r="V296" s="9"/>
      <c r="W296" s="38"/>
      <c r="X296" s="9"/>
      <c r="Y296" s="9"/>
      <c r="Z296" s="9"/>
      <c r="AA296" s="9"/>
      <c r="AB296" s="9"/>
      <c r="AC296" s="9"/>
      <c r="AD296" s="39"/>
      <c r="AE296" s="39"/>
      <c r="AF296" s="39"/>
      <c r="AG296" s="38"/>
      <c r="AH296" s="38"/>
      <c r="AI296" s="9"/>
      <c r="AJ296" s="38"/>
      <c r="AK296" s="9"/>
      <c r="AL296" s="39"/>
      <c r="AM296" s="9"/>
      <c r="AN296" s="9"/>
      <c r="AO296" s="9"/>
      <c r="AP296" s="9"/>
      <c r="AQ296" s="9"/>
      <c r="AR296" s="9"/>
      <c r="AS296" s="9"/>
      <c r="AT296" s="10" t="str">
        <f aca="false">IF(A296="","",SG_Criteria!$B$6&amp;SG_Criteria!$B$8&amp;"\"&amp;A296&amp;"\")</f>
        <v/>
      </c>
      <c r="AU296" s="10" t="str">
        <f aca="false">IF(A296="","",A296&amp;"_CAD.dwg")</f>
        <v/>
      </c>
      <c r="AV296" s="10" t="str">
        <f aca="false">IF(A296="","",A296&amp;"_DWG.pdf")</f>
        <v/>
      </c>
      <c r="AW296" s="10" t="str">
        <f aca="false">IF(A296="","",IF(AS296="Y",A296&amp;"_STAAD.std","n/a"))</f>
        <v/>
      </c>
      <c r="AX296" s="10" t="str">
        <f aca="false">IF(A296="","",A296&amp;"_CALC.xlsx")</f>
        <v/>
      </c>
      <c r="AY296" s="10" t="str">
        <f aca="false">IF(A296="","",A296&amp;"_CALC.pdf")</f>
        <v/>
      </c>
      <c r="AZ296" s="9"/>
      <c r="BA296" s="9"/>
      <c r="BB296" s="39"/>
      <c r="BC296" s="39"/>
      <c r="BD296" s="39"/>
      <c r="BE296" s="39"/>
      <c r="BF296" s="39"/>
      <c r="BG296" s="12" t="str">
        <f aca="false">IF(A296="","",IF(COUNTIF(Rebar_Schedule!$A$5:$A$2004,A296)=0,"",ROUND(SUMIF(Rebar_Schedule!$A$5:$A$2004,A296,Rebar_Schedule!$K$5:$K$2004),1)))</f>
        <v/>
      </c>
      <c r="BH296" s="33" t="str">
        <f aca="false">IF(A296="","",IF(BG296="","No rebar schedule yet",IF(ABS(BG296-N(BC296))/MAX(N(BC296),1)&gt;SG_Criteria!$B$55,"NOTE: register rebar differs from schedule by "&amp;TEXT(ABS(BG296-N(BC296))/MAX(N(BC296),1),"0%"),"OK")))</f>
        <v/>
      </c>
      <c r="BI296" s="33" t="str">
        <f aca="false">IF(OR(D296="",E296=""),"",IF(E296&lt;=IF(OR(D296="Block / Segmental",D296="Gabion",D296="Reinforced Earth (MSE)"),SG_Criteria!$B$34,SG_Criteria!$B$33),"No ERSS submission",IF(E296&lt;=SG_Criteria!$B$35,"QP(ST)",IF(E296&lt;=SG_Criteria!$B$36,"QP(ST) + AC","Geotechnical building works: QP(Geo) + AC"))))</f>
        <v/>
      </c>
      <c r="BJ296" s="33" t="str">
        <f aca="false">IF(D296="","",IF(LEN(IF(AND(V296&lt;&gt;"",IFERROR(VALUE(MID(V296,2,2)),0)&lt;SG_Criteria!$B$19),"FAIL: grade below C"&amp;SG_Criteria!$B$19&amp;". ","")&amp;IF(AND(W296&lt;&gt;"",W296&lt;SG_Criteria!$B$20),"FAIL: cover &lt; "&amp;SG_Criteria!$B$20&amp;" mm. ","")&amp;IF(AND(AD296&lt;&gt;"",AD296&lt;1),"FAIL: sliding. ","")&amp;IF(AND(D296="Reverse L-Wall (toe only, at boundary)",N(S296)&gt;0),"NOTE: reverse L-wall should have no heel. ","")&amp;IF(AND(D296="L-Wall (heel only)",N(R296)&gt;0),"NOTE: L-wall should have no toe. ","")&amp;IF(AND(F296&lt;&gt;"",F296&lt;SG_Criteria!$B$31),"NOTE: q below LTA min "&amp;SG_Criteria!$B$31&amp;" kPa (not for LTA works). ",""))=0,"OK",IF(AND(V296&lt;&gt;"",IFERROR(VALUE(MID(V296,2,2)),0)&lt;SG_Criteria!$B$19),"FAIL: grade below C"&amp;SG_Criteria!$B$19&amp;". ","")&amp;IF(AND(W296&lt;&gt;"",W296&lt;SG_Criteria!$B$20),"FAIL: cover &lt; "&amp;SG_Criteria!$B$20&amp;" mm. ","")&amp;IF(AND(AD296&lt;&gt;"",AD296&lt;1),"FAIL: sliding. ","")&amp;IF(AND(D296="Reverse L-Wall (toe only, at boundary)",N(S296)&gt;0),"NOTE: reverse L-wall should have no heel. ","")&amp;IF(AND(D296="L-Wall (heel only)",N(R296)&gt;0),"NOTE: L-wall should have no toe. ","")&amp;IF(AND(F296&lt;&gt;"",F296&lt;SG_Criteria!$B$31),"NOTE: q below LTA min "&amp;SG_Criteria!$B$31&amp;" kPa (not for LTA works). ","")))</f>
        <v/>
      </c>
      <c r="BK296" s="9"/>
      <c r="BL296" s="9"/>
      <c r="BM296" s="9"/>
      <c r="BN296" s="10" t="str">
        <f aca="false">IF(BM296="","",IFERROR(VLOOKUP(BM296,Projects!$A$5:$D$504,2,0),"Ref not in Projects"))</f>
        <v/>
      </c>
      <c r="BO296" s="10" t="str">
        <f aca="false">IF(BM296="","",IFERROR(VLOOKUP(BM296,Projects!$A$5:$D$504,4,0),"Ref not in Projects"))</f>
        <v/>
      </c>
      <c r="BP296" s="9"/>
      <c r="BQ296" s="9"/>
      <c r="BR296" s="9"/>
      <c r="BS296" s="40"/>
      <c r="BT296" s="9"/>
      <c r="BU296" s="40"/>
      <c r="BV296" s="9"/>
      <c r="BW296" s="40"/>
      <c r="BX296" s="9"/>
      <c r="BY296" s="9"/>
      <c r="BZ296" s="9"/>
      <c r="CA296" s="40"/>
      <c r="CB296" s="40"/>
      <c r="CC296" s="36" t="str">
        <f aca="false">IF(CB296="","",EDATE(CB296,SG_Criteria!$B$54*12))</f>
        <v/>
      </c>
      <c r="CD296" s="33" t="str">
        <f aca="true">IF(A296="","",IF(CB296="","NOTE: not reviewed yet",IF(TODAY()&gt;CC296,"NOTE: review overdue","OK")))</f>
        <v/>
      </c>
      <c r="CE296" s="37" t="str">
        <f aca="false">IF(A296="","",ROUND((IF(LEN(D296)&gt;0,1,0)+IF(LEN(E296)&gt;0,1,0)+IF(LEN(F296)&gt;0,1,0)+IF(LEN(G296)&gt;0,1,0)+IF(LEN(I296)&gt;0,1,0)+IF(LEN(K296)&gt;0,1,0)+IF(LEN(P296)&gt;0,1,0)+IF(LEN(Q296)&gt;0,1,0)+IF(LEN(T296)&gt;0,1,0)+IF(LEN(V296)&gt;0,1,0)+IF(LEN(W296)&gt;0,1,0)+IF(LEN(X296)&gt;0,1,0)+IF(LEN(Z296)&gt;0,1,0)+IF(LEN(AD296)&gt;0,1,0)+IF(LEN(AE296)&gt;0,1,0)+IF(LEN(AG296)&gt;0,1,0)+IF(LEN(AI296)&gt;0,1,0)+IF(LEN(BB296)&gt;0,1,0)+IF(LEN(BC296)&gt;0,1,0)+IF(LEN(AM296)&gt;0,1,0)+IF(LEN(AO296)&gt;0,1,0)+IF(LEN(AP296)&gt;0,1,0)+IF(LEN(AQ296)&gt;0,1,0)+IF(LEN(AR296)&gt;0,1,0)+IF(LEN(BA296)&gt;0,1,0)+IF(LEN(BM296)&gt;0,1,0)+IF(LEN(BZ296)&gt;0,1,0))/27,2))</f>
        <v/>
      </c>
      <c r="CF296" s="10" t="str">
        <f aca="false">IF(D296="","",IF(AND(AP296="Approved",ISERROR(SEARCH("FAIL",BJ296))),"Y","N"))</f>
        <v/>
      </c>
      <c r="CG296" s="10" t="str">
        <f aca="false">IF(D296="","",D296&amp;"|"&amp;E296&amp;"|"&amp;F296&amp;"|"&amp;G296&amp;"|"&amp;CF296)</f>
        <v/>
      </c>
    </row>
    <row r="297" customFormat="false" ht="15" hidden="false" customHeight="false" outlineLevel="0" collapsed="false">
      <c r="A297" s="10" t="str">
        <f aca="false">IF(D297="","","RW-"&amp;IFERROR(VLOOKUP(D297,Lists!$M$4:$N$22,2,0),"??")&amp;"-H"&amp;TEXT(E297*1000,"0000")&amp;"-S"&amp;F297&amp;IF(G297="Y","-GW","")&amp;"-"&amp;AO297)</f>
        <v/>
      </c>
      <c r="B297" s="10" t="str">
        <f aca="false">IF(D297="","",D297&amp;", H = "&amp;TEXT(E297,"0.0")&amp;" m, q = "&amp;F297&amp;" kPa"&amp;IF(G297="Y",", with GWT","")&amp;", "&amp;I297)</f>
        <v/>
      </c>
      <c r="C297" s="9"/>
      <c r="D297" s="9"/>
      <c r="E297" s="39"/>
      <c r="F297" s="38"/>
      <c r="G297" s="9"/>
      <c r="H297" s="38"/>
      <c r="I297" s="9"/>
      <c r="J297" s="38"/>
      <c r="K297" s="38"/>
      <c r="L297" s="38"/>
      <c r="M297" s="42"/>
      <c r="N297" s="9"/>
      <c r="O297" s="38"/>
      <c r="P297" s="38"/>
      <c r="Q297" s="38"/>
      <c r="R297" s="38"/>
      <c r="S297" s="38"/>
      <c r="T297" s="38"/>
      <c r="U297" s="9"/>
      <c r="V297" s="9"/>
      <c r="W297" s="38"/>
      <c r="X297" s="9"/>
      <c r="Y297" s="9"/>
      <c r="Z297" s="9"/>
      <c r="AA297" s="9"/>
      <c r="AB297" s="9"/>
      <c r="AC297" s="9"/>
      <c r="AD297" s="39"/>
      <c r="AE297" s="39"/>
      <c r="AF297" s="39"/>
      <c r="AG297" s="38"/>
      <c r="AH297" s="38"/>
      <c r="AI297" s="9"/>
      <c r="AJ297" s="38"/>
      <c r="AK297" s="9"/>
      <c r="AL297" s="39"/>
      <c r="AM297" s="9"/>
      <c r="AN297" s="9"/>
      <c r="AO297" s="9"/>
      <c r="AP297" s="9"/>
      <c r="AQ297" s="9"/>
      <c r="AR297" s="9"/>
      <c r="AS297" s="9"/>
      <c r="AT297" s="10" t="str">
        <f aca="false">IF(A297="","",SG_Criteria!$B$6&amp;SG_Criteria!$B$8&amp;"\"&amp;A297&amp;"\")</f>
        <v/>
      </c>
      <c r="AU297" s="10" t="str">
        <f aca="false">IF(A297="","",A297&amp;"_CAD.dwg")</f>
        <v/>
      </c>
      <c r="AV297" s="10" t="str">
        <f aca="false">IF(A297="","",A297&amp;"_DWG.pdf")</f>
        <v/>
      </c>
      <c r="AW297" s="10" t="str">
        <f aca="false">IF(A297="","",IF(AS297="Y",A297&amp;"_STAAD.std","n/a"))</f>
        <v/>
      </c>
      <c r="AX297" s="10" t="str">
        <f aca="false">IF(A297="","",A297&amp;"_CALC.xlsx")</f>
        <v/>
      </c>
      <c r="AY297" s="10" t="str">
        <f aca="false">IF(A297="","",A297&amp;"_CALC.pdf")</f>
        <v/>
      </c>
      <c r="AZ297" s="9"/>
      <c r="BA297" s="9"/>
      <c r="BB297" s="39"/>
      <c r="BC297" s="39"/>
      <c r="BD297" s="39"/>
      <c r="BE297" s="39"/>
      <c r="BF297" s="39"/>
      <c r="BG297" s="12" t="str">
        <f aca="false">IF(A297="","",IF(COUNTIF(Rebar_Schedule!$A$5:$A$2004,A297)=0,"",ROUND(SUMIF(Rebar_Schedule!$A$5:$A$2004,A297,Rebar_Schedule!$K$5:$K$2004),1)))</f>
        <v/>
      </c>
      <c r="BH297" s="33" t="str">
        <f aca="false">IF(A297="","",IF(BG297="","No rebar schedule yet",IF(ABS(BG297-N(BC297))/MAX(N(BC297),1)&gt;SG_Criteria!$B$55,"NOTE: register rebar differs from schedule by "&amp;TEXT(ABS(BG297-N(BC297))/MAX(N(BC297),1),"0%"),"OK")))</f>
        <v/>
      </c>
      <c r="BI297" s="33" t="str">
        <f aca="false">IF(OR(D297="",E297=""),"",IF(E297&lt;=IF(OR(D297="Block / Segmental",D297="Gabion",D297="Reinforced Earth (MSE)"),SG_Criteria!$B$34,SG_Criteria!$B$33),"No ERSS submission",IF(E297&lt;=SG_Criteria!$B$35,"QP(ST)",IF(E297&lt;=SG_Criteria!$B$36,"QP(ST) + AC","Geotechnical building works: QP(Geo) + AC"))))</f>
        <v/>
      </c>
      <c r="BJ297" s="33" t="str">
        <f aca="false">IF(D297="","",IF(LEN(IF(AND(V297&lt;&gt;"",IFERROR(VALUE(MID(V297,2,2)),0)&lt;SG_Criteria!$B$19),"FAIL: grade below C"&amp;SG_Criteria!$B$19&amp;". ","")&amp;IF(AND(W297&lt;&gt;"",W297&lt;SG_Criteria!$B$20),"FAIL: cover &lt; "&amp;SG_Criteria!$B$20&amp;" mm. ","")&amp;IF(AND(AD297&lt;&gt;"",AD297&lt;1),"FAIL: sliding. ","")&amp;IF(AND(D297="Reverse L-Wall (toe only, at boundary)",N(S297)&gt;0),"NOTE: reverse L-wall should have no heel. ","")&amp;IF(AND(D297="L-Wall (heel only)",N(R297)&gt;0),"NOTE: L-wall should have no toe. ","")&amp;IF(AND(F297&lt;&gt;"",F297&lt;SG_Criteria!$B$31),"NOTE: q below LTA min "&amp;SG_Criteria!$B$31&amp;" kPa (not for LTA works). ",""))=0,"OK",IF(AND(V297&lt;&gt;"",IFERROR(VALUE(MID(V297,2,2)),0)&lt;SG_Criteria!$B$19),"FAIL: grade below C"&amp;SG_Criteria!$B$19&amp;". ","")&amp;IF(AND(W297&lt;&gt;"",W297&lt;SG_Criteria!$B$20),"FAIL: cover &lt; "&amp;SG_Criteria!$B$20&amp;" mm. ","")&amp;IF(AND(AD297&lt;&gt;"",AD297&lt;1),"FAIL: sliding. ","")&amp;IF(AND(D297="Reverse L-Wall (toe only, at boundary)",N(S297)&gt;0),"NOTE: reverse L-wall should have no heel. ","")&amp;IF(AND(D297="L-Wall (heel only)",N(R297)&gt;0),"NOTE: L-wall should have no toe. ","")&amp;IF(AND(F297&lt;&gt;"",F297&lt;SG_Criteria!$B$31),"NOTE: q below LTA min "&amp;SG_Criteria!$B$31&amp;" kPa (not for LTA works). ","")))</f>
        <v/>
      </c>
      <c r="BK297" s="9"/>
      <c r="BL297" s="9"/>
      <c r="BM297" s="9"/>
      <c r="BN297" s="10" t="str">
        <f aca="false">IF(BM297="","",IFERROR(VLOOKUP(BM297,Projects!$A$5:$D$504,2,0),"Ref not in Projects"))</f>
        <v/>
      </c>
      <c r="BO297" s="10" t="str">
        <f aca="false">IF(BM297="","",IFERROR(VLOOKUP(BM297,Projects!$A$5:$D$504,4,0),"Ref not in Projects"))</f>
        <v/>
      </c>
      <c r="BP297" s="9"/>
      <c r="BQ297" s="9"/>
      <c r="BR297" s="9"/>
      <c r="BS297" s="40"/>
      <c r="BT297" s="9"/>
      <c r="BU297" s="40"/>
      <c r="BV297" s="9"/>
      <c r="BW297" s="40"/>
      <c r="BX297" s="9"/>
      <c r="BY297" s="9"/>
      <c r="BZ297" s="9"/>
      <c r="CA297" s="40"/>
      <c r="CB297" s="40"/>
      <c r="CC297" s="36" t="str">
        <f aca="false">IF(CB297="","",EDATE(CB297,SG_Criteria!$B$54*12))</f>
        <v/>
      </c>
      <c r="CD297" s="33" t="str">
        <f aca="true">IF(A297="","",IF(CB297="","NOTE: not reviewed yet",IF(TODAY()&gt;CC297,"NOTE: review overdue","OK")))</f>
        <v/>
      </c>
      <c r="CE297" s="37" t="str">
        <f aca="false">IF(A297="","",ROUND((IF(LEN(D297)&gt;0,1,0)+IF(LEN(E297)&gt;0,1,0)+IF(LEN(F297)&gt;0,1,0)+IF(LEN(G297)&gt;0,1,0)+IF(LEN(I297)&gt;0,1,0)+IF(LEN(K297)&gt;0,1,0)+IF(LEN(P297)&gt;0,1,0)+IF(LEN(Q297)&gt;0,1,0)+IF(LEN(T297)&gt;0,1,0)+IF(LEN(V297)&gt;0,1,0)+IF(LEN(W297)&gt;0,1,0)+IF(LEN(X297)&gt;0,1,0)+IF(LEN(Z297)&gt;0,1,0)+IF(LEN(AD297)&gt;0,1,0)+IF(LEN(AE297)&gt;0,1,0)+IF(LEN(AG297)&gt;0,1,0)+IF(LEN(AI297)&gt;0,1,0)+IF(LEN(BB297)&gt;0,1,0)+IF(LEN(BC297)&gt;0,1,0)+IF(LEN(AM297)&gt;0,1,0)+IF(LEN(AO297)&gt;0,1,0)+IF(LEN(AP297)&gt;0,1,0)+IF(LEN(AQ297)&gt;0,1,0)+IF(LEN(AR297)&gt;0,1,0)+IF(LEN(BA297)&gt;0,1,0)+IF(LEN(BM297)&gt;0,1,0)+IF(LEN(BZ297)&gt;0,1,0))/27,2))</f>
        <v/>
      </c>
      <c r="CF297" s="10" t="str">
        <f aca="false">IF(D297="","",IF(AND(AP297="Approved",ISERROR(SEARCH("FAIL",BJ297))),"Y","N"))</f>
        <v/>
      </c>
      <c r="CG297" s="10" t="str">
        <f aca="false">IF(D297="","",D297&amp;"|"&amp;E297&amp;"|"&amp;F297&amp;"|"&amp;G297&amp;"|"&amp;CF297)</f>
        <v/>
      </c>
    </row>
    <row r="298" customFormat="false" ht="15" hidden="false" customHeight="false" outlineLevel="0" collapsed="false">
      <c r="A298" s="10" t="str">
        <f aca="false">IF(D298="","","RW-"&amp;IFERROR(VLOOKUP(D298,Lists!$M$4:$N$22,2,0),"??")&amp;"-H"&amp;TEXT(E298*1000,"0000")&amp;"-S"&amp;F298&amp;IF(G298="Y","-GW","")&amp;"-"&amp;AO298)</f>
        <v/>
      </c>
      <c r="B298" s="10" t="str">
        <f aca="false">IF(D298="","",D298&amp;", H = "&amp;TEXT(E298,"0.0")&amp;" m, q = "&amp;F298&amp;" kPa"&amp;IF(G298="Y",", with GWT","")&amp;", "&amp;I298)</f>
        <v/>
      </c>
      <c r="C298" s="9"/>
      <c r="D298" s="9"/>
      <c r="E298" s="39"/>
      <c r="F298" s="38"/>
      <c r="G298" s="9"/>
      <c r="H298" s="38"/>
      <c r="I298" s="9"/>
      <c r="J298" s="38"/>
      <c r="K298" s="38"/>
      <c r="L298" s="38"/>
      <c r="M298" s="42"/>
      <c r="N298" s="9"/>
      <c r="O298" s="38"/>
      <c r="P298" s="38"/>
      <c r="Q298" s="38"/>
      <c r="R298" s="38"/>
      <c r="S298" s="38"/>
      <c r="T298" s="38"/>
      <c r="U298" s="9"/>
      <c r="V298" s="9"/>
      <c r="W298" s="38"/>
      <c r="X298" s="9"/>
      <c r="Y298" s="9"/>
      <c r="Z298" s="9"/>
      <c r="AA298" s="9"/>
      <c r="AB298" s="9"/>
      <c r="AC298" s="9"/>
      <c r="AD298" s="39"/>
      <c r="AE298" s="39"/>
      <c r="AF298" s="39"/>
      <c r="AG298" s="38"/>
      <c r="AH298" s="38"/>
      <c r="AI298" s="9"/>
      <c r="AJ298" s="38"/>
      <c r="AK298" s="9"/>
      <c r="AL298" s="39"/>
      <c r="AM298" s="9"/>
      <c r="AN298" s="9"/>
      <c r="AO298" s="9"/>
      <c r="AP298" s="9"/>
      <c r="AQ298" s="9"/>
      <c r="AR298" s="9"/>
      <c r="AS298" s="9"/>
      <c r="AT298" s="10" t="str">
        <f aca="false">IF(A298="","",SG_Criteria!$B$6&amp;SG_Criteria!$B$8&amp;"\"&amp;A298&amp;"\")</f>
        <v/>
      </c>
      <c r="AU298" s="10" t="str">
        <f aca="false">IF(A298="","",A298&amp;"_CAD.dwg")</f>
        <v/>
      </c>
      <c r="AV298" s="10" t="str">
        <f aca="false">IF(A298="","",A298&amp;"_DWG.pdf")</f>
        <v/>
      </c>
      <c r="AW298" s="10" t="str">
        <f aca="false">IF(A298="","",IF(AS298="Y",A298&amp;"_STAAD.std","n/a"))</f>
        <v/>
      </c>
      <c r="AX298" s="10" t="str">
        <f aca="false">IF(A298="","",A298&amp;"_CALC.xlsx")</f>
        <v/>
      </c>
      <c r="AY298" s="10" t="str">
        <f aca="false">IF(A298="","",A298&amp;"_CALC.pdf")</f>
        <v/>
      </c>
      <c r="AZ298" s="9"/>
      <c r="BA298" s="9"/>
      <c r="BB298" s="39"/>
      <c r="BC298" s="39"/>
      <c r="BD298" s="39"/>
      <c r="BE298" s="39"/>
      <c r="BF298" s="39"/>
      <c r="BG298" s="12" t="str">
        <f aca="false">IF(A298="","",IF(COUNTIF(Rebar_Schedule!$A$5:$A$2004,A298)=0,"",ROUND(SUMIF(Rebar_Schedule!$A$5:$A$2004,A298,Rebar_Schedule!$K$5:$K$2004),1)))</f>
        <v/>
      </c>
      <c r="BH298" s="33" t="str">
        <f aca="false">IF(A298="","",IF(BG298="","No rebar schedule yet",IF(ABS(BG298-N(BC298))/MAX(N(BC298),1)&gt;SG_Criteria!$B$55,"NOTE: register rebar differs from schedule by "&amp;TEXT(ABS(BG298-N(BC298))/MAX(N(BC298),1),"0%"),"OK")))</f>
        <v/>
      </c>
      <c r="BI298" s="33" t="str">
        <f aca="false">IF(OR(D298="",E298=""),"",IF(E298&lt;=IF(OR(D298="Block / Segmental",D298="Gabion",D298="Reinforced Earth (MSE)"),SG_Criteria!$B$34,SG_Criteria!$B$33),"No ERSS submission",IF(E298&lt;=SG_Criteria!$B$35,"QP(ST)",IF(E298&lt;=SG_Criteria!$B$36,"QP(ST) + AC","Geotechnical building works: QP(Geo) + AC"))))</f>
        <v/>
      </c>
      <c r="BJ298" s="33" t="str">
        <f aca="false">IF(D298="","",IF(LEN(IF(AND(V298&lt;&gt;"",IFERROR(VALUE(MID(V298,2,2)),0)&lt;SG_Criteria!$B$19),"FAIL: grade below C"&amp;SG_Criteria!$B$19&amp;". ","")&amp;IF(AND(W298&lt;&gt;"",W298&lt;SG_Criteria!$B$20),"FAIL: cover &lt; "&amp;SG_Criteria!$B$20&amp;" mm. ","")&amp;IF(AND(AD298&lt;&gt;"",AD298&lt;1),"FAIL: sliding. ","")&amp;IF(AND(D298="Reverse L-Wall (toe only, at boundary)",N(S298)&gt;0),"NOTE: reverse L-wall should have no heel. ","")&amp;IF(AND(D298="L-Wall (heel only)",N(R298)&gt;0),"NOTE: L-wall should have no toe. ","")&amp;IF(AND(F298&lt;&gt;"",F298&lt;SG_Criteria!$B$31),"NOTE: q below LTA min "&amp;SG_Criteria!$B$31&amp;" kPa (not for LTA works). ",""))=0,"OK",IF(AND(V298&lt;&gt;"",IFERROR(VALUE(MID(V298,2,2)),0)&lt;SG_Criteria!$B$19),"FAIL: grade below C"&amp;SG_Criteria!$B$19&amp;". ","")&amp;IF(AND(W298&lt;&gt;"",W298&lt;SG_Criteria!$B$20),"FAIL: cover &lt; "&amp;SG_Criteria!$B$20&amp;" mm. ","")&amp;IF(AND(AD298&lt;&gt;"",AD298&lt;1),"FAIL: sliding. ","")&amp;IF(AND(D298="Reverse L-Wall (toe only, at boundary)",N(S298)&gt;0),"NOTE: reverse L-wall should have no heel. ","")&amp;IF(AND(D298="L-Wall (heel only)",N(R298)&gt;0),"NOTE: L-wall should have no toe. ","")&amp;IF(AND(F298&lt;&gt;"",F298&lt;SG_Criteria!$B$31),"NOTE: q below LTA min "&amp;SG_Criteria!$B$31&amp;" kPa (not for LTA works). ","")))</f>
        <v/>
      </c>
      <c r="BK298" s="9"/>
      <c r="BL298" s="9"/>
      <c r="BM298" s="9"/>
      <c r="BN298" s="10" t="str">
        <f aca="false">IF(BM298="","",IFERROR(VLOOKUP(BM298,Projects!$A$5:$D$504,2,0),"Ref not in Projects"))</f>
        <v/>
      </c>
      <c r="BO298" s="10" t="str">
        <f aca="false">IF(BM298="","",IFERROR(VLOOKUP(BM298,Projects!$A$5:$D$504,4,0),"Ref not in Projects"))</f>
        <v/>
      </c>
      <c r="BP298" s="9"/>
      <c r="BQ298" s="9"/>
      <c r="BR298" s="9"/>
      <c r="BS298" s="40"/>
      <c r="BT298" s="9"/>
      <c r="BU298" s="40"/>
      <c r="BV298" s="9"/>
      <c r="BW298" s="40"/>
      <c r="BX298" s="9"/>
      <c r="BY298" s="9"/>
      <c r="BZ298" s="9"/>
      <c r="CA298" s="40"/>
      <c r="CB298" s="40"/>
      <c r="CC298" s="36" t="str">
        <f aca="false">IF(CB298="","",EDATE(CB298,SG_Criteria!$B$54*12))</f>
        <v/>
      </c>
      <c r="CD298" s="33" t="str">
        <f aca="true">IF(A298="","",IF(CB298="","NOTE: not reviewed yet",IF(TODAY()&gt;CC298,"NOTE: review overdue","OK")))</f>
        <v/>
      </c>
      <c r="CE298" s="37" t="str">
        <f aca="false">IF(A298="","",ROUND((IF(LEN(D298)&gt;0,1,0)+IF(LEN(E298)&gt;0,1,0)+IF(LEN(F298)&gt;0,1,0)+IF(LEN(G298)&gt;0,1,0)+IF(LEN(I298)&gt;0,1,0)+IF(LEN(K298)&gt;0,1,0)+IF(LEN(P298)&gt;0,1,0)+IF(LEN(Q298)&gt;0,1,0)+IF(LEN(T298)&gt;0,1,0)+IF(LEN(V298)&gt;0,1,0)+IF(LEN(W298)&gt;0,1,0)+IF(LEN(X298)&gt;0,1,0)+IF(LEN(Z298)&gt;0,1,0)+IF(LEN(AD298)&gt;0,1,0)+IF(LEN(AE298)&gt;0,1,0)+IF(LEN(AG298)&gt;0,1,0)+IF(LEN(AI298)&gt;0,1,0)+IF(LEN(BB298)&gt;0,1,0)+IF(LEN(BC298)&gt;0,1,0)+IF(LEN(AM298)&gt;0,1,0)+IF(LEN(AO298)&gt;0,1,0)+IF(LEN(AP298)&gt;0,1,0)+IF(LEN(AQ298)&gt;0,1,0)+IF(LEN(AR298)&gt;0,1,0)+IF(LEN(BA298)&gt;0,1,0)+IF(LEN(BM298)&gt;0,1,0)+IF(LEN(BZ298)&gt;0,1,0))/27,2))</f>
        <v/>
      </c>
      <c r="CF298" s="10" t="str">
        <f aca="false">IF(D298="","",IF(AND(AP298="Approved",ISERROR(SEARCH("FAIL",BJ298))),"Y","N"))</f>
        <v/>
      </c>
      <c r="CG298" s="10" t="str">
        <f aca="false">IF(D298="","",D298&amp;"|"&amp;E298&amp;"|"&amp;F298&amp;"|"&amp;G298&amp;"|"&amp;CF298)</f>
        <v/>
      </c>
    </row>
    <row r="299" customFormat="false" ht="15" hidden="false" customHeight="false" outlineLevel="0" collapsed="false">
      <c r="A299" s="10" t="str">
        <f aca="false">IF(D299="","","RW-"&amp;IFERROR(VLOOKUP(D299,Lists!$M$4:$N$22,2,0),"??")&amp;"-H"&amp;TEXT(E299*1000,"0000")&amp;"-S"&amp;F299&amp;IF(G299="Y","-GW","")&amp;"-"&amp;AO299)</f>
        <v/>
      </c>
      <c r="B299" s="10" t="str">
        <f aca="false">IF(D299="","",D299&amp;", H = "&amp;TEXT(E299,"0.0")&amp;" m, q = "&amp;F299&amp;" kPa"&amp;IF(G299="Y",", with GWT","")&amp;", "&amp;I299)</f>
        <v/>
      </c>
      <c r="C299" s="9"/>
      <c r="D299" s="9"/>
      <c r="E299" s="39"/>
      <c r="F299" s="38"/>
      <c r="G299" s="9"/>
      <c r="H299" s="38"/>
      <c r="I299" s="9"/>
      <c r="J299" s="38"/>
      <c r="K299" s="38"/>
      <c r="L299" s="38"/>
      <c r="M299" s="42"/>
      <c r="N299" s="9"/>
      <c r="O299" s="38"/>
      <c r="P299" s="38"/>
      <c r="Q299" s="38"/>
      <c r="R299" s="38"/>
      <c r="S299" s="38"/>
      <c r="T299" s="38"/>
      <c r="U299" s="9"/>
      <c r="V299" s="9"/>
      <c r="W299" s="38"/>
      <c r="X299" s="9"/>
      <c r="Y299" s="9"/>
      <c r="Z299" s="9"/>
      <c r="AA299" s="9"/>
      <c r="AB299" s="9"/>
      <c r="AC299" s="9"/>
      <c r="AD299" s="39"/>
      <c r="AE299" s="39"/>
      <c r="AF299" s="39"/>
      <c r="AG299" s="38"/>
      <c r="AH299" s="38"/>
      <c r="AI299" s="9"/>
      <c r="AJ299" s="38"/>
      <c r="AK299" s="9"/>
      <c r="AL299" s="39"/>
      <c r="AM299" s="9"/>
      <c r="AN299" s="9"/>
      <c r="AO299" s="9"/>
      <c r="AP299" s="9"/>
      <c r="AQ299" s="9"/>
      <c r="AR299" s="9"/>
      <c r="AS299" s="9"/>
      <c r="AT299" s="10" t="str">
        <f aca="false">IF(A299="","",SG_Criteria!$B$6&amp;SG_Criteria!$B$8&amp;"\"&amp;A299&amp;"\")</f>
        <v/>
      </c>
      <c r="AU299" s="10" t="str">
        <f aca="false">IF(A299="","",A299&amp;"_CAD.dwg")</f>
        <v/>
      </c>
      <c r="AV299" s="10" t="str">
        <f aca="false">IF(A299="","",A299&amp;"_DWG.pdf")</f>
        <v/>
      </c>
      <c r="AW299" s="10" t="str">
        <f aca="false">IF(A299="","",IF(AS299="Y",A299&amp;"_STAAD.std","n/a"))</f>
        <v/>
      </c>
      <c r="AX299" s="10" t="str">
        <f aca="false">IF(A299="","",A299&amp;"_CALC.xlsx")</f>
        <v/>
      </c>
      <c r="AY299" s="10" t="str">
        <f aca="false">IF(A299="","",A299&amp;"_CALC.pdf")</f>
        <v/>
      </c>
      <c r="AZ299" s="9"/>
      <c r="BA299" s="9"/>
      <c r="BB299" s="39"/>
      <c r="BC299" s="39"/>
      <c r="BD299" s="39"/>
      <c r="BE299" s="39"/>
      <c r="BF299" s="39"/>
      <c r="BG299" s="12" t="str">
        <f aca="false">IF(A299="","",IF(COUNTIF(Rebar_Schedule!$A$5:$A$2004,A299)=0,"",ROUND(SUMIF(Rebar_Schedule!$A$5:$A$2004,A299,Rebar_Schedule!$K$5:$K$2004),1)))</f>
        <v/>
      </c>
      <c r="BH299" s="33" t="str">
        <f aca="false">IF(A299="","",IF(BG299="","No rebar schedule yet",IF(ABS(BG299-N(BC299))/MAX(N(BC299),1)&gt;SG_Criteria!$B$55,"NOTE: register rebar differs from schedule by "&amp;TEXT(ABS(BG299-N(BC299))/MAX(N(BC299),1),"0%"),"OK")))</f>
        <v/>
      </c>
      <c r="BI299" s="33" t="str">
        <f aca="false">IF(OR(D299="",E299=""),"",IF(E299&lt;=IF(OR(D299="Block / Segmental",D299="Gabion",D299="Reinforced Earth (MSE)"),SG_Criteria!$B$34,SG_Criteria!$B$33),"No ERSS submission",IF(E299&lt;=SG_Criteria!$B$35,"QP(ST)",IF(E299&lt;=SG_Criteria!$B$36,"QP(ST) + AC","Geotechnical building works: QP(Geo) + AC"))))</f>
        <v/>
      </c>
      <c r="BJ299" s="33" t="str">
        <f aca="false">IF(D299="","",IF(LEN(IF(AND(V299&lt;&gt;"",IFERROR(VALUE(MID(V299,2,2)),0)&lt;SG_Criteria!$B$19),"FAIL: grade below C"&amp;SG_Criteria!$B$19&amp;". ","")&amp;IF(AND(W299&lt;&gt;"",W299&lt;SG_Criteria!$B$20),"FAIL: cover &lt; "&amp;SG_Criteria!$B$20&amp;" mm. ","")&amp;IF(AND(AD299&lt;&gt;"",AD299&lt;1),"FAIL: sliding. ","")&amp;IF(AND(D299="Reverse L-Wall (toe only, at boundary)",N(S299)&gt;0),"NOTE: reverse L-wall should have no heel. ","")&amp;IF(AND(D299="L-Wall (heel only)",N(R299)&gt;0),"NOTE: L-wall should have no toe. ","")&amp;IF(AND(F299&lt;&gt;"",F299&lt;SG_Criteria!$B$31),"NOTE: q below LTA min "&amp;SG_Criteria!$B$31&amp;" kPa (not for LTA works). ",""))=0,"OK",IF(AND(V299&lt;&gt;"",IFERROR(VALUE(MID(V299,2,2)),0)&lt;SG_Criteria!$B$19),"FAIL: grade below C"&amp;SG_Criteria!$B$19&amp;". ","")&amp;IF(AND(W299&lt;&gt;"",W299&lt;SG_Criteria!$B$20),"FAIL: cover &lt; "&amp;SG_Criteria!$B$20&amp;" mm. ","")&amp;IF(AND(AD299&lt;&gt;"",AD299&lt;1),"FAIL: sliding. ","")&amp;IF(AND(D299="Reverse L-Wall (toe only, at boundary)",N(S299)&gt;0),"NOTE: reverse L-wall should have no heel. ","")&amp;IF(AND(D299="L-Wall (heel only)",N(R299)&gt;0),"NOTE: L-wall should have no toe. ","")&amp;IF(AND(F299&lt;&gt;"",F299&lt;SG_Criteria!$B$31),"NOTE: q below LTA min "&amp;SG_Criteria!$B$31&amp;" kPa (not for LTA works). ","")))</f>
        <v/>
      </c>
      <c r="BK299" s="9"/>
      <c r="BL299" s="9"/>
      <c r="BM299" s="9"/>
      <c r="BN299" s="10" t="str">
        <f aca="false">IF(BM299="","",IFERROR(VLOOKUP(BM299,Projects!$A$5:$D$504,2,0),"Ref not in Projects"))</f>
        <v/>
      </c>
      <c r="BO299" s="10" t="str">
        <f aca="false">IF(BM299="","",IFERROR(VLOOKUP(BM299,Projects!$A$5:$D$504,4,0),"Ref not in Projects"))</f>
        <v/>
      </c>
      <c r="BP299" s="9"/>
      <c r="BQ299" s="9"/>
      <c r="BR299" s="9"/>
      <c r="BS299" s="40"/>
      <c r="BT299" s="9"/>
      <c r="BU299" s="40"/>
      <c r="BV299" s="9"/>
      <c r="BW299" s="40"/>
      <c r="BX299" s="9"/>
      <c r="BY299" s="9"/>
      <c r="BZ299" s="9"/>
      <c r="CA299" s="40"/>
      <c r="CB299" s="40"/>
      <c r="CC299" s="36" t="str">
        <f aca="false">IF(CB299="","",EDATE(CB299,SG_Criteria!$B$54*12))</f>
        <v/>
      </c>
      <c r="CD299" s="33" t="str">
        <f aca="true">IF(A299="","",IF(CB299="","NOTE: not reviewed yet",IF(TODAY()&gt;CC299,"NOTE: review overdue","OK")))</f>
        <v/>
      </c>
      <c r="CE299" s="37" t="str">
        <f aca="false">IF(A299="","",ROUND((IF(LEN(D299)&gt;0,1,0)+IF(LEN(E299)&gt;0,1,0)+IF(LEN(F299)&gt;0,1,0)+IF(LEN(G299)&gt;0,1,0)+IF(LEN(I299)&gt;0,1,0)+IF(LEN(K299)&gt;0,1,0)+IF(LEN(P299)&gt;0,1,0)+IF(LEN(Q299)&gt;0,1,0)+IF(LEN(T299)&gt;0,1,0)+IF(LEN(V299)&gt;0,1,0)+IF(LEN(W299)&gt;0,1,0)+IF(LEN(X299)&gt;0,1,0)+IF(LEN(Z299)&gt;0,1,0)+IF(LEN(AD299)&gt;0,1,0)+IF(LEN(AE299)&gt;0,1,0)+IF(LEN(AG299)&gt;0,1,0)+IF(LEN(AI299)&gt;0,1,0)+IF(LEN(BB299)&gt;0,1,0)+IF(LEN(BC299)&gt;0,1,0)+IF(LEN(AM299)&gt;0,1,0)+IF(LEN(AO299)&gt;0,1,0)+IF(LEN(AP299)&gt;0,1,0)+IF(LEN(AQ299)&gt;0,1,0)+IF(LEN(AR299)&gt;0,1,0)+IF(LEN(BA299)&gt;0,1,0)+IF(LEN(BM299)&gt;0,1,0)+IF(LEN(BZ299)&gt;0,1,0))/27,2))</f>
        <v/>
      </c>
      <c r="CF299" s="10" t="str">
        <f aca="false">IF(D299="","",IF(AND(AP299="Approved",ISERROR(SEARCH("FAIL",BJ299))),"Y","N"))</f>
        <v/>
      </c>
      <c r="CG299" s="10" t="str">
        <f aca="false">IF(D299="","",D299&amp;"|"&amp;E299&amp;"|"&amp;F299&amp;"|"&amp;G299&amp;"|"&amp;CF299)</f>
        <v/>
      </c>
    </row>
    <row r="300" customFormat="false" ht="15" hidden="false" customHeight="false" outlineLevel="0" collapsed="false">
      <c r="A300" s="10" t="str">
        <f aca="false">IF(D300="","","RW-"&amp;IFERROR(VLOOKUP(D300,Lists!$M$4:$N$22,2,0),"??")&amp;"-H"&amp;TEXT(E300*1000,"0000")&amp;"-S"&amp;F300&amp;IF(G300="Y","-GW","")&amp;"-"&amp;AO300)</f>
        <v/>
      </c>
      <c r="B300" s="10" t="str">
        <f aca="false">IF(D300="","",D300&amp;", H = "&amp;TEXT(E300,"0.0")&amp;" m, q = "&amp;F300&amp;" kPa"&amp;IF(G300="Y",", with GWT","")&amp;", "&amp;I300)</f>
        <v/>
      </c>
      <c r="C300" s="9"/>
      <c r="D300" s="9"/>
      <c r="E300" s="39"/>
      <c r="F300" s="38"/>
      <c r="G300" s="9"/>
      <c r="H300" s="38"/>
      <c r="I300" s="9"/>
      <c r="J300" s="38"/>
      <c r="K300" s="38"/>
      <c r="L300" s="38"/>
      <c r="M300" s="42"/>
      <c r="N300" s="9"/>
      <c r="O300" s="38"/>
      <c r="P300" s="38"/>
      <c r="Q300" s="38"/>
      <c r="R300" s="38"/>
      <c r="S300" s="38"/>
      <c r="T300" s="38"/>
      <c r="U300" s="9"/>
      <c r="V300" s="9"/>
      <c r="W300" s="38"/>
      <c r="X300" s="9"/>
      <c r="Y300" s="9"/>
      <c r="Z300" s="9"/>
      <c r="AA300" s="9"/>
      <c r="AB300" s="9"/>
      <c r="AC300" s="9"/>
      <c r="AD300" s="39"/>
      <c r="AE300" s="39"/>
      <c r="AF300" s="39"/>
      <c r="AG300" s="38"/>
      <c r="AH300" s="38"/>
      <c r="AI300" s="9"/>
      <c r="AJ300" s="38"/>
      <c r="AK300" s="9"/>
      <c r="AL300" s="39"/>
      <c r="AM300" s="9"/>
      <c r="AN300" s="9"/>
      <c r="AO300" s="9"/>
      <c r="AP300" s="9"/>
      <c r="AQ300" s="9"/>
      <c r="AR300" s="9"/>
      <c r="AS300" s="9"/>
      <c r="AT300" s="10" t="str">
        <f aca="false">IF(A300="","",SG_Criteria!$B$6&amp;SG_Criteria!$B$8&amp;"\"&amp;A300&amp;"\")</f>
        <v/>
      </c>
      <c r="AU300" s="10" t="str">
        <f aca="false">IF(A300="","",A300&amp;"_CAD.dwg")</f>
        <v/>
      </c>
      <c r="AV300" s="10" t="str">
        <f aca="false">IF(A300="","",A300&amp;"_DWG.pdf")</f>
        <v/>
      </c>
      <c r="AW300" s="10" t="str">
        <f aca="false">IF(A300="","",IF(AS300="Y",A300&amp;"_STAAD.std","n/a"))</f>
        <v/>
      </c>
      <c r="AX300" s="10" t="str">
        <f aca="false">IF(A300="","",A300&amp;"_CALC.xlsx")</f>
        <v/>
      </c>
      <c r="AY300" s="10" t="str">
        <f aca="false">IF(A300="","",A300&amp;"_CALC.pdf")</f>
        <v/>
      </c>
      <c r="AZ300" s="9"/>
      <c r="BA300" s="9"/>
      <c r="BB300" s="39"/>
      <c r="BC300" s="39"/>
      <c r="BD300" s="39"/>
      <c r="BE300" s="39"/>
      <c r="BF300" s="39"/>
      <c r="BG300" s="12" t="str">
        <f aca="false">IF(A300="","",IF(COUNTIF(Rebar_Schedule!$A$5:$A$2004,A300)=0,"",ROUND(SUMIF(Rebar_Schedule!$A$5:$A$2004,A300,Rebar_Schedule!$K$5:$K$2004),1)))</f>
        <v/>
      </c>
      <c r="BH300" s="33" t="str">
        <f aca="false">IF(A300="","",IF(BG300="","No rebar schedule yet",IF(ABS(BG300-N(BC300))/MAX(N(BC300),1)&gt;SG_Criteria!$B$55,"NOTE: register rebar differs from schedule by "&amp;TEXT(ABS(BG300-N(BC300))/MAX(N(BC300),1),"0%"),"OK")))</f>
        <v/>
      </c>
      <c r="BI300" s="33" t="str">
        <f aca="false">IF(OR(D300="",E300=""),"",IF(E300&lt;=IF(OR(D300="Block / Segmental",D300="Gabion",D300="Reinforced Earth (MSE)"),SG_Criteria!$B$34,SG_Criteria!$B$33),"No ERSS submission",IF(E300&lt;=SG_Criteria!$B$35,"QP(ST)",IF(E300&lt;=SG_Criteria!$B$36,"QP(ST) + AC","Geotechnical building works: QP(Geo) + AC"))))</f>
        <v/>
      </c>
      <c r="BJ300" s="33" t="str">
        <f aca="false">IF(D300="","",IF(LEN(IF(AND(V300&lt;&gt;"",IFERROR(VALUE(MID(V300,2,2)),0)&lt;SG_Criteria!$B$19),"FAIL: grade below C"&amp;SG_Criteria!$B$19&amp;". ","")&amp;IF(AND(W300&lt;&gt;"",W300&lt;SG_Criteria!$B$20),"FAIL: cover &lt; "&amp;SG_Criteria!$B$20&amp;" mm. ","")&amp;IF(AND(AD300&lt;&gt;"",AD300&lt;1),"FAIL: sliding. ","")&amp;IF(AND(D300="Reverse L-Wall (toe only, at boundary)",N(S300)&gt;0),"NOTE: reverse L-wall should have no heel. ","")&amp;IF(AND(D300="L-Wall (heel only)",N(R300)&gt;0),"NOTE: L-wall should have no toe. ","")&amp;IF(AND(F300&lt;&gt;"",F300&lt;SG_Criteria!$B$31),"NOTE: q below LTA min "&amp;SG_Criteria!$B$31&amp;" kPa (not for LTA works). ",""))=0,"OK",IF(AND(V300&lt;&gt;"",IFERROR(VALUE(MID(V300,2,2)),0)&lt;SG_Criteria!$B$19),"FAIL: grade below C"&amp;SG_Criteria!$B$19&amp;". ","")&amp;IF(AND(W300&lt;&gt;"",W300&lt;SG_Criteria!$B$20),"FAIL: cover &lt; "&amp;SG_Criteria!$B$20&amp;" mm. ","")&amp;IF(AND(AD300&lt;&gt;"",AD300&lt;1),"FAIL: sliding. ","")&amp;IF(AND(D300="Reverse L-Wall (toe only, at boundary)",N(S300)&gt;0),"NOTE: reverse L-wall should have no heel. ","")&amp;IF(AND(D300="L-Wall (heel only)",N(R300)&gt;0),"NOTE: L-wall should have no toe. ","")&amp;IF(AND(F300&lt;&gt;"",F300&lt;SG_Criteria!$B$31),"NOTE: q below LTA min "&amp;SG_Criteria!$B$31&amp;" kPa (not for LTA works). ","")))</f>
        <v/>
      </c>
      <c r="BK300" s="9"/>
      <c r="BL300" s="9"/>
      <c r="BM300" s="9"/>
      <c r="BN300" s="10" t="str">
        <f aca="false">IF(BM300="","",IFERROR(VLOOKUP(BM300,Projects!$A$5:$D$504,2,0),"Ref not in Projects"))</f>
        <v/>
      </c>
      <c r="BO300" s="10" t="str">
        <f aca="false">IF(BM300="","",IFERROR(VLOOKUP(BM300,Projects!$A$5:$D$504,4,0),"Ref not in Projects"))</f>
        <v/>
      </c>
      <c r="BP300" s="9"/>
      <c r="BQ300" s="9"/>
      <c r="BR300" s="9"/>
      <c r="BS300" s="40"/>
      <c r="BT300" s="9"/>
      <c r="BU300" s="40"/>
      <c r="BV300" s="9"/>
      <c r="BW300" s="40"/>
      <c r="BX300" s="9"/>
      <c r="BY300" s="9"/>
      <c r="BZ300" s="9"/>
      <c r="CA300" s="40"/>
      <c r="CB300" s="40"/>
      <c r="CC300" s="36" t="str">
        <f aca="false">IF(CB300="","",EDATE(CB300,SG_Criteria!$B$54*12))</f>
        <v/>
      </c>
      <c r="CD300" s="33" t="str">
        <f aca="true">IF(A300="","",IF(CB300="","NOTE: not reviewed yet",IF(TODAY()&gt;CC300,"NOTE: review overdue","OK")))</f>
        <v/>
      </c>
      <c r="CE300" s="37" t="str">
        <f aca="false">IF(A300="","",ROUND((IF(LEN(D300)&gt;0,1,0)+IF(LEN(E300)&gt;0,1,0)+IF(LEN(F300)&gt;0,1,0)+IF(LEN(G300)&gt;0,1,0)+IF(LEN(I300)&gt;0,1,0)+IF(LEN(K300)&gt;0,1,0)+IF(LEN(P300)&gt;0,1,0)+IF(LEN(Q300)&gt;0,1,0)+IF(LEN(T300)&gt;0,1,0)+IF(LEN(V300)&gt;0,1,0)+IF(LEN(W300)&gt;0,1,0)+IF(LEN(X300)&gt;0,1,0)+IF(LEN(Z300)&gt;0,1,0)+IF(LEN(AD300)&gt;0,1,0)+IF(LEN(AE300)&gt;0,1,0)+IF(LEN(AG300)&gt;0,1,0)+IF(LEN(AI300)&gt;0,1,0)+IF(LEN(BB300)&gt;0,1,0)+IF(LEN(BC300)&gt;0,1,0)+IF(LEN(AM300)&gt;0,1,0)+IF(LEN(AO300)&gt;0,1,0)+IF(LEN(AP300)&gt;0,1,0)+IF(LEN(AQ300)&gt;0,1,0)+IF(LEN(AR300)&gt;0,1,0)+IF(LEN(BA300)&gt;0,1,0)+IF(LEN(BM300)&gt;0,1,0)+IF(LEN(BZ300)&gt;0,1,0))/27,2))</f>
        <v/>
      </c>
      <c r="CF300" s="10" t="str">
        <f aca="false">IF(D300="","",IF(AND(AP300="Approved",ISERROR(SEARCH("FAIL",BJ300))),"Y","N"))</f>
        <v/>
      </c>
      <c r="CG300" s="10" t="str">
        <f aca="false">IF(D300="","",D300&amp;"|"&amp;E300&amp;"|"&amp;F300&amp;"|"&amp;G300&amp;"|"&amp;CF300)</f>
        <v/>
      </c>
    </row>
    <row r="301" customFormat="false" ht="15" hidden="false" customHeight="false" outlineLevel="0" collapsed="false">
      <c r="A301" s="10" t="str">
        <f aca="false">IF(D301="","","RW-"&amp;IFERROR(VLOOKUP(D301,Lists!$M$4:$N$22,2,0),"??")&amp;"-H"&amp;TEXT(E301*1000,"0000")&amp;"-S"&amp;F301&amp;IF(G301="Y","-GW","")&amp;"-"&amp;AO301)</f>
        <v/>
      </c>
      <c r="B301" s="10" t="str">
        <f aca="false">IF(D301="","",D301&amp;", H = "&amp;TEXT(E301,"0.0")&amp;" m, q = "&amp;F301&amp;" kPa"&amp;IF(G301="Y",", with GWT","")&amp;", "&amp;I301)</f>
        <v/>
      </c>
      <c r="C301" s="9"/>
      <c r="D301" s="9"/>
      <c r="E301" s="39"/>
      <c r="F301" s="38"/>
      <c r="G301" s="9"/>
      <c r="H301" s="38"/>
      <c r="I301" s="9"/>
      <c r="J301" s="38"/>
      <c r="K301" s="38"/>
      <c r="L301" s="38"/>
      <c r="M301" s="42"/>
      <c r="N301" s="9"/>
      <c r="O301" s="38"/>
      <c r="P301" s="38"/>
      <c r="Q301" s="38"/>
      <c r="R301" s="38"/>
      <c r="S301" s="38"/>
      <c r="T301" s="38"/>
      <c r="U301" s="9"/>
      <c r="V301" s="9"/>
      <c r="W301" s="38"/>
      <c r="X301" s="9"/>
      <c r="Y301" s="9"/>
      <c r="Z301" s="9"/>
      <c r="AA301" s="9"/>
      <c r="AB301" s="9"/>
      <c r="AC301" s="9"/>
      <c r="AD301" s="39"/>
      <c r="AE301" s="39"/>
      <c r="AF301" s="39"/>
      <c r="AG301" s="38"/>
      <c r="AH301" s="38"/>
      <c r="AI301" s="9"/>
      <c r="AJ301" s="38"/>
      <c r="AK301" s="9"/>
      <c r="AL301" s="39"/>
      <c r="AM301" s="9"/>
      <c r="AN301" s="9"/>
      <c r="AO301" s="9"/>
      <c r="AP301" s="9"/>
      <c r="AQ301" s="9"/>
      <c r="AR301" s="9"/>
      <c r="AS301" s="9"/>
      <c r="AT301" s="10" t="str">
        <f aca="false">IF(A301="","",SG_Criteria!$B$6&amp;SG_Criteria!$B$8&amp;"\"&amp;A301&amp;"\")</f>
        <v/>
      </c>
      <c r="AU301" s="10" t="str">
        <f aca="false">IF(A301="","",A301&amp;"_CAD.dwg")</f>
        <v/>
      </c>
      <c r="AV301" s="10" t="str">
        <f aca="false">IF(A301="","",A301&amp;"_DWG.pdf")</f>
        <v/>
      </c>
      <c r="AW301" s="10" t="str">
        <f aca="false">IF(A301="","",IF(AS301="Y",A301&amp;"_STAAD.std","n/a"))</f>
        <v/>
      </c>
      <c r="AX301" s="10" t="str">
        <f aca="false">IF(A301="","",A301&amp;"_CALC.xlsx")</f>
        <v/>
      </c>
      <c r="AY301" s="10" t="str">
        <f aca="false">IF(A301="","",A301&amp;"_CALC.pdf")</f>
        <v/>
      </c>
      <c r="AZ301" s="9"/>
      <c r="BA301" s="9"/>
      <c r="BB301" s="39"/>
      <c r="BC301" s="39"/>
      <c r="BD301" s="39"/>
      <c r="BE301" s="39"/>
      <c r="BF301" s="39"/>
      <c r="BG301" s="12" t="str">
        <f aca="false">IF(A301="","",IF(COUNTIF(Rebar_Schedule!$A$5:$A$2004,A301)=0,"",ROUND(SUMIF(Rebar_Schedule!$A$5:$A$2004,A301,Rebar_Schedule!$K$5:$K$2004),1)))</f>
        <v/>
      </c>
      <c r="BH301" s="33" t="str">
        <f aca="false">IF(A301="","",IF(BG301="","No rebar schedule yet",IF(ABS(BG301-N(BC301))/MAX(N(BC301),1)&gt;SG_Criteria!$B$55,"NOTE: register rebar differs from schedule by "&amp;TEXT(ABS(BG301-N(BC301))/MAX(N(BC301),1),"0%"),"OK")))</f>
        <v/>
      </c>
      <c r="BI301" s="33" t="str">
        <f aca="false">IF(OR(D301="",E301=""),"",IF(E301&lt;=IF(OR(D301="Block / Segmental",D301="Gabion",D301="Reinforced Earth (MSE)"),SG_Criteria!$B$34,SG_Criteria!$B$33),"No ERSS submission",IF(E301&lt;=SG_Criteria!$B$35,"QP(ST)",IF(E301&lt;=SG_Criteria!$B$36,"QP(ST) + AC","Geotechnical building works: QP(Geo) + AC"))))</f>
        <v/>
      </c>
      <c r="BJ301" s="33" t="str">
        <f aca="false">IF(D301="","",IF(LEN(IF(AND(V301&lt;&gt;"",IFERROR(VALUE(MID(V301,2,2)),0)&lt;SG_Criteria!$B$19),"FAIL: grade below C"&amp;SG_Criteria!$B$19&amp;". ","")&amp;IF(AND(W301&lt;&gt;"",W301&lt;SG_Criteria!$B$20),"FAIL: cover &lt; "&amp;SG_Criteria!$B$20&amp;" mm. ","")&amp;IF(AND(AD301&lt;&gt;"",AD301&lt;1),"FAIL: sliding. ","")&amp;IF(AND(D301="Reverse L-Wall (toe only, at boundary)",N(S301)&gt;0),"NOTE: reverse L-wall should have no heel. ","")&amp;IF(AND(D301="L-Wall (heel only)",N(R301)&gt;0),"NOTE: L-wall should have no toe. ","")&amp;IF(AND(F301&lt;&gt;"",F301&lt;SG_Criteria!$B$31),"NOTE: q below LTA min "&amp;SG_Criteria!$B$31&amp;" kPa (not for LTA works). ",""))=0,"OK",IF(AND(V301&lt;&gt;"",IFERROR(VALUE(MID(V301,2,2)),0)&lt;SG_Criteria!$B$19),"FAIL: grade below C"&amp;SG_Criteria!$B$19&amp;". ","")&amp;IF(AND(W301&lt;&gt;"",W301&lt;SG_Criteria!$B$20),"FAIL: cover &lt; "&amp;SG_Criteria!$B$20&amp;" mm. ","")&amp;IF(AND(AD301&lt;&gt;"",AD301&lt;1),"FAIL: sliding. ","")&amp;IF(AND(D301="Reverse L-Wall (toe only, at boundary)",N(S301)&gt;0),"NOTE: reverse L-wall should have no heel. ","")&amp;IF(AND(D301="L-Wall (heel only)",N(R301)&gt;0),"NOTE: L-wall should have no toe. ","")&amp;IF(AND(F301&lt;&gt;"",F301&lt;SG_Criteria!$B$31),"NOTE: q below LTA min "&amp;SG_Criteria!$B$31&amp;" kPa (not for LTA works). ","")))</f>
        <v/>
      </c>
      <c r="BK301" s="9"/>
      <c r="BL301" s="9"/>
      <c r="BM301" s="9"/>
      <c r="BN301" s="10" t="str">
        <f aca="false">IF(BM301="","",IFERROR(VLOOKUP(BM301,Projects!$A$5:$D$504,2,0),"Ref not in Projects"))</f>
        <v/>
      </c>
      <c r="BO301" s="10" t="str">
        <f aca="false">IF(BM301="","",IFERROR(VLOOKUP(BM301,Projects!$A$5:$D$504,4,0),"Ref not in Projects"))</f>
        <v/>
      </c>
      <c r="BP301" s="9"/>
      <c r="BQ301" s="9"/>
      <c r="BR301" s="9"/>
      <c r="BS301" s="40"/>
      <c r="BT301" s="9"/>
      <c r="BU301" s="40"/>
      <c r="BV301" s="9"/>
      <c r="BW301" s="40"/>
      <c r="BX301" s="9"/>
      <c r="BY301" s="9"/>
      <c r="BZ301" s="9"/>
      <c r="CA301" s="40"/>
      <c r="CB301" s="40"/>
      <c r="CC301" s="36" t="str">
        <f aca="false">IF(CB301="","",EDATE(CB301,SG_Criteria!$B$54*12))</f>
        <v/>
      </c>
      <c r="CD301" s="33" t="str">
        <f aca="true">IF(A301="","",IF(CB301="","NOTE: not reviewed yet",IF(TODAY()&gt;CC301,"NOTE: review overdue","OK")))</f>
        <v/>
      </c>
      <c r="CE301" s="37" t="str">
        <f aca="false">IF(A301="","",ROUND((IF(LEN(D301)&gt;0,1,0)+IF(LEN(E301)&gt;0,1,0)+IF(LEN(F301)&gt;0,1,0)+IF(LEN(G301)&gt;0,1,0)+IF(LEN(I301)&gt;0,1,0)+IF(LEN(K301)&gt;0,1,0)+IF(LEN(P301)&gt;0,1,0)+IF(LEN(Q301)&gt;0,1,0)+IF(LEN(T301)&gt;0,1,0)+IF(LEN(V301)&gt;0,1,0)+IF(LEN(W301)&gt;0,1,0)+IF(LEN(X301)&gt;0,1,0)+IF(LEN(Z301)&gt;0,1,0)+IF(LEN(AD301)&gt;0,1,0)+IF(LEN(AE301)&gt;0,1,0)+IF(LEN(AG301)&gt;0,1,0)+IF(LEN(AI301)&gt;0,1,0)+IF(LEN(BB301)&gt;0,1,0)+IF(LEN(BC301)&gt;0,1,0)+IF(LEN(AM301)&gt;0,1,0)+IF(LEN(AO301)&gt;0,1,0)+IF(LEN(AP301)&gt;0,1,0)+IF(LEN(AQ301)&gt;0,1,0)+IF(LEN(AR301)&gt;0,1,0)+IF(LEN(BA301)&gt;0,1,0)+IF(LEN(BM301)&gt;0,1,0)+IF(LEN(BZ301)&gt;0,1,0))/27,2))</f>
        <v/>
      </c>
      <c r="CF301" s="10" t="str">
        <f aca="false">IF(D301="","",IF(AND(AP301="Approved",ISERROR(SEARCH("FAIL",BJ301))),"Y","N"))</f>
        <v/>
      </c>
      <c r="CG301" s="10" t="str">
        <f aca="false">IF(D301="","",D301&amp;"|"&amp;E301&amp;"|"&amp;F301&amp;"|"&amp;G301&amp;"|"&amp;CF301)</f>
        <v/>
      </c>
    </row>
    <row r="302" customFormat="false" ht="15" hidden="false" customHeight="false" outlineLevel="0" collapsed="false">
      <c r="A302" s="10" t="str">
        <f aca="false">IF(D302="","","RW-"&amp;IFERROR(VLOOKUP(D302,Lists!$M$4:$N$22,2,0),"??")&amp;"-H"&amp;TEXT(E302*1000,"0000")&amp;"-S"&amp;F302&amp;IF(G302="Y","-GW","")&amp;"-"&amp;AO302)</f>
        <v/>
      </c>
      <c r="B302" s="10" t="str">
        <f aca="false">IF(D302="","",D302&amp;", H = "&amp;TEXT(E302,"0.0")&amp;" m, q = "&amp;F302&amp;" kPa"&amp;IF(G302="Y",", with GWT","")&amp;", "&amp;I302)</f>
        <v/>
      </c>
      <c r="C302" s="9"/>
      <c r="D302" s="9"/>
      <c r="E302" s="39"/>
      <c r="F302" s="38"/>
      <c r="G302" s="9"/>
      <c r="H302" s="38"/>
      <c r="I302" s="9"/>
      <c r="J302" s="38"/>
      <c r="K302" s="38"/>
      <c r="L302" s="38"/>
      <c r="M302" s="42"/>
      <c r="N302" s="9"/>
      <c r="O302" s="38"/>
      <c r="P302" s="38"/>
      <c r="Q302" s="38"/>
      <c r="R302" s="38"/>
      <c r="S302" s="38"/>
      <c r="T302" s="38"/>
      <c r="U302" s="9"/>
      <c r="V302" s="9"/>
      <c r="W302" s="38"/>
      <c r="X302" s="9"/>
      <c r="Y302" s="9"/>
      <c r="Z302" s="9"/>
      <c r="AA302" s="9"/>
      <c r="AB302" s="9"/>
      <c r="AC302" s="9"/>
      <c r="AD302" s="39"/>
      <c r="AE302" s="39"/>
      <c r="AF302" s="39"/>
      <c r="AG302" s="38"/>
      <c r="AH302" s="38"/>
      <c r="AI302" s="9"/>
      <c r="AJ302" s="38"/>
      <c r="AK302" s="9"/>
      <c r="AL302" s="39"/>
      <c r="AM302" s="9"/>
      <c r="AN302" s="9"/>
      <c r="AO302" s="9"/>
      <c r="AP302" s="9"/>
      <c r="AQ302" s="9"/>
      <c r="AR302" s="9"/>
      <c r="AS302" s="9"/>
      <c r="AT302" s="10" t="str">
        <f aca="false">IF(A302="","",SG_Criteria!$B$6&amp;SG_Criteria!$B$8&amp;"\"&amp;A302&amp;"\")</f>
        <v/>
      </c>
      <c r="AU302" s="10" t="str">
        <f aca="false">IF(A302="","",A302&amp;"_CAD.dwg")</f>
        <v/>
      </c>
      <c r="AV302" s="10" t="str">
        <f aca="false">IF(A302="","",A302&amp;"_DWG.pdf")</f>
        <v/>
      </c>
      <c r="AW302" s="10" t="str">
        <f aca="false">IF(A302="","",IF(AS302="Y",A302&amp;"_STAAD.std","n/a"))</f>
        <v/>
      </c>
      <c r="AX302" s="10" t="str">
        <f aca="false">IF(A302="","",A302&amp;"_CALC.xlsx")</f>
        <v/>
      </c>
      <c r="AY302" s="10" t="str">
        <f aca="false">IF(A302="","",A302&amp;"_CALC.pdf")</f>
        <v/>
      </c>
      <c r="AZ302" s="9"/>
      <c r="BA302" s="9"/>
      <c r="BB302" s="39"/>
      <c r="BC302" s="39"/>
      <c r="BD302" s="39"/>
      <c r="BE302" s="39"/>
      <c r="BF302" s="39"/>
      <c r="BG302" s="12" t="str">
        <f aca="false">IF(A302="","",IF(COUNTIF(Rebar_Schedule!$A$5:$A$2004,A302)=0,"",ROUND(SUMIF(Rebar_Schedule!$A$5:$A$2004,A302,Rebar_Schedule!$K$5:$K$2004),1)))</f>
        <v/>
      </c>
      <c r="BH302" s="33" t="str">
        <f aca="false">IF(A302="","",IF(BG302="","No rebar schedule yet",IF(ABS(BG302-N(BC302))/MAX(N(BC302),1)&gt;SG_Criteria!$B$55,"NOTE: register rebar differs from schedule by "&amp;TEXT(ABS(BG302-N(BC302))/MAX(N(BC302),1),"0%"),"OK")))</f>
        <v/>
      </c>
      <c r="BI302" s="33" t="str">
        <f aca="false">IF(OR(D302="",E302=""),"",IF(E302&lt;=IF(OR(D302="Block / Segmental",D302="Gabion",D302="Reinforced Earth (MSE)"),SG_Criteria!$B$34,SG_Criteria!$B$33),"No ERSS submission",IF(E302&lt;=SG_Criteria!$B$35,"QP(ST)",IF(E302&lt;=SG_Criteria!$B$36,"QP(ST) + AC","Geotechnical building works: QP(Geo) + AC"))))</f>
        <v/>
      </c>
      <c r="BJ302" s="33" t="str">
        <f aca="false">IF(D302="","",IF(LEN(IF(AND(V302&lt;&gt;"",IFERROR(VALUE(MID(V302,2,2)),0)&lt;SG_Criteria!$B$19),"FAIL: grade below C"&amp;SG_Criteria!$B$19&amp;". ","")&amp;IF(AND(W302&lt;&gt;"",W302&lt;SG_Criteria!$B$20),"FAIL: cover &lt; "&amp;SG_Criteria!$B$20&amp;" mm. ","")&amp;IF(AND(AD302&lt;&gt;"",AD302&lt;1),"FAIL: sliding. ","")&amp;IF(AND(D302="Reverse L-Wall (toe only, at boundary)",N(S302)&gt;0),"NOTE: reverse L-wall should have no heel. ","")&amp;IF(AND(D302="L-Wall (heel only)",N(R302)&gt;0),"NOTE: L-wall should have no toe. ","")&amp;IF(AND(F302&lt;&gt;"",F302&lt;SG_Criteria!$B$31),"NOTE: q below LTA min "&amp;SG_Criteria!$B$31&amp;" kPa (not for LTA works). ",""))=0,"OK",IF(AND(V302&lt;&gt;"",IFERROR(VALUE(MID(V302,2,2)),0)&lt;SG_Criteria!$B$19),"FAIL: grade below C"&amp;SG_Criteria!$B$19&amp;". ","")&amp;IF(AND(W302&lt;&gt;"",W302&lt;SG_Criteria!$B$20),"FAIL: cover &lt; "&amp;SG_Criteria!$B$20&amp;" mm. ","")&amp;IF(AND(AD302&lt;&gt;"",AD302&lt;1),"FAIL: sliding. ","")&amp;IF(AND(D302="Reverse L-Wall (toe only, at boundary)",N(S302)&gt;0),"NOTE: reverse L-wall should have no heel. ","")&amp;IF(AND(D302="L-Wall (heel only)",N(R302)&gt;0),"NOTE: L-wall should have no toe. ","")&amp;IF(AND(F302&lt;&gt;"",F302&lt;SG_Criteria!$B$31),"NOTE: q below LTA min "&amp;SG_Criteria!$B$31&amp;" kPa (not for LTA works). ","")))</f>
        <v/>
      </c>
      <c r="BK302" s="9"/>
      <c r="BL302" s="9"/>
      <c r="BM302" s="9"/>
      <c r="BN302" s="10" t="str">
        <f aca="false">IF(BM302="","",IFERROR(VLOOKUP(BM302,Projects!$A$5:$D$504,2,0),"Ref not in Projects"))</f>
        <v/>
      </c>
      <c r="BO302" s="10" t="str">
        <f aca="false">IF(BM302="","",IFERROR(VLOOKUP(BM302,Projects!$A$5:$D$504,4,0),"Ref not in Projects"))</f>
        <v/>
      </c>
      <c r="BP302" s="9"/>
      <c r="BQ302" s="9"/>
      <c r="BR302" s="9"/>
      <c r="BS302" s="40"/>
      <c r="BT302" s="9"/>
      <c r="BU302" s="40"/>
      <c r="BV302" s="9"/>
      <c r="BW302" s="40"/>
      <c r="BX302" s="9"/>
      <c r="BY302" s="9"/>
      <c r="BZ302" s="9"/>
      <c r="CA302" s="40"/>
      <c r="CB302" s="40"/>
      <c r="CC302" s="36" t="str">
        <f aca="false">IF(CB302="","",EDATE(CB302,SG_Criteria!$B$54*12))</f>
        <v/>
      </c>
      <c r="CD302" s="33" t="str">
        <f aca="true">IF(A302="","",IF(CB302="","NOTE: not reviewed yet",IF(TODAY()&gt;CC302,"NOTE: review overdue","OK")))</f>
        <v/>
      </c>
      <c r="CE302" s="37" t="str">
        <f aca="false">IF(A302="","",ROUND((IF(LEN(D302)&gt;0,1,0)+IF(LEN(E302)&gt;0,1,0)+IF(LEN(F302)&gt;0,1,0)+IF(LEN(G302)&gt;0,1,0)+IF(LEN(I302)&gt;0,1,0)+IF(LEN(K302)&gt;0,1,0)+IF(LEN(P302)&gt;0,1,0)+IF(LEN(Q302)&gt;0,1,0)+IF(LEN(T302)&gt;0,1,0)+IF(LEN(V302)&gt;0,1,0)+IF(LEN(W302)&gt;0,1,0)+IF(LEN(X302)&gt;0,1,0)+IF(LEN(Z302)&gt;0,1,0)+IF(LEN(AD302)&gt;0,1,0)+IF(LEN(AE302)&gt;0,1,0)+IF(LEN(AG302)&gt;0,1,0)+IF(LEN(AI302)&gt;0,1,0)+IF(LEN(BB302)&gt;0,1,0)+IF(LEN(BC302)&gt;0,1,0)+IF(LEN(AM302)&gt;0,1,0)+IF(LEN(AO302)&gt;0,1,0)+IF(LEN(AP302)&gt;0,1,0)+IF(LEN(AQ302)&gt;0,1,0)+IF(LEN(AR302)&gt;0,1,0)+IF(LEN(BA302)&gt;0,1,0)+IF(LEN(BM302)&gt;0,1,0)+IF(LEN(BZ302)&gt;0,1,0))/27,2))</f>
        <v/>
      </c>
      <c r="CF302" s="10" t="str">
        <f aca="false">IF(D302="","",IF(AND(AP302="Approved",ISERROR(SEARCH("FAIL",BJ302))),"Y","N"))</f>
        <v/>
      </c>
      <c r="CG302" s="10" t="str">
        <f aca="false">IF(D302="","",D302&amp;"|"&amp;E302&amp;"|"&amp;F302&amp;"|"&amp;G302&amp;"|"&amp;CF302)</f>
        <v/>
      </c>
    </row>
    <row r="303" customFormat="false" ht="15" hidden="false" customHeight="false" outlineLevel="0" collapsed="false">
      <c r="A303" s="10" t="str">
        <f aca="false">IF(D303="","","RW-"&amp;IFERROR(VLOOKUP(D303,Lists!$M$4:$N$22,2,0),"??")&amp;"-H"&amp;TEXT(E303*1000,"0000")&amp;"-S"&amp;F303&amp;IF(G303="Y","-GW","")&amp;"-"&amp;AO303)</f>
        <v/>
      </c>
      <c r="B303" s="10" t="str">
        <f aca="false">IF(D303="","",D303&amp;", H = "&amp;TEXT(E303,"0.0")&amp;" m, q = "&amp;F303&amp;" kPa"&amp;IF(G303="Y",", with GWT","")&amp;", "&amp;I303)</f>
        <v/>
      </c>
      <c r="C303" s="9"/>
      <c r="D303" s="9"/>
      <c r="E303" s="39"/>
      <c r="F303" s="38"/>
      <c r="G303" s="9"/>
      <c r="H303" s="38"/>
      <c r="I303" s="9"/>
      <c r="J303" s="38"/>
      <c r="K303" s="38"/>
      <c r="L303" s="38"/>
      <c r="M303" s="42"/>
      <c r="N303" s="9"/>
      <c r="O303" s="38"/>
      <c r="P303" s="38"/>
      <c r="Q303" s="38"/>
      <c r="R303" s="38"/>
      <c r="S303" s="38"/>
      <c r="T303" s="38"/>
      <c r="U303" s="9"/>
      <c r="V303" s="9"/>
      <c r="W303" s="38"/>
      <c r="X303" s="9"/>
      <c r="Y303" s="9"/>
      <c r="Z303" s="9"/>
      <c r="AA303" s="9"/>
      <c r="AB303" s="9"/>
      <c r="AC303" s="9"/>
      <c r="AD303" s="39"/>
      <c r="AE303" s="39"/>
      <c r="AF303" s="39"/>
      <c r="AG303" s="38"/>
      <c r="AH303" s="38"/>
      <c r="AI303" s="9"/>
      <c r="AJ303" s="38"/>
      <c r="AK303" s="9"/>
      <c r="AL303" s="39"/>
      <c r="AM303" s="9"/>
      <c r="AN303" s="9"/>
      <c r="AO303" s="9"/>
      <c r="AP303" s="9"/>
      <c r="AQ303" s="9"/>
      <c r="AR303" s="9"/>
      <c r="AS303" s="9"/>
      <c r="AT303" s="10" t="str">
        <f aca="false">IF(A303="","",SG_Criteria!$B$6&amp;SG_Criteria!$B$8&amp;"\"&amp;A303&amp;"\")</f>
        <v/>
      </c>
      <c r="AU303" s="10" t="str">
        <f aca="false">IF(A303="","",A303&amp;"_CAD.dwg")</f>
        <v/>
      </c>
      <c r="AV303" s="10" t="str">
        <f aca="false">IF(A303="","",A303&amp;"_DWG.pdf")</f>
        <v/>
      </c>
      <c r="AW303" s="10" t="str">
        <f aca="false">IF(A303="","",IF(AS303="Y",A303&amp;"_STAAD.std","n/a"))</f>
        <v/>
      </c>
      <c r="AX303" s="10" t="str">
        <f aca="false">IF(A303="","",A303&amp;"_CALC.xlsx")</f>
        <v/>
      </c>
      <c r="AY303" s="10" t="str">
        <f aca="false">IF(A303="","",A303&amp;"_CALC.pdf")</f>
        <v/>
      </c>
      <c r="AZ303" s="9"/>
      <c r="BA303" s="9"/>
      <c r="BB303" s="39"/>
      <c r="BC303" s="39"/>
      <c r="BD303" s="39"/>
      <c r="BE303" s="39"/>
      <c r="BF303" s="39"/>
      <c r="BG303" s="12" t="str">
        <f aca="false">IF(A303="","",IF(COUNTIF(Rebar_Schedule!$A$5:$A$2004,A303)=0,"",ROUND(SUMIF(Rebar_Schedule!$A$5:$A$2004,A303,Rebar_Schedule!$K$5:$K$2004),1)))</f>
        <v/>
      </c>
      <c r="BH303" s="33" t="str">
        <f aca="false">IF(A303="","",IF(BG303="","No rebar schedule yet",IF(ABS(BG303-N(BC303))/MAX(N(BC303),1)&gt;SG_Criteria!$B$55,"NOTE: register rebar differs from schedule by "&amp;TEXT(ABS(BG303-N(BC303))/MAX(N(BC303),1),"0%"),"OK")))</f>
        <v/>
      </c>
      <c r="BI303" s="33" t="str">
        <f aca="false">IF(OR(D303="",E303=""),"",IF(E303&lt;=IF(OR(D303="Block / Segmental",D303="Gabion",D303="Reinforced Earth (MSE)"),SG_Criteria!$B$34,SG_Criteria!$B$33),"No ERSS submission",IF(E303&lt;=SG_Criteria!$B$35,"QP(ST)",IF(E303&lt;=SG_Criteria!$B$36,"QP(ST) + AC","Geotechnical building works: QP(Geo) + AC"))))</f>
        <v/>
      </c>
      <c r="BJ303" s="33" t="str">
        <f aca="false">IF(D303="","",IF(LEN(IF(AND(V303&lt;&gt;"",IFERROR(VALUE(MID(V303,2,2)),0)&lt;SG_Criteria!$B$19),"FAIL: grade below C"&amp;SG_Criteria!$B$19&amp;". ","")&amp;IF(AND(W303&lt;&gt;"",W303&lt;SG_Criteria!$B$20),"FAIL: cover &lt; "&amp;SG_Criteria!$B$20&amp;" mm. ","")&amp;IF(AND(AD303&lt;&gt;"",AD303&lt;1),"FAIL: sliding. ","")&amp;IF(AND(D303="Reverse L-Wall (toe only, at boundary)",N(S303)&gt;0),"NOTE: reverse L-wall should have no heel. ","")&amp;IF(AND(D303="L-Wall (heel only)",N(R303)&gt;0),"NOTE: L-wall should have no toe. ","")&amp;IF(AND(F303&lt;&gt;"",F303&lt;SG_Criteria!$B$31),"NOTE: q below LTA min "&amp;SG_Criteria!$B$31&amp;" kPa (not for LTA works). ",""))=0,"OK",IF(AND(V303&lt;&gt;"",IFERROR(VALUE(MID(V303,2,2)),0)&lt;SG_Criteria!$B$19),"FAIL: grade below C"&amp;SG_Criteria!$B$19&amp;". ","")&amp;IF(AND(W303&lt;&gt;"",W303&lt;SG_Criteria!$B$20),"FAIL: cover &lt; "&amp;SG_Criteria!$B$20&amp;" mm. ","")&amp;IF(AND(AD303&lt;&gt;"",AD303&lt;1),"FAIL: sliding. ","")&amp;IF(AND(D303="Reverse L-Wall (toe only, at boundary)",N(S303)&gt;0),"NOTE: reverse L-wall should have no heel. ","")&amp;IF(AND(D303="L-Wall (heel only)",N(R303)&gt;0),"NOTE: L-wall should have no toe. ","")&amp;IF(AND(F303&lt;&gt;"",F303&lt;SG_Criteria!$B$31),"NOTE: q below LTA min "&amp;SG_Criteria!$B$31&amp;" kPa (not for LTA works). ","")))</f>
        <v/>
      </c>
      <c r="BK303" s="9"/>
      <c r="BL303" s="9"/>
      <c r="BM303" s="9"/>
      <c r="BN303" s="10" t="str">
        <f aca="false">IF(BM303="","",IFERROR(VLOOKUP(BM303,Projects!$A$5:$D$504,2,0),"Ref not in Projects"))</f>
        <v/>
      </c>
      <c r="BO303" s="10" t="str">
        <f aca="false">IF(BM303="","",IFERROR(VLOOKUP(BM303,Projects!$A$5:$D$504,4,0),"Ref not in Projects"))</f>
        <v/>
      </c>
      <c r="BP303" s="9"/>
      <c r="BQ303" s="9"/>
      <c r="BR303" s="9"/>
      <c r="BS303" s="40"/>
      <c r="BT303" s="9"/>
      <c r="BU303" s="40"/>
      <c r="BV303" s="9"/>
      <c r="BW303" s="40"/>
      <c r="BX303" s="9"/>
      <c r="BY303" s="9"/>
      <c r="BZ303" s="9"/>
      <c r="CA303" s="40"/>
      <c r="CB303" s="40"/>
      <c r="CC303" s="36" t="str">
        <f aca="false">IF(CB303="","",EDATE(CB303,SG_Criteria!$B$54*12))</f>
        <v/>
      </c>
      <c r="CD303" s="33" t="str">
        <f aca="true">IF(A303="","",IF(CB303="","NOTE: not reviewed yet",IF(TODAY()&gt;CC303,"NOTE: review overdue","OK")))</f>
        <v/>
      </c>
      <c r="CE303" s="37" t="str">
        <f aca="false">IF(A303="","",ROUND((IF(LEN(D303)&gt;0,1,0)+IF(LEN(E303)&gt;0,1,0)+IF(LEN(F303)&gt;0,1,0)+IF(LEN(G303)&gt;0,1,0)+IF(LEN(I303)&gt;0,1,0)+IF(LEN(K303)&gt;0,1,0)+IF(LEN(P303)&gt;0,1,0)+IF(LEN(Q303)&gt;0,1,0)+IF(LEN(T303)&gt;0,1,0)+IF(LEN(V303)&gt;0,1,0)+IF(LEN(W303)&gt;0,1,0)+IF(LEN(X303)&gt;0,1,0)+IF(LEN(Z303)&gt;0,1,0)+IF(LEN(AD303)&gt;0,1,0)+IF(LEN(AE303)&gt;0,1,0)+IF(LEN(AG303)&gt;0,1,0)+IF(LEN(AI303)&gt;0,1,0)+IF(LEN(BB303)&gt;0,1,0)+IF(LEN(BC303)&gt;0,1,0)+IF(LEN(AM303)&gt;0,1,0)+IF(LEN(AO303)&gt;0,1,0)+IF(LEN(AP303)&gt;0,1,0)+IF(LEN(AQ303)&gt;0,1,0)+IF(LEN(AR303)&gt;0,1,0)+IF(LEN(BA303)&gt;0,1,0)+IF(LEN(BM303)&gt;0,1,0)+IF(LEN(BZ303)&gt;0,1,0))/27,2))</f>
        <v/>
      </c>
      <c r="CF303" s="10" t="str">
        <f aca="false">IF(D303="","",IF(AND(AP303="Approved",ISERROR(SEARCH("FAIL",BJ303))),"Y","N"))</f>
        <v/>
      </c>
      <c r="CG303" s="10" t="str">
        <f aca="false">IF(D303="","",D303&amp;"|"&amp;E303&amp;"|"&amp;F303&amp;"|"&amp;G303&amp;"|"&amp;CF303)</f>
        <v/>
      </c>
    </row>
    <row r="304" customFormat="false" ht="15" hidden="false" customHeight="false" outlineLevel="0" collapsed="false">
      <c r="A304" s="10" t="str">
        <f aca="false">IF(D304="","","RW-"&amp;IFERROR(VLOOKUP(D304,Lists!$M$4:$N$22,2,0),"??")&amp;"-H"&amp;TEXT(E304*1000,"0000")&amp;"-S"&amp;F304&amp;IF(G304="Y","-GW","")&amp;"-"&amp;AO304)</f>
        <v/>
      </c>
      <c r="B304" s="10" t="str">
        <f aca="false">IF(D304="","",D304&amp;", H = "&amp;TEXT(E304,"0.0")&amp;" m, q = "&amp;F304&amp;" kPa"&amp;IF(G304="Y",", with GWT","")&amp;", "&amp;I304)</f>
        <v/>
      </c>
      <c r="C304" s="9"/>
      <c r="D304" s="9"/>
      <c r="E304" s="39"/>
      <c r="F304" s="38"/>
      <c r="G304" s="9"/>
      <c r="H304" s="38"/>
      <c r="I304" s="9"/>
      <c r="J304" s="38"/>
      <c r="K304" s="38"/>
      <c r="L304" s="38"/>
      <c r="M304" s="42"/>
      <c r="N304" s="9"/>
      <c r="O304" s="38"/>
      <c r="P304" s="38"/>
      <c r="Q304" s="38"/>
      <c r="R304" s="38"/>
      <c r="S304" s="38"/>
      <c r="T304" s="38"/>
      <c r="U304" s="9"/>
      <c r="V304" s="9"/>
      <c r="W304" s="38"/>
      <c r="X304" s="9"/>
      <c r="Y304" s="9"/>
      <c r="Z304" s="9"/>
      <c r="AA304" s="9"/>
      <c r="AB304" s="9"/>
      <c r="AC304" s="9"/>
      <c r="AD304" s="39"/>
      <c r="AE304" s="39"/>
      <c r="AF304" s="39"/>
      <c r="AG304" s="38"/>
      <c r="AH304" s="38"/>
      <c r="AI304" s="9"/>
      <c r="AJ304" s="38"/>
      <c r="AK304" s="9"/>
      <c r="AL304" s="39"/>
      <c r="AM304" s="9"/>
      <c r="AN304" s="9"/>
      <c r="AO304" s="9"/>
      <c r="AP304" s="9"/>
      <c r="AQ304" s="9"/>
      <c r="AR304" s="9"/>
      <c r="AS304" s="9"/>
      <c r="AT304" s="10" t="str">
        <f aca="false">IF(A304="","",SG_Criteria!$B$6&amp;SG_Criteria!$B$8&amp;"\"&amp;A304&amp;"\")</f>
        <v/>
      </c>
      <c r="AU304" s="10" t="str">
        <f aca="false">IF(A304="","",A304&amp;"_CAD.dwg")</f>
        <v/>
      </c>
      <c r="AV304" s="10" t="str">
        <f aca="false">IF(A304="","",A304&amp;"_DWG.pdf")</f>
        <v/>
      </c>
      <c r="AW304" s="10" t="str">
        <f aca="false">IF(A304="","",IF(AS304="Y",A304&amp;"_STAAD.std","n/a"))</f>
        <v/>
      </c>
      <c r="AX304" s="10" t="str">
        <f aca="false">IF(A304="","",A304&amp;"_CALC.xlsx")</f>
        <v/>
      </c>
      <c r="AY304" s="10" t="str">
        <f aca="false">IF(A304="","",A304&amp;"_CALC.pdf")</f>
        <v/>
      </c>
      <c r="AZ304" s="9"/>
      <c r="BA304" s="9"/>
      <c r="BB304" s="39"/>
      <c r="BC304" s="39"/>
      <c r="BD304" s="39"/>
      <c r="BE304" s="39"/>
      <c r="BF304" s="39"/>
      <c r="BG304" s="12" t="str">
        <f aca="false">IF(A304="","",IF(COUNTIF(Rebar_Schedule!$A$5:$A$2004,A304)=0,"",ROUND(SUMIF(Rebar_Schedule!$A$5:$A$2004,A304,Rebar_Schedule!$K$5:$K$2004),1)))</f>
        <v/>
      </c>
      <c r="BH304" s="33" t="str">
        <f aca="false">IF(A304="","",IF(BG304="","No rebar schedule yet",IF(ABS(BG304-N(BC304))/MAX(N(BC304),1)&gt;SG_Criteria!$B$55,"NOTE: register rebar differs from schedule by "&amp;TEXT(ABS(BG304-N(BC304))/MAX(N(BC304),1),"0%"),"OK")))</f>
        <v/>
      </c>
      <c r="BI304" s="33" t="str">
        <f aca="false">IF(OR(D304="",E304=""),"",IF(E304&lt;=IF(OR(D304="Block / Segmental",D304="Gabion",D304="Reinforced Earth (MSE)"),SG_Criteria!$B$34,SG_Criteria!$B$33),"No ERSS submission",IF(E304&lt;=SG_Criteria!$B$35,"QP(ST)",IF(E304&lt;=SG_Criteria!$B$36,"QP(ST) + AC","Geotechnical building works: QP(Geo) + AC"))))</f>
        <v/>
      </c>
      <c r="BJ304" s="33" t="str">
        <f aca="false">IF(D304="","",IF(LEN(IF(AND(V304&lt;&gt;"",IFERROR(VALUE(MID(V304,2,2)),0)&lt;SG_Criteria!$B$19),"FAIL: grade below C"&amp;SG_Criteria!$B$19&amp;". ","")&amp;IF(AND(W304&lt;&gt;"",W304&lt;SG_Criteria!$B$20),"FAIL: cover &lt; "&amp;SG_Criteria!$B$20&amp;" mm. ","")&amp;IF(AND(AD304&lt;&gt;"",AD304&lt;1),"FAIL: sliding. ","")&amp;IF(AND(D304="Reverse L-Wall (toe only, at boundary)",N(S304)&gt;0),"NOTE: reverse L-wall should have no heel. ","")&amp;IF(AND(D304="L-Wall (heel only)",N(R304)&gt;0),"NOTE: L-wall should have no toe. ","")&amp;IF(AND(F304&lt;&gt;"",F304&lt;SG_Criteria!$B$31),"NOTE: q below LTA min "&amp;SG_Criteria!$B$31&amp;" kPa (not for LTA works). ",""))=0,"OK",IF(AND(V304&lt;&gt;"",IFERROR(VALUE(MID(V304,2,2)),0)&lt;SG_Criteria!$B$19),"FAIL: grade below C"&amp;SG_Criteria!$B$19&amp;". ","")&amp;IF(AND(W304&lt;&gt;"",W304&lt;SG_Criteria!$B$20),"FAIL: cover &lt; "&amp;SG_Criteria!$B$20&amp;" mm. ","")&amp;IF(AND(AD304&lt;&gt;"",AD304&lt;1),"FAIL: sliding. ","")&amp;IF(AND(D304="Reverse L-Wall (toe only, at boundary)",N(S304)&gt;0),"NOTE: reverse L-wall should have no heel. ","")&amp;IF(AND(D304="L-Wall (heel only)",N(R304)&gt;0),"NOTE: L-wall should have no toe. ","")&amp;IF(AND(F304&lt;&gt;"",F304&lt;SG_Criteria!$B$31),"NOTE: q below LTA min "&amp;SG_Criteria!$B$31&amp;" kPa (not for LTA works). ","")))</f>
        <v/>
      </c>
      <c r="BK304" s="9"/>
      <c r="BL304" s="9"/>
      <c r="BM304" s="9"/>
      <c r="BN304" s="10" t="str">
        <f aca="false">IF(BM304="","",IFERROR(VLOOKUP(BM304,Projects!$A$5:$D$504,2,0),"Ref not in Projects"))</f>
        <v/>
      </c>
      <c r="BO304" s="10" t="str">
        <f aca="false">IF(BM304="","",IFERROR(VLOOKUP(BM304,Projects!$A$5:$D$504,4,0),"Ref not in Projects"))</f>
        <v/>
      </c>
      <c r="BP304" s="9"/>
      <c r="BQ304" s="9"/>
      <c r="BR304" s="9"/>
      <c r="BS304" s="40"/>
      <c r="BT304" s="9"/>
      <c r="BU304" s="40"/>
      <c r="BV304" s="9"/>
      <c r="BW304" s="40"/>
      <c r="BX304" s="9"/>
      <c r="BY304" s="9"/>
      <c r="BZ304" s="9"/>
      <c r="CA304" s="40"/>
      <c r="CB304" s="40"/>
      <c r="CC304" s="36" t="str">
        <f aca="false">IF(CB304="","",EDATE(CB304,SG_Criteria!$B$54*12))</f>
        <v/>
      </c>
      <c r="CD304" s="33" t="str">
        <f aca="true">IF(A304="","",IF(CB304="","NOTE: not reviewed yet",IF(TODAY()&gt;CC304,"NOTE: review overdue","OK")))</f>
        <v/>
      </c>
      <c r="CE304" s="37" t="str">
        <f aca="false">IF(A304="","",ROUND((IF(LEN(D304)&gt;0,1,0)+IF(LEN(E304)&gt;0,1,0)+IF(LEN(F304)&gt;0,1,0)+IF(LEN(G304)&gt;0,1,0)+IF(LEN(I304)&gt;0,1,0)+IF(LEN(K304)&gt;0,1,0)+IF(LEN(P304)&gt;0,1,0)+IF(LEN(Q304)&gt;0,1,0)+IF(LEN(T304)&gt;0,1,0)+IF(LEN(V304)&gt;0,1,0)+IF(LEN(W304)&gt;0,1,0)+IF(LEN(X304)&gt;0,1,0)+IF(LEN(Z304)&gt;0,1,0)+IF(LEN(AD304)&gt;0,1,0)+IF(LEN(AE304)&gt;0,1,0)+IF(LEN(AG304)&gt;0,1,0)+IF(LEN(AI304)&gt;0,1,0)+IF(LEN(BB304)&gt;0,1,0)+IF(LEN(BC304)&gt;0,1,0)+IF(LEN(AM304)&gt;0,1,0)+IF(LEN(AO304)&gt;0,1,0)+IF(LEN(AP304)&gt;0,1,0)+IF(LEN(AQ304)&gt;0,1,0)+IF(LEN(AR304)&gt;0,1,0)+IF(LEN(BA304)&gt;0,1,0)+IF(LEN(BM304)&gt;0,1,0)+IF(LEN(BZ304)&gt;0,1,0))/27,2))</f>
        <v/>
      </c>
      <c r="CF304" s="10" t="str">
        <f aca="false">IF(D304="","",IF(AND(AP304="Approved",ISERROR(SEARCH("FAIL",BJ304))),"Y","N"))</f>
        <v/>
      </c>
      <c r="CG304" s="10" t="str">
        <f aca="false">IF(D304="","",D304&amp;"|"&amp;E304&amp;"|"&amp;F304&amp;"|"&amp;G304&amp;"|"&amp;CF304)</f>
        <v/>
      </c>
    </row>
  </sheetData>
  <conditionalFormatting sqref="BJ5:BJ304">
    <cfRule type="expression" priority="2" aboveAverage="0" equalAverage="0" bottom="0" percent="0" rank="0" text="" dxfId="0">
      <formula>ISNUMBER(SEARCH("FAIL",BJ5))</formula>
    </cfRule>
    <cfRule type="expression" priority="3" aboveAverage="0" equalAverage="0" bottom="0" percent="0" rank="0" text="" dxfId="16">
      <formula>ISNUMBER(SEARCH("NOTE",BJ5))</formula>
    </cfRule>
    <cfRule type="expression" priority="4" aboveAverage="0" equalAverage="0" bottom="0" percent="0" rank="0" text="" dxfId="1">
      <formula>BJ5="OK"</formula>
    </cfRule>
  </conditionalFormatting>
  <conditionalFormatting sqref="BI5:BI304">
    <cfRule type="expression" priority="5" aboveAverage="0" equalAverage="0" bottom="0" percent="0" rank="0" text="" dxfId="0">
      <formula>ISNUMBER(SEARCH("FAIL",BI5))</formula>
    </cfRule>
    <cfRule type="expression" priority="6" aboveAverage="0" equalAverage="0" bottom="0" percent="0" rank="0" text="" dxfId="16">
      <formula>ISNUMBER(SEARCH("NOTE",BI5))</formula>
    </cfRule>
    <cfRule type="expression" priority="7" aboveAverage="0" equalAverage="0" bottom="0" percent="0" rank="0" text="" dxfId="1">
      <formula>BI5="OK"</formula>
    </cfRule>
  </conditionalFormatting>
  <conditionalFormatting sqref="BH5:BH304">
    <cfRule type="expression" priority="8" aboveAverage="0" equalAverage="0" bottom="0" percent="0" rank="0" text="" dxfId="0">
      <formula>ISNUMBER(SEARCH("FAIL",BH5))</formula>
    </cfRule>
    <cfRule type="expression" priority="9" aboveAverage="0" equalAverage="0" bottom="0" percent="0" rank="0" text="" dxfId="16">
      <formula>ISNUMBER(SEARCH("NOTE",BH5))</formula>
    </cfRule>
    <cfRule type="expression" priority="10" aboveAverage="0" equalAverage="0" bottom="0" percent="0" rank="0" text="" dxfId="1">
      <formula>BH5="OK"</formula>
    </cfRule>
  </conditionalFormatting>
  <conditionalFormatting sqref="CD5:CD304">
    <cfRule type="expression" priority="11" aboveAverage="0" equalAverage="0" bottom="0" percent="0" rank="0" text="" dxfId="0">
      <formula>ISNUMBER(SEARCH("FAIL",CD5))</formula>
    </cfRule>
    <cfRule type="expression" priority="12" aboveAverage="0" equalAverage="0" bottom="0" percent="0" rank="0" text="" dxfId="16">
      <formula>ISNUMBER(SEARCH("NOTE",CD5))</formula>
    </cfRule>
    <cfRule type="expression" priority="13" aboveAverage="0" equalAverage="0" bottom="0" percent="0" rank="0" text="" dxfId="1">
      <formula>CD5="OK"</formula>
    </cfRule>
  </conditionalFormatting>
  <conditionalFormatting sqref="CE5:CE304">
    <cfRule type="expression" priority="14" aboveAverage="0" equalAverage="0" bottom="0" percent="0" rank="0" text="" dxfId="16">
      <formula>AND(CE5&lt;&gt;"",CE5&lt;SG_Criteria!$B$56)</formula>
    </cfRule>
    <cfRule type="expression" priority="15" aboveAverage="0" equalAverage="0" bottom="0" percent="0" rank="0" text="" dxfId="1">
      <formula>AND(CE5&lt;&gt;"",CE5&gt;=SG_Criteria!$B$56)</formula>
    </cfRule>
  </conditionalFormatting>
  <dataValidations count="13">
    <dataValidation allowBlank="true" error="Pick a value from the list (add new values on the Lists sheet)." errorStyle="stop" errorTitle="Not in list" operator="between" showDropDown="false" showErrorMessage="false" showInputMessage="false" sqref="D5:D304" type="list">
      <formula1>Lists!$M$4:$M$22</formula1>
      <formula2>0</formula2>
    </dataValidation>
    <dataValidation allowBlank="true" error="Pick a value from the list (add new values on the Lists sheet)." errorStyle="stop" errorTitle="Not in list" operator="between" showDropDown="false" showErrorMessage="false" showInputMessage="false" sqref="G5:G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I5:I304" type="list">
      <formula1>Lists!$Y$4:$Y$21</formula1>
      <formula2>0</formula2>
    </dataValidation>
    <dataValidation allowBlank="true" error="Pick a value from the list (add new values on the Lists sheet)." errorStyle="stop" errorTitle="Not in list" operator="between" showDropDown="false" showErrorMessage="false" showInputMessage="false" sqref="N5:N304" type="list">
      <formula1>Lists!$CD$4:$CD$18</formula1>
      <formula2>0</formula2>
    </dataValidation>
    <dataValidation allowBlank="true" error="Pick a value from the list (add new values on the Lists sheet)." errorStyle="stop" errorTitle="Not in list" operator="between" showDropDown="false" showErrorMessage="false" showInputMessage="false" sqref="V5:V304" type="list">
      <formula1>Lists!$BO$4:$BO$20</formula1>
      <formula2>0</formula2>
    </dataValidation>
    <dataValidation allowBlank="true" error="Pick a value from the list (add new values on the Lists sheet)." errorStyle="stop" errorTitle="Not in list" operator="between" showDropDown="false" showErrorMessage="false" showInputMessage="false" sqref="AI5:AI304" type="list">
      <formula1>Lists!$BU$4:$BU$27</formula1>
      <formula2>0</formula2>
    </dataValidation>
    <dataValidation allowBlank="true" error="Pick a value from the list (add new values on the Lists sheet)." errorStyle="stop" errorTitle="Not in list" operator="between" showDropDown="false" showErrorMessage="false" showInputMessage="false" sqref="AK5:AK304" type="list">
      <formula1>Lists!$BX$4:$BX$18</formula1>
      <formula2>0</formula2>
    </dataValidation>
    <dataValidation allowBlank="true" error="Pick a value from the list (add new values on the Lists sheet)." errorStyle="stop" errorTitle="Not in list" operator="between" showDropDown="false" showErrorMessage="false" showInputMessage="false" sqref="AP5:AP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AR5:AR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AS5:AS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Z5:AZ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BA5:BA304" type="list">
      <formula1>Lists!$BL$4:$BL$19</formula1>
      <formula2>0</formula2>
    </dataValidation>
    <dataValidation allowBlank="true" error="Pick a Project Ref from the Projects sheet (add the project there first)." errorStyle="stop" errorTitle="Not in list" operator="between" showDropDown="false" showErrorMessage="false" showInputMessage="false" sqref="BM5:BM304" type="list">
      <formula1>Projects!$A$5:$A$504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CE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0"/>
    <col collapsed="false" customWidth="true" hidden="false" outlineLevel="0" max="3" min="3" style="0" width="24"/>
    <col collapsed="false" customWidth="true" hidden="false" outlineLevel="0" max="4" min="4" style="0" width="22"/>
    <col collapsed="false" customWidth="true" hidden="false" outlineLevel="0" max="5" min="5" style="0" width="11"/>
    <col collapsed="false" customWidth="true" hidden="false" outlineLevel="0" max="6" min="6" style="0" width="8"/>
    <col collapsed="false" customWidth="true" hidden="false" outlineLevel="0" max="7" min="7" style="0" width="16"/>
    <col collapsed="false" customWidth="true" hidden="false" outlineLevel="0" max="8" min="8" style="0" width="22"/>
    <col collapsed="false" customWidth="true" hidden="false" outlineLevel="0" max="10" min="9" style="0" width="8"/>
    <col collapsed="false" customWidth="true" hidden="false" outlineLevel="0" max="11" min="11" style="0" width="14"/>
    <col collapsed="false" customWidth="true" hidden="false" outlineLevel="0" max="12" min="12" style="0" width="10"/>
    <col collapsed="false" customWidth="true" hidden="false" outlineLevel="0" max="13" min="13" style="0" width="7"/>
    <col collapsed="false" customWidth="true" hidden="false" outlineLevel="0" max="15" min="14" style="0" width="8"/>
    <col collapsed="false" customWidth="true" hidden="false" outlineLevel="0" max="16" min="16" style="0" width="14"/>
    <col collapsed="false" customWidth="true" hidden="false" outlineLevel="0" max="18" min="17" style="0" width="12"/>
    <col collapsed="false" customWidth="true" hidden="false" outlineLevel="0" max="19" min="19" style="0" width="16"/>
    <col collapsed="false" customWidth="true" hidden="false" outlineLevel="0" max="21" min="20" style="0" width="8"/>
    <col collapsed="false" customWidth="true" hidden="false" outlineLevel="0" max="22" min="22" style="0" width="9"/>
    <col collapsed="false" customWidth="true" hidden="false" outlineLevel="0" max="25" min="23" style="0" width="8"/>
    <col collapsed="false" customWidth="true" hidden="false" outlineLevel="0" max="26" min="26" style="0" width="7"/>
    <col collapsed="false" customWidth="true" hidden="false" outlineLevel="0" max="27" min="27" style="0" width="12"/>
    <col collapsed="false" customWidth="true" hidden="false" outlineLevel="0" max="28" min="28" style="0" width="16"/>
    <col collapsed="false" customWidth="true" hidden="false" outlineLevel="0" max="29" min="29" style="0" width="8"/>
    <col collapsed="false" customWidth="true" hidden="false" outlineLevel="0" max="30" min="30" style="0" width="18"/>
    <col collapsed="false" customWidth="true" hidden="false" outlineLevel="0" max="32" min="31" style="0" width="16"/>
    <col collapsed="false" customWidth="true" hidden="false" outlineLevel="0" max="34" min="33" style="0" width="7"/>
    <col collapsed="false" customWidth="true" hidden="false" outlineLevel="0" max="35" min="35" style="0" width="13"/>
    <col collapsed="false" customWidth="true" hidden="false" outlineLevel="0" max="36" min="36" style="0" width="7"/>
    <col collapsed="false" customWidth="true" hidden="false" outlineLevel="0" max="37" min="37" style="0" width="30"/>
    <col collapsed="false" customWidth="true" hidden="false" outlineLevel="0" max="38" min="38" style="0" width="28"/>
    <col collapsed="false" customWidth="true" hidden="false" outlineLevel="0" max="39" min="39" style="0" width="5"/>
    <col collapsed="false" customWidth="true" hidden="false" outlineLevel="0" max="40" min="40" style="0" width="10"/>
    <col collapsed="false" customWidth="true" hidden="false" outlineLevel="0" max="41" min="41" style="0" width="14"/>
    <col collapsed="false" customWidth="true" hidden="false" outlineLevel="0" max="42" min="42" style="0" width="8"/>
    <col collapsed="false" customWidth="true" hidden="false" outlineLevel="0" max="43" min="43" style="0" width="9"/>
    <col collapsed="false" customWidth="true" hidden="false" outlineLevel="0" max="44" min="44" style="0" width="46"/>
    <col collapsed="false" customWidth="true" hidden="false" outlineLevel="0" max="49" min="45" style="0" width="30"/>
    <col collapsed="false" customWidth="true" hidden="false" outlineLevel="0" max="50" min="50" style="0" width="9"/>
    <col collapsed="false" customWidth="true" hidden="false" outlineLevel="0" max="51" min="51" style="0" width="6"/>
    <col collapsed="false" customWidth="true" hidden="false" outlineLevel="0" max="56" min="52" style="0" width="9"/>
    <col collapsed="false" customWidth="true" hidden="false" outlineLevel="0" max="57" min="57" style="0" width="10"/>
    <col collapsed="false" customWidth="true" hidden="false" outlineLevel="0" max="58" min="58" style="0" width="22"/>
    <col collapsed="false" customWidth="true" hidden="false" outlineLevel="0" max="59" min="59" style="0" width="24"/>
    <col collapsed="false" customWidth="true" hidden="false" outlineLevel="0" max="60" min="60" style="0" width="42"/>
    <col collapsed="false" customWidth="true" hidden="false" outlineLevel="0" max="61" min="61" style="0" width="36"/>
    <col collapsed="false" customWidth="true" hidden="false" outlineLevel="0" max="62" min="62" style="0" width="22"/>
    <col collapsed="false" customWidth="true" hidden="false" outlineLevel="0" max="63" min="63" style="0" width="11"/>
    <col collapsed="false" customWidth="true" hidden="false" outlineLevel="0" max="64" min="64" style="0" width="30"/>
    <col collapsed="false" customWidth="true" hidden="false" outlineLevel="0" max="65" min="65" style="0" width="10"/>
    <col collapsed="false" customWidth="true" hidden="false" outlineLevel="0" max="67" min="66" style="0" width="22"/>
    <col collapsed="false" customWidth="true" hidden="false" outlineLevel="0" max="71" min="68" style="0" width="11"/>
    <col collapsed="false" customWidth="true" hidden="false" outlineLevel="0" max="72" min="72" style="0" width="18"/>
    <col collapsed="false" customWidth="true" hidden="false" outlineLevel="0" max="73" min="73" style="0" width="11"/>
    <col collapsed="false" customWidth="true" hidden="false" outlineLevel="0" max="75" min="74" style="0" width="10"/>
    <col collapsed="false" customWidth="true" hidden="false" outlineLevel="0" max="79" min="76" style="0" width="11"/>
    <col collapsed="false" customWidth="true" hidden="false" outlineLevel="0" max="80" min="80" style="0" width="18"/>
    <col collapsed="false" customWidth="true" hidden="false" outlineLevel="0" max="81" min="81" style="0" width="9"/>
    <col collapsed="false" customWidth="true" hidden="false" outlineLevel="0" max="82" min="82" style="0" width="8"/>
    <col collapsed="false" customWidth="true" hidden="false" outlineLevel="0" max="83" min="83" style="0" width="40"/>
  </cols>
  <sheetData>
    <row r="1" customFormat="false" ht="17.35" hidden="false" customHeight="false" outlineLevel="0" collapsed="false">
      <c r="A1" s="5" t="s">
        <v>718</v>
      </c>
    </row>
    <row r="2" customFormat="false" ht="15" hidden="false" customHeight="false" outlineLevel="0" collapsed="false">
      <c r="A2" s="6" t="s">
        <v>719</v>
      </c>
    </row>
    <row r="3" customFormat="false" ht="15" hidden="false" customHeight="false" outlineLevel="0" collapsed="false">
      <c r="A3" s="6" t="s">
        <v>598</v>
      </c>
    </row>
    <row r="4" customFormat="false" ht="54" hidden="false" customHeight="true" outlineLevel="0" collapsed="false">
      <c r="A4" s="16" t="s">
        <v>102</v>
      </c>
      <c r="B4" s="16" t="s">
        <v>103</v>
      </c>
      <c r="C4" s="15" t="s">
        <v>279</v>
      </c>
      <c r="D4" s="15" t="s">
        <v>411</v>
      </c>
      <c r="E4" s="15" t="s">
        <v>88</v>
      </c>
      <c r="F4" s="15" t="s">
        <v>440</v>
      </c>
      <c r="G4" s="15" t="s">
        <v>441</v>
      </c>
      <c r="H4" s="15" t="s">
        <v>442</v>
      </c>
      <c r="I4" s="15" t="s">
        <v>443</v>
      </c>
      <c r="J4" s="15" t="s">
        <v>77</v>
      </c>
      <c r="K4" s="15" t="s">
        <v>445</v>
      </c>
      <c r="L4" s="15" t="s">
        <v>446</v>
      </c>
      <c r="M4" s="15" t="s">
        <v>294</v>
      </c>
      <c r="N4" s="15" t="s">
        <v>447</v>
      </c>
      <c r="O4" s="15" t="s">
        <v>448</v>
      </c>
      <c r="P4" s="15" t="s">
        <v>449</v>
      </c>
      <c r="Q4" s="15" t="s">
        <v>450</v>
      </c>
      <c r="R4" s="15" t="s">
        <v>452</v>
      </c>
      <c r="S4" s="15" t="s">
        <v>453</v>
      </c>
      <c r="T4" s="15" t="s">
        <v>454</v>
      </c>
      <c r="U4" s="15" t="s">
        <v>455</v>
      </c>
      <c r="V4" s="15" t="s">
        <v>456</v>
      </c>
      <c r="W4" s="15" t="s">
        <v>458</v>
      </c>
      <c r="X4" s="15" t="s">
        <v>460</v>
      </c>
      <c r="Y4" s="15" t="s">
        <v>461</v>
      </c>
      <c r="Z4" s="15" t="s">
        <v>463</v>
      </c>
      <c r="AA4" s="15" t="s">
        <v>423</v>
      </c>
      <c r="AB4" s="15" t="s">
        <v>464</v>
      </c>
      <c r="AC4" s="15" t="s">
        <v>298</v>
      </c>
      <c r="AD4" s="15" t="s">
        <v>465</v>
      </c>
      <c r="AE4" s="15" t="s">
        <v>466</v>
      </c>
      <c r="AF4" s="15" t="s">
        <v>467</v>
      </c>
      <c r="AG4" s="15" t="s">
        <v>320</v>
      </c>
      <c r="AH4" s="15" t="s">
        <v>322</v>
      </c>
      <c r="AI4" s="15" t="s">
        <v>325</v>
      </c>
      <c r="AJ4" s="15" t="s">
        <v>327</v>
      </c>
      <c r="AK4" s="15" t="s">
        <v>329</v>
      </c>
      <c r="AL4" s="15" t="s">
        <v>333</v>
      </c>
      <c r="AM4" s="15" t="s">
        <v>131</v>
      </c>
      <c r="AN4" s="15" t="s">
        <v>132</v>
      </c>
      <c r="AO4" s="15" t="s">
        <v>133</v>
      </c>
      <c r="AP4" s="15" t="s">
        <v>336</v>
      </c>
      <c r="AQ4" s="15" t="s">
        <v>341</v>
      </c>
      <c r="AR4" s="30" t="s">
        <v>343</v>
      </c>
      <c r="AS4" s="30" t="s">
        <v>344</v>
      </c>
      <c r="AT4" s="30" t="s">
        <v>345</v>
      </c>
      <c r="AU4" s="30" t="s">
        <v>346</v>
      </c>
      <c r="AV4" s="30" t="s">
        <v>347</v>
      </c>
      <c r="AW4" s="30" t="s">
        <v>348</v>
      </c>
      <c r="AX4" s="15" t="s">
        <v>349</v>
      </c>
      <c r="AY4" s="15" t="s">
        <v>351</v>
      </c>
      <c r="AZ4" s="17" t="s">
        <v>355</v>
      </c>
      <c r="BA4" s="17" t="s">
        <v>357</v>
      </c>
      <c r="BB4" s="17" t="s">
        <v>359</v>
      </c>
      <c r="BC4" s="17" t="s">
        <v>360</v>
      </c>
      <c r="BD4" s="17" t="s">
        <v>362</v>
      </c>
      <c r="BE4" s="16" t="s">
        <v>363</v>
      </c>
      <c r="BF4" s="16" t="s">
        <v>365</v>
      </c>
      <c r="BG4" s="16" t="s">
        <v>438</v>
      </c>
      <c r="BH4" s="16" t="s">
        <v>371</v>
      </c>
      <c r="BI4" s="15" t="s">
        <v>373</v>
      </c>
      <c r="BJ4" s="15" t="s">
        <v>374</v>
      </c>
      <c r="BK4" s="15" t="s">
        <v>375</v>
      </c>
      <c r="BL4" s="16" t="s">
        <v>378</v>
      </c>
      <c r="BM4" s="16" t="s">
        <v>379</v>
      </c>
      <c r="BN4" s="15" t="s">
        <v>380</v>
      </c>
      <c r="BO4" s="15" t="s">
        <v>382</v>
      </c>
      <c r="BP4" s="15" t="s">
        <v>384</v>
      </c>
      <c r="BQ4" s="15" t="s">
        <v>386</v>
      </c>
      <c r="BR4" s="15" t="s">
        <v>387</v>
      </c>
      <c r="BS4" s="15" t="s">
        <v>389</v>
      </c>
      <c r="BT4" s="15" t="s">
        <v>390</v>
      </c>
      <c r="BU4" s="15" t="s">
        <v>392</v>
      </c>
      <c r="BV4" s="15" t="s">
        <v>393</v>
      </c>
      <c r="BW4" s="15" t="s">
        <v>394</v>
      </c>
      <c r="BX4" s="15" t="s">
        <v>395</v>
      </c>
      <c r="BY4" s="15" t="s">
        <v>397</v>
      </c>
      <c r="BZ4" s="15" t="s">
        <v>398</v>
      </c>
      <c r="CA4" s="16" t="s">
        <v>400</v>
      </c>
      <c r="CB4" s="16" t="s">
        <v>402</v>
      </c>
      <c r="CC4" s="16" t="s">
        <v>404</v>
      </c>
      <c r="CD4" s="16" t="s">
        <v>406</v>
      </c>
      <c r="CE4" s="16" t="s">
        <v>409</v>
      </c>
    </row>
    <row r="5" customFormat="false" ht="15" hidden="false" customHeight="false" outlineLevel="0" collapsed="false">
      <c r="A5" s="10" t="str">
        <f aca="false">IF(D5="","","EW-"&amp;IFERROR(VLOOKUP(D5,Lists!$P$4:$Q$22,2,0),"??")&amp;"-D"&amp;TEXT(F5*1000,"0000")&amp;"-"&amp;IFERROR(VLOOKUP(G5,Lists!$S$4:$T$21,2,0),"??")&amp;"-"&amp;IFERROR(VLOOKUP(H5,Lists!$Y$4:$Z$21,2,0),"??")&amp;"-"&amp;IFERROR(VLOOKUP(E5,Lists!$V$4:$W$16,2,0),"??")&amp;"-"&amp;AM5)</f>
        <v>EW-CBP-D3000-CL-OA-P-A</v>
      </c>
      <c r="B5" s="10" t="str">
        <f aca="false">IF(D5="","",E5&amp;" "&amp;D5&amp;", excavation "&amp;TEXT(F5,"0.0")&amp;" m, "&amp;G5&amp;", "&amp;H5&amp;", "&amp;K5)</f>
        <v>Permanent Contiguous Bored Pile (CBP), excavation 3.0 m, Cantilever (no support), Old Alluvium, 600 dia</v>
      </c>
      <c r="C5" s="18" t="s">
        <v>720</v>
      </c>
      <c r="D5" s="18" t="s">
        <v>69</v>
      </c>
      <c r="E5" s="18" t="s">
        <v>89</v>
      </c>
      <c r="F5" s="41" t="n">
        <v>3</v>
      </c>
      <c r="G5" s="18" t="s">
        <v>721</v>
      </c>
      <c r="H5" s="18" t="s">
        <v>86</v>
      </c>
      <c r="I5" s="41" t="n">
        <v>2</v>
      </c>
      <c r="J5" s="31" t="n">
        <v>20</v>
      </c>
      <c r="K5" s="18" t="s">
        <v>722</v>
      </c>
      <c r="L5" s="18" t="s">
        <v>723</v>
      </c>
      <c r="M5" s="18" t="s">
        <v>605</v>
      </c>
      <c r="N5" s="41" t="n">
        <v>6</v>
      </c>
      <c r="O5" s="41" t="n">
        <v>9</v>
      </c>
      <c r="P5" s="18" t="s">
        <v>724</v>
      </c>
      <c r="Q5" s="18" t="s">
        <v>725</v>
      </c>
      <c r="R5" s="18" t="s">
        <v>605</v>
      </c>
      <c r="S5" s="18" t="s">
        <v>605</v>
      </c>
      <c r="T5" s="31" t="n">
        <v>22</v>
      </c>
      <c r="U5" s="31" t="n">
        <v>35</v>
      </c>
      <c r="V5" s="31" t="n">
        <v>81</v>
      </c>
      <c r="W5" s="31" t="n">
        <v>84</v>
      </c>
      <c r="X5" s="31"/>
      <c r="Y5" s="18"/>
      <c r="Z5" s="32"/>
      <c r="AA5" s="18" t="s">
        <v>682</v>
      </c>
      <c r="AB5" s="18" t="s">
        <v>726</v>
      </c>
      <c r="AC5" s="18" t="s">
        <v>603</v>
      </c>
      <c r="AD5" s="18" t="s">
        <v>727</v>
      </c>
      <c r="AE5" s="18" t="s">
        <v>728</v>
      </c>
      <c r="AF5" s="18" t="s">
        <v>729</v>
      </c>
      <c r="AG5" s="18" t="s">
        <v>730</v>
      </c>
      <c r="AH5" s="31" t="n">
        <v>120</v>
      </c>
      <c r="AI5" s="18" t="s">
        <v>609</v>
      </c>
      <c r="AJ5" s="32" t="n">
        <v>0.3</v>
      </c>
      <c r="AK5" s="18" t="s">
        <v>731</v>
      </c>
      <c r="AL5" s="18" t="s">
        <v>686</v>
      </c>
      <c r="AM5" s="18" t="s">
        <v>612</v>
      </c>
      <c r="AN5" s="18" t="s">
        <v>254</v>
      </c>
      <c r="AO5" s="18" t="s">
        <v>732</v>
      </c>
      <c r="AP5" s="18" t="n">
        <v>50</v>
      </c>
      <c r="AQ5" s="18" t="s">
        <v>284</v>
      </c>
      <c r="AR5" s="10" t="str">
        <f aca="false">IF(A5="","",SG_Criteria!$B$6&amp;SG_Criteria!$B$9&amp;"\"&amp;A5&amp;"\")</f>
        <v>C:\Users\yourname\YourCompany\Design Library - Documents\03_Embedded_Wall\EW-CBP-D3000-CL-OA-P-A\</v>
      </c>
      <c r="AS5" s="10" t="str">
        <f aca="false">IF(A5="","",A5&amp;"_CAD.dwg")</f>
        <v>EW-CBP-D3000-CL-OA-P-A_CAD.dwg</v>
      </c>
      <c r="AT5" s="10" t="str">
        <f aca="false">IF(A5="","",A5&amp;"_DWG.pdf")</f>
        <v>EW-CBP-D3000-CL-OA-P-A_DWG.pdf</v>
      </c>
      <c r="AU5" s="10" t="str">
        <f aca="false">IF(A5="","",IF(AQ5="Y",A5&amp;"_STAAD.std","n/a"))</f>
        <v>EW-CBP-D3000-CL-OA-P-A_STAAD.std</v>
      </c>
      <c r="AV5" s="10" t="str">
        <f aca="false">IF(A5="","",A5&amp;"_CALC.xlsx")</f>
        <v>EW-CBP-D3000-CL-OA-P-A_CALC.xlsx</v>
      </c>
      <c r="AW5" s="10" t="str">
        <f aca="false">IF(A5="","",A5&amp;"_CALC.pdf")</f>
        <v>EW-CBP-D3000-CL-OA-P-A_CALC.pdf</v>
      </c>
      <c r="AX5" s="18" t="s">
        <v>84</v>
      </c>
      <c r="AY5" s="18" t="s">
        <v>313</v>
      </c>
      <c r="AZ5" s="32" t="n">
        <v>2.6</v>
      </c>
      <c r="BA5" s="32" t="n">
        <v>260</v>
      </c>
      <c r="BB5" s="32" t="n">
        <v>0</v>
      </c>
      <c r="BC5" s="32" t="n">
        <v>1.6</v>
      </c>
      <c r="BD5" s="32" t="n">
        <v>0.6</v>
      </c>
      <c r="BE5" s="12" t="str">
        <f aca="false">IF(A5="","",IF(COUNTIF(Rebar_Schedule!$A$5:$A$2004,A5)=0,"",ROUND(SUMIF(Rebar_Schedule!$A$5:$A$2004,A5,Rebar_Schedule!$K$5:$K$2004),1)))</f>
        <v/>
      </c>
      <c r="BF5" s="33" t="str">
        <f aca="false">IF(A5="","",IF(BE5="","No rebar schedule yet",IF(ABS(BE5-N(BA5))/MAX(N(BA5),1)&gt;SG_Criteria!$B$55,"NOTE: register rebar differs from schedule by "&amp;TEXT(ABS(BE5-N(BA5))/MAX(N(BA5),1),"0%"),"OK")))</f>
        <v>No rebar schedule yet</v>
      </c>
      <c r="BG5" s="33" t="str">
        <f aca="false">IF(OR(D5="",F5=""),"",IF(F5&lt;=IF(D5="Soldier Pile &amp; Timber Lagging",SG_Criteria!$B$34,SG_Criteria!$B$33),"No ERSS submission",IF(F5&lt;=SG_Criteria!$B$35,"QP(ST)",IF(F5&lt;=SG_Criteria!$B$36,"QP(ST) + AC","Geotechnical building works: QP(Geo) + AC"))))</f>
        <v>QP(ST)</v>
      </c>
      <c r="BH5" s="33" t="str">
        <f aca="false">IF(D5="","",IF(LEN(IF(AND(AC5&lt;&gt;"",IFERROR(VALUE(MID(AC5,2,2)),0)&lt;SG_Criteria!$B$19),"FAIL: grade below C"&amp;SG_Criteria!$B$19&amp;". ","")&amp;IF(AND(LEFT(D5,3)="Con",N(I5)&lt;F5,H5="Kallang Formation (marine clay)"),"NOTE: CBP is not watertight below GWT in marine clay; consider secant / grouting. ","")&amp;IF(AND(D5="Steel Sheet Pile",E5="Permanent"),"NOTE: permanent sheet pile needs corrosion allowance. ","")&amp;IF(AND(G5="Cantilever (no support)",F5&gt;6),"NOTE: cantilever embedded wall &gt; 6 m, check deflection. ","")&amp;IF(AND(T5&lt;&gt;"",U5&lt;&gt;"",T5&gt;U5),"FAIL: deflection exceeds allowable. ",""))=0,"OK",IF(AND(AC5&lt;&gt;"",IFERROR(VALUE(MID(AC5,2,2)),0)&lt;SG_Criteria!$B$19),"FAIL: grade below C"&amp;SG_Criteria!$B$19&amp;". ","")&amp;IF(AND(LEFT(D5,3)="Con",N(I5)&lt;F5,H5="Kallang Formation (marine clay)"),"NOTE: CBP is not watertight below GWT in marine clay; consider secant / grouting. ","")&amp;IF(AND(D5="Steel Sheet Pile",E5="Permanent"),"NOTE: permanent sheet pile needs corrosion allowance. ","")&amp;IF(AND(G5="Cantilever (no support)",F5&gt;6),"NOTE: cantilever embedded wall &gt; 6 m, check deflection. ","")&amp;IF(AND(T5&lt;&gt;"",U5&lt;&gt;"",T5&gt;U5),"FAIL: deflection exceeds allowable. ","")))</f>
        <v>OK</v>
      </c>
      <c r="BI5" s="18" t="s">
        <v>733</v>
      </c>
      <c r="BJ5" s="18"/>
      <c r="BK5" s="18" t="s">
        <v>590</v>
      </c>
      <c r="BL5" s="10" t="str">
        <f aca="false">IF(BK5="","",IFERROR(VLOOKUP(BK5,Projects!$A$5:$D$504,2,0),"Ref not in Projects"))</f>
        <v>EXAMPLE Industrial development, Tuas</v>
      </c>
      <c r="BM5" s="10" t="str">
        <f aca="false">IF(BK5="","",IFERROR(VLOOKUP(BK5,Projects!$A$5:$D$504,4,0),"Ref not in Projects"))</f>
        <v>Private</v>
      </c>
      <c r="BN5" s="18" t="s">
        <v>688</v>
      </c>
      <c r="BO5" s="18" t="s">
        <v>616</v>
      </c>
      <c r="BP5" s="18" t="s">
        <v>617</v>
      </c>
      <c r="BQ5" s="35" t="n">
        <v>46309</v>
      </c>
      <c r="BR5" s="18" t="s">
        <v>617</v>
      </c>
      <c r="BS5" s="35" t="n">
        <v>46309</v>
      </c>
      <c r="BT5" s="18" t="s">
        <v>618</v>
      </c>
      <c r="BU5" s="35"/>
      <c r="BV5" s="18" t="s">
        <v>617</v>
      </c>
      <c r="BW5" s="18" t="s">
        <v>617</v>
      </c>
      <c r="BX5" s="18" t="s">
        <v>617</v>
      </c>
      <c r="BY5" s="35" t="n">
        <v>46309</v>
      </c>
      <c r="BZ5" s="35" t="n">
        <v>46309</v>
      </c>
      <c r="CA5" s="36" t="n">
        <f aca="false">IF(BZ5="","",EDATE(BZ5,SG_Criteria!$B$54*12))</f>
        <v>47405</v>
      </c>
      <c r="CB5" s="33" t="str">
        <f aca="true">IF(A5="","",IF(BZ5="","NOTE: not reviewed yet",IF(TODAY()&gt;CA5,"NOTE: review overdue","OK")))</f>
        <v>OK</v>
      </c>
      <c r="CC5" s="37" t="n">
        <f aca="false">IF(A5="","",ROUND((IF(LEN(D5)&gt;0,1,0)+IF(LEN(E5)&gt;0,1,0)+IF(LEN(F5)&gt;0,1,0)+IF(LEN(G5)&gt;0,1,0)+IF(LEN(H5)&gt;0,1,0)+IF(LEN(I5)&gt;0,1,0)+IF(LEN(K5)&gt;0,1,0)+IF(LEN(N5)&gt;0,1,0)+IF(LEN(O5)&gt;0,1,0)+IF(LEN(T5)&gt;0,1,0)+IF(LEN(U5)&gt;0,1,0)+IF(LEN(V5)&gt;0,1,0)+IF(LEN(AK5)&gt;0,1,0)+IF(LEN(AM5)&gt;0,1,0)+IF(LEN(AN5)&gt;0,1,0)+IF(LEN(AO5)&gt;0,1,0)+IF(LEN(AP5)&gt;0,1,0)+IF(LEN(AY5)&gt;0,1,0)+IF(LEN(BK5)&gt;0,1,0)+IF(LEN(BX5)&gt;0,1,0))/20,2))</f>
        <v>1</v>
      </c>
      <c r="CD5" s="10" t="str">
        <f aca="false">IF(D5="","",IF(AND(AN5="Approved",ISERROR(SEARCH("FAIL",BH5))),"Y","N"))</f>
        <v>Y</v>
      </c>
      <c r="CE5" s="10" t="str">
        <f aca="false">IF(D5="","",D5&amp;"|"&amp;F5&amp;"|"&amp;G5&amp;"|"&amp;H5&amp;"|"&amp;E5&amp;"|"&amp;CD5)</f>
        <v>Contiguous Bored Pile (CBP)|3|Cantilever (no support)|Old Alluvium|Permanent|Y</v>
      </c>
    </row>
    <row r="6" customFormat="false" ht="15" hidden="false" customHeight="false" outlineLevel="0" collapsed="false">
      <c r="A6" s="10" t="str">
        <f aca="false">IF(D6="","","EW-"&amp;IFERROR(VLOOKUP(D6,Lists!$P$4:$Q$22,2,0),"??")&amp;"-D"&amp;TEXT(F6*1000,"0000")&amp;"-"&amp;IFERROR(VLOOKUP(G6,Lists!$S$4:$T$21,2,0),"??")&amp;"-"&amp;IFERROR(VLOOKUP(H6,Lists!$Y$4:$Z$21,2,0),"??")&amp;"-"&amp;IFERROR(VLOOKUP(E6,Lists!$V$4:$W$16,2,0),"??")&amp;"-"&amp;AM6)</f>
        <v>EW-CBP-D5000-S1-OA-P-A</v>
      </c>
      <c r="B6" s="10" t="str">
        <f aca="false">IF(D6="","",E6&amp;" "&amp;D6&amp;", excavation "&amp;TEXT(F6,"0.0")&amp;" m, "&amp;G6&amp;", "&amp;H6&amp;", "&amp;K6)</f>
        <v>Permanent Contiguous Bored Pile (CBP), excavation 5.0 m, 1 level strut, Old Alluvium, 800 dia</v>
      </c>
      <c r="C6" s="18" t="s">
        <v>720</v>
      </c>
      <c r="D6" s="18" t="s">
        <v>69</v>
      </c>
      <c r="E6" s="18" t="s">
        <v>89</v>
      </c>
      <c r="F6" s="41" t="n">
        <v>5</v>
      </c>
      <c r="G6" s="18" t="s">
        <v>79</v>
      </c>
      <c r="H6" s="18" t="s">
        <v>86</v>
      </c>
      <c r="I6" s="41" t="n">
        <v>2</v>
      </c>
      <c r="J6" s="31" t="n">
        <v>20</v>
      </c>
      <c r="K6" s="18" t="s">
        <v>734</v>
      </c>
      <c r="L6" s="18" t="s">
        <v>735</v>
      </c>
      <c r="M6" s="18" t="s">
        <v>605</v>
      </c>
      <c r="N6" s="41" t="n">
        <v>7</v>
      </c>
      <c r="O6" s="41" t="n">
        <v>12</v>
      </c>
      <c r="P6" s="18" t="s">
        <v>736</v>
      </c>
      <c r="Q6" s="18" t="s">
        <v>737</v>
      </c>
      <c r="R6" s="18" t="s">
        <v>738</v>
      </c>
      <c r="S6" s="18" t="s">
        <v>739</v>
      </c>
      <c r="T6" s="31" t="n">
        <v>28</v>
      </c>
      <c r="U6" s="31" t="n">
        <v>40</v>
      </c>
      <c r="V6" s="31" t="n">
        <v>225</v>
      </c>
      <c r="W6" s="31" t="n">
        <v>140</v>
      </c>
      <c r="X6" s="31" t="n">
        <v>175</v>
      </c>
      <c r="Y6" s="18" t="s">
        <v>740</v>
      </c>
      <c r="Z6" s="32"/>
      <c r="AA6" s="18" t="s">
        <v>682</v>
      </c>
      <c r="AB6" s="18" t="s">
        <v>726</v>
      </c>
      <c r="AC6" s="18" t="s">
        <v>603</v>
      </c>
      <c r="AD6" s="18" t="s">
        <v>741</v>
      </c>
      <c r="AE6" s="18" t="s">
        <v>742</v>
      </c>
      <c r="AF6" s="18" t="s">
        <v>743</v>
      </c>
      <c r="AG6" s="18" t="s">
        <v>730</v>
      </c>
      <c r="AH6" s="31" t="n">
        <v>120</v>
      </c>
      <c r="AI6" s="18" t="s">
        <v>609</v>
      </c>
      <c r="AJ6" s="32" t="n">
        <v>0.3</v>
      </c>
      <c r="AK6" s="18" t="s">
        <v>731</v>
      </c>
      <c r="AL6" s="18" t="s">
        <v>686</v>
      </c>
      <c r="AM6" s="18" t="s">
        <v>612</v>
      </c>
      <c r="AN6" s="18" t="s">
        <v>254</v>
      </c>
      <c r="AO6" s="18" t="s">
        <v>744</v>
      </c>
      <c r="AP6" s="18" t="n">
        <v>50</v>
      </c>
      <c r="AQ6" s="18" t="s">
        <v>284</v>
      </c>
      <c r="AR6" s="10" t="str">
        <f aca="false">IF(A6="","",SG_Criteria!$B$6&amp;SG_Criteria!$B$9&amp;"\"&amp;A6&amp;"\")</f>
        <v>C:\Users\yourname\YourCompany\Design Library - Documents\03_Embedded_Wall\EW-CBP-D5000-S1-OA-P-A\</v>
      </c>
      <c r="AS6" s="10" t="str">
        <f aca="false">IF(A6="","",A6&amp;"_CAD.dwg")</f>
        <v>EW-CBP-D5000-S1-OA-P-A_CAD.dwg</v>
      </c>
      <c r="AT6" s="10" t="str">
        <f aca="false">IF(A6="","",A6&amp;"_DWG.pdf")</f>
        <v>EW-CBP-D5000-S1-OA-P-A_DWG.pdf</v>
      </c>
      <c r="AU6" s="10" t="str">
        <f aca="false">IF(A6="","",IF(AQ6="Y",A6&amp;"_STAAD.std","n/a"))</f>
        <v>EW-CBP-D5000-S1-OA-P-A_STAAD.std</v>
      </c>
      <c r="AV6" s="10" t="str">
        <f aca="false">IF(A6="","",A6&amp;"_CALC.xlsx")</f>
        <v>EW-CBP-D5000-S1-OA-P-A_CALC.xlsx</v>
      </c>
      <c r="AW6" s="10" t="str">
        <f aca="false">IF(A6="","",A6&amp;"_CALC.pdf")</f>
        <v>EW-CBP-D5000-S1-OA-P-A_CALC.pdf</v>
      </c>
      <c r="AX6" s="18" t="s">
        <v>84</v>
      </c>
      <c r="AY6" s="18" t="s">
        <v>313</v>
      </c>
      <c r="AZ6" s="32" t="n">
        <v>6.4</v>
      </c>
      <c r="BA6" s="32" t="n">
        <v>720</v>
      </c>
      <c r="BB6" s="32" t="n">
        <v>180</v>
      </c>
      <c r="BC6" s="32" t="n">
        <v>1.8</v>
      </c>
      <c r="BD6" s="32" t="n">
        <v>0.9</v>
      </c>
      <c r="BE6" s="12" t="str">
        <f aca="false">IF(A6="","",IF(COUNTIF(Rebar_Schedule!$A$5:$A$2004,A6)=0,"",ROUND(SUMIF(Rebar_Schedule!$A$5:$A$2004,A6,Rebar_Schedule!$K$5:$K$2004),1)))</f>
        <v/>
      </c>
      <c r="BF6" s="33" t="str">
        <f aca="false">IF(A6="","",IF(BE6="","No rebar schedule yet",IF(ABS(BE6-N(BA6))/MAX(N(BA6),1)&gt;SG_Criteria!$B$55,"NOTE: register rebar differs from schedule by "&amp;TEXT(ABS(BE6-N(BA6))/MAX(N(BA6),1),"0%"),"OK")))</f>
        <v>No rebar schedule yet</v>
      </c>
      <c r="BG6" s="33" t="str">
        <f aca="false">IF(OR(D6="",F6=""),"",IF(F6&lt;=IF(D6="Soldier Pile &amp; Timber Lagging",SG_Criteria!$B$34,SG_Criteria!$B$33),"No ERSS submission",IF(F6&lt;=SG_Criteria!$B$35,"QP(ST)",IF(F6&lt;=SG_Criteria!$B$36,"QP(ST) + AC","Geotechnical building works: QP(Geo) + AC"))))</f>
        <v>QP(ST) + AC</v>
      </c>
      <c r="BH6" s="33" t="str">
        <f aca="false">IF(D6="","",IF(LEN(IF(AND(AC6&lt;&gt;"",IFERROR(VALUE(MID(AC6,2,2)),0)&lt;SG_Criteria!$B$19),"FAIL: grade below C"&amp;SG_Criteria!$B$19&amp;". ","")&amp;IF(AND(LEFT(D6,3)="Con",N(I6)&lt;F6,H6="Kallang Formation (marine clay)"),"NOTE: CBP is not watertight below GWT in marine clay; consider secant / grouting. ","")&amp;IF(AND(D6="Steel Sheet Pile",E6="Permanent"),"NOTE: permanent sheet pile needs corrosion allowance. ","")&amp;IF(AND(G6="Cantilever (no support)",F6&gt;6),"NOTE: cantilever embedded wall &gt; 6 m, check deflection. ","")&amp;IF(AND(T6&lt;&gt;"",U6&lt;&gt;"",T6&gt;U6),"FAIL: deflection exceeds allowable. ",""))=0,"OK",IF(AND(AC6&lt;&gt;"",IFERROR(VALUE(MID(AC6,2,2)),0)&lt;SG_Criteria!$B$19),"FAIL: grade below C"&amp;SG_Criteria!$B$19&amp;". ","")&amp;IF(AND(LEFT(D6,3)="Con",N(I6)&lt;F6,H6="Kallang Formation (marine clay)"),"NOTE: CBP is not watertight below GWT in marine clay; consider secant / grouting. ","")&amp;IF(AND(D6="Steel Sheet Pile",E6="Permanent"),"NOTE: permanent sheet pile needs corrosion allowance. ","")&amp;IF(AND(G6="Cantilever (no support)",F6&gt;6),"NOTE: cantilever embedded wall &gt; 6 m, check deflection. ","")&amp;IF(AND(T6&lt;&gt;"",U6&lt;&gt;"",T6&gt;U6),"FAIL: deflection exceeds allowable. ","")))</f>
        <v>OK</v>
      </c>
      <c r="BI6" s="18" t="s">
        <v>621</v>
      </c>
      <c r="BJ6" s="18"/>
      <c r="BK6" s="18" t="s">
        <v>590</v>
      </c>
      <c r="BL6" s="10" t="str">
        <f aca="false">IF(BK6="","",IFERROR(VLOOKUP(BK6,Projects!$A$5:$D$504,2,0),"Ref not in Projects"))</f>
        <v>EXAMPLE Industrial development, Tuas</v>
      </c>
      <c r="BM6" s="10" t="str">
        <f aca="false">IF(BK6="","",IFERROR(VLOOKUP(BK6,Projects!$A$5:$D$504,4,0),"Ref not in Projects"))</f>
        <v>Private</v>
      </c>
      <c r="BN6" s="18" t="s">
        <v>695</v>
      </c>
      <c r="BO6" s="18" t="s">
        <v>616</v>
      </c>
      <c r="BP6" s="18" t="s">
        <v>617</v>
      </c>
      <c r="BQ6" s="35" t="n">
        <v>46309</v>
      </c>
      <c r="BR6" s="18" t="s">
        <v>617</v>
      </c>
      <c r="BS6" s="35" t="n">
        <v>46309</v>
      </c>
      <c r="BT6" s="18" t="s">
        <v>618</v>
      </c>
      <c r="BU6" s="35"/>
      <c r="BV6" s="18" t="s">
        <v>617</v>
      </c>
      <c r="BW6" s="18" t="s">
        <v>617</v>
      </c>
      <c r="BX6" s="18" t="s">
        <v>617</v>
      </c>
      <c r="BY6" s="35" t="n">
        <v>46309</v>
      </c>
      <c r="BZ6" s="35" t="n">
        <v>46309</v>
      </c>
      <c r="CA6" s="36" t="n">
        <f aca="false">IF(BZ6="","",EDATE(BZ6,SG_Criteria!$B$54*12))</f>
        <v>47405</v>
      </c>
      <c r="CB6" s="33" t="str">
        <f aca="true">IF(A6="","",IF(BZ6="","NOTE: not reviewed yet",IF(TODAY()&gt;CA6,"NOTE: review overdue","OK")))</f>
        <v>OK</v>
      </c>
      <c r="CC6" s="37" t="n">
        <f aca="false">IF(A6="","",ROUND((IF(LEN(D6)&gt;0,1,0)+IF(LEN(E6)&gt;0,1,0)+IF(LEN(F6)&gt;0,1,0)+IF(LEN(G6)&gt;0,1,0)+IF(LEN(H6)&gt;0,1,0)+IF(LEN(I6)&gt;0,1,0)+IF(LEN(K6)&gt;0,1,0)+IF(LEN(N6)&gt;0,1,0)+IF(LEN(O6)&gt;0,1,0)+IF(LEN(T6)&gt;0,1,0)+IF(LEN(U6)&gt;0,1,0)+IF(LEN(V6)&gt;0,1,0)+IF(LEN(AK6)&gt;0,1,0)+IF(LEN(AM6)&gt;0,1,0)+IF(LEN(AN6)&gt;0,1,0)+IF(LEN(AO6)&gt;0,1,0)+IF(LEN(AP6)&gt;0,1,0)+IF(LEN(AY6)&gt;0,1,0)+IF(LEN(BK6)&gt;0,1,0)+IF(LEN(BX6)&gt;0,1,0))/20,2))</f>
        <v>1</v>
      </c>
      <c r="CD6" s="10" t="str">
        <f aca="false">IF(D6="","",IF(AND(AN6="Approved",ISERROR(SEARCH("FAIL",BH6))),"Y","N"))</f>
        <v>Y</v>
      </c>
      <c r="CE6" s="10" t="str">
        <f aca="false">IF(D6="","",D6&amp;"|"&amp;F6&amp;"|"&amp;G6&amp;"|"&amp;H6&amp;"|"&amp;E6&amp;"|"&amp;CD6)</f>
        <v>Contiguous Bored Pile (CBP)|5|1 level strut|Old Alluvium|Permanent|Y</v>
      </c>
    </row>
    <row r="7" customFormat="false" ht="15" hidden="false" customHeight="false" outlineLevel="0" collapsed="false">
      <c r="A7" s="10" t="str">
        <f aca="false">IF(D7="","","EW-"&amp;IFERROR(VLOOKUP(D7,Lists!$P$4:$Q$22,2,0),"??")&amp;"-D"&amp;TEXT(F7*1000,"0000")&amp;"-"&amp;IFERROR(VLOOKUP(G7,Lists!$S$4:$T$21,2,0),"??")&amp;"-"&amp;IFERROR(VLOOKUP(H7,Lists!$Y$4:$Z$21,2,0),"??")&amp;"-"&amp;IFERROR(VLOOKUP(E7,Lists!$V$4:$W$16,2,0),"??")&amp;"-"&amp;AM7)</f>
        <v>EW-SPW-D6000-S1-KF-P-A</v>
      </c>
      <c r="B7" s="10" t="str">
        <f aca="false">IF(D7="","",E7&amp;" "&amp;D7&amp;", excavation "&amp;TEXT(F7,"0.0")&amp;" m, "&amp;G7&amp;", "&amp;H7&amp;", "&amp;K7)</f>
        <v>Permanent Secant Pile (hard-firm), excavation 6.0 m, 1 level strut, Kallang Formation (marine clay), 1000 dia</v>
      </c>
      <c r="C7" s="18" t="s">
        <v>720</v>
      </c>
      <c r="D7" s="18" t="s">
        <v>221</v>
      </c>
      <c r="E7" s="18" t="s">
        <v>89</v>
      </c>
      <c r="F7" s="41" t="n">
        <v>6</v>
      </c>
      <c r="G7" s="18" t="s">
        <v>79</v>
      </c>
      <c r="H7" s="18" t="s">
        <v>745</v>
      </c>
      <c r="I7" s="41" t="n">
        <v>1</v>
      </c>
      <c r="J7" s="31" t="n">
        <v>20</v>
      </c>
      <c r="K7" s="18" t="s">
        <v>746</v>
      </c>
      <c r="L7" s="18" t="s">
        <v>747</v>
      </c>
      <c r="M7" s="18" t="s">
        <v>605</v>
      </c>
      <c r="N7" s="41" t="n">
        <v>12</v>
      </c>
      <c r="O7" s="41" t="n">
        <v>18</v>
      </c>
      <c r="P7" s="18" t="s">
        <v>748</v>
      </c>
      <c r="Q7" s="18" t="s">
        <v>749</v>
      </c>
      <c r="R7" s="18" t="s">
        <v>750</v>
      </c>
      <c r="S7" s="18" t="s">
        <v>751</v>
      </c>
      <c r="T7" s="31" t="n">
        <v>30</v>
      </c>
      <c r="U7" s="31" t="n">
        <v>40</v>
      </c>
      <c r="V7" s="31" t="n">
        <v>324</v>
      </c>
      <c r="W7" s="31" t="n">
        <v>168</v>
      </c>
      <c r="X7" s="31" t="n">
        <v>210</v>
      </c>
      <c r="Y7" s="18" t="s">
        <v>740</v>
      </c>
      <c r="Z7" s="32" t="n">
        <v>1.6</v>
      </c>
      <c r="AA7" s="18" t="s">
        <v>682</v>
      </c>
      <c r="AB7" s="18" t="s">
        <v>726</v>
      </c>
      <c r="AC7" s="18" t="s">
        <v>603</v>
      </c>
      <c r="AD7" s="18" t="s">
        <v>752</v>
      </c>
      <c r="AE7" s="18" t="s">
        <v>742</v>
      </c>
      <c r="AF7" s="18" t="s">
        <v>753</v>
      </c>
      <c r="AG7" s="18" t="s">
        <v>730</v>
      </c>
      <c r="AH7" s="31" t="n">
        <v>120</v>
      </c>
      <c r="AI7" s="18" t="s">
        <v>609</v>
      </c>
      <c r="AJ7" s="32" t="n">
        <v>0.3</v>
      </c>
      <c r="AK7" s="18" t="s">
        <v>731</v>
      </c>
      <c r="AL7" s="18" t="s">
        <v>686</v>
      </c>
      <c r="AM7" s="18" t="s">
        <v>612</v>
      </c>
      <c r="AN7" s="18" t="s">
        <v>254</v>
      </c>
      <c r="AO7" s="18" t="s">
        <v>754</v>
      </c>
      <c r="AP7" s="18" t="n">
        <v>50</v>
      </c>
      <c r="AQ7" s="18" t="s">
        <v>284</v>
      </c>
      <c r="AR7" s="10" t="str">
        <f aca="false">IF(A7="","",SG_Criteria!$B$6&amp;SG_Criteria!$B$9&amp;"\"&amp;A7&amp;"\")</f>
        <v>C:\Users\yourname\YourCompany\Design Library - Documents\03_Embedded_Wall\EW-SPW-D6000-S1-KF-P-A\</v>
      </c>
      <c r="AS7" s="10" t="str">
        <f aca="false">IF(A7="","",A7&amp;"_CAD.dwg")</f>
        <v>EW-SPW-D6000-S1-KF-P-A_CAD.dwg</v>
      </c>
      <c r="AT7" s="10" t="str">
        <f aca="false">IF(A7="","",A7&amp;"_DWG.pdf")</f>
        <v>EW-SPW-D6000-S1-KF-P-A_DWG.pdf</v>
      </c>
      <c r="AU7" s="10" t="str">
        <f aca="false">IF(A7="","",IF(AQ7="Y",A7&amp;"_STAAD.std","n/a"))</f>
        <v>EW-SPW-D6000-S1-KF-P-A_STAAD.std</v>
      </c>
      <c r="AV7" s="10" t="str">
        <f aca="false">IF(A7="","",A7&amp;"_CALC.xlsx")</f>
        <v>EW-SPW-D6000-S1-KF-P-A_CALC.xlsx</v>
      </c>
      <c r="AW7" s="10" t="str">
        <f aca="false">IF(A7="","",A7&amp;"_CALC.pdf")</f>
        <v>EW-SPW-D6000-S1-KF-P-A_CALC.pdf</v>
      </c>
      <c r="AX7" s="18" t="s">
        <v>84</v>
      </c>
      <c r="AY7" s="18" t="s">
        <v>313</v>
      </c>
      <c r="AZ7" s="32" t="n">
        <v>14.1</v>
      </c>
      <c r="BA7" s="32" t="n">
        <v>1150</v>
      </c>
      <c r="BB7" s="32" t="n">
        <v>220</v>
      </c>
      <c r="BC7" s="32" t="n">
        <v>2.2</v>
      </c>
      <c r="BD7" s="32" t="n">
        <v>1.2</v>
      </c>
      <c r="BE7" s="12" t="str">
        <f aca="false">IF(A7="","",IF(COUNTIF(Rebar_Schedule!$A$5:$A$2004,A7)=0,"",ROUND(SUMIF(Rebar_Schedule!$A$5:$A$2004,A7,Rebar_Schedule!$K$5:$K$2004),1)))</f>
        <v/>
      </c>
      <c r="BF7" s="33" t="str">
        <f aca="false">IF(A7="","",IF(BE7="","No rebar schedule yet",IF(ABS(BE7-N(BA7))/MAX(N(BA7),1)&gt;SG_Criteria!$B$55,"NOTE: register rebar differs from schedule by "&amp;TEXT(ABS(BE7-N(BA7))/MAX(N(BA7),1),"0%"),"OK")))</f>
        <v>No rebar schedule yet</v>
      </c>
      <c r="BG7" s="33" t="str">
        <f aca="false">IF(OR(D7="",F7=""),"",IF(F7&lt;=IF(D7="Soldier Pile &amp; Timber Lagging",SG_Criteria!$B$34,SG_Criteria!$B$33),"No ERSS submission",IF(F7&lt;=SG_Criteria!$B$35,"QP(ST)",IF(F7&lt;=SG_Criteria!$B$36,"QP(ST) + AC","Geotechnical building works: QP(Geo) + AC"))))</f>
        <v>QP(ST) + AC</v>
      </c>
      <c r="BH7" s="33" t="str">
        <f aca="false">IF(D7="","",IF(LEN(IF(AND(AC7&lt;&gt;"",IFERROR(VALUE(MID(AC7,2,2)),0)&lt;SG_Criteria!$B$19),"FAIL: grade below C"&amp;SG_Criteria!$B$19&amp;". ","")&amp;IF(AND(LEFT(D7,3)="Con",N(I7)&lt;F7,H7="Kallang Formation (marine clay)"),"NOTE: CBP is not watertight below GWT in marine clay; consider secant / grouting. ","")&amp;IF(AND(D7="Steel Sheet Pile",E7="Permanent"),"NOTE: permanent sheet pile needs corrosion allowance. ","")&amp;IF(AND(G7="Cantilever (no support)",F7&gt;6),"NOTE: cantilever embedded wall &gt; 6 m, check deflection. ","")&amp;IF(AND(T7&lt;&gt;"",U7&lt;&gt;"",T7&gt;U7),"FAIL: deflection exceeds allowable. ",""))=0,"OK",IF(AND(AC7&lt;&gt;"",IFERROR(VALUE(MID(AC7,2,2)),0)&lt;SG_Criteria!$B$19),"FAIL: grade below C"&amp;SG_Criteria!$B$19&amp;". ","")&amp;IF(AND(LEFT(D7,3)="Con",N(I7)&lt;F7,H7="Kallang Formation (marine clay)"),"NOTE: CBP is not watertight below GWT in marine clay; consider secant / grouting. ","")&amp;IF(AND(D7="Steel Sheet Pile",E7="Permanent"),"NOTE: permanent sheet pile needs corrosion allowance. ","")&amp;IF(AND(G7="Cantilever (no support)",F7&gt;6),"NOTE: cantilever embedded wall &gt; 6 m, check deflection. ","")&amp;IF(AND(T7&lt;&gt;"",U7&lt;&gt;"",T7&gt;U7),"FAIL: deflection exceeds allowable. ","")))</f>
        <v>OK</v>
      </c>
      <c r="BI7" s="18" t="s">
        <v>755</v>
      </c>
      <c r="BJ7" s="18"/>
      <c r="BK7" s="18" t="s">
        <v>590</v>
      </c>
      <c r="BL7" s="10" t="str">
        <f aca="false">IF(BK7="","",IFERROR(VLOOKUP(BK7,Projects!$A$5:$D$504,2,0),"Ref not in Projects"))</f>
        <v>EXAMPLE Industrial development, Tuas</v>
      </c>
      <c r="BM7" s="10" t="str">
        <f aca="false">IF(BK7="","",IFERROR(VLOOKUP(BK7,Projects!$A$5:$D$504,4,0),"Ref not in Projects"))</f>
        <v>Private</v>
      </c>
      <c r="BN7" s="18" t="s">
        <v>697</v>
      </c>
      <c r="BO7" s="18" t="s">
        <v>616</v>
      </c>
      <c r="BP7" s="18" t="s">
        <v>617</v>
      </c>
      <c r="BQ7" s="35" t="n">
        <v>46309</v>
      </c>
      <c r="BR7" s="18" t="s">
        <v>617</v>
      </c>
      <c r="BS7" s="35" t="n">
        <v>46309</v>
      </c>
      <c r="BT7" s="18" t="s">
        <v>618</v>
      </c>
      <c r="BU7" s="35"/>
      <c r="BV7" s="18" t="s">
        <v>617</v>
      </c>
      <c r="BW7" s="18" t="s">
        <v>617</v>
      </c>
      <c r="BX7" s="18" t="s">
        <v>617</v>
      </c>
      <c r="BY7" s="35" t="n">
        <v>46309</v>
      </c>
      <c r="BZ7" s="35" t="n">
        <v>46309</v>
      </c>
      <c r="CA7" s="36" t="n">
        <f aca="false">IF(BZ7="","",EDATE(BZ7,SG_Criteria!$B$54*12))</f>
        <v>47405</v>
      </c>
      <c r="CB7" s="33" t="str">
        <f aca="true">IF(A7="","",IF(BZ7="","NOTE: not reviewed yet",IF(TODAY()&gt;CA7,"NOTE: review overdue","OK")))</f>
        <v>OK</v>
      </c>
      <c r="CC7" s="37" t="n">
        <f aca="false">IF(A7="","",ROUND((IF(LEN(D7)&gt;0,1,0)+IF(LEN(E7)&gt;0,1,0)+IF(LEN(F7)&gt;0,1,0)+IF(LEN(G7)&gt;0,1,0)+IF(LEN(H7)&gt;0,1,0)+IF(LEN(I7)&gt;0,1,0)+IF(LEN(K7)&gt;0,1,0)+IF(LEN(N7)&gt;0,1,0)+IF(LEN(O7)&gt;0,1,0)+IF(LEN(T7)&gt;0,1,0)+IF(LEN(U7)&gt;0,1,0)+IF(LEN(V7)&gt;0,1,0)+IF(LEN(AK7)&gt;0,1,0)+IF(LEN(AM7)&gt;0,1,0)+IF(LEN(AN7)&gt;0,1,0)+IF(LEN(AO7)&gt;0,1,0)+IF(LEN(AP7)&gt;0,1,0)+IF(LEN(AY7)&gt;0,1,0)+IF(LEN(BK7)&gt;0,1,0)+IF(LEN(BX7)&gt;0,1,0))/20,2))</f>
        <v>1</v>
      </c>
      <c r="CD7" s="10" t="str">
        <f aca="false">IF(D7="","",IF(AND(AN7="Approved",ISERROR(SEARCH("FAIL",BH7))),"Y","N"))</f>
        <v>Y</v>
      </c>
      <c r="CE7" s="10" t="str">
        <f aca="false">IF(D7="","",D7&amp;"|"&amp;F7&amp;"|"&amp;G7&amp;"|"&amp;H7&amp;"|"&amp;E7&amp;"|"&amp;CD7)</f>
        <v>Secant Pile (hard-firm)|6|1 level strut|Kallang Formation (marine clay)|Permanent|Y</v>
      </c>
    </row>
    <row r="8" customFormat="false" ht="15" hidden="false" customHeight="false" outlineLevel="0" collapsed="false">
      <c r="A8" s="10" t="str">
        <f aca="false">IF(D8="","","EW-"&amp;IFERROR(VLOOKUP(D8,Lists!$P$4:$Q$22,2,0),"??")&amp;"-D"&amp;TEXT(F8*1000,"0000")&amp;"-"&amp;IFERROR(VLOOKUP(G8,Lists!$S$4:$T$21,2,0),"??")&amp;"-"&amp;IFERROR(VLOOKUP(H8,Lists!$Y$4:$Z$21,2,0),"??")&amp;"-"&amp;IFERROR(VLOOKUP(E8,Lists!$V$4:$W$16,2,0),"??")&amp;"-"&amp;AM8)</f>
        <v>EW-SSP-D4000-S1-KF-T-A</v>
      </c>
      <c r="B8" s="10" t="str">
        <f aca="false">IF(D8="","",E8&amp;" "&amp;D8&amp;", excavation "&amp;TEXT(F8,"0.0")&amp;" m, "&amp;G8&amp;", "&amp;H8&amp;", "&amp;K8)</f>
        <v>Temporary Steel Sheet Pile, excavation 4.0 m, 1 level strut, Kallang Formation (marine clay), FSP IV</v>
      </c>
      <c r="C8" s="18" t="s">
        <v>720</v>
      </c>
      <c r="D8" s="18" t="s">
        <v>223</v>
      </c>
      <c r="E8" s="18" t="s">
        <v>756</v>
      </c>
      <c r="F8" s="41" t="n">
        <v>4</v>
      </c>
      <c r="G8" s="18" t="s">
        <v>79</v>
      </c>
      <c r="H8" s="18" t="s">
        <v>745</v>
      </c>
      <c r="I8" s="41" t="n">
        <v>1</v>
      </c>
      <c r="J8" s="31" t="n">
        <v>20</v>
      </c>
      <c r="K8" s="18" t="s">
        <v>757</v>
      </c>
      <c r="L8" s="18" t="s">
        <v>605</v>
      </c>
      <c r="M8" s="18" t="s">
        <v>605</v>
      </c>
      <c r="N8" s="41" t="n">
        <v>8</v>
      </c>
      <c r="O8" s="41" t="n">
        <v>12</v>
      </c>
      <c r="P8" s="18" t="s">
        <v>605</v>
      </c>
      <c r="Q8" s="18" t="s">
        <v>605</v>
      </c>
      <c r="R8" s="18" t="s">
        <v>758</v>
      </c>
      <c r="S8" s="18" t="s">
        <v>759</v>
      </c>
      <c r="T8" s="31" t="n">
        <v>35</v>
      </c>
      <c r="U8" s="31" t="n">
        <v>50</v>
      </c>
      <c r="V8" s="31" t="n">
        <v>144</v>
      </c>
      <c r="W8" s="31" t="n">
        <v>112</v>
      </c>
      <c r="X8" s="31" t="n">
        <v>140</v>
      </c>
      <c r="Y8" s="18" t="s">
        <v>740</v>
      </c>
      <c r="Z8" s="32" t="n">
        <v>1.6</v>
      </c>
      <c r="AA8" s="18" t="s">
        <v>682</v>
      </c>
      <c r="AB8" s="18" t="s">
        <v>760</v>
      </c>
      <c r="AC8" s="18"/>
      <c r="AD8" s="18" t="s">
        <v>761</v>
      </c>
      <c r="AE8" s="18" t="s">
        <v>762</v>
      </c>
      <c r="AF8" s="18" t="s">
        <v>763</v>
      </c>
      <c r="AG8" s="18"/>
      <c r="AH8" s="31" t="n">
        <v>2</v>
      </c>
      <c r="AI8" s="18" t="s">
        <v>609</v>
      </c>
      <c r="AJ8" s="32" t="n">
        <v>0.3</v>
      </c>
      <c r="AK8" s="18" t="s">
        <v>731</v>
      </c>
      <c r="AL8" s="18" t="s">
        <v>686</v>
      </c>
      <c r="AM8" s="18" t="s">
        <v>612</v>
      </c>
      <c r="AN8" s="18" t="s">
        <v>254</v>
      </c>
      <c r="AO8" s="18" t="s">
        <v>764</v>
      </c>
      <c r="AP8" s="18" t="n">
        <v>50</v>
      </c>
      <c r="AQ8" s="18" t="s">
        <v>284</v>
      </c>
      <c r="AR8" s="10" t="str">
        <f aca="false">IF(A8="","",SG_Criteria!$B$6&amp;SG_Criteria!$B$9&amp;"\"&amp;A8&amp;"\")</f>
        <v>C:\Users\yourname\YourCompany\Design Library - Documents\03_Embedded_Wall\EW-SSP-D4000-S1-KF-T-A\</v>
      </c>
      <c r="AS8" s="10" t="str">
        <f aca="false">IF(A8="","",A8&amp;"_CAD.dwg")</f>
        <v>EW-SSP-D4000-S1-KF-T-A_CAD.dwg</v>
      </c>
      <c r="AT8" s="10" t="str">
        <f aca="false">IF(A8="","",A8&amp;"_DWG.pdf")</f>
        <v>EW-SSP-D4000-S1-KF-T-A_DWG.pdf</v>
      </c>
      <c r="AU8" s="10" t="str">
        <f aca="false">IF(A8="","",IF(AQ8="Y",A8&amp;"_STAAD.std","n/a"))</f>
        <v>EW-SSP-D4000-S1-KF-T-A_STAAD.std</v>
      </c>
      <c r="AV8" s="10" t="str">
        <f aca="false">IF(A8="","",A8&amp;"_CALC.xlsx")</f>
        <v>EW-SSP-D4000-S1-KF-T-A_CALC.xlsx</v>
      </c>
      <c r="AW8" s="10" t="str">
        <f aca="false">IF(A8="","",A8&amp;"_CALC.pdf")</f>
        <v>EW-SSP-D4000-S1-KF-T-A_CALC.pdf</v>
      </c>
      <c r="AX8" s="18" t="s">
        <v>84</v>
      </c>
      <c r="AY8" s="18" t="s">
        <v>313</v>
      </c>
      <c r="AZ8" s="32" t="n">
        <v>0</v>
      </c>
      <c r="BA8" s="32" t="n">
        <v>0</v>
      </c>
      <c r="BB8" s="32" t="n">
        <v>2280</v>
      </c>
      <c r="BC8" s="32" t="n">
        <v>0</v>
      </c>
      <c r="BD8" s="32" t="n">
        <v>0</v>
      </c>
      <c r="BE8" s="12" t="str">
        <f aca="false">IF(A8="","",IF(COUNTIF(Rebar_Schedule!$A$5:$A$2004,A8)=0,"",ROUND(SUMIF(Rebar_Schedule!$A$5:$A$2004,A8,Rebar_Schedule!$K$5:$K$2004),1)))</f>
        <v/>
      </c>
      <c r="BF8" s="33" t="str">
        <f aca="false">IF(A8="","",IF(BE8="","No rebar schedule yet",IF(ABS(BE8-N(BA8))/MAX(N(BA8),1)&gt;SG_Criteria!$B$55,"NOTE: register rebar differs from schedule by "&amp;TEXT(ABS(BE8-N(BA8))/MAX(N(BA8),1),"0%"),"OK")))</f>
        <v>No rebar schedule yet</v>
      </c>
      <c r="BG8" s="33" t="str">
        <f aca="false">IF(OR(D8="",F8=""),"",IF(F8&lt;=IF(D8="Soldier Pile &amp; Timber Lagging",SG_Criteria!$B$34,SG_Criteria!$B$33),"No ERSS submission",IF(F8&lt;=SG_Criteria!$B$35,"QP(ST)",IF(F8&lt;=SG_Criteria!$B$36,"QP(ST) + AC","Geotechnical building works: QP(Geo) + AC"))))</f>
        <v>QP(ST)</v>
      </c>
      <c r="BH8" s="33" t="str">
        <f aca="false">IF(D8="","",IF(LEN(IF(AND(AC8&lt;&gt;"",IFERROR(VALUE(MID(AC8,2,2)),0)&lt;SG_Criteria!$B$19),"FAIL: grade below C"&amp;SG_Criteria!$B$19&amp;". ","")&amp;IF(AND(LEFT(D8,3)="Con",N(I8)&lt;F8,H8="Kallang Formation (marine clay)"),"NOTE: CBP is not watertight below GWT in marine clay; consider secant / grouting. ","")&amp;IF(AND(D8="Steel Sheet Pile",E8="Permanent"),"NOTE: permanent sheet pile needs corrosion allowance. ","")&amp;IF(AND(G8="Cantilever (no support)",F8&gt;6),"NOTE: cantilever embedded wall &gt; 6 m, check deflection. ","")&amp;IF(AND(T8&lt;&gt;"",U8&lt;&gt;"",T8&gt;U8),"FAIL: deflection exceeds allowable. ",""))=0,"OK",IF(AND(AC8&lt;&gt;"",IFERROR(VALUE(MID(AC8,2,2)),0)&lt;SG_Criteria!$B$19),"FAIL: grade below C"&amp;SG_Criteria!$B$19&amp;". ","")&amp;IF(AND(LEFT(D8,3)="Con",N(I8)&lt;F8,H8="Kallang Formation (marine clay)"),"NOTE: CBP is not watertight below GWT in marine clay; consider secant / grouting. ","")&amp;IF(AND(D8="Steel Sheet Pile",E8="Permanent"),"NOTE: permanent sheet pile needs corrosion allowance. ","")&amp;IF(AND(G8="Cantilever (no support)",F8&gt;6),"NOTE: cantilever embedded wall &gt; 6 m, check deflection. ","")&amp;IF(AND(T8&lt;&gt;"",U8&lt;&gt;"",T8&gt;U8),"FAIL: deflection exceeds allowable. ","")))</f>
        <v>OK</v>
      </c>
      <c r="BI8" s="18" t="s">
        <v>765</v>
      </c>
      <c r="BJ8" s="18"/>
      <c r="BK8" s="18" t="s">
        <v>590</v>
      </c>
      <c r="BL8" s="10" t="str">
        <f aca="false">IF(BK8="","",IFERROR(VLOOKUP(BK8,Projects!$A$5:$D$504,2,0),"Ref not in Projects"))</f>
        <v>EXAMPLE Industrial development, Tuas</v>
      </c>
      <c r="BM8" s="10" t="str">
        <f aca="false">IF(BK8="","",IFERROR(VLOOKUP(BK8,Projects!$A$5:$D$504,4,0),"Ref not in Projects"))</f>
        <v>Private</v>
      </c>
      <c r="BN8" s="18" t="s">
        <v>699</v>
      </c>
      <c r="BO8" s="18" t="s">
        <v>616</v>
      </c>
      <c r="BP8" s="18" t="s">
        <v>617</v>
      </c>
      <c r="BQ8" s="35" t="n">
        <v>46309</v>
      </c>
      <c r="BR8" s="18" t="s">
        <v>617</v>
      </c>
      <c r="BS8" s="35" t="n">
        <v>46309</v>
      </c>
      <c r="BT8" s="18" t="s">
        <v>618</v>
      </c>
      <c r="BU8" s="35"/>
      <c r="BV8" s="18" t="s">
        <v>617</v>
      </c>
      <c r="BW8" s="18" t="s">
        <v>617</v>
      </c>
      <c r="BX8" s="18" t="s">
        <v>617</v>
      </c>
      <c r="BY8" s="35" t="n">
        <v>46309</v>
      </c>
      <c r="BZ8" s="35" t="n">
        <v>46309</v>
      </c>
      <c r="CA8" s="36" t="n">
        <f aca="false">IF(BZ8="","",EDATE(BZ8,SG_Criteria!$B$54*12))</f>
        <v>47405</v>
      </c>
      <c r="CB8" s="33" t="str">
        <f aca="true">IF(A8="","",IF(BZ8="","NOTE: not reviewed yet",IF(TODAY()&gt;CA8,"NOTE: review overdue","OK")))</f>
        <v>OK</v>
      </c>
      <c r="CC8" s="37" t="n">
        <f aca="false">IF(A8="","",ROUND((IF(LEN(D8)&gt;0,1,0)+IF(LEN(E8)&gt;0,1,0)+IF(LEN(F8)&gt;0,1,0)+IF(LEN(G8)&gt;0,1,0)+IF(LEN(H8)&gt;0,1,0)+IF(LEN(I8)&gt;0,1,0)+IF(LEN(K8)&gt;0,1,0)+IF(LEN(N8)&gt;0,1,0)+IF(LEN(O8)&gt;0,1,0)+IF(LEN(T8)&gt;0,1,0)+IF(LEN(U8)&gt;0,1,0)+IF(LEN(V8)&gt;0,1,0)+IF(LEN(AK8)&gt;0,1,0)+IF(LEN(AM8)&gt;0,1,0)+IF(LEN(AN8)&gt;0,1,0)+IF(LEN(AO8)&gt;0,1,0)+IF(LEN(AP8)&gt;0,1,0)+IF(LEN(AY8)&gt;0,1,0)+IF(LEN(BK8)&gt;0,1,0)+IF(LEN(BX8)&gt;0,1,0))/20,2))</f>
        <v>1</v>
      </c>
      <c r="CD8" s="10" t="str">
        <f aca="false">IF(D8="","",IF(AND(AN8="Approved",ISERROR(SEARCH("FAIL",BH8))),"Y","N"))</f>
        <v>Y</v>
      </c>
      <c r="CE8" s="10" t="str">
        <f aca="false">IF(D8="","",D8&amp;"|"&amp;F8&amp;"|"&amp;G8&amp;"|"&amp;H8&amp;"|"&amp;E8&amp;"|"&amp;CD8)</f>
        <v>Steel Sheet Pile|4|1 level strut|Kallang Formation (marine clay)|Temporary|Y</v>
      </c>
    </row>
    <row r="9" customFormat="false" ht="15" hidden="false" customHeight="false" outlineLevel="0" collapsed="false">
      <c r="A9" s="10" t="str">
        <f aca="false">IF(D9="","","EW-"&amp;IFERROR(VLOOKUP(D9,Lists!$P$4:$Q$22,2,0),"??")&amp;"-D"&amp;TEXT(F9*1000,"0000")&amp;"-"&amp;IFERROR(VLOOKUP(G9,Lists!$S$4:$T$21,2,0),"??")&amp;"-"&amp;IFERROR(VLOOKUP(H9,Lists!$Y$4:$Z$21,2,0),"??")&amp;"-"&amp;IFERROR(VLOOKUP(E9,Lists!$V$4:$W$16,2,0),"??")&amp;"-"&amp;AM9)</f>
        <v>EW-DW-D15000-S3-KF-P-A</v>
      </c>
      <c r="B9" s="10" t="str">
        <f aca="false">IF(D9="","",E9&amp;" "&amp;D9&amp;", excavation "&amp;TEXT(F9,"0.0")&amp;" m, "&amp;G9&amp;", "&amp;H9&amp;", "&amp;K9)</f>
        <v>Permanent Diaphragm Wall, excavation 15.0 m, 3 levels strut, Kallang Formation (marine clay), -</v>
      </c>
      <c r="C9" s="18" t="s">
        <v>720</v>
      </c>
      <c r="D9" s="18" t="s">
        <v>224</v>
      </c>
      <c r="E9" s="18" t="s">
        <v>89</v>
      </c>
      <c r="F9" s="41" t="n">
        <v>15</v>
      </c>
      <c r="G9" s="18" t="s">
        <v>766</v>
      </c>
      <c r="H9" s="18" t="s">
        <v>745</v>
      </c>
      <c r="I9" s="41" t="n">
        <v>1</v>
      </c>
      <c r="J9" s="31" t="n">
        <v>20</v>
      </c>
      <c r="K9" s="18" t="s">
        <v>605</v>
      </c>
      <c r="L9" s="18" t="s">
        <v>767</v>
      </c>
      <c r="M9" s="18" t="n">
        <v>1000</v>
      </c>
      <c r="N9" s="41" t="n">
        <v>20</v>
      </c>
      <c r="O9" s="41" t="n">
        <v>35</v>
      </c>
      <c r="P9" s="18" t="s">
        <v>768</v>
      </c>
      <c r="Q9" s="18" t="s">
        <v>769</v>
      </c>
      <c r="R9" s="18" t="s">
        <v>770</v>
      </c>
      <c r="S9" s="18" t="s">
        <v>771</v>
      </c>
      <c r="T9" s="31" t="n">
        <v>45</v>
      </c>
      <c r="U9" s="31" t="n">
        <v>60</v>
      </c>
      <c r="V9" s="31" t="n">
        <v>2025</v>
      </c>
      <c r="W9" s="31" t="n">
        <v>420</v>
      </c>
      <c r="X9" s="31" t="n">
        <v>525</v>
      </c>
      <c r="Y9" s="18" t="s">
        <v>740</v>
      </c>
      <c r="Z9" s="32" t="n">
        <v>1.6</v>
      </c>
      <c r="AA9" s="18" t="s">
        <v>682</v>
      </c>
      <c r="AB9" s="18" t="s">
        <v>772</v>
      </c>
      <c r="AC9" s="18" t="s">
        <v>603</v>
      </c>
      <c r="AD9" s="18" t="s">
        <v>773</v>
      </c>
      <c r="AE9" s="18" t="s">
        <v>774</v>
      </c>
      <c r="AF9" s="18" t="s">
        <v>775</v>
      </c>
      <c r="AG9" s="18" t="s">
        <v>730</v>
      </c>
      <c r="AH9" s="31" t="n">
        <v>120</v>
      </c>
      <c r="AI9" s="18" t="s">
        <v>609</v>
      </c>
      <c r="AJ9" s="32" t="n">
        <v>0.3</v>
      </c>
      <c r="AK9" s="18" t="s">
        <v>731</v>
      </c>
      <c r="AL9" s="18" t="s">
        <v>686</v>
      </c>
      <c r="AM9" s="18" t="s">
        <v>612</v>
      </c>
      <c r="AN9" s="18" t="s">
        <v>256</v>
      </c>
      <c r="AO9" s="18" t="s">
        <v>776</v>
      </c>
      <c r="AP9" s="18" t="n">
        <v>100</v>
      </c>
      <c r="AQ9" s="18" t="s">
        <v>284</v>
      </c>
      <c r="AR9" s="10" t="str">
        <f aca="false">IF(A9="","",SG_Criteria!$B$6&amp;SG_Criteria!$B$9&amp;"\"&amp;A9&amp;"\")</f>
        <v>C:\Users\yourname\YourCompany\Design Library - Documents\03_Embedded_Wall\EW-DW-D15000-S3-KF-P-A\</v>
      </c>
      <c r="AS9" s="10" t="str">
        <f aca="false">IF(A9="","",A9&amp;"_CAD.dwg")</f>
        <v>EW-DW-D15000-S3-KF-P-A_CAD.dwg</v>
      </c>
      <c r="AT9" s="10" t="str">
        <f aca="false">IF(A9="","",A9&amp;"_DWG.pdf")</f>
        <v>EW-DW-D15000-S3-KF-P-A_DWG.pdf</v>
      </c>
      <c r="AU9" s="10" t="str">
        <f aca="false">IF(A9="","",IF(AQ9="Y",A9&amp;"_STAAD.std","n/a"))</f>
        <v>EW-DW-D15000-S3-KF-P-A_STAAD.std</v>
      </c>
      <c r="AV9" s="10" t="str">
        <f aca="false">IF(A9="","",A9&amp;"_CALC.xlsx")</f>
        <v>EW-DW-D15000-S3-KF-P-A_CALC.xlsx</v>
      </c>
      <c r="AW9" s="10" t="str">
        <f aca="false">IF(A9="","",A9&amp;"_CALC.pdf")</f>
        <v>EW-DW-D15000-S3-KF-P-A_CALC.pdf</v>
      </c>
      <c r="AX9" s="18" t="s">
        <v>84</v>
      </c>
      <c r="AY9" s="18" t="s">
        <v>313</v>
      </c>
      <c r="AZ9" s="32" t="n">
        <v>35</v>
      </c>
      <c r="BA9" s="32" t="n">
        <v>4200</v>
      </c>
      <c r="BB9" s="32" t="n">
        <v>900</v>
      </c>
      <c r="BC9" s="32" t="n">
        <v>0</v>
      </c>
      <c r="BD9" s="32" t="n">
        <v>0</v>
      </c>
      <c r="BE9" s="12" t="str">
        <f aca="false">IF(A9="","",IF(COUNTIF(Rebar_Schedule!$A$5:$A$2004,A9)=0,"",ROUND(SUMIF(Rebar_Schedule!$A$5:$A$2004,A9,Rebar_Schedule!$K$5:$K$2004),1)))</f>
        <v/>
      </c>
      <c r="BF9" s="33" t="str">
        <f aca="false">IF(A9="","",IF(BE9="","No rebar schedule yet",IF(ABS(BE9-N(BA9))/MAX(N(BA9),1)&gt;SG_Criteria!$B$55,"NOTE: register rebar differs from schedule by "&amp;TEXT(ABS(BE9-N(BA9))/MAX(N(BA9),1),"0%"),"OK")))</f>
        <v>No rebar schedule yet</v>
      </c>
      <c r="BG9" s="33" t="str">
        <f aca="false">IF(OR(D9="",F9=""),"",IF(F9&lt;=IF(D9="Soldier Pile &amp; Timber Lagging",SG_Criteria!$B$34,SG_Criteria!$B$33),"No ERSS submission",IF(F9&lt;=SG_Criteria!$B$35,"QP(ST)",IF(F9&lt;=SG_Criteria!$B$36,"QP(ST) + AC","Geotechnical building works: QP(Geo) + AC"))))</f>
        <v>Geotechnical building works: QP(Geo) + AC</v>
      </c>
      <c r="BH9" s="33" t="str">
        <f aca="false">IF(D9="","",IF(LEN(IF(AND(AC9&lt;&gt;"",IFERROR(VALUE(MID(AC9,2,2)),0)&lt;SG_Criteria!$B$19),"FAIL: grade below C"&amp;SG_Criteria!$B$19&amp;". ","")&amp;IF(AND(LEFT(D9,3)="Con",N(I9)&lt;F9,H9="Kallang Formation (marine clay)"),"NOTE: CBP is not watertight below GWT in marine clay; consider secant / grouting. ","")&amp;IF(AND(D9="Steel Sheet Pile",E9="Permanent"),"NOTE: permanent sheet pile needs corrosion allowance. ","")&amp;IF(AND(G9="Cantilever (no support)",F9&gt;6),"NOTE: cantilever embedded wall &gt; 6 m, check deflection. ","")&amp;IF(AND(T9&lt;&gt;"",U9&lt;&gt;"",T9&gt;U9),"FAIL: deflection exceeds allowable. ",""))=0,"OK",IF(AND(AC9&lt;&gt;"",IFERROR(VALUE(MID(AC9,2,2)),0)&lt;SG_Criteria!$B$19),"FAIL: grade below C"&amp;SG_Criteria!$B$19&amp;". ","")&amp;IF(AND(LEFT(D9,3)="Con",N(I9)&lt;F9,H9="Kallang Formation (marine clay)"),"NOTE: CBP is not watertight below GWT in marine clay; consider secant / grouting. ","")&amp;IF(AND(D9="Steel Sheet Pile",E9="Permanent"),"NOTE: permanent sheet pile needs corrosion allowance. ","")&amp;IF(AND(G9="Cantilever (no support)",F9&gt;6),"NOTE: cantilever embedded wall &gt; 6 m, check deflection. ","")&amp;IF(AND(T9&lt;&gt;"",U9&lt;&gt;"",T9&gt;U9),"FAIL: deflection exceeds allowable. ","")))</f>
        <v>OK</v>
      </c>
      <c r="BI9" s="18" t="s">
        <v>777</v>
      </c>
      <c r="BJ9" s="18"/>
      <c r="BK9" s="18" t="s">
        <v>590</v>
      </c>
      <c r="BL9" s="10" t="str">
        <f aca="false">IF(BK9="","",IFERROR(VLOOKUP(BK9,Projects!$A$5:$D$504,2,0),"Ref not in Projects"))</f>
        <v>EXAMPLE Industrial development, Tuas</v>
      </c>
      <c r="BM9" s="10" t="str">
        <f aca="false">IF(BK9="","",IFERROR(VLOOKUP(BK9,Projects!$A$5:$D$504,4,0),"Ref not in Projects"))</f>
        <v>Private</v>
      </c>
      <c r="BN9" s="18" t="s">
        <v>702</v>
      </c>
      <c r="BO9" s="18" t="s">
        <v>616</v>
      </c>
      <c r="BP9" s="18" t="s">
        <v>617</v>
      </c>
      <c r="BQ9" s="35" t="n">
        <v>46309</v>
      </c>
      <c r="BR9" s="18" t="s">
        <v>617</v>
      </c>
      <c r="BS9" s="35" t="n">
        <v>46309</v>
      </c>
      <c r="BT9" s="18"/>
      <c r="BU9" s="35"/>
      <c r="BV9" s="18" t="s">
        <v>617</v>
      </c>
      <c r="BW9" s="18" t="s">
        <v>617</v>
      </c>
      <c r="BX9" s="18" t="s">
        <v>617</v>
      </c>
      <c r="BY9" s="35" t="n">
        <v>46309</v>
      </c>
      <c r="BZ9" s="35" t="n">
        <v>46309</v>
      </c>
      <c r="CA9" s="36" t="n">
        <f aca="false">IF(BZ9="","",EDATE(BZ9,SG_Criteria!$B$54*12))</f>
        <v>47405</v>
      </c>
      <c r="CB9" s="33" t="str">
        <f aca="true">IF(A9="","",IF(BZ9="","NOTE: not reviewed yet",IF(TODAY()&gt;CA9,"NOTE: review overdue","OK")))</f>
        <v>OK</v>
      </c>
      <c r="CC9" s="37" t="n">
        <f aca="false">IF(A9="","",ROUND((IF(LEN(D9)&gt;0,1,0)+IF(LEN(E9)&gt;0,1,0)+IF(LEN(F9)&gt;0,1,0)+IF(LEN(G9)&gt;0,1,0)+IF(LEN(H9)&gt;0,1,0)+IF(LEN(I9)&gt;0,1,0)+IF(LEN(K9)&gt;0,1,0)+IF(LEN(N9)&gt;0,1,0)+IF(LEN(O9)&gt;0,1,0)+IF(LEN(T9)&gt;0,1,0)+IF(LEN(U9)&gt;0,1,0)+IF(LEN(V9)&gt;0,1,0)+IF(LEN(AK9)&gt;0,1,0)+IF(LEN(AM9)&gt;0,1,0)+IF(LEN(AN9)&gt;0,1,0)+IF(LEN(AO9)&gt;0,1,0)+IF(LEN(AP9)&gt;0,1,0)+IF(LEN(AY9)&gt;0,1,0)+IF(LEN(BK9)&gt;0,1,0)+IF(LEN(BX9)&gt;0,1,0))/20,2))</f>
        <v>1</v>
      </c>
      <c r="CD9" s="10" t="str">
        <f aca="false">IF(D9="","",IF(AND(AN9="Approved",ISERROR(SEARCH("FAIL",BH9))),"Y","N"))</f>
        <v>N</v>
      </c>
      <c r="CE9" s="10" t="str">
        <f aca="false">IF(D9="","",D9&amp;"|"&amp;F9&amp;"|"&amp;G9&amp;"|"&amp;H9&amp;"|"&amp;E9&amp;"|"&amp;CD9)</f>
        <v>Diaphragm Wall|15|3 levels strut|Kallang Formation (marine clay)|Permanent|N</v>
      </c>
    </row>
    <row r="10" customFormat="false" ht="15" hidden="false" customHeight="false" outlineLevel="0" collapsed="false">
      <c r="A10" s="10" t="str">
        <f aca="false">IF(D10="","","EW-"&amp;IFERROR(VLOOKUP(D10,Lists!$P$4:$Q$22,2,0),"??")&amp;"-D"&amp;TEXT(F10*1000,"0000")&amp;"-"&amp;IFERROR(VLOOKUP(G10,Lists!$S$4:$T$21,2,0),"??")&amp;"-"&amp;IFERROR(VLOOKUP(H10,Lists!$Y$4:$Z$21,2,0),"??")&amp;"-"&amp;IFERROR(VLOOKUP(E10,Lists!$V$4:$W$16,2,0),"??")&amp;"-"&amp;AM10)</f>
        <v/>
      </c>
      <c r="B10" s="10" t="str">
        <f aca="false">IF(D10="","",E10&amp;" "&amp;D10&amp;", excavation "&amp;TEXT(F10,"0.0")&amp;" m, "&amp;G10&amp;", "&amp;H10&amp;", "&amp;K10)</f>
        <v/>
      </c>
      <c r="C10" s="9"/>
      <c r="D10" s="9"/>
      <c r="E10" s="9"/>
      <c r="F10" s="42"/>
      <c r="G10" s="9"/>
      <c r="H10" s="9"/>
      <c r="I10" s="42"/>
      <c r="J10" s="38"/>
      <c r="K10" s="9"/>
      <c r="L10" s="9"/>
      <c r="M10" s="9"/>
      <c r="N10" s="42"/>
      <c r="O10" s="42"/>
      <c r="P10" s="9"/>
      <c r="Q10" s="9"/>
      <c r="R10" s="9"/>
      <c r="S10" s="9"/>
      <c r="T10" s="38"/>
      <c r="U10" s="38"/>
      <c r="V10" s="38"/>
      <c r="W10" s="38"/>
      <c r="X10" s="38"/>
      <c r="Y10" s="9"/>
      <c r="Z10" s="39"/>
      <c r="AA10" s="9"/>
      <c r="AB10" s="9"/>
      <c r="AC10" s="9"/>
      <c r="AD10" s="9"/>
      <c r="AE10" s="9"/>
      <c r="AF10" s="9"/>
      <c r="AG10" s="9"/>
      <c r="AH10" s="38"/>
      <c r="AI10" s="9"/>
      <c r="AJ10" s="39"/>
      <c r="AK10" s="9"/>
      <c r="AL10" s="9"/>
      <c r="AM10" s="9"/>
      <c r="AN10" s="9"/>
      <c r="AO10" s="9"/>
      <c r="AP10" s="9"/>
      <c r="AQ10" s="9"/>
      <c r="AR10" s="10" t="str">
        <f aca="false">IF(A10="","",SG_Criteria!$B$6&amp;SG_Criteria!$B$9&amp;"\"&amp;A10&amp;"\")</f>
        <v/>
      </c>
      <c r="AS10" s="10" t="str">
        <f aca="false">IF(A10="","",A10&amp;"_CAD.dwg")</f>
        <v/>
      </c>
      <c r="AT10" s="10" t="str">
        <f aca="false">IF(A10="","",A10&amp;"_DWG.pdf")</f>
        <v/>
      </c>
      <c r="AU10" s="10" t="str">
        <f aca="false">IF(A10="","",IF(AQ10="Y",A10&amp;"_STAAD.std","n/a"))</f>
        <v/>
      </c>
      <c r="AV10" s="10" t="str">
        <f aca="false">IF(A10="","",A10&amp;"_CALC.xlsx")</f>
        <v/>
      </c>
      <c r="AW10" s="10" t="str">
        <f aca="false">IF(A10="","",A10&amp;"_CALC.pdf")</f>
        <v/>
      </c>
      <c r="AX10" s="9"/>
      <c r="AY10" s="9"/>
      <c r="AZ10" s="39"/>
      <c r="BA10" s="39"/>
      <c r="BB10" s="39"/>
      <c r="BC10" s="39"/>
      <c r="BD10" s="39"/>
      <c r="BE10" s="12" t="str">
        <f aca="false">IF(A10="","",IF(COUNTIF(Rebar_Schedule!$A$5:$A$2004,A10)=0,"",ROUND(SUMIF(Rebar_Schedule!$A$5:$A$2004,A10,Rebar_Schedule!$K$5:$K$2004),1)))</f>
        <v/>
      </c>
      <c r="BF10" s="33" t="str">
        <f aca="false">IF(A10="","",IF(BE10="","No rebar schedule yet",IF(ABS(BE10-N(BA10))/MAX(N(BA10),1)&gt;SG_Criteria!$B$55,"NOTE: register rebar differs from schedule by "&amp;TEXT(ABS(BE10-N(BA10))/MAX(N(BA10),1),"0%"),"OK")))</f>
        <v/>
      </c>
      <c r="BG10" s="33" t="str">
        <f aca="false">IF(OR(D10="",F10=""),"",IF(F10&lt;=IF(D10="Soldier Pile &amp; Timber Lagging",SG_Criteria!$B$34,SG_Criteria!$B$33),"No ERSS submission",IF(F10&lt;=SG_Criteria!$B$35,"QP(ST)",IF(F10&lt;=SG_Criteria!$B$36,"QP(ST) + AC","Geotechnical building works: QP(Geo) + AC"))))</f>
        <v/>
      </c>
      <c r="BH10" s="33" t="str">
        <f aca="false">IF(D10="","",IF(LEN(IF(AND(AC10&lt;&gt;"",IFERROR(VALUE(MID(AC10,2,2)),0)&lt;SG_Criteria!$B$19),"FAIL: grade below C"&amp;SG_Criteria!$B$19&amp;". ","")&amp;IF(AND(LEFT(D10,3)="Con",N(I10)&lt;F10,H10="Kallang Formation (marine clay)"),"NOTE: CBP is not watertight below GWT in marine clay; consider secant / grouting. ","")&amp;IF(AND(D10="Steel Sheet Pile",E10="Permanent"),"NOTE: permanent sheet pile needs corrosion allowance. ","")&amp;IF(AND(G10="Cantilever (no support)",F10&gt;6),"NOTE: cantilever embedded wall &gt; 6 m, check deflection. ","")&amp;IF(AND(T10&lt;&gt;"",U10&lt;&gt;"",T10&gt;U10),"FAIL: deflection exceeds allowable. ",""))=0,"OK",IF(AND(AC10&lt;&gt;"",IFERROR(VALUE(MID(AC10,2,2)),0)&lt;SG_Criteria!$B$19),"FAIL: grade below C"&amp;SG_Criteria!$B$19&amp;". ","")&amp;IF(AND(LEFT(D10,3)="Con",N(I10)&lt;F10,H10="Kallang Formation (marine clay)"),"NOTE: CBP is not watertight below GWT in marine clay; consider secant / grouting. ","")&amp;IF(AND(D10="Steel Sheet Pile",E10="Permanent"),"NOTE: permanent sheet pile needs corrosion allowance. ","")&amp;IF(AND(G10="Cantilever (no support)",F10&gt;6),"NOTE: cantilever embedded wall &gt; 6 m, check deflection. ","")&amp;IF(AND(T10&lt;&gt;"",U10&lt;&gt;"",T10&gt;U10),"FAIL: deflection exceeds allowable. ","")))</f>
        <v/>
      </c>
      <c r="BI10" s="9"/>
      <c r="BJ10" s="9"/>
      <c r="BK10" s="9"/>
      <c r="BL10" s="10" t="str">
        <f aca="false">IF(BK10="","",IFERROR(VLOOKUP(BK10,Projects!$A$5:$D$504,2,0),"Ref not in Projects"))</f>
        <v/>
      </c>
      <c r="BM10" s="10" t="str">
        <f aca="false">IF(BK10="","",IFERROR(VLOOKUP(BK10,Projects!$A$5:$D$504,4,0),"Ref not in Projects"))</f>
        <v/>
      </c>
      <c r="BN10" s="9"/>
      <c r="BO10" s="9"/>
      <c r="BP10" s="9"/>
      <c r="BQ10" s="40"/>
      <c r="BR10" s="9"/>
      <c r="BS10" s="40"/>
      <c r="BT10" s="9"/>
      <c r="BU10" s="40"/>
      <c r="BV10" s="9"/>
      <c r="BW10" s="9"/>
      <c r="BX10" s="9"/>
      <c r="BY10" s="40"/>
      <c r="BZ10" s="40"/>
      <c r="CA10" s="36" t="str">
        <f aca="false">IF(BZ10="","",EDATE(BZ10,SG_Criteria!$B$54*12))</f>
        <v/>
      </c>
      <c r="CB10" s="33" t="str">
        <f aca="true">IF(A10="","",IF(BZ10="","NOTE: not reviewed yet",IF(TODAY()&gt;CA10,"NOTE: review overdue","OK")))</f>
        <v/>
      </c>
      <c r="CC10" s="37" t="str">
        <f aca="false">IF(A10="","",ROUND((IF(LEN(D10)&gt;0,1,0)+IF(LEN(E10)&gt;0,1,0)+IF(LEN(F10)&gt;0,1,0)+IF(LEN(G10)&gt;0,1,0)+IF(LEN(H10)&gt;0,1,0)+IF(LEN(I10)&gt;0,1,0)+IF(LEN(K10)&gt;0,1,0)+IF(LEN(N10)&gt;0,1,0)+IF(LEN(O10)&gt;0,1,0)+IF(LEN(T10)&gt;0,1,0)+IF(LEN(U10)&gt;0,1,0)+IF(LEN(V10)&gt;0,1,0)+IF(LEN(AK10)&gt;0,1,0)+IF(LEN(AM10)&gt;0,1,0)+IF(LEN(AN10)&gt;0,1,0)+IF(LEN(AO10)&gt;0,1,0)+IF(LEN(AP10)&gt;0,1,0)+IF(LEN(AY10)&gt;0,1,0)+IF(LEN(BK10)&gt;0,1,0)+IF(LEN(BX10)&gt;0,1,0))/20,2))</f>
        <v/>
      </c>
      <c r="CD10" s="10" t="str">
        <f aca="false">IF(D10="","",IF(AND(AN10="Approved",ISERROR(SEARCH("FAIL",BH10))),"Y","N"))</f>
        <v/>
      </c>
      <c r="CE10" s="10" t="str">
        <f aca="false">IF(D10="","",D10&amp;"|"&amp;F10&amp;"|"&amp;G10&amp;"|"&amp;H10&amp;"|"&amp;E10&amp;"|"&amp;CD10)</f>
        <v/>
      </c>
    </row>
    <row r="11" customFormat="false" ht="15" hidden="false" customHeight="false" outlineLevel="0" collapsed="false">
      <c r="A11" s="10" t="str">
        <f aca="false">IF(D11="","","EW-"&amp;IFERROR(VLOOKUP(D11,Lists!$P$4:$Q$22,2,0),"??")&amp;"-D"&amp;TEXT(F11*1000,"0000")&amp;"-"&amp;IFERROR(VLOOKUP(G11,Lists!$S$4:$T$21,2,0),"??")&amp;"-"&amp;IFERROR(VLOOKUP(H11,Lists!$Y$4:$Z$21,2,0),"??")&amp;"-"&amp;IFERROR(VLOOKUP(E11,Lists!$V$4:$W$16,2,0),"??")&amp;"-"&amp;AM11)</f>
        <v/>
      </c>
      <c r="B11" s="10" t="str">
        <f aca="false">IF(D11="","",E11&amp;" "&amp;D11&amp;", excavation "&amp;TEXT(F11,"0.0")&amp;" m, "&amp;G11&amp;", "&amp;H11&amp;", "&amp;K11)</f>
        <v/>
      </c>
      <c r="C11" s="9"/>
      <c r="D11" s="9"/>
      <c r="E11" s="9"/>
      <c r="F11" s="42"/>
      <c r="G11" s="9"/>
      <c r="H11" s="9"/>
      <c r="I11" s="42"/>
      <c r="J11" s="38"/>
      <c r="K11" s="9"/>
      <c r="L11" s="9"/>
      <c r="M11" s="9"/>
      <c r="N11" s="42"/>
      <c r="O11" s="42"/>
      <c r="P11" s="9"/>
      <c r="Q11" s="9"/>
      <c r="R11" s="9"/>
      <c r="S11" s="9"/>
      <c r="T11" s="38"/>
      <c r="U11" s="38"/>
      <c r="V11" s="38"/>
      <c r="W11" s="38"/>
      <c r="X11" s="38"/>
      <c r="Y11" s="9"/>
      <c r="Z11" s="39"/>
      <c r="AA11" s="9"/>
      <c r="AB11" s="9"/>
      <c r="AC11" s="9"/>
      <c r="AD11" s="9"/>
      <c r="AE11" s="9"/>
      <c r="AF11" s="9"/>
      <c r="AG11" s="9"/>
      <c r="AH11" s="38"/>
      <c r="AI11" s="9"/>
      <c r="AJ11" s="39"/>
      <c r="AK11" s="9"/>
      <c r="AL11" s="9"/>
      <c r="AM11" s="9"/>
      <c r="AN11" s="9"/>
      <c r="AO11" s="9"/>
      <c r="AP11" s="9"/>
      <c r="AQ11" s="9"/>
      <c r="AR11" s="10" t="str">
        <f aca="false">IF(A11="","",SG_Criteria!$B$6&amp;SG_Criteria!$B$9&amp;"\"&amp;A11&amp;"\")</f>
        <v/>
      </c>
      <c r="AS11" s="10" t="str">
        <f aca="false">IF(A11="","",A11&amp;"_CAD.dwg")</f>
        <v/>
      </c>
      <c r="AT11" s="10" t="str">
        <f aca="false">IF(A11="","",A11&amp;"_DWG.pdf")</f>
        <v/>
      </c>
      <c r="AU11" s="10" t="str">
        <f aca="false">IF(A11="","",IF(AQ11="Y",A11&amp;"_STAAD.std","n/a"))</f>
        <v/>
      </c>
      <c r="AV11" s="10" t="str">
        <f aca="false">IF(A11="","",A11&amp;"_CALC.xlsx")</f>
        <v/>
      </c>
      <c r="AW11" s="10" t="str">
        <f aca="false">IF(A11="","",A11&amp;"_CALC.pdf")</f>
        <v/>
      </c>
      <c r="AX11" s="9"/>
      <c r="AY11" s="9"/>
      <c r="AZ11" s="39"/>
      <c r="BA11" s="39"/>
      <c r="BB11" s="39"/>
      <c r="BC11" s="39"/>
      <c r="BD11" s="39"/>
      <c r="BE11" s="12" t="str">
        <f aca="false">IF(A11="","",IF(COUNTIF(Rebar_Schedule!$A$5:$A$2004,A11)=0,"",ROUND(SUMIF(Rebar_Schedule!$A$5:$A$2004,A11,Rebar_Schedule!$K$5:$K$2004),1)))</f>
        <v/>
      </c>
      <c r="BF11" s="33" t="str">
        <f aca="false">IF(A11="","",IF(BE11="","No rebar schedule yet",IF(ABS(BE11-N(BA11))/MAX(N(BA11),1)&gt;SG_Criteria!$B$55,"NOTE: register rebar differs from schedule by "&amp;TEXT(ABS(BE11-N(BA11))/MAX(N(BA11),1),"0%"),"OK")))</f>
        <v/>
      </c>
      <c r="BG11" s="33" t="str">
        <f aca="false">IF(OR(D11="",F11=""),"",IF(F11&lt;=IF(D11="Soldier Pile &amp; Timber Lagging",SG_Criteria!$B$34,SG_Criteria!$B$33),"No ERSS submission",IF(F11&lt;=SG_Criteria!$B$35,"QP(ST)",IF(F11&lt;=SG_Criteria!$B$36,"QP(ST) + AC","Geotechnical building works: QP(Geo) + AC"))))</f>
        <v/>
      </c>
      <c r="BH11" s="33" t="str">
        <f aca="false">IF(D11="","",IF(LEN(IF(AND(AC11&lt;&gt;"",IFERROR(VALUE(MID(AC11,2,2)),0)&lt;SG_Criteria!$B$19),"FAIL: grade below C"&amp;SG_Criteria!$B$19&amp;". ","")&amp;IF(AND(LEFT(D11,3)="Con",N(I11)&lt;F11,H11="Kallang Formation (marine clay)"),"NOTE: CBP is not watertight below GWT in marine clay; consider secant / grouting. ","")&amp;IF(AND(D11="Steel Sheet Pile",E11="Permanent"),"NOTE: permanent sheet pile needs corrosion allowance. ","")&amp;IF(AND(G11="Cantilever (no support)",F11&gt;6),"NOTE: cantilever embedded wall &gt; 6 m, check deflection. ","")&amp;IF(AND(T11&lt;&gt;"",U11&lt;&gt;"",T11&gt;U11),"FAIL: deflection exceeds allowable. ",""))=0,"OK",IF(AND(AC11&lt;&gt;"",IFERROR(VALUE(MID(AC11,2,2)),0)&lt;SG_Criteria!$B$19),"FAIL: grade below C"&amp;SG_Criteria!$B$19&amp;". ","")&amp;IF(AND(LEFT(D11,3)="Con",N(I11)&lt;F11,H11="Kallang Formation (marine clay)"),"NOTE: CBP is not watertight below GWT in marine clay; consider secant / grouting. ","")&amp;IF(AND(D11="Steel Sheet Pile",E11="Permanent"),"NOTE: permanent sheet pile needs corrosion allowance. ","")&amp;IF(AND(G11="Cantilever (no support)",F11&gt;6),"NOTE: cantilever embedded wall &gt; 6 m, check deflection. ","")&amp;IF(AND(T11&lt;&gt;"",U11&lt;&gt;"",T11&gt;U11),"FAIL: deflection exceeds allowable. ","")))</f>
        <v/>
      </c>
      <c r="BI11" s="9"/>
      <c r="BJ11" s="9"/>
      <c r="BK11" s="9"/>
      <c r="BL11" s="10" t="str">
        <f aca="false">IF(BK11="","",IFERROR(VLOOKUP(BK11,Projects!$A$5:$D$504,2,0),"Ref not in Projects"))</f>
        <v/>
      </c>
      <c r="BM11" s="10" t="str">
        <f aca="false">IF(BK11="","",IFERROR(VLOOKUP(BK11,Projects!$A$5:$D$504,4,0),"Ref not in Projects"))</f>
        <v/>
      </c>
      <c r="BN11" s="9"/>
      <c r="BO11" s="9"/>
      <c r="BP11" s="9"/>
      <c r="BQ11" s="40"/>
      <c r="BR11" s="9"/>
      <c r="BS11" s="40"/>
      <c r="BT11" s="9"/>
      <c r="BU11" s="40"/>
      <c r="BV11" s="9"/>
      <c r="BW11" s="9"/>
      <c r="BX11" s="9"/>
      <c r="BY11" s="40"/>
      <c r="BZ11" s="40"/>
      <c r="CA11" s="36" t="str">
        <f aca="false">IF(BZ11="","",EDATE(BZ11,SG_Criteria!$B$54*12))</f>
        <v/>
      </c>
      <c r="CB11" s="33" t="str">
        <f aca="true">IF(A11="","",IF(BZ11="","NOTE: not reviewed yet",IF(TODAY()&gt;CA11,"NOTE: review overdue","OK")))</f>
        <v/>
      </c>
      <c r="CC11" s="37" t="str">
        <f aca="false">IF(A11="","",ROUND((IF(LEN(D11)&gt;0,1,0)+IF(LEN(E11)&gt;0,1,0)+IF(LEN(F11)&gt;0,1,0)+IF(LEN(G11)&gt;0,1,0)+IF(LEN(H11)&gt;0,1,0)+IF(LEN(I11)&gt;0,1,0)+IF(LEN(K11)&gt;0,1,0)+IF(LEN(N11)&gt;0,1,0)+IF(LEN(O11)&gt;0,1,0)+IF(LEN(T11)&gt;0,1,0)+IF(LEN(U11)&gt;0,1,0)+IF(LEN(V11)&gt;0,1,0)+IF(LEN(AK11)&gt;0,1,0)+IF(LEN(AM11)&gt;0,1,0)+IF(LEN(AN11)&gt;0,1,0)+IF(LEN(AO11)&gt;0,1,0)+IF(LEN(AP11)&gt;0,1,0)+IF(LEN(AY11)&gt;0,1,0)+IF(LEN(BK11)&gt;0,1,0)+IF(LEN(BX11)&gt;0,1,0))/20,2))</f>
        <v/>
      </c>
      <c r="CD11" s="10" t="str">
        <f aca="false">IF(D11="","",IF(AND(AN11="Approved",ISERROR(SEARCH("FAIL",BH11))),"Y","N"))</f>
        <v/>
      </c>
      <c r="CE11" s="10" t="str">
        <f aca="false">IF(D11="","",D11&amp;"|"&amp;F11&amp;"|"&amp;G11&amp;"|"&amp;H11&amp;"|"&amp;E11&amp;"|"&amp;CD11)</f>
        <v/>
      </c>
    </row>
    <row r="12" customFormat="false" ht="15" hidden="false" customHeight="false" outlineLevel="0" collapsed="false">
      <c r="A12" s="10" t="str">
        <f aca="false">IF(D12="","","EW-"&amp;IFERROR(VLOOKUP(D12,Lists!$P$4:$Q$22,2,0),"??")&amp;"-D"&amp;TEXT(F12*1000,"0000")&amp;"-"&amp;IFERROR(VLOOKUP(G12,Lists!$S$4:$T$21,2,0),"??")&amp;"-"&amp;IFERROR(VLOOKUP(H12,Lists!$Y$4:$Z$21,2,0),"??")&amp;"-"&amp;IFERROR(VLOOKUP(E12,Lists!$V$4:$W$16,2,0),"??")&amp;"-"&amp;AM12)</f>
        <v/>
      </c>
      <c r="B12" s="10" t="str">
        <f aca="false">IF(D12="","",E12&amp;" "&amp;D12&amp;", excavation "&amp;TEXT(F12,"0.0")&amp;" m, "&amp;G12&amp;", "&amp;H12&amp;", "&amp;K12)</f>
        <v/>
      </c>
      <c r="C12" s="9"/>
      <c r="D12" s="9"/>
      <c r="E12" s="9"/>
      <c r="F12" s="42"/>
      <c r="G12" s="9"/>
      <c r="H12" s="9"/>
      <c r="I12" s="42"/>
      <c r="J12" s="38"/>
      <c r="K12" s="9"/>
      <c r="L12" s="9"/>
      <c r="M12" s="9"/>
      <c r="N12" s="42"/>
      <c r="O12" s="42"/>
      <c r="P12" s="9"/>
      <c r="Q12" s="9"/>
      <c r="R12" s="9"/>
      <c r="S12" s="9"/>
      <c r="T12" s="38"/>
      <c r="U12" s="38"/>
      <c r="V12" s="38"/>
      <c r="W12" s="38"/>
      <c r="X12" s="38"/>
      <c r="Y12" s="9"/>
      <c r="Z12" s="39"/>
      <c r="AA12" s="9"/>
      <c r="AB12" s="9"/>
      <c r="AC12" s="9"/>
      <c r="AD12" s="9"/>
      <c r="AE12" s="9"/>
      <c r="AF12" s="9"/>
      <c r="AG12" s="9"/>
      <c r="AH12" s="38"/>
      <c r="AI12" s="9"/>
      <c r="AJ12" s="39"/>
      <c r="AK12" s="9"/>
      <c r="AL12" s="9"/>
      <c r="AM12" s="9"/>
      <c r="AN12" s="9"/>
      <c r="AO12" s="9"/>
      <c r="AP12" s="9"/>
      <c r="AQ12" s="9"/>
      <c r="AR12" s="10" t="str">
        <f aca="false">IF(A12="","",SG_Criteria!$B$6&amp;SG_Criteria!$B$9&amp;"\"&amp;A12&amp;"\")</f>
        <v/>
      </c>
      <c r="AS12" s="10" t="str">
        <f aca="false">IF(A12="","",A12&amp;"_CAD.dwg")</f>
        <v/>
      </c>
      <c r="AT12" s="10" t="str">
        <f aca="false">IF(A12="","",A12&amp;"_DWG.pdf")</f>
        <v/>
      </c>
      <c r="AU12" s="10" t="str">
        <f aca="false">IF(A12="","",IF(AQ12="Y",A12&amp;"_STAAD.std","n/a"))</f>
        <v/>
      </c>
      <c r="AV12" s="10" t="str">
        <f aca="false">IF(A12="","",A12&amp;"_CALC.xlsx")</f>
        <v/>
      </c>
      <c r="AW12" s="10" t="str">
        <f aca="false">IF(A12="","",A12&amp;"_CALC.pdf")</f>
        <v/>
      </c>
      <c r="AX12" s="9"/>
      <c r="AY12" s="9"/>
      <c r="AZ12" s="39"/>
      <c r="BA12" s="39"/>
      <c r="BB12" s="39"/>
      <c r="BC12" s="39"/>
      <c r="BD12" s="39"/>
      <c r="BE12" s="12" t="str">
        <f aca="false">IF(A12="","",IF(COUNTIF(Rebar_Schedule!$A$5:$A$2004,A12)=0,"",ROUND(SUMIF(Rebar_Schedule!$A$5:$A$2004,A12,Rebar_Schedule!$K$5:$K$2004),1)))</f>
        <v/>
      </c>
      <c r="BF12" s="33" t="str">
        <f aca="false">IF(A12="","",IF(BE12="","No rebar schedule yet",IF(ABS(BE12-N(BA12))/MAX(N(BA12),1)&gt;SG_Criteria!$B$55,"NOTE: register rebar differs from schedule by "&amp;TEXT(ABS(BE12-N(BA12))/MAX(N(BA12),1),"0%"),"OK")))</f>
        <v/>
      </c>
      <c r="BG12" s="33" t="str">
        <f aca="false">IF(OR(D12="",F12=""),"",IF(F12&lt;=IF(D12="Soldier Pile &amp; Timber Lagging",SG_Criteria!$B$34,SG_Criteria!$B$33),"No ERSS submission",IF(F12&lt;=SG_Criteria!$B$35,"QP(ST)",IF(F12&lt;=SG_Criteria!$B$36,"QP(ST) + AC","Geotechnical building works: QP(Geo) + AC"))))</f>
        <v/>
      </c>
      <c r="BH12" s="33" t="str">
        <f aca="false">IF(D12="","",IF(LEN(IF(AND(AC12&lt;&gt;"",IFERROR(VALUE(MID(AC12,2,2)),0)&lt;SG_Criteria!$B$19),"FAIL: grade below C"&amp;SG_Criteria!$B$19&amp;". ","")&amp;IF(AND(LEFT(D12,3)="Con",N(I12)&lt;F12,H12="Kallang Formation (marine clay)"),"NOTE: CBP is not watertight below GWT in marine clay; consider secant / grouting. ","")&amp;IF(AND(D12="Steel Sheet Pile",E12="Permanent"),"NOTE: permanent sheet pile needs corrosion allowance. ","")&amp;IF(AND(G12="Cantilever (no support)",F12&gt;6),"NOTE: cantilever embedded wall &gt; 6 m, check deflection. ","")&amp;IF(AND(T12&lt;&gt;"",U12&lt;&gt;"",T12&gt;U12),"FAIL: deflection exceeds allowable. ",""))=0,"OK",IF(AND(AC12&lt;&gt;"",IFERROR(VALUE(MID(AC12,2,2)),0)&lt;SG_Criteria!$B$19),"FAIL: grade below C"&amp;SG_Criteria!$B$19&amp;". ","")&amp;IF(AND(LEFT(D12,3)="Con",N(I12)&lt;F12,H12="Kallang Formation (marine clay)"),"NOTE: CBP is not watertight below GWT in marine clay; consider secant / grouting. ","")&amp;IF(AND(D12="Steel Sheet Pile",E12="Permanent"),"NOTE: permanent sheet pile needs corrosion allowance. ","")&amp;IF(AND(G12="Cantilever (no support)",F12&gt;6),"NOTE: cantilever embedded wall &gt; 6 m, check deflection. ","")&amp;IF(AND(T12&lt;&gt;"",U12&lt;&gt;"",T12&gt;U12),"FAIL: deflection exceeds allowable. ","")))</f>
        <v/>
      </c>
      <c r="BI12" s="9"/>
      <c r="BJ12" s="9"/>
      <c r="BK12" s="9"/>
      <c r="BL12" s="10" t="str">
        <f aca="false">IF(BK12="","",IFERROR(VLOOKUP(BK12,Projects!$A$5:$D$504,2,0),"Ref not in Projects"))</f>
        <v/>
      </c>
      <c r="BM12" s="10" t="str">
        <f aca="false">IF(BK12="","",IFERROR(VLOOKUP(BK12,Projects!$A$5:$D$504,4,0),"Ref not in Projects"))</f>
        <v/>
      </c>
      <c r="BN12" s="9"/>
      <c r="BO12" s="9"/>
      <c r="BP12" s="9"/>
      <c r="BQ12" s="40"/>
      <c r="BR12" s="9"/>
      <c r="BS12" s="40"/>
      <c r="BT12" s="9"/>
      <c r="BU12" s="40"/>
      <c r="BV12" s="9"/>
      <c r="BW12" s="9"/>
      <c r="BX12" s="9"/>
      <c r="BY12" s="40"/>
      <c r="BZ12" s="40"/>
      <c r="CA12" s="36" t="str">
        <f aca="false">IF(BZ12="","",EDATE(BZ12,SG_Criteria!$B$54*12))</f>
        <v/>
      </c>
      <c r="CB12" s="33" t="str">
        <f aca="true">IF(A12="","",IF(BZ12="","NOTE: not reviewed yet",IF(TODAY()&gt;CA12,"NOTE: review overdue","OK")))</f>
        <v/>
      </c>
      <c r="CC12" s="37" t="str">
        <f aca="false">IF(A12="","",ROUND((IF(LEN(D12)&gt;0,1,0)+IF(LEN(E12)&gt;0,1,0)+IF(LEN(F12)&gt;0,1,0)+IF(LEN(G12)&gt;0,1,0)+IF(LEN(H12)&gt;0,1,0)+IF(LEN(I12)&gt;0,1,0)+IF(LEN(K12)&gt;0,1,0)+IF(LEN(N12)&gt;0,1,0)+IF(LEN(O12)&gt;0,1,0)+IF(LEN(T12)&gt;0,1,0)+IF(LEN(U12)&gt;0,1,0)+IF(LEN(V12)&gt;0,1,0)+IF(LEN(AK12)&gt;0,1,0)+IF(LEN(AM12)&gt;0,1,0)+IF(LEN(AN12)&gt;0,1,0)+IF(LEN(AO12)&gt;0,1,0)+IF(LEN(AP12)&gt;0,1,0)+IF(LEN(AY12)&gt;0,1,0)+IF(LEN(BK12)&gt;0,1,0)+IF(LEN(BX12)&gt;0,1,0))/20,2))</f>
        <v/>
      </c>
      <c r="CD12" s="10" t="str">
        <f aca="false">IF(D12="","",IF(AND(AN12="Approved",ISERROR(SEARCH("FAIL",BH12))),"Y","N"))</f>
        <v/>
      </c>
      <c r="CE12" s="10" t="str">
        <f aca="false">IF(D12="","",D12&amp;"|"&amp;F12&amp;"|"&amp;G12&amp;"|"&amp;H12&amp;"|"&amp;E12&amp;"|"&amp;CD12)</f>
        <v/>
      </c>
    </row>
    <row r="13" customFormat="false" ht="15" hidden="false" customHeight="false" outlineLevel="0" collapsed="false">
      <c r="A13" s="10" t="str">
        <f aca="false">IF(D13="","","EW-"&amp;IFERROR(VLOOKUP(D13,Lists!$P$4:$Q$22,2,0),"??")&amp;"-D"&amp;TEXT(F13*1000,"0000")&amp;"-"&amp;IFERROR(VLOOKUP(G13,Lists!$S$4:$T$21,2,0),"??")&amp;"-"&amp;IFERROR(VLOOKUP(H13,Lists!$Y$4:$Z$21,2,0),"??")&amp;"-"&amp;IFERROR(VLOOKUP(E13,Lists!$V$4:$W$16,2,0),"??")&amp;"-"&amp;AM13)</f>
        <v/>
      </c>
      <c r="B13" s="10" t="str">
        <f aca="false">IF(D13="","",E13&amp;" "&amp;D13&amp;", excavation "&amp;TEXT(F13,"0.0")&amp;" m, "&amp;G13&amp;", "&amp;H13&amp;", "&amp;K13)</f>
        <v/>
      </c>
      <c r="C13" s="9"/>
      <c r="D13" s="9"/>
      <c r="E13" s="9"/>
      <c r="F13" s="42"/>
      <c r="G13" s="9"/>
      <c r="H13" s="9"/>
      <c r="I13" s="42"/>
      <c r="J13" s="38"/>
      <c r="K13" s="9"/>
      <c r="L13" s="9"/>
      <c r="M13" s="9"/>
      <c r="N13" s="42"/>
      <c r="O13" s="42"/>
      <c r="P13" s="9"/>
      <c r="Q13" s="9"/>
      <c r="R13" s="9"/>
      <c r="S13" s="9"/>
      <c r="T13" s="38"/>
      <c r="U13" s="38"/>
      <c r="V13" s="38"/>
      <c r="W13" s="38"/>
      <c r="X13" s="38"/>
      <c r="Y13" s="9"/>
      <c r="Z13" s="39"/>
      <c r="AA13" s="9"/>
      <c r="AB13" s="9"/>
      <c r="AC13" s="9"/>
      <c r="AD13" s="9"/>
      <c r="AE13" s="9"/>
      <c r="AF13" s="9"/>
      <c r="AG13" s="9"/>
      <c r="AH13" s="38"/>
      <c r="AI13" s="9"/>
      <c r="AJ13" s="39"/>
      <c r="AK13" s="9"/>
      <c r="AL13" s="9"/>
      <c r="AM13" s="9"/>
      <c r="AN13" s="9"/>
      <c r="AO13" s="9"/>
      <c r="AP13" s="9"/>
      <c r="AQ13" s="9"/>
      <c r="AR13" s="10" t="str">
        <f aca="false">IF(A13="","",SG_Criteria!$B$6&amp;SG_Criteria!$B$9&amp;"\"&amp;A13&amp;"\")</f>
        <v/>
      </c>
      <c r="AS13" s="10" t="str">
        <f aca="false">IF(A13="","",A13&amp;"_CAD.dwg")</f>
        <v/>
      </c>
      <c r="AT13" s="10" t="str">
        <f aca="false">IF(A13="","",A13&amp;"_DWG.pdf")</f>
        <v/>
      </c>
      <c r="AU13" s="10" t="str">
        <f aca="false">IF(A13="","",IF(AQ13="Y",A13&amp;"_STAAD.std","n/a"))</f>
        <v/>
      </c>
      <c r="AV13" s="10" t="str">
        <f aca="false">IF(A13="","",A13&amp;"_CALC.xlsx")</f>
        <v/>
      </c>
      <c r="AW13" s="10" t="str">
        <f aca="false">IF(A13="","",A13&amp;"_CALC.pdf")</f>
        <v/>
      </c>
      <c r="AX13" s="9"/>
      <c r="AY13" s="9"/>
      <c r="AZ13" s="39"/>
      <c r="BA13" s="39"/>
      <c r="BB13" s="39"/>
      <c r="BC13" s="39"/>
      <c r="BD13" s="39"/>
      <c r="BE13" s="12" t="str">
        <f aca="false">IF(A13="","",IF(COUNTIF(Rebar_Schedule!$A$5:$A$2004,A13)=0,"",ROUND(SUMIF(Rebar_Schedule!$A$5:$A$2004,A13,Rebar_Schedule!$K$5:$K$2004),1)))</f>
        <v/>
      </c>
      <c r="BF13" s="33" t="str">
        <f aca="false">IF(A13="","",IF(BE13="","No rebar schedule yet",IF(ABS(BE13-N(BA13))/MAX(N(BA13),1)&gt;SG_Criteria!$B$55,"NOTE: register rebar differs from schedule by "&amp;TEXT(ABS(BE13-N(BA13))/MAX(N(BA13),1),"0%"),"OK")))</f>
        <v/>
      </c>
      <c r="BG13" s="33" t="str">
        <f aca="false">IF(OR(D13="",F13=""),"",IF(F13&lt;=IF(D13="Soldier Pile &amp; Timber Lagging",SG_Criteria!$B$34,SG_Criteria!$B$33),"No ERSS submission",IF(F13&lt;=SG_Criteria!$B$35,"QP(ST)",IF(F13&lt;=SG_Criteria!$B$36,"QP(ST) + AC","Geotechnical building works: QP(Geo) + AC"))))</f>
        <v/>
      </c>
      <c r="BH13" s="33" t="str">
        <f aca="false">IF(D13="","",IF(LEN(IF(AND(AC13&lt;&gt;"",IFERROR(VALUE(MID(AC13,2,2)),0)&lt;SG_Criteria!$B$19),"FAIL: grade below C"&amp;SG_Criteria!$B$19&amp;". ","")&amp;IF(AND(LEFT(D13,3)="Con",N(I13)&lt;F13,H13="Kallang Formation (marine clay)"),"NOTE: CBP is not watertight below GWT in marine clay; consider secant / grouting. ","")&amp;IF(AND(D13="Steel Sheet Pile",E13="Permanent"),"NOTE: permanent sheet pile needs corrosion allowance. ","")&amp;IF(AND(G13="Cantilever (no support)",F13&gt;6),"NOTE: cantilever embedded wall &gt; 6 m, check deflection. ","")&amp;IF(AND(T13&lt;&gt;"",U13&lt;&gt;"",T13&gt;U13),"FAIL: deflection exceeds allowable. ",""))=0,"OK",IF(AND(AC13&lt;&gt;"",IFERROR(VALUE(MID(AC13,2,2)),0)&lt;SG_Criteria!$B$19),"FAIL: grade below C"&amp;SG_Criteria!$B$19&amp;". ","")&amp;IF(AND(LEFT(D13,3)="Con",N(I13)&lt;F13,H13="Kallang Formation (marine clay)"),"NOTE: CBP is not watertight below GWT in marine clay; consider secant / grouting. ","")&amp;IF(AND(D13="Steel Sheet Pile",E13="Permanent"),"NOTE: permanent sheet pile needs corrosion allowance. ","")&amp;IF(AND(G13="Cantilever (no support)",F13&gt;6),"NOTE: cantilever embedded wall &gt; 6 m, check deflection. ","")&amp;IF(AND(T13&lt;&gt;"",U13&lt;&gt;"",T13&gt;U13),"FAIL: deflection exceeds allowable. ","")))</f>
        <v/>
      </c>
      <c r="BI13" s="9"/>
      <c r="BJ13" s="9"/>
      <c r="BK13" s="9"/>
      <c r="BL13" s="10" t="str">
        <f aca="false">IF(BK13="","",IFERROR(VLOOKUP(BK13,Projects!$A$5:$D$504,2,0),"Ref not in Projects"))</f>
        <v/>
      </c>
      <c r="BM13" s="10" t="str">
        <f aca="false">IF(BK13="","",IFERROR(VLOOKUP(BK13,Projects!$A$5:$D$504,4,0),"Ref not in Projects"))</f>
        <v/>
      </c>
      <c r="BN13" s="9"/>
      <c r="BO13" s="9"/>
      <c r="BP13" s="9"/>
      <c r="BQ13" s="40"/>
      <c r="BR13" s="9"/>
      <c r="BS13" s="40"/>
      <c r="BT13" s="9"/>
      <c r="BU13" s="40"/>
      <c r="BV13" s="9"/>
      <c r="BW13" s="9"/>
      <c r="BX13" s="9"/>
      <c r="BY13" s="40"/>
      <c r="BZ13" s="40"/>
      <c r="CA13" s="36" t="str">
        <f aca="false">IF(BZ13="","",EDATE(BZ13,SG_Criteria!$B$54*12))</f>
        <v/>
      </c>
      <c r="CB13" s="33" t="str">
        <f aca="true">IF(A13="","",IF(BZ13="","NOTE: not reviewed yet",IF(TODAY()&gt;CA13,"NOTE: review overdue","OK")))</f>
        <v/>
      </c>
      <c r="CC13" s="37" t="str">
        <f aca="false">IF(A13="","",ROUND((IF(LEN(D13)&gt;0,1,0)+IF(LEN(E13)&gt;0,1,0)+IF(LEN(F13)&gt;0,1,0)+IF(LEN(G13)&gt;0,1,0)+IF(LEN(H13)&gt;0,1,0)+IF(LEN(I13)&gt;0,1,0)+IF(LEN(K13)&gt;0,1,0)+IF(LEN(N13)&gt;0,1,0)+IF(LEN(O13)&gt;0,1,0)+IF(LEN(T13)&gt;0,1,0)+IF(LEN(U13)&gt;0,1,0)+IF(LEN(V13)&gt;0,1,0)+IF(LEN(AK13)&gt;0,1,0)+IF(LEN(AM13)&gt;0,1,0)+IF(LEN(AN13)&gt;0,1,0)+IF(LEN(AO13)&gt;0,1,0)+IF(LEN(AP13)&gt;0,1,0)+IF(LEN(AY13)&gt;0,1,0)+IF(LEN(BK13)&gt;0,1,0)+IF(LEN(BX13)&gt;0,1,0))/20,2))</f>
        <v/>
      </c>
      <c r="CD13" s="10" t="str">
        <f aca="false">IF(D13="","",IF(AND(AN13="Approved",ISERROR(SEARCH("FAIL",BH13))),"Y","N"))</f>
        <v/>
      </c>
      <c r="CE13" s="10" t="str">
        <f aca="false">IF(D13="","",D13&amp;"|"&amp;F13&amp;"|"&amp;G13&amp;"|"&amp;H13&amp;"|"&amp;E13&amp;"|"&amp;CD13)</f>
        <v/>
      </c>
    </row>
    <row r="14" customFormat="false" ht="15" hidden="false" customHeight="false" outlineLevel="0" collapsed="false">
      <c r="A14" s="10" t="str">
        <f aca="false">IF(D14="","","EW-"&amp;IFERROR(VLOOKUP(D14,Lists!$P$4:$Q$22,2,0),"??")&amp;"-D"&amp;TEXT(F14*1000,"0000")&amp;"-"&amp;IFERROR(VLOOKUP(G14,Lists!$S$4:$T$21,2,0),"??")&amp;"-"&amp;IFERROR(VLOOKUP(H14,Lists!$Y$4:$Z$21,2,0),"??")&amp;"-"&amp;IFERROR(VLOOKUP(E14,Lists!$V$4:$W$16,2,0),"??")&amp;"-"&amp;AM14)</f>
        <v/>
      </c>
      <c r="B14" s="10" t="str">
        <f aca="false">IF(D14="","",E14&amp;" "&amp;D14&amp;", excavation "&amp;TEXT(F14,"0.0")&amp;" m, "&amp;G14&amp;", "&amp;H14&amp;", "&amp;K14)</f>
        <v/>
      </c>
      <c r="C14" s="9"/>
      <c r="D14" s="9"/>
      <c r="E14" s="9"/>
      <c r="F14" s="42"/>
      <c r="G14" s="9"/>
      <c r="H14" s="9"/>
      <c r="I14" s="42"/>
      <c r="J14" s="38"/>
      <c r="K14" s="9"/>
      <c r="L14" s="9"/>
      <c r="M14" s="9"/>
      <c r="N14" s="42"/>
      <c r="O14" s="42"/>
      <c r="P14" s="9"/>
      <c r="Q14" s="9"/>
      <c r="R14" s="9"/>
      <c r="S14" s="9"/>
      <c r="T14" s="38"/>
      <c r="U14" s="38"/>
      <c r="V14" s="38"/>
      <c r="W14" s="38"/>
      <c r="X14" s="38"/>
      <c r="Y14" s="9"/>
      <c r="Z14" s="39"/>
      <c r="AA14" s="9"/>
      <c r="AB14" s="9"/>
      <c r="AC14" s="9"/>
      <c r="AD14" s="9"/>
      <c r="AE14" s="9"/>
      <c r="AF14" s="9"/>
      <c r="AG14" s="9"/>
      <c r="AH14" s="38"/>
      <c r="AI14" s="9"/>
      <c r="AJ14" s="39"/>
      <c r="AK14" s="9"/>
      <c r="AL14" s="9"/>
      <c r="AM14" s="9"/>
      <c r="AN14" s="9"/>
      <c r="AO14" s="9"/>
      <c r="AP14" s="9"/>
      <c r="AQ14" s="9"/>
      <c r="AR14" s="10" t="str">
        <f aca="false">IF(A14="","",SG_Criteria!$B$6&amp;SG_Criteria!$B$9&amp;"\"&amp;A14&amp;"\")</f>
        <v/>
      </c>
      <c r="AS14" s="10" t="str">
        <f aca="false">IF(A14="","",A14&amp;"_CAD.dwg")</f>
        <v/>
      </c>
      <c r="AT14" s="10" t="str">
        <f aca="false">IF(A14="","",A14&amp;"_DWG.pdf")</f>
        <v/>
      </c>
      <c r="AU14" s="10" t="str">
        <f aca="false">IF(A14="","",IF(AQ14="Y",A14&amp;"_STAAD.std","n/a"))</f>
        <v/>
      </c>
      <c r="AV14" s="10" t="str">
        <f aca="false">IF(A14="","",A14&amp;"_CALC.xlsx")</f>
        <v/>
      </c>
      <c r="AW14" s="10" t="str">
        <f aca="false">IF(A14="","",A14&amp;"_CALC.pdf")</f>
        <v/>
      </c>
      <c r="AX14" s="9"/>
      <c r="AY14" s="9"/>
      <c r="AZ14" s="39"/>
      <c r="BA14" s="39"/>
      <c r="BB14" s="39"/>
      <c r="BC14" s="39"/>
      <c r="BD14" s="39"/>
      <c r="BE14" s="12" t="str">
        <f aca="false">IF(A14="","",IF(COUNTIF(Rebar_Schedule!$A$5:$A$2004,A14)=0,"",ROUND(SUMIF(Rebar_Schedule!$A$5:$A$2004,A14,Rebar_Schedule!$K$5:$K$2004),1)))</f>
        <v/>
      </c>
      <c r="BF14" s="33" t="str">
        <f aca="false">IF(A14="","",IF(BE14="","No rebar schedule yet",IF(ABS(BE14-N(BA14))/MAX(N(BA14),1)&gt;SG_Criteria!$B$55,"NOTE: register rebar differs from schedule by "&amp;TEXT(ABS(BE14-N(BA14))/MAX(N(BA14),1),"0%"),"OK")))</f>
        <v/>
      </c>
      <c r="BG14" s="33" t="str">
        <f aca="false">IF(OR(D14="",F14=""),"",IF(F14&lt;=IF(D14="Soldier Pile &amp; Timber Lagging",SG_Criteria!$B$34,SG_Criteria!$B$33),"No ERSS submission",IF(F14&lt;=SG_Criteria!$B$35,"QP(ST)",IF(F14&lt;=SG_Criteria!$B$36,"QP(ST) + AC","Geotechnical building works: QP(Geo) + AC"))))</f>
        <v/>
      </c>
      <c r="BH14" s="33" t="str">
        <f aca="false">IF(D14="","",IF(LEN(IF(AND(AC14&lt;&gt;"",IFERROR(VALUE(MID(AC14,2,2)),0)&lt;SG_Criteria!$B$19),"FAIL: grade below C"&amp;SG_Criteria!$B$19&amp;". ","")&amp;IF(AND(LEFT(D14,3)="Con",N(I14)&lt;F14,H14="Kallang Formation (marine clay)"),"NOTE: CBP is not watertight below GWT in marine clay; consider secant / grouting. ","")&amp;IF(AND(D14="Steel Sheet Pile",E14="Permanent"),"NOTE: permanent sheet pile needs corrosion allowance. ","")&amp;IF(AND(G14="Cantilever (no support)",F14&gt;6),"NOTE: cantilever embedded wall &gt; 6 m, check deflection. ","")&amp;IF(AND(T14&lt;&gt;"",U14&lt;&gt;"",T14&gt;U14),"FAIL: deflection exceeds allowable. ",""))=0,"OK",IF(AND(AC14&lt;&gt;"",IFERROR(VALUE(MID(AC14,2,2)),0)&lt;SG_Criteria!$B$19),"FAIL: grade below C"&amp;SG_Criteria!$B$19&amp;". ","")&amp;IF(AND(LEFT(D14,3)="Con",N(I14)&lt;F14,H14="Kallang Formation (marine clay)"),"NOTE: CBP is not watertight below GWT in marine clay; consider secant / grouting. ","")&amp;IF(AND(D14="Steel Sheet Pile",E14="Permanent"),"NOTE: permanent sheet pile needs corrosion allowance. ","")&amp;IF(AND(G14="Cantilever (no support)",F14&gt;6),"NOTE: cantilever embedded wall &gt; 6 m, check deflection. ","")&amp;IF(AND(T14&lt;&gt;"",U14&lt;&gt;"",T14&gt;U14),"FAIL: deflection exceeds allowable. ","")))</f>
        <v/>
      </c>
      <c r="BI14" s="9"/>
      <c r="BJ14" s="9"/>
      <c r="BK14" s="9"/>
      <c r="BL14" s="10" t="str">
        <f aca="false">IF(BK14="","",IFERROR(VLOOKUP(BK14,Projects!$A$5:$D$504,2,0),"Ref not in Projects"))</f>
        <v/>
      </c>
      <c r="BM14" s="10" t="str">
        <f aca="false">IF(BK14="","",IFERROR(VLOOKUP(BK14,Projects!$A$5:$D$504,4,0),"Ref not in Projects"))</f>
        <v/>
      </c>
      <c r="BN14" s="9"/>
      <c r="BO14" s="9"/>
      <c r="BP14" s="9"/>
      <c r="BQ14" s="40"/>
      <c r="BR14" s="9"/>
      <c r="BS14" s="40"/>
      <c r="BT14" s="9"/>
      <c r="BU14" s="40"/>
      <c r="BV14" s="9"/>
      <c r="BW14" s="9"/>
      <c r="BX14" s="9"/>
      <c r="BY14" s="40"/>
      <c r="BZ14" s="40"/>
      <c r="CA14" s="36" t="str">
        <f aca="false">IF(BZ14="","",EDATE(BZ14,SG_Criteria!$B$54*12))</f>
        <v/>
      </c>
      <c r="CB14" s="33" t="str">
        <f aca="true">IF(A14="","",IF(BZ14="","NOTE: not reviewed yet",IF(TODAY()&gt;CA14,"NOTE: review overdue","OK")))</f>
        <v/>
      </c>
      <c r="CC14" s="37" t="str">
        <f aca="false">IF(A14="","",ROUND((IF(LEN(D14)&gt;0,1,0)+IF(LEN(E14)&gt;0,1,0)+IF(LEN(F14)&gt;0,1,0)+IF(LEN(G14)&gt;0,1,0)+IF(LEN(H14)&gt;0,1,0)+IF(LEN(I14)&gt;0,1,0)+IF(LEN(K14)&gt;0,1,0)+IF(LEN(N14)&gt;0,1,0)+IF(LEN(O14)&gt;0,1,0)+IF(LEN(T14)&gt;0,1,0)+IF(LEN(U14)&gt;0,1,0)+IF(LEN(V14)&gt;0,1,0)+IF(LEN(AK14)&gt;0,1,0)+IF(LEN(AM14)&gt;0,1,0)+IF(LEN(AN14)&gt;0,1,0)+IF(LEN(AO14)&gt;0,1,0)+IF(LEN(AP14)&gt;0,1,0)+IF(LEN(AY14)&gt;0,1,0)+IF(LEN(BK14)&gt;0,1,0)+IF(LEN(BX14)&gt;0,1,0))/20,2))</f>
        <v/>
      </c>
      <c r="CD14" s="10" t="str">
        <f aca="false">IF(D14="","",IF(AND(AN14="Approved",ISERROR(SEARCH("FAIL",BH14))),"Y","N"))</f>
        <v/>
      </c>
      <c r="CE14" s="10" t="str">
        <f aca="false">IF(D14="","",D14&amp;"|"&amp;F14&amp;"|"&amp;G14&amp;"|"&amp;H14&amp;"|"&amp;E14&amp;"|"&amp;CD14)</f>
        <v/>
      </c>
    </row>
    <row r="15" customFormat="false" ht="15" hidden="false" customHeight="false" outlineLevel="0" collapsed="false">
      <c r="A15" s="10" t="str">
        <f aca="false">IF(D15="","","EW-"&amp;IFERROR(VLOOKUP(D15,Lists!$P$4:$Q$22,2,0),"??")&amp;"-D"&amp;TEXT(F15*1000,"0000")&amp;"-"&amp;IFERROR(VLOOKUP(G15,Lists!$S$4:$T$21,2,0),"??")&amp;"-"&amp;IFERROR(VLOOKUP(H15,Lists!$Y$4:$Z$21,2,0),"??")&amp;"-"&amp;IFERROR(VLOOKUP(E15,Lists!$V$4:$W$16,2,0),"??")&amp;"-"&amp;AM15)</f>
        <v/>
      </c>
      <c r="B15" s="10" t="str">
        <f aca="false">IF(D15="","",E15&amp;" "&amp;D15&amp;", excavation "&amp;TEXT(F15,"0.0")&amp;" m, "&amp;G15&amp;", "&amp;H15&amp;", "&amp;K15)</f>
        <v/>
      </c>
      <c r="C15" s="9"/>
      <c r="D15" s="9"/>
      <c r="E15" s="9"/>
      <c r="F15" s="42"/>
      <c r="G15" s="9"/>
      <c r="H15" s="9"/>
      <c r="I15" s="42"/>
      <c r="J15" s="38"/>
      <c r="K15" s="9"/>
      <c r="L15" s="9"/>
      <c r="M15" s="9"/>
      <c r="N15" s="42"/>
      <c r="O15" s="42"/>
      <c r="P15" s="9"/>
      <c r="Q15" s="9"/>
      <c r="R15" s="9"/>
      <c r="S15" s="9"/>
      <c r="T15" s="38"/>
      <c r="U15" s="38"/>
      <c r="V15" s="38"/>
      <c r="W15" s="38"/>
      <c r="X15" s="38"/>
      <c r="Y15" s="9"/>
      <c r="Z15" s="39"/>
      <c r="AA15" s="9"/>
      <c r="AB15" s="9"/>
      <c r="AC15" s="9"/>
      <c r="AD15" s="9"/>
      <c r="AE15" s="9"/>
      <c r="AF15" s="9"/>
      <c r="AG15" s="9"/>
      <c r="AH15" s="38"/>
      <c r="AI15" s="9"/>
      <c r="AJ15" s="39"/>
      <c r="AK15" s="9"/>
      <c r="AL15" s="9"/>
      <c r="AM15" s="9"/>
      <c r="AN15" s="9"/>
      <c r="AO15" s="9"/>
      <c r="AP15" s="9"/>
      <c r="AQ15" s="9"/>
      <c r="AR15" s="10" t="str">
        <f aca="false">IF(A15="","",SG_Criteria!$B$6&amp;SG_Criteria!$B$9&amp;"\"&amp;A15&amp;"\")</f>
        <v/>
      </c>
      <c r="AS15" s="10" t="str">
        <f aca="false">IF(A15="","",A15&amp;"_CAD.dwg")</f>
        <v/>
      </c>
      <c r="AT15" s="10" t="str">
        <f aca="false">IF(A15="","",A15&amp;"_DWG.pdf")</f>
        <v/>
      </c>
      <c r="AU15" s="10" t="str">
        <f aca="false">IF(A15="","",IF(AQ15="Y",A15&amp;"_STAAD.std","n/a"))</f>
        <v/>
      </c>
      <c r="AV15" s="10" t="str">
        <f aca="false">IF(A15="","",A15&amp;"_CALC.xlsx")</f>
        <v/>
      </c>
      <c r="AW15" s="10" t="str">
        <f aca="false">IF(A15="","",A15&amp;"_CALC.pdf")</f>
        <v/>
      </c>
      <c r="AX15" s="9"/>
      <c r="AY15" s="9"/>
      <c r="AZ15" s="39"/>
      <c r="BA15" s="39"/>
      <c r="BB15" s="39"/>
      <c r="BC15" s="39"/>
      <c r="BD15" s="39"/>
      <c r="BE15" s="12" t="str">
        <f aca="false">IF(A15="","",IF(COUNTIF(Rebar_Schedule!$A$5:$A$2004,A15)=0,"",ROUND(SUMIF(Rebar_Schedule!$A$5:$A$2004,A15,Rebar_Schedule!$K$5:$K$2004),1)))</f>
        <v/>
      </c>
      <c r="BF15" s="33" t="str">
        <f aca="false">IF(A15="","",IF(BE15="","No rebar schedule yet",IF(ABS(BE15-N(BA15))/MAX(N(BA15),1)&gt;SG_Criteria!$B$55,"NOTE: register rebar differs from schedule by "&amp;TEXT(ABS(BE15-N(BA15))/MAX(N(BA15),1),"0%"),"OK")))</f>
        <v/>
      </c>
      <c r="BG15" s="33" t="str">
        <f aca="false">IF(OR(D15="",F15=""),"",IF(F15&lt;=IF(D15="Soldier Pile &amp; Timber Lagging",SG_Criteria!$B$34,SG_Criteria!$B$33),"No ERSS submission",IF(F15&lt;=SG_Criteria!$B$35,"QP(ST)",IF(F15&lt;=SG_Criteria!$B$36,"QP(ST) + AC","Geotechnical building works: QP(Geo) + AC"))))</f>
        <v/>
      </c>
      <c r="BH15" s="33" t="str">
        <f aca="false">IF(D15="","",IF(LEN(IF(AND(AC15&lt;&gt;"",IFERROR(VALUE(MID(AC15,2,2)),0)&lt;SG_Criteria!$B$19),"FAIL: grade below C"&amp;SG_Criteria!$B$19&amp;". ","")&amp;IF(AND(LEFT(D15,3)="Con",N(I15)&lt;F15,H15="Kallang Formation (marine clay)"),"NOTE: CBP is not watertight below GWT in marine clay; consider secant / grouting. ","")&amp;IF(AND(D15="Steel Sheet Pile",E15="Permanent"),"NOTE: permanent sheet pile needs corrosion allowance. ","")&amp;IF(AND(G15="Cantilever (no support)",F15&gt;6),"NOTE: cantilever embedded wall &gt; 6 m, check deflection. ","")&amp;IF(AND(T15&lt;&gt;"",U15&lt;&gt;"",T15&gt;U15),"FAIL: deflection exceeds allowable. ",""))=0,"OK",IF(AND(AC15&lt;&gt;"",IFERROR(VALUE(MID(AC15,2,2)),0)&lt;SG_Criteria!$B$19),"FAIL: grade below C"&amp;SG_Criteria!$B$19&amp;". ","")&amp;IF(AND(LEFT(D15,3)="Con",N(I15)&lt;F15,H15="Kallang Formation (marine clay)"),"NOTE: CBP is not watertight below GWT in marine clay; consider secant / grouting. ","")&amp;IF(AND(D15="Steel Sheet Pile",E15="Permanent"),"NOTE: permanent sheet pile needs corrosion allowance. ","")&amp;IF(AND(G15="Cantilever (no support)",F15&gt;6),"NOTE: cantilever embedded wall &gt; 6 m, check deflection. ","")&amp;IF(AND(T15&lt;&gt;"",U15&lt;&gt;"",T15&gt;U15),"FAIL: deflection exceeds allowable. ","")))</f>
        <v/>
      </c>
      <c r="BI15" s="9"/>
      <c r="BJ15" s="9"/>
      <c r="BK15" s="9"/>
      <c r="BL15" s="10" t="str">
        <f aca="false">IF(BK15="","",IFERROR(VLOOKUP(BK15,Projects!$A$5:$D$504,2,0),"Ref not in Projects"))</f>
        <v/>
      </c>
      <c r="BM15" s="10" t="str">
        <f aca="false">IF(BK15="","",IFERROR(VLOOKUP(BK15,Projects!$A$5:$D$504,4,0),"Ref not in Projects"))</f>
        <v/>
      </c>
      <c r="BN15" s="9"/>
      <c r="BO15" s="9"/>
      <c r="BP15" s="9"/>
      <c r="BQ15" s="40"/>
      <c r="BR15" s="9"/>
      <c r="BS15" s="40"/>
      <c r="BT15" s="9"/>
      <c r="BU15" s="40"/>
      <c r="BV15" s="9"/>
      <c r="BW15" s="9"/>
      <c r="BX15" s="9"/>
      <c r="BY15" s="40"/>
      <c r="BZ15" s="40"/>
      <c r="CA15" s="36" t="str">
        <f aca="false">IF(BZ15="","",EDATE(BZ15,SG_Criteria!$B$54*12))</f>
        <v/>
      </c>
      <c r="CB15" s="33" t="str">
        <f aca="true">IF(A15="","",IF(BZ15="","NOTE: not reviewed yet",IF(TODAY()&gt;CA15,"NOTE: review overdue","OK")))</f>
        <v/>
      </c>
      <c r="CC15" s="37" t="str">
        <f aca="false">IF(A15="","",ROUND((IF(LEN(D15)&gt;0,1,0)+IF(LEN(E15)&gt;0,1,0)+IF(LEN(F15)&gt;0,1,0)+IF(LEN(G15)&gt;0,1,0)+IF(LEN(H15)&gt;0,1,0)+IF(LEN(I15)&gt;0,1,0)+IF(LEN(K15)&gt;0,1,0)+IF(LEN(N15)&gt;0,1,0)+IF(LEN(O15)&gt;0,1,0)+IF(LEN(T15)&gt;0,1,0)+IF(LEN(U15)&gt;0,1,0)+IF(LEN(V15)&gt;0,1,0)+IF(LEN(AK15)&gt;0,1,0)+IF(LEN(AM15)&gt;0,1,0)+IF(LEN(AN15)&gt;0,1,0)+IF(LEN(AO15)&gt;0,1,0)+IF(LEN(AP15)&gt;0,1,0)+IF(LEN(AY15)&gt;0,1,0)+IF(LEN(BK15)&gt;0,1,0)+IF(LEN(BX15)&gt;0,1,0))/20,2))</f>
        <v/>
      </c>
      <c r="CD15" s="10" t="str">
        <f aca="false">IF(D15="","",IF(AND(AN15="Approved",ISERROR(SEARCH("FAIL",BH15))),"Y","N"))</f>
        <v/>
      </c>
      <c r="CE15" s="10" t="str">
        <f aca="false">IF(D15="","",D15&amp;"|"&amp;F15&amp;"|"&amp;G15&amp;"|"&amp;H15&amp;"|"&amp;E15&amp;"|"&amp;CD15)</f>
        <v/>
      </c>
    </row>
    <row r="16" customFormat="false" ht="15" hidden="false" customHeight="false" outlineLevel="0" collapsed="false">
      <c r="A16" s="10" t="str">
        <f aca="false">IF(D16="","","EW-"&amp;IFERROR(VLOOKUP(D16,Lists!$P$4:$Q$22,2,0),"??")&amp;"-D"&amp;TEXT(F16*1000,"0000")&amp;"-"&amp;IFERROR(VLOOKUP(G16,Lists!$S$4:$T$21,2,0),"??")&amp;"-"&amp;IFERROR(VLOOKUP(H16,Lists!$Y$4:$Z$21,2,0),"??")&amp;"-"&amp;IFERROR(VLOOKUP(E16,Lists!$V$4:$W$16,2,0),"??")&amp;"-"&amp;AM16)</f>
        <v/>
      </c>
      <c r="B16" s="10" t="str">
        <f aca="false">IF(D16="","",E16&amp;" "&amp;D16&amp;", excavation "&amp;TEXT(F16,"0.0")&amp;" m, "&amp;G16&amp;", "&amp;H16&amp;", "&amp;K16)</f>
        <v/>
      </c>
      <c r="C16" s="9"/>
      <c r="D16" s="9"/>
      <c r="E16" s="9"/>
      <c r="F16" s="42"/>
      <c r="G16" s="9"/>
      <c r="H16" s="9"/>
      <c r="I16" s="42"/>
      <c r="J16" s="38"/>
      <c r="K16" s="9"/>
      <c r="L16" s="9"/>
      <c r="M16" s="9"/>
      <c r="N16" s="42"/>
      <c r="O16" s="42"/>
      <c r="P16" s="9"/>
      <c r="Q16" s="9"/>
      <c r="R16" s="9"/>
      <c r="S16" s="9"/>
      <c r="T16" s="38"/>
      <c r="U16" s="38"/>
      <c r="V16" s="38"/>
      <c r="W16" s="38"/>
      <c r="X16" s="38"/>
      <c r="Y16" s="9"/>
      <c r="Z16" s="39"/>
      <c r="AA16" s="9"/>
      <c r="AB16" s="9"/>
      <c r="AC16" s="9"/>
      <c r="AD16" s="9"/>
      <c r="AE16" s="9"/>
      <c r="AF16" s="9"/>
      <c r="AG16" s="9"/>
      <c r="AH16" s="38"/>
      <c r="AI16" s="9"/>
      <c r="AJ16" s="39"/>
      <c r="AK16" s="9"/>
      <c r="AL16" s="9"/>
      <c r="AM16" s="9"/>
      <c r="AN16" s="9"/>
      <c r="AO16" s="9"/>
      <c r="AP16" s="9"/>
      <c r="AQ16" s="9"/>
      <c r="AR16" s="10" t="str">
        <f aca="false">IF(A16="","",SG_Criteria!$B$6&amp;SG_Criteria!$B$9&amp;"\"&amp;A16&amp;"\")</f>
        <v/>
      </c>
      <c r="AS16" s="10" t="str">
        <f aca="false">IF(A16="","",A16&amp;"_CAD.dwg")</f>
        <v/>
      </c>
      <c r="AT16" s="10" t="str">
        <f aca="false">IF(A16="","",A16&amp;"_DWG.pdf")</f>
        <v/>
      </c>
      <c r="AU16" s="10" t="str">
        <f aca="false">IF(A16="","",IF(AQ16="Y",A16&amp;"_STAAD.std","n/a"))</f>
        <v/>
      </c>
      <c r="AV16" s="10" t="str">
        <f aca="false">IF(A16="","",A16&amp;"_CALC.xlsx")</f>
        <v/>
      </c>
      <c r="AW16" s="10" t="str">
        <f aca="false">IF(A16="","",A16&amp;"_CALC.pdf")</f>
        <v/>
      </c>
      <c r="AX16" s="9"/>
      <c r="AY16" s="9"/>
      <c r="AZ16" s="39"/>
      <c r="BA16" s="39"/>
      <c r="BB16" s="39"/>
      <c r="BC16" s="39"/>
      <c r="BD16" s="39"/>
      <c r="BE16" s="12" t="str">
        <f aca="false">IF(A16="","",IF(COUNTIF(Rebar_Schedule!$A$5:$A$2004,A16)=0,"",ROUND(SUMIF(Rebar_Schedule!$A$5:$A$2004,A16,Rebar_Schedule!$K$5:$K$2004),1)))</f>
        <v/>
      </c>
      <c r="BF16" s="33" t="str">
        <f aca="false">IF(A16="","",IF(BE16="","No rebar schedule yet",IF(ABS(BE16-N(BA16))/MAX(N(BA16),1)&gt;SG_Criteria!$B$55,"NOTE: register rebar differs from schedule by "&amp;TEXT(ABS(BE16-N(BA16))/MAX(N(BA16),1),"0%"),"OK")))</f>
        <v/>
      </c>
      <c r="BG16" s="33" t="str">
        <f aca="false">IF(OR(D16="",F16=""),"",IF(F16&lt;=IF(D16="Soldier Pile &amp; Timber Lagging",SG_Criteria!$B$34,SG_Criteria!$B$33),"No ERSS submission",IF(F16&lt;=SG_Criteria!$B$35,"QP(ST)",IF(F16&lt;=SG_Criteria!$B$36,"QP(ST) + AC","Geotechnical building works: QP(Geo) + AC"))))</f>
        <v/>
      </c>
      <c r="BH16" s="33" t="str">
        <f aca="false">IF(D16="","",IF(LEN(IF(AND(AC16&lt;&gt;"",IFERROR(VALUE(MID(AC16,2,2)),0)&lt;SG_Criteria!$B$19),"FAIL: grade below C"&amp;SG_Criteria!$B$19&amp;". ","")&amp;IF(AND(LEFT(D16,3)="Con",N(I16)&lt;F16,H16="Kallang Formation (marine clay)"),"NOTE: CBP is not watertight below GWT in marine clay; consider secant / grouting. ","")&amp;IF(AND(D16="Steel Sheet Pile",E16="Permanent"),"NOTE: permanent sheet pile needs corrosion allowance. ","")&amp;IF(AND(G16="Cantilever (no support)",F16&gt;6),"NOTE: cantilever embedded wall &gt; 6 m, check deflection. ","")&amp;IF(AND(T16&lt;&gt;"",U16&lt;&gt;"",T16&gt;U16),"FAIL: deflection exceeds allowable. ",""))=0,"OK",IF(AND(AC16&lt;&gt;"",IFERROR(VALUE(MID(AC16,2,2)),0)&lt;SG_Criteria!$B$19),"FAIL: grade below C"&amp;SG_Criteria!$B$19&amp;". ","")&amp;IF(AND(LEFT(D16,3)="Con",N(I16)&lt;F16,H16="Kallang Formation (marine clay)"),"NOTE: CBP is not watertight below GWT in marine clay; consider secant / grouting. ","")&amp;IF(AND(D16="Steel Sheet Pile",E16="Permanent"),"NOTE: permanent sheet pile needs corrosion allowance. ","")&amp;IF(AND(G16="Cantilever (no support)",F16&gt;6),"NOTE: cantilever embedded wall &gt; 6 m, check deflection. ","")&amp;IF(AND(T16&lt;&gt;"",U16&lt;&gt;"",T16&gt;U16),"FAIL: deflection exceeds allowable. ","")))</f>
        <v/>
      </c>
      <c r="BI16" s="9"/>
      <c r="BJ16" s="9"/>
      <c r="BK16" s="9"/>
      <c r="BL16" s="10" t="str">
        <f aca="false">IF(BK16="","",IFERROR(VLOOKUP(BK16,Projects!$A$5:$D$504,2,0),"Ref not in Projects"))</f>
        <v/>
      </c>
      <c r="BM16" s="10" t="str">
        <f aca="false">IF(BK16="","",IFERROR(VLOOKUP(BK16,Projects!$A$5:$D$504,4,0),"Ref not in Projects"))</f>
        <v/>
      </c>
      <c r="BN16" s="9"/>
      <c r="BO16" s="9"/>
      <c r="BP16" s="9"/>
      <c r="BQ16" s="40"/>
      <c r="BR16" s="9"/>
      <c r="BS16" s="40"/>
      <c r="BT16" s="9"/>
      <c r="BU16" s="40"/>
      <c r="BV16" s="9"/>
      <c r="BW16" s="9"/>
      <c r="BX16" s="9"/>
      <c r="BY16" s="40"/>
      <c r="BZ16" s="40"/>
      <c r="CA16" s="36" t="str">
        <f aca="false">IF(BZ16="","",EDATE(BZ16,SG_Criteria!$B$54*12))</f>
        <v/>
      </c>
      <c r="CB16" s="33" t="str">
        <f aca="true">IF(A16="","",IF(BZ16="","NOTE: not reviewed yet",IF(TODAY()&gt;CA16,"NOTE: review overdue","OK")))</f>
        <v/>
      </c>
      <c r="CC16" s="37" t="str">
        <f aca="false">IF(A16="","",ROUND((IF(LEN(D16)&gt;0,1,0)+IF(LEN(E16)&gt;0,1,0)+IF(LEN(F16)&gt;0,1,0)+IF(LEN(G16)&gt;0,1,0)+IF(LEN(H16)&gt;0,1,0)+IF(LEN(I16)&gt;0,1,0)+IF(LEN(K16)&gt;0,1,0)+IF(LEN(N16)&gt;0,1,0)+IF(LEN(O16)&gt;0,1,0)+IF(LEN(T16)&gt;0,1,0)+IF(LEN(U16)&gt;0,1,0)+IF(LEN(V16)&gt;0,1,0)+IF(LEN(AK16)&gt;0,1,0)+IF(LEN(AM16)&gt;0,1,0)+IF(LEN(AN16)&gt;0,1,0)+IF(LEN(AO16)&gt;0,1,0)+IF(LEN(AP16)&gt;0,1,0)+IF(LEN(AY16)&gt;0,1,0)+IF(LEN(BK16)&gt;0,1,0)+IF(LEN(BX16)&gt;0,1,0))/20,2))</f>
        <v/>
      </c>
      <c r="CD16" s="10" t="str">
        <f aca="false">IF(D16="","",IF(AND(AN16="Approved",ISERROR(SEARCH("FAIL",BH16))),"Y","N"))</f>
        <v/>
      </c>
      <c r="CE16" s="10" t="str">
        <f aca="false">IF(D16="","",D16&amp;"|"&amp;F16&amp;"|"&amp;G16&amp;"|"&amp;H16&amp;"|"&amp;E16&amp;"|"&amp;CD16)</f>
        <v/>
      </c>
    </row>
    <row r="17" customFormat="false" ht="15" hidden="false" customHeight="false" outlineLevel="0" collapsed="false">
      <c r="A17" s="10" t="str">
        <f aca="false">IF(D17="","","EW-"&amp;IFERROR(VLOOKUP(D17,Lists!$P$4:$Q$22,2,0),"??")&amp;"-D"&amp;TEXT(F17*1000,"0000")&amp;"-"&amp;IFERROR(VLOOKUP(G17,Lists!$S$4:$T$21,2,0),"??")&amp;"-"&amp;IFERROR(VLOOKUP(H17,Lists!$Y$4:$Z$21,2,0),"??")&amp;"-"&amp;IFERROR(VLOOKUP(E17,Lists!$V$4:$W$16,2,0),"??")&amp;"-"&amp;AM17)</f>
        <v/>
      </c>
      <c r="B17" s="10" t="str">
        <f aca="false">IF(D17="","",E17&amp;" "&amp;D17&amp;", excavation "&amp;TEXT(F17,"0.0")&amp;" m, "&amp;G17&amp;", "&amp;H17&amp;", "&amp;K17)</f>
        <v/>
      </c>
      <c r="C17" s="9"/>
      <c r="D17" s="9"/>
      <c r="E17" s="9"/>
      <c r="F17" s="42"/>
      <c r="G17" s="9"/>
      <c r="H17" s="9"/>
      <c r="I17" s="42"/>
      <c r="J17" s="38"/>
      <c r="K17" s="9"/>
      <c r="L17" s="9"/>
      <c r="M17" s="9"/>
      <c r="N17" s="42"/>
      <c r="O17" s="42"/>
      <c r="P17" s="9"/>
      <c r="Q17" s="9"/>
      <c r="R17" s="9"/>
      <c r="S17" s="9"/>
      <c r="T17" s="38"/>
      <c r="U17" s="38"/>
      <c r="V17" s="38"/>
      <c r="W17" s="38"/>
      <c r="X17" s="38"/>
      <c r="Y17" s="9"/>
      <c r="Z17" s="39"/>
      <c r="AA17" s="9"/>
      <c r="AB17" s="9"/>
      <c r="AC17" s="9"/>
      <c r="AD17" s="9"/>
      <c r="AE17" s="9"/>
      <c r="AF17" s="9"/>
      <c r="AG17" s="9"/>
      <c r="AH17" s="38"/>
      <c r="AI17" s="9"/>
      <c r="AJ17" s="39"/>
      <c r="AK17" s="9"/>
      <c r="AL17" s="9"/>
      <c r="AM17" s="9"/>
      <c r="AN17" s="9"/>
      <c r="AO17" s="9"/>
      <c r="AP17" s="9"/>
      <c r="AQ17" s="9"/>
      <c r="AR17" s="10" t="str">
        <f aca="false">IF(A17="","",SG_Criteria!$B$6&amp;SG_Criteria!$B$9&amp;"\"&amp;A17&amp;"\")</f>
        <v/>
      </c>
      <c r="AS17" s="10" t="str">
        <f aca="false">IF(A17="","",A17&amp;"_CAD.dwg")</f>
        <v/>
      </c>
      <c r="AT17" s="10" t="str">
        <f aca="false">IF(A17="","",A17&amp;"_DWG.pdf")</f>
        <v/>
      </c>
      <c r="AU17" s="10" t="str">
        <f aca="false">IF(A17="","",IF(AQ17="Y",A17&amp;"_STAAD.std","n/a"))</f>
        <v/>
      </c>
      <c r="AV17" s="10" t="str">
        <f aca="false">IF(A17="","",A17&amp;"_CALC.xlsx")</f>
        <v/>
      </c>
      <c r="AW17" s="10" t="str">
        <f aca="false">IF(A17="","",A17&amp;"_CALC.pdf")</f>
        <v/>
      </c>
      <c r="AX17" s="9"/>
      <c r="AY17" s="9"/>
      <c r="AZ17" s="39"/>
      <c r="BA17" s="39"/>
      <c r="BB17" s="39"/>
      <c r="BC17" s="39"/>
      <c r="BD17" s="39"/>
      <c r="BE17" s="12" t="str">
        <f aca="false">IF(A17="","",IF(COUNTIF(Rebar_Schedule!$A$5:$A$2004,A17)=0,"",ROUND(SUMIF(Rebar_Schedule!$A$5:$A$2004,A17,Rebar_Schedule!$K$5:$K$2004),1)))</f>
        <v/>
      </c>
      <c r="BF17" s="33" t="str">
        <f aca="false">IF(A17="","",IF(BE17="","No rebar schedule yet",IF(ABS(BE17-N(BA17))/MAX(N(BA17),1)&gt;SG_Criteria!$B$55,"NOTE: register rebar differs from schedule by "&amp;TEXT(ABS(BE17-N(BA17))/MAX(N(BA17),1),"0%"),"OK")))</f>
        <v/>
      </c>
      <c r="BG17" s="33" t="str">
        <f aca="false">IF(OR(D17="",F17=""),"",IF(F17&lt;=IF(D17="Soldier Pile &amp; Timber Lagging",SG_Criteria!$B$34,SG_Criteria!$B$33),"No ERSS submission",IF(F17&lt;=SG_Criteria!$B$35,"QP(ST)",IF(F17&lt;=SG_Criteria!$B$36,"QP(ST) + AC","Geotechnical building works: QP(Geo) + AC"))))</f>
        <v/>
      </c>
      <c r="BH17" s="33" t="str">
        <f aca="false">IF(D17="","",IF(LEN(IF(AND(AC17&lt;&gt;"",IFERROR(VALUE(MID(AC17,2,2)),0)&lt;SG_Criteria!$B$19),"FAIL: grade below C"&amp;SG_Criteria!$B$19&amp;". ","")&amp;IF(AND(LEFT(D17,3)="Con",N(I17)&lt;F17,H17="Kallang Formation (marine clay)"),"NOTE: CBP is not watertight below GWT in marine clay; consider secant / grouting. ","")&amp;IF(AND(D17="Steel Sheet Pile",E17="Permanent"),"NOTE: permanent sheet pile needs corrosion allowance. ","")&amp;IF(AND(G17="Cantilever (no support)",F17&gt;6),"NOTE: cantilever embedded wall &gt; 6 m, check deflection. ","")&amp;IF(AND(T17&lt;&gt;"",U17&lt;&gt;"",T17&gt;U17),"FAIL: deflection exceeds allowable. ",""))=0,"OK",IF(AND(AC17&lt;&gt;"",IFERROR(VALUE(MID(AC17,2,2)),0)&lt;SG_Criteria!$B$19),"FAIL: grade below C"&amp;SG_Criteria!$B$19&amp;". ","")&amp;IF(AND(LEFT(D17,3)="Con",N(I17)&lt;F17,H17="Kallang Formation (marine clay)"),"NOTE: CBP is not watertight below GWT in marine clay; consider secant / grouting. ","")&amp;IF(AND(D17="Steel Sheet Pile",E17="Permanent"),"NOTE: permanent sheet pile needs corrosion allowance. ","")&amp;IF(AND(G17="Cantilever (no support)",F17&gt;6),"NOTE: cantilever embedded wall &gt; 6 m, check deflection. ","")&amp;IF(AND(T17&lt;&gt;"",U17&lt;&gt;"",T17&gt;U17),"FAIL: deflection exceeds allowable. ","")))</f>
        <v/>
      </c>
      <c r="BI17" s="9"/>
      <c r="BJ17" s="9"/>
      <c r="BK17" s="9"/>
      <c r="BL17" s="10" t="str">
        <f aca="false">IF(BK17="","",IFERROR(VLOOKUP(BK17,Projects!$A$5:$D$504,2,0),"Ref not in Projects"))</f>
        <v/>
      </c>
      <c r="BM17" s="10" t="str">
        <f aca="false">IF(BK17="","",IFERROR(VLOOKUP(BK17,Projects!$A$5:$D$504,4,0),"Ref not in Projects"))</f>
        <v/>
      </c>
      <c r="BN17" s="9"/>
      <c r="BO17" s="9"/>
      <c r="BP17" s="9"/>
      <c r="BQ17" s="40"/>
      <c r="BR17" s="9"/>
      <c r="BS17" s="40"/>
      <c r="BT17" s="9"/>
      <c r="BU17" s="40"/>
      <c r="BV17" s="9"/>
      <c r="BW17" s="9"/>
      <c r="BX17" s="9"/>
      <c r="BY17" s="40"/>
      <c r="BZ17" s="40"/>
      <c r="CA17" s="36" t="str">
        <f aca="false">IF(BZ17="","",EDATE(BZ17,SG_Criteria!$B$54*12))</f>
        <v/>
      </c>
      <c r="CB17" s="33" t="str">
        <f aca="true">IF(A17="","",IF(BZ17="","NOTE: not reviewed yet",IF(TODAY()&gt;CA17,"NOTE: review overdue","OK")))</f>
        <v/>
      </c>
      <c r="CC17" s="37" t="str">
        <f aca="false">IF(A17="","",ROUND((IF(LEN(D17)&gt;0,1,0)+IF(LEN(E17)&gt;0,1,0)+IF(LEN(F17)&gt;0,1,0)+IF(LEN(G17)&gt;0,1,0)+IF(LEN(H17)&gt;0,1,0)+IF(LEN(I17)&gt;0,1,0)+IF(LEN(K17)&gt;0,1,0)+IF(LEN(N17)&gt;0,1,0)+IF(LEN(O17)&gt;0,1,0)+IF(LEN(T17)&gt;0,1,0)+IF(LEN(U17)&gt;0,1,0)+IF(LEN(V17)&gt;0,1,0)+IF(LEN(AK17)&gt;0,1,0)+IF(LEN(AM17)&gt;0,1,0)+IF(LEN(AN17)&gt;0,1,0)+IF(LEN(AO17)&gt;0,1,0)+IF(LEN(AP17)&gt;0,1,0)+IF(LEN(AY17)&gt;0,1,0)+IF(LEN(BK17)&gt;0,1,0)+IF(LEN(BX17)&gt;0,1,0))/20,2))</f>
        <v/>
      </c>
      <c r="CD17" s="10" t="str">
        <f aca="false">IF(D17="","",IF(AND(AN17="Approved",ISERROR(SEARCH("FAIL",BH17))),"Y","N"))</f>
        <v/>
      </c>
      <c r="CE17" s="10" t="str">
        <f aca="false">IF(D17="","",D17&amp;"|"&amp;F17&amp;"|"&amp;G17&amp;"|"&amp;H17&amp;"|"&amp;E17&amp;"|"&amp;CD17)</f>
        <v/>
      </c>
    </row>
    <row r="18" customFormat="false" ht="15" hidden="false" customHeight="false" outlineLevel="0" collapsed="false">
      <c r="A18" s="10" t="str">
        <f aca="false">IF(D18="","","EW-"&amp;IFERROR(VLOOKUP(D18,Lists!$P$4:$Q$22,2,0),"??")&amp;"-D"&amp;TEXT(F18*1000,"0000")&amp;"-"&amp;IFERROR(VLOOKUP(G18,Lists!$S$4:$T$21,2,0),"??")&amp;"-"&amp;IFERROR(VLOOKUP(H18,Lists!$Y$4:$Z$21,2,0),"??")&amp;"-"&amp;IFERROR(VLOOKUP(E18,Lists!$V$4:$W$16,2,0),"??")&amp;"-"&amp;AM18)</f>
        <v/>
      </c>
      <c r="B18" s="10" t="str">
        <f aca="false">IF(D18="","",E18&amp;" "&amp;D18&amp;", excavation "&amp;TEXT(F18,"0.0")&amp;" m, "&amp;G18&amp;", "&amp;H18&amp;", "&amp;K18)</f>
        <v/>
      </c>
      <c r="C18" s="9"/>
      <c r="D18" s="9"/>
      <c r="E18" s="9"/>
      <c r="F18" s="42"/>
      <c r="G18" s="9"/>
      <c r="H18" s="9"/>
      <c r="I18" s="42"/>
      <c r="J18" s="38"/>
      <c r="K18" s="9"/>
      <c r="L18" s="9"/>
      <c r="M18" s="9"/>
      <c r="N18" s="42"/>
      <c r="O18" s="42"/>
      <c r="P18" s="9"/>
      <c r="Q18" s="9"/>
      <c r="R18" s="9"/>
      <c r="S18" s="9"/>
      <c r="T18" s="38"/>
      <c r="U18" s="38"/>
      <c r="V18" s="38"/>
      <c r="W18" s="38"/>
      <c r="X18" s="38"/>
      <c r="Y18" s="9"/>
      <c r="Z18" s="39"/>
      <c r="AA18" s="9"/>
      <c r="AB18" s="9"/>
      <c r="AC18" s="9"/>
      <c r="AD18" s="9"/>
      <c r="AE18" s="9"/>
      <c r="AF18" s="9"/>
      <c r="AG18" s="9"/>
      <c r="AH18" s="38"/>
      <c r="AI18" s="9"/>
      <c r="AJ18" s="39"/>
      <c r="AK18" s="9"/>
      <c r="AL18" s="9"/>
      <c r="AM18" s="9"/>
      <c r="AN18" s="9"/>
      <c r="AO18" s="9"/>
      <c r="AP18" s="9"/>
      <c r="AQ18" s="9"/>
      <c r="AR18" s="10" t="str">
        <f aca="false">IF(A18="","",SG_Criteria!$B$6&amp;SG_Criteria!$B$9&amp;"\"&amp;A18&amp;"\")</f>
        <v/>
      </c>
      <c r="AS18" s="10" t="str">
        <f aca="false">IF(A18="","",A18&amp;"_CAD.dwg")</f>
        <v/>
      </c>
      <c r="AT18" s="10" t="str">
        <f aca="false">IF(A18="","",A18&amp;"_DWG.pdf")</f>
        <v/>
      </c>
      <c r="AU18" s="10" t="str">
        <f aca="false">IF(A18="","",IF(AQ18="Y",A18&amp;"_STAAD.std","n/a"))</f>
        <v/>
      </c>
      <c r="AV18" s="10" t="str">
        <f aca="false">IF(A18="","",A18&amp;"_CALC.xlsx")</f>
        <v/>
      </c>
      <c r="AW18" s="10" t="str">
        <f aca="false">IF(A18="","",A18&amp;"_CALC.pdf")</f>
        <v/>
      </c>
      <c r="AX18" s="9"/>
      <c r="AY18" s="9"/>
      <c r="AZ18" s="39"/>
      <c r="BA18" s="39"/>
      <c r="BB18" s="39"/>
      <c r="BC18" s="39"/>
      <c r="BD18" s="39"/>
      <c r="BE18" s="12" t="str">
        <f aca="false">IF(A18="","",IF(COUNTIF(Rebar_Schedule!$A$5:$A$2004,A18)=0,"",ROUND(SUMIF(Rebar_Schedule!$A$5:$A$2004,A18,Rebar_Schedule!$K$5:$K$2004),1)))</f>
        <v/>
      </c>
      <c r="BF18" s="33" t="str">
        <f aca="false">IF(A18="","",IF(BE18="","No rebar schedule yet",IF(ABS(BE18-N(BA18))/MAX(N(BA18),1)&gt;SG_Criteria!$B$55,"NOTE: register rebar differs from schedule by "&amp;TEXT(ABS(BE18-N(BA18))/MAX(N(BA18),1),"0%"),"OK")))</f>
        <v/>
      </c>
      <c r="BG18" s="33" t="str">
        <f aca="false">IF(OR(D18="",F18=""),"",IF(F18&lt;=IF(D18="Soldier Pile &amp; Timber Lagging",SG_Criteria!$B$34,SG_Criteria!$B$33),"No ERSS submission",IF(F18&lt;=SG_Criteria!$B$35,"QP(ST)",IF(F18&lt;=SG_Criteria!$B$36,"QP(ST) + AC","Geotechnical building works: QP(Geo) + AC"))))</f>
        <v/>
      </c>
      <c r="BH18" s="33" t="str">
        <f aca="false">IF(D18="","",IF(LEN(IF(AND(AC18&lt;&gt;"",IFERROR(VALUE(MID(AC18,2,2)),0)&lt;SG_Criteria!$B$19),"FAIL: grade below C"&amp;SG_Criteria!$B$19&amp;". ","")&amp;IF(AND(LEFT(D18,3)="Con",N(I18)&lt;F18,H18="Kallang Formation (marine clay)"),"NOTE: CBP is not watertight below GWT in marine clay; consider secant / grouting. ","")&amp;IF(AND(D18="Steel Sheet Pile",E18="Permanent"),"NOTE: permanent sheet pile needs corrosion allowance. ","")&amp;IF(AND(G18="Cantilever (no support)",F18&gt;6),"NOTE: cantilever embedded wall &gt; 6 m, check deflection. ","")&amp;IF(AND(T18&lt;&gt;"",U18&lt;&gt;"",T18&gt;U18),"FAIL: deflection exceeds allowable. ",""))=0,"OK",IF(AND(AC18&lt;&gt;"",IFERROR(VALUE(MID(AC18,2,2)),0)&lt;SG_Criteria!$B$19),"FAIL: grade below C"&amp;SG_Criteria!$B$19&amp;". ","")&amp;IF(AND(LEFT(D18,3)="Con",N(I18)&lt;F18,H18="Kallang Formation (marine clay)"),"NOTE: CBP is not watertight below GWT in marine clay; consider secant / grouting. ","")&amp;IF(AND(D18="Steel Sheet Pile",E18="Permanent"),"NOTE: permanent sheet pile needs corrosion allowance. ","")&amp;IF(AND(G18="Cantilever (no support)",F18&gt;6),"NOTE: cantilever embedded wall &gt; 6 m, check deflection. ","")&amp;IF(AND(T18&lt;&gt;"",U18&lt;&gt;"",T18&gt;U18),"FAIL: deflection exceeds allowable. ","")))</f>
        <v/>
      </c>
      <c r="BI18" s="9"/>
      <c r="BJ18" s="9"/>
      <c r="BK18" s="9"/>
      <c r="BL18" s="10" t="str">
        <f aca="false">IF(BK18="","",IFERROR(VLOOKUP(BK18,Projects!$A$5:$D$504,2,0),"Ref not in Projects"))</f>
        <v/>
      </c>
      <c r="BM18" s="10" t="str">
        <f aca="false">IF(BK18="","",IFERROR(VLOOKUP(BK18,Projects!$A$5:$D$504,4,0),"Ref not in Projects"))</f>
        <v/>
      </c>
      <c r="BN18" s="9"/>
      <c r="BO18" s="9"/>
      <c r="BP18" s="9"/>
      <c r="BQ18" s="40"/>
      <c r="BR18" s="9"/>
      <c r="BS18" s="40"/>
      <c r="BT18" s="9"/>
      <c r="BU18" s="40"/>
      <c r="BV18" s="9"/>
      <c r="BW18" s="9"/>
      <c r="BX18" s="9"/>
      <c r="BY18" s="40"/>
      <c r="BZ18" s="40"/>
      <c r="CA18" s="36" t="str">
        <f aca="false">IF(BZ18="","",EDATE(BZ18,SG_Criteria!$B$54*12))</f>
        <v/>
      </c>
      <c r="CB18" s="33" t="str">
        <f aca="true">IF(A18="","",IF(BZ18="","NOTE: not reviewed yet",IF(TODAY()&gt;CA18,"NOTE: review overdue","OK")))</f>
        <v/>
      </c>
      <c r="CC18" s="37" t="str">
        <f aca="false">IF(A18="","",ROUND((IF(LEN(D18)&gt;0,1,0)+IF(LEN(E18)&gt;0,1,0)+IF(LEN(F18)&gt;0,1,0)+IF(LEN(G18)&gt;0,1,0)+IF(LEN(H18)&gt;0,1,0)+IF(LEN(I18)&gt;0,1,0)+IF(LEN(K18)&gt;0,1,0)+IF(LEN(N18)&gt;0,1,0)+IF(LEN(O18)&gt;0,1,0)+IF(LEN(T18)&gt;0,1,0)+IF(LEN(U18)&gt;0,1,0)+IF(LEN(V18)&gt;0,1,0)+IF(LEN(AK18)&gt;0,1,0)+IF(LEN(AM18)&gt;0,1,0)+IF(LEN(AN18)&gt;0,1,0)+IF(LEN(AO18)&gt;0,1,0)+IF(LEN(AP18)&gt;0,1,0)+IF(LEN(AY18)&gt;0,1,0)+IF(LEN(BK18)&gt;0,1,0)+IF(LEN(BX18)&gt;0,1,0))/20,2))</f>
        <v/>
      </c>
      <c r="CD18" s="10" t="str">
        <f aca="false">IF(D18="","",IF(AND(AN18="Approved",ISERROR(SEARCH("FAIL",BH18))),"Y","N"))</f>
        <v/>
      </c>
      <c r="CE18" s="10" t="str">
        <f aca="false">IF(D18="","",D18&amp;"|"&amp;F18&amp;"|"&amp;G18&amp;"|"&amp;H18&amp;"|"&amp;E18&amp;"|"&amp;CD18)</f>
        <v/>
      </c>
    </row>
    <row r="19" customFormat="false" ht="15" hidden="false" customHeight="false" outlineLevel="0" collapsed="false">
      <c r="A19" s="10" t="str">
        <f aca="false">IF(D19="","","EW-"&amp;IFERROR(VLOOKUP(D19,Lists!$P$4:$Q$22,2,0),"??")&amp;"-D"&amp;TEXT(F19*1000,"0000")&amp;"-"&amp;IFERROR(VLOOKUP(G19,Lists!$S$4:$T$21,2,0),"??")&amp;"-"&amp;IFERROR(VLOOKUP(H19,Lists!$Y$4:$Z$21,2,0),"??")&amp;"-"&amp;IFERROR(VLOOKUP(E19,Lists!$V$4:$W$16,2,0),"??")&amp;"-"&amp;AM19)</f>
        <v/>
      </c>
      <c r="B19" s="10" t="str">
        <f aca="false">IF(D19="","",E19&amp;" "&amp;D19&amp;", excavation "&amp;TEXT(F19,"0.0")&amp;" m, "&amp;G19&amp;", "&amp;H19&amp;", "&amp;K19)</f>
        <v/>
      </c>
      <c r="C19" s="9"/>
      <c r="D19" s="9"/>
      <c r="E19" s="9"/>
      <c r="F19" s="42"/>
      <c r="G19" s="9"/>
      <c r="H19" s="9"/>
      <c r="I19" s="42"/>
      <c r="J19" s="38"/>
      <c r="K19" s="9"/>
      <c r="L19" s="9"/>
      <c r="M19" s="9"/>
      <c r="N19" s="42"/>
      <c r="O19" s="42"/>
      <c r="P19" s="9"/>
      <c r="Q19" s="9"/>
      <c r="R19" s="9"/>
      <c r="S19" s="9"/>
      <c r="T19" s="38"/>
      <c r="U19" s="38"/>
      <c r="V19" s="38"/>
      <c r="W19" s="38"/>
      <c r="X19" s="38"/>
      <c r="Y19" s="9"/>
      <c r="Z19" s="39"/>
      <c r="AA19" s="9"/>
      <c r="AB19" s="9"/>
      <c r="AC19" s="9"/>
      <c r="AD19" s="9"/>
      <c r="AE19" s="9"/>
      <c r="AF19" s="9"/>
      <c r="AG19" s="9"/>
      <c r="AH19" s="38"/>
      <c r="AI19" s="9"/>
      <c r="AJ19" s="39"/>
      <c r="AK19" s="9"/>
      <c r="AL19" s="9"/>
      <c r="AM19" s="9"/>
      <c r="AN19" s="9"/>
      <c r="AO19" s="9"/>
      <c r="AP19" s="9"/>
      <c r="AQ19" s="9"/>
      <c r="AR19" s="10" t="str">
        <f aca="false">IF(A19="","",SG_Criteria!$B$6&amp;SG_Criteria!$B$9&amp;"\"&amp;A19&amp;"\")</f>
        <v/>
      </c>
      <c r="AS19" s="10" t="str">
        <f aca="false">IF(A19="","",A19&amp;"_CAD.dwg")</f>
        <v/>
      </c>
      <c r="AT19" s="10" t="str">
        <f aca="false">IF(A19="","",A19&amp;"_DWG.pdf")</f>
        <v/>
      </c>
      <c r="AU19" s="10" t="str">
        <f aca="false">IF(A19="","",IF(AQ19="Y",A19&amp;"_STAAD.std","n/a"))</f>
        <v/>
      </c>
      <c r="AV19" s="10" t="str">
        <f aca="false">IF(A19="","",A19&amp;"_CALC.xlsx")</f>
        <v/>
      </c>
      <c r="AW19" s="10" t="str">
        <f aca="false">IF(A19="","",A19&amp;"_CALC.pdf")</f>
        <v/>
      </c>
      <c r="AX19" s="9"/>
      <c r="AY19" s="9"/>
      <c r="AZ19" s="39"/>
      <c r="BA19" s="39"/>
      <c r="BB19" s="39"/>
      <c r="BC19" s="39"/>
      <c r="BD19" s="39"/>
      <c r="BE19" s="12" t="str">
        <f aca="false">IF(A19="","",IF(COUNTIF(Rebar_Schedule!$A$5:$A$2004,A19)=0,"",ROUND(SUMIF(Rebar_Schedule!$A$5:$A$2004,A19,Rebar_Schedule!$K$5:$K$2004),1)))</f>
        <v/>
      </c>
      <c r="BF19" s="33" t="str">
        <f aca="false">IF(A19="","",IF(BE19="","No rebar schedule yet",IF(ABS(BE19-N(BA19))/MAX(N(BA19),1)&gt;SG_Criteria!$B$55,"NOTE: register rebar differs from schedule by "&amp;TEXT(ABS(BE19-N(BA19))/MAX(N(BA19),1),"0%"),"OK")))</f>
        <v/>
      </c>
      <c r="BG19" s="33" t="str">
        <f aca="false">IF(OR(D19="",F19=""),"",IF(F19&lt;=IF(D19="Soldier Pile &amp; Timber Lagging",SG_Criteria!$B$34,SG_Criteria!$B$33),"No ERSS submission",IF(F19&lt;=SG_Criteria!$B$35,"QP(ST)",IF(F19&lt;=SG_Criteria!$B$36,"QP(ST) + AC","Geotechnical building works: QP(Geo) + AC"))))</f>
        <v/>
      </c>
      <c r="BH19" s="33" t="str">
        <f aca="false">IF(D19="","",IF(LEN(IF(AND(AC19&lt;&gt;"",IFERROR(VALUE(MID(AC19,2,2)),0)&lt;SG_Criteria!$B$19),"FAIL: grade below C"&amp;SG_Criteria!$B$19&amp;". ","")&amp;IF(AND(LEFT(D19,3)="Con",N(I19)&lt;F19,H19="Kallang Formation (marine clay)"),"NOTE: CBP is not watertight below GWT in marine clay; consider secant / grouting. ","")&amp;IF(AND(D19="Steel Sheet Pile",E19="Permanent"),"NOTE: permanent sheet pile needs corrosion allowance. ","")&amp;IF(AND(G19="Cantilever (no support)",F19&gt;6),"NOTE: cantilever embedded wall &gt; 6 m, check deflection. ","")&amp;IF(AND(T19&lt;&gt;"",U19&lt;&gt;"",T19&gt;U19),"FAIL: deflection exceeds allowable. ",""))=0,"OK",IF(AND(AC19&lt;&gt;"",IFERROR(VALUE(MID(AC19,2,2)),0)&lt;SG_Criteria!$B$19),"FAIL: grade below C"&amp;SG_Criteria!$B$19&amp;". ","")&amp;IF(AND(LEFT(D19,3)="Con",N(I19)&lt;F19,H19="Kallang Formation (marine clay)"),"NOTE: CBP is not watertight below GWT in marine clay; consider secant / grouting. ","")&amp;IF(AND(D19="Steel Sheet Pile",E19="Permanent"),"NOTE: permanent sheet pile needs corrosion allowance. ","")&amp;IF(AND(G19="Cantilever (no support)",F19&gt;6),"NOTE: cantilever embedded wall &gt; 6 m, check deflection. ","")&amp;IF(AND(T19&lt;&gt;"",U19&lt;&gt;"",T19&gt;U19),"FAIL: deflection exceeds allowable. ","")))</f>
        <v/>
      </c>
      <c r="BI19" s="9"/>
      <c r="BJ19" s="9"/>
      <c r="BK19" s="9"/>
      <c r="BL19" s="10" t="str">
        <f aca="false">IF(BK19="","",IFERROR(VLOOKUP(BK19,Projects!$A$5:$D$504,2,0),"Ref not in Projects"))</f>
        <v/>
      </c>
      <c r="BM19" s="10" t="str">
        <f aca="false">IF(BK19="","",IFERROR(VLOOKUP(BK19,Projects!$A$5:$D$504,4,0),"Ref not in Projects"))</f>
        <v/>
      </c>
      <c r="BN19" s="9"/>
      <c r="BO19" s="9"/>
      <c r="BP19" s="9"/>
      <c r="BQ19" s="40"/>
      <c r="BR19" s="9"/>
      <c r="BS19" s="40"/>
      <c r="BT19" s="9"/>
      <c r="BU19" s="40"/>
      <c r="BV19" s="9"/>
      <c r="BW19" s="9"/>
      <c r="BX19" s="9"/>
      <c r="BY19" s="40"/>
      <c r="BZ19" s="40"/>
      <c r="CA19" s="36" t="str">
        <f aca="false">IF(BZ19="","",EDATE(BZ19,SG_Criteria!$B$54*12))</f>
        <v/>
      </c>
      <c r="CB19" s="33" t="str">
        <f aca="true">IF(A19="","",IF(BZ19="","NOTE: not reviewed yet",IF(TODAY()&gt;CA19,"NOTE: review overdue","OK")))</f>
        <v/>
      </c>
      <c r="CC19" s="37" t="str">
        <f aca="false">IF(A19="","",ROUND((IF(LEN(D19)&gt;0,1,0)+IF(LEN(E19)&gt;0,1,0)+IF(LEN(F19)&gt;0,1,0)+IF(LEN(G19)&gt;0,1,0)+IF(LEN(H19)&gt;0,1,0)+IF(LEN(I19)&gt;0,1,0)+IF(LEN(K19)&gt;0,1,0)+IF(LEN(N19)&gt;0,1,0)+IF(LEN(O19)&gt;0,1,0)+IF(LEN(T19)&gt;0,1,0)+IF(LEN(U19)&gt;0,1,0)+IF(LEN(V19)&gt;0,1,0)+IF(LEN(AK19)&gt;0,1,0)+IF(LEN(AM19)&gt;0,1,0)+IF(LEN(AN19)&gt;0,1,0)+IF(LEN(AO19)&gt;0,1,0)+IF(LEN(AP19)&gt;0,1,0)+IF(LEN(AY19)&gt;0,1,0)+IF(LEN(BK19)&gt;0,1,0)+IF(LEN(BX19)&gt;0,1,0))/20,2))</f>
        <v/>
      </c>
      <c r="CD19" s="10" t="str">
        <f aca="false">IF(D19="","",IF(AND(AN19="Approved",ISERROR(SEARCH("FAIL",BH19))),"Y","N"))</f>
        <v/>
      </c>
      <c r="CE19" s="10" t="str">
        <f aca="false">IF(D19="","",D19&amp;"|"&amp;F19&amp;"|"&amp;G19&amp;"|"&amp;H19&amp;"|"&amp;E19&amp;"|"&amp;CD19)</f>
        <v/>
      </c>
    </row>
    <row r="20" customFormat="false" ht="15" hidden="false" customHeight="false" outlineLevel="0" collapsed="false">
      <c r="A20" s="10" t="str">
        <f aca="false">IF(D20="","","EW-"&amp;IFERROR(VLOOKUP(D20,Lists!$P$4:$Q$22,2,0),"??")&amp;"-D"&amp;TEXT(F20*1000,"0000")&amp;"-"&amp;IFERROR(VLOOKUP(G20,Lists!$S$4:$T$21,2,0),"??")&amp;"-"&amp;IFERROR(VLOOKUP(H20,Lists!$Y$4:$Z$21,2,0),"??")&amp;"-"&amp;IFERROR(VLOOKUP(E20,Lists!$V$4:$W$16,2,0),"??")&amp;"-"&amp;AM20)</f>
        <v/>
      </c>
      <c r="B20" s="10" t="str">
        <f aca="false">IF(D20="","",E20&amp;" "&amp;D20&amp;", excavation "&amp;TEXT(F20,"0.0")&amp;" m, "&amp;G20&amp;", "&amp;H20&amp;", "&amp;K20)</f>
        <v/>
      </c>
      <c r="C20" s="9"/>
      <c r="D20" s="9"/>
      <c r="E20" s="9"/>
      <c r="F20" s="42"/>
      <c r="G20" s="9"/>
      <c r="H20" s="9"/>
      <c r="I20" s="42"/>
      <c r="J20" s="38"/>
      <c r="K20" s="9"/>
      <c r="L20" s="9"/>
      <c r="M20" s="9"/>
      <c r="N20" s="42"/>
      <c r="O20" s="42"/>
      <c r="P20" s="9"/>
      <c r="Q20" s="9"/>
      <c r="R20" s="9"/>
      <c r="S20" s="9"/>
      <c r="T20" s="38"/>
      <c r="U20" s="38"/>
      <c r="V20" s="38"/>
      <c r="W20" s="38"/>
      <c r="X20" s="38"/>
      <c r="Y20" s="9"/>
      <c r="Z20" s="39"/>
      <c r="AA20" s="9"/>
      <c r="AB20" s="9"/>
      <c r="AC20" s="9"/>
      <c r="AD20" s="9"/>
      <c r="AE20" s="9"/>
      <c r="AF20" s="9"/>
      <c r="AG20" s="9"/>
      <c r="AH20" s="38"/>
      <c r="AI20" s="9"/>
      <c r="AJ20" s="39"/>
      <c r="AK20" s="9"/>
      <c r="AL20" s="9"/>
      <c r="AM20" s="9"/>
      <c r="AN20" s="9"/>
      <c r="AO20" s="9"/>
      <c r="AP20" s="9"/>
      <c r="AQ20" s="9"/>
      <c r="AR20" s="10" t="str">
        <f aca="false">IF(A20="","",SG_Criteria!$B$6&amp;SG_Criteria!$B$9&amp;"\"&amp;A20&amp;"\")</f>
        <v/>
      </c>
      <c r="AS20" s="10" t="str">
        <f aca="false">IF(A20="","",A20&amp;"_CAD.dwg")</f>
        <v/>
      </c>
      <c r="AT20" s="10" t="str">
        <f aca="false">IF(A20="","",A20&amp;"_DWG.pdf")</f>
        <v/>
      </c>
      <c r="AU20" s="10" t="str">
        <f aca="false">IF(A20="","",IF(AQ20="Y",A20&amp;"_STAAD.std","n/a"))</f>
        <v/>
      </c>
      <c r="AV20" s="10" t="str">
        <f aca="false">IF(A20="","",A20&amp;"_CALC.xlsx")</f>
        <v/>
      </c>
      <c r="AW20" s="10" t="str">
        <f aca="false">IF(A20="","",A20&amp;"_CALC.pdf")</f>
        <v/>
      </c>
      <c r="AX20" s="9"/>
      <c r="AY20" s="9"/>
      <c r="AZ20" s="39"/>
      <c r="BA20" s="39"/>
      <c r="BB20" s="39"/>
      <c r="BC20" s="39"/>
      <c r="BD20" s="39"/>
      <c r="BE20" s="12" t="str">
        <f aca="false">IF(A20="","",IF(COUNTIF(Rebar_Schedule!$A$5:$A$2004,A20)=0,"",ROUND(SUMIF(Rebar_Schedule!$A$5:$A$2004,A20,Rebar_Schedule!$K$5:$K$2004),1)))</f>
        <v/>
      </c>
      <c r="BF20" s="33" t="str">
        <f aca="false">IF(A20="","",IF(BE20="","No rebar schedule yet",IF(ABS(BE20-N(BA20))/MAX(N(BA20),1)&gt;SG_Criteria!$B$55,"NOTE: register rebar differs from schedule by "&amp;TEXT(ABS(BE20-N(BA20))/MAX(N(BA20),1),"0%"),"OK")))</f>
        <v/>
      </c>
      <c r="BG20" s="33" t="str">
        <f aca="false">IF(OR(D20="",F20=""),"",IF(F20&lt;=IF(D20="Soldier Pile &amp; Timber Lagging",SG_Criteria!$B$34,SG_Criteria!$B$33),"No ERSS submission",IF(F20&lt;=SG_Criteria!$B$35,"QP(ST)",IF(F20&lt;=SG_Criteria!$B$36,"QP(ST) + AC","Geotechnical building works: QP(Geo) + AC"))))</f>
        <v/>
      </c>
      <c r="BH20" s="33" t="str">
        <f aca="false">IF(D20="","",IF(LEN(IF(AND(AC20&lt;&gt;"",IFERROR(VALUE(MID(AC20,2,2)),0)&lt;SG_Criteria!$B$19),"FAIL: grade below C"&amp;SG_Criteria!$B$19&amp;". ","")&amp;IF(AND(LEFT(D20,3)="Con",N(I20)&lt;F20,H20="Kallang Formation (marine clay)"),"NOTE: CBP is not watertight below GWT in marine clay; consider secant / grouting. ","")&amp;IF(AND(D20="Steel Sheet Pile",E20="Permanent"),"NOTE: permanent sheet pile needs corrosion allowance. ","")&amp;IF(AND(G20="Cantilever (no support)",F20&gt;6),"NOTE: cantilever embedded wall &gt; 6 m, check deflection. ","")&amp;IF(AND(T20&lt;&gt;"",U20&lt;&gt;"",T20&gt;U20),"FAIL: deflection exceeds allowable. ",""))=0,"OK",IF(AND(AC20&lt;&gt;"",IFERROR(VALUE(MID(AC20,2,2)),0)&lt;SG_Criteria!$B$19),"FAIL: grade below C"&amp;SG_Criteria!$B$19&amp;". ","")&amp;IF(AND(LEFT(D20,3)="Con",N(I20)&lt;F20,H20="Kallang Formation (marine clay)"),"NOTE: CBP is not watertight below GWT in marine clay; consider secant / grouting. ","")&amp;IF(AND(D20="Steel Sheet Pile",E20="Permanent"),"NOTE: permanent sheet pile needs corrosion allowance. ","")&amp;IF(AND(G20="Cantilever (no support)",F20&gt;6),"NOTE: cantilever embedded wall &gt; 6 m, check deflection. ","")&amp;IF(AND(T20&lt;&gt;"",U20&lt;&gt;"",T20&gt;U20),"FAIL: deflection exceeds allowable. ","")))</f>
        <v/>
      </c>
      <c r="BI20" s="9"/>
      <c r="BJ20" s="9"/>
      <c r="BK20" s="9"/>
      <c r="BL20" s="10" t="str">
        <f aca="false">IF(BK20="","",IFERROR(VLOOKUP(BK20,Projects!$A$5:$D$504,2,0),"Ref not in Projects"))</f>
        <v/>
      </c>
      <c r="BM20" s="10" t="str">
        <f aca="false">IF(BK20="","",IFERROR(VLOOKUP(BK20,Projects!$A$5:$D$504,4,0),"Ref not in Projects"))</f>
        <v/>
      </c>
      <c r="BN20" s="9"/>
      <c r="BO20" s="9"/>
      <c r="BP20" s="9"/>
      <c r="BQ20" s="40"/>
      <c r="BR20" s="9"/>
      <c r="BS20" s="40"/>
      <c r="BT20" s="9"/>
      <c r="BU20" s="40"/>
      <c r="BV20" s="9"/>
      <c r="BW20" s="9"/>
      <c r="BX20" s="9"/>
      <c r="BY20" s="40"/>
      <c r="BZ20" s="40"/>
      <c r="CA20" s="36" t="str">
        <f aca="false">IF(BZ20="","",EDATE(BZ20,SG_Criteria!$B$54*12))</f>
        <v/>
      </c>
      <c r="CB20" s="33" t="str">
        <f aca="true">IF(A20="","",IF(BZ20="","NOTE: not reviewed yet",IF(TODAY()&gt;CA20,"NOTE: review overdue","OK")))</f>
        <v/>
      </c>
      <c r="CC20" s="37" t="str">
        <f aca="false">IF(A20="","",ROUND((IF(LEN(D20)&gt;0,1,0)+IF(LEN(E20)&gt;0,1,0)+IF(LEN(F20)&gt;0,1,0)+IF(LEN(G20)&gt;0,1,0)+IF(LEN(H20)&gt;0,1,0)+IF(LEN(I20)&gt;0,1,0)+IF(LEN(K20)&gt;0,1,0)+IF(LEN(N20)&gt;0,1,0)+IF(LEN(O20)&gt;0,1,0)+IF(LEN(T20)&gt;0,1,0)+IF(LEN(U20)&gt;0,1,0)+IF(LEN(V20)&gt;0,1,0)+IF(LEN(AK20)&gt;0,1,0)+IF(LEN(AM20)&gt;0,1,0)+IF(LEN(AN20)&gt;0,1,0)+IF(LEN(AO20)&gt;0,1,0)+IF(LEN(AP20)&gt;0,1,0)+IF(LEN(AY20)&gt;0,1,0)+IF(LEN(BK20)&gt;0,1,0)+IF(LEN(BX20)&gt;0,1,0))/20,2))</f>
        <v/>
      </c>
      <c r="CD20" s="10" t="str">
        <f aca="false">IF(D20="","",IF(AND(AN20="Approved",ISERROR(SEARCH("FAIL",BH20))),"Y","N"))</f>
        <v/>
      </c>
      <c r="CE20" s="10" t="str">
        <f aca="false">IF(D20="","",D20&amp;"|"&amp;F20&amp;"|"&amp;G20&amp;"|"&amp;H20&amp;"|"&amp;E20&amp;"|"&amp;CD20)</f>
        <v/>
      </c>
    </row>
    <row r="21" customFormat="false" ht="15" hidden="false" customHeight="false" outlineLevel="0" collapsed="false">
      <c r="A21" s="10" t="str">
        <f aca="false">IF(D21="","","EW-"&amp;IFERROR(VLOOKUP(D21,Lists!$P$4:$Q$22,2,0),"??")&amp;"-D"&amp;TEXT(F21*1000,"0000")&amp;"-"&amp;IFERROR(VLOOKUP(G21,Lists!$S$4:$T$21,2,0),"??")&amp;"-"&amp;IFERROR(VLOOKUP(H21,Lists!$Y$4:$Z$21,2,0),"??")&amp;"-"&amp;IFERROR(VLOOKUP(E21,Lists!$V$4:$W$16,2,0),"??")&amp;"-"&amp;AM21)</f>
        <v/>
      </c>
      <c r="B21" s="10" t="str">
        <f aca="false">IF(D21="","",E21&amp;" "&amp;D21&amp;", excavation "&amp;TEXT(F21,"0.0")&amp;" m, "&amp;G21&amp;", "&amp;H21&amp;", "&amp;K21)</f>
        <v/>
      </c>
      <c r="C21" s="9"/>
      <c r="D21" s="9"/>
      <c r="E21" s="9"/>
      <c r="F21" s="42"/>
      <c r="G21" s="9"/>
      <c r="H21" s="9"/>
      <c r="I21" s="42"/>
      <c r="J21" s="38"/>
      <c r="K21" s="9"/>
      <c r="L21" s="9"/>
      <c r="M21" s="9"/>
      <c r="N21" s="42"/>
      <c r="O21" s="42"/>
      <c r="P21" s="9"/>
      <c r="Q21" s="9"/>
      <c r="R21" s="9"/>
      <c r="S21" s="9"/>
      <c r="T21" s="38"/>
      <c r="U21" s="38"/>
      <c r="V21" s="38"/>
      <c r="W21" s="38"/>
      <c r="X21" s="38"/>
      <c r="Y21" s="9"/>
      <c r="Z21" s="39"/>
      <c r="AA21" s="9"/>
      <c r="AB21" s="9"/>
      <c r="AC21" s="9"/>
      <c r="AD21" s="9"/>
      <c r="AE21" s="9"/>
      <c r="AF21" s="9"/>
      <c r="AG21" s="9"/>
      <c r="AH21" s="38"/>
      <c r="AI21" s="9"/>
      <c r="AJ21" s="39"/>
      <c r="AK21" s="9"/>
      <c r="AL21" s="9"/>
      <c r="AM21" s="9"/>
      <c r="AN21" s="9"/>
      <c r="AO21" s="9"/>
      <c r="AP21" s="9"/>
      <c r="AQ21" s="9"/>
      <c r="AR21" s="10" t="str">
        <f aca="false">IF(A21="","",SG_Criteria!$B$6&amp;SG_Criteria!$B$9&amp;"\"&amp;A21&amp;"\")</f>
        <v/>
      </c>
      <c r="AS21" s="10" t="str">
        <f aca="false">IF(A21="","",A21&amp;"_CAD.dwg")</f>
        <v/>
      </c>
      <c r="AT21" s="10" t="str">
        <f aca="false">IF(A21="","",A21&amp;"_DWG.pdf")</f>
        <v/>
      </c>
      <c r="AU21" s="10" t="str">
        <f aca="false">IF(A21="","",IF(AQ21="Y",A21&amp;"_STAAD.std","n/a"))</f>
        <v/>
      </c>
      <c r="AV21" s="10" t="str">
        <f aca="false">IF(A21="","",A21&amp;"_CALC.xlsx")</f>
        <v/>
      </c>
      <c r="AW21" s="10" t="str">
        <f aca="false">IF(A21="","",A21&amp;"_CALC.pdf")</f>
        <v/>
      </c>
      <c r="AX21" s="9"/>
      <c r="AY21" s="9"/>
      <c r="AZ21" s="39"/>
      <c r="BA21" s="39"/>
      <c r="BB21" s="39"/>
      <c r="BC21" s="39"/>
      <c r="BD21" s="39"/>
      <c r="BE21" s="12" t="str">
        <f aca="false">IF(A21="","",IF(COUNTIF(Rebar_Schedule!$A$5:$A$2004,A21)=0,"",ROUND(SUMIF(Rebar_Schedule!$A$5:$A$2004,A21,Rebar_Schedule!$K$5:$K$2004),1)))</f>
        <v/>
      </c>
      <c r="BF21" s="33" t="str">
        <f aca="false">IF(A21="","",IF(BE21="","No rebar schedule yet",IF(ABS(BE21-N(BA21))/MAX(N(BA21),1)&gt;SG_Criteria!$B$55,"NOTE: register rebar differs from schedule by "&amp;TEXT(ABS(BE21-N(BA21))/MAX(N(BA21),1),"0%"),"OK")))</f>
        <v/>
      </c>
      <c r="BG21" s="33" t="str">
        <f aca="false">IF(OR(D21="",F21=""),"",IF(F21&lt;=IF(D21="Soldier Pile &amp; Timber Lagging",SG_Criteria!$B$34,SG_Criteria!$B$33),"No ERSS submission",IF(F21&lt;=SG_Criteria!$B$35,"QP(ST)",IF(F21&lt;=SG_Criteria!$B$36,"QP(ST) + AC","Geotechnical building works: QP(Geo) + AC"))))</f>
        <v/>
      </c>
      <c r="BH21" s="33" t="str">
        <f aca="false">IF(D21="","",IF(LEN(IF(AND(AC21&lt;&gt;"",IFERROR(VALUE(MID(AC21,2,2)),0)&lt;SG_Criteria!$B$19),"FAIL: grade below C"&amp;SG_Criteria!$B$19&amp;". ","")&amp;IF(AND(LEFT(D21,3)="Con",N(I21)&lt;F21,H21="Kallang Formation (marine clay)"),"NOTE: CBP is not watertight below GWT in marine clay; consider secant / grouting. ","")&amp;IF(AND(D21="Steel Sheet Pile",E21="Permanent"),"NOTE: permanent sheet pile needs corrosion allowance. ","")&amp;IF(AND(G21="Cantilever (no support)",F21&gt;6),"NOTE: cantilever embedded wall &gt; 6 m, check deflection. ","")&amp;IF(AND(T21&lt;&gt;"",U21&lt;&gt;"",T21&gt;U21),"FAIL: deflection exceeds allowable. ",""))=0,"OK",IF(AND(AC21&lt;&gt;"",IFERROR(VALUE(MID(AC21,2,2)),0)&lt;SG_Criteria!$B$19),"FAIL: grade below C"&amp;SG_Criteria!$B$19&amp;". ","")&amp;IF(AND(LEFT(D21,3)="Con",N(I21)&lt;F21,H21="Kallang Formation (marine clay)"),"NOTE: CBP is not watertight below GWT in marine clay; consider secant / grouting. ","")&amp;IF(AND(D21="Steel Sheet Pile",E21="Permanent"),"NOTE: permanent sheet pile needs corrosion allowance. ","")&amp;IF(AND(G21="Cantilever (no support)",F21&gt;6),"NOTE: cantilever embedded wall &gt; 6 m, check deflection. ","")&amp;IF(AND(T21&lt;&gt;"",U21&lt;&gt;"",T21&gt;U21),"FAIL: deflection exceeds allowable. ","")))</f>
        <v/>
      </c>
      <c r="BI21" s="9"/>
      <c r="BJ21" s="9"/>
      <c r="BK21" s="9"/>
      <c r="BL21" s="10" t="str">
        <f aca="false">IF(BK21="","",IFERROR(VLOOKUP(BK21,Projects!$A$5:$D$504,2,0),"Ref not in Projects"))</f>
        <v/>
      </c>
      <c r="BM21" s="10" t="str">
        <f aca="false">IF(BK21="","",IFERROR(VLOOKUP(BK21,Projects!$A$5:$D$504,4,0),"Ref not in Projects"))</f>
        <v/>
      </c>
      <c r="BN21" s="9"/>
      <c r="BO21" s="9"/>
      <c r="BP21" s="9"/>
      <c r="BQ21" s="40"/>
      <c r="BR21" s="9"/>
      <c r="BS21" s="40"/>
      <c r="BT21" s="9"/>
      <c r="BU21" s="40"/>
      <c r="BV21" s="9"/>
      <c r="BW21" s="9"/>
      <c r="BX21" s="9"/>
      <c r="BY21" s="40"/>
      <c r="BZ21" s="40"/>
      <c r="CA21" s="36" t="str">
        <f aca="false">IF(BZ21="","",EDATE(BZ21,SG_Criteria!$B$54*12))</f>
        <v/>
      </c>
      <c r="CB21" s="33" t="str">
        <f aca="true">IF(A21="","",IF(BZ21="","NOTE: not reviewed yet",IF(TODAY()&gt;CA21,"NOTE: review overdue","OK")))</f>
        <v/>
      </c>
      <c r="CC21" s="37" t="str">
        <f aca="false">IF(A21="","",ROUND((IF(LEN(D21)&gt;0,1,0)+IF(LEN(E21)&gt;0,1,0)+IF(LEN(F21)&gt;0,1,0)+IF(LEN(G21)&gt;0,1,0)+IF(LEN(H21)&gt;0,1,0)+IF(LEN(I21)&gt;0,1,0)+IF(LEN(K21)&gt;0,1,0)+IF(LEN(N21)&gt;0,1,0)+IF(LEN(O21)&gt;0,1,0)+IF(LEN(T21)&gt;0,1,0)+IF(LEN(U21)&gt;0,1,0)+IF(LEN(V21)&gt;0,1,0)+IF(LEN(AK21)&gt;0,1,0)+IF(LEN(AM21)&gt;0,1,0)+IF(LEN(AN21)&gt;0,1,0)+IF(LEN(AO21)&gt;0,1,0)+IF(LEN(AP21)&gt;0,1,0)+IF(LEN(AY21)&gt;0,1,0)+IF(LEN(BK21)&gt;0,1,0)+IF(LEN(BX21)&gt;0,1,0))/20,2))</f>
        <v/>
      </c>
      <c r="CD21" s="10" t="str">
        <f aca="false">IF(D21="","",IF(AND(AN21="Approved",ISERROR(SEARCH("FAIL",BH21))),"Y","N"))</f>
        <v/>
      </c>
      <c r="CE21" s="10" t="str">
        <f aca="false">IF(D21="","",D21&amp;"|"&amp;F21&amp;"|"&amp;G21&amp;"|"&amp;H21&amp;"|"&amp;E21&amp;"|"&amp;CD21)</f>
        <v/>
      </c>
    </row>
    <row r="22" customFormat="false" ht="15" hidden="false" customHeight="false" outlineLevel="0" collapsed="false">
      <c r="A22" s="10" t="str">
        <f aca="false">IF(D22="","","EW-"&amp;IFERROR(VLOOKUP(D22,Lists!$P$4:$Q$22,2,0),"??")&amp;"-D"&amp;TEXT(F22*1000,"0000")&amp;"-"&amp;IFERROR(VLOOKUP(G22,Lists!$S$4:$T$21,2,0),"??")&amp;"-"&amp;IFERROR(VLOOKUP(H22,Lists!$Y$4:$Z$21,2,0),"??")&amp;"-"&amp;IFERROR(VLOOKUP(E22,Lists!$V$4:$W$16,2,0),"??")&amp;"-"&amp;AM22)</f>
        <v/>
      </c>
      <c r="B22" s="10" t="str">
        <f aca="false">IF(D22="","",E22&amp;" "&amp;D22&amp;", excavation "&amp;TEXT(F22,"0.0")&amp;" m, "&amp;G22&amp;", "&amp;H22&amp;", "&amp;K22)</f>
        <v/>
      </c>
      <c r="C22" s="9"/>
      <c r="D22" s="9"/>
      <c r="E22" s="9"/>
      <c r="F22" s="42"/>
      <c r="G22" s="9"/>
      <c r="H22" s="9"/>
      <c r="I22" s="42"/>
      <c r="J22" s="38"/>
      <c r="K22" s="9"/>
      <c r="L22" s="9"/>
      <c r="M22" s="9"/>
      <c r="N22" s="42"/>
      <c r="O22" s="42"/>
      <c r="P22" s="9"/>
      <c r="Q22" s="9"/>
      <c r="R22" s="9"/>
      <c r="S22" s="9"/>
      <c r="T22" s="38"/>
      <c r="U22" s="38"/>
      <c r="V22" s="38"/>
      <c r="W22" s="38"/>
      <c r="X22" s="38"/>
      <c r="Y22" s="9"/>
      <c r="Z22" s="39"/>
      <c r="AA22" s="9"/>
      <c r="AB22" s="9"/>
      <c r="AC22" s="9"/>
      <c r="AD22" s="9"/>
      <c r="AE22" s="9"/>
      <c r="AF22" s="9"/>
      <c r="AG22" s="9"/>
      <c r="AH22" s="38"/>
      <c r="AI22" s="9"/>
      <c r="AJ22" s="39"/>
      <c r="AK22" s="9"/>
      <c r="AL22" s="9"/>
      <c r="AM22" s="9"/>
      <c r="AN22" s="9"/>
      <c r="AO22" s="9"/>
      <c r="AP22" s="9"/>
      <c r="AQ22" s="9"/>
      <c r="AR22" s="10" t="str">
        <f aca="false">IF(A22="","",SG_Criteria!$B$6&amp;SG_Criteria!$B$9&amp;"\"&amp;A22&amp;"\")</f>
        <v/>
      </c>
      <c r="AS22" s="10" t="str">
        <f aca="false">IF(A22="","",A22&amp;"_CAD.dwg")</f>
        <v/>
      </c>
      <c r="AT22" s="10" t="str">
        <f aca="false">IF(A22="","",A22&amp;"_DWG.pdf")</f>
        <v/>
      </c>
      <c r="AU22" s="10" t="str">
        <f aca="false">IF(A22="","",IF(AQ22="Y",A22&amp;"_STAAD.std","n/a"))</f>
        <v/>
      </c>
      <c r="AV22" s="10" t="str">
        <f aca="false">IF(A22="","",A22&amp;"_CALC.xlsx")</f>
        <v/>
      </c>
      <c r="AW22" s="10" t="str">
        <f aca="false">IF(A22="","",A22&amp;"_CALC.pdf")</f>
        <v/>
      </c>
      <c r="AX22" s="9"/>
      <c r="AY22" s="9"/>
      <c r="AZ22" s="39"/>
      <c r="BA22" s="39"/>
      <c r="BB22" s="39"/>
      <c r="BC22" s="39"/>
      <c r="BD22" s="39"/>
      <c r="BE22" s="12" t="str">
        <f aca="false">IF(A22="","",IF(COUNTIF(Rebar_Schedule!$A$5:$A$2004,A22)=0,"",ROUND(SUMIF(Rebar_Schedule!$A$5:$A$2004,A22,Rebar_Schedule!$K$5:$K$2004),1)))</f>
        <v/>
      </c>
      <c r="BF22" s="33" t="str">
        <f aca="false">IF(A22="","",IF(BE22="","No rebar schedule yet",IF(ABS(BE22-N(BA22))/MAX(N(BA22),1)&gt;SG_Criteria!$B$55,"NOTE: register rebar differs from schedule by "&amp;TEXT(ABS(BE22-N(BA22))/MAX(N(BA22),1),"0%"),"OK")))</f>
        <v/>
      </c>
      <c r="BG22" s="33" t="str">
        <f aca="false">IF(OR(D22="",F22=""),"",IF(F22&lt;=IF(D22="Soldier Pile &amp; Timber Lagging",SG_Criteria!$B$34,SG_Criteria!$B$33),"No ERSS submission",IF(F22&lt;=SG_Criteria!$B$35,"QP(ST)",IF(F22&lt;=SG_Criteria!$B$36,"QP(ST) + AC","Geotechnical building works: QP(Geo) + AC"))))</f>
        <v/>
      </c>
      <c r="BH22" s="33" t="str">
        <f aca="false">IF(D22="","",IF(LEN(IF(AND(AC22&lt;&gt;"",IFERROR(VALUE(MID(AC22,2,2)),0)&lt;SG_Criteria!$B$19),"FAIL: grade below C"&amp;SG_Criteria!$B$19&amp;". ","")&amp;IF(AND(LEFT(D22,3)="Con",N(I22)&lt;F22,H22="Kallang Formation (marine clay)"),"NOTE: CBP is not watertight below GWT in marine clay; consider secant / grouting. ","")&amp;IF(AND(D22="Steel Sheet Pile",E22="Permanent"),"NOTE: permanent sheet pile needs corrosion allowance. ","")&amp;IF(AND(G22="Cantilever (no support)",F22&gt;6),"NOTE: cantilever embedded wall &gt; 6 m, check deflection. ","")&amp;IF(AND(T22&lt;&gt;"",U22&lt;&gt;"",T22&gt;U22),"FAIL: deflection exceeds allowable. ",""))=0,"OK",IF(AND(AC22&lt;&gt;"",IFERROR(VALUE(MID(AC22,2,2)),0)&lt;SG_Criteria!$B$19),"FAIL: grade below C"&amp;SG_Criteria!$B$19&amp;". ","")&amp;IF(AND(LEFT(D22,3)="Con",N(I22)&lt;F22,H22="Kallang Formation (marine clay)"),"NOTE: CBP is not watertight below GWT in marine clay; consider secant / grouting. ","")&amp;IF(AND(D22="Steel Sheet Pile",E22="Permanent"),"NOTE: permanent sheet pile needs corrosion allowance. ","")&amp;IF(AND(G22="Cantilever (no support)",F22&gt;6),"NOTE: cantilever embedded wall &gt; 6 m, check deflection. ","")&amp;IF(AND(T22&lt;&gt;"",U22&lt;&gt;"",T22&gt;U22),"FAIL: deflection exceeds allowable. ","")))</f>
        <v/>
      </c>
      <c r="BI22" s="9"/>
      <c r="BJ22" s="9"/>
      <c r="BK22" s="9"/>
      <c r="BL22" s="10" t="str">
        <f aca="false">IF(BK22="","",IFERROR(VLOOKUP(BK22,Projects!$A$5:$D$504,2,0),"Ref not in Projects"))</f>
        <v/>
      </c>
      <c r="BM22" s="10" t="str">
        <f aca="false">IF(BK22="","",IFERROR(VLOOKUP(BK22,Projects!$A$5:$D$504,4,0),"Ref not in Projects"))</f>
        <v/>
      </c>
      <c r="BN22" s="9"/>
      <c r="BO22" s="9"/>
      <c r="BP22" s="9"/>
      <c r="BQ22" s="40"/>
      <c r="BR22" s="9"/>
      <c r="BS22" s="40"/>
      <c r="BT22" s="9"/>
      <c r="BU22" s="40"/>
      <c r="BV22" s="9"/>
      <c r="BW22" s="9"/>
      <c r="BX22" s="9"/>
      <c r="BY22" s="40"/>
      <c r="BZ22" s="40"/>
      <c r="CA22" s="36" t="str">
        <f aca="false">IF(BZ22="","",EDATE(BZ22,SG_Criteria!$B$54*12))</f>
        <v/>
      </c>
      <c r="CB22" s="33" t="str">
        <f aca="true">IF(A22="","",IF(BZ22="","NOTE: not reviewed yet",IF(TODAY()&gt;CA22,"NOTE: review overdue","OK")))</f>
        <v/>
      </c>
      <c r="CC22" s="37" t="str">
        <f aca="false">IF(A22="","",ROUND((IF(LEN(D22)&gt;0,1,0)+IF(LEN(E22)&gt;0,1,0)+IF(LEN(F22)&gt;0,1,0)+IF(LEN(G22)&gt;0,1,0)+IF(LEN(H22)&gt;0,1,0)+IF(LEN(I22)&gt;0,1,0)+IF(LEN(K22)&gt;0,1,0)+IF(LEN(N22)&gt;0,1,0)+IF(LEN(O22)&gt;0,1,0)+IF(LEN(T22)&gt;0,1,0)+IF(LEN(U22)&gt;0,1,0)+IF(LEN(V22)&gt;0,1,0)+IF(LEN(AK22)&gt;0,1,0)+IF(LEN(AM22)&gt;0,1,0)+IF(LEN(AN22)&gt;0,1,0)+IF(LEN(AO22)&gt;0,1,0)+IF(LEN(AP22)&gt;0,1,0)+IF(LEN(AY22)&gt;0,1,0)+IF(LEN(BK22)&gt;0,1,0)+IF(LEN(BX22)&gt;0,1,0))/20,2))</f>
        <v/>
      </c>
      <c r="CD22" s="10" t="str">
        <f aca="false">IF(D22="","",IF(AND(AN22="Approved",ISERROR(SEARCH("FAIL",BH22))),"Y","N"))</f>
        <v/>
      </c>
      <c r="CE22" s="10" t="str">
        <f aca="false">IF(D22="","",D22&amp;"|"&amp;F22&amp;"|"&amp;G22&amp;"|"&amp;H22&amp;"|"&amp;E22&amp;"|"&amp;CD22)</f>
        <v/>
      </c>
    </row>
    <row r="23" customFormat="false" ht="15" hidden="false" customHeight="false" outlineLevel="0" collapsed="false">
      <c r="A23" s="10" t="str">
        <f aca="false">IF(D23="","","EW-"&amp;IFERROR(VLOOKUP(D23,Lists!$P$4:$Q$22,2,0),"??")&amp;"-D"&amp;TEXT(F23*1000,"0000")&amp;"-"&amp;IFERROR(VLOOKUP(G23,Lists!$S$4:$T$21,2,0),"??")&amp;"-"&amp;IFERROR(VLOOKUP(H23,Lists!$Y$4:$Z$21,2,0),"??")&amp;"-"&amp;IFERROR(VLOOKUP(E23,Lists!$V$4:$W$16,2,0),"??")&amp;"-"&amp;AM23)</f>
        <v/>
      </c>
      <c r="B23" s="10" t="str">
        <f aca="false">IF(D23="","",E23&amp;" "&amp;D23&amp;", excavation "&amp;TEXT(F23,"0.0")&amp;" m, "&amp;G23&amp;", "&amp;H23&amp;", "&amp;K23)</f>
        <v/>
      </c>
      <c r="C23" s="9"/>
      <c r="D23" s="9"/>
      <c r="E23" s="9"/>
      <c r="F23" s="42"/>
      <c r="G23" s="9"/>
      <c r="H23" s="9"/>
      <c r="I23" s="42"/>
      <c r="J23" s="38"/>
      <c r="K23" s="9"/>
      <c r="L23" s="9"/>
      <c r="M23" s="9"/>
      <c r="N23" s="42"/>
      <c r="O23" s="42"/>
      <c r="P23" s="9"/>
      <c r="Q23" s="9"/>
      <c r="R23" s="9"/>
      <c r="S23" s="9"/>
      <c r="T23" s="38"/>
      <c r="U23" s="38"/>
      <c r="V23" s="38"/>
      <c r="W23" s="38"/>
      <c r="X23" s="38"/>
      <c r="Y23" s="9"/>
      <c r="Z23" s="39"/>
      <c r="AA23" s="9"/>
      <c r="AB23" s="9"/>
      <c r="AC23" s="9"/>
      <c r="AD23" s="9"/>
      <c r="AE23" s="9"/>
      <c r="AF23" s="9"/>
      <c r="AG23" s="9"/>
      <c r="AH23" s="38"/>
      <c r="AI23" s="9"/>
      <c r="AJ23" s="39"/>
      <c r="AK23" s="9"/>
      <c r="AL23" s="9"/>
      <c r="AM23" s="9"/>
      <c r="AN23" s="9"/>
      <c r="AO23" s="9"/>
      <c r="AP23" s="9"/>
      <c r="AQ23" s="9"/>
      <c r="AR23" s="10" t="str">
        <f aca="false">IF(A23="","",SG_Criteria!$B$6&amp;SG_Criteria!$B$9&amp;"\"&amp;A23&amp;"\")</f>
        <v/>
      </c>
      <c r="AS23" s="10" t="str">
        <f aca="false">IF(A23="","",A23&amp;"_CAD.dwg")</f>
        <v/>
      </c>
      <c r="AT23" s="10" t="str">
        <f aca="false">IF(A23="","",A23&amp;"_DWG.pdf")</f>
        <v/>
      </c>
      <c r="AU23" s="10" t="str">
        <f aca="false">IF(A23="","",IF(AQ23="Y",A23&amp;"_STAAD.std","n/a"))</f>
        <v/>
      </c>
      <c r="AV23" s="10" t="str">
        <f aca="false">IF(A23="","",A23&amp;"_CALC.xlsx")</f>
        <v/>
      </c>
      <c r="AW23" s="10" t="str">
        <f aca="false">IF(A23="","",A23&amp;"_CALC.pdf")</f>
        <v/>
      </c>
      <c r="AX23" s="9"/>
      <c r="AY23" s="9"/>
      <c r="AZ23" s="39"/>
      <c r="BA23" s="39"/>
      <c r="BB23" s="39"/>
      <c r="BC23" s="39"/>
      <c r="BD23" s="39"/>
      <c r="BE23" s="12" t="str">
        <f aca="false">IF(A23="","",IF(COUNTIF(Rebar_Schedule!$A$5:$A$2004,A23)=0,"",ROUND(SUMIF(Rebar_Schedule!$A$5:$A$2004,A23,Rebar_Schedule!$K$5:$K$2004),1)))</f>
        <v/>
      </c>
      <c r="BF23" s="33" t="str">
        <f aca="false">IF(A23="","",IF(BE23="","No rebar schedule yet",IF(ABS(BE23-N(BA23))/MAX(N(BA23),1)&gt;SG_Criteria!$B$55,"NOTE: register rebar differs from schedule by "&amp;TEXT(ABS(BE23-N(BA23))/MAX(N(BA23),1),"0%"),"OK")))</f>
        <v/>
      </c>
      <c r="BG23" s="33" t="str">
        <f aca="false">IF(OR(D23="",F23=""),"",IF(F23&lt;=IF(D23="Soldier Pile &amp; Timber Lagging",SG_Criteria!$B$34,SG_Criteria!$B$33),"No ERSS submission",IF(F23&lt;=SG_Criteria!$B$35,"QP(ST)",IF(F23&lt;=SG_Criteria!$B$36,"QP(ST) + AC","Geotechnical building works: QP(Geo) + AC"))))</f>
        <v/>
      </c>
      <c r="BH23" s="33" t="str">
        <f aca="false">IF(D23="","",IF(LEN(IF(AND(AC23&lt;&gt;"",IFERROR(VALUE(MID(AC23,2,2)),0)&lt;SG_Criteria!$B$19),"FAIL: grade below C"&amp;SG_Criteria!$B$19&amp;". ","")&amp;IF(AND(LEFT(D23,3)="Con",N(I23)&lt;F23,H23="Kallang Formation (marine clay)"),"NOTE: CBP is not watertight below GWT in marine clay; consider secant / grouting. ","")&amp;IF(AND(D23="Steel Sheet Pile",E23="Permanent"),"NOTE: permanent sheet pile needs corrosion allowance. ","")&amp;IF(AND(G23="Cantilever (no support)",F23&gt;6),"NOTE: cantilever embedded wall &gt; 6 m, check deflection. ","")&amp;IF(AND(T23&lt;&gt;"",U23&lt;&gt;"",T23&gt;U23),"FAIL: deflection exceeds allowable. ",""))=0,"OK",IF(AND(AC23&lt;&gt;"",IFERROR(VALUE(MID(AC23,2,2)),0)&lt;SG_Criteria!$B$19),"FAIL: grade below C"&amp;SG_Criteria!$B$19&amp;". ","")&amp;IF(AND(LEFT(D23,3)="Con",N(I23)&lt;F23,H23="Kallang Formation (marine clay)"),"NOTE: CBP is not watertight below GWT in marine clay; consider secant / grouting. ","")&amp;IF(AND(D23="Steel Sheet Pile",E23="Permanent"),"NOTE: permanent sheet pile needs corrosion allowance. ","")&amp;IF(AND(G23="Cantilever (no support)",F23&gt;6),"NOTE: cantilever embedded wall &gt; 6 m, check deflection. ","")&amp;IF(AND(T23&lt;&gt;"",U23&lt;&gt;"",T23&gt;U23),"FAIL: deflection exceeds allowable. ","")))</f>
        <v/>
      </c>
      <c r="BI23" s="9"/>
      <c r="BJ23" s="9"/>
      <c r="BK23" s="9"/>
      <c r="BL23" s="10" t="str">
        <f aca="false">IF(BK23="","",IFERROR(VLOOKUP(BK23,Projects!$A$5:$D$504,2,0),"Ref not in Projects"))</f>
        <v/>
      </c>
      <c r="BM23" s="10" t="str">
        <f aca="false">IF(BK23="","",IFERROR(VLOOKUP(BK23,Projects!$A$5:$D$504,4,0),"Ref not in Projects"))</f>
        <v/>
      </c>
      <c r="BN23" s="9"/>
      <c r="BO23" s="9"/>
      <c r="BP23" s="9"/>
      <c r="BQ23" s="40"/>
      <c r="BR23" s="9"/>
      <c r="BS23" s="40"/>
      <c r="BT23" s="9"/>
      <c r="BU23" s="40"/>
      <c r="BV23" s="9"/>
      <c r="BW23" s="9"/>
      <c r="BX23" s="9"/>
      <c r="BY23" s="40"/>
      <c r="BZ23" s="40"/>
      <c r="CA23" s="36" t="str">
        <f aca="false">IF(BZ23="","",EDATE(BZ23,SG_Criteria!$B$54*12))</f>
        <v/>
      </c>
      <c r="CB23" s="33" t="str">
        <f aca="true">IF(A23="","",IF(BZ23="","NOTE: not reviewed yet",IF(TODAY()&gt;CA23,"NOTE: review overdue","OK")))</f>
        <v/>
      </c>
      <c r="CC23" s="37" t="str">
        <f aca="false">IF(A23="","",ROUND((IF(LEN(D23)&gt;0,1,0)+IF(LEN(E23)&gt;0,1,0)+IF(LEN(F23)&gt;0,1,0)+IF(LEN(G23)&gt;0,1,0)+IF(LEN(H23)&gt;0,1,0)+IF(LEN(I23)&gt;0,1,0)+IF(LEN(K23)&gt;0,1,0)+IF(LEN(N23)&gt;0,1,0)+IF(LEN(O23)&gt;0,1,0)+IF(LEN(T23)&gt;0,1,0)+IF(LEN(U23)&gt;0,1,0)+IF(LEN(V23)&gt;0,1,0)+IF(LEN(AK23)&gt;0,1,0)+IF(LEN(AM23)&gt;0,1,0)+IF(LEN(AN23)&gt;0,1,0)+IF(LEN(AO23)&gt;0,1,0)+IF(LEN(AP23)&gt;0,1,0)+IF(LEN(AY23)&gt;0,1,0)+IF(LEN(BK23)&gt;0,1,0)+IF(LEN(BX23)&gt;0,1,0))/20,2))</f>
        <v/>
      </c>
      <c r="CD23" s="10" t="str">
        <f aca="false">IF(D23="","",IF(AND(AN23="Approved",ISERROR(SEARCH("FAIL",BH23))),"Y","N"))</f>
        <v/>
      </c>
      <c r="CE23" s="10" t="str">
        <f aca="false">IF(D23="","",D23&amp;"|"&amp;F23&amp;"|"&amp;G23&amp;"|"&amp;H23&amp;"|"&amp;E23&amp;"|"&amp;CD23)</f>
        <v/>
      </c>
    </row>
    <row r="24" customFormat="false" ht="15" hidden="false" customHeight="false" outlineLevel="0" collapsed="false">
      <c r="A24" s="10" t="str">
        <f aca="false">IF(D24="","","EW-"&amp;IFERROR(VLOOKUP(D24,Lists!$P$4:$Q$22,2,0),"??")&amp;"-D"&amp;TEXT(F24*1000,"0000")&amp;"-"&amp;IFERROR(VLOOKUP(G24,Lists!$S$4:$T$21,2,0),"??")&amp;"-"&amp;IFERROR(VLOOKUP(H24,Lists!$Y$4:$Z$21,2,0),"??")&amp;"-"&amp;IFERROR(VLOOKUP(E24,Lists!$V$4:$W$16,2,0),"??")&amp;"-"&amp;AM24)</f>
        <v/>
      </c>
      <c r="B24" s="10" t="str">
        <f aca="false">IF(D24="","",E24&amp;" "&amp;D24&amp;", excavation "&amp;TEXT(F24,"0.0")&amp;" m, "&amp;G24&amp;", "&amp;H24&amp;", "&amp;K24)</f>
        <v/>
      </c>
      <c r="C24" s="9"/>
      <c r="D24" s="9"/>
      <c r="E24" s="9"/>
      <c r="F24" s="42"/>
      <c r="G24" s="9"/>
      <c r="H24" s="9"/>
      <c r="I24" s="42"/>
      <c r="J24" s="38"/>
      <c r="K24" s="9"/>
      <c r="L24" s="9"/>
      <c r="M24" s="9"/>
      <c r="N24" s="42"/>
      <c r="O24" s="42"/>
      <c r="P24" s="9"/>
      <c r="Q24" s="9"/>
      <c r="R24" s="9"/>
      <c r="S24" s="9"/>
      <c r="T24" s="38"/>
      <c r="U24" s="38"/>
      <c r="V24" s="38"/>
      <c r="W24" s="38"/>
      <c r="X24" s="38"/>
      <c r="Y24" s="9"/>
      <c r="Z24" s="39"/>
      <c r="AA24" s="9"/>
      <c r="AB24" s="9"/>
      <c r="AC24" s="9"/>
      <c r="AD24" s="9"/>
      <c r="AE24" s="9"/>
      <c r="AF24" s="9"/>
      <c r="AG24" s="9"/>
      <c r="AH24" s="38"/>
      <c r="AI24" s="9"/>
      <c r="AJ24" s="39"/>
      <c r="AK24" s="9"/>
      <c r="AL24" s="9"/>
      <c r="AM24" s="9"/>
      <c r="AN24" s="9"/>
      <c r="AO24" s="9"/>
      <c r="AP24" s="9"/>
      <c r="AQ24" s="9"/>
      <c r="AR24" s="10" t="str">
        <f aca="false">IF(A24="","",SG_Criteria!$B$6&amp;SG_Criteria!$B$9&amp;"\"&amp;A24&amp;"\")</f>
        <v/>
      </c>
      <c r="AS24" s="10" t="str">
        <f aca="false">IF(A24="","",A24&amp;"_CAD.dwg")</f>
        <v/>
      </c>
      <c r="AT24" s="10" t="str">
        <f aca="false">IF(A24="","",A24&amp;"_DWG.pdf")</f>
        <v/>
      </c>
      <c r="AU24" s="10" t="str">
        <f aca="false">IF(A24="","",IF(AQ24="Y",A24&amp;"_STAAD.std","n/a"))</f>
        <v/>
      </c>
      <c r="AV24" s="10" t="str">
        <f aca="false">IF(A24="","",A24&amp;"_CALC.xlsx")</f>
        <v/>
      </c>
      <c r="AW24" s="10" t="str">
        <f aca="false">IF(A24="","",A24&amp;"_CALC.pdf")</f>
        <v/>
      </c>
      <c r="AX24" s="9"/>
      <c r="AY24" s="9"/>
      <c r="AZ24" s="39"/>
      <c r="BA24" s="39"/>
      <c r="BB24" s="39"/>
      <c r="BC24" s="39"/>
      <c r="BD24" s="39"/>
      <c r="BE24" s="12" t="str">
        <f aca="false">IF(A24="","",IF(COUNTIF(Rebar_Schedule!$A$5:$A$2004,A24)=0,"",ROUND(SUMIF(Rebar_Schedule!$A$5:$A$2004,A24,Rebar_Schedule!$K$5:$K$2004),1)))</f>
        <v/>
      </c>
      <c r="BF24" s="33" t="str">
        <f aca="false">IF(A24="","",IF(BE24="","No rebar schedule yet",IF(ABS(BE24-N(BA24))/MAX(N(BA24),1)&gt;SG_Criteria!$B$55,"NOTE: register rebar differs from schedule by "&amp;TEXT(ABS(BE24-N(BA24))/MAX(N(BA24),1),"0%"),"OK")))</f>
        <v/>
      </c>
      <c r="BG24" s="33" t="str">
        <f aca="false">IF(OR(D24="",F24=""),"",IF(F24&lt;=IF(D24="Soldier Pile &amp; Timber Lagging",SG_Criteria!$B$34,SG_Criteria!$B$33),"No ERSS submission",IF(F24&lt;=SG_Criteria!$B$35,"QP(ST)",IF(F24&lt;=SG_Criteria!$B$36,"QP(ST) + AC","Geotechnical building works: QP(Geo) + AC"))))</f>
        <v/>
      </c>
      <c r="BH24" s="33" t="str">
        <f aca="false">IF(D24="","",IF(LEN(IF(AND(AC24&lt;&gt;"",IFERROR(VALUE(MID(AC24,2,2)),0)&lt;SG_Criteria!$B$19),"FAIL: grade below C"&amp;SG_Criteria!$B$19&amp;". ","")&amp;IF(AND(LEFT(D24,3)="Con",N(I24)&lt;F24,H24="Kallang Formation (marine clay)"),"NOTE: CBP is not watertight below GWT in marine clay; consider secant / grouting. ","")&amp;IF(AND(D24="Steel Sheet Pile",E24="Permanent"),"NOTE: permanent sheet pile needs corrosion allowance. ","")&amp;IF(AND(G24="Cantilever (no support)",F24&gt;6),"NOTE: cantilever embedded wall &gt; 6 m, check deflection. ","")&amp;IF(AND(T24&lt;&gt;"",U24&lt;&gt;"",T24&gt;U24),"FAIL: deflection exceeds allowable. ",""))=0,"OK",IF(AND(AC24&lt;&gt;"",IFERROR(VALUE(MID(AC24,2,2)),0)&lt;SG_Criteria!$B$19),"FAIL: grade below C"&amp;SG_Criteria!$B$19&amp;". ","")&amp;IF(AND(LEFT(D24,3)="Con",N(I24)&lt;F24,H24="Kallang Formation (marine clay)"),"NOTE: CBP is not watertight below GWT in marine clay; consider secant / grouting. ","")&amp;IF(AND(D24="Steel Sheet Pile",E24="Permanent"),"NOTE: permanent sheet pile needs corrosion allowance. ","")&amp;IF(AND(G24="Cantilever (no support)",F24&gt;6),"NOTE: cantilever embedded wall &gt; 6 m, check deflection. ","")&amp;IF(AND(T24&lt;&gt;"",U24&lt;&gt;"",T24&gt;U24),"FAIL: deflection exceeds allowable. ","")))</f>
        <v/>
      </c>
      <c r="BI24" s="9"/>
      <c r="BJ24" s="9"/>
      <c r="BK24" s="9"/>
      <c r="BL24" s="10" t="str">
        <f aca="false">IF(BK24="","",IFERROR(VLOOKUP(BK24,Projects!$A$5:$D$504,2,0),"Ref not in Projects"))</f>
        <v/>
      </c>
      <c r="BM24" s="10" t="str">
        <f aca="false">IF(BK24="","",IFERROR(VLOOKUP(BK24,Projects!$A$5:$D$504,4,0),"Ref not in Projects"))</f>
        <v/>
      </c>
      <c r="BN24" s="9"/>
      <c r="BO24" s="9"/>
      <c r="BP24" s="9"/>
      <c r="BQ24" s="40"/>
      <c r="BR24" s="9"/>
      <c r="BS24" s="40"/>
      <c r="BT24" s="9"/>
      <c r="BU24" s="40"/>
      <c r="BV24" s="9"/>
      <c r="BW24" s="9"/>
      <c r="BX24" s="9"/>
      <c r="BY24" s="40"/>
      <c r="BZ24" s="40"/>
      <c r="CA24" s="36" t="str">
        <f aca="false">IF(BZ24="","",EDATE(BZ24,SG_Criteria!$B$54*12))</f>
        <v/>
      </c>
      <c r="CB24" s="33" t="str">
        <f aca="true">IF(A24="","",IF(BZ24="","NOTE: not reviewed yet",IF(TODAY()&gt;CA24,"NOTE: review overdue","OK")))</f>
        <v/>
      </c>
      <c r="CC24" s="37" t="str">
        <f aca="false">IF(A24="","",ROUND((IF(LEN(D24)&gt;0,1,0)+IF(LEN(E24)&gt;0,1,0)+IF(LEN(F24)&gt;0,1,0)+IF(LEN(G24)&gt;0,1,0)+IF(LEN(H24)&gt;0,1,0)+IF(LEN(I24)&gt;0,1,0)+IF(LEN(K24)&gt;0,1,0)+IF(LEN(N24)&gt;0,1,0)+IF(LEN(O24)&gt;0,1,0)+IF(LEN(T24)&gt;0,1,0)+IF(LEN(U24)&gt;0,1,0)+IF(LEN(V24)&gt;0,1,0)+IF(LEN(AK24)&gt;0,1,0)+IF(LEN(AM24)&gt;0,1,0)+IF(LEN(AN24)&gt;0,1,0)+IF(LEN(AO24)&gt;0,1,0)+IF(LEN(AP24)&gt;0,1,0)+IF(LEN(AY24)&gt;0,1,0)+IF(LEN(BK24)&gt;0,1,0)+IF(LEN(BX24)&gt;0,1,0))/20,2))</f>
        <v/>
      </c>
      <c r="CD24" s="10" t="str">
        <f aca="false">IF(D24="","",IF(AND(AN24="Approved",ISERROR(SEARCH("FAIL",BH24))),"Y","N"))</f>
        <v/>
      </c>
      <c r="CE24" s="10" t="str">
        <f aca="false">IF(D24="","",D24&amp;"|"&amp;F24&amp;"|"&amp;G24&amp;"|"&amp;H24&amp;"|"&amp;E24&amp;"|"&amp;CD24)</f>
        <v/>
      </c>
    </row>
    <row r="25" customFormat="false" ht="15" hidden="false" customHeight="false" outlineLevel="0" collapsed="false">
      <c r="A25" s="10" t="str">
        <f aca="false">IF(D25="","","EW-"&amp;IFERROR(VLOOKUP(D25,Lists!$P$4:$Q$22,2,0),"??")&amp;"-D"&amp;TEXT(F25*1000,"0000")&amp;"-"&amp;IFERROR(VLOOKUP(G25,Lists!$S$4:$T$21,2,0),"??")&amp;"-"&amp;IFERROR(VLOOKUP(H25,Lists!$Y$4:$Z$21,2,0),"??")&amp;"-"&amp;IFERROR(VLOOKUP(E25,Lists!$V$4:$W$16,2,0),"??")&amp;"-"&amp;AM25)</f>
        <v/>
      </c>
      <c r="B25" s="10" t="str">
        <f aca="false">IF(D25="","",E25&amp;" "&amp;D25&amp;", excavation "&amp;TEXT(F25,"0.0")&amp;" m, "&amp;G25&amp;", "&amp;H25&amp;", "&amp;K25)</f>
        <v/>
      </c>
      <c r="C25" s="9"/>
      <c r="D25" s="9"/>
      <c r="E25" s="9"/>
      <c r="F25" s="42"/>
      <c r="G25" s="9"/>
      <c r="H25" s="9"/>
      <c r="I25" s="42"/>
      <c r="J25" s="38"/>
      <c r="K25" s="9"/>
      <c r="L25" s="9"/>
      <c r="M25" s="9"/>
      <c r="N25" s="42"/>
      <c r="O25" s="42"/>
      <c r="P25" s="9"/>
      <c r="Q25" s="9"/>
      <c r="R25" s="9"/>
      <c r="S25" s="9"/>
      <c r="T25" s="38"/>
      <c r="U25" s="38"/>
      <c r="V25" s="38"/>
      <c r="W25" s="38"/>
      <c r="X25" s="38"/>
      <c r="Y25" s="9"/>
      <c r="Z25" s="39"/>
      <c r="AA25" s="9"/>
      <c r="AB25" s="9"/>
      <c r="AC25" s="9"/>
      <c r="AD25" s="9"/>
      <c r="AE25" s="9"/>
      <c r="AF25" s="9"/>
      <c r="AG25" s="9"/>
      <c r="AH25" s="38"/>
      <c r="AI25" s="9"/>
      <c r="AJ25" s="39"/>
      <c r="AK25" s="9"/>
      <c r="AL25" s="9"/>
      <c r="AM25" s="9"/>
      <c r="AN25" s="9"/>
      <c r="AO25" s="9"/>
      <c r="AP25" s="9"/>
      <c r="AQ25" s="9"/>
      <c r="AR25" s="10" t="str">
        <f aca="false">IF(A25="","",SG_Criteria!$B$6&amp;SG_Criteria!$B$9&amp;"\"&amp;A25&amp;"\")</f>
        <v/>
      </c>
      <c r="AS25" s="10" t="str">
        <f aca="false">IF(A25="","",A25&amp;"_CAD.dwg")</f>
        <v/>
      </c>
      <c r="AT25" s="10" t="str">
        <f aca="false">IF(A25="","",A25&amp;"_DWG.pdf")</f>
        <v/>
      </c>
      <c r="AU25" s="10" t="str">
        <f aca="false">IF(A25="","",IF(AQ25="Y",A25&amp;"_STAAD.std","n/a"))</f>
        <v/>
      </c>
      <c r="AV25" s="10" t="str">
        <f aca="false">IF(A25="","",A25&amp;"_CALC.xlsx")</f>
        <v/>
      </c>
      <c r="AW25" s="10" t="str">
        <f aca="false">IF(A25="","",A25&amp;"_CALC.pdf")</f>
        <v/>
      </c>
      <c r="AX25" s="9"/>
      <c r="AY25" s="9"/>
      <c r="AZ25" s="39"/>
      <c r="BA25" s="39"/>
      <c r="BB25" s="39"/>
      <c r="BC25" s="39"/>
      <c r="BD25" s="39"/>
      <c r="BE25" s="12" t="str">
        <f aca="false">IF(A25="","",IF(COUNTIF(Rebar_Schedule!$A$5:$A$2004,A25)=0,"",ROUND(SUMIF(Rebar_Schedule!$A$5:$A$2004,A25,Rebar_Schedule!$K$5:$K$2004),1)))</f>
        <v/>
      </c>
      <c r="BF25" s="33" t="str">
        <f aca="false">IF(A25="","",IF(BE25="","No rebar schedule yet",IF(ABS(BE25-N(BA25))/MAX(N(BA25),1)&gt;SG_Criteria!$B$55,"NOTE: register rebar differs from schedule by "&amp;TEXT(ABS(BE25-N(BA25))/MAX(N(BA25),1),"0%"),"OK")))</f>
        <v/>
      </c>
      <c r="BG25" s="33" t="str">
        <f aca="false">IF(OR(D25="",F25=""),"",IF(F25&lt;=IF(D25="Soldier Pile &amp; Timber Lagging",SG_Criteria!$B$34,SG_Criteria!$B$33),"No ERSS submission",IF(F25&lt;=SG_Criteria!$B$35,"QP(ST)",IF(F25&lt;=SG_Criteria!$B$36,"QP(ST) + AC","Geotechnical building works: QP(Geo) + AC"))))</f>
        <v/>
      </c>
      <c r="BH25" s="33" t="str">
        <f aca="false">IF(D25="","",IF(LEN(IF(AND(AC25&lt;&gt;"",IFERROR(VALUE(MID(AC25,2,2)),0)&lt;SG_Criteria!$B$19),"FAIL: grade below C"&amp;SG_Criteria!$B$19&amp;". ","")&amp;IF(AND(LEFT(D25,3)="Con",N(I25)&lt;F25,H25="Kallang Formation (marine clay)"),"NOTE: CBP is not watertight below GWT in marine clay; consider secant / grouting. ","")&amp;IF(AND(D25="Steel Sheet Pile",E25="Permanent"),"NOTE: permanent sheet pile needs corrosion allowance. ","")&amp;IF(AND(G25="Cantilever (no support)",F25&gt;6),"NOTE: cantilever embedded wall &gt; 6 m, check deflection. ","")&amp;IF(AND(T25&lt;&gt;"",U25&lt;&gt;"",T25&gt;U25),"FAIL: deflection exceeds allowable. ",""))=0,"OK",IF(AND(AC25&lt;&gt;"",IFERROR(VALUE(MID(AC25,2,2)),0)&lt;SG_Criteria!$B$19),"FAIL: grade below C"&amp;SG_Criteria!$B$19&amp;". ","")&amp;IF(AND(LEFT(D25,3)="Con",N(I25)&lt;F25,H25="Kallang Formation (marine clay)"),"NOTE: CBP is not watertight below GWT in marine clay; consider secant / grouting. ","")&amp;IF(AND(D25="Steel Sheet Pile",E25="Permanent"),"NOTE: permanent sheet pile needs corrosion allowance. ","")&amp;IF(AND(G25="Cantilever (no support)",F25&gt;6),"NOTE: cantilever embedded wall &gt; 6 m, check deflection. ","")&amp;IF(AND(T25&lt;&gt;"",U25&lt;&gt;"",T25&gt;U25),"FAIL: deflection exceeds allowable. ","")))</f>
        <v/>
      </c>
      <c r="BI25" s="9"/>
      <c r="BJ25" s="9"/>
      <c r="BK25" s="9"/>
      <c r="BL25" s="10" t="str">
        <f aca="false">IF(BK25="","",IFERROR(VLOOKUP(BK25,Projects!$A$5:$D$504,2,0),"Ref not in Projects"))</f>
        <v/>
      </c>
      <c r="BM25" s="10" t="str">
        <f aca="false">IF(BK25="","",IFERROR(VLOOKUP(BK25,Projects!$A$5:$D$504,4,0),"Ref not in Projects"))</f>
        <v/>
      </c>
      <c r="BN25" s="9"/>
      <c r="BO25" s="9"/>
      <c r="BP25" s="9"/>
      <c r="BQ25" s="40"/>
      <c r="BR25" s="9"/>
      <c r="BS25" s="40"/>
      <c r="BT25" s="9"/>
      <c r="BU25" s="40"/>
      <c r="BV25" s="9"/>
      <c r="BW25" s="9"/>
      <c r="BX25" s="9"/>
      <c r="BY25" s="40"/>
      <c r="BZ25" s="40"/>
      <c r="CA25" s="36" t="str">
        <f aca="false">IF(BZ25="","",EDATE(BZ25,SG_Criteria!$B$54*12))</f>
        <v/>
      </c>
      <c r="CB25" s="33" t="str">
        <f aca="true">IF(A25="","",IF(BZ25="","NOTE: not reviewed yet",IF(TODAY()&gt;CA25,"NOTE: review overdue","OK")))</f>
        <v/>
      </c>
      <c r="CC25" s="37" t="str">
        <f aca="false">IF(A25="","",ROUND((IF(LEN(D25)&gt;0,1,0)+IF(LEN(E25)&gt;0,1,0)+IF(LEN(F25)&gt;0,1,0)+IF(LEN(G25)&gt;0,1,0)+IF(LEN(H25)&gt;0,1,0)+IF(LEN(I25)&gt;0,1,0)+IF(LEN(K25)&gt;0,1,0)+IF(LEN(N25)&gt;0,1,0)+IF(LEN(O25)&gt;0,1,0)+IF(LEN(T25)&gt;0,1,0)+IF(LEN(U25)&gt;0,1,0)+IF(LEN(V25)&gt;0,1,0)+IF(LEN(AK25)&gt;0,1,0)+IF(LEN(AM25)&gt;0,1,0)+IF(LEN(AN25)&gt;0,1,0)+IF(LEN(AO25)&gt;0,1,0)+IF(LEN(AP25)&gt;0,1,0)+IF(LEN(AY25)&gt;0,1,0)+IF(LEN(BK25)&gt;0,1,0)+IF(LEN(BX25)&gt;0,1,0))/20,2))</f>
        <v/>
      </c>
      <c r="CD25" s="10" t="str">
        <f aca="false">IF(D25="","",IF(AND(AN25="Approved",ISERROR(SEARCH("FAIL",BH25))),"Y","N"))</f>
        <v/>
      </c>
      <c r="CE25" s="10" t="str">
        <f aca="false">IF(D25="","",D25&amp;"|"&amp;F25&amp;"|"&amp;G25&amp;"|"&amp;H25&amp;"|"&amp;E25&amp;"|"&amp;CD25)</f>
        <v/>
      </c>
    </row>
    <row r="26" customFormat="false" ht="15" hidden="false" customHeight="false" outlineLevel="0" collapsed="false">
      <c r="A26" s="10" t="str">
        <f aca="false">IF(D26="","","EW-"&amp;IFERROR(VLOOKUP(D26,Lists!$P$4:$Q$22,2,0),"??")&amp;"-D"&amp;TEXT(F26*1000,"0000")&amp;"-"&amp;IFERROR(VLOOKUP(G26,Lists!$S$4:$T$21,2,0),"??")&amp;"-"&amp;IFERROR(VLOOKUP(H26,Lists!$Y$4:$Z$21,2,0),"??")&amp;"-"&amp;IFERROR(VLOOKUP(E26,Lists!$V$4:$W$16,2,0),"??")&amp;"-"&amp;AM26)</f>
        <v/>
      </c>
      <c r="B26" s="10" t="str">
        <f aca="false">IF(D26="","",E26&amp;" "&amp;D26&amp;", excavation "&amp;TEXT(F26,"0.0")&amp;" m, "&amp;G26&amp;", "&amp;H26&amp;", "&amp;K26)</f>
        <v/>
      </c>
      <c r="C26" s="9"/>
      <c r="D26" s="9"/>
      <c r="E26" s="9"/>
      <c r="F26" s="42"/>
      <c r="G26" s="9"/>
      <c r="H26" s="9"/>
      <c r="I26" s="42"/>
      <c r="J26" s="38"/>
      <c r="K26" s="9"/>
      <c r="L26" s="9"/>
      <c r="M26" s="9"/>
      <c r="N26" s="42"/>
      <c r="O26" s="42"/>
      <c r="P26" s="9"/>
      <c r="Q26" s="9"/>
      <c r="R26" s="9"/>
      <c r="S26" s="9"/>
      <c r="T26" s="38"/>
      <c r="U26" s="38"/>
      <c r="V26" s="38"/>
      <c r="W26" s="38"/>
      <c r="X26" s="38"/>
      <c r="Y26" s="9"/>
      <c r="Z26" s="39"/>
      <c r="AA26" s="9"/>
      <c r="AB26" s="9"/>
      <c r="AC26" s="9"/>
      <c r="AD26" s="9"/>
      <c r="AE26" s="9"/>
      <c r="AF26" s="9"/>
      <c r="AG26" s="9"/>
      <c r="AH26" s="38"/>
      <c r="AI26" s="9"/>
      <c r="AJ26" s="39"/>
      <c r="AK26" s="9"/>
      <c r="AL26" s="9"/>
      <c r="AM26" s="9"/>
      <c r="AN26" s="9"/>
      <c r="AO26" s="9"/>
      <c r="AP26" s="9"/>
      <c r="AQ26" s="9"/>
      <c r="AR26" s="10" t="str">
        <f aca="false">IF(A26="","",SG_Criteria!$B$6&amp;SG_Criteria!$B$9&amp;"\"&amp;A26&amp;"\")</f>
        <v/>
      </c>
      <c r="AS26" s="10" t="str">
        <f aca="false">IF(A26="","",A26&amp;"_CAD.dwg")</f>
        <v/>
      </c>
      <c r="AT26" s="10" t="str">
        <f aca="false">IF(A26="","",A26&amp;"_DWG.pdf")</f>
        <v/>
      </c>
      <c r="AU26" s="10" t="str">
        <f aca="false">IF(A26="","",IF(AQ26="Y",A26&amp;"_STAAD.std","n/a"))</f>
        <v/>
      </c>
      <c r="AV26" s="10" t="str">
        <f aca="false">IF(A26="","",A26&amp;"_CALC.xlsx")</f>
        <v/>
      </c>
      <c r="AW26" s="10" t="str">
        <f aca="false">IF(A26="","",A26&amp;"_CALC.pdf")</f>
        <v/>
      </c>
      <c r="AX26" s="9"/>
      <c r="AY26" s="9"/>
      <c r="AZ26" s="39"/>
      <c r="BA26" s="39"/>
      <c r="BB26" s="39"/>
      <c r="BC26" s="39"/>
      <c r="BD26" s="39"/>
      <c r="BE26" s="12" t="str">
        <f aca="false">IF(A26="","",IF(COUNTIF(Rebar_Schedule!$A$5:$A$2004,A26)=0,"",ROUND(SUMIF(Rebar_Schedule!$A$5:$A$2004,A26,Rebar_Schedule!$K$5:$K$2004),1)))</f>
        <v/>
      </c>
      <c r="BF26" s="33" t="str">
        <f aca="false">IF(A26="","",IF(BE26="","No rebar schedule yet",IF(ABS(BE26-N(BA26))/MAX(N(BA26),1)&gt;SG_Criteria!$B$55,"NOTE: register rebar differs from schedule by "&amp;TEXT(ABS(BE26-N(BA26))/MAX(N(BA26),1),"0%"),"OK")))</f>
        <v/>
      </c>
      <c r="BG26" s="33" t="str">
        <f aca="false">IF(OR(D26="",F26=""),"",IF(F26&lt;=IF(D26="Soldier Pile &amp; Timber Lagging",SG_Criteria!$B$34,SG_Criteria!$B$33),"No ERSS submission",IF(F26&lt;=SG_Criteria!$B$35,"QP(ST)",IF(F26&lt;=SG_Criteria!$B$36,"QP(ST) + AC","Geotechnical building works: QP(Geo) + AC"))))</f>
        <v/>
      </c>
      <c r="BH26" s="33" t="str">
        <f aca="false">IF(D26="","",IF(LEN(IF(AND(AC26&lt;&gt;"",IFERROR(VALUE(MID(AC26,2,2)),0)&lt;SG_Criteria!$B$19),"FAIL: grade below C"&amp;SG_Criteria!$B$19&amp;". ","")&amp;IF(AND(LEFT(D26,3)="Con",N(I26)&lt;F26,H26="Kallang Formation (marine clay)"),"NOTE: CBP is not watertight below GWT in marine clay; consider secant / grouting. ","")&amp;IF(AND(D26="Steel Sheet Pile",E26="Permanent"),"NOTE: permanent sheet pile needs corrosion allowance. ","")&amp;IF(AND(G26="Cantilever (no support)",F26&gt;6),"NOTE: cantilever embedded wall &gt; 6 m, check deflection. ","")&amp;IF(AND(T26&lt;&gt;"",U26&lt;&gt;"",T26&gt;U26),"FAIL: deflection exceeds allowable. ",""))=0,"OK",IF(AND(AC26&lt;&gt;"",IFERROR(VALUE(MID(AC26,2,2)),0)&lt;SG_Criteria!$B$19),"FAIL: grade below C"&amp;SG_Criteria!$B$19&amp;". ","")&amp;IF(AND(LEFT(D26,3)="Con",N(I26)&lt;F26,H26="Kallang Formation (marine clay)"),"NOTE: CBP is not watertight below GWT in marine clay; consider secant / grouting. ","")&amp;IF(AND(D26="Steel Sheet Pile",E26="Permanent"),"NOTE: permanent sheet pile needs corrosion allowance. ","")&amp;IF(AND(G26="Cantilever (no support)",F26&gt;6),"NOTE: cantilever embedded wall &gt; 6 m, check deflection. ","")&amp;IF(AND(T26&lt;&gt;"",U26&lt;&gt;"",T26&gt;U26),"FAIL: deflection exceeds allowable. ","")))</f>
        <v/>
      </c>
      <c r="BI26" s="9"/>
      <c r="BJ26" s="9"/>
      <c r="BK26" s="9"/>
      <c r="BL26" s="10" t="str">
        <f aca="false">IF(BK26="","",IFERROR(VLOOKUP(BK26,Projects!$A$5:$D$504,2,0),"Ref not in Projects"))</f>
        <v/>
      </c>
      <c r="BM26" s="10" t="str">
        <f aca="false">IF(BK26="","",IFERROR(VLOOKUP(BK26,Projects!$A$5:$D$504,4,0),"Ref not in Projects"))</f>
        <v/>
      </c>
      <c r="BN26" s="9"/>
      <c r="BO26" s="9"/>
      <c r="BP26" s="9"/>
      <c r="BQ26" s="40"/>
      <c r="BR26" s="9"/>
      <c r="BS26" s="40"/>
      <c r="BT26" s="9"/>
      <c r="BU26" s="40"/>
      <c r="BV26" s="9"/>
      <c r="BW26" s="9"/>
      <c r="BX26" s="9"/>
      <c r="BY26" s="40"/>
      <c r="BZ26" s="40"/>
      <c r="CA26" s="36" t="str">
        <f aca="false">IF(BZ26="","",EDATE(BZ26,SG_Criteria!$B$54*12))</f>
        <v/>
      </c>
      <c r="CB26" s="33" t="str">
        <f aca="true">IF(A26="","",IF(BZ26="","NOTE: not reviewed yet",IF(TODAY()&gt;CA26,"NOTE: review overdue","OK")))</f>
        <v/>
      </c>
      <c r="CC26" s="37" t="str">
        <f aca="false">IF(A26="","",ROUND((IF(LEN(D26)&gt;0,1,0)+IF(LEN(E26)&gt;0,1,0)+IF(LEN(F26)&gt;0,1,0)+IF(LEN(G26)&gt;0,1,0)+IF(LEN(H26)&gt;0,1,0)+IF(LEN(I26)&gt;0,1,0)+IF(LEN(K26)&gt;0,1,0)+IF(LEN(N26)&gt;0,1,0)+IF(LEN(O26)&gt;0,1,0)+IF(LEN(T26)&gt;0,1,0)+IF(LEN(U26)&gt;0,1,0)+IF(LEN(V26)&gt;0,1,0)+IF(LEN(AK26)&gt;0,1,0)+IF(LEN(AM26)&gt;0,1,0)+IF(LEN(AN26)&gt;0,1,0)+IF(LEN(AO26)&gt;0,1,0)+IF(LEN(AP26)&gt;0,1,0)+IF(LEN(AY26)&gt;0,1,0)+IF(LEN(BK26)&gt;0,1,0)+IF(LEN(BX26)&gt;0,1,0))/20,2))</f>
        <v/>
      </c>
      <c r="CD26" s="10" t="str">
        <f aca="false">IF(D26="","",IF(AND(AN26="Approved",ISERROR(SEARCH("FAIL",BH26))),"Y","N"))</f>
        <v/>
      </c>
      <c r="CE26" s="10" t="str">
        <f aca="false">IF(D26="","",D26&amp;"|"&amp;F26&amp;"|"&amp;G26&amp;"|"&amp;H26&amp;"|"&amp;E26&amp;"|"&amp;CD26)</f>
        <v/>
      </c>
    </row>
    <row r="27" customFormat="false" ht="15" hidden="false" customHeight="false" outlineLevel="0" collapsed="false">
      <c r="A27" s="10" t="str">
        <f aca="false">IF(D27="","","EW-"&amp;IFERROR(VLOOKUP(D27,Lists!$P$4:$Q$22,2,0),"??")&amp;"-D"&amp;TEXT(F27*1000,"0000")&amp;"-"&amp;IFERROR(VLOOKUP(G27,Lists!$S$4:$T$21,2,0),"??")&amp;"-"&amp;IFERROR(VLOOKUP(H27,Lists!$Y$4:$Z$21,2,0),"??")&amp;"-"&amp;IFERROR(VLOOKUP(E27,Lists!$V$4:$W$16,2,0),"??")&amp;"-"&amp;AM27)</f>
        <v/>
      </c>
      <c r="B27" s="10" t="str">
        <f aca="false">IF(D27="","",E27&amp;" "&amp;D27&amp;", excavation "&amp;TEXT(F27,"0.0")&amp;" m, "&amp;G27&amp;", "&amp;H27&amp;", "&amp;K27)</f>
        <v/>
      </c>
      <c r="C27" s="9"/>
      <c r="D27" s="9"/>
      <c r="E27" s="9"/>
      <c r="F27" s="42"/>
      <c r="G27" s="9"/>
      <c r="H27" s="9"/>
      <c r="I27" s="42"/>
      <c r="J27" s="38"/>
      <c r="K27" s="9"/>
      <c r="L27" s="9"/>
      <c r="M27" s="9"/>
      <c r="N27" s="42"/>
      <c r="O27" s="42"/>
      <c r="P27" s="9"/>
      <c r="Q27" s="9"/>
      <c r="R27" s="9"/>
      <c r="S27" s="9"/>
      <c r="T27" s="38"/>
      <c r="U27" s="38"/>
      <c r="V27" s="38"/>
      <c r="W27" s="38"/>
      <c r="X27" s="38"/>
      <c r="Y27" s="9"/>
      <c r="Z27" s="39"/>
      <c r="AA27" s="9"/>
      <c r="AB27" s="9"/>
      <c r="AC27" s="9"/>
      <c r="AD27" s="9"/>
      <c r="AE27" s="9"/>
      <c r="AF27" s="9"/>
      <c r="AG27" s="9"/>
      <c r="AH27" s="38"/>
      <c r="AI27" s="9"/>
      <c r="AJ27" s="39"/>
      <c r="AK27" s="9"/>
      <c r="AL27" s="9"/>
      <c r="AM27" s="9"/>
      <c r="AN27" s="9"/>
      <c r="AO27" s="9"/>
      <c r="AP27" s="9"/>
      <c r="AQ27" s="9"/>
      <c r="AR27" s="10" t="str">
        <f aca="false">IF(A27="","",SG_Criteria!$B$6&amp;SG_Criteria!$B$9&amp;"\"&amp;A27&amp;"\")</f>
        <v/>
      </c>
      <c r="AS27" s="10" t="str">
        <f aca="false">IF(A27="","",A27&amp;"_CAD.dwg")</f>
        <v/>
      </c>
      <c r="AT27" s="10" t="str">
        <f aca="false">IF(A27="","",A27&amp;"_DWG.pdf")</f>
        <v/>
      </c>
      <c r="AU27" s="10" t="str">
        <f aca="false">IF(A27="","",IF(AQ27="Y",A27&amp;"_STAAD.std","n/a"))</f>
        <v/>
      </c>
      <c r="AV27" s="10" t="str">
        <f aca="false">IF(A27="","",A27&amp;"_CALC.xlsx")</f>
        <v/>
      </c>
      <c r="AW27" s="10" t="str">
        <f aca="false">IF(A27="","",A27&amp;"_CALC.pdf")</f>
        <v/>
      </c>
      <c r="AX27" s="9"/>
      <c r="AY27" s="9"/>
      <c r="AZ27" s="39"/>
      <c r="BA27" s="39"/>
      <c r="BB27" s="39"/>
      <c r="BC27" s="39"/>
      <c r="BD27" s="39"/>
      <c r="BE27" s="12" t="str">
        <f aca="false">IF(A27="","",IF(COUNTIF(Rebar_Schedule!$A$5:$A$2004,A27)=0,"",ROUND(SUMIF(Rebar_Schedule!$A$5:$A$2004,A27,Rebar_Schedule!$K$5:$K$2004),1)))</f>
        <v/>
      </c>
      <c r="BF27" s="33" t="str">
        <f aca="false">IF(A27="","",IF(BE27="","No rebar schedule yet",IF(ABS(BE27-N(BA27))/MAX(N(BA27),1)&gt;SG_Criteria!$B$55,"NOTE: register rebar differs from schedule by "&amp;TEXT(ABS(BE27-N(BA27))/MAX(N(BA27),1),"0%"),"OK")))</f>
        <v/>
      </c>
      <c r="BG27" s="33" t="str">
        <f aca="false">IF(OR(D27="",F27=""),"",IF(F27&lt;=IF(D27="Soldier Pile &amp; Timber Lagging",SG_Criteria!$B$34,SG_Criteria!$B$33),"No ERSS submission",IF(F27&lt;=SG_Criteria!$B$35,"QP(ST)",IF(F27&lt;=SG_Criteria!$B$36,"QP(ST) + AC","Geotechnical building works: QP(Geo) + AC"))))</f>
        <v/>
      </c>
      <c r="BH27" s="33" t="str">
        <f aca="false">IF(D27="","",IF(LEN(IF(AND(AC27&lt;&gt;"",IFERROR(VALUE(MID(AC27,2,2)),0)&lt;SG_Criteria!$B$19),"FAIL: grade below C"&amp;SG_Criteria!$B$19&amp;". ","")&amp;IF(AND(LEFT(D27,3)="Con",N(I27)&lt;F27,H27="Kallang Formation (marine clay)"),"NOTE: CBP is not watertight below GWT in marine clay; consider secant / grouting. ","")&amp;IF(AND(D27="Steel Sheet Pile",E27="Permanent"),"NOTE: permanent sheet pile needs corrosion allowance. ","")&amp;IF(AND(G27="Cantilever (no support)",F27&gt;6),"NOTE: cantilever embedded wall &gt; 6 m, check deflection. ","")&amp;IF(AND(T27&lt;&gt;"",U27&lt;&gt;"",T27&gt;U27),"FAIL: deflection exceeds allowable. ",""))=0,"OK",IF(AND(AC27&lt;&gt;"",IFERROR(VALUE(MID(AC27,2,2)),0)&lt;SG_Criteria!$B$19),"FAIL: grade below C"&amp;SG_Criteria!$B$19&amp;". ","")&amp;IF(AND(LEFT(D27,3)="Con",N(I27)&lt;F27,H27="Kallang Formation (marine clay)"),"NOTE: CBP is not watertight below GWT in marine clay; consider secant / grouting. ","")&amp;IF(AND(D27="Steel Sheet Pile",E27="Permanent"),"NOTE: permanent sheet pile needs corrosion allowance. ","")&amp;IF(AND(G27="Cantilever (no support)",F27&gt;6),"NOTE: cantilever embedded wall &gt; 6 m, check deflection. ","")&amp;IF(AND(T27&lt;&gt;"",U27&lt;&gt;"",T27&gt;U27),"FAIL: deflection exceeds allowable. ","")))</f>
        <v/>
      </c>
      <c r="BI27" s="9"/>
      <c r="BJ27" s="9"/>
      <c r="BK27" s="9"/>
      <c r="BL27" s="10" t="str">
        <f aca="false">IF(BK27="","",IFERROR(VLOOKUP(BK27,Projects!$A$5:$D$504,2,0),"Ref not in Projects"))</f>
        <v/>
      </c>
      <c r="BM27" s="10" t="str">
        <f aca="false">IF(BK27="","",IFERROR(VLOOKUP(BK27,Projects!$A$5:$D$504,4,0),"Ref not in Projects"))</f>
        <v/>
      </c>
      <c r="BN27" s="9"/>
      <c r="BO27" s="9"/>
      <c r="BP27" s="9"/>
      <c r="BQ27" s="40"/>
      <c r="BR27" s="9"/>
      <c r="BS27" s="40"/>
      <c r="BT27" s="9"/>
      <c r="BU27" s="40"/>
      <c r="BV27" s="9"/>
      <c r="BW27" s="9"/>
      <c r="BX27" s="9"/>
      <c r="BY27" s="40"/>
      <c r="BZ27" s="40"/>
      <c r="CA27" s="36" t="str">
        <f aca="false">IF(BZ27="","",EDATE(BZ27,SG_Criteria!$B$54*12))</f>
        <v/>
      </c>
      <c r="CB27" s="33" t="str">
        <f aca="true">IF(A27="","",IF(BZ27="","NOTE: not reviewed yet",IF(TODAY()&gt;CA27,"NOTE: review overdue","OK")))</f>
        <v/>
      </c>
      <c r="CC27" s="37" t="str">
        <f aca="false">IF(A27="","",ROUND((IF(LEN(D27)&gt;0,1,0)+IF(LEN(E27)&gt;0,1,0)+IF(LEN(F27)&gt;0,1,0)+IF(LEN(G27)&gt;0,1,0)+IF(LEN(H27)&gt;0,1,0)+IF(LEN(I27)&gt;0,1,0)+IF(LEN(K27)&gt;0,1,0)+IF(LEN(N27)&gt;0,1,0)+IF(LEN(O27)&gt;0,1,0)+IF(LEN(T27)&gt;0,1,0)+IF(LEN(U27)&gt;0,1,0)+IF(LEN(V27)&gt;0,1,0)+IF(LEN(AK27)&gt;0,1,0)+IF(LEN(AM27)&gt;0,1,0)+IF(LEN(AN27)&gt;0,1,0)+IF(LEN(AO27)&gt;0,1,0)+IF(LEN(AP27)&gt;0,1,0)+IF(LEN(AY27)&gt;0,1,0)+IF(LEN(BK27)&gt;0,1,0)+IF(LEN(BX27)&gt;0,1,0))/20,2))</f>
        <v/>
      </c>
      <c r="CD27" s="10" t="str">
        <f aca="false">IF(D27="","",IF(AND(AN27="Approved",ISERROR(SEARCH("FAIL",BH27))),"Y","N"))</f>
        <v/>
      </c>
      <c r="CE27" s="10" t="str">
        <f aca="false">IF(D27="","",D27&amp;"|"&amp;F27&amp;"|"&amp;G27&amp;"|"&amp;H27&amp;"|"&amp;E27&amp;"|"&amp;CD27)</f>
        <v/>
      </c>
    </row>
    <row r="28" customFormat="false" ht="15" hidden="false" customHeight="false" outlineLevel="0" collapsed="false">
      <c r="A28" s="10" t="str">
        <f aca="false">IF(D28="","","EW-"&amp;IFERROR(VLOOKUP(D28,Lists!$P$4:$Q$22,2,0),"??")&amp;"-D"&amp;TEXT(F28*1000,"0000")&amp;"-"&amp;IFERROR(VLOOKUP(G28,Lists!$S$4:$T$21,2,0),"??")&amp;"-"&amp;IFERROR(VLOOKUP(H28,Lists!$Y$4:$Z$21,2,0),"??")&amp;"-"&amp;IFERROR(VLOOKUP(E28,Lists!$V$4:$W$16,2,0),"??")&amp;"-"&amp;AM28)</f>
        <v/>
      </c>
      <c r="B28" s="10" t="str">
        <f aca="false">IF(D28="","",E28&amp;" "&amp;D28&amp;", excavation "&amp;TEXT(F28,"0.0")&amp;" m, "&amp;G28&amp;", "&amp;H28&amp;", "&amp;K28)</f>
        <v/>
      </c>
      <c r="C28" s="9"/>
      <c r="D28" s="9"/>
      <c r="E28" s="9"/>
      <c r="F28" s="42"/>
      <c r="G28" s="9"/>
      <c r="H28" s="9"/>
      <c r="I28" s="42"/>
      <c r="J28" s="38"/>
      <c r="K28" s="9"/>
      <c r="L28" s="9"/>
      <c r="M28" s="9"/>
      <c r="N28" s="42"/>
      <c r="O28" s="42"/>
      <c r="P28" s="9"/>
      <c r="Q28" s="9"/>
      <c r="R28" s="9"/>
      <c r="S28" s="9"/>
      <c r="T28" s="38"/>
      <c r="U28" s="38"/>
      <c r="V28" s="38"/>
      <c r="W28" s="38"/>
      <c r="X28" s="38"/>
      <c r="Y28" s="9"/>
      <c r="Z28" s="39"/>
      <c r="AA28" s="9"/>
      <c r="AB28" s="9"/>
      <c r="AC28" s="9"/>
      <c r="AD28" s="9"/>
      <c r="AE28" s="9"/>
      <c r="AF28" s="9"/>
      <c r="AG28" s="9"/>
      <c r="AH28" s="38"/>
      <c r="AI28" s="9"/>
      <c r="AJ28" s="39"/>
      <c r="AK28" s="9"/>
      <c r="AL28" s="9"/>
      <c r="AM28" s="9"/>
      <c r="AN28" s="9"/>
      <c r="AO28" s="9"/>
      <c r="AP28" s="9"/>
      <c r="AQ28" s="9"/>
      <c r="AR28" s="10" t="str">
        <f aca="false">IF(A28="","",SG_Criteria!$B$6&amp;SG_Criteria!$B$9&amp;"\"&amp;A28&amp;"\")</f>
        <v/>
      </c>
      <c r="AS28" s="10" t="str">
        <f aca="false">IF(A28="","",A28&amp;"_CAD.dwg")</f>
        <v/>
      </c>
      <c r="AT28" s="10" t="str">
        <f aca="false">IF(A28="","",A28&amp;"_DWG.pdf")</f>
        <v/>
      </c>
      <c r="AU28" s="10" t="str">
        <f aca="false">IF(A28="","",IF(AQ28="Y",A28&amp;"_STAAD.std","n/a"))</f>
        <v/>
      </c>
      <c r="AV28" s="10" t="str">
        <f aca="false">IF(A28="","",A28&amp;"_CALC.xlsx")</f>
        <v/>
      </c>
      <c r="AW28" s="10" t="str">
        <f aca="false">IF(A28="","",A28&amp;"_CALC.pdf")</f>
        <v/>
      </c>
      <c r="AX28" s="9"/>
      <c r="AY28" s="9"/>
      <c r="AZ28" s="39"/>
      <c r="BA28" s="39"/>
      <c r="BB28" s="39"/>
      <c r="BC28" s="39"/>
      <c r="BD28" s="39"/>
      <c r="BE28" s="12" t="str">
        <f aca="false">IF(A28="","",IF(COUNTIF(Rebar_Schedule!$A$5:$A$2004,A28)=0,"",ROUND(SUMIF(Rebar_Schedule!$A$5:$A$2004,A28,Rebar_Schedule!$K$5:$K$2004),1)))</f>
        <v/>
      </c>
      <c r="BF28" s="33" t="str">
        <f aca="false">IF(A28="","",IF(BE28="","No rebar schedule yet",IF(ABS(BE28-N(BA28))/MAX(N(BA28),1)&gt;SG_Criteria!$B$55,"NOTE: register rebar differs from schedule by "&amp;TEXT(ABS(BE28-N(BA28))/MAX(N(BA28),1),"0%"),"OK")))</f>
        <v/>
      </c>
      <c r="BG28" s="33" t="str">
        <f aca="false">IF(OR(D28="",F28=""),"",IF(F28&lt;=IF(D28="Soldier Pile &amp; Timber Lagging",SG_Criteria!$B$34,SG_Criteria!$B$33),"No ERSS submission",IF(F28&lt;=SG_Criteria!$B$35,"QP(ST)",IF(F28&lt;=SG_Criteria!$B$36,"QP(ST) + AC","Geotechnical building works: QP(Geo) + AC"))))</f>
        <v/>
      </c>
      <c r="BH28" s="33" t="str">
        <f aca="false">IF(D28="","",IF(LEN(IF(AND(AC28&lt;&gt;"",IFERROR(VALUE(MID(AC28,2,2)),0)&lt;SG_Criteria!$B$19),"FAIL: grade below C"&amp;SG_Criteria!$B$19&amp;". ","")&amp;IF(AND(LEFT(D28,3)="Con",N(I28)&lt;F28,H28="Kallang Formation (marine clay)"),"NOTE: CBP is not watertight below GWT in marine clay; consider secant / grouting. ","")&amp;IF(AND(D28="Steel Sheet Pile",E28="Permanent"),"NOTE: permanent sheet pile needs corrosion allowance. ","")&amp;IF(AND(G28="Cantilever (no support)",F28&gt;6),"NOTE: cantilever embedded wall &gt; 6 m, check deflection. ","")&amp;IF(AND(T28&lt;&gt;"",U28&lt;&gt;"",T28&gt;U28),"FAIL: deflection exceeds allowable. ",""))=0,"OK",IF(AND(AC28&lt;&gt;"",IFERROR(VALUE(MID(AC28,2,2)),0)&lt;SG_Criteria!$B$19),"FAIL: grade below C"&amp;SG_Criteria!$B$19&amp;". ","")&amp;IF(AND(LEFT(D28,3)="Con",N(I28)&lt;F28,H28="Kallang Formation (marine clay)"),"NOTE: CBP is not watertight below GWT in marine clay; consider secant / grouting. ","")&amp;IF(AND(D28="Steel Sheet Pile",E28="Permanent"),"NOTE: permanent sheet pile needs corrosion allowance. ","")&amp;IF(AND(G28="Cantilever (no support)",F28&gt;6),"NOTE: cantilever embedded wall &gt; 6 m, check deflection. ","")&amp;IF(AND(T28&lt;&gt;"",U28&lt;&gt;"",T28&gt;U28),"FAIL: deflection exceeds allowable. ","")))</f>
        <v/>
      </c>
      <c r="BI28" s="9"/>
      <c r="BJ28" s="9"/>
      <c r="BK28" s="9"/>
      <c r="BL28" s="10" t="str">
        <f aca="false">IF(BK28="","",IFERROR(VLOOKUP(BK28,Projects!$A$5:$D$504,2,0),"Ref not in Projects"))</f>
        <v/>
      </c>
      <c r="BM28" s="10" t="str">
        <f aca="false">IF(BK28="","",IFERROR(VLOOKUP(BK28,Projects!$A$5:$D$504,4,0),"Ref not in Projects"))</f>
        <v/>
      </c>
      <c r="BN28" s="9"/>
      <c r="BO28" s="9"/>
      <c r="BP28" s="9"/>
      <c r="BQ28" s="40"/>
      <c r="BR28" s="9"/>
      <c r="BS28" s="40"/>
      <c r="BT28" s="9"/>
      <c r="BU28" s="40"/>
      <c r="BV28" s="9"/>
      <c r="BW28" s="9"/>
      <c r="BX28" s="9"/>
      <c r="BY28" s="40"/>
      <c r="BZ28" s="40"/>
      <c r="CA28" s="36" t="str">
        <f aca="false">IF(BZ28="","",EDATE(BZ28,SG_Criteria!$B$54*12))</f>
        <v/>
      </c>
      <c r="CB28" s="33" t="str">
        <f aca="true">IF(A28="","",IF(BZ28="","NOTE: not reviewed yet",IF(TODAY()&gt;CA28,"NOTE: review overdue","OK")))</f>
        <v/>
      </c>
      <c r="CC28" s="37" t="str">
        <f aca="false">IF(A28="","",ROUND((IF(LEN(D28)&gt;0,1,0)+IF(LEN(E28)&gt;0,1,0)+IF(LEN(F28)&gt;0,1,0)+IF(LEN(G28)&gt;0,1,0)+IF(LEN(H28)&gt;0,1,0)+IF(LEN(I28)&gt;0,1,0)+IF(LEN(K28)&gt;0,1,0)+IF(LEN(N28)&gt;0,1,0)+IF(LEN(O28)&gt;0,1,0)+IF(LEN(T28)&gt;0,1,0)+IF(LEN(U28)&gt;0,1,0)+IF(LEN(V28)&gt;0,1,0)+IF(LEN(AK28)&gt;0,1,0)+IF(LEN(AM28)&gt;0,1,0)+IF(LEN(AN28)&gt;0,1,0)+IF(LEN(AO28)&gt;0,1,0)+IF(LEN(AP28)&gt;0,1,0)+IF(LEN(AY28)&gt;0,1,0)+IF(LEN(BK28)&gt;0,1,0)+IF(LEN(BX28)&gt;0,1,0))/20,2))</f>
        <v/>
      </c>
      <c r="CD28" s="10" t="str">
        <f aca="false">IF(D28="","",IF(AND(AN28="Approved",ISERROR(SEARCH("FAIL",BH28))),"Y","N"))</f>
        <v/>
      </c>
      <c r="CE28" s="10" t="str">
        <f aca="false">IF(D28="","",D28&amp;"|"&amp;F28&amp;"|"&amp;G28&amp;"|"&amp;H28&amp;"|"&amp;E28&amp;"|"&amp;CD28)</f>
        <v/>
      </c>
    </row>
    <row r="29" customFormat="false" ht="15" hidden="false" customHeight="false" outlineLevel="0" collapsed="false">
      <c r="A29" s="10" t="str">
        <f aca="false">IF(D29="","","EW-"&amp;IFERROR(VLOOKUP(D29,Lists!$P$4:$Q$22,2,0),"??")&amp;"-D"&amp;TEXT(F29*1000,"0000")&amp;"-"&amp;IFERROR(VLOOKUP(G29,Lists!$S$4:$T$21,2,0),"??")&amp;"-"&amp;IFERROR(VLOOKUP(H29,Lists!$Y$4:$Z$21,2,0),"??")&amp;"-"&amp;IFERROR(VLOOKUP(E29,Lists!$V$4:$W$16,2,0),"??")&amp;"-"&amp;AM29)</f>
        <v/>
      </c>
      <c r="B29" s="10" t="str">
        <f aca="false">IF(D29="","",E29&amp;" "&amp;D29&amp;", excavation "&amp;TEXT(F29,"0.0")&amp;" m, "&amp;G29&amp;", "&amp;H29&amp;", "&amp;K29)</f>
        <v/>
      </c>
      <c r="C29" s="9"/>
      <c r="D29" s="9"/>
      <c r="E29" s="9"/>
      <c r="F29" s="42"/>
      <c r="G29" s="9"/>
      <c r="H29" s="9"/>
      <c r="I29" s="42"/>
      <c r="J29" s="38"/>
      <c r="K29" s="9"/>
      <c r="L29" s="9"/>
      <c r="M29" s="9"/>
      <c r="N29" s="42"/>
      <c r="O29" s="42"/>
      <c r="P29" s="9"/>
      <c r="Q29" s="9"/>
      <c r="R29" s="9"/>
      <c r="S29" s="9"/>
      <c r="T29" s="38"/>
      <c r="U29" s="38"/>
      <c r="V29" s="38"/>
      <c r="W29" s="38"/>
      <c r="X29" s="38"/>
      <c r="Y29" s="9"/>
      <c r="Z29" s="39"/>
      <c r="AA29" s="9"/>
      <c r="AB29" s="9"/>
      <c r="AC29" s="9"/>
      <c r="AD29" s="9"/>
      <c r="AE29" s="9"/>
      <c r="AF29" s="9"/>
      <c r="AG29" s="9"/>
      <c r="AH29" s="38"/>
      <c r="AI29" s="9"/>
      <c r="AJ29" s="39"/>
      <c r="AK29" s="9"/>
      <c r="AL29" s="9"/>
      <c r="AM29" s="9"/>
      <c r="AN29" s="9"/>
      <c r="AO29" s="9"/>
      <c r="AP29" s="9"/>
      <c r="AQ29" s="9"/>
      <c r="AR29" s="10" t="str">
        <f aca="false">IF(A29="","",SG_Criteria!$B$6&amp;SG_Criteria!$B$9&amp;"\"&amp;A29&amp;"\")</f>
        <v/>
      </c>
      <c r="AS29" s="10" t="str">
        <f aca="false">IF(A29="","",A29&amp;"_CAD.dwg")</f>
        <v/>
      </c>
      <c r="AT29" s="10" t="str">
        <f aca="false">IF(A29="","",A29&amp;"_DWG.pdf")</f>
        <v/>
      </c>
      <c r="AU29" s="10" t="str">
        <f aca="false">IF(A29="","",IF(AQ29="Y",A29&amp;"_STAAD.std","n/a"))</f>
        <v/>
      </c>
      <c r="AV29" s="10" t="str">
        <f aca="false">IF(A29="","",A29&amp;"_CALC.xlsx")</f>
        <v/>
      </c>
      <c r="AW29" s="10" t="str">
        <f aca="false">IF(A29="","",A29&amp;"_CALC.pdf")</f>
        <v/>
      </c>
      <c r="AX29" s="9"/>
      <c r="AY29" s="9"/>
      <c r="AZ29" s="39"/>
      <c r="BA29" s="39"/>
      <c r="BB29" s="39"/>
      <c r="BC29" s="39"/>
      <c r="BD29" s="39"/>
      <c r="BE29" s="12" t="str">
        <f aca="false">IF(A29="","",IF(COUNTIF(Rebar_Schedule!$A$5:$A$2004,A29)=0,"",ROUND(SUMIF(Rebar_Schedule!$A$5:$A$2004,A29,Rebar_Schedule!$K$5:$K$2004),1)))</f>
        <v/>
      </c>
      <c r="BF29" s="33" t="str">
        <f aca="false">IF(A29="","",IF(BE29="","No rebar schedule yet",IF(ABS(BE29-N(BA29))/MAX(N(BA29),1)&gt;SG_Criteria!$B$55,"NOTE: register rebar differs from schedule by "&amp;TEXT(ABS(BE29-N(BA29))/MAX(N(BA29),1),"0%"),"OK")))</f>
        <v/>
      </c>
      <c r="BG29" s="33" t="str">
        <f aca="false">IF(OR(D29="",F29=""),"",IF(F29&lt;=IF(D29="Soldier Pile &amp; Timber Lagging",SG_Criteria!$B$34,SG_Criteria!$B$33),"No ERSS submission",IF(F29&lt;=SG_Criteria!$B$35,"QP(ST)",IF(F29&lt;=SG_Criteria!$B$36,"QP(ST) + AC","Geotechnical building works: QP(Geo) + AC"))))</f>
        <v/>
      </c>
      <c r="BH29" s="33" t="str">
        <f aca="false">IF(D29="","",IF(LEN(IF(AND(AC29&lt;&gt;"",IFERROR(VALUE(MID(AC29,2,2)),0)&lt;SG_Criteria!$B$19),"FAIL: grade below C"&amp;SG_Criteria!$B$19&amp;". ","")&amp;IF(AND(LEFT(D29,3)="Con",N(I29)&lt;F29,H29="Kallang Formation (marine clay)"),"NOTE: CBP is not watertight below GWT in marine clay; consider secant / grouting. ","")&amp;IF(AND(D29="Steel Sheet Pile",E29="Permanent"),"NOTE: permanent sheet pile needs corrosion allowance. ","")&amp;IF(AND(G29="Cantilever (no support)",F29&gt;6),"NOTE: cantilever embedded wall &gt; 6 m, check deflection. ","")&amp;IF(AND(T29&lt;&gt;"",U29&lt;&gt;"",T29&gt;U29),"FAIL: deflection exceeds allowable. ",""))=0,"OK",IF(AND(AC29&lt;&gt;"",IFERROR(VALUE(MID(AC29,2,2)),0)&lt;SG_Criteria!$B$19),"FAIL: grade below C"&amp;SG_Criteria!$B$19&amp;". ","")&amp;IF(AND(LEFT(D29,3)="Con",N(I29)&lt;F29,H29="Kallang Formation (marine clay)"),"NOTE: CBP is not watertight below GWT in marine clay; consider secant / grouting. ","")&amp;IF(AND(D29="Steel Sheet Pile",E29="Permanent"),"NOTE: permanent sheet pile needs corrosion allowance. ","")&amp;IF(AND(G29="Cantilever (no support)",F29&gt;6),"NOTE: cantilever embedded wall &gt; 6 m, check deflection. ","")&amp;IF(AND(T29&lt;&gt;"",U29&lt;&gt;"",T29&gt;U29),"FAIL: deflection exceeds allowable. ","")))</f>
        <v/>
      </c>
      <c r="BI29" s="9"/>
      <c r="BJ29" s="9"/>
      <c r="BK29" s="9"/>
      <c r="BL29" s="10" t="str">
        <f aca="false">IF(BK29="","",IFERROR(VLOOKUP(BK29,Projects!$A$5:$D$504,2,0),"Ref not in Projects"))</f>
        <v/>
      </c>
      <c r="BM29" s="10" t="str">
        <f aca="false">IF(BK29="","",IFERROR(VLOOKUP(BK29,Projects!$A$5:$D$504,4,0),"Ref not in Projects"))</f>
        <v/>
      </c>
      <c r="BN29" s="9"/>
      <c r="BO29" s="9"/>
      <c r="BP29" s="9"/>
      <c r="BQ29" s="40"/>
      <c r="BR29" s="9"/>
      <c r="BS29" s="40"/>
      <c r="BT29" s="9"/>
      <c r="BU29" s="40"/>
      <c r="BV29" s="9"/>
      <c r="BW29" s="9"/>
      <c r="BX29" s="9"/>
      <c r="BY29" s="40"/>
      <c r="BZ29" s="40"/>
      <c r="CA29" s="36" t="str">
        <f aca="false">IF(BZ29="","",EDATE(BZ29,SG_Criteria!$B$54*12))</f>
        <v/>
      </c>
      <c r="CB29" s="33" t="str">
        <f aca="true">IF(A29="","",IF(BZ29="","NOTE: not reviewed yet",IF(TODAY()&gt;CA29,"NOTE: review overdue","OK")))</f>
        <v/>
      </c>
      <c r="CC29" s="37" t="str">
        <f aca="false">IF(A29="","",ROUND((IF(LEN(D29)&gt;0,1,0)+IF(LEN(E29)&gt;0,1,0)+IF(LEN(F29)&gt;0,1,0)+IF(LEN(G29)&gt;0,1,0)+IF(LEN(H29)&gt;0,1,0)+IF(LEN(I29)&gt;0,1,0)+IF(LEN(K29)&gt;0,1,0)+IF(LEN(N29)&gt;0,1,0)+IF(LEN(O29)&gt;0,1,0)+IF(LEN(T29)&gt;0,1,0)+IF(LEN(U29)&gt;0,1,0)+IF(LEN(V29)&gt;0,1,0)+IF(LEN(AK29)&gt;0,1,0)+IF(LEN(AM29)&gt;0,1,0)+IF(LEN(AN29)&gt;0,1,0)+IF(LEN(AO29)&gt;0,1,0)+IF(LEN(AP29)&gt;0,1,0)+IF(LEN(AY29)&gt;0,1,0)+IF(LEN(BK29)&gt;0,1,0)+IF(LEN(BX29)&gt;0,1,0))/20,2))</f>
        <v/>
      </c>
      <c r="CD29" s="10" t="str">
        <f aca="false">IF(D29="","",IF(AND(AN29="Approved",ISERROR(SEARCH("FAIL",BH29))),"Y","N"))</f>
        <v/>
      </c>
      <c r="CE29" s="10" t="str">
        <f aca="false">IF(D29="","",D29&amp;"|"&amp;F29&amp;"|"&amp;G29&amp;"|"&amp;H29&amp;"|"&amp;E29&amp;"|"&amp;CD29)</f>
        <v/>
      </c>
    </row>
    <row r="30" customFormat="false" ht="15" hidden="false" customHeight="false" outlineLevel="0" collapsed="false">
      <c r="A30" s="10" t="str">
        <f aca="false">IF(D30="","","EW-"&amp;IFERROR(VLOOKUP(D30,Lists!$P$4:$Q$22,2,0),"??")&amp;"-D"&amp;TEXT(F30*1000,"0000")&amp;"-"&amp;IFERROR(VLOOKUP(G30,Lists!$S$4:$T$21,2,0),"??")&amp;"-"&amp;IFERROR(VLOOKUP(H30,Lists!$Y$4:$Z$21,2,0),"??")&amp;"-"&amp;IFERROR(VLOOKUP(E30,Lists!$V$4:$W$16,2,0),"??")&amp;"-"&amp;AM30)</f>
        <v/>
      </c>
      <c r="B30" s="10" t="str">
        <f aca="false">IF(D30="","",E30&amp;" "&amp;D30&amp;", excavation "&amp;TEXT(F30,"0.0")&amp;" m, "&amp;G30&amp;", "&amp;H30&amp;", "&amp;K30)</f>
        <v/>
      </c>
      <c r="C30" s="9"/>
      <c r="D30" s="9"/>
      <c r="E30" s="9"/>
      <c r="F30" s="42"/>
      <c r="G30" s="9"/>
      <c r="H30" s="9"/>
      <c r="I30" s="42"/>
      <c r="J30" s="38"/>
      <c r="K30" s="9"/>
      <c r="L30" s="9"/>
      <c r="M30" s="9"/>
      <c r="N30" s="42"/>
      <c r="O30" s="42"/>
      <c r="P30" s="9"/>
      <c r="Q30" s="9"/>
      <c r="R30" s="9"/>
      <c r="S30" s="9"/>
      <c r="T30" s="38"/>
      <c r="U30" s="38"/>
      <c r="V30" s="38"/>
      <c r="W30" s="38"/>
      <c r="X30" s="38"/>
      <c r="Y30" s="9"/>
      <c r="Z30" s="39"/>
      <c r="AA30" s="9"/>
      <c r="AB30" s="9"/>
      <c r="AC30" s="9"/>
      <c r="AD30" s="9"/>
      <c r="AE30" s="9"/>
      <c r="AF30" s="9"/>
      <c r="AG30" s="9"/>
      <c r="AH30" s="38"/>
      <c r="AI30" s="9"/>
      <c r="AJ30" s="39"/>
      <c r="AK30" s="9"/>
      <c r="AL30" s="9"/>
      <c r="AM30" s="9"/>
      <c r="AN30" s="9"/>
      <c r="AO30" s="9"/>
      <c r="AP30" s="9"/>
      <c r="AQ30" s="9"/>
      <c r="AR30" s="10" t="str">
        <f aca="false">IF(A30="","",SG_Criteria!$B$6&amp;SG_Criteria!$B$9&amp;"\"&amp;A30&amp;"\")</f>
        <v/>
      </c>
      <c r="AS30" s="10" t="str">
        <f aca="false">IF(A30="","",A30&amp;"_CAD.dwg")</f>
        <v/>
      </c>
      <c r="AT30" s="10" t="str">
        <f aca="false">IF(A30="","",A30&amp;"_DWG.pdf")</f>
        <v/>
      </c>
      <c r="AU30" s="10" t="str">
        <f aca="false">IF(A30="","",IF(AQ30="Y",A30&amp;"_STAAD.std","n/a"))</f>
        <v/>
      </c>
      <c r="AV30" s="10" t="str">
        <f aca="false">IF(A30="","",A30&amp;"_CALC.xlsx")</f>
        <v/>
      </c>
      <c r="AW30" s="10" t="str">
        <f aca="false">IF(A30="","",A30&amp;"_CALC.pdf")</f>
        <v/>
      </c>
      <c r="AX30" s="9"/>
      <c r="AY30" s="9"/>
      <c r="AZ30" s="39"/>
      <c r="BA30" s="39"/>
      <c r="BB30" s="39"/>
      <c r="BC30" s="39"/>
      <c r="BD30" s="39"/>
      <c r="BE30" s="12" t="str">
        <f aca="false">IF(A30="","",IF(COUNTIF(Rebar_Schedule!$A$5:$A$2004,A30)=0,"",ROUND(SUMIF(Rebar_Schedule!$A$5:$A$2004,A30,Rebar_Schedule!$K$5:$K$2004),1)))</f>
        <v/>
      </c>
      <c r="BF30" s="33" t="str">
        <f aca="false">IF(A30="","",IF(BE30="","No rebar schedule yet",IF(ABS(BE30-N(BA30))/MAX(N(BA30),1)&gt;SG_Criteria!$B$55,"NOTE: register rebar differs from schedule by "&amp;TEXT(ABS(BE30-N(BA30))/MAX(N(BA30),1),"0%"),"OK")))</f>
        <v/>
      </c>
      <c r="BG30" s="33" t="str">
        <f aca="false">IF(OR(D30="",F30=""),"",IF(F30&lt;=IF(D30="Soldier Pile &amp; Timber Lagging",SG_Criteria!$B$34,SG_Criteria!$B$33),"No ERSS submission",IF(F30&lt;=SG_Criteria!$B$35,"QP(ST)",IF(F30&lt;=SG_Criteria!$B$36,"QP(ST) + AC","Geotechnical building works: QP(Geo) + AC"))))</f>
        <v/>
      </c>
      <c r="BH30" s="33" t="str">
        <f aca="false">IF(D30="","",IF(LEN(IF(AND(AC30&lt;&gt;"",IFERROR(VALUE(MID(AC30,2,2)),0)&lt;SG_Criteria!$B$19),"FAIL: grade below C"&amp;SG_Criteria!$B$19&amp;". ","")&amp;IF(AND(LEFT(D30,3)="Con",N(I30)&lt;F30,H30="Kallang Formation (marine clay)"),"NOTE: CBP is not watertight below GWT in marine clay; consider secant / grouting. ","")&amp;IF(AND(D30="Steel Sheet Pile",E30="Permanent"),"NOTE: permanent sheet pile needs corrosion allowance. ","")&amp;IF(AND(G30="Cantilever (no support)",F30&gt;6),"NOTE: cantilever embedded wall &gt; 6 m, check deflection. ","")&amp;IF(AND(T30&lt;&gt;"",U30&lt;&gt;"",T30&gt;U30),"FAIL: deflection exceeds allowable. ",""))=0,"OK",IF(AND(AC30&lt;&gt;"",IFERROR(VALUE(MID(AC30,2,2)),0)&lt;SG_Criteria!$B$19),"FAIL: grade below C"&amp;SG_Criteria!$B$19&amp;". ","")&amp;IF(AND(LEFT(D30,3)="Con",N(I30)&lt;F30,H30="Kallang Formation (marine clay)"),"NOTE: CBP is not watertight below GWT in marine clay; consider secant / grouting. ","")&amp;IF(AND(D30="Steel Sheet Pile",E30="Permanent"),"NOTE: permanent sheet pile needs corrosion allowance. ","")&amp;IF(AND(G30="Cantilever (no support)",F30&gt;6),"NOTE: cantilever embedded wall &gt; 6 m, check deflection. ","")&amp;IF(AND(T30&lt;&gt;"",U30&lt;&gt;"",T30&gt;U30),"FAIL: deflection exceeds allowable. ","")))</f>
        <v/>
      </c>
      <c r="BI30" s="9"/>
      <c r="BJ30" s="9"/>
      <c r="BK30" s="9"/>
      <c r="BL30" s="10" t="str">
        <f aca="false">IF(BK30="","",IFERROR(VLOOKUP(BK30,Projects!$A$5:$D$504,2,0),"Ref not in Projects"))</f>
        <v/>
      </c>
      <c r="BM30" s="10" t="str">
        <f aca="false">IF(BK30="","",IFERROR(VLOOKUP(BK30,Projects!$A$5:$D$504,4,0),"Ref not in Projects"))</f>
        <v/>
      </c>
      <c r="BN30" s="9"/>
      <c r="BO30" s="9"/>
      <c r="BP30" s="9"/>
      <c r="BQ30" s="40"/>
      <c r="BR30" s="9"/>
      <c r="BS30" s="40"/>
      <c r="BT30" s="9"/>
      <c r="BU30" s="40"/>
      <c r="BV30" s="9"/>
      <c r="BW30" s="9"/>
      <c r="BX30" s="9"/>
      <c r="BY30" s="40"/>
      <c r="BZ30" s="40"/>
      <c r="CA30" s="36" t="str">
        <f aca="false">IF(BZ30="","",EDATE(BZ30,SG_Criteria!$B$54*12))</f>
        <v/>
      </c>
      <c r="CB30" s="33" t="str">
        <f aca="true">IF(A30="","",IF(BZ30="","NOTE: not reviewed yet",IF(TODAY()&gt;CA30,"NOTE: review overdue","OK")))</f>
        <v/>
      </c>
      <c r="CC30" s="37" t="str">
        <f aca="false">IF(A30="","",ROUND((IF(LEN(D30)&gt;0,1,0)+IF(LEN(E30)&gt;0,1,0)+IF(LEN(F30)&gt;0,1,0)+IF(LEN(G30)&gt;0,1,0)+IF(LEN(H30)&gt;0,1,0)+IF(LEN(I30)&gt;0,1,0)+IF(LEN(K30)&gt;0,1,0)+IF(LEN(N30)&gt;0,1,0)+IF(LEN(O30)&gt;0,1,0)+IF(LEN(T30)&gt;0,1,0)+IF(LEN(U30)&gt;0,1,0)+IF(LEN(V30)&gt;0,1,0)+IF(LEN(AK30)&gt;0,1,0)+IF(LEN(AM30)&gt;0,1,0)+IF(LEN(AN30)&gt;0,1,0)+IF(LEN(AO30)&gt;0,1,0)+IF(LEN(AP30)&gt;0,1,0)+IF(LEN(AY30)&gt;0,1,0)+IF(LEN(BK30)&gt;0,1,0)+IF(LEN(BX30)&gt;0,1,0))/20,2))</f>
        <v/>
      </c>
      <c r="CD30" s="10" t="str">
        <f aca="false">IF(D30="","",IF(AND(AN30="Approved",ISERROR(SEARCH("FAIL",BH30))),"Y","N"))</f>
        <v/>
      </c>
      <c r="CE30" s="10" t="str">
        <f aca="false">IF(D30="","",D30&amp;"|"&amp;F30&amp;"|"&amp;G30&amp;"|"&amp;H30&amp;"|"&amp;E30&amp;"|"&amp;CD30)</f>
        <v/>
      </c>
    </row>
    <row r="31" customFormat="false" ht="15" hidden="false" customHeight="false" outlineLevel="0" collapsed="false">
      <c r="A31" s="10" t="str">
        <f aca="false">IF(D31="","","EW-"&amp;IFERROR(VLOOKUP(D31,Lists!$P$4:$Q$22,2,0),"??")&amp;"-D"&amp;TEXT(F31*1000,"0000")&amp;"-"&amp;IFERROR(VLOOKUP(G31,Lists!$S$4:$T$21,2,0),"??")&amp;"-"&amp;IFERROR(VLOOKUP(H31,Lists!$Y$4:$Z$21,2,0),"??")&amp;"-"&amp;IFERROR(VLOOKUP(E31,Lists!$V$4:$W$16,2,0),"??")&amp;"-"&amp;AM31)</f>
        <v/>
      </c>
      <c r="B31" s="10" t="str">
        <f aca="false">IF(D31="","",E31&amp;" "&amp;D31&amp;", excavation "&amp;TEXT(F31,"0.0")&amp;" m, "&amp;G31&amp;", "&amp;H31&amp;", "&amp;K31)</f>
        <v/>
      </c>
      <c r="C31" s="9"/>
      <c r="D31" s="9"/>
      <c r="E31" s="9"/>
      <c r="F31" s="42"/>
      <c r="G31" s="9"/>
      <c r="H31" s="9"/>
      <c r="I31" s="42"/>
      <c r="J31" s="38"/>
      <c r="K31" s="9"/>
      <c r="L31" s="9"/>
      <c r="M31" s="9"/>
      <c r="N31" s="42"/>
      <c r="O31" s="42"/>
      <c r="P31" s="9"/>
      <c r="Q31" s="9"/>
      <c r="R31" s="9"/>
      <c r="S31" s="9"/>
      <c r="T31" s="38"/>
      <c r="U31" s="38"/>
      <c r="V31" s="38"/>
      <c r="W31" s="38"/>
      <c r="X31" s="38"/>
      <c r="Y31" s="9"/>
      <c r="Z31" s="39"/>
      <c r="AA31" s="9"/>
      <c r="AB31" s="9"/>
      <c r="AC31" s="9"/>
      <c r="AD31" s="9"/>
      <c r="AE31" s="9"/>
      <c r="AF31" s="9"/>
      <c r="AG31" s="9"/>
      <c r="AH31" s="38"/>
      <c r="AI31" s="9"/>
      <c r="AJ31" s="39"/>
      <c r="AK31" s="9"/>
      <c r="AL31" s="9"/>
      <c r="AM31" s="9"/>
      <c r="AN31" s="9"/>
      <c r="AO31" s="9"/>
      <c r="AP31" s="9"/>
      <c r="AQ31" s="9"/>
      <c r="AR31" s="10" t="str">
        <f aca="false">IF(A31="","",SG_Criteria!$B$6&amp;SG_Criteria!$B$9&amp;"\"&amp;A31&amp;"\")</f>
        <v/>
      </c>
      <c r="AS31" s="10" t="str">
        <f aca="false">IF(A31="","",A31&amp;"_CAD.dwg")</f>
        <v/>
      </c>
      <c r="AT31" s="10" t="str">
        <f aca="false">IF(A31="","",A31&amp;"_DWG.pdf")</f>
        <v/>
      </c>
      <c r="AU31" s="10" t="str">
        <f aca="false">IF(A31="","",IF(AQ31="Y",A31&amp;"_STAAD.std","n/a"))</f>
        <v/>
      </c>
      <c r="AV31" s="10" t="str">
        <f aca="false">IF(A31="","",A31&amp;"_CALC.xlsx")</f>
        <v/>
      </c>
      <c r="AW31" s="10" t="str">
        <f aca="false">IF(A31="","",A31&amp;"_CALC.pdf")</f>
        <v/>
      </c>
      <c r="AX31" s="9"/>
      <c r="AY31" s="9"/>
      <c r="AZ31" s="39"/>
      <c r="BA31" s="39"/>
      <c r="BB31" s="39"/>
      <c r="BC31" s="39"/>
      <c r="BD31" s="39"/>
      <c r="BE31" s="12" t="str">
        <f aca="false">IF(A31="","",IF(COUNTIF(Rebar_Schedule!$A$5:$A$2004,A31)=0,"",ROUND(SUMIF(Rebar_Schedule!$A$5:$A$2004,A31,Rebar_Schedule!$K$5:$K$2004),1)))</f>
        <v/>
      </c>
      <c r="BF31" s="33" t="str">
        <f aca="false">IF(A31="","",IF(BE31="","No rebar schedule yet",IF(ABS(BE31-N(BA31))/MAX(N(BA31),1)&gt;SG_Criteria!$B$55,"NOTE: register rebar differs from schedule by "&amp;TEXT(ABS(BE31-N(BA31))/MAX(N(BA31),1),"0%"),"OK")))</f>
        <v/>
      </c>
      <c r="BG31" s="33" t="str">
        <f aca="false">IF(OR(D31="",F31=""),"",IF(F31&lt;=IF(D31="Soldier Pile &amp; Timber Lagging",SG_Criteria!$B$34,SG_Criteria!$B$33),"No ERSS submission",IF(F31&lt;=SG_Criteria!$B$35,"QP(ST)",IF(F31&lt;=SG_Criteria!$B$36,"QP(ST) + AC","Geotechnical building works: QP(Geo) + AC"))))</f>
        <v/>
      </c>
      <c r="BH31" s="33" t="str">
        <f aca="false">IF(D31="","",IF(LEN(IF(AND(AC31&lt;&gt;"",IFERROR(VALUE(MID(AC31,2,2)),0)&lt;SG_Criteria!$B$19),"FAIL: grade below C"&amp;SG_Criteria!$B$19&amp;". ","")&amp;IF(AND(LEFT(D31,3)="Con",N(I31)&lt;F31,H31="Kallang Formation (marine clay)"),"NOTE: CBP is not watertight below GWT in marine clay; consider secant / grouting. ","")&amp;IF(AND(D31="Steel Sheet Pile",E31="Permanent"),"NOTE: permanent sheet pile needs corrosion allowance. ","")&amp;IF(AND(G31="Cantilever (no support)",F31&gt;6),"NOTE: cantilever embedded wall &gt; 6 m, check deflection. ","")&amp;IF(AND(T31&lt;&gt;"",U31&lt;&gt;"",T31&gt;U31),"FAIL: deflection exceeds allowable. ",""))=0,"OK",IF(AND(AC31&lt;&gt;"",IFERROR(VALUE(MID(AC31,2,2)),0)&lt;SG_Criteria!$B$19),"FAIL: grade below C"&amp;SG_Criteria!$B$19&amp;". ","")&amp;IF(AND(LEFT(D31,3)="Con",N(I31)&lt;F31,H31="Kallang Formation (marine clay)"),"NOTE: CBP is not watertight below GWT in marine clay; consider secant / grouting. ","")&amp;IF(AND(D31="Steel Sheet Pile",E31="Permanent"),"NOTE: permanent sheet pile needs corrosion allowance. ","")&amp;IF(AND(G31="Cantilever (no support)",F31&gt;6),"NOTE: cantilever embedded wall &gt; 6 m, check deflection. ","")&amp;IF(AND(T31&lt;&gt;"",U31&lt;&gt;"",T31&gt;U31),"FAIL: deflection exceeds allowable. ","")))</f>
        <v/>
      </c>
      <c r="BI31" s="9"/>
      <c r="BJ31" s="9"/>
      <c r="BK31" s="9"/>
      <c r="BL31" s="10" t="str">
        <f aca="false">IF(BK31="","",IFERROR(VLOOKUP(BK31,Projects!$A$5:$D$504,2,0),"Ref not in Projects"))</f>
        <v/>
      </c>
      <c r="BM31" s="10" t="str">
        <f aca="false">IF(BK31="","",IFERROR(VLOOKUP(BK31,Projects!$A$5:$D$504,4,0),"Ref not in Projects"))</f>
        <v/>
      </c>
      <c r="BN31" s="9"/>
      <c r="BO31" s="9"/>
      <c r="BP31" s="9"/>
      <c r="BQ31" s="40"/>
      <c r="BR31" s="9"/>
      <c r="BS31" s="40"/>
      <c r="BT31" s="9"/>
      <c r="BU31" s="40"/>
      <c r="BV31" s="9"/>
      <c r="BW31" s="9"/>
      <c r="BX31" s="9"/>
      <c r="BY31" s="40"/>
      <c r="BZ31" s="40"/>
      <c r="CA31" s="36" t="str">
        <f aca="false">IF(BZ31="","",EDATE(BZ31,SG_Criteria!$B$54*12))</f>
        <v/>
      </c>
      <c r="CB31" s="33" t="str">
        <f aca="true">IF(A31="","",IF(BZ31="","NOTE: not reviewed yet",IF(TODAY()&gt;CA31,"NOTE: review overdue","OK")))</f>
        <v/>
      </c>
      <c r="CC31" s="37" t="str">
        <f aca="false">IF(A31="","",ROUND((IF(LEN(D31)&gt;0,1,0)+IF(LEN(E31)&gt;0,1,0)+IF(LEN(F31)&gt;0,1,0)+IF(LEN(G31)&gt;0,1,0)+IF(LEN(H31)&gt;0,1,0)+IF(LEN(I31)&gt;0,1,0)+IF(LEN(K31)&gt;0,1,0)+IF(LEN(N31)&gt;0,1,0)+IF(LEN(O31)&gt;0,1,0)+IF(LEN(T31)&gt;0,1,0)+IF(LEN(U31)&gt;0,1,0)+IF(LEN(V31)&gt;0,1,0)+IF(LEN(AK31)&gt;0,1,0)+IF(LEN(AM31)&gt;0,1,0)+IF(LEN(AN31)&gt;0,1,0)+IF(LEN(AO31)&gt;0,1,0)+IF(LEN(AP31)&gt;0,1,0)+IF(LEN(AY31)&gt;0,1,0)+IF(LEN(BK31)&gt;0,1,0)+IF(LEN(BX31)&gt;0,1,0))/20,2))</f>
        <v/>
      </c>
      <c r="CD31" s="10" t="str">
        <f aca="false">IF(D31="","",IF(AND(AN31="Approved",ISERROR(SEARCH("FAIL",BH31))),"Y","N"))</f>
        <v/>
      </c>
      <c r="CE31" s="10" t="str">
        <f aca="false">IF(D31="","",D31&amp;"|"&amp;F31&amp;"|"&amp;G31&amp;"|"&amp;H31&amp;"|"&amp;E31&amp;"|"&amp;CD31)</f>
        <v/>
      </c>
    </row>
    <row r="32" customFormat="false" ht="15" hidden="false" customHeight="false" outlineLevel="0" collapsed="false">
      <c r="A32" s="10" t="str">
        <f aca="false">IF(D32="","","EW-"&amp;IFERROR(VLOOKUP(D32,Lists!$P$4:$Q$22,2,0),"??")&amp;"-D"&amp;TEXT(F32*1000,"0000")&amp;"-"&amp;IFERROR(VLOOKUP(G32,Lists!$S$4:$T$21,2,0),"??")&amp;"-"&amp;IFERROR(VLOOKUP(H32,Lists!$Y$4:$Z$21,2,0),"??")&amp;"-"&amp;IFERROR(VLOOKUP(E32,Lists!$V$4:$W$16,2,0),"??")&amp;"-"&amp;AM32)</f>
        <v/>
      </c>
      <c r="B32" s="10" t="str">
        <f aca="false">IF(D32="","",E32&amp;" "&amp;D32&amp;", excavation "&amp;TEXT(F32,"0.0")&amp;" m, "&amp;G32&amp;", "&amp;H32&amp;", "&amp;K32)</f>
        <v/>
      </c>
      <c r="C32" s="9"/>
      <c r="D32" s="9"/>
      <c r="E32" s="9"/>
      <c r="F32" s="42"/>
      <c r="G32" s="9"/>
      <c r="H32" s="9"/>
      <c r="I32" s="42"/>
      <c r="J32" s="38"/>
      <c r="K32" s="9"/>
      <c r="L32" s="9"/>
      <c r="M32" s="9"/>
      <c r="N32" s="42"/>
      <c r="O32" s="42"/>
      <c r="P32" s="9"/>
      <c r="Q32" s="9"/>
      <c r="R32" s="9"/>
      <c r="S32" s="9"/>
      <c r="T32" s="38"/>
      <c r="U32" s="38"/>
      <c r="V32" s="38"/>
      <c r="W32" s="38"/>
      <c r="X32" s="38"/>
      <c r="Y32" s="9"/>
      <c r="Z32" s="39"/>
      <c r="AA32" s="9"/>
      <c r="AB32" s="9"/>
      <c r="AC32" s="9"/>
      <c r="AD32" s="9"/>
      <c r="AE32" s="9"/>
      <c r="AF32" s="9"/>
      <c r="AG32" s="9"/>
      <c r="AH32" s="38"/>
      <c r="AI32" s="9"/>
      <c r="AJ32" s="39"/>
      <c r="AK32" s="9"/>
      <c r="AL32" s="9"/>
      <c r="AM32" s="9"/>
      <c r="AN32" s="9"/>
      <c r="AO32" s="9"/>
      <c r="AP32" s="9"/>
      <c r="AQ32" s="9"/>
      <c r="AR32" s="10" t="str">
        <f aca="false">IF(A32="","",SG_Criteria!$B$6&amp;SG_Criteria!$B$9&amp;"\"&amp;A32&amp;"\")</f>
        <v/>
      </c>
      <c r="AS32" s="10" t="str">
        <f aca="false">IF(A32="","",A32&amp;"_CAD.dwg")</f>
        <v/>
      </c>
      <c r="AT32" s="10" t="str">
        <f aca="false">IF(A32="","",A32&amp;"_DWG.pdf")</f>
        <v/>
      </c>
      <c r="AU32" s="10" t="str">
        <f aca="false">IF(A32="","",IF(AQ32="Y",A32&amp;"_STAAD.std","n/a"))</f>
        <v/>
      </c>
      <c r="AV32" s="10" t="str">
        <f aca="false">IF(A32="","",A32&amp;"_CALC.xlsx")</f>
        <v/>
      </c>
      <c r="AW32" s="10" t="str">
        <f aca="false">IF(A32="","",A32&amp;"_CALC.pdf")</f>
        <v/>
      </c>
      <c r="AX32" s="9"/>
      <c r="AY32" s="9"/>
      <c r="AZ32" s="39"/>
      <c r="BA32" s="39"/>
      <c r="BB32" s="39"/>
      <c r="BC32" s="39"/>
      <c r="BD32" s="39"/>
      <c r="BE32" s="12" t="str">
        <f aca="false">IF(A32="","",IF(COUNTIF(Rebar_Schedule!$A$5:$A$2004,A32)=0,"",ROUND(SUMIF(Rebar_Schedule!$A$5:$A$2004,A32,Rebar_Schedule!$K$5:$K$2004),1)))</f>
        <v/>
      </c>
      <c r="BF32" s="33" t="str">
        <f aca="false">IF(A32="","",IF(BE32="","No rebar schedule yet",IF(ABS(BE32-N(BA32))/MAX(N(BA32),1)&gt;SG_Criteria!$B$55,"NOTE: register rebar differs from schedule by "&amp;TEXT(ABS(BE32-N(BA32))/MAX(N(BA32),1),"0%"),"OK")))</f>
        <v/>
      </c>
      <c r="BG32" s="33" t="str">
        <f aca="false">IF(OR(D32="",F32=""),"",IF(F32&lt;=IF(D32="Soldier Pile &amp; Timber Lagging",SG_Criteria!$B$34,SG_Criteria!$B$33),"No ERSS submission",IF(F32&lt;=SG_Criteria!$B$35,"QP(ST)",IF(F32&lt;=SG_Criteria!$B$36,"QP(ST) + AC","Geotechnical building works: QP(Geo) + AC"))))</f>
        <v/>
      </c>
      <c r="BH32" s="33" t="str">
        <f aca="false">IF(D32="","",IF(LEN(IF(AND(AC32&lt;&gt;"",IFERROR(VALUE(MID(AC32,2,2)),0)&lt;SG_Criteria!$B$19),"FAIL: grade below C"&amp;SG_Criteria!$B$19&amp;". ","")&amp;IF(AND(LEFT(D32,3)="Con",N(I32)&lt;F32,H32="Kallang Formation (marine clay)"),"NOTE: CBP is not watertight below GWT in marine clay; consider secant / grouting. ","")&amp;IF(AND(D32="Steel Sheet Pile",E32="Permanent"),"NOTE: permanent sheet pile needs corrosion allowance. ","")&amp;IF(AND(G32="Cantilever (no support)",F32&gt;6),"NOTE: cantilever embedded wall &gt; 6 m, check deflection. ","")&amp;IF(AND(T32&lt;&gt;"",U32&lt;&gt;"",T32&gt;U32),"FAIL: deflection exceeds allowable. ",""))=0,"OK",IF(AND(AC32&lt;&gt;"",IFERROR(VALUE(MID(AC32,2,2)),0)&lt;SG_Criteria!$B$19),"FAIL: grade below C"&amp;SG_Criteria!$B$19&amp;". ","")&amp;IF(AND(LEFT(D32,3)="Con",N(I32)&lt;F32,H32="Kallang Formation (marine clay)"),"NOTE: CBP is not watertight below GWT in marine clay; consider secant / grouting. ","")&amp;IF(AND(D32="Steel Sheet Pile",E32="Permanent"),"NOTE: permanent sheet pile needs corrosion allowance. ","")&amp;IF(AND(G32="Cantilever (no support)",F32&gt;6),"NOTE: cantilever embedded wall &gt; 6 m, check deflection. ","")&amp;IF(AND(T32&lt;&gt;"",U32&lt;&gt;"",T32&gt;U32),"FAIL: deflection exceeds allowable. ","")))</f>
        <v/>
      </c>
      <c r="BI32" s="9"/>
      <c r="BJ32" s="9"/>
      <c r="BK32" s="9"/>
      <c r="BL32" s="10" t="str">
        <f aca="false">IF(BK32="","",IFERROR(VLOOKUP(BK32,Projects!$A$5:$D$504,2,0),"Ref not in Projects"))</f>
        <v/>
      </c>
      <c r="BM32" s="10" t="str">
        <f aca="false">IF(BK32="","",IFERROR(VLOOKUP(BK32,Projects!$A$5:$D$504,4,0),"Ref not in Projects"))</f>
        <v/>
      </c>
      <c r="BN32" s="9"/>
      <c r="BO32" s="9"/>
      <c r="BP32" s="9"/>
      <c r="BQ32" s="40"/>
      <c r="BR32" s="9"/>
      <c r="BS32" s="40"/>
      <c r="BT32" s="9"/>
      <c r="BU32" s="40"/>
      <c r="BV32" s="9"/>
      <c r="BW32" s="9"/>
      <c r="BX32" s="9"/>
      <c r="BY32" s="40"/>
      <c r="BZ32" s="40"/>
      <c r="CA32" s="36" t="str">
        <f aca="false">IF(BZ32="","",EDATE(BZ32,SG_Criteria!$B$54*12))</f>
        <v/>
      </c>
      <c r="CB32" s="33" t="str">
        <f aca="true">IF(A32="","",IF(BZ32="","NOTE: not reviewed yet",IF(TODAY()&gt;CA32,"NOTE: review overdue","OK")))</f>
        <v/>
      </c>
      <c r="CC32" s="37" t="str">
        <f aca="false">IF(A32="","",ROUND((IF(LEN(D32)&gt;0,1,0)+IF(LEN(E32)&gt;0,1,0)+IF(LEN(F32)&gt;0,1,0)+IF(LEN(G32)&gt;0,1,0)+IF(LEN(H32)&gt;0,1,0)+IF(LEN(I32)&gt;0,1,0)+IF(LEN(K32)&gt;0,1,0)+IF(LEN(N32)&gt;0,1,0)+IF(LEN(O32)&gt;0,1,0)+IF(LEN(T32)&gt;0,1,0)+IF(LEN(U32)&gt;0,1,0)+IF(LEN(V32)&gt;0,1,0)+IF(LEN(AK32)&gt;0,1,0)+IF(LEN(AM32)&gt;0,1,0)+IF(LEN(AN32)&gt;0,1,0)+IF(LEN(AO32)&gt;0,1,0)+IF(LEN(AP32)&gt;0,1,0)+IF(LEN(AY32)&gt;0,1,0)+IF(LEN(BK32)&gt;0,1,0)+IF(LEN(BX32)&gt;0,1,0))/20,2))</f>
        <v/>
      </c>
      <c r="CD32" s="10" t="str">
        <f aca="false">IF(D32="","",IF(AND(AN32="Approved",ISERROR(SEARCH("FAIL",BH32))),"Y","N"))</f>
        <v/>
      </c>
      <c r="CE32" s="10" t="str">
        <f aca="false">IF(D32="","",D32&amp;"|"&amp;F32&amp;"|"&amp;G32&amp;"|"&amp;H32&amp;"|"&amp;E32&amp;"|"&amp;CD32)</f>
        <v/>
      </c>
    </row>
    <row r="33" customFormat="false" ht="15" hidden="false" customHeight="false" outlineLevel="0" collapsed="false">
      <c r="A33" s="10" t="str">
        <f aca="false">IF(D33="","","EW-"&amp;IFERROR(VLOOKUP(D33,Lists!$P$4:$Q$22,2,0),"??")&amp;"-D"&amp;TEXT(F33*1000,"0000")&amp;"-"&amp;IFERROR(VLOOKUP(G33,Lists!$S$4:$T$21,2,0),"??")&amp;"-"&amp;IFERROR(VLOOKUP(H33,Lists!$Y$4:$Z$21,2,0),"??")&amp;"-"&amp;IFERROR(VLOOKUP(E33,Lists!$V$4:$W$16,2,0),"??")&amp;"-"&amp;AM33)</f>
        <v/>
      </c>
      <c r="B33" s="10" t="str">
        <f aca="false">IF(D33="","",E33&amp;" "&amp;D33&amp;", excavation "&amp;TEXT(F33,"0.0")&amp;" m, "&amp;G33&amp;", "&amp;H33&amp;", "&amp;K33)</f>
        <v/>
      </c>
      <c r="C33" s="9"/>
      <c r="D33" s="9"/>
      <c r="E33" s="9"/>
      <c r="F33" s="42"/>
      <c r="G33" s="9"/>
      <c r="H33" s="9"/>
      <c r="I33" s="42"/>
      <c r="J33" s="38"/>
      <c r="K33" s="9"/>
      <c r="L33" s="9"/>
      <c r="M33" s="9"/>
      <c r="N33" s="42"/>
      <c r="O33" s="42"/>
      <c r="P33" s="9"/>
      <c r="Q33" s="9"/>
      <c r="R33" s="9"/>
      <c r="S33" s="9"/>
      <c r="T33" s="38"/>
      <c r="U33" s="38"/>
      <c r="V33" s="38"/>
      <c r="W33" s="38"/>
      <c r="X33" s="38"/>
      <c r="Y33" s="9"/>
      <c r="Z33" s="39"/>
      <c r="AA33" s="9"/>
      <c r="AB33" s="9"/>
      <c r="AC33" s="9"/>
      <c r="AD33" s="9"/>
      <c r="AE33" s="9"/>
      <c r="AF33" s="9"/>
      <c r="AG33" s="9"/>
      <c r="AH33" s="38"/>
      <c r="AI33" s="9"/>
      <c r="AJ33" s="39"/>
      <c r="AK33" s="9"/>
      <c r="AL33" s="9"/>
      <c r="AM33" s="9"/>
      <c r="AN33" s="9"/>
      <c r="AO33" s="9"/>
      <c r="AP33" s="9"/>
      <c r="AQ33" s="9"/>
      <c r="AR33" s="10" t="str">
        <f aca="false">IF(A33="","",SG_Criteria!$B$6&amp;SG_Criteria!$B$9&amp;"\"&amp;A33&amp;"\")</f>
        <v/>
      </c>
      <c r="AS33" s="10" t="str">
        <f aca="false">IF(A33="","",A33&amp;"_CAD.dwg")</f>
        <v/>
      </c>
      <c r="AT33" s="10" t="str">
        <f aca="false">IF(A33="","",A33&amp;"_DWG.pdf")</f>
        <v/>
      </c>
      <c r="AU33" s="10" t="str">
        <f aca="false">IF(A33="","",IF(AQ33="Y",A33&amp;"_STAAD.std","n/a"))</f>
        <v/>
      </c>
      <c r="AV33" s="10" t="str">
        <f aca="false">IF(A33="","",A33&amp;"_CALC.xlsx")</f>
        <v/>
      </c>
      <c r="AW33" s="10" t="str">
        <f aca="false">IF(A33="","",A33&amp;"_CALC.pdf")</f>
        <v/>
      </c>
      <c r="AX33" s="9"/>
      <c r="AY33" s="9"/>
      <c r="AZ33" s="39"/>
      <c r="BA33" s="39"/>
      <c r="BB33" s="39"/>
      <c r="BC33" s="39"/>
      <c r="BD33" s="39"/>
      <c r="BE33" s="12" t="str">
        <f aca="false">IF(A33="","",IF(COUNTIF(Rebar_Schedule!$A$5:$A$2004,A33)=0,"",ROUND(SUMIF(Rebar_Schedule!$A$5:$A$2004,A33,Rebar_Schedule!$K$5:$K$2004),1)))</f>
        <v/>
      </c>
      <c r="BF33" s="33" t="str">
        <f aca="false">IF(A33="","",IF(BE33="","No rebar schedule yet",IF(ABS(BE33-N(BA33))/MAX(N(BA33),1)&gt;SG_Criteria!$B$55,"NOTE: register rebar differs from schedule by "&amp;TEXT(ABS(BE33-N(BA33))/MAX(N(BA33),1),"0%"),"OK")))</f>
        <v/>
      </c>
      <c r="BG33" s="33" t="str">
        <f aca="false">IF(OR(D33="",F33=""),"",IF(F33&lt;=IF(D33="Soldier Pile &amp; Timber Lagging",SG_Criteria!$B$34,SG_Criteria!$B$33),"No ERSS submission",IF(F33&lt;=SG_Criteria!$B$35,"QP(ST)",IF(F33&lt;=SG_Criteria!$B$36,"QP(ST) + AC","Geotechnical building works: QP(Geo) + AC"))))</f>
        <v/>
      </c>
      <c r="BH33" s="33" t="str">
        <f aca="false">IF(D33="","",IF(LEN(IF(AND(AC33&lt;&gt;"",IFERROR(VALUE(MID(AC33,2,2)),0)&lt;SG_Criteria!$B$19),"FAIL: grade below C"&amp;SG_Criteria!$B$19&amp;". ","")&amp;IF(AND(LEFT(D33,3)="Con",N(I33)&lt;F33,H33="Kallang Formation (marine clay)"),"NOTE: CBP is not watertight below GWT in marine clay; consider secant / grouting. ","")&amp;IF(AND(D33="Steel Sheet Pile",E33="Permanent"),"NOTE: permanent sheet pile needs corrosion allowance. ","")&amp;IF(AND(G33="Cantilever (no support)",F33&gt;6),"NOTE: cantilever embedded wall &gt; 6 m, check deflection. ","")&amp;IF(AND(T33&lt;&gt;"",U33&lt;&gt;"",T33&gt;U33),"FAIL: deflection exceeds allowable. ",""))=0,"OK",IF(AND(AC33&lt;&gt;"",IFERROR(VALUE(MID(AC33,2,2)),0)&lt;SG_Criteria!$B$19),"FAIL: grade below C"&amp;SG_Criteria!$B$19&amp;". ","")&amp;IF(AND(LEFT(D33,3)="Con",N(I33)&lt;F33,H33="Kallang Formation (marine clay)"),"NOTE: CBP is not watertight below GWT in marine clay; consider secant / grouting. ","")&amp;IF(AND(D33="Steel Sheet Pile",E33="Permanent"),"NOTE: permanent sheet pile needs corrosion allowance. ","")&amp;IF(AND(G33="Cantilever (no support)",F33&gt;6),"NOTE: cantilever embedded wall &gt; 6 m, check deflection. ","")&amp;IF(AND(T33&lt;&gt;"",U33&lt;&gt;"",T33&gt;U33),"FAIL: deflection exceeds allowable. ","")))</f>
        <v/>
      </c>
      <c r="BI33" s="9"/>
      <c r="BJ33" s="9"/>
      <c r="BK33" s="9"/>
      <c r="BL33" s="10" t="str">
        <f aca="false">IF(BK33="","",IFERROR(VLOOKUP(BK33,Projects!$A$5:$D$504,2,0),"Ref not in Projects"))</f>
        <v/>
      </c>
      <c r="BM33" s="10" t="str">
        <f aca="false">IF(BK33="","",IFERROR(VLOOKUP(BK33,Projects!$A$5:$D$504,4,0),"Ref not in Projects"))</f>
        <v/>
      </c>
      <c r="BN33" s="9"/>
      <c r="BO33" s="9"/>
      <c r="BP33" s="9"/>
      <c r="BQ33" s="40"/>
      <c r="BR33" s="9"/>
      <c r="BS33" s="40"/>
      <c r="BT33" s="9"/>
      <c r="BU33" s="40"/>
      <c r="BV33" s="9"/>
      <c r="BW33" s="9"/>
      <c r="BX33" s="9"/>
      <c r="BY33" s="40"/>
      <c r="BZ33" s="40"/>
      <c r="CA33" s="36" t="str">
        <f aca="false">IF(BZ33="","",EDATE(BZ33,SG_Criteria!$B$54*12))</f>
        <v/>
      </c>
      <c r="CB33" s="33" t="str">
        <f aca="true">IF(A33="","",IF(BZ33="","NOTE: not reviewed yet",IF(TODAY()&gt;CA33,"NOTE: review overdue","OK")))</f>
        <v/>
      </c>
      <c r="CC33" s="37" t="str">
        <f aca="false">IF(A33="","",ROUND((IF(LEN(D33)&gt;0,1,0)+IF(LEN(E33)&gt;0,1,0)+IF(LEN(F33)&gt;0,1,0)+IF(LEN(G33)&gt;0,1,0)+IF(LEN(H33)&gt;0,1,0)+IF(LEN(I33)&gt;0,1,0)+IF(LEN(K33)&gt;0,1,0)+IF(LEN(N33)&gt;0,1,0)+IF(LEN(O33)&gt;0,1,0)+IF(LEN(T33)&gt;0,1,0)+IF(LEN(U33)&gt;0,1,0)+IF(LEN(V33)&gt;0,1,0)+IF(LEN(AK33)&gt;0,1,0)+IF(LEN(AM33)&gt;0,1,0)+IF(LEN(AN33)&gt;0,1,0)+IF(LEN(AO33)&gt;0,1,0)+IF(LEN(AP33)&gt;0,1,0)+IF(LEN(AY33)&gt;0,1,0)+IF(LEN(BK33)&gt;0,1,0)+IF(LEN(BX33)&gt;0,1,0))/20,2))</f>
        <v/>
      </c>
      <c r="CD33" s="10" t="str">
        <f aca="false">IF(D33="","",IF(AND(AN33="Approved",ISERROR(SEARCH("FAIL",BH33))),"Y","N"))</f>
        <v/>
      </c>
      <c r="CE33" s="10" t="str">
        <f aca="false">IF(D33="","",D33&amp;"|"&amp;F33&amp;"|"&amp;G33&amp;"|"&amp;H33&amp;"|"&amp;E33&amp;"|"&amp;CD33)</f>
        <v/>
      </c>
    </row>
    <row r="34" customFormat="false" ht="15" hidden="false" customHeight="false" outlineLevel="0" collapsed="false">
      <c r="A34" s="10" t="str">
        <f aca="false">IF(D34="","","EW-"&amp;IFERROR(VLOOKUP(D34,Lists!$P$4:$Q$22,2,0),"??")&amp;"-D"&amp;TEXT(F34*1000,"0000")&amp;"-"&amp;IFERROR(VLOOKUP(G34,Lists!$S$4:$T$21,2,0),"??")&amp;"-"&amp;IFERROR(VLOOKUP(H34,Lists!$Y$4:$Z$21,2,0),"??")&amp;"-"&amp;IFERROR(VLOOKUP(E34,Lists!$V$4:$W$16,2,0),"??")&amp;"-"&amp;AM34)</f>
        <v/>
      </c>
      <c r="B34" s="10" t="str">
        <f aca="false">IF(D34="","",E34&amp;" "&amp;D34&amp;", excavation "&amp;TEXT(F34,"0.0")&amp;" m, "&amp;G34&amp;", "&amp;H34&amp;", "&amp;K34)</f>
        <v/>
      </c>
      <c r="C34" s="9"/>
      <c r="D34" s="9"/>
      <c r="E34" s="9"/>
      <c r="F34" s="42"/>
      <c r="G34" s="9"/>
      <c r="H34" s="9"/>
      <c r="I34" s="42"/>
      <c r="J34" s="38"/>
      <c r="K34" s="9"/>
      <c r="L34" s="9"/>
      <c r="M34" s="9"/>
      <c r="N34" s="42"/>
      <c r="O34" s="42"/>
      <c r="P34" s="9"/>
      <c r="Q34" s="9"/>
      <c r="R34" s="9"/>
      <c r="S34" s="9"/>
      <c r="T34" s="38"/>
      <c r="U34" s="38"/>
      <c r="V34" s="38"/>
      <c r="W34" s="38"/>
      <c r="X34" s="38"/>
      <c r="Y34" s="9"/>
      <c r="Z34" s="39"/>
      <c r="AA34" s="9"/>
      <c r="AB34" s="9"/>
      <c r="AC34" s="9"/>
      <c r="AD34" s="9"/>
      <c r="AE34" s="9"/>
      <c r="AF34" s="9"/>
      <c r="AG34" s="9"/>
      <c r="AH34" s="38"/>
      <c r="AI34" s="9"/>
      <c r="AJ34" s="39"/>
      <c r="AK34" s="9"/>
      <c r="AL34" s="9"/>
      <c r="AM34" s="9"/>
      <c r="AN34" s="9"/>
      <c r="AO34" s="9"/>
      <c r="AP34" s="9"/>
      <c r="AQ34" s="9"/>
      <c r="AR34" s="10" t="str">
        <f aca="false">IF(A34="","",SG_Criteria!$B$6&amp;SG_Criteria!$B$9&amp;"\"&amp;A34&amp;"\")</f>
        <v/>
      </c>
      <c r="AS34" s="10" t="str">
        <f aca="false">IF(A34="","",A34&amp;"_CAD.dwg")</f>
        <v/>
      </c>
      <c r="AT34" s="10" t="str">
        <f aca="false">IF(A34="","",A34&amp;"_DWG.pdf")</f>
        <v/>
      </c>
      <c r="AU34" s="10" t="str">
        <f aca="false">IF(A34="","",IF(AQ34="Y",A34&amp;"_STAAD.std","n/a"))</f>
        <v/>
      </c>
      <c r="AV34" s="10" t="str">
        <f aca="false">IF(A34="","",A34&amp;"_CALC.xlsx")</f>
        <v/>
      </c>
      <c r="AW34" s="10" t="str">
        <f aca="false">IF(A34="","",A34&amp;"_CALC.pdf")</f>
        <v/>
      </c>
      <c r="AX34" s="9"/>
      <c r="AY34" s="9"/>
      <c r="AZ34" s="39"/>
      <c r="BA34" s="39"/>
      <c r="BB34" s="39"/>
      <c r="BC34" s="39"/>
      <c r="BD34" s="39"/>
      <c r="BE34" s="12" t="str">
        <f aca="false">IF(A34="","",IF(COUNTIF(Rebar_Schedule!$A$5:$A$2004,A34)=0,"",ROUND(SUMIF(Rebar_Schedule!$A$5:$A$2004,A34,Rebar_Schedule!$K$5:$K$2004),1)))</f>
        <v/>
      </c>
      <c r="BF34" s="33" t="str">
        <f aca="false">IF(A34="","",IF(BE34="","No rebar schedule yet",IF(ABS(BE34-N(BA34))/MAX(N(BA34),1)&gt;SG_Criteria!$B$55,"NOTE: register rebar differs from schedule by "&amp;TEXT(ABS(BE34-N(BA34))/MAX(N(BA34),1),"0%"),"OK")))</f>
        <v/>
      </c>
      <c r="BG34" s="33" t="str">
        <f aca="false">IF(OR(D34="",F34=""),"",IF(F34&lt;=IF(D34="Soldier Pile &amp; Timber Lagging",SG_Criteria!$B$34,SG_Criteria!$B$33),"No ERSS submission",IF(F34&lt;=SG_Criteria!$B$35,"QP(ST)",IF(F34&lt;=SG_Criteria!$B$36,"QP(ST) + AC","Geotechnical building works: QP(Geo) + AC"))))</f>
        <v/>
      </c>
      <c r="BH34" s="33" t="str">
        <f aca="false">IF(D34="","",IF(LEN(IF(AND(AC34&lt;&gt;"",IFERROR(VALUE(MID(AC34,2,2)),0)&lt;SG_Criteria!$B$19),"FAIL: grade below C"&amp;SG_Criteria!$B$19&amp;". ","")&amp;IF(AND(LEFT(D34,3)="Con",N(I34)&lt;F34,H34="Kallang Formation (marine clay)"),"NOTE: CBP is not watertight below GWT in marine clay; consider secant / grouting. ","")&amp;IF(AND(D34="Steel Sheet Pile",E34="Permanent"),"NOTE: permanent sheet pile needs corrosion allowance. ","")&amp;IF(AND(G34="Cantilever (no support)",F34&gt;6),"NOTE: cantilever embedded wall &gt; 6 m, check deflection. ","")&amp;IF(AND(T34&lt;&gt;"",U34&lt;&gt;"",T34&gt;U34),"FAIL: deflection exceeds allowable. ",""))=0,"OK",IF(AND(AC34&lt;&gt;"",IFERROR(VALUE(MID(AC34,2,2)),0)&lt;SG_Criteria!$B$19),"FAIL: grade below C"&amp;SG_Criteria!$B$19&amp;". ","")&amp;IF(AND(LEFT(D34,3)="Con",N(I34)&lt;F34,H34="Kallang Formation (marine clay)"),"NOTE: CBP is not watertight below GWT in marine clay; consider secant / grouting. ","")&amp;IF(AND(D34="Steel Sheet Pile",E34="Permanent"),"NOTE: permanent sheet pile needs corrosion allowance. ","")&amp;IF(AND(G34="Cantilever (no support)",F34&gt;6),"NOTE: cantilever embedded wall &gt; 6 m, check deflection. ","")&amp;IF(AND(T34&lt;&gt;"",U34&lt;&gt;"",T34&gt;U34),"FAIL: deflection exceeds allowable. ","")))</f>
        <v/>
      </c>
      <c r="BI34" s="9"/>
      <c r="BJ34" s="9"/>
      <c r="BK34" s="9"/>
      <c r="BL34" s="10" t="str">
        <f aca="false">IF(BK34="","",IFERROR(VLOOKUP(BK34,Projects!$A$5:$D$504,2,0),"Ref not in Projects"))</f>
        <v/>
      </c>
      <c r="BM34" s="10" t="str">
        <f aca="false">IF(BK34="","",IFERROR(VLOOKUP(BK34,Projects!$A$5:$D$504,4,0),"Ref not in Projects"))</f>
        <v/>
      </c>
      <c r="BN34" s="9"/>
      <c r="BO34" s="9"/>
      <c r="BP34" s="9"/>
      <c r="BQ34" s="40"/>
      <c r="BR34" s="9"/>
      <c r="BS34" s="40"/>
      <c r="BT34" s="9"/>
      <c r="BU34" s="40"/>
      <c r="BV34" s="9"/>
      <c r="BW34" s="9"/>
      <c r="BX34" s="9"/>
      <c r="BY34" s="40"/>
      <c r="BZ34" s="40"/>
      <c r="CA34" s="36" t="str">
        <f aca="false">IF(BZ34="","",EDATE(BZ34,SG_Criteria!$B$54*12))</f>
        <v/>
      </c>
      <c r="CB34" s="33" t="str">
        <f aca="true">IF(A34="","",IF(BZ34="","NOTE: not reviewed yet",IF(TODAY()&gt;CA34,"NOTE: review overdue","OK")))</f>
        <v/>
      </c>
      <c r="CC34" s="37" t="str">
        <f aca="false">IF(A34="","",ROUND((IF(LEN(D34)&gt;0,1,0)+IF(LEN(E34)&gt;0,1,0)+IF(LEN(F34)&gt;0,1,0)+IF(LEN(G34)&gt;0,1,0)+IF(LEN(H34)&gt;0,1,0)+IF(LEN(I34)&gt;0,1,0)+IF(LEN(K34)&gt;0,1,0)+IF(LEN(N34)&gt;0,1,0)+IF(LEN(O34)&gt;0,1,0)+IF(LEN(T34)&gt;0,1,0)+IF(LEN(U34)&gt;0,1,0)+IF(LEN(V34)&gt;0,1,0)+IF(LEN(AK34)&gt;0,1,0)+IF(LEN(AM34)&gt;0,1,0)+IF(LEN(AN34)&gt;0,1,0)+IF(LEN(AO34)&gt;0,1,0)+IF(LEN(AP34)&gt;0,1,0)+IF(LEN(AY34)&gt;0,1,0)+IF(LEN(BK34)&gt;0,1,0)+IF(LEN(BX34)&gt;0,1,0))/20,2))</f>
        <v/>
      </c>
      <c r="CD34" s="10" t="str">
        <f aca="false">IF(D34="","",IF(AND(AN34="Approved",ISERROR(SEARCH("FAIL",BH34))),"Y","N"))</f>
        <v/>
      </c>
      <c r="CE34" s="10" t="str">
        <f aca="false">IF(D34="","",D34&amp;"|"&amp;F34&amp;"|"&amp;G34&amp;"|"&amp;H34&amp;"|"&amp;E34&amp;"|"&amp;CD34)</f>
        <v/>
      </c>
    </row>
    <row r="35" customFormat="false" ht="15" hidden="false" customHeight="false" outlineLevel="0" collapsed="false">
      <c r="A35" s="10" t="str">
        <f aca="false">IF(D35="","","EW-"&amp;IFERROR(VLOOKUP(D35,Lists!$P$4:$Q$22,2,0),"??")&amp;"-D"&amp;TEXT(F35*1000,"0000")&amp;"-"&amp;IFERROR(VLOOKUP(G35,Lists!$S$4:$T$21,2,0),"??")&amp;"-"&amp;IFERROR(VLOOKUP(H35,Lists!$Y$4:$Z$21,2,0),"??")&amp;"-"&amp;IFERROR(VLOOKUP(E35,Lists!$V$4:$W$16,2,0),"??")&amp;"-"&amp;AM35)</f>
        <v/>
      </c>
      <c r="B35" s="10" t="str">
        <f aca="false">IF(D35="","",E35&amp;" "&amp;D35&amp;", excavation "&amp;TEXT(F35,"0.0")&amp;" m, "&amp;G35&amp;", "&amp;H35&amp;", "&amp;K35)</f>
        <v/>
      </c>
      <c r="C35" s="9"/>
      <c r="D35" s="9"/>
      <c r="E35" s="9"/>
      <c r="F35" s="42"/>
      <c r="G35" s="9"/>
      <c r="H35" s="9"/>
      <c r="I35" s="42"/>
      <c r="J35" s="38"/>
      <c r="K35" s="9"/>
      <c r="L35" s="9"/>
      <c r="M35" s="9"/>
      <c r="N35" s="42"/>
      <c r="O35" s="42"/>
      <c r="P35" s="9"/>
      <c r="Q35" s="9"/>
      <c r="R35" s="9"/>
      <c r="S35" s="9"/>
      <c r="T35" s="38"/>
      <c r="U35" s="38"/>
      <c r="V35" s="38"/>
      <c r="W35" s="38"/>
      <c r="X35" s="38"/>
      <c r="Y35" s="9"/>
      <c r="Z35" s="39"/>
      <c r="AA35" s="9"/>
      <c r="AB35" s="9"/>
      <c r="AC35" s="9"/>
      <c r="AD35" s="9"/>
      <c r="AE35" s="9"/>
      <c r="AF35" s="9"/>
      <c r="AG35" s="9"/>
      <c r="AH35" s="38"/>
      <c r="AI35" s="9"/>
      <c r="AJ35" s="39"/>
      <c r="AK35" s="9"/>
      <c r="AL35" s="9"/>
      <c r="AM35" s="9"/>
      <c r="AN35" s="9"/>
      <c r="AO35" s="9"/>
      <c r="AP35" s="9"/>
      <c r="AQ35" s="9"/>
      <c r="AR35" s="10" t="str">
        <f aca="false">IF(A35="","",SG_Criteria!$B$6&amp;SG_Criteria!$B$9&amp;"\"&amp;A35&amp;"\")</f>
        <v/>
      </c>
      <c r="AS35" s="10" t="str">
        <f aca="false">IF(A35="","",A35&amp;"_CAD.dwg")</f>
        <v/>
      </c>
      <c r="AT35" s="10" t="str">
        <f aca="false">IF(A35="","",A35&amp;"_DWG.pdf")</f>
        <v/>
      </c>
      <c r="AU35" s="10" t="str">
        <f aca="false">IF(A35="","",IF(AQ35="Y",A35&amp;"_STAAD.std","n/a"))</f>
        <v/>
      </c>
      <c r="AV35" s="10" t="str">
        <f aca="false">IF(A35="","",A35&amp;"_CALC.xlsx")</f>
        <v/>
      </c>
      <c r="AW35" s="10" t="str">
        <f aca="false">IF(A35="","",A35&amp;"_CALC.pdf")</f>
        <v/>
      </c>
      <c r="AX35" s="9"/>
      <c r="AY35" s="9"/>
      <c r="AZ35" s="39"/>
      <c r="BA35" s="39"/>
      <c r="BB35" s="39"/>
      <c r="BC35" s="39"/>
      <c r="BD35" s="39"/>
      <c r="BE35" s="12" t="str">
        <f aca="false">IF(A35="","",IF(COUNTIF(Rebar_Schedule!$A$5:$A$2004,A35)=0,"",ROUND(SUMIF(Rebar_Schedule!$A$5:$A$2004,A35,Rebar_Schedule!$K$5:$K$2004),1)))</f>
        <v/>
      </c>
      <c r="BF35" s="33" t="str">
        <f aca="false">IF(A35="","",IF(BE35="","No rebar schedule yet",IF(ABS(BE35-N(BA35))/MAX(N(BA35),1)&gt;SG_Criteria!$B$55,"NOTE: register rebar differs from schedule by "&amp;TEXT(ABS(BE35-N(BA35))/MAX(N(BA35),1),"0%"),"OK")))</f>
        <v/>
      </c>
      <c r="BG35" s="33" t="str">
        <f aca="false">IF(OR(D35="",F35=""),"",IF(F35&lt;=IF(D35="Soldier Pile &amp; Timber Lagging",SG_Criteria!$B$34,SG_Criteria!$B$33),"No ERSS submission",IF(F35&lt;=SG_Criteria!$B$35,"QP(ST)",IF(F35&lt;=SG_Criteria!$B$36,"QP(ST) + AC","Geotechnical building works: QP(Geo) + AC"))))</f>
        <v/>
      </c>
      <c r="BH35" s="33" t="str">
        <f aca="false">IF(D35="","",IF(LEN(IF(AND(AC35&lt;&gt;"",IFERROR(VALUE(MID(AC35,2,2)),0)&lt;SG_Criteria!$B$19),"FAIL: grade below C"&amp;SG_Criteria!$B$19&amp;". ","")&amp;IF(AND(LEFT(D35,3)="Con",N(I35)&lt;F35,H35="Kallang Formation (marine clay)"),"NOTE: CBP is not watertight below GWT in marine clay; consider secant / grouting. ","")&amp;IF(AND(D35="Steel Sheet Pile",E35="Permanent"),"NOTE: permanent sheet pile needs corrosion allowance. ","")&amp;IF(AND(G35="Cantilever (no support)",F35&gt;6),"NOTE: cantilever embedded wall &gt; 6 m, check deflection. ","")&amp;IF(AND(T35&lt;&gt;"",U35&lt;&gt;"",T35&gt;U35),"FAIL: deflection exceeds allowable. ",""))=0,"OK",IF(AND(AC35&lt;&gt;"",IFERROR(VALUE(MID(AC35,2,2)),0)&lt;SG_Criteria!$B$19),"FAIL: grade below C"&amp;SG_Criteria!$B$19&amp;". ","")&amp;IF(AND(LEFT(D35,3)="Con",N(I35)&lt;F35,H35="Kallang Formation (marine clay)"),"NOTE: CBP is not watertight below GWT in marine clay; consider secant / grouting. ","")&amp;IF(AND(D35="Steel Sheet Pile",E35="Permanent"),"NOTE: permanent sheet pile needs corrosion allowance. ","")&amp;IF(AND(G35="Cantilever (no support)",F35&gt;6),"NOTE: cantilever embedded wall &gt; 6 m, check deflection. ","")&amp;IF(AND(T35&lt;&gt;"",U35&lt;&gt;"",T35&gt;U35),"FAIL: deflection exceeds allowable. ","")))</f>
        <v/>
      </c>
      <c r="BI35" s="9"/>
      <c r="BJ35" s="9"/>
      <c r="BK35" s="9"/>
      <c r="BL35" s="10" t="str">
        <f aca="false">IF(BK35="","",IFERROR(VLOOKUP(BK35,Projects!$A$5:$D$504,2,0),"Ref not in Projects"))</f>
        <v/>
      </c>
      <c r="BM35" s="10" t="str">
        <f aca="false">IF(BK35="","",IFERROR(VLOOKUP(BK35,Projects!$A$5:$D$504,4,0),"Ref not in Projects"))</f>
        <v/>
      </c>
      <c r="BN35" s="9"/>
      <c r="BO35" s="9"/>
      <c r="BP35" s="9"/>
      <c r="BQ35" s="40"/>
      <c r="BR35" s="9"/>
      <c r="BS35" s="40"/>
      <c r="BT35" s="9"/>
      <c r="BU35" s="40"/>
      <c r="BV35" s="9"/>
      <c r="BW35" s="9"/>
      <c r="BX35" s="9"/>
      <c r="BY35" s="40"/>
      <c r="BZ35" s="40"/>
      <c r="CA35" s="36" t="str">
        <f aca="false">IF(BZ35="","",EDATE(BZ35,SG_Criteria!$B$54*12))</f>
        <v/>
      </c>
      <c r="CB35" s="33" t="str">
        <f aca="true">IF(A35="","",IF(BZ35="","NOTE: not reviewed yet",IF(TODAY()&gt;CA35,"NOTE: review overdue","OK")))</f>
        <v/>
      </c>
      <c r="CC35" s="37" t="str">
        <f aca="false">IF(A35="","",ROUND((IF(LEN(D35)&gt;0,1,0)+IF(LEN(E35)&gt;0,1,0)+IF(LEN(F35)&gt;0,1,0)+IF(LEN(G35)&gt;0,1,0)+IF(LEN(H35)&gt;0,1,0)+IF(LEN(I35)&gt;0,1,0)+IF(LEN(K35)&gt;0,1,0)+IF(LEN(N35)&gt;0,1,0)+IF(LEN(O35)&gt;0,1,0)+IF(LEN(T35)&gt;0,1,0)+IF(LEN(U35)&gt;0,1,0)+IF(LEN(V35)&gt;0,1,0)+IF(LEN(AK35)&gt;0,1,0)+IF(LEN(AM35)&gt;0,1,0)+IF(LEN(AN35)&gt;0,1,0)+IF(LEN(AO35)&gt;0,1,0)+IF(LEN(AP35)&gt;0,1,0)+IF(LEN(AY35)&gt;0,1,0)+IF(LEN(BK35)&gt;0,1,0)+IF(LEN(BX35)&gt;0,1,0))/20,2))</f>
        <v/>
      </c>
      <c r="CD35" s="10" t="str">
        <f aca="false">IF(D35="","",IF(AND(AN35="Approved",ISERROR(SEARCH("FAIL",BH35))),"Y","N"))</f>
        <v/>
      </c>
      <c r="CE35" s="10" t="str">
        <f aca="false">IF(D35="","",D35&amp;"|"&amp;F35&amp;"|"&amp;G35&amp;"|"&amp;H35&amp;"|"&amp;E35&amp;"|"&amp;CD35)</f>
        <v/>
      </c>
    </row>
    <row r="36" customFormat="false" ht="15" hidden="false" customHeight="false" outlineLevel="0" collapsed="false">
      <c r="A36" s="10" t="str">
        <f aca="false">IF(D36="","","EW-"&amp;IFERROR(VLOOKUP(D36,Lists!$P$4:$Q$22,2,0),"??")&amp;"-D"&amp;TEXT(F36*1000,"0000")&amp;"-"&amp;IFERROR(VLOOKUP(G36,Lists!$S$4:$T$21,2,0),"??")&amp;"-"&amp;IFERROR(VLOOKUP(H36,Lists!$Y$4:$Z$21,2,0),"??")&amp;"-"&amp;IFERROR(VLOOKUP(E36,Lists!$V$4:$W$16,2,0),"??")&amp;"-"&amp;AM36)</f>
        <v/>
      </c>
      <c r="B36" s="10" t="str">
        <f aca="false">IF(D36="","",E36&amp;" "&amp;D36&amp;", excavation "&amp;TEXT(F36,"0.0")&amp;" m, "&amp;G36&amp;", "&amp;H36&amp;", "&amp;K36)</f>
        <v/>
      </c>
      <c r="C36" s="9"/>
      <c r="D36" s="9"/>
      <c r="E36" s="9"/>
      <c r="F36" s="42"/>
      <c r="G36" s="9"/>
      <c r="H36" s="9"/>
      <c r="I36" s="42"/>
      <c r="J36" s="38"/>
      <c r="K36" s="9"/>
      <c r="L36" s="9"/>
      <c r="M36" s="9"/>
      <c r="N36" s="42"/>
      <c r="O36" s="42"/>
      <c r="P36" s="9"/>
      <c r="Q36" s="9"/>
      <c r="R36" s="9"/>
      <c r="S36" s="9"/>
      <c r="T36" s="38"/>
      <c r="U36" s="38"/>
      <c r="V36" s="38"/>
      <c r="W36" s="38"/>
      <c r="X36" s="38"/>
      <c r="Y36" s="9"/>
      <c r="Z36" s="39"/>
      <c r="AA36" s="9"/>
      <c r="AB36" s="9"/>
      <c r="AC36" s="9"/>
      <c r="AD36" s="9"/>
      <c r="AE36" s="9"/>
      <c r="AF36" s="9"/>
      <c r="AG36" s="9"/>
      <c r="AH36" s="38"/>
      <c r="AI36" s="9"/>
      <c r="AJ36" s="39"/>
      <c r="AK36" s="9"/>
      <c r="AL36" s="9"/>
      <c r="AM36" s="9"/>
      <c r="AN36" s="9"/>
      <c r="AO36" s="9"/>
      <c r="AP36" s="9"/>
      <c r="AQ36" s="9"/>
      <c r="AR36" s="10" t="str">
        <f aca="false">IF(A36="","",SG_Criteria!$B$6&amp;SG_Criteria!$B$9&amp;"\"&amp;A36&amp;"\")</f>
        <v/>
      </c>
      <c r="AS36" s="10" t="str">
        <f aca="false">IF(A36="","",A36&amp;"_CAD.dwg")</f>
        <v/>
      </c>
      <c r="AT36" s="10" t="str">
        <f aca="false">IF(A36="","",A36&amp;"_DWG.pdf")</f>
        <v/>
      </c>
      <c r="AU36" s="10" t="str">
        <f aca="false">IF(A36="","",IF(AQ36="Y",A36&amp;"_STAAD.std","n/a"))</f>
        <v/>
      </c>
      <c r="AV36" s="10" t="str">
        <f aca="false">IF(A36="","",A36&amp;"_CALC.xlsx")</f>
        <v/>
      </c>
      <c r="AW36" s="10" t="str">
        <f aca="false">IF(A36="","",A36&amp;"_CALC.pdf")</f>
        <v/>
      </c>
      <c r="AX36" s="9"/>
      <c r="AY36" s="9"/>
      <c r="AZ36" s="39"/>
      <c r="BA36" s="39"/>
      <c r="BB36" s="39"/>
      <c r="BC36" s="39"/>
      <c r="BD36" s="39"/>
      <c r="BE36" s="12" t="str">
        <f aca="false">IF(A36="","",IF(COUNTIF(Rebar_Schedule!$A$5:$A$2004,A36)=0,"",ROUND(SUMIF(Rebar_Schedule!$A$5:$A$2004,A36,Rebar_Schedule!$K$5:$K$2004),1)))</f>
        <v/>
      </c>
      <c r="BF36" s="33" t="str">
        <f aca="false">IF(A36="","",IF(BE36="","No rebar schedule yet",IF(ABS(BE36-N(BA36))/MAX(N(BA36),1)&gt;SG_Criteria!$B$55,"NOTE: register rebar differs from schedule by "&amp;TEXT(ABS(BE36-N(BA36))/MAX(N(BA36),1),"0%"),"OK")))</f>
        <v/>
      </c>
      <c r="BG36" s="33" t="str">
        <f aca="false">IF(OR(D36="",F36=""),"",IF(F36&lt;=IF(D36="Soldier Pile &amp; Timber Lagging",SG_Criteria!$B$34,SG_Criteria!$B$33),"No ERSS submission",IF(F36&lt;=SG_Criteria!$B$35,"QP(ST)",IF(F36&lt;=SG_Criteria!$B$36,"QP(ST) + AC","Geotechnical building works: QP(Geo) + AC"))))</f>
        <v/>
      </c>
      <c r="BH36" s="33" t="str">
        <f aca="false">IF(D36="","",IF(LEN(IF(AND(AC36&lt;&gt;"",IFERROR(VALUE(MID(AC36,2,2)),0)&lt;SG_Criteria!$B$19),"FAIL: grade below C"&amp;SG_Criteria!$B$19&amp;". ","")&amp;IF(AND(LEFT(D36,3)="Con",N(I36)&lt;F36,H36="Kallang Formation (marine clay)"),"NOTE: CBP is not watertight below GWT in marine clay; consider secant / grouting. ","")&amp;IF(AND(D36="Steel Sheet Pile",E36="Permanent"),"NOTE: permanent sheet pile needs corrosion allowance. ","")&amp;IF(AND(G36="Cantilever (no support)",F36&gt;6),"NOTE: cantilever embedded wall &gt; 6 m, check deflection. ","")&amp;IF(AND(T36&lt;&gt;"",U36&lt;&gt;"",T36&gt;U36),"FAIL: deflection exceeds allowable. ",""))=0,"OK",IF(AND(AC36&lt;&gt;"",IFERROR(VALUE(MID(AC36,2,2)),0)&lt;SG_Criteria!$B$19),"FAIL: grade below C"&amp;SG_Criteria!$B$19&amp;". ","")&amp;IF(AND(LEFT(D36,3)="Con",N(I36)&lt;F36,H36="Kallang Formation (marine clay)"),"NOTE: CBP is not watertight below GWT in marine clay; consider secant / grouting. ","")&amp;IF(AND(D36="Steel Sheet Pile",E36="Permanent"),"NOTE: permanent sheet pile needs corrosion allowance. ","")&amp;IF(AND(G36="Cantilever (no support)",F36&gt;6),"NOTE: cantilever embedded wall &gt; 6 m, check deflection. ","")&amp;IF(AND(T36&lt;&gt;"",U36&lt;&gt;"",T36&gt;U36),"FAIL: deflection exceeds allowable. ","")))</f>
        <v/>
      </c>
      <c r="BI36" s="9"/>
      <c r="BJ36" s="9"/>
      <c r="BK36" s="9"/>
      <c r="BL36" s="10" t="str">
        <f aca="false">IF(BK36="","",IFERROR(VLOOKUP(BK36,Projects!$A$5:$D$504,2,0),"Ref not in Projects"))</f>
        <v/>
      </c>
      <c r="BM36" s="10" t="str">
        <f aca="false">IF(BK36="","",IFERROR(VLOOKUP(BK36,Projects!$A$5:$D$504,4,0),"Ref not in Projects"))</f>
        <v/>
      </c>
      <c r="BN36" s="9"/>
      <c r="BO36" s="9"/>
      <c r="BP36" s="9"/>
      <c r="BQ36" s="40"/>
      <c r="BR36" s="9"/>
      <c r="BS36" s="40"/>
      <c r="BT36" s="9"/>
      <c r="BU36" s="40"/>
      <c r="BV36" s="9"/>
      <c r="BW36" s="9"/>
      <c r="BX36" s="9"/>
      <c r="BY36" s="40"/>
      <c r="BZ36" s="40"/>
      <c r="CA36" s="36" t="str">
        <f aca="false">IF(BZ36="","",EDATE(BZ36,SG_Criteria!$B$54*12))</f>
        <v/>
      </c>
      <c r="CB36" s="33" t="str">
        <f aca="true">IF(A36="","",IF(BZ36="","NOTE: not reviewed yet",IF(TODAY()&gt;CA36,"NOTE: review overdue","OK")))</f>
        <v/>
      </c>
      <c r="CC36" s="37" t="str">
        <f aca="false">IF(A36="","",ROUND((IF(LEN(D36)&gt;0,1,0)+IF(LEN(E36)&gt;0,1,0)+IF(LEN(F36)&gt;0,1,0)+IF(LEN(G36)&gt;0,1,0)+IF(LEN(H36)&gt;0,1,0)+IF(LEN(I36)&gt;0,1,0)+IF(LEN(K36)&gt;0,1,0)+IF(LEN(N36)&gt;0,1,0)+IF(LEN(O36)&gt;0,1,0)+IF(LEN(T36)&gt;0,1,0)+IF(LEN(U36)&gt;0,1,0)+IF(LEN(V36)&gt;0,1,0)+IF(LEN(AK36)&gt;0,1,0)+IF(LEN(AM36)&gt;0,1,0)+IF(LEN(AN36)&gt;0,1,0)+IF(LEN(AO36)&gt;0,1,0)+IF(LEN(AP36)&gt;0,1,0)+IF(LEN(AY36)&gt;0,1,0)+IF(LEN(BK36)&gt;0,1,0)+IF(LEN(BX36)&gt;0,1,0))/20,2))</f>
        <v/>
      </c>
      <c r="CD36" s="10" t="str">
        <f aca="false">IF(D36="","",IF(AND(AN36="Approved",ISERROR(SEARCH("FAIL",BH36))),"Y","N"))</f>
        <v/>
      </c>
      <c r="CE36" s="10" t="str">
        <f aca="false">IF(D36="","",D36&amp;"|"&amp;F36&amp;"|"&amp;G36&amp;"|"&amp;H36&amp;"|"&amp;E36&amp;"|"&amp;CD36)</f>
        <v/>
      </c>
    </row>
    <row r="37" customFormat="false" ht="15" hidden="false" customHeight="false" outlineLevel="0" collapsed="false">
      <c r="A37" s="10" t="str">
        <f aca="false">IF(D37="","","EW-"&amp;IFERROR(VLOOKUP(D37,Lists!$P$4:$Q$22,2,0),"??")&amp;"-D"&amp;TEXT(F37*1000,"0000")&amp;"-"&amp;IFERROR(VLOOKUP(G37,Lists!$S$4:$T$21,2,0),"??")&amp;"-"&amp;IFERROR(VLOOKUP(H37,Lists!$Y$4:$Z$21,2,0),"??")&amp;"-"&amp;IFERROR(VLOOKUP(E37,Lists!$V$4:$W$16,2,0),"??")&amp;"-"&amp;AM37)</f>
        <v/>
      </c>
      <c r="B37" s="10" t="str">
        <f aca="false">IF(D37="","",E37&amp;" "&amp;D37&amp;", excavation "&amp;TEXT(F37,"0.0")&amp;" m, "&amp;G37&amp;", "&amp;H37&amp;", "&amp;K37)</f>
        <v/>
      </c>
      <c r="C37" s="9"/>
      <c r="D37" s="9"/>
      <c r="E37" s="9"/>
      <c r="F37" s="42"/>
      <c r="G37" s="9"/>
      <c r="H37" s="9"/>
      <c r="I37" s="42"/>
      <c r="J37" s="38"/>
      <c r="K37" s="9"/>
      <c r="L37" s="9"/>
      <c r="M37" s="9"/>
      <c r="N37" s="42"/>
      <c r="O37" s="42"/>
      <c r="P37" s="9"/>
      <c r="Q37" s="9"/>
      <c r="R37" s="9"/>
      <c r="S37" s="9"/>
      <c r="T37" s="38"/>
      <c r="U37" s="38"/>
      <c r="V37" s="38"/>
      <c r="W37" s="38"/>
      <c r="X37" s="38"/>
      <c r="Y37" s="9"/>
      <c r="Z37" s="39"/>
      <c r="AA37" s="9"/>
      <c r="AB37" s="9"/>
      <c r="AC37" s="9"/>
      <c r="AD37" s="9"/>
      <c r="AE37" s="9"/>
      <c r="AF37" s="9"/>
      <c r="AG37" s="9"/>
      <c r="AH37" s="38"/>
      <c r="AI37" s="9"/>
      <c r="AJ37" s="39"/>
      <c r="AK37" s="9"/>
      <c r="AL37" s="9"/>
      <c r="AM37" s="9"/>
      <c r="AN37" s="9"/>
      <c r="AO37" s="9"/>
      <c r="AP37" s="9"/>
      <c r="AQ37" s="9"/>
      <c r="AR37" s="10" t="str">
        <f aca="false">IF(A37="","",SG_Criteria!$B$6&amp;SG_Criteria!$B$9&amp;"\"&amp;A37&amp;"\")</f>
        <v/>
      </c>
      <c r="AS37" s="10" t="str">
        <f aca="false">IF(A37="","",A37&amp;"_CAD.dwg")</f>
        <v/>
      </c>
      <c r="AT37" s="10" t="str">
        <f aca="false">IF(A37="","",A37&amp;"_DWG.pdf")</f>
        <v/>
      </c>
      <c r="AU37" s="10" t="str">
        <f aca="false">IF(A37="","",IF(AQ37="Y",A37&amp;"_STAAD.std","n/a"))</f>
        <v/>
      </c>
      <c r="AV37" s="10" t="str">
        <f aca="false">IF(A37="","",A37&amp;"_CALC.xlsx")</f>
        <v/>
      </c>
      <c r="AW37" s="10" t="str">
        <f aca="false">IF(A37="","",A37&amp;"_CALC.pdf")</f>
        <v/>
      </c>
      <c r="AX37" s="9"/>
      <c r="AY37" s="9"/>
      <c r="AZ37" s="39"/>
      <c r="BA37" s="39"/>
      <c r="BB37" s="39"/>
      <c r="BC37" s="39"/>
      <c r="BD37" s="39"/>
      <c r="BE37" s="12" t="str">
        <f aca="false">IF(A37="","",IF(COUNTIF(Rebar_Schedule!$A$5:$A$2004,A37)=0,"",ROUND(SUMIF(Rebar_Schedule!$A$5:$A$2004,A37,Rebar_Schedule!$K$5:$K$2004),1)))</f>
        <v/>
      </c>
      <c r="BF37" s="33" t="str">
        <f aca="false">IF(A37="","",IF(BE37="","No rebar schedule yet",IF(ABS(BE37-N(BA37))/MAX(N(BA37),1)&gt;SG_Criteria!$B$55,"NOTE: register rebar differs from schedule by "&amp;TEXT(ABS(BE37-N(BA37))/MAX(N(BA37),1),"0%"),"OK")))</f>
        <v/>
      </c>
      <c r="BG37" s="33" t="str">
        <f aca="false">IF(OR(D37="",F37=""),"",IF(F37&lt;=IF(D37="Soldier Pile &amp; Timber Lagging",SG_Criteria!$B$34,SG_Criteria!$B$33),"No ERSS submission",IF(F37&lt;=SG_Criteria!$B$35,"QP(ST)",IF(F37&lt;=SG_Criteria!$B$36,"QP(ST) + AC","Geotechnical building works: QP(Geo) + AC"))))</f>
        <v/>
      </c>
      <c r="BH37" s="33" t="str">
        <f aca="false">IF(D37="","",IF(LEN(IF(AND(AC37&lt;&gt;"",IFERROR(VALUE(MID(AC37,2,2)),0)&lt;SG_Criteria!$B$19),"FAIL: grade below C"&amp;SG_Criteria!$B$19&amp;". ","")&amp;IF(AND(LEFT(D37,3)="Con",N(I37)&lt;F37,H37="Kallang Formation (marine clay)"),"NOTE: CBP is not watertight below GWT in marine clay; consider secant / grouting. ","")&amp;IF(AND(D37="Steel Sheet Pile",E37="Permanent"),"NOTE: permanent sheet pile needs corrosion allowance. ","")&amp;IF(AND(G37="Cantilever (no support)",F37&gt;6),"NOTE: cantilever embedded wall &gt; 6 m, check deflection. ","")&amp;IF(AND(T37&lt;&gt;"",U37&lt;&gt;"",T37&gt;U37),"FAIL: deflection exceeds allowable. ",""))=0,"OK",IF(AND(AC37&lt;&gt;"",IFERROR(VALUE(MID(AC37,2,2)),0)&lt;SG_Criteria!$B$19),"FAIL: grade below C"&amp;SG_Criteria!$B$19&amp;". ","")&amp;IF(AND(LEFT(D37,3)="Con",N(I37)&lt;F37,H37="Kallang Formation (marine clay)"),"NOTE: CBP is not watertight below GWT in marine clay; consider secant / grouting. ","")&amp;IF(AND(D37="Steel Sheet Pile",E37="Permanent"),"NOTE: permanent sheet pile needs corrosion allowance. ","")&amp;IF(AND(G37="Cantilever (no support)",F37&gt;6),"NOTE: cantilever embedded wall &gt; 6 m, check deflection. ","")&amp;IF(AND(T37&lt;&gt;"",U37&lt;&gt;"",T37&gt;U37),"FAIL: deflection exceeds allowable. ","")))</f>
        <v/>
      </c>
      <c r="BI37" s="9"/>
      <c r="BJ37" s="9"/>
      <c r="BK37" s="9"/>
      <c r="BL37" s="10" t="str">
        <f aca="false">IF(BK37="","",IFERROR(VLOOKUP(BK37,Projects!$A$5:$D$504,2,0),"Ref not in Projects"))</f>
        <v/>
      </c>
      <c r="BM37" s="10" t="str">
        <f aca="false">IF(BK37="","",IFERROR(VLOOKUP(BK37,Projects!$A$5:$D$504,4,0),"Ref not in Projects"))</f>
        <v/>
      </c>
      <c r="BN37" s="9"/>
      <c r="BO37" s="9"/>
      <c r="BP37" s="9"/>
      <c r="BQ37" s="40"/>
      <c r="BR37" s="9"/>
      <c r="BS37" s="40"/>
      <c r="BT37" s="9"/>
      <c r="BU37" s="40"/>
      <c r="BV37" s="9"/>
      <c r="BW37" s="9"/>
      <c r="BX37" s="9"/>
      <c r="BY37" s="40"/>
      <c r="BZ37" s="40"/>
      <c r="CA37" s="36" t="str">
        <f aca="false">IF(BZ37="","",EDATE(BZ37,SG_Criteria!$B$54*12))</f>
        <v/>
      </c>
      <c r="CB37" s="33" t="str">
        <f aca="true">IF(A37="","",IF(BZ37="","NOTE: not reviewed yet",IF(TODAY()&gt;CA37,"NOTE: review overdue","OK")))</f>
        <v/>
      </c>
      <c r="CC37" s="37" t="str">
        <f aca="false">IF(A37="","",ROUND((IF(LEN(D37)&gt;0,1,0)+IF(LEN(E37)&gt;0,1,0)+IF(LEN(F37)&gt;0,1,0)+IF(LEN(G37)&gt;0,1,0)+IF(LEN(H37)&gt;0,1,0)+IF(LEN(I37)&gt;0,1,0)+IF(LEN(K37)&gt;0,1,0)+IF(LEN(N37)&gt;0,1,0)+IF(LEN(O37)&gt;0,1,0)+IF(LEN(T37)&gt;0,1,0)+IF(LEN(U37)&gt;0,1,0)+IF(LEN(V37)&gt;0,1,0)+IF(LEN(AK37)&gt;0,1,0)+IF(LEN(AM37)&gt;0,1,0)+IF(LEN(AN37)&gt;0,1,0)+IF(LEN(AO37)&gt;0,1,0)+IF(LEN(AP37)&gt;0,1,0)+IF(LEN(AY37)&gt;0,1,0)+IF(LEN(BK37)&gt;0,1,0)+IF(LEN(BX37)&gt;0,1,0))/20,2))</f>
        <v/>
      </c>
      <c r="CD37" s="10" t="str">
        <f aca="false">IF(D37="","",IF(AND(AN37="Approved",ISERROR(SEARCH("FAIL",BH37))),"Y","N"))</f>
        <v/>
      </c>
      <c r="CE37" s="10" t="str">
        <f aca="false">IF(D37="","",D37&amp;"|"&amp;F37&amp;"|"&amp;G37&amp;"|"&amp;H37&amp;"|"&amp;E37&amp;"|"&amp;CD37)</f>
        <v/>
      </c>
    </row>
    <row r="38" customFormat="false" ht="15" hidden="false" customHeight="false" outlineLevel="0" collapsed="false">
      <c r="A38" s="10" t="str">
        <f aca="false">IF(D38="","","EW-"&amp;IFERROR(VLOOKUP(D38,Lists!$P$4:$Q$22,2,0),"??")&amp;"-D"&amp;TEXT(F38*1000,"0000")&amp;"-"&amp;IFERROR(VLOOKUP(G38,Lists!$S$4:$T$21,2,0),"??")&amp;"-"&amp;IFERROR(VLOOKUP(H38,Lists!$Y$4:$Z$21,2,0),"??")&amp;"-"&amp;IFERROR(VLOOKUP(E38,Lists!$V$4:$W$16,2,0),"??")&amp;"-"&amp;AM38)</f>
        <v/>
      </c>
      <c r="B38" s="10" t="str">
        <f aca="false">IF(D38="","",E38&amp;" "&amp;D38&amp;", excavation "&amp;TEXT(F38,"0.0")&amp;" m, "&amp;G38&amp;", "&amp;H38&amp;", "&amp;K38)</f>
        <v/>
      </c>
      <c r="C38" s="9"/>
      <c r="D38" s="9"/>
      <c r="E38" s="9"/>
      <c r="F38" s="42"/>
      <c r="G38" s="9"/>
      <c r="H38" s="9"/>
      <c r="I38" s="42"/>
      <c r="J38" s="38"/>
      <c r="K38" s="9"/>
      <c r="L38" s="9"/>
      <c r="M38" s="9"/>
      <c r="N38" s="42"/>
      <c r="O38" s="42"/>
      <c r="P38" s="9"/>
      <c r="Q38" s="9"/>
      <c r="R38" s="9"/>
      <c r="S38" s="9"/>
      <c r="T38" s="38"/>
      <c r="U38" s="38"/>
      <c r="V38" s="38"/>
      <c r="W38" s="38"/>
      <c r="X38" s="38"/>
      <c r="Y38" s="9"/>
      <c r="Z38" s="39"/>
      <c r="AA38" s="9"/>
      <c r="AB38" s="9"/>
      <c r="AC38" s="9"/>
      <c r="AD38" s="9"/>
      <c r="AE38" s="9"/>
      <c r="AF38" s="9"/>
      <c r="AG38" s="9"/>
      <c r="AH38" s="38"/>
      <c r="AI38" s="9"/>
      <c r="AJ38" s="39"/>
      <c r="AK38" s="9"/>
      <c r="AL38" s="9"/>
      <c r="AM38" s="9"/>
      <c r="AN38" s="9"/>
      <c r="AO38" s="9"/>
      <c r="AP38" s="9"/>
      <c r="AQ38" s="9"/>
      <c r="AR38" s="10" t="str">
        <f aca="false">IF(A38="","",SG_Criteria!$B$6&amp;SG_Criteria!$B$9&amp;"\"&amp;A38&amp;"\")</f>
        <v/>
      </c>
      <c r="AS38" s="10" t="str">
        <f aca="false">IF(A38="","",A38&amp;"_CAD.dwg")</f>
        <v/>
      </c>
      <c r="AT38" s="10" t="str">
        <f aca="false">IF(A38="","",A38&amp;"_DWG.pdf")</f>
        <v/>
      </c>
      <c r="AU38" s="10" t="str">
        <f aca="false">IF(A38="","",IF(AQ38="Y",A38&amp;"_STAAD.std","n/a"))</f>
        <v/>
      </c>
      <c r="AV38" s="10" t="str">
        <f aca="false">IF(A38="","",A38&amp;"_CALC.xlsx")</f>
        <v/>
      </c>
      <c r="AW38" s="10" t="str">
        <f aca="false">IF(A38="","",A38&amp;"_CALC.pdf")</f>
        <v/>
      </c>
      <c r="AX38" s="9"/>
      <c r="AY38" s="9"/>
      <c r="AZ38" s="39"/>
      <c r="BA38" s="39"/>
      <c r="BB38" s="39"/>
      <c r="BC38" s="39"/>
      <c r="BD38" s="39"/>
      <c r="BE38" s="12" t="str">
        <f aca="false">IF(A38="","",IF(COUNTIF(Rebar_Schedule!$A$5:$A$2004,A38)=0,"",ROUND(SUMIF(Rebar_Schedule!$A$5:$A$2004,A38,Rebar_Schedule!$K$5:$K$2004),1)))</f>
        <v/>
      </c>
      <c r="BF38" s="33" t="str">
        <f aca="false">IF(A38="","",IF(BE38="","No rebar schedule yet",IF(ABS(BE38-N(BA38))/MAX(N(BA38),1)&gt;SG_Criteria!$B$55,"NOTE: register rebar differs from schedule by "&amp;TEXT(ABS(BE38-N(BA38))/MAX(N(BA38),1),"0%"),"OK")))</f>
        <v/>
      </c>
      <c r="BG38" s="33" t="str">
        <f aca="false">IF(OR(D38="",F38=""),"",IF(F38&lt;=IF(D38="Soldier Pile &amp; Timber Lagging",SG_Criteria!$B$34,SG_Criteria!$B$33),"No ERSS submission",IF(F38&lt;=SG_Criteria!$B$35,"QP(ST)",IF(F38&lt;=SG_Criteria!$B$36,"QP(ST) + AC","Geotechnical building works: QP(Geo) + AC"))))</f>
        <v/>
      </c>
      <c r="BH38" s="33" t="str">
        <f aca="false">IF(D38="","",IF(LEN(IF(AND(AC38&lt;&gt;"",IFERROR(VALUE(MID(AC38,2,2)),0)&lt;SG_Criteria!$B$19),"FAIL: grade below C"&amp;SG_Criteria!$B$19&amp;". ","")&amp;IF(AND(LEFT(D38,3)="Con",N(I38)&lt;F38,H38="Kallang Formation (marine clay)"),"NOTE: CBP is not watertight below GWT in marine clay; consider secant / grouting. ","")&amp;IF(AND(D38="Steel Sheet Pile",E38="Permanent"),"NOTE: permanent sheet pile needs corrosion allowance. ","")&amp;IF(AND(G38="Cantilever (no support)",F38&gt;6),"NOTE: cantilever embedded wall &gt; 6 m, check deflection. ","")&amp;IF(AND(T38&lt;&gt;"",U38&lt;&gt;"",T38&gt;U38),"FAIL: deflection exceeds allowable. ",""))=0,"OK",IF(AND(AC38&lt;&gt;"",IFERROR(VALUE(MID(AC38,2,2)),0)&lt;SG_Criteria!$B$19),"FAIL: grade below C"&amp;SG_Criteria!$B$19&amp;". ","")&amp;IF(AND(LEFT(D38,3)="Con",N(I38)&lt;F38,H38="Kallang Formation (marine clay)"),"NOTE: CBP is not watertight below GWT in marine clay; consider secant / grouting. ","")&amp;IF(AND(D38="Steel Sheet Pile",E38="Permanent"),"NOTE: permanent sheet pile needs corrosion allowance. ","")&amp;IF(AND(G38="Cantilever (no support)",F38&gt;6),"NOTE: cantilever embedded wall &gt; 6 m, check deflection. ","")&amp;IF(AND(T38&lt;&gt;"",U38&lt;&gt;"",T38&gt;U38),"FAIL: deflection exceeds allowable. ","")))</f>
        <v/>
      </c>
      <c r="BI38" s="9"/>
      <c r="BJ38" s="9"/>
      <c r="BK38" s="9"/>
      <c r="BL38" s="10" t="str">
        <f aca="false">IF(BK38="","",IFERROR(VLOOKUP(BK38,Projects!$A$5:$D$504,2,0),"Ref not in Projects"))</f>
        <v/>
      </c>
      <c r="BM38" s="10" t="str">
        <f aca="false">IF(BK38="","",IFERROR(VLOOKUP(BK38,Projects!$A$5:$D$504,4,0),"Ref not in Projects"))</f>
        <v/>
      </c>
      <c r="BN38" s="9"/>
      <c r="BO38" s="9"/>
      <c r="BP38" s="9"/>
      <c r="BQ38" s="40"/>
      <c r="BR38" s="9"/>
      <c r="BS38" s="40"/>
      <c r="BT38" s="9"/>
      <c r="BU38" s="40"/>
      <c r="BV38" s="9"/>
      <c r="BW38" s="9"/>
      <c r="BX38" s="9"/>
      <c r="BY38" s="40"/>
      <c r="BZ38" s="40"/>
      <c r="CA38" s="36" t="str">
        <f aca="false">IF(BZ38="","",EDATE(BZ38,SG_Criteria!$B$54*12))</f>
        <v/>
      </c>
      <c r="CB38" s="33" t="str">
        <f aca="true">IF(A38="","",IF(BZ38="","NOTE: not reviewed yet",IF(TODAY()&gt;CA38,"NOTE: review overdue","OK")))</f>
        <v/>
      </c>
      <c r="CC38" s="37" t="str">
        <f aca="false">IF(A38="","",ROUND((IF(LEN(D38)&gt;0,1,0)+IF(LEN(E38)&gt;0,1,0)+IF(LEN(F38)&gt;0,1,0)+IF(LEN(G38)&gt;0,1,0)+IF(LEN(H38)&gt;0,1,0)+IF(LEN(I38)&gt;0,1,0)+IF(LEN(K38)&gt;0,1,0)+IF(LEN(N38)&gt;0,1,0)+IF(LEN(O38)&gt;0,1,0)+IF(LEN(T38)&gt;0,1,0)+IF(LEN(U38)&gt;0,1,0)+IF(LEN(V38)&gt;0,1,0)+IF(LEN(AK38)&gt;0,1,0)+IF(LEN(AM38)&gt;0,1,0)+IF(LEN(AN38)&gt;0,1,0)+IF(LEN(AO38)&gt;0,1,0)+IF(LEN(AP38)&gt;0,1,0)+IF(LEN(AY38)&gt;0,1,0)+IF(LEN(BK38)&gt;0,1,0)+IF(LEN(BX38)&gt;0,1,0))/20,2))</f>
        <v/>
      </c>
      <c r="CD38" s="10" t="str">
        <f aca="false">IF(D38="","",IF(AND(AN38="Approved",ISERROR(SEARCH("FAIL",BH38))),"Y","N"))</f>
        <v/>
      </c>
      <c r="CE38" s="10" t="str">
        <f aca="false">IF(D38="","",D38&amp;"|"&amp;F38&amp;"|"&amp;G38&amp;"|"&amp;H38&amp;"|"&amp;E38&amp;"|"&amp;CD38)</f>
        <v/>
      </c>
    </row>
    <row r="39" customFormat="false" ht="15" hidden="false" customHeight="false" outlineLevel="0" collapsed="false">
      <c r="A39" s="10" t="str">
        <f aca="false">IF(D39="","","EW-"&amp;IFERROR(VLOOKUP(D39,Lists!$P$4:$Q$22,2,0),"??")&amp;"-D"&amp;TEXT(F39*1000,"0000")&amp;"-"&amp;IFERROR(VLOOKUP(G39,Lists!$S$4:$T$21,2,0),"??")&amp;"-"&amp;IFERROR(VLOOKUP(H39,Lists!$Y$4:$Z$21,2,0),"??")&amp;"-"&amp;IFERROR(VLOOKUP(E39,Lists!$V$4:$W$16,2,0),"??")&amp;"-"&amp;AM39)</f>
        <v/>
      </c>
      <c r="B39" s="10" t="str">
        <f aca="false">IF(D39="","",E39&amp;" "&amp;D39&amp;", excavation "&amp;TEXT(F39,"0.0")&amp;" m, "&amp;G39&amp;", "&amp;H39&amp;", "&amp;K39)</f>
        <v/>
      </c>
      <c r="C39" s="9"/>
      <c r="D39" s="9"/>
      <c r="E39" s="9"/>
      <c r="F39" s="42"/>
      <c r="G39" s="9"/>
      <c r="H39" s="9"/>
      <c r="I39" s="42"/>
      <c r="J39" s="38"/>
      <c r="K39" s="9"/>
      <c r="L39" s="9"/>
      <c r="M39" s="9"/>
      <c r="N39" s="42"/>
      <c r="O39" s="42"/>
      <c r="P39" s="9"/>
      <c r="Q39" s="9"/>
      <c r="R39" s="9"/>
      <c r="S39" s="9"/>
      <c r="T39" s="38"/>
      <c r="U39" s="38"/>
      <c r="V39" s="38"/>
      <c r="W39" s="38"/>
      <c r="X39" s="38"/>
      <c r="Y39" s="9"/>
      <c r="Z39" s="39"/>
      <c r="AA39" s="9"/>
      <c r="AB39" s="9"/>
      <c r="AC39" s="9"/>
      <c r="AD39" s="9"/>
      <c r="AE39" s="9"/>
      <c r="AF39" s="9"/>
      <c r="AG39" s="9"/>
      <c r="AH39" s="38"/>
      <c r="AI39" s="9"/>
      <c r="AJ39" s="39"/>
      <c r="AK39" s="9"/>
      <c r="AL39" s="9"/>
      <c r="AM39" s="9"/>
      <c r="AN39" s="9"/>
      <c r="AO39" s="9"/>
      <c r="AP39" s="9"/>
      <c r="AQ39" s="9"/>
      <c r="AR39" s="10" t="str">
        <f aca="false">IF(A39="","",SG_Criteria!$B$6&amp;SG_Criteria!$B$9&amp;"\"&amp;A39&amp;"\")</f>
        <v/>
      </c>
      <c r="AS39" s="10" t="str">
        <f aca="false">IF(A39="","",A39&amp;"_CAD.dwg")</f>
        <v/>
      </c>
      <c r="AT39" s="10" t="str">
        <f aca="false">IF(A39="","",A39&amp;"_DWG.pdf")</f>
        <v/>
      </c>
      <c r="AU39" s="10" t="str">
        <f aca="false">IF(A39="","",IF(AQ39="Y",A39&amp;"_STAAD.std","n/a"))</f>
        <v/>
      </c>
      <c r="AV39" s="10" t="str">
        <f aca="false">IF(A39="","",A39&amp;"_CALC.xlsx")</f>
        <v/>
      </c>
      <c r="AW39" s="10" t="str">
        <f aca="false">IF(A39="","",A39&amp;"_CALC.pdf")</f>
        <v/>
      </c>
      <c r="AX39" s="9"/>
      <c r="AY39" s="9"/>
      <c r="AZ39" s="39"/>
      <c r="BA39" s="39"/>
      <c r="BB39" s="39"/>
      <c r="BC39" s="39"/>
      <c r="BD39" s="39"/>
      <c r="BE39" s="12" t="str">
        <f aca="false">IF(A39="","",IF(COUNTIF(Rebar_Schedule!$A$5:$A$2004,A39)=0,"",ROUND(SUMIF(Rebar_Schedule!$A$5:$A$2004,A39,Rebar_Schedule!$K$5:$K$2004),1)))</f>
        <v/>
      </c>
      <c r="BF39" s="33" t="str">
        <f aca="false">IF(A39="","",IF(BE39="","No rebar schedule yet",IF(ABS(BE39-N(BA39))/MAX(N(BA39),1)&gt;SG_Criteria!$B$55,"NOTE: register rebar differs from schedule by "&amp;TEXT(ABS(BE39-N(BA39))/MAX(N(BA39),1),"0%"),"OK")))</f>
        <v/>
      </c>
      <c r="BG39" s="33" t="str">
        <f aca="false">IF(OR(D39="",F39=""),"",IF(F39&lt;=IF(D39="Soldier Pile &amp; Timber Lagging",SG_Criteria!$B$34,SG_Criteria!$B$33),"No ERSS submission",IF(F39&lt;=SG_Criteria!$B$35,"QP(ST)",IF(F39&lt;=SG_Criteria!$B$36,"QP(ST) + AC","Geotechnical building works: QP(Geo) + AC"))))</f>
        <v/>
      </c>
      <c r="BH39" s="33" t="str">
        <f aca="false">IF(D39="","",IF(LEN(IF(AND(AC39&lt;&gt;"",IFERROR(VALUE(MID(AC39,2,2)),0)&lt;SG_Criteria!$B$19),"FAIL: grade below C"&amp;SG_Criteria!$B$19&amp;". ","")&amp;IF(AND(LEFT(D39,3)="Con",N(I39)&lt;F39,H39="Kallang Formation (marine clay)"),"NOTE: CBP is not watertight below GWT in marine clay; consider secant / grouting. ","")&amp;IF(AND(D39="Steel Sheet Pile",E39="Permanent"),"NOTE: permanent sheet pile needs corrosion allowance. ","")&amp;IF(AND(G39="Cantilever (no support)",F39&gt;6),"NOTE: cantilever embedded wall &gt; 6 m, check deflection. ","")&amp;IF(AND(T39&lt;&gt;"",U39&lt;&gt;"",T39&gt;U39),"FAIL: deflection exceeds allowable. ",""))=0,"OK",IF(AND(AC39&lt;&gt;"",IFERROR(VALUE(MID(AC39,2,2)),0)&lt;SG_Criteria!$B$19),"FAIL: grade below C"&amp;SG_Criteria!$B$19&amp;". ","")&amp;IF(AND(LEFT(D39,3)="Con",N(I39)&lt;F39,H39="Kallang Formation (marine clay)"),"NOTE: CBP is not watertight below GWT in marine clay; consider secant / grouting. ","")&amp;IF(AND(D39="Steel Sheet Pile",E39="Permanent"),"NOTE: permanent sheet pile needs corrosion allowance. ","")&amp;IF(AND(G39="Cantilever (no support)",F39&gt;6),"NOTE: cantilever embedded wall &gt; 6 m, check deflection. ","")&amp;IF(AND(T39&lt;&gt;"",U39&lt;&gt;"",T39&gt;U39),"FAIL: deflection exceeds allowable. ","")))</f>
        <v/>
      </c>
      <c r="BI39" s="9"/>
      <c r="BJ39" s="9"/>
      <c r="BK39" s="9"/>
      <c r="BL39" s="10" t="str">
        <f aca="false">IF(BK39="","",IFERROR(VLOOKUP(BK39,Projects!$A$5:$D$504,2,0),"Ref not in Projects"))</f>
        <v/>
      </c>
      <c r="BM39" s="10" t="str">
        <f aca="false">IF(BK39="","",IFERROR(VLOOKUP(BK39,Projects!$A$5:$D$504,4,0),"Ref not in Projects"))</f>
        <v/>
      </c>
      <c r="BN39" s="9"/>
      <c r="BO39" s="9"/>
      <c r="BP39" s="9"/>
      <c r="BQ39" s="40"/>
      <c r="BR39" s="9"/>
      <c r="BS39" s="40"/>
      <c r="BT39" s="9"/>
      <c r="BU39" s="40"/>
      <c r="BV39" s="9"/>
      <c r="BW39" s="9"/>
      <c r="BX39" s="9"/>
      <c r="BY39" s="40"/>
      <c r="BZ39" s="40"/>
      <c r="CA39" s="36" t="str">
        <f aca="false">IF(BZ39="","",EDATE(BZ39,SG_Criteria!$B$54*12))</f>
        <v/>
      </c>
      <c r="CB39" s="33" t="str">
        <f aca="true">IF(A39="","",IF(BZ39="","NOTE: not reviewed yet",IF(TODAY()&gt;CA39,"NOTE: review overdue","OK")))</f>
        <v/>
      </c>
      <c r="CC39" s="37" t="str">
        <f aca="false">IF(A39="","",ROUND((IF(LEN(D39)&gt;0,1,0)+IF(LEN(E39)&gt;0,1,0)+IF(LEN(F39)&gt;0,1,0)+IF(LEN(G39)&gt;0,1,0)+IF(LEN(H39)&gt;0,1,0)+IF(LEN(I39)&gt;0,1,0)+IF(LEN(K39)&gt;0,1,0)+IF(LEN(N39)&gt;0,1,0)+IF(LEN(O39)&gt;0,1,0)+IF(LEN(T39)&gt;0,1,0)+IF(LEN(U39)&gt;0,1,0)+IF(LEN(V39)&gt;0,1,0)+IF(LEN(AK39)&gt;0,1,0)+IF(LEN(AM39)&gt;0,1,0)+IF(LEN(AN39)&gt;0,1,0)+IF(LEN(AO39)&gt;0,1,0)+IF(LEN(AP39)&gt;0,1,0)+IF(LEN(AY39)&gt;0,1,0)+IF(LEN(BK39)&gt;0,1,0)+IF(LEN(BX39)&gt;0,1,0))/20,2))</f>
        <v/>
      </c>
      <c r="CD39" s="10" t="str">
        <f aca="false">IF(D39="","",IF(AND(AN39="Approved",ISERROR(SEARCH("FAIL",BH39))),"Y","N"))</f>
        <v/>
      </c>
      <c r="CE39" s="10" t="str">
        <f aca="false">IF(D39="","",D39&amp;"|"&amp;F39&amp;"|"&amp;G39&amp;"|"&amp;H39&amp;"|"&amp;E39&amp;"|"&amp;CD39)</f>
        <v/>
      </c>
    </row>
    <row r="40" customFormat="false" ht="15" hidden="false" customHeight="false" outlineLevel="0" collapsed="false">
      <c r="A40" s="10" t="str">
        <f aca="false">IF(D40="","","EW-"&amp;IFERROR(VLOOKUP(D40,Lists!$P$4:$Q$22,2,0),"??")&amp;"-D"&amp;TEXT(F40*1000,"0000")&amp;"-"&amp;IFERROR(VLOOKUP(G40,Lists!$S$4:$T$21,2,0),"??")&amp;"-"&amp;IFERROR(VLOOKUP(H40,Lists!$Y$4:$Z$21,2,0),"??")&amp;"-"&amp;IFERROR(VLOOKUP(E40,Lists!$V$4:$W$16,2,0),"??")&amp;"-"&amp;AM40)</f>
        <v/>
      </c>
      <c r="B40" s="10" t="str">
        <f aca="false">IF(D40="","",E40&amp;" "&amp;D40&amp;", excavation "&amp;TEXT(F40,"0.0")&amp;" m, "&amp;G40&amp;", "&amp;H40&amp;", "&amp;K40)</f>
        <v/>
      </c>
      <c r="C40" s="9"/>
      <c r="D40" s="9"/>
      <c r="E40" s="9"/>
      <c r="F40" s="42"/>
      <c r="G40" s="9"/>
      <c r="H40" s="9"/>
      <c r="I40" s="42"/>
      <c r="J40" s="38"/>
      <c r="K40" s="9"/>
      <c r="L40" s="9"/>
      <c r="M40" s="9"/>
      <c r="N40" s="42"/>
      <c r="O40" s="42"/>
      <c r="P40" s="9"/>
      <c r="Q40" s="9"/>
      <c r="R40" s="9"/>
      <c r="S40" s="9"/>
      <c r="T40" s="38"/>
      <c r="U40" s="38"/>
      <c r="V40" s="38"/>
      <c r="W40" s="38"/>
      <c r="X40" s="38"/>
      <c r="Y40" s="9"/>
      <c r="Z40" s="39"/>
      <c r="AA40" s="9"/>
      <c r="AB40" s="9"/>
      <c r="AC40" s="9"/>
      <c r="AD40" s="9"/>
      <c r="AE40" s="9"/>
      <c r="AF40" s="9"/>
      <c r="AG40" s="9"/>
      <c r="AH40" s="38"/>
      <c r="AI40" s="9"/>
      <c r="AJ40" s="39"/>
      <c r="AK40" s="9"/>
      <c r="AL40" s="9"/>
      <c r="AM40" s="9"/>
      <c r="AN40" s="9"/>
      <c r="AO40" s="9"/>
      <c r="AP40" s="9"/>
      <c r="AQ40" s="9"/>
      <c r="AR40" s="10" t="str">
        <f aca="false">IF(A40="","",SG_Criteria!$B$6&amp;SG_Criteria!$B$9&amp;"\"&amp;A40&amp;"\")</f>
        <v/>
      </c>
      <c r="AS40" s="10" t="str">
        <f aca="false">IF(A40="","",A40&amp;"_CAD.dwg")</f>
        <v/>
      </c>
      <c r="AT40" s="10" t="str">
        <f aca="false">IF(A40="","",A40&amp;"_DWG.pdf")</f>
        <v/>
      </c>
      <c r="AU40" s="10" t="str">
        <f aca="false">IF(A40="","",IF(AQ40="Y",A40&amp;"_STAAD.std","n/a"))</f>
        <v/>
      </c>
      <c r="AV40" s="10" t="str">
        <f aca="false">IF(A40="","",A40&amp;"_CALC.xlsx")</f>
        <v/>
      </c>
      <c r="AW40" s="10" t="str">
        <f aca="false">IF(A40="","",A40&amp;"_CALC.pdf")</f>
        <v/>
      </c>
      <c r="AX40" s="9"/>
      <c r="AY40" s="9"/>
      <c r="AZ40" s="39"/>
      <c r="BA40" s="39"/>
      <c r="BB40" s="39"/>
      <c r="BC40" s="39"/>
      <c r="BD40" s="39"/>
      <c r="BE40" s="12" t="str">
        <f aca="false">IF(A40="","",IF(COUNTIF(Rebar_Schedule!$A$5:$A$2004,A40)=0,"",ROUND(SUMIF(Rebar_Schedule!$A$5:$A$2004,A40,Rebar_Schedule!$K$5:$K$2004),1)))</f>
        <v/>
      </c>
      <c r="BF40" s="33" t="str">
        <f aca="false">IF(A40="","",IF(BE40="","No rebar schedule yet",IF(ABS(BE40-N(BA40))/MAX(N(BA40),1)&gt;SG_Criteria!$B$55,"NOTE: register rebar differs from schedule by "&amp;TEXT(ABS(BE40-N(BA40))/MAX(N(BA40),1),"0%"),"OK")))</f>
        <v/>
      </c>
      <c r="BG40" s="33" t="str">
        <f aca="false">IF(OR(D40="",F40=""),"",IF(F40&lt;=IF(D40="Soldier Pile &amp; Timber Lagging",SG_Criteria!$B$34,SG_Criteria!$B$33),"No ERSS submission",IF(F40&lt;=SG_Criteria!$B$35,"QP(ST)",IF(F40&lt;=SG_Criteria!$B$36,"QP(ST) + AC","Geotechnical building works: QP(Geo) + AC"))))</f>
        <v/>
      </c>
      <c r="BH40" s="33" t="str">
        <f aca="false">IF(D40="","",IF(LEN(IF(AND(AC40&lt;&gt;"",IFERROR(VALUE(MID(AC40,2,2)),0)&lt;SG_Criteria!$B$19),"FAIL: grade below C"&amp;SG_Criteria!$B$19&amp;". ","")&amp;IF(AND(LEFT(D40,3)="Con",N(I40)&lt;F40,H40="Kallang Formation (marine clay)"),"NOTE: CBP is not watertight below GWT in marine clay; consider secant / grouting. ","")&amp;IF(AND(D40="Steel Sheet Pile",E40="Permanent"),"NOTE: permanent sheet pile needs corrosion allowance. ","")&amp;IF(AND(G40="Cantilever (no support)",F40&gt;6),"NOTE: cantilever embedded wall &gt; 6 m, check deflection. ","")&amp;IF(AND(T40&lt;&gt;"",U40&lt;&gt;"",T40&gt;U40),"FAIL: deflection exceeds allowable. ",""))=0,"OK",IF(AND(AC40&lt;&gt;"",IFERROR(VALUE(MID(AC40,2,2)),0)&lt;SG_Criteria!$B$19),"FAIL: grade below C"&amp;SG_Criteria!$B$19&amp;". ","")&amp;IF(AND(LEFT(D40,3)="Con",N(I40)&lt;F40,H40="Kallang Formation (marine clay)"),"NOTE: CBP is not watertight below GWT in marine clay; consider secant / grouting. ","")&amp;IF(AND(D40="Steel Sheet Pile",E40="Permanent"),"NOTE: permanent sheet pile needs corrosion allowance. ","")&amp;IF(AND(G40="Cantilever (no support)",F40&gt;6),"NOTE: cantilever embedded wall &gt; 6 m, check deflection. ","")&amp;IF(AND(T40&lt;&gt;"",U40&lt;&gt;"",T40&gt;U40),"FAIL: deflection exceeds allowable. ","")))</f>
        <v/>
      </c>
      <c r="BI40" s="9"/>
      <c r="BJ40" s="9"/>
      <c r="BK40" s="9"/>
      <c r="BL40" s="10" t="str">
        <f aca="false">IF(BK40="","",IFERROR(VLOOKUP(BK40,Projects!$A$5:$D$504,2,0),"Ref not in Projects"))</f>
        <v/>
      </c>
      <c r="BM40" s="10" t="str">
        <f aca="false">IF(BK40="","",IFERROR(VLOOKUP(BK40,Projects!$A$5:$D$504,4,0),"Ref not in Projects"))</f>
        <v/>
      </c>
      <c r="BN40" s="9"/>
      <c r="BO40" s="9"/>
      <c r="BP40" s="9"/>
      <c r="BQ40" s="40"/>
      <c r="BR40" s="9"/>
      <c r="BS40" s="40"/>
      <c r="BT40" s="9"/>
      <c r="BU40" s="40"/>
      <c r="BV40" s="9"/>
      <c r="BW40" s="9"/>
      <c r="BX40" s="9"/>
      <c r="BY40" s="40"/>
      <c r="BZ40" s="40"/>
      <c r="CA40" s="36" t="str">
        <f aca="false">IF(BZ40="","",EDATE(BZ40,SG_Criteria!$B$54*12))</f>
        <v/>
      </c>
      <c r="CB40" s="33" t="str">
        <f aca="true">IF(A40="","",IF(BZ40="","NOTE: not reviewed yet",IF(TODAY()&gt;CA40,"NOTE: review overdue","OK")))</f>
        <v/>
      </c>
      <c r="CC40" s="37" t="str">
        <f aca="false">IF(A40="","",ROUND((IF(LEN(D40)&gt;0,1,0)+IF(LEN(E40)&gt;0,1,0)+IF(LEN(F40)&gt;0,1,0)+IF(LEN(G40)&gt;0,1,0)+IF(LEN(H40)&gt;0,1,0)+IF(LEN(I40)&gt;0,1,0)+IF(LEN(K40)&gt;0,1,0)+IF(LEN(N40)&gt;0,1,0)+IF(LEN(O40)&gt;0,1,0)+IF(LEN(T40)&gt;0,1,0)+IF(LEN(U40)&gt;0,1,0)+IF(LEN(V40)&gt;0,1,0)+IF(LEN(AK40)&gt;0,1,0)+IF(LEN(AM40)&gt;0,1,0)+IF(LEN(AN40)&gt;0,1,0)+IF(LEN(AO40)&gt;0,1,0)+IF(LEN(AP40)&gt;0,1,0)+IF(LEN(AY40)&gt;0,1,0)+IF(LEN(BK40)&gt;0,1,0)+IF(LEN(BX40)&gt;0,1,0))/20,2))</f>
        <v/>
      </c>
      <c r="CD40" s="10" t="str">
        <f aca="false">IF(D40="","",IF(AND(AN40="Approved",ISERROR(SEARCH("FAIL",BH40))),"Y","N"))</f>
        <v/>
      </c>
      <c r="CE40" s="10" t="str">
        <f aca="false">IF(D40="","",D40&amp;"|"&amp;F40&amp;"|"&amp;G40&amp;"|"&amp;H40&amp;"|"&amp;E40&amp;"|"&amp;CD40)</f>
        <v/>
      </c>
    </row>
    <row r="41" customFormat="false" ht="15" hidden="false" customHeight="false" outlineLevel="0" collapsed="false">
      <c r="A41" s="10" t="str">
        <f aca="false">IF(D41="","","EW-"&amp;IFERROR(VLOOKUP(D41,Lists!$P$4:$Q$22,2,0),"??")&amp;"-D"&amp;TEXT(F41*1000,"0000")&amp;"-"&amp;IFERROR(VLOOKUP(G41,Lists!$S$4:$T$21,2,0),"??")&amp;"-"&amp;IFERROR(VLOOKUP(H41,Lists!$Y$4:$Z$21,2,0),"??")&amp;"-"&amp;IFERROR(VLOOKUP(E41,Lists!$V$4:$W$16,2,0),"??")&amp;"-"&amp;AM41)</f>
        <v/>
      </c>
      <c r="B41" s="10" t="str">
        <f aca="false">IF(D41="","",E41&amp;" "&amp;D41&amp;", excavation "&amp;TEXT(F41,"0.0")&amp;" m, "&amp;G41&amp;", "&amp;H41&amp;", "&amp;K41)</f>
        <v/>
      </c>
      <c r="C41" s="9"/>
      <c r="D41" s="9"/>
      <c r="E41" s="9"/>
      <c r="F41" s="42"/>
      <c r="G41" s="9"/>
      <c r="H41" s="9"/>
      <c r="I41" s="42"/>
      <c r="J41" s="38"/>
      <c r="K41" s="9"/>
      <c r="L41" s="9"/>
      <c r="M41" s="9"/>
      <c r="N41" s="42"/>
      <c r="O41" s="42"/>
      <c r="P41" s="9"/>
      <c r="Q41" s="9"/>
      <c r="R41" s="9"/>
      <c r="S41" s="9"/>
      <c r="T41" s="38"/>
      <c r="U41" s="38"/>
      <c r="V41" s="38"/>
      <c r="W41" s="38"/>
      <c r="X41" s="38"/>
      <c r="Y41" s="9"/>
      <c r="Z41" s="39"/>
      <c r="AA41" s="9"/>
      <c r="AB41" s="9"/>
      <c r="AC41" s="9"/>
      <c r="AD41" s="9"/>
      <c r="AE41" s="9"/>
      <c r="AF41" s="9"/>
      <c r="AG41" s="9"/>
      <c r="AH41" s="38"/>
      <c r="AI41" s="9"/>
      <c r="AJ41" s="39"/>
      <c r="AK41" s="9"/>
      <c r="AL41" s="9"/>
      <c r="AM41" s="9"/>
      <c r="AN41" s="9"/>
      <c r="AO41" s="9"/>
      <c r="AP41" s="9"/>
      <c r="AQ41" s="9"/>
      <c r="AR41" s="10" t="str">
        <f aca="false">IF(A41="","",SG_Criteria!$B$6&amp;SG_Criteria!$B$9&amp;"\"&amp;A41&amp;"\")</f>
        <v/>
      </c>
      <c r="AS41" s="10" t="str">
        <f aca="false">IF(A41="","",A41&amp;"_CAD.dwg")</f>
        <v/>
      </c>
      <c r="AT41" s="10" t="str">
        <f aca="false">IF(A41="","",A41&amp;"_DWG.pdf")</f>
        <v/>
      </c>
      <c r="AU41" s="10" t="str">
        <f aca="false">IF(A41="","",IF(AQ41="Y",A41&amp;"_STAAD.std","n/a"))</f>
        <v/>
      </c>
      <c r="AV41" s="10" t="str">
        <f aca="false">IF(A41="","",A41&amp;"_CALC.xlsx")</f>
        <v/>
      </c>
      <c r="AW41" s="10" t="str">
        <f aca="false">IF(A41="","",A41&amp;"_CALC.pdf")</f>
        <v/>
      </c>
      <c r="AX41" s="9"/>
      <c r="AY41" s="9"/>
      <c r="AZ41" s="39"/>
      <c r="BA41" s="39"/>
      <c r="BB41" s="39"/>
      <c r="BC41" s="39"/>
      <c r="BD41" s="39"/>
      <c r="BE41" s="12" t="str">
        <f aca="false">IF(A41="","",IF(COUNTIF(Rebar_Schedule!$A$5:$A$2004,A41)=0,"",ROUND(SUMIF(Rebar_Schedule!$A$5:$A$2004,A41,Rebar_Schedule!$K$5:$K$2004),1)))</f>
        <v/>
      </c>
      <c r="BF41" s="33" t="str">
        <f aca="false">IF(A41="","",IF(BE41="","No rebar schedule yet",IF(ABS(BE41-N(BA41))/MAX(N(BA41),1)&gt;SG_Criteria!$B$55,"NOTE: register rebar differs from schedule by "&amp;TEXT(ABS(BE41-N(BA41))/MAX(N(BA41),1),"0%"),"OK")))</f>
        <v/>
      </c>
      <c r="BG41" s="33" t="str">
        <f aca="false">IF(OR(D41="",F41=""),"",IF(F41&lt;=IF(D41="Soldier Pile &amp; Timber Lagging",SG_Criteria!$B$34,SG_Criteria!$B$33),"No ERSS submission",IF(F41&lt;=SG_Criteria!$B$35,"QP(ST)",IF(F41&lt;=SG_Criteria!$B$36,"QP(ST) + AC","Geotechnical building works: QP(Geo) + AC"))))</f>
        <v/>
      </c>
      <c r="BH41" s="33" t="str">
        <f aca="false">IF(D41="","",IF(LEN(IF(AND(AC41&lt;&gt;"",IFERROR(VALUE(MID(AC41,2,2)),0)&lt;SG_Criteria!$B$19),"FAIL: grade below C"&amp;SG_Criteria!$B$19&amp;". ","")&amp;IF(AND(LEFT(D41,3)="Con",N(I41)&lt;F41,H41="Kallang Formation (marine clay)"),"NOTE: CBP is not watertight below GWT in marine clay; consider secant / grouting. ","")&amp;IF(AND(D41="Steel Sheet Pile",E41="Permanent"),"NOTE: permanent sheet pile needs corrosion allowance. ","")&amp;IF(AND(G41="Cantilever (no support)",F41&gt;6),"NOTE: cantilever embedded wall &gt; 6 m, check deflection. ","")&amp;IF(AND(T41&lt;&gt;"",U41&lt;&gt;"",T41&gt;U41),"FAIL: deflection exceeds allowable. ",""))=0,"OK",IF(AND(AC41&lt;&gt;"",IFERROR(VALUE(MID(AC41,2,2)),0)&lt;SG_Criteria!$B$19),"FAIL: grade below C"&amp;SG_Criteria!$B$19&amp;". ","")&amp;IF(AND(LEFT(D41,3)="Con",N(I41)&lt;F41,H41="Kallang Formation (marine clay)"),"NOTE: CBP is not watertight below GWT in marine clay; consider secant / grouting. ","")&amp;IF(AND(D41="Steel Sheet Pile",E41="Permanent"),"NOTE: permanent sheet pile needs corrosion allowance. ","")&amp;IF(AND(G41="Cantilever (no support)",F41&gt;6),"NOTE: cantilever embedded wall &gt; 6 m, check deflection. ","")&amp;IF(AND(T41&lt;&gt;"",U41&lt;&gt;"",T41&gt;U41),"FAIL: deflection exceeds allowable. ","")))</f>
        <v/>
      </c>
      <c r="BI41" s="9"/>
      <c r="BJ41" s="9"/>
      <c r="BK41" s="9"/>
      <c r="BL41" s="10" t="str">
        <f aca="false">IF(BK41="","",IFERROR(VLOOKUP(BK41,Projects!$A$5:$D$504,2,0),"Ref not in Projects"))</f>
        <v/>
      </c>
      <c r="BM41" s="10" t="str">
        <f aca="false">IF(BK41="","",IFERROR(VLOOKUP(BK41,Projects!$A$5:$D$504,4,0),"Ref not in Projects"))</f>
        <v/>
      </c>
      <c r="BN41" s="9"/>
      <c r="BO41" s="9"/>
      <c r="BP41" s="9"/>
      <c r="BQ41" s="40"/>
      <c r="BR41" s="9"/>
      <c r="BS41" s="40"/>
      <c r="BT41" s="9"/>
      <c r="BU41" s="40"/>
      <c r="BV41" s="9"/>
      <c r="BW41" s="9"/>
      <c r="BX41" s="9"/>
      <c r="BY41" s="40"/>
      <c r="BZ41" s="40"/>
      <c r="CA41" s="36" t="str">
        <f aca="false">IF(BZ41="","",EDATE(BZ41,SG_Criteria!$B$54*12))</f>
        <v/>
      </c>
      <c r="CB41" s="33" t="str">
        <f aca="true">IF(A41="","",IF(BZ41="","NOTE: not reviewed yet",IF(TODAY()&gt;CA41,"NOTE: review overdue","OK")))</f>
        <v/>
      </c>
      <c r="CC41" s="37" t="str">
        <f aca="false">IF(A41="","",ROUND((IF(LEN(D41)&gt;0,1,0)+IF(LEN(E41)&gt;0,1,0)+IF(LEN(F41)&gt;0,1,0)+IF(LEN(G41)&gt;0,1,0)+IF(LEN(H41)&gt;0,1,0)+IF(LEN(I41)&gt;0,1,0)+IF(LEN(K41)&gt;0,1,0)+IF(LEN(N41)&gt;0,1,0)+IF(LEN(O41)&gt;0,1,0)+IF(LEN(T41)&gt;0,1,0)+IF(LEN(U41)&gt;0,1,0)+IF(LEN(V41)&gt;0,1,0)+IF(LEN(AK41)&gt;0,1,0)+IF(LEN(AM41)&gt;0,1,0)+IF(LEN(AN41)&gt;0,1,0)+IF(LEN(AO41)&gt;0,1,0)+IF(LEN(AP41)&gt;0,1,0)+IF(LEN(AY41)&gt;0,1,0)+IF(LEN(BK41)&gt;0,1,0)+IF(LEN(BX41)&gt;0,1,0))/20,2))</f>
        <v/>
      </c>
      <c r="CD41" s="10" t="str">
        <f aca="false">IF(D41="","",IF(AND(AN41="Approved",ISERROR(SEARCH("FAIL",BH41))),"Y","N"))</f>
        <v/>
      </c>
      <c r="CE41" s="10" t="str">
        <f aca="false">IF(D41="","",D41&amp;"|"&amp;F41&amp;"|"&amp;G41&amp;"|"&amp;H41&amp;"|"&amp;E41&amp;"|"&amp;CD41)</f>
        <v/>
      </c>
    </row>
    <row r="42" customFormat="false" ht="15" hidden="false" customHeight="false" outlineLevel="0" collapsed="false">
      <c r="A42" s="10" t="str">
        <f aca="false">IF(D42="","","EW-"&amp;IFERROR(VLOOKUP(D42,Lists!$P$4:$Q$22,2,0),"??")&amp;"-D"&amp;TEXT(F42*1000,"0000")&amp;"-"&amp;IFERROR(VLOOKUP(G42,Lists!$S$4:$T$21,2,0),"??")&amp;"-"&amp;IFERROR(VLOOKUP(H42,Lists!$Y$4:$Z$21,2,0),"??")&amp;"-"&amp;IFERROR(VLOOKUP(E42,Lists!$V$4:$W$16,2,0),"??")&amp;"-"&amp;AM42)</f>
        <v/>
      </c>
      <c r="B42" s="10" t="str">
        <f aca="false">IF(D42="","",E42&amp;" "&amp;D42&amp;", excavation "&amp;TEXT(F42,"0.0")&amp;" m, "&amp;G42&amp;", "&amp;H42&amp;", "&amp;K42)</f>
        <v/>
      </c>
      <c r="C42" s="9"/>
      <c r="D42" s="9"/>
      <c r="E42" s="9"/>
      <c r="F42" s="42"/>
      <c r="G42" s="9"/>
      <c r="H42" s="9"/>
      <c r="I42" s="42"/>
      <c r="J42" s="38"/>
      <c r="K42" s="9"/>
      <c r="L42" s="9"/>
      <c r="M42" s="9"/>
      <c r="N42" s="42"/>
      <c r="O42" s="42"/>
      <c r="P42" s="9"/>
      <c r="Q42" s="9"/>
      <c r="R42" s="9"/>
      <c r="S42" s="9"/>
      <c r="T42" s="38"/>
      <c r="U42" s="38"/>
      <c r="V42" s="38"/>
      <c r="W42" s="38"/>
      <c r="X42" s="38"/>
      <c r="Y42" s="9"/>
      <c r="Z42" s="39"/>
      <c r="AA42" s="9"/>
      <c r="AB42" s="9"/>
      <c r="AC42" s="9"/>
      <c r="AD42" s="9"/>
      <c r="AE42" s="9"/>
      <c r="AF42" s="9"/>
      <c r="AG42" s="9"/>
      <c r="AH42" s="38"/>
      <c r="AI42" s="9"/>
      <c r="AJ42" s="39"/>
      <c r="AK42" s="9"/>
      <c r="AL42" s="9"/>
      <c r="AM42" s="9"/>
      <c r="AN42" s="9"/>
      <c r="AO42" s="9"/>
      <c r="AP42" s="9"/>
      <c r="AQ42" s="9"/>
      <c r="AR42" s="10" t="str">
        <f aca="false">IF(A42="","",SG_Criteria!$B$6&amp;SG_Criteria!$B$9&amp;"\"&amp;A42&amp;"\")</f>
        <v/>
      </c>
      <c r="AS42" s="10" t="str">
        <f aca="false">IF(A42="","",A42&amp;"_CAD.dwg")</f>
        <v/>
      </c>
      <c r="AT42" s="10" t="str">
        <f aca="false">IF(A42="","",A42&amp;"_DWG.pdf")</f>
        <v/>
      </c>
      <c r="AU42" s="10" t="str">
        <f aca="false">IF(A42="","",IF(AQ42="Y",A42&amp;"_STAAD.std","n/a"))</f>
        <v/>
      </c>
      <c r="AV42" s="10" t="str">
        <f aca="false">IF(A42="","",A42&amp;"_CALC.xlsx")</f>
        <v/>
      </c>
      <c r="AW42" s="10" t="str">
        <f aca="false">IF(A42="","",A42&amp;"_CALC.pdf")</f>
        <v/>
      </c>
      <c r="AX42" s="9"/>
      <c r="AY42" s="9"/>
      <c r="AZ42" s="39"/>
      <c r="BA42" s="39"/>
      <c r="BB42" s="39"/>
      <c r="BC42" s="39"/>
      <c r="BD42" s="39"/>
      <c r="BE42" s="12" t="str">
        <f aca="false">IF(A42="","",IF(COUNTIF(Rebar_Schedule!$A$5:$A$2004,A42)=0,"",ROUND(SUMIF(Rebar_Schedule!$A$5:$A$2004,A42,Rebar_Schedule!$K$5:$K$2004),1)))</f>
        <v/>
      </c>
      <c r="BF42" s="33" t="str">
        <f aca="false">IF(A42="","",IF(BE42="","No rebar schedule yet",IF(ABS(BE42-N(BA42))/MAX(N(BA42),1)&gt;SG_Criteria!$B$55,"NOTE: register rebar differs from schedule by "&amp;TEXT(ABS(BE42-N(BA42))/MAX(N(BA42),1),"0%"),"OK")))</f>
        <v/>
      </c>
      <c r="BG42" s="33" t="str">
        <f aca="false">IF(OR(D42="",F42=""),"",IF(F42&lt;=IF(D42="Soldier Pile &amp; Timber Lagging",SG_Criteria!$B$34,SG_Criteria!$B$33),"No ERSS submission",IF(F42&lt;=SG_Criteria!$B$35,"QP(ST)",IF(F42&lt;=SG_Criteria!$B$36,"QP(ST) + AC","Geotechnical building works: QP(Geo) + AC"))))</f>
        <v/>
      </c>
      <c r="BH42" s="33" t="str">
        <f aca="false">IF(D42="","",IF(LEN(IF(AND(AC42&lt;&gt;"",IFERROR(VALUE(MID(AC42,2,2)),0)&lt;SG_Criteria!$B$19),"FAIL: grade below C"&amp;SG_Criteria!$B$19&amp;". ","")&amp;IF(AND(LEFT(D42,3)="Con",N(I42)&lt;F42,H42="Kallang Formation (marine clay)"),"NOTE: CBP is not watertight below GWT in marine clay; consider secant / grouting. ","")&amp;IF(AND(D42="Steel Sheet Pile",E42="Permanent"),"NOTE: permanent sheet pile needs corrosion allowance. ","")&amp;IF(AND(G42="Cantilever (no support)",F42&gt;6),"NOTE: cantilever embedded wall &gt; 6 m, check deflection. ","")&amp;IF(AND(T42&lt;&gt;"",U42&lt;&gt;"",T42&gt;U42),"FAIL: deflection exceeds allowable. ",""))=0,"OK",IF(AND(AC42&lt;&gt;"",IFERROR(VALUE(MID(AC42,2,2)),0)&lt;SG_Criteria!$B$19),"FAIL: grade below C"&amp;SG_Criteria!$B$19&amp;". ","")&amp;IF(AND(LEFT(D42,3)="Con",N(I42)&lt;F42,H42="Kallang Formation (marine clay)"),"NOTE: CBP is not watertight below GWT in marine clay; consider secant / grouting. ","")&amp;IF(AND(D42="Steel Sheet Pile",E42="Permanent"),"NOTE: permanent sheet pile needs corrosion allowance. ","")&amp;IF(AND(G42="Cantilever (no support)",F42&gt;6),"NOTE: cantilever embedded wall &gt; 6 m, check deflection. ","")&amp;IF(AND(T42&lt;&gt;"",U42&lt;&gt;"",T42&gt;U42),"FAIL: deflection exceeds allowable. ","")))</f>
        <v/>
      </c>
      <c r="BI42" s="9"/>
      <c r="BJ42" s="9"/>
      <c r="BK42" s="9"/>
      <c r="BL42" s="10" t="str">
        <f aca="false">IF(BK42="","",IFERROR(VLOOKUP(BK42,Projects!$A$5:$D$504,2,0),"Ref not in Projects"))</f>
        <v/>
      </c>
      <c r="BM42" s="10" t="str">
        <f aca="false">IF(BK42="","",IFERROR(VLOOKUP(BK42,Projects!$A$5:$D$504,4,0),"Ref not in Projects"))</f>
        <v/>
      </c>
      <c r="BN42" s="9"/>
      <c r="BO42" s="9"/>
      <c r="BP42" s="9"/>
      <c r="BQ42" s="40"/>
      <c r="BR42" s="9"/>
      <c r="BS42" s="40"/>
      <c r="BT42" s="9"/>
      <c r="BU42" s="40"/>
      <c r="BV42" s="9"/>
      <c r="BW42" s="9"/>
      <c r="BX42" s="9"/>
      <c r="BY42" s="40"/>
      <c r="BZ42" s="40"/>
      <c r="CA42" s="36" t="str">
        <f aca="false">IF(BZ42="","",EDATE(BZ42,SG_Criteria!$B$54*12))</f>
        <v/>
      </c>
      <c r="CB42" s="33" t="str">
        <f aca="true">IF(A42="","",IF(BZ42="","NOTE: not reviewed yet",IF(TODAY()&gt;CA42,"NOTE: review overdue","OK")))</f>
        <v/>
      </c>
      <c r="CC42" s="37" t="str">
        <f aca="false">IF(A42="","",ROUND((IF(LEN(D42)&gt;0,1,0)+IF(LEN(E42)&gt;0,1,0)+IF(LEN(F42)&gt;0,1,0)+IF(LEN(G42)&gt;0,1,0)+IF(LEN(H42)&gt;0,1,0)+IF(LEN(I42)&gt;0,1,0)+IF(LEN(K42)&gt;0,1,0)+IF(LEN(N42)&gt;0,1,0)+IF(LEN(O42)&gt;0,1,0)+IF(LEN(T42)&gt;0,1,0)+IF(LEN(U42)&gt;0,1,0)+IF(LEN(V42)&gt;0,1,0)+IF(LEN(AK42)&gt;0,1,0)+IF(LEN(AM42)&gt;0,1,0)+IF(LEN(AN42)&gt;0,1,0)+IF(LEN(AO42)&gt;0,1,0)+IF(LEN(AP42)&gt;0,1,0)+IF(LEN(AY42)&gt;0,1,0)+IF(LEN(BK42)&gt;0,1,0)+IF(LEN(BX42)&gt;0,1,0))/20,2))</f>
        <v/>
      </c>
      <c r="CD42" s="10" t="str">
        <f aca="false">IF(D42="","",IF(AND(AN42="Approved",ISERROR(SEARCH("FAIL",BH42))),"Y","N"))</f>
        <v/>
      </c>
      <c r="CE42" s="10" t="str">
        <f aca="false">IF(D42="","",D42&amp;"|"&amp;F42&amp;"|"&amp;G42&amp;"|"&amp;H42&amp;"|"&amp;E42&amp;"|"&amp;CD42)</f>
        <v/>
      </c>
    </row>
    <row r="43" customFormat="false" ht="15" hidden="false" customHeight="false" outlineLevel="0" collapsed="false">
      <c r="A43" s="10" t="str">
        <f aca="false">IF(D43="","","EW-"&amp;IFERROR(VLOOKUP(D43,Lists!$P$4:$Q$22,2,0),"??")&amp;"-D"&amp;TEXT(F43*1000,"0000")&amp;"-"&amp;IFERROR(VLOOKUP(G43,Lists!$S$4:$T$21,2,0),"??")&amp;"-"&amp;IFERROR(VLOOKUP(H43,Lists!$Y$4:$Z$21,2,0),"??")&amp;"-"&amp;IFERROR(VLOOKUP(E43,Lists!$V$4:$W$16,2,0),"??")&amp;"-"&amp;AM43)</f>
        <v/>
      </c>
      <c r="B43" s="10" t="str">
        <f aca="false">IF(D43="","",E43&amp;" "&amp;D43&amp;", excavation "&amp;TEXT(F43,"0.0")&amp;" m, "&amp;G43&amp;", "&amp;H43&amp;", "&amp;K43)</f>
        <v/>
      </c>
      <c r="C43" s="9"/>
      <c r="D43" s="9"/>
      <c r="E43" s="9"/>
      <c r="F43" s="42"/>
      <c r="G43" s="9"/>
      <c r="H43" s="9"/>
      <c r="I43" s="42"/>
      <c r="J43" s="38"/>
      <c r="K43" s="9"/>
      <c r="L43" s="9"/>
      <c r="M43" s="9"/>
      <c r="N43" s="42"/>
      <c r="O43" s="42"/>
      <c r="P43" s="9"/>
      <c r="Q43" s="9"/>
      <c r="R43" s="9"/>
      <c r="S43" s="9"/>
      <c r="T43" s="38"/>
      <c r="U43" s="38"/>
      <c r="V43" s="38"/>
      <c r="W43" s="38"/>
      <c r="X43" s="38"/>
      <c r="Y43" s="9"/>
      <c r="Z43" s="39"/>
      <c r="AA43" s="9"/>
      <c r="AB43" s="9"/>
      <c r="AC43" s="9"/>
      <c r="AD43" s="9"/>
      <c r="AE43" s="9"/>
      <c r="AF43" s="9"/>
      <c r="AG43" s="9"/>
      <c r="AH43" s="38"/>
      <c r="AI43" s="9"/>
      <c r="AJ43" s="39"/>
      <c r="AK43" s="9"/>
      <c r="AL43" s="9"/>
      <c r="AM43" s="9"/>
      <c r="AN43" s="9"/>
      <c r="AO43" s="9"/>
      <c r="AP43" s="9"/>
      <c r="AQ43" s="9"/>
      <c r="AR43" s="10" t="str">
        <f aca="false">IF(A43="","",SG_Criteria!$B$6&amp;SG_Criteria!$B$9&amp;"\"&amp;A43&amp;"\")</f>
        <v/>
      </c>
      <c r="AS43" s="10" t="str">
        <f aca="false">IF(A43="","",A43&amp;"_CAD.dwg")</f>
        <v/>
      </c>
      <c r="AT43" s="10" t="str">
        <f aca="false">IF(A43="","",A43&amp;"_DWG.pdf")</f>
        <v/>
      </c>
      <c r="AU43" s="10" t="str">
        <f aca="false">IF(A43="","",IF(AQ43="Y",A43&amp;"_STAAD.std","n/a"))</f>
        <v/>
      </c>
      <c r="AV43" s="10" t="str">
        <f aca="false">IF(A43="","",A43&amp;"_CALC.xlsx")</f>
        <v/>
      </c>
      <c r="AW43" s="10" t="str">
        <f aca="false">IF(A43="","",A43&amp;"_CALC.pdf")</f>
        <v/>
      </c>
      <c r="AX43" s="9"/>
      <c r="AY43" s="9"/>
      <c r="AZ43" s="39"/>
      <c r="BA43" s="39"/>
      <c r="BB43" s="39"/>
      <c r="BC43" s="39"/>
      <c r="BD43" s="39"/>
      <c r="BE43" s="12" t="str">
        <f aca="false">IF(A43="","",IF(COUNTIF(Rebar_Schedule!$A$5:$A$2004,A43)=0,"",ROUND(SUMIF(Rebar_Schedule!$A$5:$A$2004,A43,Rebar_Schedule!$K$5:$K$2004),1)))</f>
        <v/>
      </c>
      <c r="BF43" s="33" t="str">
        <f aca="false">IF(A43="","",IF(BE43="","No rebar schedule yet",IF(ABS(BE43-N(BA43))/MAX(N(BA43),1)&gt;SG_Criteria!$B$55,"NOTE: register rebar differs from schedule by "&amp;TEXT(ABS(BE43-N(BA43))/MAX(N(BA43),1),"0%"),"OK")))</f>
        <v/>
      </c>
      <c r="BG43" s="33" t="str">
        <f aca="false">IF(OR(D43="",F43=""),"",IF(F43&lt;=IF(D43="Soldier Pile &amp; Timber Lagging",SG_Criteria!$B$34,SG_Criteria!$B$33),"No ERSS submission",IF(F43&lt;=SG_Criteria!$B$35,"QP(ST)",IF(F43&lt;=SG_Criteria!$B$36,"QP(ST) + AC","Geotechnical building works: QP(Geo) + AC"))))</f>
        <v/>
      </c>
      <c r="BH43" s="33" t="str">
        <f aca="false">IF(D43="","",IF(LEN(IF(AND(AC43&lt;&gt;"",IFERROR(VALUE(MID(AC43,2,2)),0)&lt;SG_Criteria!$B$19),"FAIL: grade below C"&amp;SG_Criteria!$B$19&amp;". ","")&amp;IF(AND(LEFT(D43,3)="Con",N(I43)&lt;F43,H43="Kallang Formation (marine clay)"),"NOTE: CBP is not watertight below GWT in marine clay; consider secant / grouting. ","")&amp;IF(AND(D43="Steel Sheet Pile",E43="Permanent"),"NOTE: permanent sheet pile needs corrosion allowance. ","")&amp;IF(AND(G43="Cantilever (no support)",F43&gt;6),"NOTE: cantilever embedded wall &gt; 6 m, check deflection. ","")&amp;IF(AND(T43&lt;&gt;"",U43&lt;&gt;"",T43&gt;U43),"FAIL: deflection exceeds allowable. ",""))=0,"OK",IF(AND(AC43&lt;&gt;"",IFERROR(VALUE(MID(AC43,2,2)),0)&lt;SG_Criteria!$B$19),"FAIL: grade below C"&amp;SG_Criteria!$B$19&amp;". ","")&amp;IF(AND(LEFT(D43,3)="Con",N(I43)&lt;F43,H43="Kallang Formation (marine clay)"),"NOTE: CBP is not watertight below GWT in marine clay; consider secant / grouting. ","")&amp;IF(AND(D43="Steel Sheet Pile",E43="Permanent"),"NOTE: permanent sheet pile needs corrosion allowance. ","")&amp;IF(AND(G43="Cantilever (no support)",F43&gt;6),"NOTE: cantilever embedded wall &gt; 6 m, check deflection. ","")&amp;IF(AND(T43&lt;&gt;"",U43&lt;&gt;"",T43&gt;U43),"FAIL: deflection exceeds allowable. ","")))</f>
        <v/>
      </c>
      <c r="BI43" s="9"/>
      <c r="BJ43" s="9"/>
      <c r="BK43" s="9"/>
      <c r="BL43" s="10" t="str">
        <f aca="false">IF(BK43="","",IFERROR(VLOOKUP(BK43,Projects!$A$5:$D$504,2,0),"Ref not in Projects"))</f>
        <v/>
      </c>
      <c r="BM43" s="10" t="str">
        <f aca="false">IF(BK43="","",IFERROR(VLOOKUP(BK43,Projects!$A$5:$D$504,4,0),"Ref not in Projects"))</f>
        <v/>
      </c>
      <c r="BN43" s="9"/>
      <c r="BO43" s="9"/>
      <c r="BP43" s="9"/>
      <c r="BQ43" s="40"/>
      <c r="BR43" s="9"/>
      <c r="BS43" s="40"/>
      <c r="BT43" s="9"/>
      <c r="BU43" s="40"/>
      <c r="BV43" s="9"/>
      <c r="BW43" s="9"/>
      <c r="BX43" s="9"/>
      <c r="BY43" s="40"/>
      <c r="BZ43" s="40"/>
      <c r="CA43" s="36" t="str">
        <f aca="false">IF(BZ43="","",EDATE(BZ43,SG_Criteria!$B$54*12))</f>
        <v/>
      </c>
      <c r="CB43" s="33" t="str">
        <f aca="true">IF(A43="","",IF(BZ43="","NOTE: not reviewed yet",IF(TODAY()&gt;CA43,"NOTE: review overdue","OK")))</f>
        <v/>
      </c>
      <c r="CC43" s="37" t="str">
        <f aca="false">IF(A43="","",ROUND((IF(LEN(D43)&gt;0,1,0)+IF(LEN(E43)&gt;0,1,0)+IF(LEN(F43)&gt;0,1,0)+IF(LEN(G43)&gt;0,1,0)+IF(LEN(H43)&gt;0,1,0)+IF(LEN(I43)&gt;0,1,0)+IF(LEN(K43)&gt;0,1,0)+IF(LEN(N43)&gt;0,1,0)+IF(LEN(O43)&gt;0,1,0)+IF(LEN(T43)&gt;0,1,0)+IF(LEN(U43)&gt;0,1,0)+IF(LEN(V43)&gt;0,1,0)+IF(LEN(AK43)&gt;0,1,0)+IF(LEN(AM43)&gt;0,1,0)+IF(LEN(AN43)&gt;0,1,0)+IF(LEN(AO43)&gt;0,1,0)+IF(LEN(AP43)&gt;0,1,0)+IF(LEN(AY43)&gt;0,1,0)+IF(LEN(BK43)&gt;0,1,0)+IF(LEN(BX43)&gt;0,1,0))/20,2))</f>
        <v/>
      </c>
      <c r="CD43" s="10" t="str">
        <f aca="false">IF(D43="","",IF(AND(AN43="Approved",ISERROR(SEARCH("FAIL",BH43))),"Y","N"))</f>
        <v/>
      </c>
      <c r="CE43" s="10" t="str">
        <f aca="false">IF(D43="","",D43&amp;"|"&amp;F43&amp;"|"&amp;G43&amp;"|"&amp;H43&amp;"|"&amp;E43&amp;"|"&amp;CD43)</f>
        <v/>
      </c>
    </row>
    <row r="44" customFormat="false" ht="15" hidden="false" customHeight="false" outlineLevel="0" collapsed="false">
      <c r="A44" s="10" t="str">
        <f aca="false">IF(D44="","","EW-"&amp;IFERROR(VLOOKUP(D44,Lists!$P$4:$Q$22,2,0),"??")&amp;"-D"&amp;TEXT(F44*1000,"0000")&amp;"-"&amp;IFERROR(VLOOKUP(G44,Lists!$S$4:$T$21,2,0),"??")&amp;"-"&amp;IFERROR(VLOOKUP(H44,Lists!$Y$4:$Z$21,2,0),"??")&amp;"-"&amp;IFERROR(VLOOKUP(E44,Lists!$V$4:$W$16,2,0),"??")&amp;"-"&amp;AM44)</f>
        <v/>
      </c>
      <c r="B44" s="10" t="str">
        <f aca="false">IF(D44="","",E44&amp;" "&amp;D44&amp;", excavation "&amp;TEXT(F44,"0.0")&amp;" m, "&amp;G44&amp;", "&amp;H44&amp;", "&amp;K44)</f>
        <v/>
      </c>
      <c r="C44" s="9"/>
      <c r="D44" s="9"/>
      <c r="E44" s="9"/>
      <c r="F44" s="42"/>
      <c r="G44" s="9"/>
      <c r="H44" s="9"/>
      <c r="I44" s="42"/>
      <c r="J44" s="38"/>
      <c r="K44" s="9"/>
      <c r="L44" s="9"/>
      <c r="M44" s="9"/>
      <c r="N44" s="42"/>
      <c r="O44" s="42"/>
      <c r="P44" s="9"/>
      <c r="Q44" s="9"/>
      <c r="R44" s="9"/>
      <c r="S44" s="9"/>
      <c r="T44" s="38"/>
      <c r="U44" s="38"/>
      <c r="V44" s="38"/>
      <c r="W44" s="38"/>
      <c r="X44" s="38"/>
      <c r="Y44" s="9"/>
      <c r="Z44" s="39"/>
      <c r="AA44" s="9"/>
      <c r="AB44" s="9"/>
      <c r="AC44" s="9"/>
      <c r="AD44" s="9"/>
      <c r="AE44" s="9"/>
      <c r="AF44" s="9"/>
      <c r="AG44" s="9"/>
      <c r="AH44" s="38"/>
      <c r="AI44" s="9"/>
      <c r="AJ44" s="39"/>
      <c r="AK44" s="9"/>
      <c r="AL44" s="9"/>
      <c r="AM44" s="9"/>
      <c r="AN44" s="9"/>
      <c r="AO44" s="9"/>
      <c r="AP44" s="9"/>
      <c r="AQ44" s="9"/>
      <c r="AR44" s="10" t="str">
        <f aca="false">IF(A44="","",SG_Criteria!$B$6&amp;SG_Criteria!$B$9&amp;"\"&amp;A44&amp;"\")</f>
        <v/>
      </c>
      <c r="AS44" s="10" t="str">
        <f aca="false">IF(A44="","",A44&amp;"_CAD.dwg")</f>
        <v/>
      </c>
      <c r="AT44" s="10" t="str">
        <f aca="false">IF(A44="","",A44&amp;"_DWG.pdf")</f>
        <v/>
      </c>
      <c r="AU44" s="10" t="str">
        <f aca="false">IF(A44="","",IF(AQ44="Y",A44&amp;"_STAAD.std","n/a"))</f>
        <v/>
      </c>
      <c r="AV44" s="10" t="str">
        <f aca="false">IF(A44="","",A44&amp;"_CALC.xlsx")</f>
        <v/>
      </c>
      <c r="AW44" s="10" t="str">
        <f aca="false">IF(A44="","",A44&amp;"_CALC.pdf")</f>
        <v/>
      </c>
      <c r="AX44" s="9"/>
      <c r="AY44" s="9"/>
      <c r="AZ44" s="39"/>
      <c r="BA44" s="39"/>
      <c r="BB44" s="39"/>
      <c r="BC44" s="39"/>
      <c r="BD44" s="39"/>
      <c r="BE44" s="12" t="str">
        <f aca="false">IF(A44="","",IF(COUNTIF(Rebar_Schedule!$A$5:$A$2004,A44)=0,"",ROUND(SUMIF(Rebar_Schedule!$A$5:$A$2004,A44,Rebar_Schedule!$K$5:$K$2004),1)))</f>
        <v/>
      </c>
      <c r="BF44" s="33" t="str">
        <f aca="false">IF(A44="","",IF(BE44="","No rebar schedule yet",IF(ABS(BE44-N(BA44))/MAX(N(BA44),1)&gt;SG_Criteria!$B$55,"NOTE: register rebar differs from schedule by "&amp;TEXT(ABS(BE44-N(BA44))/MAX(N(BA44),1),"0%"),"OK")))</f>
        <v/>
      </c>
      <c r="BG44" s="33" t="str">
        <f aca="false">IF(OR(D44="",F44=""),"",IF(F44&lt;=IF(D44="Soldier Pile &amp; Timber Lagging",SG_Criteria!$B$34,SG_Criteria!$B$33),"No ERSS submission",IF(F44&lt;=SG_Criteria!$B$35,"QP(ST)",IF(F44&lt;=SG_Criteria!$B$36,"QP(ST) + AC","Geotechnical building works: QP(Geo) + AC"))))</f>
        <v/>
      </c>
      <c r="BH44" s="33" t="str">
        <f aca="false">IF(D44="","",IF(LEN(IF(AND(AC44&lt;&gt;"",IFERROR(VALUE(MID(AC44,2,2)),0)&lt;SG_Criteria!$B$19),"FAIL: grade below C"&amp;SG_Criteria!$B$19&amp;". ","")&amp;IF(AND(LEFT(D44,3)="Con",N(I44)&lt;F44,H44="Kallang Formation (marine clay)"),"NOTE: CBP is not watertight below GWT in marine clay; consider secant / grouting. ","")&amp;IF(AND(D44="Steel Sheet Pile",E44="Permanent"),"NOTE: permanent sheet pile needs corrosion allowance. ","")&amp;IF(AND(G44="Cantilever (no support)",F44&gt;6),"NOTE: cantilever embedded wall &gt; 6 m, check deflection. ","")&amp;IF(AND(T44&lt;&gt;"",U44&lt;&gt;"",T44&gt;U44),"FAIL: deflection exceeds allowable. ",""))=0,"OK",IF(AND(AC44&lt;&gt;"",IFERROR(VALUE(MID(AC44,2,2)),0)&lt;SG_Criteria!$B$19),"FAIL: grade below C"&amp;SG_Criteria!$B$19&amp;". ","")&amp;IF(AND(LEFT(D44,3)="Con",N(I44)&lt;F44,H44="Kallang Formation (marine clay)"),"NOTE: CBP is not watertight below GWT in marine clay; consider secant / grouting. ","")&amp;IF(AND(D44="Steel Sheet Pile",E44="Permanent"),"NOTE: permanent sheet pile needs corrosion allowance. ","")&amp;IF(AND(G44="Cantilever (no support)",F44&gt;6),"NOTE: cantilever embedded wall &gt; 6 m, check deflection. ","")&amp;IF(AND(T44&lt;&gt;"",U44&lt;&gt;"",T44&gt;U44),"FAIL: deflection exceeds allowable. ","")))</f>
        <v/>
      </c>
      <c r="BI44" s="9"/>
      <c r="BJ44" s="9"/>
      <c r="BK44" s="9"/>
      <c r="BL44" s="10" t="str">
        <f aca="false">IF(BK44="","",IFERROR(VLOOKUP(BK44,Projects!$A$5:$D$504,2,0),"Ref not in Projects"))</f>
        <v/>
      </c>
      <c r="BM44" s="10" t="str">
        <f aca="false">IF(BK44="","",IFERROR(VLOOKUP(BK44,Projects!$A$5:$D$504,4,0),"Ref not in Projects"))</f>
        <v/>
      </c>
      <c r="BN44" s="9"/>
      <c r="BO44" s="9"/>
      <c r="BP44" s="9"/>
      <c r="BQ44" s="40"/>
      <c r="BR44" s="9"/>
      <c r="BS44" s="40"/>
      <c r="BT44" s="9"/>
      <c r="BU44" s="40"/>
      <c r="BV44" s="9"/>
      <c r="BW44" s="9"/>
      <c r="BX44" s="9"/>
      <c r="BY44" s="40"/>
      <c r="BZ44" s="40"/>
      <c r="CA44" s="36" t="str">
        <f aca="false">IF(BZ44="","",EDATE(BZ44,SG_Criteria!$B$54*12))</f>
        <v/>
      </c>
      <c r="CB44" s="33" t="str">
        <f aca="true">IF(A44="","",IF(BZ44="","NOTE: not reviewed yet",IF(TODAY()&gt;CA44,"NOTE: review overdue","OK")))</f>
        <v/>
      </c>
      <c r="CC44" s="37" t="str">
        <f aca="false">IF(A44="","",ROUND((IF(LEN(D44)&gt;0,1,0)+IF(LEN(E44)&gt;0,1,0)+IF(LEN(F44)&gt;0,1,0)+IF(LEN(G44)&gt;0,1,0)+IF(LEN(H44)&gt;0,1,0)+IF(LEN(I44)&gt;0,1,0)+IF(LEN(K44)&gt;0,1,0)+IF(LEN(N44)&gt;0,1,0)+IF(LEN(O44)&gt;0,1,0)+IF(LEN(T44)&gt;0,1,0)+IF(LEN(U44)&gt;0,1,0)+IF(LEN(V44)&gt;0,1,0)+IF(LEN(AK44)&gt;0,1,0)+IF(LEN(AM44)&gt;0,1,0)+IF(LEN(AN44)&gt;0,1,0)+IF(LEN(AO44)&gt;0,1,0)+IF(LEN(AP44)&gt;0,1,0)+IF(LEN(AY44)&gt;0,1,0)+IF(LEN(BK44)&gt;0,1,0)+IF(LEN(BX44)&gt;0,1,0))/20,2))</f>
        <v/>
      </c>
      <c r="CD44" s="10" t="str">
        <f aca="false">IF(D44="","",IF(AND(AN44="Approved",ISERROR(SEARCH("FAIL",BH44))),"Y","N"))</f>
        <v/>
      </c>
      <c r="CE44" s="10" t="str">
        <f aca="false">IF(D44="","",D44&amp;"|"&amp;F44&amp;"|"&amp;G44&amp;"|"&amp;H44&amp;"|"&amp;E44&amp;"|"&amp;CD44)</f>
        <v/>
      </c>
    </row>
    <row r="45" customFormat="false" ht="15" hidden="false" customHeight="false" outlineLevel="0" collapsed="false">
      <c r="A45" s="10" t="str">
        <f aca="false">IF(D45="","","EW-"&amp;IFERROR(VLOOKUP(D45,Lists!$P$4:$Q$22,2,0),"??")&amp;"-D"&amp;TEXT(F45*1000,"0000")&amp;"-"&amp;IFERROR(VLOOKUP(G45,Lists!$S$4:$T$21,2,0),"??")&amp;"-"&amp;IFERROR(VLOOKUP(H45,Lists!$Y$4:$Z$21,2,0),"??")&amp;"-"&amp;IFERROR(VLOOKUP(E45,Lists!$V$4:$W$16,2,0),"??")&amp;"-"&amp;AM45)</f>
        <v/>
      </c>
      <c r="B45" s="10" t="str">
        <f aca="false">IF(D45="","",E45&amp;" "&amp;D45&amp;", excavation "&amp;TEXT(F45,"0.0")&amp;" m, "&amp;G45&amp;", "&amp;H45&amp;", "&amp;K45)</f>
        <v/>
      </c>
      <c r="C45" s="9"/>
      <c r="D45" s="9"/>
      <c r="E45" s="9"/>
      <c r="F45" s="42"/>
      <c r="G45" s="9"/>
      <c r="H45" s="9"/>
      <c r="I45" s="42"/>
      <c r="J45" s="38"/>
      <c r="K45" s="9"/>
      <c r="L45" s="9"/>
      <c r="M45" s="9"/>
      <c r="N45" s="42"/>
      <c r="O45" s="42"/>
      <c r="P45" s="9"/>
      <c r="Q45" s="9"/>
      <c r="R45" s="9"/>
      <c r="S45" s="9"/>
      <c r="T45" s="38"/>
      <c r="U45" s="38"/>
      <c r="V45" s="38"/>
      <c r="W45" s="38"/>
      <c r="X45" s="38"/>
      <c r="Y45" s="9"/>
      <c r="Z45" s="39"/>
      <c r="AA45" s="9"/>
      <c r="AB45" s="9"/>
      <c r="AC45" s="9"/>
      <c r="AD45" s="9"/>
      <c r="AE45" s="9"/>
      <c r="AF45" s="9"/>
      <c r="AG45" s="9"/>
      <c r="AH45" s="38"/>
      <c r="AI45" s="9"/>
      <c r="AJ45" s="39"/>
      <c r="AK45" s="9"/>
      <c r="AL45" s="9"/>
      <c r="AM45" s="9"/>
      <c r="AN45" s="9"/>
      <c r="AO45" s="9"/>
      <c r="AP45" s="9"/>
      <c r="AQ45" s="9"/>
      <c r="AR45" s="10" t="str">
        <f aca="false">IF(A45="","",SG_Criteria!$B$6&amp;SG_Criteria!$B$9&amp;"\"&amp;A45&amp;"\")</f>
        <v/>
      </c>
      <c r="AS45" s="10" t="str">
        <f aca="false">IF(A45="","",A45&amp;"_CAD.dwg")</f>
        <v/>
      </c>
      <c r="AT45" s="10" t="str">
        <f aca="false">IF(A45="","",A45&amp;"_DWG.pdf")</f>
        <v/>
      </c>
      <c r="AU45" s="10" t="str">
        <f aca="false">IF(A45="","",IF(AQ45="Y",A45&amp;"_STAAD.std","n/a"))</f>
        <v/>
      </c>
      <c r="AV45" s="10" t="str">
        <f aca="false">IF(A45="","",A45&amp;"_CALC.xlsx")</f>
        <v/>
      </c>
      <c r="AW45" s="10" t="str">
        <f aca="false">IF(A45="","",A45&amp;"_CALC.pdf")</f>
        <v/>
      </c>
      <c r="AX45" s="9"/>
      <c r="AY45" s="9"/>
      <c r="AZ45" s="39"/>
      <c r="BA45" s="39"/>
      <c r="BB45" s="39"/>
      <c r="BC45" s="39"/>
      <c r="BD45" s="39"/>
      <c r="BE45" s="12" t="str">
        <f aca="false">IF(A45="","",IF(COUNTIF(Rebar_Schedule!$A$5:$A$2004,A45)=0,"",ROUND(SUMIF(Rebar_Schedule!$A$5:$A$2004,A45,Rebar_Schedule!$K$5:$K$2004),1)))</f>
        <v/>
      </c>
      <c r="BF45" s="33" t="str">
        <f aca="false">IF(A45="","",IF(BE45="","No rebar schedule yet",IF(ABS(BE45-N(BA45))/MAX(N(BA45),1)&gt;SG_Criteria!$B$55,"NOTE: register rebar differs from schedule by "&amp;TEXT(ABS(BE45-N(BA45))/MAX(N(BA45),1),"0%"),"OK")))</f>
        <v/>
      </c>
      <c r="BG45" s="33" t="str">
        <f aca="false">IF(OR(D45="",F45=""),"",IF(F45&lt;=IF(D45="Soldier Pile &amp; Timber Lagging",SG_Criteria!$B$34,SG_Criteria!$B$33),"No ERSS submission",IF(F45&lt;=SG_Criteria!$B$35,"QP(ST)",IF(F45&lt;=SG_Criteria!$B$36,"QP(ST) + AC","Geotechnical building works: QP(Geo) + AC"))))</f>
        <v/>
      </c>
      <c r="BH45" s="33" t="str">
        <f aca="false">IF(D45="","",IF(LEN(IF(AND(AC45&lt;&gt;"",IFERROR(VALUE(MID(AC45,2,2)),0)&lt;SG_Criteria!$B$19),"FAIL: grade below C"&amp;SG_Criteria!$B$19&amp;". ","")&amp;IF(AND(LEFT(D45,3)="Con",N(I45)&lt;F45,H45="Kallang Formation (marine clay)"),"NOTE: CBP is not watertight below GWT in marine clay; consider secant / grouting. ","")&amp;IF(AND(D45="Steel Sheet Pile",E45="Permanent"),"NOTE: permanent sheet pile needs corrosion allowance. ","")&amp;IF(AND(G45="Cantilever (no support)",F45&gt;6),"NOTE: cantilever embedded wall &gt; 6 m, check deflection. ","")&amp;IF(AND(T45&lt;&gt;"",U45&lt;&gt;"",T45&gt;U45),"FAIL: deflection exceeds allowable. ",""))=0,"OK",IF(AND(AC45&lt;&gt;"",IFERROR(VALUE(MID(AC45,2,2)),0)&lt;SG_Criteria!$B$19),"FAIL: grade below C"&amp;SG_Criteria!$B$19&amp;". ","")&amp;IF(AND(LEFT(D45,3)="Con",N(I45)&lt;F45,H45="Kallang Formation (marine clay)"),"NOTE: CBP is not watertight below GWT in marine clay; consider secant / grouting. ","")&amp;IF(AND(D45="Steel Sheet Pile",E45="Permanent"),"NOTE: permanent sheet pile needs corrosion allowance. ","")&amp;IF(AND(G45="Cantilever (no support)",F45&gt;6),"NOTE: cantilever embedded wall &gt; 6 m, check deflection. ","")&amp;IF(AND(T45&lt;&gt;"",U45&lt;&gt;"",T45&gt;U45),"FAIL: deflection exceeds allowable. ","")))</f>
        <v/>
      </c>
      <c r="BI45" s="9"/>
      <c r="BJ45" s="9"/>
      <c r="BK45" s="9"/>
      <c r="BL45" s="10" t="str">
        <f aca="false">IF(BK45="","",IFERROR(VLOOKUP(BK45,Projects!$A$5:$D$504,2,0),"Ref not in Projects"))</f>
        <v/>
      </c>
      <c r="BM45" s="10" t="str">
        <f aca="false">IF(BK45="","",IFERROR(VLOOKUP(BK45,Projects!$A$5:$D$504,4,0),"Ref not in Projects"))</f>
        <v/>
      </c>
      <c r="BN45" s="9"/>
      <c r="BO45" s="9"/>
      <c r="BP45" s="9"/>
      <c r="BQ45" s="40"/>
      <c r="BR45" s="9"/>
      <c r="BS45" s="40"/>
      <c r="BT45" s="9"/>
      <c r="BU45" s="40"/>
      <c r="BV45" s="9"/>
      <c r="BW45" s="9"/>
      <c r="BX45" s="9"/>
      <c r="BY45" s="40"/>
      <c r="BZ45" s="40"/>
      <c r="CA45" s="36" t="str">
        <f aca="false">IF(BZ45="","",EDATE(BZ45,SG_Criteria!$B$54*12))</f>
        <v/>
      </c>
      <c r="CB45" s="33" t="str">
        <f aca="true">IF(A45="","",IF(BZ45="","NOTE: not reviewed yet",IF(TODAY()&gt;CA45,"NOTE: review overdue","OK")))</f>
        <v/>
      </c>
      <c r="CC45" s="37" t="str">
        <f aca="false">IF(A45="","",ROUND((IF(LEN(D45)&gt;0,1,0)+IF(LEN(E45)&gt;0,1,0)+IF(LEN(F45)&gt;0,1,0)+IF(LEN(G45)&gt;0,1,0)+IF(LEN(H45)&gt;0,1,0)+IF(LEN(I45)&gt;0,1,0)+IF(LEN(K45)&gt;0,1,0)+IF(LEN(N45)&gt;0,1,0)+IF(LEN(O45)&gt;0,1,0)+IF(LEN(T45)&gt;0,1,0)+IF(LEN(U45)&gt;0,1,0)+IF(LEN(V45)&gt;0,1,0)+IF(LEN(AK45)&gt;0,1,0)+IF(LEN(AM45)&gt;0,1,0)+IF(LEN(AN45)&gt;0,1,0)+IF(LEN(AO45)&gt;0,1,0)+IF(LEN(AP45)&gt;0,1,0)+IF(LEN(AY45)&gt;0,1,0)+IF(LEN(BK45)&gt;0,1,0)+IF(LEN(BX45)&gt;0,1,0))/20,2))</f>
        <v/>
      </c>
      <c r="CD45" s="10" t="str">
        <f aca="false">IF(D45="","",IF(AND(AN45="Approved",ISERROR(SEARCH("FAIL",BH45))),"Y","N"))</f>
        <v/>
      </c>
      <c r="CE45" s="10" t="str">
        <f aca="false">IF(D45="","",D45&amp;"|"&amp;F45&amp;"|"&amp;G45&amp;"|"&amp;H45&amp;"|"&amp;E45&amp;"|"&amp;CD45)</f>
        <v/>
      </c>
    </row>
    <row r="46" customFormat="false" ht="15" hidden="false" customHeight="false" outlineLevel="0" collapsed="false">
      <c r="A46" s="10" t="str">
        <f aca="false">IF(D46="","","EW-"&amp;IFERROR(VLOOKUP(D46,Lists!$P$4:$Q$22,2,0),"??")&amp;"-D"&amp;TEXT(F46*1000,"0000")&amp;"-"&amp;IFERROR(VLOOKUP(G46,Lists!$S$4:$T$21,2,0),"??")&amp;"-"&amp;IFERROR(VLOOKUP(H46,Lists!$Y$4:$Z$21,2,0),"??")&amp;"-"&amp;IFERROR(VLOOKUP(E46,Lists!$V$4:$W$16,2,0),"??")&amp;"-"&amp;AM46)</f>
        <v/>
      </c>
      <c r="B46" s="10" t="str">
        <f aca="false">IF(D46="","",E46&amp;" "&amp;D46&amp;", excavation "&amp;TEXT(F46,"0.0")&amp;" m, "&amp;G46&amp;", "&amp;H46&amp;", "&amp;K46)</f>
        <v/>
      </c>
      <c r="C46" s="9"/>
      <c r="D46" s="9"/>
      <c r="E46" s="9"/>
      <c r="F46" s="42"/>
      <c r="G46" s="9"/>
      <c r="H46" s="9"/>
      <c r="I46" s="42"/>
      <c r="J46" s="38"/>
      <c r="K46" s="9"/>
      <c r="L46" s="9"/>
      <c r="M46" s="9"/>
      <c r="N46" s="42"/>
      <c r="O46" s="42"/>
      <c r="P46" s="9"/>
      <c r="Q46" s="9"/>
      <c r="R46" s="9"/>
      <c r="S46" s="9"/>
      <c r="T46" s="38"/>
      <c r="U46" s="38"/>
      <c r="V46" s="38"/>
      <c r="W46" s="38"/>
      <c r="X46" s="38"/>
      <c r="Y46" s="9"/>
      <c r="Z46" s="39"/>
      <c r="AA46" s="9"/>
      <c r="AB46" s="9"/>
      <c r="AC46" s="9"/>
      <c r="AD46" s="9"/>
      <c r="AE46" s="9"/>
      <c r="AF46" s="9"/>
      <c r="AG46" s="9"/>
      <c r="AH46" s="38"/>
      <c r="AI46" s="9"/>
      <c r="AJ46" s="39"/>
      <c r="AK46" s="9"/>
      <c r="AL46" s="9"/>
      <c r="AM46" s="9"/>
      <c r="AN46" s="9"/>
      <c r="AO46" s="9"/>
      <c r="AP46" s="9"/>
      <c r="AQ46" s="9"/>
      <c r="AR46" s="10" t="str">
        <f aca="false">IF(A46="","",SG_Criteria!$B$6&amp;SG_Criteria!$B$9&amp;"\"&amp;A46&amp;"\")</f>
        <v/>
      </c>
      <c r="AS46" s="10" t="str">
        <f aca="false">IF(A46="","",A46&amp;"_CAD.dwg")</f>
        <v/>
      </c>
      <c r="AT46" s="10" t="str">
        <f aca="false">IF(A46="","",A46&amp;"_DWG.pdf")</f>
        <v/>
      </c>
      <c r="AU46" s="10" t="str">
        <f aca="false">IF(A46="","",IF(AQ46="Y",A46&amp;"_STAAD.std","n/a"))</f>
        <v/>
      </c>
      <c r="AV46" s="10" t="str">
        <f aca="false">IF(A46="","",A46&amp;"_CALC.xlsx")</f>
        <v/>
      </c>
      <c r="AW46" s="10" t="str">
        <f aca="false">IF(A46="","",A46&amp;"_CALC.pdf")</f>
        <v/>
      </c>
      <c r="AX46" s="9"/>
      <c r="AY46" s="9"/>
      <c r="AZ46" s="39"/>
      <c r="BA46" s="39"/>
      <c r="BB46" s="39"/>
      <c r="BC46" s="39"/>
      <c r="BD46" s="39"/>
      <c r="BE46" s="12" t="str">
        <f aca="false">IF(A46="","",IF(COUNTIF(Rebar_Schedule!$A$5:$A$2004,A46)=0,"",ROUND(SUMIF(Rebar_Schedule!$A$5:$A$2004,A46,Rebar_Schedule!$K$5:$K$2004),1)))</f>
        <v/>
      </c>
      <c r="BF46" s="33" t="str">
        <f aca="false">IF(A46="","",IF(BE46="","No rebar schedule yet",IF(ABS(BE46-N(BA46))/MAX(N(BA46),1)&gt;SG_Criteria!$B$55,"NOTE: register rebar differs from schedule by "&amp;TEXT(ABS(BE46-N(BA46))/MAX(N(BA46),1),"0%"),"OK")))</f>
        <v/>
      </c>
      <c r="BG46" s="33" t="str">
        <f aca="false">IF(OR(D46="",F46=""),"",IF(F46&lt;=IF(D46="Soldier Pile &amp; Timber Lagging",SG_Criteria!$B$34,SG_Criteria!$B$33),"No ERSS submission",IF(F46&lt;=SG_Criteria!$B$35,"QP(ST)",IF(F46&lt;=SG_Criteria!$B$36,"QP(ST) + AC","Geotechnical building works: QP(Geo) + AC"))))</f>
        <v/>
      </c>
      <c r="BH46" s="33" t="str">
        <f aca="false">IF(D46="","",IF(LEN(IF(AND(AC46&lt;&gt;"",IFERROR(VALUE(MID(AC46,2,2)),0)&lt;SG_Criteria!$B$19),"FAIL: grade below C"&amp;SG_Criteria!$B$19&amp;". ","")&amp;IF(AND(LEFT(D46,3)="Con",N(I46)&lt;F46,H46="Kallang Formation (marine clay)"),"NOTE: CBP is not watertight below GWT in marine clay; consider secant / grouting. ","")&amp;IF(AND(D46="Steel Sheet Pile",E46="Permanent"),"NOTE: permanent sheet pile needs corrosion allowance. ","")&amp;IF(AND(G46="Cantilever (no support)",F46&gt;6),"NOTE: cantilever embedded wall &gt; 6 m, check deflection. ","")&amp;IF(AND(T46&lt;&gt;"",U46&lt;&gt;"",T46&gt;U46),"FAIL: deflection exceeds allowable. ",""))=0,"OK",IF(AND(AC46&lt;&gt;"",IFERROR(VALUE(MID(AC46,2,2)),0)&lt;SG_Criteria!$B$19),"FAIL: grade below C"&amp;SG_Criteria!$B$19&amp;". ","")&amp;IF(AND(LEFT(D46,3)="Con",N(I46)&lt;F46,H46="Kallang Formation (marine clay)"),"NOTE: CBP is not watertight below GWT in marine clay; consider secant / grouting. ","")&amp;IF(AND(D46="Steel Sheet Pile",E46="Permanent"),"NOTE: permanent sheet pile needs corrosion allowance. ","")&amp;IF(AND(G46="Cantilever (no support)",F46&gt;6),"NOTE: cantilever embedded wall &gt; 6 m, check deflection. ","")&amp;IF(AND(T46&lt;&gt;"",U46&lt;&gt;"",T46&gt;U46),"FAIL: deflection exceeds allowable. ","")))</f>
        <v/>
      </c>
      <c r="BI46" s="9"/>
      <c r="BJ46" s="9"/>
      <c r="BK46" s="9"/>
      <c r="BL46" s="10" t="str">
        <f aca="false">IF(BK46="","",IFERROR(VLOOKUP(BK46,Projects!$A$5:$D$504,2,0),"Ref not in Projects"))</f>
        <v/>
      </c>
      <c r="BM46" s="10" t="str">
        <f aca="false">IF(BK46="","",IFERROR(VLOOKUP(BK46,Projects!$A$5:$D$504,4,0),"Ref not in Projects"))</f>
        <v/>
      </c>
      <c r="BN46" s="9"/>
      <c r="BO46" s="9"/>
      <c r="BP46" s="9"/>
      <c r="BQ46" s="40"/>
      <c r="BR46" s="9"/>
      <c r="BS46" s="40"/>
      <c r="BT46" s="9"/>
      <c r="BU46" s="40"/>
      <c r="BV46" s="9"/>
      <c r="BW46" s="9"/>
      <c r="BX46" s="9"/>
      <c r="BY46" s="40"/>
      <c r="BZ46" s="40"/>
      <c r="CA46" s="36" t="str">
        <f aca="false">IF(BZ46="","",EDATE(BZ46,SG_Criteria!$B$54*12))</f>
        <v/>
      </c>
      <c r="CB46" s="33" t="str">
        <f aca="true">IF(A46="","",IF(BZ46="","NOTE: not reviewed yet",IF(TODAY()&gt;CA46,"NOTE: review overdue","OK")))</f>
        <v/>
      </c>
      <c r="CC46" s="37" t="str">
        <f aca="false">IF(A46="","",ROUND((IF(LEN(D46)&gt;0,1,0)+IF(LEN(E46)&gt;0,1,0)+IF(LEN(F46)&gt;0,1,0)+IF(LEN(G46)&gt;0,1,0)+IF(LEN(H46)&gt;0,1,0)+IF(LEN(I46)&gt;0,1,0)+IF(LEN(K46)&gt;0,1,0)+IF(LEN(N46)&gt;0,1,0)+IF(LEN(O46)&gt;0,1,0)+IF(LEN(T46)&gt;0,1,0)+IF(LEN(U46)&gt;0,1,0)+IF(LEN(V46)&gt;0,1,0)+IF(LEN(AK46)&gt;0,1,0)+IF(LEN(AM46)&gt;0,1,0)+IF(LEN(AN46)&gt;0,1,0)+IF(LEN(AO46)&gt;0,1,0)+IF(LEN(AP46)&gt;0,1,0)+IF(LEN(AY46)&gt;0,1,0)+IF(LEN(BK46)&gt;0,1,0)+IF(LEN(BX46)&gt;0,1,0))/20,2))</f>
        <v/>
      </c>
      <c r="CD46" s="10" t="str">
        <f aca="false">IF(D46="","",IF(AND(AN46="Approved",ISERROR(SEARCH("FAIL",BH46))),"Y","N"))</f>
        <v/>
      </c>
      <c r="CE46" s="10" t="str">
        <f aca="false">IF(D46="","",D46&amp;"|"&amp;F46&amp;"|"&amp;G46&amp;"|"&amp;H46&amp;"|"&amp;E46&amp;"|"&amp;CD46)</f>
        <v/>
      </c>
    </row>
    <row r="47" customFormat="false" ht="15" hidden="false" customHeight="false" outlineLevel="0" collapsed="false">
      <c r="A47" s="10" t="str">
        <f aca="false">IF(D47="","","EW-"&amp;IFERROR(VLOOKUP(D47,Lists!$P$4:$Q$22,2,0),"??")&amp;"-D"&amp;TEXT(F47*1000,"0000")&amp;"-"&amp;IFERROR(VLOOKUP(G47,Lists!$S$4:$T$21,2,0),"??")&amp;"-"&amp;IFERROR(VLOOKUP(H47,Lists!$Y$4:$Z$21,2,0),"??")&amp;"-"&amp;IFERROR(VLOOKUP(E47,Lists!$V$4:$W$16,2,0),"??")&amp;"-"&amp;AM47)</f>
        <v/>
      </c>
      <c r="B47" s="10" t="str">
        <f aca="false">IF(D47="","",E47&amp;" "&amp;D47&amp;", excavation "&amp;TEXT(F47,"0.0")&amp;" m, "&amp;G47&amp;", "&amp;H47&amp;", "&amp;K47)</f>
        <v/>
      </c>
      <c r="C47" s="9"/>
      <c r="D47" s="9"/>
      <c r="E47" s="9"/>
      <c r="F47" s="42"/>
      <c r="G47" s="9"/>
      <c r="H47" s="9"/>
      <c r="I47" s="42"/>
      <c r="J47" s="38"/>
      <c r="K47" s="9"/>
      <c r="L47" s="9"/>
      <c r="M47" s="9"/>
      <c r="N47" s="42"/>
      <c r="O47" s="42"/>
      <c r="P47" s="9"/>
      <c r="Q47" s="9"/>
      <c r="R47" s="9"/>
      <c r="S47" s="9"/>
      <c r="T47" s="38"/>
      <c r="U47" s="38"/>
      <c r="V47" s="38"/>
      <c r="W47" s="38"/>
      <c r="X47" s="38"/>
      <c r="Y47" s="9"/>
      <c r="Z47" s="39"/>
      <c r="AA47" s="9"/>
      <c r="AB47" s="9"/>
      <c r="AC47" s="9"/>
      <c r="AD47" s="9"/>
      <c r="AE47" s="9"/>
      <c r="AF47" s="9"/>
      <c r="AG47" s="9"/>
      <c r="AH47" s="38"/>
      <c r="AI47" s="9"/>
      <c r="AJ47" s="39"/>
      <c r="AK47" s="9"/>
      <c r="AL47" s="9"/>
      <c r="AM47" s="9"/>
      <c r="AN47" s="9"/>
      <c r="AO47" s="9"/>
      <c r="AP47" s="9"/>
      <c r="AQ47" s="9"/>
      <c r="AR47" s="10" t="str">
        <f aca="false">IF(A47="","",SG_Criteria!$B$6&amp;SG_Criteria!$B$9&amp;"\"&amp;A47&amp;"\")</f>
        <v/>
      </c>
      <c r="AS47" s="10" t="str">
        <f aca="false">IF(A47="","",A47&amp;"_CAD.dwg")</f>
        <v/>
      </c>
      <c r="AT47" s="10" t="str">
        <f aca="false">IF(A47="","",A47&amp;"_DWG.pdf")</f>
        <v/>
      </c>
      <c r="AU47" s="10" t="str">
        <f aca="false">IF(A47="","",IF(AQ47="Y",A47&amp;"_STAAD.std","n/a"))</f>
        <v/>
      </c>
      <c r="AV47" s="10" t="str">
        <f aca="false">IF(A47="","",A47&amp;"_CALC.xlsx")</f>
        <v/>
      </c>
      <c r="AW47" s="10" t="str">
        <f aca="false">IF(A47="","",A47&amp;"_CALC.pdf")</f>
        <v/>
      </c>
      <c r="AX47" s="9"/>
      <c r="AY47" s="9"/>
      <c r="AZ47" s="39"/>
      <c r="BA47" s="39"/>
      <c r="BB47" s="39"/>
      <c r="BC47" s="39"/>
      <c r="BD47" s="39"/>
      <c r="BE47" s="12" t="str">
        <f aca="false">IF(A47="","",IF(COUNTIF(Rebar_Schedule!$A$5:$A$2004,A47)=0,"",ROUND(SUMIF(Rebar_Schedule!$A$5:$A$2004,A47,Rebar_Schedule!$K$5:$K$2004),1)))</f>
        <v/>
      </c>
      <c r="BF47" s="33" t="str">
        <f aca="false">IF(A47="","",IF(BE47="","No rebar schedule yet",IF(ABS(BE47-N(BA47))/MAX(N(BA47),1)&gt;SG_Criteria!$B$55,"NOTE: register rebar differs from schedule by "&amp;TEXT(ABS(BE47-N(BA47))/MAX(N(BA47),1),"0%"),"OK")))</f>
        <v/>
      </c>
      <c r="BG47" s="33" t="str">
        <f aca="false">IF(OR(D47="",F47=""),"",IF(F47&lt;=IF(D47="Soldier Pile &amp; Timber Lagging",SG_Criteria!$B$34,SG_Criteria!$B$33),"No ERSS submission",IF(F47&lt;=SG_Criteria!$B$35,"QP(ST)",IF(F47&lt;=SG_Criteria!$B$36,"QP(ST) + AC","Geotechnical building works: QP(Geo) + AC"))))</f>
        <v/>
      </c>
      <c r="BH47" s="33" t="str">
        <f aca="false">IF(D47="","",IF(LEN(IF(AND(AC47&lt;&gt;"",IFERROR(VALUE(MID(AC47,2,2)),0)&lt;SG_Criteria!$B$19),"FAIL: grade below C"&amp;SG_Criteria!$B$19&amp;". ","")&amp;IF(AND(LEFT(D47,3)="Con",N(I47)&lt;F47,H47="Kallang Formation (marine clay)"),"NOTE: CBP is not watertight below GWT in marine clay; consider secant / grouting. ","")&amp;IF(AND(D47="Steel Sheet Pile",E47="Permanent"),"NOTE: permanent sheet pile needs corrosion allowance. ","")&amp;IF(AND(G47="Cantilever (no support)",F47&gt;6),"NOTE: cantilever embedded wall &gt; 6 m, check deflection. ","")&amp;IF(AND(T47&lt;&gt;"",U47&lt;&gt;"",T47&gt;U47),"FAIL: deflection exceeds allowable. ",""))=0,"OK",IF(AND(AC47&lt;&gt;"",IFERROR(VALUE(MID(AC47,2,2)),0)&lt;SG_Criteria!$B$19),"FAIL: grade below C"&amp;SG_Criteria!$B$19&amp;". ","")&amp;IF(AND(LEFT(D47,3)="Con",N(I47)&lt;F47,H47="Kallang Formation (marine clay)"),"NOTE: CBP is not watertight below GWT in marine clay; consider secant / grouting. ","")&amp;IF(AND(D47="Steel Sheet Pile",E47="Permanent"),"NOTE: permanent sheet pile needs corrosion allowance. ","")&amp;IF(AND(G47="Cantilever (no support)",F47&gt;6),"NOTE: cantilever embedded wall &gt; 6 m, check deflection. ","")&amp;IF(AND(T47&lt;&gt;"",U47&lt;&gt;"",T47&gt;U47),"FAIL: deflection exceeds allowable. ","")))</f>
        <v/>
      </c>
      <c r="BI47" s="9"/>
      <c r="BJ47" s="9"/>
      <c r="BK47" s="9"/>
      <c r="BL47" s="10" t="str">
        <f aca="false">IF(BK47="","",IFERROR(VLOOKUP(BK47,Projects!$A$5:$D$504,2,0),"Ref not in Projects"))</f>
        <v/>
      </c>
      <c r="BM47" s="10" t="str">
        <f aca="false">IF(BK47="","",IFERROR(VLOOKUP(BK47,Projects!$A$5:$D$504,4,0),"Ref not in Projects"))</f>
        <v/>
      </c>
      <c r="BN47" s="9"/>
      <c r="BO47" s="9"/>
      <c r="BP47" s="9"/>
      <c r="BQ47" s="40"/>
      <c r="BR47" s="9"/>
      <c r="BS47" s="40"/>
      <c r="BT47" s="9"/>
      <c r="BU47" s="40"/>
      <c r="BV47" s="9"/>
      <c r="BW47" s="9"/>
      <c r="BX47" s="9"/>
      <c r="BY47" s="40"/>
      <c r="BZ47" s="40"/>
      <c r="CA47" s="36" t="str">
        <f aca="false">IF(BZ47="","",EDATE(BZ47,SG_Criteria!$B$54*12))</f>
        <v/>
      </c>
      <c r="CB47" s="33" t="str">
        <f aca="true">IF(A47="","",IF(BZ47="","NOTE: not reviewed yet",IF(TODAY()&gt;CA47,"NOTE: review overdue","OK")))</f>
        <v/>
      </c>
      <c r="CC47" s="37" t="str">
        <f aca="false">IF(A47="","",ROUND((IF(LEN(D47)&gt;0,1,0)+IF(LEN(E47)&gt;0,1,0)+IF(LEN(F47)&gt;0,1,0)+IF(LEN(G47)&gt;0,1,0)+IF(LEN(H47)&gt;0,1,0)+IF(LEN(I47)&gt;0,1,0)+IF(LEN(K47)&gt;0,1,0)+IF(LEN(N47)&gt;0,1,0)+IF(LEN(O47)&gt;0,1,0)+IF(LEN(T47)&gt;0,1,0)+IF(LEN(U47)&gt;0,1,0)+IF(LEN(V47)&gt;0,1,0)+IF(LEN(AK47)&gt;0,1,0)+IF(LEN(AM47)&gt;0,1,0)+IF(LEN(AN47)&gt;0,1,0)+IF(LEN(AO47)&gt;0,1,0)+IF(LEN(AP47)&gt;0,1,0)+IF(LEN(AY47)&gt;0,1,0)+IF(LEN(BK47)&gt;0,1,0)+IF(LEN(BX47)&gt;0,1,0))/20,2))</f>
        <v/>
      </c>
      <c r="CD47" s="10" t="str">
        <f aca="false">IF(D47="","",IF(AND(AN47="Approved",ISERROR(SEARCH("FAIL",BH47))),"Y","N"))</f>
        <v/>
      </c>
      <c r="CE47" s="10" t="str">
        <f aca="false">IF(D47="","",D47&amp;"|"&amp;F47&amp;"|"&amp;G47&amp;"|"&amp;H47&amp;"|"&amp;E47&amp;"|"&amp;CD47)</f>
        <v/>
      </c>
    </row>
    <row r="48" customFormat="false" ht="15" hidden="false" customHeight="false" outlineLevel="0" collapsed="false">
      <c r="A48" s="10" t="str">
        <f aca="false">IF(D48="","","EW-"&amp;IFERROR(VLOOKUP(D48,Lists!$P$4:$Q$22,2,0),"??")&amp;"-D"&amp;TEXT(F48*1000,"0000")&amp;"-"&amp;IFERROR(VLOOKUP(G48,Lists!$S$4:$T$21,2,0),"??")&amp;"-"&amp;IFERROR(VLOOKUP(H48,Lists!$Y$4:$Z$21,2,0),"??")&amp;"-"&amp;IFERROR(VLOOKUP(E48,Lists!$V$4:$W$16,2,0),"??")&amp;"-"&amp;AM48)</f>
        <v/>
      </c>
      <c r="B48" s="10" t="str">
        <f aca="false">IF(D48="","",E48&amp;" "&amp;D48&amp;", excavation "&amp;TEXT(F48,"0.0")&amp;" m, "&amp;G48&amp;", "&amp;H48&amp;", "&amp;K48)</f>
        <v/>
      </c>
      <c r="C48" s="9"/>
      <c r="D48" s="9"/>
      <c r="E48" s="9"/>
      <c r="F48" s="42"/>
      <c r="G48" s="9"/>
      <c r="H48" s="9"/>
      <c r="I48" s="42"/>
      <c r="J48" s="38"/>
      <c r="K48" s="9"/>
      <c r="L48" s="9"/>
      <c r="M48" s="9"/>
      <c r="N48" s="42"/>
      <c r="O48" s="42"/>
      <c r="P48" s="9"/>
      <c r="Q48" s="9"/>
      <c r="R48" s="9"/>
      <c r="S48" s="9"/>
      <c r="T48" s="38"/>
      <c r="U48" s="38"/>
      <c r="V48" s="38"/>
      <c r="W48" s="38"/>
      <c r="X48" s="38"/>
      <c r="Y48" s="9"/>
      <c r="Z48" s="39"/>
      <c r="AA48" s="9"/>
      <c r="AB48" s="9"/>
      <c r="AC48" s="9"/>
      <c r="AD48" s="9"/>
      <c r="AE48" s="9"/>
      <c r="AF48" s="9"/>
      <c r="AG48" s="9"/>
      <c r="AH48" s="38"/>
      <c r="AI48" s="9"/>
      <c r="AJ48" s="39"/>
      <c r="AK48" s="9"/>
      <c r="AL48" s="9"/>
      <c r="AM48" s="9"/>
      <c r="AN48" s="9"/>
      <c r="AO48" s="9"/>
      <c r="AP48" s="9"/>
      <c r="AQ48" s="9"/>
      <c r="AR48" s="10" t="str">
        <f aca="false">IF(A48="","",SG_Criteria!$B$6&amp;SG_Criteria!$B$9&amp;"\"&amp;A48&amp;"\")</f>
        <v/>
      </c>
      <c r="AS48" s="10" t="str">
        <f aca="false">IF(A48="","",A48&amp;"_CAD.dwg")</f>
        <v/>
      </c>
      <c r="AT48" s="10" t="str">
        <f aca="false">IF(A48="","",A48&amp;"_DWG.pdf")</f>
        <v/>
      </c>
      <c r="AU48" s="10" t="str">
        <f aca="false">IF(A48="","",IF(AQ48="Y",A48&amp;"_STAAD.std","n/a"))</f>
        <v/>
      </c>
      <c r="AV48" s="10" t="str">
        <f aca="false">IF(A48="","",A48&amp;"_CALC.xlsx")</f>
        <v/>
      </c>
      <c r="AW48" s="10" t="str">
        <f aca="false">IF(A48="","",A48&amp;"_CALC.pdf")</f>
        <v/>
      </c>
      <c r="AX48" s="9"/>
      <c r="AY48" s="9"/>
      <c r="AZ48" s="39"/>
      <c r="BA48" s="39"/>
      <c r="BB48" s="39"/>
      <c r="BC48" s="39"/>
      <c r="BD48" s="39"/>
      <c r="BE48" s="12" t="str">
        <f aca="false">IF(A48="","",IF(COUNTIF(Rebar_Schedule!$A$5:$A$2004,A48)=0,"",ROUND(SUMIF(Rebar_Schedule!$A$5:$A$2004,A48,Rebar_Schedule!$K$5:$K$2004),1)))</f>
        <v/>
      </c>
      <c r="BF48" s="33" t="str">
        <f aca="false">IF(A48="","",IF(BE48="","No rebar schedule yet",IF(ABS(BE48-N(BA48))/MAX(N(BA48),1)&gt;SG_Criteria!$B$55,"NOTE: register rebar differs from schedule by "&amp;TEXT(ABS(BE48-N(BA48))/MAX(N(BA48),1),"0%"),"OK")))</f>
        <v/>
      </c>
      <c r="BG48" s="33" t="str">
        <f aca="false">IF(OR(D48="",F48=""),"",IF(F48&lt;=IF(D48="Soldier Pile &amp; Timber Lagging",SG_Criteria!$B$34,SG_Criteria!$B$33),"No ERSS submission",IF(F48&lt;=SG_Criteria!$B$35,"QP(ST)",IF(F48&lt;=SG_Criteria!$B$36,"QP(ST) + AC","Geotechnical building works: QP(Geo) + AC"))))</f>
        <v/>
      </c>
      <c r="BH48" s="33" t="str">
        <f aca="false">IF(D48="","",IF(LEN(IF(AND(AC48&lt;&gt;"",IFERROR(VALUE(MID(AC48,2,2)),0)&lt;SG_Criteria!$B$19),"FAIL: grade below C"&amp;SG_Criteria!$B$19&amp;". ","")&amp;IF(AND(LEFT(D48,3)="Con",N(I48)&lt;F48,H48="Kallang Formation (marine clay)"),"NOTE: CBP is not watertight below GWT in marine clay; consider secant / grouting. ","")&amp;IF(AND(D48="Steel Sheet Pile",E48="Permanent"),"NOTE: permanent sheet pile needs corrosion allowance. ","")&amp;IF(AND(G48="Cantilever (no support)",F48&gt;6),"NOTE: cantilever embedded wall &gt; 6 m, check deflection. ","")&amp;IF(AND(T48&lt;&gt;"",U48&lt;&gt;"",T48&gt;U48),"FAIL: deflection exceeds allowable. ",""))=0,"OK",IF(AND(AC48&lt;&gt;"",IFERROR(VALUE(MID(AC48,2,2)),0)&lt;SG_Criteria!$B$19),"FAIL: grade below C"&amp;SG_Criteria!$B$19&amp;". ","")&amp;IF(AND(LEFT(D48,3)="Con",N(I48)&lt;F48,H48="Kallang Formation (marine clay)"),"NOTE: CBP is not watertight below GWT in marine clay; consider secant / grouting. ","")&amp;IF(AND(D48="Steel Sheet Pile",E48="Permanent"),"NOTE: permanent sheet pile needs corrosion allowance. ","")&amp;IF(AND(G48="Cantilever (no support)",F48&gt;6),"NOTE: cantilever embedded wall &gt; 6 m, check deflection. ","")&amp;IF(AND(T48&lt;&gt;"",U48&lt;&gt;"",T48&gt;U48),"FAIL: deflection exceeds allowable. ","")))</f>
        <v/>
      </c>
      <c r="BI48" s="9"/>
      <c r="BJ48" s="9"/>
      <c r="BK48" s="9"/>
      <c r="BL48" s="10" t="str">
        <f aca="false">IF(BK48="","",IFERROR(VLOOKUP(BK48,Projects!$A$5:$D$504,2,0),"Ref not in Projects"))</f>
        <v/>
      </c>
      <c r="BM48" s="10" t="str">
        <f aca="false">IF(BK48="","",IFERROR(VLOOKUP(BK48,Projects!$A$5:$D$504,4,0),"Ref not in Projects"))</f>
        <v/>
      </c>
      <c r="BN48" s="9"/>
      <c r="BO48" s="9"/>
      <c r="BP48" s="9"/>
      <c r="BQ48" s="40"/>
      <c r="BR48" s="9"/>
      <c r="BS48" s="40"/>
      <c r="BT48" s="9"/>
      <c r="BU48" s="40"/>
      <c r="BV48" s="9"/>
      <c r="BW48" s="9"/>
      <c r="BX48" s="9"/>
      <c r="BY48" s="40"/>
      <c r="BZ48" s="40"/>
      <c r="CA48" s="36" t="str">
        <f aca="false">IF(BZ48="","",EDATE(BZ48,SG_Criteria!$B$54*12))</f>
        <v/>
      </c>
      <c r="CB48" s="33" t="str">
        <f aca="true">IF(A48="","",IF(BZ48="","NOTE: not reviewed yet",IF(TODAY()&gt;CA48,"NOTE: review overdue","OK")))</f>
        <v/>
      </c>
      <c r="CC48" s="37" t="str">
        <f aca="false">IF(A48="","",ROUND((IF(LEN(D48)&gt;0,1,0)+IF(LEN(E48)&gt;0,1,0)+IF(LEN(F48)&gt;0,1,0)+IF(LEN(G48)&gt;0,1,0)+IF(LEN(H48)&gt;0,1,0)+IF(LEN(I48)&gt;0,1,0)+IF(LEN(K48)&gt;0,1,0)+IF(LEN(N48)&gt;0,1,0)+IF(LEN(O48)&gt;0,1,0)+IF(LEN(T48)&gt;0,1,0)+IF(LEN(U48)&gt;0,1,0)+IF(LEN(V48)&gt;0,1,0)+IF(LEN(AK48)&gt;0,1,0)+IF(LEN(AM48)&gt;0,1,0)+IF(LEN(AN48)&gt;0,1,0)+IF(LEN(AO48)&gt;0,1,0)+IF(LEN(AP48)&gt;0,1,0)+IF(LEN(AY48)&gt;0,1,0)+IF(LEN(BK48)&gt;0,1,0)+IF(LEN(BX48)&gt;0,1,0))/20,2))</f>
        <v/>
      </c>
      <c r="CD48" s="10" t="str">
        <f aca="false">IF(D48="","",IF(AND(AN48="Approved",ISERROR(SEARCH("FAIL",BH48))),"Y","N"))</f>
        <v/>
      </c>
      <c r="CE48" s="10" t="str">
        <f aca="false">IF(D48="","",D48&amp;"|"&amp;F48&amp;"|"&amp;G48&amp;"|"&amp;H48&amp;"|"&amp;E48&amp;"|"&amp;CD48)</f>
        <v/>
      </c>
    </row>
    <row r="49" customFormat="false" ht="15" hidden="false" customHeight="false" outlineLevel="0" collapsed="false">
      <c r="A49" s="10" t="str">
        <f aca="false">IF(D49="","","EW-"&amp;IFERROR(VLOOKUP(D49,Lists!$P$4:$Q$22,2,0),"??")&amp;"-D"&amp;TEXT(F49*1000,"0000")&amp;"-"&amp;IFERROR(VLOOKUP(G49,Lists!$S$4:$T$21,2,0),"??")&amp;"-"&amp;IFERROR(VLOOKUP(H49,Lists!$Y$4:$Z$21,2,0),"??")&amp;"-"&amp;IFERROR(VLOOKUP(E49,Lists!$V$4:$W$16,2,0),"??")&amp;"-"&amp;AM49)</f>
        <v/>
      </c>
      <c r="B49" s="10" t="str">
        <f aca="false">IF(D49="","",E49&amp;" "&amp;D49&amp;", excavation "&amp;TEXT(F49,"0.0")&amp;" m, "&amp;G49&amp;", "&amp;H49&amp;", "&amp;K49)</f>
        <v/>
      </c>
      <c r="C49" s="9"/>
      <c r="D49" s="9"/>
      <c r="E49" s="9"/>
      <c r="F49" s="42"/>
      <c r="G49" s="9"/>
      <c r="H49" s="9"/>
      <c r="I49" s="42"/>
      <c r="J49" s="38"/>
      <c r="K49" s="9"/>
      <c r="L49" s="9"/>
      <c r="M49" s="9"/>
      <c r="N49" s="42"/>
      <c r="O49" s="42"/>
      <c r="P49" s="9"/>
      <c r="Q49" s="9"/>
      <c r="R49" s="9"/>
      <c r="S49" s="9"/>
      <c r="T49" s="38"/>
      <c r="U49" s="38"/>
      <c r="V49" s="38"/>
      <c r="W49" s="38"/>
      <c r="X49" s="38"/>
      <c r="Y49" s="9"/>
      <c r="Z49" s="39"/>
      <c r="AA49" s="9"/>
      <c r="AB49" s="9"/>
      <c r="AC49" s="9"/>
      <c r="AD49" s="9"/>
      <c r="AE49" s="9"/>
      <c r="AF49" s="9"/>
      <c r="AG49" s="9"/>
      <c r="AH49" s="38"/>
      <c r="AI49" s="9"/>
      <c r="AJ49" s="39"/>
      <c r="AK49" s="9"/>
      <c r="AL49" s="9"/>
      <c r="AM49" s="9"/>
      <c r="AN49" s="9"/>
      <c r="AO49" s="9"/>
      <c r="AP49" s="9"/>
      <c r="AQ49" s="9"/>
      <c r="AR49" s="10" t="str">
        <f aca="false">IF(A49="","",SG_Criteria!$B$6&amp;SG_Criteria!$B$9&amp;"\"&amp;A49&amp;"\")</f>
        <v/>
      </c>
      <c r="AS49" s="10" t="str">
        <f aca="false">IF(A49="","",A49&amp;"_CAD.dwg")</f>
        <v/>
      </c>
      <c r="AT49" s="10" t="str">
        <f aca="false">IF(A49="","",A49&amp;"_DWG.pdf")</f>
        <v/>
      </c>
      <c r="AU49" s="10" t="str">
        <f aca="false">IF(A49="","",IF(AQ49="Y",A49&amp;"_STAAD.std","n/a"))</f>
        <v/>
      </c>
      <c r="AV49" s="10" t="str">
        <f aca="false">IF(A49="","",A49&amp;"_CALC.xlsx")</f>
        <v/>
      </c>
      <c r="AW49" s="10" t="str">
        <f aca="false">IF(A49="","",A49&amp;"_CALC.pdf")</f>
        <v/>
      </c>
      <c r="AX49" s="9"/>
      <c r="AY49" s="9"/>
      <c r="AZ49" s="39"/>
      <c r="BA49" s="39"/>
      <c r="BB49" s="39"/>
      <c r="BC49" s="39"/>
      <c r="BD49" s="39"/>
      <c r="BE49" s="12" t="str">
        <f aca="false">IF(A49="","",IF(COUNTIF(Rebar_Schedule!$A$5:$A$2004,A49)=0,"",ROUND(SUMIF(Rebar_Schedule!$A$5:$A$2004,A49,Rebar_Schedule!$K$5:$K$2004),1)))</f>
        <v/>
      </c>
      <c r="BF49" s="33" t="str">
        <f aca="false">IF(A49="","",IF(BE49="","No rebar schedule yet",IF(ABS(BE49-N(BA49))/MAX(N(BA49),1)&gt;SG_Criteria!$B$55,"NOTE: register rebar differs from schedule by "&amp;TEXT(ABS(BE49-N(BA49))/MAX(N(BA49),1),"0%"),"OK")))</f>
        <v/>
      </c>
      <c r="BG49" s="33" t="str">
        <f aca="false">IF(OR(D49="",F49=""),"",IF(F49&lt;=IF(D49="Soldier Pile &amp; Timber Lagging",SG_Criteria!$B$34,SG_Criteria!$B$33),"No ERSS submission",IF(F49&lt;=SG_Criteria!$B$35,"QP(ST)",IF(F49&lt;=SG_Criteria!$B$36,"QP(ST) + AC","Geotechnical building works: QP(Geo) + AC"))))</f>
        <v/>
      </c>
      <c r="BH49" s="33" t="str">
        <f aca="false">IF(D49="","",IF(LEN(IF(AND(AC49&lt;&gt;"",IFERROR(VALUE(MID(AC49,2,2)),0)&lt;SG_Criteria!$B$19),"FAIL: grade below C"&amp;SG_Criteria!$B$19&amp;". ","")&amp;IF(AND(LEFT(D49,3)="Con",N(I49)&lt;F49,H49="Kallang Formation (marine clay)"),"NOTE: CBP is not watertight below GWT in marine clay; consider secant / grouting. ","")&amp;IF(AND(D49="Steel Sheet Pile",E49="Permanent"),"NOTE: permanent sheet pile needs corrosion allowance. ","")&amp;IF(AND(G49="Cantilever (no support)",F49&gt;6),"NOTE: cantilever embedded wall &gt; 6 m, check deflection. ","")&amp;IF(AND(T49&lt;&gt;"",U49&lt;&gt;"",T49&gt;U49),"FAIL: deflection exceeds allowable. ",""))=0,"OK",IF(AND(AC49&lt;&gt;"",IFERROR(VALUE(MID(AC49,2,2)),0)&lt;SG_Criteria!$B$19),"FAIL: grade below C"&amp;SG_Criteria!$B$19&amp;". ","")&amp;IF(AND(LEFT(D49,3)="Con",N(I49)&lt;F49,H49="Kallang Formation (marine clay)"),"NOTE: CBP is not watertight below GWT in marine clay; consider secant / grouting. ","")&amp;IF(AND(D49="Steel Sheet Pile",E49="Permanent"),"NOTE: permanent sheet pile needs corrosion allowance. ","")&amp;IF(AND(G49="Cantilever (no support)",F49&gt;6),"NOTE: cantilever embedded wall &gt; 6 m, check deflection. ","")&amp;IF(AND(T49&lt;&gt;"",U49&lt;&gt;"",T49&gt;U49),"FAIL: deflection exceeds allowable. ","")))</f>
        <v/>
      </c>
      <c r="BI49" s="9"/>
      <c r="BJ49" s="9"/>
      <c r="BK49" s="9"/>
      <c r="BL49" s="10" t="str">
        <f aca="false">IF(BK49="","",IFERROR(VLOOKUP(BK49,Projects!$A$5:$D$504,2,0),"Ref not in Projects"))</f>
        <v/>
      </c>
      <c r="BM49" s="10" t="str">
        <f aca="false">IF(BK49="","",IFERROR(VLOOKUP(BK49,Projects!$A$5:$D$504,4,0),"Ref not in Projects"))</f>
        <v/>
      </c>
      <c r="BN49" s="9"/>
      <c r="BO49" s="9"/>
      <c r="BP49" s="9"/>
      <c r="BQ49" s="40"/>
      <c r="BR49" s="9"/>
      <c r="BS49" s="40"/>
      <c r="BT49" s="9"/>
      <c r="BU49" s="40"/>
      <c r="BV49" s="9"/>
      <c r="BW49" s="9"/>
      <c r="BX49" s="9"/>
      <c r="BY49" s="40"/>
      <c r="BZ49" s="40"/>
      <c r="CA49" s="36" t="str">
        <f aca="false">IF(BZ49="","",EDATE(BZ49,SG_Criteria!$B$54*12))</f>
        <v/>
      </c>
      <c r="CB49" s="33" t="str">
        <f aca="true">IF(A49="","",IF(BZ49="","NOTE: not reviewed yet",IF(TODAY()&gt;CA49,"NOTE: review overdue","OK")))</f>
        <v/>
      </c>
      <c r="CC49" s="37" t="str">
        <f aca="false">IF(A49="","",ROUND((IF(LEN(D49)&gt;0,1,0)+IF(LEN(E49)&gt;0,1,0)+IF(LEN(F49)&gt;0,1,0)+IF(LEN(G49)&gt;0,1,0)+IF(LEN(H49)&gt;0,1,0)+IF(LEN(I49)&gt;0,1,0)+IF(LEN(K49)&gt;0,1,0)+IF(LEN(N49)&gt;0,1,0)+IF(LEN(O49)&gt;0,1,0)+IF(LEN(T49)&gt;0,1,0)+IF(LEN(U49)&gt;0,1,0)+IF(LEN(V49)&gt;0,1,0)+IF(LEN(AK49)&gt;0,1,0)+IF(LEN(AM49)&gt;0,1,0)+IF(LEN(AN49)&gt;0,1,0)+IF(LEN(AO49)&gt;0,1,0)+IF(LEN(AP49)&gt;0,1,0)+IF(LEN(AY49)&gt;0,1,0)+IF(LEN(BK49)&gt;0,1,0)+IF(LEN(BX49)&gt;0,1,0))/20,2))</f>
        <v/>
      </c>
      <c r="CD49" s="10" t="str">
        <f aca="false">IF(D49="","",IF(AND(AN49="Approved",ISERROR(SEARCH("FAIL",BH49))),"Y","N"))</f>
        <v/>
      </c>
      <c r="CE49" s="10" t="str">
        <f aca="false">IF(D49="","",D49&amp;"|"&amp;F49&amp;"|"&amp;G49&amp;"|"&amp;H49&amp;"|"&amp;E49&amp;"|"&amp;CD49)</f>
        <v/>
      </c>
    </row>
    <row r="50" customFormat="false" ht="15" hidden="false" customHeight="false" outlineLevel="0" collapsed="false">
      <c r="A50" s="10" t="str">
        <f aca="false">IF(D50="","","EW-"&amp;IFERROR(VLOOKUP(D50,Lists!$P$4:$Q$22,2,0),"??")&amp;"-D"&amp;TEXT(F50*1000,"0000")&amp;"-"&amp;IFERROR(VLOOKUP(G50,Lists!$S$4:$T$21,2,0),"??")&amp;"-"&amp;IFERROR(VLOOKUP(H50,Lists!$Y$4:$Z$21,2,0),"??")&amp;"-"&amp;IFERROR(VLOOKUP(E50,Lists!$V$4:$W$16,2,0),"??")&amp;"-"&amp;AM50)</f>
        <v/>
      </c>
      <c r="B50" s="10" t="str">
        <f aca="false">IF(D50="","",E50&amp;" "&amp;D50&amp;", excavation "&amp;TEXT(F50,"0.0")&amp;" m, "&amp;G50&amp;", "&amp;H50&amp;", "&amp;K50)</f>
        <v/>
      </c>
      <c r="C50" s="9"/>
      <c r="D50" s="9"/>
      <c r="E50" s="9"/>
      <c r="F50" s="42"/>
      <c r="G50" s="9"/>
      <c r="H50" s="9"/>
      <c r="I50" s="42"/>
      <c r="J50" s="38"/>
      <c r="K50" s="9"/>
      <c r="L50" s="9"/>
      <c r="M50" s="9"/>
      <c r="N50" s="42"/>
      <c r="O50" s="42"/>
      <c r="P50" s="9"/>
      <c r="Q50" s="9"/>
      <c r="R50" s="9"/>
      <c r="S50" s="9"/>
      <c r="T50" s="38"/>
      <c r="U50" s="38"/>
      <c r="V50" s="38"/>
      <c r="W50" s="38"/>
      <c r="X50" s="38"/>
      <c r="Y50" s="9"/>
      <c r="Z50" s="39"/>
      <c r="AA50" s="9"/>
      <c r="AB50" s="9"/>
      <c r="AC50" s="9"/>
      <c r="AD50" s="9"/>
      <c r="AE50" s="9"/>
      <c r="AF50" s="9"/>
      <c r="AG50" s="9"/>
      <c r="AH50" s="38"/>
      <c r="AI50" s="9"/>
      <c r="AJ50" s="39"/>
      <c r="AK50" s="9"/>
      <c r="AL50" s="9"/>
      <c r="AM50" s="9"/>
      <c r="AN50" s="9"/>
      <c r="AO50" s="9"/>
      <c r="AP50" s="9"/>
      <c r="AQ50" s="9"/>
      <c r="AR50" s="10" t="str">
        <f aca="false">IF(A50="","",SG_Criteria!$B$6&amp;SG_Criteria!$B$9&amp;"\"&amp;A50&amp;"\")</f>
        <v/>
      </c>
      <c r="AS50" s="10" t="str">
        <f aca="false">IF(A50="","",A50&amp;"_CAD.dwg")</f>
        <v/>
      </c>
      <c r="AT50" s="10" t="str">
        <f aca="false">IF(A50="","",A50&amp;"_DWG.pdf")</f>
        <v/>
      </c>
      <c r="AU50" s="10" t="str">
        <f aca="false">IF(A50="","",IF(AQ50="Y",A50&amp;"_STAAD.std","n/a"))</f>
        <v/>
      </c>
      <c r="AV50" s="10" t="str">
        <f aca="false">IF(A50="","",A50&amp;"_CALC.xlsx")</f>
        <v/>
      </c>
      <c r="AW50" s="10" t="str">
        <f aca="false">IF(A50="","",A50&amp;"_CALC.pdf")</f>
        <v/>
      </c>
      <c r="AX50" s="9"/>
      <c r="AY50" s="9"/>
      <c r="AZ50" s="39"/>
      <c r="BA50" s="39"/>
      <c r="BB50" s="39"/>
      <c r="BC50" s="39"/>
      <c r="BD50" s="39"/>
      <c r="BE50" s="12" t="str">
        <f aca="false">IF(A50="","",IF(COUNTIF(Rebar_Schedule!$A$5:$A$2004,A50)=0,"",ROUND(SUMIF(Rebar_Schedule!$A$5:$A$2004,A50,Rebar_Schedule!$K$5:$K$2004),1)))</f>
        <v/>
      </c>
      <c r="BF50" s="33" t="str">
        <f aca="false">IF(A50="","",IF(BE50="","No rebar schedule yet",IF(ABS(BE50-N(BA50))/MAX(N(BA50),1)&gt;SG_Criteria!$B$55,"NOTE: register rebar differs from schedule by "&amp;TEXT(ABS(BE50-N(BA50))/MAX(N(BA50),1),"0%"),"OK")))</f>
        <v/>
      </c>
      <c r="BG50" s="33" t="str">
        <f aca="false">IF(OR(D50="",F50=""),"",IF(F50&lt;=IF(D50="Soldier Pile &amp; Timber Lagging",SG_Criteria!$B$34,SG_Criteria!$B$33),"No ERSS submission",IF(F50&lt;=SG_Criteria!$B$35,"QP(ST)",IF(F50&lt;=SG_Criteria!$B$36,"QP(ST) + AC","Geotechnical building works: QP(Geo) + AC"))))</f>
        <v/>
      </c>
      <c r="BH50" s="33" t="str">
        <f aca="false">IF(D50="","",IF(LEN(IF(AND(AC50&lt;&gt;"",IFERROR(VALUE(MID(AC50,2,2)),0)&lt;SG_Criteria!$B$19),"FAIL: grade below C"&amp;SG_Criteria!$B$19&amp;". ","")&amp;IF(AND(LEFT(D50,3)="Con",N(I50)&lt;F50,H50="Kallang Formation (marine clay)"),"NOTE: CBP is not watertight below GWT in marine clay; consider secant / grouting. ","")&amp;IF(AND(D50="Steel Sheet Pile",E50="Permanent"),"NOTE: permanent sheet pile needs corrosion allowance. ","")&amp;IF(AND(G50="Cantilever (no support)",F50&gt;6),"NOTE: cantilever embedded wall &gt; 6 m, check deflection. ","")&amp;IF(AND(T50&lt;&gt;"",U50&lt;&gt;"",T50&gt;U50),"FAIL: deflection exceeds allowable. ",""))=0,"OK",IF(AND(AC50&lt;&gt;"",IFERROR(VALUE(MID(AC50,2,2)),0)&lt;SG_Criteria!$B$19),"FAIL: grade below C"&amp;SG_Criteria!$B$19&amp;". ","")&amp;IF(AND(LEFT(D50,3)="Con",N(I50)&lt;F50,H50="Kallang Formation (marine clay)"),"NOTE: CBP is not watertight below GWT in marine clay; consider secant / grouting. ","")&amp;IF(AND(D50="Steel Sheet Pile",E50="Permanent"),"NOTE: permanent sheet pile needs corrosion allowance. ","")&amp;IF(AND(G50="Cantilever (no support)",F50&gt;6),"NOTE: cantilever embedded wall &gt; 6 m, check deflection. ","")&amp;IF(AND(T50&lt;&gt;"",U50&lt;&gt;"",T50&gt;U50),"FAIL: deflection exceeds allowable. ","")))</f>
        <v/>
      </c>
      <c r="BI50" s="9"/>
      <c r="BJ50" s="9"/>
      <c r="BK50" s="9"/>
      <c r="BL50" s="10" t="str">
        <f aca="false">IF(BK50="","",IFERROR(VLOOKUP(BK50,Projects!$A$5:$D$504,2,0),"Ref not in Projects"))</f>
        <v/>
      </c>
      <c r="BM50" s="10" t="str">
        <f aca="false">IF(BK50="","",IFERROR(VLOOKUP(BK50,Projects!$A$5:$D$504,4,0),"Ref not in Projects"))</f>
        <v/>
      </c>
      <c r="BN50" s="9"/>
      <c r="BO50" s="9"/>
      <c r="BP50" s="9"/>
      <c r="BQ50" s="40"/>
      <c r="BR50" s="9"/>
      <c r="BS50" s="40"/>
      <c r="BT50" s="9"/>
      <c r="BU50" s="40"/>
      <c r="BV50" s="9"/>
      <c r="BW50" s="9"/>
      <c r="BX50" s="9"/>
      <c r="BY50" s="40"/>
      <c r="BZ50" s="40"/>
      <c r="CA50" s="36" t="str">
        <f aca="false">IF(BZ50="","",EDATE(BZ50,SG_Criteria!$B$54*12))</f>
        <v/>
      </c>
      <c r="CB50" s="33" t="str">
        <f aca="true">IF(A50="","",IF(BZ50="","NOTE: not reviewed yet",IF(TODAY()&gt;CA50,"NOTE: review overdue","OK")))</f>
        <v/>
      </c>
      <c r="CC50" s="37" t="str">
        <f aca="false">IF(A50="","",ROUND((IF(LEN(D50)&gt;0,1,0)+IF(LEN(E50)&gt;0,1,0)+IF(LEN(F50)&gt;0,1,0)+IF(LEN(G50)&gt;0,1,0)+IF(LEN(H50)&gt;0,1,0)+IF(LEN(I50)&gt;0,1,0)+IF(LEN(K50)&gt;0,1,0)+IF(LEN(N50)&gt;0,1,0)+IF(LEN(O50)&gt;0,1,0)+IF(LEN(T50)&gt;0,1,0)+IF(LEN(U50)&gt;0,1,0)+IF(LEN(V50)&gt;0,1,0)+IF(LEN(AK50)&gt;0,1,0)+IF(LEN(AM50)&gt;0,1,0)+IF(LEN(AN50)&gt;0,1,0)+IF(LEN(AO50)&gt;0,1,0)+IF(LEN(AP50)&gt;0,1,0)+IF(LEN(AY50)&gt;0,1,0)+IF(LEN(BK50)&gt;0,1,0)+IF(LEN(BX50)&gt;0,1,0))/20,2))</f>
        <v/>
      </c>
      <c r="CD50" s="10" t="str">
        <f aca="false">IF(D50="","",IF(AND(AN50="Approved",ISERROR(SEARCH("FAIL",BH50))),"Y","N"))</f>
        <v/>
      </c>
      <c r="CE50" s="10" t="str">
        <f aca="false">IF(D50="","",D50&amp;"|"&amp;F50&amp;"|"&amp;G50&amp;"|"&amp;H50&amp;"|"&amp;E50&amp;"|"&amp;CD50)</f>
        <v/>
      </c>
    </row>
    <row r="51" customFormat="false" ht="15" hidden="false" customHeight="false" outlineLevel="0" collapsed="false">
      <c r="A51" s="10" t="str">
        <f aca="false">IF(D51="","","EW-"&amp;IFERROR(VLOOKUP(D51,Lists!$P$4:$Q$22,2,0),"??")&amp;"-D"&amp;TEXT(F51*1000,"0000")&amp;"-"&amp;IFERROR(VLOOKUP(G51,Lists!$S$4:$T$21,2,0),"??")&amp;"-"&amp;IFERROR(VLOOKUP(H51,Lists!$Y$4:$Z$21,2,0),"??")&amp;"-"&amp;IFERROR(VLOOKUP(E51,Lists!$V$4:$W$16,2,0),"??")&amp;"-"&amp;AM51)</f>
        <v/>
      </c>
      <c r="B51" s="10" t="str">
        <f aca="false">IF(D51="","",E51&amp;" "&amp;D51&amp;", excavation "&amp;TEXT(F51,"0.0")&amp;" m, "&amp;G51&amp;", "&amp;H51&amp;", "&amp;K51)</f>
        <v/>
      </c>
      <c r="C51" s="9"/>
      <c r="D51" s="9"/>
      <c r="E51" s="9"/>
      <c r="F51" s="42"/>
      <c r="G51" s="9"/>
      <c r="H51" s="9"/>
      <c r="I51" s="42"/>
      <c r="J51" s="38"/>
      <c r="K51" s="9"/>
      <c r="L51" s="9"/>
      <c r="M51" s="9"/>
      <c r="N51" s="42"/>
      <c r="O51" s="42"/>
      <c r="P51" s="9"/>
      <c r="Q51" s="9"/>
      <c r="R51" s="9"/>
      <c r="S51" s="9"/>
      <c r="T51" s="38"/>
      <c r="U51" s="38"/>
      <c r="V51" s="38"/>
      <c r="W51" s="38"/>
      <c r="X51" s="38"/>
      <c r="Y51" s="9"/>
      <c r="Z51" s="39"/>
      <c r="AA51" s="9"/>
      <c r="AB51" s="9"/>
      <c r="AC51" s="9"/>
      <c r="AD51" s="9"/>
      <c r="AE51" s="9"/>
      <c r="AF51" s="9"/>
      <c r="AG51" s="9"/>
      <c r="AH51" s="38"/>
      <c r="AI51" s="9"/>
      <c r="AJ51" s="39"/>
      <c r="AK51" s="9"/>
      <c r="AL51" s="9"/>
      <c r="AM51" s="9"/>
      <c r="AN51" s="9"/>
      <c r="AO51" s="9"/>
      <c r="AP51" s="9"/>
      <c r="AQ51" s="9"/>
      <c r="AR51" s="10" t="str">
        <f aca="false">IF(A51="","",SG_Criteria!$B$6&amp;SG_Criteria!$B$9&amp;"\"&amp;A51&amp;"\")</f>
        <v/>
      </c>
      <c r="AS51" s="10" t="str">
        <f aca="false">IF(A51="","",A51&amp;"_CAD.dwg")</f>
        <v/>
      </c>
      <c r="AT51" s="10" t="str">
        <f aca="false">IF(A51="","",A51&amp;"_DWG.pdf")</f>
        <v/>
      </c>
      <c r="AU51" s="10" t="str">
        <f aca="false">IF(A51="","",IF(AQ51="Y",A51&amp;"_STAAD.std","n/a"))</f>
        <v/>
      </c>
      <c r="AV51" s="10" t="str">
        <f aca="false">IF(A51="","",A51&amp;"_CALC.xlsx")</f>
        <v/>
      </c>
      <c r="AW51" s="10" t="str">
        <f aca="false">IF(A51="","",A51&amp;"_CALC.pdf")</f>
        <v/>
      </c>
      <c r="AX51" s="9"/>
      <c r="AY51" s="9"/>
      <c r="AZ51" s="39"/>
      <c r="BA51" s="39"/>
      <c r="BB51" s="39"/>
      <c r="BC51" s="39"/>
      <c r="BD51" s="39"/>
      <c r="BE51" s="12" t="str">
        <f aca="false">IF(A51="","",IF(COUNTIF(Rebar_Schedule!$A$5:$A$2004,A51)=0,"",ROUND(SUMIF(Rebar_Schedule!$A$5:$A$2004,A51,Rebar_Schedule!$K$5:$K$2004),1)))</f>
        <v/>
      </c>
      <c r="BF51" s="33" t="str">
        <f aca="false">IF(A51="","",IF(BE51="","No rebar schedule yet",IF(ABS(BE51-N(BA51))/MAX(N(BA51),1)&gt;SG_Criteria!$B$55,"NOTE: register rebar differs from schedule by "&amp;TEXT(ABS(BE51-N(BA51))/MAX(N(BA51),1),"0%"),"OK")))</f>
        <v/>
      </c>
      <c r="BG51" s="33" t="str">
        <f aca="false">IF(OR(D51="",F51=""),"",IF(F51&lt;=IF(D51="Soldier Pile &amp; Timber Lagging",SG_Criteria!$B$34,SG_Criteria!$B$33),"No ERSS submission",IF(F51&lt;=SG_Criteria!$B$35,"QP(ST)",IF(F51&lt;=SG_Criteria!$B$36,"QP(ST) + AC","Geotechnical building works: QP(Geo) + AC"))))</f>
        <v/>
      </c>
      <c r="BH51" s="33" t="str">
        <f aca="false">IF(D51="","",IF(LEN(IF(AND(AC51&lt;&gt;"",IFERROR(VALUE(MID(AC51,2,2)),0)&lt;SG_Criteria!$B$19),"FAIL: grade below C"&amp;SG_Criteria!$B$19&amp;". ","")&amp;IF(AND(LEFT(D51,3)="Con",N(I51)&lt;F51,H51="Kallang Formation (marine clay)"),"NOTE: CBP is not watertight below GWT in marine clay; consider secant / grouting. ","")&amp;IF(AND(D51="Steel Sheet Pile",E51="Permanent"),"NOTE: permanent sheet pile needs corrosion allowance. ","")&amp;IF(AND(G51="Cantilever (no support)",F51&gt;6),"NOTE: cantilever embedded wall &gt; 6 m, check deflection. ","")&amp;IF(AND(T51&lt;&gt;"",U51&lt;&gt;"",T51&gt;U51),"FAIL: deflection exceeds allowable. ",""))=0,"OK",IF(AND(AC51&lt;&gt;"",IFERROR(VALUE(MID(AC51,2,2)),0)&lt;SG_Criteria!$B$19),"FAIL: grade below C"&amp;SG_Criteria!$B$19&amp;". ","")&amp;IF(AND(LEFT(D51,3)="Con",N(I51)&lt;F51,H51="Kallang Formation (marine clay)"),"NOTE: CBP is not watertight below GWT in marine clay; consider secant / grouting. ","")&amp;IF(AND(D51="Steel Sheet Pile",E51="Permanent"),"NOTE: permanent sheet pile needs corrosion allowance. ","")&amp;IF(AND(G51="Cantilever (no support)",F51&gt;6),"NOTE: cantilever embedded wall &gt; 6 m, check deflection. ","")&amp;IF(AND(T51&lt;&gt;"",U51&lt;&gt;"",T51&gt;U51),"FAIL: deflection exceeds allowable. ","")))</f>
        <v/>
      </c>
      <c r="BI51" s="9"/>
      <c r="BJ51" s="9"/>
      <c r="BK51" s="9"/>
      <c r="BL51" s="10" t="str">
        <f aca="false">IF(BK51="","",IFERROR(VLOOKUP(BK51,Projects!$A$5:$D$504,2,0),"Ref not in Projects"))</f>
        <v/>
      </c>
      <c r="BM51" s="10" t="str">
        <f aca="false">IF(BK51="","",IFERROR(VLOOKUP(BK51,Projects!$A$5:$D$504,4,0),"Ref not in Projects"))</f>
        <v/>
      </c>
      <c r="BN51" s="9"/>
      <c r="BO51" s="9"/>
      <c r="BP51" s="9"/>
      <c r="BQ51" s="40"/>
      <c r="BR51" s="9"/>
      <c r="BS51" s="40"/>
      <c r="BT51" s="9"/>
      <c r="BU51" s="40"/>
      <c r="BV51" s="9"/>
      <c r="BW51" s="9"/>
      <c r="BX51" s="9"/>
      <c r="BY51" s="40"/>
      <c r="BZ51" s="40"/>
      <c r="CA51" s="36" t="str">
        <f aca="false">IF(BZ51="","",EDATE(BZ51,SG_Criteria!$B$54*12))</f>
        <v/>
      </c>
      <c r="CB51" s="33" t="str">
        <f aca="true">IF(A51="","",IF(BZ51="","NOTE: not reviewed yet",IF(TODAY()&gt;CA51,"NOTE: review overdue","OK")))</f>
        <v/>
      </c>
      <c r="CC51" s="37" t="str">
        <f aca="false">IF(A51="","",ROUND((IF(LEN(D51)&gt;0,1,0)+IF(LEN(E51)&gt;0,1,0)+IF(LEN(F51)&gt;0,1,0)+IF(LEN(G51)&gt;0,1,0)+IF(LEN(H51)&gt;0,1,0)+IF(LEN(I51)&gt;0,1,0)+IF(LEN(K51)&gt;0,1,0)+IF(LEN(N51)&gt;0,1,0)+IF(LEN(O51)&gt;0,1,0)+IF(LEN(T51)&gt;0,1,0)+IF(LEN(U51)&gt;0,1,0)+IF(LEN(V51)&gt;0,1,0)+IF(LEN(AK51)&gt;0,1,0)+IF(LEN(AM51)&gt;0,1,0)+IF(LEN(AN51)&gt;0,1,0)+IF(LEN(AO51)&gt;0,1,0)+IF(LEN(AP51)&gt;0,1,0)+IF(LEN(AY51)&gt;0,1,0)+IF(LEN(BK51)&gt;0,1,0)+IF(LEN(BX51)&gt;0,1,0))/20,2))</f>
        <v/>
      </c>
      <c r="CD51" s="10" t="str">
        <f aca="false">IF(D51="","",IF(AND(AN51="Approved",ISERROR(SEARCH("FAIL",BH51))),"Y","N"))</f>
        <v/>
      </c>
      <c r="CE51" s="10" t="str">
        <f aca="false">IF(D51="","",D51&amp;"|"&amp;F51&amp;"|"&amp;G51&amp;"|"&amp;H51&amp;"|"&amp;E51&amp;"|"&amp;CD51)</f>
        <v/>
      </c>
    </row>
    <row r="52" customFormat="false" ht="15" hidden="false" customHeight="false" outlineLevel="0" collapsed="false">
      <c r="A52" s="10" t="str">
        <f aca="false">IF(D52="","","EW-"&amp;IFERROR(VLOOKUP(D52,Lists!$P$4:$Q$22,2,0),"??")&amp;"-D"&amp;TEXT(F52*1000,"0000")&amp;"-"&amp;IFERROR(VLOOKUP(G52,Lists!$S$4:$T$21,2,0),"??")&amp;"-"&amp;IFERROR(VLOOKUP(H52,Lists!$Y$4:$Z$21,2,0),"??")&amp;"-"&amp;IFERROR(VLOOKUP(E52,Lists!$V$4:$W$16,2,0),"??")&amp;"-"&amp;AM52)</f>
        <v/>
      </c>
      <c r="B52" s="10" t="str">
        <f aca="false">IF(D52="","",E52&amp;" "&amp;D52&amp;", excavation "&amp;TEXT(F52,"0.0")&amp;" m, "&amp;G52&amp;", "&amp;H52&amp;", "&amp;K52)</f>
        <v/>
      </c>
      <c r="C52" s="9"/>
      <c r="D52" s="9"/>
      <c r="E52" s="9"/>
      <c r="F52" s="42"/>
      <c r="G52" s="9"/>
      <c r="H52" s="9"/>
      <c r="I52" s="42"/>
      <c r="J52" s="38"/>
      <c r="K52" s="9"/>
      <c r="L52" s="9"/>
      <c r="M52" s="9"/>
      <c r="N52" s="42"/>
      <c r="O52" s="42"/>
      <c r="P52" s="9"/>
      <c r="Q52" s="9"/>
      <c r="R52" s="9"/>
      <c r="S52" s="9"/>
      <c r="T52" s="38"/>
      <c r="U52" s="38"/>
      <c r="V52" s="38"/>
      <c r="W52" s="38"/>
      <c r="X52" s="38"/>
      <c r="Y52" s="9"/>
      <c r="Z52" s="39"/>
      <c r="AA52" s="9"/>
      <c r="AB52" s="9"/>
      <c r="AC52" s="9"/>
      <c r="AD52" s="9"/>
      <c r="AE52" s="9"/>
      <c r="AF52" s="9"/>
      <c r="AG52" s="9"/>
      <c r="AH52" s="38"/>
      <c r="AI52" s="9"/>
      <c r="AJ52" s="39"/>
      <c r="AK52" s="9"/>
      <c r="AL52" s="9"/>
      <c r="AM52" s="9"/>
      <c r="AN52" s="9"/>
      <c r="AO52" s="9"/>
      <c r="AP52" s="9"/>
      <c r="AQ52" s="9"/>
      <c r="AR52" s="10" t="str">
        <f aca="false">IF(A52="","",SG_Criteria!$B$6&amp;SG_Criteria!$B$9&amp;"\"&amp;A52&amp;"\")</f>
        <v/>
      </c>
      <c r="AS52" s="10" t="str">
        <f aca="false">IF(A52="","",A52&amp;"_CAD.dwg")</f>
        <v/>
      </c>
      <c r="AT52" s="10" t="str">
        <f aca="false">IF(A52="","",A52&amp;"_DWG.pdf")</f>
        <v/>
      </c>
      <c r="AU52" s="10" t="str">
        <f aca="false">IF(A52="","",IF(AQ52="Y",A52&amp;"_STAAD.std","n/a"))</f>
        <v/>
      </c>
      <c r="AV52" s="10" t="str">
        <f aca="false">IF(A52="","",A52&amp;"_CALC.xlsx")</f>
        <v/>
      </c>
      <c r="AW52" s="10" t="str">
        <f aca="false">IF(A52="","",A52&amp;"_CALC.pdf")</f>
        <v/>
      </c>
      <c r="AX52" s="9"/>
      <c r="AY52" s="9"/>
      <c r="AZ52" s="39"/>
      <c r="BA52" s="39"/>
      <c r="BB52" s="39"/>
      <c r="BC52" s="39"/>
      <c r="BD52" s="39"/>
      <c r="BE52" s="12" t="str">
        <f aca="false">IF(A52="","",IF(COUNTIF(Rebar_Schedule!$A$5:$A$2004,A52)=0,"",ROUND(SUMIF(Rebar_Schedule!$A$5:$A$2004,A52,Rebar_Schedule!$K$5:$K$2004),1)))</f>
        <v/>
      </c>
      <c r="BF52" s="33" t="str">
        <f aca="false">IF(A52="","",IF(BE52="","No rebar schedule yet",IF(ABS(BE52-N(BA52))/MAX(N(BA52),1)&gt;SG_Criteria!$B$55,"NOTE: register rebar differs from schedule by "&amp;TEXT(ABS(BE52-N(BA52))/MAX(N(BA52),1),"0%"),"OK")))</f>
        <v/>
      </c>
      <c r="BG52" s="33" t="str">
        <f aca="false">IF(OR(D52="",F52=""),"",IF(F52&lt;=IF(D52="Soldier Pile &amp; Timber Lagging",SG_Criteria!$B$34,SG_Criteria!$B$33),"No ERSS submission",IF(F52&lt;=SG_Criteria!$B$35,"QP(ST)",IF(F52&lt;=SG_Criteria!$B$36,"QP(ST) + AC","Geotechnical building works: QP(Geo) + AC"))))</f>
        <v/>
      </c>
      <c r="BH52" s="33" t="str">
        <f aca="false">IF(D52="","",IF(LEN(IF(AND(AC52&lt;&gt;"",IFERROR(VALUE(MID(AC52,2,2)),0)&lt;SG_Criteria!$B$19),"FAIL: grade below C"&amp;SG_Criteria!$B$19&amp;". ","")&amp;IF(AND(LEFT(D52,3)="Con",N(I52)&lt;F52,H52="Kallang Formation (marine clay)"),"NOTE: CBP is not watertight below GWT in marine clay; consider secant / grouting. ","")&amp;IF(AND(D52="Steel Sheet Pile",E52="Permanent"),"NOTE: permanent sheet pile needs corrosion allowance. ","")&amp;IF(AND(G52="Cantilever (no support)",F52&gt;6),"NOTE: cantilever embedded wall &gt; 6 m, check deflection. ","")&amp;IF(AND(T52&lt;&gt;"",U52&lt;&gt;"",T52&gt;U52),"FAIL: deflection exceeds allowable. ",""))=0,"OK",IF(AND(AC52&lt;&gt;"",IFERROR(VALUE(MID(AC52,2,2)),0)&lt;SG_Criteria!$B$19),"FAIL: grade below C"&amp;SG_Criteria!$B$19&amp;". ","")&amp;IF(AND(LEFT(D52,3)="Con",N(I52)&lt;F52,H52="Kallang Formation (marine clay)"),"NOTE: CBP is not watertight below GWT in marine clay; consider secant / grouting. ","")&amp;IF(AND(D52="Steel Sheet Pile",E52="Permanent"),"NOTE: permanent sheet pile needs corrosion allowance. ","")&amp;IF(AND(G52="Cantilever (no support)",F52&gt;6),"NOTE: cantilever embedded wall &gt; 6 m, check deflection. ","")&amp;IF(AND(T52&lt;&gt;"",U52&lt;&gt;"",T52&gt;U52),"FAIL: deflection exceeds allowable. ","")))</f>
        <v/>
      </c>
      <c r="BI52" s="9"/>
      <c r="BJ52" s="9"/>
      <c r="BK52" s="9"/>
      <c r="BL52" s="10" t="str">
        <f aca="false">IF(BK52="","",IFERROR(VLOOKUP(BK52,Projects!$A$5:$D$504,2,0),"Ref not in Projects"))</f>
        <v/>
      </c>
      <c r="BM52" s="10" t="str">
        <f aca="false">IF(BK52="","",IFERROR(VLOOKUP(BK52,Projects!$A$5:$D$504,4,0),"Ref not in Projects"))</f>
        <v/>
      </c>
      <c r="BN52" s="9"/>
      <c r="BO52" s="9"/>
      <c r="BP52" s="9"/>
      <c r="BQ52" s="40"/>
      <c r="BR52" s="9"/>
      <c r="BS52" s="40"/>
      <c r="BT52" s="9"/>
      <c r="BU52" s="40"/>
      <c r="BV52" s="9"/>
      <c r="BW52" s="9"/>
      <c r="BX52" s="9"/>
      <c r="BY52" s="40"/>
      <c r="BZ52" s="40"/>
      <c r="CA52" s="36" t="str">
        <f aca="false">IF(BZ52="","",EDATE(BZ52,SG_Criteria!$B$54*12))</f>
        <v/>
      </c>
      <c r="CB52" s="33" t="str">
        <f aca="true">IF(A52="","",IF(BZ52="","NOTE: not reviewed yet",IF(TODAY()&gt;CA52,"NOTE: review overdue","OK")))</f>
        <v/>
      </c>
      <c r="CC52" s="37" t="str">
        <f aca="false">IF(A52="","",ROUND((IF(LEN(D52)&gt;0,1,0)+IF(LEN(E52)&gt;0,1,0)+IF(LEN(F52)&gt;0,1,0)+IF(LEN(G52)&gt;0,1,0)+IF(LEN(H52)&gt;0,1,0)+IF(LEN(I52)&gt;0,1,0)+IF(LEN(K52)&gt;0,1,0)+IF(LEN(N52)&gt;0,1,0)+IF(LEN(O52)&gt;0,1,0)+IF(LEN(T52)&gt;0,1,0)+IF(LEN(U52)&gt;0,1,0)+IF(LEN(V52)&gt;0,1,0)+IF(LEN(AK52)&gt;0,1,0)+IF(LEN(AM52)&gt;0,1,0)+IF(LEN(AN52)&gt;0,1,0)+IF(LEN(AO52)&gt;0,1,0)+IF(LEN(AP52)&gt;0,1,0)+IF(LEN(AY52)&gt;0,1,0)+IF(LEN(BK52)&gt;0,1,0)+IF(LEN(BX52)&gt;0,1,0))/20,2))</f>
        <v/>
      </c>
      <c r="CD52" s="10" t="str">
        <f aca="false">IF(D52="","",IF(AND(AN52="Approved",ISERROR(SEARCH("FAIL",BH52))),"Y","N"))</f>
        <v/>
      </c>
      <c r="CE52" s="10" t="str">
        <f aca="false">IF(D52="","",D52&amp;"|"&amp;F52&amp;"|"&amp;G52&amp;"|"&amp;H52&amp;"|"&amp;E52&amp;"|"&amp;CD52)</f>
        <v/>
      </c>
    </row>
    <row r="53" customFormat="false" ht="15" hidden="false" customHeight="false" outlineLevel="0" collapsed="false">
      <c r="A53" s="10" t="str">
        <f aca="false">IF(D53="","","EW-"&amp;IFERROR(VLOOKUP(D53,Lists!$P$4:$Q$22,2,0),"??")&amp;"-D"&amp;TEXT(F53*1000,"0000")&amp;"-"&amp;IFERROR(VLOOKUP(G53,Lists!$S$4:$T$21,2,0),"??")&amp;"-"&amp;IFERROR(VLOOKUP(H53,Lists!$Y$4:$Z$21,2,0),"??")&amp;"-"&amp;IFERROR(VLOOKUP(E53,Lists!$V$4:$W$16,2,0),"??")&amp;"-"&amp;AM53)</f>
        <v/>
      </c>
      <c r="B53" s="10" t="str">
        <f aca="false">IF(D53="","",E53&amp;" "&amp;D53&amp;", excavation "&amp;TEXT(F53,"0.0")&amp;" m, "&amp;G53&amp;", "&amp;H53&amp;", "&amp;K53)</f>
        <v/>
      </c>
      <c r="C53" s="9"/>
      <c r="D53" s="9"/>
      <c r="E53" s="9"/>
      <c r="F53" s="42"/>
      <c r="G53" s="9"/>
      <c r="H53" s="9"/>
      <c r="I53" s="42"/>
      <c r="J53" s="38"/>
      <c r="K53" s="9"/>
      <c r="L53" s="9"/>
      <c r="M53" s="9"/>
      <c r="N53" s="42"/>
      <c r="O53" s="42"/>
      <c r="P53" s="9"/>
      <c r="Q53" s="9"/>
      <c r="R53" s="9"/>
      <c r="S53" s="9"/>
      <c r="T53" s="38"/>
      <c r="U53" s="38"/>
      <c r="V53" s="38"/>
      <c r="W53" s="38"/>
      <c r="X53" s="38"/>
      <c r="Y53" s="9"/>
      <c r="Z53" s="39"/>
      <c r="AA53" s="9"/>
      <c r="AB53" s="9"/>
      <c r="AC53" s="9"/>
      <c r="AD53" s="9"/>
      <c r="AE53" s="9"/>
      <c r="AF53" s="9"/>
      <c r="AG53" s="9"/>
      <c r="AH53" s="38"/>
      <c r="AI53" s="9"/>
      <c r="AJ53" s="39"/>
      <c r="AK53" s="9"/>
      <c r="AL53" s="9"/>
      <c r="AM53" s="9"/>
      <c r="AN53" s="9"/>
      <c r="AO53" s="9"/>
      <c r="AP53" s="9"/>
      <c r="AQ53" s="9"/>
      <c r="AR53" s="10" t="str">
        <f aca="false">IF(A53="","",SG_Criteria!$B$6&amp;SG_Criteria!$B$9&amp;"\"&amp;A53&amp;"\")</f>
        <v/>
      </c>
      <c r="AS53" s="10" t="str">
        <f aca="false">IF(A53="","",A53&amp;"_CAD.dwg")</f>
        <v/>
      </c>
      <c r="AT53" s="10" t="str">
        <f aca="false">IF(A53="","",A53&amp;"_DWG.pdf")</f>
        <v/>
      </c>
      <c r="AU53" s="10" t="str">
        <f aca="false">IF(A53="","",IF(AQ53="Y",A53&amp;"_STAAD.std","n/a"))</f>
        <v/>
      </c>
      <c r="AV53" s="10" t="str">
        <f aca="false">IF(A53="","",A53&amp;"_CALC.xlsx")</f>
        <v/>
      </c>
      <c r="AW53" s="10" t="str">
        <f aca="false">IF(A53="","",A53&amp;"_CALC.pdf")</f>
        <v/>
      </c>
      <c r="AX53" s="9"/>
      <c r="AY53" s="9"/>
      <c r="AZ53" s="39"/>
      <c r="BA53" s="39"/>
      <c r="BB53" s="39"/>
      <c r="BC53" s="39"/>
      <c r="BD53" s="39"/>
      <c r="BE53" s="12" t="str">
        <f aca="false">IF(A53="","",IF(COUNTIF(Rebar_Schedule!$A$5:$A$2004,A53)=0,"",ROUND(SUMIF(Rebar_Schedule!$A$5:$A$2004,A53,Rebar_Schedule!$K$5:$K$2004),1)))</f>
        <v/>
      </c>
      <c r="BF53" s="33" t="str">
        <f aca="false">IF(A53="","",IF(BE53="","No rebar schedule yet",IF(ABS(BE53-N(BA53))/MAX(N(BA53),1)&gt;SG_Criteria!$B$55,"NOTE: register rebar differs from schedule by "&amp;TEXT(ABS(BE53-N(BA53))/MAX(N(BA53),1),"0%"),"OK")))</f>
        <v/>
      </c>
      <c r="BG53" s="33" t="str">
        <f aca="false">IF(OR(D53="",F53=""),"",IF(F53&lt;=IF(D53="Soldier Pile &amp; Timber Lagging",SG_Criteria!$B$34,SG_Criteria!$B$33),"No ERSS submission",IF(F53&lt;=SG_Criteria!$B$35,"QP(ST)",IF(F53&lt;=SG_Criteria!$B$36,"QP(ST) + AC","Geotechnical building works: QP(Geo) + AC"))))</f>
        <v/>
      </c>
      <c r="BH53" s="33" t="str">
        <f aca="false">IF(D53="","",IF(LEN(IF(AND(AC53&lt;&gt;"",IFERROR(VALUE(MID(AC53,2,2)),0)&lt;SG_Criteria!$B$19),"FAIL: grade below C"&amp;SG_Criteria!$B$19&amp;". ","")&amp;IF(AND(LEFT(D53,3)="Con",N(I53)&lt;F53,H53="Kallang Formation (marine clay)"),"NOTE: CBP is not watertight below GWT in marine clay; consider secant / grouting. ","")&amp;IF(AND(D53="Steel Sheet Pile",E53="Permanent"),"NOTE: permanent sheet pile needs corrosion allowance. ","")&amp;IF(AND(G53="Cantilever (no support)",F53&gt;6),"NOTE: cantilever embedded wall &gt; 6 m, check deflection. ","")&amp;IF(AND(T53&lt;&gt;"",U53&lt;&gt;"",T53&gt;U53),"FAIL: deflection exceeds allowable. ",""))=0,"OK",IF(AND(AC53&lt;&gt;"",IFERROR(VALUE(MID(AC53,2,2)),0)&lt;SG_Criteria!$B$19),"FAIL: grade below C"&amp;SG_Criteria!$B$19&amp;". ","")&amp;IF(AND(LEFT(D53,3)="Con",N(I53)&lt;F53,H53="Kallang Formation (marine clay)"),"NOTE: CBP is not watertight below GWT in marine clay; consider secant / grouting. ","")&amp;IF(AND(D53="Steel Sheet Pile",E53="Permanent"),"NOTE: permanent sheet pile needs corrosion allowance. ","")&amp;IF(AND(G53="Cantilever (no support)",F53&gt;6),"NOTE: cantilever embedded wall &gt; 6 m, check deflection. ","")&amp;IF(AND(T53&lt;&gt;"",U53&lt;&gt;"",T53&gt;U53),"FAIL: deflection exceeds allowable. ","")))</f>
        <v/>
      </c>
      <c r="BI53" s="9"/>
      <c r="BJ53" s="9"/>
      <c r="BK53" s="9"/>
      <c r="BL53" s="10" t="str">
        <f aca="false">IF(BK53="","",IFERROR(VLOOKUP(BK53,Projects!$A$5:$D$504,2,0),"Ref not in Projects"))</f>
        <v/>
      </c>
      <c r="BM53" s="10" t="str">
        <f aca="false">IF(BK53="","",IFERROR(VLOOKUP(BK53,Projects!$A$5:$D$504,4,0),"Ref not in Projects"))</f>
        <v/>
      </c>
      <c r="BN53" s="9"/>
      <c r="BO53" s="9"/>
      <c r="BP53" s="9"/>
      <c r="BQ53" s="40"/>
      <c r="BR53" s="9"/>
      <c r="BS53" s="40"/>
      <c r="BT53" s="9"/>
      <c r="BU53" s="40"/>
      <c r="BV53" s="9"/>
      <c r="BW53" s="9"/>
      <c r="BX53" s="9"/>
      <c r="BY53" s="40"/>
      <c r="BZ53" s="40"/>
      <c r="CA53" s="36" t="str">
        <f aca="false">IF(BZ53="","",EDATE(BZ53,SG_Criteria!$B$54*12))</f>
        <v/>
      </c>
      <c r="CB53" s="33" t="str">
        <f aca="true">IF(A53="","",IF(BZ53="","NOTE: not reviewed yet",IF(TODAY()&gt;CA53,"NOTE: review overdue","OK")))</f>
        <v/>
      </c>
      <c r="CC53" s="37" t="str">
        <f aca="false">IF(A53="","",ROUND((IF(LEN(D53)&gt;0,1,0)+IF(LEN(E53)&gt;0,1,0)+IF(LEN(F53)&gt;0,1,0)+IF(LEN(G53)&gt;0,1,0)+IF(LEN(H53)&gt;0,1,0)+IF(LEN(I53)&gt;0,1,0)+IF(LEN(K53)&gt;0,1,0)+IF(LEN(N53)&gt;0,1,0)+IF(LEN(O53)&gt;0,1,0)+IF(LEN(T53)&gt;0,1,0)+IF(LEN(U53)&gt;0,1,0)+IF(LEN(V53)&gt;0,1,0)+IF(LEN(AK53)&gt;0,1,0)+IF(LEN(AM53)&gt;0,1,0)+IF(LEN(AN53)&gt;0,1,0)+IF(LEN(AO53)&gt;0,1,0)+IF(LEN(AP53)&gt;0,1,0)+IF(LEN(AY53)&gt;0,1,0)+IF(LEN(BK53)&gt;0,1,0)+IF(LEN(BX53)&gt;0,1,0))/20,2))</f>
        <v/>
      </c>
      <c r="CD53" s="10" t="str">
        <f aca="false">IF(D53="","",IF(AND(AN53="Approved",ISERROR(SEARCH("FAIL",BH53))),"Y","N"))</f>
        <v/>
      </c>
      <c r="CE53" s="10" t="str">
        <f aca="false">IF(D53="","",D53&amp;"|"&amp;F53&amp;"|"&amp;G53&amp;"|"&amp;H53&amp;"|"&amp;E53&amp;"|"&amp;CD53)</f>
        <v/>
      </c>
    </row>
    <row r="54" customFormat="false" ht="15" hidden="false" customHeight="false" outlineLevel="0" collapsed="false">
      <c r="A54" s="10" t="str">
        <f aca="false">IF(D54="","","EW-"&amp;IFERROR(VLOOKUP(D54,Lists!$P$4:$Q$22,2,0),"??")&amp;"-D"&amp;TEXT(F54*1000,"0000")&amp;"-"&amp;IFERROR(VLOOKUP(G54,Lists!$S$4:$T$21,2,0),"??")&amp;"-"&amp;IFERROR(VLOOKUP(H54,Lists!$Y$4:$Z$21,2,0),"??")&amp;"-"&amp;IFERROR(VLOOKUP(E54,Lists!$V$4:$W$16,2,0),"??")&amp;"-"&amp;AM54)</f>
        <v/>
      </c>
      <c r="B54" s="10" t="str">
        <f aca="false">IF(D54="","",E54&amp;" "&amp;D54&amp;", excavation "&amp;TEXT(F54,"0.0")&amp;" m, "&amp;G54&amp;", "&amp;H54&amp;", "&amp;K54)</f>
        <v/>
      </c>
      <c r="C54" s="9"/>
      <c r="D54" s="9"/>
      <c r="E54" s="9"/>
      <c r="F54" s="42"/>
      <c r="G54" s="9"/>
      <c r="H54" s="9"/>
      <c r="I54" s="42"/>
      <c r="J54" s="38"/>
      <c r="K54" s="9"/>
      <c r="L54" s="9"/>
      <c r="M54" s="9"/>
      <c r="N54" s="42"/>
      <c r="O54" s="42"/>
      <c r="P54" s="9"/>
      <c r="Q54" s="9"/>
      <c r="R54" s="9"/>
      <c r="S54" s="9"/>
      <c r="T54" s="38"/>
      <c r="U54" s="38"/>
      <c r="V54" s="38"/>
      <c r="W54" s="38"/>
      <c r="X54" s="38"/>
      <c r="Y54" s="9"/>
      <c r="Z54" s="39"/>
      <c r="AA54" s="9"/>
      <c r="AB54" s="9"/>
      <c r="AC54" s="9"/>
      <c r="AD54" s="9"/>
      <c r="AE54" s="9"/>
      <c r="AF54" s="9"/>
      <c r="AG54" s="9"/>
      <c r="AH54" s="38"/>
      <c r="AI54" s="9"/>
      <c r="AJ54" s="39"/>
      <c r="AK54" s="9"/>
      <c r="AL54" s="9"/>
      <c r="AM54" s="9"/>
      <c r="AN54" s="9"/>
      <c r="AO54" s="9"/>
      <c r="AP54" s="9"/>
      <c r="AQ54" s="9"/>
      <c r="AR54" s="10" t="str">
        <f aca="false">IF(A54="","",SG_Criteria!$B$6&amp;SG_Criteria!$B$9&amp;"\"&amp;A54&amp;"\")</f>
        <v/>
      </c>
      <c r="AS54" s="10" t="str">
        <f aca="false">IF(A54="","",A54&amp;"_CAD.dwg")</f>
        <v/>
      </c>
      <c r="AT54" s="10" t="str">
        <f aca="false">IF(A54="","",A54&amp;"_DWG.pdf")</f>
        <v/>
      </c>
      <c r="AU54" s="10" t="str">
        <f aca="false">IF(A54="","",IF(AQ54="Y",A54&amp;"_STAAD.std","n/a"))</f>
        <v/>
      </c>
      <c r="AV54" s="10" t="str">
        <f aca="false">IF(A54="","",A54&amp;"_CALC.xlsx")</f>
        <v/>
      </c>
      <c r="AW54" s="10" t="str">
        <f aca="false">IF(A54="","",A54&amp;"_CALC.pdf")</f>
        <v/>
      </c>
      <c r="AX54" s="9"/>
      <c r="AY54" s="9"/>
      <c r="AZ54" s="39"/>
      <c r="BA54" s="39"/>
      <c r="BB54" s="39"/>
      <c r="BC54" s="39"/>
      <c r="BD54" s="39"/>
      <c r="BE54" s="12" t="str">
        <f aca="false">IF(A54="","",IF(COUNTIF(Rebar_Schedule!$A$5:$A$2004,A54)=0,"",ROUND(SUMIF(Rebar_Schedule!$A$5:$A$2004,A54,Rebar_Schedule!$K$5:$K$2004),1)))</f>
        <v/>
      </c>
      <c r="BF54" s="33" t="str">
        <f aca="false">IF(A54="","",IF(BE54="","No rebar schedule yet",IF(ABS(BE54-N(BA54))/MAX(N(BA54),1)&gt;SG_Criteria!$B$55,"NOTE: register rebar differs from schedule by "&amp;TEXT(ABS(BE54-N(BA54))/MAX(N(BA54),1),"0%"),"OK")))</f>
        <v/>
      </c>
      <c r="BG54" s="33" t="str">
        <f aca="false">IF(OR(D54="",F54=""),"",IF(F54&lt;=IF(D54="Soldier Pile &amp; Timber Lagging",SG_Criteria!$B$34,SG_Criteria!$B$33),"No ERSS submission",IF(F54&lt;=SG_Criteria!$B$35,"QP(ST)",IF(F54&lt;=SG_Criteria!$B$36,"QP(ST) + AC","Geotechnical building works: QP(Geo) + AC"))))</f>
        <v/>
      </c>
      <c r="BH54" s="33" t="str">
        <f aca="false">IF(D54="","",IF(LEN(IF(AND(AC54&lt;&gt;"",IFERROR(VALUE(MID(AC54,2,2)),0)&lt;SG_Criteria!$B$19),"FAIL: grade below C"&amp;SG_Criteria!$B$19&amp;". ","")&amp;IF(AND(LEFT(D54,3)="Con",N(I54)&lt;F54,H54="Kallang Formation (marine clay)"),"NOTE: CBP is not watertight below GWT in marine clay; consider secant / grouting. ","")&amp;IF(AND(D54="Steel Sheet Pile",E54="Permanent"),"NOTE: permanent sheet pile needs corrosion allowance. ","")&amp;IF(AND(G54="Cantilever (no support)",F54&gt;6),"NOTE: cantilever embedded wall &gt; 6 m, check deflection. ","")&amp;IF(AND(T54&lt;&gt;"",U54&lt;&gt;"",T54&gt;U54),"FAIL: deflection exceeds allowable. ",""))=0,"OK",IF(AND(AC54&lt;&gt;"",IFERROR(VALUE(MID(AC54,2,2)),0)&lt;SG_Criteria!$B$19),"FAIL: grade below C"&amp;SG_Criteria!$B$19&amp;". ","")&amp;IF(AND(LEFT(D54,3)="Con",N(I54)&lt;F54,H54="Kallang Formation (marine clay)"),"NOTE: CBP is not watertight below GWT in marine clay; consider secant / grouting. ","")&amp;IF(AND(D54="Steel Sheet Pile",E54="Permanent"),"NOTE: permanent sheet pile needs corrosion allowance. ","")&amp;IF(AND(G54="Cantilever (no support)",F54&gt;6),"NOTE: cantilever embedded wall &gt; 6 m, check deflection. ","")&amp;IF(AND(T54&lt;&gt;"",U54&lt;&gt;"",T54&gt;U54),"FAIL: deflection exceeds allowable. ","")))</f>
        <v/>
      </c>
      <c r="BI54" s="9"/>
      <c r="BJ54" s="9"/>
      <c r="BK54" s="9"/>
      <c r="BL54" s="10" t="str">
        <f aca="false">IF(BK54="","",IFERROR(VLOOKUP(BK54,Projects!$A$5:$D$504,2,0),"Ref not in Projects"))</f>
        <v/>
      </c>
      <c r="BM54" s="10" t="str">
        <f aca="false">IF(BK54="","",IFERROR(VLOOKUP(BK54,Projects!$A$5:$D$504,4,0),"Ref not in Projects"))</f>
        <v/>
      </c>
      <c r="BN54" s="9"/>
      <c r="BO54" s="9"/>
      <c r="BP54" s="9"/>
      <c r="BQ54" s="40"/>
      <c r="BR54" s="9"/>
      <c r="BS54" s="40"/>
      <c r="BT54" s="9"/>
      <c r="BU54" s="40"/>
      <c r="BV54" s="9"/>
      <c r="BW54" s="9"/>
      <c r="BX54" s="9"/>
      <c r="BY54" s="40"/>
      <c r="BZ54" s="40"/>
      <c r="CA54" s="36" t="str">
        <f aca="false">IF(BZ54="","",EDATE(BZ54,SG_Criteria!$B$54*12))</f>
        <v/>
      </c>
      <c r="CB54" s="33" t="str">
        <f aca="true">IF(A54="","",IF(BZ54="","NOTE: not reviewed yet",IF(TODAY()&gt;CA54,"NOTE: review overdue","OK")))</f>
        <v/>
      </c>
      <c r="CC54" s="37" t="str">
        <f aca="false">IF(A54="","",ROUND((IF(LEN(D54)&gt;0,1,0)+IF(LEN(E54)&gt;0,1,0)+IF(LEN(F54)&gt;0,1,0)+IF(LEN(G54)&gt;0,1,0)+IF(LEN(H54)&gt;0,1,0)+IF(LEN(I54)&gt;0,1,0)+IF(LEN(K54)&gt;0,1,0)+IF(LEN(N54)&gt;0,1,0)+IF(LEN(O54)&gt;0,1,0)+IF(LEN(T54)&gt;0,1,0)+IF(LEN(U54)&gt;0,1,0)+IF(LEN(V54)&gt;0,1,0)+IF(LEN(AK54)&gt;0,1,0)+IF(LEN(AM54)&gt;0,1,0)+IF(LEN(AN54)&gt;0,1,0)+IF(LEN(AO54)&gt;0,1,0)+IF(LEN(AP54)&gt;0,1,0)+IF(LEN(AY54)&gt;0,1,0)+IF(LEN(BK54)&gt;0,1,0)+IF(LEN(BX54)&gt;0,1,0))/20,2))</f>
        <v/>
      </c>
      <c r="CD54" s="10" t="str">
        <f aca="false">IF(D54="","",IF(AND(AN54="Approved",ISERROR(SEARCH("FAIL",BH54))),"Y","N"))</f>
        <v/>
      </c>
      <c r="CE54" s="10" t="str">
        <f aca="false">IF(D54="","",D54&amp;"|"&amp;F54&amp;"|"&amp;G54&amp;"|"&amp;H54&amp;"|"&amp;E54&amp;"|"&amp;CD54)</f>
        <v/>
      </c>
    </row>
    <row r="55" customFormat="false" ht="15" hidden="false" customHeight="false" outlineLevel="0" collapsed="false">
      <c r="A55" s="10" t="str">
        <f aca="false">IF(D55="","","EW-"&amp;IFERROR(VLOOKUP(D55,Lists!$P$4:$Q$22,2,0),"??")&amp;"-D"&amp;TEXT(F55*1000,"0000")&amp;"-"&amp;IFERROR(VLOOKUP(G55,Lists!$S$4:$T$21,2,0),"??")&amp;"-"&amp;IFERROR(VLOOKUP(H55,Lists!$Y$4:$Z$21,2,0),"??")&amp;"-"&amp;IFERROR(VLOOKUP(E55,Lists!$V$4:$W$16,2,0),"??")&amp;"-"&amp;AM55)</f>
        <v/>
      </c>
      <c r="B55" s="10" t="str">
        <f aca="false">IF(D55="","",E55&amp;" "&amp;D55&amp;", excavation "&amp;TEXT(F55,"0.0")&amp;" m, "&amp;G55&amp;", "&amp;H55&amp;", "&amp;K55)</f>
        <v/>
      </c>
      <c r="C55" s="9"/>
      <c r="D55" s="9"/>
      <c r="E55" s="9"/>
      <c r="F55" s="42"/>
      <c r="G55" s="9"/>
      <c r="H55" s="9"/>
      <c r="I55" s="42"/>
      <c r="J55" s="38"/>
      <c r="K55" s="9"/>
      <c r="L55" s="9"/>
      <c r="M55" s="9"/>
      <c r="N55" s="42"/>
      <c r="O55" s="42"/>
      <c r="P55" s="9"/>
      <c r="Q55" s="9"/>
      <c r="R55" s="9"/>
      <c r="S55" s="9"/>
      <c r="T55" s="38"/>
      <c r="U55" s="38"/>
      <c r="V55" s="38"/>
      <c r="W55" s="38"/>
      <c r="X55" s="38"/>
      <c r="Y55" s="9"/>
      <c r="Z55" s="39"/>
      <c r="AA55" s="9"/>
      <c r="AB55" s="9"/>
      <c r="AC55" s="9"/>
      <c r="AD55" s="9"/>
      <c r="AE55" s="9"/>
      <c r="AF55" s="9"/>
      <c r="AG55" s="9"/>
      <c r="AH55" s="38"/>
      <c r="AI55" s="9"/>
      <c r="AJ55" s="39"/>
      <c r="AK55" s="9"/>
      <c r="AL55" s="9"/>
      <c r="AM55" s="9"/>
      <c r="AN55" s="9"/>
      <c r="AO55" s="9"/>
      <c r="AP55" s="9"/>
      <c r="AQ55" s="9"/>
      <c r="AR55" s="10" t="str">
        <f aca="false">IF(A55="","",SG_Criteria!$B$6&amp;SG_Criteria!$B$9&amp;"\"&amp;A55&amp;"\")</f>
        <v/>
      </c>
      <c r="AS55" s="10" t="str">
        <f aca="false">IF(A55="","",A55&amp;"_CAD.dwg")</f>
        <v/>
      </c>
      <c r="AT55" s="10" t="str">
        <f aca="false">IF(A55="","",A55&amp;"_DWG.pdf")</f>
        <v/>
      </c>
      <c r="AU55" s="10" t="str">
        <f aca="false">IF(A55="","",IF(AQ55="Y",A55&amp;"_STAAD.std","n/a"))</f>
        <v/>
      </c>
      <c r="AV55" s="10" t="str">
        <f aca="false">IF(A55="","",A55&amp;"_CALC.xlsx")</f>
        <v/>
      </c>
      <c r="AW55" s="10" t="str">
        <f aca="false">IF(A55="","",A55&amp;"_CALC.pdf")</f>
        <v/>
      </c>
      <c r="AX55" s="9"/>
      <c r="AY55" s="9"/>
      <c r="AZ55" s="39"/>
      <c r="BA55" s="39"/>
      <c r="BB55" s="39"/>
      <c r="BC55" s="39"/>
      <c r="BD55" s="39"/>
      <c r="BE55" s="12" t="str">
        <f aca="false">IF(A55="","",IF(COUNTIF(Rebar_Schedule!$A$5:$A$2004,A55)=0,"",ROUND(SUMIF(Rebar_Schedule!$A$5:$A$2004,A55,Rebar_Schedule!$K$5:$K$2004),1)))</f>
        <v/>
      </c>
      <c r="BF55" s="33" t="str">
        <f aca="false">IF(A55="","",IF(BE55="","No rebar schedule yet",IF(ABS(BE55-N(BA55))/MAX(N(BA55),1)&gt;SG_Criteria!$B$55,"NOTE: register rebar differs from schedule by "&amp;TEXT(ABS(BE55-N(BA55))/MAX(N(BA55),1),"0%"),"OK")))</f>
        <v/>
      </c>
      <c r="BG55" s="33" t="str">
        <f aca="false">IF(OR(D55="",F55=""),"",IF(F55&lt;=IF(D55="Soldier Pile &amp; Timber Lagging",SG_Criteria!$B$34,SG_Criteria!$B$33),"No ERSS submission",IF(F55&lt;=SG_Criteria!$B$35,"QP(ST)",IF(F55&lt;=SG_Criteria!$B$36,"QP(ST) + AC","Geotechnical building works: QP(Geo) + AC"))))</f>
        <v/>
      </c>
      <c r="BH55" s="33" t="str">
        <f aca="false">IF(D55="","",IF(LEN(IF(AND(AC55&lt;&gt;"",IFERROR(VALUE(MID(AC55,2,2)),0)&lt;SG_Criteria!$B$19),"FAIL: grade below C"&amp;SG_Criteria!$B$19&amp;". ","")&amp;IF(AND(LEFT(D55,3)="Con",N(I55)&lt;F55,H55="Kallang Formation (marine clay)"),"NOTE: CBP is not watertight below GWT in marine clay; consider secant / grouting. ","")&amp;IF(AND(D55="Steel Sheet Pile",E55="Permanent"),"NOTE: permanent sheet pile needs corrosion allowance. ","")&amp;IF(AND(G55="Cantilever (no support)",F55&gt;6),"NOTE: cantilever embedded wall &gt; 6 m, check deflection. ","")&amp;IF(AND(T55&lt;&gt;"",U55&lt;&gt;"",T55&gt;U55),"FAIL: deflection exceeds allowable. ",""))=0,"OK",IF(AND(AC55&lt;&gt;"",IFERROR(VALUE(MID(AC55,2,2)),0)&lt;SG_Criteria!$B$19),"FAIL: grade below C"&amp;SG_Criteria!$B$19&amp;". ","")&amp;IF(AND(LEFT(D55,3)="Con",N(I55)&lt;F55,H55="Kallang Formation (marine clay)"),"NOTE: CBP is not watertight below GWT in marine clay; consider secant / grouting. ","")&amp;IF(AND(D55="Steel Sheet Pile",E55="Permanent"),"NOTE: permanent sheet pile needs corrosion allowance. ","")&amp;IF(AND(G55="Cantilever (no support)",F55&gt;6),"NOTE: cantilever embedded wall &gt; 6 m, check deflection. ","")&amp;IF(AND(T55&lt;&gt;"",U55&lt;&gt;"",T55&gt;U55),"FAIL: deflection exceeds allowable. ","")))</f>
        <v/>
      </c>
      <c r="BI55" s="9"/>
      <c r="BJ55" s="9"/>
      <c r="BK55" s="9"/>
      <c r="BL55" s="10" t="str">
        <f aca="false">IF(BK55="","",IFERROR(VLOOKUP(BK55,Projects!$A$5:$D$504,2,0),"Ref not in Projects"))</f>
        <v/>
      </c>
      <c r="BM55" s="10" t="str">
        <f aca="false">IF(BK55="","",IFERROR(VLOOKUP(BK55,Projects!$A$5:$D$504,4,0),"Ref not in Projects"))</f>
        <v/>
      </c>
      <c r="BN55" s="9"/>
      <c r="BO55" s="9"/>
      <c r="BP55" s="9"/>
      <c r="BQ55" s="40"/>
      <c r="BR55" s="9"/>
      <c r="BS55" s="40"/>
      <c r="BT55" s="9"/>
      <c r="BU55" s="40"/>
      <c r="BV55" s="9"/>
      <c r="BW55" s="9"/>
      <c r="BX55" s="9"/>
      <c r="BY55" s="40"/>
      <c r="BZ55" s="40"/>
      <c r="CA55" s="36" t="str">
        <f aca="false">IF(BZ55="","",EDATE(BZ55,SG_Criteria!$B$54*12))</f>
        <v/>
      </c>
      <c r="CB55" s="33" t="str">
        <f aca="true">IF(A55="","",IF(BZ55="","NOTE: not reviewed yet",IF(TODAY()&gt;CA55,"NOTE: review overdue","OK")))</f>
        <v/>
      </c>
      <c r="CC55" s="37" t="str">
        <f aca="false">IF(A55="","",ROUND((IF(LEN(D55)&gt;0,1,0)+IF(LEN(E55)&gt;0,1,0)+IF(LEN(F55)&gt;0,1,0)+IF(LEN(G55)&gt;0,1,0)+IF(LEN(H55)&gt;0,1,0)+IF(LEN(I55)&gt;0,1,0)+IF(LEN(K55)&gt;0,1,0)+IF(LEN(N55)&gt;0,1,0)+IF(LEN(O55)&gt;0,1,0)+IF(LEN(T55)&gt;0,1,0)+IF(LEN(U55)&gt;0,1,0)+IF(LEN(V55)&gt;0,1,0)+IF(LEN(AK55)&gt;0,1,0)+IF(LEN(AM55)&gt;0,1,0)+IF(LEN(AN55)&gt;0,1,0)+IF(LEN(AO55)&gt;0,1,0)+IF(LEN(AP55)&gt;0,1,0)+IF(LEN(AY55)&gt;0,1,0)+IF(LEN(BK55)&gt;0,1,0)+IF(LEN(BX55)&gt;0,1,0))/20,2))</f>
        <v/>
      </c>
      <c r="CD55" s="10" t="str">
        <f aca="false">IF(D55="","",IF(AND(AN55="Approved",ISERROR(SEARCH("FAIL",BH55))),"Y","N"))</f>
        <v/>
      </c>
      <c r="CE55" s="10" t="str">
        <f aca="false">IF(D55="","",D55&amp;"|"&amp;F55&amp;"|"&amp;G55&amp;"|"&amp;H55&amp;"|"&amp;E55&amp;"|"&amp;CD55)</f>
        <v/>
      </c>
    </row>
    <row r="56" customFormat="false" ht="15" hidden="false" customHeight="false" outlineLevel="0" collapsed="false">
      <c r="A56" s="10" t="str">
        <f aca="false">IF(D56="","","EW-"&amp;IFERROR(VLOOKUP(D56,Lists!$P$4:$Q$22,2,0),"??")&amp;"-D"&amp;TEXT(F56*1000,"0000")&amp;"-"&amp;IFERROR(VLOOKUP(G56,Lists!$S$4:$T$21,2,0),"??")&amp;"-"&amp;IFERROR(VLOOKUP(H56,Lists!$Y$4:$Z$21,2,0),"??")&amp;"-"&amp;IFERROR(VLOOKUP(E56,Lists!$V$4:$W$16,2,0),"??")&amp;"-"&amp;AM56)</f>
        <v/>
      </c>
      <c r="B56" s="10" t="str">
        <f aca="false">IF(D56="","",E56&amp;" "&amp;D56&amp;", excavation "&amp;TEXT(F56,"0.0")&amp;" m, "&amp;G56&amp;", "&amp;H56&amp;", "&amp;K56)</f>
        <v/>
      </c>
      <c r="C56" s="9"/>
      <c r="D56" s="9"/>
      <c r="E56" s="9"/>
      <c r="F56" s="42"/>
      <c r="G56" s="9"/>
      <c r="H56" s="9"/>
      <c r="I56" s="42"/>
      <c r="J56" s="38"/>
      <c r="K56" s="9"/>
      <c r="L56" s="9"/>
      <c r="M56" s="9"/>
      <c r="N56" s="42"/>
      <c r="O56" s="42"/>
      <c r="P56" s="9"/>
      <c r="Q56" s="9"/>
      <c r="R56" s="9"/>
      <c r="S56" s="9"/>
      <c r="T56" s="38"/>
      <c r="U56" s="38"/>
      <c r="V56" s="38"/>
      <c r="W56" s="38"/>
      <c r="X56" s="38"/>
      <c r="Y56" s="9"/>
      <c r="Z56" s="39"/>
      <c r="AA56" s="9"/>
      <c r="AB56" s="9"/>
      <c r="AC56" s="9"/>
      <c r="AD56" s="9"/>
      <c r="AE56" s="9"/>
      <c r="AF56" s="9"/>
      <c r="AG56" s="9"/>
      <c r="AH56" s="38"/>
      <c r="AI56" s="9"/>
      <c r="AJ56" s="39"/>
      <c r="AK56" s="9"/>
      <c r="AL56" s="9"/>
      <c r="AM56" s="9"/>
      <c r="AN56" s="9"/>
      <c r="AO56" s="9"/>
      <c r="AP56" s="9"/>
      <c r="AQ56" s="9"/>
      <c r="AR56" s="10" t="str">
        <f aca="false">IF(A56="","",SG_Criteria!$B$6&amp;SG_Criteria!$B$9&amp;"\"&amp;A56&amp;"\")</f>
        <v/>
      </c>
      <c r="AS56" s="10" t="str">
        <f aca="false">IF(A56="","",A56&amp;"_CAD.dwg")</f>
        <v/>
      </c>
      <c r="AT56" s="10" t="str">
        <f aca="false">IF(A56="","",A56&amp;"_DWG.pdf")</f>
        <v/>
      </c>
      <c r="AU56" s="10" t="str">
        <f aca="false">IF(A56="","",IF(AQ56="Y",A56&amp;"_STAAD.std","n/a"))</f>
        <v/>
      </c>
      <c r="AV56" s="10" t="str">
        <f aca="false">IF(A56="","",A56&amp;"_CALC.xlsx")</f>
        <v/>
      </c>
      <c r="AW56" s="10" t="str">
        <f aca="false">IF(A56="","",A56&amp;"_CALC.pdf")</f>
        <v/>
      </c>
      <c r="AX56" s="9"/>
      <c r="AY56" s="9"/>
      <c r="AZ56" s="39"/>
      <c r="BA56" s="39"/>
      <c r="BB56" s="39"/>
      <c r="BC56" s="39"/>
      <c r="BD56" s="39"/>
      <c r="BE56" s="12" t="str">
        <f aca="false">IF(A56="","",IF(COUNTIF(Rebar_Schedule!$A$5:$A$2004,A56)=0,"",ROUND(SUMIF(Rebar_Schedule!$A$5:$A$2004,A56,Rebar_Schedule!$K$5:$K$2004),1)))</f>
        <v/>
      </c>
      <c r="BF56" s="33" t="str">
        <f aca="false">IF(A56="","",IF(BE56="","No rebar schedule yet",IF(ABS(BE56-N(BA56))/MAX(N(BA56),1)&gt;SG_Criteria!$B$55,"NOTE: register rebar differs from schedule by "&amp;TEXT(ABS(BE56-N(BA56))/MAX(N(BA56),1),"0%"),"OK")))</f>
        <v/>
      </c>
      <c r="BG56" s="33" t="str">
        <f aca="false">IF(OR(D56="",F56=""),"",IF(F56&lt;=IF(D56="Soldier Pile &amp; Timber Lagging",SG_Criteria!$B$34,SG_Criteria!$B$33),"No ERSS submission",IF(F56&lt;=SG_Criteria!$B$35,"QP(ST)",IF(F56&lt;=SG_Criteria!$B$36,"QP(ST) + AC","Geotechnical building works: QP(Geo) + AC"))))</f>
        <v/>
      </c>
      <c r="BH56" s="33" t="str">
        <f aca="false">IF(D56="","",IF(LEN(IF(AND(AC56&lt;&gt;"",IFERROR(VALUE(MID(AC56,2,2)),0)&lt;SG_Criteria!$B$19),"FAIL: grade below C"&amp;SG_Criteria!$B$19&amp;". ","")&amp;IF(AND(LEFT(D56,3)="Con",N(I56)&lt;F56,H56="Kallang Formation (marine clay)"),"NOTE: CBP is not watertight below GWT in marine clay; consider secant / grouting. ","")&amp;IF(AND(D56="Steel Sheet Pile",E56="Permanent"),"NOTE: permanent sheet pile needs corrosion allowance. ","")&amp;IF(AND(G56="Cantilever (no support)",F56&gt;6),"NOTE: cantilever embedded wall &gt; 6 m, check deflection. ","")&amp;IF(AND(T56&lt;&gt;"",U56&lt;&gt;"",T56&gt;U56),"FAIL: deflection exceeds allowable. ",""))=0,"OK",IF(AND(AC56&lt;&gt;"",IFERROR(VALUE(MID(AC56,2,2)),0)&lt;SG_Criteria!$B$19),"FAIL: grade below C"&amp;SG_Criteria!$B$19&amp;". ","")&amp;IF(AND(LEFT(D56,3)="Con",N(I56)&lt;F56,H56="Kallang Formation (marine clay)"),"NOTE: CBP is not watertight below GWT in marine clay; consider secant / grouting. ","")&amp;IF(AND(D56="Steel Sheet Pile",E56="Permanent"),"NOTE: permanent sheet pile needs corrosion allowance. ","")&amp;IF(AND(G56="Cantilever (no support)",F56&gt;6),"NOTE: cantilever embedded wall &gt; 6 m, check deflection. ","")&amp;IF(AND(T56&lt;&gt;"",U56&lt;&gt;"",T56&gt;U56),"FAIL: deflection exceeds allowable. ","")))</f>
        <v/>
      </c>
      <c r="BI56" s="9"/>
      <c r="BJ56" s="9"/>
      <c r="BK56" s="9"/>
      <c r="BL56" s="10" t="str">
        <f aca="false">IF(BK56="","",IFERROR(VLOOKUP(BK56,Projects!$A$5:$D$504,2,0),"Ref not in Projects"))</f>
        <v/>
      </c>
      <c r="BM56" s="10" t="str">
        <f aca="false">IF(BK56="","",IFERROR(VLOOKUP(BK56,Projects!$A$5:$D$504,4,0),"Ref not in Projects"))</f>
        <v/>
      </c>
      <c r="BN56" s="9"/>
      <c r="BO56" s="9"/>
      <c r="BP56" s="9"/>
      <c r="BQ56" s="40"/>
      <c r="BR56" s="9"/>
      <c r="BS56" s="40"/>
      <c r="BT56" s="9"/>
      <c r="BU56" s="40"/>
      <c r="BV56" s="9"/>
      <c r="BW56" s="9"/>
      <c r="BX56" s="9"/>
      <c r="BY56" s="40"/>
      <c r="BZ56" s="40"/>
      <c r="CA56" s="36" t="str">
        <f aca="false">IF(BZ56="","",EDATE(BZ56,SG_Criteria!$B$54*12))</f>
        <v/>
      </c>
      <c r="CB56" s="33" t="str">
        <f aca="true">IF(A56="","",IF(BZ56="","NOTE: not reviewed yet",IF(TODAY()&gt;CA56,"NOTE: review overdue","OK")))</f>
        <v/>
      </c>
      <c r="CC56" s="37" t="str">
        <f aca="false">IF(A56="","",ROUND((IF(LEN(D56)&gt;0,1,0)+IF(LEN(E56)&gt;0,1,0)+IF(LEN(F56)&gt;0,1,0)+IF(LEN(G56)&gt;0,1,0)+IF(LEN(H56)&gt;0,1,0)+IF(LEN(I56)&gt;0,1,0)+IF(LEN(K56)&gt;0,1,0)+IF(LEN(N56)&gt;0,1,0)+IF(LEN(O56)&gt;0,1,0)+IF(LEN(T56)&gt;0,1,0)+IF(LEN(U56)&gt;0,1,0)+IF(LEN(V56)&gt;0,1,0)+IF(LEN(AK56)&gt;0,1,0)+IF(LEN(AM56)&gt;0,1,0)+IF(LEN(AN56)&gt;0,1,0)+IF(LEN(AO56)&gt;0,1,0)+IF(LEN(AP56)&gt;0,1,0)+IF(LEN(AY56)&gt;0,1,0)+IF(LEN(BK56)&gt;0,1,0)+IF(LEN(BX56)&gt;0,1,0))/20,2))</f>
        <v/>
      </c>
      <c r="CD56" s="10" t="str">
        <f aca="false">IF(D56="","",IF(AND(AN56="Approved",ISERROR(SEARCH("FAIL",BH56))),"Y","N"))</f>
        <v/>
      </c>
      <c r="CE56" s="10" t="str">
        <f aca="false">IF(D56="","",D56&amp;"|"&amp;F56&amp;"|"&amp;G56&amp;"|"&amp;H56&amp;"|"&amp;E56&amp;"|"&amp;CD56)</f>
        <v/>
      </c>
    </row>
    <row r="57" customFormat="false" ht="15" hidden="false" customHeight="false" outlineLevel="0" collapsed="false">
      <c r="A57" s="10" t="str">
        <f aca="false">IF(D57="","","EW-"&amp;IFERROR(VLOOKUP(D57,Lists!$P$4:$Q$22,2,0),"??")&amp;"-D"&amp;TEXT(F57*1000,"0000")&amp;"-"&amp;IFERROR(VLOOKUP(G57,Lists!$S$4:$T$21,2,0),"??")&amp;"-"&amp;IFERROR(VLOOKUP(H57,Lists!$Y$4:$Z$21,2,0),"??")&amp;"-"&amp;IFERROR(VLOOKUP(E57,Lists!$V$4:$W$16,2,0),"??")&amp;"-"&amp;AM57)</f>
        <v/>
      </c>
      <c r="B57" s="10" t="str">
        <f aca="false">IF(D57="","",E57&amp;" "&amp;D57&amp;", excavation "&amp;TEXT(F57,"0.0")&amp;" m, "&amp;G57&amp;", "&amp;H57&amp;", "&amp;K57)</f>
        <v/>
      </c>
      <c r="C57" s="9"/>
      <c r="D57" s="9"/>
      <c r="E57" s="9"/>
      <c r="F57" s="42"/>
      <c r="G57" s="9"/>
      <c r="H57" s="9"/>
      <c r="I57" s="42"/>
      <c r="J57" s="38"/>
      <c r="K57" s="9"/>
      <c r="L57" s="9"/>
      <c r="M57" s="9"/>
      <c r="N57" s="42"/>
      <c r="O57" s="42"/>
      <c r="P57" s="9"/>
      <c r="Q57" s="9"/>
      <c r="R57" s="9"/>
      <c r="S57" s="9"/>
      <c r="T57" s="38"/>
      <c r="U57" s="38"/>
      <c r="V57" s="38"/>
      <c r="W57" s="38"/>
      <c r="X57" s="38"/>
      <c r="Y57" s="9"/>
      <c r="Z57" s="39"/>
      <c r="AA57" s="9"/>
      <c r="AB57" s="9"/>
      <c r="AC57" s="9"/>
      <c r="AD57" s="9"/>
      <c r="AE57" s="9"/>
      <c r="AF57" s="9"/>
      <c r="AG57" s="9"/>
      <c r="AH57" s="38"/>
      <c r="AI57" s="9"/>
      <c r="AJ57" s="39"/>
      <c r="AK57" s="9"/>
      <c r="AL57" s="9"/>
      <c r="AM57" s="9"/>
      <c r="AN57" s="9"/>
      <c r="AO57" s="9"/>
      <c r="AP57" s="9"/>
      <c r="AQ57" s="9"/>
      <c r="AR57" s="10" t="str">
        <f aca="false">IF(A57="","",SG_Criteria!$B$6&amp;SG_Criteria!$B$9&amp;"\"&amp;A57&amp;"\")</f>
        <v/>
      </c>
      <c r="AS57" s="10" t="str">
        <f aca="false">IF(A57="","",A57&amp;"_CAD.dwg")</f>
        <v/>
      </c>
      <c r="AT57" s="10" t="str">
        <f aca="false">IF(A57="","",A57&amp;"_DWG.pdf")</f>
        <v/>
      </c>
      <c r="AU57" s="10" t="str">
        <f aca="false">IF(A57="","",IF(AQ57="Y",A57&amp;"_STAAD.std","n/a"))</f>
        <v/>
      </c>
      <c r="AV57" s="10" t="str">
        <f aca="false">IF(A57="","",A57&amp;"_CALC.xlsx")</f>
        <v/>
      </c>
      <c r="AW57" s="10" t="str">
        <f aca="false">IF(A57="","",A57&amp;"_CALC.pdf")</f>
        <v/>
      </c>
      <c r="AX57" s="9"/>
      <c r="AY57" s="9"/>
      <c r="AZ57" s="39"/>
      <c r="BA57" s="39"/>
      <c r="BB57" s="39"/>
      <c r="BC57" s="39"/>
      <c r="BD57" s="39"/>
      <c r="BE57" s="12" t="str">
        <f aca="false">IF(A57="","",IF(COUNTIF(Rebar_Schedule!$A$5:$A$2004,A57)=0,"",ROUND(SUMIF(Rebar_Schedule!$A$5:$A$2004,A57,Rebar_Schedule!$K$5:$K$2004),1)))</f>
        <v/>
      </c>
      <c r="BF57" s="33" t="str">
        <f aca="false">IF(A57="","",IF(BE57="","No rebar schedule yet",IF(ABS(BE57-N(BA57))/MAX(N(BA57),1)&gt;SG_Criteria!$B$55,"NOTE: register rebar differs from schedule by "&amp;TEXT(ABS(BE57-N(BA57))/MAX(N(BA57),1),"0%"),"OK")))</f>
        <v/>
      </c>
      <c r="BG57" s="33" t="str">
        <f aca="false">IF(OR(D57="",F57=""),"",IF(F57&lt;=IF(D57="Soldier Pile &amp; Timber Lagging",SG_Criteria!$B$34,SG_Criteria!$B$33),"No ERSS submission",IF(F57&lt;=SG_Criteria!$B$35,"QP(ST)",IF(F57&lt;=SG_Criteria!$B$36,"QP(ST) + AC","Geotechnical building works: QP(Geo) + AC"))))</f>
        <v/>
      </c>
      <c r="BH57" s="33" t="str">
        <f aca="false">IF(D57="","",IF(LEN(IF(AND(AC57&lt;&gt;"",IFERROR(VALUE(MID(AC57,2,2)),0)&lt;SG_Criteria!$B$19),"FAIL: grade below C"&amp;SG_Criteria!$B$19&amp;". ","")&amp;IF(AND(LEFT(D57,3)="Con",N(I57)&lt;F57,H57="Kallang Formation (marine clay)"),"NOTE: CBP is not watertight below GWT in marine clay; consider secant / grouting. ","")&amp;IF(AND(D57="Steel Sheet Pile",E57="Permanent"),"NOTE: permanent sheet pile needs corrosion allowance. ","")&amp;IF(AND(G57="Cantilever (no support)",F57&gt;6),"NOTE: cantilever embedded wall &gt; 6 m, check deflection. ","")&amp;IF(AND(T57&lt;&gt;"",U57&lt;&gt;"",T57&gt;U57),"FAIL: deflection exceeds allowable. ",""))=0,"OK",IF(AND(AC57&lt;&gt;"",IFERROR(VALUE(MID(AC57,2,2)),0)&lt;SG_Criteria!$B$19),"FAIL: grade below C"&amp;SG_Criteria!$B$19&amp;". ","")&amp;IF(AND(LEFT(D57,3)="Con",N(I57)&lt;F57,H57="Kallang Formation (marine clay)"),"NOTE: CBP is not watertight below GWT in marine clay; consider secant / grouting. ","")&amp;IF(AND(D57="Steel Sheet Pile",E57="Permanent"),"NOTE: permanent sheet pile needs corrosion allowance. ","")&amp;IF(AND(G57="Cantilever (no support)",F57&gt;6),"NOTE: cantilever embedded wall &gt; 6 m, check deflection. ","")&amp;IF(AND(T57&lt;&gt;"",U57&lt;&gt;"",T57&gt;U57),"FAIL: deflection exceeds allowable. ","")))</f>
        <v/>
      </c>
      <c r="BI57" s="9"/>
      <c r="BJ57" s="9"/>
      <c r="BK57" s="9"/>
      <c r="BL57" s="10" t="str">
        <f aca="false">IF(BK57="","",IFERROR(VLOOKUP(BK57,Projects!$A$5:$D$504,2,0),"Ref not in Projects"))</f>
        <v/>
      </c>
      <c r="BM57" s="10" t="str">
        <f aca="false">IF(BK57="","",IFERROR(VLOOKUP(BK57,Projects!$A$5:$D$504,4,0),"Ref not in Projects"))</f>
        <v/>
      </c>
      <c r="BN57" s="9"/>
      <c r="BO57" s="9"/>
      <c r="BP57" s="9"/>
      <c r="BQ57" s="40"/>
      <c r="BR57" s="9"/>
      <c r="BS57" s="40"/>
      <c r="BT57" s="9"/>
      <c r="BU57" s="40"/>
      <c r="BV57" s="9"/>
      <c r="BW57" s="9"/>
      <c r="BX57" s="9"/>
      <c r="BY57" s="40"/>
      <c r="BZ57" s="40"/>
      <c r="CA57" s="36" t="str">
        <f aca="false">IF(BZ57="","",EDATE(BZ57,SG_Criteria!$B$54*12))</f>
        <v/>
      </c>
      <c r="CB57" s="33" t="str">
        <f aca="true">IF(A57="","",IF(BZ57="","NOTE: not reviewed yet",IF(TODAY()&gt;CA57,"NOTE: review overdue","OK")))</f>
        <v/>
      </c>
      <c r="CC57" s="37" t="str">
        <f aca="false">IF(A57="","",ROUND((IF(LEN(D57)&gt;0,1,0)+IF(LEN(E57)&gt;0,1,0)+IF(LEN(F57)&gt;0,1,0)+IF(LEN(G57)&gt;0,1,0)+IF(LEN(H57)&gt;0,1,0)+IF(LEN(I57)&gt;0,1,0)+IF(LEN(K57)&gt;0,1,0)+IF(LEN(N57)&gt;0,1,0)+IF(LEN(O57)&gt;0,1,0)+IF(LEN(T57)&gt;0,1,0)+IF(LEN(U57)&gt;0,1,0)+IF(LEN(V57)&gt;0,1,0)+IF(LEN(AK57)&gt;0,1,0)+IF(LEN(AM57)&gt;0,1,0)+IF(LEN(AN57)&gt;0,1,0)+IF(LEN(AO57)&gt;0,1,0)+IF(LEN(AP57)&gt;0,1,0)+IF(LEN(AY57)&gt;0,1,0)+IF(LEN(BK57)&gt;0,1,0)+IF(LEN(BX57)&gt;0,1,0))/20,2))</f>
        <v/>
      </c>
      <c r="CD57" s="10" t="str">
        <f aca="false">IF(D57="","",IF(AND(AN57="Approved",ISERROR(SEARCH("FAIL",BH57))),"Y","N"))</f>
        <v/>
      </c>
      <c r="CE57" s="10" t="str">
        <f aca="false">IF(D57="","",D57&amp;"|"&amp;F57&amp;"|"&amp;G57&amp;"|"&amp;H57&amp;"|"&amp;E57&amp;"|"&amp;CD57)</f>
        <v/>
      </c>
    </row>
    <row r="58" customFormat="false" ht="15" hidden="false" customHeight="false" outlineLevel="0" collapsed="false">
      <c r="A58" s="10" t="str">
        <f aca="false">IF(D58="","","EW-"&amp;IFERROR(VLOOKUP(D58,Lists!$P$4:$Q$22,2,0),"??")&amp;"-D"&amp;TEXT(F58*1000,"0000")&amp;"-"&amp;IFERROR(VLOOKUP(G58,Lists!$S$4:$T$21,2,0),"??")&amp;"-"&amp;IFERROR(VLOOKUP(H58,Lists!$Y$4:$Z$21,2,0),"??")&amp;"-"&amp;IFERROR(VLOOKUP(E58,Lists!$V$4:$W$16,2,0),"??")&amp;"-"&amp;AM58)</f>
        <v/>
      </c>
      <c r="B58" s="10" t="str">
        <f aca="false">IF(D58="","",E58&amp;" "&amp;D58&amp;", excavation "&amp;TEXT(F58,"0.0")&amp;" m, "&amp;G58&amp;", "&amp;H58&amp;", "&amp;K58)</f>
        <v/>
      </c>
      <c r="C58" s="9"/>
      <c r="D58" s="9"/>
      <c r="E58" s="9"/>
      <c r="F58" s="42"/>
      <c r="G58" s="9"/>
      <c r="H58" s="9"/>
      <c r="I58" s="42"/>
      <c r="J58" s="38"/>
      <c r="K58" s="9"/>
      <c r="L58" s="9"/>
      <c r="M58" s="9"/>
      <c r="N58" s="42"/>
      <c r="O58" s="42"/>
      <c r="P58" s="9"/>
      <c r="Q58" s="9"/>
      <c r="R58" s="9"/>
      <c r="S58" s="9"/>
      <c r="T58" s="38"/>
      <c r="U58" s="38"/>
      <c r="V58" s="38"/>
      <c r="W58" s="38"/>
      <c r="X58" s="38"/>
      <c r="Y58" s="9"/>
      <c r="Z58" s="39"/>
      <c r="AA58" s="9"/>
      <c r="AB58" s="9"/>
      <c r="AC58" s="9"/>
      <c r="AD58" s="9"/>
      <c r="AE58" s="9"/>
      <c r="AF58" s="9"/>
      <c r="AG58" s="9"/>
      <c r="AH58" s="38"/>
      <c r="AI58" s="9"/>
      <c r="AJ58" s="39"/>
      <c r="AK58" s="9"/>
      <c r="AL58" s="9"/>
      <c r="AM58" s="9"/>
      <c r="AN58" s="9"/>
      <c r="AO58" s="9"/>
      <c r="AP58" s="9"/>
      <c r="AQ58" s="9"/>
      <c r="AR58" s="10" t="str">
        <f aca="false">IF(A58="","",SG_Criteria!$B$6&amp;SG_Criteria!$B$9&amp;"\"&amp;A58&amp;"\")</f>
        <v/>
      </c>
      <c r="AS58" s="10" t="str">
        <f aca="false">IF(A58="","",A58&amp;"_CAD.dwg")</f>
        <v/>
      </c>
      <c r="AT58" s="10" t="str">
        <f aca="false">IF(A58="","",A58&amp;"_DWG.pdf")</f>
        <v/>
      </c>
      <c r="AU58" s="10" t="str">
        <f aca="false">IF(A58="","",IF(AQ58="Y",A58&amp;"_STAAD.std","n/a"))</f>
        <v/>
      </c>
      <c r="AV58" s="10" t="str">
        <f aca="false">IF(A58="","",A58&amp;"_CALC.xlsx")</f>
        <v/>
      </c>
      <c r="AW58" s="10" t="str">
        <f aca="false">IF(A58="","",A58&amp;"_CALC.pdf")</f>
        <v/>
      </c>
      <c r="AX58" s="9"/>
      <c r="AY58" s="9"/>
      <c r="AZ58" s="39"/>
      <c r="BA58" s="39"/>
      <c r="BB58" s="39"/>
      <c r="BC58" s="39"/>
      <c r="BD58" s="39"/>
      <c r="BE58" s="12" t="str">
        <f aca="false">IF(A58="","",IF(COUNTIF(Rebar_Schedule!$A$5:$A$2004,A58)=0,"",ROUND(SUMIF(Rebar_Schedule!$A$5:$A$2004,A58,Rebar_Schedule!$K$5:$K$2004),1)))</f>
        <v/>
      </c>
      <c r="BF58" s="33" t="str">
        <f aca="false">IF(A58="","",IF(BE58="","No rebar schedule yet",IF(ABS(BE58-N(BA58))/MAX(N(BA58),1)&gt;SG_Criteria!$B$55,"NOTE: register rebar differs from schedule by "&amp;TEXT(ABS(BE58-N(BA58))/MAX(N(BA58),1),"0%"),"OK")))</f>
        <v/>
      </c>
      <c r="BG58" s="33" t="str">
        <f aca="false">IF(OR(D58="",F58=""),"",IF(F58&lt;=IF(D58="Soldier Pile &amp; Timber Lagging",SG_Criteria!$B$34,SG_Criteria!$B$33),"No ERSS submission",IF(F58&lt;=SG_Criteria!$B$35,"QP(ST)",IF(F58&lt;=SG_Criteria!$B$36,"QP(ST) + AC","Geotechnical building works: QP(Geo) + AC"))))</f>
        <v/>
      </c>
      <c r="BH58" s="33" t="str">
        <f aca="false">IF(D58="","",IF(LEN(IF(AND(AC58&lt;&gt;"",IFERROR(VALUE(MID(AC58,2,2)),0)&lt;SG_Criteria!$B$19),"FAIL: grade below C"&amp;SG_Criteria!$B$19&amp;". ","")&amp;IF(AND(LEFT(D58,3)="Con",N(I58)&lt;F58,H58="Kallang Formation (marine clay)"),"NOTE: CBP is not watertight below GWT in marine clay; consider secant / grouting. ","")&amp;IF(AND(D58="Steel Sheet Pile",E58="Permanent"),"NOTE: permanent sheet pile needs corrosion allowance. ","")&amp;IF(AND(G58="Cantilever (no support)",F58&gt;6),"NOTE: cantilever embedded wall &gt; 6 m, check deflection. ","")&amp;IF(AND(T58&lt;&gt;"",U58&lt;&gt;"",T58&gt;U58),"FAIL: deflection exceeds allowable. ",""))=0,"OK",IF(AND(AC58&lt;&gt;"",IFERROR(VALUE(MID(AC58,2,2)),0)&lt;SG_Criteria!$B$19),"FAIL: grade below C"&amp;SG_Criteria!$B$19&amp;". ","")&amp;IF(AND(LEFT(D58,3)="Con",N(I58)&lt;F58,H58="Kallang Formation (marine clay)"),"NOTE: CBP is not watertight below GWT in marine clay; consider secant / grouting. ","")&amp;IF(AND(D58="Steel Sheet Pile",E58="Permanent"),"NOTE: permanent sheet pile needs corrosion allowance. ","")&amp;IF(AND(G58="Cantilever (no support)",F58&gt;6),"NOTE: cantilever embedded wall &gt; 6 m, check deflection. ","")&amp;IF(AND(T58&lt;&gt;"",U58&lt;&gt;"",T58&gt;U58),"FAIL: deflection exceeds allowable. ","")))</f>
        <v/>
      </c>
      <c r="BI58" s="9"/>
      <c r="BJ58" s="9"/>
      <c r="BK58" s="9"/>
      <c r="BL58" s="10" t="str">
        <f aca="false">IF(BK58="","",IFERROR(VLOOKUP(BK58,Projects!$A$5:$D$504,2,0),"Ref not in Projects"))</f>
        <v/>
      </c>
      <c r="BM58" s="10" t="str">
        <f aca="false">IF(BK58="","",IFERROR(VLOOKUP(BK58,Projects!$A$5:$D$504,4,0),"Ref not in Projects"))</f>
        <v/>
      </c>
      <c r="BN58" s="9"/>
      <c r="BO58" s="9"/>
      <c r="BP58" s="9"/>
      <c r="BQ58" s="40"/>
      <c r="BR58" s="9"/>
      <c r="BS58" s="40"/>
      <c r="BT58" s="9"/>
      <c r="BU58" s="40"/>
      <c r="BV58" s="9"/>
      <c r="BW58" s="9"/>
      <c r="BX58" s="9"/>
      <c r="BY58" s="40"/>
      <c r="BZ58" s="40"/>
      <c r="CA58" s="36" t="str">
        <f aca="false">IF(BZ58="","",EDATE(BZ58,SG_Criteria!$B$54*12))</f>
        <v/>
      </c>
      <c r="CB58" s="33" t="str">
        <f aca="true">IF(A58="","",IF(BZ58="","NOTE: not reviewed yet",IF(TODAY()&gt;CA58,"NOTE: review overdue","OK")))</f>
        <v/>
      </c>
      <c r="CC58" s="37" t="str">
        <f aca="false">IF(A58="","",ROUND((IF(LEN(D58)&gt;0,1,0)+IF(LEN(E58)&gt;0,1,0)+IF(LEN(F58)&gt;0,1,0)+IF(LEN(G58)&gt;0,1,0)+IF(LEN(H58)&gt;0,1,0)+IF(LEN(I58)&gt;0,1,0)+IF(LEN(K58)&gt;0,1,0)+IF(LEN(N58)&gt;0,1,0)+IF(LEN(O58)&gt;0,1,0)+IF(LEN(T58)&gt;0,1,0)+IF(LEN(U58)&gt;0,1,0)+IF(LEN(V58)&gt;0,1,0)+IF(LEN(AK58)&gt;0,1,0)+IF(LEN(AM58)&gt;0,1,0)+IF(LEN(AN58)&gt;0,1,0)+IF(LEN(AO58)&gt;0,1,0)+IF(LEN(AP58)&gt;0,1,0)+IF(LEN(AY58)&gt;0,1,0)+IF(LEN(BK58)&gt;0,1,0)+IF(LEN(BX58)&gt;0,1,0))/20,2))</f>
        <v/>
      </c>
      <c r="CD58" s="10" t="str">
        <f aca="false">IF(D58="","",IF(AND(AN58="Approved",ISERROR(SEARCH("FAIL",BH58))),"Y","N"))</f>
        <v/>
      </c>
      <c r="CE58" s="10" t="str">
        <f aca="false">IF(D58="","",D58&amp;"|"&amp;F58&amp;"|"&amp;G58&amp;"|"&amp;H58&amp;"|"&amp;E58&amp;"|"&amp;CD58)</f>
        <v/>
      </c>
    </row>
    <row r="59" customFormat="false" ht="15" hidden="false" customHeight="false" outlineLevel="0" collapsed="false">
      <c r="A59" s="10" t="str">
        <f aca="false">IF(D59="","","EW-"&amp;IFERROR(VLOOKUP(D59,Lists!$P$4:$Q$22,2,0),"??")&amp;"-D"&amp;TEXT(F59*1000,"0000")&amp;"-"&amp;IFERROR(VLOOKUP(G59,Lists!$S$4:$T$21,2,0),"??")&amp;"-"&amp;IFERROR(VLOOKUP(H59,Lists!$Y$4:$Z$21,2,0),"??")&amp;"-"&amp;IFERROR(VLOOKUP(E59,Lists!$V$4:$W$16,2,0),"??")&amp;"-"&amp;AM59)</f>
        <v/>
      </c>
      <c r="B59" s="10" t="str">
        <f aca="false">IF(D59="","",E59&amp;" "&amp;D59&amp;", excavation "&amp;TEXT(F59,"0.0")&amp;" m, "&amp;G59&amp;", "&amp;H59&amp;", "&amp;K59)</f>
        <v/>
      </c>
      <c r="C59" s="9"/>
      <c r="D59" s="9"/>
      <c r="E59" s="9"/>
      <c r="F59" s="42"/>
      <c r="G59" s="9"/>
      <c r="H59" s="9"/>
      <c r="I59" s="42"/>
      <c r="J59" s="38"/>
      <c r="K59" s="9"/>
      <c r="L59" s="9"/>
      <c r="M59" s="9"/>
      <c r="N59" s="42"/>
      <c r="O59" s="42"/>
      <c r="P59" s="9"/>
      <c r="Q59" s="9"/>
      <c r="R59" s="9"/>
      <c r="S59" s="9"/>
      <c r="T59" s="38"/>
      <c r="U59" s="38"/>
      <c r="V59" s="38"/>
      <c r="W59" s="38"/>
      <c r="X59" s="38"/>
      <c r="Y59" s="9"/>
      <c r="Z59" s="39"/>
      <c r="AA59" s="9"/>
      <c r="AB59" s="9"/>
      <c r="AC59" s="9"/>
      <c r="AD59" s="9"/>
      <c r="AE59" s="9"/>
      <c r="AF59" s="9"/>
      <c r="AG59" s="9"/>
      <c r="AH59" s="38"/>
      <c r="AI59" s="9"/>
      <c r="AJ59" s="39"/>
      <c r="AK59" s="9"/>
      <c r="AL59" s="9"/>
      <c r="AM59" s="9"/>
      <c r="AN59" s="9"/>
      <c r="AO59" s="9"/>
      <c r="AP59" s="9"/>
      <c r="AQ59" s="9"/>
      <c r="AR59" s="10" t="str">
        <f aca="false">IF(A59="","",SG_Criteria!$B$6&amp;SG_Criteria!$B$9&amp;"\"&amp;A59&amp;"\")</f>
        <v/>
      </c>
      <c r="AS59" s="10" t="str">
        <f aca="false">IF(A59="","",A59&amp;"_CAD.dwg")</f>
        <v/>
      </c>
      <c r="AT59" s="10" t="str">
        <f aca="false">IF(A59="","",A59&amp;"_DWG.pdf")</f>
        <v/>
      </c>
      <c r="AU59" s="10" t="str">
        <f aca="false">IF(A59="","",IF(AQ59="Y",A59&amp;"_STAAD.std","n/a"))</f>
        <v/>
      </c>
      <c r="AV59" s="10" t="str">
        <f aca="false">IF(A59="","",A59&amp;"_CALC.xlsx")</f>
        <v/>
      </c>
      <c r="AW59" s="10" t="str">
        <f aca="false">IF(A59="","",A59&amp;"_CALC.pdf")</f>
        <v/>
      </c>
      <c r="AX59" s="9"/>
      <c r="AY59" s="9"/>
      <c r="AZ59" s="39"/>
      <c r="BA59" s="39"/>
      <c r="BB59" s="39"/>
      <c r="BC59" s="39"/>
      <c r="BD59" s="39"/>
      <c r="BE59" s="12" t="str">
        <f aca="false">IF(A59="","",IF(COUNTIF(Rebar_Schedule!$A$5:$A$2004,A59)=0,"",ROUND(SUMIF(Rebar_Schedule!$A$5:$A$2004,A59,Rebar_Schedule!$K$5:$K$2004),1)))</f>
        <v/>
      </c>
      <c r="BF59" s="33" t="str">
        <f aca="false">IF(A59="","",IF(BE59="","No rebar schedule yet",IF(ABS(BE59-N(BA59))/MAX(N(BA59),1)&gt;SG_Criteria!$B$55,"NOTE: register rebar differs from schedule by "&amp;TEXT(ABS(BE59-N(BA59))/MAX(N(BA59),1),"0%"),"OK")))</f>
        <v/>
      </c>
      <c r="BG59" s="33" t="str">
        <f aca="false">IF(OR(D59="",F59=""),"",IF(F59&lt;=IF(D59="Soldier Pile &amp; Timber Lagging",SG_Criteria!$B$34,SG_Criteria!$B$33),"No ERSS submission",IF(F59&lt;=SG_Criteria!$B$35,"QP(ST)",IF(F59&lt;=SG_Criteria!$B$36,"QP(ST) + AC","Geotechnical building works: QP(Geo) + AC"))))</f>
        <v/>
      </c>
      <c r="BH59" s="33" t="str">
        <f aca="false">IF(D59="","",IF(LEN(IF(AND(AC59&lt;&gt;"",IFERROR(VALUE(MID(AC59,2,2)),0)&lt;SG_Criteria!$B$19),"FAIL: grade below C"&amp;SG_Criteria!$B$19&amp;". ","")&amp;IF(AND(LEFT(D59,3)="Con",N(I59)&lt;F59,H59="Kallang Formation (marine clay)"),"NOTE: CBP is not watertight below GWT in marine clay; consider secant / grouting. ","")&amp;IF(AND(D59="Steel Sheet Pile",E59="Permanent"),"NOTE: permanent sheet pile needs corrosion allowance. ","")&amp;IF(AND(G59="Cantilever (no support)",F59&gt;6),"NOTE: cantilever embedded wall &gt; 6 m, check deflection. ","")&amp;IF(AND(T59&lt;&gt;"",U59&lt;&gt;"",T59&gt;U59),"FAIL: deflection exceeds allowable. ",""))=0,"OK",IF(AND(AC59&lt;&gt;"",IFERROR(VALUE(MID(AC59,2,2)),0)&lt;SG_Criteria!$B$19),"FAIL: grade below C"&amp;SG_Criteria!$B$19&amp;". ","")&amp;IF(AND(LEFT(D59,3)="Con",N(I59)&lt;F59,H59="Kallang Formation (marine clay)"),"NOTE: CBP is not watertight below GWT in marine clay; consider secant / grouting. ","")&amp;IF(AND(D59="Steel Sheet Pile",E59="Permanent"),"NOTE: permanent sheet pile needs corrosion allowance. ","")&amp;IF(AND(G59="Cantilever (no support)",F59&gt;6),"NOTE: cantilever embedded wall &gt; 6 m, check deflection. ","")&amp;IF(AND(T59&lt;&gt;"",U59&lt;&gt;"",T59&gt;U59),"FAIL: deflection exceeds allowable. ","")))</f>
        <v/>
      </c>
      <c r="BI59" s="9"/>
      <c r="BJ59" s="9"/>
      <c r="BK59" s="9"/>
      <c r="BL59" s="10" t="str">
        <f aca="false">IF(BK59="","",IFERROR(VLOOKUP(BK59,Projects!$A$5:$D$504,2,0),"Ref not in Projects"))</f>
        <v/>
      </c>
      <c r="BM59" s="10" t="str">
        <f aca="false">IF(BK59="","",IFERROR(VLOOKUP(BK59,Projects!$A$5:$D$504,4,0),"Ref not in Projects"))</f>
        <v/>
      </c>
      <c r="BN59" s="9"/>
      <c r="BO59" s="9"/>
      <c r="BP59" s="9"/>
      <c r="BQ59" s="40"/>
      <c r="BR59" s="9"/>
      <c r="BS59" s="40"/>
      <c r="BT59" s="9"/>
      <c r="BU59" s="40"/>
      <c r="BV59" s="9"/>
      <c r="BW59" s="9"/>
      <c r="BX59" s="9"/>
      <c r="BY59" s="40"/>
      <c r="BZ59" s="40"/>
      <c r="CA59" s="36" t="str">
        <f aca="false">IF(BZ59="","",EDATE(BZ59,SG_Criteria!$B$54*12))</f>
        <v/>
      </c>
      <c r="CB59" s="33" t="str">
        <f aca="true">IF(A59="","",IF(BZ59="","NOTE: not reviewed yet",IF(TODAY()&gt;CA59,"NOTE: review overdue","OK")))</f>
        <v/>
      </c>
      <c r="CC59" s="37" t="str">
        <f aca="false">IF(A59="","",ROUND((IF(LEN(D59)&gt;0,1,0)+IF(LEN(E59)&gt;0,1,0)+IF(LEN(F59)&gt;0,1,0)+IF(LEN(G59)&gt;0,1,0)+IF(LEN(H59)&gt;0,1,0)+IF(LEN(I59)&gt;0,1,0)+IF(LEN(K59)&gt;0,1,0)+IF(LEN(N59)&gt;0,1,0)+IF(LEN(O59)&gt;0,1,0)+IF(LEN(T59)&gt;0,1,0)+IF(LEN(U59)&gt;0,1,0)+IF(LEN(V59)&gt;0,1,0)+IF(LEN(AK59)&gt;0,1,0)+IF(LEN(AM59)&gt;0,1,0)+IF(LEN(AN59)&gt;0,1,0)+IF(LEN(AO59)&gt;0,1,0)+IF(LEN(AP59)&gt;0,1,0)+IF(LEN(AY59)&gt;0,1,0)+IF(LEN(BK59)&gt;0,1,0)+IF(LEN(BX59)&gt;0,1,0))/20,2))</f>
        <v/>
      </c>
      <c r="CD59" s="10" t="str">
        <f aca="false">IF(D59="","",IF(AND(AN59="Approved",ISERROR(SEARCH("FAIL",BH59))),"Y","N"))</f>
        <v/>
      </c>
      <c r="CE59" s="10" t="str">
        <f aca="false">IF(D59="","",D59&amp;"|"&amp;F59&amp;"|"&amp;G59&amp;"|"&amp;H59&amp;"|"&amp;E59&amp;"|"&amp;CD59)</f>
        <v/>
      </c>
    </row>
    <row r="60" customFormat="false" ht="15" hidden="false" customHeight="false" outlineLevel="0" collapsed="false">
      <c r="A60" s="10" t="str">
        <f aca="false">IF(D60="","","EW-"&amp;IFERROR(VLOOKUP(D60,Lists!$P$4:$Q$22,2,0),"??")&amp;"-D"&amp;TEXT(F60*1000,"0000")&amp;"-"&amp;IFERROR(VLOOKUP(G60,Lists!$S$4:$T$21,2,0),"??")&amp;"-"&amp;IFERROR(VLOOKUP(H60,Lists!$Y$4:$Z$21,2,0),"??")&amp;"-"&amp;IFERROR(VLOOKUP(E60,Lists!$V$4:$W$16,2,0),"??")&amp;"-"&amp;AM60)</f>
        <v/>
      </c>
      <c r="B60" s="10" t="str">
        <f aca="false">IF(D60="","",E60&amp;" "&amp;D60&amp;", excavation "&amp;TEXT(F60,"0.0")&amp;" m, "&amp;G60&amp;", "&amp;H60&amp;", "&amp;K60)</f>
        <v/>
      </c>
      <c r="C60" s="9"/>
      <c r="D60" s="9"/>
      <c r="E60" s="9"/>
      <c r="F60" s="42"/>
      <c r="G60" s="9"/>
      <c r="H60" s="9"/>
      <c r="I60" s="42"/>
      <c r="J60" s="38"/>
      <c r="K60" s="9"/>
      <c r="L60" s="9"/>
      <c r="M60" s="9"/>
      <c r="N60" s="42"/>
      <c r="O60" s="42"/>
      <c r="P60" s="9"/>
      <c r="Q60" s="9"/>
      <c r="R60" s="9"/>
      <c r="S60" s="9"/>
      <c r="T60" s="38"/>
      <c r="U60" s="38"/>
      <c r="V60" s="38"/>
      <c r="W60" s="38"/>
      <c r="X60" s="38"/>
      <c r="Y60" s="9"/>
      <c r="Z60" s="39"/>
      <c r="AA60" s="9"/>
      <c r="AB60" s="9"/>
      <c r="AC60" s="9"/>
      <c r="AD60" s="9"/>
      <c r="AE60" s="9"/>
      <c r="AF60" s="9"/>
      <c r="AG60" s="9"/>
      <c r="AH60" s="38"/>
      <c r="AI60" s="9"/>
      <c r="AJ60" s="39"/>
      <c r="AK60" s="9"/>
      <c r="AL60" s="9"/>
      <c r="AM60" s="9"/>
      <c r="AN60" s="9"/>
      <c r="AO60" s="9"/>
      <c r="AP60" s="9"/>
      <c r="AQ60" s="9"/>
      <c r="AR60" s="10" t="str">
        <f aca="false">IF(A60="","",SG_Criteria!$B$6&amp;SG_Criteria!$B$9&amp;"\"&amp;A60&amp;"\")</f>
        <v/>
      </c>
      <c r="AS60" s="10" t="str">
        <f aca="false">IF(A60="","",A60&amp;"_CAD.dwg")</f>
        <v/>
      </c>
      <c r="AT60" s="10" t="str">
        <f aca="false">IF(A60="","",A60&amp;"_DWG.pdf")</f>
        <v/>
      </c>
      <c r="AU60" s="10" t="str">
        <f aca="false">IF(A60="","",IF(AQ60="Y",A60&amp;"_STAAD.std","n/a"))</f>
        <v/>
      </c>
      <c r="AV60" s="10" t="str">
        <f aca="false">IF(A60="","",A60&amp;"_CALC.xlsx")</f>
        <v/>
      </c>
      <c r="AW60" s="10" t="str">
        <f aca="false">IF(A60="","",A60&amp;"_CALC.pdf")</f>
        <v/>
      </c>
      <c r="AX60" s="9"/>
      <c r="AY60" s="9"/>
      <c r="AZ60" s="39"/>
      <c r="BA60" s="39"/>
      <c r="BB60" s="39"/>
      <c r="BC60" s="39"/>
      <c r="BD60" s="39"/>
      <c r="BE60" s="12" t="str">
        <f aca="false">IF(A60="","",IF(COUNTIF(Rebar_Schedule!$A$5:$A$2004,A60)=0,"",ROUND(SUMIF(Rebar_Schedule!$A$5:$A$2004,A60,Rebar_Schedule!$K$5:$K$2004),1)))</f>
        <v/>
      </c>
      <c r="BF60" s="33" t="str">
        <f aca="false">IF(A60="","",IF(BE60="","No rebar schedule yet",IF(ABS(BE60-N(BA60))/MAX(N(BA60),1)&gt;SG_Criteria!$B$55,"NOTE: register rebar differs from schedule by "&amp;TEXT(ABS(BE60-N(BA60))/MAX(N(BA60),1),"0%"),"OK")))</f>
        <v/>
      </c>
      <c r="BG60" s="33" t="str">
        <f aca="false">IF(OR(D60="",F60=""),"",IF(F60&lt;=IF(D60="Soldier Pile &amp; Timber Lagging",SG_Criteria!$B$34,SG_Criteria!$B$33),"No ERSS submission",IF(F60&lt;=SG_Criteria!$B$35,"QP(ST)",IF(F60&lt;=SG_Criteria!$B$36,"QP(ST) + AC","Geotechnical building works: QP(Geo) + AC"))))</f>
        <v/>
      </c>
      <c r="BH60" s="33" t="str">
        <f aca="false">IF(D60="","",IF(LEN(IF(AND(AC60&lt;&gt;"",IFERROR(VALUE(MID(AC60,2,2)),0)&lt;SG_Criteria!$B$19),"FAIL: grade below C"&amp;SG_Criteria!$B$19&amp;". ","")&amp;IF(AND(LEFT(D60,3)="Con",N(I60)&lt;F60,H60="Kallang Formation (marine clay)"),"NOTE: CBP is not watertight below GWT in marine clay; consider secant / grouting. ","")&amp;IF(AND(D60="Steel Sheet Pile",E60="Permanent"),"NOTE: permanent sheet pile needs corrosion allowance. ","")&amp;IF(AND(G60="Cantilever (no support)",F60&gt;6),"NOTE: cantilever embedded wall &gt; 6 m, check deflection. ","")&amp;IF(AND(T60&lt;&gt;"",U60&lt;&gt;"",T60&gt;U60),"FAIL: deflection exceeds allowable. ",""))=0,"OK",IF(AND(AC60&lt;&gt;"",IFERROR(VALUE(MID(AC60,2,2)),0)&lt;SG_Criteria!$B$19),"FAIL: grade below C"&amp;SG_Criteria!$B$19&amp;". ","")&amp;IF(AND(LEFT(D60,3)="Con",N(I60)&lt;F60,H60="Kallang Formation (marine clay)"),"NOTE: CBP is not watertight below GWT in marine clay; consider secant / grouting. ","")&amp;IF(AND(D60="Steel Sheet Pile",E60="Permanent"),"NOTE: permanent sheet pile needs corrosion allowance. ","")&amp;IF(AND(G60="Cantilever (no support)",F60&gt;6),"NOTE: cantilever embedded wall &gt; 6 m, check deflection. ","")&amp;IF(AND(T60&lt;&gt;"",U60&lt;&gt;"",T60&gt;U60),"FAIL: deflection exceeds allowable. ","")))</f>
        <v/>
      </c>
      <c r="BI60" s="9"/>
      <c r="BJ60" s="9"/>
      <c r="BK60" s="9"/>
      <c r="BL60" s="10" t="str">
        <f aca="false">IF(BK60="","",IFERROR(VLOOKUP(BK60,Projects!$A$5:$D$504,2,0),"Ref not in Projects"))</f>
        <v/>
      </c>
      <c r="BM60" s="10" t="str">
        <f aca="false">IF(BK60="","",IFERROR(VLOOKUP(BK60,Projects!$A$5:$D$504,4,0),"Ref not in Projects"))</f>
        <v/>
      </c>
      <c r="BN60" s="9"/>
      <c r="BO60" s="9"/>
      <c r="BP60" s="9"/>
      <c r="BQ60" s="40"/>
      <c r="BR60" s="9"/>
      <c r="BS60" s="40"/>
      <c r="BT60" s="9"/>
      <c r="BU60" s="40"/>
      <c r="BV60" s="9"/>
      <c r="BW60" s="9"/>
      <c r="BX60" s="9"/>
      <c r="BY60" s="40"/>
      <c r="BZ60" s="40"/>
      <c r="CA60" s="36" t="str">
        <f aca="false">IF(BZ60="","",EDATE(BZ60,SG_Criteria!$B$54*12))</f>
        <v/>
      </c>
      <c r="CB60" s="33" t="str">
        <f aca="true">IF(A60="","",IF(BZ60="","NOTE: not reviewed yet",IF(TODAY()&gt;CA60,"NOTE: review overdue","OK")))</f>
        <v/>
      </c>
      <c r="CC60" s="37" t="str">
        <f aca="false">IF(A60="","",ROUND((IF(LEN(D60)&gt;0,1,0)+IF(LEN(E60)&gt;0,1,0)+IF(LEN(F60)&gt;0,1,0)+IF(LEN(G60)&gt;0,1,0)+IF(LEN(H60)&gt;0,1,0)+IF(LEN(I60)&gt;0,1,0)+IF(LEN(K60)&gt;0,1,0)+IF(LEN(N60)&gt;0,1,0)+IF(LEN(O60)&gt;0,1,0)+IF(LEN(T60)&gt;0,1,0)+IF(LEN(U60)&gt;0,1,0)+IF(LEN(V60)&gt;0,1,0)+IF(LEN(AK60)&gt;0,1,0)+IF(LEN(AM60)&gt;0,1,0)+IF(LEN(AN60)&gt;0,1,0)+IF(LEN(AO60)&gt;0,1,0)+IF(LEN(AP60)&gt;0,1,0)+IF(LEN(AY60)&gt;0,1,0)+IF(LEN(BK60)&gt;0,1,0)+IF(LEN(BX60)&gt;0,1,0))/20,2))</f>
        <v/>
      </c>
      <c r="CD60" s="10" t="str">
        <f aca="false">IF(D60="","",IF(AND(AN60="Approved",ISERROR(SEARCH("FAIL",BH60))),"Y","N"))</f>
        <v/>
      </c>
      <c r="CE60" s="10" t="str">
        <f aca="false">IF(D60="","",D60&amp;"|"&amp;F60&amp;"|"&amp;G60&amp;"|"&amp;H60&amp;"|"&amp;E60&amp;"|"&amp;CD60)</f>
        <v/>
      </c>
    </row>
    <row r="61" customFormat="false" ht="15" hidden="false" customHeight="false" outlineLevel="0" collapsed="false">
      <c r="A61" s="10" t="str">
        <f aca="false">IF(D61="","","EW-"&amp;IFERROR(VLOOKUP(D61,Lists!$P$4:$Q$22,2,0),"??")&amp;"-D"&amp;TEXT(F61*1000,"0000")&amp;"-"&amp;IFERROR(VLOOKUP(G61,Lists!$S$4:$T$21,2,0),"??")&amp;"-"&amp;IFERROR(VLOOKUP(H61,Lists!$Y$4:$Z$21,2,0),"??")&amp;"-"&amp;IFERROR(VLOOKUP(E61,Lists!$V$4:$W$16,2,0),"??")&amp;"-"&amp;AM61)</f>
        <v/>
      </c>
      <c r="B61" s="10" t="str">
        <f aca="false">IF(D61="","",E61&amp;" "&amp;D61&amp;", excavation "&amp;TEXT(F61,"0.0")&amp;" m, "&amp;G61&amp;", "&amp;H61&amp;", "&amp;K61)</f>
        <v/>
      </c>
      <c r="C61" s="9"/>
      <c r="D61" s="9"/>
      <c r="E61" s="9"/>
      <c r="F61" s="42"/>
      <c r="G61" s="9"/>
      <c r="H61" s="9"/>
      <c r="I61" s="42"/>
      <c r="J61" s="38"/>
      <c r="K61" s="9"/>
      <c r="L61" s="9"/>
      <c r="M61" s="9"/>
      <c r="N61" s="42"/>
      <c r="O61" s="42"/>
      <c r="P61" s="9"/>
      <c r="Q61" s="9"/>
      <c r="R61" s="9"/>
      <c r="S61" s="9"/>
      <c r="T61" s="38"/>
      <c r="U61" s="38"/>
      <c r="V61" s="38"/>
      <c r="W61" s="38"/>
      <c r="X61" s="38"/>
      <c r="Y61" s="9"/>
      <c r="Z61" s="39"/>
      <c r="AA61" s="9"/>
      <c r="AB61" s="9"/>
      <c r="AC61" s="9"/>
      <c r="AD61" s="9"/>
      <c r="AE61" s="9"/>
      <c r="AF61" s="9"/>
      <c r="AG61" s="9"/>
      <c r="AH61" s="38"/>
      <c r="AI61" s="9"/>
      <c r="AJ61" s="39"/>
      <c r="AK61" s="9"/>
      <c r="AL61" s="9"/>
      <c r="AM61" s="9"/>
      <c r="AN61" s="9"/>
      <c r="AO61" s="9"/>
      <c r="AP61" s="9"/>
      <c r="AQ61" s="9"/>
      <c r="AR61" s="10" t="str">
        <f aca="false">IF(A61="","",SG_Criteria!$B$6&amp;SG_Criteria!$B$9&amp;"\"&amp;A61&amp;"\")</f>
        <v/>
      </c>
      <c r="AS61" s="10" t="str">
        <f aca="false">IF(A61="","",A61&amp;"_CAD.dwg")</f>
        <v/>
      </c>
      <c r="AT61" s="10" t="str">
        <f aca="false">IF(A61="","",A61&amp;"_DWG.pdf")</f>
        <v/>
      </c>
      <c r="AU61" s="10" t="str">
        <f aca="false">IF(A61="","",IF(AQ61="Y",A61&amp;"_STAAD.std","n/a"))</f>
        <v/>
      </c>
      <c r="AV61" s="10" t="str">
        <f aca="false">IF(A61="","",A61&amp;"_CALC.xlsx")</f>
        <v/>
      </c>
      <c r="AW61" s="10" t="str">
        <f aca="false">IF(A61="","",A61&amp;"_CALC.pdf")</f>
        <v/>
      </c>
      <c r="AX61" s="9"/>
      <c r="AY61" s="9"/>
      <c r="AZ61" s="39"/>
      <c r="BA61" s="39"/>
      <c r="BB61" s="39"/>
      <c r="BC61" s="39"/>
      <c r="BD61" s="39"/>
      <c r="BE61" s="12" t="str">
        <f aca="false">IF(A61="","",IF(COUNTIF(Rebar_Schedule!$A$5:$A$2004,A61)=0,"",ROUND(SUMIF(Rebar_Schedule!$A$5:$A$2004,A61,Rebar_Schedule!$K$5:$K$2004),1)))</f>
        <v/>
      </c>
      <c r="BF61" s="33" t="str">
        <f aca="false">IF(A61="","",IF(BE61="","No rebar schedule yet",IF(ABS(BE61-N(BA61))/MAX(N(BA61),1)&gt;SG_Criteria!$B$55,"NOTE: register rebar differs from schedule by "&amp;TEXT(ABS(BE61-N(BA61))/MAX(N(BA61),1),"0%"),"OK")))</f>
        <v/>
      </c>
      <c r="BG61" s="33" t="str">
        <f aca="false">IF(OR(D61="",F61=""),"",IF(F61&lt;=IF(D61="Soldier Pile &amp; Timber Lagging",SG_Criteria!$B$34,SG_Criteria!$B$33),"No ERSS submission",IF(F61&lt;=SG_Criteria!$B$35,"QP(ST)",IF(F61&lt;=SG_Criteria!$B$36,"QP(ST) + AC","Geotechnical building works: QP(Geo) + AC"))))</f>
        <v/>
      </c>
      <c r="BH61" s="33" t="str">
        <f aca="false">IF(D61="","",IF(LEN(IF(AND(AC61&lt;&gt;"",IFERROR(VALUE(MID(AC61,2,2)),0)&lt;SG_Criteria!$B$19),"FAIL: grade below C"&amp;SG_Criteria!$B$19&amp;". ","")&amp;IF(AND(LEFT(D61,3)="Con",N(I61)&lt;F61,H61="Kallang Formation (marine clay)"),"NOTE: CBP is not watertight below GWT in marine clay; consider secant / grouting. ","")&amp;IF(AND(D61="Steel Sheet Pile",E61="Permanent"),"NOTE: permanent sheet pile needs corrosion allowance. ","")&amp;IF(AND(G61="Cantilever (no support)",F61&gt;6),"NOTE: cantilever embedded wall &gt; 6 m, check deflection. ","")&amp;IF(AND(T61&lt;&gt;"",U61&lt;&gt;"",T61&gt;U61),"FAIL: deflection exceeds allowable. ",""))=0,"OK",IF(AND(AC61&lt;&gt;"",IFERROR(VALUE(MID(AC61,2,2)),0)&lt;SG_Criteria!$B$19),"FAIL: grade below C"&amp;SG_Criteria!$B$19&amp;". ","")&amp;IF(AND(LEFT(D61,3)="Con",N(I61)&lt;F61,H61="Kallang Formation (marine clay)"),"NOTE: CBP is not watertight below GWT in marine clay; consider secant / grouting. ","")&amp;IF(AND(D61="Steel Sheet Pile",E61="Permanent"),"NOTE: permanent sheet pile needs corrosion allowance. ","")&amp;IF(AND(G61="Cantilever (no support)",F61&gt;6),"NOTE: cantilever embedded wall &gt; 6 m, check deflection. ","")&amp;IF(AND(T61&lt;&gt;"",U61&lt;&gt;"",T61&gt;U61),"FAIL: deflection exceeds allowable. ","")))</f>
        <v/>
      </c>
      <c r="BI61" s="9"/>
      <c r="BJ61" s="9"/>
      <c r="BK61" s="9"/>
      <c r="BL61" s="10" t="str">
        <f aca="false">IF(BK61="","",IFERROR(VLOOKUP(BK61,Projects!$A$5:$D$504,2,0),"Ref not in Projects"))</f>
        <v/>
      </c>
      <c r="BM61" s="10" t="str">
        <f aca="false">IF(BK61="","",IFERROR(VLOOKUP(BK61,Projects!$A$5:$D$504,4,0),"Ref not in Projects"))</f>
        <v/>
      </c>
      <c r="BN61" s="9"/>
      <c r="BO61" s="9"/>
      <c r="BP61" s="9"/>
      <c r="BQ61" s="40"/>
      <c r="BR61" s="9"/>
      <c r="BS61" s="40"/>
      <c r="BT61" s="9"/>
      <c r="BU61" s="40"/>
      <c r="BV61" s="9"/>
      <c r="BW61" s="9"/>
      <c r="BX61" s="9"/>
      <c r="BY61" s="40"/>
      <c r="BZ61" s="40"/>
      <c r="CA61" s="36" t="str">
        <f aca="false">IF(BZ61="","",EDATE(BZ61,SG_Criteria!$B$54*12))</f>
        <v/>
      </c>
      <c r="CB61" s="33" t="str">
        <f aca="true">IF(A61="","",IF(BZ61="","NOTE: not reviewed yet",IF(TODAY()&gt;CA61,"NOTE: review overdue","OK")))</f>
        <v/>
      </c>
      <c r="CC61" s="37" t="str">
        <f aca="false">IF(A61="","",ROUND((IF(LEN(D61)&gt;0,1,0)+IF(LEN(E61)&gt;0,1,0)+IF(LEN(F61)&gt;0,1,0)+IF(LEN(G61)&gt;0,1,0)+IF(LEN(H61)&gt;0,1,0)+IF(LEN(I61)&gt;0,1,0)+IF(LEN(K61)&gt;0,1,0)+IF(LEN(N61)&gt;0,1,0)+IF(LEN(O61)&gt;0,1,0)+IF(LEN(T61)&gt;0,1,0)+IF(LEN(U61)&gt;0,1,0)+IF(LEN(V61)&gt;0,1,0)+IF(LEN(AK61)&gt;0,1,0)+IF(LEN(AM61)&gt;0,1,0)+IF(LEN(AN61)&gt;0,1,0)+IF(LEN(AO61)&gt;0,1,0)+IF(LEN(AP61)&gt;0,1,0)+IF(LEN(AY61)&gt;0,1,0)+IF(LEN(BK61)&gt;0,1,0)+IF(LEN(BX61)&gt;0,1,0))/20,2))</f>
        <v/>
      </c>
      <c r="CD61" s="10" t="str">
        <f aca="false">IF(D61="","",IF(AND(AN61="Approved",ISERROR(SEARCH("FAIL",BH61))),"Y","N"))</f>
        <v/>
      </c>
      <c r="CE61" s="10" t="str">
        <f aca="false">IF(D61="","",D61&amp;"|"&amp;F61&amp;"|"&amp;G61&amp;"|"&amp;H61&amp;"|"&amp;E61&amp;"|"&amp;CD61)</f>
        <v/>
      </c>
    </row>
    <row r="62" customFormat="false" ht="15" hidden="false" customHeight="false" outlineLevel="0" collapsed="false">
      <c r="A62" s="10" t="str">
        <f aca="false">IF(D62="","","EW-"&amp;IFERROR(VLOOKUP(D62,Lists!$P$4:$Q$22,2,0),"??")&amp;"-D"&amp;TEXT(F62*1000,"0000")&amp;"-"&amp;IFERROR(VLOOKUP(G62,Lists!$S$4:$T$21,2,0),"??")&amp;"-"&amp;IFERROR(VLOOKUP(H62,Lists!$Y$4:$Z$21,2,0),"??")&amp;"-"&amp;IFERROR(VLOOKUP(E62,Lists!$V$4:$W$16,2,0),"??")&amp;"-"&amp;AM62)</f>
        <v/>
      </c>
      <c r="B62" s="10" t="str">
        <f aca="false">IF(D62="","",E62&amp;" "&amp;D62&amp;", excavation "&amp;TEXT(F62,"0.0")&amp;" m, "&amp;G62&amp;", "&amp;H62&amp;", "&amp;K62)</f>
        <v/>
      </c>
      <c r="C62" s="9"/>
      <c r="D62" s="9"/>
      <c r="E62" s="9"/>
      <c r="F62" s="42"/>
      <c r="G62" s="9"/>
      <c r="H62" s="9"/>
      <c r="I62" s="42"/>
      <c r="J62" s="38"/>
      <c r="K62" s="9"/>
      <c r="L62" s="9"/>
      <c r="M62" s="9"/>
      <c r="N62" s="42"/>
      <c r="O62" s="42"/>
      <c r="P62" s="9"/>
      <c r="Q62" s="9"/>
      <c r="R62" s="9"/>
      <c r="S62" s="9"/>
      <c r="T62" s="38"/>
      <c r="U62" s="38"/>
      <c r="V62" s="38"/>
      <c r="W62" s="38"/>
      <c r="X62" s="38"/>
      <c r="Y62" s="9"/>
      <c r="Z62" s="39"/>
      <c r="AA62" s="9"/>
      <c r="AB62" s="9"/>
      <c r="AC62" s="9"/>
      <c r="AD62" s="9"/>
      <c r="AE62" s="9"/>
      <c r="AF62" s="9"/>
      <c r="AG62" s="9"/>
      <c r="AH62" s="38"/>
      <c r="AI62" s="9"/>
      <c r="AJ62" s="39"/>
      <c r="AK62" s="9"/>
      <c r="AL62" s="9"/>
      <c r="AM62" s="9"/>
      <c r="AN62" s="9"/>
      <c r="AO62" s="9"/>
      <c r="AP62" s="9"/>
      <c r="AQ62" s="9"/>
      <c r="AR62" s="10" t="str">
        <f aca="false">IF(A62="","",SG_Criteria!$B$6&amp;SG_Criteria!$B$9&amp;"\"&amp;A62&amp;"\")</f>
        <v/>
      </c>
      <c r="AS62" s="10" t="str">
        <f aca="false">IF(A62="","",A62&amp;"_CAD.dwg")</f>
        <v/>
      </c>
      <c r="AT62" s="10" t="str">
        <f aca="false">IF(A62="","",A62&amp;"_DWG.pdf")</f>
        <v/>
      </c>
      <c r="AU62" s="10" t="str">
        <f aca="false">IF(A62="","",IF(AQ62="Y",A62&amp;"_STAAD.std","n/a"))</f>
        <v/>
      </c>
      <c r="AV62" s="10" t="str">
        <f aca="false">IF(A62="","",A62&amp;"_CALC.xlsx")</f>
        <v/>
      </c>
      <c r="AW62" s="10" t="str">
        <f aca="false">IF(A62="","",A62&amp;"_CALC.pdf")</f>
        <v/>
      </c>
      <c r="AX62" s="9"/>
      <c r="AY62" s="9"/>
      <c r="AZ62" s="39"/>
      <c r="BA62" s="39"/>
      <c r="BB62" s="39"/>
      <c r="BC62" s="39"/>
      <c r="BD62" s="39"/>
      <c r="BE62" s="12" t="str">
        <f aca="false">IF(A62="","",IF(COUNTIF(Rebar_Schedule!$A$5:$A$2004,A62)=0,"",ROUND(SUMIF(Rebar_Schedule!$A$5:$A$2004,A62,Rebar_Schedule!$K$5:$K$2004),1)))</f>
        <v/>
      </c>
      <c r="BF62" s="33" t="str">
        <f aca="false">IF(A62="","",IF(BE62="","No rebar schedule yet",IF(ABS(BE62-N(BA62))/MAX(N(BA62),1)&gt;SG_Criteria!$B$55,"NOTE: register rebar differs from schedule by "&amp;TEXT(ABS(BE62-N(BA62))/MAX(N(BA62),1),"0%"),"OK")))</f>
        <v/>
      </c>
      <c r="BG62" s="33" t="str">
        <f aca="false">IF(OR(D62="",F62=""),"",IF(F62&lt;=IF(D62="Soldier Pile &amp; Timber Lagging",SG_Criteria!$B$34,SG_Criteria!$B$33),"No ERSS submission",IF(F62&lt;=SG_Criteria!$B$35,"QP(ST)",IF(F62&lt;=SG_Criteria!$B$36,"QP(ST) + AC","Geotechnical building works: QP(Geo) + AC"))))</f>
        <v/>
      </c>
      <c r="BH62" s="33" t="str">
        <f aca="false">IF(D62="","",IF(LEN(IF(AND(AC62&lt;&gt;"",IFERROR(VALUE(MID(AC62,2,2)),0)&lt;SG_Criteria!$B$19),"FAIL: grade below C"&amp;SG_Criteria!$B$19&amp;". ","")&amp;IF(AND(LEFT(D62,3)="Con",N(I62)&lt;F62,H62="Kallang Formation (marine clay)"),"NOTE: CBP is not watertight below GWT in marine clay; consider secant / grouting. ","")&amp;IF(AND(D62="Steel Sheet Pile",E62="Permanent"),"NOTE: permanent sheet pile needs corrosion allowance. ","")&amp;IF(AND(G62="Cantilever (no support)",F62&gt;6),"NOTE: cantilever embedded wall &gt; 6 m, check deflection. ","")&amp;IF(AND(T62&lt;&gt;"",U62&lt;&gt;"",T62&gt;U62),"FAIL: deflection exceeds allowable. ",""))=0,"OK",IF(AND(AC62&lt;&gt;"",IFERROR(VALUE(MID(AC62,2,2)),0)&lt;SG_Criteria!$B$19),"FAIL: grade below C"&amp;SG_Criteria!$B$19&amp;". ","")&amp;IF(AND(LEFT(D62,3)="Con",N(I62)&lt;F62,H62="Kallang Formation (marine clay)"),"NOTE: CBP is not watertight below GWT in marine clay; consider secant / grouting. ","")&amp;IF(AND(D62="Steel Sheet Pile",E62="Permanent"),"NOTE: permanent sheet pile needs corrosion allowance. ","")&amp;IF(AND(G62="Cantilever (no support)",F62&gt;6),"NOTE: cantilever embedded wall &gt; 6 m, check deflection. ","")&amp;IF(AND(T62&lt;&gt;"",U62&lt;&gt;"",T62&gt;U62),"FAIL: deflection exceeds allowable. ","")))</f>
        <v/>
      </c>
      <c r="BI62" s="9"/>
      <c r="BJ62" s="9"/>
      <c r="BK62" s="9"/>
      <c r="BL62" s="10" t="str">
        <f aca="false">IF(BK62="","",IFERROR(VLOOKUP(BK62,Projects!$A$5:$D$504,2,0),"Ref not in Projects"))</f>
        <v/>
      </c>
      <c r="BM62" s="10" t="str">
        <f aca="false">IF(BK62="","",IFERROR(VLOOKUP(BK62,Projects!$A$5:$D$504,4,0),"Ref not in Projects"))</f>
        <v/>
      </c>
      <c r="BN62" s="9"/>
      <c r="BO62" s="9"/>
      <c r="BP62" s="9"/>
      <c r="BQ62" s="40"/>
      <c r="BR62" s="9"/>
      <c r="BS62" s="40"/>
      <c r="BT62" s="9"/>
      <c r="BU62" s="40"/>
      <c r="BV62" s="9"/>
      <c r="BW62" s="9"/>
      <c r="BX62" s="9"/>
      <c r="BY62" s="40"/>
      <c r="BZ62" s="40"/>
      <c r="CA62" s="36" t="str">
        <f aca="false">IF(BZ62="","",EDATE(BZ62,SG_Criteria!$B$54*12))</f>
        <v/>
      </c>
      <c r="CB62" s="33" t="str">
        <f aca="true">IF(A62="","",IF(BZ62="","NOTE: not reviewed yet",IF(TODAY()&gt;CA62,"NOTE: review overdue","OK")))</f>
        <v/>
      </c>
      <c r="CC62" s="37" t="str">
        <f aca="false">IF(A62="","",ROUND((IF(LEN(D62)&gt;0,1,0)+IF(LEN(E62)&gt;0,1,0)+IF(LEN(F62)&gt;0,1,0)+IF(LEN(G62)&gt;0,1,0)+IF(LEN(H62)&gt;0,1,0)+IF(LEN(I62)&gt;0,1,0)+IF(LEN(K62)&gt;0,1,0)+IF(LEN(N62)&gt;0,1,0)+IF(LEN(O62)&gt;0,1,0)+IF(LEN(T62)&gt;0,1,0)+IF(LEN(U62)&gt;0,1,0)+IF(LEN(V62)&gt;0,1,0)+IF(LEN(AK62)&gt;0,1,0)+IF(LEN(AM62)&gt;0,1,0)+IF(LEN(AN62)&gt;0,1,0)+IF(LEN(AO62)&gt;0,1,0)+IF(LEN(AP62)&gt;0,1,0)+IF(LEN(AY62)&gt;0,1,0)+IF(LEN(BK62)&gt;0,1,0)+IF(LEN(BX62)&gt;0,1,0))/20,2))</f>
        <v/>
      </c>
      <c r="CD62" s="10" t="str">
        <f aca="false">IF(D62="","",IF(AND(AN62="Approved",ISERROR(SEARCH("FAIL",BH62))),"Y","N"))</f>
        <v/>
      </c>
      <c r="CE62" s="10" t="str">
        <f aca="false">IF(D62="","",D62&amp;"|"&amp;F62&amp;"|"&amp;G62&amp;"|"&amp;H62&amp;"|"&amp;E62&amp;"|"&amp;CD62)</f>
        <v/>
      </c>
    </row>
    <row r="63" customFormat="false" ht="15" hidden="false" customHeight="false" outlineLevel="0" collapsed="false">
      <c r="A63" s="10" t="str">
        <f aca="false">IF(D63="","","EW-"&amp;IFERROR(VLOOKUP(D63,Lists!$P$4:$Q$22,2,0),"??")&amp;"-D"&amp;TEXT(F63*1000,"0000")&amp;"-"&amp;IFERROR(VLOOKUP(G63,Lists!$S$4:$T$21,2,0),"??")&amp;"-"&amp;IFERROR(VLOOKUP(H63,Lists!$Y$4:$Z$21,2,0),"??")&amp;"-"&amp;IFERROR(VLOOKUP(E63,Lists!$V$4:$W$16,2,0),"??")&amp;"-"&amp;AM63)</f>
        <v/>
      </c>
      <c r="B63" s="10" t="str">
        <f aca="false">IF(D63="","",E63&amp;" "&amp;D63&amp;", excavation "&amp;TEXT(F63,"0.0")&amp;" m, "&amp;G63&amp;", "&amp;H63&amp;", "&amp;K63)</f>
        <v/>
      </c>
      <c r="C63" s="9"/>
      <c r="D63" s="9"/>
      <c r="E63" s="9"/>
      <c r="F63" s="42"/>
      <c r="G63" s="9"/>
      <c r="H63" s="9"/>
      <c r="I63" s="42"/>
      <c r="J63" s="38"/>
      <c r="K63" s="9"/>
      <c r="L63" s="9"/>
      <c r="M63" s="9"/>
      <c r="N63" s="42"/>
      <c r="O63" s="42"/>
      <c r="P63" s="9"/>
      <c r="Q63" s="9"/>
      <c r="R63" s="9"/>
      <c r="S63" s="9"/>
      <c r="T63" s="38"/>
      <c r="U63" s="38"/>
      <c r="V63" s="38"/>
      <c r="W63" s="38"/>
      <c r="X63" s="38"/>
      <c r="Y63" s="9"/>
      <c r="Z63" s="39"/>
      <c r="AA63" s="9"/>
      <c r="AB63" s="9"/>
      <c r="AC63" s="9"/>
      <c r="AD63" s="9"/>
      <c r="AE63" s="9"/>
      <c r="AF63" s="9"/>
      <c r="AG63" s="9"/>
      <c r="AH63" s="38"/>
      <c r="AI63" s="9"/>
      <c r="AJ63" s="39"/>
      <c r="AK63" s="9"/>
      <c r="AL63" s="9"/>
      <c r="AM63" s="9"/>
      <c r="AN63" s="9"/>
      <c r="AO63" s="9"/>
      <c r="AP63" s="9"/>
      <c r="AQ63" s="9"/>
      <c r="AR63" s="10" t="str">
        <f aca="false">IF(A63="","",SG_Criteria!$B$6&amp;SG_Criteria!$B$9&amp;"\"&amp;A63&amp;"\")</f>
        <v/>
      </c>
      <c r="AS63" s="10" t="str">
        <f aca="false">IF(A63="","",A63&amp;"_CAD.dwg")</f>
        <v/>
      </c>
      <c r="AT63" s="10" t="str">
        <f aca="false">IF(A63="","",A63&amp;"_DWG.pdf")</f>
        <v/>
      </c>
      <c r="AU63" s="10" t="str">
        <f aca="false">IF(A63="","",IF(AQ63="Y",A63&amp;"_STAAD.std","n/a"))</f>
        <v/>
      </c>
      <c r="AV63" s="10" t="str">
        <f aca="false">IF(A63="","",A63&amp;"_CALC.xlsx")</f>
        <v/>
      </c>
      <c r="AW63" s="10" t="str">
        <f aca="false">IF(A63="","",A63&amp;"_CALC.pdf")</f>
        <v/>
      </c>
      <c r="AX63" s="9"/>
      <c r="AY63" s="9"/>
      <c r="AZ63" s="39"/>
      <c r="BA63" s="39"/>
      <c r="BB63" s="39"/>
      <c r="BC63" s="39"/>
      <c r="BD63" s="39"/>
      <c r="BE63" s="12" t="str">
        <f aca="false">IF(A63="","",IF(COUNTIF(Rebar_Schedule!$A$5:$A$2004,A63)=0,"",ROUND(SUMIF(Rebar_Schedule!$A$5:$A$2004,A63,Rebar_Schedule!$K$5:$K$2004),1)))</f>
        <v/>
      </c>
      <c r="BF63" s="33" t="str">
        <f aca="false">IF(A63="","",IF(BE63="","No rebar schedule yet",IF(ABS(BE63-N(BA63))/MAX(N(BA63),1)&gt;SG_Criteria!$B$55,"NOTE: register rebar differs from schedule by "&amp;TEXT(ABS(BE63-N(BA63))/MAX(N(BA63),1),"0%"),"OK")))</f>
        <v/>
      </c>
      <c r="BG63" s="33" t="str">
        <f aca="false">IF(OR(D63="",F63=""),"",IF(F63&lt;=IF(D63="Soldier Pile &amp; Timber Lagging",SG_Criteria!$B$34,SG_Criteria!$B$33),"No ERSS submission",IF(F63&lt;=SG_Criteria!$B$35,"QP(ST)",IF(F63&lt;=SG_Criteria!$B$36,"QP(ST) + AC","Geotechnical building works: QP(Geo) + AC"))))</f>
        <v/>
      </c>
      <c r="BH63" s="33" t="str">
        <f aca="false">IF(D63="","",IF(LEN(IF(AND(AC63&lt;&gt;"",IFERROR(VALUE(MID(AC63,2,2)),0)&lt;SG_Criteria!$B$19),"FAIL: grade below C"&amp;SG_Criteria!$B$19&amp;". ","")&amp;IF(AND(LEFT(D63,3)="Con",N(I63)&lt;F63,H63="Kallang Formation (marine clay)"),"NOTE: CBP is not watertight below GWT in marine clay; consider secant / grouting. ","")&amp;IF(AND(D63="Steel Sheet Pile",E63="Permanent"),"NOTE: permanent sheet pile needs corrosion allowance. ","")&amp;IF(AND(G63="Cantilever (no support)",F63&gt;6),"NOTE: cantilever embedded wall &gt; 6 m, check deflection. ","")&amp;IF(AND(T63&lt;&gt;"",U63&lt;&gt;"",T63&gt;U63),"FAIL: deflection exceeds allowable. ",""))=0,"OK",IF(AND(AC63&lt;&gt;"",IFERROR(VALUE(MID(AC63,2,2)),0)&lt;SG_Criteria!$B$19),"FAIL: grade below C"&amp;SG_Criteria!$B$19&amp;". ","")&amp;IF(AND(LEFT(D63,3)="Con",N(I63)&lt;F63,H63="Kallang Formation (marine clay)"),"NOTE: CBP is not watertight below GWT in marine clay; consider secant / grouting. ","")&amp;IF(AND(D63="Steel Sheet Pile",E63="Permanent"),"NOTE: permanent sheet pile needs corrosion allowance. ","")&amp;IF(AND(G63="Cantilever (no support)",F63&gt;6),"NOTE: cantilever embedded wall &gt; 6 m, check deflection. ","")&amp;IF(AND(T63&lt;&gt;"",U63&lt;&gt;"",T63&gt;U63),"FAIL: deflection exceeds allowable. ","")))</f>
        <v/>
      </c>
      <c r="BI63" s="9"/>
      <c r="BJ63" s="9"/>
      <c r="BK63" s="9"/>
      <c r="BL63" s="10" t="str">
        <f aca="false">IF(BK63="","",IFERROR(VLOOKUP(BK63,Projects!$A$5:$D$504,2,0),"Ref not in Projects"))</f>
        <v/>
      </c>
      <c r="BM63" s="10" t="str">
        <f aca="false">IF(BK63="","",IFERROR(VLOOKUP(BK63,Projects!$A$5:$D$504,4,0),"Ref not in Projects"))</f>
        <v/>
      </c>
      <c r="BN63" s="9"/>
      <c r="BO63" s="9"/>
      <c r="BP63" s="9"/>
      <c r="BQ63" s="40"/>
      <c r="BR63" s="9"/>
      <c r="BS63" s="40"/>
      <c r="BT63" s="9"/>
      <c r="BU63" s="40"/>
      <c r="BV63" s="9"/>
      <c r="BW63" s="9"/>
      <c r="BX63" s="9"/>
      <c r="BY63" s="40"/>
      <c r="BZ63" s="40"/>
      <c r="CA63" s="36" t="str">
        <f aca="false">IF(BZ63="","",EDATE(BZ63,SG_Criteria!$B$54*12))</f>
        <v/>
      </c>
      <c r="CB63" s="33" t="str">
        <f aca="true">IF(A63="","",IF(BZ63="","NOTE: not reviewed yet",IF(TODAY()&gt;CA63,"NOTE: review overdue","OK")))</f>
        <v/>
      </c>
      <c r="CC63" s="37" t="str">
        <f aca="false">IF(A63="","",ROUND((IF(LEN(D63)&gt;0,1,0)+IF(LEN(E63)&gt;0,1,0)+IF(LEN(F63)&gt;0,1,0)+IF(LEN(G63)&gt;0,1,0)+IF(LEN(H63)&gt;0,1,0)+IF(LEN(I63)&gt;0,1,0)+IF(LEN(K63)&gt;0,1,0)+IF(LEN(N63)&gt;0,1,0)+IF(LEN(O63)&gt;0,1,0)+IF(LEN(T63)&gt;0,1,0)+IF(LEN(U63)&gt;0,1,0)+IF(LEN(V63)&gt;0,1,0)+IF(LEN(AK63)&gt;0,1,0)+IF(LEN(AM63)&gt;0,1,0)+IF(LEN(AN63)&gt;0,1,0)+IF(LEN(AO63)&gt;0,1,0)+IF(LEN(AP63)&gt;0,1,0)+IF(LEN(AY63)&gt;0,1,0)+IF(LEN(BK63)&gt;0,1,0)+IF(LEN(BX63)&gt;0,1,0))/20,2))</f>
        <v/>
      </c>
      <c r="CD63" s="10" t="str">
        <f aca="false">IF(D63="","",IF(AND(AN63="Approved",ISERROR(SEARCH("FAIL",BH63))),"Y","N"))</f>
        <v/>
      </c>
      <c r="CE63" s="10" t="str">
        <f aca="false">IF(D63="","",D63&amp;"|"&amp;F63&amp;"|"&amp;G63&amp;"|"&amp;H63&amp;"|"&amp;E63&amp;"|"&amp;CD63)</f>
        <v/>
      </c>
    </row>
    <row r="64" customFormat="false" ht="15" hidden="false" customHeight="false" outlineLevel="0" collapsed="false">
      <c r="A64" s="10" t="str">
        <f aca="false">IF(D64="","","EW-"&amp;IFERROR(VLOOKUP(D64,Lists!$P$4:$Q$22,2,0),"??")&amp;"-D"&amp;TEXT(F64*1000,"0000")&amp;"-"&amp;IFERROR(VLOOKUP(G64,Lists!$S$4:$T$21,2,0),"??")&amp;"-"&amp;IFERROR(VLOOKUP(H64,Lists!$Y$4:$Z$21,2,0),"??")&amp;"-"&amp;IFERROR(VLOOKUP(E64,Lists!$V$4:$W$16,2,0),"??")&amp;"-"&amp;AM64)</f>
        <v/>
      </c>
      <c r="B64" s="10" t="str">
        <f aca="false">IF(D64="","",E64&amp;" "&amp;D64&amp;", excavation "&amp;TEXT(F64,"0.0")&amp;" m, "&amp;G64&amp;", "&amp;H64&amp;", "&amp;K64)</f>
        <v/>
      </c>
      <c r="C64" s="9"/>
      <c r="D64" s="9"/>
      <c r="E64" s="9"/>
      <c r="F64" s="42"/>
      <c r="G64" s="9"/>
      <c r="H64" s="9"/>
      <c r="I64" s="42"/>
      <c r="J64" s="38"/>
      <c r="K64" s="9"/>
      <c r="L64" s="9"/>
      <c r="M64" s="9"/>
      <c r="N64" s="42"/>
      <c r="O64" s="42"/>
      <c r="P64" s="9"/>
      <c r="Q64" s="9"/>
      <c r="R64" s="9"/>
      <c r="S64" s="9"/>
      <c r="T64" s="38"/>
      <c r="U64" s="38"/>
      <c r="V64" s="38"/>
      <c r="W64" s="38"/>
      <c r="X64" s="38"/>
      <c r="Y64" s="9"/>
      <c r="Z64" s="39"/>
      <c r="AA64" s="9"/>
      <c r="AB64" s="9"/>
      <c r="AC64" s="9"/>
      <c r="AD64" s="9"/>
      <c r="AE64" s="9"/>
      <c r="AF64" s="9"/>
      <c r="AG64" s="9"/>
      <c r="AH64" s="38"/>
      <c r="AI64" s="9"/>
      <c r="AJ64" s="39"/>
      <c r="AK64" s="9"/>
      <c r="AL64" s="9"/>
      <c r="AM64" s="9"/>
      <c r="AN64" s="9"/>
      <c r="AO64" s="9"/>
      <c r="AP64" s="9"/>
      <c r="AQ64" s="9"/>
      <c r="AR64" s="10" t="str">
        <f aca="false">IF(A64="","",SG_Criteria!$B$6&amp;SG_Criteria!$B$9&amp;"\"&amp;A64&amp;"\")</f>
        <v/>
      </c>
      <c r="AS64" s="10" t="str">
        <f aca="false">IF(A64="","",A64&amp;"_CAD.dwg")</f>
        <v/>
      </c>
      <c r="AT64" s="10" t="str">
        <f aca="false">IF(A64="","",A64&amp;"_DWG.pdf")</f>
        <v/>
      </c>
      <c r="AU64" s="10" t="str">
        <f aca="false">IF(A64="","",IF(AQ64="Y",A64&amp;"_STAAD.std","n/a"))</f>
        <v/>
      </c>
      <c r="AV64" s="10" t="str">
        <f aca="false">IF(A64="","",A64&amp;"_CALC.xlsx")</f>
        <v/>
      </c>
      <c r="AW64" s="10" t="str">
        <f aca="false">IF(A64="","",A64&amp;"_CALC.pdf")</f>
        <v/>
      </c>
      <c r="AX64" s="9"/>
      <c r="AY64" s="9"/>
      <c r="AZ64" s="39"/>
      <c r="BA64" s="39"/>
      <c r="BB64" s="39"/>
      <c r="BC64" s="39"/>
      <c r="BD64" s="39"/>
      <c r="BE64" s="12" t="str">
        <f aca="false">IF(A64="","",IF(COUNTIF(Rebar_Schedule!$A$5:$A$2004,A64)=0,"",ROUND(SUMIF(Rebar_Schedule!$A$5:$A$2004,A64,Rebar_Schedule!$K$5:$K$2004),1)))</f>
        <v/>
      </c>
      <c r="BF64" s="33" t="str">
        <f aca="false">IF(A64="","",IF(BE64="","No rebar schedule yet",IF(ABS(BE64-N(BA64))/MAX(N(BA64),1)&gt;SG_Criteria!$B$55,"NOTE: register rebar differs from schedule by "&amp;TEXT(ABS(BE64-N(BA64))/MAX(N(BA64),1),"0%"),"OK")))</f>
        <v/>
      </c>
      <c r="BG64" s="33" t="str">
        <f aca="false">IF(OR(D64="",F64=""),"",IF(F64&lt;=IF(D64="Soldier Pile &amp; Timber Lagging",SG_Criteria!$B$34,SG_Criteria!$B$33),"No ERSS submission",IF(F64&lt;=SG_Criteria!$B$35,"QP(ST)",IF(F64&lt;=SG_Criteria!$B$36,"QP(ST) + AC","Geotechnical building works: QP(Geo) + AC"))))</f>
        <v/>
      </c>
      <c r="BH64" s="33" t="str">
        <f aca="false">IF(D64="","",IF(LEN(IF(AND(AC64&lt;&gt;"",IFERROR(VALUE(MID(AC64,2,2)),0)&lt;SG_Criteria!$B$19),"FAIL: grade below C"&amp;SG_Criteria!$B$19&amp;". ","")&amp;IF(AND(LEFT(D64,3)="Con",N(I64)&lt;F64,H64="Kallang Formation (marine clay)"),"NOTE: CBP is not watertight below GWT in marine clay; consider secant / grouting. ","")&amp;IF(AND(D64="Steel Sheet Pile",E64="Permanent"),"NOTE: permanent sheet pile needs corrosion allowance. ","")&amp;IF(AND(G64="Cantilever (no support)",F64&gt;6),"NOTE: cantilever embedded wall &gt; 6 m, check deflection. ","")&amp;IF(AND(T64&lt;&gt;"",U64&lt;&gt;"",T64&gt;U64),"FAIL: deflection exceeds allowable. ",""))=0,"OK",IF(AND(AC64&lt;&gt;"",IFERROR(VALUE(MID(AC64,2,2)),0)&lt;SG_Criteria!$B$19),"FAIL: grade below C"&amp;SG_Criteria!$B$19&amp;". ","")&amp;IF(AND(LEFT(D64,3)="Con",N(I64)&lt;F64,H64="Kallang Formation (marine clay)"),"NOTE: CBP is not watertight below GWT in marine clay; consider secant / grouting. ","")&amp;IF(AND(D64="Steel Sheet Pile",E64="Permanent"),"NOTE: permanent sheet pile needs corrosion allowance. ","")&amp;IF(AND(G64="Cantilever (no support)",F64&gt;6),"NOTE: cantilever embedded wall &gt; 6 m, check deflection. ","")&amp;IF(AND(T64&lt;&gt;"",U64&lt;&gt;"",T64&gt;U64),"FAIL: deflection exceeds allowable. ","")))</f>
        <v/>
      </c>
      <c r="BI64" s="9"/>
      <c r="BJ64" s="9"/>
      <c r="BK64" s="9"/>
      <c r="BL64" s="10" t="str">
        <f aca="false">IF(BK64="","",IFERROR(VLOOKUP(BK64,Projects!$A$5:$D$504,2,0),"Ref not in Projects"))</f>
        <v/>
      </c>
      <c r="BM64" s="10" t="str">
        <f aca="false">IF(BK64="","",IFERROR(VLOOKUP(BK64,Projects!$A$5:$D$504,4,0),"Ref not in Projects"))</f>
        <v/>
      </c>
      <c r="BN64" s="9"/>
      <c r="BO64" s="9"/>
      <c r="BP64" s="9"/>
      <c r="BQ64" s="40"/>
      <c r="BR64" s="9"/>
      <c r="BS64" s="40"/>
      <c r="BT64" s="9"/>
      <c r="BU64" s="40"/>
      <c r="BV64" s="9"/>
      <c r="BW64" s="9"/>
      <c r="BX64" s="9"/>
      <c r="BY64" s="40"/>
      <c r="BZ64" s="40"/>
      <c r="CA64" s="36" t="str">
        <f aca="false">IF(BZ64="","",EDATE(BZ64,SG_Criteria!$B$54*12))</f>
        <v/>
      </c>
      <c r="CB64" s="33" t="str">
        <f aca="true">IF(A64="","",IF(BZ64="","NOTE: not reviewed yet",IF(TODAY()&gt;CA64,"NOTE: review overdue","OK")))</f>
        <v/>
      </c>
      <c r="CC64" s="37" t="str">
        <f aca="false">IF(A64="","",ROUND((IF(LEN(D64)&gt;0,1,0)+IF(LEN(E64)&gt;0,1,0)+IF(LEN(F64)&gt;0,1,0)+IF(LEN(G64)&gt;0,1,0)+IF(LEN(H64)&gt;0,1,0)+IF(LEN(I64)&gt;0,1,0)+IF(LEN(K64)&gt;0,1,0)+IF(LEN(N64)&gt;0,1,0)+IF(LEN(O64)&gt;0,1,0)+IF(LEN(T64)&gt;0,1,0)+IF(LEN(U64)&gt;0,1,0)+IF(LEN(V64)&gt;0,1,0)+IF(LEN(AK64)&gt;0,1,0)+IF(LEN(AM64)&gt;0,1,0)+IF(LEN(AN64)&gt;0,1,0)+IF(LEN(AO64)&gt;0,1,0)+IF(LEN(AP64)&gt;0,1,0)+IF(LEN(AY64)&gt;0,1,0)+IF(LEN(BK64)&gt;0,1,0)+IF(LEN(BX64)&gt;0,1,0))/20,2))</f>
        <v/>
      </c>
      <c r="CD64" s="10" t="str">
        <f aca="false">IF(D64="","",IF(AND(AN64="Approved",ISERROR(SEARCH("FAIL",BH64))),"Y","N"))</f>
        <v/>
      </c>
      <c r="CE64" s="10" t="str">
        <f aca="false">IF(D64="","",D64&amp;"|"&amp;F64&amp;"|"&amp;G64&amp;"|"&amp;H64&amp;"|"&amp;E64&amp;"|"&amp;CD64)</f>
        <v/>
      </c>
    </row>
    <row r="65" customFormat="false" ht="15" hidden="false" customHeight="false" outlineLevel="0" collapsed="false">
      <c r="A65" s="10" t="str">
        <f aca="false">IF(D65="","","EW-"&amp;IFERROR(VLOOKUP(D65,Lists!$P$4:$Q$22,2,0),"??")&amp;"-D"&amp;TEXT(F65*1000,"0000")&amp;"-"&amp;IFERROR(VLOOKUP(G65,Lists!$S$4:$T$21,2,0),"??")&amp;"-"&amp;IFERROR(VLOOKUP(H65,Lists!$Y$4:$Z$21,2,0),"??")&amp;"-"&amp;IFERROR(VLOOKUP(E65,Lists!$V$4:$W$16,2,0),"??")&amp;"-"&amp;AM65)</f>
        <v/>
      </c>
      <c r="B65" s="10" t="str">
        <f aca="false">IF(D65="","",E65&amp;" "&amp;D65&amp;", excavation "&amp;TEXT(F65,"0.0")&amp;" m, "&amp;G65&amp;", "&amp;H65&amp;", "&amp;K65)</f>
        <v/>
      </c>
      <c r="C65" s="9"/>
      <c r="D65" s="9"/>
      <c r="E65" s="9"/>
      <c r="F65" s="42"/>
      <c r="G65" s="9"/>
      <c r="H65" s="9"/>
      <c r="I65" s="42"/>
      <c r="J65" s="38"/>
      <c r="K65" s="9"/>
      <c r="L65" s="9"/>
      <c r="M65" s="9"/>
      <c r="N65" s="42"/>
      <c r="O65" s="42"/>
      <c r="P65" s="9"/>
      <c r="Q65" s="9"/>
      <c r="R65" s="9"/>
      <c r="S65" s="9"/>
      <c r="T65" s="38"/>
      <c r="U65" s="38"/>
      <c r="V65" s="38"/>
      <c r="W65" s="38"/>
      <c r="X65" s="38"/>
      <c r="Y65" s="9"/>
      <c r="Z65" s="39"/>
      <c r="AA65" s="9"/>
      <c r="AB65" s="9"/>
      <c r="AC65" s="9"/>
      <c r="AD65" s="9"/>
      <c r="AE65" s="9"/>
      <c r="AF65" s="9"/>
      <c r="AG65" s="9"/>
      <c r="AH65" s="38"/>
      <c r="AI65" s="9"/>
      <c r="AJ65" s="39"/>
      <c r="AK65" s="9"/>
      <c r="AL65" s="9"/>
      <c r="AM65" s="9"/>
      <c r="AN65" s="9"/>
      <c r="AO65" s="9"/>
      <c r="AP65" s="9"/>
      <c r="AQ65" s="9"/>
      <c r="AR65" s="10" t="str">
        <f aca="false">IF(A65="","",SG_Criteria!$B$6&amp;SG_Criteria!$B$9&amp;"\"&amp;A65&amp;"\")</f>
        <v/>
      </c>
      <c r="AS65" s="10" t="str">
        <f aca="false">IF(A65="","",A65&amp;"_CAD.dwg")</f>
        <v/>
      </c>
      <c r="AT65" s="10" t="str">
        <f aca="false">IF(A65="","",A65&amp;"_DWG.pdf")</f>
        <v/>
      </c>
      <c r="AU65" s="10" t="str">
        <f aca="false">IF(A65="","",IF(AQ65="Y",A65&amp;"_STAAD.std","n/a"))</f>
        <v/>
      </c>
      <c r="AV65" s="10" t="str">
        <f aca="false">IF(A65="","",A65&amp;"_CALC.xlsx")</f>
        <v/>
      </c>
      <c r="AW65" s="10" t="str">
        <f aca="false">IF(A65="","",A65&amp;"_CALC.pdf")</f>
        <v/>
      </c>
      <c r="AX65" s="9"/>
      <c r="AY65" s="9"/>
      <c r="AZ65" s="39"/>
      <c r="BA65" s="39"/>
      <c r="BB65" s="39"/>
      <c r="BC65" s="39"/>
      <c r="BD65" s="39"/>
      <c r="BE65" s="12" t="str">
        <f aca="false">IF(A65="","",IF(COUNTIF(Rebar_Schedule!$A$5:$A$2004,A65)=0,"",ROUND(SUMIF(Rebar_Schedule!$A$5:$A$2004,A65,Rebar_Schedule!$K$5:$K$2004),1)))</f>
        <v/>
      </c>
      <c r="BF65" s="33" t="str">
        <f aca="false">IF(A65="","",IF(BE65="","No rebar schedule yet",IF(ABS(BE65-N(BA65))/MAX(N(BA65),1)&gt;SG_Criteria!$B$55,"NOTE: register rebar differs from schedule by "&amp;TEXT(ABS(BE65-N(BA65))/MAX(N(BA65),1),"0%"),"OK")))</f>
        <v/>
      </c>
      <c r="BG65" s="33" t="str">
        <f aca="false">IF(OR(D65="",F65=""),"",IF(F65&lt;=IF(D65="Soldier Pile &amp; Timber Lagging",SG_Criteria!$B$34,SG_Criteria!$B$33),"No ERSS submission",IF(F65&lt;=SG_Criteria!$B$35,"QP(ST)",IF(F65&lt;=SG_Criteria!$B$36,"QP(ST) + AC","Geotechnical building works: QP(Geo) + AC"))))</f>
        <v/>
      </c>
      <c r="BH65" s="33" t="str">
        <f aca="false">IF(D65="","",IF(LEN(IF(AND(AC65&lt;&gt;"",IFERROR(VALUE(MID(AC65,2,2)),0)&lt;SG_Criteria!$B$19),"FAIL: grade below C"&amp;SG_Criteria!$B$19&amp;". ","")&amp;IF(AND(LEFT(D65,3)="Con",N(I65)&lt;F65,H65="Kallang Formation (marine clay)"),"NOTE: CBP is not watertight below GWT in marine clay; consider secant / grouting. ","")&amp;IF(AND(D65="Steel Sheet Pile",E65="Permanent"),"NOTE: permanent sheet pile needs corrosion allowance. ","")&amp;IF(AND(G65="Cantilever (no support)",F65&gt;6),"NOTE: cantilever embedded wall &gt; 6 m, check deflection. ","")&amp;IF(AND(T65&lt;&gt;"",U65&lt;&gt;"",T65&gt;U65),"FAIL: deflection exceeds allowable. ",""))=0,"OK",IF(AND(AC65&lt;&gt;"",IFERROR(VALUE(MID(AC65,2,2)),0)&lt;SG_Criteria!$B$19),"FAIL: grade below C"&amp;SG_Criteria!$B$19&amp;". ","")&amp;IF(AND(LEFT(D65,3)="Con",N(I65)&lt;F65,H65="Kallang Formation (marine clay)"),"NOTE: CBP is not watertight below GWT in marine clay; consider secant / grouting. ","")&amp;IF(AND(D65="Steel Sheet Pile",E65="Permanent"),"NOTE: permanent sheet pile needs corrosion allowance. ","")&amp;IF(AND(G65="Cantilever (no support)",F65&gt;6),"NOTE: cantilever embedded wall &gt; 6 m, check deflection. ","")&amp;IF(AND(T65&lt;&gt;"",U65&lt;&gt;"",T65&gt;U65),"FAIL: deflection exceeds allowable. ","")))</f>
        <v/>
      </c>
      <c r="BI65" s="9"/>
      <c r="BJ65" s="9"/>
      <c r="BK65" s="9"/>
      <c r="BL65" s="10" t="str">
        <f aca="false">IF(BK65="","",IFERROR(VLOOKUP(BK65,Projects!$A$5:$D$504,2,0),"Ref not in Projects"))</f>
        <v/>
      </c>
      <c r="BM65" s="10" t="str">
        <f aca="false">IF(BK65="","",IFERROR(VLOOKUP(BK65,Projects!$A$5:$D$504,4,0),"Ref not in Projects"))</f>
        <v/>
      </c>
      <c r="BN65" s="9"/>
      <c r="BO65" s="9"/>
      <c r="BP65" s="9"/>
      <c r="BQ65" s="40"/>
      <c r="BR65" s="9"/>
      <c r="BS65" s="40"/>
      <c r="BT65" s="9"/>
      <c r="BU65" s="40"/>
      <c r="BV65" s="9"/>
      <c r="BW65" s="9"/>
      <c r="BX65" s="9"/>
      <c r="BY65" s="40"/>
      <c r="BZ65" s="40"/>
      <c r="CA65" s="36" t="str">
        <f aca="false">IF(BZ65="","",EDATE(BZ65,SG_Criteria!$B$54*12))</f>
        <v/>
      </c>
      <c r="CB65" s="33" t="str">
        <f aca="true">IF(A65="","",IF(BZ65="","NOTE: not reviewed yet",IF(TODAY()&gt;CA65,"NOTE: review overdue","OK")))</f>
        <v/>
      </c>
      <c r="CC65" s="37" t="str">
        <f aca="false">IF(A65="","",ROUND((IF(LEN(D65)&gt;0,1,0)+IF(LEN(E65)&gt;0,1,0)+IF(LEN(F65)&gt;0,1,0)+IF(LEN(G65)&gt;0,1,0)+IF(LEN(H65)&gt;0,1,0)+IF(LEN(I65)&gt;0,1,0)+IF(LEN(K65)&gt;0,1,0)+IF(LEN(N65)&gt;0,1,0)+IF(LEN(O65)&gt;0,1,0)+IF(LEN(T65)&gt;0,1,0)+IF(LEN(U65)&gt;0,1,0)+IF(LEN(V65)&gt;0,1,0)+IF(LEN(AK65)&gt;0,1,0)+IF(LEN(AM65)&gt;0,1,0)+IF(LEN(AN65)&gt;0,1,0)+IF(LEN(AO65)&gt;0,1,0)+IF(LEN(AP65)&gt;0,1,0)+IF(LEN(AY65)&gt;0,1,0)+IF(LEN(BK65)&gt;0,1,0)+IF(LEN(BX65)&gt;0,1,0))/20,2))</f>
        <v/>
      </c>
      <c r="CD65" s="10" t="str">
        <f aca="false">IF(D65="","",IF(AND(AN65="Approved",ISERROR(SEARCH("FAIL",BH65))),"Y","N"))</f>
        <v/>
      </c>
      <c r="CE65" s="10" t="str">
        <f aca="false">IF(D65="","",D65&amp;"|"&amp;F65&amp;"|"&amp;G65&amp;"|"&amp;H65&amp;"|"&amp;E65&amp;"|"&amp;CD65)</f>
        <v/>
      </c>
    </row>
    <row r="66" customFormat="false" ht="15" hidden="false" customHeight="false" outlineLevel="0" collapsed="false">
      <c r="A66" s="10" t="str">
        <f aca="false">IF(D66="","","EW-"&amp;IFERROR(VLOOKUP(D66,Lists!$P$4:$Q$22,2,0),"??")&amp;"-D"&amp;TEXT(F66*1000,"0000")&amp;"-"&amp;IFERROR(VLOOKUP(G66,Lists!$S$4:$T$21,2,0),"??")&amp;"-"&amp;IFERROR(VLOOKUP(H66,Lists!$Y$4:$Z$21,2,0),"??")&amp;"-"&amp;IFERROR(VLOOKUP(E66,Lists!$V$4:$W$16,2,0),"??")&amp;"-"&amp;AM66)</f>
        <v/>
      </c>
      <c r="B66" s="10" t="str">
        <f aca="false">IF(D66="","",E66&amp;" "&amp;D66&amp;", excavation "&amp;TEXT(F66,"0.0")&amp;" m, "&amp;G66&amp;", "&amp;H66&amp;", "&amp;K66)</f>
        <v/>
      </c>
      <c r="C66" s="9"/>
      <c r="D66" s="9"/>
      <c r="E66" s="9"/>
      <c r="F66" s="42"/>
      <c r="G66" s="9"/>
      <c r="H66" s="9"/>
      <c r="I66" s="42"/>
      <c r="J66" s="38"/>
      <c r="K66" s="9"/>
      <c r="L66" s="9"/>
      <c r="M66" s="9"/>
      <c r="N66" s="42"/>
      <c r="O66" s="42"/>
      <c r="P66" s="9"/>
      <c r="Q66" s="9"/>
      <c r="R66" s="9"/>
      <c r="S66" s="9"/>
      <c r="T66" s="38"/>
      <c r="U66" s="38"/>
      <c r="V66" s="38"/>
      <c r="W66" s="38"/>
      <c r="X66" s="38"/>
      <c r="Y66" s="9"/>
      <c r="Z66" s="39"/>
      <c r="AA66" s="9"/>
      <c r="AB66" s="9"/>
      <c r="AC66" s="9"/>
      <c r="AD66" s="9"/>
      <c r="AE66" s="9"/>
      <c r="AF66" s="9"/>
      <c r="AG66" s="9"/>
      <c r="AH66" s="38"/>
      <c r="AI66" s="9"/>
      <c r="AJ66" s="39"/>
      <c r="AK66" s="9"/>
      <c r="AL66" s="9"/>
      <c r="AM66" s="9"/>
      <c r="AN66" s="9"/>
      <c r="AO66" s="9"/>
      <c r="AP66" s="9"/>
      <c r="AQ66" s="9"/>
      <c r="AR66" s="10" t="str">
        <f aca="false">IF(A66="","",SG_Criteria!$B$6&amp;SG_Criteria!$B$9&amp;"\"&amp;A66&amp;"\")</f>
        <v/>
      </c>
      <c r="AS66" s="10" t="str">
        <f aca="false">IF(A66="","",A66&amp;"_CAD.dwg")</f>
        <v/>
      </c>
      <c r="AT66" s="10" t="str">
        <f aca="false">IF(A66="","",A66&amp;"_DWG.pdf")</f>
        <v/>
      </c>
      <c r="AU66" s="10" t="str">
        <f aca="false">IF(A66="","",IF(AQ66="Y",A66&amp;"_STAAD.std","n/a"))</f>
        <v/>
      </c>
      <c r="AV66" s="10" t="str">
        <f aca="false">IF(A66="","",A66&amp;"_CALC.xlsx")</f>
        <v/>
      </c>
      <c r="AW66" s="10" t="str">
        <f aca="false">IF(A66="","",A66&amp;"_CALC.pdf")</f>
        <v/>
      </c>
      <c r="AX66" s="9"/>
      <c r="AY66" s="9"/>
      <c r="AZ66" s="39"/>
      <c r="BA66" s="39"/>
      <c r="BB66" s="39"/>
      <c r="BC66" s="39"/>
      <c r="BD66" s="39"/>
      <c r="BE66" s="12" t="str">
        <f aca="false">IF(A66="","",IF(COUNTIF(Rebar_Schedule!$A$5:$A$2004,A66)=0,"",ROUND(SUMIF(Rebar_Schedule!$A$5:$A$2004,A66,Rebar_Schedule!$K$5:$K$2004),1)))</f>
        <v/>
      </c>
      <c r="BF66" s="33" t="str">
        <f aca="false">IF(A66="","",IF(BE66="","No rebar schedule yet",IF(ABS(BE66-N(BA66))/MAX(N(BA66),1)&gt;SG_Criteria!$B$55,"NOTE: register rebar differs from schedule by "&amp;TEXT(ABS(BE66-N(BA66))/MAX(N(BA66),1),"0%"),"OK")))</f>
        <v/>
      </c>
      <c r="BG66" s="33" t="str">
        <f aca="false">IF(OR(D66="",F66=""),"",IF(F66&lt;=IF(D66="Soldier Pile &amp; Timber Lagging",SG_Criteria!$B$34,SG_Criteria!$B$33),"No ERSS submission",IF(F66&lt;=SG_Criteria!$B$35,"QP(ST)",IF(F66&lt;=SG_Criteria!$B$36,"QP(ST) + AC","Geotechnical building works: QP(Geo) + AC"))))</f>
        <v/>
      </c>
      <c r="BH66" s="33" t="str">
        <f aca="false">IF(D66="","",IF(LEN(IF(AND(AC66&lt;&gt;"",IFERROR(VALUE(MID(AC66,2,2)),0)&lt;SG_Criteria!$B$19),"FAIL: grade below C"&amp;SG_Criteria!$B$19&amp;". ","")&amp;IF(AND(LEFT(D66,3)="Con",N(I66)&lt;F66,H66="Kallang Formation (marine clay)"),"NOTE: CBP is not watertight below GWT in marine clay; consider secant / grouting. ","")&amp;IF(AND(D66="Steel Sheet Pile",E66="Permanent"),"NOTE: permanent sheet pile needs corrosion allowance. ","")&amp;IF(AND(G66="Cantilever (no support)",F66&gt;6),"NOTE: cantilever embedded wall &gt; 6 m, check deflection. ","")&amp;IF(AND(T66&lt;&gt;"",U66&lt;&gt;"",T66&gt;U66),"FAIL: deflection exceeds allowable. ",""))=0,"OK",IF(AND(AC66&lt;&gt;"",IFERROR(VALUE(MID(AC66,2,2)),0)&lt;SG_Criteria!$B$19),"FAIL: grade below C"&amp;SG_Criteria!$B$19&amp;". ","")&amp;IF(AND(LEFT(D66,3)="Con",N(I66)&lt;F66,H66="Kallang Formation (marine clay)"),"NOTE: CBP is not watertight below GWT in marine clay; consider secant / grouting. ","")&amp;IF(AND(D66="Steel Sheet Pile",E66="Permanent"),"NOTE: permanent sheet pile needs corrosion allowance. ","")&amp;IF(AND(G66="Cantilever (no support)",F66&gt;6),"NOTE: cantilever embedded wall &gt; 6 m, check deflection. ","")&amp;IF(AND(T66&lt;&gt;"",U66&lt;&gt;"",T66&gt;U66),"FAIL: deflection exceeds allowable. ","")))</f>
        <v/>
      </c>
      <c r="BI66" s="9"/>
      <c r="BJ66" s="9"/>
      <c r="BK66" s="9"/>
      <c r="BL66" s="10" t="str">
        <f aca="false">IF(BK66="","",IFERROR(VLOOKUP(BK66,Projects!$A$5:$D$504,2,0),"Ref not in Projects"))</f>
        <v/>
      </c>
      <c r="BM66" s="10" t="str">
        <f aca="false">IF(BK66="","",IFERROR(VLOOKUP(BK66,Projects!$A$5:$D$504,4,0),"Ref not in Projects"))</f>
        <v/>
      </c>
      <c r="BN66" s="9"/>
      <c r="BO66" s="9"/>
      <c r="BP66" s="9"/>
      <c r="BQ66" s="40"/>
      <c r="BR66" s="9"/>
      <c r="BS66" s="40"/>
      <c r="BT66" s="9"/>
      <c r="BU66" s="40"/>
      <c r="BV66" s="9"/>
      <c r="BW66" s="9"/>
      <c r="BX66" s="9"/>
      <c r="BY66" s="40"/>
      <c r="BZ66" s="40"/>
      <c r="CA66" s="36" t="str">
        <f aca="false">IF(BZ66="","",EDATE(BZ66,SG_Criteria!$B$54*12))</f>
        <v/>
      </c>
      <c r="CB66" s="33" t="str">
        <f aca="true">IF(A66="","",IF(BZ66="","NOTE: not reviewed yet",IF(TODAY()&gt;CA66,"NOTE: review overdue","OK")))</f>
        <v/>
      </c>
      <c r="CC66" s="37" t="str">
        <f aca="false">IF(A66="","",ROUND((IF(LEN(D66)&gt;0,1,0)+IF(LEN(E66)&gt;0,1,0)+IF(LEN(F66)&gt;0,1,0)+IF(LEN(G66)&gt;0,1,0)+IF(LEN(H66)&gt;0,1,0)+IF(LEN(I66)&gt;0,1,0)+IF(LEN(K66)&gt;0,1,0)+IF(LEN(N66)&gt;0,1,0)+IF(LEN(O66)&gt;0,1,0)+IF(LEN(T66)&gt;0,1,0)+IF(LEN(U66)&gt;0,1,0)+IF(LEN(V66)&gt;0,1,0)+IF(LEN(AK66)&gt;0,1,0)+IF(LEN(AM66)&gt;0,1,0)+IF(LEN(AN66)&gt;0,1,0)+IF(LEN(AO66)&gt;0,1,0)+IF(LEN(AP66)&gt;0,1,0)+IF(LEN(AY66)&gt;0,1,0)+IF(LEN(BK66)&gt;0,1,0)+IF(LEN(BX66)&gt;0,1,0))/20,2))</f>
        <v/>
      </c>
      <c r="CD66" s="10" t="str">
        <f aca="false">IF(D66="","",IF(AND(AN66="Approved",ISERROR(SEARCH("FAIL",BH66))),"Y","N"))</f>
        <v/>
      </c>
      <c r="CE66" s="10" t="str">
        <f aca="false">IF(D66="","",D66&amp;"|"&amp;F66&amp;"|"&amp;G66&amp;"|"&amp;H66&amp;"|"&amp;E66&amp;"|"&amp;CD66)</f>
        <v/>
      </c>
    </row>
    <row r="67" customFormat="false" ht="15" hidden="false" customHeight="false" outlineLevel="0" collapsed="false">
      <c r="A67" s="10" t="str">
        <f aca="false">IF(D67="","","EW-"&amp;IFERROR(VLOOKUP(D67,Lists!$P$4:$Q$22,2,0),"??")&amp;"-D"&amp;TEXT(F67*1000,"0000")&amp;"-"&amp;IFERROR(VLOOKUP(G67,Lists!$S$4:$T$21,2,0),"??")&amp;"-"&amp;IFERROR(VLOOKUP(H67,Lists!$Y$4:$Z$21,2,0),"??")&amp;"-"&amp;IFERROR(VLOOKUP(E67,Lists!$V$4:$W$16,2,0),"??")&amp;"-"&amp;AM67)</f>
        <v/>
      </c>
      <c r="B67" s="10" t="str">
        <f aca="false">IF(D67="","",E67&amp;" "&amp;D67&amp;", excavation "&amp;TEXT(F67,"0.0")&amp;" m, "&amp;G67&amp;", "&amp;H67&amp;", "&amp;K67)</f>
        <v/>
      </c>
      <c r="C67" s="9"/>
      <c r="D67" s="9"/>
      <c r="E67" s="9"/>
      <c r="F67" s="42"/>
      <c r="G67" s="9"/>
      <c r="H67" s="9"/>
      <c r="I67" s="42"/>
      <c r="J67" s="38"/>
      <c r="K67" s="9"/>
      <c r="L67" s="9"/>
      <c r="M67" s="9"/>
      <c r="N67" s="42"/>
      <c r="O67" s="42"/>
      <c r="P67" s="9"/>
      <c r="Q67" s="9"/>
      <c r="R67" s="9"/>
      <c r="S67" s="9"/>
      <c r="T67" s="38"/>
      <c r="U67" s="38"/>
      <c r="V67" s="38"/>
      <c r="W67" s="38"/>
      <c r="X67" s="38"/>
      <c r="Y67" s="9"/>
      <c r="Z67" s="39"/>
      <c r="AA67" s="9"/>
      <c r="AB67" s="9"/>
      <c r="AC67" s="9"/>
      <c r="AD67" s="9"/>
      <c r="AE67" s="9"/>
      <c r="AF67" s="9"/>
      <c r="AG67" s="9"/>
      <c r="AH67" s="38"/>
      <c r="AI67" s="9"/>
      <c r="AJ67" s="39"/>
      <c r="AK67" s="9"/>
      <c r="AL67" s="9"/>
      <c r="AM67" s="9"/>
      <c r="AN67" s="9"/>
      <c r="AO67" s="9"/>
      <c r="AP67" s="9"/>
      <c r="AQ67" s="9"/>
      <c r="AR67" s="10" t="str">
        <f aca="false">IF(A67="","",SG_Criteria!$B$6&amp;SG_Criteria!$B$9&amp;"\"&amp;A67&amp;"\")</f>
        <v/>
      </c>
      <c r="AS67" s="10" t="str">
        <f aca="false">IF(A67="","",A67&amp;"_CAD.dwg")</f>
        <v/>
      </c>
      <c r="AT67" s="10" t="str">
        <f aca="false">IF(A67="","",A67&amp;"_DWG.pdf")</f>
        <v/>
      </c>
      <c r="AU67" s="10" t="str">
        <f aca="false">IF(A67="","",IF(AQ67="Y",A67&amp;"_STAAD.std","n/a"))</f>
        <v/>
      </c>
      <c r="AV67" s="10" t="str">
        <f aca="false">IF(A67="","",A67&amp;"_CALC.xlsx")</f>
        <v/>
      </c>
      <c r="AW67" s="10" t="str">
        <f aca="false">IF(A67="","",A67&amp;"_CALC.pdf")</f>
        <v/>
      </c>
      <c r="AX67" s="9"/>
      <c r="AY67" s="9"/>
      <c r="AZ67" s="39"/>
      <c r="BA67" s="39"/>
      <c r="BB67" s="39"/>
      <c r="BC67" s="39"/>
      <c r="BD67" s="39"/>
      <c r="BE67" s="12" t="str">
        <f aca="false">IF(A67="","",IF(COUNTIF(Rebar_Schedule!$A$5:$A$2004,A67)=0,"",ROUND(SUMIF(Rebar_Schedule!$A$5:$A$2004,A67,Rebar_Schedule!$K$5:$K$2004),1)))</f>
        <v/>
      </c>
      <c r="BF67" s="33" t="str">
        <f aca="false">IF(A67="","",IF(BE67="","No rebar schedule yet",IF(ABS(BE67-N(BA67))/MAX(N(BA67),1)&gt;SG_Criteria!$B$55,"NOTE: register rebar differs from schedule by "&amp;TEXT(ABS(BE67-N(BA67))/MAX(N(BA67),1),"0%"),"OK")))</f>
        <v/>
      </c>
      <c r="BG67" s="33" t="str">
        <f aca="false">IF(OR(D67="",F67=""),"",IF(F67&lt;=IF(D67="Soldier Pile &amp; Timber Lagging",SG_Criteria!$B$34,SG_Criteria!$B$33),"No ERSS submission",IF(F67&lt;=SG_Criteria!$B$35,"QP(ST)",IF(F67&lt;=SG_Criteria!$B$36,"QP(ST) + AC","Geotechnical building works: QP(Geo) + AC"))))</f>
        <v/>
      </c>
      <c r="BH67" s="33" t="str">
        <f aca="false">IF(D67="","",IF(LEN(IF(AND(AC67&lt;&gt;"",IFERROR(VALUE(MID(AC67,2,2)),0)&lt;SG_Criteria!$B$19),"FAIL: grade below C"&amp;SG_Criteria!$B$19&amp;". ","")&amp;IF(AND(LEFT(D67,3)="Con",N(I67)&lt;F67,H67="Kallang Formation (marine clay)"),"NOTE: CBP is not watertight below GWT in marine clay; consider secant / grouting. ","")&amp;IF(AND(D67="Steel Sheet Pile",E67="Permanent"),"NOTE: permanent sheet pile needs corrosion allowance. ","")&amp;IF(AND(G67="Cantilever (no support)",F67&gt;6),"NOTE: cantilever embedded wall &gt; 6 m, check deflection. ","")&amp;IF(AND(T67&lt;&gt;"",U67&lt;&gt;"",T67&gt;U67),"FAIL: deflection exceeds allowable. ",""))=0,"OK",IF(AND(AC67&lt;&gt;"",IFERROR(VALUE(MID(AC67,2,2)),0)&lt;SG_Criteria!$B$19),"FAIL: grade below C"&amp;SG_Criteria!$B$19&amp;". ","")&amp;IF(AND(LEFT(D67,3)="Con",N(I67)&lt;F67,H67="Kallang Formation (marine clay)"),"NOTE: CBP is not watertight below GWT in marine clay; consider secant / grouting. ","")&amp;IF(AND(D67="Steel Sheet Pile",E67="Permanent"),"NOTE: permanent sheet pile needs corrosion allowance. ","")&amp;IF(AND(G67="Cantilever (no support)",F67&gt;6),"NOTE: cantilever embedded wall &gt; 6 m, check deflection. ","")&amp;IF(AND(T67&lt;&gt;"",U67&lt;&gt;"",T67&gt;U67),"FAIL: deflection exceeds allowable. ","")))</f>
        <v/>
      </c>
      <c r="BI67" s="9"/>
      <c r="BJ67" s="9"/>
      <c r="BK67" s="9"/>
      <c r="BL67" s="10" t="str">
        <f aca="false">IF(BK67="","",IFERROR(VLOOKUP(BK67,Projects!$A$5:$D$504,2,0),"Ref not in Projects"))</f>
        <v/>
      </c>
      <c r="BM67" s="10" t="str">
        <f aca="false">IF(BK67="","",IFERROR(VLOOKUP(BK67,Projects!$A$5:$D$504,4,0),"Ref not in Projects"))</f>
        <v/>
      </c>
      <c r="BN67" s="9"/>
      <c r="BO67" s="9"/>
      <c r="BP67" s="9"/>
      <c r="BQ67" s="40"/>
      <c r="BR67" s="9"/>
      <c r="BS67" s="40"/>
      <c r="BT67" s="9"/>
      <c r="BU67" s="40"/>
      <c r="BV67" s="9"/>
      <c r="BW67" s="9"/>
      <c r="BX67" s="9"/>
      <c r="BY67" s="40"/>
      <c r="BZ67" s="40"/>
      <c r="CA67" s="36" t="str">
        <f aca="false">IF(BZ67="","",EDATE(BZ67,SG_Criteria!$B$54*12))</f>
        <v/>
      </c>
      <c r="CB67" s="33" t="str">
        <f aca="true">IF(A67="","",IF(BZ67="","NOTE: not reviewed yet",IF(TODAY()&gt;CA67,"NOTE: review overdue","OK")))</f>
        <v/>
      </c>
      <c r="CC67" s="37" t="str">
        <f aca="false">IF(A67="","",ROUND((IF(LEN(D67)&gt;0,1,0)+IF(LEN(E67)&gt;0,1,0)+IF(LEN(F67)&gt;0,1,0)+IF(LEN(G67)&gt;0,1,0)+IF(LEN(H67)&gt;0,1,0)+IF(LEN(I67)&gt;0,1,0)+IF(LEN(K67)&gt;0,1,0)+IF(LEN(N67)&gt;0,1,0)+IF(LEN(O67)&gt;0,1,0)+IF(LEN(T67)&gt;0,1,0)+IF(LEN(U67)&gt;0,1,0)+IF(LEN(V67)&gt;0,1,0)+IF(LEN(AK67)&gt;0,1,0)+IF(LEN(AM67)&gt;0,1,0)+IF(LEN(AN67)&gt;0,1,0)+IF(LEN(AO67)&gt;0,1,0)+IF(LEN(AP67)&gt;0,1,0)+IF(LEN(AY67)&gt;0,1,0)+IF(LEN(BK67)&gt;0,1,0)+IF(LEN(BX67)&gt;0,1,0))/20,2))</f>
        <v/>
      </c>
      <c r="CD67" s="10" t="str">
        <f aca="false">IF(D67="","",IF(AND(AN67="Approved",ISERROR(SEARCH("FAIL",BH67))),"Y","N"))</f>
        <v/>
      </c>
      <c r="CE67" s="10" t="str">
        <f aca="false">IF(D67="","",D67&amp;"|"&amp;F67&amp;"|"&amp;G67&amp;"|"&amp;H67&amp;"|"&amp;E67&amp;"|"&amp;CD67)</f>
        <v/>
      </c>
    </row>
    <row r="68" customFormat="false" ht="15" hidden="false" customHeight="false" outlineLevel="0" collapsed="false">
      <c r="A68" s="10" t="str">
        <f aca="false">IF(D68="","","EW-"&amp;IFERROR(VLOOKUP(D68,Lists!$P$4:$Q$22,2,0),"??")&amp;"-D"&amp;TEXT(F68*1000,"0000")&amp;"-"&amp;IFERROR(VLOOKUP(G68,Lists!$S$4:$T$21,2,0),"??")&amp;"-"&amp;IFERROR(VLOOKUP(H68,Lists!$Y$4:$Z$21,2,0),"??")&amp;"-"&amp;IFERROR(VLOOKUP(E68,Lists!$V$4:$W$16,2,0),"??")&amp;"-"&amp;AM68)</f>
        <v/>
      </c>
      <c r="B68" s="10" t="str">
        <f aca="false">IF(D68="","",E68&amp;" "&amp;D68&amp;", excavation "&amp;TEXT(F68,"0.0")&amp;" m, "&amp;G68&amp;", "&amp;H68&amp;", "&amp;K68)</f>
        <v/>
      </c>
      <c r="C68" s="9"/>
      <c r="D68" s="9"/>
      <c r="E68" s="9"/>
      <c r="F68" s="42"/>
      <c r="G68" s="9"/>
      <c r="H68" s="9"/>
      <c r="I68" s="42"/>
      <c r="J68" s="38"/>
      <c r="K68" s="9"/>
      <c r="L68" s="9"/>
      <c r="M68" s="9"/>
      <c r="N68" s="42"/>
      <c r="O68" s="42"/>
      <c r="P68" s="9"/>
      <c r="Q68" s="9"/>
      <c r="R68" s="9"/>
      <c r="S68" s="9"/>
      <c r="T68" s="38"/>
      <c r="U68" s="38"/>
      <c r="V68" s="38"/>
      <c r="W68" s="38"/>
      <c r="X68" s="38"/>
      <c r="Y68" s="9"/>
      <c r="Z68" s="39"/>
      <c r="AA68" s="9"/>
      <c r="AB68" s="9"/>
      <c r="AC68" s="9"/>
      <c r="AD68" s="9"/>
      <c r="AE68" s="9"/>
      <c r="AF68" s="9"/>
      <c r="AG68" s="9"/>
      <c r="AH68" s="38"/>
      <c r="AI68" s="9"/>
      <c r="AJ68" s="39"/>
      <c r="AK68" s="9"/>
      <c r="AL68" s="9"/>
      <c r="AM68" s="9"/>
      <c r="AN68" s="9"/>
      <c r="AO68" s="9"/>
      <c r="AP68" s="9"/>
      <c r="AQ68" s="9"/>
      <c r="AR68" s="10" t="str">
        <f aca="false">IF(A68="","",SG_Criteria!$B$6&amp;SG_Criteria!$B$9&amp;"\"&amp;A68&amp;"\")</f>
        <v/>
      </c>
      <c r="AS68" s="10" t="str">
        <f aca="false">IF(A68="","",A68&amp;"_CAD.dwg")</f>
        <v/>
      </c>
      <c r="AT68" s="10" t="str">
        <f aca="false">IF(A68="","",A68&amp;"_DWG.pdf")</f>
        <v/>
      </c>
      <c r="AU68" s="10" t="str">
        <f aca="false">IF(A68="","",IF(AQ68="Y",A68&amp;"_STAAD.std","n/a"))</f>
        <v/>
      </c>
      <c r="AV68" s="10" t="str">
        <f aca="false">IF(A68="","",A68&amp;"_CALC.xlsx")</f>
        <v/>
      </c>
      <c r="AW68" s="10" t="str">
        <f aca="false">IF(A68="","",A68&amp;"_CALC.pdf")</f>
        <v/>
      </c>
      <c r="AX68" s="9"/>
      <c r="AY68" s="9"/>
      <c r="AZ68" s="39"/>
      <c r="BA68" s="39"/>
      <c r="BB68" s="39"/>
      <c r="BC68" s="39"/>
      <c r="BD68" s="39"/>
      <c r="BE68" s="12" t="str">
        <f aca="false">IF(A68="","",IF(COUNTIF(Rebar_Schedule!$A$5:$A$2004,A68)=0,"",ROUND(SUMIF(Rebar_Schedule!$A$5:$A$2004,A68,Rebar_Schedule!$K$5:$K$2004),1)))</f>
        <v/>
      </c>
      <c r="BF68" s="33" t="str">
        <f aca="false">IF(A68="","",IF(BE68="","No rebar schedule yet",IF(ABS(BE68-N(BA68))/MAX(N(BA68),1)&gt;SG_Criteria!$B$55,"NOTE: register rebar differs from schedule by "&amp;TEXT(ABS(BE68-N(BA68))/MAX(N(BA68),1),"0%"),"OK")))</f>
        <v/>
      </c>
      <c r="BG68" s="33" t="str">
        <f aca="false">IF(OR(D68="",F68=""),"",IF(F68&lt;=IF(D68="Soldier Pile &amp; Timber Lagging",SG_Criteria!$B$34,SG_Criteria!$B$33),"No ERSS submission",IF(F68&lt;=SG_Criteria!$B$35,"QP(ST)",IF(F68&lt;=SG_Criteria!$B$36,"QP(ST) + AC","Geotechnical building works: QP(Geo) + AC"))))</f>
        <v/>
      </c>
      <c r="BH68" s="33" t="str">
        <f aca="false">IF(D68="","",IF(LEN(IF(AND(AC68&lt;&gt;"",IFERROR(VALUE(MID(AC68,2,2)),0)&lt;SG_Criteria!$B$19),"FAIL: grade below C"&amp;SG_Criteria!$B$19&amp;". ","")&amp;IF(AND(LEFT(D68,3)="Con",N(I68)&lt;F68,H68="Kallang Formation (marine clay)"),"NOTE: CBP is not watertight below GWT in marine clay; consider secant / grouting. ","")&amp;IF(AND(D68="Steel Sheet Pile",E68="Permanent"),"NOTE: permanent sheet pile needs corrosion allowance. ","")&amp;IF(AND(G68="Cantilever (no support)",F68&gt;6),"NOTE: cantilever embedded wall &gt; 6 m, check deflection. ","")&amp;IF(AND(T68&lt;&gt;"",U68&lt;&gt;"",T68&gt;U68),"FAIL: deflection exceeds allowable. ",""))=0,"OK",IF(AND(AC68&lt;&gt;"",IFERROR(VALUE(MID(AC68,2,2)),0)&lt;SG_Criteria!$B$19),"FAIL: grade below C"&amp;SG_Criteria!$B$19&amp;". ","")&amp;IF(AND(LEFT(D68,3)="Con",N(I68)&lt;F68,H68="Kallang Formation (marine clay)"),"NOTE: CBP is not watertight below GWT in marine clay; consider secant / grouting. ","")&amp;IF(AND(D68="Steel Sheet Pile",E68="Permanent"),"NOTE: permanent sheet pile needs corrosion allowance. ","")&amp;IF(AND(G68="Cantilever (no support)",F68&gt;6),"NOTE: cantilever embedded wall &gt; 6 m, check deflection. ","")&amp;IF(AND(T68&lt;&gt;"",U68&lt;&gt;"",T68&gt;U68),"FAIL: deflection exceeds allowable. ","")))</f>
        <v/>
      </c>
      <c r="BI68" s="9"/>
      <c r="BJ68" s="9"/>
      <c r="BK68" s="9"/>
      <c r="BL68" s="10" t="str">
        <f aca="false">IF(BK68="","",IFERROR(VLOOKUP(BK68,Projects!$A$5:$D$504,2,0),"Ref not in Projects"))</f>
        <v/>
      </c>
      <c r="BM68" s="10" t="str">
        <f aca="false">IF(BK68="","",IFERROR(VLOOKUP(BK68,Projects!$A$5:$D$504,4,0),"Ref not in Projects"))</f>
        <v/>
      </c>
      <c r="BN68" s="9"/>
      <c r="BO68" s="9"/>
      <c r="BP68" s="9"/>
      <c r="BQ68" s="40"/>
      <c r="BR68" s="9"/>
      <c r="BS68" s="40"/>
      <c r="BT68" s="9"/>
      <c r="BU68" s="40"/>
      <c r="BV68" s="9"/>
      <c r="BW68" s="9"/>
      <c r="BX68" s="9"/>
      <c r="BY68" s="40"/>
      <c r="BZ68" s="40"/>
      <c r="CA68" s="36" t="str">
        <f aca="false">IF(BZ68="","",EDATE(BZ68,SG_Criteria!$B$54*12))</f>
        <v/>
      </c>
      <c r="CB68" s="33" t="str">
        <f aca="true">IF(A68="","",IF(BZ68="","NOTE: not reviewed yet",IF(TODAY()&gt;CA68,"NOTE: review overdue","OK")))</f>
        <v/>
      </c>
      <c r="CC68" s="37" t="str">
        <f aca="false">IF(A68="","",ROUND((IF(LEN(D68)&gt;0,1,0)+IF(LEN(E68)&gt;0,1,0)+IF(LEN(F68)&gt;0,1,0)+IF(LEN(G68)&gt;0,1,0)+IF(LEN(H68)&gt;0,1,0)+IF(LEN(I68)&gt;0,1,0)+IF(LEN(K68)&gt;0,1,0)+IF(LEN(N68)&gt;0,1,0)+IF(LEN(O68)&gt;0,1,0)+IF(LEN(T68)&gt;0,1,0)+IF(LEN(U68)&gt;0,1,0)+IF(LEN(V68)&gt;0,1,0)+IF(LEN(AK68)&gt;0,1,0)+IF(LEN(AM68)&gt;0,1,0)+IF(LEN(AN68)&gt;0,1,0)+IF(LEN(AO68)&gt;0,1,0)+IF(LEN(AP68)&gt;0,1,0)+IF(LEN(AY68)&gt;0,1,0)+IF(LEN(BK68)&gt;0,1,0)+IF(LEN(BX68)&gt;0,1,0))/20,2))</f>
        <v/>
      </c>
      <c r="CD68" s="10" t="str">
        <f aca="false">IF(D68="","",IF(AND(AN68="Approved",ISERROR(SEARCH("FAIL",BH68))),"Y","N"))</f>
        <v/>
      </c>
      <c r="CE68" s="10" t="str">
        <f aca="false">IF(D68="","",D68&amp;"|"&amp;F68&amp;"|"&amp;G68&amp;"|"&amp;H68&amp;"|"&amp;E68&amp;"|"&amp;CD68)</f>
        <v/>
      </c>
    </row>
    <row r="69" customFormat="false" ht="15" hidden="false" customHeight="false" outlineLevel="0" collapsed="false">
      <c r="A69" s="10" t="str">
        <f aca="false">IF(D69="","","EW-"&amp;IFERROR(VLOOKUP(D69,Lists!$P$4:$Q$22,2,0),"??")&amp;"-D"&amp;TEXT(F69*1000,"0000")&amp;"-"&amp;IFERROR(VLOOKUP(G69,Lists!$S$4:$T$21,2,0),"??")&amp;"-"&amp;IFERROR(VLOOKUP(H69,Lists!$Y$4:$Z$21,2,0),"??")&amp;"-"&amp;IFERROR(VLOOKUP(E69,Lists!$V$4:$W$16,2,0),"??")&amp;"-"&amp;AM69)</f>
        <v/>
      </c>
      <c r="B69" s="10" t="str">
        <f aca="false">IF(D69="","",E69&amp;" "&amp;D69&amp;", excavation "&amp;TEXT(F69,"0.0")&amp;" m, "&amp;G69&amp;", "&amp;H69&amp;", "&amp;K69)</f>
        <v/>
      </c>
      <c r="C69" s="9"/>
      <c r="D69" s="9"/>
      <c r="E69" s="9"/>
      <c r="F69" s="42"/>
      <c r="G69" s="9"/>
      <c r="H69" s="9"/>
      <c r="I69" s="42"/>
      <c r="J69" s="38"/>
      <c r="K69" s="9"/>
      <c r="L69" s="9"/>
      <c r="M69" s="9"/>
      <c r="N69" s="42"/>
      <c r="O69" s="42"/>
      <c r="P69" s="9"/>
      <c r="Q69" s="9"/>
      <c r="R69" s="9"/>
      <c r="S69" s="9"/>
      <c r="T69" s="38"/>
      <c r="U69" s="38"/>
      <c r="V69" s="38"/>
      <c r="W69" s="38"/>
      <c r="X69" s="38"/>
      <c r="Y69" s="9"/>
      <c r="Z69" s="39"/>
      <c r="AA69" s="9"/>
      <c r="AB69" s="9"/>
      <c r="AC69" s="9"/>
      <c r="AD69" s="9"/>
      <c r="AE69" s="9"/>
      <c r="AF69" s="9"/>
      <c r="AG69" s="9"/>
      <c r="AH69" s="38"/>
      <c r="AI69" s="9"/>
      <c r="AJ69" s="39"/>
      <c r="AK69" s="9"/>
      <c r="AL69" s="9"/>
      <c r="AM69" s="9"/>
      <c r="AN69" s="9"/>
      <c r="AO69" s="9"/>
      <c r="AP69" s="9"/>
      <c r="AQ69" s="9"/>
      <c r="AR69" s="10" t="str">
        <f aca="false">IF(A69="","",SG_Criteria!$B$6&amp;SG_Criteria!$B$9&amp;"\"&amp;A69&amp;"\")</f>
        <v/>
      </c>
      <c r="AS69" s="10" t="str">
        <f aca="false">IF(A69="","",A69&amp;"_CAD.dwg")</f>
        <v/>
      </c>
      <c r="AT69" s="10" t="str">
        <f aca="false">IF(A69="","",A69&amp;"_DWG.pdf")</f>
        <v/>
      </c>
      <c r="AU69" s="10" t="str">
        <f aca="false">IF(A69="","",IF(AQ69="Y",A69&amp;"_STAAD.std","n/a"))</f>
        <v/>
      </c>
      <c r="AV69" s="10" t="str">
        <f aca="false">IF(A69="","",A69&amp;"_CALC.xlsx")</f>
        <v/>
      </c>
      <c r="AW69" s="10" t="str">
        <f aca="false">IF(A69="","",A69&amp;"_CALC.pdf")</f>
        <v/>
      </c>
      <c r="AX69" s="9"/>
      <c r="AY69" s="9"/>
      <c r="AZ69" s="39"/>
      <c r="BA69" s="39"/>
      <c r="BB69" s="39"/>
      <c r="BC69" s="39"/>
      <c r="BD69" s="39"/>
      <c r="BE69" s="12" t="str">
        <f aca="false">IF(A69="","",IF(COUNTIF(Rebar_Schedule!$A$5:$A$2004,A69)=0,"",ROUND(SUMIF(Rebar_Schedule!$A$5:$A$2004,A69,Rebar_Schedule!$K$5:$K$2004),1)))</f>
        <v/>
      </c>
      <c r="BF69" s="33" t="str">
        <f aca="false">IF(A69="","",IF(BE69="","No rebar schedule yet",IF(ABS(BE69-N(BA69))/MAX(N(BA69),1)&gt;SG_Criteria!$B$55,"NOTE: register rebar differs from schedule by "&amp;TEXT(ABS(BE69-N(BA69))/MAX(N(BA69),1),"0%"),"OK")))</f>
        <v/>
      </c>
      <c r="BG69" s="33" t="str">
        <f aca="false">IF(OR(D69="",F69=""),"",IF(F69&lt;=IF(D69="Soldier Pile &amp; Timber Lagging",SG_Criteria!$B$34,SG_Criteria!$B$33),"No ERSS submission",IF(F69&lt;=SG_Criteria!$B$35,"QP(ST)",IF(F69&lt;=SG_Criteria!$B$36,"QP(ST) + AC","Geotechnical building works: QP(Geo) + AC"))))</f>
        <v/>
      </c>
      <c r="BH69" s="33" t="str">
        <f aca="false">IF(D69="","",IF(LEN(IF(AND(AC69&lt;&gt;"",IFERROR(VALUE(MID(AC69,2,2)),0)&lt;SG_Criteria!$B$19),"FAIL: grade below C"&amp;SG_Criteria!$B$19&amp;". ","")&amp;IF(AND(LEFT(D69,3)="Con",N(I69)&lt;F69,H69="Kallang Formation (marine clay)"),"NOTE: CBP is not watertight below GWT in marine clay; consider secant / grouting. ","")&amp;IF(AND(D69="Steel Sheet Pile",E69="Permanent"),"NOTE: permanent sheet pile needs corrosion allowance. ","")&amp;IF(AND(G69="Cantilever (no support)",F69&gt;6),"NOTE: cantilever embedded wall &gt; 6 m, check deflection. ","")&amp;IF(AND(T69&lt;&gt;"",U69&lt;&gt;"",T69&gt;U69),"FAIL: deflection exceeds allowable. ",""))=0,"OK",IF(AND(AC69&lt;&gt;"",IFERROR(VALUE(MID(AC69,2,2)),0)&lt;SG_Criteria!$B$19),"FAIL: grade below C"&amp;SG_Criteria!$B$19&amp;". ","")&amp;IF(AND(LEFT(D69,3)="Con",N(I69)&lt;F69,H69="Kallang Formation (marine clay)"),"NOTE: CBP is not watertight below GWT in marine clay; consider secant / grouting. ","")&amp;IF(AND(D69="Steel Sheet Pile",E69="Permanent"),"NOTE: permanent sheet pile needs corrosion allowance. ","")&amp;IF(AND(G69="Cantilever (no support)",F69&gt;6),"NOTE: cantilever embedded wall &gt; 6 m, check deflection. ","")&amp;IF(AND(T69&lt;&gt;"",U69&lt;&gt;"",T69&gt;U69),"FAIL: deflection exceeds allowable. ","")))</f>
        <v/>
      </c>
      <c r="BI69" s="9"/>
      <c r="BJ69" s="9"/>
      <c r="BK69" s="9"/>
      <c r="BL69" s="10" t="str">
        <f aca="false">IF(BK69="","",IFERROR(VLOOKUP(BK69,Projects!$A$5:$D$504,2,0),"Ref not in Projects"))</f>
        <v/>
      </c>
      <c r="BM69" s="10" t="str">
        <f aca="false">IF(BK69="","",IFERROR(VLOOKUP(BK69,Projects!$A$5:$D$504,4,0),"Ref not in Projects"))</f>
        <v/>
      </c>
      <c r="BN69" s="9"/>
      <c r="BO69" s="9"/>
      <c r="BP69" s="9"/>
      <c r="BQ69" s="40"/>
      <c r="BR69" s="9"/>
      <c r="BS69" s="40"/>
      <c r="BT69" s="9"/>
      <c r="BU69" s="40"/>
      <c r="BV69" s="9"/>
      <c r="BW69" s="9"/>
      <c r="BX69" s="9"/>
      <c r="BY69" s="40"/>
      <c r="BZ69" s="40"/>
      <c r="CA69" s="36" t="str">
        <f aca="false">IF(BZ69="","",EDATE(BZ69,SG_Criteria!$B$54*12))</f>
        <v/>
      </c>
      <c r="CB69" s="33" t="str">
        <f aca="true">IF(A69="","",IF(BZ69="","NOTE: not reviewed yet",IF(TODAY()&gt;CA69,"NOTE: review overdue","OK")))</f>
        <v/>
      </c>
      <c r="CC69" s="37" t="str">
        <f aca="false">IF(A69="","",ROUND((IF(LEN(D69)&gt;0,1,0)+IF(LEN(E69)&gt;0,1,0)+IF(LEN(F69)&gt;0,1,0)+IF(LEN(G69)&gt;0,1,0)+IF(LEN(H69)&gt;0,1,0)+IF(LEN(I69)&gt;0,1,0)+IF(LEN(K69)&gt;0,1,0)+IF(LEN(N69)&gt;0,1,0)+IF(LEN(O69)&gt;0,1,0)+IF(LEN(T69)&gt;0,1,0)+IF(LEN(U69)&gt;0,1,0)+IF(LEN(V69)&gt;0,1,0)+IF(LEN(AK69)&gt;0,1,0)+IF(LEN(AM69)&gt;0,1,0)+IF(LEN(AN69)&gt;0,1,0)+IF(LEN(AO69)&gt;0,1,0)+IF(LEN(AP69)&gt;0,1,0)+IF(LEN(AY69)&gt;0,1,0)+IF(LEN(BK69)&gt;0,1,0)+IF(LEN(BX69)&gt;0,1,0))/20,2))</f>
        <v/>
      </c>
      <c r="CD69" s="10" t="str">
        <f aca="false">IF(D69="","",IF(AND(AN69="Approved",ISERROR(SEARCH("FAIL",BH69))),"Y","N"))</f>
        <v/>
      </c>
      <c r="CE69" s="10" t="str">
        <f aca="false">IF(D69="","",D69&amp;"|"&amp;F69&amp;"|"&amp;G69&amp;"|"&amp;H69&amp;"|"&amp;E69&amp;"|"&amp;CD69)</f>
        <v/>
      </c>
    </row>
    <row r="70" customFormat="false" ht="15" hidden="false" customHeight="false" outlineLevel="0" collapsed="false">
      <c r="A70" s="10" t="str">
        <f aca="false">IF(D70="","","EW-"&amp;IFERROR(VLOOKUP(D70,Lists!$P$4:$Q$22,2,0),"??")&amp;"-D"&amp;TEXT(F70*1000,"0000")&amp;"-"&amp;IFERROR(VLOOKUP(G70,Lists!$S$4:$T$21,2,0),"??")&amp;"-"&amp;IFERROR(VLOOKUP(H70,Lists!$Y$4:$Z$21,2,0),"??")&amp;"-"&amp;IFERROR(VLOOKUP(E70,Lists!$V$4:$W$16,2,0),"??")&amp;"-"&amp;AM70)</f>
        <v/>
      </c>
      <c r="B70" s="10" t="str">
        <f aca="false">IF(D70="","",E70&amp;" "&amp;D70&amp;", excavation "&amp;TEXT(F70,"0.0")&amp;" m, "&amp;G70&amp;", "&amp;H70&amp;", "&amp;K70)</f>
        <v/>
      </c>
      <c r="C70" s="9"/>
      <c r="D70" s="9"/>
      <c r="E70" s="9"/>
      <c r="F70" s="42"/>
      <c r="G70" s="9"/>
      <c r="H70" s="9"/>
      <c r="I70" s="42"/>
      <c r="J70" s="38"/>
      <c r="K70" s="9"/>
      <c r="L70" s="9"/>
      <c r="M70" s="9"/>
      <c r="N70" s="42"/>
      <c r="O70" s="42"/>
      <c r="P70" s="9"/>
      <c r="Q70" s="9"/>
      <c r="R70" s="9"/>
      <c r="S70" s="9"/>
      <c r="T70" s="38"/>
      <c r="U70" s="38"/>
      <c r="V70" s="38"/>
      <c r="W70" s="38"/>
      <c r="X70" s="38"/>
      <c r="Y70" s="9"/>
      <c r="Z70" s="39"/>
      <c r="AA70" s="9"/>
      <c r="AB70" s="9"/>
      <c r="AC70" s="9"/>
      <c r="AD70" s="9"/>
      <c r="AE70" s="9"/>
      <c r="AF70" s="9"/>
      <c r="AG70" s="9"/>
      <c r="AH70" s="38"/>
      <c r="AI70" s="9"/>
      <c r="AJ70" s="39"/>
      <c r="AK70" s="9"/>
      <c r="AL70" s="9"/>
      <c r="AM70" s="9"/>
      <c r="AN70" s="9"/>
      <c r="AO70" s="9"/>
      <c r="AP70" s="9"/>
      <c r="AQ70" s="9"/>
      <c r="AR70" s="10" t="str">
        <f aca="false">IF(A70="","",SG_Criteria!$B$6&amp;SG_Criteria!$B$9&amp;"\"&amp;A70&amp;"\")</f>
        <v/>
      </c>
      <c r="AS70" s="10" t="str">
        <f aca="false">IF(A70="","",A70&amp;"_CAD.dwg")</f>
        <v/>
      </c>
      <c r="AT70" s="10" t="str">
        <f aca="false">IF(A70="","",A70&amp;"_DWG.pdf")</f>
        <v/>
      </c>
      <c r="AU70" s="10" t="str">
        <f aca="false">IF(A70="","",IF(AQ70="Y",A70&amp;"_STAAD.std","n/a"))</f>
        <v/>
      </c>
      <c r="AV70" s="10" t="str">
        <f aca="false">IF(A70="","",A70&amp;"_CALC.xlsx")</f>
        <v/>
      </c>
      <c r="AW70" s="10" t="str">
        <f aca="false">IF(A70="","",A70&amp;"_CALC.pdf")</f>
        <v/>
      </c>
      <c r="AX70" s="9"/>
      <c r="AY70" s="9"/>
      <c r="AZ70" s="39"/>
      <c r="BA70" s="39"/>
      <c r="BB70" s="39"/>
      <c r="BC70" s="39"/>
      <c r="BD70" s="39"/>
      <c r="BE70" s="12" t="str">
        <f aca="false">IF(A70="","",IF(COUNTIF(Rebar_Schedule!$A$5:$A$2004,A70)=0,"",ROUND(SUMIF(Rebar_Schedule!$A$5:$A$2004,A70,Rebar_Schedule!$K$5:$K$2004),1)))</f>
        <v/>
      </c>
      <c r="BF70" s="33" t="str">
        <f aca="false">IF(A70="","",IF(BE70="","No rebar schedule yet",IF(ABS(BE70-N(BA70))/MAX(N(BA70),1)&gt;SG_Criteria!$B$55,"NOTE: register rebar differs from schedule by "&amp;TEXT(ABS(BE70-N(BA70))/MAX(N(BA70),1),"0%"),"OK")))</f>
        <v/>
      </c>
      <c r="BG70" s="33" t="str">
        <f aca="false">IF(OR(D70="",F70=""),"",IF(F70&lt;=IF(D70="Soldier Pile &amp; Timber Lagging",SG_Criteria!$B$34,SG_Criteria!$B$33),"No ERSS submission",IF(F70&lt;=SG_Criteria!$B$35,"QP(ST)",IF(F70&lt;=SG_Criteria!$B$36,"QP(ST) + AC","Geotechnical building works: QP(Geo) + AC"))))</f>
        <v/>
      </c>
      <c r="BH70" s="33" t="str">
        <f aca="false">IF(D70="","",IF(LEN(IF(AND(AC70&lt;&gt;"",IFERROR(VALUE(MID(AC70,2,2)),0)&lt;SG_Criteria!$B$19),"FAIL: grade below C"&amp;SG_Criteria!$B$19&amp;". ","")&amp;IF(AND(LEFT(D70,3)="Con",N(I70)&lt;F70,H70="Kallang Formation (marine clay)"),"NOTE: CBP is not watertight below GWT in marine clay; consider secant / grouting. ","")&amp;IF(AND(D70="Steel Sheet Pile",E70="Permanent"),"NOTE: permanent sheet pile needs corrosion allowance. ","")&amp;IF(AND(G70="Cantilever (no support)",F70&gt;6),"NOTE: cantilever embedded wall &gt; 6 m, check deflection. ","")&amp;IF(AND(T70&lt;&gt;"",U70&lt;&gt;"",T70&gt;U70),"FAIL: deflection exceeds allowable. ",""))=0,"OK",IF(AND(AC70&lt;&gt;"",IFERROR(VALUE(MID(AC70,2,2)),0)&lt;SG_Criteria!$B$19),"FAIL: grade below C"&amp;SG_Criteria!$B$19&amp;". ","")&amp;IF(AND(LEFT(D70,3)="Con",N(I70)&lt;F70,H70="Kallang Formation (marine clay)"),"NOTE: CBP is not watertight below GWT in marine clay; consider secant / grouting. ","")&amp;IF(AND(D70="Steel Sheet Pile",E70="Permanent"),"NOTE: permanent sheet pile needs corrosion allowance. ","")&amp;IF(AND(G70="Cantilever (no support)",F70&gt;6),"NOTE: cantilever embedded wall &gt; 6 m, check deflection. ","")&amp;IF(AND(T70&lt;&gt;"",U70&lt;&gt;"",T70&gt;U70),"FAIL: deflection exceeds allowable. ","")))</f>
        <v/>
      </c>
      <c r="BI70" s="9"/>
      <c r="BJ70" s="9"/>
      <c r="BK70" s="9"/>
      <c r="BL70" s="10" t="str">
        <f aca="false">IF(BK70="","",IFERROR(VLOOKUP(BK70,Projects!$A$5:$D$504,2,0),"Ref not in Projects"))</f>
        <v/>
      </c>
      <c r="BM70" s="10" t="str">
        <f aca="false">IF(BK70="","",IFERROR(VLOOKUP(BK70,Projects!$A$5:$D$504,4,0),"Ref not in Projects"))</f>
        <v/>
      </c>
      <c r="BN70" s="9"/>
      <c r="BO70" s="9"/>
      <c r="BP70" s="9"/>
      <c r="BQ70" s="40"/>
      <c r="BR70" s="9"/>
      <c r="BS70" s="40"/>
      <c r="BT70" s="9"/>
      <c r="BU70" s="40"/>
      <c r="BV70" s="9"/>
      <c r="BW70" s="9"/>
      <c r="BX70" s="9"/>
      <c r="BY70" s="40"/>
      <c r="BZ70" s="40"/>
      <c r="CA70" s="36" t="str">
        <f aca="false">IF(BZ70="","",EDATE(BZ70,SG_Criteria!$B$54*12))</f>
        <v/>
      </c>
      <c r="CB70" s="33" t="str">
        <f aca="true">IF(A70="","",IF(BZ70="","NOTE: not reviewed yet",IF(TODAY()&gt;CA70,"NOTE: review overdue","OK")))</f>
        <v/>
      </c>
      <c r="CC70" s="37" t="str">
        <f aca="false">IF(A70="","",ROUND((IF(LEN(D70)&gt;0,1,0)+IF(LEN(E70)&gt;0,1,0)+IF(LEN(F70)&gt;0,1,0)+IF(LEN(G70)&gt;0,1,0)+IF(LEN(H70)&gt;0,1,0)+IF(LEN(I70)&gt;0,1,0)+IF(LEN(K70)&gt;0,1,0)+IF(LEN(N70)&gt;0,1,0)+IF(LEN(O70)&gt;0,1,0)+IF(LEN(T70)&gt;0,1,0)+IF(LEN(U70)&gt;0,1,0)+IF(LEN(V70)&gt;0,1,0)+IF(LEN(AK70)&gt;0,1,0)+IF(LEN(AM70)&gt;0,1,0)+IF(LEN(AN70)&gt;0,1,0)+IF(LEN(AO70)&gt;0,1,0)+IF(LEN(AP70)&gt;0,1,0)+IF(LEN(AY70)&gt;0,1,0)+IF(LEN(BK70)&gt;0,1,0)+IF(LEN(BX70)&gt;0,1,0))/20,2))</f>
        <v/>
      </c>
      <c r="CD70" s="10" t="str">
        <f aca="false">IF(D70="","",IF(AND(AN70="Approved",ISERROR(SEARCH("FAIL",BH70))),"Y","N"))</f>
        <v/>
      </c>
      <c r="CE70" s="10" t="str">
        <f aca="false">IF(D70="","",D70&amp;"|"&amp;F70&amp;"|"&amp;G70&amp;"|"&amp;H70&amp;"|"&amp;E70&amp;"|"&amp;CD70)</f>
        <v/>
      </c>
    </row>
    <row r="71" customFormat="false" ht="15" hidden="false" customHeight="false" outlineLevel="0" collapsed="false">
      <c r="A71" s="10" t="str">
        <f aca="false">IF(D71="","","EW-"&amp;IFERROR(VLOOKUP(D71,Lists!$P$4:$Q$22,2,0),"??")&amp;"-D"&amp;TEXT(F71*1000,"0000")&amp;"-"&amp;IFERROR(VLOOKUP(G71,Lists!$S$4:$T$21,2,0),"??")&amp;"-"&amp;IFERROR(VLOOKUP(H71,Lists!$Y$4:$Z$21,2,0),"??")&amp;"-"&amp;IFERROR(VLOOKUP(E71,Lists!$V$4:$W$16,2,0),"??")&amp;"-"&amp;AM71)</f>
        <v/>
      </c>
      <c r="B71" s="10" t="str">
        <f aca="false">IF(D71="","",E71&amp;" "&amp;D71&amp;", excavation "&amp;TEXT(F71,"0.0")&amp;" m, "&amp;G71&amp;", "&amp;H71&amp;", "&amp;K71)</f>
        <v/>
      </c>
      <c r="C71" s="9"/>
      <c r="D71" s="9"/>
      <c r="E71" s="9"/>
      <c r="F71" s="42"/>
      <c r="G71" s="9"/>
      <c r="H71" s="9"/>
      <c r="I71" s="42"/>
      <c r="J71" s="38"/>
      <c r="K71" s="9"/>
      <c r="L71" s="9"/>
      <c r="M71" s="9"/>
      <c r="N71" s="42"/>
      <c r="O71" s="42"/>
      <c r="P71" s="9"/>
      <c r="Q71" s="9"/>
      <c r="R71" s="9"/>
      <c r="S71" s="9"/>
      <c r="T71" s="38"/>
      <c r="U71" s="38"/>
      <c r="V71" s="38"/>
      <c r="W71" s="38"/>
      <c r="X71" s="38"/>
      <c r="Y71" s="9"/>
      <c r="Z71" s="39"/>
      <c r="AA71" s="9"/>
      <c r="AB71" s="9"/>
      <c r="AC71" s="9"/>
      <c r="AD71" s="9"/>
      <c r="AE71" s="9"/>
      <c r="AF71" s="9"/>
      <c r="AG71" s="9"/>
      <c r="AH71" s="38"/>
      <c r="AI71" s="9"/>
      <c r="AJ71" s="39"/>
      <c r="AK71" s="9"/>
      <c r="AL71" s="9"/>
      <c r="AM71" s="9"/>
      <c r="AN71" s="9"/>
      <c r="AO71" s="9"/>
      <c r="AP71" s="9"/>
      <c r="AQ71" s="9"/>
      <c r="AR71" s="10" t="str">
        <f aca="false">IF(A71="","",SG_Criteria!$B$6&amp;SG_Criteria!$B$9&amp;"\"&amp;A71&amp;"\")</f>
        <v/>
      </c>
      <c r="AS71" s="10" t="str">
        <f aca="false">IF(A71="","",A71&amp;"_CAD.dwg")</f>
        <v/>
      </c>
      <c r="AT71" s="10" t="str">
        <f aca="false">IF(A71="","",A71&amp;"_DWG.pdf")</f>
        <v/>
      </c>
      <c r="AU71" s="10" t="str">
        <f aca="false">IF(A71="","",IF(AQ71="Y",A71&amp;"_STAAD.std","n/a"))</f>
        <v/>
      </c>
      <c r="AV71" s="10" t="str">
        <f aca="false">IF(A71="","",A71&amp;"_CALC.xlsx")</f>
        <v/>
      </c>
      <c r="AW71" s="10" t="str">
        <f aca="false">IF(A71="","",A71&amp;"_CALC.pdf")</f>
        <v/>
      </c>
      <c r="AX71" s="9"/>
      <c r="AY71" s="9"/>
      <c r="AZ71" s="39"/>
      <c r="BA71" s="39"/>
      <c r="BB71" s="39"/>
      <c r="BC71" s="39"/>
      <c r="BD71" s="39"/>
      <c r="BE71" s="12" t="str">
        <f aca="false">IF(A71="","",IF(COUNTIF(Rebar_Schedule!$A$5:$A$2004,A71)=0,"",ROUND(SUMIF(Rebar_Schedule!$A$5:$A$2004,A71,Rebar_Schedule!$K$5:$K$2004),1)))</f>
        <v/>
      </c>
      <c r="BF71" s="33" t="str">
        <f aca="false">IF(A71="","",IF(BE71="","No rebar schedule yet",IF(ABS(BE71-N(BA71))/MAX(N(BA71),1)&gt;SG_Criteria!$B$55,"NOTE: register rebar differs from schedule by "&amp;TEXT(ABS(BE71-N(BA71))/MAX(N(BA71),1),"0%"),"OK")))</f>
        <v/>
      </c>
      <c r="BG71" s="33" t="str">
        <f aca="false">IF(OR(D71="",F71=""),"",IF(F71&lt;=IF(D71="Soldier Pile &amp; Timber Lagging",SG_Criteria!$B$34,SG_Criteria!$B$33),"No ERSS submission",IF(F71&lt;=SG_Criteria!$B$35,"QP(ST)",IF(F71&lt;=SG_Criteria!$B$36,"QP(ST) + AC","Geotechnical building works: QP(Geo) + AC"))))</f>
        <v/>
      </c>
      <c r="BH71" s="33" t="str">
        <f aca="false">IF(D71="","",IF(LEN(IF(AND(AC71&lt;&gt;"",IFERROR(VALUE(MID(AC71,2,2)),0)&lt;SG_Criteria!$B$19),"FAIL: grade below C"&amp;SG_Criteria!$B$19&amp;". ","")&amp;IF(AND(LEFT(D71,3)="Con",N(I71)&lt;F71,H71="Kallang Formation (marine clay)"),"NOTE: CBP is not watertight below GWT in marine clay; consider secant / grouting. ","")&amp;IF(AND(D71="Steel Sheet Pile",E71="Permanent"),"NOTE: permanent sheet pile needs corrosion allowance. ","")&amp;IF(AND(G71="Cantilever (no support)",F71&gt;6),"NOTE: cantilever embedded wall &gt; 6 m, check deflection. ","")&amp;IF(AND(T71&lt;&gt;"",U71&lt;&gt;"",T71&gt;U71),"FAIL: deflection exceeds allowable. ",""))=0,"OK",IF(AND(AC71&lt;&gt;"",IFERROR(VALUE(MID(AC71,2,2)),0)&lt;SG_Criteria!$B$19),"FAIL: grade below C"&amp;SG_Criteria!$B$19&amp;". ","")&amp;IF(AND(LEFT(D71,3)="Con",N(I71)&lt;F71,H71="Kallang Formation (marine clay)"),"NOTE: CBP is not watertight below GWT in marine clay; consider secant / grouting. ","")&amp;IF(AND(D71="Steel Sheet Pile",E71="Permanent"),"NOTE: permanent sheet pile needs corrosion allowance. ","")&amp;IF(AND(G71="Cantilever (no support)",F71&gt;6),"NOTE: cantilever embedded wall &gt; 6 m, check deflection. ","")&amp;IF(AND(T71&lt;&gt;"",U71&lt;&gt;"",T71&gt;U71),"FAIL: deflection exceeds allowable. ","")))</f>
        <v/>
      </c>
      <c r="BI71" s="9"/>
      <c r="BJ71" s="9"/>
      <c r="BK71" s="9"/>
      <c r="BL71" s="10" t="str">
        <f aca="false">IF(BK71="","",IFERROR(VLOOKUP(BK71,Projects!$A$5:$D$504,2,0),"Ref not in Projects"))</f>
        <v/>
      </c>
      <c r="BM71" s="10" t="str">
        <f aca="false">IF(BK71="","",IFERROR(VLOOKUP(BK71,Projects!$A$5:$D$504,4,0),"Ref not in Projects"))</f>
        <v/>
      </c>
      <c r="BN71" s="9"/>
      <c r="BO71" s="9"/>
      <c r="BP71" s="9"/>
      <c r="BQ71" s="40"/>
      <c r="BR71" s="9"/>
      <c r="BS71" s="40"/>
      <c r="BT71" s="9"/>
      <c r="BU71" s="40"/>
      <c r="BV71" s="9"/>
      <c r="BW71" s="9"/>
      <c r="BX71" s="9"/>
      <c r="BY71" s="40"/>
      <c r="BZ71" s="40"/>
      <c r="CA71" s="36" t="str">
        <f aca="false">IF(BZ71="","",EDATE(BZ71,SG_Criteria!$B$54*12))</f>
        <v/>
      </c>
      <c r="CB71" s="33" t="str">
        <f aca="true">IF(A71="","",IF(BZ71="","NOTE: not reviewed yet",IF(TODAY()&gt;CA71,"NOTE: review overdue","OK")))</f>
        <v/>
      </c>
      <c r="CC71" s="37" t="str">
        <f aca="false">IF(A71="","",ROUND((IF(LEN(D71)&gt;0,1,0)+IF(LEN(E71)&gt;0,1,0)+IF(LEN(F71)&gt;0,1,0)+IF(LEN(G71)&gt;0,1,0)+IF(LEN(H71)&gt;0,1,0)+IF(LEN(I71)&gt;0,1,0)+IF(LEN(K71)&gt;0,1,0)+IF(LEN(N71)&gt;0,1,0)+IF(LEN(O71)&gt;0,1,0)+IF(LEN(T71)&gt;0,1,0)+IF(LEN(U71)&gt;0,1,0)+IF(LEN(V71)&gt;0,1,0)+IF(LEN(AK71)&gt;0,1,0)+IF(LEN(AM71)&gt;0,1,0)+IF(LEN(AN71)&gt;0,1,0)+IF(LEN(AO71)&gt;0,1,0)+IF(LEN(AP71)&gt;0,1,0)+IF(LEN(AY71)&gt;0,1,0)+IF(LEN(BK71)&gt;0,1,0)+IF(LEN(BX71)&gt;0,1,0))/20,2))</f>
        <v/>
      </c>
      <c r="CD71" s="10" t="str">
        <f aca="false">IF(D71="","",IF(AND(AN71="Approved",ISERROR(SEARCH("FAIL",BH71))),"Y","N"))</f>
        <v/>
      </c>
      <c r="CE71" s="10" t="str">
        <f aca="false">IF(D71="","",D71&amp;"|"&amp;F71&amp;"|"&amp;G71&amp;"|"&amp;H71&amp;"|"&amp;E71&amp;"|"&amp;CD71)</f>
        <v/>
      </c>
    </row>
    <row r="72" customFormat="false" ht="15" hidden="false" customHeight="false" outlineLevel="0" collapsed="false">
      <c r="A72" s="10" t="str">
        <f aca="false">IF(D72="","","EW-"&amp;IFERROR(VLOOKUP(D72,Lists!$P$4:$Q$22,2,0),"??")&amp;"-D"&amp;TEXT(F72*1000,"0000")&amp;"-"&amp;IFERROR(VLOOKUP(G72,Lists!$S$4:$T$21,2,0),"??")&amp;"-"&amp;IFERROR(VLOOKUP(H72,Lists!$Y$4:$Z$21,2,0),"??")&amp;"-"&amp;IFERROR(VLOOKUP(E72,Lists!$V$4:$W$16,2,0),"??")&amp;"-"&amp;AM72)</f>
        <v/>
      </c>
      <c r="B72" s="10" t="str">
        <f aca="false">IF(D72="","",E72&amp;" "&amp;D72&amp;", excavation "&amp;TEXT(F72,"0.0")&amp;" m, "&amp;G72&amp;", "&amp;H72&amp;", "&amp;K72)</f>
        <v/>
      </c>
      <c r="C72" s="9"/>
      <c r="D72" s="9"/>
      <c r="E72" s="9"/>
      <c r="F72" s="42"/>
      <c r="G72" s="9"/>
      <c r="H72" s="9"/>
      <c r="I72" s="42"/>
      <c r="J72" s="38"/>
      <c r="K72" s="9"/>
      <c r="L72" s="9"/>
      <c r="M72" s="9"/>
      <c r="N72" s="42"/>
      <c r="O72" s="42"/>
      <c r="P72" s="9"/>
      <c r="Q72" s="9"/>
      <c r="R72" s="9"/>
      <c r="S72" s="9"/>
      <c r="T72" s="38"/>
      <c r="U72" s="38"/>
      <c r="V72" s="38"/>
      <c r="W72" s="38"/>
      <c r="X72" s="38"/>
      <c r="Y72" s="9"/>
      <c r="Z72" s="39"/>
      <c r="AA72" s="9"/>
      <c r="AB72" s="9"/>
      <c r="AC72" s="9"/>
      <c r="AD72" s="9"/>
      <c r="AE72" s="9"/>
      <c r="AF72" s="9"/>
      <c r="AG72" s="9"/>
      <c r="AH72" s="38"/>
      <c r="AI72" s="9"/>
      <c r="AJ72" s="39"/>
      <c r="AK72" s="9"/>
      <c r="AL72" s="9"/>
      <c r="AM72" s="9"/>
      <c r="AN72" s="9"/>
      <c r="AO72" s="9"/>
      <c r="AP72" s="9"/>
      <c r="AQ72" s="9"/>
      <c r="AR72" s="10" t="str">
        <f aca="false">IF(A72="","",SG_Criteria!$B$6&amp;SG_Criteria!$B$9&amp;"\"&amp;A72&amp;"\")</f>
        <v/>
      </c>
      <c r="AS72" s="10" t="str">
        <f aca="false">IF(A72="","",A72&amp;"_CAD.dwg")</f>
        <v/>
      </c>
      <c r="AT72" s="10" t="str">
        <f aca="false">IF(A72="","",A72&amp;"_DWG.pdf")</f>
        <v/>
      </c>
      <c r="AU72" s="10" t="str">
        <f aca="false">IF(A72="","",IF(AQ72="Y",A72&amp;"_STAAD.std","n/a"))</f>
        <v/>
      </c>
      <c r="AV72" s="10" t="str">
        <f aca="false">IF(A72="","",A72&amp;"_CALC.xlsx")</f>
        <v/>
      </c>
      <c r="AW72" s="10" t="str">
        <f aca="false">IF(A72="","",A72&amp;"_CALC.pdf")</f>
        <v/>
      </c>
      <c r="AX72" s="9"/>
      <c r="AY72" s="9"/>
      <c r="AZ72" s="39"/>
      <c r="BA72" s="39"/>
      <c r="BB72" s="39"/>
      <c r="BC72" s="39"/>
      <c r="BD72" s="39"/>
      <c r="BE72" s="12" t="str">
        <f aca="false">IF(A72="","",IF(COUNTIF(Rebar_Schedule!$A$5:$A$2004,A72)=0,"",ROUND(SUMIF(Rebar_Schedule!$A$5:$A$2004,A72,Rebar_Schedule!$K$5:$K$2004),1)))</f>
        <v/>
      </c>
      <c r="BF72" s="33" t="str">
        <f aca="false">IF(A72="","",IF(BE72="","No rebar schedule yet",IF(ABS(BE72-N(BA72))/MAX(N(BA72),1)&gt;SG_Criteria!$B$55,"NOTE: register rebar differs from schedule by "&amp;TEXT(ABS(BE72-N(BA72))/MAX(N(BA72),1),"0%"),"OK")))</f>
        <v/>
      </c>
      <c r="BG72" s="33" t="str">
        <f aca="false">IF(OR(D72="",F72=""),"",IF(F72&lt;=IF(D72="Soldier Pile &amp; Timber Lagging",SG_Criteria!$B$34,SG_Criteria!$B$33),"No ERSS submission",IF(F72&lt;=SG_Criteria!$B$35,"QP(ST)",IF(F72&lt;=SG_Criteria!$B$36,"QP(ST) + AC","Geotechnical building works: QP(Geo) + AC"))))</f>
        <v/>
      </c>
      <c r="BH72" s="33" t="str">
        <f aca="false">IF(D72="","",IF(LEN(IF(AND(AC72&lt;&gt;"",IFERROR(VALUE(MID(AC72,2,2)),0)&lt;SG_Criteria!$B$19),"FAIL: grade below C"&amp;SG_Criteria!$B$19&amp;". ","")&amp;IF(AND(LEFT(D72,3)="Con",N(I72)&lt;F72,H72="Kallang Formation (marine clay)"),"NOTE: CBP is not watertight below GWT in marine clay; consider secant / grouting. ","")&amp;IF(AND(D72="Steel Sheet Pile",E72="Permanent"),"NOTE: permanent sheet pile needs corrosion allowance. ","")&amp;IF(AND(G72="Cantilever (no support)",F72&gt;6),"NOTE: cantilever embedded wall &gt; 6 m, check deflection. ","")&amp;IF(AND(T72&lt;&gt;"",U72&lt;&gt;"",T72&gt;U72),"FAIL: deflection exceeds allowable. ",""))=0,"OK",IF(AND(AC72&lt;&gt;"",IFERROR(VALUE(MID(AC72,2,2)),0)&lt;SG_Criteria!$B$19),"FAIL: grade below C"&amp;SG_Criteria!$B$19&amp;". ","")&amp;IF(AND(LEFT(D72,3)="Con",N(I72)&lt;F72,H72="Kallang Formation (marine clay)"),"NOTE: CBP is not watertight below GWT in marine clay; consider secant / grouting. ","")&amp;IF(AND(D72="Steel Sheet Pile",E72="Permanent"),"NOTE: permanent sheet pile needs corrosion allowance. ","")&amp;IF(AND(G72="Cantilever (no support)",F72&gt;6),"NOTE: cantilever embedded wall &gt; 6 m, check deflection. ","")&amp;IF(AND(T72&lt;&gt;"",U72&lt;&gt;"",T72&gt;U72),"FAIL: deflection exceeds allowable. ","")))</f>
        <v/>
      </c>
      <c r="BI72" s="9"/>
      <c r="BJ72" s="9"/>
      <c r="BK72" s="9"/>
      <c r="BL72" s="10" t="str">
        <f aca="false">IF(BK72="","",IFERROR(VLOOKUP(BK72,Projects!$A$5:$D$504,2,0),"Ref not in Projects"))</f>
        <v/>
      </c>
      <c r="BM72" s="10" t="str">
        <f aca="false">IF(BK72="","",IFERROR(VLOOKUP(BK72,Projects!$A$5:$D$504,4,0),"Ref not in Projects"))</f>
        <v/>
      </c>
      <c r="BN72" s="9"/>
      <c r="BO72" s="9"/>
      <c r="BP72" s="9"/>
      <c r="BQ72" s="40"/>
      <c r="BR72" s="9"/>
      <c r="BS72" s="40"/>
      <c r="BT72" s="9"/>
      <c r="BU72" s="40"/>
      <c r="BV72" s="9"/>
      <c r="BW72" s="9"/>
      <c r="BX72" s="9"/>
      <c r="BY72" s="40"/>
      <c r="BZ72" s="40"/>
      <c r="CA72" s="36" t="str">
        <f aca="false">IF(BZ72="","",EDATE(BZ72,SG_Criteria!$B$54*12))</f>
        <v/>
      </c>
      <c r="CB72" s="33" t="str">
        <f aca="true">IF(A72="","",IF(BZ72="","NOTE: not reviewed yet",IF(TODAY()&gt;CA72,"NOTE: review overdue","OK")))</f>
        <v/>
      </c>
      <c r="CC72" s="37" t="str">
        <f aca="false">IF(A72="","",ROUND((IF(LEN(D72)&gt;0,1,0)+IF(LEN(E72)&gt;0,1,0)+IF(LEN(F72)&gt;0,1,0)+IF(LEN(G72)&gt;0,1,0)+IF(LEN(H72)&gt;0,1,0)+IF(LEN(I72)&gt;0,1,0)+IF(LEN(K72)&gt;0,1,0)+IF(LEN(N72)&gt;0,1,0)+IF(LEN(O72)&gt;0,1,0)+IF(LEN(T72)&gt;0,1,0)+IF(LEN(U72)&gt;0,1,0)+IF(LEN(V72)&gt;0,1,0)+IF(LEN(AK72)&gt;0,1,0)+IF(LEN(AM72)&gt;0,1,0)+IF(LEN(AN72)&gt;0,1,0)+IF(LEN(AO72)&gt;0,1,0)+IF(LEN(AP72)&gt;0,1,0)+IF(LEN(AY72)&gt;0,1,0)+IF(LEN(BK72)&gt;0,1,0)+IF(LEN(BX72)&gt;0,1,0))/20,2))</f>
        <v/>
      </c>
      <c r="CD72" s="10" t="str">
        <f aca="false">IF(D72="","",IF(AND(AN72="Approved",ISERROR(SEARCH("FAIL",BH72))),"Y","N"))</f>
        <v/>
      </c>
      <c r="CE72" s="10" t="str">
        <f aca="false">IF(D72="","",D72&amp;"|"&amp;F72&amp;"|"&amp;G72&amp;"|"&amp;H72&amp;"|"&amp;E72&amp;"|"&amp;CD72)</f>
        <v/>
      </c>
    </row>
    <row r="73" customFormat="false" ht="15" hidden="false" customHeight="false" outlineLevel="0" collapsed="false">
      <c r="A73" s="10" t="str">
        <f aca="false">IF(D73="","","EW-"&amp;IFERROR(VLOOKUP(D73,Lists!$P$4:$Q$22,2,0),"??")&amp;"-D"&amp;TEXT(F73*1000,"0000")&amp;"-"&amp;IFERROR(VLOOKUP(G73,Lists!$S$4:$T$21,2,0),"??")&amp;"-"&amp;IFERROR(VLOOKUP(H73,Lists!$Y$4:$Z$21,2,0),"??")&amp;"-"&amp;IFERROR(VLOOKUP(E73,Lists!$V$4:$W$16,2,0),"??")&amp;"-"&amp;AM73)</f>
        <v/>
      </c>
      <c r="B73" s="10" t="str">
        <f aca="false">IF(D73="","",E73&amp;" "&amp;D73&amp;", excavation "&amp;TEXT(F73,"0.0")&amp;" m, "&amp;G73&amp;", "&amp;H73&amp;", "&amp;K73)</f>
        <v/>
      </c>
      <c r="C73" s="9"/>
      <c r="D73" s="9"/>
      <c r="E73" s="9"/>
      <c r="F73" s="42"/>
      <c r="G73" s="9"/>
      <c r="H73" s="9"/>
      <c r="I73" s="42"/>
      <c r="J73" s="38"/>
      <c r="K73" s="9"/>
      <c r="L73" s="9"/>
      <c r="M73" s="9"/>
      <c r="N73" s="42"/>
      <c r="O73" s="42"/>
      <c r="P73" s="9"/>
      <c r="Q73" s="9"/>
      <c r="R73" s="9"/>
      <c r="S73" s="9"/>
      <c r="T73" s="38"/>
      <c r="U73" s="38"/>
      <c r="V73" s="38"/>
      <c r="W73" s="38"/>
      <c r="X73" s="38"/>
      <c r="Y73" s="9"/>
      <c r="Z73" s="39"/>
      <c r="AA73" s="9"/>
      <c r="AB73" s="9"/>
      <c r="AC73" s="9"/>
      <c r="AD73" s="9"/>
      <c r="AE73" s="9"/>
      <c r="AF73" s="9"/>
      <c r="AG73" s="9"/>
      <c r="AH73" s="38"/>
      <c r="AI73" s="9"/>
      <c r="AJ73" s="39"/>
      <c r="AK73" s="9"/>
      <c r="AL73" s="9"/>
      <c r="AM73" s="9"/>
      <c r="AN73" s="9"/>
      <c r="AO73" s="9"/>
      <c r="AP73" s="9"/>
      <c r="AQ73" s="9"/>
      <c r="AR73" s="10" t="str">
        <f aca="false">IF(A73="","",SG_Criteria!$B$6&amp;SG_Criteria!$B$9&amp;"\"&amp;A73&amp;"\")</f>
        <v/>
      </c>
      <c r="AS73" s="10" t="str">
        <f aca="false">IF(A73="","",A73&amp;"_CAD.dwg")</f>
        <v/>
      </c>
      <c r="AT73" s="10" t="str">
        <f aca="false">IF(A73="","",A73&amp;"_DWG.pdf")</f>
        <v/>
      </c>
      <c r="AU73" s="10" t="str">
        <f aca="false">IF(A73="","",IF(AQ73="Y",A73&amp;"_STAAD.std","n/a"))</f>
        <v/>
      </c>
      <c r="AV73" s="10" t="str">
        <f aca="false">IF(A73="","",A73&amp;"_CALC.xlsx")</f>
        <v/>
      </c>
      <c r="AW73" s="10" t="str">
        <f aca="false">IF(A73="","",A73&amp;"_CALC.pdf")</f>
        <v/>
      </c>
      <c r="AX73" s="9"/>
      <c r="AY73" s="9"/>
      <c r="AZ73" s="39"/>
      <c r="BA73" s="39"/>
      <c r="BB73" s="39"/>
      <c r="BC73" s="39"/>
      <c r="BD73" s="39"/>
      <c r="BE73" s="12" t="str">
        <f aca="false">IF(A73="","",IF(COUNTIF(Rebar_Schedule!$A$5:$A$2004,A73)=0,"",ROUND(SUMIF(Rebar_Schedule!$A$5:$A$2004,A73,Rebar_Schedule!$K$5:$K$2004),1)))</f>
        <v/>
      </c>
      <c r="BF73" s="33" t="str">
        <f aca="false">IF(A73="","",IF(BE73="","No rebar schedule yet",IF(ABS(BE73-N(BA73))/MAX(N(BA73),1)&gt;SG_Criteria!$B$55,"NOTE: register rebar differs from schedule by "&amp;TEXT(ABS(BE73-N(BA73))/MAX(N(BA73),1),"0%"),"OK")))</f>
        <v/>
      </c>
      <c r="BG73" s="33" t="str">
        <f aca="false">IF(OR(D73="",F73=""),"",IF(F73&lt;=IF(D73="Soldier Pile &amp; Timber Lagging",SG_Criteria!$B$34,SG_Criteria!$B$33),"No ERSS submission",IF(F73&lt;=SG_Criteria!$B$35,"QP(ST)",IF(F73&lt;=SG_Criteria!$B$36,"QP(ST) + AC","Geotechnical building works: QP(Geo) + AC"))))</f>
        <v/>
      </c>
      <c r="BH73" s="33" t="str">
        <f aca="false">IF(D73="","",IF(LEN(IF(AND(AC73&lt;&gt;"",IFERROR(VALUE(MID(AC73,2,2)),0)&lt;SG_Criteria!$B$19),"FAIL: grade below C"&amp;SG_Criteria!$B$19&amp;". ","")&amp;IF(AND(LEFT(D73,3)="Con",N(I73)&lt;F73,H73="Kallang Formation (marine clay)"),"NOTE: CBP is not watertight below GWT in marine clay; consider secant / grouting. ","")&amp;IF(AND(D73="Steel Sheet Pile",E73="Permanent"),"NOTE: permanent sheet pile needs corrosion allowance. ","")&amp;IF(AND(G73="Cantilever (no support)",F73&gt;6),"NOTE: cantilever embedded wall &gt; 6 m, check deflection. ","")&amp;IF(AND(T73&lt;&gt;"",U73&lt;&gt;"",T73&gt;U73),"FAIL: deflection exceeds allowable. ",""))=0,"OK",IF(AND(AC73&lt;&gt;"",IFERROR(VALUE(MID(AC73,2,2)),0)&lt;SG_Criteria!$B$19),"FAIL: grade below C"&amp;SG_Criteria!$B$19&amp;". ","")&amp;IF(AND(LEFT(D73,3)="Con",N(I73)&lt;F73,H73="Kallang Formation (marine clay)"),"NOTE: CBP is not watertight below GWT in marine clay; consider secant / grouting. ","")&amp;IF(AND(D73="Steel Sheet Pile",E73="Permanent"),"NOTE: permanent sheet pile needs corrosion allowance. ","")&amp;IF(AND(G73="Cantilever (no support)",F73&gt;6),"NOTE: cantilever embedded wall &gt; 6 m, check deflection. ","")&amp;IF(AND(T73&lt;&gt;"",U73&lt;&gt;"",T73&gt;U73),"FAIL: deflection exceeds allowable. ","")))</f>
        <v/>
      </c>
      <c r="BI73" s="9"/>
      <c r="BJ73" s="9"/>
      <c r="BK73" s="9"/>
      <c r="BL73" s="10" t="str">
        <f aca="false">IF(BK73="","",IFERROR(VLOOKUP(BK73,Projects!$A$5:$D$504,2,0),"Ref not in Projects"))</f>
        <v/>
      </c>
      <c r="BM73" s="10" t="str">
        <f aca="false">IF(BK73="","",IFERROR(VLOOKUP(BK73,Projects!$A$5:$D$504,4,0),"Ref not in Projects"))</f>
        <v/>
      </c>
      <c r="BN73" s="9"/>
      <c r="BO73" s="9"/>
      <c r="BP73" s="9"/>
      <c r="BQ73" s="40"/>
      <c r="BR73" s="9"/>
      <c r="BS73" s="40"/>
      <c r="BT73" s="9"/>
      <c r="BU73" s="40"/>
      <c r="BV73" s="9"/>
      <c r="BW73" s="9"/>
      <c r="BX73" s="9"/>
      <c r="BY73" s="40"/>
      <c r="BZ73" s="40"/>
      <c r="CA73" s="36" t="str">
        <f aca="false">IF(BZ73="","",EDATE(BZ73,SG_Criteria!$B$54*12))</f>
        <v/>
      </c>
      <c r="CB73" s="33" t="str">
        <f aca="true">IF(A73="","",IF(BZ73="","NOTE: not reviewed yet",IF(TODAY()&gt;CA73,"NOTE: review overdue","OK")))</f>
        <v/>
      </c>
      <c r="CC73" s="37" t="str">
        <f aca="false">IF(A73="","",ROUND((IF(LEN(D73)&gt;0,1,0)+IF(LEN(E73)&gt;0,1,0)+IF(LEN(F73)&gt;0,1,0)+IF(LEN(G73)&gt;0,1,0)+IF(LEN(H73)&gt;0,1,0)+IF(LEN(I73)&gt;0,1,0)+IF(LEN(K73)&gt;0,1,0)+IF(LEN(N73)&gt;0,1,0)+IF(LEN(O73)&gt;0,1,0)+IF(LEN(T73)&gt;0,1,0)+IF(LEN(U73)&gt;0,1,0)+IF(LEN(V73)&gt;0,1,0)+IF(LEN(AK73)&gt;0,1,0)+IF(LEN(AM73)&gt;0,1,0)+IF(LEN(AN73)&gt;0,1,0)+IF(LEN(AO73)&gt;0,1,0)+IF(LEN(AP73)&gt;0,1,0)+IF(LEN(AY73)&gt;0,1,0)+IF(LEN(BK73)&gt;0,1,0)+IF(LEN(BX73)&gt;0,1,0))/20,2))</f>
        <v/>
      </c>
      <c r="CD73" s="10" t="str">
        <f aca="false">IF(D73="","",IF(AND(AN73="Approved",ISERROR(SEARCH("FAIL",BH73))),"Y","N"))</f>
        <v/>
      </c>
      <c r="CE73" s="10" t="str">
        <f aca="false">IF(D73="","",D73&amp;"|"&amp;F73&amp;"|"&amp;G73&amp;"|"&amp;H73&amp;"|"&amp;E73&amp;"|"&amp;CD73)</f>
        <v/>
      </c>
    </row>
    <row r="74" customFormat="false" ht="15" hidden="false" customHeight="false" outlineLevel="0" collapsed="false">
      <c r="A74" s="10" t="str">
        <f aca="false">IF(D74="","","EW-"&amp;IFERROR(VLOOKUP(D74,Lists!$P$4:$Q$22,2,0),"??")&amp;"-D"&amp;TEXT(F74*1000,"0000")&amp;"-"&amp;IFERROR(VLOOKUP(G74,Lists!$S$4:$T$21,2,0),"??")&amp;"-"&amp;IFERROR(VLOOKUP(H74,Lists!$Y$4:$Z$21,2,0),"??")&amp;"-"&amp;IFERROR(VLOOKUP(E74,Lists!$V$4:$W$16,2,0),"??")&amp;"-"&amp;AM74)</f>
        <v/>
      </c>
      <c r="B74" s="10" t="str">
        <f aca="false">IF(D74="","",E74&amp;" "&amp;D74&amp;", excavation "&amp;TEXT(F74,"0.0")&amp;" m, "&amp;G74&amp;", "&amp;H74&amp;", "&amp;K74)</f>
        <v/>
      </c>
      <c r="C74" s="9"/>
      <c r="D74" s="9"/>
      <c r="E74" s="9"/>
      <c r="F74" s="42"/>
      <c r="G74" s="9"/>
      <c r="H74" s="9"/>
      <c r="I74" s="42"/>
      <c r="J74" s="38"/>
      <c r="K74" s="9"/>
      <c r="L74" s="9"/>
      <c r="M74" s="9"/>
      <c r="N74" s="42"/>
      <c r="O74" s="42"/>
      <c r="P74" s="9"/>
      <c r="Q74" s="9"/>
      <c r="R74" s="9"/>
      <c r="S74" s="9"/>
      <c r="T74" s="38"/>
      <c r="U74" s="38"/>
      <c r="V74" s="38"/>
      <c r="W74" s="38"/>
      <c r="X74" s="38"/>
      <c r="Y74" s="9"/>
      <c r="Z74" s="39"/>
      <c r="AA74" s="9"/>
      <c r="AB74" s="9"/>
      <c r="AC74" s="9"/>
      <c r="AD74" s="9"/>
      <c r="AE74" s="9"/>
      <c r="AF74" s="9"/>
      <c r="AG74" s="9"/>
      <c r="AH74" s="38"/>
      <c r="AI74" s="9"/>
      <c r="AJ74" s="39"/>
      <c r="AK74" s="9"/>
      <c r="AL74" s="9"/>
      <c r="AM74" s="9"/>
      <c r="AN74" s="9"/>
      <c r="AO74" s="9"/>
      <c r="AP74" s="9"/>
      <c r="AQ74" s="9"/>
      <c r="AR74" s="10" t="str">
        <f aca="false">IF(A74="","",SG_Criteria!$B$6&amp;SG_Criteria!$B$9&amp;"\"&amp;A74&amp;"\")</f>
        <v/>
      </c>
      <c r="AS74" s="10" t="str">
        <f aca="false">IF(A74="","",A74&amp;"_CAD.dwg")</f>
        <v/>
      </c>
      <c r="AT74" s="10" t="str">
        <f aca="false">IF(A74="","",A74&amp;"_DWG.pdf")</f>
        <v/>
      </c>
      <c r="AU74" s="10" t="str">
        <f aca="false">IF(A74="","",IF(AQ74="Y",A74&amp;"_STAAD.std","n/a"))</f>
        <v/>
      </c>
      <c r="AV74" s="10" t="str">
        <f aca="false">IF(A74="","",A74&amp;"_CALC.xlsx")</f>
        <v/>
      </c>
      <c r="AW74" s="10" t="str">
        <f aca="false">IF(A74="","",A74&amp;"_CALC.pdf")</f>
        <v/>
      </c>
      <c r="AX74" s="9"/>
      <c r="AY74" s="9"/>
      <c r="AZ74" s="39"/>
      <c r="BA74" s="39"/>
      <c r="BB74" s="39"/>
      <c r="BC74" s="39"/>
      <c r="BD74" s="39"/>
      <c r="BE74" s="12" t="str">
        <f aca="false">IF(A74="","",IF(COUNTIF(Rebar_Schedule!$A$5:$A$2004,A74)=0,"",ROUND(SUMIF(Rebar_Schedule!$A$5:$A$2004,A74,Rebar_Schedule!$K$5:$K$2004),1)))</f>
        <v/>
      </c>
      <c r="BF74" s="33" t="str">
        <f aca="false">IF(A74="","",IF(BE74="","No rebar schedule yet",IF(ABS(BE74-N(BA74))/MAX(N(BA74),1)&gt;SG_Criteria!$B$55,"NOTE: register rebar differs from schedule by "&amp;TEXT(ABS(BE74-N(BA74))/MAX(N(BA74),1),"0%"),"OK")))</f>
        <v/>
      </c>
      <c r="BG74" s="33" t="str">
        <f aca="false">IF(OR(D74="",F74=""),"",IF(F74&lt;=IF(D74="Soldier Pile &amp; Timber Lagging",SG_Criteria!$B$34,SG_Criteria!$B$33),"No ERSS submission",IF(F74&lt;=SG_Criteria!$B$35,"QP(ST)",IF(F74&lt;=SG_Criteria!$B$36,"QP(ST) + AC","Geotechnical building works: QP(Geo) + AC"))))</f>
        <v/>
      </c>
      <c r="BH74" s="33" t="str">
        <f aca="false">IF(D74="","",IF(LEN(IF(AND(AC74&lt;&gt;"",IFERROR(VALUE(MID(AC74,2,2)),0)&lt;SG_Criteria!$B$19),"FAIL: grade below C"&amp;SG_Criteria!$B$19&amp;". ","")&amp;IF(AND(LEFT(D74,3)="Con",N(I74)&lt;F74,H74="Kallang Formation (marine clay)"),"NOTE: CBP is not watertight below GWT in marine clay; consider secant / grouting. ","")&amp;IF(AND(D74="Steel Sheet Pile",E74="Permanent"),"NOTE: permanent sheet pile needs corrosion allowance. ","")&amp;IF(AND(G74="Cantilever (no support)",F74&gt;6),"NOTE: cantilever embedded wall &gt; 6 m, check deflection. ","")&amp;IF(AND(T74&lt;&gt;"",U74&lt;&gt;"",T74&gt;U74),"FAIL: deflection exceeds allowable. ",""))=0,"OK",IF(AND(AC74&lt;&gt;"",IFERROR(VALUE(MID(AC74,2,2)),0)&lt;SG_Criteria!$B$19),"FAIL: grade below C"&amp;SG_Criteria!$B$19&amp;". ","")&amp;IF(AND(LEFT(D74,3)="Con",N(I74)&lt;F74,H74="Kallang Formation (marine clay)"),"NOTE: CBP is not watertight below GWT in marine clay; consider secant / grouting. ","")&amp;IF(AND(D74="Steel Sheet Pile",E74="Permanent"),"NOTE: permanent sheet pile needs corrosion allowance. ","")&amp;IF(AND(G74="Cantilever (no support)",F74&gt;6),"NOTE: cantilever embedded wall &gt; 6 m, check deflection. ","")&amp;IF(AND(T74&lt;&gt;"",U74&lt;&gt;"",T74&gt;U74),"FAIL: deflection exceeds allowable. ","")))</f>
        <v/>
      </c>
      <c r="BI74" s="9"/>
      <c r="BJ74" s="9"/>
      <c r="BK74" s="9"/>
      <c r="BL74" s="10" t="str">
        <f aca="false">IF(BK74="","",IFERROR(VLOOKUP(BK74,Projects!$A$5:$D$504,2,0),"Ref not in Projects"))</f>
        <v/>
      </c>
      <c r="BM74" s="10" t="str">
        <f aca="false">IF(BK74="","",IFERROR(VLOOKUP(BK74,Projects!$A$5:$D$504,4,0),"Ref not in Projects"))</f>
        <v/>
      </c>
      <c r="BN74" s="9"/>
      <c r="BO74" s="9"/>
      <c r="BP74" s="9"/>
      <c r="BQ74" s="40"/>
      <c r="BR74" s="9"/>
      <c r="BS74" s="40"/>
      <c r="BT74" s="9"/>
      <c r="BU74" s="40"/>
      <c r="BV74" s="9"/>
      <c r="BW74" s="9"/>
      <c r="BX74" s="9"/>
      <c r="BY74" s="40"/>
      <c r="BZ74" s="40"/>
      <c r="CA74" s="36" t="str">
        <f aca="false">IF(BZ74="","",EDATE(BZ74,SG_Criteria!$B$54*12))</f>
        <v/>
      </c>
      <c r="CB74" s="33" t="str">
        <f aca="true">IF(A74="","",IF(BZ74="","NOTE: not reviewed yet",IF(TODAY()&gt;CA74,"NOTE: review overdue","OK")))</f>
        <v/>
      </c>
      <c r="CC74" s="37" t="str">
        <f aca="false">IF(A74="","",ROUND((IF(LEN(D74)&gt;0,1,0)+IF(LEN(E74)&gt;0,1,0)+IF(LEN(F74)&gt;0,1,0)+IF(LEN(G74)&gt;0,1,0)+IF(LEN(H74)&gt;0,1,0)+IF(LEN(I74)&gt;0,1,0)+IF(LEN(K74)&gt;0,1,0)+IF(LEN(N74)&gt;0,1,0)+IF(LEN(O74)&gt;0,1,0)+IF(LEN(T74)&gt;0,1,0)+IF(LEN(U74)&gt;0,1,0)+IF(LEN(V74)&gt;0,1,0)+IF(LEN(AK74)&gt;0,1,0)+IF(LEN(AM74)&gt;0,1,0)+IF(LEN(AN74)&gt;0,1,0)+IF(LEN(AO74)&gt;0,1,0)+IF(LEN(AP74)&gt;0,1,0)+IF(LEN(AY74)&gt;0,1,0)+IF(LEN(BK74)&gt;0,1,0)+IF(LEN(BX74)&gt;0,1,0))/20,2))</f>
        <v/>
      </c>
      <c r="CD74" s="10" t="str">
        <f aca="false">IF(D74="","",IF(AND(AN74="Approved",ISERROR(SEARCH("FAIL",BH74))),"Y","N"))</f>
        <v/>
      </c>
      <c r="CE74" s="10" t="str">
        <f aca="false">IF(D74="","",D74&amp;"|"&amp;F74&amp;"|"&amp;G74&amp;"|"&amp;H74&amp;"|"&amp;E74&amp;"|"&amp;CD74)</f>
        <v/>
      </c>
    </row>
    <row r="75" customFormat="false" ht="15" hidden="false" customHeight="false" outlineLevel="0" collapsed="false">
      <c r="A75" s="10" t="str">
        <f aca="false">IF(D75="","","EW-"&amp;IFERROR(VLOOKUP(D75,Lists!$P$4:$Q$22,2,0),"??")&amp;"-D"&amp;TEXT(F75*1000,"0000")&amp;"-"&amp;IFERROR(VLOOKUP(G75,Lists!$S$4:$T$21,2,0),"??")&amp;"-"&amp;IFERROR(VLOOKUP(H75,Lists!$Y$4:$Z$21,2,0),"??")&amp;"-"&amp;IFERROR(VLOOKUP(E75,Lists!$V$4:$W$16,2,0),"??")&amp;"-"&amp;AM75)</f>
        <v/>
      </c>
      <c r="B75" s="10" t="str">
        <f aca="false">IF(D75="","",E75&amp;" "&amp;D75&amp;", excavation "&amp;TEXT(F75,"0.0")&amp;" m, "&amp;G75&amp;", "&amp;H75&amp;", "&amp;K75)</f>
        <v/>
      </c>
      <c r="C75" s="9"/>
      <c r="D75" s="9"/>
      <c r="E75" s="9"/>
      <c r="F75" s="42"/>
      <c r="G75" s="9"/>
      <c r="H75" s="9"/>
      <c r="I75" s="42"/>
      <c r="J75" s="38"/>
      <c r="K75" s="9"/>
      <c r="L75" s="9"/>
      <c r="M75" s="9"/>
      <c r="N75" s="42"/>
      <c r="O75" s="42"/>
      <c r="P75" s="9"/>
      <c r="Q75" s="9"/>
      <c r="R75" s="9"/>
      <c r="S75" s="9"/>
      <c r="T75" s="38"/>
      <c r="U75" s="38"/>
      <c r="V75" s="38"/>
      <c r="W75" s="38"/>
      <c r="X75" s="38"/>
      <c r="Y75" s="9"/>
      <c r="Z75" s="39"/>
      <c r="AA75" s="9"/>
      <c r="AB75" s="9"/>
      <c r="AC75" s="9"/>
      <c r="AD75" s="9"/>
      <c r="AE75" s="9"/>
      <c r="AF75" s="9"/>
      <c r="AG75" s="9"/>
      <c r="AH75" s="38"/>
      <c r="AI75" s="9"/>
      <c r="AJ75" s="39"/>
      <c r="AK75" s="9"/>
      <c r="AL75" s="9"/>
      <c r="AM75" s="9"/>
      <c r="AN75" s="9"/>
      <c r="AO75" s="9"/>
      <c r="AP75" s="9"/>
      <c r="AQ75" s="9"/>
      <c r="AR75" s="10" t="str">
        <f aca="false">IF(A75="","",SG_Criteria!$B$6&amp;SG_Criteria!$B$9&amp;"\"&amp;A75&amp;"\")</f>
        <v/>
      </c>
      <c r="AS75" s="10" t="str">
        <f aca="false">IF(A75="","",A75&amp;"_CAD.dwg")</f>
        <v/>
      </c>
      <c r="AT75" s="10" t="str">
        <f aca="false">IF(A75="","",A75&amp;"_DWG.pdf")</f>
        <v/>
      </c>
      <c r="AU75" s="10" t="str">
        <f aca="false">IF(A75="","",IF(AQ75="Y",A75&amp;"_STAAD.std","n/a"))</f>
        <v/>
      </c>
      <c r="AV75" s="10" t="str">
        <f aca="false">IF(A75="","",A75&amp;"_CALC.xlsx")</f>
        <v/>
      </c>
      <c r="AW75" s="10" t="str">
        <f aca="false">IF(A75="","",A75&amp;"_CALC.pdf")</f>
        <v/>
      </c>
      <c r="AX75" s="9"/>
      <c r="AY75" s="9"/>
      <c r="AZ75" s="39"/>
      <c r="BA75" s="39"/>
      <c r="BB75" s="39"/>
      <c r="BC75" s="39"/>
      <c r="BD75" s="39"/>
      <c r="BE75" s="12" t="str">
        <f aca="false">IF(A75="","",IF(COUNTIF(Rebar_Schedule!$A$5:$A$2004,A75)=0,"",ROUND(SUMIF(Rebar_Schedule!$A$5:$A$2004,A75,Rebar_Schedule!$K$5:$K$2004),1)))</f>
        <v/>
      </c>
      <c r="BF75" s="33" t="str">
        <f aca="false">IF(A75="","",IF(BE75="","No rebar schedule yet",IF(ABS(BE75-N(BA75))/MAX(N(BA75),1)&gt;SG_Criteria!$B$55,"NOTE: register rebar differs from schedule by "&amp;TEXT(ABS(BE75-N(BA75))/MAX(N(BA75),1),"0%"),"OK")))</f>
        <v/>
      </c>
      <c r="BG75" s="33" t="str">
        <f aca="false">IF(OR(D75="",F75=""),"",IF(F75&lt;=IF(D75="Soldier Pile &amp; Timber Lagging",SG_Criteria!$B$34,SG_Criteria!$B$33),"No ERSS submission",IF(F75&lt;=SG_Criteria!$B$35,"QP(ST)",IF(F75&lt;=SG_Criteria!$B$36,"QP(ST) + AC","Geotechnical building works: QP(Geo) + AC"))))</f>
        <v/>
      </c>
      <c r="BH75" s="33" t="str">
        <f aca="false">IF(D75="","",IF(LEN(IF(AND(AC75&lt;&gt;"",IFERROR(VALUE(MID(AC75,2,2)),0)&lt;SG_Criteria!$B$19),"FAIL: grade below C"&amp;SG_Criteria!$B$19&amp;". ","")&amp;IF(AND(LEFT(D75,3)="Con",N(I75)&lt;F75,H75="Kallang Formation (marine clay)"),"NOTE: CBP is not watertight below GWT in marine clay; consider secant / grouting. ","")&amp;IF(AND(D75="Steel Sheet Pile",E75="Permanent"),"NOTE: permanent sheet pile needs corrosion allowance. ","")&amp;IF(AND(G75="Cantilever (no support)",F75&gt;6),"NOTE: cantilever embedded wall &gt; 6 m, check deflection. ","")&amp;IF(AND(T75&lt;&gt;"",U75&lt;&gt;"",T75&gt;U75),"FAIL: deflection exceeds allowable. ",""))=0,"OK",IF(AND(AC75&lt;&gt;"",IFERROR(VALUE(MID(AC75,2,2)),0)&lt;SG_Criteria!$B$19),"FAIL: grade below C"&amp;SG_Criteria!$B$19&amp;". ","")&amp;IF(AND(LEFT(D75,3)="Con",N(I75)&lt;F75,H75="Kallang Formation (marine clay)"),"NOTE: CBP is not watertight below GWT in marine clay; consider secant / grouting. ","")&amp;IF(AND(D75="Steel Sheet Pile",E75="Permanent"),"NOTE: permanent sheet pile needs corrosion allowance. ","")&amp;IF(AND(G75="Cantilever (no support)",F75&gt;6),"NOTE: cantilever embedded wall &gt; 6 m, check deflection. ","")&amp;IF(AND(T75&lt;&gt;"",U75&lt;&gt;"",T75&gt;U75),"FAIL: deflection exceeds allowable. ","")))</f>
        <v/>
      </c>
      <c r="BI75" s="9"/>
      <c r="BJ75" s="9"/>
      <c r="BK75" s="9"/>
      <c r="BL75" s="10" t="str">
        <f aca="false">IF(BK75="","",IFERROR(VLOOKUP(BK75,Projects!$A$5:$D$504,2,0),"Ref not in Projects"))</f>
        <v/>
      </c>
      <c r="BM75" s="10" t="str">
        <f aca="false">IF(BK75="","",IFERROR(VLOOKUP(BK75,Projects!$A$5:$D$504,4,0),"Ref not in Projects"))</f>
        <v/>
      </c>
      <c r="BN75" s="9"/>
      <c r="BO75" s="9"/>
      <c r="BP75" s="9"/>
      <c r="BQ75" s="40"/>
      <c r="BR75" s="9"/>
      <c r="BS75" s="40"/>
      <c r="BT75" s="9"/>
      <c r="BU75" s="40"/>
      <c r="BV75" s="9"/>
      <c r="BW75" s="9"/>
      <c r="BX75" s="9"/>
      <c r="BY75" s="40"/>
      <c r="BZ75" s="40"/>
      <c r="CA75" s="36" t="str">
        <f aca="false">IF(BZ75="","",EDATE(BZ75,SG_Criteria!$B$54*12))</f>
        <v/>
      </c>
      <c r="CB75" s="33" t="str">
        <f aca="true">IF(A75="","",IF(BZ75="","NOTE: not reviewed yet",IF(TODAY()&gt;CA75,"NOTE: review overdue","OK")))</f>
        <v/>
      </c>
      <c r="CC75" s="37" t="str">
        <f aca="false">IF(A75="","",ROUND((IF(LEN(D75)&gt;0,1,0)+IF(LEN(E75)&gt;0,1,0)+IF(LEN(F75)&gt;0,1,0)+IF(LEN(G75)&gt;0,1,0)+IF(LEN(H75)&gt;0,1,0)+IF(LEN(I75)&gt;0,1,0)+IF(LEN(K75)&gt;0,1,0)+IF(LEN(N75)&gt;0,1,0)+IF(LEN(O75)&gt;0,1,0)+IF(LEN(T75)&gt;0,1,0)+IF(LEN(U75)&gt;0,1,0)+IF(LEN(V75)&gt;0,1,0)+IF(LEN(AK75)&gt;0,1,0)+IF(LEN(AM75)&gt;0,1,0)+IF(LEN(AN75)&gt;0,1,0)+IF(LEN(AO75)&gt;0,1,0)+IF(LEN(AP75)&gt;0,1,0)+IF(LEN(AY75)&gt;0,1,0)+IF(LEN(BK75)&gt;0,1,0)+IF(LEN(BX75)&gt;0,1,0))/20,2))</f>
        <v/>
      </c>
      <c r="CD75" s="10" t="str">
        <f aca="false">IF(D75="","",IF(AND(AN75="Approved",ISERROR(SEARCH("FAIL",BH75))),"Y","N"))</f>
        <v/>
      </c>
      <c r="CE75" s="10" t="str">
        <f aca="false">IF(D75="","",D75&amp;"|"&amp;F75&amp;"|"&amp;G75&amp;"|"&amp;H75&amp;"|"&amp;E75&amp;"|"&amp;CD75)</f>
        <v/>
      </c>
    </row>
    <row r="76" customFormat="false" ht="15" hidden="false" customHeight="false" outlineLevel="0" collapsed="false">
      <c r="A76" s="10" t="str">
        <f aca="false">IF(D76="","","EW-"&amp;IFERROR(VLOOKUP(D76,Lists!$P$4:$Q$22,2,0),"??")&amp;"-D"&amp;TEXT(F76*1000,"0000")&amp;"-"&amp;IFERROR(VLOOKUP(G76,Lists!$S$4:$T$21,2,0),"??")&amp;"-"&amp;IFERROR(VLOOKUP(H76,Lists!$Y$4:$Z$21,2,0),"??")&amp;"-"&amp;IFERROR(VLOOKUP(E76,Lists!$V$4:$W$16,2,0),"??")&amp;"-"&amp;AM76)</f>
        <v/>
      </c>
      <c r="B76" s="10" t="str">
        <f aca="false">IF(D76="","",E76&amp;" "&amp;D76&amp;", excavation "&amp;TEXT(F76,"0.0")&amp;" m, "&amp;G76&amp;", "&amp;H76&amp;", "&amp;K76)</f>
        <v/>
      </c>
      <c r="C76" s="9"/>
      <c r="D76" s="9"/>
      <c r="E76" s="9"/>
      <c r="F76" s="42"/>
      <c r="G76" s="9"/>
      <c r="H76" s="9"/>
      <c r="I76" s="42"/>
      <c r="J76" s="38"/>
      <c r="K76" s="9"/>
      <c r="L76" s="9"/>
      <c r="M76" s="9"/>
      <c r="N76" s="42"/>
      <c r="O76" s="42"/>
      <c r="P76" s="9"/>
      <c r="Q76" s="9"/>
      <c r="R76" s="9"/>
      <c r="S76" s="9"/>
      <c r="T76" s="38"/>
      <c r="U76" s="38"/>
      <c r="V76" s="38"/>
      <c r="W76" s="38"/>
      <c r="X76" s="38"/>
      <c r="Y76" s="9"/>
      <c r="Z76" s="39"/>
      <c r="AA76" s="9"/>
      <c r="AB76" s="9"/>
      <c r="AC76" s="9"/>
      <c r="AD76" s="9"/>
      <c r="AE76" s="9"/>
      <c r="AF76" s="9"/>
      <c r="AG76" s="9"/>
      <c r="AH76" s="38"/>
      <c r="AI76" s="9"/>
      <c r="AJ76" s="39"/>
      <c r="AK76" s="9"/>
      <c r="AL76" s="9"/>
      <c r="AM76" s="9"/>
      <c r="AN76" s="9"/>
      <c r="AO76" s="9"/>
      <c r="AP76" s="9"/>
      <c r="AQ76" s="9"/>
      <c r="AR76" s="10" t="str">
        <f aca="false">IF(A76="","",SG_Criteria!$B$6&amp;SG_Criteria!$B$9&amp;"\"&amp;A76&amp;"\")</f>
        <v/>
      </c>
      <c r="AS76" s="10" t="str">
        <f aca="false">IF(A76="","",A76&amp;"_CAD.dwg")</f>
        <v/>
      </c>
      <c r="AT76" s="10" t="str">
        <f aca="false">IF(A76="","",A76&amp;"_DWG.pdf")</f>
        <v/>
      </c>
      <c r="AU76" s="10" t="str">
        <f aca="false">IF(A76="","",IF(AQ76="Y",A76&amp;"_STAAD.std","n/a"))</f>
        <v/>
      </c>
      <c r="AV76" s="10" t="str">
        <f aca="false">IF(A76="","",A76&amp;"_CALC.xlsx")</f>
        <v/>
      </c>
      <c r="AW76" s="10" t="str">
        <f aca="false">IF(A76="","",A76&amp;"_CALC.pdf")</f>
        <v/>
      </c>
      <c r="AX76" s="9"/>
      <c r="AY76" s="9"/>
      <c r="AZ76" s="39"/>
      <c r="BA76" s="39"/>
      <c r="BB76" s="39"/>
      <c r="BC76" s="39"/>
      <c r="BD76" s="39"/>
      <c r="BE76" s="12" t="str">
        <f aca="false">IF(A76="","",IF(COUNTIF(Rebar_Schedule!$A$5:$A$2004,A76)=0,"",ROUND(SUMIF(Rebar_Schedule!$A$5:$A$2004,A76,Rebar_Schedule!$K$5:$K$2004),1)))</f>
        <v/>
      </c>
      <c r="BF76" s="33" t="str">
        <f aca="false">IF(A76="","",IF(BE76="","No rebar schedule yet",IF(ABS(BE76-N(BA76))/MAX(N(BA76),1)&gt;SG_Criteria!$B$55,"NOTE: register rebar differs from schedule by "&amp;TEXT(ABS(BE76-N(BA76))/MAX(N(BA76),1),"0%"),"OK")))</f>
        <v/>
      </c>
      <c r="BG76" s="33" t="str">
        <f aca="false">IF(OR(D76="",F76=""),"",IF(F76&lt;=IF(D76="Soldier Pile &amp; Timber Lagging",SG_Criteria!$B$34,SG_Criteria!$B$33),"No ERSS submission",IF(F76&lt;=SG_Criteria!$B$35,"QP(ST)",IF(F76&lt;=SG_Criteria!$B$36,"QP(ST) + AC","Geotechnical building works: QP(Geo) + AC"))))</f>
        <v/>
      </c>
      <c r="BH76" s="33" t="str">
        <f aca="false">IF(D76="","",IF(LEN(IF(AND(AC76&lt;&gt;"",IFERROR(VALUE(MID(AC76,2,2)),0)&lt;SG_Criteria!$B$19),"FAIL: grade below C"&amp;SG_Criteria!$B$19&amp;". ","")&amp;IF(AND(LEFT(D76,3)="Con",N(I76)&lt;F76,H76="Kallang Formation (marine clay)"),"NOTE: CBP is not watertight below GWT in marine clay; consider secant / grouting. ","")&amp;IF(AND(D76="Steel Sheet Pile",E76="Permanent"),"NOTE: permanent sheet pile needs corrosion allowance. ","")&amp;IF(AND(G76="Cantilever (no support)",F76&gt;6),"NOTE: cantilever embedded wall &gt; 6 m, check deflection. ","")&amp;IF(AND(T76&lt;&gt;"",U76&lt;&gt;"",T76&gt;U76),"FAIL: deflection exceeds allowable. ",""))=0,"OK",IF(AND(AC76&lt;&gt;"",IFERROR(VALUE(MID(AC76,2,2)),0)&lt;SG_Criteria!$B$19),"FAIL: grade below C"&amp;SG_Criteria!$B$19&amp;". ","")&amp;IF(AND(LEFT(D76,3)="Con",N(I76)&lt;F76,H76="Kallang Formation (marine clay)"),"NOTE: CBP is not watertight below GWT in marine clay; consider secant / grouting. ","")&amp;IF(AND(D76="Steel Sheet Pile",E76="Permanent"),"NOTE: permanent sheet pile needs corrosion allowance. ","")&amp;IF(AND(G76="Cantilever (no support)",F76&gt;6),"NOTE: cantilever embedded wall &gt; 6 m, check deflection. ","")&amp;IF(AND(T76&lt;&gt;"",U76&lt;&gt;"",T76&gt;U76),"FAIL: deflection exceeds allowable. ","")))</f>
        <v/>
      </c>
      <c r="BI76" s="9"/>
      <c r="BJ76" s="9"/>
      <c r="BK76" s="9"/>
      <c r="BL76" s="10" t="str">
        <f aca="false">IF(BK76="","",IFERROR(VLOOKUP(BK76,Projects!$A$5:$D$504,2,0),"Ref not in Projects"))</f>
        <v/>
      </c>
      <c r="BM76" s="10" t="str">
        <f aca="false">IF(BK76="","",IFERROR(VLOOKUP(BK76,Projects!$A$5:$D$504,4,0),"Ref not in Projects"))</f>
        <v/>
      </c>
      <c r="BN76" s="9"/>
      <c r="BO76" s="9"/>
      <c r="BP76" s="9"/>
      <c r="BQ76" s="40"/>
      <c r="BR76" s="9"/>
      <c r="BS76" s="40"/>
      <c r="BT76" s="9"/>
      <c r="BU76" s="40"/>
      <c r="BV76" s="9"/>
      <c r="BW76" s="9"/>
      <c r="BX76" s="9"/>
      <c r="BY76" s="40"/>
      <c r="BZ76" s="40"/>
      <c r="CA76" s="36" t="str">
        <f aca="false">IF(BZ76="","",EDATE(BZ76,SG_Criteria!$B$54*12))</f>
        <v/>
      </c>
      <c r="CB76" s="33" t="str">
        <f aca="true">IF(A76="","",IF(BZ76="","NOTE: not reviewed yet",IF(TODAY()&gt;CA76,"NOTE: review overdue","OK")))</f>
        <v/>
      </c>
      <c r="CC76" s="37" t="str">
        <f aca="false">IF(A76="","",ROUND((IF(LEN(D76)&gt;0,1,0)+IF(LEN(E76)&gt;0,1,0)+IF(LEN(F76)&gt;0,1,0)+IF(LEN(G76)&gt;0,1,0)+IF(LEN(H76)&gt;0,1,0)+IF(LEN(I76)&gt;0,1,0)+IF(LEN(K76)&gt;0,1,0)+IF(LEN(N76)&gt;0,1,0)+IF(LEN(O76)&gt;0,1,0)+IF(LEN(T76)&gt;0,1,0)+IF(LEN(U76)&gt;0,1,0)+IF(LEN(V76)&gt;0,1,0)+IF(LEN(AK76)&gt;0,1,0)+IF(LEN(AM76)&gt;0,1,0)+IF(LEN(AN76)&gt;0,1,0)+IF(LEN(AO76)&gt;0,1,0)+IF(LEN(AP76)&gt;0,1,0)+IF(LEN(AY76)&gt;0,1,0)+IF(LEN(BK76)&gt;0,1,0)+IF(LEN(BX76)&gt;0,1,0))/20,2))</f>
        <v/>
      </c>
      <c r="CD76" s="10" t="str">
        <f aca="false">IF(D76="","",IF(AND(AN76="Approved",ISERROR(SEARCH("FAIL",BH76))),"Y","N"))</f>
        <v/>
      </c>
      <c r="CE76" s="10" t="str">
        <f aca="false">IF(D76="","",D76&amp;"|"&amp;F76&amp;"|"&amp;G76&amp;"|"&amp;H76&amp;"|"&amp;E76&amp;"|"&amp;CD76)</f>
        <v/>
      </c>
    </row>
    <row r="77" customFormat="false" ht="15" hidden="false" customHeight="false" outlineLevel="0" collapsed="false">
      <c r="A77" s="10" t="str">
        <f aca="false">IF(D77="","","EW-"&amp;IFERROR(VLOOKUP(D77,Lists!$P$4:$Q$22,2,0),"??")&amp;"-D"&amp;TEXT(F77*1000,"0000")&amp;"-"&amp;IFERROR(VLOOKUP(G77,Lists!$S$4:$T$21,2,0),"??")&amp;"-"&amp;IFERROR(VLOOKUP(H77,Lists!$Y$4:$Z$21,2,0),"??")&amp;"-"&amp;IFERROR(VLOOKUP(E77,Lists!$V$4:$W$16,2,0),"??")&amp;"-"&amp;AM77)</f>
        <v/>
      </c>
      <c r="B77" s="10" t="str">
        <f aca="false">IF(D77="","",E77&amp;" "&amp;D77&amp;", excavation "&amp;TEXT(F77,"0.0")&amp;" m, "&amp;G77&amp;", "&amp;H77&amp;", "&amp;K77)</f>
        <v/>
      </c>
      <c r="C77" s="9"/>
      <c r="D77" s="9"/>
      <c r="E77" s="9"/>
      <c r="F77" s="42"/>
      <c r="G77" s="9"/>
      <c r="H77" s="9"/>
      <c r="I77" s="42"/>
      <c r="J77" s="38"/>
      <c r="K77" s="9"/>
      <c r="L77" s="9"/>
      <c r="M77" s="9"/>
      <c r="N77" s="42"/>
      <c r="O77" s="42"/>
      <c r="P77" s="9"/>
      <c r="Q77" s="9"/>
      <c r="R77" s="9"/>
      <c r="S77" s="9"/>
      <c r="T77" s="38"/>
      <c r="U77" s="38"/>
      <c r="V77" s="38"/>
      <c r="W77" s="38"/>
      <c r="X77" s="38"/>
      <c r="Y77" s="9"/>
      <c r="Z77" s="39"/>
      <c r="AA77" s="9"/>
      <c r="AB77" s="9"/>
      <c r="AC77" s="9"/>
      <c r="AD77" s="9"/>
      <c r="AE77" s="9"/>
      <c r="AF77" s="9"/>
      <c r="AG77" s="9"/>
      <c r="AH77" s="38"/>
      <c r="AI77" s="9"/>
      <c r="AJ77" s="39"/>
      <c r="AK77" s="9"/>
      <c r="AL77" s="9"/>
      <c r="AM77" s="9"/>
      <c r="AN77" s="9"/>
      <c r="AO77" s="9"/>
      <c r="AP77" s="9"/>
      <c r="AQ77" s="9"/>
      <c r="AR77" s="10" t="str">
        <f aca="false">IF(A77="","",SG_Criteria!$B$6&amp;SG_Criteria!$B$9&amp;"\"&amp;A77&amp;"\")</f>
        <v/>
      </c>
      <c r="AS77" s="10" t="str">
        <f aca="false">IF(A77="","",A77&amp;"_CAD.dwg")</f>
        <v/>
      </c>
      <c r="AT77" s="10" t="str">
        <f aca="false">IF(A77="","",A77&amp;"_DWG.pdf")</f>
        <v/>
      </c>
      <c r="AU77" s="10" t="str">
        <f aca="false">IF(A77="","",IF(AQ77="Y",A77&amp;"_STAAD.std","n/a"))</f>
        <v/>
      </c>
      <c r="AV77" s="10" t="str">
        <f aca="false">IF(A77="","",A77&amp;"_CALC.xlsx")</f>
        <v/>
      </c>
      <c r="AW77" s="10" t="str">
        <f aca="false">IF(A77="","",A77&amp;"_CALC.pdf")</f>
        <v/>
      </c>
      <c r="AX77" s="9"/>
      <c r="AY77" s="9"/>
      <c r="AZ77" s="39"/>
      <c r="BA77" s="39"/>
      <c r="BB77" s="39"/>
      <c r="BC77" s="39"/>
      <c r="BD77" s="39"/>
      <c r="BE77" s="12" t="str">
        <f aca="false">IF(A77="","",IF(COUNTIF(Rebar_Schedule!$A$5:$A$2004,A77)=0,"",ROUND(SUMIF(Rebar_Schedule!$A$5:$A$2004,A77,Rebar_Schedule!$K$5:$K$2004),1)))</f>
        <v/>
      </c>
      <c r="BF77" s="33" t="str">
        <f aca="false">IF(A77="","",IF(BE77="","No rebar schedule yet",IF(ABS(BE77-N(BA77))/MAX(N(BA77),1)&gt;SG_Criteria!$B$55,"NOTE: register rebar differs from schedule by "&amp;TEXT(ABS(BE77-N(BA77))/MAX(N(BA77),1),"0%"),"OK")))</f>
        <v/>
      </c>
      <c r="BG77" s="33" t="str">
        <f aca="false">IF(OR(D77="",F77=""),"",IF(F77&lt;=IF(D77="Soldier Pile &amp; Timber Lagging",SG_Criteria!$B$34,SG_Criteria!$B$33),"No ERSS submission",IF(F77&lt;=SG_Criteria!$B$35,"QP(ST)",IF(F77&lt;=SG_Criteria!$B$36,"QP(ST) + AC","Geotechnical building works: QP(Geo) + AC"))))</f>
        <v/>
      </c>
      <c r="BH77" s="33" t="str">
        <f aca="false">IF(D77="","",IF(LEN(IF(AND(AC77&lt;&gt;"",IFERROR(VALUE(MID(AC77,2,2)),0)&lt;SG_Criteria!$B$19),"FAIL: grade below C"&amp;SG_Criteria!$B$19&amp;". ","")&amp;IF(AND(LEFT(D77,3)="Con",N(I77)&lt;F77,H77="Kallang Formation (marine clay)"),"NOTE: CBP is not watertight below GWT in marine clay; consider secant / grouting. ","")&amp;IF(AND(D77="Steel Sheet Pile",E77="Permanent"),"NOTE: permanent sheet pile needs corrosion allowance. ","")&amp;IF(AND(G77="Cantilever (no support)",F77&gt;6),"NOTE: cantilever embedded wall &gt; 6 m, check deflection. ","")&amp;IF(AND(T77&lt;&gt;"",U77&lt;&gt;"",T77&gt;U77),"FAIL: deflection exceeds allowable. ",""))=0,"OK",IF(AND(AC77&lt;&gt;"",IFERROR(VALUE(MID(AC77,2,2)),0)&lt;SG_Criteria!$B$19),"FAIL: grade below C"&amp;SG_Criteria!$B$19&amp;". ","")&amp;IF(AND(LEFT(D77,3)="Con",N(I77)&lt;F77,H77="Kallang Formation (marine clay)"),"NOTE: CBP is not watertight below GWT in marine clay; consider secant / grouting. ","")&amp;IF(AND(D77="Steel Sheet Pile",E77="Permanent"),"NOTE: permanent sheet pile needs corrosion allowance. ","")&amp;IF(AND(G77="Cantilever (no support)",F77&gt;6),"NOTE: cantilever embedded wall &gt; 6 m, check deflection. ","")&amp;IF(AND(T77&lt;&gt;"",U77&lt;&gt;"",T77&gt;U77),"FAIL: deflection exceeds allowable. ","")))</f>
        <v/>
      </c>
      <c r="BI77" s="9"/>
      <c r="BJ77" s="9"/>
      <c r="BK77" s="9"/>
      <c r="BL77" s="10" t="str">
        <f aca="false">IF(BK77="","",IFERROR(VLOOKUP(BK77,Projects!$A$5:$D$504,2,0),"Ref not in Projects"))</f>
        <v/>
      </c>
      <c r="BM77" s="10" t="str">
        <f aca="false">IF(BK77="","",IFERROR(VLOOKUP(BK77,Projects!$A$5:$D$504,4,0),"Ref not in Projects"))</f>
        <v/>
      </c>
      <c r="BN77" s="9"/>
      <c r="BO77" s="9"/>
      <c r="BP77" s="9"/>
      <c r="BQ77" s="40"/>
      <c r="BR77" s="9"/>
      <c r="BS77" s="40"/>
      <c r="BT77" s="9"/>
      <c r="BU77" s="40"/>
      <c r="BV77" s="9"/>
      <c r="BW77" s="9"/>
      <c r="BX77" s="9"/>
      <c r="BY77" s="40"/>
      <c r="BZ77" s="40"/>
      <c r="CA77" s="36" t="str">
        <f aca="false">IF(BZ77="","",EDATE(BZ77,SG_Criteria!$B$54*12))</f>
        <v/>
      </c>
      <c r="CB77" s="33" t="str">
        <f aca="true">IF(A77="","",IF(BZ77="","NOTE: not reviewed yet",IF(TODAY()&gt;CA77,"NOTE: review overdue","OK")))</f>
        <v/>
      </c>
      <c r="CC77" s="37" t="str">
        <f aca="false">IF(A77="","",ROUND((IF(LEN(D77)&gt;0,1,0)+IF(LEN(E77)&gt;0,1,0)+IF(LEN(F77)&gt;0,1,0)+IF(LEN(G77)&gt;0,1,0)+IF(LEN(H77)&gt;0,1,0)+IF(LEN(I77)&gt;0,1,0)+IF(LEN(K77)&gt;0,1,0)+IF(LEN(N77)&gt;0,1,0)+IF(LEN(O77)&gt;0,1,0)+IF(LEN(T77)&gt;0,1,0)+IF(LEN(U77)&gt;0,1,0)+IF(LEN(V77)&gt;0,1,0)+IF(LEN(AK77)&gt;0,1,0)+IF(LEN(AM77)&gt;0,1,0)+IF(LEN(AN77)&gt;0,1,0)+IF(LEN(AO77)&gt;0,1,0)+IF(LEN(AP77)&gt;0,1,0)+IF(LEN(AY77)&gt;0,1,0)+IF(LEN(BK77)&gt;0,1,0)+IF(LEN(BX77)&gt;0,1,0))/20,2))</f>
        <v/>
      </c>
      <c r="CD77" s="10" t="str">
        <f aca="false">IF(D77="","",IF(AND(AN77="Approved",ISERROR(SEARCH("FAIL",BH77))),"Y","N"))</f>
        <v/>
      </c>
      <c r="CE77" s="10" t="str">
        <f aca="false">IF(D77="","",D77&amp;"|"&amp;F77&amp;"|"&amp;G77&amp;"|"&amp;H77&amp;"|"&amp;E77&amp;"|"&amp;CD77)</f>
        <v/>
      </c>
    </row>
    <row r="78" customFormat="false" ht="15" hidden="false" customHeight="false" outlineLevel="0" collapsed="false">
      <c r="A78" s="10" t="str">
        <f aca="false">IF(D78="","","EW-"&amp;IFERROR(VLOOKUP(D78,Lists!$P$4:$Q$22,2,0),"??")&amp;"-D"&amp;TEXT(F78*1000,"0000")&amp;"-"&amp;IFERROR(VLOOKUP(G78,Lists!$S$4:$T$21,2,0),"??")&amp;"-"&amp;IFERROR(VLOOKUP(H78,Lists!$Y$4:$Z$21,2,0),"??")&amp;"-"&amp;IFERROR(VLOOKUP(E78,Lists!$V$4:$W$16,2,0),"??")&amp;"-"&amp;AM78)</f>
        <v/>
      </c>
      <c r="B78" s="10" t="str">
        <f aca="false">IF(D78="","",E78&amp;" "&amp;D78&amp;", excavation "&amp;TEXT(F78,"0.0")&amp;" m, "&amp;G78&amp;", "&amp;H78&amp;", "&amp;K78)</f>
        <v/>
      </c>
      <c r="C78" s="9"/>
      <c r="D78" s="9"/>
      <c r="E78" s="9"/>
      <c r="F78" s="42"/>
      <c r="G78" s="9"/>
      <c r="H78" s="9"/>
      <c r="I78" s="42"/>
      <c r="J78" s="38"/>
      <c r="K78" s="9"/>
      <c r="L78" s="9"/>
      <c r="M78" s="9"/>
      <c r="N78" s="42"/>
      <c r="O78" s="42"/>
      <c r="P78" s="9"/>
      <c r="Q78" s="9"/>
      <c r="R78" s="9"/>
      <c r="S78" s="9"/>
      <c r="T78" s="38"/>
      <c r="U78" s="38"/>
      <c r="V78" s="38"/>
      <c r="W78" s="38"/>
      <c r="X78" s="38"/>
      <c r="Y78" s="9"/>
      <c r="Z78" s="39"/>
      <c r="AA78" s="9"/>
      <c r="AB78" s="9"/>
      <c r="AC78" s="9"/>
      <c r="AD78" s="9"/>
      <c r="AE78" s="9"/>
      <c r="AF78" s="9"/>
      <c r="AG78" s="9"/>
      <c r="AH78" s="38"/>
      <c r="AI78" s="9"/>
      <c r="AJ78" s="39"/>
      <c r="AK78" s="9"/>
      <c r="AL78" s="9"/>
      <c r="AM78" s="9"/>
      <c r="AN78" s="9"/>
      <c r="AO78" s="9"/>
      <c r="AP78" s="9"/>
      <c r="AQ78" s="9"/>
      <c r="AR78" s="10" t="str">
        <f aca="false">IF(A78="","",SG_Criteria!$B$6&amp;SG_Criteria!$B$9&amp;"\"&amp;A78&amp;"\")</f>
        <v/>
      </c>
      <c r="AS78" s="10" t="str">
        <f aca="false">IF(A78="","",A78&amp;"_CAD.dwg")</f>
        <v/>
      </c>
      <c r="AT78" s="10" t="str">
        <f aca="false">IF(A78="","",A78&amp;"_DWG.pdf")</f>
        <v/>
      </c>
      <c r="AU78" s="10" t="str">
        <f aca="false">IF(A78="","",IF(AQ78="Y",A78&amp;"_STAAD.std","n/a"))</f>
        <v/>
      </c>
      <c r="AV78" s="10" t="str">
        <f aca="false">IF(A78="","",A78&amp;"_CALC.xlsx")</f>
        <v/>
      </c>
      <c r="AW78" s="10" t="str">
        <f aca="false">IF(A78="","",A78&amp;"_CALC.pdf")</f>
        <v/>
      </c>
      <c r="AX78" s="9"/>
      <c r="AY78" s="9"/>
      <c r="AZ78" s="39"/>
      <c r="BA78" s="39"/>
      <c r="BB78" s="39"/>
      <c r="BC78" s="39"/>
      <c r="BD78" s="39"/>
      <c r="BE78" s="12" t="str">
        <f aca="false">IF(A78="","",IF(COUNTIF(Rebar_Schedule!$A$5:$A$2004,A78)=0,"",ROUND(SUMIF(Rebar_Schedule!$A$5:$A$2004,A78,Rebar_Schedule!$K$5:$K$2004),1)))</f>
        <v/>
      </c>
      <c r="BF78" s="33" t="str">
        <f aca="false">IF(A78="","",IF(BE78="","No rebar schedule yet",IF(ABS(BE78-N(BA78))/MAX(N(BA78),1)&gt;SG_Criteria!$B$55,"NOTE: register rebar differs from schedule by "&amp;TEXT(ABS(BE78-N(BA78))/MAX(N(BA78),1),"0%"),"OK")))</f>
        <v/>
      </c>
      <c r="BG78" s="33" t="str">
        <f aca="false">IF(OR(D78="",F78=""),"",IF(F78&lt;=IF(D78="Soldier Pile &amp; Timber Lagging",SG_Criteria!$B$34,SG_Criteria!$B$33),"No ERSS submission",IF(F78&lt;=SG_Criteria!$B$35,"QP(ST)",IF(F78&lt;=SG_Criteria!$B$36,"QP(ST) + AC","Geotechnical building works: QP(Geo) + AC"))))</f>
        <v/>
      </c>
      <c r="BH78" s="33" t="str">
        <f aca="false">IF(D78="","",IF(LEN(IF(AND(AC78&lt;&gt;"",IFERROR(VALUE(MID(AC78,2,2)),0)&lt;SG_Criteria!$B$19),"FAIL: grade below C"&amp;SG_Criteria!$B$19&amp;". ","")&amp;IF(AND(LEFT(D78,3)="Con",N(I78)&lt;F78,H78="Kallang Formation (marine clay)"),"NOTE: CBP is not watertight below GWT in marine clay; consider secant / grouting. ","")&amp;IF(AND(D78="Steel Sheet Pile",E78="Permanent"),"NOTE: permanent sheet pile needs corrosion allowance. ","")&amp;IF(AND(G78="Cantilever (no support)",F78&gt;6),"NOTE: cantilever embedded wall &gt; 6 m, check deflection. ","")&amp;IF(AND(T78&lt;&gt;"",U78&lt;&gt;"",T78&gt;U78),"FAIL: deflection exceeds allowable. ",""))=0,"OK",IF(AND(AC78&lt;&gt;"",IFERROR(VALUE(MID(AC78,2,2)),0)&lt;SG_Criteria!$B$19),"FAIL: grade below C"&amp;SG_Criteria!$B$19&amp;". ","")&amp;IF(AND(LEFT(D78,3)="Con",N(I78)&lt;F78,H78="Kallang Formation (marine clay)"),"NOTE: CBP is not watertight below GWT in marine clay; consider secant / grouting. ","")&amp;IF(AND(D78="Steel Sheet Pile",E78="Permanent"),"NOTE: permanent sheet pile needs corrosion allowance. ","")&amp;IF(AND(G78="Cantilever (no support)",F78&gt;6),"NOTE: cantilever embedded wall &gt; 6 m, check deflection. ","")&amp;IF(AND(T78&lt;&gt;"",U78&lt;&gt;"",T78&gt;U78),"FAIL: deflection exceeds allowable. ","")))</f>
        <v/>
      </c>
      <c r="BI78" s="9"/>
      <c r="BJ78" s="9"/>
      <c r="BK78" s="9"/>
      <c r="BL78" s="10" t="str">
        <f aca="false">IF(BK78="","",IFERROR(VLOOKUP(BK78,Projects!$A$5:$D$504,2,0),"Ref not in Projects"))</f>
        <v/>
      </c>
      <c r="BM78" s="10" t="str">
        <f aca="false">IF(BK78="","",IFERROR(VLOOKUP(BK78,Projects!$A$5:$D$504,4,0),"Ref not in Projects"))</f>
        <v/>
      </c>
      <c r="BN78" s="9"/>
      <c r="BO78" s="9"/>
      <c r="BP78" s="9"/>
      <c r="BQ78" s="40"/>
      <c r="BR78" s="9"/>
      <c r="BS78" s="40"/>
      <c r="BT78" s="9"/>
      <c r="BU78" s="40"/>
      <c r="BV78" s="9"/>
      <c r="BW78" s="9"/>
      <c r="BX78" s="9"/>
      <c r="BY78" s="40"/>
      <c r="BZ78" s="40"/>
      <c r="CA78" s="36" t="str">
        <f aca="false">IF(BZ78="","",EDATE(BZ78,SG_Criteria!$B$54*12))</f>
        <v/>
      </c>
      <c r="CB78" s="33" t="str">
        <f aca="true">IF(A78="","",IF(BZ78="","NOTE: not reviewed yet",IF(TODAY()&gt;CA78,"NOTE: review overdue","OK")))</f>
        <v/>
      </c>
      <c r="CC78" s="37" t="str">
        <f aca="false">IF(A78="","",ROUND((IF(LEN(D78)&gt;0,1,0)+IF(LEN(E78)&gt;0,1,0)+IF(LEN(F78)&gt;0,1,0)+IF(LEN(G78)&gt;0,1,0)+IF(LEN(H78)&gt;0,1,0)+IF(LEN(I78)&gt;0,1,0)+IF(LEN(K78)&gt;0,1,0)+IF(LEN(N78)&gt;0,1,0)+IF(LEN(O78)&gt;0,1,0)+IF(LEN(T78)&gt;0,1,0)+IF(LEN(U78)&gt;0,1,0)+IF(LEN(V78)&gt;0,1,0)+IF(LEN(AK78)&gt;0,1,0)+IF(LEN(AM78)&gt;0,1,0)+IF(LEN(AN78)&gt;0,1,0)+IF(LEN(AO78)&gt;0,1,0)+IF(LEN(AP78)&gt;0,1,0)+IF(LEN(AY78)&gt;0,1,0)+IF(LEN(BK78)&gt;0,1,0)+IF(LEN(BX78)&gt;0,1,0))/20,2))</f>
        <v/>
      </c>
      <c r="CD78" s="10" t="str">
        <f aca="false">IF(D78="","",IF(AND(AN78="Approved",ISERROR(SEARCH("FAIL",BH78))),"Y","N"))</f>
        <v/>
      </c>
      <c r="CE78" s="10" t="str">
        <f aca="false">IF(D78="","",D78&amp;"|"&amp;F78&amp;"|"&amp;G78&amp;"|"&amp;H78&amp;"|"&amp;E78&amp;"|"&amp;CD78)</f>
        <v/>
      </c>
    </row>
    <row r="79" customFormat="false" ht="15" hidden="false" customHeight="false" outlineLevel="0" collapsed="false">
      <c r="A79" s="10" t="str">
        <f aca="false">IF(D79="","","EW-"&amp;IFERROR(VLOOKUP(D79,Lists!$P$4:$Q$22,2,0),"??")&amp;"-D"&amp;TEXT(F79*1000,"0000")&amp;"-"&amp;IFERROR(VLOOKUP(G79,Lists!$S$4:$T$21,2,0),"??")&amp;"-"&amp;IFERROR(VLOOKUP(H79,Lists!$Y$4:$Z$21,2,0),"??")&amp;"-"&amp;IFERROR(VLOOKUP(E79,Lists!$V$4:$W$16,2,0),"??")&amp;"-"&amp;AM79)</f>
        <v/>
      </c>
      <c r="B79" s="10" t="str">
        <f aca="false">IF(D79="","",E79&amp;" "&amp;D79&amp;", excavation "&amp;TEXT(F79,"0.0")&amp;" m, "&amp;G79&amp;", "&amp;H79&amp;", "&amp;K79)</f>
        <v/>
      </c>
      <c r="C79" s="9"/>
      <c r="D79" s="9"/>
      <c r="E79" s="9"/>
      <c r="F79" s="42"/>
      <c r="G79" s="9"/>
      <c r="H79" s="9"/>
      <c r="I79" s="42"/>
      <c r="J79" s="38"/>
      <c r="K79" s="9"/>
      <c r="L79" s="9"/>
      <c r="M79" s="9"/>
      <c r="N79" s="42"/>
      <c r="O79" s="42"/>
      <c r="P79" s="9"/>
      <c r="Q79" s="9"/>
      <c r="R79" s="9"/>
      <c r="S79" s="9"/>
      <c r="T79" s="38"/>
      <c r="U79" s="38"/>
      <c r="V79" s="38"/>
      <c r="W79" s="38"/>
      <c r="X79" s="38"/>
      <c r="Y79" s="9"/>
      <c r="Z79" s="39"/>
      <c r="AA79" s="9"/>
      <c r="AB79" s="9"/>
      <c r="AC79" s="9"/>
      <c r="AD79" s="9"/>
      <c r="AE79" s="9"/>
      <c r="AF79" s="9"/>
      <c r="AG79" s="9"/>
      <c r="AH79" s="38"/>
      <c r="AI79" s="9"/>
      <c r="AJ79" s="39"/>
      <c r="AK79" s="9"/>
      <c r="AL79" s="9"/>
      <c r="AM79" s="9"/>
      <c r="AN79" s="9"/>
      <c r="AO79" s="9"/>
      <c r="AP79" s="9"/>
      <c r="AQ79" s="9"/>
      <c r="AR79" s="10" t="str">
        <f aca="false">IF(A79="","",SG_Criteria!$B$6&amp;SG_Criteria!$B$9&amp;"\"&amp;A79&amp;"\")</f>
        <v/>
      </c>
      <c r="AS79" s="10" t="str">
        <f aca="false">IF(A79="","",A79&amp;"_CAD.dwg")</f>
        <v/>
      </c>
      <c r="AT79" s="10" t="str">
        <f aca="false">IF(A79="","",A79&amp;"_DWG.pdf")</f>
        <v/>
      </c>
      <c r="AU79" s="10" t="str">
        <f aca="false">IF(A79="","",IF(AQ79="Y",A79&amp;"_STAAD.std","n/a"))</f>
        <v/>
      </c>
      <c r="AV79" s="10" t="str">
        <f aca="false">IF(A79="","",A79&amp;"_CALC.xlsx")</f>
        <v/>
      </c>
      <c r="AW79" s="10" t="str">
        <f aca="false">IF(A79="","",A79&amp;"_CALC.pdf")</f>
        <v/>
      </c>
      <c r="AX79" s="9"/>
      <c r="AY79" s="9"/>
      <c r="AZ79" s="39"/>
      <c r="BA79" s="39"/>
      <c r="BB79" s="39"/>
      <c r="BC79" s="39"/>
      <c r="BD79" s="39"/>
      <c r="BE79" s="12" t="str">
        <f aca="false">IF(A79="","",IF(COUNTIF(Rebar_Schedule!$A$5:$A$2004,A79)=0,"",ROUND(SUMIF(Rebar_Schedule!$A$5:$A$2004,A79,Rebar_Schedule!$K$5:$K$2004),1)))</f>
        <v/>
      </c>
      <c r="BF79" s="33" t="str">
        <f aca="false">IF(A79="","",IF(BE79="","No rebar schedule yet",IF(ABS(BE79-N(BA79))/MAX(N(BA79),1)&gt;SG_Criteria!$B$55,"NOTE: register rebar differs from schedule by "&amp;TEXT(ABS(BE79-N(BA79))/MAX(N(BA79),1),"0%"),"OK")))</f>
        <v/>
      </c>
      <c r="BG79" s="33" t="str">
        <f aca="false">IF(OR(D79="",F79=""),"",IF(F79&lt;=IF(D79="Soldier Pile &amp; Timber Lagging",SG_Criteria!$B$34,SG_Criteria!$B$33),"No ERSS submission",IF(F79&lt;=SG_Criteria!$B$35,"QP(ST)",IF(F79&lt;=SG_Criteria!$B$36,"QP(ST) + AC","Geotechnical building works: QP(Geo) + AC"))))</f>
        <v/>
      </c>
      <c r="BH79" s="33" t="str">
        <f aca="false">IF(D79="","",IF(LEN(IF(AND(AC79&lt;&gt;"",IFERROR(VALUE(MID(AC79,2,2)),0)&lt;SG_Criteria!$B$19),"FAIL: grade below C"&amp;SG_Criteria!$B$19&amp;". ","")&amp;IF(AND(LEFT(D79,3)="Con",N(I79)&lt;F79,H79="Kallang Formation (marine clay)"),"NOTE: CBP is not watertight below GWT in marine clay; consider secant / grouting. ","")&amp;IF(AND(D79="Steel Sheet Pile",E79="Permanent"),"NOTE: permanent sheet pile needs corrosion allowance. ","")&amp;IF(AND(G79="Cantilever (no support)",F79&gt;6),"NOTE: cantilever embedded wall &gt; 6 m, check deflection. ","")&amp;IF(AND(T79&lt;&gt;"",U79&lt;&gt;"",T79&gt;U79),"FAIL: deflection exceeds allowable. ",""))=0,"OK",IF(AND(AC79&lt;&gt;"",IFERROR(VALUE(MID(AC79,2,2)),0)&lt;SG_Criteria!$B$19),"FAIL: grade below C"&amp;SG_Criteria!$B$19&amp;". ","")&amp;IF(AND(LEFT(D79,3)="Con",N(I79)&lt;F79,H79="Kallang Formation (marine clay)"),"NOTE: CBP is not watertight below GWT in marine clay; consider secant / grouting. ","")&amp;IF(AND(D79="Steel Sheet Pile",E79="Permanent"),"NOTE: permanent sheet pile needs corrosion allowance. ","")&amp;IF(AND(G79="Cantilever (no support)",F79&gt;6),"NOTE: cantilever embedded wall &gt; 6 m, check deflection. ","")&amp;IF(AND(T79&lt;&gt;"",U79&lt;&gt;"",T79&gt;U79),"FAIL: deflection exceeds allowable. ","")))</f>
        <v/>
      </c>
      <c r="BI79" s="9"/>
      <c r="BJ79" s="9"/>
      <c r="BK79" s="9"/>
      <c r="BL79" s="10" t="str">
        <f aca="false">IF(BK79="","",IFERROR(VLOOKUP(BK79,Projects!$A$5:$D$504,2,0),"Ref not in Projects"))</f>
        <v/>
      </c>
      <c r="BM79" s="10" t="str">
        <f aca="false">IF(BK79="","",IFERROR(VLOOKUP(BK79,Projects!$A$5:$D$504,4,0),"Ref not in Projects"))</f>
        <v/>
      </c>
      <c r="BN79" s="9"/>
      <c r="BO79" s="9"/>
      <c r="BP79" s="9"/>
      <c r="BQ79" s="40"/>
      <c r="BR79" s="9"/>
      <c r="BS79" s="40"/>
      <c r="BT79" s="9"/>
      <c r="BU79" s="40"/>
      <c r="BV79" s="9"/>
      <c r="BW79" s="9"/>
      <c r="BX79" s="9"/>
      <c r="BY79" s="40"/>
      <c r="BZ79" s="40"/>
      <c r="CA79" s="36" t="str">
        <f aca="false">IF(BZ79="","",EDATE(BZ79,SG_Criteria!$B$54*12))</f>
        <v/>
      </c>
      <c r="CB79" s="33" t="str">
        <f aca="true">IF(A79="","",IF(BZ79="","NOTE: not reviewed yet",IF(TODAY()&gt;CA79,"NOTE: review overdue","OK")))</f>
        <v/>
      </c>
      <c r="CC79" s="37" t="str">
        <f aca="false">IF(A79="","",ROUND((IF(LEN(D79)&gt;0,1,0)+IF(LEN(E79)&gt;0,1,0)+IF(LEN(F79)&gt;0,1,0)+IF(LEN(G79)&gt;0,1,0)+IF(LEN(H79)&gt;0,1,0)+IF(LEN(I79)&gt;0,1,0)+IF(LEN(K79)&gt;0,1,0)+IF(LEN(N79)&gt;0,1,0)+IF(LEN(O79)&gt;0,1,0)+IF(LEN(T79)&gt;0,1,0)+IF(LEN(U79)&gt;0,1,0)+IF(LEN(V79)&gt;0,1,0)+IF(LEN(AK79)&gt;0,1,0)+IF(LEN(AM79)&gt;0,1,0)+IF(LEN(AN79)&gt;0,1,0)+IF(LEN(AO79)&gt;0,1,0)+IF(LEN(AP79)&gt;0,1,0)+IF(LEN(AY79)&gt;0,1,0)+IF(LEN(BK79)&gt;0,1,0)+IF(LEN(BX79)&gt;0,1,0))/20,2))</f>
        <v/>
      </c>
      <c r="CD79" s="10" t="str">
        <f aca="false">IF(D79="","",IF(AND(AN79="Approved",ISERROR(SEARCH("FAIL",BH79))),"Y","N"))</f>
        <v/>
      </c>
      <c r="CE79" s="10" t="str">
        <f aca="false">IF(D79="","",D79&amp;"|"&amp;F79&amp;"|"&amp;G79&amp;"|"&amp;H79&amp;"|"&amp;E79&amp;"|"&amp;CD79)</f>
        <v/>
      </c>
    </row>
    <row r="80" customFormat="false" ht="15" hidden="false" customHeight="false" outlineLevel="0" collapsed="false">
      <c r="A80" s="10" t="str">
        <f aca="false">IF(D80="","","EW-"&amp;IFERROR(VLOOKUP(D80,Lists!$P$4:$Q$22,2,0),"??")&amp;"-D"&amp;TEXT(F80*1000,"0000")&amp;"-"&amp;IFERROR(VLOOKUP(G80,Lists!$S$4:$T$21,2,0),"??")&amp;"-"&amp;IFERROR(VLOOKUP(H80,Lists!$Y$4:$Z$21,2,0),"??")&amp;"-"&amp;IFERROR(VLOOKUP(E80,Lists!$V$4:$W$16,2,0),"??")&amp;"-"&amp;AM80)</f>
        <v/>
      </c>
      <c r="B80" s="10" t="str">
        <f aca="false">IF(D80="","",E80&amp;" "&amp;D80&amp;", excavation "&amp;TEXT(F80,"0.0")&amp;" m, "&amp;G80&amp;", "&amp;H80&amp;", "&amp;K80)</f>
        <v/>
      </c>
      <c r="C80" s="9"/>
      <c r="D80" s="9"/>
      <c r="E80" s="9"/>
      <c r="F80" s="42"/>
      <c r="G80" s="9"/>
      <c r="H80" s="9"/>
      <c r="I80" s="42"/>
      <c r="J80" s="38"/>
      <c r="K80" s="9"/>
      <c r="L80" s="9"/>
      <c r="M80" s="9"/>
      <c r="N80" s="42"/>
      <c r="O80" s="42"/>
      <c r="P80" s="9"/>
      <c r="Q80" s="9"/>
      <c r="R80" s="9"/>
      <c r="S80" s="9"/>
      <c r="T80" s="38"/>
      <c r="U80" s="38"/>
      <c r="V80" s="38"/>
      <c r="W80" s="38"/>
      <c r="X80" s="38"/>
      <c r="Y80" s="9"/>
      <c r="Z80" s="39"/>
      <c r="AA80" s="9"/>
      <c r="AB80" s="9"/>
      <c r="AC80" s="9"/>
      <c r="AD80" s="9"/>
      <c r="AE80" s="9"/>
      <c r="AF80" s="9"/>
      <c r="AG80" s="9"/>
      <c r="AH80" s="38"/>
      <c r="AI80" s="9"/>
      <c r="AJ80" s="39"/>
      <c r="AK80" s="9"/>
      <c r="AL80" s="9"/>
      <c r="AM80" s="9"/>
      <c r="AN80" s="9"/>
      <c r="AO80" s="9"/>
      <c r="AP80" s="9"/>
      <c r="AQ80" s="9"/>
      <c r="AR80" s="10" t="str">
        <f aca="false">IF(A80="","",SG_Criteria!$B$6&amp;SG_Criteria!$B$9&amp;"\"&amp;A80&amp;"\")</f>
        <v/>
      </c>
      <c r="AS80" s="10" t="str">
        <f aca="false">IF(A80="","",A80&amp;"_CAD.dwg")</f>
        <v/>
      </c>
      <c r="AT80" s="10" t="str">
        <f aca="false">IF(A80="","",A80&amp;"_DWG.pdf")</f>
        <v/>
      </c>
      <c r="AU80" s="10" t="str">
        <f aca="false">IF(A80="","",IF(AQ80="Y",A80&amp;"_STAAD.std","n/a"))</f>
        <v/>
      </c>
      <c r="AV80" s="10" t="str">
        <f aca="false">IF(A80="","",A80&amp;"_CALC.xlsx")</f>
        <v/>
      </c>
      <c r="AW80" s="10" t="str">
        <f aca="false">IF(A80="","",A80&amp;"_CALC.pdf")</f>
        <v/>
      </c>
      <c r="AX80" s="9"/>
      <c r="AY80" s="9"/>
      <c r="AZ80" s="39"/>
      <c r="BA80" s="39"/>
      <c r="BB80" s="39"/>
      <c r="BC80" s="39"/>
      <c r="BD80" s="39"/>
      <c r="BE80" s="12" t="str">
        <f aca="false">IF(A80="","",IF(COUNTIF(Rebar_Schedule!$A$5:$A$2004,A80)=0,"",ROUND(SUMIF(Rebar_Schedule!$A$5:$A$2004,A80,Rebar_Schedule!$K$5:$K$2004),1)))</f>
        <v/>
      </c>
      <c r="BF80" s="33" t="str">
        <f aca="false">IF(A80="","",IF(BE80="","No rebar schedule yet",IF(ABS(BE80-N(BA80))/MAX(N(BA80),1)&gt;SG_Criteria!$B$55,"NOTE: register rebar differs from schedule by "&amp;TEXT(ABS(BE80-N(BA80))/MAX(N(BA80),1),"0%"),"OK")))</f>
        <v/>
      </c>
      <c r="BG80" s="33" t="str">
        <f aca="false">IF(OR(D80="",F80=""),"",IF(F80&lt;=IF(D80="Soldier Pile &amp; Timber Lagging",SG_Criteria!$B$34,SG_Criteria!$B$33),"No ERSS submission",IF(F80&lt;=SG_Criteria!$B$35,"QP(ST)",IF(F80&lt;=SG_Criteria!$B$36,"QP(ST) + AC","Geotechnical building works: QP(Geo) + AC"))))</f>
        <v/>
      </c>
      <c r="BH80" s="33" t="str">
        <f aca="false">IF(D80="","",IF(LEN(IF(AND(AC80&lt;&gt;"",IFERROR(VALUE(MID(AC80,2,2)),0)&lt;SG_Criteria!$B$19),"FAIL: grade below C"&amp;SG_Criteria!$B$19&amp;". ","")&amp;IF(AND(LEFT(D80,3)="Con",N(I80)&lt;F80,H80="Kallang Formation (marine clay)"),"NOTE: CBP is not watertight below GWT in marine clay; consider secant / grouting. ","")&amp;IF(AND(D80="Steel Sheet Pile",E80="Permanent"),"NOTE: permanent sheet pile needs corrosion allowance. ","")&amp;IF(AND(G80="Cantilever (no support)",F80&gt;6),"NOTE: cantilever embedded wall &gt; 6 m, check deflection. ","")&amp;IF(AND(T80&lt;&gt;"",U80&lt;&gt;"",T80&gt;U80),"FAIL: deflection exceeds allowable. ",""))=0,"OK",IF(AND(AC80&lt;&gt;"",IFERROR(VALUE(MID(AC80,2,2)),0)&lt;SG_Criteria!$B$19),"FAIL: grade below C"&amp;SG_Criteria!$B$19&amp;". ","")&amp;IF(AND(LEFT(D80,3)="Con",N(I80)&lt;F80,H80="Kallang Formation (marine clay)"),"NOTE: CBP is not watertight below GWT in marine clay; consider secant / grouting. ","")&amp;IF(AND(D80="Steel Sheet Pile",E80="Permanent"),"NOTE: permanent sheet pile needs corrosion allowance. ","")&amp;IF(AND(G80="Cantilever (no support)",F80&gt;6),"NOTE: cantilever embedded wall &gt; 6 m, check deflection. ","")&amp;IF(AND(T80&lt;&gt;"",U80&lt;&gt;"",T80&gt;U80),"FAIL: deflection exceeds allowable. ","")))</f>
        <v/>
      </c>
      <c r="BI80" s="9"/>
      <c r="BJ80" s="9"/>
      <c r="BK80" s="9"/>
      <c r="BL80" s="10" t="str">
        <f aca="false">IF(BK80="","",IFERROR(VLOOKUP(BK80,Projects!$A$5:$D$504,2,0),"Ref not in Projects"))</f>
        <v/>
      </c>
      <c r="BM80" s="10" t="str">
        <f aca="false">IF(BK80="","",IFERROR(VLOOKUP(BK80,Projects!$A$5:$D$504,4,0),"Ref not in Projects"))</f>
        <v/>
      </c>
      <c r="BN80" s="9"/>
      <c r="BO80" s="9"/>
      <c r="BP80" s="9"/>
      <c r="BQ80" s="40"/>
      <c r="BR80" s="9"/>
      <c r="BS80" s="40"/>
      <c r="BT80" s="9"/>
      <c r="BU80" s="40"/>
      <c r="BV80" s="9"/>
      <c r="BW80" s="9"/>
      <c r="BX80" s="9"/>
      <c r="BY80" s="40"/>
      <c r="BZ80" s="40"/>
      <c r="CA80" s="36" t="str">
        <f aca="false">IF(BZ80="","",EDATE(BZ80,SG_Criteria!$B$54*12))</f>
        <v/>
      </c>
      <c r="CB80" s="33" t="str">
        <f aca="true">IF(A80="","",IF(BZ80="","NOTE: not reviewed yet",IF(TODAY()&gt;CA80,"NOTE: review overdue","OK")))</f>
        <v/>
      </c>
      <c r="CC80" s="37" t="str">
        <f aca="false">IF(A80="","",ROUND((IF(LEN(D80)&gt;0,1,0)+IF(LEN(E80)&gt;0,1,0)+IF(LEN(F80)&gt;0,1,0)+IF(LEN(G80)&gt;0,1,0)+IF(LEN(H80)&gt;0,1,0)+IF(LEN(I80)&gt;0,1,0)+IF(LEN(K80)&gt;0,1,0)+IF(LEN(N80)&gt;0,1,0)+IF(LEN(O80)&gt;0,1,0)+IF(LEN(T80)&gt;0,1,0)+IF(LEN(U80)&gt;0,1,0)+IF(LEN(V80)&gt;0,1,0)+IF(LEN(AK80)&gt;0,1,0)+IF(LEN(AM80)&gt;0,1,0)+IF(LEN(AN80)&gt;0,1,0)+IF(LEN(AO80)&gt;0,1,0)+IF(LEN(AP80)&gt;0,1,0)+IF(LEN(AY80)&gt;0,1,0)+IF(LEN(BK80)&gt;0,1,0)+IF(LEN(BX80)&gt;0,1,0))/20,2))</f>
        <v/>
      </c>
      <c r="CD80" s="10" t="str">
        <f aca="false">IF(D80="","",IF(AND(AN80="Approved",ISERROR(SEARCH("FAIL",BH80))),"Y","N"))</f>
        <v/>
      </c>
      <c r="CE80" s="10" t="str">
        <f aca="false">IF(D80="","",D80&amp;"|"&amp;F80&amp;"|"&amp;G80&amp;"|"&amp;H80&amp;"|"&amp;E80&amp;"|"&amp;CD80)</f>
        <v/>
      </c>
    </row>
    <row r="81" customFormat="false" ht="15" hidden="false" customHeight="false" outlineLevel="0" collapsed="false">
      <c r="A81" s="10" t="str">
        <f aca="false">IF(D81="","","EW-"&amp;IFERROR(VLOOKUP(D81,Lists!$P$4:$Q$22,2,0),"??")&amp;"-D"&amp;TEXT(F81*1000,"0000")&amp;"-"&amp;IFERROR(VLOOKUP(G81,Lists!$S$4:$T$21,2,0),"??")&amp;"-"&amp;IFERROR(VLOOKUP(H81,Lists!$Y$4:$Z$21,2,0),"??")&amp;"-"&amp;IFERROR(VLOOKUP(E81,Lists!$V$4:$W$16,2,0),"??")&amp;"-"&amp;AM81)</f>
        <v/>
      </c>
      <c r="B81" s="10" t="str">
        <f aca="false">IF(D81="","",E81&amp;" "&amp;D81&amp;", excavation "&amp;TEXT(F81,"0.0")&amp;" m, "&amp;G81&amp;", "&amp;H81&amp;", "&amp;K81)</f>
        <v/>
      </c>
      <c r="C81" s="9"/>
      <c r="D81" s="9"/>
      <c r="E81" s="9"/>
      <c r="F81" s="42"/>
      <c r="G81" s="9"/>
      <c r="H81" s="9"/>
      <c r="I81" s="42"/>
      <c r="J81" s="38"/>
      <c r="K81" s="9"/>
      <c r="L81" s="9"/>
      <c r="M81" s="9"/>
      <c r="N81" s="42"/>
      <c r="O81" s="42"/>
      <c r="P81" s="9"/>
      <c r="Q81" s="9"/>
      <c r="R81" s="9"/>
      <c r="S81" s="9"/>
      <c r="T81" s="38"/>
      <c r="U81" s="38"/>
      <c r="V81" s="38"/>
      <c r="W81" s="38"/>
      <c r="X81" s="38"/>
      <c r="Y81" s="9"/>
      <c r="Z81" s="39"/>
      <c r="AA81" s="9"/>
      <c r="AB81" s="9"/>
      <c r="AC81" s="9"/>
      <c r="AD81" s="9"/>
      <c r="AE81" s="9"/>
      <c r="AF81" s="9"/>
      <c r="AG81" s="9"/>
      <c r="AH81" s="38"/>
      <c r="AI81" s="9"/>
      <c r="AJ81" s="39"/>
      <c r="AK81" s="9"/>
      <c r="AL81" s="9"/>
      <c r="AM81" s="9"/>
      <c r="AN81" s="9"/>
      <c r="AO81" s="9"/>
      <c r="AP81" s="9"/>
      <c r="AQ81" s="9"/>
      <c r="AR81" s="10" t="str">
        <f aca="false">IF(A81="","",SG_Criteria!$B$6&amp;SG_Criteria!$B$9&amp;"\"&amp;A81&amp;"\")</f>
        <v/>
      </c>
      <c r="AS81" s="10" t="str">
        <f aca="false">IF(A81="","",A81&amp;"_CAD.dwg")</f>
        <v/>
      </c>
      <c r="AT81" s="10" t="str">
        <f aca="false">IF(A81="","",A81&amp;"_DWG.pdf")</f>
        <v/>
      </c>
      <c r="AU81" s="10" t="str">
        <f aca="false">IF(A81="","",IF(AQ81="Y",A81&amp;"_STAAD.std","n/a"))</f>
        <v/>
      </c>
      <c r="AV81" s="10" t="str">
        <f aca="false">IF(A81="","",A81&amp;"_CALC.xlsx")</f>
        <v/>
      </c>
      <c r="AW81" s="10" t="str">
        <f aca="false">IF(A81="","",A81&amp;"_CALC.pdf")</f>
        <v/>
      </c>
      <c r="AX81" s="9"/>
      <c r="AY81" s="9"/>
      <c r="AZ81" s="39"/>
      <c r="BA81" s="39"/>
      <c r="BB81" s="39"/>
      <c r="BC81" s="39"/>
      <c r="BD81" s="39"/>
      <c r="BE81" s="12" t="str">
        <f aca="false">IF(A81="","",IF(COUNTIF(Rebar_Schedule!$A$5:$A$2004,A81)=0,"",ROUND(SUMIF(Rebar_Schedule!$A$5:$A$2004,A81,Rebar_Schedule!$K$5:$K$2004),1)))</f>
        <v/>
      </c>
      <c r="BF81" s="33" t="str">
        <f aca="false">IF(A81="","",IF(BE81="","No rebar schedule yet",IF(ABS(BE81-N(BA81))/MAX(N(BA81),1)&gt;SG_Criteria!$B$55,"NOTE: register rebar differs from schedule by "&amp;TEXT(ABS(BE81-N(BA81))/MAX(N(BA81),1),"0%"),"OK")))</f>
        <v/>
      </c>
      <c r="BG81" s="33" t="str">
        <f aca="false">IF(OR(D81="",F81=""),"",IF(F81&lt;=IF(D81="Soldier Pile &amp; Timber Lagging",SG_Criteria!$B$34,SG_Criteria!$B$33),"No ERSS submission",IF(F81&lt;=SG_Criteria!$B$35,"QP(ST)",IF(F81&lt;=SG_Criteria!$B$36,"QP(ST) + AC","Geotechnical building works: QP(Geo) + AC"))))</f>
        <v/>
      </c>
      <c r="BH81" s="33" t="str">
        <f aca="false">IF(D81="","",IF(LEN(IF(AND(AC81&lt;&gt;"",IFERROR(VALUE(MID(AC81,2,2)),0)&lt;SG_Criteria!$B$19),"FAIL: grade below C"&amp;SG_Criteria!$B$19&amp;". ","")&amp;IF(AND(LEFT(D81,3)="Con",N(I81)&lt;F81,H81="Kallang Formation (marine clay)"),"NOTE: CBP is not watertight below GWT in marine clay; consider secant / grouting. ","")&amp;IF(AND(D81="Steel Sheet Pile",E81="Permanent"),"NOTE: permanent sheet pile needs corrosion allowance. ","")&amp;IF(AND(G81="Cantilever (no support)",F81&gt;6),"NOTE: cantilever embedded wall &gt; 6 m, check deflection. ","")&amp;IF(AND(T81&lt;&gt;"",U81&lt;&gt;"",T81&gt;U81),"FAIL: deflection exceeds allowable. ",""))=0,"OK",IF(AND(AC81&lt;&gt;"",IFERROR(VALUE(MID(AC81,2,2)),0)&lt;SG_Criteria!$B$19),"FAIL: grade below C"&amp;SG_Criteria!$B$19&amp;". ","")&amp;IF(AND(LEFT(D81,3)="Con",N(I81)&lt;F81,H81="Kallang Formation (marine clay)"),"NOTE: CBP is not watertight below GWT in marine clay; consider secant / grouting. ","")&amp;IF(AND(D81="Steel Sheet Pile",E81="Permanent"),"NOTE: permanent sheet pile needs corrosion allowance. ","")&amp;IF(AND(G81="Cantilever (no support)",F81&gt;6),"NOTE: cantilever embedded wall &gt; 6 m, check deflection. ","")&amp;IF(AND(T81&lt;&gt;"",U81&lt;&gt;"",T81&gt;U81),"FAIL: deflection exceeds allowable. ","")))</f>
        <v/>
      </c>
      <c r="BI81" s="9"/>
      <c r="BJ81" s="9"/>
      <c r="BK81" s="9"/>
      <c r="BL81" s="10" t="str">
        <f aca="false">IF(BK81="","",IFERROR(VLOOKUP(BK81,Projects!$A$5:$D$504,2,0),"Ref not in Projects"))</f>
        <v/>
      </c>
      <c r="BM81" s="10" t="str">
        <f aca="false">IF(BK81="","",IFERROR(VLOOKUP(BK81,Projects!$A$5:$D$504,4,0),"Ref not in Projects"))</f>
        <v/>
      </c>
      <c r="BN81" s="9"/>
      <c r="BO81" s="9"/>
      <c r="BP81" s="9"/>
      <c r="BQ81" s="40"/>
      <c r="BR81" s="9"/>
      <c r="BS81" s="40"/>
      <c r="BT81" s="9"/>
      <c r="BU81" s="40"/>
      <c r="BV81" s="9"/>
      <c r="BW81" s="9"/>
      <c r="BX81" s="9"/>
      <c r="BY81" s="40"/>
      <c r="BZ81" s="40"/>
      <c r="CA81" s="36" t="str">
        <f aca="false">IF(BZ81="","",EDATE(BZ81,SG_Criteria!$B$54*12))</f>
        <v/>
      </c>
      <c r="CB81" s="33" t="str">
        <f aca="true">IF(A81="","",IF(BZ81="","NOTE: not reviewed yet",IF(TODAY()&gt;CA81,"NOTE: review overdue","OK")))</f>
        <v/>
      </c>
      <c r="CC81" s="37" t="str">
        <f aca="false">IF(A81="","",ROUND((IF(LEN(D81)&gt;0,1,0)+IF(LEN(E81)&gt;0,1,0)+IF(LEN(F81)&gt;0,1,0)+IF(LEN(G81)&gt;0,1,0)+IF(LEN(H81)&gt;0,1,0)+IF(LEN(I81)&gt;0,1,0)+IF(LEN(K81)&gt;0,1,0)+IF(LEN(N81)&gt;0,1,0)+IF(LEN(O81)&gt;0,1,0)+IF(LEN(T81)&gt;0,1,0)+IF(LEN(U81)&gt;0,1,0)+IF(LEN(V81)&gt;0,1,0)+IF(LEN(AK81)&gt;0,1,0)+IF(LEN(AM81)&gt;0,1,0)+IF(LEN(AN81)&gt;0,1,0)+IF(LEN(AO81)&gt;0,1,0)+IF(LEN(AP81)&gt;0,1,0)+IF(LEN(AY81)&gt;0,1,0)+IF(LEN(BK81)&gt;0,1,0)+IF(LEN(BX81)&gt;0,1,0))/20,2))</f>
        <v/>
      </c>
      <c r="CD81" s="10" t="str">
        <f aca="false">IF(D81="","",IF(AND(AN81="Approved",ISERROR(SEARCH("FAIL",BH81))),"Y","N"))</f>
        <v/>
      </c>
      <c r="CE81" s="10" t="str">
        <f aca="false">IF(D81="","",D81&amp;"|"&amp;F81&amp;"|"&amp;G81&amp;"|"&amp;H81&amp;"|"&amp;E81&amp;"|"&amp;CD81)</f>
        <v/>
      </c>
    </row>
    <row r="82" customFormat="false" ht="15" hidden="false" customHeight="false" outlineLevel="0" collapsed="false">
      <c r="A82" s="10" t="str">
        <f aca="false">IF(D82="","","EW-"&amp;IFERROR(VLOOKUP(D82,Lists!$P$4:$Q$22,2,0),"??")&amp;"-D"&amp;TEXT(F82*1000,"0000")&amp;"-"&amp;IFERROR(VLOOKUP(G82,Lists!$S$4:$T$21,2,0),"??")&amp;"-"&amp;IFERROR(VLOOKUP(H82,Lists!$Y$4:$Z$21,2,0),"??")&amp;"-"&amp;IFERROR(VLOOKUP(E82,Lists!$V$4:$W$16,2,0),"??")&amp;"-"&amp;AM82)</f>
        <v/>
      </c>
      <c r="B82" s="10" t="str">
        <f aca="false">IF(D82="","",E82&amp;" "&amp;D82&amp;", excavation "&amp;TEXT(F82,"0.0")&amp;" m, "&amp;G82&amp;", "&amp;H82&amp;", "&amp;K82)</f>
        <v/>
      </c>
      <c r="C82" s="9"/>
      <c r="D82" s="9"/>
      <c r="E82" s="9"/>
      <c r="F82" s="42"/>
      <c r="G82" s="9"/>
      <c r="H82" s="9"/>
      <c r="I82" s="42"/>
      <c r="J82" s="38"/>
      <c r="K82" s="9"/>
      <c r="L82" s="9"/>
      <c r="M82" s="9"/>
      <c r="N82" s="42"/>
      <c r="O82" s="42"/>
      <c r="P82" s="9"/>
      <c r="Q82" s="9"/>
      <c r="R82" s="9"/>
      <c r="S82" s="9"/>
      <c r="T82" s="38"/>
      <c r="U82" s="38"/>
      <c r="V82" s="38"/>
      <c r="W82" s="38"/>
      <c r="X82" s="38"/>
      <c r="Y82" s="9"/>
      <c r="Z82" s="39"/>
      <c r="AA82" s="9"/>
      <c r="AB82" s="9"/>
      <c r="AC82" s="9"/>
      <c r="AD82" s="9"/>
      <c r="AE82" s="9"/>
      <c r="AF82" s="9"/>
      <c r="AG82" s="9"/>
      <c r="AH82" s="38"/>
      <c r="AI82" s="9"/>
      <c r="AJ82" s="39"/>
      <c r="AK82" s="9"/>
      <c r="AL82" s="9"/>
      <c r="AM82" s="9"/>
      <c r="AN82" s="9"/>
      <c r="AO82" s="9"/>
      <c r="AP82" s="9"/>
      <c r="AQ82" s="9"/>
      <c r="AR82" s="10" t="str">
        <f aca="false">IF(A82="","",SG_Criteria!$B$6&amp;SG_Criteria!$B$9&amp;"\"&amp;A82&amp;"\")</f>
        <v/>
      </c>
      <c r="AS82" s="10" t="str">
        <f aca="false">IF(A82="","",A82&amp;"_CAD.dwg")</f>
        <v/>
      </c>
      <c r="AT82" s="10" t="str">
        <f aca="false">IF(A82="","",A82&amp;"_DWG.pdf")</f>
        <v/>
      </c>
      <c r="AU82" s="10" t="str">
        <f aca="false">IF(A82="","",IF(AQ82="Y",A82&amp;"_STAAD.std","n/a"))</f>
        <v/>
      </c>
      <c r="AV82" s="10" t="str">
        <f aca="false">IF(A82="","",A82&amp;"_CALC.xlsx")</f>
        <v/>
      </c>
      <c r="AW82" s="10" t="str">
        <f aca="false">IF(A82="","",A82&amp;"_CALC.pdf")</f>
        <v/>
      </c>
      <c r="AX82" s="9"/>
      <c r="AY82" s="9"/>
      <c r="AZ82" s="39"/>
      <c r="BA82" s="39"/>
      <c r="BB82" s="39"/>
      <c r="BC82" s="39"/>
      <c r="BD82" s="39"/>
      <c r="BE82" s="12" t="str">
        <f aca="false">IF(A82="","",IF(COUNTIF(Rebar_Schedule!$A$5:$A$2004,A82)=0,"",ROUND(SUMIF(Rebar_Schedule!$A$5:$A$2004,A82,Rebar_Schedule!$K$5:$K$2004),1)))</f>
        <v/>
      </c>
      <c r="BF82" s="33" t="str">
        <f aca="false">IF(A82="","",IF(BE82="","No rebar schedule yet",IF(ABS(BE82-N(BA82))/MAX(N(BA82),1)&gt;SG_Criteria!$B$55,"NOTE: register rebar differs from schedule by "&amp;TEXT(ABS(BE82-N(BA82))/MAX(N(BA82),1),"0%"),"OK")))</f>
        <v/>
      </c>
      <c r="BG82" s="33" t="str">
        <f aca="false">IF(OR(D82="",F82=""),"",IF(F82&lt;=IF(D82="Soldier Pile &amp; Timber Lagging",SG_Criteria!$B$34,SG_Criteria!$B$33),"No ERSS submission",IF(F82&lt;=SG_Criteria!$B$35,"QP(ST)",IF(F82&lt;=SG_Criteria!$B$36,"QP(ST) + AC","Geotechnical building works: QP(Geo) + AC"))))</f>
        <v/>
      </c>
      <c r="BH82" s="33" t="str">
        <f aca="false">IF(D82="","",IF(LEN(IF(AND(AC82&lt;&gt;"",IFERROR(VALUE(MID(AC82,2,2)),0)&lt;SG_Criteria!$B$19),"FAIL: grade below C"&amp;SG_Criteria!$B$19&amp;". ","")&amp;IF(AND(LEFT(D82,3)="Con",N(I82)&lt;F82,H82="Kallang Formation (marine clay)"),"NOTE: CBP is not watertight below GWT in marine clay; consider secant / grouting. ","")&amp;IF(AND(D82="Steel Sheet Pile",E82="Permanent"),"NOTE: permanent sheet pile needs corrosion allowance. ","")&amp;IF(AND(G82="Cantilever (no support)",F82&gt;6),"NOTE: cantilever embedded wall &gt; 6 m, check deflection. ","")&amp;IF(AND(T82&lt;&gt;"",U82&lt;&gt;"",T82&gt;U82),"FAIL: deflection exceeds allowable. ",""))=0,"OK",IF(AND(AC82&lt;&gt;"",IFERROR(VALUE(MID(AC82,2,2)),0)&lt;SG_Criteria!$B$19),"FAIL: grade below C"&amp;SG_Criteria!$B$19&amp;". ","")&amp;IF(AND(LEFT(D82,3)="Con",N(I82)&lt;F82,H82="Kallang Formation (marine clay)"),"NOTE: CBP is not watertight below GWT in marine clay; consider secant / grouting. ","")&amp;IF(AND(D82="Steel Sheet Pile",E82="Permanent"),"NOTE: permanent sheet pile needs corrosion allowance. ","")&amp;IF(AND(G82="Cantilever (no support)",F82&gt;6),"NOTE: cantilever embedded wall &gt; 6 m, check deflection. ","")&amp;IF(AND(T82&lt;&gt;"",U82&lt;&gt;"",T82&gt;U82),"FAIL: deflection exceeds allowable. ","")))</f>
        <v/>
      </c>
      <c r="BI82" s="9"/>
      <c r="BJ82" s="9"/>
      <c r="BK82" s="9"/>
      <c r="BL82" s="10" t="str">
        <f aca="false">IF(BK82="","",IFERROR(VLOOKUP(BK82,Projects!$A$5:$D$504,2,0),"Ref not in Projects"))</f>
        <v/>
      </c>
      <c r="BM82" s="10" t="str">
        <f aca="false">IF(BK82="","",IFERROR(VLOOKUP(BK82,Projects!$A$5:$D$504,4,0),"Ref not in Projects"))</f>
        <v/>
      </c>
      <c r="BN82" s="9"/>
      <c r="BO82" s="9"/>
      <c r="BP82" s="9"/>
      <c r="BQ82" s="40"/>
      <c r="BR82" s="9"/>
      <c r="BS82" s="40"/>
      <c r="BT82" s="9"/>
      <c r="BU82" s="40"/>
      <c r="BV82" s="9"/>
      <c r="BW82" s="9"/>
      <c r="BX82" s="9"/>
      <c r="BY82" s="40"/>
      <c r="BZ82" s="40"/>
      <c r="CA82" s="36" t="str">
        <f aca="false">IF(BZ82="","",EDATE(BZ82,SG_Criteria!$B$54*12))</f>
        <v/>
      </c>
      <c r="CB82" s="33" t="str">
        <f aca="true">IF(A82="","",IF(BZ82="","NOTE: not reviewed yet",IF(TODAY()&gt;CA82,"NOTE: review overdue","OK")))</f>
        <v/>
      </c>
      <c r="CC82" s="37" t="str">
        <f aca="false">IF(A82="","",ROUND((IF(LEN(D82)&gt;0,1,0)+IF(LEN(E82)&gt;0,1,0)+IF(LEN(F82)&gt;0,1,0)+IF(LEN(G82)&gt;0,1,0)+IF(LEN(H82)&gt;0,1,0)+IF(LEN(I82)&gt;0,1,0)+IF(LEN(K82)&gt;0,1,0)+IF(LEN(N82)&gt;0,1,0)+IF(LEN(O82)&gt;0,1,0)+IF(LEN(T82)&gt;0,1,0)+IF(LEN(U82)&gt;0,1,0)+IF(LEN(V82)&gt;0,1,0)+IF(LEN(AK82)&gt;0,1,0)+IF(LEN(AM82)&gt;0,1,0)+IF(LEN(AN82)&gt;0,1,0)+IF(LEN(AO82)&gt;0,1,0)+IF(LEN(AP82)&gt;0,1,0)+IF(LEN(AY82)&gt;0,1,0)+IF(LEN(BK82)&gt;0,1,0)+IF(LEN(BX82)&gt;0,1,0))/20,2))</f>
        <v/>
      </c>
      <c r="CD82" s="10" t="str">
        <f aca="false">IF(D82="","",IF(AND(AN82="Approved",ISERROR(SEARCH("FAIL",BH82))),"Y","N"))</f>
        <v/>
      </c>
      <c r="CE82" s="10" t="str">
        <f aca="false">IF(D82="","",D82&amp;"|"&amp;F82&amp;"|"&amp;G82&amp;"|"&amp;H82&amp;"|"&amp;E82&amp;"|"&amp;CD82)</f>
        <v/>
      </c>
    </row>
    <row r="83" customFormat="false" ht="15" hidden="false" customHeight="false" outlineLevel="0" collapsed="false">
      <c r="A83" s="10" t="str">
        <f aca="false">IF(D83="","","EW-"&amp;IFERROR(VLOOKUP(D83,Lists!$P$4:$Q$22,2,0),"??")&amp;"-D"&amp;TEXT(F83*1000,"0000")&amp;"-"&amp;IFERROR(VLOOKUP(G83,Lists!$S$4:$T$21,2,0),"??")&amp;"-"&amp;IFERROR(VLOOKUP(H83,Lists!$Y$4:$Z$21,2,0),"??")&amp;"-"&amp;IFERROR(VLOOKUP(E83,Lists!$V$4:$W$16,2,0),"??")&amp;"-"&amp;AM83)</f>
        <v/>
      </c>
      <c r="B83" s="10" t="str">
        <f aca="false">IF(D83="","",E83&amp;" "&amp;D83&amp;", excavation "&amp;TEXT(F83,"0.0")&amp;" m, "&amp;G83&amp;", "&amp;H83&amp;", "&amp;K83)</f>
        <v/>
      </c>
      <c r="C83" s="9"/>
      <c r="D83" s="9"/>
      <c r="E83" s="9"/>
      <c r="F83" s="42"/>
      <c r="G83" s="9"/>
      <c r="H83" s="9"/>
      <c r="I83" s="42"/>
      <c r="J83" s="38"/>
      <c r="K83" s="9"/>
      <c r="L83" s="9"/>
      <c r="M83" s="9"/>
      <c r="N83" s="42"/>
      <c r="O83" s="42"/>
      <c r="P83" s="9"/>
      <c r="Q83" s="9"/>
      <c r="R83" s="9"/>
      <c r="S83" s="9"/>
      <c r="T83" s="38"/>
      <c r="U83" s="38"/>
      <c r="V83" s="38"/>
      <c r="W83" s="38"/>
      <c r="X83" s="38"/>
      <c r="Y83" s="9"/>
      <c r="Z83" s="39"/>
      <c r="AA83" s="9"/>
      <c r="AB83" s="9"/>
      <c r="AC83" s="9"/>
      <c r="AD83" s="9"/>
      <c r="AE83" s="9"/>
      <c r="AF83" s="9"/>
      <c r="AG83" s="9"/>
      <c r="AH83" s="38"/>
      <c r="AI83" s="9"/>
      <c r="AJ83" s="39"/>
      <c r="AK83" s="9"/>
      <c r="AL83" s="9"/>
      <c r="AM83" s="9"/>
      <c r="AN83" s="9"/>
      <c r="AO83" s="9"/>
      <c r="AP83" s="9"/>
      <c r="AQ83" s="9"/>
      <c r="AR83" s="10" t="str">
        <f aca="false">IF(A83="","",SG_Criteria!$B$6&amp;SG_Criteria!$B$9&amp;"\"&amp;A83&amp;"\")</f>
        <v/>
      </c>
      <c r="AS83" s="10" t="str">
        <f aca="false">IF(A83="","",A83&amp;"_CAD.dwg")</f>
        <v/>
      </c>
      <c r="AT83" s="10" t="str">
        <f aca="false">IF(A83="","",A83&amp;"_DWG.pdf")</f>
        <v/>
      </c>
      <c r="AU83" s="10" t="str">
        <f aca="false">IF(A83="","",IF(AQ83="Y",A83&amp;"_STAAD.std","n/a"))</f>
        <v/>
      </c>
      <c r="AV83" s="10" t="str">
        <f aca="false">IF(A83="","",A83&amp;"_CALC.xlsx")</f>
        <v/>
      </c>
      <c r="AW83" s="10" t="str">
        <f aca="false">IF(A83="","",A83&amp;"_CALC.pdf")</f>
        <v/>
      </c>
      <c r="AX83" s="9"/>
      <c r="AY83" s="9"/>
      <c r="AZ83" s="39"/>
      <c r="BA83" s="39"/>
      <c r="BB83" s="39"/>
      <c r="BC83" s="39"/>
      <c r="BD83" s="39"/>
      <c r="BE83" s="12" t="str">
        <f aca="false">IF(A83="","",IF(COUNTIF(Rebar_Schedule!$A$5:$A$2004,A83)=0,"",ROUND(SUMIF(Rebar_Schedule!$A$5:$A$2004,A83,Rebar_Schedule!$K$5:$K$2004),1)))</f>
        <v/>
      </c>
      <c r="BF83" s="33" t="str">
        <f aca="false">IF(A83="","",IF(BE83="","No rebar schedule yet",IF(ABS(BE83-N(BA83))/MAX(N(BA83),1)&gt;SG_Criteria!$B$55,"NOTE: register rebar differs from schedule by "&amp;TEXT(ABS(BE83-N(BA83))/MAX(N(BA83),1),"0%"),"OK")))</f>
        <v/>
      </c>
      <c r="BG83" s="33" t="str">
        <f aca="false">IF(OR(D83="",F83=""),"",IF(F83&lt;=IF(D83="Soldier Pile &amp; Timber Lagging",SG_Criteria!$B$34,SG_Criteria!$B$33),"No ERSS submission",IF(F83&lt;=SG_Criteria!$B$35,"QP(ST)",IF(F83&lt;=SG_Criteria!$B$36,"QP(ST) + AC","Geotechnical building works: QP(Geo) + AC"))))</f>
        <v/>
      </c>
      <c r="BH83" s="33" t="str">
        <f aca="false">IF(D83="","",IF(LEN(IF(AND(AC83&lt;&gt;"",IFERROR(VALUE(MID(AC83,2,2)),0)&lt;SG_Criteria!$B$19),"FAIL: grade below C"&amp;SG_Criteria!$B$19&amp;". ","")&amp;IF(AND(LEFT(D83,3)="Con",N(I83)&lt;F83,H83="Kallang Formation (marine clay)"),"NOTE: CBP is not watertight below GWT in marine clay; consider secant / grouting. ","")&amp;IF(AND(D83="Steel Sheet Pile",E83="Permanent"),"NOTE: permanent sheet pile needs corrosion allowance. ","")&amp;IF(AND(G83="Cantilever (no support)",F83&gt;6),"NOTE: cantilever embedded wall &gt; 6 m, check deflection. ","")&amp;IF(AND(T83&lt;&gt;"",U83&lt;&gt;"",T83&gt;U83),"FAIL: deflection exceeds allowable. ",""))=0,"OK",IF(AND(AC83&lt;&gt;"",IFERROR(VALUE(MID(AC83,2,2)),0)&lt;SG_Criteria!$B$19),"FAIL: grade below C"&amp;SG_Criteria!$B$19&amp;". ","")&amp;IF(AND(LEFT(D83,3)="Con",N(I83)&lt;F83,H83="Kallang Formation (marine clay)"),"NOTE: CBP is not watertight below GWT in marine clay; consider secant / grouting. ","")&amp;IF(AND(D83="Steel Sheet Pile",E83="Permanent"),"NOTE: permanent sheet pile needs corrosion allowance. ","")&amp;IF(AND(G83="Cantilever (no support)",F83&gt;6),"NOTE: cantilever embedded wall &gt; 6 m, check deflection. ","")&amp;IF(AND(T83&lt;&gt;"",U83&lt;&gt;"",T83&gt;U83),"FAIL: deflection exceeds allowable. ","")))</f>
        <v/>
      </c>
      <c r="BI83" s="9"/>
      <c r="BJ83" s="9"/>
      <c r="BK83" s="9"/>
      <c r="BL83" s="10" t="str">
        <f aca="false">IF(BK83="","",IFERROR(VLOOKUP(BK83,Projects!$A$5:$D$504,2,0),"Ref not in Projects"))</f>
        <v/>
      </c>
      <c r="BM83" s="10" t="str">
        <f aca="false">IF(BK83="","",IFERROR(VLOOKUP(BK83,Projects!$A$5:$D$504,4,0),"Ref not in Projects"))</f>
        <v/>
      </c>
      <c r="BN83" s="9"/>
      <c r="BO83" s="9"/>
      <c r="BP83" s="9"/>
      <c r="BQ83" s="40"/>
      <c r="BR83" s="9"/>
      <c r="BS83" s="40"/>
      <c r="BT83" s="9"/>
      <c r="BU83" s="40"/>
      <c r="BV83" s="9"/>
      <c r="BW83" s="9"/>
      <c r="BX83" s="9"/>
      <c r="BY83" s="40"/>
      <c r="BZ83" s="40"/>
      <c r="CA83" s="36" t="str">
        <f aca="false">IF(BZ83="","",EDATE(BZ83,SG_Criteria!$B$54*12))</f>
        <v/>
      </c>
      <c r="CB83" s="33" t="str">
        <f aca="true">IF(A83="","",IF(BZ83="","NOTE: not reviewed yet",IF(TODAY()&gt;CA83,"NOTE: review overdue","OK")))</f>
        <v/>
      </c>
      <c r="CC83" s="37" t="str">
        <f aca="false">IF(A83="","",ROUND((IF(LEN(D83)&gt;0,1,0)+IF(LEN(E83)&gt;0,1,0)+IF(LEN(F83)&gt;0,1,0)+IF(LEN(G83)&gt;0,1,0)+IF(LEN(H83)&gt;0,1,0)+IF(LEN(I83)&gt;0,1,0)+IF(LEN(K83)&gt;0,1,0)+IF(LEN(N83)&gt;0,1,0)+IF(LEN(O83)&gt;0,1,0)+IF(LEN(T83)&gt;0,1,0)+IF(LEN(U83)&gt;0,1,0)+IF(LEN(V83)&gt;0,1,0)+IF(LEN(AK83)&gt;0,1,0)+IF(LEN(AM83)&gt;0,1,0)+IF(LEN(AN83)&gt;0,1,0)+IF(LEN(AO83)&gt;0,1,0)+IF(LEN(AP83)&gt;0,1,0)+IF(LEN(AY83)&gt;0,1,0)+IF(LEN(BK83)&gt;0,1,0)+IF(LEN(BX83)&gt;0,1,0))/20,2))</f>
        <v/>
      </c>
      <c r="CD83" s="10" t="str">
        <f aca="false">IF(D83="","",IF(AND(AN83="Approved",ISERROR(SEARCH("FAIL",BH83))),"Y","N"))</f>
        <v/>
      </c>
      <c r="CE83" s="10" t="str">
        <f aca="false">IF(D83="","",D83&amp;"|"&amp;F83&amp;"|"&amp;G83&amp;"|"&amp;H83&amp;"|"&amp;E83&amp;"|"&amp;CD83)</f>
        <v/>
      </c>
    </row>
    <row r="84" customFormat="false" ht="15" hidden="false" customHeight="false" outlineLevel="0" collapsed="false">
      <c r="A84" s="10" t="str">
        <f aca="false">IF(D84="","","EW-"&amp;IFERROR(VLOOKUP(D84,Lists!$P$4:$Q$22,2,0),"??")&amp;"-D"&amp;TEXT(F84*1000,"0000")&amp;"-"&amp;IFERROR(VLOOKUP(G84,Lists!$S$4:$T$21,2,0),"??")&amp;"-"&amp;IFERROR(VLOOKUP(H84,Lists!$Y$4:$Z$21,2,0),"??")&amp;"-"&amp;IFERROR(VLOOKUP(E84,Lists!$V$4:$W$16,2,0),"??")&amp;"-"&amp;AM84)</f>
        <v/>
      </c>
      <c r="B84" s="10" t="str">
        <f aca="false">IF(D84="","",E84&amp;" "&amp;D84&amp;", excavation "&amp;TEXT(F84,"0.0")&amp;" m, "&amp;G84&amp;", "&amp;H84&amp;", "&amp;K84)</f>
        <v/>
      </c>
      <c r="C84" s="9"/>
      <c r="D84" s="9"/>
      <c r="E84" s="9"/>
      <c r="F84" s="42"/>
      <c r="G84" s="9"/>
      <c r="H84" s="9"/>
      <c r="I84" s="42"/>
      <c r="J84" s="38"/>
      <c r="K84" s="9"/>
      <c r="L84" s="9"/>
      <c r="M84" s="9"/>
      <c r="N84" s="42"/>
      <c r="O84" s="42"/>
      <c r="P84" s="9"/>
      <c r="Q84" s="9"/>
      <c r="R84" s="9"/>
      <c r="S84" s="9"/>
      <c r="T84" s="38"/>
      <c r="U84" s="38"/>
      <c r="V84" s="38"/>
      <c r="W84" s="38"/>
      <c r="X84" s="38"/>
      <c r="Y84" s="9"/>
      <c r="Z84" s="39"/>
      <c r="AA84" s="9"/>
      <c r="AB84" s="9"/>
      <c r="AC84" s="9"/>
      <c r="AD84" s="9"/>
      <c r="AE84" s="9"/>
      <c r="AF84" s="9"/>
      <c r="AG84" s="9"/>
      <c r="AH84" s="38"/>
      <c r="AI84" s="9"/>
      <c r="AJ84" s="39"/>
      <c r="AK84" s="9"/>
      <c r="AL84" s="9"/>
      <c r="AM84" s="9"/>
      <c r="AN84" s="9"/>
      <c r="AO84" s="9"/>
      <c r="AP84" s="9"/>
      <c r="AQ84" s="9"/>
      <c r="AR84" s="10" t="str">
        <f aca="false">IF(A84="","",SG_Criteria!$B$6&amp;SG_Criteria!$B$9&amp;"\"&amp;A84&amp;"\")</f>
        <v/>
      </c>
      <c r="AS84" s="10" t="str">
        <f aca="false">IF(A84="","",A84&amp;"_CAD.dwg")</f>
        <v/>
      </c>
      <c r="AT84" s="10" t="str">
        <f aca="false">IF(A84="","",A84&amp;"_DWG.pdf")</f>
        <v/>
      </c>
      <c r="AU84" s="10" t="str">
        <f aca="false">IF(A84="","",IF(AQ84="Y",A84&amp;"_STAAD.std","n/a"))</f>
        <v/>
      </c>
      <c r="AV84" s="10" t="str">
        <f aca="false">IF(A84="","",A84&amp;"_CALC.xlsx")</f>
        <v/>
      </c>
      <c r="AW84" s="10" t="str">
        <f aca="false">IF(A84="","",A84&amp;"_CALC.pdf")</f>
        <v/>
      </c>
      <c r="AX84" s="9"/>
      <c r="AY84" s="9"/>
      <c r="AZ84" s="39"/>
      <c r="BA84" s="39"/>
      <c r="BB84" s="39"/>
      <c r="BC84" s="39"/>
      <c r="BD84" s="39"/>
      <c r="BE84" s="12" t="str">
        <f aca="false">IF(A84="","",IF(COUNTIF(Rebar_Schedule!$A$5:$A$2004,A84)=0,"",ROUND(SUMIF(Rebar_Schedule!$A$5:$A$2004,A84,Rebar_Schedule!$K$5:$K$2004),1)))</f>
        <v/>
      </c>
      <c r="BF84" s="33" t="str">
        <f aca="false">IF(A84="","",IF(BE84="","No rebar schedule yet",IF(ABS(BE84-N(BA84))/MAX(N(BA84),1)&gt;SG_Criteria!$B$55,"NOTE: register rebar differs from schedule by "&amp;TEXT(ABS(BE84-N(BA84))/MAX(N(BA84),1),"0%"),"OK")))</f>
        <v/>
      </c>
      <c r="BG84" s="33" t="str">
        <f aca="false">IF(OR(D84="",F84=""),"",IF(F84&lt;=IF(D84="Soldier Pile &amp; Timber Lagging",SG_Criteria!$B$34,SG_Criteria!$B$33),"No ERSS submission",IF(F84&lt;=SG_Criteria!$B$35,"QP(ST)",IF(F84&lt;=SG_Criteria!$B$36,"QP(ST) + AC","Geotechnical building works: QP(Geo) + AC"))))</f>
        <v/>
      </c>
      <c r="BH84" s="33" t="str">
        <f aca="false">IF(D84="","",IF(LEN(IF(AND(AC84&lt;&gt;"",IFERROR(VALUE(MID(AC84,2,2)),0)&lt;SG_Criteria!$B$19),"FAIL: grade below C"&amp;SG_Criteria!$B$19&amp;". ","")&amp;IF(AND(LEFT(D84,3)="Con",N(I84)&lt;F84,H84="Kallang Formation (marine clay)"),"NOTE: CBP is not watertight below GWT in marine clay; consider secant / grouting. ","")&amp;IF(AND(D84="Steel Sheet Pile",E84="Permanent"),"NOTE: permanent sheet pile needs corrosion allowance. ","")&amp;IF(AND(G84="Cantilever (no support)",F84&gt;6),"NOTE: cantilever embedded wall &gt; 6 m, check deflection. ","")&amp;IF(AND(T84&lt;&gt;"",U84&lt;&gt;"",T84&gt;U84),"FAIL: deflection exceeds allowable. ",""))=0,"OK",IF(AND(AC84&lt;&gt;"",IFERROR(VALUE(MID(AC84,2,2)),0)&lt;SG_Criteria!$B$19),"FAIL: grade below C"&amp;SG_Criteria!$B$19&amp;". ","")&amp;IF(AND(LEFT(D84,3)="Con",N(I84)&lt;F84,H84="Kallang Formation (marine clay)"),"NOTE: CBP is not watertight below GWT in marine clay; consider secant / grouting. ","")&amp;IF(AND(D84="Steel Sheet Pile",E84="Permanent"),"NOTE: permanent sheet pile needs corrosion allowance. ","")&amp;IF(AND(G84="Cantilever (no support)",F84&gt;6),"NOTE: cantilever embedded wall &gt; 6 m, check deflection. ","")&amp;IF(AND(T84&lt;&gt;"",U84&lt;&gt;"",T84&gt;U84),"FAIL: deflection exceeds allowable. ","")))</f>
        <v/>
      </c>
      <c r="BI84" s="9"/>
      <c r="BJ84" s="9"/>
      <c r="BK84" s="9"/>
      <c r="BL84" s="10" t="str">
        <f aca="false">IF(BK84="","",IFERROR(VLOOKUP(BK84,Projects!$A$5:$D$504,2,0),"Ref not in Projects"))</f>
        <v/>
      </c>
      <c r="BM84" s="10" t="str">
        <f aca="false">IF(BK84="","",IFERROR(VLOOKUP(BK84,Projects!$A$5:$D$504,4,0),"Ref not in Projects"))</f>
        <v/>
      </c>
      <c r="BN84" s="9"/>
      <c r="BO84" s="9"/>
      <c r="BP84" s="9"/>
      <c r="BQ84" s="40"/>
      <c r="BR84" s="9"/>
      <c r="BS84" s="40"/>
      <c r="BT84" s="9"/>
      <c r="BU84" s="40"/>
      <c r="BV84" s="9"/>
      <c r="BW84" s="9"/>
      <c r="BX84" s="9"/>
      <c r="BY84" s="40"/>
      <c r="BZ84" s="40"/>
      <c r="CA84" s="36" t="str">
        <f aca="false">IF(BZ84="","",EDATE(BZ84,SG_Criteria!$B$54*12))</f>
        <v/>
      </c>
      <c r="CB84" s="33" t="str">
        <f aca="true">IF(A84="","",IF(BZ84="","NOTE: not reviewed yet",IF(TODAY()&gt;CA84,"NOTE: review overdue","OK")))</f>
        <v/>
      </c>
      <c r="CC84" s="37" t="str">
        <f aca="false">IF(A84="","",ROUND((IF(LEN(D84)&gt;0,1,0)+IF(LEN(E84)&gt;0,1,0)+IF(LEN(F84)&gt;0,1,0)+IF(LEN(G84)&gt;0,1,0)+IF(LEN(H84)&gt;0,1,0)+IF(LEN(I84)&gt;0,1,0)+IF(LEN(K84)&gt;0,1,0)+IF(LEN(N84)&gt;0,1,0)+IF(LEN(O84)&gt;0,1,0)+IF(LEN(T84)&gt;0,1,0)+IF(LEN(U84)&gt;0,1,0)+IF(LEN(V84)&gt;0,1,0)+IF(LEN(AK84)&gt;0,1,0)+IF(LEN(AM84)&gt;0,1,0)+IF(LEN(AN84)&gt;0,1,0)+IF(LEN(AO84)&gt;0,1,0)+IF(LEN(AP84)&gt;0,1,0)+IF(LEN(AY84)&gt;0,1,0)+IF(LEN(BK84)&gt;0,1,0)+IF(LEN(BX84)&gt;0,1,0))/20,2))</f>
        <v/>
      </c>
      <c r="CD84" s="10" t="str">
        <f aca="false">IF(D84="","",IF(AND(AN84="Approved",ISERROR(SEARCH("FAIL",BH84))),"Y","N"))</f>
        <v/>
      </c>
      <c r="CE84" s="10" t="str">
        <f aca="false">IF(D84="","",D84&amp;"|"&amp;F84&amp;"|"&amp;G84&amp;"|"&amp;H84&amp;"|"&amp;E84&amp;"|"&amp;CD84)</f>
        <v/>
      </c>
    </row>
    <row r="85" customFormat="false" ht="15" hidden="false" customHeight="false" outlineLevel="0" collapsed="false">
      <c r="A85" s="10" t="str">
        <f aca="false">IF(D85="","","EW-"&amp;IFERROR(VLOOKUP(D85,Lists!$P$4:$Q$22,2,0),"??")&amp;"-D"&amp;TEXT(F85*1000,"0000")&amp;"-"&amp;IFERROR(VLOOKUP(G85,Lists!$S$4:$T$21,2,0),"??")&amp;"-"&amp;IFERROR(VLOOKUP(H85,Lists!$Y$4:$Z$21,2,0),"??")&amp;"-"&amp;IFERROR(VLOOKUP(E85,Lists!$V$4:$W$16,2,0),"??")&amp;"-"&amp;AM85)</f>
        <v/>
      </c>
      <c r="B85" s="10" t="str">
        <f aca="false">IF(D85="","",E85&amp;" "&amp;D85&amp;", excavation "&amp;TEXT(F85,"0.0")&amp;" m, "&amp;G85&amp;", "&amp;H85&amp;", "&amp;K85)</f>
        <v/>
      </c>
      <c r="C85" s="9"/>
      <c r="D85" s="9"/>
      <c r="E85" s="9"/>
      <c r="F85" s="42"/>
      <c r="G85" s="9"/>
      <c r="H85" s="9"/>
      <c r="I85" s="42"/>
      <c r="J85" s="38"/>
      <c r="K85" s="9"/>
      <c r="L85" s="9"/>
      <c r="M85" s="9"/>
      <c r="N85" s="42"/>
      <c r="O85" s="42"/>
      <c r="P85" s="9"/>
      <c r="Q85" s="9"/>
      <c r="R85" s="9"/>
      <c r="S85" s="9"/>
      <c r="T85" s="38"/>
      <c r="U85" s="38"/>
      <c r="V85" s="38"/>
      <c r="W85" s="38"/>
      <c r="X85" s="38"/>
      <c r="Y85" s="9"/>
      <c r="Z85" s="39"/>
      <c r="AA85" s="9"/>
      <c r="AB85" s="9"/>
      <c r="AC85" s="9"/>
      <c r="AD85" s="9"/>
      <c r="AE85" s="9"/>
      <c r="AF85" s="9"/>
      <c r="AG85" s="9"/>
      <c r="AH85" s="38"/>
      <c r="AI85" s="9"/>
      <c r="AJ85" s="39"/>
      <c r="AK85" s="9"/>
      <c r="AL85" s="9"/>
      <c r="AM85" s="9"/>
      <c r="AN85" s="9"/>
      <c r="AO85" s="9"/>
      <c r="AP85" s="9"/>
      <c r="AQ85" s="9"/>
      <c r="AR85" s="10" t="str">
        <f aca="false">IF(A85="","",SG_Criteria!$B$6&amp;SG_Criteria!$B$9&amp;"\"&amp;A85&amp;"\")</f>
        <v/>
      </c>
      <c r="AS85" s="10" t="str">
        <f aca="false">IF(A85="","",A85&amp;"_CAD.dwg")</f>
        <v/>
      </c>
      <c r="AT85" s="10" t="str">
        <f aca="false">IF(A85="","",A85&amp;"_DWG.pdf")</f>
        <v/>
      </c>
      <c r="AU85" s="10" t="str">
        <f aca="false">IF(A85="","",IF(AQ85="Y",A85&amp;"_STAAD.std","n/a"))</f>
        <v/>
      </c>
      <c r="AV85" s="10" t="str">
        <f aca="false">IF(A85="","",A85&amp;"_CALC.xlsx")</f>
        <v/>
      </c>
      <c r="AW85" s="10" t="str">
        <f aca="false">IF(A85="","",A85&amp;"_CALC.pdf")</f>
        <v/>
      </c>
      <c r="AX85" s="9"/>
      <c r="AY85" s="9"/>
      <c r="AZ85" s="39"/>
      <c r="BA85" s="39"/>
      <c r="BB85" s="39"/>
      <c r="BC85" s="39"/>
      <c r="BD85" s="39"/>
      <c r="BE85" s="12" t="str">
        <f aca="false">IF(A85="","",IF(COUNTIF(Rebar_Schedule!$A$5:$A$2004,A85)=0,"",ROUND(SUMIF(Rebar_Schedule!$A$5:$A$2004,A85,Rebar_Schedule!$K$5:$K$2004),1)))</f>
        <v/>
      </c>
      <c r="BF85" s="33" t="str">
        <f aca="false">IF(A85="","",IF(BE85="","No rebar schedule yet",IF(ABS(BE85-N(BA85))/MAX(N(BA85),1)&gt;SG_Criteria!$B$55,"NOTE: register rebar differs from schedule by "&amp;TEXT(ABS(BE85-N(BA85))/MAX(N(BA85),1),"0%"),"OK")))</f>
        <v/>
      </c>
      <c r="BG85" s="33" t="str">
        <f aca="false">IF(OR(D85="",F85=""),"",IF(F85&lt;=IF(D85="Soldier Pile &amp; Timber Lagging",SG_Criteria!$B$34,SG_Criteria!$B$33),"No ERSS submission",IF(F85&lt;=SG_Criteria!$B$35,"QP(ST)",IF(F85&lt;=SG_Criteria!$B$36,"QP(ST) + AC","Geotechnical building works: QP(Geo) + AC"))))</f>
        <v/>
      </c>
      <c r="BH85" s="33" t="str">
        <f aca="false">IF(D85="","",IF(LEN(IF(AND(AC85&lt;&gt;"",IFERROR(VALUE(MID(AC85,2,2)),0)&lt;SG_Criteria!$B$19),"FAIL: grade below C"&amp;SG_Criteria!$B$19&amp;". ","")&amp;IF(AND(LEFT(D85,3)="Con",N(I85)&lt;F85,H85="Kallang Formation (marine clay)"),"NOTE: CBP is not watertight below GWT in marine clay; consider secant / grouting. ","")&amp;IF(AND(D85="Steel Sheet Pile",E85="Permanent"),"NOTE: permanent sheet pile needs corrosion allowance. ","")&amp;IF(AND(G85="Cantilever (no support)",F85&gt;6),"NOTE: cantilever embedded wall &gt; 6 m, check deflection. ","")&amp;IF(AND(T85&lt;&gt;"",U85&lt;&gt;"",T85&gt;U85),"FAIL: deflection exceeds allowable. ",""))=0,"OK",IF(AND(AC85&lt;&gt;"",IFERROR(VALUE(MID(AC85,2,2)),0)&lt;SG_Criteria!$B$19),"FAIL: grade below C"&amp;SG_Criteria!$B$19&amp;". ","")&amp;IF(AND(LEFT(D85,3)="Con",N(I85)&lt;F85,H85="Kallang Formation (marine clay)"),"NOTE: CBP is not watertight below GWT in marine clay; consider secant / grouting. ","")&amp;IF(AND(D85="Steel Sheet Pile",E85="Permanent"),"NOTE: permanent sheet pile needs corrosion allowance. ","")&amp;IF(AND(G85="Cantilever (no support)",F85&gt;6),"NOTE: cantilever embedded wall &gt; 6 m, check deflection. ","")&amp;IF(AND(T85&lt;&gt;"",U85&lt;&gt;"",T85&gt;U85),"FAIL: deflection exceeds allowable. ","")))</f>
        <v/>
      </c>
      <c r="BI85" s="9"/>
      <c r="BJ85" s="9"/>
      <c r="BK85" s="9"/>
      <c r="BL85" s="10" t="str">
        <f aca="false">IF(BK85="","",IFERROR(VLOOKUP(BK85,Projects!$A$5:$D$504,2,0),"Ref not in Projects"))</f>
        <v/>
      </c>
      <c r="BM85" s="10" t="str">
        <f aca="false">IF(BK85="","",IFERROR(VLOOKUP(BK85,Projects!$A$5:$D$504,4,0),"Ref not in Projects"))</f>
        <v/>
      </c>
      <c r="BN85" s="9"/>
      <c r="BO85" s="9"/>
      <c r="BP85" s="9"/>
      <c r="BQ85" s="40"/>
      <c r="BR85" s="9"/>
      <c r="BS85" s="40"/>
      <c r="BT85" s="9"/>
      <c r="BU85" s="40"/>
      <c r="BV85" s="9"/>
      <c r="BW85" s="9"/>
      <c r="BX85" s="9"/>
      <c r="BY85" s="40"/>
      <c r="BZ85" s="40"/>
      <c r="CA85" s="36" t="str">
        <f aca="false">IF(BZ85="","",EDATE(BZ85,SG_Criteria!$B$54*12))</f>
        <v/>
      </c>
      <c r="CB85" s="33" t="str">
        <f aca="true">IF(A85="","",IF(BZ85="","NOTE: not reviewed yet",IF(TODAY()&gt;CA85,"NOTE: review overdue","OK")))</f>
        <v/>
      </c>
      <c r="CC85" s="37" t="str">
        <f aca="false">IF(A85="","",ROUND((IF(LEN(D85)&gt;0,1,0)+IF(LEN(E85)&gt;0,1,0)+IF(LEN(F85)&gt;0,1,0)+IF(LEN(G85)&gt;0,1,0)+IF(LEN(H85)&gt;0,1,0)+IF(LEN(I85)&gt;0,1,0)+IF(LEN(K85)&gt;0,1,0)+IF(LEN(N85)&gt;0,1,0)+IF(LEN(O85)&gt;0,1,0)+IF(LEN(T85)&gt;0,1,0)+IF(LEN(U85)&gt;0,1,0)+IF(LEN(V85)&gt;0,1,0)+IF(LEN(AK85)&gt;0,1,0)+IF(LEN(AM85)&gt;0,1,0)+IF(LEN(AN85)&gt;0,1,0)+IF(LEN(AO85)&gt;0,1,0)+IF(LEN(AP85)&gt;0,1,0)+IF(LEN(AY85)&gt;0,1,0)+IF(LEN(BK85)&gt;0,1,0)+IF(LEN(BX85)&gt;0,1,0))/20,2))</f>
        <v/>
      </c>
      <c r="CD85" s="10" t="str">
        <f aca="false">IF(D85="","",IF(AND(AN85="Approved",ISERROR(SEARCH("FAIL",BH85))),"Y","N"))</f>
        <v/>
      </c>
      <c r="CE85" s="10" t="str">
        <f aca="false">IF(D85="","",D85&amp;"|"&amp;F85&amp;"|"&amp;G85&amp;"|"&amp;H85&amp;"|"&amp;E85&amp;"|"&amp;CD85)</f>
        <v/>
      </c>
    </row>
    <row r="86" customFormat="false" ht="15" hidden="false" customHeight="false" outlineLevel="0" collapsed="false">
      <c r="A86" s="10" t="str">
        <f aca="false">IF(D86="","","EW-"&amp;IFERROR(VLOOKUP(D86,Lists!$P$4:$Q$22,2,0),"??")&amp;"-D"&amp;TEXT(F86*1000,"0000")&amp;"-"&amp;IFERROR(VLOOKUP(G86,Lists!$S$4:$T$21,2,0),"??")&amp;"-"&amp;IFERROR(VLOOKUP(H86,Lists!$Y$4:$Z$21,2,0),"??")&amp;"-"&amp;IFERROR(VLOOKUP(E86,Lists!$V$4:$W$16,2,0),"??")&amp;"-"&amp;AM86)</f>
        <v/>
      </c>
      <c r="B86" s="10" t="str">
        <f aca="false">IF(D86="","",E86&amp;" "&amp;D86&amp;", excavation "&amp;TEXT(F86,"0.0")&amp;" m, "&amp;G86&amp;", "&amp;H86&amp;", "&amp;K86)</f>
        <v/>
      </c>
      <c r="C86" s="9"/>
      <c r="D86" s="9"/>
      <c r="E86" s="9"/>
      <c r="F86" s="42"/>
      <c r="G86" s="9"/>
      <c r="H86" s="9"/>
      <c r="I86" s="42"/>
      <c r="J86" s="38"/>
      <c r="K86" s="9"/>
      <c r="L86" s="9"/>
      <c r="M86" s="9"/>
      <c r="N86" s="42"/>
      <c r="O86" s="42"/>
      <c r="P86" s="9"/>
      <c r="Q86" s="9"/>
      <c r="R86" s="9"/>
      <c r="S86" s="9"/>
      <c r="T86" s="38"/>
      <c r="U86" s="38"/>
      <c r="V86" s="38"/>
      <c r="W86" s="38"/>
      <c r="X86" s="38"/>
      <c r="Y86" s="9"/>
      <c r="Z86" s="39"/>
      <c r="AA86" s="9"/>
      <c r="AB86" s="9"/>
      <c r="AC86" s="9"/>
      <c r="AD86" s="9"/>
      <c r="AE86" s="9"/>
      <c r="AF86" s="9"/>
      <c r="AG86" s="9"/>
      <c r="AH86" s="38"/>
      <c r="AI86" s="9"/>
      <c r="AJ86" s="39"/>
      <c r="AK86" s="9"/>
      <c r="AL86" s="9"/>
      <c r="AM86" s="9"/>
      <c r="AN86" s="9"/>
      <c r="AO86" s="9"/>
      <c r="AP86" s="9"/>
      <c r="AQ86" s="9"/>
      <c r="AR86" s="10" t="str">
        <f aca="false">IF(A86="","",SG_Criteria!$B$6&amp;SG_Criteria!$B$9&amp;"\"&amp;A86&amp;"\")</f>
        <v/>
      </c>
      <c r="AS86" s="10" t="str">
        <f aca="false">IF(A86="","",A86&amp;"_CAD.dwg")</f>
        <v/>
      </c>
      <c r="AT86" s="10" t="str">
        <f aca="false">IF(A86="","",A86&amp;"_DWG.pdf")</f>
        <v/>
      </c>
      <c r="AU86" s="10" t="str">
        <f aca="false">IF(A86="","",IF(AQ86="Y",A86&amp;"_STAAD.std","n/a"))</f>
        <v/>
      </c>
      <c r="AV86" s="10" t="str">
        <f aca="false">IF(A86="","",A86&amp;"_CALC.xlsx")</f>
        <v/>
      </c>
      <c r="AW86" s="10" t="str">
        <f aca="false">IF(A86="","",A86&amp;"_CALC.pdf")</f>
        <v/>
      </c>
      <c r="AX86" s="9"/>
      <c r="AY86" s="9"/>
      <c r="AZ86" s="39"/>
      <c r="BA86" s="39"/>
      <c r="BB86" s="39"/>
      <c r="BC86" s="39"/>
      <c r="BD86" s="39"/>
      <c r="BE86" s="12" t="str">
        <f aca="false">IF(A86="","",IF(COUNTIF(Rebar_Schedule!$A$5:$A$2004,A86)=0,"",ROUND(SUMIF(Rebar_Schedule!$A$5:$A$2004,A86,Rebar_Schedule!$K$5:$K$2004),1)))</f>
        <v/>
      </c>
      <c r="BF86" s="33" t="str">
        <f aca="false">IF(A86="","",IF(BE86="","No rebar schedule yet",IF(ABS(BE86-N(BA86))/MAX(N(BA86),1)&gt;SG_Criteria!$B$55,"NOTE: register rebar differs from schedule by "&amp;TEXT(ABS(BE86-N(BA86))/MAX(N(BA86),1),"0%"),"OK")))</f>
        <v/>
      </c>
      <c r="BG86" s="33" t="str">
        <f aca="false">IF(OR(D86="",F86=""),"",IF(F86&lt;=IF(D86="Soldier Pile &amp; Timber Lagging",SG_Criteria!$B$34,SG_Criteria!$B$33),"No ERSS submission",IF(F86&lt;=SG_Criteria!$B$35,"QP(ST)",IF(F86&lt;=SG_Criteria!$B$36,"QP(ST) + AC","Geotechnical building works: QP(Geo) + AC"))))</f>
        <v/>
      </c>
      <c r="BH86" s="33" t="str">
        <f aca="false">IF(D86="","",IF(LEN(IF(AND(AC86&lt;&gt;"",IFERROR(VALUE(MID(AC86,2,2)),0)&lt;SG_Criteria!$B$19),"FAIL: grade below C"&amp;SG_Criteria!$B$19&amp;". ","")&amp;IF(AND(LEFT(D86,3)="Con",N(I86)&lt;F86,H86="Kallang Formation (marine clay)"),"NOTE: CBP is not watertight below GWT in marine clay; consider secant / grouting. ","")&amp;IF(AND(D86="Steel Sheet Pile",E86="Permanent"),"NOTE: permanent sheet pile needs corrosion allowance. ","")&amp;IF(AND(G86="Cantilever (no support)",F86&gt;6),"NOTE: cantilever embedded wall &gt; 6 m, check deflection. ","")&amp;IF(AND(T86&lt;&gt;"",U86&lt;&gt;"",T86&gt;U86),"FAIL: deflection exceeds allowable. ",""))=0,"OK",IF(AND(AC86&lt;&gt;"",IFERROR(VALUE(MID(AC86,2,2)),0)&lt;SG_Criteria!$B$19),"FAIL: grade below C"&amp;SG_Criteria!$B$19&amp;". ","")&amp;IF(AND(LEFT(D86,3)="Con",N(I86)&lt;F86,H86="Kallang Formation (marine clay)"),"NOTE: CBP is not watertight below GWT in marine clay; consider secant / grouting. ","")&amp;IF(AND(D86="Steel Sheet Pile",E86="Permanent"),"NOTE: permanent sheet pile needs corrosion allowance. ","")&amp;IF(AND(G86="Cantilever (no support)",F86&gt;6),"NOTE: cantilever embedded wall &gt; 6 m, check deflection. ","")&amp;IF(AND(T86&lt;&gt;"",U86&lt;&gt;"",T86&gt;U86),"FAIL: deflection exceeds allowable. ","")))</f>
        <v/>
      </c>
      <c r="BI86" s="9"/>
      <c r="BJ86" s="9"/>
      <c r="BK86" s="9"/>
      <c r="BL86" s="10" t="str">
        <f aca="false">IF(BK86="","",IFERROR(VLOOKUP(BK86,Projects!$A$5:$D$504,2,0),"Ref not in Projects"))</f>
        <v/>
      </c>
      <c r="BM86" s="10" t="str">
        <f aca="false">IF(BK86="","",IFERROR(VLOOKUP(BK86,Projects!$A$5:$D$504,4,0),"Ref not in Projects"))</f>
        <v/>
      </c>
      <c r="BN86" s="9"/>
      <c r="BO86" s="9"/>
      <c r="BP86" s="9"/>
      <c r="BQ86" s="40"/>
      <c r="BR86" s="9"/>
      <c r="BS86" s="40"/>
      <c r="BT86" s="9"/>
      <c r="BU86" s="40"/>
      <c r="BV86" s="9"/>
      <c r="BW86" s="9"/>
      <c r="BX86" s="9"/>
      <c r="BY86" s="40"/>
      <c r="BZ86" s="40"/>
      <c r="CA86" s="36" t="str">
        <f aca="false">IF(BZ86="","",EDATE(BZ86,SG_Criteria!$B$54*12))</f>
        <v/>
      </c>
      <c r="CB86" s="33" t="str">
        <f aca="true">IF(A86="","",IF(BZ86="","NOTE: not reviewed yet",IF(TODAY()&gt;CA86,"NOTE: review overdue","OK")))</f>
        <v/>
      </c>
      <c r="CC86" s="37" t="str">
        <f aca="false">IF(A86="","",ROUND((IF(LEN(D86)&gt;0,1,0)+IF(LEN(E86)&gt;0,1,0)+IF(LEN(F86)&gt;0,1,0)+IF(LEN(G86)&gt;0,1,0)+IF(LEN(H86)&gt;0,1,0)+IF(LEN(I86)&gt;0,1,0)+IF(LEN(K86)&gt;0,1,0)+IF(LEN(N86)&gt;0,1,0)+IF(LEN(O86)&gt;0,1,0)+IF(LEN(T86)&gt;0,1,0)+IF(LEN(U86)&gt;0,1,0)+IF(LEN(V86)&gt;0,1,0)+IF(LEN(AK86)&gt;0,1,0)+IF(LEN(AM86)&gt;0,1,0)+IF(LEN(AN86)&gt;0,1,0)+IF(LEN(AO86)&gt;0,1,0)+IF(LEN(AP86)&gt;0,1,0)+IF(LEN(AY86)&gt;0,1,0)+IF(LEN(BK86)&gt;0,1,0)+IF(LEN(BX86)&gt;0,1,0))/20,2))</f>
        <v/>
      </c>
      <c r="CD86" s="10" t="str">
        <f aca="false">IF(D86="","",IF(AND(AN86="Approved",ISERROR(SEARCH("FAIL",BH86))),"Y","N"))</f>
        <v/>
      </c>
      <c r="CE86" s="10" t="str">
        <f aca="false">IF(D86="","",D86&amp;"|"&amp;F86&amp;"|"&amp;G86&amp;"|"&amp;H86&amp;"|"&amp;E86&amp;"|"&amp;CD86)</f>
        <v/>
      </c>
    </row>
    <row r="87" customFormat="false" ht="15" hidden="false" customHeight="false" outlineLevel="0" collapsed="false">
      <c r="A87" s="10" t="str">
        <f aca="false">IF(D87="","","EW-"&amp;IFERROR(VLOOKUP(D87,Lists!$P$4:$Q$22,2,0),"??")&amp;"-D"&amp;TEXT(F87*1000,"0000")&amp;"-"&amp;IFERROR(VLOOKUP(G87,Lists!$S$4:$T$21,2,0),"??")&amp;"-"&amp;IFERROR(VLOOKUP(H87,Lists!$Y$4:$Z$21,2,0),"??")&amp;"-"&amp;IFERROR(VLOOKUP(E87,Lists!$V$4:$W$16,2,0),"??")&amp;"-"&amp;AM87)</f>
        <v/>
      </c>
      <c r="B87" s="10" t="str">
        <f aca="false">IF(D87="","",E87&amp;" "&amp;D87&amp;", excavation "&amp;TEXT(F87,"0.0")&amp;" m, "&amp;G87&amp;", "&amp;H87&amp;", "&amp;K87)</f>
        <v/>
      </c>
      <c r="C87" s="9"/>
      <c r="D87" s="9"/>
      <c r="E87" s="9"/>
      <c r="F87" s="42"/>
      <c r="G87" s="9"/>
      <c r="H87" s="9"/>
      <c r="I87" s="42"/>
      <c r="J87" s="38"/>
      <c r="K87" s="9"/>
      <c r="L87" s="9"/>
      <c r="M87" s="9"/>
      <c r="N87" s="42"/>
      <c r="O87" s="42"/>
      <c r="P87" s="9"/>
      <c r="Q87" s="9"/>
      <c r="R87" s="9"/>
      <c r="S87" s="9"/>
      <c r="T87" s="38"/>
      <c r="U87" s="38"/>
      <c r="V87" s="38"/>
      <c r="W87" s="38"/>
      <c r="X87" s="38"/>
      <c r="Y87" s="9"/>
      <c r="Z87" s="39"/>
      <c r="AA87" s="9"/>
      <c r="AB87" s="9"/>
      <c r="AC87" s="9"/>
      <c r="AD87" s="9"/>
      <c r="AE87" s="9"/>
      <c r="AF87" s="9"/>
      <c r="AG87" s="9"/>
      <c r="AH87" s="38"/>
      <c r="AI87" s="9"/>
      <c r="AJ87" s="39"/>
      <c r="AK87" s="9"/>
      <c r="AL87" s="9"/>
      <c r="AM87" s="9"/>
      <c r="AN87" s="9"/>
      <c r="AO87" s="9"/>
      <c r="AP87" s="9"/>
      <c r="AQ87" s="9"/>
      <c r="AR87" s="10" t="str">
        <f aca="false">IF(A87="","",SG_Criteria!$B$6&amp;SG_Criteria!$B$9&amp;"\"&amp;A87&amp;"\")</f>
        <v/>
      </c>
      <c r="AS87" s="10" t="str">
        <f aca="false">IF(A87="","",A87&amp;"_CAD.dwg")</f>
        <v/>
      </c>
      <c r="AT87" s="10" t="str">
        <f aca="false">IF(A87="","",A87&amp;"_DWG.pdf")</f>
        <v/>
      </c>
      <c r="AU87" s="10" t="str">
        <f aca="false">IF(A87="","",IF(AQ87="Y",A87&amp;"_STAAD.std","n/a"))</f>
        <v/>
      </c>
      <c r="AV87" s="10" t="str">
        <f aca="false">IF(A87="","",A87&amp;"_CALC.xlsx")</f>
        <v/>
      </c>
      <c r="AW87" s="10" t="str">
        <f aca="false">IF(A87="","",A87&amp;"_CALC.pdf")</f>
        <v/>
      </c>
      <c r="AX87" s="9"/>
      <c r="AY87" s="9"/>
      <c r="AZ87" s="39"/>
      <c r="BA87" s="39"/>
      <c r="BB87" s="39"/>
      <c r="BC87" s="39"/>
      <c r="BD87" s="39"/>
      <c r="BE87" s="12" t="str">
        <f aca="false">IF(A87="","",IF(COUNTIF(Rebar_Schedule!$A$5:$A$2004,A87)=0,"",ROUND(SUMIF(Rebar_Schedule!$A$5:$A$2004,A87,Rebar_Schedule!$K$5:$K$2004),1)))</f>
        <v/>
      </c>
      <c r="BF87" s="33" t="str">
        <f aca="false">IF(A87="","",IF(BE87="","No rebar schedule yet",IF(ABS(BE87-N(BA87))/MAX(N(BA87),1)&gt;SG_Criteria!$B$55,"NOTE: register rebar differs from schedule by "&amp;TEXT(ABS(BE87-N(BA87))/MAX(N(BA87),1),"0%"),"OK")))</f>
        <v/>
      </c>
      <c r="BG87" s="33" t="str">
        <f aca="false">IF(OR(D87="",F87=""),"",IF(F87&lt;=IF(D87="Soldier Pile &amp; Timber Lagging",SG_Criteria!$B$34,SG_Criteria!$B$33),"No ERSS submission",IF(F87&lt;=SG_Criteria!$B$35,"QP(ST)",IF(F87&lt;=SG_Criteria!$B$36,"QP(ST) + AC","Geotechnical building works: QP(Geo) + AC"))))</f>
        <v/>
      </c>
      <c r="BH87" s="33" t="str">
        <f aca="false">IF(D87="","",IF(LEN(IF(AND(AC87&lt;&gt;"",IFERROR(VALUE(MID(AC87,2,2)),0)&lt;SG_Criteria!$B$19),"FAIL: grade below C"&amp;SG_Criteria!$B$19&amp;". ","")&amp;IF(AND(LEFT(D87,3)="Con",N(I87)&lt;F87,H87="Kallang Formation (marine clay)"),"NOTE: CBP is not watertight below GWT in marine clay; consider secant / grouting. ","")&amp;IF(AND(D87="Steel Sheet Pile",E87="Permanent"),"NOTE: permanent sheet pile needs corrosion allowance. ","")&amp;IF(AND(G87="Cantilever (no support)",F87&gt;6),"NOTE: cantilever embedded wall &gt; 6 m, check deflection. ","")&amp;IF(AND(T87&lt;&gt;"",U87&lt;&gt;"",T87&gt;U87),"FAIL: deflection exceeds allowable. ",""))=0,"OK",IF(AND(AC87&lt;&gt;"",IFERROR(VALUE(MID(AC87,2,2)),0)&lt;SG_Criteria!$B$19),"FAIL: grade below C"&amp;SG_Criteria!$B$19&amp;". ","")&amp;IF(AND(LEFT(D87,3)="Con",N(I87)&lt;F87,H87="Kallang Formation (marine clay)"),"NOTE: CBP is not watertight below GWT in marine clay; consider secant / grouting. ","")&amp;IF(AND(D87="Steel Sheet Pile",E87="Permanent"),"NOTE: permanent sheet pile needs corrosion allowance. ","")&amp;IF(AND(G87="Cantilever (no support)",F87&gt;6),"NOTE: cantilever embedded wall &gt; 6 m, check deflection. ","")&amp;IF(AND(T87&lt;&gt;"",U87&lt;&gt;"",T87&gt;U87),"FAIL: deflection exceeds allowable. ","")))</f>
        <v/>
      </c>
      <c r="BI87" s="9"/>
      <c r="BJ87" s="9"/>
      <c r="BK87" s="9"/>
      <c r="BL87" s="10" t="str">
        <f aca="false">IF(BK87="","",IFERROR(VLOOKUP(BK87,Projects!$A$5:$D$504,2,0),"Ref not in Projects"))</f>
        <v/>
      </c>
      <c r="BM87" s="10" t="str">
        <f aca="false">IF(BK87="","",IFERROR(VLOOKUP(BK87,Projects!$A$5:$D$504,4,0),"Ref not in Projects"))</f>
        <v/>
      </c>
      <c r="BN87" s="9"/>
      <c r="BO87" s="9"/>
      <c r="BP87" s="9"/>
      <c r="BQ87" s="40"/>
      <c r="BR87" s="9"/>
      <c r="BS87" s="40"/>
      <c r="BT87" s="9"/>
      <c r="BU87" s="40"/>
      <c r="BV87" s="9"/>
      <c r="BW87" s="9"/>
      <c r="BX87" s="9"/>
      <c r="BY87" s="40"/>
      <c r="BZ87" s="40"/>
      <c r="CA87" s="36" t="str">
        <f aca="false">IF(BZ87="","",EDATE(BZ87,SG_Criteria!$B$54*12))</f>
        <v/>
      </c>
      <c r="CB87" s="33" t="str">
        <f aca="true">IF(A87="","",IF(BZ87="","NOTE: not reviewed yet",IF(TODAY()&gt;CA87,"NOTE: review overdue","OK")))</f>
        <v/>
      </c>
      <c r="CC87" s="37" t="str">
        <f aca="false">IF(A87="","",ROUND((IF(LEN(D87)&gt;0,1,0)+IF(LEN(E87)&gt;0,1,0)+IF(LEN(F87)&gt;0,1,0)+IF(LEN(G87)&gt;0,1,0)+IF(LEN(H87)&gt;0,1,0)+IF(LEN(I87)&gt;0,1,0)+IF(LEN(K87)&gt;0,1,0)+IF(LEN(N87)&gt;0,1,0)+IF(LEN(O87)&gt;0,1,0)+IF(LEN(T87)&gt;0,1,0)+IF(LEN(U87)&gt;0,1,0)+IF(LEN(V87)&gt;0,1,0)+IF(LEN(AK87)&gt;0,1,0)+IF(LEN(AM87)&gt;0,1,0)+IF(LEN(AN87)&gt;0,1,0)+IF(LEN(AO87)&gt;0,1,0)+IF(LEN(AP87)&gt;0,1,0)+IF(LEN(AY87)&gt;0,1,0)+IF(LEN(BK87)&gt;0,1,0)+IF(LEN(BX87)&gt;0,1,0))/20,2))</f>
        <v/>
      </c>
      <c r="CD87" s="10" t="str">
        <f aca="false">IF(D87="","",IF(AND(AN87="Approved",ISERROR(SEARCH("FAIL",BH87))),"Y","N"))</f>
        <v/>
      </c>
      <c r="CE87" s="10" t="str">
        <f aca="false">IF(D87="","",D87&amp;"|"&amp;F87&amp;"|"&amp;G87&amp;"|"&amp;H87&amp;"|"&amp;E87&amp;"|"&amp;CD87)</f>
        <v/>
      </c>
    </row>
    <row r="88" customFormat="false" ht="15" hidden="false" customHeight="false" outlineLevel="0" collapsed="false">
      <c r="A88" s="10" t="str">
        <f aca="false">IF(D88="","","EW-"&amp;IFERROR(VLOOKUP(D88,Lists!$P$4:$Q$22,2,0),"??")&amp;"-D"&amp;TEXT(F88*1000,"0000")&amp;"-"&amp;IFERROR(VLOOKUP(G88,Lists!$S$4:$T$21,2,0),"??")&amp;"-"&amp;IFERROR(VLOOKUP(H88,Lists!$Y$4:$Z$21,2,0),"??")&amp;"-"&amp;IFERROR(VLOOKUP(E88,Lists!$V$4:$W$16,2,0),"??")&amp;"-"&amp;AM88)</f>
        <v/>
      </c>
      <c r="B88" s="10" t="str">
        <f aca="false">IF(D88="","",E88&amp;" "&amp;D88&amp;", excavation "&amp;TEXT(F88,"0.0")&amp;" m, "&amp;G88&amp;", "&amp;H88&amp;", "&amp;K88)</f>
        <v/>
      </c>
      <c r="C88" s="9"/>
      <c r="D88" s="9"/>
      <c r="E88" s="9"/>
      <c r="F88" s="42"/>
      <c r="G88" s="9"/>
      <c r="H88" s="9"/>
      <c r="I88" s="42"/>
      <c r="J88" s="38"/>
      <c r="K88" s="9"/>
      <c r="L88" s="9"/>
      <c r="M88" s="9"/>
      <c r="N88" s="42"/>
      <c r="O88" s="42"/>
      <c r="P88" s="9"/>
      <c r="Q88" s="9"/>
      <c r="R88" s="9"/>
      <c r="S88" s="9"/>
      <c r="T88" s="38"/>
      <c r="U88" s="38"/>
      <c r="V88" s="38"/>
      <c r="W88" s="38"/>
      <c r="X88" s="38"/>
      <c r="Y88" s="9"/>
      <c r="Z88" s="39"/>
      <c r="AA88" s="9"/>
      <c r="AB88" s="9"/>
      <c r="AC88" s="9"/>
      <c r="AD88" s="9"/>
      <c r="AE88" s="9"/>
      <c r="AF88" s="9"/>
      <c r="AG88" s="9"/>
      <c r="AH88" s="38"/>
      <c r="AI88" s="9"/>
      <c r="AJ88" s="39"/>
      <c r="AK88" s="9"/>
      <c r="AL88" s="9"/>
      <c r="AM88" s="9"/>
      <c r="AN88" s="9"/>
      <c r="AO88" s="9"/>
      <c r="AP88" s="9"/>
      <c r="AQ88" s="9"/>
      <c r="AR88" s="10" t="str">
        <f aca="false">IF(A88="","",SG_Criteria!$B$6&amp;SG_Criteria!$B$9&amp;"\"&amp;A88&amp;"\")</f>
        <v/>
      </c>
      <c r="AS88" s="10" t="str">
        <f aca="false">IF(A88="","",A88&amp;"_CAD.dwg")</f>
        <v/>
      </c>
      <c r="AT88" s="10" t="str">
        <f aca="false">IF(A88="","",A88&amp;"_DWG.pdf")</f>
        <v/>
      </c>
      <c r="AU88" s="10" t="str">
        <f aca="false">IF(A88="","",IF(AQ88="Y",A88&amp;"_STAAD.std","n/a"))</f>
        <v/>
      </c>
      <c r="AV88" s="10" t="str">
        <f aca="false">IF(A88="","",A88&amp;"_CALC.xlsx")</f>
        <v/>
      </c>
      <c r="AW88" s="10" t="str">
        <f aca="false">IF(A88="","",A88&amp;"_CALC.pdf")</f>
        <v/>
      </c>
      <c r="AX88" s="9"/>
      <c r="AY88" s="9"/>
      <c r="AZ88" s="39"/>
      <c r="BA88" s="39"/>
      <c r="BB88" s="39"/>
      <c r="BC88" s="39"/>
      <c r="BD88" s="39"/>
      <c r="BE88" s="12" t="str">
        <f aca="false">IF(A88="","",IF(COUNTIF(Rebar_Schedule!$A$5:$A$2004,A88)=0,"",ROUND(SUMIF(Rebar_Schedule!$A$5:$A$2004,A88,Rebar_Schedule!$K$5:$K$2004),1)))</f>
        <v/>
      </c>
      <c r="BF88" s="33" t="str">
        <f aca="false">IF(A88="","",IF(BE88="","No rebar schedule yet",IF(ABS(BE88-N(BA88))/MAX(N(BA88),1)&gt;SG_Criteria!$B$55,"NOTE: register rebar differs from schedule by "&amp;TEXT(ABS(BE88-N(BA88))/MAX(N(BA88),1),"0%"),"OK")))</f>
        <v/>
      </c>
      <c r="BG88" s="33" t="str">
        <f aca="false">IF(OR(D88="",F88=""),"",IF(F88&lt;=IF(D88="Soldier Pile &amp; Timber Lagging",SG_Criteria!$B$34,SG_Criteria!$B$33),"No ERSS submission",IF(F88&lt;=SG_Criteria!$B$35,"QP(ST)",IF(F88&lt;=SG_Criteria!$B$36,"QP(ST) + AC","Geotechnical building works: QP(Geo) + AC"))))</f>
        <v/>
      </c>
      <c r="BH88" s="33" t="str">
        <f aca="false">IF(D88="","",IF(LEN(IF(AND(AC88&lt;&gt;"",IFERROR(VALUE(MID(AC88,2,2)),0)&lt;SG_Criteria!$B$19),"FAIL: grade below C"&amp;SG_Criteria!$B$19&amp;". ","")&amp;IF(AND(LEFT(D88,3)="Con",N(I88)&lt;F88,H88="Kallang Formation (marine clay)"),"NOTE: CBP is not watertight below GWT in marine clay; consider secant / grouting. ","")&amp;IF(AND(D88="Steel Sheet Pile",E88="Permanent"),"NOTE: permanent sheet pile needs corrosion allowance. ","")&amp;IF(AND(G88="Cantilever (no support)",F88&gt;6),"NOTE: cantilever embedded wall &gt; 6 m, check deflection. ","")&amp;IF(AND(T88&lt;&gt;"",U88&lt;&gt;"",T88&gt;U88),"FAIL: deflection exceeds allowable. ",""))=0,"OK",IF(AND(AC88&lt;&gt;"",IFERROR(VALUE(MID(AC88,2,2)),0)&lt;SG_Criteria!$B$19),"FAIL: grade below C"&amp;SG_Criteria!$B$19&amp;". ","")&amp;IF(AND(LEFT(D88,3)="Con",N(I88)&lt;F88,H88="Kallang Formation (marine clay)"),"NOTE: CBP is not watertight below GWT in marine clay; consider secant / grouting. ","")&amp;IF(AND(D88="Steel Sheet Pile",E88="Permanent"),"NOTE: permanent sheet pile needs corrosion allowance. ","")&amp;IF(AND(G88="Cantilever (no support)",F88&gt;6),"NOTE: cantilever embedded wall &gt; 6 m, check deflection. ","")&amp;IF(AND(T88&lt;&gt;"",U88&lt;&gt;"",T88&gt;U88),"FAIL: deflection exceeds allowable. ","")))</f>
        <v/>
      </c>
      <c r="BI88" s="9"/>
      <c r="BJ88" s="9"/>
      <c r="BK88" s="9"/>
      <c r="BL88" s="10" t="str">
        <f aca="false">IF(BK88="","",IFERROR(VLOOKUP(BK88,Projects!$A$5:$D$504,2,0),"Ref not in Projects"))</f>
        <v/>
      </c>
      <c r="BM88" s="10" t="str">
        <f aca="false">IF(BK88="","",IFERROR(VLOOKUP(BK88,Projects!$A$5:$D$504,4,0),"Ref not in Projects"))</f>
        <v/>
      </c>
      <c r="BN88" s="9"/>
      <c r="BO88" s="9"/>
      <c r="BP88" s="9"/>
      <c r="BQ88" s="40"/>
      <c r="BR88" s="9"/>
      <c r="BS88" s="40"/>
      <c r="BT88" s="9"/>
      <c r="BU88" s="40"/>
      <c r="BV88" s="9"/>
      <c r="BW88" s="9"/>
      <c r="BX88" s="9"/>
      <c r="BY88" s="40"/>
      <c r="BZ88" s="40"/>
      <c r="CA88" s="36" t="str">
        <f aca="false">IF(BZ88="","",EDATE(BZ88,SG_Criteria!$B$54*12))</f>
        <v/>
      </c>
      <c r="CB88" s="33" t="str">
        <f aca="true">IF(A88="","",IF(BZ88="","NOTE: not reviewed yet",IF(TODAY()&gt;CA88,"NOTE: review overdue","OK")))</f>
        <v/>
      </c>
      <c r="CC88" s="37" t="str">
        <f aca="false">IF(A88="","",ROUND((IF(LEN(D88)&gt;0,1,0)+IF(LEN(E88)&gt;0,1,0)+IF(LEN(F88)&gt;0,1,0)+IF(LEN(G88)&gt;0,1,0)+IF(LEN(H88)&gt;0,1,0)+IF(LEN(I88)&gt;0,1,0)+IF(LEN(K88)&gt;0,1,0)+IF(LEN(N88)&gt;0,1,0)+IF(LEN(O88)&gt;0,1,0)+IF(LEN(T88)&gt;0,1,0)+IF(LEN(U88)&gt;0,1,0)+IF(LEN(V88)&gt;0,1,0)+IF(LEN(AK88)&gt;0,1,0)+IF(LEN(AM88)&gt;0,1,0)+IF(LEN(AN88)&gt;0,1,0)+IF(LEN(AO88)&gt;0,1,0)+IF(LEN(AP88)&gt;0,1,0)+IF(LEN(AY88)&gt;0,1,0)+IF(LEN(BK88)&gt;0,1,0)+IF(LEN(BX88)&gt;0,1,0))/20,2))</f>
        <v/>
      </c>
      <c r="CD88" s="10" t="str">
        <f aca="false">IF(D88="","",IF(AND(AN88="Approved",ISERROR(SEARCH("FAIL",BH88))),"Y","N"))</f>
        <v/>
      </c>
      <c r="CE88" s="10" t="str">
        <f aca="false">IF(D88="","",D88&amp;"|"&amp;F88&amp;"|"&amp;G88&amp;"|"&amp;H88&amp;"|"&amp;E88&amp;"|"&amp;CD88)</f>
        <v/>
      </c>
    </row>
    <row r="89" customFormat="false" ht="15" hidden="false" customHeight="false" outlineLevel="0" collapsed="false">
      <c r="A89" s="10" t="str">
        <f aca="false">IF(D89="","","EW-"&amp;IFERROR(VLOOKUP(D89,Lists!$P$4:$Q$22,2,0),"??")&amp;"-D"&amp;TEXT(F89*1000,"0000")&amp;"-"&amp;IFERROR(VLOOKUP(G89,Lists!$S$4:$T$21,2,0),"??")&amp;"-"&amp;IFERROR(VLOOKUP(H89,Lists!$Y$4:$Z$21,2,0),"??")&amp;"-"&amp;IFERROR(VLOOKUP(E89,Lists!$V$4:$W$16,2,0),"??")&amp;"-"&amp;AM89)</f>
        <v/>
      </c>
      <c r="B89" s="10" t="str">
        <f aca="false">IF(D89="","",E89&amp;" "&amp;D89&amp;", excavation "&amp;TEXT(F89,"0.0")&amp;" m, "&amp;G89&amp;", "&amp;H89&amp;", "&amp;K89)</f>
        <v/>
      </c>
      <c r="C89" s="9"/>
      <c r="D89" s="9"/>
      <c r="E89" s="9"/>
      <c r="F89" s="42"/>
      <c r="G89" s="9"/>
      <c r="H89" s="9"/>
      <c r="I89" s="42"/>
      <c r="J89" s="38"/>
      <c r="K89" s="9"/>
      <c r="L89" s="9"/>
      <c r="M89" s="9"/>
      <c r="N89" s="42"/>
      <c r="O89" s="42"/>
      <c r="P89" s="9"/>
      <c r="Q89" s="9"/>
      <c r="R89" s="9"/>
      <c r="S89" s="9"/>
      <c r="T89" s="38"/>
      <c r="U89" s="38"/>
      <c r="V89" s="38"/>
      <c r="W89" s="38"/>
      <c r="X89" s="38"/>
      <c r="Y89" s="9"/>
      <c r="Z89" s="39"/>
      <c r="AA89" s="9"/>
      <c r="AB89" s="9"/>
      <c r="AC89" s="9"/>
      <c r="AD89" s="9"/>
      <c r="AE89" s="9"/>
      <c r="AF89" s="9"/>
      <c r="AG89" s="9"/>
      <c r="AH89" s="38"/>
      <c r="AI89" s="9"/>
      <c r="AJ89" s="39"/>
      <c r="AK89" s="9"/>
      <c r="AL89" s="9"/>
      <c r="AM89" s="9"/>
      <c r="AN89" s="9"/>
      <c r="AO89" s="9"/>
      <c r="AP89" s="9"/>
      <c r="AQ89" s="9"/>
      <c r="AR89" s="10" t="str">
        <f aca="false">IF(A89="","",SG_Criteria!$B$6&amp;SG_Criteria!$B$9&amp;"\"&amp;A89&amp;"\")</f>
        <v/>
      </c>
      <c r="AS89" s="10" t="str">
        <f aca="false">IF(A89="","",A89&amp;"_CAD.dwg")</f>
        <v/>
      </c>
      <c r="AT89" s="10" t="str">
        <f aca="false">IF(A89="","",A89&amp;"_DWG.pdf")</f>
        <v/>
      </c>
      <c r="AU89" s="10" t="str">
        <f aca="false">IF(A89="","",IF(AQ89="Y",A89&amp;"_STAAD.std","n/a"))</f>
        <v/>
      </c>
      <c r="AV89" s="10" t="str">
        <f aca="false">IF(A89="","",A89&amp;"_CALC.xlsx")</f>
        <v/>
      </c>
      <c r="AW89" s="10" t="str">
        <f aca="false">IF(A89="","",A89&amp;"_CALC.pdf")</f>
        <v/>
      </c>
      <c r="AX89" s="9"/>
      <c r="AY89" s="9"/>
      <c r="AZ89" s="39"/>
      <c r="BA89" s="39"/>
      <c r="BB89" s="39"/>
      <c r="BC89" s="39"/>
      <c r="BD89" s="39"/>
      <c r="BE89" s="12" t="str">
        <f aca="false">IF(A89="","",IF(COUNTIF(Rebar_Schedule!$A$5:$A$2004,A89)=0,"",ROUND(SUMIF(Rebar_Schedule!$A$5:$A$2004,A89,Rebar_Schedule!$K$5:$K$2004),1)))</f>
        <v/>
      </c>
      <c r="BF89" s="33" t="str">
        <f aca="false">IF(A89="","",IF(BE89="","No rebar schedule yet",IF(ABS(BE89-N(BA89))/MAX(N(BA89),1)&gt;SG_Criteria!$B$55,"NOTE: register rebar differs from schedule by "&amp;TEXT(ABS(BE89-N(BA89))/MAX(N(BA89),1),"0%"),"OK")))</f>
        <v/>
      </c>
      <c r="BG89" s="33" t="str">
        <f aca="false">IF(OR(D89="",F89=""),"",IF(F89&lt;=IF(D89="Soldier Pile &amp; Timber Lagging",SG_Criteria!$B$34,SG_Criteria!$B$33),"No ERSS submission",IF(F89&lt;=SG_Criteria!$B$35,"QP(ST)",IF(F89&lt;=SG_Criteria!$B$36,"QP(ST) + AC","Geotechnical building works: QP(Geo) + AC"))))</f>
        <v/>
      </c>
      <c r="BH89" s="33" t="str">
        <f aca="false">IF(D89="","",IF(LEN(IF(AND(AC89&lt;&gt;"",IFERROR(VALUE(MID(AC89,2,2)),0)&lt;SG_Criteria!$B$19),"FAIL: grade below C"&amp;SG_Criteria!$B$19&amp;". ","")&amp;IF(AND(LEFT(D89,3)="Con",N(I89)&lt;F89,H89="Kallang Formation (marine clay)"),"NOTE: CBP is not watertight below GWT in marine clay; consider secant / grouting. ","")&amp;IF(AND(D89="Steel Sheet Pile",E89="Permanent"),"NOTE: permanent sheet pile needs corrosion allowance. ","")&amp;IF(AND(G89="Cantilever (no support)",F89&gt;6),"NOTE: cantilever embedded wall &gt; 6 m, check deflection. ","")&amp;IF(AND(T89&lt;&gt;"",U89&lt;&gt;"",T89&gt;U89),"FAIL: deflection exceeds allowable. ",""))=0,"OK",IF(AND(AC89&lt;&gt;"",IFERROR(VALUE(MID(AC89,2,2)),0)&lt;SG_Criteria!$B$19),"FAIL: grade below C"&amp;SG_Criteria!$B$19&amp;". ","")&amp;IF(AND(LEFT(D89,3)="Con",N(I89)&lt;F89,H89="Kallang Formation (marine clay)"),"NOTE: CBP is not watertight below GWT in marine clay; consider secant / grouting. ","")&amp;IF(AND(D89="Steel Sheet Pile",E89="Permanent"),"NOTE: permanent sheet pile needs corrosion allowance. ","")&amp;IF(AND(G89="Cantilever (no support)",F89&gt;6),"NOTE: cantilever embedded wall &gt; 6 m, check deflection. ","")&amp;IF(AND(T89&lt;&gt;"",U89&lt;&gt;"",T89&gt;U89),"FAIL: deflection exceeds allowable. ","")))</f>
        <v/>
      </c>
      <c r="BI89" s="9"/>
      <c r="BJ89" s="9"/>
      <c r="BK89" s="9"/>
      <c r="BL89" s="10" t="str">
        <f aca="false">IF(BK89="","",IFERROR(VLOOKUP(BK89,Projects!$A$5:$D$504,2,0),"Ref not in Projects"))</f>
        <v/>
      </c>
      <c r="BM89" s="10" t="str">
        <f aca="false">IF(BK89="","",IFERROR(VLOOKUP(BK89,Projects!$A$5:$D$504,4,0),"Ref not in Projects"))</f>
        <v/>
      </c>
      <c r="BN89" s="9"/>
      <c r="BO89" s="9"/>
      <c r="BP89" s="9"/>
      <c r="BQ89" s="40"/>
      <c r="BR89" s="9"/>
      <c r="BS89" s="40"/>
      <c r="BT89" s="9"/>
      <c r="BU89" s="40"/>
      <c r="BV89" s="9"/>
      <c r="BW89" s="9"/>
      <c r="BX89" s="9"/>
      <c r="BY89" s="40"/>
      <c r="BZ89" s="40"/>
      <c r="CA89" s="36" t="str">
        <f aca="false">IF(BZ89="","",EDATE(BZ89,SG_Criteria!$B$54*12))</f>
        <v/>
      </c>
      <c r="CB89" s="33" t="str">
        <f aca="true">IF(A89="","",IF(BZ89="","NOTE: not reviewed yet",IF(TODAY()&gt;CA89,"NOTE: review overdue","OK")))</f>
        <v/>
      </c>
      <c r="CC89" s="37" t="str">
        <f aca="false">IF(A89="","",ROUND((IF(LEN(D89)&gt;0,1,0)+IF(LEN(E89)&gt;0,1,0)+IF(LEN(F89)&gt;0,1,0)+IF(LEN(G89)&gt;0,1,0)+IF(LEN(H89)&gt;0,1,0)+IF(LEN(I89)&gt;0,1,0)+IF(LEN(K89)&gt;0,1,0)+IF(LEN(N89)&gt;0,1,0)+IF(LEN(O89)&gt;0,1,0)+IF(LEN(T89)&gt;0,1,0)+IF(LEN(U89)&gt;0,1,0)+IF(LEN(V89)&gt;0,1,0)+IF(LEN(AK89)&gt;0,1,0)+IF(LEN(AM89)&gt;0,1,0)+IF(LEN(AN89)&gt;0,1,0)+IF(LEN(AO89)&gt;0,1,0)+IF(LEN(AP89)&gt;0,1,0)+IF(LEN(AY89)&gt;0,1,0)+IF(LEN(BK89)&gt;0,1,0)+IF(LEN(BX89)&gt;0,1,0))/20,2))</f>
        <v/>
      </c>
      <c r="CD89" s="10" t="str">
        <f aca="false">IF(D89="","",IF(AND(AN89="Approved",ISERROR(SEARCH("FAIL",BH89))),"Y","N"))</f>
        <v/>
      </c>
      <c r="CE89" s="10" t="str">
        <f aca="false">IF(D89="","",D89&amp;"|"&amp;F89&amp;"|"&amp;G89&amp;"|"&amp;H89&amp;"|"&amp;E89&amp;"|"&amp;CD89)</f>
        <v/>
      </c>
    </row>
    <row r="90" customFormat="false" ht="15" hidden="false" customHeight="false" outlineLevel="0" collapsed="false">
      <c r="A90" s="10" t="str">
        <f aca="false">IF(D90="","","EW-"&amp;IFERROR(VLOOKUP(D90,Lists!$P$4:$Q$22,2,0),"??")&amp;"-D"&amp;TEXT(F90*1000,"0000")&amp;"-"&amp;IFERROR(VLOOKUP(G90,Lists!$S$4:$T$21,2,0),"??")&amp;"-"&amp;IFERROR(VLOOKUP(H90,Lists!$Y$4:$Z$21,2,0),"??")&amp;"-"&amp;IFERROR(VLOOKUP(E90,Lists!$V$4:$W$16,2,0),"??")&amp;"-"&amp;AM90)</f>
        <v/>
      </c>
      <c r="B90" s="10" t="str">
        <f aca="false">IF(D90="","",E90&amp;" "&amp;D90&amp;", excavation "&amp;TEXT(F90,"0.0")&amp;" m, "&amp;G90&amp;", "&amp;H90&amp;", "&amp;K90)</f>
        <v/>
      </c>
      <c r="C90" s="9"/>
      <c r="D90" s="9"/>
      <c r="E90" s="9"/>
      <c r="F90" s="42"/>
      <c r="G90" s="9"/>
      <c r="H90" s="9"/>
      <c r="I90" s="42"/>
      <c r="J90" s="38"/>
      <c r="K90" s="9"/>
      <c r="L90" s="9"/>
      <c r="M90" s="9"/>
      <c r="N90" s="42"/>
      <c r="O90" s="42"/>
      <c r="P90" s="9"/>
      <c r="Q90" s="9"/>
      <c r="R90" s="9"/>
      <c r="S90" s="9"/>
      <c r="T90" s="38"/>
      <c r="U90" s="38"/>
      <c r="V90" s="38"/>
      <c r="W90" s="38"/>
      <c r="X90" s="38"/>
      <c r="Y90" s="9"/>
      <c r="Z90" s="39"/>
      <c r="AA90" s="9"/>
      <c r="AB90" s="9"/>
      <c r="AC90" s="9"/>
      <c r="AD90" s="9"/>
      <c r="AE90" s="9"/>
      <c r="AF90" s="9"/>
      <c r="AG90" s="9"/>
      <c r="AH90" s="38"/>
      <c r="AI90" s="9"/>
      <c r="AJ90" s="39"/>
      <c r="AK90" s="9"/>
      <c r="AL90" s="9"/>
      <c r="AM90" s="9"/>
      <c r="AN90" s="9"/>
      <c r="AO90" s="9"/>
      <c r="AP90" s="9"/>
      <c r="AQ90" s="9"/>
      <c r="AR90" s="10" t="str">
        <f aca="false">IF(A90="","",SG_Criteria!$B$6&amp;SG_Criteria!$B$9&amp;"\"&amp;A90&amp;"\")</f>
        <v/>
      </c>
      <c r="AS90" s="10" t="str">
        <f aca="false">IF(A90="","",A90&amp;"_CAD.dwg")</f>
        <v/>
      </c>
      <c r="AT90" s="10" t="str">
        <f aca="false">IF(A90="","",A90&amp;"_DWG.pdf")</f>
        <v/>
      </c>
      <c r="AU90" s="10" t="str">
        <f aca="false">IF(A90="","",IF(AQ90="Y",A90&amp;"_STAAD.std","n/a"))</f>
        <v/>
      </c>
      <c r="AV90" s="10" t="str">
        <f aca="false">IF(A90="","",A90&amp;"_CALC.xlsx")</f>
        <v/>
      </c>
      <c r="AW90" s="10" t="str">
        <f aca="false">IF(A90="","",A90&amp;"_CALC.pdf")</f>
        <v/>
      </c>
      <c r="AX90" s="9"/>
      <c r="AY90" s="9"/>
      <c r="AZ90" s="39"/>
      <c r="BA90" s="39"/>
      <c r="BB90" s="39"/>
      <c r="BC90" s="39"/>
      <c r="BD90" s="39"/>
      <c r="BE90" s="12" t="str">
        <f aca="false">IF(A90="","",IF(COUNTIF(Rebar_Schedule!$A$5:$A$2004,A90)=0,"",ROUND(SUMIF(Rebar_Schedule!$A$5:$A$2004,A90,Rebar_Schedule!$K$5:$K$2004),1)))</f>
        <v/>
      </c>
      <c r="BF90" s="33" t="str">
        <f aca="false">IF(A90="","",IF(BE90="","No rebar schedule yet",IF(ABS(BE90-N(BA90))/MAX(N(BA90),1)&gt;SG_Criteria!$B$55,"NOTE: register rebar differs from schedule by "&amp;TEXT(ABS(BE90-N(BA90))/MAX(N(BA90),1),"0%"),"OK")))</f>
        <v/>
      </c>
      <c r="BG90" s="33" t="str">
        <f aca="false">IF(OR(D90="",F90=""),"",IF(F90&lt;=IF(D90="Soldier Pile &amp; Timber Lagging",SG_Criteria!$B$34,SG_Criteria!$B$33),"No ERSS submission",IF(F90&lt;=SG_Criteria!$B$35,"QP(ST)",IF(F90&lt;=SG_Criteria!$B$36,"QP(ST) + AC","Geotechnical building works: QP(Geo) + AC"))))</f>
        <v/>
      </c>
      <c r="BH90" s="33" t="str">
        <f aca="false">IF(D90="","",IF(LEN(IF(AND(AC90&lt;&gt;"",IFERROR(VALUE(MID(AC90,2,2)),0)&lt;SG_Criteria!$B$19),"FAIL: grade below C"&amp;SG_Criteria!$B$19&amp;". ","")&amp;IF(AND(LEFT(D90,3)="Con",N(I90)&lt;F90,H90="Kallang Formation (marine clay)"),"NOTE: CBP is not watertight below GWT in marine clay; consider secant / grouting. ","")&amp;IF(AND(D90="Steel Sheet Pile",E90="Permanent"),"NOTE: permanent sheet pile needs corrosion allowance. ","")&amp;IF(AND(G90="Cantilever (no support)",F90&gt;6),"NOTE: cantilever embedded wall &gt; 6 m, check deflection. ","")&amp;IF(AND(T90&lt;&gt;"",U90&lt;&gt;"",T90&gt;U90),"FAIL: deflection exceeds allowable. ",""))=0,"OK",IF(AND(AC90&lt;&gt;"",IFERROR(VALUE(MID(AC90,2,2)),0)&lt;SG_Criteria!$B$19),"FAIL: grade below C"&amp;SG_Criteria!$B$19&amp;". ","")&amp;IF(AND(LEFT(D90,3)="Con",N(I90)&lt;F90,H90="Kallang Formation (marine clay)"),"NOTE: CBP is not watertight below GWT in marine clay; consider secant / grouting. ","")&amp;IF(AND(D90="Steel Sheet Pile",E90="Permanent"),"NOTE: permanent sheet pile needs corrosion allowance. ","")&amp;IF(AND(G90="Cantilever (no support)",F90&gt;6),"NOTE: cantilever embedded wall &gt; 6 m, check deflection. ","")&amp;IF(AND(T90&lt;&gt;"",U90&lt;&gt;"",T90&gt;U90),"FAIL: deflection exceeds allowable. ","")))</f>
        <v/>
      </c>
      <c r="BI90" s="9"/>
      <c r="BJ90" s="9"/>
      <c r="BK90" s="9"/>
      <c r="BL90" s="10" t="str">
        <f aca="false">IF(BK90="","",IFERROR(VLOOKUP(BK90,Projects!$A$5:$D$504,2,0),"Ref not in Projects"))</f>
        <v/>
      </c>
      <c r="BM90" s="10" t="str">
        <f aca="false">IF(BK90="","",IFERROR(VLOOKUP(BK90,Projects!$A$5:$D$504,4,0),"Ref not in Projects"))</f>
        <v/>
      </c>
      <c r="BN90" s="9"/>
      <c r="BO90" s="9"/>
      <c r="BP90" s="9"/>
      <c r="BQ90" s="40"/>
      <c r="BR90" s="9"/>
      <c r="BS90" s="40"/>
      <c r="BT90" s="9"/>
      <c r="BU90" s="40"/>
      <c r="BV90" s="9"/>
      <c r="BW90" s="9"/>
      <c r="BX90" s="9"/>
      <c r="BY90" s="40"/>
      <c r="BZ90" s="40"/>
      <c r="CA90" s="36" t="str">
        <f aca="false">IF(BZ90="","",EDATE(BZ90,SG_Criteria!$B$54*12))</f>
        <v/>
      </c>
      <c r="CB90" s="33" t="str">
        <f aca="true">IF(A90="","",IF(BZ90="","NOTE: not reviewed yet",IF(TODAY()&gt;CA90,"NOTE: review overdue","OK")))</f>
        <v/>
      </c>
      <c r="CC90" s="37" t="str">
        <f aca="false">IF(A90="","",ROUND((IF(LEN(D90)&gt;0,1,0)+IF(LEN(E90)&gt;0,1,0)+IF(LEN(F90)&gt;0,1,0)+IF(LEN(G90)&gt;0,1,0)+IF(LEN(H90)&gt;0,1,0)+IF(LEN(I90)&gt;0,1,0)+IF(LEN(K90)&gt;0,1,0)+IF(LEN(N90)&gt;0,1,0)+IF(LEN(O90)&gt;0,1,0)+IF(LEN(T90)&gt;0,1,0)+IF(LEN(U90)&gt;0,1,0)+IF(LEN(V90)&gt;0,1,0)+IF(LEN(AK90)&gt;0,1,0)+IF(LEN(AM90)&gt;0,1,0)+IF(LEN(AN90)&gt;0,1,0)+IF(LEN(AO90)&gt;0,1,0)+IF(LEN(AP90)&gt;0,1,0)+IF(LEN(AY90)&gt;0,1,0)+IF(LEN(BK90)&gt;0,1,0)+IF(LEN(BX90)&gt;0,1,0))/20,2))</f>
        <v/>
      </c>
      <c r="CD90" s="10" t="str">
        <f aca="false">IF(D90="","",IF(AND(AN90="Approved",ISERROR(SEARCH("FAIL",BH90))),"Y","N"))</f>
        <v/>
      </c>
      <c r="CE90" s="10" t="str">
        <f aca="false">IF(D90="","",D90&amp;"|"&amp;F90&amp;"|"&amp;G90&amp;"|"&amp;H90&amp;"|"&amp;E90&amp;"|"&amp;CD90)</f>
        <v/>
      </c>
    </row>
    <row r="91" customFormat="false" ht="15" hidden="false" customHeight="false" outlineLevel="0" collapsed="false">
      <c r="A91" s="10" t="str">
        <f aca="false">IF(D91="","","EW-"&amp;IFERROR(VLOOKUP(D91,Lists!$P$4:$Q$22,2,0),"??")&amp;"-D"&amp;TEXT(F91*1000,"0000")&amp;"-"&amp;IFERROR(VLOOKUP(G91,Lists!$S$4:$T$21,2,0),"??")&amp;"-"&amp;IFERROR(VLOOKUP(H91,Lists!$Y$4:$Z$21,2,0),"??")&amp;"-"&amp;IFERROR(VLOOKUP(E91,Lists!$V$4:$W$16,2,0),"??")&amp;"-"&amp;AM91)</f>
        <v/>
      </c>
      <c r="B91" s="10" t="str">
        <f aca="false">IF(D91="","",E91&amp;" "&amp;D91&amp;", excavation "&amp;TEXT(F91,"0.0")&amp;" m, "&amp;G91&amp;", "&amp;H91&amp;", "&amp;K91)</f>
        <v/>
      </c>
      <c r="C91" s="9"/>
      <c r="D91" s="9"/>
      <c r="E91" s="9"/>
      <c r="F91" s="42"/>
      <c r="G91" s="9"/>
      <c r="H91" s="9"/>
      <c r="I91" s="42"/>
      <c r="J91" s="38"/>
      <c r="K91" s="9"/>
      <c r="L91" s="9"/>
      <c r="M91" s="9"/>
      <c r="N91" s="42"/>
      <c r="O91" s="42"/>
      <c r="P91" s="9"/>
      <c r="Q91" s="9"/>
      <c r="R91" s="9"/>
      <c r="S91" s="9"/>
      <c r="T91" s="38"/>
      <c r="U91" s="38"/>
      <c r="V91" s="38"/>
      <c r="W91" s="38"/>
      <c r="X91" s="38"/>
      <c r="Y91" s="9"/>
      <c r="Z91" s="39"/>
      <c r="AA91" s="9"/>
      <c r="AB91" s="9"/>
      <c r="AC91" s="9"/>
      <c r="AD91" s="9"/>
      <c r="AE91" s="9"/>
      <c r="AF91" s="9"/>
      <c r="AG91" s="9"/>
      <c r="AH91" s="38"/>
      <c r="AI91" s="9"/>
      <c r="AJ91" s="39"/>
      <c r="AK91" s="9"/>
      <c r="AL91" s="9"/>
      <c r="AM91" s="9"/>
      <c r="AN91" s="9"/>
      <c r="AO91" s="9"/>
      <c r="AP91" s="9"/>
      <c r="AQ91" s="9"/>
      <c r="AR91" s="10" t="str">
        <f aca="false">IF(A91="","",SG_Criteria!$B$6&amp;SG_Criteria!$B$9&amp;"\"&amp;A91&amp;"\")</f>
        <v/>
      </c>
      <c r="AS91" s="10" t="str">
        <f aca="false">IF(A91="","",A91&amp;"_CAD.dwg")</f>
        <v/>
      </c>
      <c r="AT91" s="10" t="str">
        <f aca="false">IF(A91="","",A91&amp;"_DWG.pdf")</f>
        <v/>
      </c>
      <c r="AU91" s="10" t="str">
        <f aca="false">IF(A91="","",IF(AQ91="Y",A91&amp;"_STAAD.std","n/a"))</f>
        <v/>
      </c>
      <c r="AV91" s="10" t="str">
        <f aca="false">IF(A91="","",A91&amp;"_CALC.xlsx")</f>
        <v/>
      </c>
      <c r="AW91" s="10" t="str">
        <f aca="false">IF(A91="","",A91&amp;"_CALC.pdf")</f>
        <v/>
      </c>
      <c r="AX91" s="9"/>
      <c r="AY91" s="9"/>
      <c r="AZ91" s="39"/>
      <c r="BA91" s="39"/>
      <c r="BB91" s="39"/>
      <c r="BC91" s="39"/>
      <c r="BD91" s="39"/>
      <c r="BE91" s="12" t="str">
        <f aca="false">IF(A91="","",IF(COUNTIF(Rebar_Schedule!$A$5:$A$2004,A91)=0,"",ROUND(SUMIF(Rebar_Schedule!$A$5:$A$2004,A91,Rebar_Schedule!$K$5:$K$2004),1)))</f>
        <v/>
      </c>
      <c r="BF91" s="33" t="str">
        <f aca="false">IF(A91="","",IF(BE91="","No rebar schedule yet",IF(ABS(BE91-N(BA91))/MAX(N(BA91),1)&gt;SG_Criteria!$B$55,"NOTE: register rebar differs from schedule by "&amp;TEXT(ABS(BE91-N(BA91))/MAX(N(BA91),1),"0%"),"OK")))</f>
        <v/>
      </c>
      <c r="BG91" s="33" t="str">
        <f aca="false">IF(OR(D91="",F91=""),"",IF(F91&lt;=IF(D91="Soldier Pile &amp; Timber Lagging",SG_Criteria!$B$34,SG_Criteria!$B$33),"No ERSS submission",IF(F91&lt;=SG_Criteria!$B$35,"QP(ST)",IF(F91&lt;=SG_Criteria!$B$36,"QP(ST) + AC","Geotechnical building works: QP(Geo) + AC"))))</f>
        <v/>
      </c>
      <c r="BH91" s="33" t="str">
        <f aca="false">IF(D91="","",IF(LEN(IF(AND(AC91&lt;&gt;"",IFERROR(VALUE(MID(AC91,2,2)),0)&lt;SG_Criteria!$B$19),"FAIL: grade below C"&amp;SG_Criteria!$B$19&amp;". ","")&amp;IF(AND(LEFT(D91,3)="Con",N(I91)&lt;F91,H91="Kallang Formation (marine clay)"),"NOTE: CBP is not watertight below GWT in marine clay; consider secant / grouting. ","")&amp;IF(AND(D91="Steel Sheet Pile",E91="Permanent"),"NOTE: permanent sheet pile needs corrosion allowance. ","")&amp;IF(AND(G91="Cantilever (no support)",F91&gt;6),"NOTE: cantilever embedded wall &gt; 6 m, check deflection. ","")&amp;IF(AND(T91&lt;&gt;"",U91&lt;&gt;"",T91&gt;U91),"FAIL: deflection exceeds allowable. ",""))=0,"OK",IF(AND(AC91&lt;&gt;"",IFERROR(VALUE(MID(AC91,2,2)),0)&lt;SG_Criteria!$B$19),"FAIL: grade below C"&amp;SG_Criteria!$B$19&amp;". ","")&amp;IF(AND(LEFT(D91,3)="Con",N(I91)&lt;F91,H91="Kallang Formation (marine clay)"),"NOTE: CBP is not watertight below GWT in marine clay; consider secant / grouting. ","")&amp;IF(AND(D91="Steel Sheet Pile",E91="Permanent"),"NOTE: permanent sheet pile needs corrosion allowance. ","")&amp;IF(AND(G91="Cantilever (no support)",F91&gt;6),"NOTE: cantilever embedded wall &gt; 6 m, check deflection. ","")&amp;IF(AND(T91&lt;&gt;"",U91&lt;&gt;"",T91&gt;U91),"FAIL: deflection exceeds allowable. ","")))</f>
        <v/>
      </c>
      <c r="BI91" s="9"/>
      <c r="BJ91" s="9"/>
      <c r="BK91" s="9"/>
      <c r="BL91" s="10" t="str">
        <f aca="false">IF(BK91="","",IFERROR(VLOOKUP(BK91,Projects!$A$5:$D$504,2,0),"Ref not in Projects"))</f>
        <v/>
      </c>
      <c r="BM91" s="10" t="str">
        <f aca="false">IF(BK91="","",IFERROR(VLOOKUP(BK91,Projects!$A$5:$D$504,4,0),"Ref not in Projects"))</f>
        <v/>
      </c>
      <c r="BN91" s="9"/>
      <c r="BO91" s="9"/>
      <c r="BP91" s="9"/>
      <c r="BQ91" s="40"/>
      <c r="BR91" s="9"/>
      <c r="BS91" s="40"/>
      <c r="BT91" s="9"/>
      <c r="BU91" s="40"/>
      <c r="BV91" s="9"/>
      <c r="BW91" s="9"/>
      <c r="BX91" s="9"/>
      <c r="BY91" s="40"/>
      <c r="BZ91" s="40"/>
      <c r="CA91" s="36" t="str">
        <f aca="false">IF(BZ91="","",EDATE(BZ91,SG_Criteria!$B$54*12))</f>
        <v/>
      </c>
      <c r="CB91" s="33" t="str">
        <f aca="true">IF(A91="","",IF(BZ91="","NOTE: not reviewed yet",IF(TODAY()&gt;CA91,"NOTE: review overdue","OK")))</f>
        <v/>
      </c>
      <c r="CC91" s="37" t="str">
        <f aca="false">IF(A91="","",ROUND((IF(LEN(D91)&gt;0,1,0)+IF(LEN(E91)&gt;0,1,0)+IF(LEN(F91)&gt;0,1,0)+IF(LEN(G91)&gt;0,1,0)+IF(LEN(H91)&gt;0,1,0)+IF(LEN(I91)&gt;0,1,0)+IF(LEN(K91)&gt;0,1,0)+IF(LEN(N91)&gt;0,1,0)+IF(LEN(O91)&gt;0,1,0)+IF(LEN(T91)&gt;0,1,0)+IF(LEN(U91)&gt;0,1,0)+IF(LEN(V91)&gt;0,1,0)+IF(LEN(AK91)&gt;0,1,0)+IF(LEN(AM91)&gt;0,1,0)+IF(LEN(AN91)&gt;0,1,0)+IF(LEN(AO91)&gt;0,1,0)+IF(LEN(AP91)&gt;0,1,0)+IF(LEN(AY91)&gt;0,1,0)+IF(LEN(BK91)&gt;0,1,0)+IF(LEN(BX91)&gt;0,1,0))/20,2))</f>
        <v/>
      </c>
      <c r="CD91" s="10" t="str">
        <f aca="false">IF(D91="","",IF(AND(AN91="Approved",ISERROR(SEARCH("FAIL",BH91))),"Y","N"))</f>
        <v/>
      </c>
      <c r="CE91" s="10" t="str">
        <f aca="false">IF(D91="","",D91&amp;"|"&amp;F91&amp;"|"&amp;G91&amp;"|"&amp;H91&amp;"|"&amp;E91&amp;"|"&amp;CD91)</f>
        <v/>
      </c>
    </row>
    <row r="92" customFormat="false" ht="15" hidden="false" customHeight="false" outlineLevel="0" collapsed="false">
      <c r="A92" s="10" t="str">
        <f aca="false">IF(D92="","","EW-"&amp;IFERROR(VLOOKUP(D92,Lists!$P$4:$Q$22,2,0),"??")&amp;"-D"&amp;TEXT(F92*1000,"0000")&amp;"-"&amp;IFERROR(VLOOKUP(G92,Lists!$S$4:$T$21,2,0),"??")&amp;"-"&amp;IFERROR(VLOOKUP(H92,Lists!$Y$4:$Z$21,2,0),"??")&amp;"-"&amp;IFERROR(VLOOKUP(E92,Lists!$V$4:$W$16,2,0),"??")&amp;"-"&amp;AM92)</f>
        <v/>
      </c>
      <c r="B92" s="10" t="str">
        <f aca="false">IF(D92="","",E92&amp;" "&amp;D92&amp;", excavation "&amp;TEXT(F92,"0.0")&amp;" m, "&amp;G92&amp;", "&amp;H92&amp;", "&amp;K92)</f>
        <v/>
      </c>
      <c r="C92" s="9"/>
      <c r="D92" s="9"/>
      <c r="E92" s="9"/>
      <c r="F92" s="42"/>
      <c r="G92" s="9"/>
      <c r="H92" s="9"/>
      <c r="I92" s="42"/>
      <c r="J92" s="38"/>
      <c r="K92" s="9"/>
      <c r="L92" s="9"/>
      <c r="M92" s="9"/>
      <c r="N92" s="42"/>
      <c r="O92" s="42"/>
      <c r="P92" s="9"/>
      <c r="Q92" s="9"/>
      <c r="R92" s="9"/>
      <c r="S92" s="9"/>
      <c r="T92" s="38"/>
      <c r="U92" s="38"/>
      <c r="V92" s="38"/>
      <c r="W92" s="38"/>
      <c r="X92" s="38"/>
      <c r="Y92" s="9"/>
      <c r="Z92" s="39"/>
      <c r="AA92" s="9"/>
      <c r="AB92" s="9"/>
      <c r="AC92" s="9"/>
      <c r="AD92" s="9"/>
      <c r="AE92" s="9"/>
      <c r="AF92" s="9"/>
      <c r="AG92" s="9"/>
      <c r="AH92" s="38"/>
      <c r="AI92" s="9"/>
      <c r="AJ92" s="39"/>
      <c r="AK92" s="9"/>
      <c r="AL92" s="9"/>
      <c r="AM92" s="9"/>
      <c r="AN92" s="9"/>
      <c r="AO92" s="9"/>
      <c r="AP92" s="9"/>
      <c r="AQ92" s="9"/>
      <c r="AR92" s="10" t="str">
        <f aca="false">IF(A92="","",SG_Criteria!$B$6&amp;SG_Criteria!$B$9&amp;"\"&amp;A92&amp;"\")</f>
        <v/>
      </c>
      <c r="AS92" s="10" t="str">
        <f aca="false">IF(A92="","",A92&amp;"_CAD.dwg")</f>
        <v/>
      </c>
      <c r="AT92" s="10" t="str">
        <f aca="false">IF(A92="","",A92&amp;"_DWG.pdf")</f>
        <v/>
      </c>
      <c r="AU92" s="10" t="str">
        <f aca="false">IF(A92="","",IF(AQ92="Y",A92&amp;"_STAAD.std","n/a"))</f>
        <v/>
      </c>
      <c r="AV92" s="10" t="str">
        <f aca="false">IF(A92="","",A92&amp;"_CALC.xlsx")</f>
        <v/>
      </c>
      <c r="AW92" s="10" t="str">
        <f aca="false">IF(A92="","",A92&amp;"_CALC.pdf")</f>
        <v/>
      </c>
      <c r="AX92" s="9"/>
      <c r="AY92" s="9"/>
      <c r="AZ92" s="39"/>
      <c r="BA92" s="39"/>
      <c r="BB92" s="39"/>
      <c r="BC92" s="39"/>
      <c r="BD92" s="39"/>
      <c r="BE92" s="12" t="str">
        <f aca="false">IF(A92="","",IF(COUNTIF(Rebar_Schedule!$A$5:$A$2004,A92)=0,"",ROUND(SUMIF(Rebar_Schedule!$A$5:$A$2004,A92,Rebar_Schedule!$K$5:$K$2004),1)))</f>
        <v/>
      </c>
      <c r="BF92" s="33" t="str">
        <f aca="false">IF(A92="","",IF(BE92="","No rebar schedule yet",IF(ABS(BE92-N(BA92))/MAX(N(BA92),1)&gt;SG_Criteria!$B$55,"NOTE: register rebar differs from schedule by "&amp;TEXT(ABS(BE92-N(BA92))/MAX(N(BA92),1),"0%"),"OK")))</f>
        <v/>
      </c>
      <c r="BG92" s="33" t="str">
        <f aca="false">IF(OR(D92="",F92=""),"",IF(F92&lt;=IF(D92="Soldier Pile &amp; Timber Lagging",SG_Criteria!$B$34,SG_Criteria!$B$33),"No ERSS submission",IF(F92&lt;=SG_Criteria!$B$35,"QP(ST)",IF(F92&lt;=SG_Criteria!$B$36,"QP(ST) + AC","Geotechnical building works: QP(Geo) + AC"))))</f>
        <v/>
      </c>
      <c r="BH92" s="33" t="str">
        <f aca="false">IF(D92="","",IF(LEN(IF(AND(AC92&lt;&gt;"",IFERROR(VALUE(MID(AC92,2,2)),0)&lt;SG_Criteria!$B$19),"FAIL: grade below C"&amp;SG_Criteria!$B$19&amp;". ","")&amp;IF(AND(LEFT(D92,3)="Con",N(I92)&lt;F92,H92="Kallang Formation (marine clay)"),"NOTE: CBP is not watertight below GWT in marine clay; consider secant / grouting. ","")&amp;IF(AND(D92="Steel Sheet Pile",E92="Permanent"),"NOTE: permanent sheet pile needs corrosion allowance. ","")&amp;IF(AND(G92="Cantilever (no support)",F92&gt;6),"NOTE: cantilever embedded wall &gt; 6 m, check deflection. ","")&amp;IF(AND(T92&lt;&gt;"",U92&lt;&gt;"",T92&gt;U92),"FAIL: deflection exceeds allowable. ",""))=0,"OK",IF(AND(AC92&lt;&gt;"",IFERROR(VALUE(MID(AC92,2,2)),0)&lt;SG_Criteria!$B$19),"FAIL: grade below C"&amp;SG_Criteria!$B$19&amp;". ","")&amp;IF(AND(LEFT(D92,3)="Con",N(I92)&lt;F92,H92="Kallang Formation (marine clay)"),"NOTE: CBP is not watertight below GWT in marine clay; consider secant / grouting. ","")&amp;IF(AND(D92="Steel Sheet Pile",E92="Permanent"),"NOTE: permanent sheet pile needs corrosion allowance. ","")&amp;IF(AND(G92="Cantilever (no support)",F92&gt;6),"NOTE: cantilever embedded wall &gt; 6 m, check deflection. ","")&amp;IF(AND(T92&lt;&gt;"",U92&lt;&gt;"",T92&gt;U92),"FAIL: deflection exceeds allowable. ","")))</f>
        <v/>
      </c>
      <c r="BI92" s="9"/>
      <c r="BJ92" s="9"/>
      <c r="BK92" s="9"/>
      <c r="BL92" s="10" t="str">
        <f aca="false">IF(BK92="","",IFERROR(VLOOKUP(BK92,Projects!$A$5:$D$504,2,0),"Ref not in Projects"))</f>
        <v/>
      </c>
      <c r="BM92" s="10" t="str">
        <f aca="false">IF(BK92="","",IFERROR(VLOOKUP(BK92,Projects!$A$5:$D$504,4,0),"Ref not in Projects"))</f>
        <v/>
      </c>
      <c r="BN92" s="9"/>
      <c r="BO92" s="9"/>
      <c r="BP92" s="9"/>
      <c r="BQ92" s="40"/>
      <c r="BR92" s="9"/>
      <c r="BS92" s="40"/>
      <c r="BT92" s="9"/>
      <c r="BU92" s="40"/>
      <c r="BV92" s="9"/>
      <c r="BW92" s="9"/>
      <c r="BX92" s="9"/>
      <c r="BY92" s="40"/>
      <c r="BZ92" s="40"/>
      <c r="CA92" s="36" t="str">
        <f aca="false">IF(BZ92="","",EDATE(BZ92,SG_Criteria!$B$54*12))</f>
        <v/>
      </c>
      <c r="CB92" s="33" t="str">
        <f aca="true">IF(A92="","",IF(BZ92="","NOTE: not reviewed yet",IF(TODAY()&gt;CA92,"NOTE: review overdue","OK")))</f>
        <v/>
      </c>
      <c r="CC92" s="37" t="str">
        <f aca="false">IF(A92="","",ROUND((IF(LEN(D92)&gt;0,1,0)+IF(LEN(E92)&gt;0,1,0)+IF(LEN(F92)&gt;0,1,0)+IF(LEN(G92)&gt;0,1,0)+IF(LEN(H92)&gt;0,1,0)+IF(LEN(I92)&gt;0,1,0)+IF(LEN(K92)&gt;0,1,0)+IF(LEN(N92)&gt;0,1,0)+IF(LEN(O92)&gt;0,1,0)+IF(LEN(T92)&gt;0,1,0)+IF(LEN(U92)&gt;0,1,0)+IF(LEN(V92)&gt;0,1,0)+IF(LEN(AK92)&gt;0,1,0)+IF(LEN(AM92)&gt;0,1,0)+IF(LEN(AN92)&gt;0,1,0)+IF(LEN(AO92)&gt;0,1,0)+IF(LEN(AP92)&gt;0,1,0)+IF(LEN(AY92)&gt;0,1,0)+IF(LEN(BK92)&gt;0,1,0)+IF(LEN(BX92)&gt;0,1,0))/20,2))</f>
        <v/>
      </c>
      <c r="CD92" s="10" t="str">
        <f aca="false">IF(D92="","",IF(AND(AN92="Approved",ISERROR(SEARCH("FAIL",BH92))),"Y","N"))</f>
        <v/>
      </c>
      <c r="CE92" s="10" t="str">
        <f aca="false">IF(D92="","",D92&amp;"|"&amp;F92&amp;"|"&amp;G92&amp;"|"&amp;H92&amp;"|"&amp;E92&amp;"|"&amp;CD92)</f>
        <v/>
      </c>
    </row>
    <row r="93" customFormat="false" ht="15" hidden="false" customHeight="false" outlineLevel="0" collapsed="false">
      <c r="A93" s="10" t="str">
        <f aca="false">IF(D93="","","EW-"&amp;IFERROR(VLOOKUP(D93,Lists!$P$4:$Q$22,2,0),"??")&amp;"-D"&amp;TEXT(F93*1000,"0000")&amp;"-"&amp;IFERROR(VLOOKUP(G93,Lists!$S$4:$T$21,2,0),"??")&amp;"-"&amp;IFERROR(VLOOKUP(H93,Lists!$Y$4:$Z$21,2,0),"??")&amp;"-"&amp;IFERROR(VLOOKUP(E93,Lists!$V$4:$W$16,2,0),"??")&amp;"-"&amp;AM93)</f>
        <v/>
      </c>
      <c r="B93" s="10" t="str">
        <f aca="false">IF(D93="","",E93&amp;" "&amp;D93&amp;", excavation "&amp;TEXT(F93,"0.0")&amp;" m, "&amp;G93&amp;", "&amp;H93&amp;", "&amp;K93)</f>
        <v/>
      </c>
      <c r="C93" s="9"/>
      <c r="D93" s="9"/>
      <c r="E93" s="9"/>
      <c r="F93" s="42"/>
      <c r="G93" s="9"/>
      <c r="H93" s="9"/>
      <c r="I93" s="42"/>
      <c r="J93" s="38"/>
      <c r="K93" s="9"/>
      <c r="L93" s="9"/>
      <c r="M93" s="9"/>
      <c r="N93" s="42"/>
      <c r="O93" s="42"/>
      <c r="P93" s="9"/>
      <c r="Q93" s="9"/>
      <c r="R93" s="9"/>
      <c r="S93" s="9"/>
      <c r="T93" s="38"/>
      <c r="U93" s="38"/>
      <c r="V93" s="38"/>
      <c r="W93" s="38"/>
      <c r="X93" s="38"/>
      <c r="Y93" s="9"/>
      <c r="Z93" s="39"/>
      <c r="AA93" s="9"/>
      <c r="AB93" s="9"/>
      <c r="AC93" s="9"/>
      <c r="AD93" s="9"/>
      <c r="AE93" s="9"/>
      <c r="AF93" s="9"/>
      <c r="AG93" s="9"/>
      <c r="AH93" s="38"/>
      <c r="AI93" s="9"/>
      <c r="AJ93" s="39"/>
      <c r="AK93" s="9"/>
      <c r="AL93" s="9"/>
      <c r="AM93" s="9"/>
      <c r="AN93" s="9"/>
      <c r="AO93" s="9"/>
      <c r="AP93" s="9"/>
      <c r="AQ93" s="9"/>
      <c r="AR93" s="10" t="str">
        <f aca="false">IF(A93="","",SG_Criteria!$B$6&amp;SG_Criteria!$B$9&amp;"\"&amp;A93&amp;"\")</f>
        <v/>
      </c>
      <c r="AS93" s="10" t="str">
        <f aca="false">IF(A93="","",A93&amp;"_CAD.dwg")</f>
        <v/>
      </c>
      <c r="AT93" s="10" t="str">
        <f aca="false">IF(A93="","",A93&amp;"_DWG.pdf")</f>
        <v/>
      </c>
      <c r="AU93" s="10" t="str">
        <f aca="false">IF(A93="","",IF(AQ93="Y",A93&amp;"_STAAD.std","n/a"))</f>
        <v/>
      </c>
      <c r="AV93" s="10" t="str">
        <f aca="false">IF(A93="","",A93&amp;"_CALC.xlsx")</f>
        <v/>
      </c>
      <c r="AW93" s="10" t="str">
        <f aca="false">IF(A93="","",A93&amp;"_CALC.pdf")</f>
        <v/>
      </c>
      <c r="AX93" s="9"/>
      <c r="AY93" s="9"/>
      <c r="AZ93" s="39"/>
      <c r="BA93" s="39"/>
      <c r="BB93" s="39"/>
      <c r="BC93" s="39"/>
      <c r="BD93" s="39"/>
      <c r="BE93" s="12" t="str">
        <f aca="false">IF(A93="","",IF(COUNTIF(Rebar_Schedule!$A$5:$A$2004,A93)=0,"",ROUND(SUMIF(Rebar_Schedule!$A$5:$A$2004,A93,Rebar_Schedule!$K$5:$K$2004),1)))</f>
        <v/>
      </c>
      <c r="BF93" s="33" t="str">
        <f aca="false">IF(A93="","",IF(BE93="","No rebar schedule yet",IF(ABS(BE93-N(BA93))/MAX(N(BA93),1)&gt;SG_Criteria!$B$55,"NOTE: register rebar differs from schedule by "&amp;TEXT(ABS(BE93-N(BA93))/MAX(N(BA93),1),"0%"),"OK")))</f>
        <v/>
      </c>
      <c r="BG93" s="33" t="str">
        <f aca="false">IF(OR(D93="",F93=""),"",IF(F93&lt;=IF(D93="Soldier Pile &amp; Timber Lagging",SG_Criteria!$B$34,SG_Criteria!$B$33),"No ERSS submission",IF(F93&lt;=SG_Criteria!$B$35,"QP(ST)",IF(F93&lt;=SG_Criteria!$B$36,"QP(ST) + AC","Geotechnical building works: QP(Geo) + AC"))))</f>
        <v/>
      </c>
      <c r="BH93" s="33" t="str">
        <f aca="false">IF(D93="","",IF(LEN(IF(AND(AC93&lt;&gt;"",IFERROR(VALUE(MID(AC93,2,2)),0)&lt;SG_Criteria!$B$19),"FAIL: grade below C"&amp;SG_Criteria!$B$19&amp;". ","")&amp;IF(AND(LEFT(D93,3)="Con",N(I93)&lt;F93,H93="Kallang Formation (marine clay)"),"NOTE: CBP is not watertight below GWT in marine clay; consider secant / grouting. ","")&amp;IF(AND(D93="Steel Sheet Pile",E93="Permanent"),"NOTE: permanent sheet pile needs corrosion allowance. ","")&amp;IF(AND(G93="Cantilever (no support)",F93&gt;6),"NOTE: cantilever embedded wall &gt; 6 m, check deflection. ","")&amp;IF(AND(T93&lt;&gt;"",U93&lt;&gt;"",T93&gt;U93),"FAIL: deflection exceeds allowable. ",""))=0,"OK",IF(AND(AC93&lt;&gt;"",IFERROR(VALUE(MID(AC93,2,2)),0)&lt;SG_Criteria!$B$19),"FAIL: grade below C"&amp;SG_Criteria!$B$19&amp;". ","")&amp;IF(AND(LEFT(D93,3)="Con",N(I93)&lt;F93,H93="Kallang Formation (marine clay)"),"NOTE: CBP is not watertight below GWT in marine clay; consider secant / grouting. ","")&amp;IF(AND(D93="Steel Sheet Pile",E93="Permanent"),"NOTE: permanent sheet pile needs corrosion allowance. ","")&amp;IF(AND(G93="Cantilever (no support)",F93&gt;6),"NOTE: cantilever embedded wall &gt; 6 m, check deflection. ","")&amp;IF(AND(T93&lt;&gt;"",U93&lt;&gt;"",T93&gt;U93),"FAIL: deflection exceeds allowable. ","")))</f>
        <v/>
      </c>
      <c r="BI93" s="9"/>
      <c r="BJ93" s="9"/>
      <c r="BK93" s="9"/>
      <c r="BL93" s="10" t="str">
        <f aca="false">IF(BK93="","",IFERROR(VLOOKUP(BK93,Projects!$A$5:$D$504,2,0),"Ref not in Projects"))</f>
        <v/>
      </c>
      <c r="BM93" s="10" t="str">
        <f aca="false">IF(BK93="","",IFERROR(VLOOKUP(BK93,Projects!$A$5:$D$504,4,0),"Ref not in Projects"))</f>
        <v/>
      </c>
      <c r="BN93" s="9"/>
      <c r="BO93" s="9"/>
      <c r="BP93" s="9"/>
      <c r="BQ93" s="40"/>
      <c r="BR93" s="9"/>
      <c r="BS93" s="40"/>
      <c r="BT93" s="9"/>
      <c r="BU93" s="40"/>
      <c r="BV93" s="9"/>
      <c r="BW93" s="9"/>
      <c r="BX93" s="9"/>
      <c r="BY93" s="40"/>
      <c r="BZ93" s="40"/>
      <c r="CA93" s="36" t="str">
        <f aca="false">IF(BZ93="","",EDATE(BZ93,SG_Criteria!$B$54*12))</f>
        <v/>
      </c>
      <c r="CB93" s="33" t="str">
        <f aca="true">IF(A93="","",IF(BZ93="","NOTE: not reviewed yet",IF(TODAY()&gt;CA93,"NOTE: review overdue","OK")))</f>
        <v/>
      </c>
      <c r="CC93" s="37" t="str">
        <f aca="false">IF(A93="","",ROUND((IF(LEN(D93)&gt;0,1,0)+IF(LEN(E93)&gt;0,1,0)+IF(LEN(F93)&gt;0,1,0)+IF(LEN(G93)&gt;0,1,0)+IF(LEN(H93)&gt;0,1,0)+IF(LEN(I93)&gt;0,1,0)+IF(LEN(K93)&gt;0,1,0)+IF(LEN(N93)&gt;0,1,0)+IF(LEN(O93)&gt;0,1,0)+IF(LEN(T93)&gt;0,1,0)+IF(LEN(U93)&gt;0,1,0)+IF(LEN(V93)&gt;0,1,0)+IF(LEN(AK93)&gt;0,1,0)+IF(LEN(AM93)&gt;0,1,0)+IF(LEN(AN93)&gt;0,1,0)+IF(LEN(AO93)&gt;0,1,0)+IF(LEN(AP93)&gt;0,1,0)+IF(LEN(AY93)&gt;0,1,0)+IF(LEN(BK93)&gt;0,1,0)+IF(LEN(BX93)&gt;0,1,0))/20,2))</f>
        <v/>
      </c>
      <c r="CD93" s="10" t="str">
        <f aca="false">IF(D93="","",IF(AND(AN93="Approved",ISERROR(SEARCH("FAIL",BH93))),"Y","N"))</f>
        <v/>
      </c>
      <c r="CE93" s="10" t="str">
        <f aca="false">IF(D93="","",D93&amp;"|"&amp;F93&amp;"|"&amp;G93&amp;"|"&amp;H93&amp;"|"&amp;E93&amp;"|"&amp;CD93)</f>
        <v/>
      </c>
    </row>
    <row r="94" customFormat="false" ht="15" hidden="false" customHeight="false" outlineLevel="0" collapsed="false">
      <c r="A94" s="10" t="str">
        <f aca="false">IF(D94="","","EW-"&amp;IFERROR(VLOOKUP(D94,Lists!$P$4:$Q$22,2,0),"??")&amp;"-D"&amp;TEXT(F94*1000,"0000")&amp;"-"&amp;IFERROR(VLOOKUP(G94,Lists!$S$4:$T$21,2,0),"??")&amp;"-"&amp;IFERROR(VLOOKUP(H94,Lists!$Y$4:$Z$21,2,0),"??")&amp;"-"&amp;IFERROR(VLOOKUP(E94,Lists!$V$4:$W$16,2,0),"??")&amp;"-"&amp;AM94)</f>
        <v/>
      </c>
      <c r="B94" s="10" t="str">
        <f aca="false">IF(D94="","",E94&amp;" "&amp;D94&amp;", excavation "&amp;TEXT(F94,"0.0")&amp;" m, "&amp;G94&amp;", "&amp;H94&amp;", "&amp;K94)</f>
        <v/>
      </c>
      <c r="C94" s="9"/>
      <c r="D94" s="9"/>
      <c r="E94" s="9"/>
      <c r="F94" s="42"/>
      <c r="G94" s="9"/>
      <c r="H94" s="9"/>
      <c r="I94" s="42"/>
      <c r="J94" s="38"/>
      <c r="K94" s="9"/>
      <c r="L94" s="9"/>
      <c r="M94" s="9"/>
      <c r="N94" s="42"/>
      <c r="O94" s="42"/>
      <c r="P94" s="9"/>
      <c r="Q94" s="9"/>
      <c r="R94" s="9"/>
      <c r="S94" s="9"/>
      <c r="T94" s="38"/>
      <c r="U94" s="38"/>
      <c r="V94" s="38"/>
      <c r="W94" s="38"/>
      <c r="X94" s="38"/>
      <c r="Y94" s="9"/>
      <c r="Z94" s="39"/>
      <c r="AA94" s="9"/>
      <c r="AB94" s="9"/>
      <c r="AC94" s="9"/>
      <c r="AD94" s="9"/>
      <c r="AE94" s="9"/>
      <c r="AF94" s="9"/>
      <c r="AG94" s="9"/>
      <c r="AH94" s="38"/>
      <c r="AI94" s="9"/>
      <c r="AJ94" s="39"/>
      <c r="AK94" s="9"/>
      <c r="AL94" s="9"/>
      <c r="AM94" s="9"/>
      <c r="AN94" s="9"/>
      <c r="AO94" s="9"/>
      <c r="AP94" s="9"/>
      <c r="AQ94" s="9"/>
      <c r="AR94" s="10" t="str">
        <f aca="false">IF(A94="","",SG_Criteria!$B$6&amp;SG_Criteria!$B$9&amp;"\"&amp;A94&amp;"\")</f>
        <v/>
      </c>
      <c r="AS94" s="10" t="str">
        <f aca="false">IF(A94="","",A94&amp;"_CAD.dwg")</f>
        <v/>
      </c>
      <c r="AT94" s="10" t="str">
        <f aca="false">IF(A94="","",A94&amp;"_DWG.pdf")</f>
        <v/>
      </c>
      <c r="AU94" s="10" t="str">
        <f aca="false">IF(A94="","",IF(AQ94="Y",A94&amp;"_STAAD.std","n/a"))</f>
        <v/>
      </c>
      <c r="AV94" s="10" t="str">
        <f aca="false">IF(A94="","",A94&amp;"_CALC.xlsx")</f>
        <v/>
      </c>
      <c r="AW94" s="10" t="str">
        <f aca="false">IF(A94="","",A94&amp;"_CALC.pdf")</f>
        <v/>
      </c>
      <c r="AX94" s="9"/>
      <c r="AY94" s="9"/>
      <c r="AZ94" s="39"/>
      <c r="BA94" s="39"/>
      <c r="BB94" s="39"/>
      <c r="BC94" s="39"/>
      <c r="BD94" s="39"/>
      <c r="BE94" s="12" t="str">
        <f aca="false">IF(A94="","",IF(COUNTIF(Rebar_Schedule!$A$5:$A$2004,A94)=0,"",ROUND(SUMIF(Rebar_Schedule!$A$5:$A$2004,A94,Rebar_Schedule!$K$5:$K$2004),1)))</f>
        <v/>
      </c>
      <c r="BF94" s="33" t="str">
        <f aca="false">IF(A94="","",IF(BE94="","No rebar schedule yet",IF(ABS(BE94-N(BA94))/MAX(N(BA94),1)&gt;SG_Criteria!$B$55,"NOTE: register rebar differs from schedule by "&amp;TEXT(ABS(BE94-N(BA94))/MAX(N(BA94),1),"0%"),"OK")))</f>
        <v/>
      </c>
      <c r="BG94" s="33" t="str">
        <f aca="false">IF(OR(D94="",F94=""),"",IF(F94&lt;=IF(D94="Soldier Pile &amp; Timber Lagging",SG_Criteria!$B$34,SG_Criteria!$B$33),"No ERSS submission",IF(F94&lt;=SG_Criteria!$B$35,"QP(ST)",IF(F94&lt;=SG_Criteria!$B$36,"QP(ST) + AC","Geotechnical building works: QP(Geo) + AC"))))</f>
        <v/>
      </c>
      <c r="BH94" s="33" t="str">
        <f aca="false">IF(D94="","",IF(LEN(IF(AND(AC94&lt;&gt;"",IFERROR(VALUE(MID(AC94,2,2)),0)&lt;SG_Criteria!$B$19),"FAIL: grade below C"&amp;SG_Criteria!$B$19&amp;". ","")&amp;IF(AND(LEFT(D94,3)="Con",N(I94)&lt;F94,H94="Kallang Formation (marine clay)"),"NOTE: CBP is not watertight below GWT in marine clay; consider secant / grouting. ","")&amp;IF(AND(D94="Steel Sheet Pile",E94="Permanent"),"NOTE: permanent sheet pile needs corrosion allowance. ","")&amp;IF(AND(G94="Cantilever (no support)",F94&gt;6),"NOTE: cantilever embedded wall &gt; 6 m, check deflection. ","")&amp;IF(AND(T94&lt;&gt;"",U94&lt;&gt;"",T94&gt;U94),"FAIL: deflection exceeds allowable. ",""))=0,"OK",IF(AND(AC94&lt;&gt;"",IFERROR(VALUE(MID(AC94,2,2)),0)&lt;SG_Criteria!$B$19),"FAIL: grade below C"&amp;SG_Criteria!$B$19&amp;". ","")&amp;IF(AND(LEFT(D94,3)="Con",N(I94)&lt;F94,H94="Kallang Formation (marine clay)"),"NOTE: CBP is not watertight below GWT in marine clay; consider secant / grouting. ","")&amp;IF(AND(D94="Steel Sheet Pile",E94="Permanent"),"NOTE: permanent sheet pile needs corrosion allowance. ","")&amp;IF(AND(G94="Cantilever (no support)",F94&gt;6),"NOTE: cantilever embedded wall &gt; 6 m, check deflection. ","")&amp;IF(AND(T94&lt;&gt;"",U94&lt;&gt;"",T94&gt;U94),"FAIL: deflection exceeds allowable. ","")))</f>
        <v/>
      </c>
      <c r="BI94" s="9"/>
      <c r="BJ94" s="9"/>
      <c r="BK94" s="9"/>
      <c r="BL94" s="10" t="str">
        <f aca="false">IF(BK94="","",IFERROR(VLOOKUP(BK94,Projects!$A$5:$D$504,2,0),"Ref not in Projects"))</f>
        <v/>
      </c>
      <c r="BM94" s="10" t="str">
        <f aca="false">IF(BK94="","",IFERROR(VLOOKUP(BK94,Projects!$A$5:$D$504,4,0),"Ref not in Projects"))</f>
        <v/>
      </c>
      <c r="BN94" s="9"/>
      <c r="BO94" s="9"/>
      <c r="BP94" s="9"/>
      <c r="BQ94" s="40"/>
      <c r="BR94" s="9"/>
      <c r="BS94" s="40"/>
      <c r="BT94" s="9"/>
      <c r="BU94" s="40"/>
      <c r="BV94" s="9"/>
      <c r="BW94" s="9"/>
      <c r="BX94" s="9"/>
      <c r="BY94" s="40"/>
      <c r="BZ94" s="40"/>
      <c r="CA94" s="36" t="str">
        <f aca="false">IF(BZ94="","",EDATE(BZ94,SG_Criteria!$B$54*12))</f>
        <v/>
      </c>
      <c r="CB94" s="33" t="str">
        <f aca="true">IF(A94="","",IF(BZ94="","NOTE: not reviewed yet",IF(TODAY()&gt;CA94,"NOTE: review overdue","OK")))</f>
        <v/>
      </c>
      <c r="CC94" s="37" t="str">
        <f aca="false">IF(A94="","",ROUND((IF(LEN(D94)&gt;0,1,0)+IF(LEN(E94)&gt;0,1,0)+IF(LEN(F94)&gt;0,1,0)+IF(LEN(G94)&gt;0,1,0)+IF(LEN(H94)&gt;0,1,0)+IF(LEN(I94)&gt;0,1,0)+IF(LEN(K94)&gt;0,1,0)+IF(LEN(N94)&gt;0,1,0)+IF(LEN(O94)&gt;0,1,0)+IF(LEN(T94)&gt;0,1,0)+IF(LEN(U94)&gt;0,1,0)+IF(LEN(V94)&gt;0,1,0)+IF(LEN(AK94)&gt;0,1,0)+IF(LEN(AM94)&gt;0,1,0)+IF(LEN(AN94)&gt;0,1,0)+IF(LEN(AO94)&gt;0,1,0)+IF(LEN(AP94)&gt;0,1,0)+IF(LEN(AY94)&gt;0,1,0)+IF(LEN(BK94)&gt;0,1,0)+IF(LEN(BX94)&gt;0,1,0))/20,2))</f>
        <v/>
      </c>
      <c r="CD94" s="10" t="str">
        <f aca="false">IF(D94="","",IF(AND(AN94="Approved",ISERROR(SEARCH("FAIL",BH94))),"Y","N"))</f>
        <v/>
      </c>
      <c r="CE94" s="10" t="str">
        <f aca="false">IF(D94="","",D94&amp;"|"&amp;F94&amp;"|"&amp;G94&amp;"|"&amp;H94&amp;"|"&amp;E94&amp;"|"&amp;CD94)</f>
        <v/>
      </c>
    </row>
    <row r="95" customFormat="false" ht="15" hidden="false" customHeight="false" outlineLevel="0" collapsed="false">
      <c r="A95" s="10" t="str">
        <f aca="false">IF(D95="","","EW-"&amp;IFERROR(VLOOKUP(D95,Lists!$P$4:$Q$22,2,0),"??")&amp;"-D"&amp;TEXT(F95*1000,"0000")&amp;"-"&amp;IFERROR(VLOOKUP(G95,Lists!$S$4:$T$21,2,0),"??")&amp;"-"&amp;IFERROR(VLOOKUP(H95,Lists!$Y$4:$Z$21,2,0),"??")&amp;"-"&amp;IFERROR(VLOOKUP(E95,Lists!$V$4:$W$16,2,0),"??")&amp;"-"&amp;AM95)</f>
        <v/>
      </c>
      <c r="B95" s="10" t="str">
        <f aca="false">IF(D95="","",E95&amp;" "&amp;D95&amp;", excavation "&amp;TEXT(F95,"0.0")&amp;" m, "&amp;G95&amp;", "&amp;H95&amp;", "&amp;K95)</f>
        <v/>
      </c>
      <c r="C95" s="9"/>
      <c r="D95" s="9"/>
      <c r="E95" s="9"/>
      <c r="F95" s="42"/>
      <c r="G95" s="9"/>
      <c r="H95" s="9"/>
      <c r="I95" s="42"/>
      <c r="J95" s="38"/>
      <c r="K95" s="9"/>
      <c r="L95" s="9"/>
      <c r="M95" s="9"/>
      <c r="N95" s="42"/>
      <c r="O95" s="42"/>
      <c r="P95" s="9"/>
      <c r="Q95" s="9"/>
      <c r="R95" s="9"/>
      <c r="S95" s="9"/>
      <c r="T95" s="38"/>
      <c r="U95" s="38"/>
      <c r="V95" s="38"/>
      <c r="W95" s="38"/>
      <c r="X95" s="38"/>
      <c r="Y95" s="9"/>
      <c r="Z95" s="39"/>
      <c r="AA95" s="9"/>
      <c r="AB95" s="9"/>
      <c r="AC95" s="9"/>
      <c r="AD95" s="9"/>
      <c r="AE95" s="9"/>
      <c r="AF95" s="9"/>
      <c r="AG95" s="9"/>
      <c r="AH95" s="38"/>
      <c r="AI95" s="9"/>
      <c r="AJ95" s="39"/>
      <c r="AK95" s="9"/>
      <c r="AL95" s="9"/>
      <c r="AM95" s="9"/>
      <c r="AN95" s="9"/>
      <c r="AO95" s="9"/>
      <c r="AP95" s="9"/>
      <c r="AQ95" s="9"/>
      <c r="AR95" s="10" t="str">
        <f aca="false">IF(A95="","",SG_Criteria!$B$6&amp;SG_Criteria!$B$9&amp;"\"&amp;A95&amp;"\")</f>
        <v/>
      </c>
      <c r="AS95" s="10" t="str">
        <f aca="false">IF(A95="","",A95&amp;"_CAD.dwg")</f>
        <v/>
      </c>
      <c r="AT95" s="10" t="str">
        <f aca="false">IF(A95="","",A95&amp;"_DWG.pdf")</f>
        <v/>
      </c>
      <c r="AU95" s="10" t="str">
        <f aca="false">IF(A95="","",IF(AQ95="Y",A95&amp;"_STAAD.std","n/a"))</f>
        <v/>
      </c>
      <c r="AV95" s="10" t="str">
        <f aca="false">IF(A95="","",A95&amp;"_CALC.xlsx")</f>
        <v/>
      </c>
      <c r="AW95" s="10" t="str">
        <f aca="false">IF(A95="","",A95&amp;"_CALC.pdf")</f>
        <v/>
      </c>
      <c r="AX95" s="9"/>
      <c r="AY95" s="9"/>
      <c r="AZ95" s="39"/>
      <c r="BA95" s="39"/>
      <c r="BB95" s="39"/>
      <c r="BC95" s="39"/>
      <c r="BD95" s="39"/>
      <c r="BE95" s="12" t="str">
        <f aca="false">IF(A95="","",IF(COUNTIF(Rebar_Schedule!$A$5:$A$2004,A95)=0,"",ROUND(SUMIF(Rebar_Schedule!$A$5:$A$2004,A95,Rebar_Schedule!$K$5:$K$2004),1)))</f>
        <v/>
      </c>
      <c r="BF95" s="33" t="str">
        <f aca="false">IF(A95="","",IF(BE95="","No rebar schedule yet",IF(ABS(BE95-N(BA95))/MAX(N(BA95),1)&gt;SG_Criteria!$B$55,"NOTE: register rebar differs from schedule by "&amp;TEXT(ABS(BE95-N(BA95))/MAX(N(BA95),1),"0%"),"OK")))</f>
        <v/>
      </c>
      <c r="BG95" s="33" t="str">
        <f aca="false">IF(OR(D95="",F95=""),"",IF(F95&lt;=IF(D95="Soldier Pile &amp; Timber Lagging",SG_Criteria!$B$34,SG_Criteria!$B$33),"No ERSS submission",IF(F95&lt;=SG_Criteria!$B$35,"QP(ST)",IF(F95&lt;=SG_Criteria!$B$36,"QP(ST) + AC","Geotechnical building works: QP(Geo) + AC"))))</f>
        <v/>
      </c>
      <c r="BH95" s="33" t="str">
        <f aca="false">IF(D95="","",IF(LEN(IF(AND(AC95&lt;&gt;"",IFERROR(VALUE(MID(AC95,2,2)),0)&lt;SG_Criteria!$B$19),"FAIL: grade below C"&amp;SG_Criteria!$B$19&amp;". ","")&amp;IF(AND(LEFT(D95,3)="Con",N(I95)&lt;F95,H95="Kallang Formation (marine clay)"),"NOTE: CBP is not watertight below GWT in marine clay; consider secant / grouting. ","")&amp;IF(AND(D95="Steel Sheet Pile",E95="Permanent"),"NOTE: permanent sheet pile needs corrosion allowance. ","")&amp;IF(AND(G95="Cantilever (no support)",F95&gt;6),"NOTE: cantilever embedded wall &gt; 6 m, check deflection. ","")&amp;IF(AND(T95&lt;&gt;"",U95&lt;&gt;"",T95&gt;U95),"FAIL: deflection exceeds allowable. ",""))=0,"OK",IF(AND(AC95&lt;&gt;"",IFERROR(VALUE(MID(AC95,2,2)),0)&lt;SG_Criteria!$B$19),"FAIL: grade below C"&amp;SG_Criteria!$B$19&amp;". ","")&amp;IF(AND(LEFT(D95,3)="Con",N(I95)&lt;F95,H95="Kallang Formation (marine clay)"),"NOTE: CBP is not watertight below GWT in marine clay; consider secant / grouting. ","")&amp;IF(AND(D95="Steel Sheet Pile",E95="Permanent"),"NOTE: permanent sheet pile needs corrosion allowance. ","")&amp;IF(AND(G95="Cantilever (no support)",F95&gt;6),"NOTE: cantilever embedded wall &gt; 6 m, check deflection. ","")&amp;IF(AND(T95&lt;&gt;"",U95&lt;&gt;"",T95&gt;U95),"FAIL: deflection exceeds allowable. ","")))</f>
        <v/>
      </c>
      <c r="BI95" s="9"/>
      <c r="BJ95" s="9"/>
      <c r="BK95" s="9"/>
      <c r="BL95" s="10" t="str">
        <f aca="false">IF(BK95="","",IFERROR(VLOOKUP(BK95,Projects!$A$5:$D$504,2,0),"Ref not in Projects"))</f>
        <v/>
      </c>
      <c r="BM95" s="10" t="str">
        <f aca="false">IF(BK95="","",IFERROR(VLOOKUP(BK95,Projects!$A$5:$D$504,4,0),"Ref not in Projects"))</f>
        <v/>
      </c>
      <c r="BN95" s="9"/>
      <c r="BO95" s="9"/>
      <c r="BP95" s="9"/>
      <c r="BQ95" s="40"/>
      <c r="BR95" s="9"/>
      <c r="BS95" s="40"/>
      <c r="BT95" s="9"/>
      <c r="BU95" s="40"/>
      <c r="BV95" s="9"/>
      <c r="BW95" s="9"/>
      <c r="BX95" s="9"/>
      <c r="BY95" s="40"/>
      <c r="BZ95" s="40"/>
      <c r="CA95" s="36" t="str">
        <f aca="false">IF(BZ95="","",EDATE(BZ95,SG_Criteria!$B$54*12))</f>
        <v/>
      </c>
      <c r="CB95" s="33" t="str">
        <f aca="true">IF(A95="","",IF(BZ95="","NOTE: not reviewed yet",IF(TODAY()&gt;CA95,"NOTE: review overdue","OK")))</f>
        <v/>
      </c>
      <c r="CC95" s="37" t="str">
        <f aca="false">IF(A95="","",ROUND((IF(LEN(D95)&gt;0,1,0)+IF(LEN(E95)&gt;0,1,0)+IF(LEN(F95)&gt;0,1,0)+IF(LEN(G95)&gt;0,1,0)+IF(LEN(H95)&gt;0,1,0)+IF(LEN(I95)&gt;0,1,0)+IF(LEN(K95)&gt;0,1,0)+IF(LEN(N95)&gt;0,1,0)+IF(LEN(O95)&gt;0,1,0)+IF(LEN(T95)&gt;0,1,0)+IF(LEN(U95)&gt;0,1,0)+IF(LEN(V95)&gt;0,1,0)+IF(LEN(AK95)&gt;0,1,0)+IF(LEN(AM95)&gt;0,1,0)+IF(LEN(AN95)&gt;0,1,0)+IF(LEN(AO95)&gt;0,1,0)+IF(LEN(AP95)&gt;0,1,0)+IF(LEN(AY95)&gt;0,1,0)+IF(LEN(BK95)&gt;0,1,0)+IF(LEN(BX95)&gt;0,1,0))/20,2))</f>
        <v/>
      </c>
      <c r="CD95" s="10" t="str">
        <f aca="false">IF(D95="","",IF(AND(AN95="Approved",ISERROR(SEARCH("FAIL",BH95))),"Y","N"))</f>
        <v/>
      </c>
      <c r="CE95" s="10" t="str">
        <f aca="false">IF(D95="","",D95&amp;"|"&amp;F95&amp;"|"&amp;G95&amp;"|"&amp;H95&amp;"|"&amp;E95&amp;"|"&amp;CD95)</f>
        <v/>
      </c>
    </row>
    <row r="96" customFormat="false" ht="15" hidden="false" customHeight="false" outlineLevel="0" collapsed="false">
      <c r="A96" s="10" t="str">
        <f aca="false">IF(D96="","","EW-"&amp;IFERROR(VLOOKUP(D96,Lists!$P$4:$Q$22,2,0),"??")&amp;"-D"&amp;TEXT(F96*1000,"0000")&amp;"-"&amp;IFERROR(VLOOKUP(G96,Lists!$S$4:$T$21,2,0),"??")&amp;"-"&amp;IFERROR(VLOOKUP(H96,Lists!$Y$4:$Z$21,2,0),"??")&amp;"-"&amp;IFERROR(VLOOKUP(E96,Lists!$V$4:$W$16,2,0),"??")&amp;"-"&amp;AM96)</f>
        <v/>
      </c>
      <c r="B96" s="10" t="str">
        <f aca="false">IF(D96="","",E96&amp;" "&amp;D96&amp;", excavation "&amp;TEXT(F96,"0.0")&amp;" m, "&amp;G96&amp;", "&amp;H96&amp;", "&amp;K96)</f>
        <v/>
      </c>
      <c r="C96" s="9"/>
      <c r="D96" s="9"/>
      <c r="E96" s="9"/>
      <c r="F96" s="42"/>
      <c r="G96" s="9"/>
      <c r="H96" s="9"/>
      <c r="I96" s="42"/>
      <c r="J96" s="38"/>
      <c r="K96" s="9"/>
      <c r="L96" s="9"/>
      <c r="M96" s="9"/>
      <c r="N96" s="42"/>
      <c r="O96" s="42"/>
      <c r="P96" s="9"/>
      <c r="Q96" s="9"/>
      <c r="R96" s="9"/>
      <c r="S96" s="9"/>
      <c r="T96" s="38"/>
      <c r="U96" s="38"/>
      <c r="V96" s="38"/>
      <c r="W96" s="38"/>
      <c r="X96" s="38"/>
      <c r="Y96" s="9"/>
      <c r="Z96" s="39"/>
      <c r="AA96" s="9"/>
      <c r="AB96" s="9"/>
      <c r="AC96" s="9"/>
      <c r="AD96" s="9"/>
      <c r="AE96" s="9"/>
      <c r="AF96" s="9"/>
      <c r="AG96" s="9"/>
      <c r="AH96" s="38"/>
      <c r="AI96" s="9"/>
      <c r="AJ96" s="39"/>
      <c r="AK96" s="9"/>
      <c r="AL96" s="9"/>
      <c r="AM96" s="9"/>
      <c r="AN96" s="9"/>
      <c r="AO96" s="9"/>
      <c r="AP96" s="9"/>
      <c r="AQ96" s="9"/>
      <c r="AR96" s="10" t="str">
        <f aca="false">IF(A96="","",SG_Criteria!$B$6&amp;SG_Criteria!$B$9&amp;"\"&amp;A96&amp;"\")</f>
        <v/>
      </c>
      <c r="AS96" s="10" t="str">
        <f aca="false">IF(A96="","",A96&amp;"_CAD.dwg")</f>
        <v/>
      </c>
      <c r="AT96" s="10" t="str">
        <f aca="false">IF(A96="","",A96&amp;"_DWG.pdf")</f>
        <v/>
      </c>
      <c r="AU96" s="10" t="str">
        <f aca="false">IF(A96="","",IF(AQ96="Y",A96&amp;"_STAAD.std","n/a"))</f>
        <v/>
      </c>
      <c r="AV96" s="10" t="str">
        <f aca="false">IF(A96="","",A96&amp;"_CALC.xlsx")</f>
        <v/>
      </c>
      <c r="AW96" s="10" t="str">
        <f aca="false">IF(A96="","",A96&amp;"_CALC.pdf")</f>
        <v/>
      </c>
      <c r="AX96" s="9"/>
      <c r="AY96" s="9"/>
      <c r="AZ96" s="39"/>
      <c r="BA96" s="39"/>
      <c r="BB96" s="39"/>
      <c r="BC96" s="39"/>
      <c r="BD96" s="39"/>
      <c r="BE96" s="12" t="str">
        <f aca="false">IF(A96="","",IF(COUNTIF(Rebar_Schedule!$A$5:$A$2004,A96)=0,"",ROUND(SUMIF(Rebar_Schedule!$A$5:$A$2004,A96,Rebar_Schedule!$K$5:$K$2004),1)))</f>
        <v/>
      </c>
      <c r="BF96" s="33" t="str">
        <f aca="false">IF(A96="","",IF(BE96="","No rebar schedule yet",IF(ABS(BE96-N(BA96))/MAX(N(BA96),1)&gt;SG_Criteria!$B$55,"NOTE: register rebar differs from schedule by "&amp;TEXT(ABS(BE96-N(BA96))/MAX(N(BA96),1),"0%"),"OK")))</f>
        <v/>
      </c>
      <c r="BG96" s="33" t="str">
        <f aca="false">IF(OR(D96="",F96=""),"",IF(F96&lt;=IF(D96="Soldier Pile &amp; Timber Lagging",SG_Criteria!$B$34,SG_Criteria!$B$33),"No ERSS submission",IF(F96&lt;=SG_Criteria!$B$35,"QP(ST)",IF(F96&lt;=SG_Criteria!$B$36,"QP(ST) + AC","Geotechnical building works: QP(Geo) + AC"))))</f>
        <v/>
      </c>
      <c r="BH96" s="33" t="str">
        <f aca="false">IF(D96="","",IF(LEN(IF(AND(AC96&lt;&gt;"",IFERROR(VALUE(MID(AC96,2,2)),0)&lt;SG_Criteria!$B$19),"FAIL: grade below C"&amp;SG_Criteria!$B$19&amp;". ","")&amp;IF(AND(LEFT(D96,3)="Con",N(I96)&lt;F96,H96="Kallang Formation (marine clay)"),"NOTE: CBP is not watertight below GWT in marine clay; consider secant / grouting. ","")&amp;IF(AND(D96="Steel Sheet Pile",E96="Permanent"),"NOTE: permanent sheet pile needs corrosion allowance. ","")&amp;IF(AND(G96="Cantilever (no support)",F96&gt;6),"NOTE: cantilever embedded wall &gt; 6 m, check deflection. ","")&amp;IF(AND(T96&lt;&gt;"",U96&lt;&gt;"",T96&gt;U96),"FAIL: deflection exceeds allowable. ",""))=0,"OK",IF(AND(AC96&lt;&gt;"",IFERROR(VALUE(MID(AC96,2,2)),0)&lt;SG_Criteria!$B$19),"FAIL: grade below C"&amp;SG_Criteria!$B$19&amp;". ","")&amp;IF(AND(LEFT(D96,3)="Con",N(I96)&lt;F96,H96="Kallang Formation (marine clay)"),"NOTE: CBP is not watertight below GWT in marine clay; consider secant / grouting. ","")&amp;IF(AND(D96="Steel Sheet Pile",E96="Permanent"),"NOTE: permanent sheet pile needs corrosion allowance. ","")&amp;IF(AND(G96="Cantilever (no support)",F96&gt;6),"NOTE: cantilever embedded wall &gt; 6 m, check deflection. ","")&amp;IF(AND(T96&lt;&gt;"",U96&lt;&gt;"",T96&gt;U96),"FAIL: deflection exceeds allowable. ","")))</f>
        <v/>
      </c>
      <c r="BI96" s="9"/>
      <c r="BJ96" s="9"/>
      <c r="BK96" s="9"/>
      <c r="BL96" s="10" t="str">
        <f aca="false">IF(BK96="","",IFERROR(VLOOKUP(BK96,Projects!$A$5:$D$504,2,0),"Ref not in Projects"))</f>
        <v/>
      </c>
      <c r="BM96" s="10" t="str">
        <f aca="false">IF(BK96="","",IFERROR(VLOOKUP(BK96,Projects!$A$5:$D$504,4,0),"Ref not in Projects"))</f>
        <v/>
      </c>
      <c r="BN96" s="9"/>
      <c r="BO96" s="9"/>
      <c r="BP96" s="9"/>
      <c r="BQ96" s="40"/>
      <c r="BR96" s="9"/>
      <c r="BS96" s="40"/>
      <c r="BT96" s="9"/>
      <c r="BU96" s="40"/>
      <c r="BV96" s="9"/>
      <c r="BW96" s="9"/>
      <c r="BX96" s="9"/>
      <c r="BY96" s="40"/>
      <c r="BZ96" s="40"/>
      <c r="CA96" s="36" t="str">
        <f aca="false">IF(BZ96="","",EDATE(BZ96,SG_Criteria!$B$54*12))</f>
        <v/>
      </c>
      <c r="CB96" s="33" t="str">
        <f aca="true">IF(A96="","",IF(BZ96="","NOTE: not reviewed yet",IF(TODAY()&gt;CA96,"NOTE: review overdue","OK")))</f>
        <v/>
      </c>
      <c r="CC96" s="37" t="str">
        <f aca="false">IF(A96="","",ROUND((IF(LEN(D96)&gt;0,1,0)+IF(LEN(E96)&gt;0,1,0)+IF(LEN(F96)&gt;0,1,0)+IF(LEN(G96)&gt;0,1,0)+IF(LEN(H96)&gt;0,1,0)+IF(LEN(I96)&gt;0,1,0)+IF(LEN(K96)&gt;0,1,0)+IF(LEN(N96)&gt;0,1,0)+IF(LEN(O96)&gt;0,1,0)+IF(LEN(T96)&gt;0,1,0)+IF(LEN(U96)&gt;0,1,0)+IF(LEN(V96)&gt;0,1,0)+IF(LEN(AK96)&gt;0,1,0)+IF(LEN(AM96)&gt;0,1,0)+IF(LEN(AN96)&gt;0,1,0)+IF(LEN(AO96)&gt;0,1,0)+IF(LEN(AP96)&gt;0,1,0)+IF(LEN(AY96)&gt;0,1,0)+IF(LEN(BK96)&gt;0,1,0)+IF(LEN(BX96)&gt;0,1,0))/20,2))</f>
        <v/>
      </c>
      <c r="CD96" s="10" t="str">
        <f aca="false">IF(D96="","",IF(AND(AN96="Approved",ISERROR(SEARCH("FAIL",BH96))),"Y","N"))</f>
        <v/>
      </c>
      <c r="CE96" s="10" t="str">
        <f aca="false">IF(D96="","",D96&amp;"|"&amp;F96&amp;"|"&amp;G96&amp;"|"&amp;H96&amp;"|"&amp;E96&amp;"|"&amp;CD96)</f>
        <v/>
      </c>
    </row>
    <row r="97" customFormat="false" ht="15" hidden="false" customHeight="false" outlineLevel="0" collapsed="false">
      <c r="A97" s="10" t="str">
        <f aca="false">IF(D97="","","EW-"&amp;IFERROR(VLOOKUP(D97,Lists!$P$4:$Q$22,2,0),"??")&amp;"-D"&amp;TEXT(F97*1000,"0000")&amp;"-"&amp;IFERROR(VLOOKUP(G97,Lists!$S$4:$T$21,2,0),"??")&amp;"-"&amp;IFERROR(VLOOKUP(H97,Lists!$Y$4:$Z$21,2,0),"??")&amp;"-"&amp;IFERROR(VLOOKUP(E97,Lists!$V$4:$W$16,2,0),"??")&amp;"-"&amp;AM97)</f>
        <v/>
      </c>
      <c r="B97" s="10" t="str">
        <f aca="false">IF(D97="","",E97&amp;" "&amp;D97&amp;", excavation "&amp;TEXT(F97,"0.0")&amp;" m, "&amp;G97&amp;", "&amp;H97&amp;", "&amp;K97)</f>
        <v/>
      </c>
      <c r="C97" s="9"/>
      <c r="D97" s="9"/>
      <c r="E97" s="9"/>
      <c r="F97" s="42"/>
      <c r="G97" s="9"/>
      <c r="H97" s="9"/>
      <c r="I97" s="42"/>
      <c r="J97" s="38"/>
      <c r="K97" s="9"/>
      <c r="L97" s="9"/>
      <c r="M97" s="9"/>
      <c r="N97" s="42"/>
      <c r="O97" s="42"/>
      <c r="P97" s="9"/>
      <c r="Q97" s="9"/>
      <c r="R97" s="9"/>
      <c r="S97" s="9"/>
      <c r="T97" s="38"/>
      <c r="U97" s="38"/>
      <c r="V97" s="38"/>
      <c r="W97" s="38"/>
      <c r="X97" s="38"/>
      <c r="Y97" s="9"/>
      <c r="Z97" s="39"/>
      <c r="AA97" s="9"/>
      <c r="AB97" s="9"/>
      <c r="AC97" s="9"/>
      <c r="AD97" s="9"/>
      <c r="AE97" s="9"/>
      <c r="AF97" s="9"/>
      <c r="AG97" s="9"/>
      <c r="AH97" s="38"/>
      <c r="AI97" s="9"/>
      <c r="AJ97" s="39"/>
      <c r="AK97" s="9"/>
      <c r="AL97" s="9"/>
      <c r="AM97" s="9"/>
      <c r="AN97" s="9"/>
      <c r="AO97" s="9"/>
      <c r="AP97" s="9"/>
      <c r="AQ97" s="9"/>
      <c r="AR97" s="10" t="str">
        <f aca="false">IF(A97="","",SG_Criteria!$B$6&amp;SG_Criteria!$B$9&amp;"\"&amp;A97&amp;"\")</f>
        <v/>
      </c>
      <c r="AS97" s="10" t="str">
        <f aca="false">IF(A97="","",A97&amp;"_CAD.dwg")</f>
        <v/>
      </c>
      <c r="AT97" s="10" t="str">
        <f aca="false">IF(A97="","",A97&amp;"_DWG.pdf")</f>
        <v/>
      </c>
      <c r="AU97" s="10" t="str">
        <f aca="false">IF(A97="","",IF(AQ97="Y",A97&amp;"_STAAD.std","n/a"))</f>
        <v/>
      </c>
      <c r="AV97" s="10" t="str">
        <f aca="false">IF(A97="","",A97&amp;"_CALC.xlsx")</f>
        <v/>
      </c>
      <c r="AW97" s="10" t="str">
        <f aca="false">IF(A97="","",A97&amp;"_CALC.pdf")</f>
        <v/>
      </c>
      <c r="AX97" s="9"/>
      <c r="AY97" s="9"/>
      <c r="AZ97" s="39"/>
      <c r="BA97" s="39"/>
      <c r="BB97" s="39"/>
      <c r="BC97" s="39"/>
      <c r="BD97" s="39"/>
      <c r="BE97" s="12" t="str">
        <f aca="false">IF(A97="","",IF(COUNTIF(Rebar_Schedule!$A$5:$A$2004,A97)=0,"",ROUND(SUMIF(Rebar_Schedule!$A$5:$A$2004,A97,Rebar_Schedule!$K$5:$K$2004),1)))</f>
        <v/>
      </c>
      <c r="BF97" s="33" t="str">
        <f aca="false">IF(A97="","",IF(BE97="","No rebar schedule yet",IF(ABS(BE97-N(BA97))/MAX(N(BA97),1)&gt;SG_Criteria!$B$55,"NOTE: register rebar differs from schedule by "&amp;TEXT(ABS(BE97-N(BA97))/MAX(N(BA97),1),"0%"),"OK")))</f>
        <v/>
      </c>
      <c r="BG97" s="33" t="str">
        <f aca="false">IF(OR(D97="",F97=""),"",IF(F97&lt;=IF(D97="Soldier Pile &amp; Timber Lagging",SG_Criteria!$B$34,SG_Criteria!$B$33),"No ERSS submission",IF(F97&lt;=SG_Criteria!$B$35,"QP(ST)",IF(F97&lt;=SG_Criteria!$B$36,"QP(ST) + AC","Geotechnical building works: QP(Geo) + AC"))))</f>
        <v/>
      </c>
      <c r="BH97" s="33" t="str">
        <f aca="false">IF(D97="","",IF(LEN(IF(AND(AC97&lt;&gt;"",IFERROR(VALUE(MID(AC97,2,2)),0)&lt;SG_Criteria!$B$19),"FAIL: grade below C"&amp;SG_Criteria!$B$19&amp;". ","")&amp;IF(AND(LEFT(D97,3)="Con",N(I97)&lt;F97,H97="Kallang Formation (marine clay)"),"NOTE: CBP is not watertight below GWT in marine clay; consider secant / grouting. ","")&amp;IF(AND(D97="Steel Sheet Pile",E97="Permanent"),"NOTE: permanent sheet pile needs corrosion allowance. ","")&amp;IF(AND(G97="Cantilever (no support)",F97&gt;6),"NOTE: cantilever embedded wall &gt; 6 m, check deflection. ","")&amp;IF(AND(T97&lt;&gt;"",U97&lt;&gt;"",T97&gt;U97),"FAIL: deflection exceeds allowable. ",""))=0,"OK",IF(AND(AC97&lt;&gt;"",IFERROR(VALUE(MID(AC97,2,2)),0)&lt;SG_Criteria!$B$19),"FAIL: grade below C"&amp;SG_Criteria!$B$19&amp;". ","")&amp;IF(AND(LEFT(D97,3)="Con",N(I97)&lt;F97,H97="Kallang Formation (marine clay)"),"NOTE: CBP is not watertight below GWT in marine clay; consider secant / grouting. ","")&amp;IF(AND(D97="Steel Sheet Pile",E97="Permanent"),"NOTE: permanent sheet pile needs corrosion allowance. ","")&amp;IF(AND(G97="Cantilever (no support)",F97&gt;6),"NOTE: cantilever embedded wall &gt; 6 m, check deflection. ","")&amp;IF(AND(T97&lt;&gt;"",U97&lt;&gt;"",T97&gt;U97),"FAIL: deflection exceeds allowable. ","")))</f>
        <v/>
      </c>
      <c r="BI97" s="9"/>
      <c r="BJ97" s="9"/>
      <c r="BK97" s="9"/>
      <c r="BL97" s="10" t="str">
        <f aca="false">IF(BK97="","",IFERROR(VLOOKUP(BK97,Projects!$A$5:$D$504,2,0),"Ref not in Projects"))</f>
        <v/>
      </c>
      <c r="BM97" s="10" t="str">
        <f aca="false">IF(BK97="","",IFERROR(VLOOKUP(BK97,Projects!$A$5:$D$504,4,0),"Ref not in Projects"))</f>
        <v/>
      </c>
      <c r="BN97" s="9"/>
      <c r="BO97" s="9"/>
      <c r="BP97" s="9"/>
      <c r="BQ97" s="40"/>
      <c r="BR97" s="9"/>
      <c r="BS97" s="40"/>
      <c r="BT97" s="9"/>
      <c r="BU97" s="40"/>
      <c r="BV97" s="9"/>
      <c r="BW97" s="9"/>
      <c r="BX97" s="9"/>
      <c r="BY97" s="40"/>
      <c r="BZ97" s="40"/>
      <c r="CA97" s="36" t="str">
        <f aca="false">IF(BZ97="","",EDATE(BZ97,SG_Criteria!$B$54*12))</f>
        <v/>
      </c>
      <c r="CB97" s="33" t="str">
        <f aca="true">IF(A97="","",IF(BZ97="","NOTE: not reviewed yet",IF(TODAY()&gt;CA97,"NOTE: review overdue","OK")))</f>
        <v/>
      </c>
      <c r="CC97" s="37" t="str">
        <f aca="false">IF(A97="","",ROUND((IF(LEN(D97)&gt;0,1,0)+IF(LEN(E97)&gt;0,1,0)+IF(LEN(F97)&gt;0,1,0)+IF(LEN(G97)&gt;0,1,0)+IF(LEN(H97)&gt;0,1,0)+IF(LEN(I97)&gt;0,1,0)+IF(LEN(K97)&gt;0,1,0)+IF(LEN(N97)&gt;0,1,0)+IF(LEN(O97)&gt;0,1,0)+IF(LEN(T97)&gt;0,1,0)+IF(LEN(U97)&gt;0,1,0)+IF(LEN(V97)&gt;0,1,0)+IF(LEN(AK97)&gt;0,1,0)+IF(LEN(AM97)&gt;0,1,0)+IF(LEN(AN97)&gt;0,1,0)+IF(LEN(AO97)&gt;0,1,0)+IF(LEN(AP97)&gt;0,1,0)+IF(LEN(AY97)&gt;0,1,0)+IF(LEN(BK97)&gt;0,1,0)+IF(LEN(BX97)&gt;0,1,0))/20,2))</f>
        <v/>
      </c>
      <c r="CD97" s="10" t="str">
        <f aca="false">IF(D97="","",IF(AND(AN97="Approved",ISERROR(SEARCH("FAIL",BH97))),"Y","N"))</f>
        <v/>
      </c>
      <c r="CE97" s="10" t="str">
        <f aca="false">IF(D97="","",D97&amp;"|"&amp;F97&amp;"|"&amp;G97&amp;"|"&amp;H97&amp;"|"&amp;E97&amp;"|"&amp;CD97)</f>
        <v/>
      </c>
    </row>
    <row r="98" customFormat="false" ht="15" hidden="false" customHeight="false" outlineLevel="0" collapsed="false">
      <c r="A98" s="10" t="str">
        <f aca="false">IF(D98="","","EW-"&amp;IFERROR(VLOOKUP(D98,Lists!$P$4:$Q$22,2,0),"??")&amp;"-D"&amp;TEXT(F98*1000,"0000")&amp;"-"&amp;IFERROR(VLOOKUP(G98,Lists!$S$4:$T$21,2,0),"??")&amp;"-"&amp;IFERROR(VLOOKUP(H98,Lists!$Y$4:$Z$21,2,0),"??")&amp;"-"&amp;IFERROR(VLOOKUP(E98,Lists!$V$4:$W$16,2,0),"??")&amp;"-"&amp;AM98)</f>
        <v/>
      </c>
      <c r="B98" s="10" t="str">
        <f aca="false">IF(D98="","",E98&amp;" "&amp;D98&amp;", excavation "&amp;TEXT(F98,"0.0")&amp;" m, "&amp;G98&amp;", "&amp;H98&amp;", "&amp;K98)</f>
        <v/>
      </c>
      <c r="C98" s="9"/>
      <c r="D98" s="9"/>
      <c r="E98" s="9"/>
      <c r="F98" s="42"/>
      <c r="G98" s="9"/>
      <c r="H98" s="9"/>
      <c r="I98" s="42"/>
      <c r="J98" s="38"/>
      <c r="K98" s="9"/>
      <c r="L98" s="9"/>
      <c r="M98" s="9"/>
      <c r="N98" s="42"/>
      <c r="O98" s="42"/>
      <c r="P98" s="9"/>
      <c r="Q98" s="9"/>
      <c r="R98" s="9"/>
      <c r="S98" s="9"/>
      <c r="T98" s="38"/>
      <c r="U98" s="38"/>
      <c r="V98" s="38"/>
      <c r="W98" s="38"/>
      <c r="X98" s="38"/>
      <c r="Y98" s="9"/>
      <c r="Z98" s="39"/>
      <c r="AA98" s="9"/>
      <c r="AB98" s="9"/>
      <c r="AC98" s="9"/>
      <c r="AD98" s="9"/>
      <c r="AE98" s="9"/>
      <c r="AF98" s="9"/>
      <c r="AG98" s="9"/>
      <c r="AH98" s="38"/>
      <c r="AI98" s="9"/>
      <c r="AJ98" s="39"/>
      <c r="AK98" s="9"/>
      <c r="AL98" s="9"/>
      <c r="AM98" s="9"/>
      <c r="AN98" s="9"/>
      <c r="AO98" s="9"/>
      <c r="AP98" s="9"/>
      <c r="AQ98" s="9"/>
      <c r="AR98" s="10" t="str">
        <f aca="false">IF(A98="","",SG_Criteria!$B$6&amp;SG_Criteria!$B$9&amp;"\"&amp;A98&amp;"\")</f>
        <v/>
      </c>
      <c r="AS98" s="10" t="str">
        <f aca="false">IF(A98="","",A98&amp;"_CAD.dwg")</f>
        <v/>
      </c>
      <c r="AT98" s="10" t="str">
        <f aca="false">IF(A98="","",A98&amp;"_DWG.pdf")</f>
        <v/>
      </c>
      <c r="AU98" s="10" t="str">
        <f aca="false">IF(A98="","",IF(AQ98="Y",A98&amp;"_STAAD.std","n/a"))</f>
        <v/>
      </c>
      <c r="AV98" s="10" t="str">
        <f aca="false">IF(A98="","",A98&amp;"_CALC.xlsx")</f>
        <v/>
      </c>
      <c r="AW98" s="10" t="str">
        <f aca="false">IF(A98="","",A98&amp;"_CALC.pdf")</f>
        <v/>
      </c>
      <c r="AX98" s="9"/>
      <c r="AY98" s="9"/>
      <c r="AZ98" s="39"/>
      <c r="BA98" s="39"/>
      <c r="BB98" s="39"/>
      <c r="BC98" s="39"/>
      <c r="BD98" s="39"/>
      <c r="BE98" s="12" t="str">
        <f aca="false">IF(A98="","",IF(COUNTIF(Rebar_Schedule!$A$5:$A$2004,A98)=0,"",ROUND(SUMIF(Rebar_Schedule!$A$5:$A$2004,A98,Rebar_Schedule!$K$5:$K$2004),1)))</f>
        <v/>
      </c>
      <c r="BF98" s="33" t="str">
        <f aca="false">IF(A98="","",IF(BE98="","No rebar schedule yet",IF(ABS(BE98-N(BA98))/MAX(N(BA98),1)&gt;SG_Criteria!$B$55,"NOTE: register rebar differs from schedule by "&amp;TEXT(ABS(BE98-N(BA98))/MAX(N(BA98),1),"0%"),"OK")))</f>
        <v/>
      </c>
      <c r="BG98" s="33" t="str">
        <f aca="false">IF(OR(D98="",F98=""),"",IF(F98&lt;=IF(D98="Soldier Pile &amp; Timber Lagging",SG_Criteria!$B$34,SG_Criteria!$B$33),"No ERSS submission",IF(F98&lt;=SG_Criteria!$B$35,"QP(ST)",IF(F98&lt;=SG_Criteria!$B$36,"QP(ST) + AC","Geotechnical building works: QP(Geo) + AC"))))</f>
        <v/>
      </c>
      <c r="BH98" s="33" t="str">
        <f aca="false">IF(D98="","",IF(LEN(IF(AND(AC98&lt;&gt;"",IFERROR(VALUE(MID(AC98,2,2)),0)&lt;SG_Criteria!$B$19),"FAIL: grade below C"&amp;SG_Criteria!$B$19&amp;". ","")&amp;IF(AND(LEFT(D98,3)="Con",N(I98)&lt;F98,H98="Kallang Formation (marine clay)"),"NOTE: CBP is not watertight below GWT in marine clay; consider secant / grouting. ","")&amp;IF(AND(D98="Steel Sheet Pile",E98="Permanent"),"NOTE: permanent sheet pile needs corrosion allowance. ","")&amp;IF(AND(G98="Cantilever (no support)",F98&gt;6),"NOTE: cantilever embedded wall &gt; 6 m, check deflection. ","")&amp;IF(AND(T98&lt;&gt;"",U98&lt;&gt;"",T98&gt;U98),"FAIL: deflection exceeds allowable. ",""))=0,"OK",IF(AND(AC98&lt;&gt;"",IFERROR(VALUE(MID(AC98,2,2)),0)&lt;SG_Criteria!$B$19),"FAIL: grade below C"&amp;SG_Criteria!$B$19&amp;". ","")&amp;IF(AND(LEFT(D98,3)="Con",N(I98)&lt;F98,H98="Kallang Formation (marine clay)"),"NOTE: CBP is not watertight below GWT in marine clay; consider secant / grouting. ","")&amp;IF(AND(D98="Steel Sheet Pile",E98="Permanent"),"NOTE: permanent sheet pile needs corrosion allowance. ","")&amp;IF(AND(G98="Cantilever (no support)",F98&gt;6),"NOTE: cantilever embedded wall &gt; 6 m, check deflection. ","")&amp;IF(AND(T98&lt;&gt;"",U98&lt;&gt;"",T98&gt;U98),"FAIL: deflection exceeds allowable. ","")))</f>
        <v/>
      </c>
      <c r="BI98" s="9"/>
      <c r="BJ98" s="9"/>
      <c r="BK98" s="9"/>
      <c r="BL98" s="10" t="str">
        <f aca="false">IF(BK98="","",IFERROR(VLOOKUP(BK98,Projects!$A$5:$D$504,2,0),"Ref not in Projects"))</f>
        <v/>
      </c>
      <c r="BM98" s="10" t="str">
        <f aca="false">IF(BK98="","",IFERROR(VLOOKUP(BK98,Projects!$A$5:$D$504,4,0),"Ref not in Projects"))</f>
        <v/>
      </c>
      <c r="BN98" s="9"/>
      <c r="BO98" s="9"/>
      <c r="BP98" s="9"/>
      <c r="BQ98" s="40"/>
      <c r="BR98" s="9"/>
      <c r="BS98" s="40"/>
      <c r="BT98" s="9"/>
      <c r="BU98" s="40"/>
      <c r="BV98" s="9"/>
      <c r="BW98" s="9"/>
      <c r="BX98" s="9"/>
      <c r="BY98" s="40"/>
      <c r="BZ98" s="40"/>
      <c r="CA98" s="36" t="str">
        <f aca="false">IF(BZ98="","",EDATE(BZ98,SG_Criteria!$B$54*12))</f>
        <v/>
      </c>
      <c r="CB98" s="33" t="str">
        <f aca="true">IF(A98="","",IF(BZ98="","NOTE: not reviewed yet",IF(TODAY()&gt;CA98,"NOTE: review overdue","OK")))</f>
        <v/>
      </c>
      <c r="CC98" s="37" t="str">
        <f aca="false">IF(A98="","",ROUND((IF(LEN(D98)&gt;0,1,0)+IF(LEN(E98)&gt;0,1,0)+IF(LEN(F98)&gt;0,1,0)+IF(LEN(G98)&gt;0,1,0)+IF(LEN(H98)&gt;0,1,0)+IF(LEN(I98)&gt;0,1,0)+IF(LEN(K98)&gt;0,1,0)+IF(LEN(N98)&gt;0,1,0)+IF(LEN(O98)&gt;0,1,0)+IF(LEN(T98)&gt;0,1,0)+IF(LEN(U98)&gt;0,1,0)+IF(LEN(V98)&gt;0,1,0)+IF(LEN(AK98)&gt;0,1,0)+IF(LEN(AM98)&gt;0,1,0)+IF(LEN(AN98)&gt;0,1,0)+IF(LEN(AO98)&gt;0,1,0)+IF(LEN(AP98)&gt;0,1,0)+IF(LEN(AY98)&gt;0,1,0)+IF(LEN(BK98)&gt;0,1,0)+IF(LEN(BX98)&gt;0,1,0))/20,2))</f>
        <v/>
      </c>
      <c r="CD98" s="10" t="str">
        <f aca="false">IF(D98="","",IF(AND(AN98="Approved",ISERROR(SEARCH("FAIL",BH98))),"Y","N"))</f>
        <v/>
      </c>
      <c r="CE98" s="10" t="str">
        <f aca="false">IF(D98="","",D98&amp;"|"&amp;F98&amp;"|"&amp;G98&amp;"|"&amp;H98&amp;"|"&amp;E98&amp;"|"&amp;CD98)</f>
        <v/>
      </c>
    </row>
    <row r="99" customFormat="false" ht="15" hidden="false" customHeight="false" outlineLevel="0" collapsed="false">
      <c r="A99" s="10" t="str">
        <f aca="false">IF(D99="","","EW-"&amp;IFERROR(VLOOKUP(D99,Lists!$P$4:$Q$22,2,0),"??")&amp;"-D"&amp;TEXT(F99*1000,"0000")&amp;"-"&amp;IFERROR(VLOOKUP(G99,Lists!$S$4:$T$21,2,0),"??")&amp;"-"&amp;IFERROR(VLOOKUP(H99,Lists!$Y$4:$Z$21,2,0),"??")&amp;"-"&amp;IFERROR(VLOOKUP(E99,Lists!$V$4:$W$16,2,0),"??")&amp;"-"&amp;AM99)</f>
        <v/>
      </c>
      <c r="B99" s="10" t="str">
        <f aca="false">IF(D99="","",E99&amp;" "&amp;D99&amp;", excavation "&amp;TEXT(F99,"0.0")&amp;" m, "&amp;G99&amp;", "&amp;H99&amp;", "&amp;K99)</f>
        <v/>
      </c>
      <c r="C99" s="9"/>
      <c r="D99" s="9"/>
      <c r="E99" s="9"/>
      <c r="F99" s="42"/>
      <c r="G99" s="9"/>
      <c r="H99" s="9"/>
      <c r="I99" s="42"/>
      <c r="J99" s="38"/>
      <c r="K99" s="9"/>
      <c r="L99" s="9"/>
      <c r="M99" s="9"/>
      <c r="N99" s="42"/>
      <c r="O99" s="42"/>
      <c r="P99" s="9"/>
      <c r="Q99" s="9"/>
      <c r="R99" s="9"/>
      <c r="S99" s="9"/>
      <c r="T99" s="38"/>
      <c r="U99" s="38"/>
      <c r="V99" s="38"/>
      <c r="W99" s="38"/>
      <c r="X99" s="38"/>
      <c r="Y99" s="9"/>
      <c r="Z99" s="39"/>
      <c r="AA99" s="9"/>
      <c r="AB99" s="9"/>
      <c r="AC99" s="9"/>
      <c r="AD99" s="9"/>
      <c r="AE99" s="9"/>
      <c r="AF99" s="9"/>
      <c r="AG99" s="9"/>
      <c r="AH99" s="38"/>
      <c r="AI99" s="9"/>
      <c r="AJ99" s="39"/>
      <c r="AK99" s="9"/>
      <c r="AL99" s="9"/>
      <c r="AM99" s="9"/>
      <c r="AN99" s="9"/>
      <c r="AO99" s="9"/>
      <c r="AP99" s="9"/>
      <c r="AQ99" s="9"/>
      <c r="AR99" s="10" t="str">
        <f aca="false">IF(A99="","",SG_Criteria!$B$6&amp;SG_Criteria!$B$9&amp;"\"&amp;A99&amp;"\")</f>
        <v/>
      </c>
      <c r="AS99" s="10" t="str">
        <f aca="false">IF(A99="","",A99&amp;"_CAD.dwg")</f>
        <v/>
      </c>
      <c r="AT99" s="10" t="str">
        <f aca="false">IF(A99="","",A99&amp;"_DWG.pdf")</f>
        <v/>
      </c>
      <c r="AU99" s="10" t="str">
        <f aca="false">IF(A99="","",IF(AQ99="Y",A99&amp;"_STAAD.std","n/a"))</f>
        <v/>
      </c>
      <c r="AV99" s="10" t="str">
        <f aca="false">IF(A99="","",A99&amp;"_CALC.xlsx")</f>
        <v/>
      </c>
      <c r="AW99" s="10" t="str">
        <f aca="false">IF(A99="","",A99&amp;"_CALC.pdf")</f>
        <v/>
      </c>
      <c r="AX99" s="9"/>
      <c r="AY99" s="9"/>
      <c r="AZ99" s="39"/>
      <c r="BA99" s="39"/>
      <c r="BB99" s="39"/>
      <c r="BC99" s="39"/>
      <c r="BD99" s="39"/>
      <c r="BE99" s="12" t="str">
        <f aca="false">IF(A99="","",IF(COUNTIF(Rebar_Schedule!$A$5:$A$2004,A99)=0,"",ROUND(SUMIF(Rebar_Schedule!$A$5:$A$2004,A99,Rebar_Schedule!$K$5:$K$2004),1)))</f>
        <v/>
      </c>
      <c r="BF99" s="33" t="str">
        <f aca="false">IF(A99="","",IF(BE99="","No rebar schedule yet",IF(ABS(BE99-N(BA99))/MAX(N(BA99),1)&gt;SG_Criteria!$B$55,"NOTE: register rebar differs from schedule by "&amp;TEXT(ABS(BE99-N(BA99))/MAX(N(BA99),1),"0%"),"OK")))</f>
        <v/>
      </c>
      <c r="BG99" s="33" t="str">
        <f aca="false">IF(OR(D99="",F99=""),"",IF(F99&lt;=IF(D99="Soldier Pile &amp; Timber Lagging",SG_Criteria!$B$34,SG_Criteria!$B$33),"No ERSS submission",IF(F99&lt;=SG_Criteria!$B$35,"QP(ST)",IF(F99&lt;=SG_Criteria!$B$36,"QP(ST) + AC","Geotechnical building works: QP(Geo) + AC"))))</f>
        <v/>
      </c>
      <c r="BH99" s="33" t="str">
        <f aca="false">IF(D99="","",IF(LEN(IF(AND(AC99&lt;&gt;"",IFERROR(VALUE(MID(AC99,2,2)),0)&lt;SG_Criteria!$B$19),"FAIL: grade below C"&amp;SG_Criteria!$B$19&amp;". ","")&amp;IF(AND(LEFT(D99,3)="Con",N(I99)&lt;F99,H99="Kallang Formation (marine clay)"),"NOTE: CBP is not watertight below GWT in marine clay; consider secant / grouting. ","")&amp;IF(AND(D99="Steel Sheet Pile",E99="Permanent"),"NOTE: permanent sheet pile needs corrosion allowance. ","")&amp;IF(AND(G99="Cantilever (no support)",F99&gt;6),"NOTE: cantilever embedded wall &gt; 6 m, check deflection. ","")&amp;IF(AND(T99&lt;&gt;"",U99&lt;&gt;"",T99&gt;U99),"FAIL: deflection exceeds allowable. ",""))=0,"OK",IF(AND(AC99&lt;&gt;"",IFERROR(VALUE(MID(AC99,2,2)),0)&lt;SG_Criteria!$B$19),"FAIL: grade below C"&amp;SG_Criteria!$B$19&amp;". ","")&amp;IF(AND(LEFT(D99,3)="Con",N(I99)&lt;F99,H99="Kallang Formation (marine clay)"),"NOTE: CBP is not watertight below GWT in marine clay; consider secant / grouting. ","")&amp;IF(AND(D99="Steel Sheet Pile",E99="Permanent"),"NOTE: permanent sheet pile needs corrosion allowance. ","")&amp;IF(AND(G99="Cantilever (no support)",F99&gt;6),"NOTE: cantilever embedded wall &gt; 6 m, check deflection. ","")&amp;IF(AND(T99&lt;&gt;"",U99&lt;&gt;"",T99&gt;U99),"FAIL: deflection exceeds allowable. ","")))</f>
        <v/>
      </c>
      <c r="BI99" s="9"/>
      <c r="BJ99" s="9"/>
      <c r="BK99" s="9"/>
      <c r="BL99" s="10" t="str">
        <f aca="false">IF(BK99="","",IFERROR(VLOOKUP(BK99,Projects!$A$5:$D$504,2,0),"Ref not in Projects"))</f>
        <v/>
      </c>
      <c r="BM99" s="10" t="str">
        <f aca="false">IF(BK99="","",IFERROR(VLOOKUP(BK99,Projects!$A$5:$D$504,4,0),"Ref not in Projects"))</f>
        <v/>
      </c>
      <c r="BN99" s="9"/>
      <c r="BO99" s="9"/>
      <c r="BP99" s="9"/>
      <c r="BQ99" s="40"/>
      <c r="BR99" s="9"/>
      <c r="BS99" s="40"/>
      <c r="BT99" s="9"/>
      <c r="BU99" s="40"/>
      <c r="BV99" s="9"/>
      <c r="BW99" s="9"/>
      <c r="BX99" s="9"/>
      <c r="BY99" s="40"/>
      <c r="BZ99" s="40"/>
      <c r="CA99" s="36" t="str">
        <f aca="false">IF(BZ99="","",EDATE(BZ99,SG_Criteria!$B$54*12))</f>
        <v/>
      </c>
      <c r="CB99" s="33" t="str">
        <f aca="true">IF(A99="","",IF(BZ99="","NOTE: not reviewed yet",IF(TODAY()&gt;CA99,"NOTE: review overdue","OK")))</f>
        <v/>
      </c>
      <c r="CC99" s="37" t="str">
        <f aca="false">IF(A99="","",ROUND((IF(LEN(D99)&gt;0,1,0)+IF(LEN(E99)&gt;0,1,0)+IF(LEN(F99)&gt;0,1,0)+IF(LEN(G99)&gt;0,1,0)+IF(LEN(H99)&gt;0,1,0)+IF(LEN(I99)&gt;0,1,0)+IF(LEN(K99)&gt;0,1,0)+IF(LEN(N99)&gt;0,1,0)+IF(LEN(O99)&gt;0,1,0)+IF(LEN(T99)&gt;0,1,0)+IF(LEN(U99)&gt;0,1,0)+IF(LEN(V99)&gt;0,1,0)+IF(LEN(AK99)&gt;0,1,0)+IF(LEN(AM99)&gt;0,1,0)+IF(LEN(AN99)&gt;0,1,0)+IF(LEN(AO99)&gt;0,1,0)+IF(LEN(AP99)&gt;0,1,0)+IF(LEN(AY99)&gt;0,1,0)+IF(LEN(BK99)&gt;0,1,0)+IF(LEN(BX99)&gt;0,1,0))/20,2))</f>
        <v/>
      </c>
      <c r="CD99" s="10" t="str">
        <f aca="false">IF(D99="","",IF(AND(AN99="Approved",ISERROR(SEARCH("FAIL",BH99))),"Y","N"))</f>
        <v/>
      </c>
      <c r="CE99" s="10" t="str">
        <f aca="false">IF(D99="","",D99&amp;"|"&amp;F99&amp;"|"&amp;G99&amp;"|"&amp;H99&amp;"|"&amp;E99&amp;"|"&amp;CD99)</f>
        <v/>
      </c>
    </row>
    <row r="100" customFormat="false" ht="15" hidden="false" customHeight="false" outlineLevel="0" collapsed="false">
      <c r="A100" s="10" t="str">
        <f aca="false">IF(D100="","","EW-"&amp;IFERROR(VLOOKUP(D100,Lists!$P$4:$Q$22,2,0),"??")&amp;"-D"&amp;TEXT(F100*1000,"0000")&amp;"-"&amp;IFERROR(VLOOKUP(G100,Lists!$S$4:$T$21,2,0),"??")&amp;"-"&amp;IFERROR(VLOOKUP(H100,Lists!$Y$4:$Z$21,2,0),"??")&amp;"-"&amp;IFERROR(VLOOKUP(E100,Lists!$V$4:$W$16,2,0),"??")&amp;"-"&amp;AM100)</f>
        <v/>
      </c>
      <c r="B100" s="10" t="str">
        <f aca="false">IF(D100="","",E100&amp;" "&amp;D100&amp;", excavation "&amp;TEXT(F100,"0.0")&amp;" m, "&amp;G100&amp;", "&amp;H100&amp;", "&amp;K100)</f>
        <v/>
      </c>
      <c r="C100" s="9"/>
      <c r="D100" s="9"/>
      <c r="E100" s="9"/>
      <c r="F100" s="42"/>
      <c r="G100" s="9"/>
      <c r="H100" s="9"/>
      <c r="I100" s="42"/>
      <c r="J100" s="38"/>
      <c r="K100" s="9"/>
      <c r="L100" s="9"/>
      <c r="M100" s="9"/>
      <c r="N100" s="42"/>
      <c r="O100" s="42"/>
      <c r="P100" s="9"/>
      <c r="Q100" s="9"/>
      <c r="R100" s="9"/>
      <c r="S100" s="9"/>
      <c r="T100" s="38"/>
      <c r="U100" s="38"/>
      <c r="V100" s="38"/>
      <c r="W100" s="38"/>
      <c r="X100" s="38"/>
      <c r="Y100" s="9"/>
      <c r="Z100" s="39"/>
      <c r="AA100" s="9"/>
      <c r="AB100" s="9"/>
      <c r="AC100" s="9"/>
      <c r="AD100" s="9"/>
      <c r="AE100" s="9"/>
      <c r="AF100" s="9"/>
      <c r="AG100" s="9"/>
      <c r="AH100" s="38"/>
      <c r="AI100" s="9"/>
      <c r="AJ100" s="39"/>
      <c r="AK100" s="9"/>
      <c r="AL100" s="9"/>
      <c r="AM100" s="9"/>
      <c r="AN100" s="9"/>
      <c r="AO100" s="9"/>
      <c r="AP100" s="9"/>
      <c r="AQ100" s="9"/>
      <c r="AR100" s="10" t="str">
        <f aca="false">IF(A100="","",SG_Criteria!$B$6&amp;SG_Criteria!$B$9&amp;"\"&amp;A100&amp;"\")</f>
        <v/>
      </c>
      <c r="AS100" s="10" t="str">
        <f aca="false">IF(A100="","",A100&amp;"_CAD.dwg")</f>
        <v/>
      </c>
      <c r="AT100" s="10" t="str">
        <f aca="false">IF(A100="","",A100&amp;"_DWG.pdf")</f>
        <v/>
      </c>
      <c r="AU100" s="10" t="str">
        <f aca="false">IF(A100="","",IF(AQ100="Y",A100&amp;"_STAAD.std","n/a"))</f>
        <v/>
      </c>
      <c r="AV100" s="10" t="str">
        <f aca="false">IF(A100="","",A100&amp;"_CALC.xlsx")</f>
        <v/>
      </c>
      <c r="AW100" s="10" t="str">
        <f aca="false">IF(A100="","",A100&amp;"_CALC.pdf")</f>
        <v/>
      </c>
      <c r="AX100" s="9"/>
      <c r="AY100" s="9"/>
      <c r="AZ100" s="39"/>
      <c r="BA100" s="39"/>
      <c r="BB100" s="39"/>
      <c r="BC100" s="39"/>
      <c r="BD100" s="39"/>
      <c r="BE100" s="12" t="str">
        <f aca="false">IF(A100="","",IF(COUNTIF(Rebar_Schedule!$A$5:$A$2004,A100)=0,"",ROUND(SUMIF(Rebar_Schedule!$A$5:$A$2004,A100,Rebar_Schedule!$K$5:$K$2004),1)))</f>
        <v/>
      </c>
      <c r="BF100" s="33" t="str">
        <f aca="false">IF(A100="","",IF(BE100="","No rebar schedule yet",IF(ABS(BE100-N(BA100))/MAX(N(BA100),1)&gt;SG_Criteria!$B$55,"NOTE: register rebar differs from schedule by "&amp;TEXT(ABS(BE100-N(BA100))/MAX(N(BA100),1),"0%"),"OK")))</f>
        <v/>
      </c>
      <c r="BG100" s="33" t="str">
        <f aca="false">IF(OR(D100="",F100=""),"",IF(F100&lt;=IF(D100="Soldier Pile &amp; Timber Lagging",SG_Criteria!$B$34,SG_Criteria!$B$33),"No ERSS submission",IF(F100&lt;=SG_Criteria!$B$35,"QP(ST)",IF(F100&lt;=SG_Criteria!$B$36,"QP(ST) + AC","Geotechnical building works: QP(Geo) + AC"))))</f>
        <v/>
      </c>
      <c r="BH100" s="33" t="str">
        <f aca="false">IF(D100="","",IF(LEN(IF(AND(AC100&lt;&gt;"",IFERROR(VALUE(MID(AC100,2,2)),0)&lt;SG_Criteria!$B$19),"FAIL: grade below C"&amp;SG_Criteria!$B$19&amp;". ","")&amp;IF(AND(LEFT(D100,3)="Con",N(I100)&lt;F100,H100="Kallang Formation (marine clay)"),"NOTE: CBP is not watertight below GWT in marine clay; consider secant / grouting. ","")&amp;IF(AND(D100="Steel Sheet Pile",E100="Permanent"),"NOTE: permanent sheet pile needs corrosion allowance. ","")&amp;IF(AND(G100="Cantilever (no support)",F100&gt;6),"NOTE: cantilever embedded wall &gt; 6 m, check deflection. ","")&amp;IF(AND(T100&lt;&gt;"",U100&lt;&gt;"",T100&gt;U100),"FAIL: deflection exceeds allowable. ",""))=0,"OK",IF(AND(AC100&lt;&gt;"",IFERROR(VALUE(MID(AC100,2,2)),0)&lt;SG_Criteria!$B$19),"FAIL: grade below C"&amp;SG_Criteria!$B$19&amp;". ","")&amp;IF(AND(LEFT(D100,3)="Con",N(I100)&lt;F100,H100="Kallang Formation (marine clay)"),"NOTE: CBP is not watertight below GWT in marine clay; consider secant / grouting. ","")&amp;IF(AND(D100="Steel Sheet Pile",E100="Permanent"),"NOTE: permanent sheet pile needs corrosion allowance. ","")&amp;IF(AND(G100="Cantilever (no support)",F100&gt;6),"NOTE: cantilever embedded wall &gt; 6 m, check deflection. ","")&amp;IF(AND(T100&lt;&gt;"",U100&lt;&gt;"",T100&gt;U100),"FAIL: deflection exceeds allowable. ","")))</f>
        <v/>
      </c>
      <c r="BI100" s="9"/>
      <c r="BJ100" s="9"/>
      <c r="BK100" s="9"/>
      <c r="BL100" s="10" t="str">
        <f aca="false">IF(BK100="","",IFERROR(VLOOKUP(BK100,Projects!$A$5:$D$504,2,0),"Ref not in Projects"))</f>
        <v/>
      </c>
      <c r="BM100" s="10" t="str">
        <f aca="false">IF(BK100="","",IFERROR(VLOOKUP(BK100,Projects!$A$5:$D$504,4,0),"Ref not in Projects"))</f>
        <v/>
      </c>
      <c r="BN100" s="9"/>
      <c r="BO100" s="9"/>
      <c r="BP100" s="9"/>
      <c r="BQ100" s="40"/>
      <c r="BR100" s="9"/>
      <c r="BS100" s="40"/>
      <c r="BT100" s="9"/>
      <c r="BU100" s="40"/>
      <c r="BV100" s="9"/>
      <c r="BW100" s="9"/>
      <c r="BX100" s="9"/>
      <c r="BY100" s="40"/>
      <c r="BZ100" s="40"/>
      <c r="CA100" s="36" t="str">
        <f aca="false">IF(BZ100="","",EDATE(BZ100,SG_Criteria!$B$54*12))</f>
        <v/>
      </c>
      <c r="CB100" s="33" t="str">
        <f aca="true">IF(A100="","",IF(BZ100="","NOTE: not reviewed yet",IF(TODAY()&gt;CA100,"NOTE: review overdue","OK")))</f>
        <v/>
      </c>
      <c r="CC100" s="37" t="str">
        <f aca="false">IF(A100="","",ROUND((IF(LEN(D100)&gt;0,1,0)+IF(LEN(E100)&gt;0,1,0)+IF(LEN(F100)&gt;0,1,0)+IF(LEN(G100)&gt;0,1,0)+IF(LEN(H100)&gt;0,1,0)+IF(LEN(I100)&gt;0,1,0)+IF(LEN(K100)&gt;0,1,0)+IF(LEN(N100)&gt;0,1,0)+IF(LEN(O100)&gt;0,1,0)+IF(LEN(T100)&gt;0,1,0)+IF(LEN(U100)&gt;0,1,0)+IF(LEN(V100)&gt;0,1,0)+IF(LEN(AK100)&gt;0,1,0)+IF(LEN(AM100)&gt;0,1,0)+IF(LEN(AN100)&gt;0,1,0)+IF(LEN(AO100)&gt;0,1,0)+IF(LEN(AP100)&gt;0,1,0)+IF(LEN(AY100)&gt;0,1,0)+IF(LEN(BK100)&gt;0,1,0)+IF(LEN(BX100)&gt;0,1,0))/20,2))</f>
        <v/>
      </c>
      <c r="CD100" s="10" t="str">
        <f aca="false">IF(D100="","",IF(AND(AN100="Approved",ISERROR(SEARCH("FAIL",BH100))),"Y","N"))</f>
        <v/>
      </c>
      <c r="CE100" s="10" t="str">
        <f aca="false">IF(D100="","",D100&amp;"|"&amp;F100&amp;"|"&amp;G100&amp;"|"&amp;H100&amp;"|"&amp;E100&amp;"|"&amp;CD100)</f>
        <v/>
      </c>
    </row>
    <row r="101" customFormat="false" ht="15" hidden="false" customHeight="false" outlineLevel="0" collapsed="false">
      <c r="A101" s="10" t="str">
        <f aca="false">IF(D101="","","EW-"&amp;IFERROR(VLOOKUP(D101,Lists!$P$4:$Q$22,2,0),"??")&amp;"-D"&amp;TEXT(F101*1000,"0000")&amp;"-"&amp;IFERROR(VLOOKUP(G101,Lists!$S$4:$T$21,2,0),"??")&amp;"-"&amp;IFERROR(VLOOKUP(H101,Lists!$Y$4:$Z$21,2,0),"??")&amp;"-"&amp;IFERROR(VLOOKUP(E101,Lists!$V$4:$W$16,2,0),"??")&amp;"-"&amp;AM101)</f>
        <v/>
      </c>
      <c r="B101" s="10" t="str">
        <f aca="false">IF(D101="","",E101&amp;" "&amp;D101&amp;", excavation "&amp;TEXT(F101,"0.0")&amp;" m, "&amp;G101&amp;", "&amp;H101&amp;", "&amp;K101)</f>
        <v/>
      </c>
      <c r="C101" s="9"/>
      <c r="D101" s="9"/>
      <c r="E101" s="9"/>
      <c r="F101" s="42"/>
      <c r="G101" s="9"/>
      <c r="H101" s="9"/>
      <c r="I101" s="42"/>
      <c r="J101" s="38"/>
      <c r="K101" s="9"/>
      <c r="L101" s="9"/>
      <c r="M101" s="9"/>
      <c r="N101" s="42"/>
      <c r="O101" s="42"/>
      <c r="P101" s="9"/>
      <c r="Q101" s="9"/>
      <c r="R101" s="9"/>
      <c r="S101" s="9"/>
      <c r="T101" s="38"/>
      <c r="U101" s="38"/>
      <c r="V101" s="38"/>
      <c r="W101" s="38"/>
      <c r="X101" s="38"/>
      <c r="Y101" s="9"/>
      <c r="Z101" s="39"/>
      <c r="AA101" s="9"/>
      <c r="AB101" s="9"/>
      <c r="AC101" s="9"/>
      <c r="AD101" s="9"/>
      <c r="AE101" s="9"/>
      <c r="AF101" s="9"/>
      <c r="AG101" s="9"/>
      <c r="AH101" s="38"/>
      <c r="AI101" s="9"/>
      <c r="AJ101" s="39"/>
      <c r="AK101" s="9"/>
      <c r="AL101" s="9"/>
      <c r="AM101" s="9"/>
      <c r="AN101" s="9"/>
      <c r="AO101" s="9"/>
      <c r="AP101" s="9"/>
      <c r="AQ101" s="9"/>
      <c r="AR101" s="10" t="str">
        <f aca="false">IF(A101="","",SG_Criteria!$B$6&amp;SG_Criteria!$B$9&amp;"\"&amp;A101&amp;"\")</f>
        <v/>
      </c>
      <c r="AS101" s="10" t="str">
        <f aca="false">IF(A101="","",A101&amp;"_CAD.dwg")</f>
        <v/>
      </c>
      <c r="AT101" s="10" t="str">
        <f aca="false">IF(A101="","",A101&amp;"_DWG.pdf")</f>
        <v/>
      </c>
      <c r="AU101" s="10" t="str">
        <f aca="false">IF(A101="","",IF(AQ101="Y",A101&amp;"_STAAD.std","n/a"))</f>
        <v/>
      </c>
      <c r="AV101" s="10" t="str">
        <f aca="false">IF(A101="","",A101&amp;"_CALC.xlsx")</f>
        <v/>
      </c>
      <c r="AW101" s="10" t="str">
        <f aca="false">IF(A101="","",A101&amp;"_CALC.pdf")</f>
        <v/>
      </c>
      <c r="AX101" s="9"/>
      <c r="AY101" s="9"/>
      <c r="AZ101" s="39"/>
      <c r="BA101" s="39"/>
      <c r="BB101" s="39"/>
      <c r="BC101" s="39"/>
      <c r="BD101" s="39"/>
      <c r="BE101" s="12" t="str">
        <f aca="false">IF(A101="","",IF(COUNTIF(Rebar_Schedule!$A$5:$A$2004,A101)=0,"",ROUND(SUMIF(Rebar_Schedule!$A$5:$A$2004,A101,Rebar_Schedule!$K$5:$K$2004),1)))</f>
        <v/>
      </c>
      <c r="BF101" s="33" t="str">
        <f aca="false">IF(A101="","",IF(BE101="","No rebar schedule yet",IF(ABS(BE101-N(BA101))/MAX(N(BA101),1)&gt;SG_Criteria!$B$55,"NOTE: register rebar differs from schedule by "&amp;TEXT(ABS(BE101-N(BA101))/MAX(N(BA101),1),"0%"),"OK")))</f>
        <v/>
      </c>
      <c r="BG101" s="33" t="str">
        <f aca="false">IF(OR(D101="",F101=""),"",IF(F101&lt;=IF(D101="Soldier Pile &amp; Timber Lagging",SG_Criteria!$B$34,SG_Criteria!$B$33),"No ERSS submission",IF(F101&lt;=SG_Criteria!$B$35,"QP(ST)",IF(F101&lt;=SG_Criteria!$B$36,"QP(ST) + AC","Geotechnical building works: QP(Geo) + AC"))))</f>
        <v/>
      </c>
      <c r="BH101" s="33" t="str">
        <f aca="false">IF(D101="","",IF(LEN(IF(AND(AC101&lt;&gt;"",IFERROR(VALUE(MID(AC101,2,2)),0)&lt;SG_Criteria!$B$19),"FAIL: grade below C"&amp;SG_Criteria!$B$19&amp;". ","")&amp;IF(AND(LEFT(D101,3)="Con",N(I101)&lt;F101,H101="Kallang Formation (marine clay)"),"NOTE: CBP is not watertight below GWT in marine clay; consider secant / grouting. ","")&amp;IF(AND(D101="Steel Sheet Pile",E101="Permanent"),"NOTE: permanent sheet pile needs corrosion allowance. ","")&amp;IF(AND(G101="Cantilever (no support)",F101&gt;6),"NOTE: cantilever embedded wall &gt; 6 m, check deflection. ","")&amp;IF(AND(T101&lt;&gt;"",U101&lt;&gt;"",T101&gt;U101),"FAIL: deflection exceeds allowable. ",""))=0,"OK",IF(AND(AC101&lt;&gt;"",IFERROR(VALUE(MID(AC101,2,2)),0)&lt;SG_Criteria!$B$19),"FAIL: grade below C"&amp;SG_Criteria!$B$19&amp;". ","")&amp;IF(AND(LEFT(D101,3)="Con",N(I101)&lt;F101,H101="Kallang Formation (marine clay)"),"NOTE: CBP is not watertight below GWT in marine clay; consider secant / grouting. ","")&amp;IF(AND(D101="Steel Sheet Pile",E101="Permanent"),"NOTE: permanent sheet pile needs corrosion allowance. ","")&amp;IF(AND(G101="Cantilever (no support)",F101&gt;6),"NOTE: cantilever embedded wall &gt; 6 m, check deflection. ","")&amp;IF(AND(T101&lt;&gt;"",U101&lt;&gt;"",T101&gt;U101),"FAIL: deflection exceeds allowable. ","")))</f>
        <v/>
      </c>
      <c r="BI101" s="9"/>
      <c r="BJ101" s="9"/>
      <c r="BK101" s="9"/>
      <c r="BL101" s="10" t="str">
        <f aca="false">IF(BK101="","",IFERROR(VLOOKUP(BK101,Projects!$A$5:$D$504,2,0),"Ref not in Projects"))</f>
        <v/>
      </c>
      <c r="BM101" s="10" t="str">
        <f aca="false">IF(BK101="","",IFERROR(VLOOKUP(BK101,Projects!$A$5:$D$504,4,0),"Ref not in Projects"))</f>
        <v/>
      </c>
      <c r="BN101" s="9"/>
      <c r="BO101" s="9"/>
      <c r="BP101" s="9"/>
      <c r="BQ101" s="40"/>
      <c r="BR101" s="9"/>
      <c r="BS101" s="40"/>
      <c r="BT101" s="9"/>
      <c r="BU101" s="40"/>
      <c r="BV101" s="9"/>
      <c r="BW101" s="9"/>
      <c r="BX101" s="9"/>
      <c r="BY101" s="40"/>
      <c r="BZ101" s="40"/>
      <c r="CA101" s="36" t="str">
        <f aca="false">IF(BZ101="","",EDATE(BZ101,SG_Criteria!$B$54*12))</f>
        <v/>
      </c>
      <c r="CB101" s="33" t="str">
        <f aca="true">IF(A101="","",IF(BZ101="","NOTE: not reviewed yet",IF(TODAY()&gt;CA101,"NOTE: review overdue","OK")))</f>
        <v/>
      </c>
      <c r="CC101" s="37" t="str">
        <f aca="false">IF(A101="","",ROUND((IF(LEN(D101)&gt;0,1,0)+IF(LEN(E101)&gt;0,1,0)+IF(LEN(F101)&gt;0,1,0)+IF(LEN(G101)&gt;0,1,0)+IF(LEN(H101)&gt;0,1,0)+IF(LEN(I101)&gt;0,1,0)+IF(LEN(K101)&gt;0,1,0)+IF(LEN(N101)&gt;0,1,0)+IF(LEN(O101)&gt;0,1,0)+IF(LEN(T101)&gt;0,1,0)+IF(LEN(U101)&gt;0,1,0)+IF(LEN(V101)&gt;0,1,0)+IF(LEN(AK101)&gt;0,1,0)+IF(LEN(AM101)&gt;0,1,0)+IF(LEN(AN101)&gt;0,1,0)+IF(LEN(AO101)&gt;0,1,0)+IF(LEN(AP101)&gt;0,1,0)+IF(LEN(AY101)&gt;0,1,0)+IF(LEN(BK101)&gt;0,1,0)+IF(LEN(BX101)&gt;0,1,0))/20,2))</f>
        <v/>
      </c>
      <c r="CD101" s="10" t="str">
        <f aca="false">IF(D101="","",IF(AND(AN101="Approved",ISERROR(SEARCH("FAIL",BH101))),"Y","N"))</f>
        <v/>
      </c>
      <c r="CE101" s="10" t="str">
        <f aca="false">IF(D101="","",D101&amp;"|"&amp;F101&amp;"|"&amp;G101&amp;"|"&amp;H101&amp;"|"&amp;E101&amp;"|"&amp;CD101)</f>
        <v/>
      </c>
    </row>
    <row r="102" customFormat="false" ht="15" hidden="false" customHeight="false" outlineLevel="0" collapsed="false">
      <c r="A102" s="10" t="str">
        <f aca="false">IF(D102="","","EW-"&amp;IFERROR(VLOOKUP(D102,Lists!$P$4:$Q$22,2,0),"??")&amp;"-D"&amp;TEXT(F102*1000,"0000")&amp;"-"&amp;IFERROR(VLOOKUP(G102,Lists!$S$4:$T$21,2,0),"??")&amp;"-"&amp;IFERROR(VLOOKUP(H102,Lists!$Y$4:$Z$21,2,0),"??")&amp;"-"&amp;IFERROR(VLOOKUP(E102,Lists!$V$4:$W$16,2,0),"??")&amp;"-"&amp;AM102)</f>
        <v/>
      </c>
      <c r="B102" s="10" t="str">
        <f aca="false">IF(D102="","",E102&amp;" "&amp;D102&amp;", excavation "&amp;TEXT(F102,"0.0")&amp;" m, "&amp;G102&amp;", "&amp;H102&amp;", "&amp;K102)</f>
        <v/>
      </c>
      <c r="C102" s="9"/>
      <c r="D102" s="9"/>
      <c r="E102" s="9"/>
      <c r="F102" s="42"/>
      <c r="G102" s="9"/>
      <c r="H102" s="9"/>
      <c r="I102" s="42"/>
      <c r="J102" s="38"/>
      <c r="K102" s="9"/>
      <c r="L102" s="9"/>
      <c r="M102" s="9"/>
      <c r="N102" s="42"/>
      <c r="O102" s="42"/>
      <c r="P102" s="9"/>
      <c r="Q102" s="9"/>
      <c r="R102" s="9"/>
      <c r="S102" s="9"/>
      <c r="T102" s="38"/>
      <c r="U102" s="38"/>
      <c r="V102" s="38"/>
      <c r="W102" s="38"/>
      <c r="X102" s="38"/>
      <c r="Y102" s="9"/>
      <c r="Z102" s="39"/>
      <c r="AA102" s="9"/>
      <c r="AB102" s="9"/>
      <c r="AC102" s="9"/>
      <c r="AD102" s="9"/>
      <c r="AE102" s="9"/>
      <c r="AF102" s="9"/>
      <c r="AG102" s="9"/>
      <c r="AH102" s="38"/>
      <c r="AI102" s="9"/>
      <c r="AJ102" s="39"/>
      <c r="AK102" s="9"/>
      <c r="AL102" s="9"/>
      <c r="AM102" s="9"/>
      <c r="AN102" s="9"/>
      <c r="AO102" s="9"/>
      <c r="AP102" s="9"/>
      <c r="AQ102" s="9"/>
      <c r="AR102" s="10" t="str">
        <f aca="false">IF(A102="","",SG_Criteria!$B$6&amp;SG_Criteria!$B$9&amp;"\"&amp;A102&amp;"\")</f>
        <v/>
      </c>
      <c r="AS102" s="10" t="str">
        <f aca="false">IF(A102="","",A102&amp;"_CAD.dwg")</f>
        <v/>
      </c>
      <c r="AT102" s="10" t="str">
        <f aca="false">IF(A102="","",A102&amp;"_DWG.pdf")</f>
        <v/>
      </c>
      <c r="AU102" s="10" t="str">
        <f aca="false">IF(A102="","",IF(AQ102="Y",A102&amp;"_STAAD.std","n/a"))</f>
        <v/>
      </c>
      <c r="AV102" s="10" t="str">
        <f aca="false">IF(A102="","",A102&amp;"_CALC.xlsx")</f>
        <v/>
      </c>
      <c r="AW102" s="10" t="str">
        <f aca="false">IF(A102="","",A102&amp;"_CALC.pdf")</f>
        <v/>
      </c>
      <c r="AX102" s="9"/>
      <c r="AY102" s="9"/>
      <c r="AZ102" s="39"/>
      <c r="BA102" s="39"/>
      <c r="BB102" s="39"/>
      <c r="BC102" s="39"/>
      <c r="BD102" s="39"/>
      <c r="BE102" s="12" t="str">
        <f aca="false">IF(A102="","",IF(COUNTIF(Rebar_Schedule!$A$5:$A$2004,A102)=0,"",ROUND(SUMIF(Rebar_Schedule!$A$5:$A$2004,A102,Rebar_Schedule!$K$5:$K$2004),1)))</f>
        <v/>
      </c>
      <c r="BF102" s="33" t="str">
        <f aca="false">IF(A102="","",IF(BE102="","No rebar schedule yet",IF(ABS(BE102-N(BA102))/MAX(N(BA102),1)&gt;SG_Criteria!$B$55,"NOTE: register rebar differs from schedule by "&amp;TEXT(ABS(BE102-N(BA102))/MAX(N(BA102),1),"0%"),"OK")))</f>
        <v/>
      </c>
      <c r="BG102" s="33" t="str">
        <f aca="false">IF(OR(D102="",F102=""),"",IF(F102&lt;=IF(D102="Soldier Pile &amp; Timber Lagging",SG_Criteria!$B$34,SG_Criteria!$B$33),"No ERSS submission",IF(F102&lt;=SG_Criteria!$B$35,"QP(ST)",IF(F102&lt;=SG_Criteria!$B$36,"QP(ST) + AC","Geotechnical building works: QP(Geo) + AC"))))</f>
        <v/>
      </c>
      <c r="BH102" s="33" t="str">
        <f aca="false">IF(D102="","",IF(LEN(IF(AND(AC102&lt;&gt;"",IFERROR(VALUE(MID(AC102,2,2)),0)&lt;SG_Criteria!$B$19),"FAIL: grade below C"&amp;SG_Criteria!$B$19&amp;". ","")&amp;IF(AND(LEFT(D102,3)="Con",N(I102)&lt;F102,H102="Kallang Formation (marine clay)"),"NOTE: CBP is not watertight below GWT in marine clay; consider secant / grouting. ","")&amp;IF(AND(D102="Steel Sheet Pile",E102="Permanent"),"NOTE: permanent sheet pile needs corrosion allowance. ","")&amp;IF(AND(G102="Cantilever (no support)",F102&gt;6),"NOTE: cantilever embedded wall &gt; 6 m, check deflection. ","")&amp;IF(AND(T102&lt;&gt;"",U102&lt;&gt;"",T102&gt;U102),"FAIL: deflection exceeds allowable. ",""))=0,"OK",IF(AND(AC102&lt;&gt;"",IFERROR(VALUE(MID(AC102,2,2)),0)&lt;SG_Criteria!$B$19),"FAIL: grade below C"&amp;SG_Criteria!$B$19&amp;". ","")&amp;IF(AND(LEFT(D102,3)="Con",N(I102)&lt;F102,H102="Kallang Formation (marine clay)"),"NOTE: CBP is not watertight below GWT in marine clay; consider secant / grouting. ","")&amp;IF(AND(D102="Steel Sheet Pile",E102="Permanent"),"NOTE: permanent sheet pile needs corrosion allowance. ","")&amp;IF(AND(G102="Cantilever (no support)",F102&gt;6),"NOTE: cantilever embedded wall &gt; 6 m, check deflection. ","")&amp;IF(AND(T102&lt;&gt;"",U102&lt;&gt;"",T102&gt;U102),"FAIL: deflection exceeds allowable. ","")))</f>
        <v/>
      </c>
      <c r="BI102" s="9"/>
      <c r="BJ102" s="9"/>
      <c r="BK102" s="9"/>
      <c r="BL102" s="10" t="str">
        <f aca="false">IF(BK102="","",IFERROR(VLOOKUP(BK102,Projects!$A$5:$D$504,2,0),"Ref not in Projects"))</f>
        <v/>
      </c>
      <c r="BM102" s="10" t="str">
        <f aca="false">IF(BK102="","",IFERROR(VLOOKUP(BK102,Projects!$A$5:$D$504,4,0),"Ref not in Projects"))</f>
        <v/>
      </c>
      <c r="BN102" s="9"/>
      <c r="BO102" s="9"/>
      <c r="BP102" s="9"/>
      <c r="BQ102" s="40"/>
      <c r="BR102" s="9"/>
      <c r="BS102" s="40"/>
      <c r="BT102" s="9"/>
      <c r="BU102" s="40"/>
      <c r="BV102" s="9"/>
      <c r="BW102" s="9"/>
      <c r="BX102" s="9"/>
      <c r="BY102" s="40"/>
      <c r="BZ102" s="40"/>
      <c r="CA102" s="36" t="str">
        <f aca="false">IF(BZ102="","",EDATE(BZ102,SG_Criteria!$B$54*12))</f>
        <v/>
      </c>
      <c r="CB102" s="33" t="str">
        <f aca="true">IF(A102="","",IF(BZ102="","NOTE: not reviewed yet",IF(TODAY()&gt;CA102,"NOTE: review overdue","OK")))</f>
        <v/>
      </c>
      <c r="CC102" s="37" t="str">
        <f aca="false">IF(A102="","",ROUND((IF(LEN(D102)&gt;0,1,0)+IF(LEN(E102)&gt;0,1,0)+IF(LEN(F102)&gt;0,1,0)+IF(LEN(G102)&gt;0,1,0)+IF(LEN(H102)&gt;0,1,0)+IF(LEN(I102)&gt;0,1,0)+IF(LEN(K102)&gt;0,1,0)+IF(LEN(N102)&gt;0,1,0)+IF(LEN(O102)&gt;0,1,0)+IF(LEN(T102)&gt;0,1,0)+IF(LEN(U102)&gt;0,1,0)+IF(LEN(V102)&gt;0,1,0)+IF(LEN(AK102)&gt;0,1,0)+IF(LEN(AM102)&gt;0,1,0)+IF(LEN(AN102)&gt;0,1,0)+IF(LEN(AO102)&gt;0,1,0)+IF(LEN(AP102)&gt;0,1,0)+IF(LEN(AY102)&gt;0,1,0)+IF(LEN(BK102)&gt;0,1,0)+IF(LEN(BX102)&gt;0,1,0))/20,2))</f>
        <v/>
      </c>
      <c r="CD102" s="10" t="str">
        <f aca="false">IF(D102="","",IF(AND(AN102="Approved",ISERROR(SEARCH("FAIL",BH102))),"Y","N"))</f>
        <v/>
      </c>
      <c r="CE102" s="10" t="str">
        <f aca="false">IF(D102="","",D102&amp;"|"&amp;F102&amp;"|"&amp;G102&amp;"|"&amp;H102&amp;"|"&amp;E102&amp;"|"&amp;CD102)</f>
        <v/>
      </c>
    </row>
    <row r="103" customFormat="false" ht="15" hidden="false" customHeight="false" outlineLevel="0" collapsed="false">
      <c r="A103" s="10" t="str">
        <f aca="false">IF(D103="","","EW-"&amp;IFERROR(VLOOKUP(D103,Lists!$P$4:$Q$22,2,0),"??")&amp;"-D"&amp;TEXT(F103*1000,"0000")&amp;"-"&amp;IFERROR(VLOOKUP(G103,Lists!$S$4:$T$21,2,0),"??")&amp;"-"&amp;IFERROR(VLOOKUP(H103,Lists!$Y$4:$Z$21,2,0),"??")&amp;"-"&amp;IFERROR(VLOOKUP(E103,Lists!$V$4:$W$16,2,0),"??")&amp;"-"&amp;AM103)</f>
        <v/>
      </c>
      <c r="B103" s="10" t="str">
        <f aca="false">IF(D103="","",E103&amp;" "&amp;D103&amp;", excavation "&amp;TEXT(F103,"0.0")&amp;" m, "&amp;G103&amp;", "&amp;H103&amp;", "&amp;K103)</f>
        <v/>
      </c>
      <c r="C103" s="9"/>
      <c r="D103" s="9"/>
      <c r="E103" s="9"/>
      <c r="F103" s="42"/>
      <c r="G103" s="9"/>
      <c r="H103" s="9"/>
      <c r="I103" s="42"/>
      <c r="J103" s="38"/>
      <c r="K103" s="9"/>
      <c r="L103" s="9"/>
      <c r="M103" s="9"/>
      <c r="N103" s="42"/>
      <c r="O103" s="42"/>
      <c r="P103" s="9"/>
      <c r="Q103" s="9"/>
      <c r="R103" s="9"/>
      <c r="S103" s="9"/>
      <c r="T103" s="38"/>
      <c r="U103" s="38"/>
      <c r="V103" s="38"/>
      <c r="W103" s="38"/>
      <c r="X103" s="38"/>
      <c r="Y103" s="9"/>
      <c r="Z103" s="39"/>
      <c r="AA103" s="9"/>
      <c r="AB103" s="9"/>
      <c r="AC103" s="9"/>
      <c r="AD103" s="9"/>
      <c r="AE103" s="9"/>
      <c r="AF103" s="9"/>
      <c r="AG103" s="9"/>
      <c r="AH103" s="38"/>
      <c r="AI103" s="9"/>
      <c r="AJ103" s="39"/>
      <c r="AK103" s="9"/>
      <c r="AL103" s="9"/>
      <c r="AM103" s="9"/>
      <c r="AN103" s="9"/>
      <c r="AO103" s="9"/>
      <c r="AP103" s="9"/>
      <c r="AQ103" s="9"/>
      <c r="AR103" s="10" t="str">
        <f aca="false">IF(A103="","",SG_Criteria!$B$6&amp;SG_Criteria!$B$9&amp;"\"&amp;A103&amp;"\")</f>
        <v/>
      </c>
      <c r="AS103" s="10" t="str">
        <f aca="false">IF(A103="","",A103&amp;"_CAD.dwg")</f>
        <v/>
      </c>
      <c r="AT103" s="10" t="str">
        <f aca="false">IF(A103="","",A103&amp;"_DWG.pdf")</f>
        <v/>
      </c>
      <c r="AU103" s="10" t="str">
        <f aca="false">IF(A103="","",IF(AQ103="Y",A103&amp;"_STAAD.std","n/a"))</f>
        <v/>
      </c>
      <c r="AV103" s="10" t="str">
        <f aca="false">IF(A103="","",A103&amp;"_CALC.xlsx")</f>
        <v/>
      </c>
      <c r="AW103" s="10" t="str">
        <f aca="false">IF(A103="","",A103&amp;"_CALC.pdf")</f>
        <v/>
      </c>
      <c r="AX103" s="9"/>
      <c r="AY103" s="9"/>
      <c r="AZ103" s="39"/>
      <c r="BA103" s="39"/>
      <c r="BB103" s="39"/>
      <c r="BC103" s="39"/>
      <c r="BD103" s="39"/>
      <c r="BE103" s="12" t="str">
        <f aca="false">IF(A103="","",IF(COUNTIF(Rebar_Schedule!$A$5:$A$2004,A103)=0,"",ROUND(SUMIF(Rebar_Schedule!$A$5:$A$2004,A103,Rebar_Schedule!$K$5:$K$2004),1)))</f>
        <v/>
      </c>
      <c r="BF103" s="33" t="str">
        <f aca="false">IF(A103="","",IF(BE103="","No rebar schedule yet",IF(ABS(BE103-N(BA103))/MAX(N(BA103),1)&gt;SG_Criteria!$B$55,"NOTE: register rebar differs from schedule by "&amp;TEXT(ABS(BE103-N(BA103))/MAX(N(BA103),1),"0%"),"OK")))</f>
        <v/>
      </c>
      <c r="BG103" s="33" t="str">
        <f aca="false">IF(OR(D103="",F103=""),"",IF(F103&lt;=IF(D103="Soldier Pile &amp; Timber Lagging",SG_Criteria!$B$34,SG_Criteria!$B$33),"No ERSS submission",IF(F103&lt;=SG_Criteria!$B$35,"QP(ST)",IF(F103&lt;=SG_Criteria!$B$36,"QP(ST) + AC","Geotechnical building works: QP(Geo) + AC"))))</f>
        <v/>
      </c>
      <c r="BH103" s="33" t="str">
        <f aca="false">IF(D103="","",IF(LEN(IF(AND(AC103&lt;&gt;"",IFERROR(VALUE(MID(AC103,2,2)),0)&lt;SG_Criteria!$B$19),"FAIL: grade below C"&amp;SG_Criteria!$B$19&amp;". ","")&amp;IF(AND(LEFT(D103,3)="Con",N(I103)&lt;F103,H103="Kallang Formation (marine clay)"),"NOTE: CBP is not watertight below GWT in marine clay; consider secant / grouting. ","")&amp;IF(AND(D103="Steel Sheet Pile",E103="Permanent"),"NOTE: permanent sheet pile needs corrosion allowance. ","")&amp;IF(AND(G103="Cantilever (no support)",F103&gt;6),"NOTE: cantilever embedded wall &gt; 6 m, check deflection. ","")&amp;IF(AND(T103&lt;&gt;"",U103&lt;&gt;"",T103&gt;U103),"FAIL: deflection exceeds allowable. ",""))=0,"OK",IF(AND(AC103&lt;&gt;"",IFERROR(VALUE(MID(AC103,2,2)),0)&lt;SG_Criteria!$B$19),"FAIL: grade below C"&amp;SG_Criteria!$B$19&amp;". ","")&amp;IF(AND(LEFT(D103,3)="Con",N(I103)&lt;F103,H103="Kallang Formation (marine clay)"),"NOTE: CBP is not watertight below GWT in marine clay; consider secant / grouting. ","")&amp;IF(AND(D103="Steel Sheet Pile",E103="Permanent"),"NOTE: permanent sheet pile needs corrosion allowance. ","")&amp;IF(AND(G103="Cantilever (no support)",F103&gt;6),"NOTE: cantilever embedded wall &gt; 6 m, check deflection. ","")&amp;IF(AND(T103&lt;&gt;"",U103&lt;&gt;"",T103&gt;U103),"FAIL: deflection exceeds allowable. ","")))</f>
        <v/>
      </c>
      <c r="BI103" s="9"/>
      <c r="BJ103" s="9"/>
      <c r="BK103" s="9"/>
      <c r="BL103" s="10" t="str">
        <f aca="false">IF(BK103="","",IFERROR(VLOOKUP(BK103,Projects!$A$5:$D$504,2,0),"Ref not in Projects"))</f>
        <v/>
      </c>
      <c r="BM103" s="10" t="str">
        <f aca="false">IF(BK103="","",IFERROR(VLOOKUP(BK103,Projects!$A$5:$D$504,4,0),"Ref not in Projects"))</f>
        <v/>
      </c>
      <c r="BN103" s="9"/>
      <c r="BO103" s="9"/>
      <c r="BP103" s="9"/>
      <c r="BQ103" s="40"/>
      <c r="BR103" s="9"/>
      <c r="BS103" s="40"/>
      <c r="BT103" s="9"/>
      <c r="BU103" s="40"/>
      <c r="BV103" s="9"/>
      <c r="BW103" s="9"/>
      <c r="BX103" s="9"/>
      <c r="BY103" s="40"/>
      <c r="BZ103" s="40"/>
      <c r="CA103" s="36" t="str">
        <f aca="false">IF(BZ103="","",EDATE(BZ103,SG_Criteria!$B$54*12))</f>
        <v/>
      </c>
      <c r="CB103" s="33" t="str">
        <f aca="true">IF(A103="","",IF(BZ103="","NOTE: not reviewed yet",IF(TODAY()&gt;CA103,"NOTE: review overdue","OK")))</f>
        <v/>
      </c>
      <c r="CC103" s="37" t="str">
        <f aca="false">IF(A103="","",ROUND((IF(LEN(D103)&gt;0,1,0)+IF(LEN(E103)&gt;0,1,0)+IF(LEN(F103)&gt;0,1,0)+IF(LEN(G103)&gt;0,1,0)+IF(LEN(H103)&gt;0,1,0)+IF(LEN(I103)&gt;0,1,0)+IF(LEN(K103)&gt;0,1,0)+IF(LEN(N103)&gt;0,1,0)+IF(LEN(O103)&gt;0,1,0)+IF(LEN(T103)&gt;0,1,0)+IF(LEN(U103)&gt;0,1,0)+IF(LEN(V103)&gt;0,1,0)+IF(LEN(AK103)&gt;0,1,0)+IF(LEN(AM103)&gt;0,1,0)+IF(LEN(AN103)&gt;0,1,0)+IF(LEN(AO103)&gt;0,1,0)+IF(LEN(AP103)&gt;0,1,0)+IF(LEN(AY103)&gt;0,1,0)+IF(LEN(BK103)&gt;0,1,0)+IF(LEN(BX103)&gt;0,1,0))/20,2))</f>
        <v/>
      </c>
      <c r="CD103" s="10" t="str">
        <f aca="false">IF(D103="","",IF(AND(AN103="Approved",ISERROR(SEARCH("FAIL",BH103))),"Y","N"))</f>
        <v/>
      </c>
      <c r="CE103" s="10" t="str">
        <f aca="false">IF(D103="","",D103&amp;"|"&amp;F103&amp;"|"&amp;G103&amp;"|"&amp;H103&amp;"|"&amp;E103&amp;"|"&amp;CD103)</f>
        <v/>
      </c>
    </row>
    <row r="104" customFormat="false" ht="15" hidden="false" customHeight="false" outlineLevel="0" collapsed="false">
      <c r="A104" s="10" t="str">
        <f aca="false">IF(D104="","","EW-"&amp;IFERROR(VLOOKUP(D104,Lists!$P$4:$Q$22,2,0),"??")&amp;"-D"&amp;TEXT(F104*1000,"0000")&amp;"-"&amp;IFERROR(VLOOKUP(G104,Lists!$S$4:$T$21,2,0),"??")&amp;"-"&amp;IFERROR(VLOOKUP(H104,Lists!$Y$4:$Z$21,2,0),"??")&amp;"-"&amp;IFERROR(VLOOKUP(E104,Lists!$V$4:$W$16,2,0),"??")&amp;"-"&amp;AM104)</f>
        <v/>
      </c>
      <c r="B104" s="10" t="str">
        <f aca="false">IF(D104="","",E104&amp;" "&amp;D104&amp;", excavation "&amp;TEXT(F104,"0.0")&amp;" m, "&amp;G104&amp;", "&amp;H104&amp;", "&amp;K104)</f>
        <v/>
      </c>
      <c r="C104" s="9"/>
      <c r="D104" s="9"/>
      <c r="E104" s="9"/>
      <c r="F104" s="42"/>
      <c r="G104" s="9"/>
      <c r="H104" s="9"/>
      <c r="I104" s="42"/>
      <c r="J104" s="38"/>
      <c r="K104" s="9"/>
      <c r="L104" s="9"/>
      <c r="M104" s="9"/>
      <c r="N104" s="42"/>
      <c r="O104" s="42"/>
      <c r="P104" s="9"/>
      <c r="Q104" s="9"/>
      <c r="R104" s="9"/>
      <c r="S104" s="9"/>
      <c r="T104" s="38"/>
      <c r="U104" s="38"/>
      <c r="V104" s="38"/>
      <c r="W104" s="38"/>
      <c r="X104" s="38"/>
      <c r="Y104" s="9"/>
      <c r="Z104" s="39"/>
      <c r="AA104" s="9"/>
      <c r="AB104" s="9"/>
      <c r="AC104" s="9"/>
      <c r="AD104" s="9"/>
      <c r="AE104" s="9"/>
      <c r="AF104" s="9"/>
      <c r="AG104" s="9"/>
      <c r="AH104" s="38"/>
      <c r="AI104" s="9"/>
      <c r="AJ104" s="39"/>
      <c r="AK104" s="9"/>
      <c r="AL104" s="9"/>
      <c r="AM104" s="9"/>
      <c r="AN104" s="9"/>
      <c r="AO104" s="9"/>
      <c r="AP104" s="9"/>
      <c r="AQ104" s="9"/>
      <c r="AR104" s="10" t="str">
        <f aca="false">IF(A104="","",SG_Criteria!$B$6&amp;SG_Criteria!$B$9&amp;"\"&amp;A104&amp;"\")</f>
        <v/>
      </c>
      <c r="AS104" s="10" t="str">
        <f aca="false">IF(A104="","",A104&amp;"_CAD.dwg")</f>
        <v/>
      </c>
      <c r="AT104" s="10" t="str">
        <f aca="false">IF(A104="","",A104&amp;"_DWG.pdf")</f>
        <v/>
      </c>
      <c r="AU104" s="10" t="str">
        <f aca="false">IF(A104="","",IF(AQ104="Y",A104&amp;"_STAAD.std","n/a"))</f>
        <v/>
      </c>
      <c r="AV104" s="10" t="str">
        <f aca="false">IF(A104="","",A104&amp;"_CALC.xlsx")</f>
        <v/>
      </c>
      <c r="AW104" s="10" t="str">
        <f aca="false">IF(A104="","",A104&amp;"_CALC.pdf")</f>
        <v/>
      </c>
      <c r="AX104" s="9"/>
      <c r="AY104" s="9"/>
      <c r="AZ104" s="39"/>
      <c r="BA104" s="39"/>
      <c r="BB104" s="39"/>
      <c r="BC104" s="39"/>
      <c r="BD104" s="39"/>
      <c r="BE104" s="12" t="str">
        <f aca="false">IF(A104="","",IF(COUNTIF(Rebar_Schedule!$A$5:$A$2004,A104)=0,"",ROUND(SUMIF(Rebar_Schedule!$A$5:$A$2004,A104,Rebar_Schedule!$K$5:$K$2004),1)))</f>
        <v/>
      </c>
      <c r="BF104" s="33" t="str">
        <f aca="false">IF(A104="","",IF(BE104="","No rebar schedule yet",IF(ABS(BE104-N(BA104))/MAX(N(BA104),1)&gt;SG_Criteria!$B$55,"NOTE: register rebar differs from schedule by "&amp;TEXT(ABS(BE104-N(BA104))/MAX(N(BA104),1),"0%"),"OK")))</f>
        <v/>
      </c>
      <c r="BG104" s="33" t="str">
        <f aca="false">IF(OR(D104="",F104=""),"",IF(F104&lt;=IF(D104="Soldier Pile &amp; Timber Lagging",SG_Criteria!$B$34,SG_Criteria!$B$33),"No ERSS submission",IF(F104&lt;=SG_Criteria!$B$35,"QP(ST)",IF(F104&lt;=SG_Criteria!$B$36,"QP(ST) + AC","Geotechnical building works: QP(Geo) + AC"))))</f>
        <v/>
      </c>
      <c r="BH104" s="33" t="str">
        <f aca="false">IF(D104="","",IF(LEN(IF(AND(AC104&lt;&gt;"",IFERROR(VALUE(MID(AC104,2,2)),0)&lt;SG_Criteria!$B$19),"FAIL: grade below C"&amp;SG_Criteria!$B$19&amp;". ","")&amp;IF(AND(LEFT(D104,3)="Con",N(I104)&lt;F104,H104="Kallang Formation (marine clay)"),"NOTE: CBP is not watertight below GWT in marine clay; consider secant / grouting. ","")&amp;IF(AND(D104="Steel Sheet Pile",E104="Permanent"),"NOTE: permanent sheet pile needs corrosion allowance. ","")&amp;IF(AND(G104="Cantilever (no support)",F104&gt;6),"NOTE: cantilever embedded wall &gt; 6 m, check deflection. ","")&amp;IF(AND(T104&lt;&gt;"",U104&lt;&gt;"",T104&gt;U104),"FAIL: deflection exceeds allowable. ",""))=0,"OK",IF(AND(AC104&lt;&gt;"",IFERROR(VALUE(MID(AC104,2,2)),0)&lt;SG_Criteria!$B$19),"FAIL: grade below C"&amp;SG_Criteria!$B$19&amp;". ","")&amp;IF(AND(LEFT(D104,3)="Con",N(I104)&lt;F104,H104="Kallang Formation (marine clay)"),"NOTE: CBP is not watertight below GWT in marine clay; consider secant / grouting. ","")&amp;IF(AND(D104="Steel Sheet Pile",E104="Permanent"),"NOTE: permanent sheet pile needs corrosion allowance. ","")&amp;IF(AND(G104="Cantilever (no support)",F104&gt;6),"NOTE: cantilever embedded wall &gt; 6 m, check deflection. ","")&amp;IF(AND(T104&lt;&gt;"",U104&lt;&gt;"",T104&gt;U104),"FAIL: deflection exceeds allowable. ","")))</f>
        <v/>
      </c>
      <c r="BI104" s="9"/>
      <c r="BJ104" s="9"/>
      <c r="BK104" s="9"/>
      <c r="BL104" s="10" t="str">
        <f aca="false">IF(BK104="","",IFERROR(VLOOKUP(BK104,Projects!$A$5:$D$504,2,0),"Ref not in Projects"))</f>
        <v/>
      </c>
      <c r="BM104" s="10" t="str">
        <f aca="false">IF(BK104="","",IFERROR(VLOOKUP(BK104,Projects!$A$5:$D$504,4,0),"Ref not in Projects"))</f>
        <v/>
      </c>
      <c r="BN104" s="9"/>
      <c r="BO104" s="9"/>
      <c r="BP104" s="9"/>
      <c r="BQ104" s="40"/>
      <c r="BR104" s="9"/>
      <c r="BS104" s="40"/>
      <c r="BT104" s="9"/>
      <c r="BU104" s="40"/>
      <c r="BV104" s="9"/>
      <c r="BW104" s="9"/>
      <c r="BX104" s="9"/>
      <c r="BY104" s="40"/>
      <c r="BZ104" s="40"/>
      <c r="CA104" s="36" t="str">
        <f aca="false">IF(BZ104="","",EDATE(BZ104,SG_Criteria!$B$54*12))</f>
        <v/>
      </c>
      <c r="CB104" s="33" t="str">
        <f aca="true">IF(A104="","",IF(BZ104="","NOTE: not reviewed yet",IF(TODAY()&gt;CA104,"NOTE: review overdue","OK")))</f>
        <v/>
      </c>
      <c r="CC104" s="37" t="str">
        <f aca="false">IF(A104="","",ROUND((IF(LEN(D104)&gt;0,1,0)+IF(LEN(E104)&gt;0,1,0)+IF(LEN(F104)&gt;0,1,0)+IF(LEN(G104)&gt;0,1,0)+IF(LEN(H104)&gt;0,1,0)+IF(LEN(I104)&gt;0,1,0)+IF(LEN(K104)&gt;0,1,0)+IF(LEN(N104)&gt;0,1,0)+IF(LEN(O104)&gt;0,1,0)+IF(LEN(T104)&gt;0,1,0)+IF(LEN(U104)&gt;0,1,0)+IF(LEN(V104)&gt;0,1,0)+IF(LEN(AK104)&gt;0,1,0)+IF(LEN(AM104)&gt;0,1,0)+IF(LEN(AN104)&gt;0,1,0)+IF(LEN(AO104)&gt;0,1,0)+IF(LEN(AP104)&gt;0,1,0)+IF(LEN(AY104)&gt;0,1,0)+IF(LEN(BK104)&gt;0,1,0)+IF(LEN(BX104)&gt;0,1,0))/20,2))</f>
        <v/>
      </c>
      <c r="CD104" s="10" t="str">
        <f aca="false">IF(D104="","",IF(AND(AN104="Approved",ISERROR(SEARCH("FAIL",BH104))),"Y","N"))</f>
        <v/>
      </c>
      <c r="CE104" s="10" t="str">
        <f aca="false">IF(D104="","",D104&amp;"|"&amp;F104&amp;"|"&amp;G104&amp;"|"&amp;H104&amp;"|"&amp;E104&amp;"|"&amp;CD104)</f>
        <v/>
      </c>
    </row>
    <row r="105" customFormat="false" ht="15" hidden="false" customHeight="false" outlineLevel="0" collapsed="false">
      <c r="A105" s="10" t="str">
        <f aca="false">IF(D105="","","EW-"&amp;IFERROR(VLOOKUP(D105,Lists!$P$4:$Q$22,2,0),"??")&amp;"-D"&amp;TEXT(F105*1000,"0000")&amp;"-"&amp;IFERROR(VLOOKUP(G105,Lists!$S$4:$T$21,2,0),"??")&amp;"-"&amp;IFERROR(VLOOKUP(H105,Lists!$Y$4:$Z$21,2,0),"??")&amp;"-"&amp;IFERROR(VLOOKUP(E105,Lists!$V$4:$W$16,2,0),"??")&amp;"-"&amp;AM105)</f>
        <v/>
      </c>
      <c r="B105" s="10" t="str">
        <f aca="false">IF(D105="","",E105&amp;" "&amp;D105&amp;", excavation "&amp;TEXT(F105,"0.0")&amp;" m, "&amp;G105&amp;", "&amp;H105&amp;", "&amp;K105)</f>
        <v/>
      </c>
      <c r="C105" s="9"/>
      <c r="D105" s="9"/>
      <c r="E105" s="9"/>
      <c r="F105" s="42"/>
      <c r="G105" s="9"/>
      <c r="H105" s="9"/>
      <c r="I105" s="42"/>
      <c r="J105" s="38"/>
      <c r="K105" s="9"/>
      <c r="L105" s="9"/>
      <c r="M105" s="9"/>
      <c r="N105" s="42"/>
      <c r="O105" s="42"/>
      <c r="P105" s="9"/>
      <c r="Q105" s="9"/>
      <c r="R105" s="9"/>
      <c r="S105" s="9"/>
      <c r="T105" s="38"/>
      <c r="U105" s="38"/>
      <c r="V105" s="38"/>
      <c r="W105" s="38"/>
      <c r="X105" s="38"/>
      <c r="Y105" s="9"/>
      <c r="Z105" s="39"/>
      <c r="AA105" s="9"/>
      <c r="AB105" s="9"/>
      <c r="AC105" s="9"/>
      <c r="AD105" s="9"/>
      <c r="AE105" s="9"/>
      <c r="AF105" s="9"/>
      <c r="AG105" s="9"/>
      <c r="AH105" s="38"/>
      <c r="AI105" s="9"/>
      <c r="AJ105" s="39"/>
      <c r="AK105" s="9"/>
      <c r="AL105" s="9"/>
      <c r="AM105" s="9"/>
      <c r="AN105" s="9"/>
      <c r="AO105" s="9"/>
      <c r="AP105" s="9"/>
      <c r="AQ105" s="9"/>
      <c r="AR105" s="10" t="str">
        <f aca="false">IF(A105="","",SG_Criteria!$B$6&amp;SG_Criteria!$B$9&amp;"\"&amp;A105&amp;"\")</f>
        <v/>
      </c>
      <c r="AS105" s="10" t="str">
        <f aca="false">IF(A105="","",A105&amp;"_CAD.dwg")</f>
        <v/>
      </c>
      <c r="AT105" s="10" t="str">
        <f aca="false">IF(A105="","",A105&amp;"_DWG.pdf")</f>
        <v/>
      </c>
      <c r="AU105" s="10" t="str">
        <f aca="false">IF(A105="","",IF(AQ105="Y",A105&amp;"_STAAD.std","n/a"))</f>
        <v/>
      </c>
      <c r="AV105" s="10" t="str">
        <f aca="false">IF(A105="","",A105&amp;"_CALC.xlsx")</f>
        <v/>
      </c>
      <c r="AW105" s="10" t="str">
        <f aca="false">IF(A105="","",A105&amp;"_CALC.pdf")</f>
        <v/>
      </c>
      <c r="AX105" s="9"/>
      <c r="AY105" s="9"/>
      <c r="AZ105" s="39"/>
      <c r="BA105" s="39"/>
      <c r="BB105" s="39"/>
      <c r="BC105" s="39"/>
      <c r="BD105" s="39"/>
      <c r="BE105" s="12" t="str">
        <f aca="false">IF(A105="","",IF(COUNTIF(Rebar_Schedule!$A$5:$A$2004,A105)=0,"",ROUND(SUMIF(Rebar_Schedule!$A$5:$A$2004,A105,Rebar_Schedule!$K$5:$K$2004),1)))</f>
        <v/>
      </c>
      <c r="BF105" s="33" t="str">
        <f aca="false">IF(A105="","",IF(BE105="","No rebar schedule yet",IF(ABS(BE105-N(BA105))/MAX(N(BA105),1)&gt;SG_Criteria!$B$55,"NOTE: register rebar differs from schedule by "&amp;TEXT(ABS(BE105-N(BA105))/MAX(N(BA105),1),"0%"),"OK")))</f>
        <v/>
      </c>
      <c r="BG105" s="33" t="str">
        <f aca="false">IF(OR(D105="",F105=""),"",IF(F105&lt;=IF(D105="Soldier Pile &amp; Timber Lagging",SG_Criteria!$B$34,SG_Criteria!$B$33),"No ERSS submission",IF(F105&lt;=SG_Criteria!$B$35,"QP(ST)",IF(F105&lt;=SG_Criteria!$B$36,"QP(ST) + AC","Geotechnical building works: QP(Geo) + AC"))))</f>
        <v/>
      </c>
      <c r="BH105" s="33" t="str">
        <f aca="false">IF(D105="","",IF(LEN(IF(AND(AC105&lt;&gt;"",IFERROR(VALUE(MID(AC105,2,2)),0)&lt;SG_Criteria!$B$19),"FAIL: grade below C"&amp;SG_Criteria!$B$19&amp;". ","")&amp;IF(AND(LEFT(D105,3)="Con",N(I105)&lt;F105,H105="Kallang Formation (marine clay)"),"NOTE: CBP is not watertight below GWT in marine clay; consider secant / grouting. ","")&amp;IF(AND(D105="Steel Sheet Pile",E105="Permanent"),"NOTE: permanent sheet pile needs corrosion allowance. ","")&amp;IF(AND(G105="Cantilever (no support)",F105&gt;6),"NOTE: cantilever embedded wall &gt; 6 m, check deflection. ","")&amp;IF(AND(T105&lt;&gt;"",U105&lt;&gt;"",T105&gt;U105),"FAIL: deflection exceeds allowable. ",""))=0,"OK",IF(AND(AC105&lt;&gt;"",IFERROR(VALUE(MID(AC105,2,2)),0)&lt;SG_Criteria!$B$19),"FAIL: grade below C"&amp;SG_Criteria!$B$19&amp;". ","")&amp;IF(AND(LEFT(D105,3)="Con",N(I105)&lt;F105,H105="Kallang Formation (marine clay)"),"NOTE: CBP is not watertight below GWT in marine clay; consider secant / grouting. ","")&amp;IF(AND(D105="Steel Sheet Pile",E105="Permanent"),"NOTE: permanent sheet pile needs corrosion allowance. ","")&amp;IF(AND(G105="Cantilever (no support)",F105&gt;6),"NOTE: cantilever embedded wall &gt; 6 m, check deflection. ","")&amp;IF(AND(T105&lt;&gt;"",U105&lt;&gt;"",T105&gt;U105),"FAIL: deflection exceeds allowable. ","")))</f>
        <v/>
      </c>
      <c r="BI105" s="9"/>
      <c r="BJ105" s="9"/>
      <c r="BK105" s="9"/>
      <c r="BL105" s="10" t="str">
        <f aca="false">IF(BK105="","",IFERROR(VLOOKUP(BK105,Projects!$A$5:$D$504,2,0),"Ref not in Projects"))</f>
        <v/>
      </c>
      <c r="BM105" s="10" t="str">
        <f aca="false">IF(BK105="","",IFERROR(VLOOKUP(BK105,Projects!$A$5:$D$504,4,0),"Ref not in Projects"))</f>
        <v/>
      </c>
      <c r="BN105" s="9"/>
      <c r="BO105" s="9"/>
      <c r="BP105" s="9"/>
      <c r="BQ105" s="40"/>
      <c r="BR105" s="9"/>
      <c r="BS105" s="40"/>
      <c r="BT105" s="9"/>
      <c r="BU105" s="40"/>
      <c r="BV105" s="9"/>
      <c r="BW105" s="9"/>
      <c r="BX105" s="9"/>
      <c r="BY105" s="40"/>
      <c r="BZ105" s="40"/>
      <c r="CA105" s="36" t="str">
        <f aca="false">IF(BZ105="","",EDATE(BZ105,SG_Criteria!$B$54*12))</f>
        <v/>
      </c>
      <c r="CB105" s="33" t="str">
        <f aca="true">IF(A105="","",IF(BZ105="","NOTE: not reviewed yet",IF(TODAY()&gt;CA105,"NOTE: review overdue","OK")))</f>
        <v/>
      </c>
      <c r="CC105" s="37" t="str">
        <f aca="false">IF(A105="","",ROUND((IF(LEN(D105)&gt;0,1,0)+IF(LEN(E105)&gt;0,1,0)+IF(LEN(F105)&gt;0,1,0)+IF(LEN(G105)&gt;0,1,0)+IF(LEN(H105)&gt;0,1,0)+IF(LEN(I105)&gt;0,1,0)+IF(LEN(K105)&gt;0,1,0)+IF(LEN(N105)&gt;0,1,0)+IF(LEN(O105)&gt;0,1,0)+IF(LEN(T105)&gt;0,1,0)+IF(LEN(U105)&gt;0,1,0)+IF(LEN(V105)&gt;0,1,0)+IF(LEN(AK105)&gt;0,1,0)+IF(LEN(AM105)&gt;0,1,0)+IF(LEN(AN105)&gt;0,1,0)+IF(LEN(AO105)&gt;0,1,0)+IF(LEN(AP105)&gt;0,1,0)+IF(LEN(AY105)&gt;0,1,0)+IF(LEN(BK105)&gt;0,1,0)+IF(LEN(BX105)&gt;0,1,0))/20,2))</f>
        <v/>
      </c>
      <c r="CD105" s="10" t="str">
        <f aca="false">IF(D105="","",IF(AND(AN105="Approved",ISERROR(SEARCH("FAIL",BH105))),"Y","N"))</f>
        <v/>
      </c>
      <c r="CE105" s="10" t="str">
        <f aca="false">IF(D105="","",D105&amp;"|"&amp;F105&amp;"|"&amp;G105&amp;"|"&amp;H105&amp;"|"&amp;E105&amp;"|"&amp;CD105)</f>
        <v/>
      </c>
    </row>
    <row r="106" customFormat="false" ht="15" hidden="false" customHeight="false" outlineLevel="0" collapsed="false">
      <c r="A106" s="10" t="str">
        <f aca="false">IF(D106="","","EW-"&amp;IFERROR(VLOOKUP(D106,Lists!$P$4:$Q$22,2,0),"??")&amp;"-D"&amp;TEXT(F106*1000,"0000")&amp;"-"&amp;IFERROR(VLOOKUP(G106,Lists!$S$4:$T$21,2,0),"??")&amp;"-"&amp;IFERROR(VLOOKUP(H106,Lists!$Y$4:$Z$21,2,0),"??")&amp;"-"&amp;IFERROR(VLOOKUP(E106,Lists!$V$4:$W$16,2,0),"??")&amp;"-"&amp;AM106)</f>
        <v/>
      </c>
      <c r="B106" s="10" t="str">
        <f aca="false">IF(D106="","",E106&amp;" "&amp;D106&amp;", excavation "&amp;TEXT(F106,"0.0")&amp;" m, "&amp;G106&amp;", "&amp;H106&amp;", "&amp;K106)</f>
        <v/>
      </c>
      <c r="C106" s="9"/>
      <c r="D106" s="9"/>
      <c r="E106" s="9"/>
      <c r="F106" s="42"/>
      <c r="G106" s="9"/>
      <c r="H106" s="9"/>
      <c r="I106" s="42"/>
      <c r="J106" s="38"/>
      <c r="K106" s="9"/>
      <c r="L106" s="9"/>
      <c r="M106" s="9"/>
      <c r="N106" s="42"/>
      <c r="O106" s="42"/>
      <c r="P106" s="9"/>
      <c r="Q106" s="9"/>
      <c r="R106" s="9"/>
      <c r="S106" s="9"/>
      <c r="T106" s="38"/>
      <c r="U106" s="38"/>
      <c r="V106" s="38"/>
      <c r="W106" s="38"/>
      <c r="X106" s="38"/>
      <c r="Y106" s="9"/>
      <c r="Z106" s="39"/>
      <c r="AA106" s="9"/>
      <c r="AB106" s="9"/>
      <c r="AC106" s="9"/>
      <c r="AD106" s="9"/>
      <c r="AE106" s="9"/>
      <c r="AF106" s="9"/>
      <c r="AG106" s="9"/>
      <c r="AH106" s="38"/>
      <c r="AI106" s="9"/>
      <c r="AJ106" s="39"/>
      <c r="AK106" s="9"/>
      <c r="AL106" s="9"/>
      <c r="AM106" s="9"/>
      <c r="AN106" s="9"/>
      <c r="AO106" s="9"/>
      <c r="AP106" s="9"/>
      <c r="AQ106" s="9"/>
      <c r="AR106" s="10" t="str">
        <f aca="false">IF(A106="","",SG_Criteria!$B$6&amp;SG_Criteria!$B$9&amp;"\"&amp;A106&amp;"\")</f>
        <v/>
      </c>
      <c r="AS106" s="10" t="str">
        <f aca="false">IF(A106="","",A106&amp;"_CAD.dwg")</f>
        <v/>
      </c>
      <c r="AT106" s="10" t="str">
        <f aca="false">IF(A106="","",A106&amp;"_DWG.pdf")</f>
        <v/>
      </c>
      <c r="AU106" s="10" t="str">
        <f aca="false">IF(A106="","",IF(AQ106="Y",A106&amp;"_STAAD.std","n/a"))</f>
        <v/>
      </c>
      <c r="AV106" s="10" t="str">
        <f aca="false">IF(A106="","",A106&amp;"_CALC.xlsx")</f>
        <v/>
      </c>
      <c r="AW106" s="10" t="str">
        <f aca="false">IF(A106="","",A106&amp;"_CALC.pdf")</f>
        <v/>
      </c>
      <c r="AX106" s="9"/>
      <c r="AY106" s="9"/>
      <c r="AZ106" s="39"/>
      <c r="BA106" s="39"/>
      <c r="BB106" s="39"/>
      <c r="BC106" s="39"/>
      <c r="BD106" s="39"/>
      <c r="BE106" s="12" t="str">
        <f aca="false">IF(A106="","",IF(COUNTIF(Rebar_Schedule!$A$5:$A$2004,A106)=0,"",ROUND(SUMIF(Rebar_Schedule!$A$5:$A$2004,A106,Rebar_Schedule!$K$5:$K$2004),1)))</f>
        <v/>
      </c>
      <c r="BF106" s="33" t="str">
        <f aca="false">IF(A106="","",IF(BE106="","No rebar schedule yet",IF(ABS(BE106-N(BA106))/MAX(N(BA106),1)&gt;SG_Criteria!$B$55,"NOTE: register rebar differs from schedule by "&amp;TEXT(ABS(BE106-N(BA106))/MAX(N(BA106),1),"0%"),"OK")))</f>
        <v/>
      </c>
      <c r="BG106" s="33" t="str">
        <f aca="false">IF(OR(D106="",F106=""),"",IF(F106&lt;=IF(D106="Soldier Pile &amp; Timber Lagging",SG_Criteria!$B$34,SG_Criteria!$B$33),"No ERSS submission",IF(F106&lt;=SG_Criteria!$B$35,"QP(ST)",IF(F106&lt;=SG_Criteria!$B$36,"QP(ST) + AC","Geotechnical building works: QP(Geo) + AC"))))</f>
        <v/>
      </c>
      <c r="BH106" s="33" t="str">
        <f aca="false">IF(D106="","",IF(LEN(IF(AND(AC106&lt;&gt;"",IFERROR(VALUE(MID(AC106,2,2)),0)&lt;SG_Criteria!$B$19),"FAIL: grade below C"&amp;SG_Criteria!$B$19&amp;". ","")&amp;IF(AND(LEFT(D106,3)="Con",N(I106)&lt;F106,H106="Kallang Formation (marine clay)"),"NOTE: CBP is not watertight below GWT in marine clay; consider secant / grouting. ","")&amp;IF(AND(D106="Steel Sheet Pile",E106="Permanent"),"NOTE: permanent sheet pile needs corrosion allowance. ","")&amp;IF(AND(G106="Cantilever (no support)",F106&gt;6),"NOTE: cantilever embedded wall &gt; 6 m, check deflection. ","")&amp;IF(AND(T106&lt;&gt;"",U106&lt;&gt;"",T106&gt;U106),"FAIL: deflection exceeds allowable. ",""))=0,"OK",IF(AND(AC106&lt;&gt;"",IFERROR(VALUE(MID(AC106,2,2)),0)&lt;SG_Criteria!$B$19),"FAIL: grade below C"&amp;SG_Criteria!$B$19&amp;". ","")&amp;IF(AND(LEFT(D106,3)="Con",N(I106)&lt;F106,H106="Kallang Formation (marine clay)"),"NOTE: CBP is not watertight below GWT in marine clay; consider secant / grouting. ","")&amp;IF(AND(D106="Steel Sheet Pile",E106="Permanent"),"NOTE: permanent sheet pile needs corrosion allowance. ","")&amp;IF(AND(G106="Cantilever (no support)",F106&gt;6),"NOTE: cantilever embedded wall &gt; 6 m, check deflection. ","")&amp;IF(AND(T106&lt;&gt;"",U106&lt;&gt;"",T106&gt;U106),"FAIL: deflection exceeds allowable. ","")))</f>
        <v/>
      </c>
      <c r="BI106" s="9"/>
      <c r="BJ106" s="9"/>
      <c r="BK106" s="9"/>
      <c r="BL106" s="10" t="str">
        <f aca="false">IF(BK106="","",IFERROR(VLOOKUP(BK106,Projects!$A$5:$D$504,2,0),"Ref not in Projects"))</f>
        <v/>
      </c>
      <c r="BM106" s="10" t="str">
        <f aca="false">IF(BK106="","",IFERROR(VLOOKUP(BK106,Projects!$A$5:$D$504,4,0),"Ref not in Projects"))</f>
        <v/>
      </c>
      <c r="BN106" s="9"/>
      <c r="BO106" s="9"/>
      <c r="BP106" s="9"/>
      <c r="BQ106" s="40"/>
      <c r="BR106" s="9"/>
      <c r="BS106" s="40"/>
      <c r="BT106" s="9"/>
      <c r="BU106" s="40"/>
      <c r="BV106" s="9"/>
      <c r="BW106" s="9"/>
      <c r="BX106" s="9"/>
      <c r="BY106" s="40"/>
      <c r="BZ106" s="40"/>
      <c r="CA106" s="36" t="str">
        <f aca="false">IF(BZ106="","",EDATE(BZ106,SG_Criteria!$B$54*12))</f>
        <v/>
      </c>
      <c r="CB106" s="33" t="str">
        <f aca="true">IF(A106="","",IF(BZ106="","NOTE: not reviewed yet",IF(TODAY()&gt;CA106,"NOTE: review overdue","OK")))</f>
        <v/>
      </c>
      <c r="CC106" s="37" t="str">
        <f aca="false">IF(A106="","",ROUND((IF(LEN(D106)&gt;0,1,0)+IF(LEN(E106)&gt;0,1,0)+IF(LEN(F106)&gt;0,1,0)+IF(LEN(G106)&gt;0,1,0)+IF(LEN(H106)&gt;0,1,0)+IF(LEN(I106)&gt;0,1,0)+IF(LEN(K106)&gt;0,1,0)+IF(LEN(N106)&gt;0,1,0)+IF(LEN(O106)&gt;0,1,0)+IF(LEN(T106)&gt;0,1,0)+IF(LEN(U106)&gt;0,1,0)+IF(LEN(V106)&gt;0,1,0)+IF(LEN(AK106)&gt;0,1,0)+IF(LEN(AM106)&gt;0,1,0)+IF(LEN(AN106)&gt;0,1,0)+IF(LEN(AO106)&gt;0,1,0)+IF(LEN(AP106)&gt;0,1,0)+IF(LEN(AY106)&gt;0,1,0)+IF(LEN(BK106)&gt;0,1,0)+IF(LEN(BX106)&gt;0,1,0))/20,2))</f>
        <v/>
      </c>
      <c r="CD106" s="10" t="str">
        <f aca="false">IF(D106="","",IF(AND(AN106="Approved",ISERROR(SEARCH("FAIL",BH106))),"Y","N"))</f>
        <v/>
      </c>
      <c r="CE106" s="10" t="str">
        <f aca="false">IF(D106="","",D106&amp;"|"&amp;F106&amp;"|"&amp;G106&amp;"|"&amp;H106&amp;"|"&amp;E106&amp;"|"&amp;CD106)</f>
        <v/>
      </c>
    </row>
    <row r="107" customFormat="false" ht="15" hidden="false" customHeight="false" outlineLevel="0" collapsed="false">
      <c r="A107" s="10" t="str">
        <f aca="false">IF(D107="","","EW-"&amp;IFERROR(VLOOKUP(D107,Lists!$P$4:$Q$22,2,0),"??")&amp;"-D"&amp;TEXT(F107*1000,"0000")&amp;"-"&amp;IFERROR(VLOOKUP(G107,Lists!$S$4:$T$21,2,0),"??")&amp;"-"&amp;IFERROR(VLOOKUP(H107,Lists!$Y$4:$Z$21,2,0),"??")&amp;"-"&amp;IFERROR(VLOOKUP(E107,Lists!$V$4:$W$16,2,0),"??")&amp;"-"&amp;AM107)</f>
        <v/>
      </c>
      <c r="B107" s="10" t="str">
        <f aca="false">IF(D107="","",E107&amp;" "&amp;D107&amp;", excavation "&amp;TEXT(F107,"0.0")&amp;" m, "&amp;G107&amp;", "&amp;H107&amp;", "&amp;K107)</f>
        <v/>
      </c>
      <c r="C107" s="9"/>
      <c r="D107" s="9"/>
      <c r="E107" s="9"/>
      <c r="F107" s="42"/>
      <c r="G107" s="9"/>
      <c r="H107" s="9"/>
      <c r="I107" s="42"/>
      <c r="J107" s="38"/>
      <c r="K107" s="9"/>
      <c r="L107" s="9"/>
      <c r="M107" s="9"/>
      <c r="N107" s="42"/>
      <c r="O107" s="42"/>
      <c r="P107" s="9"/>
      <c r="Q107" s="9"/>
      <c r="R107" s="9"/>
      <c r="S107" s="9"/>
      <c r="T107" s="38"/>
      <c r="U107" s="38"/>
      <c r="V107" s="38"/>
      <c r="W107" s="38"/>
      <c r="X107" s="38"/>
      <c r="Y107" s="9"/>
      <c r="Z107" s="39"/>
      <c r="AA107" s="9"/>
      <c r="AB107" s="9"/>
      <c r="AC107" s="9"/>
      <c r="AD107" s="9"/>
      <c r="AE107" s="9"/>
      <c r="AF107" s="9"/>
      <c r="AG107" s="9"/>
      <c r="AH107" s="38"/>
      <c r="AI107" s="9"/>
      <c r="AJ107" s="39"/>
      <c r="AK107" s="9"/>
      <c r="AL107" s="9"/>
      <c r="AM107" s="9"/>
      <c r="AN107" s="9"/>
      <c r="AO107" s="9"/>
      <c r="AP107" s="9"/>
      <c r="AQ107" s="9"/>
      <c r="AR107" s="10" t="str">
        <f aca="false">IF(A107="","",SG_Criteria!$B$6&amp;SG_Criteria!$B$9&amp;"\"&amp;A107&amp;"\")</f>
        <v/>
      </c>
      <c r="AS107" s="10" t="str">
        <f aca="false">IF(A107="","",A107&amp;"_CAD.dwg")</f>
        <v/>
      </c>
      <c r="AT107" s="10" t="str">
        <f aca="false">IF(A107="","",A107&amp;"_DWG.pdf")</f>
        <v/>
      </c>
      <c r="AU107" s="10" t="str">
        <f aca="false">IF(A107="","",IF(AQ107="Y",A107&amp;"_STAAD.std","n/a"))</f>
        <v/>
      </c>
      <c r="AV107" s="10" t="str">
        <f aca="false">IF(A107="","",A107&amp;"_CALC.xlsx")</f>
        <v/>
      </c>
      <c r="AW107" s="10" t="str">
        <f aca="false">IF(A107="","",A107&amp;"_CALC.pdf")</f>
        <v/>
      </c>
      <c r="AX107" s="9"/>
      <c r="AY107" s="9"/>
      <c r="AZ107" s="39"/>
      <c r="BA107" s="39"/>
      <c r="BB107" s="39"/>
      <c r="BC107" s="39"/>
      <c r="BD107" s="39"/>
      <c r="BE107" s="12" t="str">
        <f aca="false">IF(A107="","",IF(COUNTIF(Rebar_Schedule!$A$5:$A$2004,A107)=0,"",ROUND(SUMIF(Rebar_Schedule!$A$5:$A$2004,A107,Rebar_Schedule!$K$5:$K$2004),1)))</f>
        <v/>
      </c>
      <c r="BF107" s="33" t="str">
        <f aca="false">IF(A107="","",IF(BE107="","No rebar schedule yet",IF(ABS(BE107-N(BA107))/MAX(N(BA107),1)&gt;SG_Criteria!$B$55,"NOTE: register rebar differs from schedule by "&amp;TEXT(ABS(BE107-N(BA107))/MAX(N(BA107),1),"0%"),"OK")))</f>
        <v/>
      </c>
      <c r="BG107" s="33" t="str">
        <f aca="false">IF(OR(D107="",F107=""),"",IF(F107&lt;=IF(D107="Soldier Pile &amp; Timber Lagging",SG_Criteria!$B$34,SG_Criteria!$B$33),"No ERSS submission",IF(F107&lt;=SG_Criteria!$B$35,"QP(ST)",IF(F107&lt;=SG_Criteria!$B$36,"QP(ST) + AC","Geotechnical building works: QP(Geo) + AC"))))</f>
        <v/>
      </c>
      <c r="BH107" s="33" t="str">
        <f aca="false">IF(D107="","",IF(LEN(IF(AND(AC107&lt;&gt;"",IFERROR(VALUE(MID(AC107,2,2)),0)&lt;SG_Criteria!$B$19),"FAIL: grade below C"&amp;SG_Criteria!$B$19&amp;". ","")&amp;IF(AND(LEFT(D107,3)="Con",N(I107)&lt;F107,H107="Kallang Formation (marine clay)"),"NOTE: CBP is not watertight below GWT in marine clay; consider secant / grouting. ","")&amp;IF(AND(D107="Steel Sheet Pile",E107="Permanent"),"NOTE: permanent sheet pile needs corrosion allowance. ","")&amp;IF(AND(G107="Cantilever (no support)",F107&gt;6),"NOTE: cantilever embedded wall &gt; 6 m, check deflection. ","")&amp;IF(AND(T107&lt;&gt;"",U107&lt;&gt;"",T107&gt;U107),"FAIL: deflection exceeds allowable. ",""))=0,"OK",IF(AND(AC107&lt;&gt;"",IFERROR(VALUE(MID(AC107,2,2)),0)&lt;SG_Criteria!$B$19),"FAIL: grade below C"&amp;SG_Criteria!$B$19&amp;". ","")&amp;IF(AND(LEFT(D107,3)="Con",N(I107)&lt;F107,H107="Kallang Formation (marine clay)"),"NOTE: CBP is not watertight below GWT in marine clay; consider secant / grouting. ","")&amp;IF(AND(D107="Steel Sheet Pile",E107="Permanent"),"NOTE: permanent sheet pile needs corrosion allowance. ","")&amp;IF(AND(G107="Cantilever (no support)",F107&gt;6),"NOTE: cantilever embedded wall &gt; 6 m, check deflection. ","")&amp;IF(AND(T107&lt;&gt;"",U107&lt;&gt;"",T107&gt;U107),"FAIL: deflection exceeds allowable. ","")))</f>
        <v/>
      </c>
      <c r="BI107" s="9"/>
      <c r="BJ107" s="9"/>
      <c r="BK107" s="9"/>
      <c r="BL107" s="10" t="str">
        <f aca="false">IF(BK107="","",IFERROR(VLOOKUP(BK107,Projects!$A$5:$D$504,2,0),"Ref not in Projects"))</f>
        <v/>
      </c>
      <c r="BM107" s="10" t="str">
        <f aca="false">IF(BK107="","",IFERROR(VLOOKUP(BK107,Projects!$A$5:$D$504,4,0),"Ref not in Projects"))</f>
        <v/>
      </c>
      <c r="BN107" s="9"/>
      <c r="BO107" s="9"/>
      <c r="BP107" s="9"/>
      <c r="BQ107" s="40"/>
      <c r="BR107" s="9"/>
      <c r="BS107" s="40"/>
      <c r="BT107" s="9"/>
      <c r="BU107" s="40"/>
      <c r="BV107" s="9"/>
      <c r="BW107" s="9"/>
      <c r="BX107" s="9"/>
      <c r="BY107" s="40"/>
      <c r="BZ107" s="40"/>
      <c r="CA107" s="36" t="str">
        <f aca="false">IF(BZ107="","",EDATE(BZ107,SG_Criteria!$B$54*12))</f>
        <v/>
      </c>
      <c r="CB107" s="33" t="str">
        <f aca="true">IF(A107="","",IF(BZ107="","NOTE: not reviewed yet",IF(TODAY()&gt;CA107,"NOTE: review overdue","OK")))</f>
        <v/>
      </c>
      <c r="CC107" s="37" t="str">
        <f aca="false">IF(A107="","",ROUND((IF(LEN(D107)&gt;0,1,0)+IF(LEN(E107)&gt;0,1,0)+IF(LEN(F107)&gt;0,1,0)+IF(LEN(G107)&gt;0,1,0)+IF(LEN(H107)&gt;0,1,0)+IF(LEN(I107)&gt;0,1,0)+IF(LEN(K107)&gt;0,1,0)+IF(LEN(N107)&gt;0,1,0)+IF(LEN(O107)&gt;0,1,0)+IF(LEN(T107)&gt;0,1,0)+IF(LEN(U107)&gt;0,1,0)+IF(LEN(V107)&gt;0,1,0)+IF(LEN(AK107)&gt;0,1,0)+IF(LEN(AM107)&gt;0,1,0)+IF(LEN(AN107)&gt;0,1,0)+IF(LEN(AO107)&gt;0,1,0)+IF(LEN(AP107)&gt;0,1,0)+IF(LEN(AY107)&gt;0,1,0)+IF(LEN(BK107)&gt;0,1,0)+IF(LEN(BX107)&gt;0,1,0))/20,2))</f>
        <v/>
      </c>
      <c r="CD107" s="10" t="str">
        <f aca="false">IF(D107="","",IF(AND(AN107="Approved",ISERROR(SEARCH("FAIL",BH107))),"Y","N"))</f>
        <v/>
      </c>
      <c r="CE107" s="10" t="str">
        <f aca="false">IF(D107="","",D107&amp;"|"&amp;F107&amp;"|"&amp;G107&amp;"|"&amp;H107&amp;"|"&amp;E107&amp;"|"&amp;CD107)</f>
        <v/>
      </c>
    </row>
    <row r="108" customFormat="false" ht="15" hidden="false" customHeight="false" outlineLevel="0" collapsed="false">
      <c r="A108" s="10" t="str">
        <f aca="false">IF(D108="","","EW-"&amp;IFERROR(VLOOKUP(D108,Lists!$P$4:$Q$22,2,0),"??")&amp;"-D"&amp;TEXT(F108*1000,"0000")&amp;"-"&amp;IFERROR(VLOOKUP(G108,Lists!$S$4:$T$21,2,0),"??")&amp;"-"&amp;IFERROR(VLOOKUP(H108,Lists!$Y$4:$Z$21,2,0),"??")&amp;"-"&amp;IFERROR(VLOOKUP(E108,Lists!$V$4:$W$16,2,0),"??")&amp;"-"&amp;AM108)</f>
        <v/>
      </c>
      <c r="B108" s="10" t="str">
        <f aca="false">IF(D108="","",E108&amp;" "&amp;D108&amp;", excavation "&amp;TEXT(F108,"0.0")&amp;" m, "&amp;G108&amp;", "&amp;H108&amp;", "&amp;K108)</f>
        <v/>
      </c>
      <c r="C108" s="9"/>
      <c r="D108" s="9"/>
      <c r="E108" s="9"/>
      <c r="F108" s="42"/>
      <c r="G108" s="9"/>
      <c r="H108" s="9"/>
      <c r="I108" s="42"/>
      <c r="J108" s="38"/>
      <c r="K108" s="9"/>
      <c r="L108" s="9"/>
      <c r="M108" s="9"/>
      <c r="N108" s="42"/>
      <c r="O108" s="42"/>
      <c r="P108" s="9"/>
      <c r="Q108" s="9"/>
      <c r="R108" s="9"/>
      <c r="S108" s="9"/>
      <c r="T108" s="38"/>
      <c r="U108" s="38"/>
      <c r="V108" s="38"/>
      <c r="W108" s="38"/>
      <c r="X108" s="38"/>
      <c r="Y108" s="9"/>
      <c r="Z108" s="39"/>
      <c r="AA108" s="9"/>
      <c r="AB108" s="9"/>
      <c r="AC108" s="9"/>
      <c r="AD108" s="9"/>
      <c r="AE108" s="9"/>
      <c r="AF108" s="9"/>
      <c r="AG108" s="9"/>
      <c r="AH108" s="38"/>
      <c r="AI108" s="9"/>
      <c r="AJ108" s="39"/>
      <c r="AK108" s="9"/>
      <c r="AL108" s="9"/>
      <c r="AM108" s="9"/>
      <c r="AN108" s="9"/>
      <c r="AO108" s="9"/>
      <c r="AP108" s="9"/>
      <c r="AQ108" s="9"/>
      <c r="AR108" s="10" t="str">
        <f aca="false">IF(A108="","",SG_Criteria!$B$6&amp;SG_Criteria!$B$9&amp;"\"&amp;A108&amp;"\")</f>
        <v/>
      </c>
      <c r="AS108" s="10" t="str">
        <f aca="false">IF(A108="","",A108&amp;"_CAD.dwg")</f>
        <v/>
      </c>
      <c r="AT108" s="10" t="str">
        <f aca="false">IF(A108="","",A108&amp;"_DWG.pdf")</f>
        <v/>
      </c>
      <c r="AU108" s="10" t="str">
        <f aca="false">IF(A108="","",IF(AQ108="Y",A108&amp;"_STAAD.std","n/a"))</f>
        <v/>
      </c>
      <c r="AV108" s="10" t="str">
        <f aca="false">IF(A108="","",A108&amp;"_CALC.xlsx")</f>
        <v/>
      </c>
      <c r="AW108" s="10" t="str">
        <f aca="false">IF(A108="","",A108&amp;"_CALC.pdf")</f>
        <v/>
      </c>
      <c r="AX108" s="9"/>
      <c r="AY108" s="9"/>
      <c r="AZ108" s="39"/>
      <c r="BA108" s="39"/>
      <c r="BB108" s="39"/>
      <c r="BC108" s="39"/>
      <c r="BD108" s="39"/>
      <c r="BE108" s="12" t="str">
        <f aca="false">IF(A108="","",IF(COUNTIF(Rebar_Schedule!$A$5:$A$2004,A108)=0,"",ROUND(SUMIF(Rebar_Schedule!$A$5:$A$2004,A108,Rebar_Schedule!$K$5:$K$2004),1)))</f>
        <v/>
      </c>
      <c r="BF108" s="33" t="str">
        <f aca="false">IF(A108="","",IF(BE108="","No rebar schedule yet",IF(ABS(BE108-N(BA108))/MAX(N(BA108),1)&gt;SG_Criteria!$B$55,"NOTE: register rebar differs from schedule by "&amp;TEXT(ABS(BE108-N(BA108))/MAX(N(BA108),1),"0%"),"OK")))</f>
        <v/>
      </c>
      <c r="BG108" s="33" t="str">
        <f aca="false">IF(OR(D108="",F108=""),"",IF(F108&lt;=IF(D108="Soldier Pile &amp; Timber Lagging",SG_Criteria!$B$34,SG_Criteria!$B$33),"No ERSS submission",IF(F108&lt;=SG_Criteria!$B$35,"QP(ST)",IF(F108&lt;=SG_Criteria!$B$36,"QP(ST) + AC","Geotechnical building works: QP(Geo) + AC"))))</f>
        <v/>
      </c>
      <c r="BH108" s="33" t="str">
        <f aca="false">IF(D108="","",IF(LEN(IF(AND(AC108&lt;&gt;"",IFERROR(VALUE(MID(AC108,2,2)),0)&lt;SG_Criteria!$B$19),"FAIL: grade below C"&amp;SG_Criteria!$B$19&amp;". ","")&amp;IF(AND(LEFT(D108,3)="Con",N(I108)&lt;F108,H108="Kallang Formation (marine clay)"),"NOTE: CBP is not watertight below GWT in marine clay; consider secant / grouting. ","")&amp;IF(AND(D108="Steel Sheet Pile",E108="Permanent"),"NOTE: permanent sheet pile needs corrosion allowance. ","")&amp;IF(AND(G108="Cantilever (no support)",F108&gt;6),"NOTE: cantilever embedded wall &gt; 6 m, check deflection. ","")&amp;IF(AND(T108&lt;&gt;"",U108&lt;&gt;"",T108&gt;U108),"FAIL: deflection exceeds allowable. ",""))=0,"OK",IF(AND(AC108&lt;&gt;"",IFERROR(VALUE(MID(AC108,2,2)),0)&lt;SG_Criteria!$B$19),"FAIL: grade below C"&amp;SG_Criteria!$B$19&amp;". ","")&amp;IF(AND(LEFT(D108,3)="Con",N(I108)&lt;F108,H108="Kallang Formation (marine clay)"),"NOTE: CBP is not watertight below GWT in marine clay; consider secant / grouting. ","")&amp;IF(AND(D108="Steel Sheet Pile",E108="Permanent"),"NOTE: permanent sheet pile needs corrosion allowance. ","")&amp;IF(AND(G108="Cantilever (no support)",F108&gt;6),"NOTE: cantilever embedded wall &gt; 6 m, check deflection. ","")&amp;IF(AND(T108&lt;&gt;"",U108&lt;&gt;"",T108&gt;U108),"FAIL: deflection exceeds allowable. ","")))</f>
        <v/>
      </c>
      <c r="BI108" s="9"/>
      <c r="BJ108" s="9"/>
      <c r="BK108" s="9"/>
      <c r="BL108" s="10" t="str">
        <f aca="false">IF(BK108="","",IFERROR(VLOOKUP(BK108,Projects!$A$5:$D$504,2,0),"Ref not in Projects"))</f>
        <v/>
      </c>
      <c r="BM108" s="10" t="str">
        <f aca="false">IF(BK108="","",IFERROR(VLOOKUP(BK108,Projects!$A$5:$D$504,4,0),"Ref not in Projects"))</f>
        <v/>
      </c>
      <c r="BN108" s="9"/>
      <c r="BO108" s="9"/>
      <c r="BP108" s="9"/>
      <c r="BQ108" s="40"/>
      <c r="BR108" s="9"/>
      <c r="BS108" s="40"/>
      <c r="BT108" s="9"/>
      <c r="BU108" s="40"/>
      <c r="BV108" s="9"/>
      <c r="BW108" s="9"/>
      <c r="BX108" s="9"/>
      <c r="BY108" s="40"/>
      <c r="BZ108" s="40"/>
      <c r="CA108" s="36" t="str">
        <f aca="false">IF(BZ108="","",EDATE(BZ108,SG_Criteria!$B$54*12))</f>
        <v/>
      </c>
      <c r="CB108" s="33" t="str">
        <f aca="true">IF(A108="","",IF(BZ108="","NOTE: not reviewed yet",IF(TODAY()&gt;CA108,"NOTE: review overdue","OK")))</f>
        <v/>
      </c>
      <c r="CC108" s="37" t="str">
        <f aca="false">IF(A108="","",ROUND((IF(LEN(D108)&gt;0,1,0)+IF(LEN(E108)&gt;0,1,0)+IF(LEN(F108)&gt;0,1,0)+IF(LEN(G108)&gt;0,1,0)+IF(LEN(H108)&gt;0,1,0)+IF(LEN(I108)&gt;0,1,0)+IF(LEN(K108)&gt;0,1,0)+IF(LEN(N108)&gt;0,1,0)+IF(LEN(O108)&gt;0,1,0)+IF(LEN(T108)&gt;0,1,0)+IF(LEN(U108)&gt;0,1,0)+IF(LEN(V108)&gt;0,1,0)+IF(LEN(AK108)&gt;0,1,0)+IF(LEN(AM108)&gt;0,1,0)+IF(LEN(AN108)&gt;0,1,0)+IF(LEN(AO108)&gt;0,1,0)+IF(LEN(AP108)&gt;0,1,0)+IF(LEN(AY108)&gt;0,1,0)+IF(LEN(BK108)&gt;0,1,0)+IF(LEN(BX108)&gt;0,1,0))/20,2))</f>
        <v/>
      </c>
      <c r="CD108" s="10" t="str">
        <f aca="false">IF(D108="","",IF(AND(AN108="Approved",ISERROR(SEARCH("FAIL",BH108))),"Y","N"))</f>
        <v/>
      </c>
      <c r="CE108" s="10" t="str">
        <f aca="false">IF(D108="","",D108&amp;"|"&amp;F108&amp;"|"&amp;G108&amp;"|"&amp;H108&amp;"|"&amp;E108&amp;"|"&amp;CD108)</f>
        <v/>
      </c>
    </row>
    <row r="109" customFormat="false" ht="15" hidden="false" customHeight="false" outlineLevel="0" collapsed="false">
      <c r="A109" s="10" t="str">
        <f aca="false">IF(D109="","","EW-"&amp;IFERROR(VLOOKUP(D109,Lists!$P$4:$Q$22,2,0),"??")&amp;"-D"&amp;TEXT(F109*1000,"0000")&amp;"-"&amp;IFERROR(VLOOKUP(G109,Lists!$S$4:$T$21,2,0),"??")&amp;"-"&amp;IFERROR(VLOOKUP(H109,Lists!$Y$4:$Z$21,2,0),"??")&amp;"-"&amp;IFERROR(VLOOKUP(E109,Lists!$V$4:$W$16,2,0),"??")&amp;"-"&amp;AM109)</f>
        <v/>
      </c>
      <c r="B109" s="10" t="str">
        <f aca="false">IF(D109="","",E109&amp;" "&amp;D109&amp;", excavation "&amp;TEXT(F109,"0.0")&amp;" m, "&amp;G109&amp;", "&amp;H109&amp;", "&amp;K109)</f>
        <v/>
      </c>
      <c r="C109" s="9"/>
      <c r="D109" s="9"/>
      <c r="E109" s="9"/>
      <c r="F109" s="42"/>
      <c r="G109" s="9"/>
      <c r="H109" s="9"/>
      <c r="I109" s="42"/>
      <c r="J109" s="38"/>
      <c r="K109" s="9"/>
      <c r="L109" s="9"/>
      <c r="M109" s="9"/>
      <c r="N109" s="42"/>
      <c r="O109" s="42"/>
      <c r="P109" s="9"/>
      <c r="Q109" s="9"/>
      <c r="R109" s="9"/>
      <c r="S109" s="9"/>
      <c r="T109" s="38"/>
      <c r="U109" s="38"/>
      <c r="V109" s="38"/>
      <c r="W109" s="38"/>
      <c r="X109" s="38"/>
      <c r="Y109" s="9"/>
      <c r="Z109" s="39"/>
      <c r="AA109" s="9"/>
      <c r="AB109" s="9"/>
      <c r="AC109" s="9"/>
      <c r="AD109" s="9"/>
      <c r="AE109" s="9"/>
      <c r="AF109" s="9"/>
      <c r="AG109" s="9"/>
      <c r="AH109" s="38"/>
      <c r="AI109" s="9"/>
      <c r="AJ109" s="39"/>
      <c r="AK109" s="9"/>
      <c r="AL109" s="9"/>
      <c r="AM109" s="9"/>
      <c r="AN109" s="9"/>
      <c r="AO109" s="9"/>
      <c r="AP109" s="9"/>
      <c r="AQ109" s="9"/>
      <c r="AR109" s="10" t="str">
        <f aca="false">IF(A109="","",SG_Criteria!$B$6&amp;SG_Criteria!$B$9&amp;"\"&amp;A109&amp;"\")</f>
        <v/>
      </c>
      <c r="AS109" s="10" t="str">
        <f aca="false">IF(A109="","",A109&amp;"_CAD.dwg")</f>
        <v/>
      </c>
      <c r="AT109" s="10" t="str">
        <f aca="false">IF(A109="","",A109&amp;"_DWG.pdf")</f>
        <v/>
      </c>
      <c r="AU109" s="10" t="str">
        <f aca="false">IF(A109="","",IF(AQ109="Y",A109&amp;"_STAAD.std","n/a"))</f>
        <v/>
      </c>
      <c r="AV109" s="10" t="str">
        <f aca="false">IF(A109="","",A109&amp;"_CALC.xlsx")</f>
        <v/>
      </c>
      <c r="AW109" s="10" t="str">
        <f aca="false">IF(A109="","",A109&amp;"_CALC.pdf")</f>
        <v/>
      </c>
      <c r="AX109" s="9"/>
      <c r="AY109" s="9"/>
      <c r="AZ109" s="39"/>
      <c r="BA109" s="39"/>
      <c r="BB109" s="39"/>
      <c r="BC109" s="39"/>
      <c r="BD109" s="39"/>
      <c r="BE109" s="12" t="str">
        <f aca="false">IF(A109="","",IF(COUNTIF(Rebar_Schedule!$A$5:$A$2004,A109)=0,"",ROUND(SUMIF(Rebar_Schedule!$A$5:$A$2004,A109,Rebar_Schedule!$K$5:$K$2004),1)))</f>
        <v/>
      </c>
      <c r="BF109" s="33" t="str">
        <f aca="false">IF(A109="","",IF(BE109="","No rebar schedule yet",IF(ABS(BE109-N(BA109))/MAX(N(BA109),1)&gt;SG_Criteria!$B$55,"NOTE: register rebar differs from schedule by "&amp;TEXT(ABS(BE109-N(BA109))/MAX(N(BA109),1),"0%"),"OK")))</f>
        <v/>
      </c>
      <c r="BG109" s="33" t="str">
        <f aca="false">IF(OR(D109="",F109=""),"",IF(F109&lt;=IF(D109="Soldier Pile &amp; Timber Lagging",SG_Criteria!$B$34,SG_Criteria!$B$33),"No ERSS submission",IF(F109&lt;=SG_Criteria!$B$35,"QP(ST)",IF(F109&lt;=SG_Criteria!$B$36,"QP(ST) + AC","Geotechnical building works: QP(Geo) + AC"))))</f>
        <v/>
      </c>
      <c r="BH109" s="33" t="str">
        <f aca="false">IF(D109="","",IF(LEN(IF(AND(AC109&lt;&gt;"",IFERROR(VALUE(MID(AC109,2,2)),0)&lt;SG_Criteria!$B$19),"FAIL: grade below C"&amp;SG_Criteria!$B$19&amp;". ","")&amp;IF(AND(LEFT(D109,3)="Con",N(I109)&lt;F109,H109="Kallang Formation (marine clay)"),"NOTE: CBP is not watertight below GWT in marine clay; consider secant / grouting. ","")&amp;IF(AND(D109="Steel Sheet Pile",E109="Permanent"),"NOTE: permanent sheet pile needs corrosion allowance. ","")&amp;IF(AND(G109="Cantilever (no support)",F109&gt;6),"NOTE: cantilever embedded wall &gt; 6 m, check deflection. ","")&amp;IF(AND(T109&lt;&gt;"",U109&lt;&gt;"",T109&gt;U109),"FAIL: deflection exceeds allowable. ",""))=0,"OK",IF(AND(AC109&lt;&gt;"",IFERROR(VALUE(MID(AC109,2,2)),0)&lt;SG_Criteria!$B$19),"FAIL: grade below C"&amp;SG_Criteria!$B$19&amp;". ","")&amp;IF(AND(LEFT(D109,3)="Con",N(I109)&lt;F109,H109="Kallang Formation (marine clay)"),"NOTE: CBP is not watertight below GWT in marine clay; consider secant / grouting. ","")&amp;IF(AND(D109="Steel Sheet Pile",E109="Permanent"),"NOTE: permanent sheet pile needs corrosion allowance. ","")&amp;IF(AND(G109="Cantilever (no support)",F109&gt;6),"NOTE: cantilever embedded wall &gt; 6 m, check deflection. ","")&amp;IF(AND(T109&lt;&gt;"",U109&lt;&gt;"",T109&gt;U109),"FAIL: deflection exceeds allowable. ","")))</f>
        <v/>
      </c>
      <c r="BI109" s="9"/>
      <c r="BJ109" s="9"/>
      <c r="BK109" s="9"/>
      <c r="BL109" s="10" t="str">
        <f aca="false">IF(BK109="","",IFERROR(VLOOKUP(BK109,Projects!$A$5:$D$504,2,0),"Ref not in Projects"))</f>
        <v/>
      </c>
      <c r="BM109" s="10" t="str">
        <f aca="false">IF(BK109="","",IFERROR(VLOOKUP(BK109,Projects!$A$5:$D$504,4,0),"Ref not in Projects"))</f>
        <v/>
      </c>
      <c r="BN109" s="9"/>
      <c r="BO109" s="9"/>
      <c r="BP109" s="9"/>
      <c r="BQ109" s="40"/>
      <c r="BR109" s="9"/>
      <c r="BS109" s="40"/>
      <c r="BT109" s="9"/>
      <c r="BU109" s="40"/>
      <c r="BV109" s="9"/>
      <c r="BW109" s="9"/>
      <c r="BX109" s="9"/>
      <c r="BY109" s="40"/>
      <c r="BZ109" s="40"/>
      <c r="CA109" s="36" t="str">
        <f aca="false">IF(BZ109="","",EDATE(BZ109,SG_Criteria!$B$54*12))</f>
        <v/>
      </c>
      <c r="CB109" s="33" t="str">
        <f aca="true">IF(A109="","",IF(BZ109="","NOTE: not reviewed yet",IF(TODAY()&gt;CA109,"NOTE: review overdue","OK")))</f>
        <v/>
      </c>
      <c r="CC109" s="37" t="str">
        <f aca="false">IF(A109="","",ROUND((IF(LEN(D109)&gt;0,1,0)+IF(LEN(E109)&gt;0,1,0)+IF(LEN(F109)&gt;0,1,0)+IF(LEN(G109)&gt;0,1,0)+IF(LEN(H109)&gt;0,1,0)+IF(LEN(I109)&gt;0,1,0)+IF(LEN(K109)&gt;0,1,0)+IF(LEN(N109)&gt;0,1,0)+IF(LEN(O109)&gt;0,1,0)+IF(LEN(T109)&gt;0,1,0)+IF(LEN(U109)&gt;0,1,0)+IF(LEN(V109)&gt;0,1,0)+IF(LEN(AK109)&gt;0,1,0)+IF(LEN(AM109)&gt;0,1,0)+IF(LEN(AN109)&gt;0,1,0)+IF(LEN(AO109)&gt;0,1,0)+IF(LEN(AP109)&gt;0,1,0)+IF(LEN(AY109)&gt;0,1,0)+IF(LEN(BK109)&gt;0,1,0)+IF(LEN(BX109)&gt;0,1,0))/20,2))</f>
        <v/>
      </c>
      <c r="CD109" s="10" t="str">
        <f aca="false">IF(D109="","",IF(AND(AN109="Approved",ISERROR(SEARCH("FAIL",BH109))),"Y","N"))</f>
        <v/>
      </c>
      <c r="CE109" s="10" t="str">
        <f aca="false">IF(D109="","",D109&amp;"|"&amp;F109&amp;"|"&amp;G109&amp;"|"&amp;H109&amp;"|"&amp;E109&amp;"|"&amp;CD109)</f>
        <v/>
      </c>
    </row>
    <row r="110" customFormat="false" ht="15" hidden="false" customHeight="false" outlineLevel="0" collapsed="false">
      <c r="A110" s="10" t="str">
        <f aca="false">IF(D110="","","EW-"&amp;IFERROR(VLOOKUP(D110,Lists!$P$4:$Q$22,2,0),"??")&amp;"-D"&amp;TEXT(F110*1000,"0000")&amp;"-"&amp;IFERROR(VLOOKUP(G110,Lists!$S$4:$T$21,2,0),"??")&amp;"-"&amp;IFERROR(VLOOKUP(H110,Lists!$Y$4:$Z$21,2,0),"??")&amp;"-"&amp;IFERROR(VLOOKUP(E110,Lists!$V$4:$W$16,2,0),"??")&amp;"-"&amp;AM110)</f>
        <v/>
      </c>
      <c r="B110" s="10" t="str">
        <f aca="false">IF(D110="","",E110&amp;" "&amp;D110&amp;", excavation "&amp;TEXT(F110,"0.0")&amp;" m, "&amp;G110&amp;", "&amp;H110&amp;", "&amp;K110)</f>
        <v/>
      </c>
      <c r="C110" s="9"/>
      <c r="D110" s="9"/>
      <c r="E110" s="9"/>
      <c r="F110" s="42"/>
      <c r="G110" s="9"/>
      <c r="H110" s="9"/>
      <c r="I110" s="42"/>
      <c r="J110" s="38"/>
      <c r="K110" s="9"/>
      <c r="L110" s="9"/>
      <c r="M110" s="9"/>
      <c r="N110" s="42"/>
      <c r="O110" s="42"/>
      <c r="P110" s="9"/>
      <c r="Q110" s="9"/>
      <c r="R110" s="9"/>
      <c r="S110" s="9"/>
      <c r="T110" s="38"/>
      <c r="U110" s="38"/>
      <c r="V110" s="38"/>
      <c r="W110" s="38"/>
      <c r="X110" s="38"/>
      <c r="Y110" s="9"/>
      <c r="Z110" s="39"/>
      <c r="AA110" s="9"/>
      <c r="AB110" s="9"/>
      <c r="AC110" s="9"/>
      <c r="AD110" s="9"/>
      <c r="AE110" s="9"/>
      <c r="AF110" s="9"/>
      <c r="AG110" s="9"/>
      <c r="AH110" s="38"/>
      <c r="AI110" s="9"/>
      <c r="AJ110" s="39"/>
      <c r="AK110" s="9"/>
      <c r="AL110" s="9"/>
      <c r="AM110" s="9"/>
      <c r="AN110" s="9"/>
      <c r="AO110" s="9"/>
      <c r="AP110" s="9"/>
      <c r="AQ110" s="9"/>
      <c r="AR110" s="10" t="str">
        <f aca="false">IF(A110="","",SG_Criteria!$B$6&amp;SG_Criteria!$B$9&amp;"\"&amp;A110&amp;"\")</f>
        <v/>
      </c>
      <c r="AS110" s="10" t="str">
        <f aca="false">IF(A110="","",A110&amp;"_CAD.dwg")</f>
        <v/>
      </c>
      <c r="AT110" s="10" t="str">
        <f aca="false">IF(A110="","",A110&amp;"_DWG.pdf")</f>
        <v/>
      </c>
      <c r="AU110" s="10" t="str">
        <f aca="false">IF(A110="","",IF(AQ110="Y",A110&amp;"_STAAD.std","n/a"))</f>
        <v/>
      </c>
      <c r="AV110" s="10" t="str">
        <f aca="false">IF(A110="","",A110&amp;"_CALC.xlsx")</f>
        <v/>
      </c>
      <c r="AW110" s="10" t="str">
        <f aca="false">IF(A110="","",A110&amp;"_CALC.pdf")</f>
        <v/>
      </c>
      <c r="AX110" s="9"/>
      <c r="AY110" s="9"/>
      <c r="AZ110" s="39"/>
      <c r="BA110" s="39"/>
      <c r="BB110" s="39"/>
      <c r="BC110" s="39"/>
      <c r="BD110" s="39"/>
      <c r="BE110" s="12" t="str">
        <f aca="false">IF(A110="","",IF(COUNTIF(Rebar_Schedule!$A$5:$A$2004,A110)=0,"",ROUND(SUMIF(Rebar_Schedule!$A$5:$A$2004,A110,Rebar_Schedule!$K$5:$K$2004),1)))</f>
        <v/>
      </c>
      <c r="BF110" s="33" t="str">
        <f aca="false">IF(A110="","",IF(BE110="","No rebar schedule yet",IF(ABS(BE110-N(BA110))/MAX(N(BA110),1)&gt;SG_Criteria!$B$55,"NOTE: register rebar differs from schedule by "&amp;TEXT(ABS(BE110-N(BA110))/MAX(N(BA110),1),"0%"),"OK")))</f>
        <v/>
      </c>
      <c r="BG110" s="33" t="str">
        <f aca="false">IF(OR(D110="",F110=""),"",IF(F110&lt;=IF(D110="Soldier Pile &amp; Timber Lagging",SG_Criteria!$B$34,SG_Criteria!$B$33),"No ERSS submission",IF(F110&lt;=SG_Criteria!$B$35,"QP(ST)",IF(F110&lt;=SG_Criteria!$B$36,"QP(ST) + AC","Geotechnical building works: QP(Geo) + AC"))))</f>
        <v/>
      </c>
      <c r="BH110" s="33" t="str">
        <f aca="false">IF(D110="","",IF(LEN(IF(AND(AC110&lt;&gt;"",IFERROR(VALUE(MID(AC110,2,2)),0)&lt;SG_Criteria!$B$19),"FAIL: grade below C"&amp;SG_Criteria!$B$19&amp;". ","")&amp;IF(AND(LEFT(D110,3)="Con",N(I110)&lt;F110,H110="Kallang Formation (marine clay)"),"NOTE: CBP is not watertight below GWT in marine clay; consider secant / grouting. ","")&amp;IF(AND(D110="Steel Sheet Pile",E110="Permanent"),"NOTE: permanent sheet pile needs corrosion allowance. ","")&amp;IF(AND(G110="Cantilever (no support)",F110&gt;6),"NOTE: cantilever embedded wall &gt; 6 m, check deflection. ","")&amp;IF(AND(T110&lt;&gt;"",U110&lt;&gt;"",T110&gt;U110),"FAIL: deflection exceeds allowable. ",""))=0,"OK",IF(AND(AC110&lt;&gt;"",IFERROR(VALUE(MID(AC110,2,2)),0)&lt;SG_Criteria!$B$19),"FAIL: grade below C"&amp;SG_Criteria!$B$19&amp;". ","")&amp;IF(AND(LEFT(D110,3)="Con",N(I110)&lt;F110,H110="Kallang Formation (marine clay)"),"NOTE: CBP is not watertight below GWT in marine clay; consider secant / grouting. ","")&amp;IF(AND(D110="Steel Sheet Pile",E110="Permanent"),"NOTE: permanent sheet pile needs corrosion allowance. ","")&amp;IF(AND(G110="Cantilever (no support)",F110&gt;6),"NOTE: cantilever embedded wall &gt; 6 m, check deflection. ","")&amp;IF(AND(T110&lt;&gt;"",U110&lt;&gt;"",T110&gt;U110),"FAIL: deflection exceeds allowable. ","")))</f>
        <v/>
      </c>
      <c r="BI110" s="9"/>
      <c r="BJ110" s="9"/>
      <c r="BK110" s="9"/>
      <c r="BL110" s="10" t="str">
        <f aca="false">IF(BK110="","",IFERROR(VLOOKUP(BK110,Projects!$A$5:$D$504,2,0),"Ref not in Projects"))</f>
        <v/>
      </c>
      <c r="BM110" s="10" t="str">
        <f aca="false">IF(BK110="","",IFERROR(VLOOKUP(BK110,Projects!$A$5:$D$504,4,0),"Ref not in Projects"))</f>
        <v/>
      </c>
      <c r="BN110" s="9"/>
      <c r="BO110" s="9"/>
      <c r="BP110" s="9"/>
      <c r="BQ110" s="40"/>
      <c r="BR110" s="9"/>
      <c r="BS110" s="40"/>
      <c r="BT110" s="9"/>
      <c r="BU110" s="40"/>
      <c r="BV110" s="9"/>
      <c r="BW110" s="9"/>
      <c r="BX110" s="9"/>
      <c r="BY110" s="40"/>
      <c r="BZ110" s="40"/>
      <c r="CA110" s="36" t="str">
        <f aca="false">IF(BZ110="","",EDATE(BZ110,SG_Criteria!$B$54*12))</f>
        <v/>
      </c>
      <c r="CB110" s="33" t="str">
        <f aca="true">IF(A110="","",IF(BZ110="","NOTE: not reviewed yet",IF(TODAY()&gt;CA110,"NOTE: review overdue","OK")))</f>
        <v/>
      </c>
      <c r="CC110" s="37" t="str">
        <f aca="false">IF(A110="","",ROUND((IF(LEN(D110)&gt;0,1,0)+IF(LEN(E110)&gt;0,1,0)+IF(LEN(F110)&gt;0,1,0)+IF(LEN(G110)&gt;0,1,0)+IF(LEN(H110)&gt;0,1,0)+IF(LEN(I110)&gt;0,1,0)+IF(LEN(K110)&gt;0,1,0)+IF(LEN(N110)&gt;0,1,0)+IF(LEN(O110)&gt;0,1,0)+IF(LEN(T110)&gt;0,1,0)+IF(LEN(U110)&gt;0,1,0)+IF(LEN(V110)&gt;0,1,0)+IF(LEN(AK110)&gt;0,1,0)+IF(LEN(AM110)&gt;0,1,0)+IF(LEN(AN110)&gt;0,1,0)+IF(LEN(AO110)&gt;0,1,0)+IF(LEN(AP110)&gt;0,1,0)+IF(LEN(AY110)&gt;0,1,0)+IF(LEN(BK110)&gt;0,1,0)+IF(LEN(BX110)&gt;0,1,0))/20,2))</f>
        <v/>
      </c>
      <c r="CD110" s="10" t="str">
        <f aca="false">IF(D110="","",IF(AND(AN110="Approved",ISERROR(SEARCH("FAIL",BH110))),"Y","N"))</f>
        <v/>
      </c>
      <c r="CE110" s="10" t="str">
        <f aca="false">IF(D110="","",D110&amp;"|"&amp;F110&amp;"|"&amp;G110&amp;"|"&amp;H110&amp;"|"&amp;E110&amp;"|"&amp;CD110)</f>
        <v/>
      </c>
    </row>
    <row r="111" customFormat="false" ht="15" hidden="false" customHeight="false" outlineLevel="0" collapsed="false">
      <c r="A111" s="10" t="str">
        <f aca="false">IF(D111="","","EW-"&amp;IFERROR(VLOOKUP(D111,Lists!$P$4:$Q$22,2,0),"??")&amp;"-D"&amp;TEXT(F111*1000,"0000")&amp;"-"&amp;IFERROR(VLOOKUP(G111,Lists!$S$4:$T$21,2,0),"??")&amp;"-"&amp;IFERROR(VLOOKUP(H111,Lists!$Y$4:$Z$21,2,0),"??")&amp;"-"&amp;IFERROR(VLOOKUP(E111,Lists!$V$4:$W$16,2,0),"??")&amp;"-"&amp;AM111)</f>
        <v/>
      </c>
      <c r="B111" s="10" t="str">
        <f aca="false">IF(D111="","",E111&amp;" "&amp;D111&amp;", excavation "&amp;TEXT(F111,"0.0")&amp;" m, "&amp;G111&amp;", "&amp;H111&amp;", "&amp;K111)</f>
        <v/>
      </c>
      <c r="C111" s="9"/>
      <c r="D111" s="9"/>
      <c r="E111" s="9"/>
      <c r="F111" s="42"/>
      <c r="G111" s="9"/>
      <c r="H111" s="9"/>
      <c r="I111" s="42"/>
      <c r="J111" s="38"/>
      <c r="K111" s="9"/>
      <c r="L111" s="9"/>
      <c r="M111" s="9"/>
      <c r="N111" s="42"/>
      <c r="O111" s="42"/>
      <c r="P111" s="9"/>
      <c r="Q111" s="9"/>
      <c r="R111" s="9"/>
      <c r="S111" s="9"/>
      <c r="T111" s="38"/>
      <c r="U111" s="38"/>
      <c r="V111" s="38"/>
      <c r="W111" s="38"/>
      <c r="X111" s="38"/>
      <c r="Y111" s="9"/>
      <c r="Z111" s="39"/>
      <c r="AA111" s="9"/>
      <c r="AB111" s="9"/>
      <c r="AC111" s="9"/>
      <c r="AD111" s="9"/>
      <c r="AE111" s="9"/>
      <c r="AF111" s="9"/>
      <c r="AG111" s="9"/>
      <c r="AH111" s="38"/>
      <c r="AI111" s="9"/>
      <c r="AJ111" s="39"/>
      <c r="AK111" s="9"/>
      <c r="AL111" s="9"/>
      <c r="AM111" s="9"/>
      <c r="AN111" s="9"/>
      <c r="AO111" s="9"/>
      <c r="AP111" s="9"/>
      <c r="AQ111" s="9"/>
      <c r="AR111" s="10" t="str">
        <f aca="false">IF(A111="","",SG_Criteria!$B$6&amp;SG_Criteria!$B$9&amp;"\"&amp;A111&amp;"\")</f>
        <v/>
      </c>
      <c r="AS111" s="10" t="str">
        <f aca="false">IF(A111="","",A111&amp;"_CAD.dwg")</f>
        <v/>
      </c>
      <c r="AT111" s="10" t="str">
        <f aca="false">IF(A111="","",A111&amp;"_DWG.pdf")</f>
        <v/>
      </c>
      <c r="AU111" s="10" t="str">
        <f aca="false">IF(A111="","",IF(AQ111="Y",A111&amp;"_STAAD.std","n/a"))</f>
        <v/>
      </c>
      <c r="AV111" s="10" t="str">
        <f aca="false">IF(A111="","",A111&amp;"_CALC.xlsx")</f>
        <v/>
      </c>
      <c r="AW111" s="10" t="str">
        <f aca="false">IF(A111="","",A111&amp;"_CALC.pdf")</f>
        <v/>
      </c>
      <c r="AX111" s="9"/>
      <c r="AY111" s="9"/>
      <c r="AZ111" s="39"/>
      <c r="BA111" s="39"/>
      <c r="BB111" s="39"/>
      <c r="BC111" s="39"/>
      <c r="BD111" s="39"/>
      <c r="BE111" s="12" t="str">
        <f aca="false">IF(A111="","",IF(COUNTIF(Rebar_Schedule!$A$5:$A$2004,A111)=0,"",ROUND(SUMIF(Rebar_Schedule!$A$5:$A$2004,A111,Rebar_Schedule!$K$5:$K$2004),1)))</f>
        <v/>
      </c>
      <c r="BF111" s="33" t="str">
        <f aca="false">IF(A111="","",IF(BE111="","No rebar schedule yet",IF(ABS(BE111-N(BA111))/MAX(N(BA111),1)&gt;SG_Criteria!$B$55,"NOTE: register rebar differs from schedule by "&amp;TEXT(ABS(BE111-N(BA111))/MAX(N(BA111),1),"0%"),"OK")))</f>
        <v/>
      </c>
      <c r="BG111" s="33" t="str">
        <f aca="false">IF(OR(D111="",F111=""),"",IF(F111&lt;=IF(D111="Soldier Pile &amp; Timber Lagging",SG_Criteria!$B$34,SG_Criteria!$B$33),"No ERSS submission",IF(F111&lt;=SG_Criteria!$B$35,"QP(ST)",IF(F111&lt;=SG_Criteria!$B$36,"QP(ST) + AC","Geotechnical building works: QP(Geo) + AC"))))</f>
        <v/>
      </c>
      <c r="BH111" s="33" t="str">
        <f aca="false">IF(D111="","",IF(LEN(IF(AND(AC111&lt;&gt;"",IFERROR(VALUE(MID(AC111,2,2)),0)&lt;SG_Criteria!$B$19),"FAIL: grade below C"&amp;SG_Criteria!$B$19&amp;". ","")&amp;IF(AND(LEFT(D111,3)="Con",N(I111)&lt;F111,H111="Kallang Formation (marine clay)"),"NOTE: CBP is not watertight below GWT in marine clay; consider secant / grouting. ","")&amp;IF(AND(D111="Steel Sheet Pile",E111="Permanent"),"NOTE: permanent sheet pile needs corrosion allowance. ","")&amp;IF(AND(G111="Cantilever (no support)",F111&gt;6),"NOTE: cantilever embedded wall &gt; 6 m, check deflection. ","")&amp;IF(AND(T111&lt;&gt;"",U111&lt;&gt;"",T111&gt;U111),"FAIL: deflection exceeds allowable. ",""))=0,"OK",IF(AND(AC111&lt;&gt;"",IFERROR(VALUE(MID(AC111,2,2)),0)&lt;SG_Criteria!$B$19),"FAIL: grade below C"&amp;SG_Criteria!$B$19&amp;". ","")&amp;IF(AND(LEFT(D111,3)="Con",N(I111)&lt;F111,H111="Kallang Formation (marine clay)"),"NOTE: CBP is not watertight below GWT in marine clay; consider secant / grouting. ","")&amp;IF(AND(D111="Steel Sheet Pile",E111="Permanent"),"NOTE: permanent sheet pile needs corrosion allowance. ","")&amp;IF(AND(G111="Cantilever (no support)",F111&gt;6),"NOTE: cantilever embedded wall &gt; 6 m, check deflection. ","")&amp;IF(AND(T111&lt;&gt;"",U111&lt;&gt;"",T111&gt;U111),"FAIL: deflection exceeds allowable. ","")))</f>
        <v/>
      </c>
      <c r="BI111" s="9"/>
      <c r="BJ111" s="9"/>
      <c r="BK111" s="9"/>
      <c r="BL111" s="10" t="str">
        <f aca="false">IF(BK111="","",IFERROR(VLOOKUP(BK111,Projects!$A$5:$D$504,2,0),"Ref not in Projects"))</f>
        <v/>
      </c>
      <c r="BM111" s="10" t="str">
        <f aca="false">IF(BK111="","",IFERROR(VLOOKUP(BK111,Projects!$A$5:$D$504,4,0),"Ref not in Projects"))</f>
        <v/>
      </c>
      <c r="BN111" s="9"/>
      <c r="BO111" s="9"/>
      <c r="BP111" s="9"/>
      <c r="BQ111" s="40"/>
      <c r="BR111" s="9"/>
      <c r="BS111" s="40"/>
      <c r="BT111" s="9"/>
      <c r="BU111" s="40"/>
      <c r="BV111" s="9"/>
      <c r="BW111" s="9"/>
      <c r="BX111" s="9"/>
      <c r="BY111" s="40"/>
      <c r="BZ111" s="40"/>
      <c r="CA111" s="36" t="str">
        <f aca="false">IF(BZ111="","",EDATE(BZ111,SG_Criteria!$B$54*12))</f>
        <v/>
      </c>
      <c r="CB111" s="33" t="str">
        <f aca="true">IF(A111="","",IF(BZ111="","NOTE: not reviewed yet",IF(TODAY()&gt;CA111,"NOTE: review overdue","OK")))</f>
        <v/>
      </c>
      <c r="CC111" s="37" t="str">
        <f aca="false">IF(A111="","",ROUND((IF(LEN(D111)&gt;0,1,0)+IF(LEN(E111)&gt;0,1,0)+IF(LEN(F111)&gt;0,1,0)+IF(LEN(G111)&gt;0,1,0)+IF(LEN(H111)&gt;0,1,0)+IF(LEN(I111)&gt;0,1,0)+IF(LEN(K111)&gt;0,1,0)+IF(LEN(N111)&gt;0,1,0)+IF(LEN(O111)&gt;0,1,0)+IF(LEN(T111)&gt;0,1,0)+IF(LEN(U111)&gt;0,1,0)+IF(LEN(V111)&gt;0,1,0)+IF(LEN(AK111)&gt;0,1,0)+IF(LEN(AM111)&gt;0,1,0)+IF(LEN(AN111)&gt;0,1,0)+IF(LEN(AO111)&gt;0,1,0)+IF(LEN(AP111)&gt;0,1,0)+IF(LEN(AY111)&gt;0,1,0)+IF(LEN(BK111)&gt;0,1,0)+IF(LEN(BX111)&gt;0,1,0))/20,2))</f>
        <v/>
      </c>
      <c r="CD111" s="10" t="str">
        <f aca="false">IF(D111="","",IF(AND(AN111="Approved",ISERROR(SEARCH("FAIL",BH111))),"Y","N"))</f>
        <v/>
      </c>
      <c r="CE111" s="10" t="str">
        <f aca="false">IF(D111="","",D111&amp;"|"&amp;F111&amp;"|"&amp;G111&amp;"|"&amp;H111&amp;"|"&amp;E111&amp;"|"&amp;CD111)</f>
        <v/>
      </c>
    </row>
    <row r="112" customFormat="false" ht="15" hidden="false" customHeight="false" outlineLevel="0" collapsed="false">
      <c r="A112" s="10" t="str">
        <f aca="false">IF(D112="","","EW-"&amp;IFERROR(VLOOKUP(D112,Lists!$P$4:$Q$22,2,0),"??")&amp;"-D"&amp;TEXT(F112*1000,"0000")&amp;"-"&amp;IFERROR(VLOOKUP(G112,Lists!$S$4:$T$21,2,0),"??")&amp;"-"&amp;IFERROR(VLOOKUP(H112,Lists!$Y$4:$Z$21,2,0),"??")&amp;"-"&amp;IFERROR(VLOOKUP(E112,Lists!$V$4:$W$16,2,0),"??")&amp;"-"&amp;AM112)</f>
        <v/>
      </c>
      <c r="B112" s="10" t="str">
        <f aca="false">IF(D112="","",E112&amp;" "&amp;D112&amp;", excavation "&amp;TEXT(F112,"0.0")&amp;" m, "&amp;G112&amp;", "&amp;H112&amp;", "&amp;K112)</f>
        <v/>
      </c>
      <c r="C112" s="9"/>
      <c r="D112" s="9"/>
      <c r="E112" s="9"/>
      <c r="F112" s="42"/>
      <c r="G112" s="9"/>
      <c r="H112" s="9"/>
      <c r="I112" s="42"/>
      <c r="J112" s="38"/>
      <c r="K112" s="9"/>
      <c r="L112" s="9"/>
      <c r="M112" s="9"/>
      <c r="N112" s="42"/>
      <c r="O112" s="42"/>
      <c r="P112" s="9"/>
      <c r="Q112" s="9"/>
      <c r="R112" s="9"/>
      <c r="S112" s="9"/>
      <c r="T112" s="38"/>
      <c r="U112" s="38"/>
      <c r="V112" s="38"/>
      <c r="W112" s="38"/>
      <c r="X112" s="38"/>
      <c r="Y112" s="9"/>
      <c r="Z112" s="39"/>
      <c r="AA112" s="9"/>
      <c r="AB112" s="9"/>
      <c r="AC112" s="9"/>
      <c r="AD112" s="9"/>
      <c r="AE112" s="9"/>
      <c r="AF112" s="9"/>
      <c r="AG112" s="9"/>
      <c r="AH112" s="38"/>
      <c r="AI112" s="9"/>
      <c r="AJ112" s="39"/>
      <c r="AK112" s="9"/>
      <c r="AL112" s="9"/>
      <c r="AM112" s="9"/>
      <c r="AN112" s="9"/>
      <c r="AO112" s="9"/>
      <c r="AP112" s="9"/>
      <c r="AQ112" s="9"/>
      <c r="AR112" s="10" t="str">
        <f aca="false">IF(A112="","",SG_Criteria!$B$6&amp;SG_Criteria!$B$9&amp;"\"&amp;A112&amp;"\")</f>
        <v/>
      </c>
      <c r="AS112" s="10" t="str">
        <f aca="false">IF(A112="","",A112&amp;"_CAD.dwg")</f>
        <v/>
      </c>
      <c r="AT112" s="10" t="str">
        <f aca="false">IF(A112="","",A112&amp;"_DWG.pdf")</f>
        <v/>
      </c>
      <c r="AU112" s="10" t="str">
        <f aca="false">IF(A112="","",IF(AQ112="Y",A112&amp;"_STAAD.std","n/a"))</f>
        <v/>
      </c>
      <c r="AV112" s="10" t="str">
        <f aca="false">IF(A112="","",A112&amp;"_CALC.xlsx")</f>
        <v/>
      </c>
      <c r="AW112" s="10" t="str">
        <f aca="false">IF(A112="","",A112&amp;"_CALC.pdf")</f>
        <v/>
      </c>
      <c r="AX112" s="9"/>
      <c r="AY112" s="9"/>
      <c r="AZ112" s="39"/>
      <c r="BA112" s="39"/>
      <c r="BB112" s="39"/>
      <c r="BC112" s="39"/>
      <c r="BD112" s="39"/>
      <c r="BE112" s="12" t="str">
        <f aca="false">IF(A112="","",IF(COUNTIF(Rebar_Schedule!$A$5:$A$2004,A112)=0,"",ROUND(SUMIF(Rebar_Schedule!$A$5:$A$2004,A112,Rebar_Schedule!$K$5:$K$2004),1)))</f>
        <v/>
      </c>
      <c r="BF112" s="33" t="str">
        <f aca="false">IF(A112="","",IF(BE112="","No rebar schedule yet",IF(ABS(BE112-N(BA112))/MAX(N(BA112),1)&gt;SG_Criteria!$B$55,"NOTE: register rebar differs from schedule by "&amp;TEXT(ABS(BE112-N(BA112))/MAX(N(BA112),1),"0%"),"OK")))</f>
        <v/>
      </c>
      <c r="BG112" s="33" t="str">
        <f aca="false">IF(OR(D112="",F112=""),"",IF(F112&lt;=IF(D112="Soldier Pile &amp; Timber Lagging",SG_Criteria!$B$34,SG_Criteria!$B$33),"No ERSS submission",IF(F112&lt;=SG_Criteria!$B$35,"QP(ST)",IF(F112&lt;=SG_Criteria!$B$36,"QP(ST) + AC","Geotechnical building works: QP(Geo) + AC"))))</f>
        <v/>
      </c>
      <c r="BH112" s="33" t="str">
        <f aca="false">IF(D112="","",IF(LEN(IF(AND(AC112&lt;&gt;"",IFERROR(VALUE(MID(AC112,2,2)),0)&lt;SG_Criteria!$B$19),"FAIL: grade below C"&amp;SG_Criteria!$B$19&amp;". ","")&amp;IF(AND(LEFT(D112,3)="Con",N(I112)&lt;F112,H112="Kallang Formation (marine clay)"),"NOTE: CBP is not watertight below GWT in marine clay; consider secant / grouting. ","")&amp;IF(AND(D112="Steel Sheet Pile",E112="Permanent"),"NOTE: permanent sheet pile needs corrosion allowance. ","")&amp;IF(AND(G112="Cantilever (no support)",F112&gt;6),"NOTE: cantilever embedded wall &gt; 6 m, check deflection. ","")&amp;IF(AND(T112&lt;&gt;"",U112&lt;&gt;"",T112&gt;U112),"FAIL: deflection exceeds allowable. ",""))=0,"OK",IF(AND(AC112&lt;&gt;"",IFERROR(VALUE(MID(AC112,2,2)),0)&lt;SG_Criteria!$B$19),"FAIL: grade below C"&amp;SG_Criteria!$B$19&amp;". ","")&amp;IF(AND(LEFT(D112,3)="Con",N(I112)&lt;F112,H112="Kallang Formation (marine clay)"),"NOTE: CBP is not watertight below GWT in marine clay; consider secant / grouting. ","")&amp;IF(AND(D112="Steel Sheet Pile",E112="Permanent"),"NOTE: permanent sheet pile needs corrosion allowance. ","")&amp;IF(AND(G112="Cantilever (no support)",F112&gt;6),"NOTE: cantilever embedded wall &gt; 6 m, check deflection. ","")&amp;IF(AND(T112&lt;&gt;"",U112&lt;&gt;"",T112&gt;U112),"FAIL: deflection exceeds allowable. ","")))</f>
        <v/>
      </c>
      <c r="BI112" s="9"/>
      <c r="BJ112" s="9"/>
      <c r="BK112" s="9"/>
      <c r="BL112" s="10" t="str">
        <f aca="false">IF(BK112="","",IFERROR(VLOOKUP(BK112,Projects!$A$5:$D$504,2,0),"Ref not in Projects"))</f>
        <v/>
      </c>
      <c r="BM112" s="10" t="str">
        <f aca="false">IF(BK112="","",IFERROR(VLOOKUP(BK112,Projects!$A$5:$D$504,4,0),"Ref not in Projects"))</f>
        <v/>
      </c>
      <c r="BN112" s="9"/>
      <c r="BO112" s="9"/>
      <c r="BP112" s="9"/>
      <c r="BQ112" s="40"/>
      <c r="BR112" s="9"/>
      <c r="BS112" s="40"/>
      <c r="BT112" s="9"/>
      <c r="BU112" s="40"/>
      <c r="BV112" s="9"/>
      <c r="BW112" s="9"/>
      <c r="BX112" s="9"/>
      <c r="BY112" s="40"/>
      <c r="BZ112" s="40"/>
      <c r="CA112" s="36" t="str">
        <f aca="false">IF(BZ112="","",EDATE(BZ112,SG_Criteria!$B$54*12))</f>
        <v/>
      </c>
      <c r="CB112" s="33" t="str">
        <f aca="true">IF(A112="","",IF(BZ112="","NOTE: not reviewed yet",IF(TODAY()&gt;CA112,"NOTE: review overdue","OK")))</f>
        <v/>
      </c>
      <c r="CC112" s="37" t="str">
        <f aca="false">IF(A112="","",ROUND((IF(LEN(D112)&gt;0,1,0)+IF(LEN(E112)&gt;0,1,0)+IF(LEN(F112)&gt;0,1,0)+IF(LEN(G112)&gt;0,1,0)+IF(LEN(H112)&gt;0,1,0)+IF(LEN(I112)&gt;0,1,0)+IF(LEN(K112)&gt;0,1,0)+IF(LEN(N112)&gt;0,1,0)+IF(LEN(O112)&gt;0,1,0)+IF(LEN(T112)&gt;0,1,0)+IF(LEN(U112)&gt;0,1,0)+IF(LEN(V112)&gt;0,1,0)+IF(LEN(AK112)&gt;0,1,0)+IF(LEN(AM112)&gt;0,1,0)+IF(LEN(AN112)&gt;0,1,0)+IF(LEN(AO112)&gt;0,1,0)+IF(LEN(AP112)&gt;0,1,0)+IF(LEN(AY112)&gt;0,1,0)+IF(LEN(BK112)&gt;0,1,0)+IF(LEN(BX112)&gt;0,1,0))/20,2))</f>
        <v/>
      </c>
      <c r="CD112" s="10" t="str">
        <f aca="false">IF(D112="","",IF(AND(AN112="Approved",ISERROR(SEARCH("FAIL",BH112))),"Y","N"))</f>
        <v/>
      </c>
      <c r="CE112" s="10" t="str">
        <f aca="false">IF(D112="","",D112&amp;"|"&amp;F112&amp;"|"&amp;G112&amp;"|"&amp;H112&amp;"|"&amp;E112&amp;"|"&amp;CD112)</f>
        <v/>
      </c>
    </row>
    <row r="113" customFormat="false" ht="15" hidden="false" customHeight="false" outlineLevel="0" collapsed="false">
      <c r="A113" s="10" t="str">
        <f aca="false">IF(D113="","","EW-"&amp;IFERROR(VLOOKUP(D113,Lists!$P$4:$Q$22,2,0),"??")&amp;"-D"&amp;TEXT(F113*1000,"0000")&amp;"-"&amp;IFERROR(VLOOKUP(G113,Lists!$S$4:$T$21,2,0),"??")&amp;"-"&amp;IFERROR(VLOOKUP(H113,Lists!$Y$4:$Z$21,2,0),"??")&amp;"-"&amp;IFERROR(VLOOKUP(E113,Lists!$V$4:$W$16,2,0),"??")&amp;"-"&amp;AM113)</f>
        <v/>
      </c>
      <c r="B113" s="10" t="str">
        <f aca="false">IF(D113="","",E113&amp;" "&amp;D113&amp;", excavation "&amp;TEXT(F113,"0.0")&amp;" m, "&amp;G113&amp;", "&amp;H113&amp;", "&amp;K113)</f>
        <v/>
      </c>
      <c r="C113" s="9"/>
      <c r="D113" s="9"/>
      <c r="E113" s="9"/>
      <c r="F113" s="42"/>
      <c r="G113" s="9"/>
      <c r="H113" s="9"/>
      <c r="I113" s="42"/>
      <c r="J113" s="38"/>
      <c r="K113" s="9"/>
      <c r="L113" s="9"/>
      <c r="M113" s="9"/>
      <c r="N113" s="42"/>
      <c r="O113" s="42"/>
      <c r="P113" s="9"/>
      <c r="Q113" s="9"/>
      <c r="R113" s="9"/>
      <c r="S113" s="9"/>
      <c r="T113" s="38"/>
      <c r="U113" s="38"/>
      <c r="V113" s="38"/>
      <c r="W113" s="38"/>
      <c r="X113" s="38"/>
      <c r="Y113" s="9"/>
      <c r="Z113" s="39"/>
      <c r="AA113" s="9"/>
      <c r="AB113" s="9"/>
      <c r="AC113" s="9"/>
      <c r="AD113" s="9"/>
      <c r="AE113" s="9"/>
      <c r="AF113" s="9"/>
      <c r="AG113" s="9"/>
      <c r="AH113" s="38"/>
      <c r="AI113" s="9"/>
      <c r="AJ113" s="39"/>
      <c r="AK113" s="9"/>
      <c r="AL113" s="9"/>
      <c r="AM113" s="9"/>
      <c r="AN113" s="9"/>
      <c r="AO113" s="9"/>
      <c r="AP113" s="9"/>
      <c r="AQ113" s="9"/>
      <c r="AR113" s="10" t="str">
        <f aca="false">IF(A113="","",SG_Criteria!$B$6&amp;SG_Criteria!$B$9&amp;"\"&amp;A113&amp;"\")</f>
        <v/>
      </c>
      <c r="AS113" s="10" t="str">
        <f aca="false">IF(A113="","",A113&amp;"_CAD.dwg")</f>
        <v/>
      </c>
      <c r="AT113" s="10" t="str">
        <f aca="false">IF(A113="","",A113&amp;"_DWG.pdf")</f>
        <v/>
      </c>
      <c r="AU113" s="10" t="str">
        <f aca="false">IF(A113="","",IF(AQ113="Y",A113&amp;"_STAAD.std","n/a"))</f>
        <v/>
      </c>
      <c r="AV113" s="10" t="str">
        <f aca="false">IF(A113="","",A113&amp;"_CALC.xlsx")</f>
        <v/>
      </c>
      <c r="AW113" s="10" t="str">
        <f aca="false">IF(A113="","",A113&amp;"_CALC.pdf")</f>
        <v/>
      </c>
      <c r="AX113" s="9"/>
      <c r="AY113" s="9"/>
      <c r="AZ113" s="39"/>
      <c r="BA113" s="39"/>
      <c r="BB113" s="39"/>
      <c r="BC113" s="39"/>
      <c r="BD113" s="39"/>
      <c r="BE113" s="12" t="str">
        <f aca="false">IF(A113="","",IF(COUNTIF(Rebar_Schedule!$A$5:$A$2004,A113)=0,"",ROUND(SUMIF(Rebar_Schedule!$A$5:$A$2004,A113,Rebar_Schedule!$K$5:$K$2004),1)))</f>
        <v/>
      </c>
      <c r="BF113" s="33" t="str">
        <f aca="false">IF(A113="","",IF(BE113="","No rebar schedule yet",IF(ABS(BE113-N(BA113))/MAX(N(BA113),1)&gt;SG_Criteria!$B$55,"NOTE: register rebar differs from schedule by "&amp;TEXT(ABS(BE113-N(BA113))/MAX(N(BA113),1),"0%"),"OK")))</f>
        <v/>
      </c>
      <c r="BG113" s="33" t="str">
        <f aca="false">IF(OR(D113="",F113=""),"",IF(F113&lt;=IF(D113="Soldier Pile &amp; Timber Lagging",SG_Criteria!$B$34,SG_Criteria!$B$33),"No ERSS submission",IF(F113&lt;=SG_Criteria!$B$35,"QP(ST)",IF(F113&lt;=SG_Criteria!$B$36,"QP(ST) + AC","Geotechnical building works: QP(Geo) + AC"))))</f>
        <v/>
      </c>
      <c r="BH113" s="33" t="str">
        <f aca="false">IF(D113="","",IF(LEN(IF(AND(AC113&lt;&gt;"",IFERROR(VALUE(MID(AC113,2,2)),0)&lt;SG_Criteria!$B$19),"FAIL: grade below C"&amp;SG_Criteria!$B$19&amp;". ","")&amp;IF(AND(LEFT(D113,3)="Con",N(I113)&lt;F113,H113="Kallang Formation (marine clay)"),"NOTE: CBP is not watertight below GWT in marine clay; consider secant / grouting. ","")&amp;IF(AND(D113="Steel Sheet Pile",E113="Permanent"),"NOTE: permanent sheet pile needs corrosion allowance. ","")&amp;IF(AND(G113="Cantilever (no support)",F113&gt;6),"NOTE: cantilever embedded wall &gt; 6 m, check deflection. ","")&amp;IF(AND(T113&lt;&gt;"",U113&lt;&gt;"",T113&gt;U113),"FAIL: deflection exceeds allowable. ",""))=0,"OK",IF(AND(AC113&lt;&gt;"",IFERROR(VALUE(MID(AC113,2,2)),0)&lt;SG_Criteria!$B$19),"FAIL: grade below C"&amp;SG_Criteria!$B$19&amp;". ","")&amp;IF(AND(LEFT(D113,3)="Con",N(I113)&lt;F113,H113="Kallang Formation (marine clay)"),"NOTE: CBP is not watertight below GWT in marine clay; consider secant / grouting. ","")&amp;IF(AND(D113="Steel Sheet Pile",E113="Permanent"),"NOTE: permanent sheet pile needs corrosion allowance. ","")&amp;IF(AND(G113="Cantilever (no support)",F113&gt;6),"NOTE: cantilever embedded wall &gt; 6 m, check deflection. ","")&amp;IF(AND(T113&lt;&gt;"",U113&lt;&gt;"",T113&gt;U113),"FAIL: deflection exceeds allowable. ","")))</f>
        <v/>
      </c>
      <c r="BI113" s="9"/>
      <c r="BJ113" s="9"/>
      <c r="BK113" s="9"/>
      <c r="BL113" s="10" t="str">
        <f aca="false">IF(BK113="","",IFERROR(VLOOKUP(BK113,Projects!$A$5:$D$504,2,0),"Ref not in Projects"))</f>
        <v/>
      </c>
      <c r="BM113" s="10" t="str">
        <f aca="false">IF(BK113="","",IFERROR(VLOOKUP(BK113,Projects!$A$5:$D$504,4,0),"Ref not in Projects"))</f>
        <v/>
      </c>
      <c r="BN113" s="9"/>
      <c r="BO113" s="9"/>
      <c r="BP113" s="9"/>
      <c r="BQ113" s="40"/>
      <c r="BR113" s="9"/>
      <c r="BS113" s="40"/>
      <c r="BT113" s="9"/>
      <c r="BU113" s="40"/>
      <c r="BV113" s="9"/>
      <c r="BW113" s="9"/>
      <c r="BX113" s="9"/>
      <c r="BY113" s="40"/>
      <c r="BZ113" s="40"/>
      <c r="CA113" s="36" t="str">
        <f aca="false">IF(BZ113="","",EDATE(BZ113,SG_Criteria!$B$54*12))</f>
        <v/>
      </c>
      <c r="CB113" s="33" t="str">
        <f aca="true">IF(A113="","",IF(BZ113="","NOTE: not reviewed yet",IF(TODAY()&gt;CA113,"NOTE: review overdue","OK")))</f>
        <v/>
      </c>
      <c r="CC113" s="37" t="str">
        <f aca="false">IF(A113="","",ROUND((IF(LEN(D113)&gt;0,1,0)+IF(LEN(E113)&gt;0,1,0)+IF(LEN(F113)&gt;0,1,0)+IF(LEN(G113)&gt;0,1,0)+IF(LEN(H113)&gt;0,1,0)+IF(LEN(I113)&gt;0,1,0)+IF(LEN(K113)&gt;0,1,0)+IF(LEN(N113)&gt;0,1,0)+IF(LEN(O113)&gt;0,1,0)+IF(LEN(T113)&gt;0,1,0)+IF(LEN(U113)&gt;0,1,0)+IF(LEN(V113)&gt;0,1,0)+IF(LEN(AK113)&gt;0,1,0)+IF(LEN(AM113)&gt;0,1,0)+IF(LEN(AN113)&gt;0,1,0)+IF(LEN(AO113)&gt;0,1,0)+IF(LEN(AP113)&gt;0,1,0)+IF(LEN(AY113)&gt;0,1,0)+IF(LEN(BK113)&gt;0,1,0)+IF(LEN(BX113)&gt;0,1,0))/20,2))</f>
        <v/>
      </c>
      <c r="CD113" s="10" t="str">
        <f aca="false">IF(D113="","",IF(AND(AN113="Approved",ISERROR(SEARCH("FAIL",BH113))),"Y","N"))</f>
        <v/>
      </c>
      <c r="CE113" s="10" t="str">
        <f aca="false">IF(D113="","",D113&amp;"|"&amp;F113&amp;"|"&amp;G113&amp;"|"&amp;H113&amp;"|"&amp;E113&amp;"|"&amp;CD113)</f>
        <v/>
      </c>
    </row>
    <row r="114" customFormat="false" ht="15" hidden="false" customHeight="false" outlineLevel="0" collapsed="false">
      <c r="A114" s="10" t="str">
        <f aca="false">IF(D114="","","EW-"&amp;IFERROR(VLOOKUP(D114,Lists!$P$4:$Q$22,2,0),"??")&amp;"-D"&amp;TEXT(F114*1000,"0000")&amp;"-"&amp;IFERROR(VLOOKUP(G114,Lists!$S$4:$T$21,2,0),"??")&amp;"-"&amp;IFERROR(VLOOKUP(H114,Lists!$Y$4:$Z$21,2,0),"??")&amp;"-"&amp;IFERROR(VLOOKUP(E114,Lists!$V$4:$W$16,2,0),"??")&amp;"-"&amp;AM114)</f>
        <v/>
      </c>
      <c r="B114" s="10" t="str">
        <f aca="false">IF(D114="","",E114&amp;" "&amp;D114&amp;", excavation "&amp;TEXT(F114,"0.0")&amp;" m, "&amp;G114&amp;", "&amp;H114&amp;", "&amp;K114)</f>
        <v/>
      </c>
      <c r="C114" s="9"/>
      <c r="D114" s="9"/>
      <c r="E114" s="9"/>
      <c r="F114" s="42"/>
      <c r="G114" s="9"/>
      <c r="H114" s="9"/>
      <c r="I114" s="42"/>
      <c r="J114" s="38"/>
      <c r="K114" s="9"/>
      <c r="L114" s="9"/>
      <c r="M114" s="9"/>
      <c r="N114" s="42"/>
      <c r="O114" s="42"/>
      <c r="P114" s="9"/>
      <c r="Q114" s="9"/>
      <c r="R114" s="9"/>
      <c r="S114" s="9"/>
      <c r="T114" s="38"/>
      <c r="U114" s="38"/>
      <c r="V114" s="38"/>
      <c r="W114" s="38"/>
      <c r="X114" s="38"/>
      <c r="Y114" s="9"/>
      <c r="Z114" s="39"/>
      <c r="AA114" s="9"/>
      <c r="AB114" s="9"/>
      <c r="AC114" s="9"/>
      <c r="AD114" s="9"/>
      <c r="AE114" s="9"/>
      <c r="AF114" s="9"/>
      <c r="AG114" s="9"/>
      <c r="AH114" s="38"/>
      <c r="AI114" s="9"/>
      <c r="AJ114" s="39"/>
      <c r="AK114" s="9"/>
      <c r="AL114" s="9"/>
      <c r="AM114" s="9"/>
      <c r="AN114" s="9"/>
      <c r="AO114" s="9"/>
      <c r="AP114" s="9"/>
      <c r="AQ114" s="9"/>
      <c r="AR114" s="10" t="str">
        <f aca="false">IF(A114="","",SG_Criteria!$B$6&amp;SG_Criteria!$B$9&amp;"\"&amp;A114&amp;"\")</f>
        <v/>
      </c>
      <c r="AS114" s="10" t="str">
        <f aca="false">IF(A114="","",A114&amp;"_CAD.dwg")</f>
        <v/>
      </c>
      <c r="AT114" s="10" t="str">
        <f aca="false">IF(A114="","",A114&amp;"_DWG.pdf")</f>
        <v/>
      </c>
      <c r="AU114" s="10" t="str">
        <f aca="false">IF(A114="","",IF(AQ114="Y",A114&amp;"_STAAD.std","n/a"))</f>
        <v/>
      </c>
      <c r="AV114" s="10" t="str">
        <f aca="false">IF(A114="","",A114&amp;"_CALC.xlsx")</f>
        <v/>
      </c>
      <c r="AW114" s="10" t="str">
        <f aca="false">IF(A114="","",A114&amp;"_CALC.pdf")</f>
        <v/>
      </c>
      <c r="AX114" s="9"/>
      <c r="AY114" s="9"/>
      <c r="AZ114" s="39"/>
      <c r="BA114" s="39"/>
      <c r="BB114" s="39"/>
      <c r="BC114" s="39"/>
      <c r="BD114" s="39"/>
      <c r="BE114" s="12" t="str">
        <f aca="false">IF(A114="","",IF(COUNTIF(Rebar_Schedule!$A$5:$A$2004,A114)=0,"",ROUND(SUMIF(Rebar_Schedule!$A$5:$A$2004,A114,Rebar_Schedule!$K$5:$K$2004),1)))</f>
        <v/>
      </c>
      <c r="BF114" s="33" t="str">
        <f aca="false">IF(A114="","",IF(BE114="","No rebar schedule yet",IF(ABS(BE114-N(BA114))/MAX(N(BA114),1)&gt;SG_Criteria!$B$55,"NOTE: register rebar differs from schedule by "&amp;TEXT(ABS(BE114-N(BA114))/MAX(N(BA114),1),"0%"),"OK")))</f>
        <v/>
      </c>
      <c r="BG114" s="33" t="str">
        <f aca="false">IF(OR(D114="",F114=""),"",IF(F114&lt;=IF(D114="Soldier Pile &amp; Timber Lagging",SG_Criteria!$B$34,SG_Criteria!$B$33),"No ERSS submission",IF(F114&lt;=SG_Criteria!$B$35,"QP(ST)",IF(F114&lt;=SG_Criteria!$B$36,"QP(ST) + AC","Geotechnical building works: QP(Geo) + AC"))))</f>
        <v/>
      </c>
      <c r="BH114" s="33" t="str">
        <f aca="false">IF(D114="","",IF(LEN(IF(AND(AC114&lt;&gt;"",IFERROR(VALUE(MID(AC114,2,2)),0)&lt;SG_Criteria!$B$19),"FAIL: grade below C"&amp;SG_Criteria!$B$19&amp;". ","")&amp;IF(AND(LEFT(D114,3)="Con",N(I114)&lt;F114,H114="Kallang Formation (marine clay)"),"NOTE: CBP is not watertight below GWT in marine clay; consider secant / grouting. ","")&amp;IF(AND(D114="Steel Sheet Pile",E114="Permanent"),"NOTE: permanent sheet pile needs corrosion allowance. ","")&amp;IF(AND(G114="Cantilever (no support)",F114&gt;6),"NOTE: cantilever embedded wall &gt; 6 m, check deflection. ","")&amp;IF(AND(T114&lt;&gt;"",U114&lt;&gt;"",T114&gt;U114),"FAIL: deflection exceeds allowable. ",""))=0,"OK",IF(AND(AC114&lt;&gt;"",IFERROR(VALUE(MID(AC114,2,2)),0)&lt;SG_Criteria!$B$19),"FAIL: grade below C"&amp;SG_Criteria!$B$19&amp;". ","")&amp;IF(AND(LEFT(D114,3)="Con",N(I114)&lt;F114,H114="Kallang Formation (marine clay)"),"NOTE: CBP is not watertight below GWT in marine clay; consider secant / grouting. ","")&amp;IF(AND(D114="Steel Sheet Pile",E114="Permanent"),"NOTE: permanent sheet pile needs corrosion allowance. ","")&amp;IF(AND(G114="Cantilever (no support)",F114&gt;6),"NOTE: cantilever embedded wall &gt; 6 m, check deflection. ","")&amp;IF(AND(T114&lt;&gt;"",U114&lt;&gt;"",T114&gt;U114),"FAIL: deflection exceeds allowable. ","")))</f>
        <v/>
      </c>
      <c r="BI114" s="9"/>
      <c r="BJ114" s="9"/>
      <c r="BK114" s="9"/>
      <c r="BL114" s="10" t="str">
        <f aca="false">IF(BK114="","",IFERROR(VLOOKUP(BK114,Projects!$A$5:$D$504,2,0),"Ref not in Projects"))</f>
        <v/>
      </c>
      <c r="BM114" s="10" t="str">
        <f aca="false">IF(BK114="","",IFERROR(VLOOKUP(BK114,Projects!$A$5:$D$504,4,0),"Ref not in Projects"))</f>
        <v/>
      </c>
      <c r="BN114" s="9"/>
      <c r="BO114" s="9"/>
      <c r="BP114" s="9"/>
      <c r="BQ114" s="40"/>
      <c r="BR114" s="9"/>
      <c r="BS114" s="40"/>
      <c r="BT114" s="9"/>
      <c r="BU114" s="40"/>
      <c r="BV114" s="9"/>
      <c r="BW114" s="9"/>
      <c r="BX114" s="9"/>
      <c r="BY114" s="40"/>
      <c r="BZ114" s="40"/>
      <c r="CA114" s="36" t="str">
        <f aca="false">IF(BZ114="","",EDATE(BZ114,SG_Criteria!$B$54*12))</f>
        <v/>
      </c>
      <c r="CB114" s="33" t="str">
        <f aca="true">IF(A114="","",IF(BZ114="","NOTE: not reviewed yet",IF(TODAY()&gt;CA114,"NOTE: review overdue","OK")))</f>
        <v/>
      </c>
      <c r="CC114" s="37" t="str">
        <f aca="false">IF(A114="","",ROUND((IF(LEN(D114)&gt;0,1,0)+IF(LEN(E114)&gt;0,1,0)+IF(LEN(F114)&gt;0,1,0)+IF(LEN(G114)&gt;0,1,0)+IF(LEN(H114)&gt;0,1,0)+IF(LEN(I114)&gt;0,1,0)+IF(LEN(K114)&gt;0,1,0)+IF(LEN(N114)&gt;0,1,0)+IF(LEN(O114)&gt;0,1,0)+IF(LEN(T114)&gt;0,1,0)+IF(LEN(U114)&gt;0,1,0)+IF(LEN(V114)&gt;0,1,0)+IF(LEN(AK114)&gt;0,1,0)+IF(LEN(AM114)&gt;0,1,0)+IF(LEN(AN114)&gt;0,1,0)+IF(LEN(AO114)&gt;0,1,0)+IF(LEN(AP114)&gt;0,1,0)+IF(LEN(AY114)&gt;0,1,0)+IF(LEN(BK114)&gt;0,1,0)+IF(LEN(BX114)&gt;0,1,0))/20,2))</f>
        <v/>
      </c>
      <c r="CD114" s="10" t="str">
        <f aca="false">IF(D114="","",IF(AND(AN114="Approved",ISERROR(SEARCH("FAIL",BH114))),"Y","N"))</f>
        <v/>
      </c>
      <c r="CE114" s="10" t="str">
        <f aca="false">IF(D114="","",D114&amp;"|"&amp;F114&amp;"|"&amp;G114&amp;"|"&amp;H114&amp;"|"&amp;E114&amp;"|"&amp;CD114)</f>
        <v/>
      </c>
    </row>
    <row r="115" customFormat="false" ht="15" hidden="false" customHeight="false" outlineLevel="0" collapsed="false">
      <c r="A115" s="10" t="str">
        <f aca="false">IF(D115="","","EW-"&amp;IFERROR(VLOOKUP(D115,Lists!$P$4:$Q$22,2,0),"??")&amp;"-D"&amp;TEXT(F115*1000,"0000")&amp;"-"&amp;IFERROR(VLOOKUP(G115,Lists!$S$4:$T$21,2,0),"??")&amp;"-"&amp;IFERROR(VLOOKUP(H115,Lists!$Y$4:$Z$21,2,0),"??")&amp;"-"&amp;IFERROR(VLOOKUP(E115,Lists!$V$4:$W$16,2,0),"??")&amp;"-"&amp;AM115)</f>
        <v/>
      </c>
      <c r="B115" s="10" t="str">
        <f aca="false">IF(D115="","",E115&amp;" "&amp;D115&amp;", excavation "&amp;TEXT(F115,"0.0")&amp;" m, "&amp;G115&amp;", "&amp;H115&amp;", "&amp;K115)</f>
        <v/>
      </c>
      <c r="C115" s="9"/>
      <c r="D115" s="9"/>
      <c r="E115" s="9"/>
      <c r="F115" s="42"/>
      <c r="G115" s="9"/>
      <c r="H115" s="9"/>
      <c r="I115" s="42"/>
      <c r="J115" s="38"/>
      <c r="K115" s="9"/>
      <c r="L115" s="9"/>
      <c r="M115" s="9"/>
      <c r="N115" s="42"/>
      <c r="O115" s="42"/>
      <c r="P115" s="9"/>
      <c r="Q115" s="9"/>
      <c r="R115" s="9"/>
      <c r="S115" s="9"/>
      <c r="T115" s="38"/>
      <c r="U115" s="38"/>
      <c r="V115" s="38"/>
      <c r="W115" s="38"/>
      <c r="X115" s="38"/>
      <c r="Y115" s="9"/>
      <c r="Z115" s="39"/>
      <c r="AA115" s="9"/>
      <c r="AB115" s="9"/>
      <c r="AC115" s="9"/>
      <c r="AD115" s="9"/>
      <c r="AE115" s="9"/>
      <c r="AF115" s="9"/>
      <c r="AG115" s="9"/>
      <c r="AH115" s="38"/>
      <c r="AI115" s="9"/>
      <c r="AJ115" s="39"/>
      <c r="AK115" s="9"/>
      <c r="AL115" s="9"/>
      <c r="AM115" s="9"/>
      <c r="AN115" s="9"/>
      <c r="AO115" s="9"/>
      <c r="AP115" s="9"/>
      <c r="AQ115" s="9"/>
      <c r="AR115" s="10" t="str">
        <f aca="false">IF(A115="","",SG_Criteria!$B$6&amp;SG_Criteria!$B$9&amp;"\"&amp;A115&amp;"\")</f>
        <v/>
      </c>
      <c r="AS115" s="10" t="str">
        <f aca="false">IF(A115="","",A115&amp;"_CAD.dwg")</f>
        <v/>
      </c>
      <c r="AT115" s="10" t="str">
        <f aca="false">IF(A115="","",A115&amp;"_DWG.pdf")</f>
        <v/>
      </c>
      <c r="AU115" s="10" t="str">
        <f aca="false">IF(A115="","",IF(AQ115="Y",A115&amp;"_STAAD.std","n/a"))</f>
        <v/>
      </c>
      <c r="AV115" s="10" t="str">
        <f aca="false">IF(A115="","",A115&amp;"_CALC.xlsx")</f>
        <v/>
      </c>
      <c r="AW115" s="10" t="str">
        <f aca="false">IF(A115="","",A115&amp;"_CALC.pdf")</f>
        <v/>
      </c>
      <c r="AX115" s="9"/>
      <c r="AY115" s="9"/>
      <c r="AZ115" s="39"/>
      <c r="BA115" s="39"/>
      <c r="BB115" s="39"/>
      <c r="BC115" s="39"/>
      <c r="BD115" s="39"/>
      <c r="BE115" s="12" t="str">
        <f aca="false">IF(A115="","",IF(COUNTIF(Rebar_Schedule!$A$5:$A$2004,A115)=0,"",ROUND(SUMIF(Rebar_Schedule!$A$5:$A$2004,A115,Rebar_Schedule!$K$5:$K$2004),1)))</f>
        <v/>
      </c>
      <c r="BF115" s="33" t="str">
        <f aca="false">IF(A115="","",IF(BE115="","No rebar schedule yet",IF(ABS(BE115-N(BA115))/MAX(N(BA115),1)&gt;SG_Criteria!$B$55,"NOTE: register rebar differs from schedule by "&amp;TEXT(ABS(BE115-N(BA115))/MAX(N(BA115),1),"0%"),"OK")))</f>
        <v/>
      </c>
      <c r="BG115" s="33" t="str">
        <f aca="false">IF(OR(D115="",F115=""),"",IF(F115&lt;=IF(D115="Soldier Pile &amp; Timber Lagging",SG_Criteria!$B$34,SG_Criteria!$B$33),"No ERSS submission",IF(F115&lt;=SG_Criteria!$B$35,"QP(ST)",IF(F115&lt;=SG_Criteria!$B$36,"QP(ST) + AC","Geotechnical building works: QP(Geo) + AC"))))</f>
        <v/>
      </c>
      <c r="BH115" s="33" t="str">
        <f aca="false">IF(D115="","",IF(LEN(IF(AND(AC115&lt;&gt;"",IFERROR(VALUE(MID(AC115,2,2)),0)&lt;SG_Criteria!$B$19),"FAIL: grade below C"&amp;SG_Criteria!$B$19&amp;". ","")&amp;IF(AND(LEFT(D115,3)="Con",N(I115)&lt;F115,H115="Kallang Formation (marine clay)"),"NOTE: CBP is not watertight below GWT in marine clay; consider secant / grouting. ","")&amp;IF(AND(D115="Steel Sheet Pile",E115="Permanent"),"NOTE: permanent sheet pile needs corrosion allowance. ","")&amp;IF(AND(G115="Cantilever (no support)",F115&gt;6),"NOTE: cantilever embedded wall &gt; 6 m, check deflection. ","")&amp;IF(AND(T115&lt;&gt;"",U115&lt;&gt;"",T115&gt;U115),"FAIL: deflection exceeds allowable. ",""))=0,"OK",IF(AND(AC115&lt;&gt;"",IFERROR(VALUE(MID(AC115,2,2)),0)&lt;SG_Criteria!$B$19),"FAIL: grade below C"&amp;SG_Criteria!$B$19&amp;". ","")&amp;IF(AND(LEFT(D115,3)="Con",N(I115)&lt;F115,H115="Kallang Formation (marine clay)"),"NOTE: CBP is not watertight below GWT in marine clay; consider secant / grouting. ","")&amp;IF(AND(D115="Steel Sheet Pile",E115="Permanent"),"NOTE: permanent sheet pile needs corrosion allowance. ","")&amp;IF(AND(G115="Cantilever (no support)",F115&gt;6),"NOTE: cantilever embedded wall &gt; 6 m, check deflection. ","")&amp;IF(AND(T115&lt;&gt;"",U115&lt;&gt;"",T115&gt;U115),"FAIL: deflection exceeds allowable. ","")))</f>
        <v/>
      </c>
      <c r="BI115" s="9"/>
      <c r="BJ115" s="9"/>
      <c r="BK115" s="9"/>
      <c r="BL115" s="10" t="str">
        <f aca="false">IF(BK115="","",IFERROR(VLOOKUP(BK115,Projects!$A$5:$D$504,2,0),"Ref not in Projects"))</f>
        <v/>
      </c>
      <c r="BM115" s="10" t="str">
        <f aca="false">IF(BK115="","",IFERROR(VLOOKUP(BK115,Projects!$A$5:$D$504,4,0),"Ref not in Projects"))</f>
        <v/>
      </c>
      <c r="BN115" s="9"/>
      <c r="BO115" s="9"/>
      <c r="BP115" s="9"/>
      <c r="BQ115" s="40"/>
      <c r="BR115" s="9"/>
      <c r="BS115" s="40"/>
      <c r="BT115" s="9"/>
      <c r="BU115" s="40"/>
      <c r="BV115" s="9"/>
      <c r="BW115" s="9"/>
      <c r="BX115" s="9"/>
      <c r="BY115" s="40"/>
      <c r="BZ115" s="40"/>
      <c r="CA115" s="36" t="str">
        <f aca="false">IF(BZ115="","",EDATE(BZ115,SG_Criteria!$B$54*12))</f>
        <v/>
      </c>
      <c r="CB115" s="33" t="str">
        <f aca="true">IF(A115="","",IF(BZ115="","NOTE: not reviewed yet",IF(TODAY()&gt;CA115,"NOTE: review overdue","OK")))</f>
        <v/>
      </c>
      <c r="CC115" s="37" t="str">
        <f aca="false">IF(A115="","",ROUND((IF(LEN(D115)&gt;0,1,0)+IF(LEN(E115)&gt;0,1,0)+IF(LEN(F115)&gt;0,1,0)+IF(LEN(G115)&gt;0,1,0)+IF(LEN(H115)&gt;0,1,0)+IF(LEN(I115)&gt;0,1,0)+IF(LEN(K115)&gt;0,1,0)+IF(LEN(N115)&gt;0,1,0)+IF(LEN(O115)&gt;0,1,0)+IF(LEN(T115)&gt;0,1,0)+IF(LEN(U115)&gt;0,1,0)+IF(LEN(V115)&gt;0,1,0)+IF(LEN(AK115)&gt;0,1,0)+IF(LEN(AM115)&gt;0,1,0)+IF(LEN(AN115)&gt;0,1,0)+IF(LEN(AO115)&gt;0,1,0)+IF(LEN(AP115)&gt;0,1,0)+IF(LEN(AY115)&gt;0,1,0)+IF(LEN(BK115)&gt;0,1,0)+IF(LEN(BX115)&gt;0,1,0))/20,2))</f>
        <v/>
      </c>
      <c r="CD115" s="10" t="str">
        <f aca="false">IF(D115="","",IF(AND(AN115="Approved",ISERROR(SEARCH("FAIL",BH115))),"Y","N"))</f>
        <v/>
      </c>
      <c r="CE115" s="10" t="str">
        <f aca="false">IF(D115="","",D115&amp;"|"&amp;F115&amp;"|"&amp;G115&amp;"|"&amp;H115&amp;"|"&amp;E115&amp;"|"&amp;CD115)</f>
        <v/>
      </c>
    </row>
    <row r="116" customFormat="false" ht="15" hidden="false" customHeight="false" outlineLevel="0" collapsed="false">
      <c r="A116" s="10" t="str">
        <f aca="false">IF(D116="","","EW-"&amp;IFERROR(VLOOKUP(D116,Lists!$P$4:$Q$22,2,0),"??")&amp;"-D"&amp;TEXT(F116*1000,"0000")&amp;"-"&amp;IFERROR(VLOOKUP(G116,Lists!$S$4:$T$21,2,0),"??")&amp;"-"&amp;IFERROR(VLOOKUP(H116,Lists!$Y$4:$Z$21,2,0),"??")&amp;"-"&amp;IFERROR(VLOOKUP(E116,Lists!$V$4:$W$16,2,0),"??")&amp;"-"&amp;AM116)</f>
        <v/>
      </c>
      <c r="B116" s="10" t="str">
        <f aca="false">IF(D116="","",E116&amp;" "&amp;D116&amp;", excavation "&amp;TEXT(F116,"0.0")&amp;" m, "&amp;G116&amp;", "&amp;H116&amp;", "&amp;K116)</f>
        <v/>
      </c>
      <c r="C116" s="9"/>
      <c r="D116" s="9"/>
      <c r="E116" s="9"/>
      <c r="F116" s="42"/>
      <c r="G116" s="9"/>
      <c r="H116" s="9"/>
      <c r="I116" s="42"/>
      <c r="J116" s="38"/>
      <c r="K116" s="9"/>
      <c r="L116" s="9"/>
      <c r="M116" s="9"/>
      <c r="N116" s="42"/>
      <c r="O116" s="42"/>
      <c r="P116" s="9"/>
      <c r="Q116" s="9"/>
      <c r="R116" s="9"/>
      <c r="S116" s="9"/>
      <c r="T116" s="38"/>
      <c r="U116" s="38"/>
      <c r="V116" s="38"/>
      <c r="W116" s="38"/>
      <c r="X116" s="38"/>
      <c r="Y116" s="9"/>
      <c r="Z116" s="39"/>
      <c r="AA116" s="9"/>
      <c r="AB116" s="9"/>
      <c r="AC116" s="9"/>
      <c r="AD116" s="9"/>
      <c r="AE116" s="9"/>
      <c r="AF116" s="9"/>
      <c r="AG116" s="9"/>
      <c r="AH116" s="38"/>
      <c r="AI116" s="9"/>
      <c r="AJ116" s="39"/>
      <c r="AK116" s="9"/>
      <c r="AL116" s="9"/>
      <c r="AM116" s="9"/>
      <c r="AN116" s="9"/>
      <c r="AO116" s="9"/>
      <c r="AP116" s="9"/>
      <c r="AQ116" s="9"/>
      <c r="AR116" s="10" t="str">
        <f aca="false">IF(A116="","",SG_Criteria!$B$6&amp;SG_Criteria!$B$9&amp;"\"&amp;A116&amp;"\")</f>
        <v/>
      </c>
      <c r="AS116" s="10" t="str">
        <f aca="false">IF(A116="","",A116&amp;"_CAD.dwg")</f>
        <v/>
      </c>
      <c r="AT116" s="10" t="str">
        <f aca="false">IF(A116="","",A116&amp;"_DWG.pdf")</f>
        <v/>
      </c>
      <c r="AU116" s="10" t="str">
        <f aca="false">IF(A116="","",IF(AQ116="Y",A116&amp;"_STAAD.std","n/a"))</f>
        <v/>
      </c>
      <c r="AV116" s="10" t="str">
        <f aca="false">IF(A116="","",A116&amp;"_CALC.xlsx")</f>
        <v/>
      </c>
      <c r="AW116" s="10" t="str">
        <f aca="false">IF(A116="","",A116&amp;"_CALC.pdf")</f>
        <v/>
      </c>
      <c r="AX116" s="9"/>
      <c r="AY116" s="9"/>
      <c r="AZ116" s="39"/>
      <c r="BA116" s="39"/>
      <c r="BB116" s="39"/>
      <c r="BC116" s="39"/>
      <c r="BD116" s="39"/>
      <c r="BE116" s="12" t="str">
        <f aca="false">IF(A116="","",IF(COUNTIF(Rebar_Schedule!$A$5:$A$2004,A116)=0,"",ROUND(SUMIF(Rebar_Schedule!$A$5:$A$2004,A116,Rebar_Schedule!$K$5:$K$2004),1)))</f>
        <v/>
      </c>
      <c r="BF116" s="33" t="str">
        <f aca="false">IF(A116="","",IF(BE116="","No rebar schedule yet",IF(ABS(BE116-N(BA116))/MAX(N(BA116),1)&gt;SG_Criteria!$B$55,"NOTE: register rebar differs from schedule by "&amp;TEXT(ABS(BE116-N(BA116))/MAX(N(BA116),1),"0%"),"OK")))</f>
        <v/>
      </c>
      <c r="BG116" s="33" t="str">
        <f aca="false">IF(OR(D116="",F116=""),"",IF(F116&lt;=IF(D116="Soldier Pile &amp; Timber Lagging",SG_Criteria!$B$34,SG_Criteria!$B$33),"No ERSS submission",IF(F116&lt;=SG_Criteria!$B$35,"QP(ST)",IF(F116&lt;=SG_Criteria!$B$36,"QP(ST) + AC","Geotechnical building works: QP(Geo) + AC"))))</f>
        <v/>
      </c>
      <c r="BH116" s="33" t="str">
        <f aca="false">IF(D116="","",IF(LEN(IF(AND(AC116&lt;&gt;"",IFERROR(VALUE(MID(AC116,2,2)),0)&lt;SG_Criteria!$B$19),"FAIL: grade below C"&amp;SG_Criteria!$B$19&amp;". ","")&amp;IF(AND(LEFT(D116,3)="Con",N(I116)&lt;F116,H116="Kallang Formation (marine clay)"),"NOTE: CBP is not watertight below GWT in marine clay; consider secant / grouting. ","")&amp;IF(AND(D116="Steel Sheet Pile",E116="Permanent"),"NOTE: permanent sheet pile needs corrosion allowance. ","")&amp;IF(AND(G116="Cantilever (no support)",F116&gt;6),"NOTE: cantilever embedded wall &gt; 6 m, check deflection. ","")&amp;IF(AND(T116&lt;&gt;"",U116&lt;&gt;"",T116&gt;U116),"FAIL: deflection exceeds allowable. ",""))=0,"OK",IF(AND(AC116&lt;&gt;"",IFERROR(VALUE(MID(AC116,2,2)),0)&lt;SG_Criteria!$B$19),"FAIL: grade below C"&amp;SG_Criteria!$B$19&amp;". ","")&amp;IF(AND(LEFT(D116,3)="Con",N(I116)&lt;F116,H116="Kallang Formation (marine clay)"),"NOTE: CBP is not watertight below GWT in marine clay; consider secant / grouting. ","")&amp;IF(AND(D116="Steel Sheet Pile",E116="Permanent"),"NOTE: permanent sheet pile needs corrosion allowance. ","")&amp;IF(AND(G116="Cantilever (no support)",F116&gt;6),"NOTE: cantilever embedded wall &gt; 6 m, check deflection. ","")&amp;IF(AND(T116&lt;&gt;"",U116&lt;&gt;"",T116&gt;U116),"FAIL: deflection exceeds allowable. ","")))</f>
        <v/>
      </c>
      <c r="BI116" s="9"/>
      <c r="BJ116" s="9"/>
      <c r="BK116" s="9"/>
      <c r="BL116" s="10" t="str">
        <f aca="false">IF(BK116="","",IFERROR(VLOOKUP(BK116,Projects!$A$5:$D$504,2,0),"Ref not in Projects"))</f>
        <v/>
      </c>
      <c r="BM116" s="10" t="str">
        <f aca="false">IF(BK116="","",IFERROR(VLOOKUP(BK116,Projects!$A$5:$D$504,4,0),"Ref not in Projects"))</f>
        <v/>
      </c>
      <c r="BN116" s="9"/>
      <c r="BO116" s="9"/>
      <c r="BP116" s="9"/>
      <c r="BQ116" s="40"/>
      <c r="BR116" s="9"/>
      <c r="BS116" s="40"/>
      <c r="BT116" s="9"/>
      <c r="BU116" s="40"/>
      <c r="BV116" s="9"/>
      <c r="BW116" s="9"/>
      <c r="BX116" s="9"/>
      <c r="BY116" s="40"/>
      <c r="BZ116" s="40"/>
      <c r="CA116" s="36" t="str">
        <f aca="false">IF(BZ116="","",EDATE(BZ116,SG_Criteria!$B$54*12))</f>
        <v/>
      </c>
      <c r="CB116" s="33" t="str">
        <f aca="true">IF(A116="","",IF(BZ116="","NOTE: not reviewed yet",IF(TODAY()&gt;CA116,"NOTE: review overdue","OK")))</f>
        <v/>
      </c>
      <c r="CC116" s="37" t="str">
        <f aca="false">IF(A116="","",ROUND((IF(LEN(D116)&gt;0,1,0)+IF(LEN(E116)&gt;0,1,0)+IF(LEN(F116)&gt;0,1,0)+IF(LEN(G116)&gt;0,1,0)+IF(LEN(H116)&gt;0,1,0)+IF(LEN(I116)&gt;0,1,0)+IF(LEN(K116)&gt;0,1,0)+IF(LEN(N116)&gt;0,1,0)+IF(LEN(O116)&gt;0,1,0)+IF(LEN(T116)&gt;0,1,0)+IF(LEN(U116)&gt;0,1,0)+IF(LEN(V116)&gt;0,1,0)+IF(LEN(AK116)&gt;0,1,0)+IF(LEN(AM116)&gt;0,1,0)+IF(LEN(AN116)&gt;0,1,0)+IF(LEN(AO116)&gt;0,1,0)+IF(LEN(AP116)&gt;0,1,0)+IF(LEN(AY116)&gt;0,1,0)+IF(LEN(BK116)&gt;0,1,0)+IF(LEN(BX116)&gt;0,1,0))/20,2))</f>
        <v/>
      </c>
      <c r="CD116" s="10" t="str">
        <f aca="false">IF(D116="","",IF(AND(AN116="Approved",ISERROR(SEARCH("FAIL",BH116))),"Y","N"))</f>
        <v/>
      </c>
      <c r="CE116" s="10" t="str">
        <f aca="false">IF(D116="","",D116&amp;"|"&amp;F116&amp;"|"&amp;G116&amp;"|"&amp;H116&amp;"|"&amp;E116&amp;"|"&amp;CD116)</f>
        <v/>
      </c>
    </row>
    <row r="117" customFormat="false" ht="15" hidden="false" customHeight="false" outlineLevel="0" collapsed="false">
      <c r="A117" s="10" t="str">
        <f aca="false">IF(D117="","","EW-"&amp;IFERROR(VLOOKUP(D117,Lists!$P$4:$Q$22,2,0),"??")&amp;"-D"&amp;TEXT(F117*1000,"0000")&amp;"-"&amp;IFERROR(VLOOKUP(G117,Lists!$S$4:$T$21,2,0),"??")&amp;"-"&amp;IFERROR(VLOOKUP(H117,Lists!$Y$4:$Z$21,2,0),"??")&amp;"-"&amp;IFERROR(VLOOKUP(E117,Lists!$V$4:$W$16,2,0),"??")&amp;"-"&amp;AM117)</f>
        <v/>
      </c>
      <c r="B117" s="10" t="str">
        <f aca="false">IF(D117="","",E117&amp;" "&amp;D117&amp;", excavation "&amp;TEXT(F117,"0.0")&amp;" m, "&amp;G117&amp;", "&amp;H117&amp;", "&amp;K117)</f>
        <v/>
      </c>
      <c r="C117" s="9"/>
      <c r="D117" s="9"/>
      <c r="E117" s="9"/>
      <c r="F117" s="42"/>
      <c r="G117" s="9"/>
      <c r="H117" s="9"/>
      <c r="I117" s="42"/>
      <c r="J117" s="38"/>
      <c r="K117" s="9"/>
      <c r="L117" s="9"/>
      <c r="M117" s="9"/>
      <c r="N117" s="42"/>
      <c r="O117" s="42"/>
      <c r="P117" s="9"/>
      <c r="Q117" s="9"/>
      <c r="R117" s="9"/>
      <c r="S117" s="9"/>
      <c r="T117" s="38"/>
      <c r="U117" s="38"/>
      <c r="V117" s="38"/>
      <c r="W117" s="38"/>
      <c r="X117" s="38"/>
      <c r="Y117" s="9"/>
      <c r="Z117" s="39"/>
      <c r="AA117" s="9"/>
      <c r="AB117" s="9"/>
      <c r="AC117" s="9"/>
      <c r="AD117" s="9"/>
      <c r="AE117" s="9"/>
      <c r="AF117" s="9"/>
      <c r="AG117" s="9"/>
      <c r="AH117" s="38"/>
      <c r="AI117" s="9"/>
      <c r="AJ117" s="39"/>
      <c r="AK117" s="9"/>
      <c r="AL117" s="9"/>
      <c r="AM117" s="9"/>
      <c r="AN117" s="9"/>
      <c r="AO117" s="9"/>
      <c r="AP117" s="9"/>
      <c r="AQ117" s="9"/>
      <c r="AR117" s="10" t="str">
        <f aca="false">IF(A117="","",SG_Criteria!$B$6&amp;SG_Criteria!$B$9&amp;"\"&amp;A117&amp;"\")</f>
        <v/>
      </c>
      <c r="AS117" s="10" t="str">
        <f aca="false">IF(A117="","",A117&amp;"_CAD.dwg")</f>
        <v/>
      </c>
      <c r="AT117" s="10" t="str">
        <f aca="false">IF(A117="","",A117&amp;"_DWG.pdf")</f>
        <v/>
      </c>
      <c r="AU117" s="10" t="str">
        <f aca="false">IF(A117="","",IF(AQ117="Y",A117&amp;"_STAAD.std","n/a"))</f>
        <v/>
      </c>
      <c r="AV117" s="10" t="str">
        <f aca="false">IF(A117="","",A117&amp;"_CALC.xlsx")</f>
        <v/>
      </c>
      <c r="AW117" s="10" t="str">
        <f aca="false">IF(A117="","",A117&amp;"_CALC.pdf")</f>
        <v/>
      </c>
      <c r="AX117" s="9"/>
      <c r="AY117" s="9"/>
      <c r="AZ117" s="39"/>
      <c r="BA117" s="39"/>
      <c r="BB117" s="39"/>
      <c r="BC117" s="39"/>
      <c r="BD117" s="39"/>
      <c r="BE117" s="12" t="str">
        <f aca="false">IF(A117="","",IF(COUNTIF(Rebar_Schedule!$A$5:$A$2004,A117)=0,"",ROUND(SUMIF(Rebar_Schedule!$A$5:$A$2004,A117,Rebar_Schedule!$K$5:$K$2004),1)))</f>
        <v/>
      </c>
      <c r="BF117" s="33" t="str">
        <f aca="false">IF(A117="","",IF(BE117="","No rebar schedule yet",IF(ABS(BE117-N(BA117))/MAX(N(BA117),1)&gt;SG_Criteria!$B$55,"NOTE: register rebar differs from schedule by "&amp;TEXT(ABS(BE117-N(BA117))/MAX(N(BA117),1),"0%"),"OK")))</f>
        <v/>
      </c>
      <c r="BG117" s="33" t="str">
        <f aca="false">IF(OR(D117="",F117=""),"",IF(F117&lt;=IF(D117="Soldier Pile &amp; Timber Lagging",SG_Criteria!$B$34,SG_Criteria!$B$33),"No ERSS submission",IF(F117&lt;=SG_Criteria!$B$35,"QP(ST)",IF(F117&lt;=SG_Criteria!$B$36,"QP(ST) + AC","Geotechnical building works: QP(Geo) + AC"))))</f>
        <v/>
      </c>
      <c r="BH117" s="33" t="str">
        <f aca="false">IF(D117="","",IF(LEN(IF(AND(AC117&lt;&gt;"",IFERROR(VALUE(MID(AC117,2,2)),0)&lt;SG_Criteria!$B$19),"FAIL: grade below C"&amp;SG_Criteria!$B$19&amp;". ","")&amp;IF(AND(LEFT(D117,3)="Con",N(I117)&lt;F117,H117="Kallang Formation (marine clay)"),"NOTE: CBP is not watertight below GWT in marine clay; consider secant / grouting. ","")&amp;IF(AND(D117="Steel Sheet Pile",E117="Permanent"),"NOTE: permanent sheet pile needs corrosion allowance. ","")&amp;IF(AND(G117="Cantilever (no support)",F117&gt;6),"NOTE: cantilever embedded wall &gt; 6 m, check deflection. ","")&amp;IF(AND(T117&lt;&gt;"",U117&lt;&gt;"",T117&gt;U117),"FAIL: deflection exceeds allowable. ",""))=0,"OK",IF(AND(AC117&lt;&gt;"",IFERROR(VALUE(MID(AC117,2,2)),0)&lt;SG_Criteria!$B$19),"FAIL: grade below C"&amp;SG_Criteria!$B$19&amp;". ","")&amp;IF(AND(LEFT(D117,3)="Con",N(I117)&lt;F117,H117="Kallang Formation (marine clay)"),"NOTE: CBP is not watertight below GWT in marine clay; consider secant / grouting. ","")&amp;IF(AND(D117="Steel Sheet Pile",E117="Permanent"),"NOTE: permanent sheet pile needs corrosion allowance. ","")&amp;IF(AND(G117="Cantilever (no support)",F117&gt;6),"NOTE: cantilever embedded wall &gt; 6 m, check deflection. ","")&amp;IF(AND(T117&lt;&gt;"",U117&lt;&gt;"",T117&gt;U117),"FAIL: deflection exceeds allowable. ","")))</f>
        <v/>
      </c>
      <c r="BI117" s="9"/>
      <c r="BJ117" s="9"/>
      <c r="BK117" s="9"/>
      <c r="BL117" s="10" t="str">
        <f aca="false">IF(BK117="","",IFERROR(VLOOKUP(BK117,Projects!$A$5:$D$504,2,0),"Ref not in Projects"))</f>
        <v/>
      </c>
      <c r="BM117" s="10" t="str">
        <f aca="false">IF(BK117="","",IFERROR(VLOOKUP(BK117,Projects!$A$5:$D$504,4,0),"Ref not in Projects"))</f>
        <v/>
      </c>
      <c r="BN117" s="9"/>
      <c r="BO117" s="9"/>
      <c r="BP117" s="9"/>
      <c r="BQ117" s="40"/>
      <c r="BR117" s="9"/>
      <c r="BS117" s="40"/>
      <c r="BT117" s="9"/>
      <c r="BU117" s="40"/>
      <c r="BV117" s="9"/>
      <c r="BW117" s="9"/>
      <c r="BX117" s="9"/>
      <c r="BY117" s="40"/>
      <c r="BZ117" s="40"/>
      <c r="CA117" s="36" t="str">
        <f aca="false">IF(BZ117="","",EDATE(BZ117,SG_Criteria!$B$54*12))</f>
        <v/>
      </c>
      <c r="CB117" s="33" t="str">
        <f aca="true">IF(A117="","",IF(BZ117="","NOTE: not reviewed yet",IF(TODAY()&gt;CA117,"NOTE: review overdue","OK")))</f>
        <v/>
      </c>
      <c r="CC117" s="37" t="str">
        <f aca="false">IF(A117="","",ROUND((IF(LEN(D117)&gt;0,1,0)+IF(LEN(E117)&gt;0,1,0)+IF(LEN(F117)&gt;0,1,0)+IF(LEN(G117)&gt;0,1,0)+IF(LEN(H117)&gt;0,1,0)+IF(LEN(I117)&gt;0,1,0)+IF(LEN(K117)&gt;0,1,0)+IF(LEN(N117)&gt;0,1,0)+IF(LEN(O117)&gt;0,1,0)+IF(LEN(T117)&gt;0,1,0)+IF(LEN(U117)&gt;0,1,0)+IF(LEN(V117)&gt;0,1,0)+IF(LEN(AK117)&gt;0,1,0)+IF(LEN(AM117)&gt;0,1,0)+IF(LEN(AN117)&gt;0,1,0)+IF(LEN(AO117)&gt;0,1,0)+IF(LEN(AP117)&gt;0,1,0)+IF(LEN(AY117)&gt;0,1,0)+IF(LEN(BK117)&gt;0,1,0)+IF(LEN(BX117)&gt;0,1,0))/20,2))</f>
        <v/>
      </c>
      <c r="CD117" s="10" t="str">
        <f aca="false">IF(D117="","",IF(AND(AN117="Approved",ISERROR(SEARCH("FAIL",BH117))),"Y","N"))</f>
        <v/>
      </c>
      <c r="CE117" s="10" t="str">
        <f aca="false">IF(D117="","",D117&amp;"|"&amp;F117&amp;"|"&amp;G117&amp;"|"&amp;H117&amp;"|"&amp;E117&amp;"|"&amp;CD117)</f>
        <v/>
      </c>
    </row>
    <row r="118" customFormat="false" ht="15" hidden="false" customHeight="false" outlineLevel="0" collapsed="false">
      <c r="A118" s="10" t="str">
        <f aca="false">IF(D118="","","EW-"&amp;IFERROR(VLOOKUP(D118,Lists!$P$4:$Q$22,2,0),"??")&amp;"-D"&amp;TEXT(F118*1000,"0000")&amp;"-"&amp;IFERROR(VLOOKUP(G118,Lists!$S$4:$T$21,2,0),"??")&amp;"-"&amp;IFERROR(VLOOKUP(H118,Lists!$Y$4:$Z$21,2,0),"??")&amp;"-"&amp;IFERROR(VLOOKUP(E118,Lists!$V$4:$W$16,2,0),"??")&amp;"-"&amp;AM118)</f>
        <v/>
      </c>
      <c r="B118" s="10" t="str">
        <f aca="false">IF(D118="","",E118&amp;" "&amp;D118&amp;", excavation "&amp;TEXT(F118,"0.0")&amp;" m, "&amp;G118&amp;", "&amp;H118&amp;", "&amp;K118)</f>
        <v/>
      </c>
      <c r="C118" s="9"/>
      <c r="D118" s="9"/>
      <c r="E118" s="9"/>
      <c r="F118" s="42"/>
      <c r="G118" s="9"/>
      <c r="H118" s="9"/>
      <c r="I118" s="42"/>
      <c r="J118" s="38"/>
      <c r="K118" s="9"/>
      <c r="L118" s="9"/>
      <c r="M118" s="9"/>
      <c r="N118" s="42"/>
      <c r="O118" s="42"/>
      <c r="P118" s="9"/>
      <c r="Q118" s="9"/>
      <c r="R118" s="9"/>
      <c r="S118" s="9"/>
      <c r="T118" s="38"/>
      <c r="U118" s="38"/>
      <c r="V118" s="38"/>
      <c r="W118" s="38"/>
      <c r="X118" s="38"/>
      <c r="Y118" s="9"/>
      <c r="Z118" s="39"/>
      <c r="AA118" s="9"/>
      <c r="AB118" s="9"/>
      <c r="AC118" s="9"/>
      <c r="AD118" s="9"/>
      <c r="AE118" s="9"/>
      <c r="AF118" s="9"/>
      <c r="AG118" s="9"/>
      <c r="AH118" s="38"/>
      <c r="AI118" s="9"/>
      <c r="AJ118" s="39"/>
      <c r="AK118" s="9"/>
      <c r="AL118" s="9"/>
      <c r="AM118" s="9"/>
      <c r="AN118" s="9"/>
      <c r="AO118" s="9"/>
      <c r="AP118" s="9"/>
      <c r="AQ118" s="9"/>
      <c r="AR118" s="10" t="str">
        <f aca="false">IF(A118="","",SG_Criteria!$B$6&amp;SG_Criteria!$B$9&amp;"\"&amp;A118&amp;"\")</f>
        <v/>
      </c>
      <c r="AS118" s="10" t="str">
        <f aca="false">IF(A118="","",A118&amp;"_CAD.dwg")</f>
        <v/>
      </c>
      <c r="AT118" s="10" t="str">
        <f aca="false">IF(A118="","",A118&amp;"_DWG.pdf")</f>
        <v/>
      </c>
      <c r="AU118" s="10" t="str">
        <f aca="false">IF(A118="","",IF(AQ118="Y",A118&amp;"_STAAD.std","n/a"))</f>
        <v/>
      </c>
      <c r="AV118" s="10" t="str">
        <f aca="false">IF(A118="","",A118&amp;"_CALC.xlsx")</f>
        <v/>
      </c>
      <c r="AW118" s="10" t="str">
        <f aca="false">IF(A118="","",A118&amp;"_CALC.pdf")</f>
        <v/>
      </c>
      <c r="AX118" s="9"/>
      <c r="AY118" s="9"/>
      <c r="AZ118" s="39"/>
      <c r="BA118" s="39"/>
      <c r="BB118" s="39"/>
      <c r="BC118" s="39"/>
      <c r="BD118" s="39"/>
      <c r="BE118" s="12" t="str">
        <f aca="false">IF(A118="","",IF(COUNTIF(Rebar_Schedule!$A$5:$A$2004,A118)=0,"",ROUND(SUMIF(Rebar_Schedule!$A$5:$A$2004,A118,Rebar_Schedule!$K$5:$K$2004),1)))</f>
        <v/>
      </c>
      <c r="BF118" s="33" t="str">
        <f aca="false">IF(A118="","",IF(BE118="","No rebar schedule yet",IF(ABS(BE118-N(BA118))/MAX(N(BA118),1)&gt;SG_Criteria!$B$55,"NOTE: register rebar differs from schedule by "&amp;TEXT(ABS(BE118-N(BA118))/MAX(N(BA118),1),"0%"),"OK")))</f>
        <v/>
      </c>
      <c r="BG118" s="33" t="str">
        <f aca="false">IF(OR(D118="",F118=""),"",IF(F118&lt;=IF(D118="Soldier Pile &amp; Timber Lagging",SG_Criteria!$B$34,SG_Criteria!$B$33),"No ERSS submission",IF(F118&lt;=SG_Criteria!$B$35,"QP(ST)",IF(F118&lt;=SG_Criteria!$B$36,"QP(ST) + AC","Geotechnical building works: QP(Geo) + AC"))))</f>
        <v/>
      </c>
      <c r="BH118" s="33" t="str">
        <f aca="false">IF(D118="","",IF(LEN(IF(AND(AC118&lt;&gt;"",IFERROR(VALUE(MID(AC118,2,2)),0)&lt;SG_Criteria!$B$19),"FAIL: grade below C"&amp;SG_Criteria!$B$19&amp;". ","")&amp;IF(AND(LEFT(D118,3)="Con",N(I118)&lt;F118,H118="Kallang Formation (marine clay)"),"NOTE: CBP is not watertight below GWT in marine clay; consider secant / grouting. ","")&amp;IF(AND(D118="Steel Sheet Pile",E118="Permanent"),"NOTE: permanent sheet pile needs corrosion allowance. ","")&amp;IF(AND(G118="Cantilever (no support)",F118&gt;6),"NOTE: cantilever embedded wall &gt; 6 m, check deflection. ","")&amp;IF(AND(T118&lt;&gt;"",U118&lt;&gt;"",T118&gt;U118),"FAIL: deflection exceeds allowable. ",""))=0,"OK",IF(AND(AC118&lt;&gt;"",IFERROR(VALUE(MID(AC118,2,2)),0)&lt;SG_Criteria!$B$19),"FAIL: grade below C"&amp;SG_Criteria!$B$19&amp;". ","")&amp;IF(AND(LEFT(D118,3)="Con",N(I118)&lt;F118,H118="Kallang Formation (marine clay)"),"NOTE: CBP is not watertight below GWT in marine clay; consider secant / grouting. ","")&amp;IF(AND(D118="Steel Sheet Pile",E118="Permanent"),"NOTE: permanent sheet pile needs corrosion allowance. ","")&amp;IF(AND(G118="Cantilever (no support)",F118&gt;6),"NOTE: cantilever embedded wall &gt; 6 m, check deflection. ","")&amp;IF(AND(T118&lt;&gt;"",U118&lt;&gt;"",T118&gt;U118),"FAIL: deflection exceeds allowable. ","")))</f>
        <v/>
      </c>
      <c r="BI118" s="9"/>
      <c r="BJ118" s="9"/>
      <c r="BK118" s="9"/>
      <c r="BL118" s="10" t="str">
        <f aca="false">IF(BK118="","",IFERROR(VLOOKUP(BK118,Projects!$A$5:$D$504,2,0),"Ref not in Projects"))</f>
        <v/>
      </c>
      <c r="BM118" s="10" t="str">
        <f aca="false">IF(BK118="","",IFERROR(VLOOKUP(BK118,Projects!$A$5:$D$504,4,0),"Ref not in Projects"))</f>
        <v/>
      </c>
      <c r="BN118" s="9"/>
      <c r="BO118" s="9"/>
      <c r="BP118" s="9"/>
      <c r="BQ118" s="40"/>
      <c r="BR118" s="9"/>
      <c r="BS118" s="40"/>
      <c r="BT118" s="9"/>
      <c r="BU118" s="40"/>
      <c r="BV118" s="9"/>
      <c r="BW118" s="9"/>
      <c r="BX118" s="9"/>
      <c r="BY118" s="40"/>
      <c r="BZ118" s="40"/>
      <c r="CA118" s="36" t="str">
        <f aca="false">IF(BZ118="","",EDATE(BZ118,SG_Criteria!$B$54*12))</f>
        <v/>
      </c>
      <c r="CB118" s="33" t="str">
        <f aca="true">IF(A118="","",IF(BZ118="","NOTE: not reviewed yet",IF(TODAY()&gt;CA118,"NOTE: review overdue","OK")))</f>
        <v/>
      </c>
      <c r="CC118" s="37" t="str">
        <f aca="false">IF(A118="","",ROUND((IF(LEN(D118)&gt;0,1,0)+IF(LEN(E118)&gt;0,1,0)+IF(LEN(F118)&gt;0,1,0)+IF(LEN(G118)&gt;0,1,0)+IF(LEN(H118)&gt;0,1,0)+IF(LEN(I118)&gt;0,1,0)+IF(LEN(K118)&gt;0,1,0)+IF(LEN(N118)&gt;0,1,0)+IF(LEN(O118)&gt;0,1,0)+IF(LEN(T118)&gt;0,1,0)+IF(LEN(U118)&gt;0,1,0)+IF(LEN(V118)&gt;0,1,0)+IF(LEN(AK118)&gt;0,1,0)+IF(LEN(AM118)&gt;0,1,0)+IF(LEN(AN118)&gt;0,1,0)+IF(LEN(AO118)&gt;0,1,0)+IF(LEN(AP118)&gt;0,1,0)+IF(LEN(AY118)&gt;0,1,0)+IF(LEN(BK118)&gt;0,1,0)+IF(LEN(BX118)&gt;0,1,0))/20,2))</f>
        <v/>
      </c>
      <c r="CD118" s="10" t="str">
        <f aca="false">IF(D118="","",IF(AND(AN118="Approved",ISERROR(SEARCH("FAIL",BH118))),"Y","N"))</f>
        <v/>
      </c>
      <c r="CE118" s="10" t="str">
        <f aca="false">IF(D118="","",D118&amp;"|"&amp;F118&amp;"|"&amp;G118&amp;"|"&amp;H118&amp;"|"&amp;E118&amp;"|"&amp;CD118)</f>
        <v/>
      </c>
    </row>
    <row r="119" customFormat="false" ht="15" hidden="false" customHeight="false" outlineLevel="0" collapsed="false">
      <c r="A119" s="10" t="str">
        <f aca="false">IF(D119="","","EW-"&amp;IFERROR(VLOOKUP(D119,Lists!$P$4:$Q$22,2,0),"??")&amp;"-D"&amp;TEXT(F119*1000,"0000")&amp;"-"&amp;IFERROR(VLOOKUP(G119,Lists!$S$4:$T$21,2,0),"??")&amp;"-"&amp;IFERROR(VLOOKUP(H119,Lists!$Y$4:$Z$21,2,0),"??")&amp;"-"&amp;IFERROR(VLOOKUP(E119,Lists!$V$4:$W$16,2,0),"??")&amp;"-"&amp;AM119)</f>
        <v/>
      </c>
      <c r="B119" s="10" t="str">
        <f aca="false">IF(D119="","",E119&amp;" "&amp;D119&amp;", excavation "&amp;TEXT(F119,"0.0")&amp;" m, "&amp;G119&amp;", "&amp;H119&amp;", "&amp;K119)</f>
        <v/>
      </c>
      <c r="C119" s="9"/>
      <c r="D119" s="9"/>
      <c r="E119" s="9"/>
      <c r="F119" s="42"/>
      <c r="G119" s="9"/>
      <c r="H119" s="9"/>
      <c r="I119" s="42"/>
      <c r="J119" s="38"/>
      <c r="K119" s="9"/>
      <c r="L119" s="9"/>
      <c r="M119" s="9"/>
      <c r="N119" s="42"/>
      <c r="O119" s="42"/>
      <c r="P119" s="9"/>
      <c r="Q119" s="9"/>
      <c r="R119" s="9"/>
      <c r="S119" s="9"/>
      <c r="T119" s="38"/>
      <c r="U119" s="38"/>
      <c r="V119" s="38"/>
      <c r="W119" s="38"/>
      <c r="X119" s="38"/>
      <c r="Y119" s="9"/>
      <c r="Z119" s="39"/>
      <c r="AA119" s="9"/>
      <c r="AB119" s="9"/>
      <c r="AC119" s="9"/>
      <c r="AD119" s="9"/>
      <c r="AE119" s="9"/>
      <c r="AF119" s="9"/>
      <c r="AG119" s="9"/>
      <c r="AH119" s="38"/>
      <c r="AI119" s="9"/>
      <c r="AJ119" s="39"/>
      <c r="AK119" s="9"/>
      <c r="AL119" s="9"/>
      <c r="AM119" s="9"/>
      <c r="AN119" s="9"/>
      <c r="AO119" s="9"/>
      <c r="AP119" s="9"/>
      <c r="AQ119" s="9"/>
      <c r="AR119" s="10" t="str">
        <f aca="false">IF(A119="","",SG_Criteria!$B$6&amp;SG_Criteria!$B$9&amp;"\"&amp;A119&amp;"\")</f>
        <v/>
      </c>
      <c r="AS119" s="10" t="str">
        <f aca="false">IF(A119="","",A119&amp;"_CAD.dwg")</f>
        <v/>
      </c>
      <c r="AT119" s="10" t="str">
        <f aca="false">IF(A119="","",A119&amp;"_DWG.pdf")</f>
        <v/>
      </c>
      <c r="AU119" s="10" t="str">
        <f aca="false">IF(A119="","",IF(AQ119="Y",A119&amp;"_STAAD.std","n/a"))</f>
        <v/>
      </c>
      <c r="AV119" s="10" t="str">
        <f aca="false">IF(A119="","",A119&amp;"_CALC.xlsx")</f>
        <v/>
      </c>
      <c r="AW119" s="10" t="str">
        <f aca="false">IF(A119="","",A119&amp;"_CALC.pdf")</f>
        <v/>
      </c>
      <c r="AX119" s="9"/>
      <c r="AY119" s="9"/>
      <c r="AZ119" s="39"/>
      <c r="BA119" s="39"/>
      <c r="BB119" s="39"/>
      <c r="BC119" s="39"/>
      <c r="BD119" s="39"/>
      <c r="BE119" s="12" t="str">
        <f aca="false">IF(A119="","",IF(COUNTIF(Rebar_Schedule!$A$5:$A$2004,A119)=0,"",ROUND(SUMIF(Rebar_Schedule!$A$5:$A$2004,A119,Rebar_Schedule!$K$5:$K$2004),1)))</f>
        <v/>
      </c>
      <c r="BF119" s="33" t="str">
        <f aca="false">IF(A119="","",IF(BE119="","No rebar schedule yet",IF(ABS(BE119-N(BA119))/MAX(N(BA119),1)&gt;SG_Criteria!$B$55,"NOTE: register rebar differs from schedule by "&amp;TEXT(ABS(BE119-N(BA119))/MAX(N(BA119),1),"0%"),"OK")))</f>
        <v/>
      </c>
      <c r="BG119" s="33" t="str">
        <f aca="false">IF(OR(D119="",F119=""),"",IF(F119&lt;=IF(D119="Soldier Pile &amp; Timber Lagging",SG_Criteria!$B$34,SG_Criteria!$B$33),"No ERSS submission",IF(F119&lt;=SG_Criteria!$B$35,"QP(ST)",IF(F119&lt;=SG_Criteria!$B$36,"QP(ST) + AC","Geotechnical building works: QP(Geo) + AC"))))</f>
        <v/>
      </c>
      <c r="BH119" s="33" t="str">
        <f aca="false">IF(D119="","",IF(LEN(IF(AND(AC119&lt;&gt;"",IFERROR(VALUE(MID(AC119,2,2)),0)&lt;SG_Criteria!$B$19),"FAIL: grade below C"&amp;SG_Criteria!$B$19&amp;". ","")&amp;IF(AND(LEFT(D119,3)="Con",N(I119)&lt;F119,H119="Kallang Formation (marine clay)"),"NOTE: CBP is not watertight below GWT in marine clay; consider secant / grouting. ","")&amp;IF(AND(D119="Steel Sheet Pile",E119="Permanent"),"NOTE: permanent sheet pile needs corrosion allowance. ","")&amp;IF(AND(G119="Cantilever (no support)",F119&gt;6),"NOTE: cantilever embedded wall &gt; 6 m, check deflection. ","")&amp;IF(AND(T119&lt;&gt;"",U119&lt;&gt;"",T119&gt;U119),"FAIL: deflection exceeds allowable. ",""))=0,"OK",IF(AND(AC119&lt;&gt;"",IFERROR(VALUE(MID(AC119,2,2)),0)&lt;SG_Criteria!$B$19),"FAIL: grade below C"&amp;SG_Criteria!$B$19&amp;". ","")&amp;IF(AND(LEFT(D119,3)="Con",N(I119)&lt;F119,H119="Kallang Formation (marine clay)"),"NOTE: CBP is not watertight below GWT in marine clay; consider secant / grouting. ","")&amp;IF(AND(D119="Steel Sheet Pile",E119="Permanent"),"NOTE: permanent sheet pile needs corrosion allowance. ","")&amp;IF(AND(G119="Cantilever (no support)",F119&gt;6),"NOTE: cantilever embedded wall &gt; 6 m, check deflection. ","")&amp;IF(AND(T119&lt;&gt;"",U119&lt;&gt;"",T119&gt;U119),"FAIL: deflection exceeds allowable. ","")))</f>
        <v/>
      </c>
      <c r="BI119" s="9"/>
      <c r="BJ119" s="9"/>
      <c r="BK119" s="9"/>
      <c r="BL119" s="10" t="str">
        <f aca="false">IF(BK119="","",IFERROR(VLOOKUP(BK119,Projects!$A$5:$D$504,2,0),"Ref not in Projects"))</f>
        <v/>
      </c>
      <c r="BM119" s="10" t="str">
        <f aca="false">IF(BK119="","",IFERROR(VLOOKUP(BK119,Projects!$A$5:$D$504,4,0),"Ref not in Projects"))</f>
        <v/>
      </c>
      <c r="BN119" s="9"/>
      <c r="BO119" s="9"/>
      <c r="BP119" s="9"/>
      <c r="BQ119" s="40"/>
      <c r="BR119" s="9"/>
      <c r="BS119" s="40"/>
      <c r="BT119" s="9"/>
      <c r="BU119" s="40"/>
      <c r="BV119" s="9"/>
      <c r="BW119" s="9"/>
      <c r="BX119" s="9"/>
      <c r="BY119" s="40"/>
      <c r="BZ119" s="40"/>
      <c r="CA119" s="36" t="str">
        <f aca="false">IF(BZ119="","",EDATE(BZ119,SG_Criteria!$B$54*12))</f>
        <v/>
      </c>
      <c r="CB119" s="33" t="str">
        <f aca="true">IF(A119="","",IF(BZ119="","NOTE: not reviewed yet",IF(TODAY()&gt;CA119,"NOTE: review overdue","OK")))</f>
        <v/>
      </c>
      <c r="CC119" s="37" t="str">
        <f aca="false">IF(A119="","",ROUND((IF(LEN(D119)&gt;0,1,0)+IF(LEN(E119)&gt;0,1,0)+IF(LEN(F119)&gt;0,1,0)+IF(LEN(G119)&gt;0,1,0)+IF(LEN(H119)&gt;0,1,0)+IF(LEN(I119)&gt;0,1,0)+IF(LEN(K119)&gt;0,1,0)+IF(LEN(N119)&gt;0,1,0)+IF(LEN(O119)&gt;0,1,0)+IF(LEN(T119)&gt;0,1,0)+IF(LEN(U119)&gt;0,1,0)+IF(LEN(V119)&gt;0,1,0)+IF(LEN(AK119)&gt;0,1,0)+IF(LEN(AM119)&gt;0,1,0)+IF(LEN(AN119)&gt;0,1,0)+IF(LEN(AO119)&gt;0,1,0)+IF(LEN(AP119)&gt;0,1,0)+IF(LEN(AY119)&gt;0,1,0)+IF(LEN(BK119)&gt;0,1,0)+IF(LEN(BX119)&gt;0,1,0))/20,2))</f>
        <v/>
      </c>
      <c r="CD119" s="10" t="str">
        <f aca="false">IF(D119="","",IF(AND(AN119="Approved",ISERROR(SEARCH("FAIL",BH119))),"Y","N"))</f>
        <v/>
      </c>
      <c r="CE119" s="10" t="str">
        <f aca="false">IF(D119="","",D119&amp;"|"&amp;F119&amp;"|"&amp;G119&amp;"|"&amp;H119&amp;"|"&amp;E119&amp;"|"&amp;CD119)</f>
        <v/>
      </c>
    </row>
    <row r="120" customFormat="false" ht="15" hidden="false" customHeight="false" outlineLevel="0" collapsed="false">
      <c r="A120" s="10" t="str">
        <f aca="false">IF(D120="","","EW-"&amp;IFERROR(VLOOKUP(D120,Lists!$P$4:$Q$22,2,0),"??")&amp;"-D"&amp;TEXT(F120*1000,"0000")&amp;"-"&amp;IFERROR(VLOOKUP(G120,Lists!$S$4:$T$21,2,0),"??")&amp;"-"&amp;IFERROR(VLOOKUP(H120,Lists!$Y$4:$Z$21,2,0),"??")&amp;"-"&amp;IFERROR(VLOOKUP(E120,Lists!$V$4:$W$16,2,0),"??")&amp;"-"&amp;AM120)</f>
        <v/>
      </c>
      <c r="B120" s="10" t="str">
        <f aca="false">IF(D120="","",E120&amp;" "&amp;D120&amp;", excavation "&amp;TEXT(F120,"0.0")&amp;" m, "&amp;G120&amp;", "&amp;H120&amp;", "&amp;K120)</f>
        <v/>
      </c>
      <c r="C120" s="9"/>
      <c r="D120" s="9"/>
      <c r="E120" s="9"/>
      <c r="F120" s="42"/>
      <c r="G120" s="9"/>
      <c r="H120" s="9"/>
      <c r="I120" s="42"/>
      <c r="J120" s="38"/>
      <c r="K120" s="9"/>
      <c r="L120" s="9"/>
      <c r="M120" s="9"/>
      <c r="N120" s="42"/>
      <c r="O120" s="42"/>
      <c r="P120" s="9"/>
      <c r="Q120" s="9"/>
      <c r="R120" s="9"/>
      <c r="S120" s="9"/>
      <c r="T120" s="38"/>
      <c r="U120" s="38"/>
      <c r="V120" s="38"/>
      <c r="W120" s="38"/>
      <c r="X120" s="38"/>
      <c r="Y120" s="9"/>
      <c r="Z120" s="39"/>
      <c r="AA120" s="9"/>
      <c r="AB120" s="9"/>
      <c r="AC120" s="9"/>
      <c r="AD120" s="9"/>
      <c r="AE120" s="9"/>
      <c r="AF120" s="9"/>
      <c r="AG120" s="9"/>
      <c r="AH120" s="38"/>
      <c r="AI120" s="9"/>
      <c r="AJ120" s="39"/>
      <c r="AK120" s="9"/>
      <c r="AL120" s="9"/>
      <c r="AM120" s="9"/>
      <c r="AN120" s="9"/>
      <c r="AO120" s="9"/>
      <c r="AP120" s="9"/>
      <c r="AQ120" s="9"/>
      <c r="AR120" s="10" t="str">
        <f aca="false">IF(A120="","",SG_Criteria!$B$6&amp;SG_Criteria!$B$9&amp;"\"&amp;A120&amp;"\")</f>
        <v/>
      </c>
      <c r="AS120" s="10" t="str">
        <f aca="false">IF(A120="","",A120&amp;"_CAD.dwg")</f>
        <v/>
      </c>
      <c r="AT120" s="10" t="str">
        <f aca="false">IF(A120="","",A120&amp;"_DWG.pdf")</f>
        <v/>
      </c>
      <c r="AU120" s="10" t="str">
        <f aca="false">IF(A120="","",IF(AQ120="Y",A120&amp;"_STAAD.std","n/a"))</f>
        <v/>
      </c>
      <c r="AV120" s="10" t="str">
        <f aca="false">IF(A120="","",A120&amp;"_CALC.xlsx")</f>
        <v/>
      </c>
      <c r="AW120" s="10" t="str">
        <f aca="false">IF(A120="","",A120&amp;"_CALC.pdf")</f>
        <v/>
      </c>
      <c r="AX120" s="9"/>
      <c r="AY120" s="9"/>
      <c r="AZ120" s="39"/>
      <c r="BA120" s="39"/>
      <c r="BB120" s="39"/>
      <c r="BC120" s="39"/>
      <c r="BD120" s="39"/>
      <c r="BE120" s="12" t="str">
        <f aca="false">IF(A120="","",IF(COUNTIF(Rebar_Schedule!$A$5:$A$2004,A120)=0,"",ROUND(SUMIF(Rebar_Schedule!$A$5:$A$2004,A120,Rebar_Schedule!$K$5:$K$2004),1)))</f>
        <v/>
      </c>
      <c r="BF120" s="33" t="str">
        <f aca="false">IF(A120="","",IF(BE120="","No rebar schedule yet",IF(ABS(BE120-N(BA120))/MAX(N(BA120),1)&gt;SG_Criteria!$B$55,"NOTE: register rebar differs from schedule by "&amp;TEXT(ABS(BE120-N(BA120))/MAX(N(BA120),1),"0%"),"OK")))</f>
        <v/>
      </c>
      <c r="BG120" s="33" t="str">
        <f aca="false">IF(OR(D120="",F120=""),"",IF(F120&lt;=IF(D120="Soldier Pile &amp; Timber Lagging",SG_Criteria!$B$34,SG_Criteria!$B$33),"No ERSS submission",IF(F120&lt;=SG_Criteria!$B$35,"QP(ST)",IF(F120&lt;=SG_Criteria!$B$36,"QP(ST) + AC","Geotechnical building works: QP(Geo) + AC"))))</f>
        <v/>
      </c>
      <c r="BH120" s="33" t="str">
        <f aca="false">IF(D120="","",IF(LEN(IF(AND(AC120&lt;&gt;"",IFERROR(VALUE(MID(AC120,2,2)),0)&lt;SG_Criteria!$B$19),"FAIL: grade below C"&amp;SG_Criteria!$B$19&amp;". ","")&amp;IF(AND(LEFT(D120,3)="Con",N(I120)&lt;F120,H120="Kallang Formation (marine clay)"),"NOTE: CBP is not watertight below GWT in marine clay; consider secant / grouting. ","")&amp;IF(AND(D120="Steel Sheet Pile",E120="Permanent"),"NOTE: permanent sheet pile needs corrosion allowance. ","")&amp;IF(AND(G120="Cantilever (no support)",F120&gt;6),"NOTE: cantilever embedded wall &gt; 6 m, check deflection. ","")&amp;IF(AND(T120&lt;&gt;"",U120&lt;&gt;"",T120&gt;U120),"FAIL: deflection exceeds allowable. ",""))=0,"OK",IF(AND(AC120&lt;&gt;"",IFERROR(VALUE(MID(AC120,2,2)),0)&lt;SG_Criteria!$B$19),"FAIL: grade below C"&amp;SG_Criteria!$B$19&amp;". ","")&amp;IF(AND(LEFT(D120,3)="Con",N(I120)&lt;F120,H120="Kallang Formation (marine clay)"),"NOTE: CBP is not watertight below GWT in marine clay; consider secant / grouting. ","")&amp;IF(AND(D120="Steel Sheet Pile",E120="Permanent"),"NOTE: permanent sheet pile needs corrosion allowance. ","")&amp;IF(AND(G120="Cantilever (no support)",F120&gt;6),"NOTE: cantilever embedded wall &gt; 6 m, check deflection. ","")&amp;IF(AND(T120&lt;&gt;"",U120&lt;&gt;"",T120&gt;U120),"FAIL: deflection exceeds allowable. ","")))</f>
        <v/>
      </c>
      <c r="BI120" s="9"/>
      <c r="BJ120" s="9"/>
      <c r="BK120" s="9"/>
      <c r="BL120" s="10" t="str">
        <f aca="false">IF(BK120="","",IFERROR(VLOOKUP(BK120,Projects!$A$5:$D$504,2,0),"Ref not in Projects"))</f>
        <v/>
      </c>
      <c r="BM120" s="10" t="str">
        <f aca="false">IF(BK120="","",IFERROR(VLOOKUP(BK120,Projects!$A$5:$D$504,4,0),"Ref not in Projects"))</f>
        <v/>
      </c>
      <c r="BN120" s="9"/>
      <c r="BO120" s="9"/>
      <c r="BP120" s="9"/>
      <c r="BQ120" s="40"/>
      <c r="BR120" s="9"/>
      <c r="BS120" s="40"/>
      <c r="BT120" s="9"/>
      <c r="BU120" s="40"/>
      <c r="BV120" s="9"/>
      <c r="BW120" s="9"/>
      <c r="BX120" s="9"/>
      <c r="BY120" s="40"/>
      <c r="BZ120" s="40"/>
      <c r="CA120" s="36" t="str">
        <f aca="false">IF(BZ120="","",EDATE(BZ120,SG_Criteria!$B$54*12))</f>
        <v/>
      </c>
      <c r="CB120" s="33" t="str">
        <f aca="true">IF(A120="","",IF(BZ120="","NOTE: not reviewed yet",IF(TODAY()&gt;CA120,"NOTE: review overdue","OK")))</f>
        <v/>
      </c>
      <c r="CC120" s="37" t="str">
        <f aca="false">IF(A120="","",ROUND((IF(LEN(D120)&gt;0,1,0)+IF(LEN(E120)&gt;0,1,0)+IF(LEN(F120)&gt;0,1,0)+IF(LEN(G120)&gt;0,1,0)+IF(LEN(H120)&gt;0,1,0)+IF(LEN(I120)&gt;0,1,0)+IF(LEN(K120)&gt;0,1,0)+IF(LEN(N120)&gt;0,1,0)+IF(LEN(O120)&gt;0,1,0)+IF(LEN(T120)&gt;0,1,0)+IF(LEN(U120)&gt;0,1,0)+IF(LEN(V120)&gt;0,1,0)+IF(LEN(AK120)&gt;0,1,0)+IF(LEN(AM120)&gt;0,1,0)+IF(LEN(AN120)&gt;0,1,0)+IF(LEN(AO120)&gt;0,1,0)+IF(LEN(AP120)&gt;0,1,0)+IF(LEN(AY120)&gt;0,1,0)+IF(LEN(BK120)&gt;0,1,0)+IF(LEN(BX120)&gt;0,1,0))/20,2))</f>
        <v/>
      </c>
      <c r="CD120" s="10" t="str">
        <f aca="false">IF(D120="","",IF(AND(AN120="Approved",ISERROR(SEARCH("FAIL",BH120))),"Y","N"))</f>
        <v/>
      </c>
      <c r="CE120" s="10" t="str">
        <f aca="false">IF(D120="","",D120&amp;"|"&amp;F120&amp;"|"&amp;G120&amp;"|"&amp;H120&amp;"|"&amp;E120&amp;"|"&amp;CD120)</f>
        <v/>
      </c>
    </row>
    <row r="121" customFormat="false" ht="15" hidden="false" customHeight="false" outlineLevel="0" collapsed="false">
      <c r="A121" s="10" t="str">
        <f aca="false">IF(D121="","","EW-"&amp;IFERROR(VLOOKUP(D121,Lists!$P$4:$Q$22,2,0),"??")&amp;"-D"&amp;TEXT(F121*1000,"0000")&amp;"-"&amp;IFERROR(VLOOKUP(G121,Lists!$S$4:$T$21,2,0),"??")&amp;"-"&amp;IFERROR(VLOOKUP(H121,Lists!$Y$4:$Z$21,2,0),"??")&amp;"-"&amp;IFERROR(VLOOKUP(E121,Lists!$V$4:$W$16,2,0),"??")&amp;"-"&amp;AM121)</f>
        <v/>
      </c>
      <c r="B121" s="10" t="str">
        <f aca="false">IF(D121="","",E121&amp;" "&amp;D121&amp;", excavation "&amp;TEXT(F121,"0.0")&amp;" m, "&amp;G121&amp;", "&amp;H121&amp;", "&amp;K121)</f>
        <v/>
      </c>
      <c r="C121" s="9"/>
      <c r="D121" s="9"/>
      <c r="E121" s="9"/>
      <c r="F121" s="42"/>
      <c r="G121" s="9"/>
      <c r="H121" s="9"/>
      <c r="I121" s="42"/>
      <c r="J121" s="38"/>
      <c r="K121" s="9"/>
      <c r="L121" s="9"/>
      <c r="M121" s="9"/>
      <c r="N121" s="42"/>
      <c r="O121" s="42"/>
      <c r="P121" s="9"/>
      <c r="Q121" s="9"/>
      <c r="R121" s="9"/>
      <c r="S121" s="9"/>
      <c r="T121" s="38"/>
      <c r="U121" s="38"/>
      <c r="V121" s="38"/>
      <c r="W121" s="38"/>
      <c r="X121" s="38"/>
      <c r="Y121" s="9"/>
      <c r="Z121" s="39"/>
      <c r="AA121" s="9"/>
      <c r="AB121" s="9"/>
      <c r="AC121" s="9"/>
      <c r="AD121" s="9"/>
      <c r="AE121" s="9"/>
      <c r="AF121" s="9"/>
      <c r="AG121" s="9"/>
      <c r="AH121" s="38"/>
      <c r="AI121" s="9"/>
      <c r="AJ121" s="39"/>
      <c r="AK121" s="9"/>
      <c r="AL121" s="9"/>
      <c r="AM121" s="9"/>
      <c r="AN121" s="9"/>
      <c r="AO121" s="9"/>
      <c r="AP121" s="9"/>
      <c r="AQ121" s="9"/>
      <c r="AR121" s="10" t="str">
        <f aca="false">IF(A121="","",SG_Criteria!$B$6&amp;SG_Criteria!$B$9&amp;"\"&amp;A121&amp;"\")</f>
        <v/>
      </c>
      <c r="AS121" s="10" t="str">
        <f aca="false">IF(A121="","",A121&amp;"_CAD.dwg")</f>
        <v/>
      </c>
      <c r="AT121" s="10" t="str">
        <f aca="false">IF(A121="","",A121&amp;"_DWG.pdf")</f>
        <v/>
      </c>
      <c r="AU121" s="10" t="str">
        <f aca="false">IF(A121="","",IF(AQ121="Y",A121&amp;"_STAAD.std","n/a"))</f>
        <v/>
      </c>
      <c r="AV121" s="10" t="str">
        <f aca="false">IF(A121="","",A121&amp;"_CALC.xlsx")</f>
        <v/>
      </c>
      <c r="AW121" s="10" t="str">
        <f aca="false">IF(A121="","",A121&amp;"_CALC.pdf")</f>
        <v/>
      </c>
      <c r="AX121" s="9"/>
      <c r="AY121" s="9"/>
      <c r="AZ121" s="39"/>
      <c r="BA121" s="39"/>
      <c r="BB121" s="39"/>
      <c r="BC121" s="39"/>
      <c r="BD121" s="39"/>
      <c r="BE121" s="12" t="str">
        <f aca="false">IF(A121="","",IF(COUNTIF(Rebar_Schedule!$A$5:$A$2004,A121)=0,"",ROUND(SUMIF(Rebar_Schedule!$A$5:$A$2004,A121,Rebar_Schedule!$K$5:$K$2004),1)))</f>
        <v/>
      </c>
      <c r="BF121" s="33" t="str">
        <f aca="false">IF(A121="","",IF(BE121="","No rebar schedule yet",IF(ABS(BE121-N(BA121))/MAX(N(BA121),1)&gt;SG_Criteria!$B$55,"NOTE: register rebar differs from schedule by "&amp;TEXT(ABS(BE121-N(BA121))/MAX(N(BA121),1),"0%"),"OK")))</f>
        <v/>
      </c>
      <c r="BG121" s="33" t="str">
        <f aca="false">IF(OR(D121="",F121=""),"",IF(F121&lt;=IF(D121="Soldier Pile &amp; Timber Lagging",SG_Criteria!$B$34,SG_Criteria!$B$33),"No ERSS submission",IF(F121&lt;=SG_Criteria!$B$35,"QP(ST)",IF(F121&lt;=SG_Criteria!$B$36,"QP(ST) + AC","Geotechnical building works: QP(Geo) + AC"))))</f>
        <v/>
      </c>
      <c r="BH121" s="33" t="str">
        <f aca="false">IF(D121="","",IF(LEN(IF(AND(AC121&lt;&gt;"",IFERROR(VALUE(MID(AC121,2,2)),0)&lt;SG_Criteria!$B$19),"FAIL: grade below C"&amp;SG_Criteria!$B$19&amp;". ","")&amp;IF(AND(LEFT(D121,3)="Con",N(I121)&lt;F121,H121="Kallang Formation (marine clay)"),"NOTE: CBP is not watertight below GWT in marine clay; consider secant / grouting. ","")&amp;IF(AND(D121="Steel Sheet Pile",E121="Permanent"),"NOTE: permanent sheet pile needs corrosion allowance. ","")&amp;IF(AND(G121="Cantilever (no support)",F121&gt;6),"NOTE: cantilever embedded wall &gt; 6 m, check deflection. ","")&amp;IF(AND(T121&lt;&gt;"",U121&lt;&gt;"",T121&gt;U121),"FAIL: deflection exceeds allowable. ",""))=0,"OK",IF(AND(AC121&lt;&gt;"",IFERROR(VALUE(MID(AC121,2,2)),0)&lt;SG_Criteria!$B$19),"FAIL: grade below C"&amp;SG_Criteria!$B$19&amp;". ","")&amp;IF(AND(LEFT(D121,3)="Con",N(I121)&lt;F121,H121="Kallang Formation (marine clay)"),"NOTE: CBP is not watertight below GWT in marine clay; consider secant / grouting. ","")&amp;IF(AND(D121="Steel Sheet Pile",E121="Permanent"),"NOTE: permanent sheet pile needs corrosion allowance. ","")&amp;IF(AND(G121="Cantilever (no support)",F121&gt;6),"NOTE: cantilever embedded wall &gt; 6 m, check deflection. ","")&amp;IF(AND(T121&lt;&gt;"",U121&lt;&gt;"",T121&gt;U121),"FAIL: deflection exceeds allowable. ","")))</f>
        <v/>
      </c>
      <c r="BI121" s="9"/>
      <c r="BJ121" s="9"/>
      <c r="BK121" s="9"/>
      <c r="BL121" s="10" t="str">
        <f aca="false">IF(BK121="","",IFERROR(VLOOKUP(BK121,Projects!$A$5:$D$504,2,0),"Ref not in Projects"))</f>
        <v/>
      </c>
      <c r="BM121" s="10" t="str">
        <f aca="false">IF(BK121="","",IFERROR(VLOOKUP(BK121,Projects!$A$5:$D$504,4,0),"Ref not in Projects"))</f>
        <v/>
      </c>
      <c r="BN121" s="9"/>
      <c r="BO121" s="9"/>
      <c r="BP121" s="9"/>
      <c r="BQ121" s="40"/>
      <c r="BR121" s="9"/>
      <c r="BS121" s="40"/>
      <c r="BT121" s="9"/>
      <c r="BU121" s="40"/>
      <c r="BV121" s="9"/>
      <c r="BW121" s="9"/>
      <c r="BX121" s="9"/>
      <c r="BY121" s="40"/>
      <c r="BZ121" s="40"/>
      <c r="CA121" s="36" t="str">
        <f aca="false">IF(BZ121="","",EDATE(BZ121,SG_Criteria!$B$54*12))</f>
        <v/>
      </c>
      <c r="CB121" s="33" t="str">
        <f aca="true">IF(A121="","",IF(BZ121="","NOTE: not reviewed yet",IF(TODAY()&gt;CA121,"NOTE: review overdue","OK")))</f>
        <v/>
      </c>
      <c r="CC121" s="37" t="str">
        <f aca="false">IF(A121="","",ROUND((IF(LEN(D121)&gt;0,1,0)+IF(LEN(E121)&gt;0,1,0)+IF(LEN(F121)&gt;0,1,0)+IF(LEN(G121)&gt;0,1,0)+IF(LEN(H121)&gt;0,1,0)+IF(LEN(I121)&gt;0,1,0)+IF(LEN(K121)&gt;0,1,0)+IF(LEN(N121)&gt;0,1,0)+IF(LEN(O121)&gt;0,1,0)+IF(LEN(T121)&gt;0,1,0)+IF(LEN(U121)&gt;0,1,0)+IF(LEN(V121)&gt;0,1,0)+IF(LEN(AK121)&gt;0,1,0)+IF(LEN(AM121)&gt;0,1,0)+IF(LEN(AN121)&gt;0,1,0)+IF(LEN(AO121)&gt;0,1,0)+IF(LEN(AP121)&gt;0,1,0)+IF(LEN(AY121)&gt;0,1,0)+IF(LEN(BK121)&gt;0,1,0)+IF(LEN(BX121)&gt;0,1,0))/20,2))</f>
        <v/>
      </c>
      <c r="CD121" s="10" t="str">
        <f aca="false">IF(D121="","",IF(AND(AN121="Approved",ISERROR(SEARCH("FAIL",BH121))),"Y","N"))</f>
        <v/>
      </c>
      <c r="CE121" s="10" t="str">
        <f aca="false">IF(D121="","",D121&amp;"|"&amp;F121&amp;"|"&amp;G121&amp;"|"&amp;H121&amp;"|"&amp;E121&amp;"|"&amp;CD121)</f>
        <v/>
      </c>
    </row>
    <row r="122" customFormat="false" ht="15" hidden="false" customHeight="false" outlineLevel="0" collapsed="false">
      <c r="A122" s="10" t="str">
        <f aca="false">IF(D122="","","EW-"&amp;IFERROR(VLOOKUP(D122,Lists!$P$4:$Q$22,2,0),"??")&amp;"-D"&amp;TEXT(F122*1000,"0000")&amp;"-"&amp;IFERROR(VLOOKUP(G122,Lists!$S$4:$T$21,2,0),"??")&amp;"-"&amp;IFERROR(VLOOKUP(H122,Lists!$Y$4:$Z$21,2,0),"??")&amp;"-"&amp;IFERROR(VLOOKUP(E122,Lists!$V$4:$W$16,2,0),"??")&amp;"-"&amp;AM122)</f>
        <v/>
      </c>
      <c r="B122" s="10" t="str">
        <f aca="false">IF(D122="","",E122&amp;" "&amp;D122&amp;", excavation "&amp;TEXT(F122,"0.0")&amp;" m, "&amp;G122&amp;", "&amp;H122&amp;", "&amp;K122)</f>
        <v/>
      </c>
      <c r="C122" s="9"/>
      <c r="D122" s="9"/>
      <c r="E122" s="9"/>
      <c r="F122" s="42"/>
      <c r="G122" s="9"/>
      <c r="H122" s="9"/>
      <c r="I122" s="42"/>
      <c r="J122" s="38"/>
      <c r="K122" s="9"/>
      <c r="L122" s="9"/>
      <c r="M122" s="9"/>
      <c r="N122" s="42"/>
      <c r="O122" s="42"/>
      <c r="P122" s="9"/>
      <c r="Q122" s="9"/>
      <c r="R122" s="9"/>
      <c r="S122" s="9"/>
      <c r="T122" s="38"/>
      <c r="U122" s="38"/>
      <c r="V122" s="38"/>
      <c r="W122" s="38"/>
      <c r="X122" s="38"/>
      <c r="Y122" s="9"/>
      <c r="Z122" s="39"/>
      <c r="AA122" s="9"/>
      <c r="AB122" s="9"/>
      <c r="AC122" s="9"/>
      <c r="AD122" s="9"/>
      <c r="AE122" s="9"/>
      <c r="AF122" s="9"/>
      <c r="AG122" s="9"/>
      <c r="AH122" s="38"/>
      <c r="AI122" s="9"/>
      <c r="AJ122" s="39"/>
      <c r="AK122" s="9"/>
      <c r="AL122" s="9"/>
      <c r="AM122" s="9"/>
      <c r="AN122" s="9"/>
      <c r="AO122" s="9"/>
      <c r="AP122" s="9"/>
      <c r="AQ122" s="9"/>
      <c r="AR122" s="10" t="str">
        <f aca="false">IF(A122="","",SG_Criteria!$B$6&amp;SG_Criteria!$B$9&amp;"\"&amp;A122&amp;"\")</f>
        <v/>
      </c>
      <c r="AS122" s="10" t="str">
        <f aca="false">IF(A122="","",A122&amp;"_CAD.dwg")</f>
        <v/>
      </c>
      <c r="AT122" s="10" t="str">
        <f aca="false">IF(A122="","",A122&amp;"_DWG.pdf")</f>
        <v/>
      </c>
      <c r="AU122" s="10" t="str">
        <f aca="false">IF(A122="","",IF(AQ122="Y",A122&amp;"_STAAD.std","n/a"))</f>
        <v/>
      </c>
      <c r="AV122" s="10" t="str">
        <f aca="false">IF(A122="","",A122&amp;"_CALC.xlsx")</f>
        <v/>
      </c>
      <c r="AW122" s="10" t="str">
        <f aca="false">IF(A122="","",A122&amp;"_CALC.pdf")</f>
        <v/>
      </c>
      <c r="AX122" s="9"/>
      <c r="AY122" s="9"/>
      <c r="AZ122" s="39"/>
      <c r="BA122" s="39"/>
      <c r="BB122" s="39"/>
      <c r="BC122" s="39"/>
      <c r="BD122" s="39"/>
      <c r="BE122" s="12" t="str">
        <f aca="false">IF(A122="","",IF(COUNTIF(Rebar_Schedule!$A$5:$A$2004,A122)=0,"",ROUND(SUMIF(Rebar_Schedule!$A$5:$A$2004,A122,Rebar_Schedule!$K$5:$K$2004),1)))</f>
        <v/>
      </c>
      <c r="BF122" s="33" t="str">
        <f aca="false">IF(A122="","",IF(BE122="","No rebar schedule yet",IF(ABS(BE122-N(BA122))/MAX(N(BA122),1)&gt;SG_Criteria!$B$55,"NOTE: register rebar differs from schedule by "&amp;TEXT(ABS(BE122-N(BA122))/MAX(N(BA122),1),"0%"),"OK")))</f>
        <v/>
      </c>
      <c r="BG122" s="33" t="str">
        <f aca="false">IF(OR(D122="",F122=""),"",IF(F122&lt;=IF(D122="Soldier Pile &amp; Timber Lagging",SG_Criteria!$B$34,SG_Criteria!$B$33),"No ERSS submission",IF(F122&lt;=SG_Criteria!$B$35,"QP(ST)",IF(F122&lt;=SG_Criteria!$B$36,"QP(ST) + AC","Geotechnical building works: QP(Geo) + AC"))))</f>
        <v/>
      </c>
      <c r="BH122" s="33" t="str">
        <f aca="false">IF(D122="","",IF(LEN(IF(AND(AC122&lt;&gt;"",IFERROR(VALUE(MID(AC122,2,2)),0)&lt;SG_Criteria!$B$19),"FAIL: grade below C"&amp;SG_Criteria!$B$19&amp;". ","")&amp;IF(AND(LEFT(D122,3)="Con",N(I122)&lt;F122,H122="Kallang Formation (marine clay)"),"NOTE: CBP is not watertight below GWT in marine clay; consider secant / grouting. ","")&amp;IF(AND(D122="Steel Sheet Pile",E122="Permanent"),"NOTE: permanent sheet pile needs corrosion allowance. ","")&amp;IF(AND(G122="Cantilever (no support)",F122&gt;6),"NOTE: cantilever embedded wall &gt; 6 m, check deflection. ","")&amp;IF(AND(T122&lt;&gt;"",U122&lt;&gt;"",T122&gt;U122),"FAIL: deflection exceeds allowable. ",""))=0,"OK",IF(AND(AC122&lt;&gt;"",IFERROR(VALUE(MID(AC122,2,2)),0)&lt;SG_Criteria!$B$19),"FAIL: grade below C"&amp;SG_Criteria!$B$19&amp;". ","")&amp;IF(AND(LEFT(D122,3)="Con",N(I122)&lt;F122,H122="Kallang Formation (marine clay)"),"NOTE: CBP is not watertight below GWT in marine clay; consider secant / grouting. ","")&amp;IF(AND(D122="Steel Sheet Pile",E122="Permanent"),"NOTE: permanent sheet pile needs corrosion allowance. ","")&amp;IF(AND(G122="Cantilever (no support)",F122&gt;6),"NOTE: cantilever embedded wall &gt; 6 m, check deflection. ","")&amp;IF(AND(T122&lt;&gt;"",U122&lt;&gt;"",T122&gt;U122),"FAIL: deflection exceeds allowable. ","")))</f>
        <v/>
      </c>
      <c r="BI122" s="9"/>
      <c r="BJ122" s="9"/>
      <c r="BK122" s="9"/>
      <c r="BL122" s="10" t="str">
        <f aca="false">IF(BK122="","",IFERROR(VLOOKUP(BK122,Projects!$A$5:$D$504,2,0),"Ref not in Projects"))</f>
        <v/>
      </c>
      <c r="BM122" s="10" t="str">
        <f aca="false">IF(BK122="","",IFERROR(VLOOKUP(BK122,Projects!$A$5:$D$504,4,0),"Ref not in Projects"))</f>
        <v/>
      </c>
      <c r="BN122" s="9"/>
      <c r="BO122" s="9"/>
      <c r="BP122" s="9"/>
      <c r="BQ122" s="40"/>
      <c r="BR122" s="9"/>
      <c r="BS122" s="40"/>
      <c r="BT122" s="9"/>
      <c r="BU122" s="40"/>
      <c r="BV122" s="9"/>
      <c r="BW122" s="9"/>
      <c r="BX122" s="9"/>
      <c r="BY122" s="40"/>
      <c r="BZ122" s="40"/>
      <c r="CA122" s="36" t="str">
        <f aca="false">IF(BZ122="","",EDATE(BZ122,SG_Criteria!$B$54*12))</f>
        <v/>
      </c>
      <c r="CB122" s="33" t="str">
        <f aca="true">IF(A122="","",IF(BZ122="","NOTE: not reviewed yet",IF(TODAY()&gt;CA122,"NOTE: review overdue","OK")))</f>
        <v/>
      </c>
      <c r="CC122" s="37" t="str">
        <f aca="false">IF(A122="","",ROUND((IF(LEN(D122)&gt;0,1,0)+IF(LEN(E122)&gt;0,1,0)+IF(LEN(F122)&gt;0,1,0)+IF(LEN(G122)&gt;0,1,0)+IF(LEN(H122)&gt;0,1,0)+IF(LEN(I122)&gt;0,1,0)+IF(LEN(K122)&gt;0,1,0)+IF(LEN(N122)&gt;0,1,0)+IF(LEN(O122)&gt;0,1,0)+IF(LEN(T122)&gt;0,1,0)+IF(LEN(U122)&gt;0,1,0)+IF(LEN(V122)&gt;0,1,0)+IF(LEN(AK122)&gt;0,1,0)+IF(LEN(AM122)&gt;0,1,0)+IF(LEN(AN122)&gt;0,1,0)+IF(LEN(AO122)&gt;0,1,0)+IF(LEN(AP122)&gt;0,1,0)+IF(LEN(AY122)&gt;0,1,0)+IF(LEN(BK122)&gt;0,1,0)+IF(LEN(BX122)&gt;0,1,0))/20,2))</f>
        <v/>
      </c>
      <c r="CD122" s="10" t="str">
        <f aca="false">IF(D122="","",IF(AND(AN122="Approved",ISERROR(SEARCH("FAIL",BH122))),"Y","N"))</f>
        <v/>
      </c>
      <c r="CE122" s="10" t="str">
        <f aca="false">IF(D122="","",D122&amp;"|"&amp;F122&amp;"|"&amp;G122&amp;"|"&amp;H122&amp;"|"&amp;E122&amp;"|"&amp;CD122)</f>
        <v/>
      </c>
    </row>
    <row r="123" customFormat="false" ht="15" hidden="false" customHeight="false" outlineLevel="0" collapsed="false">
      <c r="A123" s="10" t="str">
        <f aca="false">IF(D123="","","EW-"&amp;IFERROR(VLOOKUP(D123,Lists!$P$4:$Q$22,2,0),"??")&amp;"-D"&amp;TEXT(F123*1000,"0000")&amp;"-"&amp;IFERROR(VLOOKUP(G123,Lists!$S$4:$T$21,2,0),"??")&amp;"-"&amp;IFERROR(VLOOKUP(H123,Lists!$Y$4:$Z$21,2,0),"??")&amp;"-"&amp;IFERROR(VLOOKUP(E123,Lists!$V$4:$W$16,2,0),"??")&amp;"-"&amp;AM123)</f>
        <v/>
      </c>
      <c r="B123" s="10" t="str">
        <f aca="false">IF(D123="","",E123&amp;" "&amp;D123&amp;", excavation "&amp;TEXT(F123,"0.0")&amp;" m, "&amp;G123&amp;", "&amp;H123&amp;", "&amp;K123)</f>
        <v/>
      </c>
      <c r="C123" s="9"/>
      <c r="D123" s="9"/>
      <c r="E123" s="9"/>
      <c r="F123" s="42"/>
      <c r="G123" s="9"/>
      <c r="H123" s="9"/>
      <c r="I123" s="42"/>
      <c r="J123" s="38"/>
      <c r="K123" s="9"/>
      <c r="L123" s="9"/>
      <c r="M123" s="9"/>
      <c r="N123" s="42"/>
      <c r="O123" s="42"/>
      <c r="P123" s="9"/>
      <c r="Q123" s="9"/>
      <c r="R123" s="9"/>
      <c r="S123" s="9"/>
      <c r="T123" s="38"/>
      <c r="U123" s="38"/>
      <c r="V123" s="38"/>
      <c r="W123" s="38"/>
      <c r="X123" s="38"/>
      <c r="Y123" s="9"/>
      <c r="Z123" s="39"/>
      <c r="AA123" s="9"/>
      <c r="AB123" s="9"/>
      <c r="AC123" s="9"/>
      <c r="AD123" s="9"/>
      <c r="AE123" s="9"/>
      <c r="AF123" s="9"/>
      <c r="AG123" s="9"/>
      <c r="AH123" s="38"/>
      <c r="AI123" s="9"/>
      <c r="AJ123" s="39"/>
      <c r="AK123" s="9"/>
      <c r="AL123" s="9"/>
      <c r="AM123" s="9"/>
      <c r="AN123" s="9"/>
      <c r="AO123" s="9"/>
      <c r="AP123" s="9"/>
      <c r="AQ123" s="9"/>
      <c r="AR123" s="10" t="str">
        <f aca="false">IF(A123="","",SG_Criteria!$B$6&amp;SG_Criteria!$B$9&amp;"\"&amp;A123&amp;"\")</f>
        <v/>
      </c>
      <c r="AS123" s="10" t="str">
        <f aca="false">IF(A123="","",A123&amp;"_CAD.dwg")</f>
        <v/>
      </c>
      <c r="AT123" s="10" t="str">
        <f aca="false">IF(A123="","",A123&amp;"_DWG.pdf")</f>
        <v/>
      </c>
      <c r="AU123" s="10" t="str">
        <f aca="false">IF(A123="","",IF(AQ123="Y",A123&amp;"_STAAD.std","n/a"))</f>
        <v/>
      </c>
      <c r="AV123" s="10" t="str">
        <f aca="false">IF(A123="","",A123&amp;"_CALC.xlsx")</f>
        <v/>
      </c>
      <c r="AW123" s="10" t="str">
        <f aca="false">IF(A123="","",A123&amp;"_CALC.pdf")</f>
        <v/>
      </c>
      <c r="AX123" s="9"/>
      <c r="AY123" s="9"/>
      <c r="AZ123" s="39"/>
      <c r="BA123" s="39"/>
      <c r="BB123" s="39"/>
      <c r="BC123" s="39"/>
      <c r="BD123" s="39"/>
      <c r="BE123" s="12" t="str">
        <f aca="false">IF(A123="","",IF(COUNTIF(Rebar_Schedule!$A$5:$A$2004,A123)=0,"",ROUND(SUMIF(Rebar_Schedule!$A$5:$A$2004,A123,Rebar_Schedule!$K$5:$K$2004),1)))</f>
        <v/>
      </c>
      <c r="BF123" s="33" t="str">
        <f aca="false">IF(A123="","",IF(BE123="","No rebar schedule yet",IF(ABS(BE123-N(BA123))/MAX(N(BA123),1)&gt;SG_Criteria!$B$55,"NOTE: register rebar differs from schedule by "&amp;TEXT(ABS(BE123-N(BA123))/MAX(N(BA123),1),"0%"),"OK")))</f>
        <v/>
      </c>
      <c r="BG123" s="33" t="str">
        <f aca="false">IF(OR(D123="",F123=""),"",IF(F123&lt;=IF(D123="Soldier Pile &amp; Timber Lagging",SG_Criteria!$B$34,SG_Criteria!$B$33),"No ERSS submission",IF(F123&lt;=SG_Criteria!$B$35,"QP(ST)",IF(F123&lt;=SG_Criteria!$B$36,"QP(ST) + AC","Geotechnical building works: QP(Geo) + AC"))))</f>
        <v/>
      </c>
      <c r="BH123" s="33" t="str">
        <f aca="false">IF(D123="","",IF(LEN(IF(AND(AC123&lt;&gt;"",IFERROR(VALUE(MID(AC123,2,2)),0)&lt;SG_Criteria!$B$19),"FAIL: grade below C"&amp;SG_Criteria!$B$19&amp;". ","")&amp;IF(AND(LEFT(D123,3)="Con",N(I123)&lt;F123,H123="Kallang Formation (marine clay)"),"NOTE: CBP is not watertight below GWT in marine clay; consider secant / grouting. ","")&amp;IF(AND(D123="Steel Sheet Pile",E123="Permanent"),"NOTE: permanent sheet pile needs corrosion allowance. ","")&amp;IF(AND(G123="Cantilever (no support)",F123&gt;6),"NOTE: cantilever embedded wall &gt; 6 m, check deflection. ","")&amp;IF(AND(T123&lt;&gt;"",U123&lt;&gt;"",T123&gt;U123),"FAIL: deflection exceeds allowable. ",""))=0,"OK",IF(AND(AC123&lt;&gt;"",IFERROR(VALUE(MID(AC123,2,2)),0)&lt;SG_Criteria!$B$19),"FAIL: grade below C"&amp;SG_Criteria!$B$19&amp;". ","")&amp;IF(AND(LEFT(D123,3)="Con",N(I123)&lt;F123,H123="Kallang Formation (marine clay)"),"NOTE: CBP is not watertight below GWT in marine clay; consider secant / grouting. ","")&amp;IF(AND(D123="Steel Sheet Pile",E123="Permanent"),"NOTE: permanent sheet pile needs corrosion allowance. ","")&amp;IF(AND(G123="Cantilever (no support)",F123&gt;6),"NOTE: cantilever embedded wall &gt; 6 m, check deflection. ","")&amp;IF(AND(T123&lt;&gt;"",U123&lt;&gt;"",T123&gt;U123),"FAIL: deflection exceeds allowable. ","")))</f>
        <v/>
      </c>
      <c r="BI123" s="9"/>
      <c r="BJ123" s="9"/>
      <c r="BK123" s="9"/>
      <c r="BL123" s="10" t="str">
        <f aca="false">IF(BK123="","",IFERROR(VLOOKUP(BK123,Projects!$A$5:$D$504,2,0),"Ref not in Projects"))</f>
        <v/>
      </c>
      <c r="BM123" s="10" t="str">
        <f aca="false">IF(BK123="","",IFERROR(VLOOKUP(BK123,Projects!$A$5:$D$504,4,0),"Ref not in Projects"))</f>
        <v/>
      </c>
      <c r="BN123" s="9"/>
      <c r="BO123" s="9"/>
      <c r="BP123" s="9"/>
      <c r="BQ123" s="40"/>
      <c r="BR123" s="9"/>
      <c r="BS123" s="40"/>
      <c r="BT123" s="9"/>
      <c r="BU123" s="40"/>
      <c r="BV123" s="9"/>
      <c r="BW123" s="9"/>
      <c r="BX123" s="9"/>
      <c r="BY123" s="40"/>
      <c r="BZ123" s="40"/>
      <c r="CA123" s="36" t="str">
        <f aca="false">IF(BZ123="","",EDATE(BZ123,SG_Criteria!$B$54*12))</f>
        <v/>
      </c>
      <c r="CB123" s="33" t="str">
        <f aca="true">IF(A123="","",IF(BZ123="","NOTE: not reviewed yet",IF(TODAY()&gt;CA123,"NOTE: review overdue","OK")))</f>
        <v/>
      </c>
      <c r="CC123" s="37" t="str">
        <f aca="false">IF(A123="","",ROUND((IF(LEN(D123)&gt;0,1,0)+IF(LEN(E123)&gt;0,1,0)+IF(LEN(F123)&gt;0,1,0)+IF(LEN(G123)&gt;0,1,0)+IF(LEN(H123)&gt;0,1,0)+IF(LEN(I123)&gt;0,1,0)+IF(LEN(K123)&gt;0,1,0)+IF(LEN(N123)&gt;0,1,0)+IF(LEN(O123)&gt;0,1,0)+IF(LEN(T123)&gt;0,1,0)+IF(LEN(U123)&gt;0,1,0)+IF(LEN(V123)&gt;0,1,0)+IF(LEN(AK123)&gt;0,1,0)+IF(LEN(AM123)&gt;0,1,0)+IF(LEN(AN123)&gt;0,1,0)+IF(LEN(AO123)&gt;0,1,0)+IF(LEN(AP123)&gt;0,1,0)+IF(LEN(AY123)&gt;0,1,0)+IF(LEN(BK123)&gt;0,1,0)+IF(LEN(BX123)&gt;0,1,0))/20,2))</f>
        <v/>
      </c>
      <c r="CD123" s="10" t="str">
        <f aca="false">IF(D123="","",IF(AND(AN123="Approved",ISERROR(SEARCH("FAIL",BH123))),"Y","N"))</f>
        <v/>
      </c>
      <c r="CE123" s="10" t="str">
        <f aca="false">IF(D123="","",D123&amp;"|"&amp;F123&amp;"|"&amp;G123&amp;"|"&amp;H123&amp;"|"&amp;E123&amp;"|"&amp;CD123)</f>
        <v/>
      </c>
    </row>
    <row r="124" customFormat="false" ht="15" hidden="false" customHeight="false" outlineLevel="0" collapsed="false">
      <c r="A124" s="10" t="str">
        <f aca="false">IF(D124="","","EW-"&amp;IFERROR(VLOOKUP(D124,Lists!$P$4:$Q$22,2,0),"??")&amp;"-D"&amp;TEXT(F124*1000,"0000")&amp;"-"&amp;IFERROR(VLOOKUP(G124,Lists!$S$4:$T$21,2,0),"??")&amp;"-"&amp;IFERROR(VLOOKUP(H124,Lists!$Y$4:$Z$21,2,0),"??")&amp;"-"&amp;IFERROR(VLOOKUP(E124,Lists!$V$4:$W$16,2,0),"??")&amp;"-"&amp;AM124)</f>
        <v/>
      </c>
      <c r="B124" s="10" t="str">
        <f aca="false">IF(D124="","",E124&amp;" "&amp;D124&amp;", excavation "&amp;TEXT(F124,"0.0")&amp;" m, "&amp;G124&amp;", "&amp;H124&amp;", "&amp;K124)</f>
        <v/>
      </c>
      <c r="C124" s="9"/>
      <c r="D124" s="9"/>
      <c r="E124" s="9"/>
      <c r="F124" s="42"/>
      <c r="G124" s="9"/>
      <c r="H124" s="9"/>
      <c r="I124" s="42"/>
      <c r="J124" s="38"/>
      <c r="K124" s="9"/>
      <c r="L124" s="9"/>
      <c r="M124" s="9"/>
      <c r="N124" s="42"/>
      <c r="O124" s="42"/>
      <c r="P124" s="9"/>
      <c r="Q124" s="9"/>
      <c r="R124" s="9"/>
      <c r="S124" s="9"/>
      <c r="T124" s="38"/>
      <c r="U124" s="38"/>
      <c r="V124" s="38"/>
      <c r="W124" s="38"/>
      <c r="X124" s="38"/>
      <c r="Y124" s="9"/>
      <c r="Z124" s="39"/>
      <c r="AA124" s="9"/>
      <c r="AB124" s="9"/>
      <c r="AC124" s="9"/>
      <c r="AD124" s="9"/>
      <c r="AE124" s="9"/>
      <c r="AF124" s="9"/>
      <c r="AG124" s="9"/>
      <c r="AH124" s="38"/>
      <c r="AI124" s="9"/>
      <c r="AJ124" s="39"/>
      <c r="AK124" s="9"/>
      <c r="AL124" s="9"/>
      <c r="AM124" s="9"/>
      <c r="AN124" s="9"/>
      <c r="AO124" s="9"/>
      <c r="AP124" s="9"/>
      <c r="AQ124" s="9"/>
      <c r="AR124" s="10" t="str">
        <f aca="false">IF(A124="","",SG_Criteria!$B$6&amp;SG_Criteria!$B$9&amp;"\"&amp;A124&amp;"\")</f>
        <v/>
      </c>
      <c r="AS124" s="10" t="str">
        <f aca="false">IF(A124="","",A124&amp;"_CAD.dwg")</f>
        <v/>
      </c>
      <c r="AT124" s="10" t="str">
        <f aca="false">IF(A124="","",A124&amp;"_DWG.pdf")</f>
        <v/>
      </c>
      <c r="AU124" s="10" t="str">
        <f aca="false">IF(A124="","",IF(AQ124="Y",A124&amp;"_STAAD.std","n/a"))</f>
        <v/>
      </c>
      <c r="AV124" s="10" t="str">
        <f aca="false">IF(A124="","",A124&amp;"_CALC.xlsx")</f>
        <v/>
      </c>
      <c r="AW124" s="10" t="str">
        <f aca="false">IF(A124="","",A124&amp;"_CALC.pdf")</f>
        <v/>
      </c>
      <c r="AX124" s="9"/>
      <c r="AY124" s="9"/>
      <c r="AZ124" s="39"/>
      <c r="BA124" s="39"/>
      <c r="BB124" s="39"/>
      <c r="BC124" s="39"/>
      <c r="BD124" s="39"/>
      <c r="BE124" s="12" t="str">
        <f aca="false">IF(A124="","",IF(COUNTIF(Rebar_Schedule!$A$5:$A$2004,A124)=0,"",ROUND(SUMIF(Rebar_Schedule!$A$5:$A$2004,A124,Rebar_Schedule!$K$5:$K$2004),1)))</f>
        <v/>
      </c>
      <c r="BF124" s="33" t="str">
        <f aca="false">IF(A124="","",IF(BE124="","No rebar schedule yet",IF(ABS(BE124-N(BA124))/MAX(N(BA124),1)&gt;SG_Criteria!$B$55,"NOTE: register rebar differs from schedule by "&amp;TEXT(ABS(BE124-N(BA124))/MAX(N(BA124),1),"0%"),"OK")))</f>
        <v/>
      </c>
      <c r="BG124" s="33" t="str">
        <f aca="false">IF(OR(D124="",F124=""),"",IF(F124&lt;=IF(D124="Soldier Pile &amp; Timber Lagging",SG_Criteria!$B$34,SG_Criteria!$B$33),"No ERSS submission",IF(F124&lt;=SG_Criteria!$B$35,"QP(ST)",IF(F124&lt;=SG_Criteria!$B$36,"QP(ST) + AC","Geotechnical building works: QP(Geo) + AC"))))</f>
        <v/>
      </c>
      <c r="BH124" s="33" t="str">
        <f aca="false">IF(D124="","",IF(LEN(IF(AND(AC124&lt;&gt;"",IFERROR(VALUE(MID(AC124,2,2)),0)&lt;SG_Criteria!$B$19),"FAIL: grade below C"&amp;SG_Criteria!$B$19&amp;". ","")&amp;IF(AND(LEFT(D124,3)="Con",N(I124)&lt;F124,H124="Kallang Formation (marine clay)"),"NOTE: CBP is not watertight below GWT in marine clay; consider secant / grouting. ","")&amp;IF(AND(D124="Steel Sheet Pile",E124="Permanent"),"NOTE: permanent sheet pile needs corrosion allowance. ","")&amp;IF(AND(G124="Cantilever (no support)",F124&gt;6),"NOTE: cantilever embedded wall &gt; 6 m, check deflection. ","")&amp;IF(AND(T124&lt;&gt;"",U124&lt;&gt;"",T124&gt;U124),"FAIL: deflection exceeds allowable. ",""))=0,"OK",IF(AND(AC124&lt;&gt;"",IFERROR(VALUE(MID(AC124,2,2)),0)&lt;SG_Criteria!$B$19),"FAIL: grade below C"&amp;SG_Criteria!$B$19&amp;". ","")&amp;IF(AND(LEFT(D124,3)="Con",N(I124)&lt;F124,H124="Kallang Formation (marine clay)"),"NOTE: CBP is not watertight below GWT in marine clay; consider secant / grouting. ","")&amp;IF(AND(D124="Steel Sheet Pile",E124="Permanent"),"NOTE: permanent sheet pile needs corrosion allowance. ","")&amp;IF(AND(G124="Cantilever (no support)",F124&gt;6),"NOTE: cantilever embedded wall &gt; 6 m, check deflection. ","")&amp;IF(AND(T124&lt;&gt;"",U124&lt;&gt;"",T124&gt;U124),"FAIL: deflection exceeds allowable. ","")))</f>
        <v/>
      </c>
      <c r="BI124" s="9"/>
      <c r="BJ124" s="9"/>
      <c r="BK124" s="9"/>
      <c r="BL124" s="10" t="str">
        <f aca="false">IF(BK124="","",IFERROR(VLOOKUP(BK124,Projects!$A$5:$D$504,2,0),"Ref not in Projects"))</f>
        <v/>
      </c>
      <c r="BM124" s="10" t="str">
        <f aca="false">IF(BK124="","",IFERROR(VLOOKUP(BK124,Projects!$A$5:$D$504,4,0),"Ref not in Projects"))</f>
        <v/>
      </c>
      <c r="BN124" s="9"/>
      <c r="BO124" s="9"/>
      <c r="BP124" s="9"/>
      <c r="BQ124" s="40"/>
      <c r="BR124" s="9"/>
      <c r="BS124" s="40"/>
      <c r="BT124" s="9"/>
      <c r="BU124" s="40"/>
      <c r="BV124" s="9"/>
      <c r="BW124" s="9"/>
      <c r="BX124" s="9"/>
      <c r="BY124" s="40"/>
      <c r="BZ124" s="40"/>
      <c r="CA124" s="36" t="str">
        <f aca="false">IF(BZ124="","",EDATE(BZ124,SG_Criteria!$B$54*12))</f>
        <v/>
      </c>
      <c r="CB124" s="33" t="str">
        <f aca="true">IF(A124="","",IF(BZ124="","NOTE: not reviewed yet",IF(TODAY()&gt;CA124,"NOTE: review overdue","OK")))</f>
        <v/>
      </c>
      <c r="CC124" s="37" t="str">
        <f aca="false">IF(A124="","",ROUND((IF(LEN(D124)&gt;0,1,0)+IF(LEN(E124)&gt;0,1,0)+IF(LEN(F124)&gt;0,1,0)+IF(LEN(G124)&gt;0,1,0)+IF(LEN(H124)&gt;0,1,0)+IF(LEN(I124)&gt;0,1,0)+IF(LEN(K124)&gt;0,1,0)+IF(LEN(N124)&gt;0,1,0)+IF(LEN(O124)&gt;0,1,0)+IF(LEN(T124)&gt;0,1,0)+IF(LEN(U124)&gt;0,1,0)+IF(LEN(V124)&gt;0,1,0)+IF(LEN(AK124)&gt;0,1,0)+IF(LEN(AM124)&gt;0,1,0)+IF(LEN(AN124)&gt;0,1,0)+IF(LEN(AO124)&gt;0,1,0)+IF(LEN(AP124)&gt;0,1,0)+IF(LEN(AY124)&gt;0,1,0)+IF(LEN(BK124)&gt;0,1,0)+IF(LEN(BX124)&gt;0,1,0))/20,2))</f>
        <v/>
      </c>
      <c r="CD124" s="10" t="str">
        <f aca="false">IF(D124="","",IF(AND(AN124="Approved",ISERROR(SEARCH("FAIL",BH124))),"Y","N"))</f>
        <v/>
      </c>
      <c r="CE124" s="10" t="str">
        <f aca="false">IF(D124="","",D124&amp;"|"&amp;F124&amp;"|"&amp;G124&amp;"|"&amp;H124&amp;"|"&amp;E124&amp;"|"&amp;CD124)</f>
        <v/>
      </c>
    </row>
    <row r="125" customFormat="false" ht="15" hidden="false" customHeight="false" outlineLevel="0" collapsed="false">
      <c r="A125" s="10" t="str">
        <f aca="false">IF(D125="","","EW-"&amp;IFERROR(VLOOKUP(D125,Lists!$P$4:$Q$22,2,0),"??")&amp;"-D"&amp;TEXT(F125*1000,"0000")&amp;"-"&amp;IFERROR(VLOOKUP(G125,Lists!$S$4:$T$21,2,0),"??")&amp;"-"&amp;IFERROR(VLOOKUP(H125,Lists!$Y$4:$Z$21,2,0),"??")&amp;"-"&amp;IFERROR(VLOOKUP(E125,Lists!$V$4:$W$16,2,0),"??")&amp;"-"&amp;AM125)</f>
        <v/>
      </c>
      <c r="B125" s="10" t="str">
        <f aca="false">IF(D125="","",E125&amp;" "&amp;D125&amp;", excavation "&amp;TEXT(F125,"0.0")&amp;" m, "&amp;G125&amp;", "&amp;H125&amp;", "&amp;K125)</f>
        <v/>
      </c>
      <c r="C125" s="9"/>
      <c r="D125" s="9"/>
      <c r="E125" s="9"/>
      <c r="F125" s="42"/>
      <c r="G125" s="9"/>
      <c r="H125" s="9"/>
      <c r="I125" s="42"/>
      <c r="J125" s="38"/>
      <c r="K125" s="9"/>
      <c r="L125" s="9"/>
      <c r="M125" s="9"/>
      <c r="N125" s="42"/>
      <c r="O125" s="42"/>
      <c r="P125" s="9"/>
      <c r="Q125" s="9"/>
      <c r="R125" s="9"/>
      <c r="S125" s="9"/>
      <c r="T125" s="38"/>
      <c r="U125" s="38"/>
      <c r="V125" s="38"/>
      <c r="W125" s="38"/>
      <c r="X125" s="38"/>
      <c r="Y125" s="9"/>
      <c r="Z125" s="39"/>
      <c r="AA125" s="9"/>
      <c r="AB125" s="9"/>
      <c r="AC125" s="9"/>
      <c r="AD125" s="9"/>
      <c r="AE125" s="9"/>
      <c r="AF125" s="9"/>
      <c r="AG125" s="9"/>
      <c r="AH125" s="38"/>
      <c r="AI125" s="9"/>
      <c r="AJ125" s="39"/>
      <c r="AK125" s="9"/>
      <c r="AL125" s="9"/>
      <c r="AM125" s="9"/>
      <c r="AN125" s="9"/>
      <c r="AO125" s="9"/>
      <c r="AP125" s="9"/>
      <c r="AQ125" s="9"/>
      <c r="AR125" s="10" t="str">
        <f aca="false">IF(A125="","",SG_Criteria!$B$6&amp;SG_Criteria!$B$9&amp;"\"&amp;A125&amp;"\")</f>
        <v/>
      </c>
      <c r="AS125" s="10" t="str">
        <f aca="false">IF(A125="","",A125&amp;"_CAD.dwg")</f>
        <v/>
      </c>
      <c r="AT125" s="10" t="str">
        <f aca="false">IF(A125="","",A125&amp;"_DWG.pdf")</f>
        <v/>
      </c>
      <c r="AU125" s="10" t="str">
        <f aca="false">IF(A125="","",IF(AQ125="Y",A125&amp;"_STAAD.std","n/a"))</f>
        <v/>
      </c>
      <c r="AV125" s="10" t="str">
        <f aca="false">IF(A125="","",A125&amp;"_CALC.xlsx")</f>
        <v/>
      </c>
      <c r="AW125" s="10" t="str">
        <f aca="false">IF(A125="","",A125&amp;"_CALC.pdf")</f>
        <v/>
      </c>
      <c r="AX125" s="9"/>
      <c r="AY125" s="9"/>
      <c r="AZ125" s="39"/>
      <c r="BA125" s="39"/>
      <c r="BB125" s="39"/>
      <c r="BC125" s="39"/>
      <c r="BD125" s="39"/>
      <c r="BE125" s="12" t="str">
        <f aca="false">IF(A125="","",IF(COUNTIF(Rebar_Schedule!$A$5:$A$2004,A125)=0,"",ROUND(SUMIF(Rebar_Schedule!$A$5:$A$2004,A125,Rebar_Schedule!$K$5:$K$2004),1)))</f>
        <v/>
      </c>
      <c r="BF125" s="33" t="str">
        <f aca="false">IF(A125="","",IF(BE125="","No rebar schedule yet",IF(ABS(BE125-N(BA125))/MAX(N(BA125),1)&gt;SG_Criteria!$B$55,"NOTE: register rebar differs from schedule by "&amp;TEXT(ABS(BE125-N(BA125))/MAX(N(BA125),1),"0%"),"OK")))</f>
        <v/>
      </c>
      <c r="BG125" s="33" t="str">
        <f aca="false">IF(OR(D125="",F125=""),"",IF(F125&lt;=IF(D125="Soldier Pile &amp; Timber Lagging",SG_Criteria!$B$34,SG_Criteria!$B$33),"No ERSS submission",IF(F125&lt;=SG_Criteria!$B$35,"QP(ST)",IF(F125&lt;=SG_Criteria!$B$36,"QP(ST) + AC","Geotechnical building works: QP(Geo) + AC"))))</f>
        <v/>
      </c>
      <c r="BH125" s="33" t="str">
        <f aca="false">IF(D125="","",IF(LEN(IF(AND(AC125&lt;&gt;"",IFERROR(VALUE(MID(AC125,2,2)),0)&lt;SG_Criteria!$B$19),"FAIL: grade below C"&amp;SG_Criteria!$B$19&amp;". ","")&amp;IF(AND(LEFT(D125,3)="Con",N(I125)&lt;F125,H125="Kallang Formation (marine clay)"),"NOTE: CBP is not watertight below GWT in marine clay; consider secant / grouting. ","")&amp;IF(AND(D125="Steel Sheet Pile",E125="Permanent"),"NOTE: permanent sheet pile needs corrosion allowance. ","")&amp;IF(AND(G125="Cantilever (no support)",F125&gt;6),"NOTE: cantilever embedded wall &gt; 6 m, check deflection. ","")&amp;IF(AND(T125&lt;&gt;"",U125&lt;&gt;"",T125&gt;U125),"FAIL: deflection exceeds allowable. ",""))=0,"OK",IF(AND(AC125&lt;&gt;"",IFERROR(VALUE(MID(AC125,2,2)),0)&lt;SG_Criteria!$B$19),"FAIL: grade below C"&amp;SG_Criteria!$B$19&amp;". ","")&amp;IF(AND(LEFT(D125,3)="Con",N(I125)&lt;F125,H125="Kallang Formation (marine clay)"),"NOTE: CBP is not watertight below GWT in marine clay; consider secant / grouting. ","")&amp;IF(AND(D125="Steel Sheet Pile",E125="Permanent"),"NOTE: permanent sheet pile needs corrosion allowance. ","")&amp;IF(AND(G125="Cantilever (no support)",F125&gt;6),"NOTE: cantilever embedded wall &gt; 6 m, check deflection. ","")&amp;IF(AND(T125&lt;&gt;"",U125&lt;&gt;"",T125&gt;U125),"FAIL: deflection exceeds allowable. ","")))</f>
        <v/>
      </c>
      <c r="BI125" s="9"/>
      <c r="BJ125" s="9"/>
      <c r="BK125" s="9"/>
      <c r="BL125" s="10" t="str">
        <f aca="false">IF(BK125="","",IFERROR(VLOOKUP(BK125,Projects!$A$5:$D$504,2,0),"Ref not in Projects"))</f>
        <v/>
      </c>
      <c r="BM125" s="10" t="str">
        <f aca="false">IF(BK125="","",IFERROR(VLOOKUP(BK125,Projects!$A$5:$D$504,4,0),"Ref not in Projects"))</f>
        <v/>
      </c>
      <c r="BN125" s="9"/>
      <c r="BO125" s="9"/>
      <c r="BP125" s="9"/>
      <c r="BQ125" s="40"/>
      <c r="BR125" s="9"/>
      <c r="BS125" s="40"/>
      <c r="BT125" s="9"/>
      <c r="BU125" s="40"/>
      <c r="BV125" s="9"/>
      <c r="BW125" s="9"/>
      <c r="BX125" s="9"/>
      <c r="BY125" s="40"/>
      <c r="BZ125" s="40"/>
      <c r="CA125" s="36" t="str">
        <f aca="false">IF(BZ125="","",EDATE(BZ125,SG_Criteria!$B$54*12))</f>
        <v/>
      </c>
      <c r="CB125" s="33" t="str">
        <f aca="true">IF(A125="","",IF(BZ125="","NOTE: not reviewed yet",IF(TODAY()&gt;CA125,"NOTE: review overdue","OK")))</f>
        <v/>
      </c>
      <c r="CC125" s="37" t="str">
        <f aca="false">IF(A125="","",ROUND((IF(LEN(D125)&gt;0,1,0)+IF(LEN(E125)&gt;0,1,0)+IF(LEN(F125)&gt;0,1,0)+IF(LEN(G125)&gt;0,1,0)+IF(LEN(H125)&gt;0,1,0)+IF(LEN(I125)&gt;0,1,0)+IF(LEN(K125)&gt;0,1,0)+IF(LEN(N125)&gt;0,1,0)+IF(LEN(O125)&gt;0,1,0)+IF(LEN(T125)&gt;0,1,0)+IF(LEN(U125)&gt;0,1,0)+IF(LEN(V125)&gt;0,1,0)+IF(LEN(AK125)&gt;0,1,0)+IF(LEN(AM125)&gt;0,1,0)+IF(LEN(AN125)&gt;0,1,0)+IF(LEN(AO125)&gt;0,1,0)+IF(LEN(AP125)&gt;0,1,0)+IF(LEN(AY125)&gt;0,1,0)+IF(LEN(BK125)&gt;0,1,0)+IF(LEN(BX125)&gt;0,1,0))/20,2))</f>
        <v/>
      </c>
      <c r="CD125" s="10" t="str">
        <f aca="false">IF(D125="","",IF(AND(AN125="Approved",ISERROR(SEARCH("FAIL",BH125))),"Y","N"))</f>
        <v/>
      </c>
      <c r="CE125" s="10" t="str">
        <f aca="false">IF(D125="","",D125&amp;"|"&amp;F125&amp;"|"&amp;G125&amp;"|"&amp;H125&amp;"|"&amp;E125&amp;"|"&amp;CD125)</f>
        <v/>
      </c>
    </row>
    <row r="126" customFormat="false" ht="15" hidden="false" customHeight="false" outlineLevel="0" collapsed="false">
      <c r="A126" s="10" t="str">
        <f aca="false">IF(D126="","","EW-"&amp;IFERROR(VLOOKUP(D126,Lists!$P$4:$Q$22,2,0),"??")&amp;"-D"&amp;TEXT(F126*1000,"0000")&amp;"-"&amp;IFERROR(VLOOKUP(G126,Lists!$S$4:$T$21,2,0),"??")&amp;"-"&amp;IFERROR(VLOOKUP(H126,Lists!$Y$4:$Z$21,2,0),"??")&amp;"-"&amp;IFERROR(VLOOKUP(E126,Lists!$V$4:$W$16,2,0),"??")&amp;"-"&amp;AM126)</f>
        <v/>
      </c>
      <c r="B126" s="10" t="str">
        <f aca="false">IF(D126="","",E126&amp;" "&amp;D126&amp;", excavation "&amp;TEXT(F126,"0.0")&amp;" m, "&amp;G126&amp;", "&amp;H126&amp;", "&amp;K126)</f>
        <v/>
      </c>
      <c r="C126" s="9"/>
      <c r="D126" s="9"/>
      <c r="E126" s="9"/>
      <c r="F126" s="42"/>
      <c r="G126" s="9"/>
      <c r="H126" s="9"/>
      <c r="I126" s="42"/>
      <c r="J126" s="38"/>
      <c r="K126" s="9"/>
      <c r="L126" s="9"/>
      <c r="M126" s="9"/>
      <c r="N126" s="42"/>
      <c r="O126" s="42"/>
      <c r="P126" s="9"/>
      <c r="Q126" s="9"/>
      <c r="R126" s="9"/>
      <c r="S126" s="9"/>
      <c r="T126" s="38"/>
      <c r="U126" s="38"/>
      <c r="V126" s="38"/>
      <c r="W126" s="38"/>
      <c r="X126" s="38"/>
      <c r="Y126" s="9"/>
      <c r="Z126" s="39"/>
      <c r="AA126" s="9"/>
      <c r="AB126" s="9"/>
      <c r="AC126" s="9"/>
      <c r="AD126" s="9"/>
      <c r="AE126" s="9"/>
      <c r="AF126" s="9"/>
      <c r="AG126" s="9"/>
      <c r="AH126" s="38"/>
      <c r="AI126" s="9"/>
      <c r="AJ126" s="39"/>
      <c r="AK126" s="9"/>
      <c r="AL126" s="9"/>
      <c r="AM126" s="9"/>
      <c r="AN126" s="9"/>
      <c r="AO126" s="9"/>
      <c r="AP126" s="9"/>
      <c r="AQ126" s="9"/>
      <c r="AR126" s="10" t="str">
        <f aca="false">IF(A126="","",SG_Criteria!$B$6&amp;SG_Criteria!$B$9&amp;"\"&amp;A126&amp;"\")</f>
        <v/>
      </c>
      <c r="AS126" s="10" t="str">
        <f aca="false">IF(A126="","",A126&amp;"_CAD.dwg")</f>
        <v/>
      </c>
      <c r="AT126" s="10" t="str">
        <f aca="false">IF(A126="","",A126&amp;"_DWG.pdf")</f>
        <v/>
      </c>
      <c r="AU126" s="10" t="str">
        <f aca="false">IF(A126="","",IF(AQ126="Y",A126&amp;"_STAAD.std","n/a"))</f>
        <v/>
      </c>
      <c r="AV126" s="10" t="str">
        <f aca="false">IF(A126="","",A126&amp;"_CALC.xlsx")</f>
        <v/>
      </c>
      <c r="AW126" s="10" t="str">
        <f aca="false">IF(A126="","",A126&amp;"_CALC.pdf")</f>
        <v/>
      </c>
      <c r="AX126" s="9"/>
      <c r="AY126" s="9"/>
      <c r="AZ126" s="39"/>
      <c r="BA126" s="39"/>
      <c r="BB126" s="39"/>
      <c r="BC126" s="39"/>
      <c r="BD126" s="39"/>
      <c r="BE126" s="12" t="str">
        <f aca="false">IF(A126="","",IF(COUNTIF(Rebar_Schedule!$A$5:$A$2004,A126)=0,"",ROUND(SUMIF(Rebar_Schedule!$A$5:$A$2004,A126,Rebar_Schedule!$K$5:$K$2004),1)))</f>
        <v/>
      </c>
      <c r="BF126" s="33" t="str">
        <f aca="false">IF(A126="","",IF(BE126="","No rebar schedule yet",IF(ABS(BE126-N(BA126))/MAX(N(BA126),1)&gt;SG_Criteria!$B$55,"NOTE: register rebar differs from schedule by "&amp;TEXT(ABS(BE126-N(BA126))/MAX(N(BA126),1),"0%"),"OK")))</f>
        <v/>
      </c>
      <c r="BG126" s="33" t="str">
        <f aca="false">IF(OR(D126="",F126=""),"",IF(F126&lt;=IF(D126="Soldier Pile &amp; Timber Lagging",SG_Criteria!$B$34,SG_Criteria!$B$33),"No ERSS submission",IF(F126&lt;=SG_Criteria!$B$35,"QP(ST)",IF(F126&lt;=SG_Criteria!$B$36,"QP(ST) + AC","Geotechnical building works: QP(Geo) + AC"))))</f>
        <v/>
      </c>
      <c r="BH126" s="33" t="str">
        <f aca="false">IF(D126="","",IF(LEN(IF(AND(AC126&lt;&gt;"",IFERROR(VALUE(MID(AC126,2,2)),0)&lt;SG_Criteria!$B$19),"FAIL: grade below C"&amp;SG_Criteria!$B$19&amp;". ","")&amp;IF(AND(LEFT(D126,3)="Con",N(I126)&lt;F126,H126="Kallang Formation (marine clay)"),"NOTE: CBP is not watertight below GWT in marine clay; consider secant / grouting. ","")&amp;IF(AND(D126="Steel Sheet Pile",E126="Permanent"),"NOTE: permanent sheet pile needs corrosion allowance. ","")&amp;IF(AND(G126="Cantilever (no support)",F126&gt;6),"NOTE: cantilever embedded wall &gt; 6 m, check deflection. ","")&amp;IF(AND(T126&lt;&gt;"",U126&lt;&gt;"",T126&gt;U126),"FAIL: deflection exceeds allowable. ",""))=0,"OK",IF(AND(AC126&lt;&gt;"",IFERROR(VALUE(MID(AC126,2,2)),0)&lt;SG_Criteria!$B$19),"FAIL: grade below C"&amp;SG_Criteria!$B$19&amp;". ","")&amp;IF(AND(LEFT(D126,3)="Con",N(I126)&lt;F126,H126="Kallang Formation (marine clay)"),"NOTE: CBP is not watertight below GWT in marine clay; consider secant / grouting. ","")&amp;IF(AND(D126="Steel Sheet Pile",E126="Permanent"),"NOTE: permanent sheet pile needs corrosion allowance. ","")&amp;IF(AND(G126="Cantilever (no support)",F126&gt;6),"NOTE: cantilever embedded wall &gt; 6 m, check deflection. ","")&amp;IF(AND(T126&lt;&gt;"",U126&lt;&gt;"",T126&gt;U126),"FAIL: deflection exceeds allowable. ","")))</f>
        <v/>
      </c>
      <c r="BI126" s="9"/>
      <c r="BJ126" s="9"/>
      <c r="BK126" s="9"/>
      <c r="BL126" s="10" t="str">
        <f aca="false">IF(BK126="","",IFERROR(VLOOKUP(BK126,Projects!$A$5:$D$504,2,0),"Ref not in Projects"))</f>
        <v/>
      </c>
      <c r="BM126" s="10" t="str">
        <f aca="false">IF(BK126="","",IFERROR(VLOOKUP(BK126,Projects!$A$5:$D$504,4,0),"Ref not in Projects"))</f>
        <v/>
      </c>
      <c r="BN126" s="9"/>
      <c r="BO126" s="9"/>
      <c r="BP126" s="9"/>
      <c r="BQ126" s="40"/>
      <c r="BR126" s="9"/>
      <c r="BS126" s="40"/>
      <c r="BT126" s="9"/>
      <c r="BU126" s="40"/>
      <c r="BV126" s="9"/>
      <c r="BW126" s="9"/>
      <c r="BX126" s="9"/>
      <c r="BY126" s="40"/>
      <c r="BZ126" s="40"/>
      <c r="CA126" s="36" t="str">
        <f aca="false">IF(BZ126="","",EDATE(BZ126,SG_Criteria!$B$54*12))</f>
        <v/>
      </c>
      <c r="CB126" s="33" t="str">
        <f aca="true">IF(A126="","",IF(BZ126="","NOTE: not reviewed yet",IF(TODAY()&gt;CA126,"NOTE: review overdue","OK")))</f>
        <v/>
      </c>
      <c r="CC126" s="37" t="str">
        <f aca="false">IF(A126="","",ROUND((IF(LEN(D126)&gt;0,1,0)+IF(LEN(E126)&gt;0,1,0)+IF(LEN(F126)&gt;0,1,0)+IF(LEN(G126)&gt;0,1,0)+IF(LEN(H126)&gt;0,1,0)+IF(LEN(I126)&gt;0,1,0)+IF(LEN(K126)&gt;0,1,0)+IF(LEN(N126)&gt;0,1,0)+IF(LEN(O126)&gt;0,1,0)+IF(LEN(T126)&gt;0,1,0)+IF(LEN(U126)&gt;0,1,0)+IF(LEN(V126)&gt;0,1,0)+IF(LEN(AK126)&gt;0,1,0)+IF(LEN(AM126)&gt;0,1,0)+IF(LEN(AN126)&gt;0,1,0)+IF(LEN(AO126)&gt;0,1,0)+IF(LEN(AP126)&gt;0,1,0)+IF(LEN(AY126)&gt;0,1,0)+IF(LEN(BK126)&gt;0,1,0)+IF(LEN(BX126)&gt;0,1,0))/20,2))</f>
        <v/>
      </c>
      <c r="CD126" s="10" t="str">
        <f aca="false">IF(D126="","",IF(AND(AN126="Approved",ISERROR(SEARCH("FAIL",BH126))),"Y","N"))</f>
        <v/>
      </c>
      <c r="CE126" s="10" t="str">
        <f aca="false">IF(D126="","",D126&amp;"|"&amp;F126&amp;"|"&amp;G126&amp;"|"&amp;H126&amp;"|"&amp;E126&amp;"|"&amp;CD126)</f>
        <v/>
      </c>
    </row>
    <row r="127" customFormat="false" ht="15" hidden="false" customHeight="false" outlineLevel="0" collapsed="false">
      <c r="A127" s="10" t="str">
        <f aca="false">IF(D127="","","EW-"&amp;IFERROR(VLOOKUP(D127,Lists!$P$4:$Q$22,2,0),"??")&amp;"-D"&amp;TEXT(F127*1000,"0000")&amp;"-"&amp;IFERROR(VLOOKUP(G127,Lists!$S$4:$T$21,2,0),"??")&amp;"-"&amp;IFERROR(VLOOKUP(H127,Lists!$Y$4:$Z$21,2,0),"??")&amp;"-"&amp;IFERROR(VLOOKUP(E127,Lists!$V$4:$W$16,2,0),"??")&amp;"-"&amp;AM127)</f>
        <v/>
      </c>
      <c r="B127" s="10" t="str">
        <f aca="false">IF(D127="","",E127&amp;" "&amp;D127&amp;", excavation "&amp;TEXT(F127,"0.0")&amp;" m, "&amp;G127&amp;", "&amp;H127&amp;", "&amp;K127)</f>
        <v/>
      </c>
      <c r="C127" s="9"/>
      <c r="D127" s="9"/>
      <c r="E127" s="9"/>
      <c r="F127" s="42"/>
      <c r="G127" s="9"/>
      <c r="H127" s="9"/>
      <c r="I127" s="42"/>
      <c r="J127" s="38"/>
      <c r="K127" s="9"/>
      <c r="L127" s="9"/>
      <c r="M127" s="9"/>
      <c r="N127" s="42"/>
      <c r="O127" s="42"/>
      <c r="P127" s="9"/>
      <c r="Q127" s="9"/>
      <c r="R127" s="9"/>
      <c r="S127" s="9"/>
      <c r="T127" s="38"/>
      <c r="U127" s="38"/>
      <c r="V127" s="38"/>
      <c r="W127" s="38"/>
      <c r="X127" s="38"/>
      <c r="Y127" s="9"/>
      <c r="Z127" s="39"/>
      <c r="AA127" s="9"/>
      <c r="AB127" s="9"/>
      <c r="AC127" s="9"/>
      <c r="AD127" s="9"/>
      <c r="AE127" s="9"/>
      <c r="AF127" s="9"/>
      <c r="AG127" s="9"/>
      <c r="AH127" s="38"/>
      <c r="AI127" s="9"/>
      <c r="AJ127" s="39"/>
      <c r="AK127" s="9"/>
      <c r="AL127" s="9"/>
      <c r="AM127" s="9"/>
      <c r="AN127" s="9"/>
      <c r="AO127" s="9"/>
      <c r="AP127" s="9"/>
      <c r="AQ127" s="9"/>
      <c r="AR127" s="10" t="str">
        <f aca="false">IF(A127="","",SG_Criteria!$B$6&amp;SG_Criteria!$B$9&amp;"\"&amp;A127&amp;"\")</f>
        <v/>
      </c>
      <c r="AS127" s="10" t="str">
        <f aca="false">IF(A127="","",A127&amp;"_CAD.dwg")</f>
        <v/>
      </c>
      <c r="AT127" s="10" t="str">
        <f aca="false">IF(A127="","",A127&amp;"_DWG.pdf")</f>
        <v/>
      </c>
      <c r="AU127" s="10" t="str">
        <f aca="false">IF(A127="","",IF(AQ127="Y",A127&amp;"_STAAD.std","n/a"))</f>
        <v/>
      </c>
      <c r="AV127" s="10" t="str">
        <f aca="false">IF(A127="","",A127&amp;"_CALC.xlsx")</f>
        <v/>
      </c>
      <c r="AW127" s="10" t="str">
        <f aca="false">IF(A127="","",A127&amp;"_CALC.pdf")</f>
        <v/>
      </c>
      <c r="AX127" s="9"/>
      <c r="AY127" s="9"/>
      <c r="AZ127" s="39"/>
      <c r="BA127" s="39"/>
      <c r="BB127" s="39"/>
      <c r="BC127" s="39"/>
      <c r="BD127" s="39"/>
      <c r="BE127" s="12" t="str">
        <f aca="false">IF(A127="","",IF(COUNTIF(Rebar_Schedule!$A$5:$A$2004,A127)=0,"",ROUND(SUMIF(Rebar_Schedule!$A$5:$A$2004,A127,Rebar_Schedule!$K$5:$K$2004),1)))</f>
        <v/>
      </c>
      <c r="BF127" s="33" t="str">
        <f aca="false">IF(A127="","",IF(BE127="","No rebar schedule yet",IF(ABS(BE127-N(BA127))/MAX(N(BA127),1)&gt;SG_Criteria!$B$55,"NOTE: register rebar differs from schedule by "&amp;TEXT(ABS(BE127-N(BA127))/MAX(N(BA127),1),"0%"),"OK")))</f>
        <v/>
      </c>
      <c r="BG127" s="33" t="str">
        <f aca="false">IF(OR(D127="",F127=""),"",IF(F127&lt;=IF(D127="Soldier Pile &amp; Timber Lagging",SG_Criteria!$B$34,SG_Criteria!$B$33),"No ERSS submission",IF(F127&lt;=SG_Criteria!$B$35,"QP(ST)",IF(F127&lt;=SG_Criteria!$B$36,"QP(ST) + AC","Geotechnical building works: QP(Geo) + AC"))))</f>
        <v/>
      </c>
      <c r="BH127" s="33" t="str">
        <f aca="false">IF(D127="","",IF(LEN(IF(AND(AC127&lt;&gt;"",IFERROR(VALUE(MID(AC127,2,2)),0)&lt;SG_Criteria!$B$19),"FAIL: grade below C"&amp;SG_Criteria!$B$19&amp;". ","")&amp;IF(AND(LEFT(D127,3)="Con",N(I127)&lt;F127,H127="Kallang Formation (marine clay)"),"NOTE: CBP is not watertight below GWT in marine clay; consider secant / grouting. ","")&amp;IF(AND(D127="Steel Sheet Pile",E127="Permanent"),"NOTE: permanent sheet pile needs corrosion allowance. ","")&amp;IF(AND(G127="Cantilever (no support)",F127&gt;6),"NOTE: cantilever embedded wall &gt; 6 m, check deflection. ","")&amp;IF(AND(T127&lt;&gt;"",U127&lt;&gt;"",T127&gt;U127),"FAIL: deflection exceeds allowable. ",""))=0,"OK",IF(AND(AC127&lt;&gt;"",IFERROR(VALUE(MID(AC127,2,2)),0)&lt;SG_Criteria!$B$19),"FAIL: grade below C"&amp;SG_Criteria!$B$19&amp;". ","")&amp;IF(AND(LEFT(D127,3)="Con",N(I127)&lt;F127,H127="Kallang Formation (marine clay)"),"NOTE: CBP is not watertight below GWT in marine clay; consider secant / grouting. ","")&amp;IF(AND(D127="Steel Sheet Pile",E127="Permanent"),"NOTE: permanent sheet pile needs corrosion allowance. ","")&amp;IF(AND(G127="Cantilever (no support)",F127&gt;6),"NOTE: cantilever embedded wall &gt; 6 m, check deflection. ","")&amp;IF(AND(T127&lt;&gt;"",U127&lt;&gt;"",T127&gt;U127),"FAIL: deflection exceeds allowable. ","")))</f>
        <v/>
      </c>
      <c r="BI127" s="9"/>
      <c r="BJ127" s="9"/>
      <c r="BK127" s="9"/>
      <c r="BL127" s="10" t="str">
        <f aca="false">IF(BK127="","",IFERROR(VLOOKUP(BK127,Projects!$A$5:$D$504,2,0),"Ref not in Projects"))</f>
        <v/>
      </c>
      <c r="BM127" s="10" t="str">
        <f aca="false">IF(BK127="","",IFERROR(VLOOKUP(BK127,Projects!$A$5:$D$504,4,0),"Ref not in Projects"))</f>
        <v/>
      </c>
      <c r="BN127" s="9"/>
      <c r="BO127" s="9"/>
      <c r="BP127" s="9"/>
      <c r="BQ127" s="40"/>
      <c r="BR127" s="9"/>
      <c r="BS127" s="40"/>
      <c r="BT127" s="9"/>
      <c r="BU127" s="40"/>
      <c r="BV127" s="9"/>
      <c r="BW127" s="9"/>
      <c r="BX127" s="9"/>
      <c r="BY127" s="40"/>
      <c r="BZ127" s="40"/>
      <c r="CA127" s="36" t="str">
        <f aca="false">IF(BZ127="","",EDATE(BZ127,SG_Criteria!$B$54*12))</f>
        <v/>
      </c>
      <c r="CB127" s="33" t="str">
        <f aca="true">IF(A127="","",IF(BZ127="","NOTE: not reviewed yet",IF(TODAY()&gt;CA127,"NOTE: review overdue","OK")))</f>
        <v/>
      </c>
      <c r="CC127" s="37" t="str">
        <f aca="false">IF(A127="","",ROUND((IF(LEN(D127)&gt;0,1,0)+IF(LEN(E127)&gt;0,1,0)+IF(LEN(F127)&gt;0,1,0)+IF(LEN(G127)&gt;0,1,0)+IF(LEN(H127)&gt;0,1,0)+IF(LEN(I127)&gt;0,1,0)+IF(LEN(K127)&gt;0,1,0)+IF(LEN(N127)&gt;0,1,0)+IF(LEN(O127)&gt;0,1,0)+IF(LEN(T127)&gt;0,1,0)+IF(LEN(U127)&gt;0,1,0)+IF(LEN(V127)&gt;0,1,0)+IF(LEN(AK127)&gt;0,1,0)+IF(LEN(AM127)&gt;0,1,0)+IF(LEN(AN127)&gt;0,1,0)+IF(LEN(AO127)&gt;0,1,0)+IF(LEN(AP127)&gt;0,1,0)+IF(LEN(AY127)&gt;0,1,0)+IF(LEN(BK127)&gt;0,1,0)+IF(LEN(BX127)&gt;0,1,0))/20,2))</f>
        <v/>
      </c>
      <c r="CD127" s="10" t="str">
        <f aca="false">IF(D127="","",IF(AND(AN127="Approved",ISERROR(SEARCH("FAIL",BH127))),"Y","N"))</f>
        <v/>
      </c>
      <c r="CE127" s="10" t="str">
        <f aca="false">IF(D127="","",D127&amp;"|"&amp;F127&amp;"|"&amp;G127&amp;"|"&amp;H127&amp;"|"&amp;E127&amp;"|"&amp;CD127)</f>
        <v/>
      </c>
    </row>
    <row r="128" customFormat="false" ht="15" hidden="false" customHeight="false" outlineLevel="0" collapsed="false">
      <c r="A128" s="10" t="str">
        <f aca="false">IF(D128="","","EW-"&amp;IFERROR(VLOOKUP(D128,Lists!$P$4:$Q$22,2,0),"??")&amp;"-D"&amp;TEXT(F128*1000,"0000")&amp;"-"&amp;IFERROR(VLOOKUP(G128,Lists!$S$4:$T$21,2,0),"??")&amp;"-"&amp;IFERROR(VLOOKUP(H128,Lists!$Y$4:$Z$21,2,0),"??")&amp;"-"&amp;IFERROR(VLOOKUP(E128,Lists!$V$4:$W$16,2,0),"??")&amp;"-"&amp;AM128)</f>
        <v/>
      </c>
      <c r="B128" s="10" t="str">
        <f aca="false">IF(D128="","",E128&amp;" "&amp;D128&amp;", excavation "&amp;TEXT(F128,"0.0")&amp;" m, "&amp;G128&amp;", "&amp;H128&amp;", "&amp;K128)</f>
        <v/>
      </c>
      <c r="C128" s="9"/>
      <c r="D128" s="9"/>
      <c r="E128" s="9"/>
      <c r="F128" s="42"/>
      <c r="G128" s="9"/>
      <c r="H128" s="9"/>
      <c r="I128" s="42"/>
      <c r="J128" s="38"/>
      <c r="K128" s="9"/>
      <c r="L128" s="9"/>
      <c r="M128" s="9"/>
      <c r="N128" s="42"/>
      <c r="O128" s="42"/>
      <c r="P128" s="9"/>
      <c r="Q128" s="9"/>
      <c r="R128" s="9"/>
      <c r="S128" s="9"/>
      <c r="T128" s="38"/>
      <c r="U128" s="38"/>
      <c r="V128" s="38"/>
      <c r="W128" s="38"/>
      <c r="X128" s="38"/>
      <c r="Y128" s="9"/>
      <c r="Z128" s="39"/>
      <c r="AA128" s="9"/>
      <c r="AB128" s="9"/>
      <c r="AC128" s="9"/>
      <c r="AD128" s="9"/>
      <c r="AE128" s="9"/>
      <c r="AF128" s="9"/>
      <c r="AG128" s="9"/>
      <c r="AH128" s="38"/>
      <c r="AI128" s="9"/>
      <c r="AJ128" s="39"/>
      <c r="AK128" s="9"/>
      <c r="AL128" s="9"/>
      <c r="AM128" s="9"/>
      <c r="AN128" s="9"/>
      <c r="AO128" s="9"/>
      <c r="AP128" s="9"/>
      <c r="AQ128" s="9"/>
      <c r="AR128" s="10" t="str">
        <f aca="false">IF(A128="","",SG_Criteria!$B$6&amp;SG_Criteria!$B$9&amp;"\"&amp;A128&amp;"\")</f>
        <v/>
      </c>
      <c r="AS128" s="10" t="str">
        <f aca="false">IF(A128="","",A128&amp;"_CAD.dwg")</f>
        <v/>
      </c>
      <c r="AT128" s="10" t="str">
        <f aca="false">IF(A128="","",A128&amp;"_DWG.pdf")</f>
        <v/>
      </c>
      <c r="AU128" s="10" t="str">
        <f aca="false">IF(A128="","",IF(AQ128="Y",A128&amp;"_STAAD.std","n/a"))</f>
        <v/>
      </c>
      <c r="AV128" s="10" t="str">
        <f aca="false">IF(A128="","",A128&amp;"_CALC.xlsx")</f>
        <v/>
      </c>
      <c r="AW128" s="10" t="str">
        <f aca="false">IF(A128="","",A128&amp;"_CALC.pdf")</f>
        <v/>
      </c>
      <c r="AX128" s="9"/>
      <c r="AY128" s="9"/>
      <c r="AZ128" s="39"/>
      <c r="BA128" s="39"/>
      <c r="BB128" s="39"/>
      <c r="BC128" s="39"/>
      <c r="BD128" s="39"/>
      <c r="BE128" s="12" t="str">
        <f aca="false">IF(A128="","",IF(COUNTIF(Rebar_Schedule!$A$5:$A$2004,A128)=0,"",ROUND(SUMIF(Rebar_Schedule!$A$5:$A$2004,A128,Rebar_Schedule!$K$5:$K$2004),1)))</f>
        <v/>
      </c>
      <c r="BF128" s="33" t="str">
        <f aca="false">IF(A128="","",IF(BE128="","No rebar schedule yet",IF(ABS(BE128-N(BA128))/MAX(N(BA128),1)&gt;SG_Criteria!$B$55,"NOTE: register rebar differs from schedule by "&amp;TEXT(ABS(BE128-N(BA128))/MAX(N(BA128),1),"0%"),"OK")))</f>
        <v/>
      </c>
      <c r="BG128" s="33" t="str">
        <f aca="false">IF(OR(D128="",F128=""),"",IF(F128&lt;=IF(D128="Soldier Pile &amp; Timber Lagging",SG_Criteria!$B$34,SG_Criteria!$B$33),"No ERSS submission",IF(F128&lt;=SG_Criteria!$B$35,"QP(ST)",IF(F128&lt;=SG_Criteria!$B$36,"QP(ST) + AC","Geotechnical building works: QP(Geo) + AC"))))</f>
        <v/>
      </c>
      <c r="BH128" s="33" t="str">
        <f aca="false">IF(D128="","",IF(LEN(IF(AND(AC128&lt;&gt;"",IFERROR(VALUE(MID(AC128,2,2)),0)&lt;SG_Criteria!$B$19),"FAIL: grade below C"&amp;SG_Criteria!$B$19&amp;". ","")&amp;IF(AND(LEFT(D128,3)="Con",N(I128)&lt;F128,H128="Kallang Formation (marine clay)"),"NOTE: CBP is not watertight below GWT in marine clay; consider secant / grouting. ","")&amp;IF(AND(D128="Steel Sheet Pile",E128="Permanent"),"NOTE: permanent sheet pile needs corrosion allowance. ","")&amp;IF(AND(G128="Cantilever (no support)",F128&gt;6),"NOTE: cantilever embedded wall &gt; 6 m, check deflection. ","")&amp;IF(AND(T128&lt;&gt;"",U128&lt;&gt;"",T128&gt;U128),"FAIL: deflection exceeds allowable. ",""))=0,"OK",IF(AND(AC128&lt;&gt;"",IFERROR(VALUE(MID(AC128,2,2)),0)&lt;SG_Criteria!$B$19),"FAIL: grade below C"&amp;SG_Criteria!$B$19&amp;". ","")&amp;IF(AND(LEFT(D128,3)="Con",N(I128)&lt;F128,H128="Kallang Formation (marine clay)"),"NOTE: CBP is not watertight below GWT in marine clay; consider secant / grouting. ","")&amp;IF(AND(D128="Steel Sheet Pile",E128="Permanent"),"NOTE: permanent sheet pile needs corrosion allowance. ","")&amp;IF(AND(G128="Cantilever (no support)",F128&gt;6),"NOTE: cantilever embedded wall &gt; 6 m, check deflection. ","")&amp;IF(AND(T128&lt;&gt;"",U128&lt;&gt;"",T128&gt;U128),"FAIL: deflection exceeds allowable. ","")))</f>
        <v/>
      </c>
      <c r="BI128" s="9"/>
      <c r="BJ128" s="9"/>
      <c r="BK128" s="9"/>
      <c r="BL128" s="10" t="str">
        <f aca="false">IF(BK128="","",IFERROR(VLOOKUP(BK128,Projects!$A$5:$D$504,2,0),"Ref not in Projects"))</f>
        <v/>
      </c>
      <c r="BM128" s="10" t="str">
        <f aca="false">IF(BK128="","",IFERROR(VLOOKUP(BK128,Projects!$A$5:$D$504,4,0),"Ref not in Projects"))</f>
        <v/>
      </c>
      <c r="BN128" s="9"/>
      <c r="BO128" s="9"/>
      <c r="BP128" s="9"/>
      <c r="BQ128" s="40"/>
      <c r="BR128" s="9"/>
      <c r="BS128" s="40"/>
      <c r="BT128" s="9"/>
      <c r="BU128" s="40"/>
      <c r="BV128" s="9"/>
      <c r="BW128" s="9"/>
      <c r="BX128" s="9"/>
      <c r="BY128" s="40"/>
      <c r="BZ128" s="40"/>
      <c r="CA128" s="36" t="str">
        <f aca="false">IF(BZ128="","",EDATE(BZ128,SG_Criteria!$B$54*12))</f>
        <v/>
      </c>
      <c r="CB128" s="33" t="str">
        <f aca="true">IF(A128="","",IF(BZ128="","NOTE: not reviewed yet",IF(TODAY()&gt;CA128,"NOTE: review overdue","OK")))</f>
        <v/>
      </c>
      <c r="CC128" s="37" t="str">
        <f aca="false">IF(A128="","",ROUND((IF(LEN(D128)&gt;0,1,0)+IF(LEN(E128)&gt;0,1,0)+IF(LEN(F128)&gt;0,1,0)+IF(LEN(G128)&gt;0,1,0)+IF(LEN(H128)&gt;0,1,0)+IF(LEN(I128)&gt;0,1,0)+IF(LEN(K128)&gt;0,1,0)+IF(LEN(N128)&gt;0,1,0)+IF(LEN(O128)&gt;0,1,0)+IF(LEN(T128)&gt;0,1,0)+IF(LEN(U128)&gt;0,1,0)+IF(LEN(V128)&gt;0,1,0)+IF(LEN(AK128)&gt;0,1,0)+IF(LEN(AM128)&gt;0,1,0)+IF(LEN(AN128)&gt;0,1,0)+IF(LEN(AO128)&gt;0,1,0)+IF(LEN(AP128)&gt;0,1,0)+IF(LEN(AY128)&gt;0,1,0)+IF(LEN(BK128)&gt;0,1,0)+IF(LEN(BX128)&gt;0,1,0))/20,2))</f>
        <v/>
      </c>
      <c r="CD128" s="10" t="str">
        <f aca="false">IF(D128="","",IF(AND(AN128="Approved",ISERROR(SEARCH("FAIL",BH128))),"Y","N"))</f>
        <v/>
      </c>
      <c r="CE128" s="10" t="str">
        <f aca="false">IF(D128="","",D128&amp;"|"&amp;F128&amp;"|"&amp;G128&amp;"|"&amp;H128&amp;"|"&amp;E128&amp;"|"&amp;CD128)</f>
        <v/>
      </c>
    </row>
    <row r="129" customFormat="false" ht="15" hidden="false" customHeight="false" outlineLevel="0" collapsed="false">
      <c r="A129" s="10" t="str">
        <f aca="false">IF(D129="","","EW-"&amp;IFERROR(VLOOKUP(D129,Lists!$P$4:$Q$22,2,0),"??")&amp;"-D"&amp;TEXT(F129*1000,"0000")&amp;"-"&amp;IFERROR(VLOOKUP(G129,Lists!$S$4:$T$21,2,0),"??")&amp;"-"&amp;IFERROR(VLOOKUP(H129,Lists!$Y$4:$Z$21,2,0),"??")&amp;"-"&amp;IFERROR(VLOOKUP(E129,Lists!$V$4:$W$16,2,0),"??")&amp;"-"&amp;AM129)</f>
        <v/>
      </c>
      <c r="B129" s="10" t="str">
        <f aca="false">IF(D129="","",E129&amp;" "&amp;D129&amp;", excavation "&amp;TEXT(F129,"0.0")&amp;" m, "&amp;G129&amp;", "&amp;H129&amp;", "&amp;K129)</f>
        <v/>
      </c>
      <c r="C129" s="9"/>
      <c r="D129" s="9"/>
      <c r="E129" s="9"/>
      <c r="F129" s="42"/>
      <c r="G129" s="9"/>
      <c r="H129" s="9"/>
      <c r="I129" s="42"/>
      <c r="J129" s="38"/>
      <c r="K129" s="9"/>
      <c r="L129" s="9"/>
      <c r="M129" s="9"/>
      <c r="N129" s="42"/>
      <c r="O129" s="42"/>
      <c r="P129" s="9"/>
      <c r="Q129" s="9"/>
      <c r="R129" s="9"/>
      <c r="S129" s="9"/>
      <c r="T129" s="38"/>
      <c r="U129" s="38"/>
      <c r="V129" s="38"/>
      <c r="W129" s="38"/>
      <c r="X129" s="38"/>
      <c r="Y129" s="9"/>
      <c r="Z129" s="39"/>
      <c r="AA129" s="9"/>
      <c r="AB129" s="9"/>
      <c r="AC129" s="9"/>
      <c r="AD129" s="9"/>
      <c r="AE129" s="9"/>
      <c r="AF129" s="9"/>
      <c r="AG129" s="9"/>
      <c r="AH129" s="38"/>
      <c r="AI129" s="9"/>
      <c r="AJ129" s="39"/>
      <c r="AK129" s="9"/>
      <c r="AL129" s="9"/>
      <c r="AM129" s="9"/>
      <c r="AN129" s="9"/>
      <c r="AO129" s="9"/>
      <c r="AP129" s="9"/>
      <c r="AQ129" s="9"/>
      <c r="AR129" s="10" t="str">
        <f aca="false">IF(A129="","",SG_Criteria!$B$6&amp;SG_Criteria!$B$9&amp;"\"&amp;A129&amp;"\")</f>
        <v/>
      </c>
      <c r="AS129" s="10" t="str">
        <f aca="false">IF(A129="","",A129&amp;"_CAD.dwg")</f>
        <v/>
      </c>
      <c r="AT129" s="10" t="str">
        <f aca="false">IF(A129="","",A129&amp;"_DWG.pdf")</f>
        <v/>
      </c>
      <c r="AU129" s="10" t="str">
        <f aca="false">IF(A129="","",IF(AQ129="Y",A129&amp;"_STAAD.std","n/a"))</f>
        <v/>
      </c>
      <c r="AV129" s="10" t="str">
        <f aca="false">IF(A129="","",A129&amp;"_CALC.xlsx")</f>
        <v/>
      </c>
      <c r="AW129" s="10" t="str">
        <f aca="false">IF(A129="","",A129&amp;"_CALC.pdf")</f>
        <v/>
      </c>
      <c r="AX129" s="9"/>
      <c r="AY129" s="9"/>
      <c r="AZ129" s="39"/>
      <c r="BA129" s="39"/>
      <c r="BB129" s="39"/>
      <c r="BC129" s="39"/>
      <c r="BD129" s="39"/>
      <c r="BE129" s="12" t="str">
        <f aca="false">IF(A129="","",IF(COUNTIF(Rebar_Schedule!$A$5:$A$2004,A129)=0,"",ROUND(SUMIF(Rebar_Schedule!$A$5:$A$2004,A129,Rebar_Schedule!$K$5:$K$2004),1)))</f>
        <v/>
      </c>
      <c r="BF129" s="33" t="str">
        <f aca="false">IF(A129="","",IF(BE129="","No rebar schedule yet",IF(ABS(BE129-N(BA129))/MAX(N(BA129),1)&gt;SG_Criteria!$B$55,"NOTE: register rebar differs from schedule by "&amp;TEXT(ABS(BE129-N(BA129))/MAX(N(BA129),1),"0%"),"OK")))</f>
        <v/>
      </c>
      <c r="BG129" s="33" t="str">
        <f aca="false">IF(OR(D129="",F129=""),"",IF(F129&lt;=IF(D129="Soldier Pile &amp; Timber Lagging",SG_Criteria!$B$34,SG_Criteria!$B$33),"No ERSS submission",IF(F129&lt;=SG_Criteria!$B$35,"QP(ST)",IF(F129&lt;=SG_Criteria!$B$36,"QP(ST) + AC","Geotechnical building works: QP(Geo) + AC"))))</f>
        <v/>
      </c>
      <c r="BH129" s="33" t="str">
        <f aca="false">IF(D129="","",IF(LEN(IF(AND(AC129&lt;&gt;"",IFERROR(VALUE(MID(AC129,2,2)),0)&lt;SG_Criteria!$B$19),"FAIL: grade below C"&amp;SG_Criteria!$B$19&amp;". ","")&amp;IF(AND(LEFT(D129,3)="Con",N(I129)&lt;F129,H129="Kallang Formation (marine clay)"),"NOTE: CBP is not watertight below GWT in marine clay; consider secant / grouting. ","")&amp;IF(AND(D129="Steel Sheet Pile",E129="Permanent"),"NOTE: permanent sheet pile needs corrosion allowance. ","")&amp;IF(AND(G129="Cantilever (no support)",F129&gt;6),"NOTE: cantilever embedded wall &gt; 6 m, check deflection. ","")&amp;IF(AND(T129&lt;&gt;"",U129&lt;&gt;"",T129&gt;U129),"FAIL: deflection exceeds allowable. ",""))=0,"OK",IF(AND(AC129&lt;&gt;"",IFERROR(VALUE(MID(AC129,2,2)),0)&lt;SG_Criteria!$B$19),"FAIL: grade below C"&amp;SG_Criteria!$B$19&amp;". ","")&amp;IF(AND(LEFT(D129,3)="Con",N(I129)&lt;F129,H129="Kallang Formation (marine clay)"),"NOTE: CBP is not watertight below GWT in marine clay; consider secant / grouting. ","")&amp;IF(AND(D129="Steel Sheet Pile",E129="Permanent"),"NOTE: permanent sheet pile needs corrosion allowance. ","")&amp;IF(AND(G129="Cantilever (no support)",F129&gt;6),"NOTE: cantilever embedded wall &gt; 6 m, check deflection. ","")&amp;IF(AND(T129&lt;&gt;"",U129&lt;&gt;"",T129&gt;U129),"FAIL: deflection exceeds allowable. ","")))</f>
        <v/>
      </c>
      <c r="BI129" s="9"/>
      <c r="BJ129" s="9"/>
      <c r="BK129" s="9"/>
      <c r="BL129" s="10" t="str">
        <f aca="false">IF(BK129="","",IFERROR(VLOOKUP(BK129,Projects!$A$5:$D$504,2,0),"Ref not in Projects"))</f>
        <v/>
      </c>
      <c r="BM129" s="10" t="str">
        <f aca="false">IF(BK129="","",IFERROR(VLOOKUP(BK129,Projects!$A$5:$D$504,4,0),"Ref not in Projects"))</f>
        <v/>
      </c>
      <c r="BN129" s="9"/>
      <c r="BO129" s="9"/>
      <c r="BP129" s="9"/>
      <c r="BQ129" s="40"/>
      <c r="BR129" s="9"/>
      <c r="BS129" s="40"/>
      <c r="BT129" s="9"/>
      <c r="BU129" s="40"/>
      <c r="BV129" s="9"/>
      <c r="BW129" s="9"/>
      <c r="BX129" s="9"/>
      <c r="BY129" s="40"/>
      <c r="BZ129" s="40"/>
      <c r="CA129" s="36" t="str">
        <f aca="false">IF(BZ129="","",EDATE(BZ129,SG_Criteria!$B$54*12))</f>
        <v/>
      </c>
      <c r="CB129" s="33" t="str">
        <f aca="true">IF(A129="","",IF(BZ129="","NOTE: not reviewed yet",IF(TODAY()&gt;CA129,"NOTE: review overdue","OK")))</f>
        <v/>
      </c>
      <c r="CC129" s="37" t="str">
        <f aca="false">IF(A129="","",ROUND((IF(LEN(D129)&gt;0,1,0)+IF(LEN(E129)&gt;0,1,0)+IF(LEN(F129)&gt;0,1,0)+IF(LEN(G129)&gt;0,1,0)+IF(LEN(H129)&gt;0,1,0)+IF(LEN(I129)&gt;0,1,0)+IF(LEN(K129)&gt;0,1,0)+IF(LEN(N129)&gt;0,1,0)+IF(LEN(O129)&gt;0,1,0)+IF(LEN(T129)&gt;0,1,0)+IF(LEN(U129)&gt;0,1,0)+IF(LEN(V129)&gt;0,1,0)+IF(LEN(AK129)&gt;0,1,0)+IF(LEN(AM129)&gt;0,1,0)+IF(LEN(AN129)&gt;0,1,0)+IF(LEN(AO129)&gt;0,1,0)+IF(LEN(AP129)&gt;0,1,0)+IF(LEN(AY129)&gt;0,1,0)+IF(LEN(BK129)&gt;0,1,0)+IF(LEN(BX129)&gt;0,1,0))/20,2))</f>
        <v/>
      </c>
      <c r="CD129" s="10" t="str">
        <f aca="false">IF(D129="","",IF(AND(AN129="Approved",ISERROR(SEARCH("FAIL",BH129))),"Y","N"))</f>
        <v/>
      </c>
      <c r="CE129" s="10" t="str">
        <f aca="false">IF(D129="","",D129&amp;"|"&amp;F129&amp;"|"&amp;G129&amp;"|"&amp;H129&amp;"|"&amp;E129&amp;"|"&amp;CD129)</f>
        <v/>
      </c>
    </row>
    <row r="130" customFormat="false" ht="15" hidden="false" customHeight="false" outlineLevel="0" collapsed="false">
      <c r="A130" s="10" t="str">
        <f aca="false">IF(D130="","","EW-"&amp;IFERROR(VLOOKUP(D130,Lists!$P$4:$Q$22,2,0),"??")&amp;"-D"&amp;TEXT(F130*1000,"0000")&amp;"-"&amp;IFERROR(VLOOKUP(G130,Lists!$S$4:$T$21,2,0),"??")&amp;"-"&amp;IFERROR(VLOOKUP(H130,Lists!$Y$4:$Z$21,2,0),"??")&amp;"-"&amp;IFERROR(VLOOKUP(E130,Lists!$V$4:$W$16,2,0),"??")&amp;"-"&amp;AM130)</f>
        <v/>
      </c>
      <c r="B130" s="10" t="str">
        <f aca="false">IF(D130="","",E130&amp;" "&amp;D130&amp;", excavation "&amp;TEXT(F130,"0.0")&amp;" m, "&amp;G130&amp;", "&amp;H130&amp;", "&amp;K130)</f>
        <v/>
      </c>
      <c r="C130" s="9"/>
      <c r="D130" s="9"/>
      <c r="E130" s="9"/>
      <c r="F130" s="42"/>
      <c r="G130" s="9"/>
      <c r="H130" s="9"/>
      <c r="I130" s="42"/>
      <c r="J130" s="38"/>
      <c r="K130" s="9"/>
      <c r="L130" s="9"/>
      <c r="M130" s="9"/>
      <c r="N130" s="42"/>
      <c r="O130" s="42"/>
      <c r="P130" s="9"/>
      <c r="Q130" s="9"/>
      <c r="R130" s="9"/>
      <c r="S130" s="9"/>
      <c r="T130" s="38"/>
      <c r="U130" s="38"/>
      <c r="V130" s="38"/>
      <c r="W130" s="38"/>
      <c r="X130" s="38"/>
      <c r="Y130" s="9"/>
      <c r="Z130" s="39"/>
      <c r="AA130" s="9"/>
      <c r="AB130" s="9"/>
      <c r="AC130" s="9"/>
      <c r="AD130" s="9"/>
      <c r="AE130" s="9"/>
      <c r="AF130" s="9"/>
      <c r="AG130" s="9"/>
      <c r="AH130" s="38"/>
      <c r="AI130" s="9"/>
      <c r="AJ130" s="39"/>
      <c r="AK130" s="9"/>
      <c r="AL130" s="9"/>
      <c r="AM130" s="9"/>
      <c r="AN130" s="9"/>
      <c r="AO130" s="9"/>
      <c r="AP130" s="9"/>
      <c r="AQ130" s="9"/>
      <c r="AR130" s="10" t="str">
        <f aca="false">IF(A130="","",SG_Criteria!$B$6&amp;SG_Criteria!$B$9&amp;"\"&amp;A130&amp;"\")</f>
        <v/>
      </c>
      <c r="AS130" s="10" t="str">
        <f aca="false">IF(A130="","",A130&amp;"_CAD.dwg")</f>
        <v/>
      </c>
      <c r="AT130" s="10" t="str">
        <f aca="false">IF(A130="","",A130&amp;"_DWG.pdf")</f>
        <v/>
      </c>
      <c r="AU130" s="10" t="str">
        <f aca="false">IF(A130="","",IF(AQ130="Y",A130&amp;"_STAAD.std","n/a"))</f>
        <v/>
      </c>
      <c r="AV130" s="10" t="str">
        <f aca="false">IF(A130="","",A130&amp;"_CALC.xlsx")</f>
        <v/>
      </c>
      <c r="AW130" s="10" t="str">
        <f aca="false">IF(A130="","",A130&amp;"_CALC.pdf")</f>
        <v/>
      </c>
      <c r="AX130" s="9"/>
      <c r="AY130" s="9"/>
      <c r="AZ130" s="39"/>
      <c r="BA130" s="39"/>
      <c r="BB130" s="39"/>
      <c r="BC130" s="39"/>
      <c r="BD130" s="39"/>
      <c r="BE130" s="12" t="str">
        <f aca="false">IF(A130="","",IF(COUNTIF(Rebar_Schedule!$A$5:$A$2004,A130)=0,"",ROUND(SUMIF(Rebar_Schedule!$A$5:$A$2004,A130,Rebar_Schedule!$K$5:$K$2004),1)))</f>
        <v/>
      </c>
      <c r="BF130" s="33" t="str">
        <f aca="false">IF(A130="","",IF(BE130="","No rebar schedule yet",IF(ABS(BE130-N(BA130))/MAX(N(BA130),1)&gt;SG_Criteria!$B$55,"NOTE: register rebar differs from schedule by "&amp;TEXT(ABS(BE130-N(BA130))/MAX(N(BA130),1),"0%"),"OK")))</f>
        <v/>
      </c>
      <c r="BG130" s="33" t="str">
        <f aca="false">IF(OR(D130="",F130=""),"",IF(F130&lt;=IF(D130="Soldier Pile &amp; Timber Lagging",SG_Criteria!$B$34,SG_Criteria!$B$33),"No ERSS submission",IF(F130&lt;=SG_Criteria!$B$35,"QP(ST)",IF(F130&lt;=SG_Criteria!$B$36,"QP(ST) + AC","Geotechnical building works: QP(Geo) + AC"))))</f>
        <v/>
      </c>
      <c r="BH130" s="33" t="str">
        <f aca="false">IF(D130="","",IF(LEN(IF(AND(AC130&lt;&gt;"",IFERROR(VALUE(MID(AC130,2,2)),0)&lt;SG_Criteria!$B$19),"FAIL: grade below C"&amp;SG_Criteria!$B$19&amp;". ","")&amp;IF(AND(LEFT(D130,3)="Con",N(I130)&lt;F130,H130="Kallang Formation (marine clay)"),"NOTE: CBP is not watertight below GWT in marine clay; consider secant / grouting. ","")&amp;IF(AND(D130="Steel Sheet Pile",E130="Permanent"),"NOTE: permanent sheet pile needs corrosion allowance. ","")&amp;IF(AND(G130="Cantilever (no support)",F130&gt;6),"NOTE: cantilever embedded wall &gt; 6 m, check deflection. ","")&amp;IF(AND(T130&lt;&gt;"",U130&lt;&gt;"",T130&gt;U130),"FAIL: deflection exceeds allowable. ",""))=0,"OK",IF(AND(AC130&lt;&gt;"",IFERROR(VALUE(MID(AC130,2,2)),0)&lt;SG_Criteria!$B$19),"FAIL: grade below C"&amp;SG_Criteria!$B$19&amp;". ","")&amp;IF(AND(LEFT(D130,3)="Con",N(I130)&lt;F130,H130="Kallang Formation (marine clay)"),"NOTE: CBP is not watertight below GWT in marine clay; consider secant / grouting. ","")&amp;IF(AND(D130="Steel Sheet Pile",E130="Permanent"),"NOTE: permanent sheet pile needs corrosion allowance. ","")&amp;IF(AND(G130="Cantilever (no support)",F130&gt;6),"NOTE: cantilever embedded wall &gt; 6 m, check deflection. ","")&amp;IF(AND(T130&lt;&gt;"",U130&lt;&gt;"",T130&gt;U130),"FAIL: deflection exceeds allowable. ","")))</f>
        <v/>
      </c>
      <c r="BI130" s="9"/>
      <c r="BJ130" s="9"/>
      <c r="BK130" s="9"/>
      <c r="BL130" s="10" t="str">
        <f aca="false">IF(BK130="","",IFERROR(VLOOKUP(BK130,Projects!$A$5:$D$504,2,0),"Ref not in Projects"))</f>
        <v/>
      </c>
      <c r="BM130" s="10" t="str">
        <f aca="false">IF(BK130="","",IFERROR(VLOOKUP(BK130,Projects!$A$5:$D$504,4,0),"Ref not in Projects"))</f>
        <v/>
      </c>
      <c r="BN130" s="9"/>
      <c r="BO130" s="9"/>
      <c r="BP130" s="9"/>
      <c r="BQ130" s="40"/>
      <c r="BR130" s="9"/>
      <c r="BS130" s="40"/>
      <c r="BT130" s="9"/>
      <c r="BU130" s="40"/>
      <c r="BV130" s="9"/>
      <c r="BW130" s="9"/>
      <c r="BX130" s="9"/>
      <c r="BY130" s="40"/>
      <c r="BZ130" s="40"/>
      <c r="CA130" s="36" t="str">
        <f aca="false">IF(BZ130="","",EDATE(BZ130,SG_Criteria!$B$54*12))</f>
        <v/>
      </c>
      <c r="CB130" s="33" t="str">
        <f aca="true">IF(A130="","",IF(BZ130="","NOTE: not reviewed yet",IF(TODAY()&gt;CA130,"NOTE: review overdue","OK")))</f>
        <v/>
      </c>
      <c r="CC130" s="37" t="str">
        <f aca="false">IF(A130="","",ROUND((IF(LEN(D130)&gt;0,1,0)+IF(LEN(E130)&gt;0,1,0)+IF(LEN(F130)&gt;0,1,0)+IF(LEN(G130)&gt;0,1,0)+IF(LEN(H130)&gt;0,1,0)+IF(LEN(I130)&gt;0,1,0)+IF(LEN(K130)&gt;0,1,0)+IF(LEN(N130)&gt;0,1,0)+IF(LEN(O130)&gt;0,1,0)+IF(LEN(T130)&gt;0,1,0)+IF(LEN(U130)&gt;0,1,0)+IF(LEN(V130)&gt;0,1,0)+IF(LEN(AK130)&gt;0,1,0)+IF(LEN(AM130)&gt;0,1,0)+IF(LEN(AN130)&gt;0,1,0)+IF(LEN(AO130)&gt;0,1,0)+IF(LEN(AP130)&gt;0,1,0)+IF(LEN(AY130)&gt;0,1,0)+IF(LEN(BK130)&gt;0,1,0)+IF(LEN(BX130)&gt;0,1,0))/20,2))</f>
        <v/>
      </c>
      <c r="CD130" s="10" t="str">
        <f aca="false">IF(D130="","",IF(AND(AN130="Approved",ISERROR(SEARCH("FAIL",BH130))),"Y","N"))</f>
        <v/>
      </c>
      <c r="CE130" s="10" t="str">
        <f aca="false">IF(D130="","",D130&amp;"|"&amp;F130&amp;"|"&amp;G130&amp;"|"&amp;H130&amp;"|"&amp;E130&amp;"|"&amp;CD130)</f>
        <v/>
      </c>
    </row>
    <row r="131" customFormat="false" ht="15" hidden="false" customHeight="false" outlineLevel="0" collapsed="false">
      <c r="A131" s="10" t="str">
        <f aca="false">IF(D131="","","EW-"&amp;IFERROR(VLOOKUP(D131,Lists!$P$4:$Q$22,2,0),"??")&amp;"-D"&amp;TEXT(F131*1000,"0000")&amp;"-"&amp;IFERROR(VLOOKUP(G131,Lists!$S$4:$T$21,2,0),"??")&amp;"-"&amp;IFERROR(VLOOKUP(H131,Lists!$Y$4:$Z$21,2,0),"??")&amp;"-"&amp;IFERROR(VLOOKUP(E131,Lists!$V$4:$W$16,2,0),"??")&amp;"-"&amp;AM131)</f>
        <v/>
      </c>
      <c r="B131" s="10" t="str">
        <f aca="false">IF(D131="","",E131&amp;" "&amp;D131&amp;", excavation "&amp;TEXT(F131,"0.0")&amp;" m, "&amp;G131&amp;", "&amp;H131&amp;", "&amp;K131)</f>
        <v/>
      </c>
      <c r="C131" s="9"/>
      <c r="D131" s="9"/>
      <c r="E131" s="9"/>
      <c r="F131" s="42"/>
      <c r="G131" s="9"/>
      <c r="H131" s="9"/>
      <c r="I131" s="42"/>
      <c r="J131" s="38"/>
      <c r="K131" s="9"/>
      <c r="L131" s="9"/>
      <c r="M131" s="9"/>
      <c r="N131" s="42"/>
      <c r="O131" s="42"/>
      <c r="P131" s="9"/>
      <c r="Q131" s="9"/>
      <c r="R131" s="9"/>
      <c r="S131" s="9"/>
      <c r="T131" s="38"/>
      <c r="U131" s="38"/>
      <c r="V131" s="38"/>
      <c r="W131" s="38"/>
      <c r="X131" s="38"/>
      <c r="Y131" s="9"/>
      <c r="Z131" s="39"/>
      <c r="AA131" s="9"/>
      <c r="AB131" s="9"/>
      <c r="AC131" s="9"/>
      <c r="AD131" s="9"/>
      <c r="AE131" s="9"/>
      <c r="AF131" s="9"/>
      <c r="AG131" s="9"/>
      <c r="AH131" s="38"/>
      <c r="AI131" s="9"/>
      <c r="AJ131" s="39"/>
      <c r="AK131" s="9"/>
      <c r="AL131" s="9"/>
      <c r="AM131" s="9"/>
      <c r="AN131" s="9"/>
      <c r="AO131" s="9"/>
      <c r="AP131" s="9"/>
      <c r="AQ131" s="9"/>
      <c r="AR131" s="10" t="str">
        <f aca="false">IF(A131="","",SG_Criteria!$B$6&amp;SG_Criteria!$B$9&amp;"\"&amp;A131&amp;"\")</f>
        <v/>
      </c>
      <c r="AS131" s="10" t="str">
        <f aca="false">IF(A131="","",A131&amp;"_CAD.dwg")</f>
        <v/>
      </c>
      <c r="AT131" s="10" t="str">
        <f aca="false">IF(A131="","",A131&amp;"_DWG.pdf")</f>
        <v/>
      </c>
      <c r="AU131" s="10" t="str">
        <f aca="false">IF(A131="","",IF(AQ131="Y",A131&amp;"_STAAD.std","n/a"))</f>
        <v/>
      </c>
      <c r="AV131" s="10" t="str">
        <f aca="false">IF(A131="","",A131&amp;"_CALC.xlsx")</f>
        <v/>
      </c>
      <c r="AW131" s="10" t="str">
        <f aca="false">IF(A131="","",A131&amp;"_CALC.pdf")</f>
        <v/>
      </c>
      <c r="AX131" s="9"/>
      <c r="AY131" s="9"/>
      <c r="AZ131" s="39"/>
      <c r="BA131" s="39"/>
      <c r="BB131" s="39"/>
      <c r="BC131" s="39"/>
      <c r="BD131" s="39"/>
      <c r="BE131" s="12" t="str">
        <f aca="false">IF(A131="","",IF(COUNTIF(Rebar_Schedule!$A$5:$A$2004,A131)=0,"",ROUND(SUMIF(Rebar_Schedule!$A$5:$A$2004,A131,Rebar_Schedule!$K$5:$K$2004),1)))</f>
        <v/>
      </c>
      <c r="BF131" s="33" t="str">
        <f aca="false">IF(A131="","",IF(BE131="","No rebar schedule yet",IF(ABS(BE131-N(BA131))/MAX(N(BA131),1)&gt;SG_Criteria!$B$55,"NOTE: register rebar differs from schedule by "&amp;TEXT(ABS(BE131-N(BA131))/MAX(N(BA131),1),"0%"),"OK")))</f>
        <v/>
      </c>
      <c r="BG131" s="33" t="str">
        <f aca="false">IF(OR(D131="",F131=""),"",IF(F131&lt;=IF(D131="Soldier Pile &amp; Timber Lagging",SG_Criteria!$B$34,SG_Criteria!$B$33),"No ERSS submission",IF(F131&lt;=SG_Criteria!$B$35,"QP(ST)",IF(F131&lt;=SG_Criteria!$B$36,"QP(ST) + AC","Geotechnical building works: QP(Geo) + AC"))))</f>
        <v/>
      </c>
      <c r="BH131" s="33" t="str">
        <f aca="false">IF(D131="","",IF(LEN(IF(AND(AC131&lt;&gt;"",IFERROR(VALUE(MID(AC131,2,2)),0)&lt;SG_Criteria!$B$19),"FAIL: grade below C"&amp;SG_Criteria!$B$19&amp;". ","")&amp;IF(AND(LEFT(D131,3)="Con",N(I131)&lt;F131,H131="Kallang Formation (marine clay)"),"NOTE: CBP is not watertight below GWT in marine clay; consider secant / grouting. ","")&amp;IF(AND(D131="Steel Sheet Pile",E131="Permanent"),"NOTE: permanent sheet pile needs corrosion allowance. ","")&amp;IF(AND(G131="Cantilever (no support)",F131&gt;6),"NOTE: cantilever embedded wall &gt; 6 m, check deflection. ","")&amp;IF(AND(T131&lt;&gt;"",U131&lt;&gt;"",T131&gt;U131),"FAIL: deflection exceeds allowable. ",""))=0,"OK",IF(AND(AC131&lt;&gt;"",IFERROR(VALUE(MID(AC131,2,2)),0)&lt;SG_Criteria!$B$19),"FAIL: grade below C"&amp;SG_Criteria!$B$19&amp;". ","")&amp;IF(AND(LEFT(D131,3)="Con",N(I131)&lt;F131,H131="Kallang Formation (marine clay)"),"NOTE: CBP is not watertight below GWT in marine clay; consider secant / grouting. ","")&amp;IF(AND(D131="Steel Sheet Pile",E131="Permanent"),"NOTE: permanent sheet pile needs corrosion allowance. ","")&amp;IF(AND(G131="Cantilever (no support)",F131&gt;6),"NOTE: cantilever embedded wall &gt; 6 m, check deflection. ","")&amp;IF(AND(T131&lt;&gt;"",U131&lt;&gt;"",T131&gt;U131),"FAIL: deflection exceeds allowable. ","")))</f>
        <v/>
      </c>
      <c r="BI131" s="9"/>
      <c r="BJ131" s="9"/>
      <c r="BK131" s="9"/>
      <c r="BL131" s="10" t="str">
        <f aca="false">IF(BK131="","",IFERROR(VLOOKUP(BK131,Projects!$A$5:$D$504,2,0),"Ref not in Projects"))</f>
        <v/>
      </c>
      <c r="BM131" s="10" t="str">
        <f aca="false">IF(BK131="","",IFERROR(VLOOKUP(BK131,Projects!$A$5:$D$504,4,0),"Ref not in Projects"))</f>
        <v/>
      </c>
      <c r="BN131" s="9"/>
      <c r="BO131" s="9"/>
      <c r="BP131" s="9"/>
      <c r="BQ131" s="40"/>
      <c r="BR131" s="9"/>
      <c r="BS131" s="40"/>
      <c r="BT131" s="9"/>
      <c r="BU131" s="40"/>
      <c r="BV131" s="9"/>
      <c r="BW131" s="9"/>
      <c r="BX131" s="9"/>
      <c r="BY131" s="40"/>
      <c r="BZ131" s="40"/>
      <c r="CA131" s="36" t="str">
        <f aca="false">IF(BZ131="","",EDATE(BZ131,SG_Criteria!$B$54*12))</f>
        <v/>
      </c>
      <c r="CB131" s="33" t="str">
        <f aca="true">IF(A131="","",IF(BZ131="","NOTE: not reviewed yet",IF(TODAY()&gt;CA131,"NOTE: review overdue","OK")))</f>
        <v/>
      </c>
      <c r="CC131" s="37" t="str">
        <f aca="false">IF(A131="","",ROUND((IF(LEN(D131)&gt;0,1,0)+IF(LEN(E131)&gt;0,1,0)+IF(LEN(F131)&gt;0,1,0)+IF(LEN(G131)&gt;0,1,0)+IF(LEN(H131)&gt;0,1,0)+IF(LEN(I131)&gt;0,1,0)+IF(LEN(K131)&gt;0,1,0)+IF(LEN(N131)&gt;0,1,0)+IF(LEN(O131)&gt;0,1,0)+IF(LEN(T131)&gt;0,1,0)+IF(LEN(U131)&gt;0,1,0)+IF(LEN(V131)&gt;0,1,0)+IF(LEN(AK131)&gt;0,1,0)+IF(LEN(AM131)&gt;0,1,0)+IF(LEN(AN131)&gt;0,1,0)+IF(LEN(AO131)&gt;0,1,0)+IF(LEN(AP131)&gt;0,1,0)+IF(LEN(AY131)&gt;0,1,0)+IF(LEN(BK131)&gt;0,1,0)+IF(LEN(BX131)&gt;0,1,0))/20,2))</f>
        <v/>
      </c>
      <c r="CD131" s="10" t="str">
        <f aca="false">IF(D131="","",IF(AND(AN131="Approved",ISERROR(SEARCH("FAIL",BH131))),"Y","N"))</f>
        <v/>
      </c>
      <c r="CE131" s="10" t="str">
        <f aca="false">IF(D131="","",D131&amp;"|"&amp;F131&amp;"|"&amp;G131&amp;"|"&amp;H131&amp;"|"&amp;E131&amp;"|"&amp;CD131)</f>
        <v/>
      </c>
    </row>
    <row r="132" customFormat="false" ht="15" hidden="false" customHeight="false" outlineLevel="0" collapsed="false">
      <c r="A132" s="10" t="str">
        <f aca="false">IF(D132="","","EW-"&amp;IFERROR(VLOOKUP(D132,Lists!$P$4:$Q$22,2,0),"??")&amp;"-D"&amp;TEXT(F132*1000,"0000")&amp;"-"&amp;IFERROR(VLOOKUP(G132,Lists!$S$4:$T$21,2,0),"??")&amp;"-"&amp;IFERROR(VLOOKUP(H132,Lists!$Y$4:$Z$21,2,0),"??")&amp;"-"&amp;IFERROR(VLOOKUP(E132,Lists!$V$4:$W$16,2,0),"??")&amp;"-"&amp;AM132)</f>
        <v/>
      </c>
      <c r="B132" s="10" t="str">
        <f aca="false">IF(D132="","",E132&amp;" "&amp;D132&amp;", excavation "&amp;TEXT(F132,"0.0")&amp;" m, "&amp;G132&amp;", "&amp;H132&amp;", "&amp;K132)</f>
        <v/>
      </c>
      <c r="C132" s="9"/>
      <c r="D132" s="9"/>
      <c r="E132" s="9"/>
      <c r="F132" s="42"/>
      <c r="G132" s="9"/>
      <c r="H132" s="9"/>
      <c r="I132" s="42"/>
      <c r="J132" s="38"/>
      <c r="K132" s="9"/>
      <c r="L132" s="9"/>
      <c r="M132" s="9"/>
      <c r="N132" s="42"/>
      <c r="O132" s="42"/>
      <c r="P132" s="9"/>
      <c r="Q132" s="9"/>
      <c r="R132" s="9"/>
      <c r="S132" s="9"/>
      <c r="T132" s="38"/>
      <c r="U132" s="38"/>
      <c r="V132" s="38"/>
      <c r="W132" s="38"/>
      <c r="X132" s="38"/>
      <c r="Y132" s="9"/>
      <c r="Z132" s="39"/>
      <c r="AA132" s="9"/>
      <c r="AB132" s="9"/>
      <c r="AC132" s="9"/>
      <c r="AD132" s="9"/>
      <c r="AE132" s="9"/>
      <c r="AF132" s="9"/>
      <c r="AG132" s="9"/>
      <c r="AH132" s="38"/>
      <c r="AI132" s="9"/>
      <c r="AJ132" s="39"/>
      <c r="AK132" s="9"/>
      <c r="AL132" s="9"/>
      <c r="AM132" s="9"/>
      <c r="AN132" s="9"/>
      <c r="AO132" s="9"/>
      <c r="AP132" s="9"/>
      <c r="AQ132" s="9"/>
      <c r="AR132" s="10" t="str">
        <f aca="false">IF(A132="","",SG_Criteria!$B$6&amp;SG_Criteria!$B$9&amp;"\"&amp;A132&amp;"\")</f>
        <v/>
      </c>
      <c r="AS132" s="10" t="str">
        <f aca="false">IF(A132="","",A132&amp;"_CAD.dwg")</f>
        <v/>
      </c>
      <c r="AT132" s="10" t="str">
        <f aca="false">IF(A132="","",A132&amp;"_DWG.pdf")</f>
        <v/>
      </c>
      <c r="AU132" s="10" t="str">
        <f aca="false">IF(A132="","",IF(AQ132="Y",A132&amp;"_STAAD.std","n/a"))</f>
        <v/>
      </c>
      <c r="AV132" s="10" t="str">
        <f aca="false">IF(A132="","",A132&amp;"_CALC.xlsx")</f>
        <v/>
      </c>
      <c r="AW132" s="10" t="str">
        <f aca="false">IF(A132="","",A132&amp;"_CALC.pdf")</f>
        <v/>
      </c>
      <c r="AX132" s="9"/>
      <c r="AY132" s="9"/>
      <c r="AZ132" s="39"/>
      <c r="BA132" s="39"/>
      <c r="BB132" s="39"/>
      <c r="BC132" s="39"/>
      <c r="BD132" s="39"/>
      <c r="BE132" s="12" t="str">
        <f aca="false">IF(A132="","",IF(COUNTIF(Rebar_Schedule!$A$5:$A$2004,A132)=0,"",ROUND(SUMIF(Rebar_Schedule!$A$5:$A$2004,A132,Rebar_Schedule!$K$5:$K$2004),1)))</f>
        <v/>
      </c>
      <c r="BF132" s="33" t="str">
        <f aca="false">IF(A132="","",IF(BE132="","No rebar schedule yet",IF(ABS(BE132-N(BA132))/MAX(N(BA132),1)&gt;SG_Criteria!$B$55,"NOTE: register rebar differs from schedule by "&amp;TEXT(ABS(BE132-N(BA132))/MAX(N(BA132),1),"0%"),"OK")))</f>
        <v/>
      </c>
      <c r="BG132" s="33" t="str">
        <f aca="false">IF(OR(D132="",F132=""),"",IF(F132&lt;=IF(D132="Soldier Pile &amp; Timber Lagging",SG_Criteria!$B$34,SG_Criteria!$B$33),"No ERSS submission",IF(F132&lt;=SG_Criteria!$B$35,"QP(ST)",IF(F132&lt;=SG_Criteria!$B$36,"QP(ST) + AC","Geotechnical building works: QP(Geo) + AC"))))</f>
        <v/>
      </c>
      <c r="BH132" s="33" t="str">
        <f aca="false">IF(D132="","",IF(LEN(IF(AND(AC132&lt;&gt;"",IFERROR(VALUE(MID(AC132,2,2)),0)&lt;SG_Criteria!$B$19),"FAIL: grade below C"&amp;SG_Criteria!$B$19&amp;". ","")&amp;IF(AND(LEFT(D132,3)="Con",N(I132)&lt;F132,H132="Kallang Formation (marine clay)"),"NOTE: CBP is not watertight below GWT in marine clay; consider secant / grouting. ","")&amp;IF(AND(D132="Steel Sheet Pile",E132="Permanent"),"NOTE: permanent sheet pile needs corrosion allowance. ","")&amp;IF(AND(G132="Cantilever (no support)",F132&gt;6),"NOTE: cantilever embedded wall &gt; 6 m, check deflection. ","")&amp;IF(AND(T132&lt;&gt;"",U132&lt;&gt;"",T132&gt;U132),"FAIL: deflection exceeds allowable. ",""))=0,"OK",IF(AND(AC132&lt;&gt;"",IFERROR(VALUE(MID(AC132,2,2)),0)&lt;SG_Criteria!$B$19),"FAIL: grade below C"&amp;SG_Criteria!$B$19&amp;". ","")&amp;IF(AND(LEFT(D132,3)="Con",N(I132)&lt;F132,H132="Kallang Formation (marine clay)"),"NOTE: CBP is not watertight below GWT in marine clay; consider secant / grouting. ","")&amp;IF(AND(D132="Steel Sheet Pile",E132="Permanent"),"NOTE: permanent sheet pile needs corrosion allowance. ","")&amp;IF(AND(G132="Cantilever (no support)",F132&gt;6),"NOTE: cantilever embedded wall &gt; 6 m, check deflection. ","")&amp;IF(AND(T132&lt;&gt;"",U132&lt;&gt;"",T132&gt;U132),"FAIL: deflection exceeds allowable. ","")))</f>
        <v/>
      </c>
      <c r="BI132" s="9"/>
      <c r="BJ132" s="9"/>
      <c r="BK132" s="9"/>
      <c r="BL132" s="10" t="str">
        <f aca="false">IF(BK132="","",IFERROR(VLOOKUP(BK132,Projects!$A$5:$D$504,2,0),"Ref not in Projects"))</f>
        <v/>
      </c>
      <c r="BM132" s="10" t="str">
        <f aca="false">IF(BK132="","",IFERROR(VLOOKUP(BK132,Projects!$A$5:$D$504,4,0),"Ref not in Projects"))</f>
        <v/>
      </c>
      <c r="BN132" s="9"/>
      <c r="BO132" s="9"/>
      <c r="BP132" s="9"/>
      <c r="BQ132" s="40"/>
      <c r="BR132" s="9"/>
      <c r="BS132" s="40"/>
      <c r="BT132" s="9"/>
      <c r="BU132" s="40"/>
      <c r="BV132" s="9"/>
      <c r="BW132" s="9"/>
      <c r="BX132" s="9"/>
      <c r="BY132" s="40"/>
      <c r="BZ132" s="40"/>
      <c r="CA132" s="36" t="str">
        <f aca="false">IF(BZ132="","",EDATE(BZ132,SG_Criteria!$B$54*12))</f>
        <v/>
      </c>
      <c r="CB132" s="33" t="str">
        <f aca="true">IF(A132="","",IF(BZ132="","NOTE: not reviewed yet",IF(TODAY()&gt;CA132,"NOTE: review overdue","OK")))</f>
        <v/>
      </c>
      <c r="CC132" s="37" t="str">
        <f aca="false">IF(A132="","",ROUND((IF(LEN(D132)&gt;0,1,0)+IF(LEN(E132)&gt;0,1,0)+IF(LEN(F132)&gt;0,1,0)+IF(LEN(G132)&gt;0,1,0)+IF(LEN(H132)&gt;0,1,0)+IF(LEN(I132)&gt;0,1,0)+IF(LEN(K132)&gt;0,1,0)+IF(LEN(N132)&gt;0,1,0)+IF(LEN(O132)&gt;0,1,0)+IF(LEN(T132)&gt;0,1,0)+IF(LEN(U132)&gt;0,1,0)+IF(LEN(V132)&gt;0,1,0)+IF(LEN(AK132)&gt;0,1,0)+IF(LEN(AM132)&gt;0,1,0)+IF(LEN(AN132)&gt;0,1,0)+IF(LEN(AO132)&gt;0,1,0)+IF(LEN(AP132)&gt;0,1,0)+IF(LEN(AY132)&gt;0,1,0)+IF(LEN(BK132)&gt;0,1,0)+IF(LEN(BX132)&gt;0,1,0))/20,2))</f>
        <v/>
      </c>
      <c r="CD132" s="10" t="str">
        <f aca="false">IF(D132="","",IF(AND(AN132="Approved",ISERROR(SEARCH("FAIL",BH132))),"Y","N"))</f>
        <v/>
      </c>
      <c r="CE132" s="10" t="str">
        <f aca="false">IF(D132="","",D132&amp;"|"&amp;F132&amp;"|"&amp;G132&amp;"|"&amp;H132&amp;"|"&amp;E132&amp;"|"&amp;CD132)</f>
        <v/>
      </c>
    </row>
    <row r="133" customFormat="false" ht="15" hidden="false" customHeight="false" outlineLevel="0" collapsed="false">
      <c r="A133" s="10" t="str">
        <f aca="false">IF(D133="","","EW-"&amp;IFERROR(VLOOKUP(D133,Lists!$P$4:$Q$22,2,0),"??")&amp;"-D"&amp;TEXT(F133*1000,"0000")&amp;"-"&amp;IFERROR(VLOOKUP(G133,Lists!$S$4:$T$21,2,0),"??")&amp;"-"&amp;IFERROR(VLOOKUP(H133,Lists!$Y$4:$Z$21,2,0),"??")&amp;"-"&amp;IFERROR(VLOOKUP(E133,Lists!$V$4:$W$16,2,0),"??")&amp;"-"&amp;AM133)</f>
        <v/>
      </c>
      <c r="B133" s="10" t="str">
        <f aca="false">IF(D133="","",E133&amp;" "&amp;D133&amp;", excavation "&amp;TEXT(F133,"0.0")&amp;" m, "&amp;G133&amp;", "&amp;H133&amp;", "&amp;K133)</f>
        <v/>
      </c>
      <c r="C133" s="9"/>
      <c r="D133" s="9"/>
      <c r="E133" s="9"/>
      <c r="F133" s="42"/>
      <c r="G133" s="9"/>
      <c r="H133" s="9"/>
      <c r="I133" s="42"/>
      <c r="J133" s="38"/>
      <c r="K133" s="9"/>
      <c r="L133" s="9"/>
      <c r="M133" s="9"/>
      <c r="N133" s="42"/>
      <c r="O133" s="42"/>
      <c r="P133" s="9"/>
      <c r="Q133" s="9"/>
      <c r="R133" s="9"/>
      <c r="S133" s="9"/>
      <c r="T133" s="38"/>
      <c r="U133" s="38"/>
      <c r="V133" s="38"/>
      <c r="W133" s="38"/>
      <c r="X133" s="38"/>
      <c r="Y133" s="9"/>
      <c r="Z133" s="39"/>
      <c r="AA133" s="9"/>
      <c r="AB133" s="9"/>
      <c r="AC133" s="9"/>
      <c r="AD133" s="9"/>
      <c r="AE133" s="9"/>
      <c r="AF133" s="9"/>
      <c r="AG133" s="9"/>
      <c r="AH133" s="38"/>
      <c r="AI133" s="9"/>
      <c r="AJ133" s="39"/>
      <c r="AK133" s="9"/>
      <c r="AL133" s="9"/>
      <c r="AM133" s="9"/>
      <c r="AN133" s="9"/>
      <c r="AO133" s="9"/>
      <c r="AP133" s="9"/>
      <c r="AQ133" s="9"/>
      <c r="AR133" s="10" t="str">
        <f aca="false">IF(A133="","",SG_Criteria!$B$6&amp;SG_Criteria!$B$9&amp;"\"&amp;A133&amp;"\")</f>
        <v/>
      </c>
      <c r="AS133" s="10" t="str">
        <f aca="false">IF(A133="","",A133&amp;"_CAD.dwg")</f>
        <v/>
      </c>
      <c r="AT133" s="10" t="str">
        <f aca="false">IF(A133="","",A133&amp;"_DWG.pdf")</f>
        <v/>
      </c>
      <c r="AU133" s="10" t="str">
        <f aca="false">IF(A133="","",IF(AQ133="Y",A133&amp;"_STAAD.std","n/a"))</f>
        <v/>
      </c>
      <c r="AV133" s="10" t="str">
        <f aca="false">IF(A133="","",A133&amp;"_CALC.xlsx")</f>
        <v/>
      </c>
      <c r="AW133" s="10" t="str">
        <f aca="false">IF(A133="","",A133&amp;"_CALC.pdf")</f>
        <v/>
      </c>
      <c r="AX133" s="9"/>
      <c r="AY133" s="9"/>
      <c r="AZ133" s="39"/>
      <c r="BA133" s="39"/>
      <c r="BB133" s="39"/>
      <c r="BC133" s="39"/>
      <c r="BD133" s="39"/>
      <c r="BE133" s="12" t="str">
        <f aca="false">IF(A133="","",IF(COUNTIF(Rebar_Schedule!$A$5:$A$2004,A133)=0,"",ROUND(SUMIF(Rebar_Schedule!$A$5:$A$2004,A133,Rebar_Schedule!$K$5:$K$2004),1)))</f>
        <v/>
      </c>
      <c r="BF133" s="33" t="str">
        <f aca="false">IF(A133="","",IF(BE133="","No rebar schedule yet",IF(ABS(BE133-N(BA133))/MAX(N(BA133),1)&gt;SG_Criteria!$B$55,"NOTE: register rebar differs from schedule by "&amp;TEXT(ABS(BE133-N(BA133))/MAX(N(BA133),1),"0%"),"OK")))</f>
        <v/>
      </c>
      <c r="BG133" s="33" t="str">
        <f aca="false">IF(OR(D133="",F133=""),"",IF(F133&lt;=IF(D133="Soldier Pile &amp; Timber Lagging",SG_Criteria!$B$34,SG_Criteria!$B$33),"No ERSS submission",IF(F133&lt;=SG_Criteria!$B$35,"QP(ST)",IF(F133&lt;=SG_Criteria!$B$36,"QP(ST) + AC","Geotechnical building works: QP(Geo) + AC"))))</f>
        <v/>
      </c>
      <c r="BH133" s="33" t="str">
        <f aca="false">IF(D133="","",IF(LEN(IF(AND(AC133&lt;&gt;"",IFERROR(VALUE(MID(AC133,2,2)),0)&lt;SG_Criteria!$B$19),"FAIL: grade below C"&amp;SG_Criteria!$B$19&amp;". ","")&amp;IF(AND(LEFT(D133,3)="Con",N(I133)&lt;F133,H133="Kallang Formation (marine clay)"),"NOTE: CBP is not watertight below GWT in marine clay; consider secant / grouting. ","")&amp;IF(AND(D133="Steel Sheet Pile",E133="Permanent"),"NOTE: permanent sheet pile needs corrosion allowance. ","")&amp;IF(AND(G133="Cantilever (no support)",F133&gt;6),"NOTE: cantilever embedded wall &gt; 6 m, check deflection. ","")&amp;IF(AND(T133&lt;&gt;"",U133&lt;&gt;"",T133&gt;U133),"FAIL: deflection exceeds allowable. ",""))=0,"OK",IF(AND(AC133&lt;&gt;"",IFERROR(VALUE(MID(AC133,2,2)),0)&lt;SG_Criteria!$B$19),"FAIL: grade below C"&amp;SG_Criteria!$B$19&amp;". ","")&amp;IF(AND(LEFT(D133,3)="Con",N(I133)&lt;F133,H133="Kallang Formation (marine clay)"),"NOTE: CBP is not watertight below GWT in marine clay; consider secant / grouting. ","")&amp;IF(AND(D133="Steel Sheet Pile",E133="Permanent"),"NOTE: permanent sheet pile needs corrosion allowance. ","")&amp;IF(AND(G133="Cantilever (no support)",F133&gt;6),"NOTE: cantilever embedded wall &gt; 6 m, check deflection. ","")&amp;IF(AND(T133&lt;&gt;"",U133&lt;&gt;"",T133&gt;U133),"FAIL: deflection exceeds allowable. ","")))</f>
        <v/>
      </c>
      <c r="BI133" s="9"/>
      <c r="BJ133" s="9"/>
      <c r="BK133" s="9"/>
      <c r="BL133" s="10" t="str">
        <f aca="false">IF(BK133="","",IFERROR(VLOOKUP(BK133,Projects!$A$5:$D$504,2,0),"Ref not in Projects"))</f>
        <v/>
      </c>
      <c r="BM133" s="10" t="str">
        <f aca="false">IF(BK133="","",IFERROR(VLOOKUP(BK133,Projects!$A$5:$D$504,4,0),"Ref not in Projects"))</f>
        <v/>
      </c>
      <c r="BN133" s="9"/>
      <c r="BO133" s="9"/>
      <c r="BP133" s="9"/>
      <c r="BQ133" s="40"/>
      <c r="BR133" s="9"/>
      <c r="BS133" s="40"/>
      <c r="BT133" s="9"/>
      <c r="BU133" s="40"/>
      <c r="BV133" s="9"/>
      <c r="BW133" s="9"/>
      <c r="BX133" s="9"/>
      <c r="BY133" s="40"/>
      <c r="BZ133" s="40"/>
      <c r="CA133" s="36" t="str">
        <f aca="false">IF(BZ133="","",EDATE(BZ133,SG_Criteria!$B$54*12))</f>
        <v/>
      </c>
      <c r="CB133" s="33" t="str">
        <f aca="true">IF(A133="","",IF(BZ133="","NOTE: not reviewed yet",IF(TODAY()&gt;CA133,"NOTE: review overdue","OK")))</f>
        <v/>
      </c>
      <c r="CC133" s="37" t="str">
        <f aca="false">IF(A133="","",ROUND((IF(LEN(D133)&gt;0,1,0)+IF(LEN(E133)&gt;0,1,0)+IF(LEN(F133)&gt;0,1,0)+IF(LEN(G133)&gt;0,1,0)+IF(LEN(H133)&gt;0,1,0)+IF(LEN(I133)&gt;0,1,0)+IF(LEN(K133)&gt;0,1,0)+IF(LEN(N133)&gt;0,1,0)+IF(LEN(O133)&gt;0,1,0)+IF(LEN(T133)&gt;0,1,0)+IF(LEN(U133)&gt;0,1,0)+IF(LEN(V133)&gt;0,1,0)+IF(LEN(AK133)&gt;0,1,0)+IF(LEN(AM133)&gt;0,1,0)+IF(LEN(AN133)&gt;0,1,0)+IF(LEN(AO133)&gt;0,1,0)+IF(LEN(AP133)&gt;0,1,0)+IF(LEN(AY133)&gt;0,1,0)+IF(LEN(BK133)&gt;0,1,0)+IF(LEN(BX133)&gt;0,1,0))/20,2))</f>
        <v/>
      </c>
      <c r="CD133" s="10" t="str">
        <f aca="false">IF(D133="","",IF(AND(AN133="Approved",ISERROR(SEARCH("FAIL",BH133))),"Y","N"))</f>
        <v/>
      </c>
      <c r="CE133" s="10" t="str">
        <f aca="false">IF(D133="","",D133&amp;"|"&amp;F133&amp;"|"&amp;G133&amp;"|"&amp;H133&amp;"|"&amp;E133&amp;"|"&amp;CD133)</f>
        <v/>
      </c>
    </row>
    <row r="134" customFormat="false" ht="15" hidden="false" customHeight="false" outlineLevel="0" collapsed="false">
      <c r="A134" s="10" t="str">
        <f aca="false">IF(D134="","","EW-"&amp;IFERROR(VLOOKUP(D134,Lists!$P$4:$Q$22,2,0),"??")&amp;"-D"&amp;TEXT(F134*1000,"0000")&amp;"-"&amp;IFERROR(VLOOKUP(G134,Lists!$S$4:$T$21,2,0),"??")&amp;"-"&amp;IFERROR(VLOOKUP(H134,Lists!$Y$4:$Z$21,2,0),"??")&amp;"-"&amp;IFERROR(VLOOKUP(E134,Lists!$V$4:$W$16,2,0),"??")&amp;"-"&amp;AM134)</f>
        <v/>
      </c>
      <c r="B134" s="10" t="str">
        <f aca="false">IF(D134="","",E134&amp;" "&amp;D134&amp;", excavation "&amp;TEXT(F134,"0.0")&amp;" m, "&amp;G134&amp;", "&amp;H134&amp;", "&amp;K134)</f>
        <v/>
      </c>
      <c r="C134" s="9"/>
      <c r="D134" s="9"/>
      <c r="E134" s="9"/>
      <c r="F134" s="42"/>
      <c r="G134" s="9"/>
      <c r="H134" s="9"/>
      <c r="I134" s="42"/>
      <c r="J134" s="38"/>
      <c r="K134" s="9"/>
      <c r="L134" s="9"/>
      <c r="M134" s="9"/>
      <c r="N134" s="42"/>
      <c r="O134" s="42"/>
      <c r="P134" s="9"/>
      <c r="Q134" s="9"/>
      <c r="R134" s="9"/>
      <c r="S134" s="9"/>
      <c r="T134" s="38"/>
      <c r="U134" s="38"/>
      <c r="V134" s="38"/>
      <c r="W134" s="38"/>
      <c r="X134" s="38"/>
      <c r="Y134" s="9"/>
      <c r="Z134" s="39"/>
      <c r="AA134" s="9"/>
      <c r="AB134" s="9"/>
      <c r="AC134" s="9"/>
      <c r="AD134" s="9"/>
      <c r="AE134" s="9"/>
      <c r="AF134" s="9"/>
      <c r="AG134" s="9"/>
      <c r="AH134" s="38"/>
      <c r="AI134" s="9"/>
      <c r="AJ134" s="39"/>
      <c r="AK134" s="9"/>
      <c r="AL134" s="9"/>
      <c r="AM134" s="9"/>
      <c r="AN134" s="9"/>
      <c r="AO134" s="9"/>
      <c r="AP134" s="9"/>
      <c r="AQ134" s="9"/>
      <c r="AR134" s="10" t="str">
        <f aca="false">IF(A134="","",SG_Criteria!$B$6&amp;SG_Criteria!$B$9&amp;"\"&amp;A134&amp;"\")</f>
        <v/>
      </c>
      <c r="AS134" s="10" t="str">
        <f aca="false">IF(A134="","",A134&amp;"_CAD.dwg")</f>
        <v/>
      </c>
      <c r="AT134" s="10" t="str">
        <f aca="false">IF(A134="","",A134&amp;"_DWG.pdf")</f>
        <v/>
      </c>
      <c r="AU134" s="10" t="str">
        <f aca="false">IF(A134="","",IF(AQ134="Y",A134&amp;"_STAAD.std","n/a"))</f>
        <v/>
      </c>
      <c r="AV134" s="10" t="str">
        <f aca="false">IF(A134="","",A134&amp;"_CALC.xlsx")</f>
        <v/>
      </c>
      <c r="AW134" s="10" t="str">
        <f aca="false">IF(A134="","",A134&amp;"_CALC.pdf")</f>
        <v/>
      </c>
      <c r="AX134" s="9"/>
      <c r="AY134" s="9"/>
      <c r="AZ134" s="39"/>
      <c r="BA134" s="39"/>
      <c r="BB134" s="39"/>
      <c r="BC134" s="39"/>
      <c r="BD134" s="39"/>
      <c r="BE134" s="12" t="str">
        <f aca="false">IF(A134="","",IF(COUNTIF(Rebar_Schedule!$A$5:$A$2004,A134)=0,"",ROUND(SUMIF(Rebar_Schedule!$A$5:$A$2004,A134,Rebar_Schedule!$K$5:$K$2004),1)))</f>
        <v/>
      </c>
      <c r="BF134" s="33" t="str">
        <f aca="false">IF(A134="","",IF(BE134="","No rebar schedule yet",IF(ABS(BE134-N(BA134))/MAX(N(BA134),1)&gt;SG_Criteria!$B$55,"NOTE: register rebar differs from schedule by "&amp;TEXT(ABS(BE134-N(BA134))/MAX(N(BA134),1),"0%"),"OK")))</f>
        <v/>
      </c>
      <c r="BG134" s="33" t="str">
        <f aca="false">IF(OR(D134="",F134=""),"",IF(F134&lt;=IF(D134="Soldier Pile &amp; Timber Lagging",SG_Criteria!$B$34,SG_Criteria!$B$33),"No ERSS submission",IF(F134&lt;=SG_Criteria!$B$35,"QP(ST)",IF(F134&lt;=SG_Criteria!$B$36,"QP(ST) + AC","Geotechnical building works: QP(Geo) + AC"))))</f>
        <v/>
      </c>
      <c r="BH134" s="33" t="str">
        <f aca="false">IF(D134="","",IF(LEN(IF(AND(AC134&lt;&gt;"",IFERROR(VALUE(MID(AC134,2,2)),0)&lt;SG_Criteria!$B$19),"FAIL: grade below C"&amp;SG_Criteria!$B$19&amp;". ","")&amp;IF(AND(LEFT(D134,3)="Con",N(I134)&lt;F134,H134="Kallang Formation (marine clay)"),"NOTE: CBP is not watertight below GWT in marine clay; consider secant / grouting. ","")&amp;IF(AND(D134="Steel Sheet Pile",E134="Permanent"),"NOTE: permanent sheet pile needs corrosion allowance. ","")&amp;IF(AND(G134="Cantilever (no support)",F134&gt;6),"NOTE: cantilever embedded wall &gt; 6 m, check deflection. ","")&amp;IF(AND(T134&lt;&gt;"",U134&lt;&gt;"",T134&gt;U134),"FAIL: deflection exceeds allowable. ",""))=0,"OK",IF(AND(AC134&lt;&gt;"",IFERROR(VALUE(MID(AC134,2,2)),0)&lt;SG_Criteria!$B$19),"FAIL: grade below C"&amp;SG_Criteria!$B$19&amp;". ","")&amp;IF(AND(LEFT(D134,3)="Con",N(I134)&lt;F134,H134="Kallang Formation (marine clay)"),"NOTE: CBP is not watertight below GWT in marine clay; consider secant / grouting. ","")&amp;IF(AND(D134="Steel Sheet Pile",E134="Permanent"),"NOTE: permanent sheet pile needs corrosion allowance. ","")&amp;IF(AND(G134="Cantilever (no support)",F134&gt;6),"NOTE: cantilever embedded wall &gt; 6 m, check deflection. ","")&amp;IF(AND(T134&lt;&gt;"",U134&lt;&gt;"",T134&gt;U134),"FAIL: deflection exceeds allowable. ","")))</f>
        <v/>
      </c>
      <c r="BI134" s="9"/>
      <c r="BJ134" s="9"/>
      <c r="BK134" s="9"/>
      <c r="BL134" s="10" t="str">
        <f aca="false">IF(BK134="","",IFERROR(VLOOKUP(BK134,Projects!$A$5:$D$504,2,0),"Ref not in Projects"))</f>
        <v/>
      </c>
      <c r="BM134" s="10" t="str">
        <f aca="false">IF(BK134="","",IFERROR(VLOOKUP(BK134,Projects!$A$5:$D$504,4,0),"Ref not in Projects"))</f>
        <v/>
      </c>
      <c r="BN134" s="9"/>
      <c r="BO134" s="9"/>
      <c r="BP134" s="9"/>
      <c r="BQ134" s="40"/>
      <c r="BR134" s="9"/>
      <c r="BS134" s="40"/>
      <c r="BT134" s="9"/>
      <c r="BU134" s="40"/>
      <c r="BV134" s="9"/>
      <c r="BW134" s="9"/>
      <c r="BX134" s="9"/>
      <c r="BY134" s="40"/>
      <c r="BZ134" s="40"/>
      <c r="CA134" s="36" t="str">
        <f aca="false">IF(BZ134="","",EDATE(BZ134,SG_Criteria!$B$54*12))</f>
        <v/>
      </c>
      <c r="CB134" s="33" t="str">
        <f aca="true">IF(A134="","",IF(BZ134="","NOTE: not reviewed yet",IF(TODAY()&gt;CA134,"NOTE: review overdue","OK")))</f>
        <v/>
      </c>
      <c r="CC134" s="37" t="str">
        <f aca="false">IF(A134="","",ROUND((IF(LEN(D134)&gt;0,1,0)+IF(LEN(E134)&gt;0,1,0)+IF(LEN(F134)&gt;0,1,0)+IF(LEN(G134)&gt;0,1,0)+IF(LEN(H134)&gt;0,1,0)+IF(LEN(I134)&gt;0,1,0)+IF(LEN(K134)&gt;0,1,0)+IF(LEN(N134)&gt;0,1,0)+IF(LEN(O134)&gt;0,1,0)+IF(LEN(T134)&gt;0,1,0)+IF(LEN(U134)&gt;0,1,0)+IF(LEN(V134)&gt;0,1,0)+IF(LEN(AK134)&gt;0,1,0)+IF(LEN(AM134)&gt;0,1,0)+IF(LEN(AN134)&gt;0,1,0)+IF(LEN(AO134)&gt;0,1,0)+IF(LEN(AP134)&gt;0,1,0)+IF(LEN(AY134)&gt;0,1,0)+IF(LEN(BK134)&gt;0,1,0)+IF(LEN(BX134)&gt;0,1,0))/20,2))</f>
        <v/>
      </c>
      <c r="CD134" s="10" t="str">
        <f aca="false">IF(D134="","",IF(AND(AN134="Approved",ISERROR(SEARCH("FAIL",BH134))),"Y","N"))</f>
        <v/>
      </c>
      <c r="CE134" s="10" t="str">
        <f aca="false">IF(D134="","",D134&amp;"|"&amp;F134&amp;"|"&amp;G134&amp;"|"&amp;H134&amp;"|"&amp;E134&amp;"|"&amp;CD134)</f>
        <v/>
      </c>
    </row>
    <row r="135" customFormat="false" ht="15" hidden="false" customHeight="false" outlineLevel="0" collapsed="false">
      <c r="A135" s="10" t="str">
        <f aca="false">IF(D135="","","EW-"&amp;IFERROR(VLOOKUP(D135,Lists!$P$4:$Q$22,2,0),"??")&amp;"-D"&amp;TEXT(F135*1000,"0000")&amp;"-"&amp;IFERROR(VLOOKUP(G135,Lists!$S$4:$T$21,2,0),"??")&amp;"-"&amp;IFERROR(VLOOKUP(H135,Lists!$Y$4:$Z$21,2,0),"??")&amp;"-"&amp;IFERROR(VLOOKUP(E135,Lists!$V$4:$W$16,2,0),"??")&amp;"-"&amp;AM135)</f>
        <v/>
      </c>
      <c r="B135" s="10" t="str">
        <f aca="false">IF(D135="","",E135&amp;" "&amp;D135&amp;", excavation "&amp;TEXT(F135,"0.0")&amp;" m, "&amp;G135&amp;", "&amp;H135&amp;", "&amp;K135)</f>
        <v/>
      </c>
      <c r="C135" s="9"/>
      <c r="D135" s="9"/>
      <c r="E135" s="9"/>
      <c r="F135" s="42"/>
      <c r="G135" s="9"/>
      <c r="H135" s="9"/>
      <c r="I135" s="42"/>
      <c r="J135" s="38"/>
      <c r="K135" s="9"/>
      <c r="L135" s="9"/>
      <c r="M135" s="9"/>
      <c r="N135" s="42"/>
      <c r="O135" s="42"/>
      <c r="P135" s="9"/>
      <c r="Q135" s="9"/>
      <c r="R135" s="9"/>
      <c r="S135" s="9"/>
      <c r="T135" s="38"/>
      <c r="U135" s="38"/>
      <c r="V135" s="38"/>
      <c r="W135" s="38"/>
      <c r="X135" s="38"/>
      <c r="Y135" s="9"/>
      <c r="Z135" s="39"/>
      <c r="AA135" s="9"/>
      <c r="AB135" s="9"/>
      <c r="AC135" s="9"/>
      <c r="AD135" s="9"/>
      <c r="AE135" s="9"/>
      <c r="AF135" s="9"/>
      <c r="AG135" s="9"/>
      <c r="AH135" s="38"/>
      <c r="AI135" s="9"/>
      <c r="AJ135" s="39"/>
      <c r="AK135" s="9"/>
      <c r="AL135" s="9"/>
      <c r="AM135" s="9"/>
      <c r="AN135" s="9"/>
      <c r="AO135" s="9"/>
      <c r="AP135" s="9"/>
      <c r="AQ135" s="9"/>
      <c r="AR135" s="10" t="str">
        <f aca="false">IF(A135="","",SG_Criteria!$B$6&amp;SG_Criteria!$B$9&amp;"\"&amp;A135&amp;"\")</f>
        <v/>
      </c>
      <c r="AS135" s="10" t="str">
        <f aca="false">IF(A135="","",A135&amp;"_CAD.dwg")</f>
        <v/>
      </c>
      <c r="AT135" s="10" t="str">
        <f aca="false">IF(A135="","",A135&amp;"_DWG.pdf")</f>
        <v/>
      </c>
      <c r="AU135" s="10" t="str">
        <f aca="false">IF(A135="","",IF(AQ135="Y",A135&amp;"_STAAD.std","n/a"))</f>
        <v/>
      </c>
      <c r="AV135" s="10" t="str">
        <f aca="false">IF(A135="","",A135&amp;"_CALC.xlsx")</f>
        <v/>
      </c>
      <c r="AW135" s="10" t="str">
        <f aca="false">IF(A135="","",A135&amp;"_CALC.pdf")</f>
        <v/>
      </c>
      <c r="AX135" s="9"/>
      <c r="AY135" s="9"/>
      <c r="AZ135" s="39"/>
      <c r="BA135" s="39"/>
      <c r="BB135" s="39"/>
      <c r="BC135" s="39"/>
      <c r="BD135" s="39"/>
      <c r="BE135" s="12" t="str">
        <f aca="false">IF(A135="","",IF(COUNTIF(Rebar_Schedule!$A$5:$A$2004,A135)=0,"",ROUND(SUMIF(Rebar_Schedule!$A$5:$A$2004,A135,Rebar_Schedule!$K$5:$K$2004),1)))</f>
        <v/>
      </c>
      <c r="BF135" s="33" t="str">
        <f aca="false">IF(A135="","",IF(BE135="","No rebar schedule yet",IF(ABS(BE135-N(BA135))/MAX(N(BA135),1)&gt;SG_Criteria!$B$55,"NOTE: register rebar differs from schedule by "&amp;TEXT(ABS(BE135-N(BA135))/MAX(N(BA135),1),"0%"),"OK")))</f>
        <v/>
      </c>
      <c r="BG135" s="33" t="str">
        <f aca="false">IF(OR(D135="",F135=""),"",IF(F135&lt;=IF(D135="Soldier Pile &amp; Timber Lagging",SG_Criteria!$B$34,SG_Criteria!$B$33),"No ERSS submission",IF(F135&lt;=SG_Criteria!$B$35,"QP(ST)",IF(F135&lt;=SG_Criteria!$B$36,"QP(ST) + AC","Geotechnical building works: QP(Geo) + AC"))))</f>
        <v/>
      </c>
      <c r="BH135" s="33" t="str">
        <f aca="false">IF(D135="","",IF(LEN(IF(AND(AC135&lt;&gt;"",IFERROR(VALUE(MID(AC135,2,2)),0)&lt;SG_Criteria!$B$19),"FAIL: grade below C"&amp;SG_Criteria!$B$19&amp;". ","")&amp;IF(AND(LEFT(D135,3)="Con",N(I135)&lt;F135,H135="Kallang Formation (marine clay)"),"NOTE: CBP is not watertight below GWT in marine clay; consider secant / grouting. ","")&amp;IF(AND(D135="Steel Sheet Pile",E135="Permanent"),"NOTE: permanent sheet pile needs corrosion allowance. ","")&amp;IF(AND(G135="Cantilever (no support)",F135&gt;6),"NOTE: cantilever embedded wall &gt; 6 m, check deflection. ","")&amp;IF(AND(T135&lt;&gt;"",U135&lt;&gt;"",T135&gt;U135),"FAIL: deflection exceeds allowable. ",""))=0,"OK",IF(AND(AC135&lt;&gt;"",IFERROR(VALUE(MID(AC135,2,2)),0)&lt;SG_Criteria!$B$19),"FAIL: grade below C"&amp;SG_Criteria!$B$19&amp;". ","")&amp;IF(AND(LEFT(D135,3)="Con",N(I135)&lt;F135,H135="Kallang Formation (marine clay)"),"NOTE: CBP is not watertight below GWT in marine clay; consider secant / grouting. ","")&amp;IF(AND(D135="Steel Sheet Pile",E135="Permanent"),"NOTE: permanent sheet pile needs corrosion allowance. ","")&amp;IF(AND(G135="Cantilever (no support)",F135&gt;6),"NOTE: cantilever embedded wall &gt; 6 m, check deflection. ","")&amp;IF(AND(T135&lt;&gt;"",U135&lt;&gt;"",T135&gt;U135),"FAIL: deflection exceeds allowable. ","")))</f>
        <v/>
      </c>
      <c r="BI135" s="9"/>
      <c r="BJ135" s="9"/>
      <c r="BK135" s="9"/>
      <c r="BL135" s="10" t="str">
        <f aca="false">IF(BK135="","",IFERROR(VLOOKUP(BK135,Projects!$A$5:$D$504,2,0),"Ref not in Projects"))</f>
        <v/>
      </c>
      <c r="BM135" s="10" t="str">
        <f aca="false">IF(BK135="","",IFERROR(VLOOKUP(BK135,Projects!$A$5:$D$504,4,0),"Ref not in Projects"))</f>
        <v/>
      </c>
      <c r="BN135" s="9"/>
      <c r="BO135" s="9"/>
      <c r="BP135" s="9"/>
      <c r="BQ135" s="40"/>
      <c r="BR135" s="9"/>
      <c r="BS135" s="40"/>
      <c r="BT135" s="9"/>
      <c r="BU135" s="40"/>
      <c r="BV135" s="9"/>
      <c r="BW135" s="9"/>
      <c r="BX135" s="9"/>
      <c r="BY135" s="40"/>
      <c r="BZ135" s="40"/>
      <c r="CA135" s="36" t="str">
        <f aca="false">IF(BZ135="","",EDATE(BZ135,SG_Criteria!$B$54*12))</f>
        <v/>
      </c>
      <c r="CB135" s="33" t="str">
        <f aca="true">IF(A135="","",IF(BZ135="","NOTE: not reviewed yet",IF(TODAY()&gt;CA135,"NOTE: review overdue","OK")))</f>
        <v/>
      </c>
      <c r="CC135" s="37" t="str">
        <f aca="false">IF(A135="","",ROUND((IF(LEN(D135)&gt;0,1,0)+IF(LEN(E135)&gt;0,1,0)+IF(LEN(F135)&gt;0,1,0)+IF(LEN(G135)&gt;0,1,0)+IF(LEN(H135)&gt;0,1,0)+IF(LEN(I135)&gt;0,1,0)+IF(LEN(K135)&gt;0,1,0)+IF(LEN(N135)&gt;0,1,0)+IF(LEN(O135)&gt;0,1,0)+IF(LEN(T135)&gt;0,1,0)+IF(LEN(U135)&gt;0,1,0)+IF(LEN(V135)&gt;0,1,0)+IF(LEN(AK135)&gt;0,1,0)+IF(LEN(AM135)&gt;0,1,0)+IF(LEN(AN135)&gt;0,1,0)+IF(LEN(AO135)&gt;0,1,0)+IF(LEN(AP135)&gt;0,1,0)+IF(LEN(AY135)&gt;0,1,0)+IF(LEN(BK135)&gt;0,1,0)+IF(LEN(BX135)&gt;0,1,0))/20,2))</f>
        <v/>
      </c>
      <c r="CD135" s="10" t="str">
        <f aca="false">IF(D135="","",IF(AND(AN135="Approved",ISERROR(SEARCH("FAIL",BH135))),"Y","N"))</f>
        <v/>
      </c>
      <c r="CE135" s="10" t="str">
        <f aca="false">IF(D135="","",D135&amp;"|"&amp;F135&amp;"|"&amp;G135&amp;"|"&amp;H135&amp;"|"&amp;E135&amp;"|"&amp;CD135)</f>
        <v/>
      </c>
    </row>
    <row r="136" customFormat="false" ht="15" hidden="false" customHeight="false" outlineLevel="0" collapsed="false">
      <c r="A136" s="10" t="str">
        <f aca="false">IF(D136="","","EW-"&amp;IFERROR(VLOOKUP(D136,Lists!$P$4:$Q$22,2,0),"??")&amp;"-D"&amp;TEXT(F136*1000,"0000")&amp;"-"&amp;IFERROR(VLOOKUP(G136,Lists!$S$4:$T$21,2,0),"??")&amp;"-"&amp;IFERROR(VLOOKUP(H136,Lists!$Y$4:$Z$21,2,0),"??")&amp;"-"&amp;IFERROR(VLOOKUP(E136,Lists!$V$4:$W$16,2,0),"??")&amp;"-"&amp;AM136)</f>
        <v/>
      </c>
      <c r="B136" s="10" t="str">
        <f aca="false">IF(D136="","",E136&amp;" "&amp;D136&amp;", excavation "&amp;TEXT(F136,"0.0")&amp;" m, "&amp;G136&amp;", "&amp;H136&amp;", "&amp;K136)</f>
        <v/>
      </c>
      <c r="C136" s="9"/>
      <c r="D136" s="9"/>
      <c r="E136" s="9"/>
      <c r="F136" s="42"/>
      <c r="G136" s="9"/>
      <c r="H136" s="9"/>
      <c r="I136" s="42"/>
      <c r="J136" s="38"/>
      <c r="K136" s="9"/>
      <c r="L136" s="9"/>
      <c r="M136" s="9"/>
      <c r="N136" s="42"/>
      <c r="O136" s="42"/>
      <c r="P136" s="9"/>
      <c r="Q136" s="9"/>
      <c r="R136" s="9"/>
      <c r="S136" s="9"/>
      <c r="T136" s="38"/>
      <c r="U136" s="38"/>
      <c r="V136" s="38"/>
      <c r="W136" s="38"/>
      <c r="X136" s="38"/>
      <c r="Y136" s="9"/>
      <c r="Z136" s="39"/>
      <c r="AA136" s="9"/>
      <c r="AB136" s="9"/>
      <c r="AC136" s="9"/>
      <c r="AD136" s="9"/>
      <c r="AE136" s="9"/>
      <c r="AF136" s="9"/>
      <c r="AG136" s="9"/>
      <c r="AH136" s="38"/>
      <c r="AI136" s="9"/>
      <c r="AJ136" s="39"/>
      <c r="AK136" s="9"/>
      <c r="AL136" s="9"/>
      <c r="AM136" s="9"/>
      <c r="AN136" s="9"/>
      <c r="AO136" s="9"/>
      <c r="AP136" s="9"/>
      <c r="AQ136" s="9"/>
      <c r="AR136" s="10" t="str">
        <f aca="false">IF(A136="","",SG_Criteria!$B$6&amp;SG_Criteria!$B$9&amp;"\"&amp;A136&amp;"\")</f>
        <v/>
      </c>
      <c r="AS136" s="10" t="str">
        <f aca="false">IF(A136="","",A136&amp;"_CAD.dwg")</f>
        <v/>
      </c>
      <c r="AT136" s="10" t="str">
        <f aca="false">IF(A136="","",A136&amp;"_DWG.pdf")</f>
        <v/>
      </c>
      <c r="AU136" s="10" t="str">
        <f aca="false">IF(A136="","",IF(AQ136="Y",A136&amp;"_STAAD.std","n/a"))</f>
        <v/>
      </c>
      <c r="AV136" s="10" t="str">
        <f aca="false">IF(A136="","",A136&amp;"_CALC.xlsx")</f>
        <v/>
      </c>
      <c r="AW136" s="10" t="str">
        <f aca="false">IF(A136="","",A136&amp;"_CALC.pdf")</f>
        <v/>
      </c>
      <c r="AX136" s="9"/>
      <c r="AY136" s="9"/>
      <c r="AZ136" s="39"/>
      <c r="BA136" s="39"/>
      <c r="BB136" s="39"/>
      <c r="BC136" s="39"/>
      <c r="BD136" s="39"/>
      <c r="BE136" s="12" t="str">
        <f aca="false">IF(A136="","",IF(COUNTIF(Rebar_Schedule!$A$5:$A$2004,A136)=0,"",ROUND(SUMIF(Rebar_Schedule!$A$5:$A$2004,A136,Rebar_Schedule!$K$5:$K$2004),1)))</f>
        <v/>
      </c>
      <c r="BF136" s="33" t="str">
        <f aca="false">IF(A136="","",IF(BE136="","No rebar schedule yet",IF(ABS(BE136-N(BA136))/MAX(N(BA136),1)&gt;SG_Criteria!$B$55,"NOTE: register rebar differs from schedule by "&amp;TEXT(ABS(BE136-N(BA136))/MAX(N(BA136),1),"0%"),"OK")))</f>
        <v/>
      </c>
      <c r="BG136" s="33" t="str">
        <f aca="false">IF(OR(D136="",F136=""),"",IF(F136&lt;=IF(D136="Soldier Pile &amp; Timber Lagging",SG_Criteria!$B$34,SG_Criteria!$B$33),"No ERSS submission",IF(F136&lt;=SG_Criteria!$B$35,"QP(ST)",IF(F136&lt;=SG_Criteria!$B$36,"QP(ST) + AC","Geotechnical building works: QP(Geo) + AC"))))</f>
        <v/>
      </c>
      <c r="BH136" s="33" t="str">
        <f aca="false">IF(D136="","",IF(LEN(IF(AND(AC136&lt;&gt;"",IFERROR(VALUE(MID(AC136,2,2)),0)&lt;SG_Criteria!$B$19),"FAIL: grade below C"&amp;SG_Criteria!$B$19&amp;". ","")&amp;IF(AND(LEFT(D136,3)="Con",N(I136)&lt;F136,H136="Kallang Formation (marine clay)"),"NOTE: CBP is not watertight below GWT in marine clay; consider secant / grouting. ","")&amp;IF(AND(D136="Steel Sheet Pile",E136="Permanent"),"NOTE: permanent sheet pile needs corrosion allowance. ","")&amp;IF(AND(G136="Cantilever (no support)",F136&gt;6),"NOTE: cantilever embedded wall &gt; 6 m, check deflection. ","")&amp;IF(AND(T136&lt;&gt;"",U136&lt;&gt;"",T136&gt;U136),"FAIL: deflection exceeds allowable. ",""))=0,"OK",IF(AND(AC136&lt;&gt;"",IFERROR(VALUE(MID(AC136,2,2)),0)&lt;SG_Criteria!$B$19),"FAIL: grade below C"&amp;SG_Criteria!$B$19&amp;". ","")&amp;IF(AND(LEFT(D136,3)="Con",N(I136)&lt;F136,H136="Kallang Formation (marine clay)"),"NOTE: CBP is not watertight below GWT in marine clay; consider secant / grouting. ","")&amp;IF(AND(D136="Steel Sheet Pile",E136="Permanent"),"NOTE: permanent sheet pile needs corrosion allowance. ","")&amp;IF(AND(G136="Cantilever (no support)",F136&gt;6),"NOTE: cantilever embedded wall &gt; 6 m, check deflection. ","")&amp;IF(AND(T136&lt;&gt;"",U136&lt;&gt;"",T136&gt;U136),"FAIL: deflection exceeds allowable. ","")))</f>
        <v/>
      </c>
      <c r="BI136" s="9"/>
      <c r="BJ136" s="9"/>
      <c r="BK136" s="9"/>
      <c r="BL136" s="10" t="str">
        <f aca="false">IF(BK136="","",IFERROR(VLOOKUP(BK136,Projects!$A$5:$D$504,2,0),"Ref not in Projects"))</f>
        <v/>
      </c>
      <c r="BM136" s="10" t="str">
        <f aca="false">IF(BK136="","",IFERROR(VLOOKUP(BK136,Projects!$A$5:$D$504,4,0),"Ref not in Projects"))</f>
        <v/>
      </c>
      <c r="BN136" s="9"/>
      <c r="BO136" s="9"/>
      <c r="BP136" s="9"/>
      <c r="BQ136" s="40"/>
      <c r="BR136" s="9"/>
      <c r="BS136" s="40"/>
      <c r="BT136" s="9"/>
      <c r="BU136" s="40"/>
      <c r="BV136" s="9"/>
      <c r="BW136" s="9"/>
      <c r="BX136" s="9"/>
      <c r="BY136" s="40"/>
      <c r="BZ136" s="40"/>
      <c r="CA136" s="36" t="str">
        <f aca="false">IF(BZ136="","",EDATE(BZ136,SG_Criteria!$B$54*12))</f>
        <v/>
      </c>
      <c r="CB136" s="33" t="str">
        <f aca="true">IF(A136="","",IF(BZ136="","NOTE: not reviewed yet",IF(TODAY()&gt;CA136,"NOTE: review overdue","OK")))</f>
        <v/>
      </c>
      <c r="CC136" s="37" t="str">
        <f aca="false">IF(A136="","",ROUND((IF(LEN(D136)&gt;0,1,0)+IF(LEN(E136)&gt;0,1,0)+IF(LEN(F136)&gt;0,1,0)+IF(LEN(G136)&gt;0,1,0)+IF(LEN(H136)&gt;0,1,0)+IF(LEN(I136)&gt;0,1,0)+IF(LEN(K136)&gt;0,1,0)+IF(LEN(N136)&gt;0,1,0)+IF(LEN(O136)&gt;0,1,0)+IF(LEN(T136)&gt;0,1,0)+IF(LEN(U136)&gt;0,1,0)+IF(LEN(V136)&gt;0,1,0)+IF(LEN(AK136)&gt;0,1,0)+IF(LEN(AM136)&gt;0,1,0)+IF(LEN(AN136)&gt;0,1,0)+IF(LEN(AO136)&gt;0,1,0)+IF(LEN(AP136)&gt;0,1,0)+IF(LEN(AY136)&gt;0,1,0)+IF(LEN(BK136)&gt;0,1,0)+IF(LEN(BX136)&gt;0,1,0))/20,2))</f>
        <v/>
      </c>
      <c r="CD136" s="10" t="str">
        <f aca="false">IF(D136="","",IF(AND(AN136="Approved",ISERROR(SEARCH("FAIL",BH136))),"Y","N"))</f>
        <v/>
      </c>
      <c r="CE136" s="10" t="str">
        <f aca="false">IF(D136="","",D136&amp;"|"&amp;F136&amp;"|"&amp;G136&amp;"|"&amp;H136&amp;"|"&amp;E136&amp;"|"&amp;CD136)</f>
        <v/>
      </c>
    </row>
    <row r="137" customFormat="false" ht="15" hidden="false" customHeight="false" outlineLevel="0" collapsed="false">
      <c r="A137" s="10" t="str">
        <f aca="false">IF(D137="","","EW-"&amp;IFERROR(VLOOKUP(D137,Lists!$P$4:$Q$22,2,0),"??")&amp;"-D"&amp;TEXT(F137*1000,"0000")&amp;"-"&amp;IFERROR(VLOOKUP(G137,Lists!$S$4:$T$21,2,0),"??")&amp;"-"&amp;IFERROR(VLOOKUP(H137,Lists!$Y$4:$Z$21,2,0),"??")&amp;"-"&amp;IFERROR(VLOOKUP(E137,Lists!$V$4:$W$16,2,0),"??")&amp;"-"&amp;AM137)</f>
        <v/>
      </c>
      <c r="B137" s="10" t="str">
        <f aca="false">IF(D137="","",E137&amp;" "&amp;D137&amp;", excavation "&amp;TEXT(F137,"0.0")&amp;" m, "&amp;G137&amp;", "&amp;H137&amp;", "&amp;K137)</f>
        <v/>
      </c>
      <c r="C137" s="9"/>
      <c r="D137" s="9"/>
      <c r="E137" s="9"/>
      <c r="F137" s="42"/>
      <c r="G137" s="9"/>
      <c r="H137" s="9"/>
      <c r="I137" s="42"/>
      <c r="J137" s="38"/>
      <c r="K137" s="9"/>
      <c r="L137" s="9"/>
      <c r="M137" s="9"/>
      <c r="N137" s="42"/>
      <c r="O137" s="42"/>
      <c r="P137" s="9"/>
      <c r="Q137" s="9"/>
      <c r="R137" s="9"/>
      <c r="S137" s="9"/>
      <c r="T137" s="38"/>
      <c r="U137" s="38"/>
      <c r="V137" s="38"/>
      <c r="W137" s="38"/>
      <c r="X137" s="38"/>
      <c r="Y137" s="9"/>
      <c r="Z137" s="39"/>
      <c r="AA137" s="9"/>
      <c r="AB137" s="9"/>
      <c r="AC137" s="9"/>
      <c r="AD137" s="9"/>
      <c r="AE137" s="9"/>
      <c r="AF137" s="9"/>
      <c r="AG137" s="9"/>
      <c r="AH137" s="38"/>
      <c r="AI137" s="9"/>
      <c r="AJ137" s="39"/>
      <c r="AK137" s="9"/>
      <c r="AL137" s="9"/>
      <c r="AM137" s="9"/>
      <c r="AN137" s="9"/>
      <c r="AO137" s="9"/>
      <c r="AP137" s="9"/>
      <c r="AQ137" s="9"/>
      <c r="AR137" s="10" t="str">
        <f aca="false">IF(A137="","",SG_Criteria!$B$6&amp;SG_Criteria!$B$9&amp;"\"&amp;A137&amp;"\")</f>
        <v/>
      </c>
      <c r="AS137" s="10" t="str">
        <f aca="false">IF(A137="","",A137&amp;"_CAD.dwg")</f>
        <v/>
      </c>
      <c r="AT137" s="10" t="str">
        <f aca="false">IF(A137="","",A137&amp;"_DWG.pdf")</f>
        <v/>
      </c>
      <c r="AU137" s="10" t="str">
        <f aca="false">IF(A137="","",IF(AQ137="Y",A137&amp;"_STAAD.std","n/a"))</f>
        <v/>
      </c>
      <c r="AV137" s="10" t="str">
        <f aca="false">IF(A137="","",A137&amp;"_CALC.xlsx")</f>
        <v/>
      </c>
      <c r="AW137" s="10" t="str">
        <f aca="false">IF(A137="","",A137&amp;"_CALC.pdf")</f>
        <v/>
      </c>
      <c r="AX137" s="9"/>
      <c r="AY137" s="9"/>
      <c r="AZ137" s="39"/>
      <c r="BA137" s="39"/>
      <c r="BB137" s="39"/>
      <c r="BC137" s="39"/>
      <c r="BD137" s="39"/>
      <c r="BE137" s="12" t="str">
        <f aca="false">IF(A137="","",IF(COUNTIF(Rebar_Schedule!$A$5:$A$2004,A137)=0,"",ROUND(SUMIF(Rebar_Schedule!$A$5:$A$2004,A137,Rebar_Schedule!$K$5:$K$2004),1)))</f>
        <v/>
      </c>
      <c r="BF137" s="33" t="str">
        <f aca="false">IF(A137="","",IF(BE137="","No rebar schedule yet",IF(ABS(BE137-N(BA137))/MAX(N(BA137),1)&gt;SG_Criteria!$B$55,"NOTE: register rebar differs from schedule by "&amp;TEXT(ABS(BE137-N(BA137))/MAX(N(BA137),1),"0%"),"OK")))</f>
        <v/>
      </c>
      <c r="BG137" s="33" t="str">
        <f aca="false">IF(OR(D137="",F137=""),"",IF(F137&lt;=IF(D137="Soldier Pile &amp; Timber Lagging",SG_Criteria!$B$34,SG_Criteria!$B$33),"No ERSS submission",IF(F137&lt;=SG_Criteria!$B$35,"QP(ST)",IF(F137&lt;=SG_Criteria!$B$36,"QP(ST) + AC","Geotechnical building works: QP(Geo) + AC"))))</f>
        <v/>
      </c>
      <c r="BH137" s="33" t="str">
        <f aca="false">IF(D137="","",IF(LEN(IF(AND(AC137&lt;&gt;"",IFERROR(VALUE(MID(AC137,2,2)),0)&lt;SG_Criteria!$B$19),"FAIL: grade below C"&amp;SG_Criteria!$B$19&amp;". ","")&amp;IF(AND(LEFT(D137,3)="Con",N(I137)&lt;F137,H137="Kallang Formation (marine clay)"),"NOTE: CBP is not watertight below GWT in marine clay; consider secant / grouting. ","")&amp;IF(AND(D137="Steel Sheet Pile",E137="Permanent"),"NOTE: permanent sheet pile needs corrosion allowance. ","")&amp;IF(AND(G137="Cantilever (no support)",F137&gt;6),"NOTE: cantilever embedded wall &gt; 6 m, check deflection. ","")&amp;IF(AND(T137&lt;&gt;"",U137&lt;&gt;"",T137&gt;U137),"FAIL: deflection exceeds allowable. ",""))=0,"OK",IF(AND(AC137&lt;&gt;"",IFERROR(VALUE(MID(AC137,2,2)),0)&lt;SG_Criteria!$B$19),"FAIL: grade below C"&amp;SG_Criteria!$B$19&amp;". ","")&amp;IF(AND(LEFT(D137,3)="Con",N(I137)&lt;F137,H137="Kallang Formation (marine clay)"),"NOTE: CBP is not watertight below GWT in marine clay; consider secant / grouting. ","")&amp;IF(AND(D137="Steel Sheet Pile",E137="Permanent"),"NOTE: permanent sheet pile needs corrosion allowance. ","")&amp;IF(AND(G137="Cantilever (no support)",F137&gt;6),"NOTE: cantilever embedded wall &gt; 6 m, check deflection. ","")&amp;IF(AND(T137&lt;&gt;"",U137&lt;&gt;"",T137&gt;U137),"FAIL: deflection exceeds allowable. ","")))</f>
        <v/>
      </c>
      <c r="BI137" s="9"/>
      <c r="BJ137" s="9"/>
      <c r="BK137" s="9"/>
      <c r="BL137" s="10" t="str">
        <f aca="false">IF(BK137="","",IFERROR(VLOOKUP(BK137,Projects!$A$5:$D$504,2,0),"Ref not in Projects"))</f>
        <v/>
      </c>
      <c r="BM137" s="10" t="str">
        <f aca="false">IF(BK137="","",IFERROR(VLOOKUP(BK137,Projects!$A$5:$D$504,4,0),"Ref not in Projects"))</f>
        <v/>
      </c>
      <c r="BN137" s="9"/>
      <c r="BO137" s="9"/>
      <c r="BP137" s="9"/>
      <c r="BQ137" s="40"/>
      <c r="BR137" s="9"/>
      <c r="BS137" s="40"/>
      <c r="BT137" s="9"/>
      <c r="BU137" s="40"/>
      <c r="BV137" s="9"/>
      <c r="BW137" s="9"/>
      <c r="BX137" s="9"/>
      <c r="BY137" s="40"/>
      <c r="BZ137" s="40"/>
      <c r="CA137" s="36" t="str">
        <f aca="false">IF(BZ137="","",EDATE(BZ137,SG_Criteria!$B$54*12))</f>
        <v/>
      </c>
      <c r="CB137" s="33" t="str">
        <f aca="true">IF(A137="","",IF(BZ137="","NOTE: not reviewed yet",IF(TODAY()&gt;CA137,"NOTE: review overdue","OK")))</f>
        <v/>
      </c>
      <c r="CC137" s="37" t="str">
        <f aca="false">IF(A137="","",ROUND((IF(LEN(D137)&gt;0,1,0)+IF(LEN(E137)&gt;0,1,0)+IF(LEN(F137)&gt;0,1,0)+IF(LEN(G137)&gt;0,1,0)+IF(LEN(H137)&gt;0,1,0)+IF(LEN(I137)&gt;0,1,0)+IF(LEN(K137)&gt;0,1,0)+IF(LEN(N137)&gt;0,1,0)+IF(LEN(O137)&gt;0,1,0)+IF(LEN(T137)&gt;0,1,0)+IF(LEN(U137)&gt;0,1,0)+IF(LEN(V137)&gt;0,1,0)+IF(LEN(AK137)&gt;0,1,0)+IF(LEN(AM137)&gt;0,1,0)+IF(LEN(AN137)&gt;0,1,0)+IF(LEN(AO137)&gt;0,1,0)+IF(LEN(AP137)&gt;0,1,0)+IF(LEN(AY137)&gt;0,1,0)+IF(LEN(BK137)&gt;0,1,0)+IF(LEN(BX137)&gt;0,1,0))/20,2))</f>
        <v/>
      </c>
      <c r="CD137" s="10" t="str">
        <f aca="false">IF(D137="","",IF(AND(AN137="Approved",ISERROR(SEARCH("FAIL",BH137))),"Y","N"))</f>
        <v/>
      </c>
      <c r="CE137" s="10" t="str">
        <f aca="false">IF(D137="","",D137&amp;"|"&amp;F137&amp;"|"&amp;G137&amp;"|"&amp;H137&amp;"|"&amp;E137&amp;"|"&amp;CD137)</f>
        <v/>
      </c>
    </row>
    <row r="138" customFormat="false" ht="15" hidden="false" customHeight="false" outlineLevel="0" collapsed="false">
      <c r="A138" s="10" t="str">
        <f aca="false">IF(D138="","","EW-"&amp;IFERROR(VLOOKUP(D138,Lists!$P$4:$Q$22,2,0),"??")&amp;"-D"&amp;TEXT(F138*1000,"0000")&amp;"-"&amp;IFERROR(VLOOKUP(G138,Lists!$S$4:$T$21,2,0),"??")&amp;"-"&amp;IFERROR(VLOOKUP(H138,Lists!$Y$4:$Z$21,2,0),"??")&amp;"-"&amp;IFERROR(VLOOKUP(E138,Lists!$V$4:$W$16,2,0),"??")&amp;"-"&amp;AM138)</f>
        <v/>
      </c>
      <c r="B138" s="10" t="str">
        <f aca="false">IF(D138="","",E138&amp;" "&amp;D138&amp;", excavation "&amp;TEXT(F138,"0.0")&amp;" m, "&amp;G138&amp;", "&amp;H138&amp;", "&amp;K138)</f>
        <v/>
      </c>
      <c r="C138" s="9"/>
      <c r="D138" s="9"/>
      <c r="E138" s="9"/>
      <c r="F138" s="42"/>
      <c r="G138" s="9"/>
      <c r="H138" s="9"/>
      <c r="I138" s="42"/>
      <c r="J138" s="38"/>
      <c r="K138" s="9"/>
      <c r="L138" s="9"/>
      <c r="M138" s="9"/>
      <c r="N138" s="42"/>
      <c r="O138" s="42"/>
      <c r="P138" s="9"/>
      <c r="Q138" s="9"/>
      <c r="R138" s="9"/>
      <c r="S138" s="9"/>
      <c r="T138" s="38"/>
      <c r="U138" s="38"/>
      <c r="V138" s="38"/>
      <c r="W138" s="38"/>
      <c r="X138" s="38"/>
      <c r="Y138" s="9"/>
      <c r="Z138" s="39"/>
      <c r="AA138" s="9"/>
      <c r="AB138" s="9"/>
      <c r="AC138" s="9"/>
      <c r="AD138" s="9"/>
      <c r="AE138" s="9"/>
      <c r="AF138" s="9"/>
      <c r="AG138" s="9"/>
      <c r="AH138" s="38"/>
      <c r="AI138" s="9"/>
      <c r="AJ138" s="39"/>
      <c r="AK138" s="9"/>
      <c r="AL138" s="9"/>
      <c r="AM138" s="9"/>
      <c r="AN138" s="9"/>
      <c r="AO138" s="9"/>
      <c r="AP138" s="9"/>
      <c r="AQ138" s="9"/>
      <c r="AR138" s="10" t="str">
        <f aca="false">IF(A138="","",SG_Criteria!$B$6&amp;SG_Criteria!$B$9&amp;"\"&amp;A138&amp;"\")</f>
        <v/>
      </c>
      <c r="AS138" s="10" t="str">
        <f aca="false">IF(A138="","",A138&amp;"_CAD.dwg")</f>
        <v/>
      </c>
      <c r="AT138" s="10" t="str">
        <f aca="false">IF(A138="","",A138&amp;"_DWG.pdf")</f>
        <v/>
      </c>
      <c r="AU138" s="10" t="str">
        <f aca="false">IF(A138="","",IF(AQ138="Y",A138&amp;"_STAAD.std","n/a"))</f>
        <v/>
      </c>
      <c r="AV138" s="10" t="str">
        <f aca="false">IF(A138="","",A138&amp;"_CALC.xlsx")</f>
        <v/>
      </c>
      <c r="AW138" s="10" t="str">
        <f aca="false">IF(A138="","",A138&amp;"_CALC.pdf")</f>
        <v/>
      </c>
      <c r="AX138" s="9"/>
      <c r="AY138" s="9"/>
      <c r="AZ138" s="39"/>
      <c r="BA138" s="39"/>
      <c r="BB138" s="39"/>
      <c r="BC138" s="39"/>
      <c r="BD138" s="39"/>
      <c r="BE138" s="12" t="str">
        <f aca="false">IF(A138="","",IF(COUNTIF(Rebar_Schedule!$A$5:$A$2004,A138)=0,"",ROUND(SUMIF(Rebar_Schedule!$A$5:$A$2004,A138,Rebar_Schedule!$K$5:$K$2004),1)))</f>
        <v/>
      </c>
      <c r="BF138" s="33" t="str">
        <f aca="false">IF(A138="","",IF(BE138="","No rebar schedule yet",IF(ABS(BE138-N(BA138))/MAX(N(BA138),1)&gt;SG_Criteria!$B$55,"NOTE: register rebar differs from schedule by "&amp;TEXT(ABS(BE138-N(BA138))/MAX(N(BA138),1),"0%"),"OK")))</f>
        <v/>
      </c>
      <c r="BG138" s="33" t="str">
        <f aca="false">IF(OR(D138="",F138=""),"",IF(F138&lt;=IF(D138="Soldier Pile &amp; Timber Lagging",SG_Criteria!$B$34,SG_Criteria!$B$33),"No ERSS submission",IF(F138&lt;=SG_Criteria!$B$35,"QP(ST)",IF(F138&lt;=SG_Criteria!$B$36,"QP(ST) + AC","Geotechnical building works: QP(Geo) + AC"))))</f>
        <v/>
      </c>
      <c r="BH138" s="33" t="str">
        <f aca="false">IF(D138="","",IF(LEN(IF(AND(AC138&lt;&gt;"",IFERROR(VALUE(MID(AC138,2,2)),0)&lt;SG_Criteria!$B$19),"FAIL: grade below C"&amp;SG_Criteria!$B$19&amp;". ","")&amp;IF(AND(LEFT(D138,3)="Con",N(I138)&lt;F138,H138="Kallang Formation (marine clay)"),"NOTE: CBP is not watertight below GWT in marine clay; consider secant / grouting. ","")&amp;IF(AND(D138="Steel Sheet Pile",E138="Permanent"),"NOTE: permanent sheet pile needs corrosion allowance. ","")&amp;IF(AND(G138="Cantilever (no support)",F138&gt;6),"NOTE: cantilever embedded wall &gt; 6 m, check deflection. ","")&amp;IF(AND(T138&lt;&gt;"",U138&lt;&gt;"",T138&gt;U138),"FAIL: deflection exceeds allowable. ",""))=0,"OK",IF(AND(AC138&lt;&gt;"",IFERROR(VALUE(MID(AC138,2,2)),0)&lt;SG_Criteria!$B$19),"FAIL: grade below C"&amp;SG_Criteria!$B$19&amp;". ","")&amp;IF(AND(LEFT(D138,3)="Con",N(I138)&lt;F138,H138="Kallang Formation (marine clay)"),"NOTE: CBP is not watertight below GWT in marine clay; consider secant / grouting. ","")&amp;IF(AND(D138="Steel Sheet Pile",E138="Permanent"),"NOTE: permanent sheet pile needs corrosion allowance. ","")&amp;IF(AND(G138="Cantilever (no support)",F138&gt;6),"NOTE: cantilever embedded wall &gt; 6 m, check deflection. ","")&amp;IF(AND(T138&lt;&gt;"",U138&lt;&gt;"",T138&gt;U138),"FAIL: deflection exceeds allowable. ","")))</f>
        <v/>
      </c>
      <c r="BI138" s="9"/>
      <c r="BJ138" s="9"/>
      <c r="BK138" s="9"/>
      <c r="BL138" s="10" t="str">
        <f aca="false">IF(BK138="","",IFERROR(VLOOKUP(BK138,Projects!$A$5:$D$504,2,0),"Ref not in Projects"))</f>
        <v/>
      </c>
      <c r="BM138" s="10" t="str">
        <f aca="false">IF(BK138="","",IFERROR(VLOOKUP(BK138,Projects!$A$5:$D$504,4,0),"Ref not in Projects"))</f>
        <v/>
      </c>
      <c r="BN138" s="9"/>
      <c r="BO138" s="9"/>
      <c r="BP138" s="9"/>
      <c r="BQ138" s="40"/>
      <c r="BR138" s="9"/>
      <c r="BS138" s="40"/>
      <c r="BT138" s="9"/>
      <c r="BU138" s="40"/>
      <c r="BV138" s="9"/>
      <c r="BW138" s="9"/>
      <c r="BX138" s="9"/>
      <c r="BY138" s="40"/>
      <c r="BZ138" s="40"/>
      <c r="CA138" s="36" t="str">
        <f aca="false">IF(BZ138="","",EDATE(BZ138,SG_Criteria!$B$54*12))</f>
        <v/>
      </c>
      <c r="CB138" s="33" t="str">
        <f aca="true">IF(A138="","",IF(BZ138="","NOTE: not reviewed yet",IF(TODAY()&gt;CA138,"NOTE: review overdue","OK")))</f>
        <v/>
      </c>
      <c r="CC138" s="37" t="str">
        <f aca="false">IF(A138="","",ROUND((IF(LEN(D138)&gt;0,1,0)+IF(LEN(E138)&gt;0,1,0)+IF(LEN(F138)&gt;0,1,0)+IF(LEN(G138)&gt;0,1,0)+IF(LEN(H138)&gt;0,1,0)+IF(LEN(I138)&gt;0,1,0)+IF(LEN(K138)&gt;0,1,0)+IF(LEN(N138)&gt;0,1,0)+IF(LEN(O138)&gt;0,1,0)+IF(LEN(T138)&gt;0,1,0)+IF(LEN(U138)&gt;0,1,0)+IF(LEN(V138)&gt;0,1,0)+IF(LEN(AK138)&gt;0,1,0)+IF(LEN(AM138)&gt;0,1,0)+IF(LEN(AN138)&gt;0,1,0)+IF(LEN(AO138)&gt;0,1,0)+IF(LEN(AP138)&gt;0,1,0)+IF(LEN(AY138)&gt;0,1,0)+IF(LEN(BK138)&gt;0,1,0)+IF(LEN(BX138)&gt;0,1,0))/20,2))</f>
        <v/>
      </c>
      <c r="CD138" s="10" t="str">
        <f aca="false">IF(D138="","",IF(AND(AN138="Approved",ISERROR(SEARCH("FAIL",BH138))),"Y","N"))</f>
        <v/>
      </c>
      <c r="CE138" s="10" t="str">
        <f aca="false">IF(D138="","",D138&amp;"|"&amp;F138&amp;"|"&amp;G138&amp;"|"&amp;H138&amp;"|"&amp;E138&amp;"|"&amp;CD138)</f>
        <v/>
      </c>
    </row>
    <row r="139" customFormat="false" ht="15" hidden="false" customHeight="false" outlineLevel="0" collapsed="false">
      <c r="A139" s="10" t="str">
        <f aca="false">IF(D139="","","EW-"&amp;IFERROR(VLOOKUP(D139,Lists!$P$4:$Q$22,2,0),"??")&amp;"-D"&amp;TEXT(F139*1000,"0000")&amp;"-"&amp;IFERROR(VLOOKUP(G139,Lists!$S$4:$T$21,2,0),"??")&amp;"-"&amp;IFERROR(VLOOKUP(H139,Lists!$Y$4:$Z$21,2,0),"??")&amp;"-"&amp;IFERROR(VLOOKUP(E139,Lists!$V$4:$W$16,2,0),"??")&amp;"-"&amp;AM139)</f>
        <v/>
      </c>
      <c r="B139" s="10" t="str">
        <f aca="false">IF(D139="","",E139&amp;" "&amp;D139&amp;", excavation "&amp;TEXT(F139,"0.0")&amp;" m, "&amp;G139&amp;", "&amp;H139&amp;", "&amp;K139)</f>
        <v/>
      </c>
      <c r="C139" s="9"/>
      <c r="D139" s="9"/>
      <c r="E139" s="9"/>
      <c r="F139" s="42"/>
      <c r="G139" s="9"/>
      <c r="H139" s="9"/>
      <c r="I139" s="42"/>
      <c r="J139" s="38"/>
      <c r="K139" s="9"/>
      <c r="L139" s="9"/>
      <c r="M139" s="9"/>
      <c r="N139" s="42"/>
      <c r="O139" s="42"/>
      <c r="P139" s="9"/>
      <c r="Q139" s="9"/>
      <c r="R139" s="9"/>
      <c r="S139" s="9"/>
      <c r="T139" s="38"/>
      <c r="U139" s="38"/>
      <c r="V139" s="38"/>
      <c r="W139" s="38"/>
      <c r="X139" s="38"/>
      <c r="Y139" s="9"/>
      <c r="Z139" s="39"/>
      <c r="AA139" s="9"/>
      <c r="AB139" s="9"/>
      <c r="AC139" s="9"/>
      <c r="AD139" s="9"/>
      <c r="AE139" s="9"/>
      <c r="AF139" s="9"/>
      <c r="AG139" s="9"/>
      <c r="AH139" s="38"/>
      <c r="AI139" s="9"/>
      <c r="AJ139" s="39"/>
      <c r="AK139" s="9"/>
      <c r="AL139" s="9"/>
      <c r="AM139" s="9"/>
      <c r="AN139" s="9"/>
      <c r="AO139" s="9"/>
      <c r="AP139" s="9"/>
      <c r="AQ139" s="9"/>
      <c r="AR139" s="10" t="str">
        <f aca="false">IF(A139="","",SG_Criteria!$B$6&amp;SG_Criteria!$B$9&amp;"\"&amp;A139&amp;"\")</f>
        <v/>
      </c>
      <c r="AS139" s="10" t="str">
        <f aca="false">IF(A139="","",A139&amp;"_CAD.dwg")</f>
        <v/>
      </c>
      <c r="AT139" s="10" t="str">
        <f aca="false">IF(A139="","",A139&amp;"_DWG.pdf")</f>
        <v/>
      </c>
      <c r="AU139" s="10" t="str">
        <f aca="false">IF(A139="","",IF(AQ139="Y",A139&amp;"_STAAD.std","n/a"))</f>
        <v/>
      </c>
      <c r="AV139" s="10" t="str">
        <f aca="false">IF(A139="","",A139&amp;"_CALC.xlsx")</f>
        <v/>
      </c>
      <c r="AW139" s="10" t="str">
        <f aca="false">IF(A139="","",A139&amp;"_CALC.pdf")</f>
        <v/>
      </c>
      <c r="AX139" s="9"/>
      <c r="AY139" s="9"/>
      <c r="AZ139" s="39"/>
      <c r="BA139" s="39"/>
      <c r="BB139" s="39"/>
      <c r="BC139" s="39"/>
      <c r="BD139" s="39"/>
      <c r="BE139" s="12" t="str">
        <f aca="false">IF(A139="","",IF(COUNTIF(Rebar_Schedule!$A$5:$A$2004,A139)=0,"",ROUND(SUMIF(Rebar_Schedule!$A$5:$A$2004,A139,Rebar_Schedule!$K$5:$K$2004),1)))</f>
        <v/>
      </c>
      <c r="BF139" s="33" t="str">
        <f aca="false">IF(A139="","",IF(BE139="","No rebar schedule yet",IF(ABS(BE139-N(BA139))/MAX(N(BA139),1)&gt;SG_Criteria!$B$55,"NOTE: register rebar differs from schedule by "&amp;TEXT(ABS(BE139-N(BA139))/MAX(N(BA139),1),"0%"),"OK")))</f>
        <v/>
      </c>
      <c r="BG139" s="33" t="str">
        <f aca="false">IF(OR(D139="",F139=""),"",IF(F139&lt;=IF(D139="Soldier Pile &amp; Timber Lagging",SG_Criteria!$B$34,SG_Criteria!$B$33),"No ERSS submission",IF(F139&lt;=SG_Criteria!$B$35,"QP(ST)",IF(F139&lt;=SG_Criteria!$B$36,"QP(ST) + AC","Geotechnical building works: QP(Geo) + AC"))))</f>
        <v/>
      </c>
      <c r="BH139" s="33" t="str">
        <f aca="false">IF(D139="","",IF(LEN(IF(AND(AC139&lt;&gt;"",IFERROR(VALUE(MID(AC139,2,2)),0)&lt;SG_Criteria!$B$19),"FAIL: grade below C"&amp;SG_Criteria!$B$19&amp;". ","")&amp;IF(AND(LEFT(D139,3)="Con",N(I139)&lt;F139,H139="Kallang Formation (marine clay)"),"NOTE: CBP is not watertight below GWT in marine clay; consider secant / grouting. ","")&amp;IF(AND(D139="Steel Sheet Pile",E139="Permanent"),"NOTE: permanent sheet pile needs corrosion allowance. ","")&amp;IF(AND(G139="Cantilever (no support)",F139&gt;6),"NOTE: cantilever embedded wall &gt; 6 m, check deflection. ","")&amp;IF(AND(T139&lt;&gt;"",U139&lt;&gt;"",T139&gt;U139),"FAIL: deflection exceeds allowable. ",""))=0,"OK",IF(AND(AC139&lt;&gt;"",IFERROR(VALUE(MID(AC139,2,2)),0)&lt;SG_Criteria!$B$19),"FAIL: grade below C"&amp;SG_Criteria!$B$19&amp;". ","")&amp;IF(AND(LEFT(D139,3)="Con",N(I139)&lt;F139,H139="Kallang Formation (marine clay)"),"NOTE: CBP is not watertight below GWT in marine clay; consider secant / grouting. ","")&amp;IF(AND(D139="Steel Sheet Pile",E139="Permanent"),"NOTE: permanent sheet pile needs corrosion allowance. ","")&amp;IF(AND(G139="Cantilever (no support)",F139&gt;6),"NOTE: cantilever embedded wall &gt; 6 m, check deflection. ","")&amp;IF(AND(T139&lt;&gt;"",U139&lt;&gt;"",T139&gt;U139),"FAIL: deflection exceeds allowable. ","")))</f>
        <v/>
      </c>
      <c r="BI139" s="9"/>
      <c r="BJ139" s="9"/>
      <c r="BK139" s="9"/>
      <c r="BL139" s="10" t="str">
        <f aca="false">IF(BK139="","",IFERROR(VLOOKUP(BK139,Projects!$A$5:$D$504,2,0),"Ref not in Projects"))</f>
        <v/>
      </c>
      <c r="BM139" s="10" t="str">
        <f aca="false">IF(BK139="","",IFERROR(VLOOKUP(BK139,Projects!$A$5:$D$504,4,0),"Ref not in Projects"))</f>
        <v/>
      </c>
      <c r="BN139" s="9"/>
      <c r="BO139" s="9"/>
      <c r="BP139" s="9"/>
      <c r="BQ139" s="40"/>
      <c r="BR139" s="9"/>
      <c r="BS139" s="40"/>
      <c r="BT139" s="9"/>
      <c r="BU139" s="40"/>
      <c r="BV139" s="9"/>
      <c r="BW139" s="9"/>
      <c r="BX139" s="9"/>
      <c r="BY139" s="40"/>
      <c r="BZ139" s="40"/>
      <c r="CA139" s="36" t="str">
        <f aca="false">IF(BZ139="","",EDATE(BZ139,SG_Criteria!$B$54*12))</f>
        <v/>
      </c>
      <c r="CB139" s="33" t="str">
        <f aca="true">IF(A139="","",IF(BZ139="","NOTE: not reviewed yet",IF(TODAY()&gt;CA139,"NOTE: review overdue","OK")))</f>
        <v/>
      </c>
      <c r="CC139" s="37" t="str">
        <f aca="false">IF(A139="","",ROUND((IF(LEN(D139)&gt;0,1,0)+IF(LEN(E139)&gt;0,1,0)+IF(LEN(F139)&gt;0,1,0)+IF(LEN(G139)&gt;0,1,0)+IF(LEN(H139)&gt;0,1,0)+IF(LEN(I139)&gt;0,1,0)+IF(LEN(K139)&gt;0,1,0)+IF(LEN(N139)&gt;0,1,0)+IF(LEN(O139)&gt;0,1,0)+IF(LEN(T139)&gt;0,1,0)+IF(LEN(U139)&gt;0,1,0)+IF(LEN(V139)&gt;0,1,0)+IF(LEN(AK139)&gt;0,1,0)+IF(LEN(AM139)&gt;0,1,0)+IF(LEN(AN139)&gt;0,1,0)+IF(LEN(AO139)&gt;0,1,0)+IF(LEN(AP139)&gt;0,1,0)+IF(LEN(AY139)&gt;0,1,0)+IF(LEN(BK139)&gt;0,1,0)+IF(LEN(BX139)&gt;0,1,0))/20,2))</f>
        <v/>
      </c>
      <c r="CD139" s="10" t="str">
        <f aca="false">IF(D139="","",IF(AND(AN139="Approved",ISERROR(SEARCH("FAIL",BH139))),"Y","N"))</f>
        <v/>
      </c>
      <c r="CE139" s="10" t="str">
        <f aca="false">IF(D139="","",D139&amp;"|"&amp;F139&amp;"|"&amp;G139&amp;"|"&amp;H139&amp;"|"&amp;E139&amp;"|"&amp;CD139)</f>
        <v/>
      </c>
    </row>
    <row r="140" customFormat="false" ht="15" hidden="false" customHeight="false" outlineLevel="0" collapsed="false">
      <c r="A140" s="10" t="str">
        <f aca="false">IF(D140="","","EW-"&amp;IFERROR(VLOOKUP(D140,Lists!$P$4:$Q$22,2,0),"??")&amp;"-D"&amp;TEXT(F140*1000,"0000")&amp;"-"&amp;IFERROR(VLOOKUP(G140,Lists!$S$4:$T$21,2,0),"??")&amp;"-"&amp;IFERROR(VLOOKUP(H140,Lists!$Y$4:$Z$21,2,0),"??")&amp;"-"&amp;IFERROR(VLOOKUP(E140,Lists!$V$4:$W$16,2,0),"??")&amp;"-"&amp;AM140)</f>
        <v/>
      </c>
      <c r="B140" s="10" t="str">
        <f aca="false">IF(D140="","",E140&amp;" "&amp;D140&amp;", excavation "&amp;TEXT(F140,"0.0")&amp;" m, "&amp;G140&amp;", "&amp;H140&amp;", "&amp;K140)</f>
        <v/>
      </c>
      <c r="C140" s="9"/>
      <c r="D140" s="9"/>
      <c r="E140" s="9"/>
      <c r="F140" s="42"/>
      <c r="G140" s="9"/>
      <c r="H140" s="9"/>
      <c r="I140" s="42"/>
      <c r="J140" s="38"/>
      <c r="K140" s="9"/>
      <c r="L140" s="9"/>
      <c r="M140" s="9"/>
      <c r="N140" s="42"/>
      <c r="O140" s="42"/>
      <c r="P140" s="9"/>
      <c r="Q140" s="9"/>
      <c r="R140" s="9"/>
      <c r="S140" s="9"/>
      <c r="T140" s="38"/>
      <c r="U140" s="38"/>
      <c r="V140" s="38"/>
      <c r="W140" s="38"/>
      <c r="X140" s="38"/>
      <c r="Y140" s="9"/>
      <c r="Z140" s="39"/>
      <c r="AA140" s="9"/>
      <c r="AB140" s="9"/>
      <c r="AC140" s="9"/>
      <c r="AD140" s="9"/>
      <c r="AE140" s="9"/>
      <c r="AF140" s="9"/>
      <c r="AG140" s="9"/>
      <c r="AH140" s="38"/>
      <c r="AI140" s="9"/>
      <c r="AJ140" s="39"/>
      <c r="AK140" s="9"/>
      <c r="AL140" s="9"/>
      <c r="AM140" s="9"/>
      <c r="AN140" s="9"/>
      <c r="AO140" s="9"/>
      <c r="AP140" s="9"/>
      <c r="AQ140" s="9"/>
      <c r="AR140" s="10" t="str">
        <f aca="false">IF(A140="","",SG_Criteria!$B$6&amp;SG_Criteria!$B$9&amp;"\"&amp;A140&amp;"\")</f>
        <v/>
      </c>
      <c r="AS140" s="10" t="str">
        <f aca="false">IF(A140="","",A140&amp;"_CAD.dwg")</f>
        <v/>
      </c>
      <c r="AT140" s="10" t="str">
        <f aca="false">IF(A140="","",A140&amp;"_DWG.pdf")</f>
        <v/>
      </c>
      <c r="AU140" s="10" t="str">
        <f aca="false">IF(A140="","",IF(AQ140="Y",A140&amp;"_STAAD.std","n/a"))</f>
        <v/>
      </c>
      <c r="AV140" s="10" t="str">
        <f aca="false">IF(A140="","",A140&amp;"_CALC.xlsx")</f>
        <v/>
      </c>
      <c r="AW140" s="10" t="str">
        <f aca="false">IF(A140="","",A140&amp;"_CALC.pdf")</f>
        <v/>
      </c>
      <c r="AX140" s="9"/>
      <c r="AY140" s="9"/>
      <c r="AZ140" s="39"/>
      <c r="BA140" s="39"/>
      <c r="BB140" s="39"/>
      <c r="BC140" s="39"/>
      <c r="BD140" s="39"/>
      <c r="BE140" s="12" t="str">
        <f aca="false">IF(A140="","",IF(COUNTIF(Rebar_Schedule!$A$5:$A$2004,A140)=0,"",ROUND(SUMIF(Rebar_Schedule!$A$5:$A$2004,A140,Rebar_Schedule!$K$5:$K$2004),1)))</f>
        <v/>
      </c>
      <c r="BF140" s="33" t="str">
        <f aca="false">IF(A140="","",IF(BE140="","No rebar schedule yet",IF(ABS(BE140-N(BA140))/MAX(N(BA140),1)&gt;SG_Criteria!$B$55,"NOTE: register rebar differs from schedule by "&amp;TEXT(ABS(BE140-N(BA140))/MAX(N(BA140),1),"0%"),"OK")))</f>
        <v/>
      </c>
      <c r="BG140" s="33" t="str">
        <f aca="false">IF(OR(D140="",F140=""),"",IF(F140&lt;=IF(D140="Soldier Pile &amp; Timber Lagging",SG_Criteria!$B$34,SG_Criteria!$B$33),"No ERSS submission",IF(F140&lt;=SG_Criteria!$B$35,"QP(ST)",IF(F140&lt;=SG_Criteria!$B$36,"QP(ST) + AC","Geotechnical building works: QP(Geo) + AC"))))</f>
        <v/>
      </c>
      <c r="BH140" s="33" t="str">
        <f aca="false">IF(D140="","",IF(LEN(IF(AND(AC140&lt;&gt;"",IFERROR(VALUE(MID(AC140,2,2)),0)&lt;SG_Criteria!$B$19),"FAIL: grade below C"&amp;SG_Criteria!$B$19&amp;". ","")&amp;IF(AND(LEFT(D140,3)="Con",N(I140)&lt;F140,H140="Kallang Formation (marine clay)"),"NOTE: CBP is not watertight below GWT in marine clay; consider secant / grouting. ","")&amp;IF(AND(D140="Steel Sheet Pile",E140="Permanent"),"NOTE: permanent sheet pile needs corrosion allowance. ","")&amp;IF(AND(G140="Cantilever (no support)",F140&gt;6),"NOTE: cantilever embedded wall &gt; 6 m, check deflection. ","")&amp;IF(AND(T140&lt;&gt;"",U140&lt;&gt;"",T140&gt;U140),"FAIL: deflection exceeds allowable. ",""))=0,"OK",IF(AND(AC140&lt;&gt;"",IFERROR(VALUE(MID(AC140,2,2)),0)&lt;SG_Criteria!$B$19),"FAIL: grade below C"&amp;SG_Criteria!$B$19&amp;". ","")&amp;IF(AND(LEFT(D140,3)="Con",N(I140)&lt;F140,H140="Kallang Formation (marine clay)"),"NOTE: CBP is not watertight below GWT in marine clay; consider secant / grouting. ","")&amp;IF(AND(D140="Steel Sheet Pile",E140="Permanent"),"NOTE: permanent sheet pile needs corrosion allowance. ","")&amp;IF(AND(G140="Cantilever (no support)",F140&gt;6),"NOTE: cantilever embedded wall &gt; 6 m, check deflection. ","")&amp;IF(AND(T140&lt;&gt;"",U140&lt;&gt;"",T140&gt;U140),"FAIL: deflection exceeds allowable. ","")))</f>
        <v/>
      </c>
      <c r="BI140" s="9"/>
      <c r="BJ140" s="9"/>
      <c r="BK140" s="9"/>
      <c r="BL140" s="10" t="str">
        <f aca="false">IF(BK140="","",IFERROR(VLOOKUP(BK140,Projects!$A$5:$D$504,2,0),"Ref not in Projects"))</f>
        <v/>
      </c>
      <c r="BM140" s="10" t="str">
        <f aca="false">IF(BK140="","",IFERROR(VLOOKUP(BK140,Projects!$A$5:$D$504,4,0),"Ref not in Projects"))</f>
        <v/>
      </c>
      <c r="BN140" s="9"/>
      <c r="BO140" s="9"/>
      <c r="BP140" s="9"/>
      <c r="BQ140" s="40"/>
      <c r="BR140" s="9"/>
      <c r="BS140" s="40"/>
      <c r="BT140" s="9"/>
      <c r="BU140" s="40"/>
      <c r="BV140" s="9"/>
      <c r="BW140" s="9"/>
      <c r="BX140" s="9"/>
      <c r="BY140" s="40"/>
      <c r="BZ140" s="40"/>
      <c r="CA140" s="36" t="str">
        <f aca="false">IF(BZ140="","",EDATE(BZ140,SG_Criteria!$B$54*12))</f>
        <v/>
      </c>
      <c r="CB140" s="33" t="str">
        <f aca="true">IF(A140="","",IF(BZ140="","NOTE: not reviewed yet",IF(TODAY()&gt;CA140,"NOTE: review overdue","OK")))</f>
        <v/>
      </c>
      <c r="CC140" s="37" t="str">
        <f aca="false">IF(A140="","",ROUND((IF(LEN(D140)&gt;0,1,0)+IF(LEN(E140)&gt;0,1,0)+IF(LEN(F140)&gt;0,1,0)+IF(LEN(G140)&gt;0,1,0)+IF(LEN(H140)&gt;0,1,0)+IF(LEN(I140)&gt;0,1,0)+IF(LEN(K140)&gt;0,1,0)+IF(LEN(N140)&gt;0,1,0)+IF(LEN(O140)&gt;0,1,0)+IF(LEN(T140)&gt;0,1,0)+IF(LEN(U140)&gt;0,1,0)+IF(LEN(V140)&gt;0,1,0)+IF(LEN(AK140)&gt;0,1,0)+IF(LEN(AM140)&gt;0,1,0)+IF(LEN(AN140)&gt;0,1,0)+IF(LEN(AO140)&gt;0,1,0)+IF(LEN(AP140)&gt;0,1,0)+IF(LEN(AY140)&gt;0,1,0)+IF(LEN(BK140)&gt;0,1,0)+IF(LEN(BX140)&gt;0,1,0))/20,2))</f>
        <v/>
      </c>
      <c r="CD140" s="10" t="str">
        <f aca="false">IF(D140="","",IF(AND(AN140="Approved",ISERROR(SEARCH("FAIL",BH140))),"Y","N"))</f>
        <v/>
      </c>
      <c r="CE140" s="10" t="str">
        <f aca="false">IF(D140="","",D140&amp;"|"&amp;F140&amp;"|"&amp;G140&amp;"|"&amp;H140&amp;"|"&amp;E140&amp;"|"&amp;CD140)</f>
        <v/>
      </c>
    </row>
    <row r="141" customFormat="false" ht="15" hidden="false" customHeight="false" outlineLevel="0" collapsed="false">
      <c r="A141" s="10" t="str">
        <f aca="false">IF(D141="","","EW-"&amp;IFERROR(VLOOKUP(D141,Lists!$P$4:$Q$22,2,0),"??")&amp;"-D"&amp;TEXT(F141*1000,"0000")&amp;"-"&amp;IFERROR(VLOOKUP(G141,Lists!$S$4:$T$21,2,0),"??")&amp;"-"&amp;IFERROR(VLOOKUP(H141,Lists!$Y$4:$Z$21,2,0),"??")&amp;"-"&amp;IFERROR(VLOOKUP(E141,Lists!$V$4:$W$16,2,0),"??")&amp;"-"&amp;AM141)</f>
        <v/>
      </c>
      <c r="B141" s="10" t="str">
        <f aca="false">IF(D141="","",E141&amp;" "&amp;D141&amp;", excavation "&amp;TEXT(F141,"0.0")&amp;" m, "&amp;G141&amp;", "&amp;H141&amp;", "&amp;K141)</f>
        <v/>
      </c>
      <c r="C141" s="9"/>
      <c r="D141" s="9"/>
      <c r="E141" s="9"/>
      <c r="F141" s="42"/>
      <c r="G141" s="9"/>
      <c r="H141" s="9"/>
      <c r="I141" s="42"/>
      <c r="J141" s="38"/>
      <c r="K141" s="9"/>
      <c r="L141" s="9"/>
      <c r="M141" s="9"/>
      <c r="N141" s="42"/>
      <c r="O141" s="42"/>
      <c r="P141" s="9"/>
      <c r="Q141" s="9"/>
      <c r="R141" s="9"/>
      <c r="S141" s="9"/>
      <c r="T141" s="38"/>
      <c r="U141" s="38"/>
      <c r="V141" s="38"/>
      <c r="W141" s="38"/>
      <c r="X141" s="38"/>
      <c r="Y141" s="9"/>
      <c r="Z141" s="39"/>
      <c r="AA141" s="9"/>
      <c r="AB141" s="9"/>
      <c r="AC141" s="9"/>
      <c r="AD141" s="9"/>
      <c r="AE141" s="9"/>
      <c r="AF141" s="9"/>
      <c r="AG141" s="9"/>
      <c r="AH141" s="38"/>
      <c r="AI141" s="9"/>
      <c r="AJ141" s="39"/>
      <c r="AK141" s="9"/>
      <c r="AL141" s="9"/>
      <c r="AM141" s="9"/>
      <c r="AN141" s="9"/>
      <c r="AO141" s="9"/>
      <c r="AP141" s="9"/>
      <c r="AQ141" s="9"/>
      <c r="AR141" s="10" t="str">
        <f aca="false">IF(A141="","",SG_Criteria!$B$6&amp;SG_Criteria!$B$9&amp;"\"&amp;A141&amp;"\")</f>
        <v/>
      </c>
      <c r="AS141" s="10" t="str">
        <f aca="false">IF(A141="","",A141&amp;"_CAD.dwg")</f>
        <v/>
      </c>
      <c r="AT141" s="10" t="str">
        <f aca="false">IF(A141="","",A141&amp;"_DWG.pdf")</f>
        <v/>
      </c>
      <c r="AU141" s="10" t="str">
        <f aca="false">IF(A141="","",IF(AQ141="Y",A141&amp;"_STAAD.std","n/a"))</f>
        <v/>
      </c>
      <c r="AV141" s="10" t="str">
        <f aca="false">IF(A141="","",A141&amp;"_CALC.xlsx")</f>
        <v/>
      </c>
      <c r="AW141" s="10" t="str">
        <f aca="false">IF(A141="","",A141&amp;"_CALC.pdf")</f>
        <v/>
      </c>
      <c r="AX141" s="9"/>
      <c r="AY141" s="9"/>
      <c r="AZ141" s="39"/>
      <c r="BA141" s="39"/>
      <c r="BB141" s="39"/>
      <c r="BC141" s="39"/>
      <c r="BD141" s="39"/>
      <c r="BE141" s="12" t="str">
        <f aca="false">IF(A141="","",IF(COUNTIF(Rebar_Schedule!$A$5:$A$2004,A141)=0,"",ROUND(SUMIF(Rebar_Schedule!$A$5:$A$2004,A141,Rebar_Schedule!$K$5:$K$2004),1)))</f>
        <v/>
      </c>
      <c r="BF141" s="33" t="str">
        <f aca="false">IF(A141="","",IF(BE141="","No rebar schedule yet",IF(ABS(BE141-N(BA141))/MAX(N(BA141),1)&gt;SG_Criteria!$B$55,"NOTE: register rebar differs from schedule by "&amp;TEXT(ABS(BE141-N(BA141))/MAX(N(BA141),1),"0%"),"OK")))</f>
        <v/>
      </c>
      <c r="BG141" s="33" t="str">
        <f aca="false">IF(OR(D141="",F141=""),"",IF(F141&lt;=IF(D141="Soldier Pile &amp; Timber Lagging",SG_Criteria!$B$34,SG_Criteria!$B$33),"No ERSS submission",IF(F141&lt;=SG_Criteria!$B$35,"QP(ST)",IF(F141&lt;=SG_Criteria!$B$36,"QP(ST) + AC","Geotechnical building works: QP(Geo) + AC"))))</f>
        <v/>
      </c>
      <c r="BH141" s="33" t="str">
        <f aca="false">IF(D141="","",IF(LEN(IF(AND(AC141&lt;&gt;"",IFERROR(VALUE(MID(AC141,2,2)),0)&lt;SG_Criteria!$B$19),"FAIL: grade below C"&amp;SG_Criteria!$B$19&amp;". ","")&amp;IF(AND(LEFT(D141,3)="Con",N(I141)&lt;F141,H141="Kallang Formation (marine clay)"),"NOTE: CBP is not watertight below GWT in marine clay; consider secant / grouting. ","")&amp;IF(AND(D141="Steel Sheet Pile",E141="Permanent"),"NOTE: permanent sheet pile needs corrosion allowance. ","")&amp;IF(AND(G141="Cantilever (no support)",F141&gt;6),"NOTE: cantilever embedded wall &gt; 6 m, check deflection. ","")&amp;IF(AND(T141&lt;&gt;"",U141&lt;&gt;"",T141&gt;U141),"FAIL: deflection exceeds allowable. ",""))=0,"OK",IF(AND(AC141&lt;&gt;"",IFERROR(VALUE(MID(AC141,2,2)),0)&lt;SG_Criteria!$B$19),"FAIL: grade below C"&amp;SG_Criteria!$B$19&amp;". ","")&amp;IF(AND(LEFT(D141,3)="Con",N(I141)&lt;F141,H141="Kallang Formation (marine clay)"),"NOTE: CBP is not watertight below GWT in marine clay; consider secant / grouting. ","")&amp;IF(AND(D141="Steel Sheet Pile",E141="Permanent"),"NOTE: permanent sheet pile needs corrosion allowance. ","")&amp;IF(AND(G141="Cantilever (no support)",F141&gt;6),"NOTE: cantilever embedded wall &gt; 6 m, check deflection. ","")&amp;IF(AND(T141&lt;&gt;"",U141&lt;&gt;"",T141&gt;U141),"FAIL: deflection exceeds allowable. ","")))</f>
        <v/>
      </c>
      <c r="BI141" s="9"/>
      <c r="BJ141" s="9"/>
      <c r="BK141" s="9"/>
      <c r="BL141" s="10" t="str">
        <f aca="false">IF(BK141="","",IFERROR(VLOOKUP(BK141,Projects!$A$5:$D$504,2,0),"Ref not in Projects"))</f>
        <v/>
      </c>
      <c r="BM141" s="10" t="str">
        <f aca="false">IF(BK141="","",IFERROR(VLOOKUP(BK141,Projects!$A$5:$D$504,4,0),"Ref not in Projects"))</f>
        <v/>
      </c>
      <c r="BN141" s="9"/>
      <c r="BO141" s="9"/>
      <c r="BP141" s="9"/>
      <c r="BQ141" s="40"/>
      <c r="BR141" s="9"/>
      <c r="BS141" s="40"/>
      <c r="BT141" s="9"/>
      <c r="BU141" s="40"/>
      <c r="BV141" s="9"/>
      <c r="BW141" s="9"/>
      <c r="BX141" s="9"/>
      <c r="BY141" s="40"/>
      <c r="BZ141" s="40"/>
      <c r="CA141" s="36" t="str">
        <f aca="false">IF(BZ141="","",EDATE(BZ141,SG_Criteria!$B$54*12))</f>
        <v/>
      </c>
      <c r="CB141" s="33" t="str">
        <f aca="true">IF(A141="","",IF(BZ141="","NOTE: not reviewed yet",IF(TODAY()&gt;CA141,"NOTE: review overdue","OK")))</f>
        <v/>
      </c>
      <c r="CC141" s="37" t="str">
        <f aca="false">IF(A141="","",ROUND((IF(LEN(D141)&gt;0,1,0)+IF(LEN(E141)&gt;0,1,0)+IF(LEN(F141)&gt;0,1,0)+IF(LEN(G141)&gt;0,1,0)+IF(LEN(H141)&gt;0,1,0)+IF(LEN(I141)&gt;0,1,0)+IF(LEN(K141)&gt;0,1,0)+IF(LEN(N141)&gt;0,1,0)+IF(LEN(O141)&gt;0,1,0)+IF(LEN(T141)&gt;0,1,0)+IF(LEN(U141)&gt;0,1,0)+IF(LEN(V141)&gt;0,1,0)+IF(LEN(AK141)&gt;0,1,0)+IF(LEN(AM141)&gt;0,1,0)+IF(LEN(AN141)&gt;0,1,0)+IF(LEN(AO141)&gt;0,1,0)+IF(LEN(AP141)&gt;0,1,0)+IF(LEN(AY141)&gt;0,1,0)+IF(LEN(BK141)&gt;0,1,0)+IF(LEN(BX141)&gt;0,1,0))/20,2))</f>
        <v/>
      </c>
      <c r="CD141" s="10" t="str">
        <f aca="false">IF(D141="","",IF(AND(AN141="Approved",ISERROR(SEARCH("FAIL",BH141))),"Y","N"))</f>
        <v/>
      </c>
      <c r="CE141" s="10" t="str">
        <f aca="false">IF(D141="","",D141&amp;"|"&amp;F141&amp;"|"&amp;G141&amp;"|"&amp;H141&amp;"|"&amp;E141&amp;"|"&amp;CD141)</f>
        <v/>
      </c>
    </row>
    <row r="142" customFormat="false" ht="15" hidden="false" customHeight="false" outlineLevel="0" collapsed="false">
      <c r="A142" s="10" t="str">
        <f aca="false">IF(D142="","","EW-"&amp;IFERROR(VLOOKUP(D142,Lists!$P$4:$Q$22,2,0),"??")&amp;"-D"&amp;TEXT(F142*1000,"0000")&amp;"-"&amp;IFERROR(VLOOKUP(G142,Lists!$S$4:$T$21,2,0),"??")&amp;"-"&amp;IFERROR(VLOOKUP(H142,Lists!$Y$4:$Z$21,2,0),"??")&amp;"-"&amp;IFERROR(VLOOKUP(E142,Lists!$V$4:$W$16,2,0),"??")&amp;"-"&amp;AM142)</f>
        <v/>
      </c>
      <c r="B142" s="10" t="str">
        <f aca="false">IF(D142="","",E142&amp;" "&amp;D142&amp;", excavation "&amp;TEXT(F142,"0.0")&amp;" m, "&amp;G142&amp;", "&amp;H142&amp;", "&amp;K142)</f>
        <v/>
      </c>
      <c r="C142" s="9"/>
      <c r="D142" s="9"/>
      <c r="E142" s="9"/>
      <c r="F142" s="42"/>
      <c r="G142" s="9"/>
      <c r="H142" s="9"/>
      <c r="I142" s="42"/>
      <c r="J142" s="38"/>
      <c r="K142" s="9"/>
      <c r="L142" s="9"/>
      <c r="M142" s="9"/>
      <c r="N142" s="42"/>
      <c r="O142" s="42"/>
      <c r="P142" s="9"/>
      <c r="Q142" s="9"/>
      <c r="R142" s="9"/>
      <c r="S142" s="9"/>
      <c r="T142" s="38"/>
      <c r="U142" s="38"/>
      <c r="V142" s="38"/>
      <c r="W142" s="38"/>
      <c r="X142" s="38"/>
      <c r="Y142" s="9"/>
      <c r="Z142" s="39"/>
      <c r="AA142" s="9"/>
      <c r="AB142" s="9"/>
      <c r="AC142" s="9"/>
      <c r="AD142" s="9"/>
      <c r="AE142" s="9"/>
      <c r="AF142" s="9"/>
      <c r="AG142" s="9"/>
      <c r="AH142" s="38"/>
      <c r="AI142" s="9"/>
      <c r="AJ142" s="39"/>
      <c r="AK142" s="9"/>
      <c r="AL142" s="9"/>
      <c r="AM142" s="9"/>
      <c r="AN142" s="9"/>
      <c r="AO142" s="9"/>
      <c r="AP142" s="9"/>
      <c r="AQ142" s="9"/>
      <c r="AR142" s="10" t="str">
        <f aca="false">IF(A142="","",SG_Criteria!$B$6&amp;SG_Criteria!$B$9&amp;"\"&amp;A142&amp;"\")</f>
        <v/>
      </c>
      <c r="AS142" s="10" t="str">
        <f aca="false">IF(A142="","",A142&amp;"_CAD.dwg")</f>
        <v/>
      </c>
      <c r="AT142" s="10" t="str">
        <f aca="false">IF(A142="","",A142&amp;"_DWG.pdf")</f>
        <v/>
      </c>
      <c r="AU142" s="10" t="str">
        <f aca="false">IF(A142="","",IF(AQ142="Y",A142&amp;"_STAAD.std","n/a"))</f>
        <v/>
      </c>
      <c r="AV142" s="10" t="str">
        <f aca="false">IF(A142="","",A142&amp;"_CALC.xlsx")</f>
        <v/>
      </c>
      <c r="AW142" s="10" t="str">
        <f aca="false">IF(A142="","",A142&amp;"_CALC.pdf")</f>
        <v/>
      </c>
      <c r="AX142" s="9"/>
      <c r="AY142" s="9"/>
      <c r="AZ142" s="39"/>
      <c r="BA142" s="39"/>
      <c r="BB142" s="39"/>
      <c r="BC142" s="39"/>
      <c r="BD142" s="39"/>
      <c r="BE142" s="12" t="str">
        <f aca="false">IF(A142="","",IF(COUNTIF(Rebar_Schedule!$A$5:$A$2004,A142)=0,"",ROUND(SUMIF(Rebar_Schedule!$A$5:$A$2004,A142,Rebar_Schedule!$K$5:$K$2004),1)))</f>
        <v/>
      </c>
      <c r="BF142" s="33" t="str">
        <f aca="false">IF(A142="","",IF(BE142="","No rebar schedule yet",IF(ABS(BE142-N(BA142))/MAX(N(BA142),1)&gt;SG_Criteria!$B$55,"NOTE: register rebar differs from schedule by "&amp;TEXT(ABS(BE142-N(BA142))/MAX(N(BA142),1),"0%"),"OK")))</f>
        <v/>
      </c>
      <c r="BG142" s="33" t="str">
        <f aca="false">IF(OR(D142="",F142=""),"",IF(F142&lt;=IF(D142="Soldier Pile &amp; Timber Lagging",SG_Criteria!$B$34,SG_Criteria!$B$33),"No ERSS submission",IF(F142&lt;=SG_Criteria!$B$35,"QP(ST)",IF(F142&lt;=SG_Criteria!$B$36,"QP(ST) + AC","Geotechnical building works: QP(Geo) + AC"))))</f>
        <v/>
      </c>
      <c r="BH142" s="33" t="str">
        <f aca="false">IF(D142="","",IF(LEN(IF(AND(AC142&lt;&gt;"",IFERROR(VALUE(MID(AC142,2,2)),0)&lt;SG_Criteria!$B$19),"FAIL: grade below C"&amp;SG_Criteria!$B$19&amp;". ","")&amp;IF(AND(LEFT(D142,3)="Con",N(I142)&lt;F142,H142="Kallang Formation (marine clay)"),"NOTE: CBP is not watertight below GWT in marine clay; consider secant / grouting. ","")&amp;IF(AND(D142="Steel Sheet Pile",E142="Permanent"),"NOTE: permanent sheet pile needs corrosion allowance. ","")&amp;IF(AND(G142="Cantilever (no support)",F142&gt;6),"NOTE: cantilever embedded wall &gt; 6 m, check deflection. ","")&amp;IF(AND(T142&lt;&gt;"",U142&lt;&gt;"",T142&gt;U142),"FAIL: deflection exceeds allowable. ",""))=0,"OK",IF(AND(AC142&lt;&gt;"",IFERROR(VALUE(MID(AC142,2,2)),0)&lt;SG_Criteria!$B$19),"FAIL: grade below C"&amp;SG_Criteria!$B$19&amp;". ","")&amp;IF(AND(LEFT(D142,3)="Con",N(I142)&lt;F142,H142="Kallang Formation (marine clay)"),"NOTE: CBP is not watertight below GWT in marine clay; consider secant / grouting. ","")&amp;IF(AND(D142="Steel Sheet Pile",E142="Permanent"),"NOTE: permanent sheet pile needs corrosion allowance. ","")&amp;IF(AND(G142="Cantilever (no support)",F142&gt;6),"NOTE: cantilever embedded wall &gt; 6 m, check deflection. ","")&amp;IF(AND(T142&lt;&gt;"",U142&lt;&gt;"",T142&gt;U142),"FAIL: deflection exceeds allowable. ","")))</f>
        <v/>
      </c>
      <c r="BI142" s="9"/>
      <c r="BJ142" s="9"/>
      <c r="BK142" s="9"/>
      <c r="BL142" s="10" t="str">
        <f aca="false">IF(BK142="","",IFERROR(VLOOKUP(BK142,Projects!$A$5:$D$504,2,0),"Ref not in Projects"))</f>
        <v/>
      </c>
      <c r="BM142" s="10" t="str">
        <f aca="false">IF(BK142="","",IFERROR(VLOOKUP(BK142,Projects!$A$5:$D$504,4,0),"Ref not in Projects"))</f>
        <v/>
      </c>
      <c r="BN142" s="9"/>
      <c r="BO142" s="9"/>
      <c r="BP142" s="9"/>
      <c r="BQ142" s="40"/>
      <c r="BR142" s="9"/>
      <c r="BS142" s="40"/>
      <c r="BT142" s="9"/>
      <c r="BU142" s="40"/>
      <c r="BV142" s="9"/>
      <c r="BW142" s="9"/>
      <c r="BX142" s="9"/>
      <c r="BY142" s="40"/>
      <c r="BZ142" s="40"/>
      <c r="CA142" s="36" t="str">
        <f aca="false">IF(BZ142="","",EDATE(BZ142,SG_Criteria!$B$54*12))</f>
        <v/>
      </c>
      <c r="CB142" s="33" t="str">
        <f aca="true">IF(A142="","",IF(BZ142="","NOTE: not reviewed yet",IF(TODAY()&gt;CA142,"NOTE: review overdue","OK")))</f>
        <v/>
      </c>
      <c r="CC142" s="37" t="str">
        <f aca="false">IF(A142="","",ROUND((IF(LEN(D142)&gt;0,1,0)+IF(LEN(E142)&gt;0,1,0)+IF(LEN(F142)&gt;0,1,0)+IF(LEN(G142)&gt;0,1,0)+IF(LEN(H142)&gt;0,1,0)+IF(LEN(I142)&gt;0,1,0)+IF(LEN(K142)&gt;0,1,0)+IF(LEN(N142)&gt;0,1,0)+IF(LEN(O142)&gt;0,1,0)+IF(LEN(T142)&gt;0,1,0)+IF(LEN(U142)&gt;0,1,0)+IF(LEN(V142)&gt;0,1,0)+IF(LEN(AK142)&gt;0,1,0)+IF(LEN(AM142)&gt;0,1,0)+IF(LEN(AN142)&gt;0,1,0)+IF(LEN(AO142)&gt;0,1,0)+IF(LEN(AP142)&gt;0,1,0)+IF(LEN(AY142)&gt;0,1,0)+IF(LEN(BK142)&gt;0,1,0)+IF(LEN(BX142)&gt;0,1,0))/20,2))</f>
        <v/>
      </c>
      <c r="CD142" s="10" t="str">
        <f aca="false">IF(D142="","",IF(AND(AN142="Approved",ISERROR(SEARCH("FAIL",BH142))),"Y","N"))</f>
        <v/>
      </c>
      <c r="CE142" s="10" t="str">
        <f aca="false">IF(D142="","",D142&amp;"|"&amp;F142&amp;"|"&amp;G142&amp;"|"&amp;H142&amp;"|"&amp;E142&amp;"|"&amp;CD142)</f>
        <v/>
      </c>
    </row>
    <row r="143" customFormat="false" ht="15" hidden="false" customHeight="false" outlineLevel="0" collapsed="false">
      <c r="A143" s="10" t="str">
        <f aca="false">IF(D143="","","EW-"&amp;IFERROR(VLOOKUP(D143,Lists!$P$4:$Q$22,2,0),"??")&amp;"-D"&amp;TEXT(F143*1000,"0000")&amp;"-"&amp;IFERROR(VLOOKUP(G143,Lists!$S$4:$T$21,2,0),"??")&amp;"-"&amp;IFERROR(VLOOKUP(H143,Lists!$Y$4:$Z$21,2,0),"??")&amp;"-"&amp;IFERROR(VLOOKUP(E143,Lists!$V$4:$W$16,2,0),"??")&amp;"-"&amp;AM143)</f>
        <v/>
      </c>
      <c r="B143" s="10" t="str">
        <f aca="false">IF(D143="","",E143&amp;" "&amp;D143&amp;", excavation "&amp;TEXT(F143,"0.0")&amp;" m, "&amp;G143&amp;", "&amp;H143&amp;", "&amp;K143)</f>
        <v/>
      </c>
      <c r="C143" s="9"/>
      <c r="D143" s="9"/>
      <c r="E143" s="9"/>
      <c r="F143" s="42"/>
      <c r="G143" s="9"/>
      <c r="H143" s="9"/>
      <c r="I143" s="42"/>
      <c r="J143" s="38"/>
      <c r="K143" s="9"/>
      <c r="L143" s="9"/>
      <c r="M143" s="9"/>
      <c r="N143" s="42"/>
      <c r="O143" s="42"/>
      <c r="P143" s="9"/>
      <c r="Q143" s="9"/>
      <c r="R143" s="9"/>
      <c r="S143" s="9"/>
      <c r="T143" s="38"/>
      <c r="U143" s="38"/>
      <c r="V143" s="38"/>
      <c r="W143" s="38"/>
      <c r="X143" s="38"/>
      <c r="Y143" s="9"/>
      <c r="Z143" s="39"/>
      <c r="AA143" s="9"/>
      <c r="AB143" s="9"/>
      <c r="AC143" s="9"/>
      <c r="AD143" s="9"/>
      <c r="AE143" s="9"/>
      <c r="AF143" s="9"/>
      <c r="AG143" s="9"/>
      <c r="AH143" s="38"/>
      <c r="AI143" s="9"/>
      <c r="AJ143" s="39"/>
      <c r="AK143" s="9"/>
      <c r="AL143" s="9"/>
      <c r="AM143" s="9"/>
      <c r="AN143" s="9"/>
      <c r="AO143" s="9"/>
      <c r="AP143" s="9"/>
      <c r="AQ143" s="9"/>
      <c r="AR143" s="10" t="str">
        <f aca="false">IF(A143="","",SG_Criteria!$B$6&amp;SG_Criteria!$B$9&amp;"\"&amp;A143&amp;"\")</f>
        <v/>
      </c>
      <c r="AS143" s="10" t="str">
        <f aca="false">IF(A143="","",A143&amp;"_CAD.dwg")</f>
        <v/>
      </c>
      <c r="AT143" s="10" t="str">
        <f aca="false">IF(A143="","",A143&amp;"_DWG.pdf")</f>
        <v/>
      </c>
      <c r="AU143" s="10" t="str">
        <f aca="false">IF(A143="","",IF(AQ143="Y",A143&amp;"_STAAD.std","n/a"))</f>
        <v/>
      </c>
      <c r="AV143" s="10" t="str">
        <f aca="false">IF(A143="","",A143&amp;"_CALC.xlsx")</f>
        <v/>
      </c>
      <c r="AW143" s="10" t="str">
        <f aca="false">IF(A143="","",A143&amp;"_CALC.pdf")</f>
        <v/>
      </c>
      <c r="AX143" s="9"/>
      <c r="AY143" s="9"/>
      <c r="AZ143" s="39"/>
      <c r="BA143" s="39"/>
      <c r="BB143" s="39"/>
      <c r="BC143" s="39"/>
      <c r="BD143" s="39"/>
      <c r="BE143" s="12" t="str">
        <f aca="false">IF(A143="","",IF(COUNTIF(Rebar_Schedule!$A$5:$A$2004,A143)=0,"",ROUND(SUMIF(Rebar_Schedule!$A$5:$A$2004,A143,Rebar_Schedule!$K$5:$K$2004),1)))</f>
        <v/>
      </c>
      <c r="BF143" s="33" t="str">
        <f aca="false">IF(A143="","",IF(BE143="","No rebar schedule yet",IF(ABS(BE143-N(BA143))/MAX(N(BA143),1)&gt;SG_Criteria!$B$55,"NOTE: register rebar differs from schedule by "&amp;TEXT(ABS(BE143-N(BA143))/MAX(N(BA143),1),"0%"),"OK")))</f>
        <v/>
      </c>
      <c r="BG143" s="33" t="str">
        <f aca="false">IF(OR(D143="",F143=""),"",IF(F143&lt;=IF(D143="Soldier Pile &amp; Timber Lagging",SG_Criteria!$B$34,SG_Criteria!$B$33),"No ERSS submission",IF(F143&lt;=SG_Criteria!$B$35,"QP(ST)",IF(F143&lt;=SG_Criteria!$B$36,"QP(ST) + AC","Geotechnical building works: QP(Geo) + AC"))))</f>
        <v/>
      </c>
      <c r="BH143" s="33" t="str">
        <f aca="false">IF(D143="","",IF(LEN(IF(AND(AC143&lt;&gt;"",IFERROR(VALUE(MID(AC143,2,2)),0)&lt;SG_Criteria!$B$19),"FAIL: grade below C"&amp;SG_Criteria!$B$19&amp;". ","")&amp;IF(AND(LEFT(D143,3)="Con",N(I143)&lt;F143,H143="Kallang Formation (marine clay)"),"NOTE: CBP is not watertight below GWT in marine clay; consider secant / grouting. ","")&amp;IF(AND(D143="Steel Sheet Pile",E143="Permanent"),"NOTE: permanent sheet pile needs corrosion allowance. ","")&amp;IF(AND(G143="Cantilever (no support)",F143&gt;6),"NOTE: cantilever embedded wall &gt; 6 m, check deflection. ","")&amp;IF(AND(T143&lt;&gt;"",U143&lt;&gt;"",T143&gt;U143),"FAIL: deflection exceeds allowable. ",""))=0,"OK",IF(AND(AC143&lt;&gt;"",IFERROR(VALUE(MID(AC143,2,2)),0)&lt;SG_Criteria!$B$19),"FAIL: grade below C"&amp;SG_Criteria!$B$19&amp;". ","")&amp;IF(AND(LEFT(D143,3)="Con",N(I143)&lt;F143,H143="Kallang Formation (marine clay)"),"NOTE: CBP is not watertight below GWT in marine clay; consider secant / grouting. ","")&amp;IF(AND(D143="Steel Sheet Pile",E143="Permanent"),"NOTE: permanent sheet pile needs corrosion allowance. ","")&amp;IF(AND(G143="Cantilever (no support)",F143&gt;6),"NOTE: cantilever embedded wall &gt; 6 m, check deflection. ","")&amp;IF(AND(T143&lt;&gt;"",U143&lt;&gt;"",T143&gt;U143),"FAIL: deflection exceeds allowable. ","")))</f>
        <v/>
      </c>
      <c r="BI143" s="9"/>
      <c r="BJ143" s="9"/>
      <c r="BK143" s="9"/>
      <c r="BL143" s="10" t="str">
        <f aca="false">IF(BK143="","",IFERROR(VLOOKUP(BK143,Projects!$A$5:$D$504,2,0),"Ref not in Projects"))</f>
        <v/>
      </c>
      <c r="BM143" s="10" t="str">
        <f aca="false">IF(BK143="","",IFERROR(VLOOKUP(BK143,Projects!$A$5:$D$504,4,0),"Ref not in Projects"))</f>
        <v/>
      </c>
      <c r="BN143" s="9"/>
      <c r="BO143" s="9"/>
      <c r="BP143" s="9"/>
      <c r="BQ143" s="40"/>
      <c r="BR143" s="9"/>
      <c r="BS143" s="40"/>
      <c r="BT143" s="9"/>
      <c r="BU143" s="40"/>
      <c r="BV143" s="9"/>
      <c r="BW143" s="9"/>
      <c r="BX143" s="9"/>
      <c r="BY143" s="40"/>
      <c r="BZ143" s="40"/>
      <c r="CA143" s="36" t="str">
        <f aca="false">IF(BZ143="","",EDATE(BZ143,SG_Criteria!$B$54*12))</f>
        <v/>
      </c>
      <c r="CB143" s="33" t="str">
        <f aca="true">IF(A143="","",IF(BZ143="","NOTE: not reviewed yet",IF(TODAY()&gt;CA143,"NOTE: review overdue","OK")))</f>
        <v/>
      </c>
      <c r="CC143" s="37" t="str">
        <f aca="false">IF(A143="","",ROUND((IF(LEN(D143)&gt;0,1,0)+IF(LEN(E143)&gt;0,1,0)+IF(LEN(F143)&gt;0,1,0)+IF(LEN(G143)&gt;0,1,0)+IF(LEN(H143)&gt;0,1,0)+IF(LEN(I143)&gt;0,1,0)+IF(LEN(K143)&gt;0,1,0)+IF(LEN(N143)&gt;0,1,0)+IF(LEN(O143)&gt;0,1,0)+IF(LEN(T143)&gt;0,1,0)+IF(LEN(U143)&gt;0,1,0)+IF(LEN(V143)&gt;0,1,0)+IF(LEN(AK143)&gt;0,1,0)+IF(LEN(AM143)&gt;0,1,0)+IF(LEN(AN143)&gt;0,1,0)+IF(LEN(AO143)&gt;0,1,0)+IF(LEN(AP143)&gt;0,1,0)+IF(LEN(AY143)&gt;0,1,0)+IF(LEN(BK143)&gt;0,1,0)+IF(LEN(BX143)&gt;0,1,0))/20,2))</f>
        <v/>
      </c>
      <c r="CD143" s="10" t="str">
        <f aca="false">IF(D143="","",IF(AND(AN143="Approved",ISERROR(SEARCH("FAIL",BH143))),"Y","N"))</f>
        <v/>
      </c>
      <c r="CE143" s="10" t="str">
        <f aca="false">IF(D143="","",D143&amp;"|"&amp;F143&amp;"|"&amp;G143&amp;"|"&amp;H143&amp;"|"&amp;E143&amp;"|"&amp;CD143)</f>
        <v/>
      </c>
    </row>
    <row r="144" customFormat="false" ht="15" hidden="false" customHeight="false" outlineLevel="0" collapsed="false">
      <c r="A144" s="10" t="str">
        <f aca="false">IF(D144="","","EW-"&amp;IFERROR(VLOOKUP(D144,Lists!$P$4:$Q$22,2,0),"??")&amp;"-D"&amp;TEXT(F144*1000,"0000")&amp;"-"&amp;IFERROR(VLOOKUP(G144,Lists!$S$4:$T$21,2,0),"??")&amp;"-"&amp;IFERROR(VLOOKUP(H144,Lists!$Y$4:$Z$21,2,0),"??")&amp;"-"&amp;IFERROR(VLOOKUP(E144,Lists!$V$4:$W$16,2,0),"??")&amp;"-"&amp;AM144)</f>
        <v/>
      </c>
      <c r="B144" s="10" t="str">
        <f aca="false">IF(D144="","",E144&amp;" "&amp;D144&amp;", excavation "&amp;TEXT(F144,"0.0")&amp;" m, "&amp;G144&amp;", "&amp;H144&amp;", "&amp;K144)</f>
        <v/>
      </c>
      <c r="C144" s="9"/>
      <c r="D144" s="9"/>
      <c r="E144" s="9"/>
      <c r="F144" s="42"/>
      <c r="G144" s="9"/>
      <c r="H144" s="9"/>
      <c r="I144" s="42"/>
      <c r="J144" s="38"/>
      <c r="K144" s="9"/>
      <c r="L144" s="9"/>
      <c r="M144" s="9"/>
      <c r="N144" s="42"/>
      <c r="O144" s="42"/>
      <c r="P144" s="9"/>
      <c r="Q144" s="9"/>
      <c r="R144" s="9"/>
      <c r="S144" s="9"/>
      <c r="T144" s="38"/>
      <c r="U144" s="38"/>
      <c r="V144" s="38"/>
      <c r="W144" s="38"/>
      <c r="X144" s="38"/>
      <c r="Y144" s="9"/>
      <c r="Z144" s="39"/>
      <c r="AA144" s="9"/>
      <c r="AB144" s="9"/>
      <c r="AC144" s="9"/>
      <c r="AD144" s="9"/>
      <c r="AE144" s="9"/>
      <c r="AF144" s="9"/>
      <c r="AG144" s="9"/>
      <c r="AH144" s="38"/>
      <c r="AI144" s="9"/>
      <c r="AJ144" s="39"/>
      <c r="AK144" s="9"/>
      <c r="AL144" s="9"/>
      <c r="AM144" s="9"/>
      <c r="AN144" s="9"/>
      <c r="AO144" s="9"/>
      <c r="AP144" s="9"/>
      <c r="AQ144" s="9"/>
      <c r="AR144" s="10" t="str">
        <f aca="false">IF(A144="","",SG_Criteria!$B$6&amp;SG_Criteria!$B$9&amp;"\"&amp;A144&amp;"\")</f>
        <v/>
      </c>
      <c r="AS144" s="10" t="str">
        <f aca="false">IF(A144="","",A144&amp;"_CAD.dwg")</f>
        <v/>
      </c>
      <c r="AT144" s="10" t="str">
        <f aca="false">IF(A144="","",A144&amp;"_DWG.pdf")</f>
        <v/>
      </c>
      <c r="AU144" s="10" t="str">
        <f aca="false">IF(A144="","",IF(AQ144="Y",A144&amp;"_STAAD.std","n/a"))</f>
        <v/>
      </c>
      <c r="AV144" s="10" t="str">
        <f aca="false">IF(A144="","",A144&amp;"_CALC.xlsx")</f>
        <v/>
      </c>
      <c r="AW144" s="10" t="str">
        <f aca="false">IF(A144="","",A144&amp;"_CALC.pdf")</f>
        <v/>
      </c>
      <c r="AX144" s="9"/>
      <c r="AY144" s="9"/>
      <c r="AZ144" s="39"/>
      <c r="BA144" s="39"/>
      <c r="BB144" s="39"/>
      <c r="BC144" s="39"/>
      <c r="BD144" s="39"/>
      <c r="BE144" s="12" t="str">
        <f aca="false">IF(A144="","",IF(COUNTIF(Rebar_Schedule!$A$5:$A$2004,A144)=0,"",ROUND(SUMIF(Rebar_Schedule!$A$5:$A$2004,A144,Rebar_Schedule!$K$5:$K$2004),1)))</f>
        <v/>
      </c>
      <c r="BF144" s="33" t="str">
        <f aca="false">IF(A144="","",IF(BE144="","No rebar schedule yet",IF(ABS(BE144-N(BA144))/MAX(N(BA144),1)&gt;SG_Criteria!$B$55,"NOTE: register rebar differs from schedule by "&amp;TEXT(ABS(BE144-N(BA144))/MAX(N(BA144),1),"0%"),"OK")))</f>
        <v/>
      </c>
      <c r="BG144" s="33" t="str">
        <f aca="false">IF(OR(D144="",F144=""),"",IF(F144&lt;=IF(D144="Soldier Pile &amp; Timber Lagging",SG_Criteria!$B$34,SG_Criteria!$B$33),"No ERSS submission",IF(F144&lt;=SG_Criteria!$B$35,"QP(ST)",IF(F144&lt;=SG_Criteria!$B$36,"QP(ST) + AC","Geotechnical building works: QP(Geo) + AC"))))</f>
        <v/>
      </c>
      <c r="BH144" s="33" t="str">
        <f aca="false">IF(D144="","",IF(LEN(IF(AND(AC144&lt;&gt;"",IFERROR(VALUE(MID(AC144,2,2)),0)&lt;SG_Criteria!$B$19),"FAIL: grade below C"&amp;SG_Criteria!$B$19&amp;". ","")&amp;IF(AND(LEFT(D144,3)="Con",N(I144)&lt;F144,H144="Kallang Formation (marine clay)"),"NOTE: CBP is not watertight below GWT in marine clay; consider secant / grouting. ","")&amp;IF(AND(D144="Steel Sheet Pile",E144="Permanent"),"NOTE: permanent sheet pile needs corrosion allowance. ","")&amp;IF(AND(G144="Cantilever (no support)",F144&gt;6),"NOTE: cantilever embedded wall &gt; 6 m, check deflection. ","")&amp;IF(AND(T144&lt;&gt;"",U144&lt;&gt;"",T144&gt;U144),"FAIL: deflection exceeds allowable. ",""))=0,"OK",IF(AND(AC144&lt;&gt;"",IFERROR(VALUE(MID(AC144,2,2)),0)&lt;SG_Criteria!$B$19),"FAIL: grade below C"&amp;SG_Criteria!$B$19&amp;". ","")&amp;IF(AND(LEFT(D144,3)="Con",N(I144)&lt;F144,H144="Kallang Formation (marine clay)"),"NOTE: CBP is not watertight below GWT in marine clay; consider secant / grouting. ","")&amp;IF(AND(D144="Steel Sheet Pile",E144="Permanent"),"NOTE: permanent sheet pile needs corrosion allowance. ","")&amp;IF(AND(G144="Cantilever (no support)",F144&gt;6),"NOTE: cantilever embedded wall &gt; 6 m, check deflection. ","")&amp;IF(AND(T144&lt;&gt;"",U144&lt;&gt;"",T144&gt;U144),"FAIL: deflection exceeds allowable. ","")))</f>
        <v/>
      </c>
      <c r="BI144" s="9"/>
      <c r="BJ144" s="9"/>
      <c r="BK144" s="9"/>
      <c r="BL144" s="10" t="str">
        <f aca="false">IF(BK144="","",IFERROR(VLOOKUP(BK144,Projects!$A$5:$D$504,2,0),"Ref not in Projects"))</f>
        <v/>
      </c>
      <c r="BM144" s="10" t="str">
        <f aca="false">IF(BK144="","",IFERROR(VLOOKUP(BK144,Projects!$A$5:$D$504,4,0),"Ref not in Projects"))</f>
        <v/>
      </c>
      <c r="BN144" s="9"/>
      <c r="BO144" s="9"/>
      <c r="BP144" s="9"/>
      <c r="BQ144" s="40"/>
      <c r="BR144" s="9"/>
      <c r="BS144" s="40"/>
      <c r="BT144" s="9"/>
      <c r="BU144" s="40"/>
      <c r="BV144" s="9"/>
      <c r="BW144" s="9"/>
      <c r="BX144" s="9"/>
      <c r="BY144" s="40"/>
      <c r="BZ144" s="40"/>
      <c r="CA144" s="36" t="str">
        <f aca="false">IF(BZ144="","",EDATE(BZ144,SG_Criteria!$B$54*12))</f>
        <v/>
      </c>
      <c r="CB144" s="33" t="str">
        <f aca="true">IF(A144="","",IF(BZ144="","NOTE: not reviewed yet",IF(TODAY()&gt;CA144,"NOTE: review overdue","OK")))</f>
        <v/>
      </c>
      <c r="CC144" s="37" t="str">
        <f aca="false">IF(A144="","",ROUND((IF(LEN(D144)&gt;0,1,0)+IF(LEN(E144)&gt;0,1,0)+IF(LEN(F144)&gt;0,1,0)+IF(LEN(G144)&gt;0,1,0)+IF(LEN(H144)&gt;0,1,0)+IF(LEN(I144)&gt;0,1,0)+IF(LEN(K144)&gt;0,1,0)+IF(LEN(N144)&gt;0,1,0)+IF(LEN(O144)&gt;0,1,0)+IF(LEN(T144)&gt;0,1,0)+IF(LEN(U144)&gt;0,1,0)+IF(LEN(V144)&gt;0,1,0)+IF(LEN(AK144)&gt;0,1,0)+IF(LEN(AM144)&gt;0,1,0)+IF(LEN(AN144)&gt;0,1,0)+IF(LEN(AO144)&gt;0,1,0)+IF(LEN(AP144)&gt;0,1,0)+IF(LEN(AY144)&gt;0,1,0)+IF(LEN(BK144)&gt;0,1,0)+IF(LEN(BX144)&gt;0,1,0))/20,2))</f>
        <v/>
      </c>
      <c r="CD144" s="10" t="str">
        <f aca="false">IF(D144="","",IF(AND(AN144="Approved",ISERROR(SEARCH("FAIL",BH144))),"Y","N"))</f>
        <v/>
      </c>
      <c r="CE144" s="10" t="str">
        <f aca="false">IF(D144="","",D144&amp;"|"&amp;F144&amp;"|"&amp;G144&amp;"|"&amp;H144&amp;"|"&amp;E144&amp;"|"&amp;CD144)</f>
        <v/>
      </c>
    </row>
    <row r="145" customFormat="false" ht="15" hidden="false" customHeight="false" outlineLevel="0" collapsed="false">
      <c r="A145" s="10" t="str">
        <f aca="false">IF(D145="","","EW-"&amp;IFERROR(VLOOKUP(D145,Lists!$P$4:$Q$22,2,0),"??")&amp;"-D"&amp;TEXT(F145*1000,"0000")&amp;"-"&amp;IFERROR(VLOOKUP(G145,Lists!$S$4:$T$21,2,0),"??")&amp;"-"&amp;IFERROR(VLOOKUP(H145,Lists!$Y$4:$Z$21,2,0),"??")&amp;"-"&amp;IFERROR(VLOOKUP(E145,Lists!$V$4:$W$16,2,0),"??")&amp;"-"&amp;AM145)</f>
        <v/>
      </c>
      <c r="B145" s="10" t="str">
        <f aca="false">IF(D145="","",E145&amp;" "&amp;D145&amp;", excavation "&amp;TEXT(F145,"0.0")&amp;" m, "&amp;G145&amp;", "&amp;H145&amp;", "&amp;K145)</f>
        <v/>
      </c>
      <c r="C145" s="9"/>
      <c r="D145" s="9"/>
      <c r="E145" s="9"/>
      <c r="F145" s="42"/>
      <c r="G145" s="9"/>
      <c r="H145" s="9"/>
      <c r="I145" s="42"/>
      <c r="J145" s="38"/>
      <c r="K145" s="9"/>
      <c r="L145" s="9"/>
      <c r="M145" s="9"/>
      <c r="N145" s="42"/>
      <c r="O145" s="42"/>
      <c r="P145" s="9"/>
      <c r="Q145" s="9"/>
      <c r="R145" s="9"/>
      <c r="S145" s="9"/>
      <c r="T145" s="38"/>
      <c r="U145" s="38"/>
      <c r="V145" s="38"/>
      <c r="W145" s="38"/>
      <c r="X145" s="38"/>
      <c r="Y145" s="9"/>
      <c r="Z145" s="39"/>
      <c r="AA145" s="9"/>
      <c r="AB145" s="9"/>
      <c r="AC145" s="9"/>
      <c r="AD145" s="9"/>
      <c r="AE145" s="9"/>
      <c r="AF145" s="9"/>
      <c r="AG145" s="9"/>
      <c r="AH145" s="38"/>
      <c r="AI145" s="9"/>
      <c r="AJ145" s="39"/>
      <c r="AK145" s="9"/>
      <c r="AL145" s="9"/>
      <c r="AM145" s="9"/>
      <c r="AN145" s="9"/>
      <c r="AO145" s="9"/>
      <c r="AP145" s="9"/>
      <c r="AQ145" s="9"/>
      <c r="AR145" s="10" t="str">
        <f aca="false">IF(A145="","",SG_Criteria!$B$6&amp;SG_Criteria!$B$9&amp;"\"&amp;A145&amp;"\")</f>
        <v/>
      </c>
      <c r="AS145" s="10" t="str">
        <f aca="false">IF(A145="","",A145&amp;"_CAD.dwg")</f>
        <v/>
      </c>
      <c r="AT145" s="10" t="str">
        <f aca="false">IF(A145="","",A145&amp;"_DWG.pdf")</f>
        <v/>
      </c>
      <c r="AU145" s="10" t="str">
        <f aca="false">IF(A145="","",IF(AQ145="Y",A145&amp;"_STAAD.std","n/a"))</f>
        <v/>
      </c>
      <c r="AV145" s="10" t="str">
        <f aca="false">IF(A145="","",A145&amp;"_CALC.xlsx")</f>
        <v/>
      </c>
      <c r="AW145" s="10" t="str">
        <f aca="false">IF(A145="","",A145&amp;"_CALC.pdf")</f>
        <v/>
      </c>
      <c r="AX145" s="9"/>
      <c r="AY145" s="9"/>
      <c r="AZ145" s="39"/>
      <c r="BA145" s="39"/>
      <c r="BB145" s="39"/>
      <c r="BC145" s="39"/>
      <c r="BD145" s="39"/>
      <c r="BE145" s="12" t="str">
        <f aca="false">IF(A145="","",IF(COUNTIF(Rebar_Schedule!$A$5:$A$2004,A145)=0,"",ROUND(SUMIF(Rebar_Schedule!$A$5:$A$2004,A145,Rebar_Schedule!$K$5:$K$2004),1)))</f>
        <v/>
      </c>
      <c r="BF145" s="33" t="str">
        <f aca="false">IF(A145="","",IF(BE145="","No rebar schedule yet",IF(ABS(BE145-N(BA145))/MAX(N(BA145),1)&gt;SG_Criteria!$B$55,"NOTE: register rebar differs from schedule by "&amp;TEXT(ABS(BE145-N(BA145))/MAX(N(BA145),1),"0%"),"OK")))</f>
        <v/>
      </c>
      <c r="BG145" s="33" t="str">
        <f aca="false">IF(OR(D145="",F145=""),"",IF(F145&lt;=IF(D145="Soldier Pile &amp; Timber Lagging",SG_Criteria!$B$34,SG_Criteria!$B$33),"No ERSS submission",IF(F145&lt;=SG_Criteria!$B$35,"QP(ST)",IF(F145&lt;=SG_Criteria!$B$36,"QP(ST) + AC","Geotechnical building works: QP(Geo) + AC"))))</f>
        <v/>
      </c>
      <c r="BH145" s="33" t="str">
        <f aca="false">IF(D145="","",IF(LEN(IF(AND(AC145&lt;&gt;"",IFERROR(VALUE(MID(AC145,2,2)),0)&lt;SG_Criteria!$B$19),"FAIL: grade below C"&amp;SG_Criteria!$B$19&amp;". ","")&amp;IF(AND(LEFT(D145,3)="Con",N(I145)&lt;F145,H145="Kallang Formation (marine clay)"),"NOTE: CBP is not watertight below GWT in marine clay; consider secant / grouting. ","")&amp;IF(AND(D145="Steel Sheet Pile",E145="Permanent"),"NOTE: permanent sheet pile needs corrosion allowance. ","")&amp;IF(AND(G145="Cantilever (no support)",F145&gt;6),"NOTE: cantilever embedded wall &gt; 6 m, check deflection. ","")&amp;IF(AND(T145&lt;&gt;"",U145&lt;&gt;"",T145&gt;U145),"FAIL: deflection exceeds allowable. ",""))=0,"OK",IF(AND(AC145&lt;&gt;"",IFERROR(VALUE(MID(AC145,2,2)),0)&lt;SG_Criteria!$B$19),"FAIL: grade below C"&amp;SG_Criteria!$B$19&amp;". ","")&amp;IF(AND(LEFT(D145,3)="Con",N(I145)&lt;F145,H145="Kallang Formation (marine clay)"),"NOTE: CBP is not watertight below GWT in marine clay; consider secant / grouting. ","")&amp;IF(AND(D145="Steel Sheet Pile",E145="Permanent"),"NOTE: permanent sheet pile needs corrosion allowance. ","")&amp;IF(AND(G145="Cantilever (no support)",F145&gt;6),"NOTE: cantilever embedded wall &gt; 6 m, check deflection. ","")&amp;IF(AND(T145&lt;&gt;"",U145&lt;&gt;"",T145&gt;U145),"FAIL: deflection exceeds allowable. ","")))</f>
        <v/>
      </c>
      <c r="BI145" s="9"/>
      <c r="BJ145" s="9"/>
      <c r="BK145" s="9"/>
      <c r="BL145" s="10" t="str">
        <f aca="false">IF(BK145="","",IFERROR(VLOOKUP(BK145,Projects!$A$5:$D$504,2,0),"Ref not in Projects"))</f>
        <v/>
      </c>
      <c r="BM145" s="10" t="str">
        <f aca="false">IF(BK145="","",IFERROR(VLOOKUP(BK145,Projects!$A$5:$D$504,4,0),"Ref not in Projects"))</f>
        <v/>
      </c>
      <c r="BN145" s="9"/>
      <c r="BO145" s="9"/>
      <c r="BP145" s="9"/>
      <c r="BQ145" s="40"/>
      <c r="BR145" s="9"/>
      <c r="BS145" s="40"/>
      <c r="BT145" s="9"/>
      <c r="BU145" s="40"/>
      <c r="BV145" s="9"/>
      <c r="BW145" s="9"/>
      <c r="BX145" s="9"/>
      <c r="BY145" s="40"/>
      <c r="BZ145" s="40"/>
      <c r="CA145" s="36" t="str">
        <f aca="false">IF(BZ145="","",EDATE(BZ145,SG_Criteria!$B$54*12))</f>
        <v/>
      </c>
      <c r="CB145" s="33" t="str">
        <f aca="true">IF(A145="","",IF(BZ145="","NOTE: not reviewed yet",IF(TODAY()&gt;CA145,"NOTE: review overdue","OK")))</f>
        <v/>
      </c>
      <c r="CC145" s="37" t="str">
        <f aca="false">IF(A145="","",ROUND((IF(LEN(D145)&gt;0,1,0)+IF(LEN(E145)&gt;0,1,0)+IF(LEN(F145)&gt;0,1,0)+IF(LEN(G145)&gt;0,1,0)+IF(LEN(H145)&gt;0,1,0)+IF(LEN(I145)&gt;0,1,0)+IF(LEN(K145)&gt;0,1,0)+IF(LEN(N145)&gt;0,1,0)+IF(LEN(O145)&gt;0,1,0)+IF(LEN(T145)&gt;0,1,0)+IF(LEN(U145)&gt;0,1,0)+IF(LEN(V145)&gt;0,1,0)+IF(LEN(AK145)&gt;0,1,0)+IF(LEN(AM145)&gt;0,1,0)+IF(LEN(AN145)&gt;0,1,0)+IF(LEN(AO145)&gt;0,1,0)+IF(LEN(AP145)&gt;0,1,0)+IF(LEN(AY145)&gt;0,1,0)+IF(LEN(BK145)&gt;0,1,0)+IF(LEN(BX145)&gt;0,1,0))/20,2))</f>
        <v/>
      </c>
      <c r="CD145" s="10" t="str">
        <f aca="false">IF(D145="","",IF(AND(AN145="Approved",ISERROR(SEARCH("FAIL",BH145))),"Y","N"))</f>
        <v/>
      </c>
      <c r="CE145" s="10" t="str">
        <f aca="false">IF(D145="","",D145&amp;"|"&amp;F145&amp;"|"&amp;G145&amp;"|"&amp;H145&amp;"|"&amp;E145&amp;"|"&amp;CD145)</f>
        <v/>
      </c>
    </row>
    <row r="146" customFormat="false" ht="15" hidden="false" customHeight="false" outlineLevel="0" collapsed="false">
      <c r="A146" s="10" t="str">
        <f aca="false">IF(D146="","","EW-"&amp;IFERROR(VLOOKUP(D146,Lists!$P$4:$Q$22,2,0),"??")&amp;"-D"&amp;TEXT(F146*1000,"0000")&amp;"-"&amp;IFERROR(VLOOKUP(G146,Lists!$S$4:$T$21,2,0),"??")&amp;"-"&amp;IFERROR(VLOOKUP(H146,Lists!$Y$4:$Z$21,2,0),"??")&amp;"-"&amp;IFERROR(VLOOKUP(E146,Lists!$V$4:$W$16,2,0),"??")&amp;"-"&amp;AM146)</f>
        <v/>
      </c>
      <c r="B146" s="10" t="str">
        <f aca="false">IF(D146="","",E146&amp;" "&amp;D146&amp;", excavation "&amp;TEXT(F146,"0.0")&amp;" m, "&amp;G146&amp;", "&amp;H146&amp;", "&amp;K146)</f>
        <v/>
      </c>
      <c r="C146" s="9"/>
      <c r="D146" s="9"/>
      <c r="E146" s="9"/>
      <c r="F146" s="42"/>
      <c r="G146" s="9"/>
      <c r="H146" s="9"/>
      <c r="I146" s="42"/>
      <c r="J146" s="38"/>
      <c r="K146" s="9"/>
      <c r="L146" s="9"/>
      <c r="M146" s="9"/>
      <c r="N146" s="42"/>
      <c r="O146" s="42"/>
      <c r="P146" s="9"/>
      <c r="Q146" s="9"/>
      <c r="R146" s="9"/>
      <c r="S146" s="9"/>
      <c r="T146" s="38"/>
      <c r="U146" s="38"/>
      <c r="V146" s="38"/>
      <c r="W146" s="38"/>
      <c r="X146" s="38"/>
      <c r="Y146" s="9"/>
      <c r="Z146" s="39"/>
      <c r="AA146" s="9"/>
      <c r="AB146" s="9"/>
      <c r="AC146" s="9"/>
      <c r="AD146" s="9"/>
      <c r="AE146" s="9"/>
      <c r="AF146" s="9"/>
      <c r="AG146" s="9"/>
      <c r="AH146" s="38"/>
      <c r="AI146" s="9"/>
      <c r="AJ146" s="39"/>
      <c r="AK146" s="9"/>
      <c r="AL146" s="9"/>
      <c r="AM146" s="9"/>
      <c r="AN146" s="9"/>
      <c r="AO146" s="9"/>
      <c r="AP146" s="9"/>
      <c r="AQ146" s="9"/>
      <c r="AR146" s="10" t="str">
        <f aca="false">IF(A146="","",SG_Criteria!$B$6&amp;SG_Criteria!$B$9&amp;"\"&amp;A146&amp;"\")</f>
        <v/>
      </c>
      <c r="AS146" s="10" t="str">
        <f aca="false">IF(A146="","",A146&amp;"_CAD.dwg")</f>
        <v/>
      </c>
      <c r="AT146" s="10" t="str">
        <f aca="false">IF(A146="","",A146&amp;"_DWG.pdf")</f>
        <v/>
      </c>
      <c r="AU146" s="10" t="str">
        <f aca="false">IF(A146="","",IF(AQ146="Y",A146&amp;"_STAAD.std","n/a"))</f>
        <v/>
      </c>
      <c r="AV146" s="10" t="str">
        <f aca="false">IF(A146="","",A146&amp;"_CALC.xlsx")</f>
        <v/>
      </c>
      <c r="AW146" s="10" t="str">
        <f aca="false">IF(A146="","",A146&amp;"_CALC.pdf")</f>
        <v/>
      </c>
      <c r="AX146" s="9"/>
      <c r="AY146" s="9"/>
      <c r="AZ146" s="39"/>
      <c r="BA146" s="39"/>
      <c r="BB146" s="39"/>
      <c r="BC146" s="39"/>
      <c r="BD146" s="39"/>
      <c r="BE146" s="12" t="str">
        <f aca="false">IF(A146="","",IF(COUNTIF(Rebar_Schedule!$A$5:$A$2004,A146)=0,"",ROUND(SUMIF(Rebar_Schedule!$A$5:$A$2004,A146,Rebar_Schedule!$K$5:$K$2004),1)))</f>
        <v/>
      </c>
      <c r="BF146" s="33" t="str">
        <f aca="false">IF(A146="","",IF(BE146="","No rebar schedule yet",IF(ABS(BE146-N(BA146))/MAX(N(BA146),1)&gt;SG_Criteria!$B$55,"NOTE: register rebar differs from schedule by "&amp;TEXT(ABS(BE146-N(BA146))/MAX(N(BA146),1),"0%"),"OK")))</f>
        <v/>
      </c>
      <c r="BG146" s="33" t="str">
        <f aca="false">IF(OR(D146="",F146=""),"",IF(F146&lt;=IF(D146="Soldier Pile &amp; Timber Lagging",SG_Criteria!$B$34,SG_Criteria!$B$33),"No ERSS submission",IF(F146&lt;=SG_Criteria!$B$35,"QP(ST)",IF(F146&lt;=SG_Criteria!$B$36,"QP(ST) + AC","Geotechnical building works: QP(Geo) + AC"))))</f>
        <v/>
      </c>
      <c r="BH146" s="33" t="str">
        <f aca="false">IF(D146="","",IF(LEN(IF(AND(AC146&lt;&gt;"",IFERROR(VALUE(MID(AC146,2,2)),0)&lt;SG_Criteria!$B$19),"FAIL: grade below C"&amp;SG_Criteria!$B$19&amp;". ","")&amp;IF(AND(LEFT(D146,3)="Con",N(I146)&lt;F146,H146="Kallang Formation (marine clay)"),"NOTE: CBP is not watertight below GWT in marine clay; consider secant / grouting. ","")&amp;IF(AND(D146="Steel Sheet Pile",E146="Permanent"),"NOTE: permanent sheet pile needs corrosion allowance. ","")&amp;IF(AND(G146="Cantilever (no support)",F146&gt;6),"NOTE: cantilever embedded wall &gt; 6 m, check deflection. ","")&amp;IF(AND(T146&lt;&gt;"",U146&lt;&gt;"",T146&gt;U146),"FAIL: deflection exceeds allowable. ",""))=0,"OK",IF(AND(AC146&lt;&gt;"",IFERROR(VALUE(MID(AC146,2,2)),0)&lt;SG_Criteria!$B$19),"FAIL: grade below C"&amp;SG_Criteria!$B$19&amp;". ","")&amp;IF(AND(LEFT(D146,3)="Con",N(I146)&lt;F146,H146="Kallang Formation (marine clay)"),"NOTE: CBP is not watertight below GWT in marine clay; consider secant / grouting. ","")&amp;IF(AND(D146="Steel Sheet Pile",E146="Permanent"),"NOTE: permanent sheet pile needs corrosion allowance. ","")&amp;IF(AND(G146="Cantilever (no support)",F146&gt;6),"NOTE: cantilever embedded wall &gt; 6 m, check deflection. ","")&amp;IF(AND(T146&lt;&gt;"",U146&lt;&gt;"",T146&gt;U146),"FAIL: deflection exceeds allowable. ","")))</f>
        <v/>
      </c>
      <c r="BI146" s="9"/>
      <c r="BJ146" s="9"/>
      <c r="BK146" s="9"/>
      <c r="BL146" s="10" t="str">
        <f aca="false">IF(BK146="","",IFERROR(VLOOKUP(BK146,Projects!$A$5:$D$504,2,0),"Ref not in Projects"))</f>
        <v/>
      </c>
      <c r="BM146" s="10" t="str">
        <f aca="false">IF(BK146="","",IFERROR(VLOOKUP(BK146,Projects!$A$5:$D$504,4,0),"Ref not in Projects"))</f>
        <v/>
      </c>
      <c r="BN146" s="9"/>
      <c r="BO146" s="9"/>
      <c r="BP146" s="9"/>
      <c r="BQ146" s="40"/>
      <c r="BR146" s="9"/>
      <c r="BS146" s="40"/>
      <c r="BT146" s="9"/>
      <c r="BU146" s="40"/>
      <c r="BV146" s="9"/>
      <c r="BW146" s="9"/>
      <c r="BX146" s="9"/>
      <c r="BY146" s="40"/>
      <c r="BZ146" s="40"/>
      <c r="CA146" s="36" t="str">
        <f aca="false">IF(BZ146="","",EDATE(BZ146,SG_Criteria!$B$54*12))</f>
        <v/>
      </c>
      <c r="CB146" s="33" t="str">
        <f aca="true">IF(A146="","",IF(BZ146="","NOTE: not reviewed yet",IF(TODAY()&gt;CA146,"NOTE: review overdue","OK")))</f>
        <v/>
      </c>
      <c r="CC146" s="37" t="str">
        <f aca="false">IF(A146="","",ROUND((IF(LEN(D146)&gt;0,1,0)+IF(LEN(E146)&gt;0,1,0)+IF(LEN(F146)&gt;0,1,0)+IF(LEN(G146)&gt;0,1,0)+IF(LEN(H146)&gt;0,1,0)+IF(LEN(I146)&gt;0,1,0)+IF(LEN(K146)&gt;0,1,0)+IF(LEN(N146)&gt;0,1,0)+IF(LEN(O146)&gt;0,1,0)+IF(LEN(T146)&gt;0,1,0)+IF(LEN(U146)&gt;0,1,0)+IF(LEN(V146)&gt;0,1,0)+IF(LEN(AK146)&gt;0,1,0)+IF(LEN(AM146)&gt;0,1,0)+IF(LEN(AN146)&gt;0,1,0)+IF(LEN(AO146)&gt;0,1,0)+IF(LEN(AP146)&gt;0,1,0)+IF(LEN(AY146)&gt;0,1,0)+IF(LEN(BK146)&gt;0,1,0)+IF(LEN(BX146)&gt;0,1,0))/20,2))</f>
        <v/>
      </c>
      <c r="CD146" s="10" t="str">
        <f aca="false">IF(D146="","",IF(AND(AN146="Approved",ISERROR(SEARCH("FAIL",BH146))),"Y","N"))</f>
        <v/>
      </c>
      <c r="CE146" s="10" t="str">
        <f aca="false">IF(D146="","",D146&amp;"|"&amp;F146&amp;"|"&amp;G146&amp;"|"&amp;H146&amp;"|"&amp;E146&amp;"|"&amp;CD146)</f>
        <v/>
      </c>
    </row>
    <row r="147" customFormat="false" ht="15" hidden="false" customHeight="false" outlineLevel="0" collapsed="false">
      <c r="A147" s="10" t="str">
        <f aca="false">IF(D147="","","EW-"&amp;IFERROR(VLOOKUP(D147,Lists!$P$4:$Q$22,2,0),"??")&amp;"-D"&amp;TEXT(F147*1000,"0000")&amp;"-"&amp;IFERROR(VLOOKUP(G147,Lists!$S$4:$T$21,2,0),"??")&amp;"-"&amp;IFERROR(VLOOKUP(H147,Lists!$Y$4:$Z$21,2,0),"??")&amp;"-"&amp;IFERROR(VLOOKUP(E147,Lists!$V$4:$W$16,2,0),"??")&amp;"-"&amp;AM147)</f>
        <v/>
      </c>
      <c r="B147" s="10" t="str">
        <f aca="false">IF(D147="","",E147&amp;" "&amp;D147&amp;", excavation "&amp;TEXT(F147,"0.0")&amp;" m, "&amp;G147&amp;", "&amp;H147&amp;", "&amp;K147)</f>
        <v/>
      </c>
      <c r="C147" s="9"/>
      <c r="D147" s="9"/>
      <c r="E147" s="9"/>
      <c r="F147" s="42"/>
      <c r="G147" s="9"/>
      <c r="H147" s="9"/>
      <c r="I147" s="42"/>
      <c r="J147" s="38"/>
      <c r="K147" s="9"/>
      <c r="L147" s="9"/>
      <c r="M147" s="9"/>
      <c r="N147" s="42"/>
      <c r="O147" s="42"/>
      <c r="P147" s="9"/>
      <c r="Q147" s="9"/>
      <c r="R147" s="9"/>
      <c r="S147" s="9"/>
      <c r="T147" s="38"/>
      <c r="U147" s="38"/>
      <c r="V147" s="38"/>
      <c r="W147" s="38"/>
      <c r="X147" s="38"/>
      <c r="Y147" s="9"/>
      <c r="Z147" s="39"/>
      <c r="AA147" s="9"/>
      <c r="AB147" s="9"/>
      <c r="AC147" s="9"/>
      <c r="AD147" s="9"/>
      <c r="AE147" s="9"/>
      <c r="AF147" s="9"/>
      <c r="AG147" s="9"/>
      <c r="AH147" s="38"/>
      <c r="AI147" s="9"/>
      <c r="AJ147" s="39"/>
      <c r="AK147" s="9"/>
      <c r="AL147" s="9"/>
      <c r="AM147" s="9"/>
      <c r="AN147" s="9"/>
      <c r="AO147" s="9"/>
      <c r="AP147" s="9"/>
      <c r="AQ147" s="9"/>
      <c r="AR147" s="10" t="str">
        <f aca="false">IF(A147="","",SG_Criteria!$B$6&amp;SG_Criteria!$B$9&amp;"\"&amp;A147&amp;"\")</f>
        <v/>
      </c>
      <c r="AS147" s="10" t="str">
        <f aca="false">IF(A147="","",A147&amp;"_CAD.dwg")</f>
        <v/>
      </c>
      <c r="AT147" s="10" t="str">
        <f aca="false">IF(A147="","",A147&amp;"_DWG.pdf")</f>
        <v/>
      </c>
      <c r="AU147" s="10" t="str">
        <f aca="false">IF(A147="","",IF(AQ147="Y",A147&amp;"_STAAD.std","n/a"))</f>
        <v/>
      </c>
      <c r="AV147" s="10" t="str">
        <f aca="false">IF(A147="","",A147&amp;"_CALC.xlsx")</f>
        <v/>
      </c>
      <c r="AW147" s="10" t="str">
        <f aca="false">IF(A147="","",A147&amp;"_CALC.pdf")</f>
        <v/>
      </c>
      <c r="AX147" s="9"/>
      <c r="AY147" s="9"/>
      <c r="AZ147" s="39"/>
      <c r="BA147" s="39"/>
      <c r="BB147" s="39"/>
      <c r="BC147" s="39"/>
      <c r="BD147" s="39"/>
      <c r="BE147" s="12" t="str">
        <f aca="false">IF(A147="","",IF(COUNTIF(Rebar_Schedule!$A$5:$A$2004,A147)=0,"",ROUND(SUMIF(Rebar_Schedule!$A$5:$A$2004,A147,Rebar_Schedule!$K$5:$K$2004),1)))</f>
        <v/>
      </c>
      <c r="BF147" s="33" t="str">
        <f aca="false">IF(A147="","",IF(BE147="","No rebar schedule yet",IF(ABS(BE147-N(BA147))/MAX(N(BA147),1)&gt;SG_Criteria!$B$55,"NOTE: register rebar differs from schedule by "&amp;TEXT(ABS(BE147-N(BA147))/MAX(N(BA147),1),"0%"),"OK")))</f>
        <v/>
      </c>
      <c r="BG147" s="33" t="str">
        <f aca="false">IF(OR(D147="",F147=""),"",IF(F147&lt;=IF(D147="Soldier Pile &amp; Timber Lagging",SG_Criteria!$B$34,SG_Criteria!$B$33),"No ERSS submission",IF(F147&lt;=SG_Criteria!$B$35,"QP(ST)",IF(F147&lt;=SG_Criteria!$B$36,"QP(ST) + AC","Geotechnical building works: QP(Geo) + AC"))))</f>
        <v/>
      </c>
      <c r="BH147" s="33" t="str">
        <f aca="false">IF(D147="","",IF(LEN(IF(AND(AC147&lt;&gt;"",IFERROR(VALUE(MID(AC147,2,2)),0)&lt;SG_Criteria!$B$19),"FAIL: grade below C"&amp;SG_Criteria!$B$19&amp;". ","")&amp;IF(AND(LEFT(D147,3)="Con",N(I147)&lt;F147,H147="Kallang Formation (marine clay)"),"NOTE: CBP is not watertight below GWT in marine clay; consider secant / grouting. ","")&amp;IF(AND(D147="Steel Sheet Pile",E147="Permanent"),"NOTE: permanent sheet pile needs corrosion allowance. ","")&amp;IF(AND(G147="Cantilever (no support)",F147&gt;6),"NOTE: cantilever embedded wall &gt; 6 m, check deflection. ","")&amp;IF(AND(T147&lt;&gt;"",U147&lt;&gt;"",T147&gt;U147),"FAIL: deflection exceeds allowable. ",""))=0,"OK",IF(AND(AC147&lt;&gt;"",IFERROR(VALUE(MID(AC147,2,2)),0)&lt;SG_Criteria!$B$19),"FAIL: grade below C"&amp;SG_Criteria!$B$19&amp;". ","")&amp;IF(AND(LEFT(D147,3)="Con",N(I147)&lt;F147,H147="Kallang Formation (marine clay)"),"NOTE: CBP is not watertight below GWT in marine clay; consider secant / grouting. ","")&amp;IF(AND(D147="Steel Sheet Pile",E147="Permanent"),"NOTE: permanent sheet pile needs corrosion allowance. ","")&amp;IF(AND(G147="Cantilever (no support)",F147&gt;6),"NOTE: cantilever embedded wall &gt; 6 m, check deflection. ","")&amp;IF(AND(T147&lt;&gt;"",U147&lt;&gt;"",T147&gt;U147),"FAIL: deflection exceeds allowable. ","")))</f>
        <v/>
      </c>
      <c r="BI147" s="9"/>
      <c r="BJ147" s="9"/>
      <c r="BK147" s="9"/>
      <c r="BL147" s="10" t="str">
        <f aca="false">IF(BK147="","",IFERROR(VLOOKUP(BK147,Projects!$A$5:$D$504,2,0),"Ref not in Projects"))</f>
        <v/>
      </c>
      <c r="BM147" s="10" t="str">
        <f aca="false">IF(BK147="","",IFERROR(VLOOKUP(BK147,Projects!$A$5:$D$504,4,0),"Ref not in Projects"))</f>
        <v/>
      </c>
      <c r="BN147" s="9"/>
      <c r="BO147" s="9"/>
      <c r="BP147" s="9"/>
      <c r="BQ147" s="40"/>
      <c r="BR147" s="9"/>
      <c r="BS147" s="40"/>
      <c r="BT147" s="9"/>
      <c r="BU147" s="40"/>
      <c r="BV147" s="9"/>
      <c r="BW147" s="9"/>
      <c r="BX147" s="9"/>
      <c r="BY147" s="40"/>
      <c r="BZ147" s="40"/>
      <c r="CA147" s="36" t="str">
        <f aca="false">IF(BZ147="","",EDATE(BZ147,SG_Criteria!$B$54*12))</f>
        <v/>
      </c>
      <c r="CB147" s="33" t="str">
        <f aca="true">IF(A147="","",IF(BZ147="","NOTE: not reviewed yet",IF(TODAY()&gt;CA147,"NOTE: review overdue","OK")))</f>
        <v/>
      </c>
      <c r="CC147" s="37" t="str">
        <f aca="false">IF(A147="","",ROUND((IF(LEN(D147)&gt;0,1,0)+IF(LEN(E147)&gt;0,1,0)+IF(LEN(F147)&gt;0,1,0)+IF(LEN(G147)&gt;0,1,0)+IF(LEN(H147)&gt;0,1,0)+IF(LEN(I147)&gt;0,1,0)+IF(LEN(K147)&gt;0,1,0)+IF(LEN(N147)&gt;0,1,0)+IF(LEN(O147)&gt;0,1,0)+IF(LEN(T147)&gt;0,1,0)+IF(LEN(U147)&gt;0,1,0)+IF(LEN(V147)&gt;0,1,0)+IF(LEN(AK147)&gt;0,1,0)+IF(LEN(AM147)&gt;0,1,0)+IF(LEN(AN147)&gt;0,1,0)+IF(LEN(AO147)&gt;0,1,0)+IF(LEN(AP147)&gt;0,1,0)+IF(LEN(AY147)&gt;0,1,0)+IF(LEN(BK147)&gt;0,1,0)+IF(LEN(BX147)&gt;0,1,0))/20,2))</f>
        <v/>
      </c>
      <c r="CD147" s="10" t="str">
        <f aca="false">IF(D147="","",IF(AND(AN147="Approved",ISERROR(SEARCH("FAIL",BH147))),"Y","N"))</f>
        <v/>
      </c>
      <c r="CE147" s="10" t="str">
        <f aca="false">IF(D147="","",D147&amp;"|"&amp;F147&amp;"|"&amp;G147&amp;"|"&amp;H147&amp;"|"&amp;E147&amp;"|"&amp;CD147)</f>
        <v/>
      </c>
    </row>
    <row r="148" customFormat="false" ht="15" hidden="false" customHeight="false" outlineLevel="0" collapsed="false">
      <c r="A148" s="10" t="str">
        <f aca="false">IF(D148="","","EW-"&amp;IFERROR(VLOOKUP(D148,Lists!$P$4:$Q$22,2,0),"??")&amp;"-D"&amp;TEXT(F148*1000,"0000")&amp;"-"&amp;IFERROR(VLOOKUP(G148,Lists!$S$4:$T$21,2,0),"??")&amp;"-"&amp;IFERROR(VLOOKUP(H148,Lists!$Y$4:$Z$21,2,0),"??")&amp;"-"&amp;IFERROR(VLOOKUP(E148,Lists!$V$4:$W$16,2,0),"??")&amp;"-"&amp;AM148)</f>
        <v/>
      </c>
      <c r="B148" s="10" t="str">
        <f aca="false">IF(D148="","",E148&amp;" "&amp;D148&amp;", excavation "&amp;TEXT(F148,"0.0")&amp;" m, "&amp;G148&amp;", "&amp;H148&amp;", "&amp;K148)</f>
        <v/>
      </c>
      <c r="C148" s="9"/>
      <c r="D148" s="9"/>
      <c r="E148" s="9"/>
      <c r="F148" s="42"/>
      <c r="G148" s="9"/>
      <c r="H148" s="9"/>
      <c r="I148" s="42"/>
      <c r="J148" s="38"/>
      <c r="K148" s="9"/>
      <c r="L148" s="9"/>
      <c r="M148" s="9"/>
      <c r="N148" s="42"/>
      <c r="O148" s="42"/>
      <c r="P148" s="9"/>
      <c r="Q148" s="9"/>
      <c r="R148" s="9"/>
      <c r="S148" s="9"/>
      <c r="T148" s="38"/>
      <c r="U148" s="38"/>
      <c r="V148" s="38"/>
      <c r="W148" s="38"/>
      <c r="X148" s="38"/>
      <c r="Y148" s="9"/>
      <c r="Z148" s="39"/>
      <c r="AA148" s="9"/>
      <c r="AB148" s="9"/>
      <c r="AC148" s="9"/>
      <c r="AD148" s="9"/>
      <c r="AE148" s="9"/>
      <c r="AF148" s="9"/>
      <c r="AG148" s="9"/>
      <c r="AH148" s="38"/>
      <c r="AI148" s="9"/>
      <c r="AJ148" s="39"/>
      <c r="AK148" s="9"/>
      <c r="AL148" s="9"/>
      <c r="AM148" s="9"/>
      <c r="AN148" s="9"/>
      <c r="AO148" s="9"/>
      <c r="AP148" s="9"/>
      <c r="AQ148" s="9"/>
      <c r="AR148" s="10" t="str">
        <f aca="false">IF(A148="","",SG_Criteria!$B$6&amp;SG_Criteria!$B$9&amp;"\"&amp;A148&amp;"\")</f>
        <v/>
      </c>
      <c r="AS148" s="10" t="str">
        <f aca="false">IF(A148="","",A148&amp;"_CAD.dwg")</f>
        <v/>
      </c>
      <c r="AT148" s="10" t="str">
        <f aca="false">IF(A148="","",A148&amp;"_DWG.pdf")</f>
        <v/>
      </c>
      <c r="AU148" s="10" t="str">
        <f aca="false">IF(A148="","",IF(AQ148="Y",A148&amp;"_STAAD.std","n/a"))</f>
        <v/>
      </c>
      <c r="AV148" s="10" t="str">
        <f aca="false">IF(A148="","",A148&amp;"_CALC.xlsx")</f>
        <v/>
      </c>
      <c r="AW148" s="10" t="str">
        <f aca="false">IF(A148="","",A148&amp;"_CALC.pdf")</f>
        <v/>
      </c>
      <c r="AX148" s="9"/>
      <c r="AY148" s="9"/>
      <c r="AZ148" s="39"/>
      <c r="BA148" s="39"/>
      <c r="BB148" s="39"/>
      <c r="BC148" s="39"/>
      <c r="BD148" s="39"/>
      <c r="BE148" s="12" t="str">
        <f aca="false">IF(A148="","",IF(COUNTIF(Rebar_Schedule!$A$5:$A$2004,A148)=0,"",ROUND(SUMIF(Rebar_Schedule!$A$5:$A$2004,A148,Rebar_Schedule!$K$5:$K$2004),1)))</f>
        <v/>
      </c>
      <c r="BF148" s="33" t="str">
        <f aca="false">IF(A148="","",IF(BE148="","No rebar schedule yet",IF(ABS(BE148-N(BA148))/MAX(N(BA148),1)&gt;SG_Criteria!$B$55,"NOTE: register rebar differs from schedule by "&amp;TEXT(ABS(BE148-N(BA148))/MAX(N(BA148),1),"0%"),"OK")))</f>
        <v/>
      </c>
      <c r="BG148" s="33" t="str">
        <f aca="false">IF(OR(D148="",F148=""),"",IF(F148&lt;=IF(D148="Soldier Pile &amp; Timber Lagging",SG_Criteria!$B$34,SG_Criteria!$B$33),"No ERSS submission",IF(F148&lt;=SG_Criteria!$B$35,"QP(ST)",IF(F148&lt;=SG_Criteria!$B$36,"QP(ST) + AC","Geotechnical building works: QP(Geo) + AC"))))</f>
        <v/>
      </c>
      <c r="BH148" s="33" t="str">
        <f aca="false">IF(D148="","",IF(LEN(IF(AND(AC148&lt;&gt;"",IFERROR(VALUE(MID(AC148,2,2)),0)&lt;SG_Criteria!$B$19),"FAIL: grade below C"&amp;SG_Criteria!$B$19&amp;". ","")&amp;IF(AND(LEFT(D148,3)="Con",N(I148)&lt;F148,H148="Kallang Formation (marine clay)"),"NOTE: CBP is not watertight below GWT in marine clay; consider secant / grouting. ","")&amp;IF(AND(D148="Steel Sheet Pile",E148="Permanent"),"NOTE: permanent sheet pile needs corrosion allowance. ","")&amp;IF(AND(G148="Cantilever (no support)",F148&gt;6),"NOTE: cantilever embedded wall &gt; 6 m, check deflection. ","")&amp;IF(AND(T148&lt;&gt;"",U148&lt;&gt;"",T148&gt;U148),"FAIL: deflection exceeds allowable. ",""))=0,"OK",IF(AND(AC148&lt;&gt;"",IFERROR(VALUE(MID(AC148,2,2)),0)&lt;SG_Criteria!$B$19),"FAIL: grade below C"&amp;SG_Criteria!$B$19&amp;". ","")&amp;IF(AND(LEFT(D148,3)="Con",N(I148)&lt;F148,H148="Kallang Formation (marine clay)"),"NOTE: CBP is not watertight below GWT in marine clay; consider secant / grouting. ","")&amp;IF(AND(D148="Steel Sheet Pile",E148="Permanent"),"NOTE: permanent sheet pile needs corrosion allowance. ","")&amp;IF(AND(G148="Cantilever (no support)",F148&gt;6),"NOTE: cantilever embedded wall &gt; 6 m, check deflection. ","")&amp;IF(AND(T148&lt;&gt;"",U148&lt;&gt;"",T148&gt;U148),"FAIL: deflection exceeds allowable. ","")))</f>
        <v/>
      </c>
      <c r="BI148" s="9"/>
      <c r="BJ148" s="9"/>
      <c r="BK148" s="9"/>
      <c r="BL148" s="10" t="str">
        <f aca="false">IF(BK148="","",IFERROR(VLOOKUP(BK148,Projects!$A$5:$D$504,2,0),"Ref not in Projects"))</f>
        <v/>
      </c>
      <c r="BM148" s="10" t="str">
        <f aca="false">IF(BK148="","",IFERROR(VLOOKUP(BK148,Projects!$A$5:$D$504,4,0),"Ref not in Projects"))</f>
        <v/>
      </c>
      <c r="BN148" s="9"/>
      <c r="BO148" s="9"/>
      <c r="BP148" s="9"/>
      <c r="BQ148" s="40"/>
      <c r="BR148" s="9"/>
      <c r="BS148" s="40"/>
      <c r="BT148" s="9"/>
      <c r="BU148" s="40"/>
      <c r="BV148" s="9"/>
      <c r="BW148" s="9"/>
      <c r="BX148" s="9"/>
      <c r="BY148" s="40"/>
      <c r="BZ148" s="40"/>
      <c r="CA148" s="36" t="str">
        <f aca="false">IF(BZ148="","",EDATE(BZ148,SG_Criteria!$B$54*12))</f>
        <v/>
      </c>
      <c r="CB148" s="33" t="str">
        <f aca="true">IF(A148="","",IF(BZ148="","NOTE: not reviewed yet",IF(TODAY()&gt;CA148,"NOTE: review overdue","OK")))</f>
        <v/>
      </c>
      <c r="CC148" s="37" t="str">
        <f aca="false">IF(A148="","",ROUND((IF(LEN(D148)&gt;0,1,0)+IF(LEN(E148)&gt;0,1,0)+IF(LEN(F148)&gt;0,1,0)+IF(LEN(G148)&gt;0,1,0)+IF(LEN(H148)&gt;0,1,0)+IF(LEN(I148)&gt;0,1,0)+IF(LEN(K148)&gt;0,1,0)+IF(LEN(N148)&gt;0,1,0)+IF(LEN(O148)&gt;0,1,0)+IF(LEN(T148)&gt;0,1,0)+IF(LEN(U148)&gt;0,1,0)+IF(LEN(V148)&gt;0,1,0)+IF(LEN(AK148)&gt;0,1,0)+IF(LEN(AM148)&gt;0,1,0)+IF(LEN(AN148)&gt;0,1,0)+IF(LEN(AO148)&gt;0,1,0)+IF(LEN(AP148)&gt;0,1,0)+IF(LEN(AY148)&gt;0,1,0)+IF(LEN(BK148)&gt;0,1,0)+IF(LEN(BX148)&gt;0,1,0))/20,2))</f>
        <v/>
      </c>
      <c r="CD148" s="10" t="str">
        <f aca="false">IF(D148="","",IF(AND(AN148="Approved",ISERROR(SEARCH("FAIL",BH148))),"Y","N"))</f>
        <v/>
      </c>
      <c r="CE148" s="10" t="str">
        <f aca="false">IF(D148="","",D148&amp;"|"&amp;F148&amp;"|"&amp;G148&amp;"|"&amp;H148&amp;"|"&amp;E148&amp;"|"&amp;CD148)</f>
        <v/>
      </c>
    </row>
    <row r="149" customFormat="false" ht="15" hidden="false" customHeight="false" outlineLevel="0" collapsed="false">
      <c r="A149" s="10" t="str">
        <f aca="false">IF(D149="","","EW-"&amp;IFERROR(VLOOKUP(D149,Lists!$P$4:$Q$22,2,0),"??")&amp;"-D"&amp;TEXT(F149*1000,"0000")&amp;"-"&amp;IFERROR(VLOOKUP(G149,Lists!$S$4:$T$21,2,0),"??")&amp;"-"&amp;IFERROR(VLOOKUP(H149,Lists!$Y$4:$Z$21,2,0),"??")&amp;"-"&amp;IFERROR(VLOOKUP(E149,Lists!$V$4:$W$16,2,0),"??")&amp;"-"&amp;AM149)</f>
        <v/>
      </c>
      <c r="B149" s="10" t="str">
        <f aca="false">IF(D149="","",E149&amp;" "&amp;D149&amp;", excavation "&amp;TEXT(F149,"0.0")&amp;" m, "&amp;G149&amp;", "&amp;H149&amp;", "&amp;K149)</f>
        <v/>
      </c>
      <c r="C149" s="9"/>
      <c r="D149" s="9"/>
      <c r="E149" s="9"/>
      <c r="F149" s="42"/>
      <c r="G149" s="9"/>
      <c r="H149" s="9"/>
      <c r="I149" s="42"/>
      <c r="J149" s="38"/>
      <c r="K149" s="9"/>
      <c r="L149" s="9"/>
      <c r="M149" s="9"/>
      <c r="N149" s="42"/>
      <c r="O149" s="42"/>
      <c r="P149" s="9"/>
      <c r="Q149" s="9"/>
      <c r="R149" s="9"/>
      <c r="S149" s="9"/>
      <c r="T149" s="38"/>
      <c r="U149" s="38"/>
      <c r="V149" s="38"/>
      <c r="W149" s="38"/>
      <c r="X149" s="38"/>
      <c r="Y149" s="9"/>
      <c r="Z149" s="39"/>
      <c r="AA149" s="9"/>
      <c r="AB149" s="9"/>
      <c r="AC149" s="9"/>
      <c r="AD149" s="9"/>
      <c r="AE149" s="9"/>
      <c r="AF149" s="9"/>
      <c r="AG149" s="9"/>
      <c r="AH149" s="38"/>
      <c r="AI149" s="9"/>
      <c r="AJ149" s="39"/>
      <c r="AK149" s="9"/>
      <c r="AL149" s="9"/>
      <c r="AM149" s="9"/>
      <c r="AN149" s="9"/>
      <c r="AO149" s="9"/>
      <c r="AP149" s="9"/>
      <c r="AQ149" s="9"/>
      <c r="AR149" s="10" t="str">
        <f aca="false">IF(A149="","",SG_Criteria!$B$6&amp;SG_Criteria!$B$9&amp;"\"&amp;A149&amp;"\")</f>
        <v/>
      </c>
      <c r="AS149" s="10" t="str">
        <f aca="false">IF(A149="","",A149&amp;"_CAD.dwg")</f>
        <v/>
      </c>
      <c r="AT149" s="10" t="str">
        <f aca="false">IF(A149="","",A149&amp;"_DWG.pdf")</f>
        <v/>
      </c>
      <c r="AU149" s="10" t="str">
        <f aca="false">IF(A149="","",IF(AQ149="Y",A149&amp;"_STAAD.std","n/a"))</f>
        <v/>
      </c>
      <c r="AV149" s="10" t="str">
        <f aca="false">IF(A149="","",A149&amp;"_CALC.xlsx")</f>
        <v/>
      </c>
      <c r="AW149" s="10" t="str">
        <f aca="false">IF(A149="","",A149&amp;"_CALC.pdf")</f>
        <v/>
      </c>
      <c r="AX149" s="9"/>
      <c r="AY149" s="9"/>
      <c r="AZ149" s="39"/>
      <c r="BA149" s="39"/>
      <c r="BB149" s="39"/>
      <c r="BC149" s="39"/>
      <c r="BD149" s="39"/>
      <c r="BE149" s="12" t="str">
        <f aca="false">IF(A149="","",IF(COUNTIF(Rebar_Schedule!$A$5:$A$2004,A149)=0,"",ROUND(SUMIF(Rebar_Schedule!$A$5:$A$2004,A149,Rebar_Schedule!$K$5:$K$2004),1)))</f>
        <v/>
      </c>
      <c r="BF149" s="33" t="str">
        <f aca="false">IF(A149="","",IF(BE149="","No rebar schedule yet",IF(ABS(BE149-N(BA149))/MAX(N(BA149),1)&gt;SG_Criteria!$B$55,"NOTE: register rebar differs from schedule by "&amp;TEXT(ABS(BE149-N(BA149))/MAX(N(BA149),1),"0%"),"OK")))</f>
        <v/>
      </c>
      <c r="BG149" s="33" t="str">
        <f aca="false">IF(OR(D149="",F149=""),"",IF(F149&lt;=IF(D149="Soldier Pile &amp; Timber Lagging",SG_Criteria!$B$34,SG_Criteria!$B$33),"No ERSS submission",IF(F149&lt;=SG_Criteria!$B$35,"QP(ST)",IF(F149&lt;=SG_Criteria!$B$36,"QP(ST) + AC","Geotechnical building works: QP(Geo) + AC"))))</f>
        <v/>
      </c>
      <c r="BH149" s="33" t="str">
        <f aca="false">IF(D149="","",IF(LEN(IF(AND(AC149&lt;&gt;"",IFERROR(VALUE(MID(AC149,2,2)),0)&lt;SG_Criteria!$B$19),"FAIL: grade below C"&amp;SG_Criteria!$B$19&amp;". ","")&amp;IF(AND(LEFT(D149,3)="Con",N(I149)&lt;F149,H149="Kallang Formation (marine clay)"),"NOTE: CBP is not watertight below GWT in marine clay; consider secant / grouting. ","")&amp;IF(AND(D149="Steel Sheet Pile",E149="Permanent"),"NOTE: permanent sheet pile needs corrosion allowance. ","")&amp;IF(AND(G149="Cantilever (no support)",F149&gt;6),"NOTE: cantilever embedded wall &gt; 6 m, check deflection. ","")&amp;IF(AND(T149&lt;&gt;"",U149&lt;&gt;"",T149&gt;U149),"FAIL: deflection exceeds allowable. ",""))=0,"OK",IF(AND(AC149&lt;&gt;"",IFERROR(VALUE(MID(AC149,2,2)),0)&lt;SG_Criteria!$B$19),"FAIL: grade below C"&amp;SG_Criteria!$B$19&amp;". ","")&amp;IF(AND(LEFT(D149,3)="Con",N(I149)&lt;F149,H149="Kallang Formation (marine clay)"),"NOTE: CBP is not watertight below GWT in marine clay; consider secant / grouting. ","")&amp;IF(AND(D149="Steel Sheet Pile",E149="Permanent"),"NOTE: permanent sheet pile needs corrosion allowance. ","")&amp;IF(AND(G149="Cantilever (no support)",F149&gt;6),"NOTE: cantilever embedded wall &gt; 6 m, check deflection. ","")&amp;IF(AND(T149&lt;&gt;"",U149&lt;&gt;"",T149&gt;U149),"FAIL: deflection exceeds allowable. ","")))</f>
        <v/>
      </c>
      <c r="BI149" s="9"/>
      <c r="BJ149" s="9"/>
      <c r="BK149" s="9"/>
      <c r="BL149" s="10" t="str">
        <f aca="false">IF(BK149="","",IFERROR(VLOOKUP(BK149,Projects!$A$5:$D$504,2,0),"Ref not in Projects"))</f>
        <v/>
      </c>
      <c r="BM149" s="10" t="str">
        <f aca="false">IF(BK149="","",IFERROR(VLOOKUP(BK149,Projects!$A$5:$D$504,4,0),"Ref not in Projects"))</f>
        <v/>
      </c>
      <c r="BN149" s="9"/>
      <c r="BO149" s="9"/>
      <c r="BP149" s="9"/>
      <c r="BQ149" s="40"/>
      <c r="BR149" s="9"/>
      <c r="BS149" s="40"/>
      <c r="BT149" s="9"/>
      <c r="BU149" s="40"/>
      <c r="BV149" s="9"/>
      <c r="BW149" s="9"/>
      <c r="BX149" s="9"/>
      <c r="BY149" s="40"/>
      <c r="BZ149" s="40"/>
      <c r="CA149" s="36" t="str">
        <f aca="false">IF(BZ149="","",EDATE(BZ149,SG_Criteria!$B$54*12))</f>
        <v/>
      </c>
      <c r="CB149" s="33" t="str">
        <f aca="true">IF(A149="","",IF(BZ149="","NOTE: not reviewed yet",IF(TODAY()&gt;CA149,"NOTE: review overdue","OK")))</f>
        <v/>
      </c>
      <c r="CC149" s="37" t="str">
        <f aca="false">IF(A149="","",ROUND((IF(LEN(D149)&gt;0,1,0)+IF(LEN(E149)&gt;0,1,0)+IF(LEN(F149)&gt;0,1,0)+IF(LEN(G149)&gt;0,1,0)+IF(LEN(H149)&gt;0,1,0)+IF(LEN(I149)&gt;0,1,0)+IF(LEN(K149)&gt;0,1,0)+IF(LEN(N149)&gt;0,1,0)+IF(LEN(O149)&gt;0,1,0)+IF(LEN(T149)&gt;0,1,0)+IF(LEN(U149)&gt;0,1,0)+IF(LEN(V149)&gt;0,1,0)+IF(LEN(AK149)&gt;0,1,0)+IF(LEN(AM149)&gt;0,1,0)+IF(LEN(AN149)&gt;0,1,0)+IF(LEN(AO149)&gt;0,1,0)+IF(LEN(AP149)&gt;0,1,0)+IF(LEN(AY149)&gt;0,1,0)+IF(LEN(BK149)&gt;0,1,0)+IF(LEN(BX149)&gt;0,1,0))/20,2))</f>
        <v/>
      </c>
      <c r="CD149" s="10" t="str">
        <f aca="false">IF(D149="","",IF(AND(AN149="Approved",ISERROR(SEARCH("FAIL",BH149))),"Y","N"))</f>
        <v/>
      </c>
      <c r="CE149" s="10" t="str">
        <f aca="false">IF(D149="","",D149&amp;"|"&amp;F149&amp;"|"&amp;G149&amp;"|"&amp;H149&amp;"|"&amp;E149&amp;"|"&amp;CD149)</f>
        <v/>
      </c>
    </row>
    <row r="150" customFormat="false" ht="15" hidden="false" customHeight="false" outlineLevel="0" collapsed="false">
      <c r="A150" s="10" t="str">
        <f aca="false">IF(D150="","","EW-"&amp;IFERROR(VLOOKUP(D150,Lists!$P$4:$Q$22,2,0),"??")&amp;"-D"&amp;TEXT(F150*1000,"0000")&amp;"-"&amp;IFERROR(VLOOKUP(G150,Lists!$S$4:$T$21,2,0),"??")&amp;"-"&amp;IFERROR(VLOOKUP(H150,Lists!$Y$4:$Z$21,2,0),"??")&amp;"-"&amp;IFERROR(VLOOKUP(E150,Lists!$V$4:$W$16,2,0),"??")&amp;"-"&amp;AM150)</f>
        <v/>
      </c>
      <c r="B150" s="10" t="str">
        <f aca="false">IF(D150="","",E150&amp;" "&amp;D150&amp;", excavation "&amp;TEXT(F150,"0.0")&amp;" m, "&amp;G150&amp;", "&amp;H150&amp;", "&amp;K150)</f>
        <v/>
      </c>
      <c r="C150" s="9"/>
      <c r="D150" s="9"/>
      <c r="E150" s="9"/>
      <c r="F150" s="42"/>
      <c r="G150" s="9"/>
      <c r="H150" s="9"/>
      <c r="I150" s="42"/>
      <c r="J150" s="38"/>
      <c r="K150" s="9"/>
      <c r="L150" s="9"/>
      <c r="M150" s="9"/>
      <c r="N150" s="42"/>
      <c r="O150" s="42"/>
      <c r="P150" s="9"/>
      <c r="Q150" s="9"/>
      <c r="R150" s="9"/>
      <c r="S150" s="9"/>
      <c r="T150" s="38"/>
      <c r="U150" s="38"/>
      <c r="V150" s="38"/>
      <c r="W150" s="38"/>
      <c r="X150" s="38"/>
      <c r="Y150" s="9"/>
      <c r="Z150" s="39"/>
      <c r="AA150" s="9"/>
      <c r="AB150" s="9"/>
      <c r="AC150" s="9"/>
      <c r="AD150" s="9"/>
      <c r="AE150" s="9"/>
      <c r="AF150" s="9"/>
      <c r="AG150" s="9"/>
      <c r="AH150" s="38"/>
      <c r="AI150" s="9"/>
      <c r="AJ150" s="39"/>
      <c r="AK150" s="9"/>
      <c r="AL150" s="9"/>
      <c r="AM150" s="9"/>
      <c r="AN150" s="9"/>
      <c r="AO150" s="9"/>
      <c r="AP150" s="9"/>
      <c r="AQ150" s="9"/>
      <c r="AR150" s="10" t="str">
        <f aca="false">IF(A150="","",SG_Criteria!$B$6&amp;SG_Criteria!$B$9&amp;"\"&amp;A150&amp;"\")</f>
        <v/>
      </c>
      <c r="AS150" s="10" t="str">
        <f aca="false">IF(A150="","",A150&amp;"_CAD.dwg")</f>
        <v/>
      </c>
      <c r="AT150" s="10" t="str">
        <f aca="false">IF(A150="","",A150&amp;"_DWG.pdf")</f>
        <v/>
      </c>
      <c r="AU150" s="10" t="str">
        <f aca="false">IF(A150="","",IF(AQ150="Y",A150&amp;"_STAAD.std","n/a"))</f>
        <v/>
      </c>
      <c r="AV150" s="10" t="str">
        <f aca="false">IF(A150="","",A150&amp;"_CALC.xlsx")</f>
        <v/>
      </c>
      <c r="AW150" s="10" t="str">
        <f aca="false">IF(A150="","",A150&amp;"_CALC.pdf")</f>
        <v/>
      </c>
      <c r="AX150" s="9"/>
      <c r="AY150" s="9"/>
      <c r="AZ150" s="39"/>
      <c r="BA150" s="39"/>
      <c r="BB150" s="39"/>
      <c r="BC150" s="39"/>
      <c r="BD150" s="39"/>
      <c r="BE150" s="12" t="str">
        <f aca="false">IF(A150="","",IF(COUNTIF(Rebar_Schedule!$A$5:$A$2004,A150)=0,"",ROUND(SUMIF(Rebar_Schedule!$A$5:$A$2004,A150,Rebar_Schedule!$K$5:$K$2004),1)))</f>
        <v/>
      </c>
      <c r="BF150" s="33" t="str">
        <f aca="false">IF(A150="","",IF(BE150="","No rebar schedule yet",IF(ABS(BE150-N(BA150))/MAX(N(BA150),1)&gt;SG_Criteria!$B$55,"NOTE: register rebar differs from schedule by "&amp;TEXT(ABS(BE150-N(BA150))/MAX(N(BA150),1),"0%"),"OK")))</f>
        <v/>
      </c>
      <c r="BG150" s="33" t="str">
        <f aca="false">IF(OR(D150="",F150=""),"",IF(F150&lt;=IF(D150="Soldier Pile &amp; Timber Lagging",SG_Criteria!$B$34,SG_Criteria!$B$33),"No ERSS submission",IF(F150&lt;=SG_Criteria!$B$35,"QP(ST)",IF(F150&lt;=SG_Criteria!$B$36,"QP(ST) + AC","Geotechnical building works: QP(Geo) + AC"))))</f>
        <v/>
      </c>
      <c r="BH150" s="33" t="str">
        <f aca="false">IF(D150="","",IF(LEN(IF(AND(AC150&lt;&gt;"",IFERROR(VALUE(MID(AC150,2,2)),0)&lt;SG_Criteria!$B$19),"FAIL: grade below C"&amp;SG_Criteria!$B$19&amp;". ","")&amp;IF(AND(LEFT(D150,3)="Con",N(I150)&lt;F150,H150="Kallang Formation (marine clay)"),"NOTE: CBP is not watertight below GWT in marine clay; consider secant / grouting. ","")&amp;IF(AND(D150="Steel Sheet Pile",E150="Permanent"),"NOTE: permanent sheet pile needs corrosion allowance. ","")&amp;IF(AND(G150="Cantilever (no support)",F150&gt;6),"NOTE: cantilever embedded wall &gt; 6 m, check deflection. ","")&amp;IF(AND(T150&lt;&gt;"",U150&lt;&gt;"",T150&gt;U150),"FAIL: deflection exceeds allowable. ",""))=0,"OK",IF(AND(AC150&lt;&gt;"",IFERROR(VALUE(MID(AC150,2,2)),0)&lt;SG_Criteria!$B$19),"FAIL: grade below C"&amp;SG_Criteria!$B$19&amp;". ","")&amp;IF(AND(LEFT(D150,3)="Con",N(I150)&lt;F150,H150="Kallang Formation (marine clay)"),"NOTE: CBP is not watertight below GWT in marine clay; consider secant / grouting. ","")&amp;IF(AND(D150="Steel Sheet Pile",E150="Permanent"),"NOTE: permanent sheet pile needs corrosion allowance. ","")&amp;IF(AND(G150="Cantilever (no support)",F150&gt;6),"NOTE: cantilever embedded wall &gt; 6 m, check deflection. ","")&amp;IF(AND(T150&lt;&gt;"",U150&lt;&gt;"",T150&gt;U150),"FAIL: deflection exceeds allowable. ","")))</f>
        <v/>
      </c>
      <c r="BI150" s="9"/>
      <c r="BJ150" s="9"/>
      <c r="BK150" s="9"/>
      <c r="BL150" s="10" t="str">
        <f aca="false">IF(BK150="","",IFERROR(VLOOKUP(BK150,Projects!$A$5:$D$504,2,0),"Ref not in Projects"))</f>
        <v/>
      </c>
      <c r="BM150" s="10" t="str">
        <f aca="false">IF(BK150="","",IFERROR(VLOOKUP(BK150,Projects!$A$5:$D$504,4,0),"Ref not in Projects"))</f>
        <v/>
      </c>
      <c r="BN150" s="9"/>
      <c r="BO150" s="9"/>
      <c r="BP150" s="9"/>
      <c r="BQ150" s="40"/>
      <c r="BR150" s="9"/>
      <c r="BS150" s="40"/>
      <c r="BT150" s="9"/>
      <c r="BU150" s="40"/>
      <c r="BV150" s="9"/>
      <c r="BW150" s="9"/>
      <c r="BX150" s="9"/>
      <c r="BY150" s="40"/>
      <c r="BZ150" s="40"/>
      <c r="CA150" s="36" t="str">
        <f aca="false">IF(BZ150="","",EDATE(BZ150,SG_Criteria!$B$54*12))</f>
        <v/>
      </c>
      <c r="CB150" s="33" t="str">
        <f aca="true">IF(A150="","",IF(BZ150="","NOTE: not reviewed yet",IF(TODAY()&gt;CA150,"NOTE: review overdue","OK")))</f>
        <v/>
      </c>
      <c r="CC150" s="37" t="str">
        <f aca="false">IF(A150="","",ROUND((IF(LEN(D150)&gt;0,1,0)+IF(LEN(E150)&gt;0,1,0)+IF(LEN(F150)&gt;0,1,0)+IF(LEN(G150)&gt;0,1,0)+IF(LEN(H150)&gt;0,1,0)+IF(LEN(I150)&gt;0,1,0)+IF(LEN(K150)&gt;0,1,0)+IF(LEN(N150)&gt;0,1,0)+IF(LEN(O150)&gt;0,1,0)+IF(LEN(T150)&gt;0,1,0)+IF(LEN(U150)&gt;0,1,0)+IF(LEN(V150)&gt;0,1,0)+IF(LEN(AK150)&gt;0,1,0)+IF(LEN(AM150)&gt;0,1,0)+IF(LEN(AN150)&gt;0,1,0)+IF(LEN(AO150)&gt;0,1,0)+IF(LEN(AP150)&gt;0,1,0)+IF(LEN(AY150)&gt;0,1,0)+IF(LEN(BK150)&gt;0,1,0)+IF(LEN(BX150)&gt;0,1,0))/20,2))</f>
        <v/>
      </c>
      <c r="CD150" s="10" t="str">
        <f aca="false">IF(D150="","",IF(AND(AN150="Approved",ISERROR(SEARCH("FAIL",BH150))),"Y","N"))</f>
        <v/>
      </c>
      <c r="CE150" s="10" t="str">
        <f aca="false">IF(D150="","",D150&amp;"|"&amp;F150&amp;"|"&amp;G150&amp;"|"&amp;H150&amp;"|"&amp;E150&amp;"|"&amp;CD150)</f>
        <v/>
      </c>
    </row>
    <row r="151" customFormat="false" ht="15" hidden="false" customHeight="false" outlineLevel="0" collapsed="false">
      <c r="A151" s="10" t="str">
        <f aca="false">IF(D151="","","EW-"&amp;IFERROR(VLOOKUP(D151,Lists!$P$4:$Q$22,2,0),"??")&amp;"-D"&amp;TEXT(F151*1000,"0000")&amp;"-"&amp;IFERROR(VLOOKUP(G151,Lists!$S$4:$T$21,2,0),"??")&amp;"-"&amp;IFERROR(VLOOKUP(H151,Lists!$Y$4:$Z$21,2,0),"??")&amp;"-"&amp;IFERROR(VLOOKUP(E151,Lists!$V$4:$W$16,2,0),"??")&amp;"-"&amp;AM151)</f>
        <v/>
      </c>
      <c r="B151" s="10" t="str">
        <f aca="false">IF(D151="","",E151&amp;" "&amp;D151&amp;", excavation "&amp;TEXT(F151,"0.0")&amp;" m, "&amp;G151&amp;", "&amp;H151&amp;", "&amp;K151)</f>
        <v/>
      </c>
      <c r="C151" s="9"/>
      <c r="D151" s="9"/>
      <c r="E151" s="9"/>
      <c r="F151" s="42"/>
      <c r="G151" s="9"/>
      <c r="H151" s="9"/>
      <c r="I151" s="42"/>
      <c r="J151" s="38"/>
      <c r="K151" s="9"/>
      <c r="L151" s="9"/>
      <c r="M151" s="9"/>
      <c r="N151" s="42"/>
      <c r="O151" s="42"/>
      <c r="P151" s="9"/>
      <c r="Q151" s="9"/>
      <c r="R151" s="9"/>
      <c r="S151" s="9"/>
      <c r="T151" s="38"/>
      <c r="U151" s="38"/>
      <c r="V151" s="38"/>
      <c r="W151" s="38"/>
      <c r="X151" s="38"/>
      <c r="Y151" s="9"/>
      <c r="Z151" s="39"/>
      <c r="AA151" s="9"/>
      <c r="AB151" s="9"/>
      <c r="AC151" s="9"/>
      <c r="AD151" s="9"/>
      <c r="AE151" s="9"/>
      <c r="AF151" s="9"/>
      <c r="AG151" s="9"/>
      <c r="AH151" s="38"/>
      <c r="AI151" s="9"/>
      <c r="AJ151" s="39"/>
      <c r="AK151" s="9"/>
      <c r="AL151" s="9"/>
      <c r="AM151" s="9"/>
      <c r="AN151" s="9"/>
      <c r="AO151" s="9"/>
      <c r="AP151" s="9"/>
      <c r="AQ151" s="9"/>
      <c r="AR151" s="10" t="str">
        <f aca="false">IF(A151="","",SG_Criteria!$B$6&amp;SG_Criteria!$B$9&amp;"\"&amp;A151&amp;"\")</f>
        <v/>
      </c>
      <c r="AS151" s="10" t="str">
        <f aca="false">IF(A151="","",A151&amp;"_CAD.dwg")</f>
        <v/>
      </c>
      <c r="AT151" s="10" t="str">
        <f aca="false">IF(A151="","",A151&amp;"_DWG.pdf")</f>
        <v/>
      </c>
      <c r="AU151" s="10" t="str">
        <f aca="false">IF(A151="","",IF(AQ151="Y",A151&amp;"_STAAD.std","n/a"))</f>
        <v/>
      </c>
      <c r="AV151" s="10" t="str">
        <f aca="false">IF(A151="","",A151&amp;"_CALC.xlsx")</f>
        <v/>
      </c>
      <c r="AW151" s="10" t="str">
        <f aca="false">IF(A151="","",A151&amp;"_CALC.pdf")</f>
        <v/>
      </c>
      <c r="AX151" s="9"/>
      <c r="AY151" s="9"/>
      <c r="AZ151" s="39"/>
      <c r="BA151" s="39"/>
      <c r="BB151" s="39"/>
      <c r="BC151" s="39"/>
      <c r="BD151" s="39"/>
      <c r="BE151" s="12" t="str">
        <f aca="false">IF(A151="","",IF(COUNTIF(Rebar_Schedule!$A$5:$A$2004,A151)=0,"",ROUND(SUMIF(Rebar_Schedule!$A$5:$A$2004,A151,Rebar_Schedule!$K$5:$K$2004),1)))</f>
        <v/>
      </c>
      <c r="BF151" s="33" t="str">
        <f aca="false">IF(A151="","",IF(BE151="","No rebar schedule yet",IF(ABS(BE151-N(BA151))/MAX(N(BA151),1)&gt;SG_Criteria!$B$55,"NOTE: register rebar differs from schedule by "&amp;TEXT(ABS(BE151-N(BA151))/MAX(N(BA151),1),"0%"),"OK")))</f>
        <v/>
      </c>
      <c r="BG151" s="33" t="str">
        <f aca="false">IF(OR(D151="",F151=""),"",IF(F151&lt;=IF(D151="Soldier Pile &amp; Timber Lagging",SG_Criteria!$B$34,SG_Criteria!$B$33),"No ERSS submission",IF(F151&lt;=SG_Criteria!$B$35,"QP(ST)",IF(F151&lt;=SG_Criteria!$B$36,"QP(ST) + AC","Geotechnical building works: QP(Geo) + AC"))))</f>
        <v/>
      </c>
      <c r="BH151" s="33" t="str">
        <f aca="false">IF(D151="","",IF(LEN(IF(AND(AC151&lt;&gt;"",IFERROR(VALUE(MID(AC151,2,2)),0)&lt;SG_Criteria!$B$19),"FAIL: grade below C"&amp;SG_Criteria!$B$19&amp;". ","")&amp;IF(AND(LEFT(D151,3)="Con",N(I151)&lt;F151,H151="Kallang Formation (marine clay)"),"NOTE: CBP is not watertight below GWT in marine clay; consider secant / grouting. ","")&amp;IF(AND(D151="Steel Sheet Pile",E151="Permanent"),"NOTE: permanent sheet pile needs corrosion allowance. ","")&amp;IF(AND(G151="Cantilever (no support)",F151&gt;6),"NOTE: cantilever embedded wall &gt; 6 m, check deflection. ","")&amp;IF(AND(T151&lt;&gt;"",U151&lt;&gt;"",T151&gt;U151),"FAIL: deflection exceeds allowable. ",""))=0,"OK",IF(AND(AC151&lt;&gt;"",IFERROR(VALUE(MID(AC151,2,2)),0)&lt;SG_Criteria!$B$19),"FAIL: grade below C"&amp;SG_Criteria!$B$19&amp;". ","")&amp;IF(AND(LEFT(D151,3)="Con",N(I151)&lt;F151,H151="Kallang Formation (marine clay)"),"NOTE: CBP is not watertight below GWT in marine clay; consider secant / grouting. ","")&amp;IF(AND(D151="Steel Sheet Pile",E151="Permanent"),"NOTE: permanent sheet pile needs corrosion allowance. ","")&amp;IF(AND(G151="Cantilever (no support)",F151&gt;6),"NOTE: cantilever embedded wall &gt; 6 m, check deflection. ","")&amp;IF(AND(T151&lt;&gt;"",U151&lt;&gt;"",T151&gt;U151),"FAIL: deflection exceeds allowable. ","")))</f>
        <v/>
      </c>
      <c r="BI151" s="9"/>
      <c r="BJ151" s="9"/>
      <c r="BK151" s="9"/>
      <c r="BL151" s="10" t="str">
        <f aca="false">IF(BK151="","",IFERROR(VLOOKUP(BK151,Projects!$A$5:$D$504,2,0),"Ref not in Projects"))</f>
        <v/>
      </c>
      <c r="BM151" s="10" t="str">
        <f aca="false">IF(BK151="","",IFERROR(VLOOKUP(BK151,Projects!$A$5:$D$504,4,0),"Ref not in Projects"))</f>
        <v/>
      </c>
      <c r="BN151" s="9"/>
      <c r="BO151" s="9"/>
      <c r="BP151" s="9"/>
      <c r="BQ151" s="40"/>
      <c r="BR151" s="9"/>
      <c r="BS151" s="40"/>
      <c r="BT151" s="9"/>
      <c r="BU151" s="40"/>
      <c r="BV151" s="9"/>
      <c r="BW151" s="9"/>
      <c r="BX151" s="9"/>
      <c r="BY151" s="40"/>
      <c r="BZ151" s="40"/>
      <c r="CA151" s="36" t="str">
        <f aca="false">IF(BZ151="","",EDATE(BZ151,SG_Criteria!$B$54*12))</f>
        <v/>
      </c>
      <c r="CB151" s="33" t="str">
        <f aca="true">IF(A151="","",IF(BZ151="","NOTE: not reviewed yet",IF(TODAY()&gt;CA151,"NOTE: review overdue","OK")))</f>
        <v/>
      </c>
      <c r="CC151" s="37" t="str">
        <f aca="false">IF(A151="","",ROUND((IF(LEN(D151)&gt;0,1,0)+IF(LEN(E151)&gt;0,1,0)+IF(LEN(F151)&gt;0,1,0)+IF(LEN(G151)&gt;0,1,0)+IF(LEN(H151)&gt;0,1,0)+IF(LEN(I151)&gt;0,1,0)+IF(LEN(K151)&gt;0,1,0)+IF(LEN(N151)&gt;0,1,0)+IF(LEN(O151)&gt;0,1,0)+IF(LEN(T151)&gt;0,1,0)+IF(LEN(U151)&gt;0,1,0)+IF(LEN(V151)&gt;0,1,0)+IF(LEN(AK151)&gt;0,1,0)+IF(LEN(AM151)&gt;0,1,0)+IF(LEN(AN151)&gt;0,1,0)+IF(LEN(AO151)&gt;0,1,0)+IF(LEN(AP151)&gt;0,1,0)+IF(LEN(AY151)&gt;0,1,0)+IF(LEN(BK151)&gt;0,1,0)+IF(LEN(BX151)&gt;0,1,0))/20,2))</f>
        <v/>
      </c>
      <c r="CD151" s="10" t="str">
        <f aca="false">IF(D151="","",IF(AND(AN151="Approved",ISERROR(SEARCH("FAIL",BH151))),"Y","N"))</f>
        <v/>
      </c>
      <c r="CE151" s="10" t="str">
        <f aca="false">IF(D151="","",D151&amp;"|"&amp;F151&amp;"|"&amp;G151&amp;"|"&amp;H151&amp;"|"&amp;E151&amp;"|"&amp;CD151)</f>
        <v/>
      </c>
    </row>
    <row r="152" customFormat="false" ht="15" hidden="false" customHeight="false" outlineLevel="0" collapsed="false">
      <c r="A152" s="10" t="str">
        <f aca="false">IF(D152="","","EW-"&amp;IFERROR(VLOOKUP(D152,Lists!$P$4:$Q$22,2,0),"??")&amp;"-D"&amp;TEXT(F152*1000,"0000")&amp;"-"&amp;IFERROR(VLOOKUP(G152,Lists!$S$4:$T$21,2,0),"??")&amp;"-"&amp;IFERROR(VLOOKUP(H152,Lists!$Y$4:$Z$21,2,0),"??")&amp;"-"&amp;IFERROR(VLOOKUP(E152,Lists!$V$4:$W$16,2,0),"??")&amp;"-"&amp;AM152)</f>
        <v/>
      </c>
      <c r="B152" s="10" t="str">
        <f aca="false">IF(D152="","",E152&amp;" "&amp;D152&amp;", excavation "&amp;TEXT(F152,"0.0")&amp;" m, "&amp;G152&amp;", "&amp;H152&amp;", "&amp;K152)</f>
        <v/>
      </c>
      <c r="C152" s="9"/>
      <c r="D152" s="9"/>
      <c r="E152" s="9"/>
      <c r="F152" s="42"/>
      <c r="G152" s="9"/>
      <c r="H152" s="9"/>
      <c r="I152" s="42"/>
      <c r="J152" s="38"/>
      <c r="K152" s="9"/>
      <c r="L152" s="9"/>
      <c r="M152" s="9"/>
      <c r="N152" s="42"/>
      <c r="O152" s="42"/>
      <c r="P152" s="9"/>
      <c r="Q152" s="9"/>
      <c r="R152" s="9"/>
      <c r="S152" s="9"/>
      <c r="T152" s="38"/>
      <c r="U152" s="38"/>
      <c r="V152" s="38"/>
      <c r="W152" s="38"/>
      <c r="X152" s="38"/>
      <c r="Y152" s="9"/>
      <c r="Z152" s="39"/>
      <c r="AA152" s="9"/>
      <c r="AB152" s="9"/>
      <c r="AC152" s="9"/>
      <c r="AD152" s="9"/>
      <c r="AE152" s="9"/>
      <c r="AF152" s="9"/>
      <c r="AG152" s="9"/>
      <c r="AH152" s="38"/>
      <c r="AI152" s="9"/>
      <c r="AJ152" s="39"/>
      <c r="AK152" s="9"/>
      <c r="AL152" s="9"/>
      <c r="AM152" s="9"/>
      <c r="AN152" s="9"/>
      <c r="AO152" s="9"/>
      <c r="AP152" s="9"/>
      <c r="AQ152" s="9"/>
      <c r="AR152" s="10" t="str">
        <f aca="false">IF(A152="","",SG_Criteria!$B$6&amp;SG_Criteria!$B$9&amp;"\"&amp;A152&amp;"\")</f>
        <v/>
      </c>
      <c r="AS152" s="10" t="str">
        <f aca="false">IF(A152="","",A152&amp;"_CAD.dwg")</f>
        <v/>
      </c>
      <c r="AT152" s="10" t="str">
        <f aca="false">IF(A152="","",A152&amp;"_DWG.pdf")</f>
        <v/>
      </c>
      <c r="AU152" s="10" t="str">
        <f aca="false">IF(A152="","",IF(AQ152="Y",A152&amp;"_STAAD.std","n/a"))</f>
        <v/>
      </c>
      <c r="AV152" s="10" t="str">
        <f aca="false">IF(A152="","",A152&amp;"_CALC.xlsx")</f>
        <v/>
      </c>
      <c r="AW152" s="10" t="str">
        <f aca="false">IF(A152="","",A152&amp;"_CALC.pdf")</f>
        <v/>
      </c>
      <c r="AX152" s="9"/>
      <c r="AY152" s="9"/>
      <c r="AZ152" s="39"/>
      <c r="BA152" s="39"/>
      <c r="BB152" s="39"/>
      <c r="BC152" s="39"/>
      <c r="BD152" s="39"/>
      <c r="BE152" s="12" t="str">
        <f aca="false">IF(A152="","",IF(COUNTIF(Rebar_Schedule!$A$5:$A$2004,A152)=0,"",ROUND(SUMIF(Rebar_Schedule!$A$5:$A$2004,A152,Rebar_Schedule!$K$5:$K$2004),1)))</f>
        <v/>
      </c>
      <c r="BF152" s="33" t="str">
        <f aca="false">IF(A152="","",IF(BE152="","No rebar schedule yet",IF(ABS(BE152-N(BA152))/MAX(N(BA152),1)&gt;SG_Criteria!$B$55,"NOTE: register rebar differs from schedule by "&amp;TEXT(ABS(BE152-N(BA152))/MAX(N(BA152),1),"0%"),"OK")))</f>
        <v/>
      </c>
      <c r="BG152" s="33" t="str">
        <f aca="false">IF(OR(D152="",F152=""),"",IF(F152&lt;=IF(D152="Soldier Pile &amp; Timber Lagging",SG_Criteria!$B$34,SG_Criteria!$B$33),"No ERSS submission",IF(F152&lt;=SG_Criteria!$B$35,"QP(ST)",IF(F152&lt;=SG_Criteria!$B$36,"QP(ST) + AC","Geotechnical building works: QP(Geo) + AC"))))</f>
        <v/>
      </c>
      <c r="BH152" s="33" t="str">
        <f aca="false">IF(D152="","",IF(LEN(IF(AND(AC152&lt;&gt;"",IFERROR(VALUE(MID(AC152,2,2)),0)&lt;SG_Criteria!$B$19),"FAIL: grade below C"&amp;SG_Criteria!$B$19&amp;". ","")&amp;IF(AND(LEFT(D152,3)="Con",N(I152)&lt;F152,H152="Kallang Formation (marine clay)"),"NOTE: CBP is not watertight below GWT in marine clay; consider secant / grouting. ","")&amp;IF(AND(D152="Steel Sheet Pile",E152="Permanent"),"NOTE: permanent sheet pile needs corrosion allowance. ","")&amp;IF(AND(G152="Cantilever (no support)",F152&gt;6),"NOTE: cantilever embedded wall &gt; 6 m, check deflection. ","")&amp;IF(AND(T152&lt;&gt;"",U152&lt;&gt;"",T152&gt;U152),"FAIL: deflection exceeds allowable. ",""))=0,"OK",IF(AND(AC152&lt;&gt;"",IFERROR(VALUE(MID(AC152,2,2)),0)&lt;SG_Criteria!$B$19),"FAIL: grade below C"&amp;SG_Criteria!$B$19&amp;". ","")&amp;IF(AND(LEFT(D152,3)="Con",N(I152)&lt;F152,H152="Kallang Formation (marine clay)"),"NOTE: CBP is not watertight below GWT in marine clay; consider secant / grouting. ","")&amp;IF(AND(D152="Steel Sheet Pile",E152="Permanent"),"NOTE: permanent sheet pile needs corrosion allowance. ","")&amp;IF(AND(G152="Cantilever (no support)",F152&gt;6),"NOTE: cantilever embedded wall &gt; 6 m, check deflection. ","")&amp;IF(AND(T152&lt;&gt;"",U152&lt;&gt;"",T152&gt;U152),"FAIL: deflection exceeds allowable. ","")))</f>
        <v/>
      </c>
      <c r="BI152" s="9"/>
      <c r="BJ152" s="9"/>
      <c r="BK152" s="9"/>
      <c r="BL152" s="10" t="str">
        <f aca="false">IF(BK152="","",IFERROR(VLOOKUP(BK152,Projects!$A$5:$D$504,2,0),"Ref not in Projects"))</f>
        <v/>
      </c>
      <c r="BM152" s="10" t="str">
        <f aca="false">IF(BK152="","",IFERROR(VLOOKUP(BK152,Projects!$A$5:$D$504,4,0),"Ref not in Projects"))</f>
        <v/>
      </c>
      <c r="BN152" s="9"/>
      <c r="BO152" s="9"/>
      <c r="BP152" s="9"/>
      <c r="BQ152" s="40"/>
      <c r="BR152" s="9"/>
      <c r="BS152" s="40"/>
      <c r="BT152" s="9"/>
      <c r="BU152" s="40"/>
      <c r="BV152" s="9"/>
      <c r="BW152" s="9"/>
      <c r="BX152" s="9"/>
      <c r="BY152" s="40"/>
      <c r="BZ152" s="40"/>
      <c r="CA152" s="36" t="str">
        <f aca="false">IF(BZ152="","",EDATE(BZ152,SG_Criteria!$B$54*12))</f>
        <v/>
      </c>
      <c r="CB152" s="33" t="str">
        <f aca="true">IF(A152="","",IF(BZ152="","NOTE: not reviewed yet",IF(TODAY()&gt;CA152,"NOTE: review overdue","OK")))</f>
        <v/>
      </c>
      <c r="CC152" s="37" t="str">
        <f aca="false">IF(A152="","",ROUND((IF(LEN(D152)&gt;0,1,0)+IF(LEN(E152)&gt;0,1,0)+IF(LEN(F152)&gt;0,1,0)+IF(LEN(G152)&gt;0,1,0)+IF(LEN(H152)&gt;0,1,0)+IF(LEN(I152)&gt;0,1,0)+IF(LEN(K152)&gt;0,1,0)+IF(LEN(N152)&gt;0,1,0)+IF(LEN(O152)&gt;0,1,0)+IF(LEN(T152)&gt;0,1,0)+IF(LEN(U152)&gt;0,1,0)+IF(LEN(V152)&gt;0,1,0)+IF(LEN(AK152)&gt;0,1,0)+IF(LEN(AM152)&gt;0,1,0)+IF(LEN(AN152)&gt;0,1,0)+IF(LEN(AO152)&gt;0,1,0)+IF(LEN(AP152)&gt;0,1,0)+IF(LEN(AY152)&gt;0,1,0)+IF(LEN(BK152)&gt;0,1,0)+IF(LEN(BX152)&gt;0,1,0))/20,2))</f>
        <v/>
      </c>
      <c r="CD152" s="10" t="str">
        <f aca="false">IF(D152="","",IF(AND(AN152="Approved",ISERROR(SEARCH("FAIL",BH152))),"Y","N"))</f>
        <v/>
      </c>
      <c r="CE152" s="10" t="str">
        <f aca="false">IF(D152="","",D152&amp;"|"&amp;F152&amp;"|"&amp;G152&amp;"|"&amp;H152&amp;"|"&amp;E152&amp;"|"&amp;CD152)</f>
        <v/>
      </c>
    </row>
    <row r="153" customFormat="false" ht="15" hidden="false" customHeight="false" outlineLevel="0" collapsed="false">
      <c r="A153" s="10" t="str">
        <f aca="false">IF(D153="","","EW-"&amp;IFERROR(VLOOKUP(D153,Lists!$P$4:$Q$22,2,0),"??")&amp;"-D"&amp;TEXT(F153*1000,"0000")&amp;"-"&amp;IFERROR(VLOOKUP(G153,Lists!$S$4:$T$21,2,0),"??")&amp;"-"&amp;IFERROR(VLOOKUP(H153,Lists!$Y$4:$Z$21,2,0),"??")&amp;"-"&amp;IFERROR(VLOOKUP(E153,Lists!$V$4:$W$16,2,0),"??")&amp;"-"&amp;AM153)</f>
        <v/>
      </c>
      <c r="B153" s="10" t="str">
        <f aca="false">IF(D153="","",E153&amp;" "&amp;D153&amp;", excavation "&amp;TEXT(F153,"0.0")&amp;" m, "&amp;G153&amp;", "&amp;H153&amp;", "&amp;K153)</f>
        <v/>
      </c>
      <c r="C153" s="9"/>
      <c r="D153" s="9"/>
      <c r="E153" s="9"/>
      <c r="F153" s="42"/>
      <c r="G153" s="9"/>
      <c r="H153" s="9"/>
      <c r="I153" s="42"/>
      <c r="J153" s="38"/>
      <c r="K153" s="9"/>
      <c r="L153" s="9"/>
      <c r="M153" s="9"/>
      <c r="N153" s="42"/>
      <c r="O153" s="42"/>
      <c r="P153" s="9"/>
      <c r="Q153" s="9"/>
      <c r="R153" s="9"/>
      <c r="S153" s="9"/>
      <c r="T153" s="38"/>
      <c r="U153" s="38"/>
      <c r="V153" s="38"/>
      <c r="W153" s="38"/>
      <c r="X153" s="38"/>
      <c r="Y153" s="9"/>
      <c r="Z153" s="39"/>
      <c r="AA153" s="9"/>
      <c r="AB153" s="9"/>
      <c r="AC153" s="9"/>
      <c r="AD153" s="9"/>
      <c r="AE153" s="9"/>
      <c r="AF153" s="9"/>
      <c r="AG153" s="9"/>
      <c r="AH153" s="38"/>
      <c r="AI153" s="9"/>
      <c r="AJ153" s="39"/>
      <c r="AK153" s="9"/>
      <c r="AL153" s="9"/>
      <c r="AM153" s="9"/>
      <c r="AN153" s="9"/>
      <c r="AO153" s="9"/>
      <c r="AP153" s="9"/>
      <c r="AQ153" s="9"/>
      <c r="AR153" s="10" t="str">
        <f aca="false">IF(A153="","",SG_Criteria!$B$6&amp;SG_Criteria!$B$9&amp;"\"&amp;A153&amp;"\")</f>
        <v/>
      </c>
      <c r="AS153" s="10" t="str">
        <f aca="false">IF(A153="","",A153&amp;"_CAD.dwg")</f>
        <v/>
      </c>
      <c r="AT153" s="10" t="str">
        <f aca="false">IF(A153="","",A153&amp;"_DWG.pdf")</f>
        <v/>
      </c>
      <c r="AU153" s="10" t="str">
        <f aca="false">IF(A153="","",IF(AQ153="Y",A153&amp;"_STAAD.std","n/a"))</f>
        <v/>
      </c>
      <c r="AV153" s="10" t="str">
        <f aca="false">IF(A153="","",A153&amp;"_CALC.xlsx")</f>
        <v/>
      </c>
      <c r="AW153" s="10" t="str">
        <f aca="false">IF(A153="","",A153&amp;"_CALC.pdf")</f>
        <v/>
      </c>
      <c r="AX153" s="9"/>
      <c r="AY153" s="9"/>
      <c r="AZ153" s="39"/>
      <c r="BA153" s="39"/>
      <c r="BB153" s="39"/>
      <c r="BC153" s="39"/>
      <c r="BD153" s="39"/>
      <c r="BE153" s="12" t="str">
        <f aca="false">IF(A153="","",IF(COUNTIF(Rebar_Schedule!$A$5:$A$2004,A153)=0,"",ROUND(SUMIF(Rebar_Schedule!$A$5:$A$2004,A153,Rebar_Schedule!$K$5:$K$2004),1)))</f>
        <v/>
      </c>
      <c r="BF153" s="33" t="str">
        <f aca="false">IF(A153="","",IF(BE153="","No rebar schedule yet",IF(ABS(BE153-N(BA153))/MAX(N(BA153),1)&gt;SG_Criteria!$B$55,"NOTE: register rebar differs from schedule by "&amp;TEXT(ABS(BE153-N(BA153))/MAX(N(BA153),1),"0%"),"OK")))</f>
        <v/>
      </c>
      <c r="BG153" s="33" t="str">
        <f aca="false">IF(OR(D153="",F153=""),"",IF(F153&lt;=IF(D153="Soldier Pile &amp; Timber Lagging",SG_Criteria!$B$34,SG_Criteria!$B$33),"No ERSS submission",IF(F153&lt;=SG_Criteria!$B$35,"QP(ST)",IF(F153&lt;=SG_Criteria!$B$36,"QP(ST) + AC","Geotechnical building works: QP(Geo) + AC"))))</f>
        <v/>
      </c>
      <c r="BH153" s="33" t="str">
        <f aca="false">IF(D153="","",IF(LEN(IF(AND(AC153&lt;&gt;"",IFERROR(VALUE(MID(AC153,2,2)),0)&lt;SG_Criteria!$B$19),"FAIL: grade below C"&amp;SG_Criteria!$B$19&amp;". ","")&amp;IF(AND(LEFT(D153,3)="Con",N(I153)&lt;F153,H153="Kallang Formation (marine clay)"),"NOTE: CBP is not watertight below GWT in marine clay; consider secant / grouting. ","")&amp;IF(AND(D153="Steel Sheet Pile",E153="Permanent"),"NOTE: permanent sheet pile needs corrosion allowance. ","")&amp;IF(AND(G153="Cantilever (no support)",F153&gt;6),"NOTE: cantilever embedded wall &gt; 6 m, check deflection. ","")&amp;IF(AND(T153&lt;&gt;"",U153&lt;&gt;"",T153&gt;U153),"FAIL: deflection exceeds allowable. ",""))=0,"OK",IF(AND(AC153&lt;&gt;"",IFERROR(VALUE(MID(AC153,2,2)),0)&lt;SG_Criteria!$B$19),"FAIL: grade below C"&amp;SG_Criteria!$B$19&amp;". ","")&amp;IF(AND(LEFT(D153,3)="Con",N(I153)&lt;F153,H153="Kallang Formation (marine clay)"),"NOTE: CBP is not watertight below GWT in marine clay; consider secant / grouting. ","")&amp;IF(AND(D153="Steel Sheet Pile",E153="Permanent"),"NOTE: permanent sheet pile needs corrosion allowance. ","")&amp;IF(AND(G153="Cantilever (no support)",F153&gt;6),"NOTE: cantilever embedded wall &gt; 6 m, check deflection. ","")&amp;IF(AND(T153&lt;&gt;"",U153&lt;&gt;"",T153&gt;U153),"FAIL: deflection exceeds allowable. ","")))</f>
        <v/>
      </c>
      <c r="BI153" s="9"/>
      <c r="BJ153" s="9"/>
      <c r="BK153" s="9"/>
      <c r="BL153" s="10" t="str">
        <f aca="false">IF(BK153="","",IFERROR(VLOOKUP(BK153,Projects!$A$5:$D$504,2,0),"Ref not in Projects"))</f>
        <v/>
      </c>
      <c r="BM153" s="10" t="str">
        <f aca="false">IF(BK153="","",IFERROR(VLOOKUP(BK153,Projects!$A$5:$D$504,4,0),"Ref not in Projects"))</f>
        <v/>
      </c>
      <c r="BN153" s="9"/>
      <c r="BO153" s="9"/>
      <c r="BP153" s="9"/>
      <c r="BQ153" s="40"/>
      <c r="BR153" s="9"/>
      <c r="BS153" s="40"/>
      <c r="BT153" s="9"/>
      <c r="BU153" s="40"/>
      <c r="BV153" s="9"/>
      <c r="BW153" s="9"/>
      <c r="BX153" s="9"/>
      <c r="BY153" s="40"/>
      <c r="BZ153" s="40"/>
      <c r="CA153" s="36" t="str">
        <f aca="false">IF(BZ153="","",EDATE(BZ153,SG_Criteria!$B$54*12))</f>
        <v/>
      </c>
      <c r="CB153" s="33" t="str">
        <f aca="true">IF(A153="","",IF(BZ153="","NOTE: not reviewed yet",IF(TODAY()&gt;CA153,"NOTE: review overdue","OK")))</f>
        <v/>
      </c>
      <c r="CC153" s="37" t="str">
        <f aca="false">IF(A153="","",ROUND((IF(LEN(D153)&gt;0,1,0)+IF(LEN(E153)&gt;0,1,0)+IF(LEN(F153)&gt;0,1,0)+IF(LEN(G153)&gt;0,1,0)+IF(LEN(H153)&gt;0,1,0)+IF(LEN(I153)&gt;0,1,0)+IF(LEN(K153)&gt;0,1,0)+IF(LEN(N153)&gt;0,1,0)+IF(LEN(O153)&gt;0,1,0)+IF(LEN(T153)&gt;0,1,0)+IF(LEN(U153)&gt;0,1,0)+IF(LEN(V153)&gt;0,1,0)+IF(LEN(AK153)&gt;0,1,0)+IF(LEN(AM153)&gt;0,1,0)+IF(LEN(AN153)&gt;0,1,0)+IF(LEN(AO153)&gt;0,1,0)+IF(LEN(AP153)&gt;0,1,0)+IF(LEN(AY153)&gt;0,1,0)+IF(LEN(BK153)&gt;0,1,0)+IF(LEN(BX153)&gt;0,1,0))/20,2))</f>
        <v/>
      </c>
      <c r="CD153" s="10" t="str">
        <f aca="false">IF(D153="","",IF(AND(AN153="Approved",ISERROR(SEARCH("FAIL",BH153))),"Y","N"))</f>
        <v/>
      </c>
      <c r="CE153" s="10" t="str">
        <f aca="false">IF(D153="","",D153&amp;"|"&amp;F153&amp;"|"&amp;G153&amp;"|"&amp;H153&amp;"|"&amp;E153&amp;"|"&amp;CD153)</f>
        <v/>
      </c>
    </row>
    <row r="154" customFormat="false" ht="15" hidden="false" customHeight="false" outlineLevel="0" collapsed="false">
      <c r="A154" s="10" t="str">
        <f aca="false">IF(D154="","","EW-"&amp;IFERROR(VLOOKUP(D154,Lists!$P$4:$Q$22,2,0),"??")&amp;"-D"&amp;TEXT(F154*1000,"0000")&amp;"-"&amp;IFERROR(VLOOKUP(G154,Lists!$S$4:$T$21,2,0),"??")&amp;"-"&amp;IFERROR(VLOOKUP(H154,Lists!$Y$4:$Z$21,2,0),"??")&amp;"-"&amp;IFERROR(VLOOKUP(E154,Lists!$V$4:$W$16,2,0),"??")&amp;"-"&amp;AM154)</f>
        <v/>
      </c>
      <c r="B154" s="10" t="str">
        <f aca="false">IF(D154="","",E154&amp;" "&amp;D154&amp;", excavation "&amp;TEXT(F154,"0.0")&amp;" m, "&amp;G154&amp;", "&amp;H154&amp;", "&amp;K154)</f>
        <v/>
      </c>
      <c r="C154" s="9"/>
      <c r="D154" s="9"/>
      <c r="E154" s="9"/>
      <c r="F154" s="42"/>
      <c r="G154" s="9"/>
      <c r="H154" s="9"/>
      <c r="I154" s="42"/>
      <c r="J154" s="38"/>
      <c r="K154" s="9"/>
      <c r="L154" s="9"/>
      <c r="M154" s="9"/>
      <c r="N154" s="42"/>
      <c r="O154" s="42"/>
      <c r="P154" s="9"/>
      <c r="Q154" s="9"/>
      <c r="R154" s="9"/>
      <c r="S154" s="9"/>
      <c r="T154" s="38"/>
      <c r="U154" s="38"/>
      <c r="V154" s="38"/>
      <c r="W154" s="38"/>
      <c r="X154" s="38"/>
      <c r="Y154" s="9"/>
      <c r="Z154" s="39"/>
      <c r="AA154" s="9"/>
      <c r="AB154" s="9"/>
      <c r="AC154" s="9"/>
      <c r="AD154" s="9"/>
      <c r="AE154" s="9"/>
      <c r="AF154" s="9"/>
      <c r="AG154" s="9"/>
      <c r="AH154" s="38"/>
      <c r="AI154" s="9"/>
      <c r="AJ154" s="39"/>
      <c r="AK154" s="9"/>
      <c r="AL154" s="9"/>
      <c r="AM154" s="9"/>
      <c r="AN154" s="9"/>
      <c r="AO154" s="9"/>
      <c r="AP154" s="9"/>
      <c r="AQ154" s="9"/>
      <c r="AR154" s="10" t="str">
        <f aca="false">IF(A154="","",SG_Criteria!$B$6&amp;SG_Criteria!$B$9&amp;"\"&amp;A154&amp;"\")</f>
        <v/>
      </c>
      <c r="AS154" s="10" t="str">
        <f aca="false">IF(A154="","",A154&amp;"_CAD.dwg")</f>
        <v/>
      </c>
      <c r="AT154" s="10" t="str">
        <f aca="false">IF(A154="","",A154&amp;"_DWG.pdf")</f>
        <v/>
      </c>
      <c r="AU154" s="10" t="str">
        <f aca="false">IF(A154="","",IF(AQ154="Y",A154&amp;"_STAAD.std","n/a"))</f>
        <v/>
      </c>
      <c r="AV154" s="10" t="str">
        <f aca="false">IF(A154="","",A154&amp;"_CALC.xlsx")</f>
        <v/>
      </c>
      <c r="AW154" s="10" t="str">
        <f aca="false">IF(A154="","",A154&amp;"_CALC.pdf")</f>
        <v/>
      </c>
      <c r="AX154" s="9"/>
      <c r="AY154" s="9"/>
      <c r="AZ154" s="39"/>
      <c r="BA154" s="39"/>
      <c r="BB154" s="39"/>
      <c r="BC154" s="39"/>
      <c r="BD154" s="39"/>
      <c r="BE154" s="12" t="str">
        <f aca="false">IF(A154="","",IF(COUNTIF(Rebar_Schedule!$A$5:$A$2004,A154)=0,"",ROUND(SUMIF(Rebar_Schedule!$A$5:$A$2004,A154,Rebar_Schedule!$K$5:$K$2004),1)))</f>
        <v/>
      </c>
      <c r="BF154" s="33" t="str">
        <f aca="false">IF(A154="","",IF(BE154="","No rebar schedule yet",IF(ABS(BE154-N(BA154))/MAX(N(BA154),1)&gt;SG_Criteria!$B$55,"NOTE: register rebar differs from schedule by "&amp;TEXT(ABS(BE154-N(BA154))/MAX(N(BA154),1),"0%"),"OK")))</f>
        <v/>
      </c>
      <c r="BG154" s="33" t="str">
        <f aca="false">IF(OR(D154="",F154=""),"",IF(F154&lt;=IF(D154="Soldier Pile &amp; Timber Lagging",SG_Criteria!$B$34,SG_Criteria!$B$33),"No ERSS submission",IF(F154&lt;=SG_Criteria!$B$35,"QP(ST)",IF(F154&lt;=SG_Criteria!$B$36,"QP(ST) + AC","Geotechnical building works: QP(Geo) + AC"))))</f>
        <v/>
      </c>
      <c r="BH154" s="33" t="str">
        <f aca="false">IF(D154="","",IF(LEN(IF(AND(AC154&lt;&gt;"",IFERROR(VALUE(MID(AC154,2,2)),0)&lt;SG_Criteria!$B$19),"FAIL: grade below C"&amp;SG_Criteria!$B$19&amp;". ","")&amp;IF(AND(LEFT(D154,3)="Con",N(I154)&lt;F154,H154="Kallang Formation (marine clay)"),"NOTE: CBP is not watertight below GWT in marine clay; consider secant / grouting. ","")&amp;IF(AND(D154="Steel Sheet Pile",E154="Permanent"),"NOTE: permanent sheet pile needs corrosion allowance. ","")&amp;IF(AND(G154="Cantilever (no support)",F154&gt;6),"NOTE: cantilever embedded wall &gt; 6 m, check deflection. ","")&amp;IF(AND(T154&lt;&gt;"",U154&lt;&gt;"",T154&gt;U154),"FAIL: deflection exceeds allowable. ",""))=0,"OK",IF(AND(AC154&lt;&gt;"",IFERROR(VALUE(MID(AC154,2,2)),0)&lt;SG_Criteria!$B$19),"FAIL: grade below C"&amp;SG_Criteria!$B$19&amp;". ","")&amp;IF(AND(LEFT(D154,3)="Con",N(I154)&lt;F154,H154="Kallang Formation (marine clay)"),"NOTE: CBP is not watertight below GWT in marine clay; consider secant / grouting. ","")&amp;IF(AND(D154="Steel Sheet Pile",E154="Permanent"),"NOTE: permanent sheet pile needs corrosion allowance. ","")&amp;IF(AND(G154="Cantilever (no support)",F154&gt;6),"NOTE: cantilever embedded wall &gt; 6 m, check deflection. ","")&amp;IF(AND(T154&lt;&gt;"",U154&lt;&gt;"",T154&gt;U154),"FAIL: deflection exceeds allowable. ","")))</f>
        <v/>
      </c>
      <c r="BI154" s="9"/>
      <c r="BJ154" s="9"/>
      <c r="BK154" s="9"/>
      <c r="BL154" s="10" t="str">
        <f aca="false">IF(BK154="","",IFERROR(VLOOKUP(BK154,Projects!$A$5:$D$504,2,0),"Ref not in Projects"))</f>
        <v/>
      </c>
      <c r="BM154" s="10" t="str">
        <f aca="false">IF(BK154="","",IFERROR(VLOOKUP(BK154,Projects!$A$5:$D$504,4,0),"Ref not in Projects"))</f>
        <v/>
      </c>
      <c r="BN154" s="9"/>
      <c r="BO154" s="9"/>
      <c r="BP154" s="9"/>
      <c r="BQ154" s="40"/>
      <c r="BR154" s="9"/>
      <c r="BS154" s="40"/>
      <c r="BT154" s="9"/>
      <c r="BU154" s="40"/>
      <c r="BV154" s="9"/>
      <c r="BW154" s="9"/>
      <c r="BX154" s="9"/>
      <c r="BY154" s="40"/>
      <c r="BZ154" s="40"/>
      <c r="CA154" s="36" t="str">
        <f aca="false">IF(BZ154="","",EDATE(BZ154,SG_Criteria!$B$54*12))</f>
        <v/>
      </c>
      <c r="CB154" s="33" t="str">
        <f aca="true">IF(A154="","",IF(BZ154="","NOTE: not reviewed yet",IF(TODAY()&gt;CA154,"NOTE: review overdue","OK")))</f>
        <v/>
      </c>
      <c r="CC154" s="37" t="str">
        <f aca="false">IF(A154="","",ROUND((IF(LEN(D154)&gt;0,1,0)+IF(LEN(E154)&gt;0,1,0)+IF(LEN(F154)&gt;0,1,0)+IF(LEN(G154)&gt;0,1,0)+IF(LEN(H154)&gt;0,1,0)+IF(LEN(I154)&gt;0,1,0)+IF(LEN(K154)&gt;0,1,0)+IF(LEN(N154)&gt;0,1,0)+IF(LEN(O154)&gt;0,1,0)+IF(LEN(T154)&gt;0,1,0)+IF(LEN(U154)&gt;0,1,0)+IF(LEN(V154)&gt;0,1,0)+IF(LEN(AK154)&gt;0,1,0)+IF(LEN(AM154)&gt;0,1,0)+IF(LEN(AN154)&gt;0,1,0)+IF(LEN(AO154)&gt;0,1,0)+IF(LEN(AP154)&gt;0,1,0)+IF(LEN(AY154)&gt;0,1,0)+IF(LEN(BK154)&gt;0,1,0)+IF(LEN(BX154)&gt;0,1,0))/20,2))</f>
        <v/>
      </c>
      <c r="CD154" s="10" t="str">
        <f aca="false">IF(D154="","",IF(AND(AN154="Approved",ISERROR(SEARCH("FAIL",BH154))),"Y","N"))</f>
        <v/>
      </c>
      <c r="CE154" s="10" t="str">
        <f aca="false">IF(D154="","",D154&amp;"|"&amp;F154&amp;"|"&amp;G154&amp;"|"&amp;H154&amp;"|"&amp;E154&amp;"|"&amp;CD154)</f>
        <v/>
      </c>
    </row>
    <row r="155" customFormat="false" ht="15" hidden="false" customHeight="false" outlineLevel="0" collapsed="false">
      <c r="A155" s="10" t="str">
        <f aca="false">IF(D155="","","EW-"&amp;IFERROR(VLOOKUP(D155,Lists!$P$4:$Q$22,2,0),"??")&amp;"-D"&amp;TEXT(F155*1000,"0000")&amp;"-"&amp;IFERROR(VLOOKUP(G155,Lists!$S$4:$T$21,2,0),"??")&amp;"-"&amp;IFERROR(VLOOKUP(H155,Lists!$Y$4:$Z$21,2,0),"??")&amp;"-"&amp;IFERROR(VLOOKUP(E155,Lists!$V$4:$W$16,2,0),"??")&amp;"-"&amp;AM155)</f>
        <v/>
      </c>
      <c r="B155" s="10" t="str">
        <f aca="false">IF(D155="","",E155&amp;" "&amp;D155&amp;", excavation "&amp;TEXT(F155,"0.0")&amp;" m, "&amp;G155&amp;", "&amp;H155&amp;", "&amp;K155)</f>
        <v/>
      </c>
      <c r="C155" s="9"/>
      <c r="D155" s="9"/>
      <c r="E155" s="9"/>
      <c r="F155" s="42"/>
      <c r="G155" s="9"/>
      <c r="H155" s="9"/>
      <c r="I155" s="42"/>
      <c r="J155" s="38"/>
      <c r="K155" s="9"/>
      <c r="L155" s="9"/>
      <c r="M155" s="9"/>
      <c r="N155" s="42"/>
      <c r="O155" s="42"/>
      <c r="P155" s="9"/>
      <c r="Q155" s="9"/>
      <c r="R155" s="9"/>
      <c r="S155" s="9"/>
      <c r="T155" s="38"/>
      <c r="U155" s="38"/>
      <c r="V155" s="38"/>
      <c r="W155" s="38"/>
      <c r="X155" s="38"/>
      <c r="Y155" s="9"/>
      <c r="Z155" s="39"/>
      <c r="AA155" s="9"/>
      <c r="AB155" s="9"/>
      <c r="AC155" s="9"/>
      <c r="AD155" s="9"/>
      <c r="AE155" s="9"/>
      <c r="AF155" s="9"/>
      <c r="AG155" s="9"/>
      <c r="AH155" s="38"/>
      <c r="AI155" s="9"/>
      <c r="AJ155" s="39"/>
      <c r="AK155" s="9"/>
      <c r="AL155" s="9"/>
      <c r="AM155" s="9"/>
      <c r="AN155" s="9"/>
      <c r="AO155" s="9"/>
      <c r="AP155" s="9"/>
      <c r="AQ155" s="9"/>
      <c r="AR155" s="10" t="str">
        <f aca="false">IF(A155="","",SG_Criteria!$B$6&amp;SG_Criteria!$B$9&amp;"\"&amp;A155&amp;"\")</f>
        <v/>
      </c>
      <c r="AS155" s="10" t="str">
        <f aca="false">IF(A155="","",A155&amp;"_CAD.dwg")</f>
        <v/>
      </c>
      <c r="AT155" s="10" t="str">
        <f aca="false">IF(A155="","",A155&amp;"_DWG.pdf")</f>
        <v/>
      </c>
      <c r="AU155" s="10" t="str">
        <f aca="false">IF(A155="","",IF(AQ155="Y",A155&amp;"_STAAD.std","n/a"))</f>
        <v/>
      </c>
      <c r="AV155" s="10" t="str">
        <f aca="false">IF(A155="","",A155&amp;"_CALC.xlsx")</f>
        <v/>
      </c>
      <c r="AW155" s="10" t="str">
        <f aca="false">IF(A155="","",A155&amp;"_CALC.pdf")</f>
        <v/>
      </c>
      <c r="AX155" s="9"/>
      <c r="AY155" s="9"/>
      <c r="AZ155" s="39"/>
      <c r="BA155" s="39"/>
      <c r="BB155" s="39"/>
      <c r="BC155" s="39"/>
      <c r="BD155" s="39"/>
      <c r="BE155" s="12" t="str">
        <f aca="false">IF(A155="","",IF(COUNTIF(Rebar_Schedule!$A$5:$A$2004,A155)=0,"",ROUND(SUMIF(Rebar_Schedule!$A$5:$A$2004,A155,Rebar_Schedule!$K$5:$K$2004),1)))</f>
        <v/>
      </c>
      <c r="BF155" s="33" t="str">
        <f aca="false">IF(A155="","",IF(BE155="","No rebar schedule yet",IF(ABS(BE155-N(BA155))/MAX(N(BA155),1)&gt;SG_Criteria!$B$55,"NOTE: register rebar differs from schedule by "&amp;TEXT(ABS(BE155-N(BA155))/MAX(N(BA155),1),"0%"),"OK")))</f>
        <v/>
      </c>
      <c r="BG155" s="33" t="str">
        <f aca="false">IF(OR(D155="",F155=""),"",IF(F155&lt;=IF(D155="Soldier Pile &amp; Timber Lagging",SG_Criteria!$B$34,SG_Criteria!$B$33),"No ERSS submission",IF(F155&lt;=SG_Criteria!$B$35,"QP(ST)",IF(F155&lt;=SG_Criteria!$B$36,"QP(ST) + AC","Geotechnical building works: QP(Geo) + AC"))))</f>
        <v/>
      </c>
      <c r="BH155" s="33" t="str">
        <f aca="false">IF(D155="","",IF(LEN(IF(AND(AC155&lt;&gt;"",IFERROR(VALUE(MID(AC155,2,2)),0)&lt;SG_Criteria!$B$19),"FAIL: grade below C"&amp;SG_Criteria!$B$19&amp;". ","")&amp;IF(AND(LEFT(D155,3)="Con",N(I155)&lt;F155,H155="Kallang Formation (marine clay)"),"NOTE: CBP is not watertight below GWT in marine clay; consider secant / grouting. ","")&amp;IF(AND(D155="Steel Sheet Pile",E155="Permanent"),"NOTE: permanent sheet pile needs corrosion allowance. ","")&amp;IF(AND(G155="Cantilever (no support)",F155&gt;6),"NOTE: cantilever embedded wall &gt; 6 m, check deflection. ","")&amp;IF(AND(T155&lt;&gt;"",U155&lt;&gt;"",T155&gt;U155),"FAIL: deflection exceeds allowable. ",""))=0,"OK",IF(AND(AC155&lt;&gt;"",IFERROR(VALUE(MID(AC155,2,2)),0)&lt;SG_Criteria!$B$19),"FAIL: grade below C"&amp;SG_Criteria!$B$19&amp;". ","")&amp;IF(AND(LEFT(D155,3)="Con",N(I155)&lt;F155,H155="Kallang Formation (marine clay)"),"NOTE: CBP is not watertight below GWT in marine clay; consider secant / grouting. ","")&amp;IF(AND(D155="Steel Sheet Pile",E155="Permanent"),"NOTE: permanent sheet pile needs corrosion allowance. ","")&amp;IF(AND(G155="Cantilever (no support)",F155&gt;6),"NOTE: cantilever embedded wall &gt; 6 m, check deflection. ","")&amp;IF(AND(T155&lt;&gt;"",U155&lt;&gt;"",T155&gt;U155),"FAIL: deflection exceeds allowable. ","")))</f>
        <v/>
      </c>
      <c r="BI155" s="9"/>
      <c r="BJ155" s="9"/>
      <c r="BK155" s="9"/>
      <c r="BL155" s="10" t="str">
        <f aca="false">IF(BK155="","",IFERROR(VLOOKUP(BK155,Projects!$A$5:$D$504,2,0),"Ref not in Projects"))</f>
        <v/>
      </c>
      <c r="BM155" s="10" t="str">
        <f aca="false">IF(BK155="","",IFERROR(VLOOKUP(BK155,Projects!$A$5:$D$504,4,0),"Ref not in Projects"))</f>
        <v/>
      </c>
      <c r="BN155" s="9"/>
      <c r="BO155" s="9"/>
      <c r="BP155" s="9"/>
      <c r="BQ155" s="40"/>
      <c r="BR155" s="9"/>
      <c r="BS155" s="40"/>
      <c r="BT155" s="9"/>
      <c r="BU155" s="40"/>
      <c r="BV155" s="9"/>
      <c r="BW155" s="9"/>
      <c r="BX155" s="9"/>
      <c r="BY155" s="40"/>
      <c r="BZ155" s="40"/>
      <c r="CA155" s="36" t="str">
        <f aca="false">IF(BZ155="","",EDATE(BZ155,SG_Criteria!$B$54*12))</f>
        <v/>
      </c>
      <c r="CB155" s="33" t="str">
        <f aca="true">IF(A155="","",IF(BZ155="","NOTE: not reviewed yet",IF(TODAY()&gt;CA155,"NOTE: review overdue","OK")))</f>
        <v/>
      </c>
      <c r="CC155" s="37" t="str">
        <f aca="false">IF(A155="","",ROUND((IF(LEN(D155)&gt;0,1,0)+IF(LEN(E155)&gt;0,1,0)+IF(LEN(F155)&gt;0,1,0)+IF(LEN(G155)&gt;0,1,0)+IF(LEN(H155)&gt;0,1,0)+IF(LEN(I155)&gt;0,1,0)+IF(LEN(K155)&gt;0,1,0)+IF(LEN(N155)&gt;0,1,0)+IF(LEN(O155)&gt;0,1,0)+IF(LEN(T155)&gt;0,1,0)+IF(LEN(U155)&gt;0,1,0)+IF(LEN(V155)&gt;0,1,0)+IF(LEN(AK155)&gt;0,1,0)+IF(LEN(AM155)&gt;0,1,0)+IF(LEN(AN155)&gt;0,1,0)+IF(LEN(AO155)&gt;0,1,0)+IF(LEN(AP155)&gt;0,1,0)+IF(LEN(AY155)&gt;0,1,0)+IF(LEN(BK155)&gt;0,1,0)+IF(LEN(BX155)&gt;0,1,0))/20,2))</f>
        <v/>
      </c>
      <c r="CD155" s="10" t="str">
        <f aca="false">IF(D155="","",IF(AND(AN155="Approved",ISERROR(SEARCH("FAIL",BH155))),"Y","N"))</f>
        <v/>
      </c>
      <c r="CE155" s="10" t="str">
        <f aca="false">IF(D155="","",D155&amp;"|"&amp;F155&amp;"|"&amp;G155&amp;"|"&amp;H155&amp;"|"&amp;E155&amp;"|"&amp;CD155)</f>
        <v/>
      </c>
    </row>
    <row r="156" customFormat="false" ht="15" hidden="false" customHeight="false" outlineLevel="0" collapsed="false">
      <c r="A156" s="10" t="str">
        <f aca="false">IF(D156="","","EW-"&amp;IFERROR(VLOOKUP(D156,Lists!$P$4:$Q$22,2,0),"??")&amp;"-D"&amp;TEXT(F156*1000,"0000")&amp;"-"&amp;IFERROR(VLOOKUP(G156,Lists!$S$4:$T$21,2,0),"??")&amp;"-"&amp;IFERROR(VLOOKUP(H156,Lists!$Y$4:$Z$21,2,0),"??")&amp;"-"&amp;IFERROR(VLOOKUP(E156,Lists!$V$4:$W$16,2,0),"??")&amp;"-"&amp;AM156)</f>
        <v/>
      </c>
      <c r="B156" s="10" t="str">
        <f aca="false">IF(D156="","",E156&amp;" "&amp;D156&amp;", excavation "&amp;TEXT(F156,"0.0")&amp;" m, "&amp;G156&amp;", "&amp;H156&amp;", "&amp;K156)</f>
        <v/>
      </c>
      <c r="C156" s="9"/>
      <c r="D156" s="9"/>
      <c r="E156" s="9"/>
      <c r="F156" s="42"/>
      <c r="G156" s="9"/>
      <c r="H156" s="9"/>
      <c r="I156" s="42"/>
      <c r="J156" s="38"/>
      <c r="K156" s="9"/>
      <c r="L156" s="9"/>
      <c r="M156" s="9"/>
      <c r="N156" s="42"/>
      <c r="O156" s="42"/>
      <c r="P156" s="9"/>
      <c r="Q156" s="9"/>
      <c r="R156" s="9"/>
      <c r="S156" s="9"/>
      <c r="T156" s="38"/>
      <c r="U156" s="38"/>
      <c r="V156" s="38"/>
      <c r="W156" s="38"/>
      <c r="X156" s="38"/>
      <c r="Y156" s="9"/>
      <c r="Z156" s="39"/>
      <c r="AA156" s="9"/>
      <c r="AB156" s="9"/>
      <c r="AC156" s="9"/>
      <c r="AD156" s="9"/>
      <c r="AE156" s="9"/>
      <c r="AF156" s="9"/>
      <c r="AG156" s="9"/>
      <c r="AH156" s="38"/>
      <c r="AI156" s="9"/>
      <c r="AJ156" s="39"/>
      <c r="AK156" s="9"/>
      <c r="AL156" s="9"/>
      <c r="AM156" s="9"/>
      <c r="AN156" s="9"/>
      <c r="AO156" s="9"/>
      <c r="AP156" s="9"/>
      <c r="AQ156" s="9"/>
      <c r="AR156" s="10" t="str">
        <f aca="false">IF(A156="","",SG_Criteria!$B$6&amp;SG_Criteria!$B$9&amp;"\"&amp;A156&amp;"\")</f>
        <v/>
      </c>
      <c r="AS156" s="10" t="str">
        <f aca="false">IF(A156="","",A156&amp;"_CAD.dwg")</f>
        <v/>
      </c>
      <c r="AT156" s="10" t="str">
        <f aca="false">IF(A156="","",A156&amp;"_DWG.pdf")</f>
        <v/>
      </c>
      <c r="AU156" s="10" t="str">
        <f aca="false">IF(A156="","",IF(AQ156="Y",A156&amp;"_STAAD.std","n/a"))</f>
        <v/>
      </c>
      <c r="AV156" s="10" t="str">
        <f aca="false">IF(A156="","",A156&amp;"_CALC.xlsx")</f>
        <v/>
      </c>
      <c r="AW156" s="10" t="str">
        <f aca="false">IF(A156="","",A156&amp;"_CALC.pdf")</f>
        <v/>
      </c>
      <c r="AX156" s="9"/>
      <c r="AY156" s="9"/>
      <c r="AZ156" s="39"/>
      <c r="BA156" s="39"/>
      <c r="BB156" s="39"/>
      <c r="BC156" s="39"/>
      <c r="BD156" s="39"/>
      <c r="BE156" s="12" t="str">
        <f aca="false">IF(A156="","",IF(COUNTIF(Rebar_Schedule!$A$5:$A$2004,A156)=0,"",ROUND(SUMIF(Rebar_Schedule!$A$5:$A$2004,A156,Rebar_Schedule!$K$5:$K$2004),1)))</f>
        <v/>
      </c>
      <c r="BF156" s="33" t="str">
        <f aca="false">IF(A156="","",IF(BE156="","No rebar schedule yet",IF(ABS(BE156-N(BA156))/MAX(N(BA156),1)&gt;SG_Criteria!$B$55,"NOTE: register rebar differs from schedule by "&amp;TEXT(ABS(BE156-N(BA156))/MAX(N(BA156),1),"0%"),"OK")))</f>
        <v/>
      </c>
      <c r="BG156" s="33" t="str">
        <f aca="false">IF(OR(D156="",F156=""),"",IF(F156&lt;=IF(D156="Soldier Pile &amp; Timber Lagging",SG_Criteria!$B$34,SG_Criteria!$B$33),"No ERSS submission",IF(F156&lt;=SG_Criteria!$B$35,"QP(ST)",IF(F156&lt;=SG_Criteria!$B$36,"QP(ST) + AC","Geotechnical building works: QP(Geo) + AC"))))</f>
        <v/>
      </c>
      <c r="BH156" s="33" t="str">
        <f aca="false">IF(D156="","",IF(LEN(IF(AND(AC156&lt;&gt;"",IFERROR(VALUE(MID(AC156,2,2)),0)&lt;SG_Criteria!$B$19),"FAIL: grade below C"&amp;SG_Criteria!$B$19&amp;". ","")&amp;IF(AND(LEFT(D156,3)="Con",N(I156)&lt;F156,H156="Kallang Formation (marine clay)"),"NOTE: CBP is not watertight below GWT in marine clay; consider secant / grouting. ","")&amp;IF(AND(D156="Steel Sheet Pile",E156="Permanent"),"NOTE: permanent sheet pile needs corrosion allowance. ","")&amp;IF(AND(G156="Cantilever (no support)",F156&gt;6),"NOTE: cantilever embedded wall &gt; 6 m, check deflection. ","")&amp;IF(AND(T156&lt;&gt;"",U156&lt;&gt;"",T156&gt;U156),"FAIL: deflection exceeds allowable. ",""))=0,"OK",IF(AND(AC156&lt;&gt;"",IFERROR(VALUE(MID(AC156,2,2)),0)&lt;SG_Criteria!$B$19),"FAIL: grade below C"&amp;SG_Criteria!$B$19&amp;". ","")&amp;IF(AND(LEFT(D156,3)="Con",N(I156)&lt;F156,H156="Kallang Formation (marine clay)"),"NOTE: CBP is not watertight below GWT in marine clay; consider secant / grouting. ","")&amp;IF(AND(D156="Steel Sheet Pile",E156="Permanent"),"NOTE: permanent sheet pile needs corrosion allowance. ","")&amp;IF(AND(G156="Cantilever (no support)",F156&gt;6),"NOTE: cantilever embedded wall &gt; 6 m, check deflection. ","")&amp;IF(AND(T156&lt;&gt;"",U156&lt;&gt;"",T156&gt;U156),"FAIL: deflection exceeds allowable. ","")))</f>
        <v/>
      </c>
      <c r="BI156" s="9"/>
      <c r="BJ156" s="9"/>
      <c r="BK156" s="9"/>
      <c r="BL156" s="10" t="str">
        <f aca="false">IF(BK156="","",IFERROR(VLOOKUP(BK156,Projects!$A$5:$D$504,2,0),"Ref not in Projects"))</f>
        <v/>
      </c>
      <c r="BM156" s="10" t="str">
        <f aca="false">IF(BK156="","",IFERROR(VLOOKUP(BK156,Projects!$A$5:$D$504,4,0),"Ref not in Projects"))</f>
        <v/>
      </c>
      <c r="BN156" s="9"/>
      <c r="BO156" s="9"/>
      <c r="BP156" s="9"/>
      <c r="BQ156" s="40"/>
      <c r="BR156" s="9"/>
      <c r="BS156" s="40"/>
      <c r="BT156" s="9"/>
      <c r="BU156" s="40"/>
      <c r="BV156" s="9"/>
      <c r="BW156" s="9"/>
      <c r="BX156" s="9"/>
      <c r="BY156" s="40"/>
      <c r="BZ156" s="40"/>
      <c r="CA156" s="36" t="str">
        <f aca="false">IF(BZ156="","",EDATE(BZ156,SG_Criteria!$B$54*12))</f>
        <v/>
      </c>
      <c r="CB156" s="33" t="str">
        <f aca="true">IF(A156="","",IF(BZ156="","NOTE: not reviewed yet",IF(TODAY()&gt;CA156,"NOTE: review overdue","OK")))</f>
        <v/>
      </c>
      <c r="CC156" s="37" t="str">
        <f aca="false">IF(A156="","",ROUND((IF(LEN(D156)&gt;0,1,0)+IF(LEN(E156)&gt;0,1,0)+IF(LEN(F156)&gt;0,1,0)+IF(LEN(G156)&gt;0,1,0)+IF(LEN(H156)&gt;0,1,0)+IF(LEN(I156)&gt;0,1,0)+IF(LEN(K156)&gt;0,1,0)+IF(LEN(N156)&gt;0,1,0)+IF(LEN(O156)&gt;0,1,0)+IF(LEN(T156)&gt;0,1,0)+IF(LEN(U156)&gt;0,1,0)+IF(LEN(V156)&gt;0,1,0)+IF(LEN(AK156)&gt;0,1,0)+IF(LEN(AM156)&gt;0,1,0)+IF(LEN(AN156)&gt;0,1,0)+IF(LEN(AO156)&gt;0,1,0)+IF(LEN(AP156)&gt;0,1,0)+IF(LEN(AY156)&gt;0,1,0)+IF(LEN(BK156)&gt;0,1,0)+IF(LEN(BX156)&gt;0,1,0))/20,2))</f>
        <v/>
      </c>
      <c r="CD156" s="10" t="str">
        <f aca="false">IF(D156="","",IF(AND(AN156="Approved",ISERROR(SEARCH("FAIL",BH156))),"Y","N"))</f>
        <v/>
      </c>
      <c r="CE156" s="10" t="str">
        <f aca="false">IF(D156="","",D156&amp;"|"&amp;F156&amp;"|"&amp;G156&amp;"|"&amp;H156&amp;"|"&amp;E156&amp;"|"&amp;CD156)</f>
        <v/>
      </c>
    </row>
    <row r="157" customFormat="false" ht="15" hidden="false" customHeight="false" outlineLevel="0" collapsed="false">
      <c r="A157" s="10" t="str">
        <f aca="false">IF(D157="","","EW-"&amp;IFERROR(VLOOKUP(D157,Lists!$P$4:$Q$22,2,0),"??")&amp;"-D"&amp;TEXT(F157*1000,"0000")&amp;"-"&amp;IFERROR(VLOOKUP(G157,Lists!$S$4:$T$21,2,0),"??")&amp;"-"&amp;IFERROR(VLOOKUP(H157,Lists!$Y$4:$Z$21,2,0),"??")&amp;"-"&amp;IFERROR(VLOOKUP(E157,Lists!$V$4:$W$16,2,0),"??")&amp;"-"&amp;AM157)</f>
        <v/>
      </c>
      <c r="B157" s="10" t="str">
        <f aca="false">IF(D157="","",E157&amp;" "&amp;D157&amp;", excavation "&amp;TEXT(F157,"0.0")&amp;" m, "&amp;G157&amp;", "&amp;H157&amp;", "&amp;K157)</f>
        <v/>
      </c>
      <c r="C157" s="9"/>
      <c r="D157" s="9"/>
      <c r="E157" s="9"/>
      <c r="F157" s="42"/>
      <c r="G157" s="9"/>
      <c r="H157" s="9"/>
      <c r="I157" s="42"/>
      <c r="J157" s="38"/>
      <c r="K157" s="9"/>
      <c r="L157" s="9"/>
      <c r="M157" s="9"/>
      <c r="N157" s="42"/>
      <c r="O157" s="42"/>
      <c r="P157" s="9"/>
      <c r="Q157" s="9"/>
      <c r="R157" s="9"/>
      <c r="S157" s="9"/>
      <c r="T157" s="38"/>
      <c r="U157" s="38"/>
      <c r="V157" s="38"/>
      <c r="W157" s="38"/>
      <c r="X157" s="38"/>
      <c r="Y157" s="9"/>
      <c r="Z157" s="39"/>
      <c r="AA157" s="9"/>
      <c r="AB157" s="9"/>
      <c r="AC157" s="9"/>
      <c r="AD157" s="9"/>
      <c r="AE157" s="9"/>
      <c r="AF157" s="9"/>
      <c r="AG157" s="9"/>
      <c r="AH157" s="38"/>
      <c r="AI157" s="9"/>
      <c r="AJ157" s="39"/>
      <c r="AK157" s="9"/>
      <c r="AL157" s="9"/>
      <c r="AM157" s="9"/>
      <c r="AN157" s="9"/>
      <c r="AO157" s="9"/>
      <c r="AP157" s="9"/>
      <c r="AQ157" s="9"/>
      <c r="AR157" s="10" t="str">
        <f aca="false">IF(A157="","",SG_Criteria!$B$6&amp;SG_Criteria!$B$9&amp;"\"&amp;A157&amp;"\")</f>
        <v/>
      </c>
      <c r="AS157" s="10" t="str">
        <f aca="false">IF(A157="","",A157&amp;"_CAD.dwg")</f>
        <v/>
      </c>
      <c r="AT157" s="10" t="str">
        <f aca="false">IF(A157="","",A157&amp;"_DWG.pdf")</f>
        <v/>
      </c>
      <c r="AU157" s="10" t="str">
        <f aca="false">IF(A157="","",IF(AQ157="Y",A157&amp;"_STAAD.std","n/a"))</f>
        <v/>
      </c>
      <c r="AV157" s="10" t="str">
        <f aca="false">IF(A157="","",A157&amp;"_CALC.xlsx")</f>
        <v/>
      </c>
      <c r="AW157" s="10" t="str">
        <f aca="false">IF(A157="","",A157&amp;"_CALC.pdf")</f>
        <v/>
      </c>
      <c r="AX157" s="9"/>
      <c r="AY157" s="9"/>
      <c r="AZ157" s="39"/>
      <c r="BA157" s="39"/>
      <c r="BB157" s="39"/>
      <c r="BC157" s="39"/>
      <c r="BD157" s="39"/>
      <c r="BE157" s="12" t="str">
        <f aca="false">IF(A157="","",IF(COUNTIF(Rebar_Schedule!$A$5:$A$2004,A157)=0,"",ROUND(SUMIF(Rebar_Schedule!$A$5:$A$2004,A157,Rebar_Schedule!$K$5:$K$2004),1)))</f>
        <v/>
      </c>
      <c r="BF157" s="33" t="str">
        <f aca="false">IF(A157="","",IF(BE157="","No rebar schedule yet",IF(ABS(BE157-N(BA157))/MAX(N(BA157),1)&gt;SG_Criteria!$B$55,"NOTE: register rebar differs from schedule by "&amp;TEXT(ABS(BE157-N(BA157))/MAX(N(BA157),1),"0%"),"OK")))</f>
        <v/>
      </c>
      <c r="BG157" s="33" t="str">
        <f aca="false">IF(OR(D157="",F157=""),"",IF(F157&lt;=IF(D157="Soldier Pile &amp; Timber Lagging",SG_Criteria!$B$34,SG_Criteria!$B$33),"No ERSS submission",IF(F157&lt;=SG_Criteria!$B$35,"QP(ST)",IF(F157&lt;=SG_Criteria!$B$36,"QP(ST) + AC","Geotechnical building works: QP(Geo) + AC"))))</f>
        <v/>
      </c>
      <c r="BH157" s="33" t="str">
        <f aca="false">IF(D157="","",IF(LEN(IF(AND(AC157&lt;&gt;"",IFERROR(VALUE(MID(AC157,2,2)),0)&lt;SG_Criteria!$B$19),"FAIL: grade below C"&amp;SG_Criteria!$B$19&amp;". ","")&amp;IF(AND(LEFT(D157,3)="Con",N(I157)&lt;F157,H157="Kallang Formation (marine clay)"),"NOTE: CBP is not watertight below GWT in marine clay; consider secant / grouting. ","")&amp;IF(AND(D157="Steel Sheet Pile",E157="Permanent"),"NOTE: permanent sheet pile needs corrosion allowance. ","")&amp;IF(AND(G157="Cantilever (no support)",F157&gt;6),"NOTE: cantilever embedded wall &gt; 6 m, check deflection. ","")&amp;IF(AND(T157&lt;&gt;"",U157&lt;&gt;"",T157&gt;U157),"FAIL: deflection exceeds allowable. ",""))=0,"OK",IF(AND(AC157&lt;&gt;"",IFERROR(VALUE(MID(AC157,2,2)),0)&lt;SG_Criteria!$B$19),"FAIL: grade below C"&amp;SG_Criteria!$B$19&amp;". ","")&amp;IF(AND(LEFT(D157,3)="Con",N(I157)&lt;F157,H157="Kallang Formation (marine clay)"),"NOTE: CBP is not watertight below GWT in marine clay; consider secant / grouting. ","")&amp;IF(AND(D157="Steel Sheet Pile",E157="Permanent"),"NOTE: permanent sheet pile needs corrosion allowance. ","")&amp;IF(AND(G157="Cantilever (no support)",F157&gt;6),"NOTE: cantilever embedded wall &gt; 6 m, check deflection. ","")&amp;IF(AND(T157&lt;&gt;"",U157&lt;&gt;"",T157&gt;U157),"FAIL: deflection exceeds allowable. ","")))</f>
        <v/>
      </c>
      <c r="BI157" s="9"/>
      <c r="BJ157" s="9"/>
      <c r="BK157" s="9"/>
      <c r="BL157" s="10" t="str">
        <f aca="false">IF(BK157="","",IFERROR(VLOOKUP(BK157,Projects!$A$5:$D$504,2,0),"Ref not in Projects"))</f>
        <v/>
      </c>
      <c r="BM157" s="10" t="str">
        <f aca="false">IF(BK157="","",IFERROR(VLOOKUP(BK157,Projects!$A$5:$D$504,4,0),"Ref not in Projects"))</f>
        <v/>
      </c>
      <c r="BN157" s="9"/>
      <c r="BO157" s="9"/>
      <c r="BP157" s="9"/>
      <c r="BQ157" s="40"/>
      <c r="BR157" s="9"/>
      <c r="BS157" s="40"/>
      <c r="BT157" s="9"/>
      <c r="BU157" s="40"/>
      <c r="BV157" s="9"/>
      <c r="BW157" s="9"/>
      <c r="BX157" s="9"/>
      <c r="BY157" s="40"/>
      <c r="BZ157" s="40"/>
      <c r="CA157" s="36" t="str">
        <f aca="false">IF(BZ157="","",EDATE(BZ157,SG_Criteria!$B$54*12))</f>
        <v/>
      </c>
      <c r="CB157" s="33" t="str">
        <f aca="true">IF(A157="","",IF(BZ157="","NOTE: not reviewed yet",IF(TODAY()&gt;CA157,"NOTE: review overdue","OK")))</f>
        <v/>
      </c>
      <c r="CC157" s="37" t="str">
        <f aca="false">IF(A157="","",ROUND((IF(LEN(D157)&gt;0,1,0)+IF(LEN(E157)&gt;0,1,0)+IF(LEN(F157)&gt;0,1,0)+IF(LEN(G157)&gt;0,1,0)+IF(LEN(H157)&gt;0,1,0)+IF(LEN(I157)&gt;0,1,0)+IF(LEN(K157)&gt;0,1,0)+IF(LEN(N157)&gt;0,1,0)+IF(LEN(O157)&gt;0,1,0)+IF(LEN(T157)&gt;0,1,0)+IF(LEN(U157)&gt;0,1,0)+IF(LEN(V157)&gt;0,1,0)+IF(LEN(AK157)&gt;0,1,0)+IF(LEN(AM157)&gt;0,1,0)+IF(LEN(AN157)&gt;0,1,0)+IF(LEN(AO157)&gt;0,1,0)+IF(LEN(AP157)&gt;0,1,0)+IF(LEN(AY157)&gt;0,1,0)+IF(LEN(BK157)&gt;0,1,0)+IF(LEN(BX157)&gt;0,1,0))/20,2))</f>
        <v/>
      </c>
      <c r="CD157" s="10" t="str">
        <f aca="false">IF(D157="","",IF(AND(AN157="Approved",ISERROR(SEARCH("FAIL",BH157))),"Y","N"))</f>
        <v/>
      </c>
      <c r="CE157" s="10" t="str">
        <f aca="false">IF(D157="","",D157&amp;"|"&amp;F157&amp;"|"&amp;G157&amp;"|"&amp;H157&amp;"|"&amp;E157&amp;"|"&amp;CD157)</f>
        <v/>
      </c>
    </row>
    <row r="158" customFormat="false" ht="15" hidden="false" customHeight="false" outlineLevel="0" collapsed="false">
      <c r="A158" s="10" t="str">
        <f aca="false">IF(D158="","","EW-"&amp;IFERROR(VLOOKUP(D158,Lists!$P$4:$Q$22,2,0),"??")&amp;"-D"&amp;TEXT(F158*1000,"0000")&amp;"-"&amp;IFERROR(VLOOKUP(G158,Lists!$S$4:$T$21,2,0),"??")&amp;"-"&amp;IFERROR(VLOOKUP(H158,Lists!$Y$4:$Z$21,2,0),"??")&amp;"-"&amp;IFERROR(VLOOKUP(E158,Lists!$V$4:$W$16,2,0),"??")&amp;"-"&amp;AM158)</f>
        <v/>
      </c>
      <c r="B158" s="10" t="str">
        <f aca="false">IF(D158="","",E158&amp;" "&amp;D158&amp;", excavation "&amp;TEXT(F158,"0.0")&amp;" m, "&amp;G158&amp;", "&amp;H158&amp;", "&amp;K158)</f>
        <v/>
      </c>
      <c r="C158" s="9"/>
      <c r="D158" s="9"/>
      <c r="E158" s="9"/>
      <c r="F158" s="42"/>
      <c r="G158" s="9"/>
      <c r="H158" s="9"/>
      <c r="I158" s="42"/>
      <c r="J158" s="38"/>
      <c r="K158" s="9"/>
      <c r="L158" s="9"/>
      <c r="M158" s="9"/>
      <c r="N158" s="42"/>
      <c r="O158" s="42"/>
      <c r="P158" s="9"/>
      <c r="Q158" s="9"/>
      <c r="R158" s="9"/>
      <c r="S158" s="9"/>
      <c r="T158" s="38"/>
      <c r="U158" s="38"/>
      <c r="V158" s="38"/>
      <c r="W158" s="38"/>
      <c r="X158" s="38"/>
      <c r="Y158" s="9"/>
      <c r="Z158" s="39"/>
      <c r="AA158" s="9"/>
      <c r="AB158" s="9"/>
      <c r="AC158" s="9"/>
      <c r="AD158" s="9"/>
      <c r="AE158" s="9"/>
      <c r="AF158" s="9"/>
      <c r="AG158" s="9"/>
      <c r="AH158" s="38"/>
      <c r="AI158" s="9"/>
      <c r="AJ158" s="39"/>
      <c r="AK158" s="9"/>
      <c r="AL158" s="9"/>
      <c r="AM158" s="9"/>
      <c r="AN158" s="9"/>
      <c r="AO158" s="9"/>
      <c r="AP158" s="9"/>
      <c r="AQ158" s="9"/>
      <c r="AR158" s="10" t="str">
        <f aca="false">IF(A158="","",SG_Criteria!$B$6&amp;SG_Criteria!$B$9&amp;"\"&amp;A158&amp;"\")</f>
        <v/>
      </c>
      <c r="AS158" s="10" t="str">
        <f aca="false">IF(A158="","",A158&amp;"_CAD.dwg")</f>
        <v/>
      </c>
      <c r="AT158" s="10" t="str">
        <f aca="false">IF(A158="","",A158&amp;"_DWG.pdf")</f>
        <v/>
      </c>
      <c r="AU158" s="10" t="str">
        <f aca="false">IF(A158="","",IF(AQ158="Y",A158&amp;"_STAAD.std","n/a"))</f>
        <v/>
      </c>
      <c r="AV158" s="10" t="str">
        <f aca="false">IF(A158="","",A158&amp;"_CALC.xlsx")</f>
        <v/>
      </c>
      <c r="AW158" s="10" t="str">
        <f aca="false">IF(A158="","",A158&amp;"_CALC.pdf")</f>
        <v/>
      </c>
      <c r="AX158" s="9"/>
      <c r="AY158" s="9"/>
      <c r="AZ158" s="39"/>
      <c r="BA158" s="39"/>
      <c r="BB158" s="39"/>
      <c r="BC158" s="39"/>
      <c r="BD158" s="39"/>
      <c r="BE158" s="12" t="str">
        <f aca="false">IF(A158="","",IF(COUNTIF(Rebar_Schedule!$A$5:$A$2004,A158)=0,"",ROUND(SUMIF(Rebar_Schedule!$A$5:$A$2004,A158,Rebar_Schedule!$K$5:$K$2004),1)))</f>
        <v/>
      </c>
      <c r="BF158" s="33" t="str">
        <f aca="false">IF(A158="","",IF(BE158="","No rebar schedule yet",IF(ABS(BE158-N(BA158))/MAX(N(BA158),1)&gt;SG_Criteria!$B$55,"NOTE: register rebar differs from schedule by "&amp;TEXT(ABS(BE158-N(BA158))/MAX(N(BA158),1),"0%"),"OK")))</f>
        <v/>
      </c>
      <c r="BG158" s="33" t="str">
        <f aca="false">IF(OR(D158="",F158=""),"",IF(F158&lt;=IF(D158="Soldier Pile &amp; Timber Lagging",SG_Criteria!$B$34,SG_Criteria!$B$33),"No ERSS submission",IF(F158&lt;=SG_Criteria!$B$35,"QP(ST)",IF(F158&lt;=SG_Criteria!$B$36,"QP(ST) + AC","Geotechnical building works: QP(Geo) + AC"))))</f>
        <v/>
      </c>
      <c r="BH158" s="33" t="str">
        <f aca="false">IF(D158="","",IF(LEN(IF(AND(AC158&lt;&gt;"",IFERROR(VALUE(MID(AC158,2,2)),0)&lt;SG_Criteria!$B$19),"FAIL: grade below C"&amp;SG_Criteria!$B$19&amp;". ","")&amp;IF(AND(LEFT(D158,3)="Con",N(I158)&lt;F158,H158="Kallang Formation (marine clay)"),"NOTE: CBP is not watertight below GWT in marine clay; consider secant / grouting. ","")&amp;IF(AND(D158="Steel Sheet Pile",E158="Permanent"),"NOTE: permanent sheet pile needs corrosion allowance. ","")&amp;IF(AND(G158="Cantilever (no support)",F158&gt;6),"NOTE: cantilever embedded wall &gt; 6 m, check deflection. ","")&amp;IF(AND(T158&lt;&gt;"",U158&lt;&gt;"",T158&gt;U158),"FAIL: deflection exceeds allowable. ",""))=0,"OK",IF(AND(AC158&lt;&gt;"",IFERROR(VALUE(MID(AC158,2,2)),0)&lt;SG_Criteria!$B$19),"FAIL: grade below C"&amp;SG_Criteria!$B$19&amp;". ","")&amp;IF(AND(LEFT(D158,3)="Con",N(I158)&lt;F158,H158="Kallang Formation (marine clay)"),"NOTE: CBP is not watertight below GWT in marine clay; consider secant / grouting. ","")&amp;IF(AND(D158="Steel Sheet Pile",E158="Permanent"),"NOTE: permanent sheet pile needs corrosion allowance. ","")&amp;IF(AND(G158="Cantilever (no support)",F158&gt;6),"NOTE: cantilever embedded wall &gt; 6 m, check deflection. ","")&amp;IF(AND(T158&lt;&gt;"",U158&lt;&gt;"",T158&gt;U158),"FAIL: deflection exceeds allowable. ","")))</f>
        <v/>
      </c>
      <c r="BI158" s="9"/>
      <c r="BJ158" s="9"/>
      <c r="BK158" s="9"/>
      <c r="BL158" s="10" t="str">
        <f aca="false">IF(BK158="","",IFERROR(VLOOKUP(BK158,Projects!$A$5:$D$504,2,0),"Ref not in Projects"))</f>
        <v/>
      </c>
      <c r="BM158" s="10" t="str">
        <f aca="false">IF(BK158="","",IFERROR(VLOOKUP(BK158,Projects!$A$5:$D$504,4,0),"Ref not in Projects"))</f>
        <v/>
      </c>
      <c r="BN158" s="9"/>
      <c r="BO158" s="9"/>
      <c r="BP158" s="9"/>
      <c r="BQ158" s="40"/>
      <c r="BR158" s="9"/>
      <c r="BS158" s="40"/>
      <c r="BT158" s="9"/>
      <c r="BU158" s="40"/>
      <c r="BV158" s="9"/>
      <c r="BW158" s="9"/>
      <c r="BX158" s="9"/>
      <c r="BY158" s="40"/>
      <c r="BZ158" s="40"/>
      <c r="CA158" s="36" t="str">
        <f aca="false">IF(BZ158="","",EDATE(BZ158,SG_Criteria!$B$54*12))</f>
        <v/>
      </c>
      <c r="CB158" s="33" t="str">
        <f aca="true">IF(A158="","",IF(BZ158="","NOTE: not reviewed yet",IF(TODAY()&gt;CA158,"NOTE: review overdue","OK")))</f>
        <v/>
      </c>
      <c r="CC158" s="37" t="str">
        <f aca="false">IF(A158="","",ROUND((IF(LEN(D158)&gt;0,1,0)+IF(LEN(E158)&gt;0,1,0)+IF(LEN(F158)&gt;0,1,0)+IF(LEN(G158)&gt;0,1,0)+IF(LEN(H158)&gt;0,1,0)+IF(LEN(I158)&gt;0,1,0)+IF(LEN(K158)&gt;0,1,0)+IF(LEN(N158)&gt;0,1,0)+IF(LEN(O158)&gt;0,1,0)+IF(LEN(T158)&gt;0,1,0)+IF(LEN(U158)&gt;0,1,0)+IF(LEN(V158)&gt;0,1,0)+IF(LEN(AK158)&gt;0,1,0)+IF(LEN(AM158)&gt;0,1,0)+IF(LEN(AN158)&gt;0,1,0)+IF(LEN(AO158)&gt;0,1,0)+IF(LEN(AP158)&gt;0,1,0)+IF(LEN(AY158)&gt;0,1,0)+IF(LEN(BK158)&gt;0,1,0)+IF(LEN(BX158)&gt;0,1,0))/20,2))</f>
        <v/>
      </c>
      <c r="CD158" s="10" t="str">
        <f aca="false">IF(D158="","",IF(AND(AN158="Approved",ISERROR(SEARCH("FAIL",BH158))),"Y","N"))</f>
        <v/>
      </c>
      <c r="CE158" s="10" t="str">
        <f aca="false">IF(D158="","",D158&amp;"|"&amp;F158&amp;"|"&amp;G158&amp;"|"&amp;H158&amp;"|"&amp;E158&amp;"|"&amp;CD158)</f>
        <v/>
      </c>
    </row>
    <row r="159" customFormat="false" ht="15" hidden="false" customHeight="false" outlineLevel="0" collapsed="false">
      <c r="A159" s="10" t="str">
        <f aca="false">IF(D159="","","EW-"&amp;IFERROR(VLOOKUP(D159,Lists!$P$4:$Q$22,2,0),"??")&amp;"-D"&amp;TEXT(F159*1000,"0000")&amp;"-"&amp;IFERROR(VLOOKUP(G159,Lists!$S$4:$T$21,2,0),"??")&amp;"-"&amp;IFERROR(VLOOKUP(H159,Lists!$Y$4:$Z$21,2,0),"??")&amp;"-"&amp;IFERROR(VLOOKUP(E159,Lists!$V$4:$W$16,2,0),"??")&amp;"-"&amp;AM159)</f>
        <v/>
      </c>
      <c r="B159" s="10" t="str">
        <f aca="false">IF(D159="","",E159&amp;" "&amp;D159&amp;", excavation "&amp;TEXT(F159,"0.0")&amp;" m, "&amp;G159&amp;", "&amp;H159&amp;", "&amp;K159)</f>
        <v/>
      </c>
      <c r="C159" s="9"/>
      <c r="D159" s="9"/>
      <c r="E159" s="9"/>
      <c r="F159" s="42"/>
      <c r="G159" s="9"/>
      <c r="H159" s="9"/>
      <c r="I159" s="42"/>
      <c r="J159" s="38"/>
      <c r="K159" s="9"/>
      <c r="L159" s="9"/>
      <c r="M159" s="9"/>
      <c r="N159" s="42"/>
      <c r="O159" s="42"/>
      <c r="P159" s="9"/>
      <c r="Q159" s="9"/>
      <c r="R159" s="9"/>
      <c r="S159" s="9"/>
      <c r="T159" s="38"/>
      <c r="U159" s="38"/>
      <c r="V159" s="38"/>
      <c r="W159" s="38"/>
      <c r="X159" s="38"/>
      <c r="Y159" s="9"/>
      <c r="Z159" s="39"/>
      <c r="AA159" s="9"/>
      <c r="AB159" s="9"/>
      <c r="AC159" s="9"/>
      <c r="AD159" s="9"/>
      <c r="AE159" s="9"/>
      <c r="AF159" s="9"/>
      <c r="AG159" s="9"/>
      <c r="AH159" s="38"/>
      <c r="AI159" s="9"/>
      <c r="AJ159" s="39"/>
      <c r="AK159" s="9"/>
      <c r="AL159" s="9"/>
      <c r="AM159" s="9"/>
      <c r="AN159" s="9"/>
      <c r="AO159" s="9"/>
      <c r="AP159" s="9"/>
      <c r="AQ159" s="9"/>
      <c r="AR159" s="10" t="str">
        <f aca="false">IF(A159="","",SG_Criteria!$B$6&amp;SG_Criteria!$B$9&amp;"\"&amp;A159&amp;"\")</f>
        <v/>
      </c>
      <c r="AS159" s="10" t="str">
        <f aca="false">IF(A159="","",A159&amp;"_CAD.dwg")</f>
        <v/>
      </c>
      <c r="AT159" s="10" t="str">
        <f aca="false">IF(A159="","",A159&amp;"_DWG.pdf")</f>
        <v/>
      </c>
      <c r="AU159" s="10" t="str">
        <f aca="false">IF(A159="","",IF(AQ159="Y",A159&amp;"_STAAD.std","n/a"))</f>
        <v/>
      </c>
      <c r="AV159" s="10" t="str">
        <f aca="false">IF(A159="","",A159&amp;"_CALC.xlsx")</f>
        <v/>
      </c>
      <c r="AW159" s="10" t="str">
        <f aca="false">IF(A159="","",A159&amp;"_CALC.pdf")</f>
        <v/>
      </c>
      <c r="AX159" s="9"/>
      <c r="AY159" s="9"/>
      <c r="AZ159" s="39"/>
      <c r="BA159" s="39"/>
      <c r="BB159" s="39"/>
      <c r="BC159" s="39"/>
      <c r="BD159" s="39"/>
      <c r="BE159" s="12" t="str">
        <f aca="false">IF(A159="","",IF(COUNTIF(Rebar_Schedule!$A$5:$A$2004,A159)=0,"",ROUND(SUMIF(Rebar_Schedule!$A$5:$A$2004,A159,Rebar_Schedule!$K$5:$K$2004),1)))</f>
        <v/>
      </c>
      <c r="BF159" s="33" t="str">
        <f aca="false">IF(A159="","",IF(BE159="","No rebar schedule yet",IF(ABS(BE159-N(BA159))/MAX(N(BA159),1)&gt;SG_Criteria!$B$55,"NOTE: register rebar differs from schedule by "&amp;TEXT(ABS(BE159-N(BA159))/MAX(N(BA159),1),"0%"),"OK")))</f>
        <v/>
      </c>
      <c r="BG159" s="33" t="str">
        <f aca="false">IF(OR(D159="",F159=""),"",IF(F159&lt;=IF(D159="Soldier Pile &amp; Timber Lagging",SG_Criteria!$B$34,SG_Criteria!$B$33),"No ERSS submission",IF(F159&lt;=SG_Criteria!$B$35,"QP(ST)",IF(F159&lt;=SG_Criteria!$B$36,"QP(ST) + AC","Geotechnical building works: QP(Geo) + AC"))))</f>
        <v/>
      </c>
      <c r="BH159" s="33" t="str">
        <f aca="false">IF(D159="","",IF(LEN(IF(AND(AC159&lt;&gt;"",IFERROR(VALUE(MID(AC159,2,2)),0)&lt;SG_Criteria!$B$19),"FAIL: grade below C"&amp;SG_Criteria!$B$19&amp;". ","")&amp;IF(AND(LEFT(D159,3)="Con",N(I159)&lt;F159,H159="Kallang Formation (marine clay)"),"NOTE: CBP is not watertight below GWT in marine clay; consider secant / grouting. ","")&amp;IF(AND(D159="Steel Sheet Pile",E159="Permanent"),"NOTE: permanent sheet pile needs corrosion allowance. ","")&amp;IF(AND(G159="Cantilever (no support)",F159&gt;6),"NOTE: cantilever embedded wall &gt; 6 m, check deflection. ","")&amp;IF(AND(T159&lt;&gt;"",U159&lt;&gt;"",T159&gt;U159),"FAIL: deflection exceeds allowable. ",""))=0,"OK",IF(AND(AC159&lt;&gt;"",IFERROR(VALUE(MID(AC159,2,2)),0)&lt;SG_Criteria!$B$19),"FAIL: grade below C"&amp;SG_Criteria!$B$19&amp;". ","")&amp;IF(AND(LEFT(D159,3)="Con",N(I159)&lt;F159,H159="Kallang Formation (marine clay)"),"NOTE: CBP is not watertight below GWT in marine clay; consider secant / grouting. ","")&amp;IF(AND(D159="Steel Sheet Pile",E159="Permanent"),"NOTE: permanent sheet pile needs corrosion allowance. ","")&amp;IF(AND(G159="Cantilever (no support)",F159&gt;6),"NOTE: cantilever embedded wall &gt; 6 m, check deflection. ","")&amp;IF(AND(T159&lt;&gt;"",U159&lt;&gt;"",T159&gt;U159),"FAIL: deflection exceeds allowable. ","")))</f>
        <v/>
      </c>
      <c r="BI159" s="9"/>
      <c r="BJ159" s="9"/>
      <c r="BK159" s="9"/>
      <c r="BL159" s="10" t="str">
        <f aca="false">IF(BK159="","",IFERROR(VLOOKUP(BK159,Projects!$A$5:$D$504,2,0),"Ref not in Projects"))</f>
        <v/>
      </c>
      <c r="BM159" s="10" t="str">
        <f aca="false">IF(BK159="","",IFERROR(VLOOKUP(BK159,Projects!$A$5:$D$504,4,0),"Ref not in Projects"))</f>
        <v/>
      </c>
      <c r="BN159" s="9"/>
      <c r="BO159" s="9"/>
      <c r="BP159" s="9"/>
      <c r="BQ159" s="40"/>
      <c r="BR159" s="9"/>
      <c r="BS159" s="40"/>
      <c r="BT159" s="9"/>
      <c r="BU159" s="40"/>
      <c r="BV159" s="9"/>
      <c r="BW159" s="9"/>
      <c r="BX159" s="9"/>
      <c r="BY159" s="40"/>
      <c r="BZ159" s="40"/>
      <c r="CA159" s="36" t="str">
        <f aca="false">IF(BZ159="","",EDATE(BZ159,SG_Criteria!$B$54*12))</f>
        <v/>
      </c>
      <c r="CB159" s="33" t="str">
        <f aca="true">IF(A159="","",IF(BZ159="","NOTE: not reviewed yet",IF(TODAY()&gt;CA159,"NOTE: review overdue","OK")))</f>
        <v/>
      </c>
      <c r="CC159" s="37" t="str">
        <f aca="false">IF(A159="","",ROUND((IF(LEN(D159)&gt;0,1,0)+IF(LEN(E159)&gt;0,1,0)+IF(LEN(F159)&gt;0,1,0)+IF(LEN(G159)&gt;0,1,0)+IF(LEN(H159)&gt;0,1,0)+IF(LEN(I159)&gt;0,1,0)+IF(LEN(K159)&gt;0,1,0)+IF(LEN(N159)&gt;0,1,0)+IF(LEN(O159)&gt;0,1,0)+IF(LEN(T159)&gt;0,1,0)+IF(LEN(U159)&gt;0,1,0)+IF(LEN(V159)&gt;0,1,0)+IF(LEN(AK159)&gt;0,1,0)+IF(LEN(AM159)&gt;0,1,0)+IF(LEN(AN159)&gt;0,1,0)+IF(LEN(AO159)&gt;0,1,0)+IF(LEN(AP159)&gt;0,1,0)+IF(LEN(AY159)&gt;0,1,0)+IF(LEN(BK159)&gt;0,1,0)+IF(LEN(BX159)&gt;0,1,0))/20,2))</f>
        <v/>
      </c>
      <c r="CD159" s="10" t="str">
        <f aca="false">IF(D159="","",IF(AND(AN159="Approved",ISERROR(SEARCH("FAIL",BH159))),"Y","N"))</f>
        <v/>
      </c>
      <c r="CE159" s="10" t="str">
        <f aca="false">IF(D159="","",D159&amp;"|"&amp;F159&amp;"|"&amp;G159&amp;"|"&amp;H159&amp;"|"&amp;E159&amp;"|"&amp;CD159)</f>
        <v/>
      </c>
    </row>
    <row r="160" customFormat="false" ht="15" hidden="false" customHeight="false" outlineLevel="0" collapsed="false">
      <c r="A160" s="10" t="str">
        <f aca="false">IF(D160="","","EW-"&amp;IFERROR(VLOOKUP(D160,Lists!$P$4:$Q$22,2,0),"??")&amp;"-D"&amp;TEXT(F160*1000,"0000")&amp;"-"&amp;IFERROR(VLOOKUP(G160,Lists!$S$4:$T$21,2,0),"??")&amp;"-"&amp;IFERROR(VLOOKUP(H160,Lists!$Y$4:$Z$21,2,0),"??")&amp;"-"&amp;IFERROR(VLOOKUP(E160,Lists!$V$4:$W$16,2,0),"??")&amp;"-"&amp;AM160)</f>
        <v/>
      </c>
      <c r="B160" s="10" t="str">
        <f aca="false">IF(D160="","",E160&amp;" "&amp;D160&amp;", excavation "&amp;TEXT(F160,"0.0")&amp;" m, "&amp;G160&amp;", "&amp;H160&amp;", "&amp;K160)</f>
        <v/>
      </c>
      <c r="C160" s="9"/>
      <c r="D160" s="9"/>
      <c r="E160" s="9"/>
      <c r="F160" s="42"/>
      <c r="G160" s="9"/>
      <c r="H160" s="9"/>
      <c r="I160" s="42"/>
      <c r="J160" s="38"/>
      <c r="K160" s="9"/>
      <c r="L160" s="9"/>
      <c r="M160" s="9"/>
      <c r="N160" s="42"/>
      <c r="O160" s="42"/>
      <c r="P160" s="9"/>
      <c r="Q160" s="9"/>
      <c r="R160" s="9"/>
      <c r="S160" s="9"/>
      <c r="T160" s="38"/>
      <c r="U160" s="38"/>
      <c r="V160" s="38"/>
      <c r="W160" s="38"/>
      <c r="X160" s="38"/>
      <c r="Y160" s="9"/>
      <c r="Z160" s="39"/>
      <c r="AA160" s="9"/>
      <c r="AB160" s="9"/>
      <c r="AC160" s="9"/>
      <c r="AD160" s="9"/>
      <c r="AE160" s="9"/>
      <c r="AF160" s="9"/>
      <c r="AG160" s="9"/>
      <c r="AH160" s="38"/>
      <c r="AI160" s="9"/>
      <c r="AJ160" s="39"/>
      <c r="AK160" s="9"/>
      <c r="AL160" s="9"/>
      <c r="AM160" s="9"/>
      <c r="AN160" s="9"/>
      <c r="AO160" s="9"/>
      <c r="AP160" s="9"/>
      <c r="AQ160" s="9"/>
      <c r="AR160" s="10" t="str">
        <f aca="false">IF(A160="","",SG_Criteria!$B$6&amp;SG_Criteria!$B$9&amp;"\"&amp;A160&amp;"\")</f>
        <v/>
      </c>
      <c r="AS160" s="10" t="str">
        <f aca="false">IF(A160="","",A160&amp;"_CAD.dwg")</f>
        <v/>
      </c>
      <c r="AT160" s="10" t="str">
        <f aca="false">IF(A160="","",A160&amp;"_DWG.pdf")</f>
        <v/>
      </c>
      <c r="AU160" s="10" t="str">
        <f aca="false">IF(A160="","",IF(AQ160="Y",A160&amp;"_STAAD.std","n/a"))</f>
        <v/>
      </c>
      <c r="AV160" s="10" t="str">
        <f aca="false">IF(A160="","",A160&amp;"_CALC.xlsx")</f>
        <v/>
      </c>
      <c r="AW160" s="10" t="str">
        <f aca="false">IF(A160="","",A160&amp;"_CALC.pdf")</f>
        <v/>
      </c>
      <c r="AX160" s="9"/>
      <c r="AY160" s="9"/>
      <c r="AZ160" s="39"/>
      <c r="BA160" s="39"/>
      <c r="BB160" s="39"/>
      <c r="BC160" s="39"/>
      <c r="BD160" s="39"/>
      <c r="BE160" s="12" t="str">
        <f aca="false">IF(A160="","",IF(COUNTIF(Rebar_Schedule!$A$5:$A$2004,A160)=0,"",ROUND(SUMIF(Rebar_Schedule!$A$5:$A$2004,A160,Rebar_Schedule!$K$5:$K$2004),1)))</f>
        <v/>
      </c>
      <c r="BF160" s="33" t="str">
        <f aca="false">IF(A160="","",IF(BE160="","No rebar schedule yet",IF(ABS(BE160-N(BA160))/MAX(N(BA160),1)&gt;SG_Criteria!$B$55,"NOTE: register rebar differs from schedule by "&amp;TEXT(ABS(BE160-N(BA160))/MAX(N(BA160),1),"0%"),"OK")))</f>
        <v/>
      </c>
      <c r="BG160" s="33" t="str">
        <f aca="false">IF(OR(D160="",F160=""),"",IF(F160&lt;=IF(D160="Soldier Pile &amp; Timber Lagging",SG_Criteria!$B$34,SG_Criteria!$B$33),"No ERSS submission",IF(F160&lt;=SG_Criteria!$B$35,"QP(ST)",IF(F160&lt;=SG_Criteria!$B$36,"QP(ST) + AC","Geotechnical building works: QP(Geo) + AC"))))</f>
        <v/>
      </c>
      <c r="BH160" s="33" t="str">
        <f aca="false">IF(D160="","",IF(LEN(IF(AND(AC160&lt;&gt;"",IFERROR(VALUE(MID(AC160,2,2)),0)&lt;SG_Criteria!$B$19),"FAIL: grade below C"&amp;SG_Criteria!$B$19&amp;". ","")&amp;IF(AND(LEFT(D160,3)="Con",N(I160)&lt;F160,H160="Kallang Formation (marine clay)"),"NOTE: CBP is not watertight below GWT in marine clay; consider secant / grouting. ","")&amp;IF(AND(D160="Steel Sheet Pile",E160="Permanent"),"NOTE: permanent sheet pile needs corrosion allowance. ","")&amp;IF(AND(G160="Cantilever (no support)",F160&gt;6),"NOTE: cantilever embedded wall &gt; 6 m, check deflection. ","")&amp;IF(AND(T160&lt;&gt;"",U160&lt;&gt;"",T160&gt;U160),"FAIL: deflection exceeds allowable. ",""))=0,"OK",IF(AND(AC160&lt;&gt;"",IFERROR(VALUE(MID(AC160,2,2)),0)&lt;SG_Criteria!$B$19),"FAIL: grade below C"&amp;SG_Criteria!$B$19&amp;". ","")&amp;IF(AND(LEFT(D160,3)="Con",N(I160)&lt;F160,H160="Kallang Formation (marine clay)"),"NOTE: CBP is not watertight below GWT in marine clay; consider secant / grouting. ","")&amp;IF(AND(D160="Steel Sheet Pile",E160="Permanent"),"NOTE: permanent sheet pile needs corrosion allowance. ","")&amp;IF(AND(G160="Cantilever (no support)",F160&gt;6),"NOTE: cantilever embedded wall &gt; 6 m, check deflection. ","")&amp;IF(AND(T160&lt;&gt;"",U160&lt;&gt;"",T160&gt;U160),"FAIL: deflection exceeds allowable. ","")))</f>
        <v/>
      </c>
      <c r="BI160" s="9"/>
      <c r="BJ160" s="9"/>
      <c r="BK160" s="9"/>
      <c r="BL160" s="10" t="str">
        <f aca="false">IF(BK160="","",IFERROR(VLOOKUP(BK160,Projects!$A$5:$D$504,2,0),"Ref not in Projects"))</f>
        <v/>
      </c>
      <c r="BM160" s="10" t="str">
        <f aca="false">IF(BK160="","",IFERROR(VLOOKUP(BK160,Projects!$A$5:$D$504,4,0),"Ref not in Projects"))</f>
        <v/>
      </c>
      <c r="BN160" s="9"/>
      <c r="BO160" s="9"/>
      <c r="BP160" s="9"/>
      <c r="BQ160" s="40"/>
      <c r="BR160" s="9"/>
      <c r="BS160" s="40"/>
      <c r="BT160" s="9"/>
      <c r="BU160" s="40"/>
      <c r="BV160" s="9"/>
      <c r="BW160" s="9"/>
      <c r="BX160" s="9"/>
      <c r="BY160" s="40"/>
      <c r="BZ160" s="40"/>
      <c r="CA160" s="36" t="str">
        <f aca="false">IF(BZ160="","",EDATE(BZ160,SG_Criteria!$B$54*12))</f>
        <v/>
      </c>
      <c r="CB160" s="33" t="str">
        <f aca="true">IF(A160="","",IF(BZ160="","NOTE: not reviewed yet",IF(TODAY()&gt;CA160,"NOTE: review overdue","OK")))</f>
        <v/>
      </c>
      <c r="CC160" s="37" t="str">
        <f aca="false">IF(A160="","",ROUND((IF(LEN(D160)&gt;0,1,0)+IF(LEN(E160)&gt;0,1,0)+IF(LEN(F160)&gt;0,1,0)+IF(LEN(G160)&gt;0,1,0)+IF(LEN(H160)&gt;0,1,0)+IF(LEN(I160)&gt;0,1,0)+IF(LEN(K160)&gt;0,1,0)+IF(LEN(N160)&gt;0,1,0)+IF(LEN(O160)&gt;0,1,0)+IF(LEN(T160)&gt;0,1,0)+IF(LEN(U160)&gt;0,1,0)+IF(LEN(V160)&gt;0,1,0)+IF(LEN(AK160)&gt;0,1,0)+IF(LEN(AM160)&gt;0,1,0)+IF(LEN(AN160)&gt;0,1,0)+IF(LEN(AO160)&gt;0,1,0)+IF(LEN(AP160)&gt;0,1,0)+IF(LEN(AY160)&gt;0,1,0)+IF(LEN(BK160)&gt;0,1,0)+IF(LEN(BX160)&gt;0,1,0))/20,2))</f>
        <v/>
      </c>
      <c r="CD160" s="10" t="str">
        <f aca="false">IF(D160="","",IF(AND(AN160="Approved",ISERROR(SEARCH("FAIL",BH160))),"Y","N"))</f>
        <v/>
      </c>
      <c r="CE160" s="10" t="str">
        <f aca="false">IF(D160="","",D160&amp;"|"&amp;F160&amp;"|"&amp;G160&amp;"|"&amp;H160&amp;"|"&amp;E160&amp;"|"&amp;CD160)</f>
        <v/>
      </c>
    </row>
    <row r="161" customFormat="false" ht="15" hidden="false" customHeight="false" outlineLevel="0" collapsed="false">
      <c r="A161" s="10" t="str">
        <f aca="false">IF(D161="","","EW-"&amp;IFERROR(VLOOKUP(D161,Lists!$P$4:$Q$22,2,0),"??")&amp;"-D"&amp;TEXT(F161*1000,"0000")&amp;"-"&amp;IFERROR(VLOOKUP(G161,Lists!$S$4:$T$21,2,0),"??")&amp;"-"&amp;IFERROR(VLOOKUP(H161,Lists!$Y$4:$Z$21,2,0),"??")&amp;"-"&amp;IFERROR(VLOOKUP(E161,Lists!$V$4:$W$16,2,0),"??")&amp;"-"&amp;AM161)</f>
        <v/>
      </c>
      <c r="B161" s="10" t="str">
        <f aca="false">IF(D161="","",E161&amp;" "&amp;D161&amp;", excavation "&amp;TEXT(F161,"0.0")&amp;" m, "&amp;G161&amp;", "&amp;H161&amp;", "&amp;K161)</f>
        <v/>
      </c>
      <c r="C161" s="9"/>
      <c r="D161" s="9"/>
      <c r="E161" s="9"/>
      <c r="F161" s="42"/>
      <c r="G161" s="9"/>
      <c r="H161" s="9"/>
      <c r="I161" s="42"/>
      <c r="J161" s="38"/>
      <c r="K161" s="9"/>
      <c r="L161" s="9"/>
      <c r="M161" s="9"/>
      <c r="N161" s="42"/>
      <c r="O161" s="42"/>
      <c r="P161" s="9"/>
      <c r="Q161" s="9"/>
      <c r="R161" s="9"/>
      <c r="S161" s="9"/>
      <c r="T161" s="38"/>
      <c r="U161" s="38"/>
      <c r="V161" s="38"/>
      <c r="W161" s="38"/>
      <c r="X161" s="38"/>
      <c r="Y161" s="9"/>
      <c r="Z161" s="39"/>
      <c r="AA161" s="9"/>
      <c r="AB161" s="9"/>
      <c r="AC161" s="9"/>
      <c r="AD161" s="9"/>
      <c r="AE161" s="9"/>
      <c r="AF161" s="9"/>
      <c r="AG161" s="9"/>
      <c r="AH161" s="38"/>
      <c r="AI161" s="9"/>
      <c r="AJ161" s="39"/>
      <c r="AK161" s="9"/>
      <c r="AL161" s="9"/>
      <c r="AM161" s="9"/>
      <c r="AN161" s="9"/>
      <c r="AO161" s="9"/>
      <c r="AP161" s="9"/>
      <c r="AQ161" s="9"/>
      <c r="AR161" s="10" t="str">
        <f aca="false">IF(A161="","",SG_Criteria!$B$6&amp;SG_Criteria!$B$9&amp;"\"&amp;A161&amp;"\")</f>
        <v/>
      </c>
      <c r="AS161" s="10" t="str">
        <f aca="false">IF(A161="","",A161&amp;"_CAD.dwg")</f>
        <v/>
      </c>
      <c r="AT161" s="10" t="str">
        <f aca="false">IF(A161="","",A161&amp;"_DWG.pdf")</f>
        <v/>
      </c>
      <c r="AU161" s="10" t="str">
        <f aca="false">IF(A161="","",IF(AQ161="Y",A161&amp;"_STAAD.std","n/a"))</f>
        <v/>
      </c>
      <c r="AV161" s="10" t="str">
        <f aca="false">IF(A161="","",A161&amp;"_CALC.xlsx")</f>
        <v/>
      </c>
      <c r="AW161" s="10" t="str">
        <f aca="false">IF(A161="","",A161&amp;"_CALC.pdf")</f>
        <v/>
      </c>
      <c r="AX161" s="9"/>
      <c r="AY161" s="9"/>
      <c r="AZ161" s="39"/>
      <c r="BA161" s="39"/>
      <c r="BB161" s="39"/>
      <c r="BC161" s="39"/>
      <c r="BD161" s="39"/>
      <c r="BE161" s="12" t="str">
        <f aca="false">IF(A161="","",IF(COUNTIF(Rebar_Schedule!$A$5:$A$2004,A161)=0,"",ROUND(SUMIF(Rebar_Schedule!$A$5:$A$2004,A161,Rebar_Schedule!$K$5:$K$2004),1)))</f>
        <v/>
      </c>
      <c r="BF161" s="33" t="str">
        <f aca="false">IF(A161="","",IF(BE161="","No rebar schedule yet",IF(ABS(BE161-N(BA161))/MAX(N(BA161),1)&gt;SG_Criteria!$B$55,"NOTE: register rebar differs from schedule by "&amp;TEXT(ABS(BE161-N(BA161))/MAX(N(BA161),1),"0%"),"OK")))</f>
        <v/>
      </c>
      <c r="BG161" s="33" t="str">
        <f aca="false">IF(OR(D161="",F161=""),"",IF(F161&lt;=IF(D161="Soldier Pile &amp; Timber Lagging",SG_Criteria!$B$34,SG_Criteria!$B$33),"No ERSS submission",IF(F161&lt;=SG_Criteria!$B$35,"QP(ST)",IF(F161&lt;=SG_Criteria!$B$36,"QP(ST) + AC","Geotechnical building works: QP(Geo) + AC"))))</f>
        <v/>
      </c>
      <c r="BH161" s="33" t="str">
        <f aca="false">IF(D161="","",IF(LEN(IF(AND(AC161&lt;&gt;"",IFERROR(VALUE(MID(AC161,2,2)),0)&lt;SG_Criteria!$B$19),"FAIL: grade below C"&amp;SG_Criteria!$B$19&amp;". ","")&amp;IF(AND(LEFT(D161,3)="Con",N(I161)&lt;F161,H161="Kallang Formation (marine clay)"),"NOTE: CBP is not watertight below GWT in marine clay; consider secant / grouting. ","")&amp;IF(AND(D161="Steel Sheet Pile",E161="Permanent"),"NOTE: permanent sheet pile needs corrosion allowance. ","")&amp;IF(AND(G161="Cantilever (no support)",F161&gt;6),"NOTE: cantilever embedded wall &gt; 6 m, check deflection. ","")&amp;IF(AND(T161&lt;&gt;"",U161&lt;&gt;"",T161&gt;U161),"FAIL: deflection exceeds allowable. ",""))=0,"OK",IF(AND(AC161&lt;&gt;"",IFERROR(VALUE(MID(AC161,2,2)),0)&lt;SG_Criteria!$B$19),"FAIL: grade below C"&amp;SG_Criteria!$B$19&amp;". ","")&amp;IF(AND(LEFT(D161,3)="Con",N(I161)&lt;F161,H161="Kallang Formation (marine clay)"),"NOTE: CBP is not watertight below GWT in marine clay; consider secant / grouting. ","")&amp;IF(AND(D161="Steel Sheet Pile",E161="Permanent"),"NOTE: permanent sheet pile needs corrosion allowance. ","")&amp;IF(AND(G161="Cantilever (no support)",F161&gt;6),"NOTE: cantilever embedded wall &gt; 6 m, check deflection. ","")&amp;IF(AND(T161&lt;&gt;"",U161&lt;&gt;"",T161&gt;U161),"FAIL: deflection exceeds allowable. ","")))</f>
        <v/>
      </c>
      <c r="BI161" s="9"/>
      <c r="BJ161" s="9"/>
      <c r="BK161" s="9"/>
      <c r="BL161" s="10" t="str">
        <f aca="false">IF(BK161="","",IFERROR(VLOOKUP(BK161,Projects!$A$5:$D$504,2,0),"Ref not in Projects"))</f>
        <v/>
      </c>
      <c r="BM161" s="10" t="str">
        <f aca="false">IF(BK161="","",IFERROR(VLOOKUP(BK161,Projects!$A$5:$D$504,4,0),"Ref not in Projects"))</f>
        <v/>
      </c>
      <c r="BN161" s="9"/>
      <c r="BO161" s="9"/>
      <c r="BP161" s="9"/>
      <c r="BQ161" s="40"/>
      <c r="BR161" s="9"/>
      <c r="BS161" s="40"/>
      <c r="BT161" s="9"/>
      <c r="BU161" s="40"/>
      <c r="BV161" s="9"/>
      <c r="BW161" s="9"/>
      <c r="BX161" s="9"/>
      <c r="BY161" s="40"/>
      <c r="BZ161" s="40"/>
      <c r="CA161" s="36" t="str">
        <f aca="false">IF(BZ161="","",EDATE(BZ161,SG_Criteria!$B$54*12))</f>
        <v/>
      </c>
      <c r="CB161" s="33" t="str">
        <f aca="true">IF(A161="","",IF(BZ161="","NOTE: not reviewed yet",IF(TODAY()&gt;CA161,"NOTE: review overdue","OK")))</f>
        <v/>
      </c>
      <c r="CC161" s="37" t="str">
        <f aca="false">IF(A161="","",ROUND((IF(LEN(D161)&gt;0,1,0)+IF(LEN(E161)&gt;0,1,0)+IF(LEN(F161)&gt;0,1,0)+IF(LEN(G161)&gt;0,1,0)+IF(LEN(H161)&gt;0,1,0)+IF(LEN(I161)&gt;0,1,0)+IF(LEN(K161)&gt;0,1,0)+IF(LEN(N161)&gt;0,1,0)+IF(LEN(O161)&gt;0,1,0)+IF(LEN(T161)&gt;0,1,0)+IF(LEN(U161)&gt;0,1,0)+IF(LEN(V161)&gt;0,1,0)+IF(LEN(AK161)&gt;0,1,0)+IF(LEN(AM161)&gt;0,1,0)+IF(LEN(AN161)&gt;0,1,0)+IF(LEN(AO161)&gt;0,1,0)+IF(LEN(AP161)&gt;0,1,0)+IF(LEN(AY161)&gt;0,1,0)+IF(LEN(BK161)&gt;0,1,0)+IF(LEN(BX161)&gt;0,1,0))/20,2))</f>
        <v/>
      </c>
      <c r="CD161" s="10" t="str">
        <f aca="false">IF(D161="","",IF(AND(AN161="Approved",ISERROR(SEARCH("FAIL",BH161))),"Y","N"))</f>
        <v/>
      </c>
      <c r="CE161" s="10" t="str">
        <f aca="false">IF(D161="","",D161&amp;"|"&amp;F161&amp;"|"&amp;G161&amp;"|"&amp;H161&amp;"|"&amp;E161&amp;"|"&amp;CD161)</f>
        <v/>
      </c>
    </row>
    <row r="162" customFormat="false" ht="15" hidden="false" customHeight="false" outlineLevel="0" collapsed="false">
      <c r="A162" s="10" t="str">
        <f aca="false">IF(D162="","","EW-"&amp;IFERROR(VLOOKUP(D162,Lists!$P$4:$Q$22,2,0),"??")&amp;"-D"&amp;TEXT(F162*1000,"0000")&amp;"-"&amp;IFERROR(VLOOKUP(G162,Lists!$S$4:$T$21,2,0),"??")&amp;"-"&amp;IFERROR(VLOOKUP(H162,Lists!$Y$4:$Z$21,2,0),"??")&amp;"-"&amp;IFERROR(VLOOKUP(E162,Lists!$V$4:$W$16,2,0),"??")&amp;"-"&amp;AM162)</f>
        <v/>
      </c>
      <c r="B162" s="10" t="str">
        <f aca="false">IF(D162="","",E162&amp;" "&amp;D162&amp;", excavation "&amp;TEXT(F162,"0.0")&amp;" m, "&amp;G162&amp;", "&amp;H162&amp;", "&amp;K162)</f>
        <v/>
      </c>
      <c r="C162" s="9"/>
      <c r="D162" s="9"/>
      <c r="E162" s="9"/>
      <c r="F162" s="42"/>
      <c r="G162" s="9"/>
      <c r="H162" s="9"/>
      <c r="I162" s="42"/>
      <c r="J162" s="38"/>
      <c r="K162" s="9"/>
      <c r="L162" s="9"/>
      <c r="M162" s="9"/>
      <c r="N162" s="42"/>
      <c r="O162" s="42"/>
      <c r="P162" s="9"/>
      <c r="Q162" s="9"/>
      <c r="R162" s="9"/>
      <c r="S162" s="9"/>
      <c r="T162" s="38"/>
      <c r="U162" s="38"/>
      <c r="V162" s="38"/>
      <c r="W162" s="38"/>
      <c r="X162" s="38"/>
      <c r="Y162" s="9"/>
      <c r="Z162" s="39"/>
      <c r="AA162" s="9"/>
      <c r="AB162" s="9"/>
      <c r="AC162" s="9"/>
      <c r="AD162" s="9"/>
      <c r="AE162" s="9"/>
      <c r="AF162" s="9"/>
      <c r="AG162" s="9"/>
      <c r="AH162" s="38"/>
      <c r="AI162" s="9"/>
      <c r="AJ162" s="39"/>
      <c r="AK162" s="9"/>
      <c r="AL162" s="9"/>
      <c r="AM162" s="9"/>
      <c r="AN162" s="9"/>
      <c r="AO162" s="9"/>
      <c r="AP162" s="9"/>
      <c r="AQ162" s="9"/>
      <c r="AR162" s="10" t="str">
        <f aca="false">IF(A162="","",SG_Criteria!$B$6&amp;SG_Criteria!$B$9&amp;"\"&amp;A162&amp;"\")</f>
        <v/>
      </c>
      <c r="AS162" s="10" t="str">
        <f aca="false">IF(A162="","",A162&amp;"_CAD.dwg")</f>
        <v/>
      </c>
      <c r="AT162" s="10" t="str">
        <f aca="false">IF(A162="","",A162&amp;"_DWG.pdf")</f>
        <v/>
      </c>
      <c r="AU162" s="10" t="str">
        <f aca="false">IF(A162="","",IF(AQ162="Y",A162&amp;"_STAAD.std","n/a"))</f>
        <v/>
      </c>
      <c r="AV162" s="10" t="str">
        <f aca="false">IF(A162="","",A162&amp;"_CALC.xlsx")</f>
        <v/>
      </c>
      <c r="AW162" s="10" t="str">
        <f aca="false">IF(A162="","",A162&amp;"_CALC.pdf")</f>
        <v/>
      </c>
      <c r="AX162" s="9"/>
      <c r="AY162" s="9"/>
      <c r="AZ162" s="39"/>
      <c r="BA162" s="39"/>
      <c r="BB162" s="39"/>
      <c r="BC162" s="39"/>
      <c r="BD162" s="39"/>
      <c r="BE162" s="12" t="str">
        <f aca="false">IF(A162="","",IF(COUNTIF(Rebar_Schedule!$A$5:$A$2004,A162)=0,"",ROUND(SUMIF(Rebar_Schedule!$A$5:$A$2004,A162,Rebar_Schedule!$K$5:$K$2004),1)))</f>
        <v/>
      </c>
      <c r="BF162" s="33" t="str">
        <f aca="false">IF(A162="","",IF(BE162="","No rebar schedule yet",IF(ABS(BE162-N(BA162))/MAX(N(BA162),1)&gt;SG_Criteria!$B$55,"NOTE: register rebar differs from schedule by "&amp;TEXT(ABS(BE162-N(BA162))/MAX(N(BA162),1),"0%"),"OK")))</f>
        <v/>
      </c>
      <c r="BG162" s="33" t="str">
        <f aca="false">IF(OR(D162="",F162=""),"",IF(F162&lt;=IF(D162="Soldier Pile &amp; Timber Lagging",SG_Criteria!$B$34,SG_Criteria!$B$33),"No ERSS submission",IF(F162&lt;=SG_Criteria!$B$35,"QP(ST)",IF(F162&lt;=SG_Criteria!$B$36,"QP(ST) + AC","Geotechnical building works: QP(Geo) + AC"))))</f>
        <v/>
      </c>
      <c r="BH162" s="33" t="str">
        <f aca="false">IF(D162="","",IF(LEN(IF(AND(AC162&lt;&gt;"",IFERROR(VALUE(MID(AC162,2,2)),0)&lt;SG_Criteria!$B$19),"FAIL: grade below C"&amp;SG_Criteria!$B$19&amp;". ","")&amp;IF(AND(LEFT(D162,3)="Con",N(I162)&lt;F162,H162="Kallang Formation (marine clay)"),"NOTE: CBP is not watertight below GWT in marine clay; consider secant / grouting. ","")&amp;IF(AND(D162="Steel Sheet Pile",E162="Permanent"),"NOTE: permanent sheet pile needs corrosion allowance. ","")&amp;IF(AND(G162="Cantilever (no support)",F162&gt;6),"NOTE: cantilever embedded wall &gt; 6 m, check deflection. ","")&amp;IF(AND(T162&lt;&gt;"",U162&lt;&gt;"",T162&gt;U162),"FAIL: deflection exceeds allowable. ",""))=0,"OK",IF(AND(AC162&lt;&gt;"",IFERROR(VALUE(MID(AC162,2,2)),0)&lt;SG_Criteria!$B$19),"FAIL: grade below C"&amp;SG_Criteria!$B$19&amp;". ","")&amp;IF(AND(LEFT(D162,3)="Con",N(I162)&lt;F162,H162="Kallang Formation (marine clay)"),"NOTE: CBP is not watertight below GWT in marine clay; consider secant / grouting. ","")&amp;IF(AND(D162="Steel Sheet Pile",E162="Permanent"),"NOTE: permanent sheet pile needs corrosion allowance. ","")&amp;IF(AND(G162="Cantilever (no support)",F162&gt;6),"NOTE: cantilever embedded wall &gt; 6 m, check deflection. ","")&amp;IF(AND(T162&lt;&gt;"",U162&lt;&gt;"",T162&gt;U162),"FAIL: deflection exceeds allowable. ","")))</f>
        <v/>
      </c>
      <c r="BI162" s="9"/>
      <c r="BJ162" s="9"/>
      <c r="BK162" s="9"/>
      <c r="BL162" s="10" t="str">
        <f aca="false">IF(BK162="","",IFERROR(VLOOKUP(BK162,Projects!$A$5:$D$504,2,0),"Ref not in Projects"))</f>
        <v/>
      </c>
      <c r="BM162" s="10" t="str">
        <f aca="false">IF(BK162="","",IFERROR(VLOOKUP(BK162,Projects!$A$5:$D$504,4,0),"Ref not in Projects"))</f>
        <v/>
      </c>
      <c r="BN162" s="9"/>
      <c r="BO162" s="9"/>
      <c r="BP162" s="9"/>
      <c r="BQ162" s="40"/>
      <c r="BR162" s="9"/>
      <c r="BS162" s="40"/>
      <c r="BT162" s="9"/>
      <c r="BU162" s="40"/>
      <c r="BV162" s="9"/>
      <c r="BW162" s="9"/>
      <c r="BX162" s="9"/>
      <c r="BY162" s="40"/>
      <c r="BZ162" s="40"/>
      <c r="CA162" s="36" t="str">
        <f aca="false">IF(BZ162="","",EDATE(BZ162,SG_Criteria!$B$54*12))</f>
        <v/>
      </c>
      <c r="CB162" s="33" t="str">
        <f aca="true">IF(A162="","",IF(BZ162="","NOTE: not reviewed yet",IF(TODAY()&gt;CA162,"NOTE: review overdue","OK")))</f>
        <v/>
      </c>
      <c r="CC162" s="37" t="str">
        <f aca="false">IF(A162="","",ROUND((IF(LEN(D162)&gt;0,1,0)+IF(LEN(E162)&gt;0,1,0)+IF(LEN(F162)&gt;0,1,0)+IF(LEN(G162)&gt;0,1,0)+IF(LEN(H162)&gt;0,1,0)+IF(LEN(I162)&gt;0,1,0)+IF(LEN(K162)&gt;0,1,0)+IF(LEN(N162)&gt;0,1,0)+IF(LEN(O162)&gt;0,1,0)+IF(LEN(T162)&gt;0,1,0)+IF(LEN(U162)&gt;0,1,0)+IF(LEN(V162)&gt;0,1,0)+IF(LEN(AK162)&gt;0,1,0)+IF(LEN(AM162)&gt;0,1,0)+IF(LEN(AN162)&gt;0,1,0)+IF(LEN(AO162)&gt;0,1,0)+IF(LEN(AP162)&gt;0,1,0)+IF(LEN(AY162)&gt;0,1,0)+IF(LEN(BK162)&gt;0,1,0)+IF(LEN(BX162)&gt;0,1,0))/20,2))</f>
        <v/>
      </c>
      <c r="CD162" s="10" t="str">
        <f aca="false">IF(D162="","",IF(AND(AN162="Approved",ISERROR(SEARCH("FAIL",BH162))),"Y","N"))</f>
        <v/>
      </c>
      <c r="CE162" s="10" t="str">
        <f aca="false">IF(D162="","",D162&amp;"|"&amp;F162&amp;"|"&amp;G162&amp;"|"&amp;H162&amp;"|"&amp;E162&amp;"|"&amp;CD162)</f>
        <v/>
      </c>
    </row>
    <row r="163" customFormat="false" ht="15" hidden="false" customHeight="false" outlineLevel="0" collapsed="false">
      <c r="A163" s="10" t="str">
        <f aca="false">IF(D163="","","EW-"&amp;IFERROR(VLOOKUP(D163,Lists!$P$4:$Q$22,2,0),"??")&amp;"-D"&amp;TEXT(F163*1000,"0000")&amp;"-"&amp;IFERROR(VLOOKUP(G163,Lists!$S$4:$T$21,2,0),"??")&amp;"-"&amp;IFERROR(VLOOKUP(H163,Lists!$Y$4:$Z$21,2,0),"??")&amp;"-"&amp;IFERROR(VLOOKUP(E163,Lists!$V$4:$W$16,2,0),"??")&amp;"-"&amp;AM163)</f>
        <v/>
      </c>
      <c r="B163" s="10" t="str">
        <f aca="false">IF(D163="","",E163&amp;" "&amp;D163&amp;", excavation "&amp;TEXT(F163,"0.0")&amp;" m, "&amp;G163&amp;", "&amp;H163&amp;", "&amp;K163)</f>
        <v/>
      </c>
      <c r="C163" s="9"/>
      <c r="D163" s="9"/>
      <c r="E163" s="9"/>
      <c r="F163" s="42"/>
      <c r="G163" s="9"/>
      <c r="H163" s="9"/>
      <c r="I163" s="42"/>
      <c r="J163" s="38"/>
      <c r="K163" s="9"/>
      <c r="L163" s="9"/>
      <c r="M163" s="9"/>
      <c r="N163" s="42"/>
      <c r="O163" s="42"/>
      <c r="P163" s="9"/>
      <c r="Q163" s="9"/>
      <c r="R163" s="9"/>
      <c r="S163" s="9"/>
      <c r="T163" s="38"/>
      <c r="U163" s="38"/>
      <c r="V163" s="38"/>
      <c r="W163" s="38"/>
      <c r="X163" s="38"/>
      <c r="Y163" s="9"/>
      <c r="Z163" s="39"/>
      <c r="AA163" s="9"/>
      <c r="AB163" s="9"/>
      <c r="AC163" s="9"/>
      <c r="AD163" s="9"/>
      <c r="AE163" s="9"/>
      <c r="AF163" s="9"/>
      <c r="AG163" s="9"/>
      <c r="AH163" s="38"/>
      <c r="AI163" s="9"/>
      <c r="AJ163" s="39"/>
      <c r="AK163" s="9"/>
      <c r="AL163" s="9"/>
      <c r="AM163" s="9"/>
      <c r="AN163" s="9"/>
      <c r="AO163" s="9"/>
      <c r="AP163" s="9"/>
      <c r="AQ163" s="9"/>
      <c r="AR163" s="10" t="str">
        <f aca="false">IF(A163="","",SG_Criteria!$B$6&amp;SG_Criteria!$B$9&amp;"\"&amp;A163&amp;"\")</f>
        <v/>
      </c>
      <c r="AS163" s="10" t="str">
        <f aca="false">IF(A163="","",A163&amp;"_CAD.dwg")</f>
        <v/>
      </c>
      <c r="AT163" s="10" t="str">
        <f aca="false">IF(A163="","",A163&amp;"_DWG.pdf")</f>
        <v/>
      </c>
      <c r="AU163" s="10" t="str">
        <f aca="false">IF(A163="","",IF(AQ163="Y",A163&amp;"_STAAD.std","n/a"))</f>
        <v/>
      </c>
      <c r="AV163" s="10" t="str">
        <f aca="false">IF(A163="","",A163&amp;"_CALC.xlsx")</f>
        <v/>
      </c>
      <c r="AW163" s="10" t="str">
        <f aca="false">IF(A163="","",A163&amp;"_CALC.pdf")</f>
        <v/>
      </c>
      <c r="AX163" s="9"/>
      <c r="AY163" s="9"/>
      <c r="AZ163" s="39"/>
      <c r="BA163" s="39"/>
      <c r="BB163" s="39"/>
      <c r="BC163" s="39"/>
      <c r="BD163" s="39"/>
      <c r="BE163" s="12" t="str">
        <f aca="false">IF(A163="","",IF(COUNTIF(Rebar_Schedule!$A$5:$A$2004,A163)=0,"",ROUND(SUMIF(Rebar_Schedule!$A$5:$A$2004,A163,Rebar_Schedule!$K$5:$K$2004),1)))</f>
        <v/>
      </c>
      <c r="BF163" s="33" t="str">
        <f aca="false">IF(A163="","",IF(BE163="","No rebar schedule yet",IF(ABS(BE163-N(BA163))/MAX(N(BA163),1)&gt;SG_Criteria!$B$55,"NOTE: register rebar differs from schedule by "&amp;TEXT(ABS(BE163-N(BA163))/MAX(N(BA163),1),"0%"),"OK")))</f>
        <v/>
      </c>
      <c r="BG163" s="33" t="str">
        <f aca="false">IF(OR(D163="",F163=""),"",IF(F163&lt;=IF(D163="Soldier Pile &amp; Timber Lagging",SG_Criteria!$B$34,SG_Criteria!$B$33),"No ERSS submission",IF(F163&lt;=SG_Criteria!$B$35,"QP(ST)",IF(F163&lt;=SG_Criteria!$B$36,"QP(ST) + AC","Geotechnical building works: QP(Geo) + AC"))))</f>
        <v/>
      </c>
      <c r="BH163" s="33" t="str">
        <f aca="false">IF(D163="","",IF(LEN(IF(AND(AC163&lt;&gt;"",IFERROR(VALUE(MID(AC163,2,2)),0)&lt;SG_Criteria!$B$19),"FAIL: grade below C"&amp;SG_Criteria!$B$19&amp;". ","")&amp;IF(AND(LEFT(D163,3)="Con",N(I163)&lt;F163,H163="Kallang Formation (marine clay)"),"NOTE: CBP is not watertight below GWT in marine clay; consider secant / grouting. ","")&amp;IF(AND(D163="Steel Sheet Pile",E163="Permanent"),"NOTE: permanent sheet pile needs corrosion allowance. ","")&amp;IF(AND(G163="Cantilever (no support)",F163&gt;6),"NOTE: cantilever embedded wall &gt; 6 m, check deflection. ","")&amp;IF(AND(T163&lt;&gt;"",U163&lt;&gt;"",T163&gt;U163),"FAIL: deflection exceeds allowable. ",""))=0,"OK",IF(AND(AC163&lt;&gt;"",IFERROR(VALUE(MID(AC163,2,2)),0)&lt;SG_Criteria!$B$19),"FAIL: grade below C"&amp;SG_Criteria!$B$19&amp;". ","")&amp;IF(AND(LEFT(D163,3)="Con",N(I163)&lt;F163,H163="Kallang Formation (marine clay)"),"NOTE: CBP is not watertight below GWT in marine clay; consider secant / grouting. ","")&amp;IF(AND(D163="Steel Sheet Pile",E163="Permanent"),"NOTE: permanent sheet pile needs corrosion allowance. ","")&amp;IF(AND(G163="Cantilever (no support)",F163&gt;6),"NOTE: cantilever embedded wall &gt; 6 m, check deflection. ","")&amp;IF(AND(T163&lt;&gt;"",U163&lt;&gt;"",T163&gt;U163),"FAIL: deflection exceeds allowable. ","")))</f>
        <v/>
      </c>
      <c r="BI163" s="9"/>
      <c r="BJ163" s="9"/>
      <c r="BK163" s="9"/>
      <c r="BL163" s="10" t="str">
        <f aca="false">IF(BK163="","",IFERROR(VLOOKUP(BK163,Projects!$A$5:$D$504,2,0),"Ref not in Projects"))</f>
        <v/>
      </c>
      <c r="BM163" s="10" t="str">
        <f aca="false">IF(BK163="","",IFERROR(VLOOKUP(BK163,Projects!$A$5:$D$504,4,0),"Ref not in Projects"))</f>
        <v/>
      </c>
      <c r="BN163" s="9"/>
      <c r="BO163" s="9"/>
      <c r="BP163" s="9"/>
      <c r="BQ163" s="40"/>
      <c r="BR163" s="9"/>
      <c r="BS163" s="40"/>
      <c r="BT163" s="9"/>
      <c r="BU163" s="40"/>
      <c r="BV163" s="9"/>
      <c r="BW163" s="9"/>
      <c r="BX163" s="9"/>
      <c r="BY163" s="40"/>
      <c r="BZ163" s="40"/>
      <c r="CA163" s="36" t="str">
        <f aca="false">IF(BZ163="","",EDATE(BZ163,SG_Criteria!$B$54*12))</f>
        <v/>
      </c>
      <c r="CB163" s="33" t="str">
        <f aca="true">IF(A163="","",IF(BZ163="","NOTE: not reviewed yet",IF(TODAY()&gt;CA163,"NOTE: review overdue","OK")))</f>
        <v/>
      </c>
      <c r="CC163" s="37" t="str">
        <f aca="false">IF(A163="","",ROUND((IF(LEN(D163)&gt;0,1,0)+IF(LEN(E163)&gt;0,1,0)+IF(LEN(F163)&gt;0,1,0)+IF(LEN(G163)&gt;0,1,0)+IF(LEN(H163)&gt;0,1,0)+IF(LEN(I163)&gt;0,1,0)+IF(LEN(K163)&gt;0,1,0)+IF(LEN(N163)&gt;0,1,0)+IF(LEN(O163)&gt;0,1,0)+IF(LEN(T163)&gt;0,1,0)+IF(LEN(U163)&gt;0,1,0)+IF(LEN(V163)&gt;0,1,0)+IF(LEN(AK163)&gt;0,1,0)+IF(LEN(AM163)&gt;0,1,0)+IF(LEN(AN163)&gt;0,1,0)+IF(LEN(AO163)&gt;0,1,0)+IF(LEN(AP163)&gt;0,1,0)+IF(LEN(AY163)&gt;0,1,0)+IF(LEN(BK163)&gt;0,1,0)+IF(LEN(BX163)&gt;0,1,0))/20,2))</f>
        <v/>
      </c>
      <c r="CD163" s="10" t="str">
        <f aca="false">IF(D163="","",IF(AND(AN163="Approved",ISERROR(SEARCH("FAIL",BH163))),"Y","N"))</f>
        <v/>
      </c>
      <c r="CE163" s="10" t="str">
        <f aca="false">IF(D163="","",D163&amp;"|"&amp;F163&amp;"|"&amp;G163&amp;"|"&amp;H163&amp;"|"&amp;E163&amp;"|"&amp;CD163)</f>
        <v/>
      </c>
    </row>
    <row r="164" customFormat="false" ht="15" hidden="false" customHeight="false" outlineLevel="0" collapsed="false">
      <c r="A164" s="10" t="str">
        <f aca="false">IF(D164="","","EW-"&amp;IFERROR(VLOOKUP(D164,Lists!$P$4:$Q$22,2,0),"??")&amp;"-D"&amp;TEXT(F164*1000,"0000")&amp;"-"&amp;IFERROR(VLOOKUP(G164,Lists!$S$4:$T$21,2,0),"??")&amp;"-"&amp;IFERROR(VLOOKUP(H164,Lists!$Y$4:$Z$21,2,0),"??")&amp;"-"&amp;IFERROR(VLOOKUP(E164,Lists!$V$4:$W$16,2,0),"??")&amp;"-"&amp;AM164)</f>
        <v/>
      </c>
      <c r="B164" s="10" t="str">
        <f aca="false">IF(D164="","",E164&amp;" "&amp;D164&amp;", excavation "&amp;TEXT(F164,"0.0")&amp;" m, "&amp;G164&amp;", "&amp;H164&amp;", "&amp;K164)</f>
        <v/>
      </c>
      <c r="C164" s="9"/>
      <c r="D164" s="9"/>
      <c r="E164" s="9"/>
      <c r="F164" s="42"/>
      <c r="G164" s="9"/>
      <c r="H164" s="9"/>
      <c r="I164" s="42"/>
      <c r="J164" s="38"/>
      <c r="K164" s="9"/>
      <c r="L164" s="9"/>
      <c r="M164" s="9"/>
      <c r="N164" s="42"/>
      <c r="O164" s="42"/>
      <c r="P164" s="9"/>
      <c r="Q164" s="9"/>
      <c r="R164" s="9"/>
      <c r="S164" s="9"/>
      <c r="T164" s="38"/>
      <c r="U164" s="38"/>
      <c r="V164" s="38"/>
      <c r="W164" s="38"/>
      <c r="X164" s="38"/>
      <c r="Y164" s="9"/>
      <c r="Z164" s="39"/>
      <c r="AA164" s="9"/>
      <c r="AB164" s="9"/>
      <c r="AC164" s="9"/>
      <c r="AD164" s="9"/>
      <c r="AE164" s="9"/>
      <c r="AF164" s="9"/>
      <c r="AG164" s="9"/>
      <c r="AH164" s="38"/>
      <c r="AI164" s="9"/>
      <c r="AJ164" s="39"/>
      <c r="AK164" s="9"/>
      <c r="AL164" s="9"/>
      <c r="AM164" s="9"/>
      <c r="AN164" s="9"/>
      <c r="AO164" s="9"/>
      <c r="AP164" s="9"/>
      <c r="AQ164" s="9"/>
      <c r="AR164" s="10" t="str">
        <f aca="false">IF(A164="","",SG_Criteria!$B$6&amp;SG_Criteria!$B$9&amp;"\"&amp;A164&amp;"\")</f>
        <v/>
      </c>
      <c r="AS164" s="10" t="str">
        <f aca="false">IF(A164="","",A164&amp;"_CAD.dwg")</f>
        <v/>
      </c>
      <c r="AT164" s="10" t="str">
        <f aca="false">IF(A164="","",A164&amp;"_DWG.pdf")</f>
        <v/>
      </c>
      <c r="AU164" s="10" t="str">
        <f aca="false">IF(A164="","",IF(AQ164="Y",A164&amp;"_STAAD.std","n/a"))</f>
        <v/>
      </c>
      <c r="AV164" s="10" t="str">
        <f aca="false">IF(A164="","",A164&amp;"_CALC.xlsx")</f>
        <v/>
      </c>
      <c r="AW164" s="10" t="str">
        <f aca="false">IF(A164="","",A164&amp;"_CALC.pdf")</f>
        <v/>
      </c>
      <c r="AX164" s="9"/>
      <c r="AY164" s="9"/>
      <c r="AZ164" s="39"/>
      <c r="BA164" s="39"/>
      <c r="BB164" s="39"/>
      <c r="BC164" s="39"/>
      <c r="BD164" s="39"/>
      <c r="BE164" s="12" t="str">
        <f aca="false">IF(A164="","",IF(COUNTIF(Rebar_Schedule!$A$5:$A$2004,A164)=0,"",ROUND(SUMIF(Rebar_Schedule!$A$5:$A$2004,A164,Rebar_Schedule!$K$5:$K$2004),1)))</f>
        <v/>
      </c>
      <c r="BF164" s="33" t="str">
        <f aca="false">IF(A164="","",IF(BE164="","No rebar schedule yet",IF(ABS(BE164-N(BA164))/MAX(N(BA164),1)&gt;SG_Criteria!$B$55,"NOTE: register rebar differs from schedule by "&amp;TEXT(ABS(BE164-N(BA164))/MAX(N(BA164),1),"0%"),"OK")))</f>
        <v/>
      </c>
      <c r="BG164" s="33" t="str">
        <f aca="false">IF(OR(D164="",F164=""),"",IF(F164&lt;=IF(D164="Soldier Pile &amp; Timber Lagging",SG_Criteria!$B$34,SG_Criteria!$B$33),"No ERSS submission",IF(F164&lt;=SG_Criteria!$B$35,"QP(ST)",IF(F164&lt;=SG_Criteria!$B$36,"QP(ST) + AC","Geotechnical building works: QP(Geo) + AC"))))</f>
        <v/>
      </c>
      <c r="BH164" s="33" t="str">
        <f aca="false">IF(D164="","",IF(LEN(IF(AND(AC164&lt;&gt;"",IFERROR(VALUE(MID(AC164,2,2)),0)&lt;SG_Criteria!$B$19),"FAIL: grade below C"&amp;SG_Criteria!$B$19&amp;". ","")&amp;IF(AND(LEFT(D164,3)="Con",N(I164)&lt;F164,H164="Kallang Formation (marine clay)"),"NOTE: CBP is not watertight below GWT in marine clay; consider secant / grouting. ","")&amp;IF(AND(D164="Steel Sheet Pile",E164="Permanent"),"NOTE: permanent sheet pile needs corrosion allowance. ","")&amp;IF(AND(G164="Cantilever (no support)",F164&gt;6),"NOTE: cantilever embedded wall &gt; 6 m, check deflection. ","")&amp;IF(AND(T164&lt;&gt;"",U164&lt;&gt;"",T164&gt;U164),"FAIL: deflection exceeds allowable. ",""))=0,"OK",IF(AND(AC164&lt;&gt;"",IFERROR(VALUE(MID(AC164,2,2)),0)&lt;SG_Criteria!$B$19),"FAIL: grade below C"&amp;SG_Criteria!$B$19&amp;". ","")&amp;IF(AND(LEFT(D164,3)="Con",N(I164)&lt;F164,H164="Kallang Formation (marine clay)"),"NOTE: CBP is not watertight below GWT in marine clay; consider secant / grouting. ","")&amp;IF(AND(D164="Steel Sheet Pile",E164="Permanent"),"NOTE: permanent sheet pile needs corrosion allowance. ","")&amp;IF(AND(G164="Cantilever (no support)",F164&gt;6),"NOTE: cantilever embedded wall &gt; 6 m, check deflection. ","")&amp;IF(AND(T164&lt;&gt;"",U164&lt;&gt;"",T164&gt;U164),"FAIL: deflection exceeds allowable. ","")))</f>
        <v/>
      </c>
      <c r="BI164" s="9"/>
      <c r="BJ164" s="9"/>
      <c r="BK164" s="9"/>
      <c r="BL164" s="10" t="str">
        <f aca="false">IF(BK164="","",IFERROR(VLOOKUP(BK164,Projects!$A$5:$D$504,2,0),"Ref not in Projects"))</f>
        <v/>
      </c>
      <c r="BM164" s="10" t="str">
        <f aca="false">IF(BK164="","",IFERROR(VLOOKUP(BK164,Projects!$A$5:$D$504,4,0),"Ref not in Projects"))</f>
        <v/>
      </c>
      <c r="BN164" s="9"/>
      <c r="BO164" s="9"/>
      <c r="BP164" s="9"/>
      <c r="BQ164" s="40"/>
      <c r="BR164" s="9"/>
      <c r="BS164" s="40"/>
      <c r="BT164" s="9"/>
      <c r="BU164" s="40"/>
      <c r="BV164" s="9"/>
      <c r="BW164" s="9"/>
      <c r="BX164" s="9"/>
      <c r="BY164" s="40"/>
      <c r="BZ164" s="40"/>
      <c r="CA164" s="36" t="str">
        <f aca="false">IF(BZ164="","",EDATE(BZ164,SG_Criteria!$B$54*12))</f>
        <v/>
      </c>
      <c r="CB164" s="33" t="str">
        <f aca="true">IF(A164="","",IF(BZ164="","NOTE: not reviewed yet",IF(TODAY()&gt;CA164,"NOTE: review overdue","OK")))</f>
        <v/>
      </c>
      <c r="CC164" s="37" t="str">
        <f aca="false">IF(A164="","",ROUND((IF(LEN(D164)&gt;0,1,0)+IF(LEN(E164)&gt;0,1,0)+IF(LEN(F164)&gt;0,1,0)+IF(LEN(G164)&gt;0,1,0)+IF(LEN(H164)&gt;0,1,0)+IF(LEN(I164)&gt;0,1,0)+IF(LEN(K164)&gt;0,1,0)+IF(LEN(N164)&gt;0,1,0)+IF(LEN(O164)&gt;0,1,0)+IF(LEN(T164)&gt;0,1,0)+IF(LEN(U164)&gt;0,1,0)+IF(LEN(V164)&gt;0,1,0)+IF(LEN(AK164)&gt;0,1,0)+IF(LEN(AM164)&gt;0,1,0)+IF(LEN(AN164)&gt;0,1,0)+IF(LEN(AO164)&gt;0,1,0)+IF(LEN(AP164)&gt;0,1,0)+IF(LEN(AY164)&gt;0,1,0)+IF(LEN(BK164)&gt;0,1,0)+IF(LEN(BX164)&gt;0,1,0))/20,2))</f>
        <v/>
      </c>
      <c r="CD164" s="10" t="str">
        <f aca="false">IF(D164="","",IF(AND(AN164="Approved",ISERROR(SEARCH("FAIL",BH164))),"Y","N"))</f>
        <v/>
      </c>
      <c r="CE164" s="10" t="str">
        <f aca="false">IF(D164="","",D164&amp;"|"&amp;F164&amp;"|"&amp;G164&amp;"|"&amp;H164&amp;"|"&amp;E164&amp;"|"&amp;CD164)</f>
        <v/>
      </c>
    </row>
    <row r="165" customFormat="false" ht="15" hidden="false" customHeight="false" outlineLevel="0" collapsed="false">
      <c r="A165" s="10" t="str">
        <f aca="false">IF(D165="","","EW-"&amp;IFERROR(VLOOKUP(D165,Lists!$P$4:$Q$22,2,0),"??")&amp;"-D"&amp;TEXT(F165*1000,"0000")&amp;"-"&amp;IFERROR(VLOOKUP(G165,Lists!$S$4:$T$21,2,0),"??")&amp;"-"&amp;IFERROR(VLOOKUP(H165,Lists!$Y$4:$Z$21,2,0),"??")&amp;"-"&amp;IFERROR(VLOOKUP(E165,Lists!$V$4:$W$16,2,0),"??")&amp;"-"&amp;AM165)</f>
        <v/>
      </c>
      <c r="B165" s="10" t="str">
        <f aca="false">IF(D165="","",E165&amp;" "&amp;D165&amp;", excavation "&amp;TEXT(F165,"0.0")&amp;" m, "&amp;G165&amp;", "&amp;H165&amp;", "&amp;K165)</f>
        <v/>
      </c>
      <c r="C165" s="9"/>
      <c r="D165" s="9"/>
      <c r="E165" s="9"/>
      <c r="F165" s="42"/>
      <c r="G165" s="9"/>
      <c r="H165" s="9"/>
      <c r="I165" s="42"/>
      <c r="J165" s="38"/>
      <c r="K165" s="9"/>
      <c r="L165" s="9"/>
      <c r="M165" s="9"/>
      <c r="N165" s="42"/>
      <c r="O165" s="42"/>
      <c r="P165" s="9"/>
      <c r="Q165" s="9"/>
      <c r="R165" s="9"/>
      <c r="S165" s="9"/>
      <c r="T165" s="38"/>
      <c r="U165" s="38"/>
      <c r="V165" s="38"/>
      <c r="W165" s="38"/>
      <c r="X165" s="38"/>
      <c r="Y165" s="9"/>
      <c r="Z165" s="39"/>
      <c r="AA165" s="9"/>
      <c r="AB165" s="9"/>
      <c r="AC165" s="9"/>
      <c r="AD165" s="9"/>
      <c r="AE165" s="9"/>
      <c r="AF165" s="9"/>
      <c r="AG165" s="9"/>
      <c r="AH165" s="38"/>
      <c r="AI165" s="9"/>
      <c r="AJ165" s="39"/>
      <c r="AK165" s="9"/>
      <c r="AL165" s="9"/>
      <c r="AM165" s="9"/>
      <c r="AN165" s="9"/>
      <c r="AO165" s="9"/>
      <c r="AP165" s="9"/>
      <c r="AQ165" s="9"/>
      <c r="AR165" s="10" t="str">
        <f aca="false">IF(A165="","",SG_Criteria!$B$6&amp;SG_Criteria!$B$9&amp;"\"&amp;A165&amp;"\")</f>
        <v/>
      </c>
      <c r="AS165" s="10" t="str">
        <f aca="false">IF(A165="","",A165&amp;"_CAD.dwg")</f>
        <v/>
      </c>
      <c r="AT165" s="10" t="str">
        <f aca="false">IF(A165="","",A165&amp;"_DWG.pdf")</f>
        <v/>
      </c>
      <c r="AU165" s="10" t="str">
        <f aca="false">IF(A165="","",IF(AQ165="Y",A165&amp;"_STAAD.std","n/a"))</f>
        <v/>
      </c>
      <c r="AV165" s="10" t="str">
        <f aca="false">IF(A165="","",A165&amp;"_CALC.xlsx")</f>
        <v/>
      </c>
      <c r="AW165" s="10" t="str">
        <f aca="false">IF(A165="","",A165&amp;"_CALC.pdf")</f>
        <v/>
      </c>
      <c r="AX165" s="9"/>
      <c r="AY165" s="9"/>
      <c r="AZ165" s="39"/>
      <c r="BA165" s="39"/>
      <c r="BB165" s="39"/>
      <c r="BC165" s="39"/>
      <c r="BD165" s="39"/>
      <c r="BE165" s="12" t="str">
        <f aca="false">IF(A165="","",IF(COUNTIF(Rebar_Schedule!$A$5:$A$2004,A165)=0,"",ROUND(SUMIF(Rebar_Schedule!$A$5:$A$2004,A165,Rebar_Schedule!$K$5:$K$2004),1)))</f>
        <v/>
      </c>
      <c r="BF165" s="33" t="str">
        <f aca="false">IF(A165="","",IF(BE165="","No rebar schedule yet",IF(ABS(BE165-N(BA165))/MAX(N(BA165),1)&gt;SG_Criteria!$B$55,"NOTE: register rebar differs from schedule by "&amp;TEXT(ABS(BE165-N(BA165))/MAX(N(BA165),1),"0%"),"OK")))</f>
        <v/>
      </c>
      <c r="BG165" s="33" t="str">
        <f aca="false">IF(OR(D165="",F165=""),"",IF(F165&lt;=IF(D165="Soldier Pile &amp; Timber Lagging",SG_Criteria!$B$34,SG_Criteria!$B$33),"No ERSS submission",IF(F165&lt;=SG_Criteria!$B$35,"QP(ST)",IF(F165&lt;=SG_Criteria!$B$36,"QP(ST) + AC","Geotechnical building works: QP(Geo) + AC"))))</f>
        <v/>
      </c>
      <c r="BH165" s="33" t="str">
        <f aca="false">IF(D165="","",IF(LEN(IF(AND(AC165&lt;&gt;"",IFERROR(VALUE(MID(AC165,2,2)),0)&lt;SG_Criteria!$B$19),"FAIL: grade below C"&amp;SG_Criteria!$B$19&amp;". ","")&amp;IF(AND(LEFT(D165,3)="Con",N(I165)&lt;F165,H165="Kallang Formation (marine clay)"),"NOTE: CBP is not watertight below GWT in marine clay; consider secant / grouting. ","")&amp;IF(AND(D165="Steel Sheet Pile",E165="Permanent"),"NOTE: permanent sheet pile needs corrosion allowance. ","")&amp;IF(AND(G165="Cantilever (no support)",F165&gt;6),"NOTE: cantilever embedded wall &gt; 6 m, check deflection. ","")&amp;IF(AND(T165&lt;&gt;"",U165&lt;&gt;"",T165&gt;U165),"FAIL: deflection exceeds allowable. ",""))=0,"OK",IF(AND(AC165&lt;&gt;"",IFERROR(VALUE(MID(AC165,2,2)),0)&lt;SG_Criteria!$B$19),"FAIL: grade below C"&amp;SG_Criteria!$B$19&amp;". ","")&amp;IF(AND(LEFT(D165,3)="Con",N(I165)&lt;F165,H165="Kallang Formation (marine clay)"),"NOTE: CBP is not watertight below GWT in marine clay; consider secant / grouting. ","")&amp;IF(AND(D165="Steel Sheet Pile",E165="Permanent"),"NOTE: permanent sheet pile needs corrosion allowance. ","")&amp;IF(AND(G165="Cantilever (no support)",F165&gt;6),"NOTE: cantilever embedded wall &gt; 6 m, check deflection. ","")&amp;IF(AND(T165&lt;&gt;"",U165&lt;&gt;"",T165&gt;U165),"FAIL: deflection exceeds allowable. ","")))</f>
        <v/>
      </c>
      <c r="BI165" s="9"/>
      <c r="BJ165" s="9"/>
      <c r="BK165" s="9"/>
      <c r="BL165" s="10" t="str">
        <f aca="false">IF(BK165="","",IFERROR(VLOOKUP(BK165,Projects!$A$5:$D$504,2,0),"Ref not in Projects"))</f>
        <v/>
      </c>
      <c r="BM165" s="10" t="str">
        <f aca="false">IF(BK165="","",IFERROR(VLOOKUP(BK165,Projects!$A$5:$D$504,4,0),"Ref not in Projects"))</f>
        <v/>
      </c>
      <c r="BN165" s="9"/>
      <c r="BO165" s="9"/>
      <c r="BP165" s="9"/>
      <c r="BQ165" s="40"/>
      <c r="BR165" s="9"/>
      <c r="BS165" s="40"/>
      <c r="BT165" s="9"/>
      <c r="BU165" s="40"/>
      <c r="BV165" s="9"/>
      <c r="BW165" s="9"/>
      <c r="BX165" s="9"/>
      <c r="BY165" s="40"/>
      <c r="BZ165" s="40"/>
      <c r="CA165" s="36" t="str">
        <f aca="false">IF(BZ165="","",EDATE(BZ165,SG_Criteria!$B$54*12))</f>
        <v/>
      </c>
      <c r="CB165" s="33" t="str">
        <f aca="true">IF(A165="","",IF(BZ165="","NOTE: not reviewed yet",IF(TODAY()&gt;CA165,"NOTE: review overdue","OK")))</f>
        <v/>
      </c>
      <c r="CC165" s="37" t="str">
        <f aca="false">IF(A165="","",ROUND((IF(LEN(D165)&gt;0,1,0)+IF(LEN(E165)&gt;0,1,0)+IF(LEN(F165)&gt;0,1,0)+IF(LEN(G165)&gt;0,1,0)+IF(LEN(H165)&gt;0,1,0)+IF(LEN(I165)&gt;0,1,0)+IF(LEN(K165)&gt;0,1,0)+IF(LEN(N165)&gt;0,1,0)+IF(LEN(O165)&gt;0,1,0)+IF(LEN(T165)&gt;0,1,0)+IF(LEN(U165)&gt;0,1,0)+IF(LEN(V165)&gt;0,1,0)+IF(LEN(AK165)&gt;0,1,0)+IF(LEN(AM165)&gt;0,1,0)+IF(LEN(AN165)&gt;0,1,0)+IF(LEN(AO165)&gt;0,1,0)+IF(LEN(AP165)&gt;0,1,0)+IF(LEN(AY165)&gt;0,1,0)+IF(LEN(BK165)&gt;0,1,0)+IF(LEN(BX165)&gt;0,1,0))/20,2))</f>
        <v/>
      </c>
      <c r="CD165" s="10" t="str">
        <f aca="false">IF(D165="","",IF(AND(AN165="Approved",ISERROR(SEARCH("FAIL",BH165))),"Y","N"))</f>
        <v/>
      </c>
      <c r="CE165" s="10" t="str">
        <f aca="false">IF(D165="","",D165&amp;"|"&amp;F165&amp;"|"&amp;G165&amp;"|"&amp;H165&amp;"|"&amp;E165&amp;"|"&amp;CD165)</f>
        <v/>
      </c>
    </row>
    <row r="166" customFormat="false" ht="15" hidden="false" customHeight="false" outlineLevel="0" collapsed="false">
      <c r="A166" s="10" t="str">
        <f aca="false">IF(D166="","","EW-"&amp;IFERROR(VLOOKUP(D166,Lists!$P$4:$Q$22,2,0),"??")&amp;"-D"&amp;TEXT(F166*1000,"0000")&amp;"-"&amp;IFERROR(VLOOKUP(G166,Lists!$S$4:$T$21,2,0),"??")&amp;"-"&amp;IFERROR(VLOOKUP(H166,Lists!$Y$4:$Z$21,2,0),"??")&amp;"-"&amp;IFERROR(VLOOKUP(E166,Lists!$V$4:$W$16,2,0),"??")&amp;"-"&amp;AM166)</f>
        <v/>
      </c>
      <c r="B166" s="10" t="str">
        <f aca="false">IF(D166="","",E166&amp;" "&amp;D166&amp;", excavation "&amp;TEXT(F166,"0.0")&amp;" m, "&amp;G166&amp;", "&amp;H166&amp;", "&amp;K166)</f>
        <v/>
      </c>
      <c r="C166" s="9"/>
      <c r="D166" s="9"/>
      <c r="E166" s="9"/>
      <c r="F166" s="42"/>
      <c r="G166" s="9"/>
      <c r="H166" s="9"/>
      <c r="I166" s="42"/>
      <c r="J166" s="38"/>
      <c r="K166" s="9"/>
      <c r="L166" s="9"/>
      <c r="M166" s="9"/>
      <c r="N166" s="42"/>
      <c r="O166" s="42"/>
      <c r="P166" s="9"/>
      <c r="Q166" s="9"/>
      <c r="R166" s="9"/>
      <c r="S166" s="9"/>
      <c r="T166" s="38"/>
      <c r="U166" s="38"/>
      <c r="V166" s="38"/>
      <c r="W166" s="38"/>
      <c r="X166" s="38"/>
      <c r="Y166" s="9"/>
      <c r="Z166" s="39"/>
      <c r="AA166" s="9"/>
      <c r="AB166" s="9"/>
      <c r="AC166" s="9"/>
      <c r="AD166" s="9"/>
      <c r="AE166" s="9"/>
      <c r="AF166" s="9"/>
      <c r="AG166" s="9"/>
      <c r="AH166" s="38"/>
      <c r="AI166" s="9"/>
      <c r="AJ166" s="39"/>
      <c r="AK166" s="9"/>
      <c r="AL166" s="9"/>
      <c r="AM166" s="9"/>
      <c r="AN166" s="9"/>
      <c r="AO166" s="9"/>
      <c r="AP166" s="9"/>
      <c r="AQ166" s="9"/>
      <c r="AR166" s="10" t="str">
        <f aca="false">IF(A166="","",SG_Criteria!$B$6&amp;SG_Criteria!$B$9&amp;"\"&amp;A166&amp;"\")</f>
        <v/>
      </c>
      <c r="AS166" s="10" t="str">
        <f aca="false">IF(A166="","",A166&amp;"_CAD.dwg")</f>
        <v/>
      </c>
      <c r="AT166" s="10" t="str">
        <f aca="false">IF(A166="","",A166&amp;"_DWG.pdf")</f>
        <v/>
      </c>
      <c r="AU166" s="10" t="str">
        <f aca="false">IF(A166="","",IF(AQ166="Y",A166&amp;"_STAAD.std","n/a"))</f>
        <v/>
      </c>
      <c r="AV166" s="10" t="str">
        <f aca="false">IF(A166="","",A166&amp;"_CALC.xlsx")</f>
        <v/>
      </c>
      <c r="AW166" s="10" t="str">
        <f aca="false">IF(A166="","",A166&amp;"_CALC.pdf")</f>
        <v/>
      </c>
      <c r="AX166" s="9"/>
      <c r="AY166" s="9"/>
      <c r="AZ166" s="39"/>
      <c r="BA166" s="39"/>
      <c r="BB166" s="39"/>
      <c r="BC166" s="39"/>
      <c r="BD166" s="39"/>
      <c r="BE166" s="12" t="str">
        <f aca="false">IF(A166="","",IF(COUNTIF(Rebar_Schedule!$A$5:$A$2004,A166)=0,"",ROUND(SUMIF(Rebar_Schedule!$A$5:$A$2004,A166,Rebar_Schedule!$K$5:$K$2004),1)))</f>
        <v/>
      </c>
      <c r="BF166" s="33" t="str">
        <f aca="false">IF(A166="","",IF(BE166="","No rebar schedule yet",IF(ABS(BE166-N(BA166))/MAX(N(BA166),1)&gt;SG_Criteria!$B$55,"NOTE: register rebar differs from schedule by "&amp;TEXT(ABS(BE166-N(BA166))/MAX(N(BA166),1),"0%"),"OK")))</f>
        <v/>
      </c>
      <c r="BG166" s="33" t="str">
        <f aca="false">IF(OR(D166="",F166=""),"",IF(F166&lt;=IF(D166="Soldier Pile &amp; Timber Lagging",SG_Criteria!$B$34,SG_Criteria!$B$33),"No ERSS submission",IF(F166&lt;=SG_Criteria!$B$35,"QP(ST)",IF(F166&lt;=SG_Criteria!$B$36,"QP(ST) + AC","Geotechnical building works: QP(Geo) + AC"))))</f>
        <v/>
      </c>
      <c r="BH166" s="33" t="str">
        <f aca="false">IF(D166="","",IF(LEN(IF(AND(AC166&lt;&gt;"",IFERROR(VALUE(MID(AC166,2,2)),0)&lt;SG_Criteria!$B$19),"FAIL: grade below C"&amp;SG_Criteria!$B$19&amp;". ","")&amp;IF(AND(LEFT(D166,3)="Con",N(I166)&lt;F166,H166="Kallang Formation (marine clay)"),"NOTE: CBP is not watertight below GWT in marine clay; consider secant / grouting. ","")&amp;IF(AND(D166="Steel Sheet Pile",E166="Permanent"),"NOTE: permanent sheet pile needs corrosion allowance. ","")&amp;IF(AND(G166="Cantilever (no support)",F166&gt;6),"NOTE: cantilever embedded wall &gt; 6 m, check deflection. ","")&amp;IF(AND(T166&lt;&gt;"",U166&lt;&gt;"",T166&gt;U166),"FAIL: deflection exceeds allowable. ",""))=0,"OK",IF(AND(AC166&lt;&gt;"",IFERROR(VALUE(MID(AC166,2,2)),0)&lt;SG_Criteria!$B$19),"FAIL: grade below C"&amp;SG_Criteria!$B$19&amp;". ","")&amp;IF(AND(LEFT(D166,3)="Con",N(I166)&lt;F166,H166="Kallang Formation (marine clay)"),"NOTE: CBP is not watertight below GWT in marine clay; consider secant / grouting. ","")&amp;IF(AND(D166="Steel Sheet Pile",E166="Permanent"),"NOTE: permanent sheet pile needs corrosion allowance. ","")&amp;IF(AND(G166="Cantilever (no support)",F166&gt;6),"NOTE: cantilever embedded wall &gt; 6 m, check deflection. ","")&amp;IF(AND(T166&lt;&gt;"",U166&lt;&gt;"",T166&gt;U166),"FAIL: deflection exceeds allowable. ","")))</f>
        <v/>
      </c>
      <c r="BI166" s="9"/>
      <c r="BJ166" s="9"/>
      <c r="BK166" s="9"/>
      <c r="BL166" s="10" t="str">
        <f aca="false">IF(BK166="","",IFERROR(VLOOKUP(BK166,Projects!$A$5:$D$504,2,0),"Ref not in Projects"))</f>
        <v/>
      </c>
      <c r="BM166" s="10" t="str">
        <f aca="false">IF(BK166="","",IFERROR(VLOOKUP(BK166,Projects!$A$5:$D$504,4,0),"Ref not in Projects"))</f>
        <v/>
      </c>
      <c r="BN166" s="9"/>
      <c r="BO166" s="9"/>
      <c r="BP166" s="9"/>
      <c r="BQ166" s="40"/>
      <c r="BR166" s="9"/>
      <c r="BS166" s="40"/>
      <c r="BT166" s="9"/>
      <c r="BU166" s="40"/>
      <c r="BV166" s="9"/>
      <c r="BW166" s="9"/>
      <c r="BX166" s="9"/>
      <c r="BY166" s="40"/>
      <c r="BZ166" s="40"/>
      <c r="CA166" s="36" t="str">
        <f aca="false">IF(BZ166="","",EDATE(BZ166,SG_Criteria!$B$54*12))</f>
        <v/>
      </c>
      <c r="CB166" s="33" t="str">
        <f aca="true">IF(A166="","",IF(BZ166="","NOTE: not reviewed yet",IF(TODAY()&gt;CA166,"NOTE: review overdue","OK")))</f>
        <v/>
      </c>
      <c r="CC166" s="37" t="str">
        <f aca="false">IF(A166="","",ROUND((IF(LEN(D166)&gt;0,1,0)+IF(LEN(E166)&gt;0,1,0)+IF(LEN(F166)&gt;0,1,0)+IF(LEN(G166)&gt;0,1,0)+IF(LEN(H166)&gt;0,1,0)+IF(LEN(I166)&gt;0,1,0)+IF(LEN(K166)&gt;0,1,0)+IF(LEN(N166)&gt;0,1,0)+IF(LEN(O166)&gt;0,1,0)+IF(LEN(T166)&gt;0,1,0)+IF(LEN(U166)&gt;0,1,0)+IF(LEN(V166)&gt;0,1,0)+IF(LEN(AK166)&gt;0,1,0)+IF(LEN(AM166)&gt;0,1,0)+IF(LEN(AN166)&gt;0,1,0)+IF(LEN(AO166)&gt;0,1,0)+IF(LEN(AP166)&gt;0,1,0)+IF(LEN(AY166)&gt;0,1,0)+IF(LEN(BK166)&gt;0,1,0)+IF(LEN(BX166)&gt;0,1,0))/20,2))</f>
        <v/>
      </c>
      <c r="CD166" s="10" t="str">
        <f aca="false">IF(D166="","",IF(AND(AN166="Approved",ISERROR(SEARCH("FAIL",BH166))),"Y","N"))</f>
        <v/>
      </c>
      <c r="CE166" s="10" t="str">
        <f aca="false">IF(D166="","",D166&amp;"|"&amp;F166&amp;"|"&amp;G166&amp;"|"&amp;H166&amp;"|"&amp;E166&amp;"|"&amp;CD166)</f>
        <v/>
      </c>
    </row>
    <row r="167" customFormat="false" ht="15" hidden="false" customHeight="false" outlineLevel="0" collapsed="false">
      <c r="A167" s="10" t="str">
        <f aca="false">IF(D167="","","EW-"&amp;IFERROR(VLOOKUP(D167,Lists!$P$4:$Q$22,2,0),"??")&amp;"-D"&amp;TEXT(F167*1000,"0000")&amp;"-"&amp;IFERROR(VLOOKUP(G167,Lists!$S$4:$T$21,2,0),"??")&amp;"-"&amp;IFERROR(VLOOKUP(H167,Lists!$Y$4:$Z$21,2,0),"??")&amp;"-"&amp;IFERROR(VLOOKUP(E167,Lists!$V$4:$W$16,2,0),"??")&amp;"-"&amp;AM167)</f>
        <v/>
      </c>
      <c r="B167" s="10" t="str">
        <f aca="false">IF(D167="","",E167&amp;" "&amp;D167&amp;", excavation "&amp;TEXT(F167,"0.0")&amp;" m, "&amp;G167&amp;", "&amp;H167&amp;", "&amp;K167)</f>
        <v/>
      </c>
      <c r="C167" s="9"/>
      <c r="D167" s="9"/>
      <c r="E167" s="9"/>
      <c r="F167" s="42"/>
      <c r="G167" s="9"/>
      <c r="H167" s="9"/>
      <c r="I167" s="42"/>
      <c r="J167" s="38"/>
      <c r="K167" s="9"/>
      <c r="L167" s="9"/>
      <c r="M167" s="9"/>
      <c r="N167" s="42"/>
      <c r="O167" s="42"/>
      <c r="P167" s="9"/>
      <c r="Q167" s="9"/>
      <c r="R167" s="9"/>
      <c r="S167" s="9"/>
      <c r="T167" s="38"/>
      <c r="U167" s="38"/>
      <c r="V167" s="38"/>
      <c r="W167" s="38"/>
      <c r="X167" s="38"/>
      <c r="Y167" s="9"/>
      <c r="Z167" s="39"/>
      <c r="AA167" s="9"/>
      <c r="AB167" s="9"/>
      <c r="AC167" s="9"/>
      <c r="AD167" s="9"/>
      <c r="AE167" s="9"/>
      <c r="AF167" s="9"/>
      <c r="AG167" s="9"/>
      <c r="AH167" s="38"/>
      <c r="AI167" s="9"/>
      <c r="AJ167" s="39"/>
      <c r="AK167" s="9"/>
      <c r="AL167" s="9"/>
      <c r="AM167" s="9"/>
      <c r="AN167" s="9"/>
      <c r="AO167" s="9"/>
      <c r="AP167" s="9"/>
      <c r="AQ167" s="9"/>
      <c r="AR167" s="10" t="str">
        <f aca="false">IF(A167="","",SG_Criteria!$B$6&amp;SG_Criteria!$B$9&amp;"\"&amp;A167&amp;"\")</f>
        <v/>
      </c>
      <c r="AS167" s="10" t="str">
        <f aca="false">IF(A167="","",A167&amp;"_CAD.dwg")</f>
        <v/>
      </c>
      <c r="AT167" s="10" t="str">
        <f aca="false">IF(A167="","",A167&amp;"_DWG.pdf")</f>
        <v/>
      </c>
      <c r="AU167" s="10" t="str">
        <f aca="false">IF(A167="","",IF(AQ167="Y",A167&amp;"_STAAD.std","n/a"))</f>
        <v/>
      </c>
      <c r="AV167" s="10" t="str">
        <f aca="false">IF(A167="","",A167&amp;"_CALC.xlsx")</f>
        <v/>
      </c>
      <c r="AW167" s="10" t="str">
        <f aca="false">IF(A167="","",A167&amp;"_CALC.pdf")</f>
        <v/>
      </c>
      <c r="AX167" s="9"/>
      <c r="AY167" s="9"/>
      <c r="AZ167" s="39"/>
      <c r="BA167" s="39"/>
      <c r="BB167" s="39"/>
      <c r="BC167" s="39"/>
      <c r="BD167" s="39"/>
      <c r="BE167" s="12" t="str">
        <f aca="false">IF(A167="","",IF(COUNTIF(Rebar_Schedule!$A$5:$A$2004,A167)=0,"",ROUND(SUMIF(Rebar_Schedule!$A$5:$A$2004,A167,Rebar_Schedule!$K$5:$K$2004),1)))</f>
        <v/>
      </c>
      <c r="BF167" s="33" t="str">
        <f aca="false">IF(A167="","",IF(BE167="","No rebar schedule yet",IF(ABS(BE167-N(BA167))/MAX(N(BA167),1)&gt;SG_Criteria!$B$55,"NOTE: register rebar differs from schedule by "&amp;TEXT(ABS(BE167-N(BA167))/MAX(N(BA167),1),"0%"),"OK")))</f>
        <v/>
      </c>
      <c r="BG167" s="33" t="str">
        <f aca="false">IF(OR(D167="",F167=""),"",IF(F167&lt;=IF(D167="Soldier Pile &amp; Timber Lagging",SG_Criteria!$B$34,SG_Criteria!$B$33),"No ERSS submission",IF(F167&lt;=SG_Criteria!$B$35,"QP(ST)",IF(F167&lt;=SG_Criteria!$B$36,"QP(ST) + AC","Geotechnical building works: QP(Geo) + AC"))))</f>
        <v/>
      </c>
      <c r="BH167" s="33" t="str">
        <f aca="false">IF(D167="","",IF(LEN(IF(AND(AC167&lt;&gt;"",IFERROR(VALUE(MID(AC167,2,2)),0)&lt;SG_Criteria!$B$19),"FAIL: grade below C"&amp;SG_Criteria!$B$19&amp;". ","")&amp;IF(AND(LEFT(D167,3)="Con",N(I167)&lt;F167,H167="Kallang Formation (marine clay)"),"NOTE: CBP is not watertight below GWT in marine clay; consider secant / grouting. ","")&amp;IF(AND(D167="Steel Sheet Pile",E167="Permanent"),"NOTE: permanent sheet pile needs corrosion allowance. ","")&amp;IF(AND(G167="Cantilever (no support)",F167&gt;6),"NOTE: cantilever embedded wall &gt; 6 m, check deflection. ","")&amp;IF(AND(T167&lt;&gt;"",U167&lt;&gt;"",T167&gt;U167),"FAIL: deflection exceeds allowable. ",""))=0,"OK",IF(AND(AC167&lt;&gt;"",IFERROR(VALUE(MID(AC167,2,2)),0)&lt;SG_Criteria!$B$19),"FAIL: grade below C"&amp;SG_Criteria!$B$19&amp;". ","")&amp;IF(AND(LEFT(D167,3)="Con",N(I167)&lt;F167,H167="Kallang Formation (marine clay)"),"NOTE: CBP is not watertight below GWT in marine clay; consider secant / grouting. ","")&amp;IF(AND(D167="Steel Sheet Pile",E167="Permanent"),"NOTE: permanent sheet pile needs corrosion allowance. ","")&amp;IF(AND(G167="Cantilever (no support)",F167&gt;6),"NOTE: cantilever embedded wall &gt; 6 m, check deflection. ","")&amp;IF(AND(T167&lt;&gt;"",U167&lt;&gt;"",T167&gt;U167),"FAIL: deflection exceeds allowable. ","")))</f>
        <v/>
      </c>
      <c r="BI167" s="9"/>
      <c r="BJ167" s="9"/>
      <c r="BK167" s="9"/>
      <c r="BL167" s="10" t="str">
        <f aca="false">IF(BK167="","",IFERROR(VLOOKUP(BK167,Projects!$A$5:$D$504,2,0),"Ref not in Projects"))</f>
        <v/>
      </c>
      <c r="BM167" s="10" t="str">
        <f aca="false">IF(BK167="","",IFERROR(VLOOKUP(BK167,Projects!$A$5:$D$504,4,0),"Ref not in Projects"))</f>
        <v/>
      </c>
      <c r="BN167" s="9"/>
      <c r="BO167" s="9"/>
      <c r="BP167" s="9"/>
      <c r="BQ167" s="40"/>
      <c r="BR167" s="9"/>
      <c r="BS167" s="40"/>
      <c r="BT167" s="9"/>
      <c r="BU167" s="40"/>
      <c r="BV167" s="9"/>
      <c r="BW167" s="9"/>
      <c r="BX167" s="9"/>
      <c r="BY167" s="40"/>
      <c r="BZ167" s="40"/>
      <c r="CA167" s="36" t="str">
        <f aca="false">IF(BZ167="","",EDATE(BZ167,SG_Criteria!$B$54*12))</f>
        <v/>
      </c>
      <c r="CB167" s="33" t="str">
        <f aca="true">IF(A167="","",IF(BZ167="","NOTE: not reviewed yet",IF(TODAY()&gt;CA167,"NOTE: review overdue","OK")))</f>
        <v/>
      </c>
      <c r="CC167" s="37" t="str">
        <f aca="false">IF(A167="","",ROUND((IF(LEN(D167)&gt;0,1,0)+IF(LEN(E167)&gt;0,1,0)+IF(LEN(F167)&gt;0,1,0)+IF(LEN(G167)&gt;0,1,0)+IF(LEN(H167)&gt;0,1,0)+IF(LEN(I167)&gt;0,1,0)+IF(LEN(K167)&gt;0,1,0)+IF(LEN(N167)&gt;0,1,0)+IF(LEN(O167)&gt;0,1,0)+IF(LEN(T167)&gt;0,1,0)+IF(LEN(U167)&gt;0,1,0)+IF(LEN(V167)&gt;0,1,0)+IF(LEN(AK167)&gt;0,1,0)+IF(LEN(AM167)&gt;0,1,0)+IF(LEN(AN167)&gt;0,1,0)+IF(LEN(AO167)&gt;0,1,0)+IF(LEN(AP167)&gt;0,1,0)+IF(LEN(AY167)&gt;0,1,0)+IF(LEN(BK167)&gt;0,1,0)+IF(LEN(BX167)&gt;0,1,0))/20,2))</f>
        <v/>
      </c>
      <c r="CD167" s="10" t="str">
        <f aca="false">IF(D167="","",IF(AND(AN167="Approved",ISERROR(SEARCH("FAIL",BH167))),"Y","N"))</f>
        <v/>
      </c>
      <c r="CE167" s="10" t="str">
        <f aca="false">IF(D167="","",D167&amp;"|"&amp;F167&amp;"|"&amp;G167&amp;"|"&amp;H167&amp;"|"&amp;E167&amp;"|"&amp;CD167)</f>
        <v/>
      </c>
    </row>
    <row r="168" customFormat="false" ht="15" hidden="false" customHeight="false" outlineLevel="0" collapsed="false">
      <c r="A168" s="10" t="str">
        <f aca="false">IF(D168="","","EW-"&amp;IFERROR(VLOOKUP(D168,Lists!$P$4:$Q$22,2,0),"??")&amp;"-D"&amp;TEXT(F168*1000,"0000")&amp;"-"&amp;IFERROR(VLOOKUP(G168,Lists!$S$4:$T$21,2,0),"??")&amp;"-"&amp;IFERROR(VLOOKUP(H168,Lists!$Y$4:$Z$21,2,0),"??")&amp;"-"&amp;IFERROR(VLOOKUP(E168,Lists!$V$4:$W$16,2,0),"??")&amp;"-"&amp;AM168)</f>
        <v/>
      </c>
      <c r="B168" s="10" t="str">
        <f aca="false">IF(D168="","",E168&amp;" "&amp;D168&amp;", excavation "&amp;TEXT(F168,"0.0")&amp;" m, "&amp;G168&amp;", "&amp;H168&amp;", "&amp;K168)</f>
        <v/>
      </c>
      <c r="C168" s="9"/>
      <c r="D168" s="9"/>
      <c r="E168" s="9"/>
      <c r="F168" s="42"/>
      <c r="G168" s="9"/>
      <c r="H168" s="9"/>
      <c r="I168" s="42"/>
      <c r="J168" s="38"/>
      <c r="K168" s="9"/>
      <c r="L168" s="9"/>
      <c r="M168" s="9"/>
      <c r="N168" s="42"/>
      <c r="O168" s="42"/>
      <c r="P168" s="9"/>
      <c r="Q168" s="9"/>
      <c r="R168" s="9"/>
      <c r="S168" s="9"/>
      <c r="T168" s="38"/>
      <c r="U168" s="38"/>
      <c r="V168" s="38"/>
      <c r="W168" s="38"/>
      <c r="X168" s="38"/>
      <c r="Y168" s="9"/>
      <c r="Z168" s="39"/>
      <c r="AA168" s="9"/>
      <c r="AB168" s="9"/>
      <c r="AC168" s="9"/>
      <c r="AD168" s="9"/>
      <c r="AE168" s="9"/>
      <c r="AF168" s="9"/>
      <c r="AG168" s="9"/>
      <c r="AH168" s="38"/>
      <c r="AI168" s="9"/>
      <c r="AJ168" s="39"/>
      <c r="AK168" s="9"/>
      <c r="AL168" s="9"/>
      <c r="AM168" s="9"/>
      <c r="AN168" s="9"/>
      <c r="AO168" s="9"/>
      <c r="AP168" s="9"/>
      <c r="AQ168" s="9"/>
      <c r="AR168" s="10" t="str">
        <f aca="false">IF(A168="","",SG_Criteria!$B$6&amp;SG_Criteria!$B$9&amp;"\"&amp;A168&amp;"\")</f>
        <v/>
      </c>
      <c r="AS168" s="10" t="str">
        <f aca="false">IF(A168="","",A168&amp;"_CAD.dwg")</f>
        <v/>
      </c>
      <c r="AT168" s="10" t="str">
        <f aca="false">IF(A168="","",A168&amp;"_DWG.pdf")</f>
        <v/>
      </c>
      <c r="AU168" s="10" t="str">
        <f aca="false">IF(A168="","",IF(AQ168="Y",A168&amp;"_STAAD.std","n/a"))</f>
        <v/>
      </c>
      <c r="AV168" s="10" t="str">
        <f aca="false">IF(A168="","",A168&amp;"_CALC.xlsx")</f>
        <v/>
      </c>
      <c r="AW168" s="10" t="str">
        <f aca="false">IF(A168="","",A168&amp;"_CALC.pdf")</f>
        <v/>
      </c>
      <c r="AX168" s="9"/>
      <c r="AY168" s="9"/>
      <c r="AZ168" s="39"/>
      <c r="BA168" s="39"/>
      <c r="BB168" s="39"/>
      <c r="BC168" s="39"/>
      <c r="BD168" s="39"/>
      <c r="BE168" s="12" t="str">
        <f aca="false">IF(A168="","",IF(COUNTIF(Rebar_Schedule!$A$5:$A$2004,A168)=0,"",ROUND(SUMIF(Rebar_Schedule!$A$5:$A$2004,A168,Rebar_Schedule!$K$5:$K$2004),1)))</f>
        <v/>
      </c>
      <c r="BF168" s="33" t="str">
        <f aca="false">IF(A168="","",IF(BE168="","No rebar schedule yet",IF(ABS(BE168-N(BA168))/MAX(N(BA168),1)&gt;SG_Criteria!$B$55,"NOTE: register rebar differs from schedule by "&amp;TEXT(ABS(BE168-N(BA168))/MAX(N(BA168),1),"0%"),"OK")))</f>
        <v/>
      </c>
      <c r="BG168" s="33" t="str">
        <f aca="false">IF(OR(D168="",F168=""),"",IF(F168&lt;=IF(D168="Soldier Pile &amp; Timber Lagging",SG_Criteria!$B$34,SG_Criteria!$B$33),"No ERSS submission",IF(F168&lt;=SG_Criteria!$B$35,"QP(ST)",IF(F168&lt;=SG_Criteria!$B$36,"QP(ST) + AC","Geotechnical building works: QP(Geo) + AC"))))</f>
        <v/>
      </c>
      <c r="BH168" s="33" t="str">
        <f aca="false">IF(D168="","",IF(LEN(IF(AND(AC168&lt;&gt;"",IFERROR(VALUE(MID(AC168,2,2)),0)&lt;SG_Criteria!$B$19),"FAIL: grade below C"&amp;SG_Criteria!$B$19&amp;". ","")&amp;IF(AND(LEFT(D168,3)="Con",N(I168)&lt;F168,H168="Kallang Formation (marine clay)"),"NOTE: CBP is not watertight below GWT in marine clay; consider secant / grouting. ","")&amp;IF(AND(D168="Steel Sheet Pile",E168="Permanent"),"NOTE: permanent sheet pile needs corrosion allowance. ","")&amp;IF(AND(G168="Cantilever (no support)",F168&gt;6),"NOTE: cantilever embedded wall &gt; 6 m, check deflection. ","")&amp;IF(AND(T168&lt;&gt;"",U168&lt;&gt;"",T168&gt;U168),"FAIL: deflection exceeds allowable. ",""))=0,"OK",IF(AND(AC168&lt;&gt;"",IFERROR(VALUE(MID(AC168,2,2)),0)&lt;SG_Criteria!$B$19),"FAIL: grade below C"&amp;SG_Criteria!$B$19&amp;". ","")&amp;IF(AND(LEFT(D168,3)="Con",N(I168)&lt;F168,H168="Kallang Formation (marine clay)"),"NOTE: CBP is not watertight below GWT in marine clay; consider secant / grouting. ","")&amp;IF(AND(D168="Steel Sheet Pile",E168="Permanent"),"NOTE: permanent sheet pile needs corrosion allowance. ","")&amp;IF(AND(G168="Cantilever (no support)",F168&gt;6),"NOTE: cantilever embedded wall &gt; 6 m, check deflection. ","")&amp;IF(AND(T168&lt;&gt;"",U168&lt;&gt;"",T168&gt;U168),"FAIL: deflection exceeds allowable. ","")))</f>
        <v/>
      </c>
      <c r="BI168" s="9"/>
      <c r="BJ168" s="9"/>
      <c r="BK168" s="9"/>
      <c r="BL168" s="10" t="str">
        <f aca="false">IF(BK168="","",IFERROR(VLOOKUP(BK168,Projects!$A$5:$D$504,2,0),"Ref not in Projects"))</f>
        <v/>
      </c>
      <c r="BM168" s="10" t="str">
        <f aca="false">IF(BK168="","",IFERROR(VLOOKUP(BK168,Projects!$A$5:$D$504,4,0),"Ref not in Projects"))</f>
        <v/>
      </c>
      <c r="BN168" s="9"/>
      <c r="BO168" s="9"/>
      <c r="BP168" s="9"/>
      <c r="BQ168" s="40"/>
      <c r="BR168" s="9"/>
      <c r="BS168" s="40"/>
      <c r="BT168" s="9"/>
      <c r="BU168" s="40"/>
      <c r="BV168" s="9"/>
      <c r="BW168" s="9"/>
      <c r="BX168" s="9"/>
      <c r="BY168" s="40"/>
      <c r="BZ168" s="40"/>
      <c r="CA168" s="36" t="str">
        <f aca="false">IF(BZ168="","",EDATE(BZ168,SG_Criteria!$B$54*12))</f>
        <v/>
      </c>
      <c r="CB168" s="33" t="str">
        <f aca="true">IF(A168="","",IF(BZ168="","NOTE: not reviewed yet",IF(TODAY()&gt;CA168,"NOTE: review overdue","OK")))</f>
        <v/>
      </c>
      <c r="CC168" s="37" t="str">
        <f aca="false">IF(A168="","",ROUND((IF(LEN(D168)&gt;0,1,0)+IF(LEN(E168)&gt;0,1,0)+IF(LEN(F168)&gt;0,1,0)+IF(LEN(G168)&gt;0,1,0)+IF(LEN(H168)&gt;0,1,0)+IF(LEN(I168)&gt;0,1,0)+IF(LEN(K168)&gt;0,1,0)+IF(LEN(N168)&gt;0,1,0)+IF(LEN(O168)&gt;0,1,0)+IF(LEN(T168)&gt;0,1,0)+IF(LEN(U168)&gt;0,1,0)+IF(LEN(V168)&gt;0,1,0)+IF(LEN(AK168)&gt;0,1,0)+IF(LEN(AM168)&gt;0,1,0)+IF(LEN(AN168)&gt;0,1,0)+IF(LEN(AO168)&gt;0,1,0)+IF(LEN(AP168)&gt;0,1,0)+IF(LEN(AY168)&gt;0,1,0)+IF(LEN(BK168)&gt;0,1,0)+IF(LEN(BX168)&gt;0,1,0))/20,2))</f>
        <v/>
      </c>
      <c r="CD168" s="10" t="str">
        <f aca="false">IF(D168="","",IF(AND(AN168="Approved",ISERROR(SEARCH("FAIL",BH168))),"Y","N"))</f>
        <v/>
      </c>
      <c r="CE168" s="10" t="str">
        <f aca="false">IF(D168="","",D168&amp;"|"&amp;F168&amp;"|"&amp;G168&amp;"|"&amp;H168&amp;"|"&amp;E168&amp;"|"&amp;CD168)</f>
        <v/>
      </c>
    </row>
    <row r="169" customFormat="false" ht="15" hidden="false" customHeight="false" outlineLevel="0" collapsed="false">
      <c r="A169" s="10" t="str">
        <f aca="false">IF(D169="","","EW-"&amp;IFERROR(VLOOKUP(D169,Lists!$P$4:$Q$22,2,0),"??")&amp;"-D"&amp;TEXT(F169*1000,"0000")&amp;"-"&amp;IFERROR(VLOOKUP(G169,Lists!$S$4:$T$21,2,0),"??")&amp;"-"&amp;IFERROR(VLOOKUP(H169,Lists!$Y$4:$Z$21,2,0),"??")&amp;"-"&amp;IFERROR(VLOOKUP(E169,Lists!$V$4:$W$16,2,0),"??")&amp;"-"&amp;AM169)</f>
        <v/>
      </c>
      <c r="B169" s="10" t="str">
        <f aca="false">IF(D169="","",E169&amp;" "&amp;D169&amp;", excavation "&amp;TEXT(F169,"0.0")&amp;" m, "&amp;G169&amp;", "&amp;H169&amp;", "&amp;K169)</f>
        <v/>
      </c>
      <c r="C169" s="9"/>
      <c r="D169" s="9"/>
      <c r="E169" s="9"/>
      <c r="F169" s="42"/>
      <c r="G169" s="9"/>
      <c r="H169" s="9"/>
      <c r="I169" s="42"/>
      <c r="J169" s="38"/>
      <c r="K169" s="9"/>
      <c r="L169" s="9"/>
      <c r="M169" s="9"/>
      <c r="N169" s="42"/>
      <c r="O169" s="42"/>
      <c r="P169" s="9"/>
      <c r="Q169" s="9"/>
      <c r="R169" s="9"/>
      <c r="S169" s="9"/>
      <c r="T169" s="38"/>
      <c r="U169" s="38"/>
      <c r="V169" s="38"/>
      <c r="W169" s="38"/>
      <c r="X169" s="38"/>
      <c r="Y169" s="9"/>
      <c r="Z169" s="39"/>
      <c r="AA169" s="9"/>
      <c r="AB169" s="9"/>
      <c r="AC169" s="9"/>
      <c r="AD169" s="9"/>
      <c r="AE169" s="9"/>
      <c r="AF169" s="9"/>
      <c r="AG169" s="9"/>
      <c r="AH169" s="38"/>
      <c r="AI169" s="9"/>
      <c r="AJ169" s="39"/>
      <c r="AK169" s="9"/>
      <c r="AL169" s="9"/>
      <c r="AM169" s="9"/>
      <c r="AN169" s="9"/>
      <c r="AO169" s="9"/>
      <c r="AP169" s="9"/>
      <c r="AQ169" s="9"/>
      <c r="AR169" s="10" t="str">
        <f aca="false">IF(A169="","",SG_Criteria!$B$6&amp;SG_Criteria!$B$9&amp;"\"&amp;A169&amp;"\")</f>
        <v/>
      </c>
      <c r="AS169" s="10" t="str">
        <f aca="false">IF(A169="","",A169&amp;"_CAD.dwg")</f>
        <v/>
      </c>
      <c r="AT169" s="10" t="str">
        <f aca="false">IF(A169="","",A169&amp;"_DWG.pdf")</f>
        <v/>
      </c>
      <c r="AU169" s="10" t="str">
        <f aca="false">IF(A169="","",IF(AQ169="Y",A169&amp;"_STAAD.std","n/a"))</f>
        <v/>
      </c>
      <c r="AV169" s="10" t="str">
        <f aca="false">IF(A169="","",A169&amp;"_CALC.xlsx")</f>
        <v/>
      </c>
      <c r="AW169" s="10" t="str">
        <f aca="false">IF(A169="","",A169&amp;"_CALC.pdf")</f>
        <v/>
      </c>
      <c r="AX169" s="9"/>
      <c r="AY169" s="9"/>
      <c r="AZ169" s="39"/>
      <c r="BA169" s="39"/>
      <c r="BB169" s="39"/>
      <c r="BC169" s="39"/>
      <c r="BD169" s="39"/>
      <c r="BE169" s="12" t="str">
        <f aca="false">IF(A169="","",IF(COUNTIF(Rebar_Schedule!$A$5:$A$2004,A169)=0,"",ROUND(SUMIF(Rebar_Schedule!$A$5:$A$2004,A169,Rebar_Schedule!$K$5:$K$2004),1)))</f>
        <v/>
      </c>
      <c r="BF169" s="33" t="str">
        <f aca="false">IF(A169="","",IF(BE169="","No rebar schedule yet",IF(ABS(BE169-N(BA169))/MAX(N(BA169),1)&gt;SG_Criteria!$B$55,"NOTE: register rebar differs from schedule by "&amp;TEXT(ABS(BE169-N(BA169))/MAX(N(BA169),1),"0%"),"OK")))</f>
        <v/>
      </c>
      <c r="BG169" s="33" t="str">
        <f aca="false">IF(OR(D169="",F169=""),"",IF(F169&lt;=IF(D169="Soldier Pile &amp; Timber Lagging",SG_Criteria!$B$34,SG_Criteria!$B$33),"No ERSS submission",IF(F169&lt;=SG_Criteria!$B$35,"QP(ST)",IF(F169&lt;=SG_Criteria!$B$36,"QP(ST) + AC","Geotechnical building works: QP(Geo) + AC"))))</f>
        <v/>
      </c>
      <c r="BH169" s="33" t="str">
        <f aca="false">IF(D169="","",IF(LEN(IF(AND(AC169&lt;&gt;"",IFERROR(VALUE(MID(AC169,2,2)),0)&lt;SG_Criteria!$B$19),"FAIL: grade below C"&amp;SG_Criteria!$B$19&amp;". ","")&amp;IF(AND(LEFT(D169,3)="Con",N(I169)&lt;F169,H169="Kallang Formation (marine clay)"),"NOTE: CBP is not watertight below GWT in marine clay; consider secant / grouting. ","")&amp;IF(AND(D169="Steel Sheet Pile",E169="Permanent"),"NOTE: permanent sheet pile needs corrosion allowance. ","")&amp;IF(AND(G169="Cantilever (no support)",F169&gt;6),"NOTE: cantilever embedded wall &gt; 6 m, check deflection. ","")&amp;IF(AND(T169&lt;&gt;"",U169&lt;&gt;"",T169&gt;U169),"FAIL: deflection exceeds allowable. ",""))=0,"OK",IF(AND(AC169&lt;&gt;"",IFERROR(VALUE(MID(AC169,2,2)),0)&lt;SG_Criteria!$B$19),"FAIL: grade below C"&amp;SG_Criteria!$B$19&amp;". ","")&amp;IF(AND(LEFT(D169,3)="Con",N(I169)&lt;F169,H169="Kallang Formation (marine clay)"),"NOTE: CBP is not watertight below GWT in marine clay; consider secant / grouting. ","")&amp;IF(AND(D169="Steel Sheet Pile",E169="Permanent"),"NOTE: permanent sheet pile needs corrosion allowance. ","")&amp;IF(AND(G169="Cantilever (no support)",F169&gt;6),"NOTE: cantilever embedded wall &gt; 6 m, check deflection. ","")&amp;IF(AND(T169&lt;&gt;"",U169&lt;&gt;"",T169&gt;U169),"FAIL: deflection exceeds allowable. ","")))</f>
        <v/>
      </c>
      <c r="BI169" s="9"/>
      <c r="BJ169" s="9"/>
      <c r="BK169" s="9"/>
      <c r="BL169" s="10" t="str">
        <f aca="false">IF(BK169="","",IFERROR(VLOOKUP(BK169,Projects!$A$5:$D$504,2,0),"Ref not in Projects"))</f>
        <v/>
      </c>
      <c r="BM169" s="10" t="str">
        <f aca="false">IF(BK169="","",IFERROR(VLOOKUP(BK169,Projects!$A$5:$D$504,4,0),"Ref not in Projects"))</f>
        <v/>
      </c>
      <c r="BN169" s="9"/>
      <c r="BO169" s="9"/>
      <c r="BP169" s="9"/>
      <c r="BQ169" s="40"/>
      <c r="BR169" s="9"/>
      <c r="BS169" s="40"/>
      <c r="BT169" s="9"/>
      <c r="BU169" s="40"/>
      <c r="BV169" s="9"/>
      <c r="BW169" s="9"/>
      <c r="BX169" s="9"/>
      <c r="BY169" s="40"/>
      <c r="BZ169" s="40"/>
      <c r="CA169" s="36" t="str">
        <f aca="false">IF(BZ169="","",EDATE(BZ169,SG_Criteria!$B$54*12))</f>
        <v/>
      </c>
      <c r="CB169" s="33" t="str">
        <f aca="true">IF(A169="","",IF(BZ169="","NOTE: not reviewed yet",IF(TODAY()&gt;CA169,"NOTE: review overdue","OK")))</f>
        <v/>
      </c>
      <c r="CC169" s="37" t="str">
        <f aca="false">IF(A169="","",ROUND((IF(LEN(D169)&gt;0,1,0)+IF(LEN(E169)&gt;0,1,0)+IF(LEN(F169)&gt;0,1,0)+IF(LEN(G169)&gt;0,1,0)+IF(LEN(H169)&gt;0,1,0)+IF(LEN(I169)&gt;0,1,0)+IF(LEN(K169)&gt;0,1,0)+IF(LEN(N169)&gt;0,1,0)+IF(LEN(O169)&gt;0,1,0)+IF(LEN(T169)&gt;0,1,0)+IF(LEN(U169)&gt;0,1,0)+IF(LEN(V169)&gt;0,1,0)+IF(LEN(AK169)&gt;0,1,0)+IF(LEN(AM169)&gt;0,1,0)+IF(LEN(AN169)&gt;0,1,0)+IF(LEN(AO169)&gt;0,1,0)+IF(LEN(AP169)&gt;0,1,0)+IF(LEN(AY169)&gt;0,1,0)+IF(LEN(BK169)&gt;0,1,0)+IF(LEN(BX169)&gt;0,1,0))/20,2))</f>
        <v/>
      </c>
      <c r="CD169" s="10" t="str">
        <f aca="false">IF(D169="","",IF(AND(AN169="Approved",ISERROR(SEARCH("FAIL",BH169))),"Y","N"))</f>
        <v/>
      </c>
      <c r="CE169" s="10" t="str">
        <f aca="false">IF(D169="","",D169&amp;"|"&amp;F169&amp;"|"&amp;G169&amp;"|"&amp;H169&amp;"|"&amp;E169&amp;"|"&amp;CD169)</f>
        <v/>
      </c>
    </row>
    <row r="170" customFormat="false" ht="15" hidden="false" customHeight="false" outlineLevel="0" collapsed="false">
      <c r="A170" s="10" t="str">
        <f aca="false">IF(D170="","","EW-"&amp;IFERROR(VLOOKUP(D170,Lists!$P$4:$Q$22,2,0),"??")&amp;"-D"&amp;TEXT(F170*1000,"0000")&amp;"-"&amp;IFERROR(VLOOKUP(G170,Lists!$S$4:$T$21,2,0),"??")&amp;"-"&amp;IFERROR(VLOOKUP(H170,Lists!$Y$4:$Z$21,2,0),"??")&amp;"-"&amp;IFERROR(VLOOKUP(E170,Lists!$V$4:$W$16,2,0),"??")&amp;"-"&amp;AM170)</f>
        <v/>
      </c>
      <c r="B170" s="10" t="str">
        <f aca="false">IF(D170="","",E170&amp;" "&amp;D170&amp;", excavation "&amp;TEXT(F170,"0.0")&amp;" m, "&amp;G170&amp;", "&amp;H170&amp;", "&amp;K170)</f>
        <v/>
      </c>
      <c r="C170" s="9"/>
      <c r="D170" s="9"/>
      <c r="E170" s="9"/>
      <c r="F170" s="42"/>
      <c r="G170" s="9"/>
      <c r="H170" s="9"/>
      <c r="I170" s="42"/>
      <c r="J170" s="38"/>
      <c r="K170" s="9"/>
      <c r="L170" s="9"/>
      <c r="M170" s="9"/>
      <c r="N170" s="42"/>
      <c r="O170" s="42"/>
      <c r="P170" s="9"/>
      <c r="Q170" s="9"/>
      <c r="R170" s="9"/>
      <c r="S170" s="9"/>
      <c r="T170" s="38"/>
      <c r="U170" s="38"/>
      <c r="V170" s="38"/>
      <c r="W170" s="38"/>
      <c r="X170" s="38"/>
      <c r="Y170" s="9"/>
      <c r="Z170" s="39"/>
      <c r="AA170" s="9"/>
      <c r="AB170" s="9"/>
      <c r="AC170" s="9"/>
      <c r="AD170" s="9"/>
      <c r="AE170" s="9"/>
      <c r="AF170" s="9"/>
      <c r="AG170" s="9"/>
      <c r="AH170" s="38"/>
      <c r="AI170" s="9"/>
      <c r="AJ170" s="39"/>
      <c r="AK170" s="9"/>
      <c r="AL170" s="9"/>
      <c r="AM170" s="9"/>
      <c r="AN170" s="9"/>
      <c r="AO170" s="9"/>
      <c r="AP170" s="9"/>
      <c r="AQ170" s="9"/>
      <c r="AR170" s="10" t="str">
        <f aca="false">IF(A170="","",SG_Criteria!$B$6&amp;SG_Criteria!$B$9&amp;"\"&amp;A170&amp;"\")</f>
        <v/>
      </c>
      <c r="AS170" s="10" t="str">
        <f aca="false">IF(A170="","",A170&amp;"_CAD.dwg")</f>
        <v/>
      </c>
      <c r="AT170" s="10" t="str">
        <f aca="false">IF(A170="","",A170&amp;"_DWG.pdf")</f>
        <v/>
      </c>
      <c r="AU170" s="10" t="str">
        <f aca="false">IF(A170="","",IF(AQ170="Y",A170&amp;"_STAAD.std","n/a"))</f>
        <v/>
      </c>
      <c r="AV170" s="10" t="str">
        <f aca="false">IF(A170="","",A170&amp;"_CALC.xlsx")</f>
        <v/>
      </c>
      <c r="AW170" s="10" t="str">
        <f aca="false">IF(A170="","",A170&amp;"_CALC.pdf")</f>
        <v/>
      </c>
      <c r="AX170" s="9"/>
      <c r="AY170" s="9"/>
      <c r="AZ170" s="39"/>
      <c r="BA170" s="39"/>
      <c r="BB170" s="39"/>
      <c r="BC170" s="39"/>
      <c r="BD170" s="39"/>
      <c r="BE170" s="12" t="str">
        <f aca="false">IF(A170="","",IF(COUNTIF(Rebar_Schedule!$A$5:$A$2004,A170)=0,"",ROUND(SUMIF(Rebar_Schedule!$A$5:$A$2004,A170,Rebar_Schedule!$K$5:$K$2004),1)))</f>
        <v/>
      </c>
      <c r="BF170" s="33" t="str">
        <f aca="false">IF(A170="","",IF(BE170="","No rebar schedule yet",IF(ABS(BE170-N(BA170))/MAX(N(BA170),1)&gt;SG_Criteria!$B$55,"NOTE: register rebar differs from schedule by "&amp;TEXT(ABS(BE170-N(BA170))/MAX(N(BA170),1),"0%"),"OK")))</f>
        <v/>
      </c>
      <c r="BG170" s="33" t="str">
        <f aca="false">IF(OR(D170="",F170=""),"",IF(F170&lt;=IF(D170="Soldier Pile &amp; Timber Lagging",SG_Criteria!$B$34,SG_Criteria!$B$33),"No ERSS submission",IF(F170&lt;=SG_Criteria!$B$35,"QP(ST)",IF(F170&lt;=SG_Criteria!$B$36,"QP(ST) + AC","Geotechnical building works: QP(Geo) + AC"))))</f>
        <v/>
      </c>
      <c r="BH170" s="33" t="str">
        <f aca="false">IF(D170="","",IF(LEN(IF(AND(AC170&lt;&gt;"",IFERROR(VALUE(MID(AC170,2,2)),0)&lt;SG_Criteria!$B$19),"FAIL: grade below C"&amp;SG_Criteria!$B$19&amp;". ","")&amp;IF(AND(LEFT(D170,3)="Con",N(I170)&lt;F170,H170="Kallang Formation (marine clay)"),"NOTE: CBP is not watertight below GWT in marine clay; consider secant / grouting. ","")&amp;IF(AND(D170="Steel Sheet Pile",E170="Permanent"),"NOTE: permanent sheet pile needs corrosion allowance. ","")&amp;IF(AND(G170="Cantilever (no support)",F170&gt;6),"NOTE: cantilever embedded wall &gt; 6 m, check deflection. ","")&amp;IF(AND(T170&lt;&gt;"",U170&lt;&gt;"",T170&gt;U170),"FAIL: deflection exceeds allowable. ",""))=0,"OK",IF(AND(AC170&lt;&gt;"",IFERROR(VALUE(MID(AC170,2,2)),0)&lt;SG_Criteria!$B$19),"FAIL: grade below C"&amp;SG_Criteria!$B$19&amp;". ","")&amp;IF(AND(LEFT(D170,3)="Con",N(I170)&lt;F170,H170="Kallang Formation (marine clay)"),"NOTE: CBP is not watertight below GWT in marine clay; consider secant / grouting. ","")&amp;IF(AND(D170="Steel Sheet Pile",E170="Permanent"),"NOTE: permanent sheet pile needs corrosion allowance. ","")&amp;IF(AND(G170="Cantilever (no support)",F170&gt;6),"NOTE: cantilever embedded wall &gt; 6 m, check deflection. ","")&amp;IF(AND(T170&lt;&gt;"",U170&lt;&gt;"",T170&gt;U170),"FAIL: deflection exceeds allowable. ","")))</f>
        <v/>
      </c>
      <c r="BI170" s="9"/>
      <c r="BJ170" s="9"/>
      <c r="BK170" s="9"/>
      <c r="BL170" s="10" t="str">
        <f aca="false">IF(BK170="","",IFERROR(VLOOKUP(BK170,Projects!$A$5:$D$504,2,0),"Ref not in Projects"))</f>
        <v/>
      </c>
      <c r="BM170" s="10" t="str">
        <f aca="false">IF(BK170="","",IFERROR(VLOOKUP(BK170,Projects!$A$5:$D$504,4,0),"Ref not in Projects"))</f>
        <v/>
      </c>
      <c r="BN170" s="9"/>
      <c r="BO170" s="9"/>
      <c r="BP170" s="9"/>
      <c r="BQ170" s="40"/>
      <c r="BR170" s="9"/>
      <c r="BS170" s="40"/>
      <c r="BT170" s="9"/>
      <c r="BU170" s="40"/>
      <c r="BV170" s="9"/>
      <c r="BW170" s="9"/>
      <c r="BX170" s="9"/>
      <c r="BY170" s="40"/>
      <c r="BZ170" s="40"/>
      <c r="CA170" s="36" t="str">
        <f aca="false">IF(BZ170="","",EDATE(BZ170,SG_Criteria!$B$54*12))</f>
        <v/>
      </c>
      <c r="CB170" s="33" t="str">
        <f aca="true">IF(A170="","",IF(BZ170="","NOTE: not reviewed yet",IF(TODAY()&gt;CA170,"NOTE: review overdue","OK")))</f>
        <v/>
      </c>
      <c r="CC170" s="37" t="str">
        <f aca="false">IF(A170="","",ROUND((IF(LEN(D170)&gt;0,1,0)+IF(LEN(E170)&gt;0,1,0)+IF(LEN(F170)&gt;0,1,0)+IF(LEN(G170)&gt;0,1,0)+IF(LEN(H170)&gt;0,1,0)+IF(LEN(I170)&gt;0,1,0)+IF(LEN(K170)&gt;0,1,0)+IF(LEN(N170)&gt;0,1,0)+IF(LEN(O170)&gt;0,1,0)+IF(LEN(T170)&gt;0,1,0)+IF(LEN(U170)&gt;0,1,0)+IF(LEN(V170)&gt;0,1,0)+IF(LEN(AK170)&gt;0,1,0)+IF(LEN(AM170)&gt;0,1,0)+IF(LEN(AN170)&gt;0,1,0)+IF(LEN(AO170)&gt;0,1,0)+IF(LEN(AP170)&gt;0,1,0)+IF(LEN(AY170)&gt;0,1,0)+IF(LEN(BK170)&gt;0,1,0)+IF(LEN(BX170)&gt;0,1,0))/20,2))</f>
        <v/>
      </c>
      <c r="CD170" s="10" t="str">
        <f aca="false">IF(D170="","",IF(AND(AN170="Approved",ISERROR(SEARCH("FAIL",BH170))),"Y","N"))</f>
        <v/>
      </c>
      <c r="CE170" s="10" t="str">
        <f aca="false">IF(D170="","",D170&amp;"|"&amp;F170&amp;"|"&amp;G170&amp;"|"&amp;H170&amp;"|"&amp;E170&amp;"|"&amp;CD170)</f>
        <v/>
      </c>
    </row>
    <row r="171" customFormat="false" ht="15" hidden="false" customHeight="false" outlineLevel="0" collapsed="false">
      <c r="A171" s="10" t="str">
        <f aca="false">IF(D171="","","EW-"&amp;IFERROR(VLOOKUP(D171,Lists!$P$4:$Q$22,2,0),"??")&amp;"-D"&amp;TEXT(F171*1000,"0000")&amp;"-"&amp;IFERROR(VLOOKUP(G171,Lists!$S$4:$T$21,2,0),"??")&amp;"-"&amp;IFERROR(VLOOKUP(H171,Lists!$Y$4:$Z$21,2,0),"??")&amp;"-"&amp;IFERROR(VLOOKUP(E171,Lists!$V$4:$W$16,2,0),"??")&amp;"-"&amp;AM171)</f>
        <v/>
      </c>
      <c r="B171" s="10" t="str">
        <f aca="false">IF(D171="","",E171&amp;" "&amp;D171&amp;", excavation "&amp;TEXT(F171,"0.0")&amp;" m, "&amp;G171&amp;", "&amp;H171&amp;", "&amp;K171)</f>
        <v/>
      </c>
      <c r="C171" s="9"/>
      <c r="D171" s="9"/>
      <c r="E171" s="9"/>
      <c r="F171" s="42"/>
      <c r="G171" s="9"/>
      <c r="H171" s="9"/>
      <c r="I171" s="42"/>
      <c r="J171" s="38"/>
      <c r="K171" s="9"/>
      <c r="L171" s="9"/>
      <c r="M171" s="9"/>
      <c r="N171" s="42"/>
      <c r="O171" s="42"/>
      <c r="P171" s="9"/>
      <c r="Q171" s="9"/>
      <c r="R171" s="9"/>
      <c r="S171" s="9"/>
      <c r="T171" s="38"/>
      <c r="U171" s="38"/>
      <c r="V171" s="38"/>
      <c r="W171" s="38"/>
      <c r="X171" s="38"/>
      <c r="Y171" s="9"/>
      <c r="Z171" s="39"/>
      <c r="AA171" s="9"/>
      <c r="AB171" s="9"/>
      <c r="AC171" s="9"/>
      <c r="AD171" s="9"/>
      <c r="AE171" s="9"/>
      <c r="AF171" s="9"/>
      <c r="AG171" s="9"/>
      <c r="AH171" s="38"/>
      <c r="AI171" s="9"/>
      <c r="AJ171" s="39"/>
      <c r="AK171" s="9"/>
      <c r="AL171" s="9"/>
      <c r="AM171" s="9"/>
      <c r="AN171" s="9"/>
      <c r="AO171" s="9"/>
      <c r="AP171" s="9"/>
      <c r="AQ171" s="9"/>
      <c r="AR171" s="10" t="str">
        <f aca="false">IF(A171="","",SG_Criteria!$B$6&amp;SG_Criteria!$B$9&amp;"\"&amp;A171&amp;"\")</f>
        <v/>
      </c>
      <c r="AS171" s="10" t="str">
        <f aca="false">IF(A171="","",A171&amp;"_CAD.dwg")</f>
        <v/>
      </c>
      <c r="AT171" s="10" t="str">
        <f aca="false">IF(A171="","",A171&amp;"_DWG.pdf")</f>
        <v/>
      </c>
      <c r="AU171" s="10" t="str">
        <f aca="false">IF(A171="","",IF(AQ171="Y",A171&amp;"_STAAD.std","n/a"))</f>
        <v/>
      </c>
      <c r="AV171" s="10" t="str">
        <f aca="false">IF(A171="","",A171&amp;"_CALC.xlsx")</f>
        <v/>
      </c>
      <c r="AW171" s="10" t="str">
        <f aca="false">IF(A171="","",A171&amp;"_CALC.pdf")</f>
        <v/>
      </c>
      <c r="AX171" s="9"/>
      <c r="AY171" s="9"/>
      <c r="AZ171" s="39"/>
      <c r="BA171" s="39"/>
      <c r="BB171" s="39"/>
      <c r="BC171" s="39"/>
      <c r="BD171" s="39"/>
      <c r="BE171" s="12" t="str">
        <f aca="false">IF(A171="","",IF(COUNTIF(Rebar_Schedule!$A$5:$A$2004,A171)=0,"",ROUND(SUMIF(Rebar_Schedule!$A$5:$A$2004,A171,Rebar_Schedule!$K$5:$K$2004),1)))</f>
        <v/>
      </c>
      <c r="BF171" s="33" t="str">
        <f aca="false">IF(A171="","",IF(BE171="","No rebar schedule yet",IF(ABS(BE171-N(BA171))/MAX(N(BA171),1)&gt;SG_Criteria!$B$55,"NOTE: register rebar differs from schedule by "&amp;TEXT(ABS(BE171-N(BA171))/MAX(N(BA171),1),"0%"),"OK")))</f>
        <v/>
      </c>
      <c r="BG171" s="33" t="str">
        <f aca="false">IF(OR(D171="",F171=""),"",IF(F171&lt;=IF(D171="Soldier Pile &amp; Timber Lagging",SG_Criteria!$B$34,SG_Criteria!$B$33),"No ERSS submission",IF(F171&lt;=SG_Criteria!$B$35,"QP(ST)",IF(F171&lt;=SG_Criteria!$B$36,"QP(ST) + AC","Geotechnical building works: QP(Geo) + AC"))))</f>
        <v/>
      </c>
      <c r="BH171" s="33" t="str">
        <f aca="false">IF(D171="","",IF(LEN(IF(AND(AC171&lt;&gt;"",IFERROR(VALUE(MID(AC171,2,2)),0)&lt;SG_Criteria!$B$19),"FAIL: grade below C"&amp;SG_Criteria!$B$19&amp;". ","")&amp;IF(AND(LEFT(D171,3)="Con",N(I171)&lt;F171,H171="Kallang Formation (marine clay)"),"NOTE: CBP is not watertight below GWT in marine clay; consider secant / grouting. ","")&amp;IF(AND(D171="Steel Sheet Pile",E171="Permanent"),"NOTE: permanent sheet pile needs corrosion allowance. ","")&amp;IF(AND(G171="Cantilever (no support)",F171&gt;6),"NOTE: cantilever embedded wall &gt; 6 m, check deflection. ","")&amp;IF(AND(T171&lt;&gt;"",U171&lt;&gt;"",T171&gt;U171),"FAIL: deflection exceeds allowable. ",""))=0,"OK",IF(AND(AC171&lt;&gt;"",IFERROR(VALUE(MID(AC171,2,2)),0)&lt;SG_Criteria!$B$19),"FAIL: grade below C"&amp;SG_Criteria!$B$19&amp;". ","")&amp;IF(AND(LEFT(D171,3)="Con",N(I171)&lt;F171,H171="Kallang Formation (marine clay)"),"NOTE: CBP is not watertight below GWT in marine clay; consider secant / grouting. ","")&amp;IF(AND(D171="Steel Sheet Pile",E171="Permanent"),"NOTE: permanent sheet pile needs corrosion allowance. ","")&amp;IF(AND(G171="Cantilever (no support)",F171&gt;6),"NOTE: cantilever embedded wall &gt; 6 m, check deflection. ","")&amp;IF(AND(T171&lt;&gt;"",U171&lt;&gt;"",T171&gt;U171),"FAIL: deflection exceeds allowable. ","")))</f>
        <v/>
      </c>
      <c r="BI171" s="9"/>
      <c r="BJ171" s="9"/>
      <c r="BK171" s="9"/>
      <c r="BL171" s="10" t="str">
        <f aca="false">IF(BK171="","",IFERROR(VLOOKUP(BK171,Projects!$A$5:$D$504,2,0),"Ref not in Projects"))</f>
        <v/>
      </c>
      <c r="BM171" s="10" t="str">
        <f aca="false">IF(BK171="","",IFERROR(VLOOKUP(BK171,Projects!$A$5:$D$504,4,0),"Ref not in Projects"))</f>
        <v/>
      </c>
      <c r="BN171" s="9"/>
      <c r="BO171" s="9"/>
      <c r="BP171" s="9"/>
      <c r="BQ171" s="40"/>
      <c r="BR171" s="9"/>
      <c r="BS171" s="40"/>
      <c r="BT171" s="9"/>
      <c r="BU171" s="40"/>
      <c r="BV171" s="9"/>
      <c r="BW171" s="9"/>
      <c r="BX171" s="9"/>
      <c r="BY171" s="40"/>
      <c r="BZ171" s="40"/>
      <c r="CA171" s="36" t="str">
        <f aca="false">IF(BZ171="","",EDATE(BZ171,SG_Criteria!$B$54*12))</f>
        <v/>
      </c>
      <c r="CB171" s="33" t="str">
        <f aca="true">IF(A171="","",IF(BZ171="","NOTE: not reviewed yet",IF(TODAY()&gt;CA171,"NOTE: review overdue","OK")))</f>
        <v/>
      </c>
      <c r="CC171" s="37" t="str">
        <f aca="false">IF(A171="","",ROUND((IF(LEN(D171)&gt;0,1,0)+IF(LEN(E171)&gt;0,1,0)+IF(LEN(F171)&gt;0,1,0)+IF(LEN(G171)&gt;0,1,0)+IF(LEN(H171)&gt;0,1,0)+IF(LEN(I171)&gt;0,1,0)+IF(LEN(K171)&gt;0,1,0)+IF(LEN(N171)&gt;0,1,0)+IF(LEN(O171)&gt;0,1,0)+IF(LEN(T171)&gt;0,1,0)+IF(LEN(U171)&gt;0,1,0)+IF(LEN(V171)&gt;0,1,0)+IF(LEN(AK171)&gt;0,1,0)+IF(LEN(AM171)&gt;0,1,0)+IF(LEN(AN171)&gt;0,1,0)+IF(LEN(AO171)&gt;0,1,0)+IF(LEN(AP171)&gt;0,1,0)+IF(LEN(AY171)&gt;0,1,0)+IF(LEN(BK171)&gt;0,1,0)+IF(LEN(BX171)&gt;0,1,0))/20,2))</f>
        <v/>
      </c>
      <c r="CD171" s="10" t="str">
        <f aca="false">IF(D171="","",IF(AND(AN171="Approved",ISERROR(SEARCH("FAIL",BH171))),"Y","N"))</f>
        <v/>
      </c>
      <c r="CE171" s="10" t="str">
        <f aca="false">IF(D171="","",D171&amp;"|"&amp;F171&amp;"|"&amp;G171&amp;"|"&amp;H171&amp;"|"&amp;E171&amp;"|"&amp;CD171)</f>
        <v/>
      </c>
    </row>
    <row r="172" customFormat="false" ht="15" hidden="false" customHeight="false" outlineLevel="0" collapsed="false">
      <c r="A172" s="10" t="str">
        <f aca="false">IF(D172="","","EW-"&amp;IFERROR(VLOOKUP(D172,Lists!$P$4:$Q$22,2,0),"??")&amp;"-D"&amp;TEXT(F172*1000,"0000")&amp;"-"&amp;IFERROR(VLOOKUP(G172,Lists!$S$4:$T$21,2,0),"??")&amp;"-"&amp;IFERROR(VLOOKUP(H172,Lists!$Y$4:$Z$21,2,0),"??")&amp;"-"&amp;IFERROR(VLOOKUP(E172,Lists!$V$4:$W$16,2,0),"??")&amp;"-"&amp;AM172)</f>
        <v/>
      </c>
      <c r="B172" s="10" t="str">
        <f aca="false">IF(D172="","",E172&amp;" "&amp;D172&amp;", excavation "&amp;TEXT(F172,"0.0")&amp;" m, "&amp;G172&amp;", "&amp;H172&amp;", "&amp;K172)</f>
        <v/>
      </c>
      <c r="C172" s="9"/>
      <c r="D172" s="9"/>
      <c r="E172" s="9"/>
      <c r="F172" s="42"/>
      <c r="G172" s="9"/>
      <c r="H172" s="9"/>
      <c r="I172" s="42"/>
      <c r="J172" s="38"/>
      <c r="K172" s="9"/>
      <c r="L172" s="9"/>
      <c r="M172" s="9"/>
      <c r="N172" s="42"/>
      <c r="O172" s="42"/>
      <c r="P172" s="9"/>
      <c r="Q172" s="9"/>
      <c r="R172" s="9"/>
      <c r="S172" s="9"/>
      <c r="T172" s="38"/>
      <c r="U172" s="38"/>
      <c r="V172" s="38"/>
      <c r="W172" s="38"/>
      <c r="X172" s="38"/>
      <c r="Y172" s="9"/>
      <c r="Z172" s="39"/>
      <c r="AA172" s="9"/>
      <c r="AB172" s="9"/>
      <c r="AC172" s="9"/>
      <c r="AD172" s="9"/>
      <c r="AE172" s="9"/>
      <c r="AF172" s="9"/>
      <c r="AG172" s="9"/>
      <c r="AH172" s="38"/>
      <c r="AI172" s="9"/>
      <c r="AJ172" s="39"/>
      <c r="AK172" s="9"/>
      <c r="AL172" s="9"/>
      <c r="AM172" s="9"/>
      <c r="AN172" s="9"/>
      <c r="AO172" s="9"/>
      <c r="AP172" s="9"/>
      <c r="AQ172" s="9"/>
      <c r="AR172" s="10" t="str">
        <f aca="false">IF(A172="","",SG_Criteria!$B$6&amp;SG_Criteria!$B$9&amp;"\"&amp;A172&amp;"\")</f>
        <v/>
      </c>
      <c r="AS172" s="10" t="str">
        <f aca="false">IF(A172="","",A172&amp;"_CAD.dwg")</f>
        <v/>
      </c>
      <c r="AT172" s="10" t="str">
        <f aca="false">IF(A172="","",A172&amp;"_DWG.pdf")</f>
        <v/>
      </c>
      <c r="AU172" s="10" t="str">
        <f aca="false">IF(A172="","",IF(AQ172="Y",A172&amp;"_STAAD.std","n/a"))</f>
        <v/>
      </c>
      <c r="AV172" s="10" t="str">
        <f aca="false">IF(A172="","",A172&amp;"_CALC.xlsx")</f>
        <v/>
      </c>
      <c r="AW172" s="10" t="str">
        <f aca="false">IF(A172="","",A172&amp;"_CALC.pdf")</f>
        <v/>
      </c>
      <c r="AX172" s="9"/>
      <c r="AY172" s="9"/>
      <c r="AZ172" s="39"/>
      <c r="BA172" s="39"/>
      <c r="BB172" s="39"/>
      <c r="BC172" s="39"/>
      <c r="BD172" s="39"/>
      <c r="BE172" s="12" t="str">
        <f aca="false">IF(A172="","",IF(COUNTIF(Rebar_Schedule!$A$5:$A$2004,A172)=0,"",ROUND(SUMIF(Rebar_Schedule!$A$5:$A$2004,A172,Rebar_Schedule!$K$5:$K$2004),1)))</f>
        <v/>
      </c>
      <c r="BF172" s="33" t="str">
        <f aca="false">IF(A172="","",IF(BE172="","No rebar schedule yet",IF(ABS(BE172-N(BA172))/MAX(N(BA172),1)&gt;SG_Criteria!$B$55,"NOTE: register rebar differs from schedule by "&amp;TEXT(ABS(BE172-N(BA172))/MAX(N(BA172),1),"0%"),"OK")))</f>
        <v/>
      </c>
      <c r="BG172" s="33" t="str">
        <f aca="false">IF(OR(D172="",F172=""),"",IF(F172&lt;=IF(D172="Soldier Pile &amp; Timber Lagging",SG_Criteria!$B$34,SG_Criteria!$B$33),"No ERSS submission",IF(F172&lt;=SG_Criteria!$B$35,"QP(ST)",IF(F172&lt;=SG_Criteria!$B$36,"QP(ST) + AC","Geotechnical building works: QP(Geo) + AC"))))</f>
        <v/>
      </c>
      <c r="BH172" s="33" t="str">
        <f aca="false">IF(D172="","",IF(LEN(IF(AND(AC172&lt;&gt;"",IFERROR(VALUE(MID(AC172,2,2)),0)&lt;SG_Criteria!$B$19),"FAIL: grade below C"&amp;SG_Criteria!$B$19&amp;". ","")&amp;IF(AND(LEFT(D172,3)="Con",N(I172)&lt;F172,H172="Kallang Formation (marine clay)"),"NOTE: CBP is not watertight below GWT in marine clay; consider secant / grouting. ","")&amp;IF(AND(D172="Steel Sheet Pile",E172="Permanent"),"NOTE: permanent sheet pile needs corrosion allowance. ","")&amp;IF(AND(G172="Cantilever (no support)",F172&gt;6),"NOTE: cantilever embedded wall &gt; 6 m, check deflection. ","")&amp;IF(AND(T172&lt;&gt;"",U172&lt;&gt;"",T172&gt;U172),"FAIL: deflection exceeds allowable. ",""))=0,"OK",IF(AND(AC172&lt;&gt;"",IFERROR(VALUE(MID(AC172,2,2)),0)&lt;SG_Criteria!$B$19),"FAIL: grade below C"&amp;SG_Criteria!$B$19&amp;". ","")&amp;IF(AND(LEFT(D172,3)="Con",N(I172)&lt;F172,H172="Kallang Formation (marine clay)"),"NOTE: CBP is not watertight below GWT in marine clay; consider secant / grouting. ","")&amp;IF(AND(D172="Steel Sheet Pile",E172="Permanent"),"NOTE: permanent sheet pile needs corrosion allowance. ","")&amp;IF(AND(G172="Cantilever (no support)",F172&gt;6),"NOTE: cantilever embedded wall &gt; 6 m, check deflection. ","")&amp;IF(AND(T172&lt;&gt;"",U172&lt;&gt;"",T172&gt;U172),"FAIL: deflection exceeds allowable. ","")))</f>
        <v/>
      </c>
      <c r="BI172" s="9"/>
      <c r="BJ172" s="9"/>
      <c r="BK172" s="9"/>
      <c r="BL172" s="10" t="str">
        <f aca="false">IF(BK172="","",IFERROR(VLOOKUP(BK172,Projects!$A$5:$D$504,2,0),"Ref not in Projects"))</f>
        <v/>
      </c>
      <c r="BM172" s="10" t="str">
        <f aca="false">IF(BK172="","",IFERROR(VLOOKUP(BK172,Projects!$A$5:$D$504,4,0),"Ref not in Projects"))</f>
        <v/>
      </c>
      <c r="BN172" s="9"/>
      <c r="BO172" s="9"/>
      <c r="BP172" s="9"/>
      <c r="BQ172" s="40"/>
      <c r="BR172" s="9"/>
      <c r="BS172" s="40"/>
      <c r="BT172" s="9"/>
      <c r="BU172" s="40"/>
      <c r="BV172" s="9"/>
      <c r="BW172" s="9"/>
      <c r="BX172" s="9"/>
      <c r="BY172" s="40"/>
      <c r="BZ172" s="40"/>
      <c r="CA172" s="36" t="str">
        <f aca="false">IF(BZ172="","",EDATE(BZ172,SG_Criteria!$B$54*12))</f>
        <v/>
      </c>
      <c r="CB172" s="33" t="str">
        <f aca="true">IF(A172="","",IF(BZ172="","NOTE: not reviewed yet",IF(TODAY()&gt;CA172,"NOTE: review overdue","OK")))</f>
        <v/>
      </c>
      <c r="CC172" s="37" t="str">
        <f aca="false">IF(A172="","",ROUND((IF(LEN(D172)&gt;0,1,0)+IF(LEN(E172)&gt;0,1,0)+IF(LEN(F172)&gt;0,1,0)+IF(LEN(G172)&gt;0,1,0)+IF(LEN(H172)&gt;0,1,0)+IF(LEN(I172)&gt;0,1,0)+IF(LEN(K172)&gt;0,1,0)+IF(LEN(N172)&gt;0,1,0)+IF(LEN(O172)&gt;0,1,0)+IF(LEN(T172)&gt;0,1,0)+IF(LEN(U172)&gt;0,1,0)+IF(LEN(V172)&gt;0,1,0)+IF(LEN(AK172)&gt;0,1,0)+IF(LEN(AM172)&gt;0,1,0)+IF(LEN(AN172)&gt;0,1,0)+IF(LEN(AO172)&gt;0,1,0)+IF(LEN(AP172)&gt;0,1,0)+IF(LEN(AY172)&gt;0,1,0)+IF(LEN(BK172)&gt;0,1,0)+IF(LEN(BX172)&gt;0,1,0))/20,2))</f>
        <v/>
      </c>
      <c r="CD172" s="10" t="str">
        <f aca="false">IF(D172="","",IF(AND(AN172="Approved",ISERROR(SEARCH("FAIL",BH172))),"Y","N"))</f>
        <v/>
      </c>
      <c r="CE172" s="10" t="str">
        <f aca="false">IF(D172="","",D172&amp;"|"&amp;F172&amp;"|"&amp;G172&amp;"|"&amp;H172&amp;"|"&amp;E172&amp;"|"&amp;CD172)</f>
        <v/>
      </c>
    </row>
    <row r="173" customFormat="false" ht="15" hidden="false" customHeight="false" outlineLevel="0" collapsed="false">
      <c r="A173" s="10" t="str">
        <f aca="false">IF(D173="","","EW-"&amp;IFERROR(VLOOKUP(D173,Lists!$P$4:$Q$22,2,0),"??")&amp;"-D"&amp;TEXT(F173*1000,"0000")&amp;"-"&amp;IFERROR(VLOOKUP(G173,Lists!$S$4:$T$21,2,0),"??")&amp;"-"&amp;IFERROR(VLOOKUP(H173,Lists!$Y$4:$Z$21,2,0),"??")&amp;"-"&amp;IFERROR(VLOOKUP(E173,Lists!$V$4:$W$16,2,0),"??")&amp;"-"&amp;AM173)</f>
        <v/>
      </c>
      <c r="B173" s="10" t="str">
        <f aca="false">IF(D173="","",E173&amp;" "&amp;D173&amp;", excavation "&amp;TEXT(F173,"0.0")&amp;" m, "&amp;G173&amp;", "&amp;H173&amp;", "&amp;K173)</f>
        <v/>
      </c>
      <c r="C173" s="9"/>
      <c r="D173" s="9"/>
      <c r="E173" s="9"/>
      <c r="F173" s="42"/>
      <c r="G173" s="9"/>
      <c r="H173" s="9"/>
      <c r="I173" s="42"/>
      <c r="J173" s="38"/>
      <c r="K173" s="9"/>
      <c r="L173" s="9"/>
      <c r="M173" s="9"/>
      <c r="N173" s="42"/>
      <c r="O173" s="42"/>
      <c r="P173" s="9"/>
      <c r="Q173" s="9"/>
      <c r="R173" s="9"/>
      <c r="S173" s="9"/>
      <c r="T173" s="38"/>
      <c r="U173" s="38"/>
      <c r="V173" s="38"/>
      <c r="W173" s="38"/>
      <c r="X173" s="38"/>
      <c r="Y173" s="9"/>
      <c r="Z173" s="39"/>
      <c r="AA173" s="9"/>
      <c r="AB173" s="9"/>
      <c r="AC173" s="9"/>
      <c r="AD173" s="9"/>
      <c r="AE173" s="9"/>
      <c r="AF173" s="9"/>
      <c r="AG173" s="9"/>
      <c r="AH173" s="38"/>
      <c r="AI173" s="9"/>
      <c r="AJ173" s="39"/>
      <c r="AK173" s="9"/>
      <c r="AL173" s="9"/>
      <c r="AM173" s="9"/>
      <c r="AN173" s="9"/>
      <c r="AO173" s="9"/>
      <c r="AP173" s="9"/>
      <c r="AQ173" s="9"/>
      <c r="AR173" s="10" t="str">
        <f aca="false">IF(A173="","",SG_Criteria!$B$6&amp;SG_Criteria!$B$9&amp;"\"&amp;A173&amp;"\")</f>
        <v/>
      </c>
      <c r="AS173" s="10" t="str">
        <f aca="false">IF(A173="","",A173&amp;"_CAD.dwg")</f>
        <v/>
      </c>
      <c r="AT173" s="10" t="str">
        <f aca="false">IF(A173="","",A173&amp;"_DWG.pdf")</f>
        <v/>
      </c>
      <c r="AU173" s="10" t="str">
        <f aca="false">IF(A173="","",IF(AQ173="Y",A173&amp;"_STAAD.std","n/a"))</f>
        <v/>
      </c>
      <c r="AV173" s="10" t="str">
        <f aca="false">IF(A173="","",A173&amp;"_CALC.xlsx")</f>
        <v/>
      </c>
      <c r="AW173" s="10" t="str">
        <f aca="false">IF(A173="","",A173&amp;"_CALC.pdf")</f>
        <v/>
      </c>
      <c r="AX173" s="9"/>
      <c r="AY173" s="9"/>
      <c r="AZ173" s="39"/>
      <c r="BA173" s="39"/>
      <c r="BB173" s="39"/>
      <c r="BC173" s="39"/>
      <c r="BD173" s="39"/>
      <c r="BE173" s="12" t="str">
        <f aca="false">IF(A173="","",IF(COUNTIF(Rebar_Schedule!$A$5:$A$2004,A173)=0,"",ROUND(SUMIF(Rebar_Schedule!$A$5:$A$2004,A173,Rebar_Schedule!$K$5:$K$2004),1)))</f>
        <v/>
      </c>
      <c r="BF173" s="33" t="str">
        <f aca="false">IF(A173="","",IF(BE173="","No rebar schedule yet",IF(ABS(BE173-N(BA173))/MAX(N(BA173),1)&gt;SG_Criteria!$B$55,"NOTE: register rebar differs from schedule by "&amp;TEXT(ABS(BE173-N(BA173))/MAX(N(BA173),1),"0%"),"OK")))</f>
        <v/>
      </c>
      <c r="BG173" s="33" t="str">
        <f aca="false">IF(OR(D173="",F173=""),"",IF(F173&lt;=IF(D173="Soldier Pile &amp; Timber Lagging",SG_Criteria!$B$34,SG_Criteria!$B$33),"No ERSS submission",IF(F173&lt;=SG_Criteria!$B$35,"QP(ST)",IF(F173&lt;=SG_Criteria!$B$36,"QP(ST) + AC","Geotechnical building works: QP(Geo) + AC"))))</f>
        <v/>
      </c>
      <c r="BH173" s="33" t="str">
        <f aca="false">IF(D173="","",IF(LEN(IF(AND(AC173&lt;&gt;"",IFERROR(VALUE(MID(AC173,2,2)),0)&lt;SG_Criteria!$B$19),"FAIL: grade below C"&amp;SG_Criteria!$B$19&amp;". ","")&amp;IF(AND(LEFT(D173,3)="Con",N(I173)&lt;F173,H173="Kallang Formation (marine clay)"),"NOTE: CBP is not watertight below GWT in marine clay; consider secant / grouting. ","")&amp;IF(AND(D173="Steel Sheet Pile",E173="Permanent"),"NOTE: permanent sheet pile needs corrosion allowance. ","")&amp;IF(AND(G173="Cantilever (no support)",F173&gt;6),"NOTE: cantilever embedded wall &gt; 6 m, check deflection. ","")&amp;IF(AND(T173&lt;&gt;"",U173&lt;&gt;"",T173&gt;U173),"FAIL: deflection exceeds allowable. ",""))=0,"OK",IF(AND(AC173&lt;&gt;"",IFERROR(VALUE(MID(AC173,2,2)),0)&lt;SG_Criteria!$B$19),"FAIL: grade below C"&amp;SG_Criteria!$B$19&amp;". ","")&amp;IF(AND(LEFT(D173,3)="Con",N(I173)&lt;F173,H173="Kallang Formation (marine clay)"),"NOTE: CBP is not watertight below GWT in marine clay; consider secant / grouting. ","")&amp;IF(AND(D173="Steel Sheet Pile",E173="Permanent"),"NOTE: permanent sheet pile needs corrosion allowance. ","")&amp;IF(AND(G173="Cantilever (no support)",F173&gt;6),"NOTE: cantilever embedded wall &gt; 6 m, check deflection. ","")&amp;IF(AND(T173&lt;&gt;"",U173&lt;&gt;"",T173&gt;U173),"FAIL: deflection exceeds allowable. ","")))</f>
        <v/>
      </c>
      <c r="BI173" s="9"/>
      <c r="BJ173" s="9"/>
      <c r="BK173" s="9"/>
      <c r="BL173" s="10" t="str">
        <f aca="false">IF(BK173="","",IFERROR(VLOOKUP(BK173,Projects!$A$5:$D$504,2,0),"Ref not in Projects"))</f>
        <v/>
      </c>
      <c r="BM173" s="10" t="str">
        <f aca="false">IF(BK173="","",IFERROR(VLOOKUP(BK173,Projects!$A$5:$D$504,4,0),"Ref not in Projects"))</f>
        <v/>
      </c>
      <c r="BN173" s="9"/>
      <c r="BO173" s="9"/>
      <c r="BP173" s="9"/>
      <c r="BQ173" s="40"/>
      <c r="BR173" s="9"/>
      <c r="BS173" s="40"/>
      <c r="BT173" s="9"/>
      <c r="BU173" s="40"/>
      <c r="BV173" s="9"/>
      <c r="BW173" s="9"/>
      <c r="BX173" s="9"/>
      <c r="BY173" s="40"/>
      <c r="BZ173" s="40"/>
      <c r="CA173" s="36" t="str">
        <f aca="false">IF(BZ173="","",EDATE(BZ173,SG_Criteria!$B$54*12))</f>
        <v/>
      </c>
      <c r="CB173" s="33" t="str">
        <f aca="true">IF(A173="","",IF(BZ173="","NOTE: not reviewed yet",IF(TODAY()&gt;CA173,"NOTE: review overdue","OK")))</f>
        <v/>
      </c>
      <c r="CC173" s="37" t="str">
        <f aca="false">IF(A173="","",ROUND((IF(LEN(D173)&gt;0,1,0)+IF(LEN(E173)&gt;0,1,0)+IF(LEN(F173)&gt;0,1,0)+IF(LEN(G173)&gt;0,1,0)+IF(LEN(H173)&gt;0,1,0)+IF(LEN(I173)&gt;0,1,0)+IF(LEN(K173)&gt;0,1,0)+IF(LEN(N173)&gt;0,1,0)+IF(LEN(O173)&gt;0,1,0)+IF(LEN(T173)&gt;0,1,0)+IF(LEN(U173)&gt;0,1,0)+IF(LEN(V173)&gt;0,1,0)+IF(LEN(AK173)&gt;0,1,0)+IF(LEN(AM173)&gt;0,1,0)+IF(LEN(AN173)&gt;0,1,0)+IF(LEN(AO173)&gt;0,1,0)+IF(LEN(AP173)&gt;0,1,0)+IF(LEN(AY173)&gt;0,1,0)+IF(LEN(BK173)&gt;0,1,0)+IF(LEN(BX173)&gt;0,1,0))/20,2))</f>
        <v/>
      </c>
      <c r="CD173" s="10" t="str">
        <f aca="false">IF(D173="","",IF(AND(AN173="Approved",ISERROR(SEARCH("FAIL",BH173))),"Y","N"))</f>
        <v/>
      </c>
      <c r="CE173" s="10" t="str">
        <f aca="false">IF(D173="","",D173&amp;"|"&amp;F173&amp;"|"&amp;G173&amp;"|"&amp;H173&amp;"|"&amp;E173&amp;"|"&amp;CD173)</f>
        <v/>
      </c>
    </row>
    <row r="174" customFormat="false" ht="15" hidden="false" customHeight="false" outlineLevel="0" collapsed="false">
      <c r="A174" s="10" t="str">
        <f aca="false">IF(D174="","","EW-"&amp;IFERROR(VLOOKUP(D174,Lists!$P$4:$Q$22,2,0),"??")&amp;"-D"&amp;TEXT(F174*1000,"0000")&amp;"-"&amp;IFERROR(VLOOKUP(G174,Lists!$S$4:$T$21,2,0),"??")&amp;"-"&amp;IFERROR(VLOOKUP(H174,Lists!$Y$4:$Z$21,2,0),"??")&amp;"-"&amp;IFERROR(VLOOKUP(E174,Lists!$V$4:$W$16,2,0),"??")&amp;"-"&amp;AM174)</f>
        <v/>
      </c>
      <c r="B174" s="10" t="str">
        <f aca="false">IF(D174="","",E174&amp;" "&amp;D174&amp;", excavation "&amp;TEXT(F174,"0.0")&amp;" m, "&amp;G174&amp;", "&amp;H174&amp;", "&amp;K174)</f>
        <v/>
      </c>
      <c r="C174" s="9"/>
      <c r="D174" s="9"/>
      <c r="E174" s="9"/>
      <c r="F174" s="42"/>
      <c r="G174" s="9"/>
      <c r="H174" s="9"/>
      <c r="I174" s="42"/>
      <c r="J174" s="38"/>
      <c r="K174" s="9"/>
      <c r="L174" s="9"/>
      <c r="M174" s="9"/>
      <c r="N174" s="42"/>
      <c r="O174" s="42"/>
      <c r="P174" s="9"/>
      <c r="Q174" s="9"/>
      <c r="R174" s="9"/>
      <c r="S174" s="9"/>
      <c r="T174" s="38"/>
      <c r="U174" s="38"/>
      <c r="V174" s="38"/>
      <c r="W174" s="38"/>
      <c r="X174" s="38"/>
      <c r="Y174" s="9"/>
      <c r="Z174" s="39"/>
      <c r="AA174" s="9"/>
      <c r="AB174" s="9"/>
      <c r="AC174" s="9"/>
      <c r="AD174" s="9"/>
      <c r="AE174" s="9"/>
      <c r="AF174" s="9"/>
      <c r="AG174" s="9"/>
      <c r="AH174" s="38"/>
      <c r="AI174" s="9"/>
      <c r="AJ174" s="39"/>
      <c r="AK174" s="9"/>
      <c r="AL174" s="9"/>
      <c r="AM174" s="9"/>
      <c r="AN174" s="9"/>
      <c r="AO174" s="9"/>
      <c r="AP174" s="9"/>
      <c r="AQ174" s="9"/>
      <c r="AR174" s="10" t="str">
        <f aca="false">IF(A174="","",SG_Criteria!$B$6&amp;SG_Criteria!$B$9&amp;"\"&amp;A174&amp;"\")</f>
        <v/>
      </c>
      <c r="AS174" s="10" t="str">
        <f aca="false">IF(A174="","",A174&amp;"_CAD.dwg")</f>
        <v/>
      </c>
      <c r="AT174" s="10" t="str">
        <f aca="false">IF(A174="","",A174&amp;"_DWG.pdf")</f>
        <v/>
      </c>
      <c r="AU174" s="10" t="str">
        <f aca="false">IF(A174="","",IF(AQ174="Y",A174&amp;"_STAAD.std","n/a"))</f>
        <v/>
      </c>
      <c r="AV174" s="10" t="str">
        <f aca="false">IF(A174="","",A174&amp;"_CALC.xlsx")</f>
        <v/>
      </c>
      <c r="AW174" s="10" t="str">
        <f aca="false">IF(A174="","",A174&amp;"_CALC.pdf")</f>
        <v/>
      </c>
      <c r="AX174" s="9"/>
      <c r="AY174" s="9"/>
      <c r="AZ174" s="39"/>
      <c r="BA174" s="39"/>
      <c r="BB174" s="39"/>
      <c r="BC174" s="39"/>
      <c r="BD174" s="39"/>
      <c r="BE174" s="12" t="str">
        <f aca="false">IF(A174="","",IF(COUNTIF(Rebar_Schedule!$A$5:$A$2004,A174)=0,"",ROUND(SUMIF(Rebar_Schedule!$A$5:$A$2004,A174,Rebar_Schedule!$K$5:$K$2004),1)))</f>
        <v/>
      </c>
      <c r="BF174" s="33" t="str">
        <f aca="false">IF(A174="","",IF(BE174="","No rebar schedule yet",IF(ABS(BE174-N(BA174))/MAX(N(BA174),1)&gt;SG_Criteria!$B$55,"NOTE: register rebar differs from schedule by "&amp;TEXT(ABS(BE174-N(BA174))/MAX(N(BA174),1),"0%"),"OK")))</f>
        <v/>
      </c>
      <c r="BG174" s="33" t="str">
        <f aca="false">IF(OR(D174="",F174=""),"",IF(F174&lt;=IF(D174="Soldier Pile &amp; Timber Lagging",SG_Criteria!$B$34,SG_Criteria!$B$33),"No ERSS submission",IF(F174&lt;=SG_Criteria!$B$35,"QP(ST)",IF(F174&lt;=SG_Criteria!$B$36,"QP(ST) + AC","Geotechnical building works: QP(Geo) + AC"))))</f>
        <v/>
      </c>
      <c r="BH174" s="33" t="str">
        <f aca="false">IF(D174="","",IF(LEN(IF(AND(AC174&lt;&gt;"",IFERROR(VALUE(MID(AC174,2,2)),0)&lt;SG_Criteria!$B$19),"FAIL: grade below C"&amp;SG_Criteria!$B$19&amp;". ","")&amp;IF(AND(LEFT(D174,3)="Con",N(I174)&lt;F174,H174="Kallang Formation (marine clay)"),"NOTE: CBP is not watertight below GWT in marine clay; consider secant / grouting. ","")&amp;IF(AND(D174="Steel Sheet Pile",E174="Permanent"),"NOTE: permanent sheet pile needs corrosion allowance. ","")&amp;IF(AND(G174="Cantilever (no support)",F174&gt;6),"NOTE: cantilever embedded wall &gt; 6 m, check deflection. ","")&amp;IF(AND(T174&lt;&gt;"",U174&lt;&gt;"",T174&gt;U174),"FAIL: deflection exceeds allowable. ",""))=0,"OK",IF(AND(AC174&lt;&gt;"",IFERROR(VALUE(MID(AC174,2,2)),0)&lt;SG_Criteria!$B$19),"FAIL: grade below C"&amp;SG_Criteria!$B$19&amp;". ","")&amp;IF(AND(LEFT(D174,3)="Con",N(I174)&lt;F174,H174="Kallang Formation (marine clay)"),"NOTE: CBP is not watertight below GWT in marine clay; consider secant / grouting. ","")&amp;IF(AND(D174="Steel Sheet Pile",E174="Permanent"),"NOTE: permanent sheet pile needs corrosion allowance. ","")&amp;IF(AND(G174="Cantilever (no support)",F174&gt;6),"NOTE: cantilever embedded wall &gt; 6 m, check deflection. ","")&amp;IF(AND(T174&lt;&gt;"",U174&lt;&gt;"",T174&gt;U174),"FAIL: deflection exceeds allowable. ","")))</f>
        <v/>
      </c>
      <c r="BI174" s="9"/>
      <c r="BJ174" s="9"/>
      <c r="BK174" s="9"/>
      <c r="BL174" s="10" t="str">
        <f aca="false">IF(BK174="","",IFERROR(VLOOKUP(BK174,Projects!$A$5:$D$504,2,0),"Ref not in Projects"))</f>
        <v/>
      </c>
      <c r="BM174" s="10" t="str">
        <f aca="false">IF(BK174="","",IFERROR(VLOOKUP(BK174,Projects!$A$5:$D$504,4,0),"Ref not in Projects"))</f>
        <v/>
      </c>
      <c r="BN174" s="9"/>
      <c r="BO174" s="9"/>
      <c r="BP174" s="9"/>
      <c r="BQ174" s="40"/>
      <c r="BR174" s="9"/>
      <c r="BS174" s="40"/>
      <c r="BT174" s="9"/>
      <c r="BU174" s="40"/>
      <c r="BV174" s="9"/>
      <c r="BW174" s="9"/>
      <c r="BX174" s="9"/>
      <c r="BY174" s="40"/>
      <c r="BZ174" s="40"/>
      <c r="CA174" s="36" t="str">
        <f aca="false">IF(BZ174="","",EDATE(BZ174,SG_Criteria!$B$54*12))</f>
        <v/>
      </c>
      <c r="CB174" s="33" t="str">
        <f aca="true">IF(A174="","",IF(BZ174="","NOTE: not reviewed yet",IF(TODAY()&gt;CA174,"NOTE: review overdue","OK")))</f>
        <v/>
      </c>
      <c r="CC174" s="37" t="str">
        <f aca="false">IF(A174="","",ROUND((IF(LEN(D174)&gt;0,1,0)+IF(LEN(E174)&gt;0,1,0)+IF(LEN(F174)&gt;0,1,0)+IF(LEN(G174)&gt;0,1,0)+IF(LEN(H174)&gt;0,1,0)+IF(LEN(I174)&gt;0,1,0)+IF(LEN(K174)&gt;0,1,0)+IF(LEN(N174)&gt;0,1,0)+IF(LEN(O174)&gt;0,1,0)+IF(LEN(T174)&gt;0,1,0)+IF(LEN(U174)&gt;0,1,0)+IF(LEN(V174)&gt;0,1,0)+IF(LEN(AK174)&gt;0,1,0)+IF(LEN(AM174)&gt;0,1,0)+IF(LEN(AN174)&gt;0,1,0)+IF(LEN(AO174)&gt;0,1,0)+IF(LEN(AP174)&gt;0,1,0)+IF(LEN(AY174)&gt;0,1,0)+IF(LEN(BK174)&gt;0,1,0)+IF(LEN(BX174)&gt;0,1,0))/20,2))</f>
        <v/>
      </c>
      <c r="CD174" s="10" t="str">
        <f aca="false">IF(D174="","",IF(AND(AN174="Approved",ISERROR(SEARCH("FAIL",BH174))),"Y","N"))</f>
        <v/>
      </c>
      <c r="CE174" s="10" t="str">
        <f aca="false">IF(D174="","",D174&amp;"|"&amp;F174&amp;"|"&amp;G174&amp;"|"&amp;H174&amp;"|"&amp;E174&amp;"|"&amp;CD174)</f>
        <v/>
      </c>
    </row>
    <row r="175" customFormat="false" ht="15" hidden="false" customHeight="false" outlineLevel="0" collapsed="false">
      <c r="A175" s="10" t="str">
        <f aca="false">IF(D175="","","EW-"&amp;IFERROR(VLOOKUP(D175,Lists!$P$4:$Q$22,2,0),"??")&amp;"-D"&amp;TEXT(F175*1000,"0000")&amp;"-"&amp;IFERROR(VLOOKUP(G175,Lists!$S$4:$T$21,2,0),"??")&amp;"-"&amp;IFERROR(VLOOKUP(H175,Lists!$Y$4:$Z$21,2,0),"??")&amp;"-"&amp;IFERROR(VLOOKUP(E175,Lists!$V$4:$W$16,2,0),"??")&amp;"-"&amp;AM175)</f>
        <v/>
      </c>
      <c r="B175" s="10" t="str">
        <f aca="false">IF(D175="","",E175&amp;" "&amp;D175&amp;", excavation "&amp;TEXT(F175,"0.0")&amp;" m, "&amp;G175&amp;", "&amp;H175&amp;", "&amp;K175)</f>
        <v/>
      </c>
      <c r="C175" s="9"/>
      <c r="D175" s="9"/>
      <c r="E175" s="9"/>
      <c r="F175" s="42"/>
      <c r="G175" s="9"/>
      <c r="H175" s="9"/>
      <c r="I175" s="42"/>
      <c r="J175" s="38"/>
      <c r="K175" s="9"/>
      <c r="L175" s="9"/>
      <c r="M175" s="9"/>
      <c r="N175" s="42"/>
      <c r="O175" s="42"/>
      <c r="P175" s="9"/>
      <c r="Q175" s="9"/>
      <c r="R175" s="9"/>
      <c r="S175" s="9"/>
      <c r="T175" s="38"/>
      <c r="U175" s="38"/>
      <c r="V175" s="38"/>
      <c r="W175" s="38"/>
      <c r="X175" s="38"/>
      <c r="Y175" s="9"/>
      <c r="Z175" s="39"/>
      <c r="AA175" s="9"/>
      <c r="AB175" s="9"/>
      <c r="AC175" s="9"/>
      <c r="AD175" s="9"/>
      <c r="AE175" s="9"/>
      <c r="AF175" s="9"/>
      <c r="AG175" s="9"/>
      <c r="AH175" s="38"/>
      <c r="AI175" s="9"/>
      <c r="AJ175" s="39"/>
      <c r="AK175" s="9"/>
      <c r="AL175" s="9"/>
      <c r="AM175" s="9"/>
      <c r="AN175" s="9"/>
      <c r="AO175" s="9"/>
      <c r="AP175" s="9"/>
      <c r="AQ175" s="9"/>
      <c r="AR175" s="10" t="str">
        <f aca="false">IF(A175="","",SG_Criteria!$B$6&amp;SG_Criteria!$B$9&amp;"\"&amp;A175&amp;"\")</f>
        <v/>
      </c>
      <c r="AS175" s="10" t="str">
        <f aca="false">IF(A175="","",A175&amp;"_CAD.dwg")</f>
        <v/>
      </c>
      <c r="AT175" s="10" t="str">
        <f aca="false">IF(A175="","",A175&amp;"_DWG.pdf")</f>
        <v/>
      </c>
      <c r="AU175" s="10" t="str">
        <f aca="false">IF(A175="","",IF(AQ175="Y",A175&amp;"_STAAD.std","n/a"))</f>
        <v/>
      </c>
      <c r="AV175" s="10" t="str">
        <f aca="false">IF(A175="","",A175&amp;"_CALC.xlsx")</f>
        <v/>
      </c>
      <c r="AW175" s="10" t="str">
        <f aca="false">IF(A175="","",A175&amp;"_CALC.pdf")</f>
        <v/>
      </c>
      <c r="AX175" s="9"/>
      <c r="AY175" s="9"/>
      <c r="AZ175" s="39"/>
      <c r="BA175" s="39"/>
      <c r="BB175" s="39"/>
      <c r="BC175" s="39"/>
      <c r="BD175" s="39"/>
      <c r="BE175" s="12" t="str">
        <f aca="false">IF(A175="","",IF(COUNTIF(Rebar_Schedule!$A$5:$A$2004,A175)=0,"",ROUND(SUMIF(Rebar_Schedule!$A$5:$A$2004,A175,Rebar_Schedule!$K$5:$K$2004),1)))</f>
        <v/>
      </c>
      <c r="BF175" s="33" t="str">
        <f aca="false">IF(A175="","",IF(BE175="","No rebar schedule yet",IF(ABS(BE175-N(BA175))/MAX(N(BA175),1)&gt;SG_Criteria!$B$55,"NOTE: register rebar differs from schedule by "&amp;TEXT(ABS(BE175-N(BA175))/MAX(N(BA175),1),"0%"),"OK")))</f>
        <v/>
      </c>
      <c r="BG175" s="33" t="str">
        <f aca="false">IF(OR(D175="",F175=""),"",IF(F175&lt;=IF(D175="Soldier Pile &amp; Timber Lagging",SG_Criteria!$B$34,SG_Criteria!$B$33),"No ERSS submission",IF(F175&lt;=SG_Criteria!$B$35,"QP(ST)",IF(F175&lt;=SG_Criteria!$B$36,"QP(ST) + AC","Geotechnical building works: QP(Geo) + AC"))))</f>
        <v/>
      </c>
      <c r="BH175" s="33" t="str">
        <f aca="false">IF(D175="","",IF(LEN(IF(AND(AC175&lt;&gt;"",IFERROR(VALUE(MID(AC175,2,2)),0)&lt;SG_Criteria!$B$19),"FAIL: grade below C"&amp;SG_Criteria!$B$19&amp;". ","")&amp;IF(AND(LEFT(D175,3)="Con",N(I175)&lt;F175,H175="Kallang Formation (marine clay)"),"NOTE: CBP is not watertight below GWT in marine clay; consider secant / grouting. ","")&amp;IF(AND(D175="Steel Sheet Pile",E175="Permanent"),"NOTE: permanent sheet pile needs corrosion allowance. ","")&amp;IF(AND(G175="Cantilever (no support)",F175&gt;6),"NOTE: cantilever embedded wall &gt; 6 m, check deflection. ","")&amp;IF(AND(T175&lt;&gt;"",U175&lt;&gt;"",T175&gt;U175),"FAIL: deflection exceeds allowable. ",""))=0,"OK",IF(AND(AC175&lt;&gt;"",IFERROR(VALUE(MID(AC175,2,2)),0)&lt;SG_Criteria!$B$19),"FAIL: grade below C"&amp;SG_Criteria!$B$19&amp;". ","")&amp;IF(AND(LEFT(D175,3)="Con",N(I175)&lt;F175,H175="Kallang Formation (marine clay)"),"NOTE: CBP is not watertight below GWT in marine clay; consider secant / grouting. ","")&amp;IF(AND(D175="Steel Sheet Pile",E175="Permanent"),"NOTE: permanent sheet pile needs corrosion allowance. ","")&amp;IF(AND(G175="Cantilever (no support)",F175&gt;6),"NOTE: cantilever embedded wall &gt; 6 m, check deflection. ","")&amp;IF(AND(T175&lt;&gt;"",U175&lt;&gt;"",T175&gt;U175),"FAIL: deflection exceeds allowable. ","")))</f>
        <v/>
      </c>
      <c r="BI175" s="9"/>
      <c r="BJ175" s="9"/>
      <c r="BK175" s="9"/>
      <c r="BL175" s="10" t="str">
        <f aca="false">IF(BK175="","",IFERROR(VLOOKUP(BK175,Projects!$A$5:$D$504,2,0),"Ref not in Projects"))</f>
        <v/>
      </c>
      <c r="BM175" s="10" t="str">
        <f aca="false">IF(BK175="","",IFERROR(VLOOKUP(BK175,Projects!$A$5:$D$504,4,0),"Ref not in Projects"))</f>
        <v/>
      </c>
      <c r="BN175" s="9"/>
      <c r="BO175" s="9"/>
      <c r="BP175" s="9"/>
      <c r="BQ175" s="40"/>
      <c r="BR175" s="9"/>
      <c r="BS175" s="40"/>
      <c r="BT175" s="9"/>
      <c r="BU175" s="40"/>
      <c r="BV175" s="9"/>
      <c r="BW175" s="9"/>
      <c r="BX175" s="9"/>
      <c r="BY175" s="40"/>
      <c r="BZ175" s="40"/>
      <c r="CA175" s="36" t="str">
        <f aca="false">IF(BZ175="","",EDATE(BZ175,SG_Criteria!$B$54*12))</f>
        <v/>
      </c>
      <c r="CB175" s="33" t="str">
        <f aca="true">IF(A175="","",IF(BZ175="","NOTE: not reviewed yet",IF(TODAY()&gt;CA175,"NOTE: review overdue","OK")))</f>
        <v/>
      </c>
      <c r="CC175" s="37" t="str">
        <f aca="false">IF(A175="","",ROUND((IF(LEN(D175)&gt;0,1,0)+IF(LEN(E175)&gt;0,1,0)+IF(LEN(F175)&gt;0,1,0)+IF(LEN(G175)&gt;0,1,0)+IF(LEN(H175)&gt;0,1,0)+IF(LEN(I175)&gt;0,1,0)+IF(LEN(K175)&gt;0,1,0)+IF(LEN(N175)&gt;0,1,0)+IF(LEN(O175)&gt;0,1,0)+IF(LEN(T175)&gt;0,1,0)+IF(LEN(U175)&gt;0,1,0)+IF(LEN(V175)&gt;0,1,0)+IF(LEN(AK175)&gt;0,1,0)+IF(LEN(AM175)&gt;0,1,0)+IF(LEN(AN175)&gt;0,1,0)+IF(LEN(AO175)&gt;0,1,0)+IF(LEN(AP175)&gt;0,1,0)+IF(LEN(AY175)&gt;0,1,0)+IF(LEN(BK175)&gt;0,1,0)+IF(LEN(BX175)&gt;0,1,0))/20,2))</f>
        <v/>
      </c>
      <c r="CD175" s="10" t="str">
        <f aca="false">IF(D175="","",IF(AND(AN175="Approved",ISERROR(SEARCH("FAIL",BH175))),"Y","N"))</f>
        <v/>
      </c>
      <c r="CE175" s="10" t="str">
        <f aca="false">IF(D175="","",D175&amp;"|"&amp;F175&amp;"|"&amp;G175&amp;"|"&amp;H175&amp;"|"&amp;E175&amp;"|"&amp;CD175)</f>
        <v/>
      </c>
    </row>
    <row r="176" customFormat="false" ht="15" hidden="false" customHeight="false" outlineLevel="0" collapsed="false">
      <c r="A176" s="10" t="str">
        <f aca="false">IF(D176="","","EW-"&amp;IFERROR(VLOOKUP(D176,Lists!$P$4:$Q$22,2,0),"??")&amp;"-D"&amp;TEXT(F176*1000,"0000")&amp;"-"&amp;IFERROR(VLOOKUP(G176,Lists!$S$4:$T$21,2,0),"??")&amp;"-"&amp;IFERROR(VLOOKUP(H176,Lists!$Y$4:$Z$21,2,0),"??")&amp;"-"&amp;IFERROR(VLOOKUP(E176,Lists!$V$4:$W$16,2,0),"??")&amp;"-"&amp;AM176)</f>
        <v/>
      </c>
      <c r="B176" s="10" t="str">
        <f aca="false">IF(D176="","",E176&amp;" "&amp;D176&amp;", excavation "&amp;TEXT(F176,"0.0")&amp;" m, "&amp;G176&amp;", "&amp;H176&amp;", "&amp;K176)</f>
        <v/>
      </c>
      <c r="C176" s="9"/>
      <c r="D176" s="9"/>
      <c r="E176" s="9"/>
      <c r="F176" s="42"/>
      <c r="G176" s="9"/>
      <c r="H176" s="9"/>
      <c r="I176" s="42"/>
      <c r="J176" s="38"/>
      <c r="K176" s="9"/>
      <c r="L176" s="9"/>
      <c r="M176" s="9"/>
      <c r="N176" s="42"/>
      <c r="O176" s="42"/>
      <c r="P176" s="9"/>
      <c r="Q176" s="9"/>
      <c r="R176" s="9"/>
      <c r="S176" s="9"/>
      <c r="T176" s="38"/>
      <c r="U176" s="38"/>
      <c r="V176" s="38"/>
      <c r="W176" s="38"/>
      <c r="X176" s="38"/>
      <c r="Y176" s="9"/>
      <c r="Z176" s="39"/>
      <c r="AA176" s="9"/>
      <c r="AB176" s="9"/>
      <c r="AC176" s="9"/>
      <c r="AD176" s="9"/>
      <c r="AE176" s="9"/>
      <c r="AF176" s="9"/>
      <c r="AG176" s="9"/>
      <c r="AH176" s="38"/>
      <c r="AI176" s="9"/>
      <c r="AJ176" s="39"/>
      <c r="AK176" s="9"/>
      <c r="AL176" s="9"/>
      <c r="AM176" s="9"/>
      <c r="AN176" s="9"/>
      <c r="AO176" s="9"/>
      <c r="AP176" s="9"/>
      <c r="AQ176" s="9"/>
      <c r="AR176" s="10" t="str">
        <f aca="false">IF(A176="","",SG_Criteria!$B$6&amp;SG_Criteria!$B$9&amp;"\"&amp;A176&amp;"\")</f>
        <v/>
      </c>
      <c r="AS176" s="10" t="str">
        <f aca="false">IF(A176="","",A176&amp;"_CAD.dwg")</f>
        <v/>
      </c>
      <c r="AT176" s="10" t="str">
        <f aca="false">IF(A176="","",A176&amp;"_DWG.pdf")</f>
        <v/>
      </c>
      <c r="AU176" s="10" t="str">
        <f aca="false">IF(A176="","",IF(AQ176="Y",A176&amp;"_STAAD.std","n/a"))</f>
        <v/>
      </c>
      <c r="AV176" s="10" t="str">
        <f aca="false">IF(A176="","",A176&amp;"_CALC.xlsx")</f>
        <v/>
      </c>
      <c r="AW176" s="10" t="str">
        <f aca="false">IF(A176="","",A176&amp;"_CALC.pdf")</f>
        <v/>
      </c>
      <c r="AX176" s="9"/>
      <c r="AY176" s="9"/>
      <c r="AZ176" s="39"/>
      <c r="BA176" s="39"/>
      <c r="BB176" s="39"/>
      <c r="BC176" s="39"/>
      <c r="BD176" s="39"/>
      <c r="BE176" s="12" t="str">
        <f aca="false">IF(A176="","",IF(COUNTIF(Rebar_Schedule!$A$5:$A$2004,A176)=0,"",ROUND(SUMIF(Rebar_Schedule!$A$5:$A$2004,A176,Rebar_Schedule!$K$5:$K$2004),1)))</f>
        <v/>
      </c>
      <c r="BF176" s="33" t="str">
        <f aca="false">IF(A176="","",IF(BE176="","No rebar schedule yet",IF(ABS(BE176-N(BA176))/MAX(N(BA176),1)&gt;SG_Criteria!$B$55,"NOTE: register rebar differs from schedule by "&amp;TEXT(ABS(BE176-N(BA176))/MAX(N(BA176),1),"0%"),"OK")))</f>
        <v/>
      </c>
      <c r="BG176" s="33" t="str">
        <f aca="false">IF(OR(D176="",F176=""),"",IF(F176&lt;=IF(D176="Soldier Pile &amp; Timber Lagging",SG_Criteria!$B$34,SG_Criteria!$B$33),"No ERSS submission",IF(F176&lt;=SG_Criteria!$B$35,"QP(ST)",IF(F176&lt;=SG_Criteria!$B$36,"QP(ST) + AC","Geotechnical building works: QP(Geo) + AC"))))</f>
        <v/>
      </c>
      <c r="BH176" s="33" t="str">
        <f aca="false">IF(D176="","",IF(LEN(IF(AND(AC176&lt;&gt;"",IFERROR(VALUE(MID(AC176,2,2)),0)&lt;SG_Criteria!$B$19),"FAIL: grade below C"&amp;SG_Criteria!$B$19&amp;". ","")&amp;IF(AND(LEFT(D176,3)="Con",N(I176)&lt;F176,H176="Kallang Formation (marine clay)"),"NOTE: CBP is not watertight below GWT in marine clay; consider secant / grouting. ","")&amp;IF(AND(D176="Steel Sheet Pile",E176="Permanent"),"NOTE: permanent sheet pile needs corrosion allowance. ","")&amp;IF(AND(G176="Cantilever (no support)",F176&gt;6),"NOTE: cantilever embedded wall &gt; 6 m, check deflection. ","")&amp;IF(AND(T176&lt;&gt;"",U176&lt;&gt;"",T176&gt;U176),"FAIL: deflection exceeds allowable. ",""))=0,"OK",IF(AND(AC176&lt;&gt;"",IFERROR(VALUE(MID(AC176,2,2)),0)&lt;SG_Criteria!$B$19),"FAIL: grade below C"&amp;SG_Criteria!$B$19&amp;". ","")&amp;IF(AND(LEFT(D176,3)="Con",N(I176)&lt;F176,H176="Kallang Formation (marine clay)"),"NOTE: CBP is not watertight below GWT in marine clay; consider secant / grouting. ","")&amp;IF(AND(D176="Steel Sheet Pile",E176="Permanent"),"NOTE: permanent sheet pile needs corrosion allowance. ","")&amp;IF(AND(G176="Cantilever (no support)",F176&gt;6),"NOTE: cantilever embedded wall &gt; 6 m, check deflection. ","")&amp;IF(AND(T176&lt;&gt;"",U176&lt;&gt;"",T176&gt;U176),"FAIL: deflection exceeds allowable. ","")))</f>
        <v/>
      </c>
      <c r="BI176" s="9"/>
      <c r="BJ176" s="9"/>
      <c r="BK176" s="9"/>
      <c r="BL176" s="10" t="str">
        <f aca="false">IF(BK176="","",IFERROR(VLOOKUP(BK176,Projects!$A$5:$D$504,2,0),"Ref not in Projects"))</f>
        <v/>
      </c>
      <c r="BM176" s="10" t="str">
        <f aca="false">IF(BK176="","",IFERROR(VLOOKUP(BK176,Projects!$A$5:$D$504,4,0),"Ref not in Projects"))</f>
        <v/>
      </c>
      <c r="BN176" s="9"/>
      <c r="BO176" s="9"/>
      <c r="BP176" s="9"/>
      <c r="BQ176" s="40"/>
      <c r="BR176" s="9"/>
      <c r="BS176" s="40"/>
      <c r="BT176" s="9"/>
      <c r="BU176" s="40"/>
      <c r="BV176" s="9"/>
      <c r="BW176" s="9"/>
      <c r="BX176" s="9"/>
      <c r="BY176" s="40"/>
      <c r="BZ176" s="40"/>
      <c r="CA176" s="36" t="str">
        <f aca="false">IF(BZ176="","",EDATE(BZ176,SG_Criteria!$B$54*12))</f>
        <v/>
      </c>
      <c r="CB176" s="33" t="str">
        <f aca="true">IF(A176="","",IF(BZ176="","NOTE: not reviewed yet",IF(TODAY()&gt;CA176,"NOTE: review overdue","OK")))</f>
        <v/>
      </c>
      <c r="CC176" s="37" t="str">
        <f aca="false">IF(A176="","",ROUND((IF(LEN(D176)&gt;0,1,0)+IF(LEN(E176)&gt;0,1,0)+IF(LEN(F176)&gt;0,1,0)+IF(LEN(G176)&gt;0,1,0)+IF(LEN(H176)&gt;0,1,0)+IF(LEN(I176)&gt;0,1,0)+IF(LEN(K176)&gt;0,1,0)+IF(LEN(N176)&gt;0,1,0)+IF(LEN(O176)&gt;0,1,0)+IF(LEN(T176)&gt;0,1,0)+IF(LEN(U176)&gt;0,1,0)+IF(LEN(V176)&gt;0,1,0)+IF(LEN(AK176)&gt;0,1,0)+IF(LEN(AM176)&gt;0,1,0)+IF(LEN(AN176)&gt;0,1,0)+IF(LEN(AO176)&gt;0,1,0)+IF(LEN(AP176)&gt;0,1,0)+IF(LEN(AY176)&gt;0,1,0)+IF(LEN(BK176)&gt;0,1,0)+IF(LEN(BX176)&gt;0,1,0))/20,2))</f>
        <v/>
      </c>
      <c r="CD176" s="10" t="str">
        <f aca="false">IF(D176="","",IF(AND(AN176="Approved",ISERROR(SEARCH("FAIL",BH176))),"Y","N"))</f>
        <v/>
      </c>
      <c r="CE176" s="10" t="str">
        <f aca="false">IF(D176="","",D176&amp;"|"&amp;F176&amp;"|"&amp;G176&amp;"|"&amp;H176&amp;"|"&amp;E176&amp;"|"&amp;CD176)</f>
        <v/>
      </c>
    </row>
    <row r="177" customFormat="false" ht="15" hidden="false" customHeight="false" outlineLevel="0" collapsed="false">
      <c r="A177" s="10" t="str">
        <f aca="false">IF(D177="","","EW-"&amp;IFERROR(VLOOKUP(D177,Lists!$P$4:$Q$22,2,0),"??")&amp;"-D"&amp;TEXT(F177*1000,"0000")&amp;"-"&amp;IFERROR(VLOOKUP(G177,Lists!$S$4:$T$21,2,0),"??")&amp;"-"&amp;IFERROR(VLOOKUP(H177,Lists!$Y$4:$Z$21,2,0),"??")&amp;"-"&amp;IFERROR(VLOOKUP(E177,Lists!$V$4:$W$16,2,0),"??")&amp;"-"&amp;AM177)</f>
        <v/>
      </c>
      <c r="B177" s="10" t="str">
        <f aca="false">IF(D177="","",E177&amp;" "&amp;D177&amp;", excavation "&amp;TEXT(F177,"0.0")&amp;" m, "&amp;G177&amp;", "&amp;H177&amp;", "&amp;K177)</f>
        <v/>
      </c>
      <c r="C177" s="9"/>
      <c r="D177" s="9"/>
      <c r="E177" s="9"/>
      <c r="F177" s="42"/>
      <c r="G177" s="9"/>
      <c r="H177" s="9"/>
      <c r="I177" s="42"/>
      <c r="J177" s="38"/>
      <c r="K177" s="9"/>
      <c r="L177" s="9"/>
      <c r="M177" s="9"/>
      <c r="N177" s="42"/>
      <c r="O177" s="42"/>
      <c r="P177" s="9"/>
      <c r="Q177" s="9"/>
      <c r="R177" s="9"/>
      <c r="S177" s="9"/>
      <c r="T177" s="38"/>
      <c r="U177" s="38"/>
      <c r="V177" s="38"/>
      <c r="W177" s="38"/>
      <c r="X177" s="38"/>
      <c r="Y177" s="9"/>
      <c r="Z177" s="39"/>
      <c r="AA177" s="9"/>
      <c r="AB177" s="9"/>
      <c r="AC177" s="9"/>
      <c r="AD177" s="9"/>
      <c r="AE177" s="9"/>
      <c r="AF177" s="9"/>
      <c r="AG177" s="9"/>
      <c r="AH177" s="38"/>
      <c r="AI177" s="9"/>
      <c r="AJ177" s="39"/>
      <c r="AK177" s="9"/>
      <c r="AL177" s="9"/>
      <c r="AM177" s="9"/>
      <c r="AN177" s="9"/>
      <c r="AO177" s="9"/>
      <c r="AP177" s="9"/>
      <c r="AQ177" s="9"/>
      <c r="AR177" s="10" t="str">
        <f aca="false">IF(A177="","",SG_Criteria!$B$6&amp;SG_Criteria!$B$9&amp;"\"&amp;A177&amp;"\")</f>
        <v/>
      </c>
      <c r="AS177" s="10" t="str">
        <f aca="false">IF(A177="","",A177&amp;"_CAD.dwg")</f>
        <v/>
      </c>
      <c r="AT177" s="10" t="str">
        <f aca="false">IF(A177="","",A177&amp;"_DWG.pdf")</f>
        <v/>
      </c>
      <c r="AU177" s="10" t="str">
        <f aca="false">IF(A177="","",IF(AQ177="Y",A177&amp;"_STAAD.std","n/a"))</f>
        <v/>
      </c>
      <c r="AV177" s="10" t="str">
        <f aca="false">IF(A177="","",A177&amp;"_CALC.xlsx")</f>
        <v/>
      </c>
      <c r="AW177" s="10" t="str">
        <f aca="false">IF(A177="","",A177&amp;"_CALC.pdf")</f>
        <v/>
      </c>
      <c r="AX177" s="9"/>
      <c r="AY177" s="9"/>
      <c r="AZ177" s="39"/>
      <c r="BA177" s="39"/>
      <c r="BB177" s="39"/>
      <c r="BC177" s="39"/>
      <c r="BD177" s="39"/>
      <c r="BE177" s="12" t="str">
        <f aca="false">IF(A177="","",IF(COUNTIF(Rebar_Schedule!$A$5:$A$2004,A177)=0,"",ROUND(SUMIF(Rebar_Schedule!$A$5:$A$2004,A177,Rebar_Schedule!$K$5:$K$2004),1)))</f>
        <v/>
      </c>
      <c r="BF177" s="33" t="str">
        <f aca="false">IF(A177="","",IF(BE177="","No rebar schedule yet",IF(ABS(BE177-N(BA177))/MAX(N(BA177),1)&gt;SG_Criteria!$B$55,"NOTE: register rebar differs from schedule by "&amp;TEXT(ABS(BE177-N(BA177))/MAX(N(BA177),1),"0%"),"OK")))</f>
        <v/>
      </c>
      <c r="BG177" s="33" t="str">
        <f aca="false">IF(OR(D177="",F177=""),"",IF(F177&lt;=IF(D177="Soldier Pile &amp; Timber Lagging",SG_Criteria!$B$34,SG_Criteria!$B$33),"No ERSS submission",IF(F177&lt;=SG_Criteria!$B$35,"QP(ST)",IF(F177&lt;=SG_Criteria!$B$36,"QP(ST) + AC","Geotechnical building works: QP(Geo) + AC"))))</f>
        <v/>
      </c>
      <c r="BH177" s="33" t="str">
        <f aca="false">IF(D177="","",IF(LEN(IF(AND(AC177&lt;&gt;"",IFERROR(VALUE(MID(AC177,2,2)),0)&lt;SG_Criteria!$B$19),"FAIL: grade below C"&amp;SG_Criteria!$B$19&amp;". ","")&amp;IF(AND(LEFT(D177,3)="Con",N(I177)&lt;F177,H177="Kallang Formation (marine clay)"),"NOTE: CBP is not watertight below GWT in marine clay; consider secant / grouting. ","")&amp;IF(AND(D177="Steel Sheet Pile",E177="Permanent"),"NOTE: permanent sheet pile needs corrosion allowance. ","")&amp;IF(AND(G177="Cantilever (no support)",F177&gt;6),"NOTE: cantilever embedded wall &gt; 6 m, check deflection. ","")&amp;IF(AND(T177&lt;&gt;"",U177&lt;&gt;"",T177&gt;U177),"FAIL: deflection exceeds allowable. ",""))=0,"OK",IF(AND(AC177&lt;&gt;"",IFERROR(VALUE(MID(AC177,2,2)),0)&lt;SG_Criteria!$B$19),"FAIL: grade below C"&amp;SG_Criteria!$B$19&amp;". ","")&amp;IF(AND(LEFT(D177,3)="Con",N(I177)&lt;F177,H177="Kallang Formation (marine clay)"),"NOTE: CBP is not watertight below GWT in marine clay; consider secant / grouting. ","")&amp;IF(AND(D177="Steel Sheet Pile",E177="Permanent"),"NOTE: permanent sheet pile needs corrosion allowance. ","")&amp;IF(AND(G177="Cantilever (no support)",F177&gt;6),"NOTE: cantilever embedded wall &gt; 6 m, check deflection. ","")&amp;IF(AND(T177&lt;&gt;"",U177&lt;&gt;"",T177&gt;U177),"FAIL: deflection exceeds allowable. ","")))</f>
        <v/>
      </c>
      <c r="BI177" s="9"/>
      <c r="BJ177" s="9"/>
      <c r="BK177" s="9"/>
      <c r="BL177" s="10" t="str">
        <f aca="false">IF(BK177="","",IFERROR(VLOOKUP(BK177,Projects!$A$5:$D$504,2,0),"Ref not in Projects"))</f>
        <v/>
      </c>
      <c r="BM177" s="10" t="str">
        <f aca="false">IF(BK177="","",IFERROR(VLOOKUP(BK177,Projects!$A$5:$D$504,4,0),"Ref not in Projects"))</f>
        <v/>
      </c>
      <c r="BN177" s="9"/>
      <c r="BO177" s="9"/>
      <c r="BP177" s="9"/>
      <c r="BQ177" s="40"/>
      <c r="BR177" s="9"/>
      <c r="BS177" s="40"/>
      <c r="BT177" s="9"/>
      <c r="BU177" s="40"/>
      <c r="BV177" s="9"/>
      <c r="BW177" s="9"/>
      <c r="BX177" s="9"/>
      <c r="BY177" s="40"/>
      <c r="BZ177" s="40"/>
      <c r="CA177" s="36" t="str">
        <f aca="false">IF(BZ177="","",EDATE(BZ177,SG_Criteria!$B$54*12))</f>
        <v/>
      </c>
      <c r="CB177" s="33" t="str">
        <f aca="true">IF(A177="","",IF(BZ177="","NOTE: not reviewed yet",IF(TODAY()&gt;CA177,"NOTE: review overdue","OK")))</f>
        <v/>
      </c>
      <c r="CC177" s="37" t="str">
        <f aca="false">IF(A177="","",ROUND((IF(LEN(D177)&gt;0,1,0)+IF(LEN(E177)&gt;0,1,0)+IF(LEN(F177)&gt;0,1,0)+IF(LEN(G177)&gt;0,1,0)+IF(LEN(H177)&gt;0,1,0)+IF(LEN(I177)&gt;0,1,0)+IF(LEN(K177)&gt;0,1,0)+IF(LEN(N177)&gt;0,1,0)+IF(LEN(O177)&gt;0,1,0)+IF(LEN(T177)&gt;0,1,0)+IF(LEN(U177)&gt;0,1,0)+IF(LEN(V177)&gt;0,1,0)+IF(LEN(AK177)&gt;0,1,0)+IF(LEN(AM177)&gt;0,1,0)+IF(LEN(AN177)&gt;0,1,0)+IF(LEN(AO177)&gt;0,1,0)+IF(LEN(AP177)&gt;0,1,0)+IF(LEN(AY177)&gt;0,1,0)+IF(LEN(BK177)&gt;0,1,0)+IF(LEN(BX177)&gt;0,1,0))/20,2))</f>
        <v/>
      </c>
      <c r="CD177" s="10" t="str">
        <f aca="false">IF(D177="","",IF(AND(AN177="Approved",ISERROR(SEARCH("FAIL",BH177))),"Y","N"))</f>
        <v/>
      </c>
      <c r="CE177" s="10" t="str">
        <f aca="false">IF(D177="","",D177&amp;"|"&amp;F177&amp;"|"&amp;G177&amp;"|"&amp;H177&amp;"|"&amp;E177&amp;"|"&amp;CD177)</f>
        <v/>
      </c>
    </row>
    <row r="178" customFormat="false" ht="15" hidden="false" customHeight="false" outlineLevel="0" collapsed="false">
      <c r="A178" s="10" t="str">
        <f aca="false">IF(D178="","","EW-"&amp;IFERROR(VLOOKUP(D178,Lists!$P$4:$Q$22,2,0),"??")&amp;"-D"&amp;TEXT(F178*1000,"0000")&amp;"-"&amp;IFERROR(VLOOKUP(G178,Lists!$S$4:$T$21,2,0),"??")&amp;"-"&amp;IFERROR(VLOOKUP(H178,Lists!$Y$4:$Z$21,2,0),"??")&amp;"-"&amp;IFERROR(VLOOKUP(E178,Lists!$V$4:$W$16,2,0),"??")&amp;"-"&amp;AM178)</f>
        <v/>
      </c>
      <c r="B178" s="10" t="str">
        <f aca="false">IF(D178="","",E178&amp;" "&amp;D178&amp;", excavation "&amp;TEXT(F178,"0.0")&amp;" m, "&amp;G178&amp;", "&amp;H178&amp;", "&amp;K178)</f>
        <v/>
      </c>
      <c r="C178" s="9"/>
      <c r="D178" s="9"/>
      <c r="E178" s="9"/>
      <c r="F178" s="42"/>
      <c r="G178" s="9"/>
      <c r="H178" s="9"/>
      <c r="I178" s="42"/>
      <c r="J178" s="38"/>
      <c r="K178" s="9"/>
      <c r="L178" s="9"/>
      <c r="M178" s="9"/>
      <c r="N178" s="42"/>
      <c r="O178" s="42"/>
      <c r="P178" s="9"/>
      <c r="Q178" s="9"/>
      <c r="R178" s="9"/>
      <c r="S178" s="9"/>
      <c r="T178" s="38"/>
      <c r="U178" s="38"/>
      <c r="V178" s="38"/>
      <c r="W178" s="38"/>
      <c r="X178" s="38"/>
      <c r="Y178" s="9"/>
      <c r="Z178" s="39"/>
      <c r="AA178" s="9"/>
      <c r="AB178" s="9"/>
      <c r="AC178" s="9"/>
      <c r="AD178" s="9"/>
      <c r="AE178" s="9"/>
      <c r="AF178" s="9"/>
      <c r="AG178" s="9"/>
      <c r="AH178" s="38"/>
      <c r="AI178" s="9"/>
      <c r="AJ178" s="39"/>
      <c r="AK178" s="9"/>
      <c r="AL178" s="9"/>
      <c r="AM178" s="9"/>
      <c r="AN178" s="9"/>
      <c r="AO178" s="9"/>
      <c r="AP178" s="9"/>
      <c r="AQ178" s="9"/>
      <c r="AR178" s="10" t="str">
        <f aca="false">IF(A178="","",SG_Criteria!$B$6&amp;SG_Criteria!$B$9&amp;"\"&amp;A178&amp;"\")</f>
        <v/>
      </c>
      <c r="AS178" s="10" t="str">
        <f aca="false">IF(A178="","",A178&amp;"_CAD.dwg")</f>
        <v/>
      </c>
      <c r="AT178" s="10" t="str">
        <f aca="false">IF(A178="","",A178&amp;"_DWG.pdf")</f>
        <v/>
      </c>
      <c r="AU178" s="10" t="str">
        <f aca="false">IF(A178="","",IF(AQ178="Y",A178&amp;"_STAAD.std","n/a"))</f>
        <v/>
      </c>
      <c r="AV178" s="10" t="str">
        <f aca="false">IF(A178="","",A178&amp;"_CALC.xlsx")</f>
        <v/>
      </c>
      <c r="AW178" s="10" t="str">
        <f aca="false">IF(A178="","",A178&amp;"_CALC.pdf")</f>
        <v/>
      </c>
      <c r="AX178" s="9"/>
      <c r="AY178" s="9"/>
      <c r="AZ178" s="39"/>
      <c r="BA178" s="39"/>
      <c r="BB178" s="39"/>
      <c r="BC178" s="39"/>
      <c r="BD178" s="39"/>
      <c r="BE178" s="12" t="str">
        <f aca="false">IF(A178="","",IF(COUNTIF(Rebar_Schedule!$A$5:$A$2004,A178)=0,"",ROUND(SUMIF(Rebar_Schedule!$A$5:$A$2004,A178,Rebar_Schedule!$K$5:$K$2004),1)))</f>
        <v/>
      </c>
      <c r="BF178" s="33" t="str">
        <f aca="false">IF(A178="","",IF(BE178="","No rebar schedule yet",IF(ABS(BE178-N(BA178))/MAX(N(BA178),1)&gt;SG_Criteria!$B$55,"NOTE: register rebar differs from schedule by "&amp;TEXT(ABS(BE178-N(BA178))/MAX(N(BA178),1),"0%"),"OK")))</f>
        <v/>
      </c>
      <c r="BG178" s="33" t="str">
        <f aca="false">IF(OR(D178="",F178=""),"",IF(F178&lt;=IF(D178="Soldier Pile &amp; Timber Lagging",SG_Criteria!$B$34,SG_Criteria!$B$33),"No ERSS submission",IF(F178&lt;=SG_Criteria!$B$35,"QP(ST)",IF(F178&lt;=SG_Criteria!$B$36,"QP(ST) + AC","Geotechnical building works: QP(Geo) + AC"))))</f>
        <v/>
      </c>
      <c r="BH178" s="33" t="str">
        <f aca="false">IF(D178="","",IF(LEN(IF(AND(AC178&lt;&gt;"",IFERROR(VALUE(MID(AC178,2,2)),0)&lt;SG_Criteria!$B$19),"FAIL: grade below C"&amp;SG_Criteria!$B$19&amp;". ","")&amp;IF(AND(LEFT(D178,3)="Con",N(I178)&lt;F178,H178="Kallang Formation (marine clay)"),"NOTE: CBP is not watertight below GWT in marine clay; consider secant / grouting. ","")&amp;IF(AND(D178="Steel Sheet Pile",E178="Permanent"),"NOTE: permanent sheet pile needs corrosion allowance. ","")&amp;IF(AND(G178="Cantilever (no support)",F178&gt;6),"NOTE: cantilever embedded wall &gt; 6 m, check deflection. ","")&amp;IF(AND(T178&lt;&gt;"",U178&lt;&gt;"",T178&gt;U178),"FAIL: deflection exceeds allowable. ",""))=0,"OK",IF(AND(AC178&lt;&gt;"",IFERROR(VALUE(MID(AC178,2,2)),0)&lt;SG_Criteria!$B$19),"FAIL: grade below C"&amp;SG_Criteria!$B$19&amp;". ","")&amp;IF(AND(LEFT(D178,3)="Con",N(I178)&lt;F178,H178="Kallang Formation (marine clay)"),"NOTE: CBP is not watertight below GWT in marine clay; consider secant / grouting. ","")&amp;IF(AND(D178="Steel Sheet Pile",E178="Permanent"),"NOTE: permanent sheet pile needs corrosion allowance. ","")&amp;IF(AND(G178="Cantilever (no support)",F178&gt;6),"NOTE: cantilever embedded wall &gt; 6 m, check deflection. ","")&amp;IF(AND(T178&lt;&gt;"",U178&lt;&gt;"",T178&gt;U178),"FAIL: deflection exceeds allowable. ","")))</f>
        <v/>
      </c>
      <c r="BI178" s="9"/>
      <c r="BJ178" s="9"/>
      <c r="BK178" s="9"/>
      <c r="BL178" s="10" t="str">
        <f aca="false">IF(BK178="","",IFERROR(VLOOKUP(BK178,Projects!$A$5:$D$504,2,0),"Ref not in Projects"))</f>
        <v/>
      </c>
      <c r="BM178" s="10" t="str">
        <f aca="false">IF(BK178="","",IFERROR(VLOOKUP(BK178,Projects!$A$5:$D$504,4,0),"Ref not in Projects"))</f>
        <v/>
      </c>
      <c r="BN178" s="9"/>
      <c r="BO178" s="9"/>
      <c r="BP178" s="9"/>
      <c r="BQ178" s="40"/>
      <c r="BR178" s="9"/>
      <c r="BS178" s="40"/>
      <c r="BT178" s="9"/>
      <c r="BU178" s="40"/>
      <c r="BV178" s="9"/>
      <c r="BW178" s="9"/>
      <c r="BX178" s="9"/>
      <c r="BY178" s="40"/>
      <c r="BZ178" s="40"/>
      <c r="CA178" s="36" t="str">
        <f aca="false">IF(BZ178="","",EDATE(BZ178,SG_Criteria!$B$54*12))</f>
        <v/>
      </c>
      <c r="CB178" s="33" t="str">
        <f aca="true">IF(A178="","",IF(BZ178="","NOTE: not reviewed yet",IF(TODAY()&gt;CA178,"NOTE: review overdue","OK")))</f>
        <v/>
      </c>
      <c r="CC178" s="37" t="str">
        <f aca="false">IF(A178="","",ROUND((IF(LEN(D178)&gt;0,1,0)+IF(LEN(E178)&gt;0,1,0)+IF(LEN(F178)&gt;0,1,0)+IF(LEN(G178)&gt;0,1,0)+IF(LEN(H178)&gt;0,1,0)+IF(LEN(I178)&gt;0,1,0)+IF(LEN(K178)&gt;0,1,0)+IF(LEN(N178)&gt;0,1,0)+IF(LEN(O178)&gt;0,1,0)+IF(LEN(T178)&gt;0,1,0)+IF(LEN(U178)&gt;0,1,0)+IF(LEN(V178)&gt;0,1,0)+IF(LEN(AK178)&gt;0,1,0)+IF(LEN(AM178)&gt;0,1,0)+IF(LEN(AN178)&gt;0,1,0)+IF(LEN(AO178)&gt;0,1,0)+IF(LEN(AP178)&gt;0,1,0)+IF(LEN(AY178)&gt;0,1,0)+IF(LEN(BK178)&gt;0,1,0)+IF(LEN(BX178)&gt;0,1,0))/20,2))</f>
        <v/>
      </c>
      <c r="CD178" s="10" t="str">
        <f aca="false">IF(D178="","",IF(AND(AN178="Approved",ISERROR(SEARCH("FAIL",BH178))),"Y","N"))</f>
        <v/>
      </c>
      <c r="CE178" s="10" t="str">
        <f aca="false">IF(D178="","",D178&amp;"|"&amp;F178&amp;"|"&amp;G178&amp;"|"&amp;H178&amp;"|"&amp;E178&amp;"|"&amp;CD178)</f>
        <v/>
      </c>
    </row>
    <row r="179" customFormat="false" ht="15" hidden="false" customHeight="false" outlineLevel="0" collapsed="false">
      <c r="A179" s="10" t="str">
        <f aca="false">IF(D179="","","EW-"&amp;IFERROR(VLOOKUP(D179,Lists!$P$4:$Q$22,2,0),"??")&amp;"-D"&amp;TEXT(F179*1000,"0000")&amp;"-"&amp;IFERROR(VLOOKUP(G179,Lists!$S$4:$T$21,2,0),"??")&amp;"-"&amp;IFERROR(VLOOKUP(H179,Lists!$Y$4:$Z$21,2,0),"??")&amp;"-"&amp;IFERROR(VLOOKUP(E179,Lists!$V$4:$W$16,2,0),"??")&amp;"-"&amp;AM179)</f>
        <v/>
      </c>
      <c r="B179" s="10" t="str">
        <f aca="false">IF(D179="","",E179&amp;" "&amp;D179&amp;", excavation "&amp;TEXT(F179,"0.0")&amp;" m, "&amp;G179&amp;", "&amp;H179&amp;", "&amp;K179)</f>
        <v/>
      </c>
      <c r="C179" s="9"/>
      <c r="D179" s="9"/>
      <c r="E179" s="9"/>
      <c r="F179" s="42"/>
      <c r="G179" s="9"/>
      <c r="H179" s="9"/>
      <c r="I179" s="42"/>
      <c r="J179" s="38"/>
      <c r="K179" s="9"/>
      <c r="L179" s="9"/>
      <c r="M179" s="9"/>
      <c r="N179" s="42"/>
      <c r="O179" s="42"/>
      <c r="P179" s="9"/>
      <c r="Q179" s="9"/>
      <c r="R179" s="9"/>
      <c r="S179" s="9"/>
      <c r="T179" s="38"/>
      <c r="U179" s="38"/>
      <c r="V179" s="38"/>
      <c r="W179" s="38"/>
      <c r="X179" s="38"/>
      <c r="Y179" s="9"/>
      <c r="Z179" s="39"/>
      <c r="AA179" s="9"/>
      <c r="AB179" s="9"/>
      <c r="AC179" s="9"/>
      <c r="AD179" s="9"/>
      <c r="AE179" s="9"/>
      <c r="AF179" s="9"/>
      <c r="AG179" s="9"/>
      <c r="AH179" s="38"/>
      <c r="AI179" s="9"/>
      <c r="AJ179" s="39"/>
      <c r="AK179" s="9"/>
      <c r="AL179" s="9"/>
      <c r="AM179" s="9"/>
      <c r="AN179" s="9"/>
      <c r="AO179" s="9"/>
      <c r="AP179" s="9"/>
      <c r="AQ179" s="9"/>
      <c r="AR179" s="10" t="str">
        <f aca="false">IF(A179="","",SG_Criteria!$B$6&amp;SG_Criteria!$B$9&amp;"\"&amp;A179&amp;"\")</f>
        <v/>
      </c>
      <c r="AS179" s="10" t="str">
        <f aca="false">IF(A179="","",A179&amp;"_CAD.dwg")</f>
        <v/>
      </c>
      <c r="AT179" s="10" t="str">
        <f aca="false">IF(A179="","",A179&amp;"_DWG.pdf")</f>
        <v/>
      </c>
      <c r="AU179" s="10" t="str">
        <f aca="false">IF(A179="","",IF(AQ179="Y",A179&amp;"_STAAD.std","n/a"))</f>
        <v/>
      </c>
      <c r="AV179" s="10" t="str">
        <f aca="false">IF(A179="","",A179&amp;"_CALC.xlsx")</f>
        <v/>
      </c>
      <c r="AW179" s="10" t="str">
        <f aca="false">IF(A179="","",A179&amp;"_CALC.pdf")</f>
        <v/>
      </c>
      <c r="AX179" s="9"/>
      <c r="AY179" s="9"/>
      <c r="AZ179" s="39"/>
      <c r="BA179" s="39"/>
      <c r="BB179" s="39"/>
      <c r="BC179" s="39"/>
      <c r="BD179" s="39"/>
      <c r="BE179" s="12" t="str">
        <f aca="false">IF(A179="","",IF(COUNTIF(Rebar_Schedule!$A$5:$A$2004,A179)=0,"",ROUND(SUMIF(Rebar_Schedule!$A$5:$A$2004,A179,Rebar_Schedule!$K$5:$K$2004),1)))</f>
        <v/>
      </c>
      <c r="BF179" s="33" t="str">
        <f aca="false">IF(A179="","",IF(BE179="","No rebar schedule yet",IF(ABS(BE179-N(BA179))/MAX(N(BA179),1)&gt;SG_Criteria!$B$55,"NOTE: register rebar differs from schedule by "&amp;TEXT(ABS(BE179-N(BA179))/MAX(N(BA179),1),"0%"),"OK")))</f>
        <v/>
      </c>
      <c r="BG179" s="33" t="str">
        <f aca="false">IF(OR(D179="",F179=""),"",IF(F179&lt;=IF(D179="Soldier Pile &amp; Timber Lagging",SG_Criteria!$B$34,SG_Criteria!$B$33),"No ERSS submission",IF(F179&lt;=SG_Criteria!$B$35,"QP(ST)",IF(F179&lt;=SG_Criteria!$B$36,"QP(ST) + AC","Geotechnical building works: QP(Geo) + AC"))))</f>
        <v/>
      </c>
      <c r="BH179" s="33" t="str">
        <f aca="false">IF(D179="","",IF(LEN(IF(AND(AC179&lt;&gt;"",IFERROR(VALUE(MID(AC179,2,2)),0)&lt;SG_Criteria!$B$19),"FAIL: grade below C"&amp;SG_Criteria!$B$19&amp;". ","")&amp;IF(AND(LEFT(D179,3)="Con",N(I179)&lt;F179,H179="Kallang Formation (marine clay)"),"NOTE: CBP is not watertight below GWT in marine clay; consider secant / grouting. ","")&amp;IF(AND(D179="Steel Sheet Pile",E179="Permanent"),"NOTE: permanent sheet pile needs corrosion allowance. ","")&amp;IF(AND(G179="Cantilever (no support)",F179&gt;6),"NOTE: cantilever embedded wall &gt; 6 m, check deflection. ","")&amp;IF(AND(T179&lt;&gt;"",U179&lt;&gt;"",T179&gt;U179),"FAIL: deflection exceeds allowable. ",""))=0,"OK",IF(AND(AC179&lt;&gt;"",IFERROR(VALUE(MID(AC179,2,2)),0)&lt;SG_Criteria!$B$19),"FAIL: grade below C"&amp;SG_Criteria!$B$19&amp;". ","")&amp;IF(AND(LEFT(D179,3)="Con",N(I179)&lt;F179,H179="Kallang Formation (marine clay)"),"NOTE: CBP is not watertight below GWT in marine clay; consider secant / grouting. ","")&amp;IF(AND(D179="Steel Sheet Pile",E179="Permanent"),"NOTE: permanent sheet pile needs corrosion allowance. ","")&amp;IF(AND(G179="Cantilever (no support)",F179&gt;6),"NOTE: cantilever embedded wall &gt; 6 m, check deflection. ","")&amp;IF(AND(T179&lt;&gt;"",U179&lt;&gt;"",T179&gt;U179),"FAIL: deflection exceeds allowable. ","")))</f>
        <v/>
      </c>
      <c r="BI179" s="9"/>
      <c r="BJ179" s="9"/>
      <c r="BK179" s="9"/>
      <c r="BL179" s="10" t="str">
        <f aca="false">IF(BK179="","",IFERROR(VLOOKUP(BK179,Projects!$A$5:$D$504,2,0),"Ref not in Projects"))</f>
        <v/>
      </c>
      <c r="BM179" s="10" t="str">
        <f aca="false">IF(BK179="","",IFERROR(VLOOKUP(BK179,Projects!$A$5:$D$504,4,0),"Ref not in Projects"))</f>
        <v/>
      </c>
      <c r="BN179" s="9"/>
      <c r="BO179" s="9"/>
      <c r="BP179" s="9"/>
      <c r="BQ179" s="40"/>
      <c r="BR179" s="9"/>
      <c r="BS179" s="40"/>
      <c r="BT179" s="9"/>
      <c r="BU179" s="40"/>
      <c r="BV179" s="9"/>
      <c r="BW179" s="9"/>
      <c r="BX179" s="9"/>
      <c r="BY179" s="40"/>
      <c r="BZ179" s="40"/>
      <c r="CA179" s="36" t="str">
        <f aca="false">IF(BZ179="","",EDATE(BZ179,SG_Criteria!$B$54*12))</f>
        <v/>
      </c>
      <c r="CB179" s="33" t="str">
        <f aca="true">IF(A179="","",IF(BZ179="","NOTE: not reviewed yet",IF(TODAY()&gt;CA179,"NOTE: review overdue","OK")))</f>
        <v/>
      </c>
      <c r="CC179" s="37" t="str">
        <f aca="false">IF(A179="","",ROUND((IF(LEN(D179)&gt;0,1,0)+IF(LEN(E179)&gt;0,1,0)+IF(LEN(F179)&gt;0,1,0)+IF(LEN(G179)&gt;0,1,0)+IF(LEN(H179)&gt;0,1,0)+IF(LEN(I179)&gt;0,1,0)+IF(LEN(K179)&gt;0,1,0)+IF(LEN(N179)&gt;0,1,0)+IF(LEN(O179)&gt;0,1,0)+IF(LEN(T179)&gt;0,1,0)+IF(LEN(U179)&gt;0,1,0)+IF(LEN(V179)&gt;0,1,0)+IF(LEN(AK179)&gt;0,1,0)+IF(LEN(AM179)&gt;0,1,0)+IF(LEN(AN179)&gt;0,1,0)+IF(LEN(AO179)&gt;0,1,0)+IF(LEN(AP179)&gt;0,1,0)+IF(LEN(AY179)&gt;0,1,0)+IF(LEN(BK179)&gt;0,1,0)+IF(LEN(BX179)&gt;0,1,0))/20,2))</f>
        <v/>
      </c>
      <c r="CD179" s="10" t="str">
        <f aca="false">IF(D179="","",IF(AND(AN179="Approved",ISERROR(SEARCH("FAIL",BH179))),"Y","N"))</f>
        <v/>
      </c>
      <c r="CE179" s="10" t="str">
        <f aca="false">IF(D179="","",D179&amp;"|"&amp;F179&amp;"|"&amp;G179&amp;"|"&amp;H179&amp;"|"&amp;E179&amp;"|"&amp;CD179)</f>
        <v/>
      </c>
    </row>
    <row r="180" customFormat="false" ht="15" hidden="false" customHeight="false" outlineLevel="0" collapsed="false">
      <c r="A180" s="10" t="str">
        <f aca="false">IF(D180="","","EW-"&amp;IFERROR(VLOOKUP(D180,Lists!$P$4:$Q$22,2,0),"??")&amp;"-D"&amp;TEXT(F180*1000,"0000")&amp;"-"&amp;IFERROR(VLOOKUP(G180,Lists!$S$4:$T$21,2,0),"??")&amp;"-"&amp;IFERROR(VLOOKUP(H180,Lists!$Y$4:$Z$21,2,0),"??")&amp;"-"&amp;IFERROR(VLOOKUP(E180,Lists!$V$4:$W$16,2,0),"??")&amp;"-"&amp;AM180)</f>
        <v/>
      </c>
      <c r="B180" s="10" t="str">
        <f aca="false">IF(D180="","",E180&amp;" "&amp;D180&amp;", excavation "&amp;TEXT(F180,"0.0")&amp;" m, "&amp;G180&amp;", "&amp;H180&amp;", "&amp;K180)</f>
        <v/>
      </c>
      <c r="C180" s="9"/>
      <c r="D180" s="9"/>
      <c r="E180" s="9"/>
      <c r="F180" s="42"/>
      <c r="G180" s="9"/>
      <c r="H180" s="9"/>
      <c r="I180" s="42"/>
      <c r="J180" s="38"/>
      <c r="K180" s="9"/>
      <c r="L180" s="9"/>
      <c r="M180" s="9"/>
      <c r="N180" s="42"/>
      <c r="O180" s="42"/>
      <c r="P180" s="9"/>
      <c r="Q180" s="9"/>
      <c r="R180" s="9"/>
      <c r="S180" s="9"/>
      <c r="T180" s="38"/>
      <c r="U180" s="38"/>
      <c r="V180" s="38"/>
      <c r="W180" s="38"/>
      <c r="X180" s="38"/>
      <c r="Y180" s="9"/>
      <c r="Z180" s="39"/>
      <c r="AA180" s="9"/>
      <c r="AB180" s="9"/>
      <c r="AC180" s="9"/>
      <c r="AD180" s="9"/>
      <c r="AE180" s="9"/>
      <c r="AF180" s="9"/>
      <c r="AG180" s="9"/>
      <c r="AH180" s="38"/>
      <c r="AI180" s="9"/>
      <c r="AJ180" s="39"/>
      <c r="AK180" s="9"/>
      <c r="AL180" s="9"/>
      <c r="AM180" s="9"/>
      <c r="AN180" s="9"/>
      <c r="AO180" s="9"/>
      <c r="AP180" s="9"/>
      <c r="AQ180" s="9"/>
      <c r="AR180" s="10" t="str">
        <f aca="false">IF(A180="","",SG_Criteria!$B$6&amp;SG_Criteria!$B$9&amp;"\"&amp;A180&amp;"\")</f>
        <v/>
      </c>
      <c r="AS180" s="10" t="str">
        <f aca="false">IF(A180="","",A180&amp;"_CAD.dwg")</f>
        <v/>
      </c>
      <c r="AT180" s="10" t="str">
        <f aca="false">IF(A180="","",A180&amp;"_DWG.pdf")</f>
        <v/>
      </c>
      <c r="AU180" s="10" t="str">
        <f aca="false">IF(A180="","",IF(AQ180="Y",A180&amp;"_STAAD.std","n/a"))</f>
        <v/>
      </c>
      <c r="AV180" s="10" t="str">
        <f aca="false">IF(A180="","",A180&amp;"_CALC.xlsx")</f>
        <v/>
      </c>
      <c r="AW180" s="10" t="str">
        <f aca="false">IF(A180="","",A180&amp;"_CALC.pdf")</f>
        <v/>
      </c>
      <c r="AX180" s="9"/>
      <c r="AY180" s="9"/>
      <c r="AZ180" s="39"/>
      <c r="BA180" s="39"/>
      <c r="BB180" s="39"/>
      <c r="BC180" s="39"/>
      <c r="BD180" s="39"/>
      <c r="BE180" s="12" t="str">
        <f aca="false">IF(A180="","",IF(COUNTIF(Rebar_Schedule!$A$5:$A$2004,A180)=0,"",ROUND(SUMIF(Rebar_Schedule!$A$5:$A$2004,A180,Rebar_Schedule!$K$5:$K$2004),1)))</f>
        <v/>
      </c>
      <c r="BF180" s="33" t="str">
        <f aca="false">IF(A180="","",IF(BE180="","No rebar schedule yet",IF(ABS(BE180-N(BA180))/MAX(N(BA180),1)&gt;SG_Criteria!$B$55,"NOTE: register rebar differs from schedule by "&amp;TEXT(ABS(BE180-N(BA180))/MAX(N(BA180),1),"0%"),"OK")))</f>
        <v/>
      </c>
      <c r="BG180" s="33" t="str">
        <f aca="false">IF(OR(D180="",F180=""),"",IF(F180&lt;=IF(D180="Soldier Pile &amp; Timber Lagging",SG_Criteria!$B$34,SG_Criteria!$B$33),"No ERSS submission",IF(F180&lt;=SG_Criteria!$B$35,"QP(ST)",IF(F180&lt;=SG_Criteria!$B$36,"QP(ST) + AC","Geotechnical building works: QP(Geo) + AC"))))</f>
        <v/>
      </c>
      <c r="BH180" s="33" t="str">
        <f aca="false">IF(D180="","",IF(LEN(IF(AND(AC180&lt;&gt;"",IFERROR(VALUE(MID(AC180,2,2)),0)&lt;SG_Criteria!$B$19),"FAIL: grade below C"&amp;SG_Criteria!$B$19&amp;". ","")&amp;IF(AND(LEFT(D180,3)="Con",N(I180)&lt;F180,H180="Kallang Formation (marine clay)"),"NOTE: CBP is not watertight below GWT in marine clay; consider secant / grouting. ","")&amp;IF(AND(D180="Steel Sheet Pile",E180="Permanent"),"NOTE: permanent sheet pile needs corrosion allowance. ","")&amp;IF(AND(G180="Cantilever (no support)",F180&gt;6),"NOTE: cantilever embedded wall &gt; 6 m, check deflection. ","")&amp;IF(AND(T180&lt;&gt;"",U180&lt;&gt;"",T180&gt;U180),"FAIL: deflection exceeds allowable. ",""))=0,"OK",IF(AND(AC180&lt;&gt;"",IFERROR(VALUE(MID(AC180,2,2)),0)&lt;SG_Criteria!$B$19),"FAIL: grade below C"&amp;SG_Criteria!$B$19&amp;". ","")&amp;IF(AND(LEFT(D180,3)="Con",N(I180)&lt;F180,H180="Kallang Formation (marine clay)"),"NOTE: CBP is not watertight below GWT in marine clay; consider secant / grouting. ","")&amp;IF(AND(D180="Steel Sheet Pile",E180="Permanent"),"NOTE: permanent sheet pile needs corrosion allowance. ","")&amp;IF(AND(G180="Cantilever (no support)",F180&gt;6),"NOTE: cantilever embedded wall &gt; 6 m, check deflection. ","")&amp;IF(AND(T180&lt;&gt;"",U180&lt;&gt;"",T180&gt;U180),"FAIL: deflection exceeds allowable. ","")))</f>
        <v/>
      </c>
      <c r="BI180" s="9"/>
      <c r="BJ180" s="9"/>
      <c r="BK180" s="9"/>
      <c r="BL180" s="10" t="str">
        <f aca="false">IF(BK180="","",IFERROR(VLOOKUP(BK180,Projects!$A$5:$D$504,2,0),"Ref not in Projects"))</f>
        <v/>
      </c>
      <c r="BM180" s="10" t="str">
        <f aca="false">IF(BK180="","",IFERROR(VLOOKUP(BK180,Projects!$A$5:$D$504,4,0),"Ref not in Projects"))</f>
        <v/>
      </c>
      <c r="BN180" s="9"/>
      <c r="BO180" s="9"/>
      <c r="BP180" s="9"/>
      <c r="BQ180" s="40"/>
      <c r="BR180" s="9"/>
      <c r="BS180" s="40"/>
      <c r="BT180" s="9"/>
      <c r="BU180" s="40"/>
      <c r="BV180" s="9"/>
      <c r="BW180" s="9"/>
      <c r="BX180" s="9"/>
      <c r="BY180" s="40"/>
      <c r="BZ180" s="40"/>
      <c r="CA180" s="36" t="str">
        <f aca="false">IF(BZ180="","",EDATE(BZ180,SG_Criteria!$B$54*12))</f>
        <v/>
      </c>
      <c r="CB180" s="33" t="str">
        <f aca="true">IF(A180="","",IF(BZ180="","NOTE: not reviewed yet",IF(TODAY()&gt;CA180,"NOTE: review overdue","OK")))</f>
        <v/>
      </c>
      <c r="CC180" s="37" t="str">
        <f aca="false">IF(A180="","",ROUND((IF(LEN(D180)&gt;0,1,0)+IF(LEN(E180)&gt;0,1,0)+IF(LEN(F180)&gt;0,1,0)+IF(LEN(G180)&gt;0,1,0)+IF(LEN(H180)&gt;0,1,0)+IF(LEN(I180)&gt;0,1,0)+IF(LEN(K180)&gt;0,1,0)+IF(LEN(N180)&gt;0,1,0)+IF(LEN(O180)&gt;0,1,0)+IF(LEN(T180)&gt;0,1,0)+IF(LEN(U180)&gt;0,1,0)+IF(LEN(V180)&gt;0,1,0)+IF(LEN(AK180)&gt;0,1,0)+IF(LEN(AM180)&gt;0,1,0)+IF(LEN(AN180)&gt;0,1,0)+IF(LEN(AO180)&gt;0,1,0)+IF(LEN(AP180)&gt;0,1,0)+IF(LEN(AY180)&gt;0,1,0)+IF(LEN(BK180)&gt;0,1,0)+IF(LEN(BX180)&gt;0,1,0))/20,2))</f>
        <v/>
      </c>
      <c r="CD180" s="10" t="str">
        <f aca="false">IF(D180="","",IF(AND(AN180="Approved",ISERROR(SEARCH("FAIL",BH180))),"Y","N"))</f>
        <v/>
      </c>
      <c r="CE180" s="10" t="str">
        <f aca="false">IF(D180="","",D180&amp;"|"&amp;F180&amp;"|"&amp;G180&amp;"|"&amp;H180&amp;"|"&amp;E180&amp;"|"&amp;CD180)</f>
        <v/>
      </c>
    </row>
    <row r="181" customFormat="false" ht="15" hidden="false" customHeight="false" outlineLevel="0" collapsed="false">
      <c r="A181" s="10" t="str">
        <f aca="false">IF(D181="","","EW-"&amp;IFERROR(VLOOKUP(D181,Lists!$P$4:$Q$22,2,0),"??")&amp;"-D"&amp;TEXT(F181*1000,"0000")&amp;"-"&amp;IFERROR(VLOOKUP(G181,Lists!$S$4:$T$21,2,0),"??")&amp;"-"&amp;IFERROR(VLOOKUP(H181,Lists!$Y$4:$Z$21,2,0),"??")&amp;"-"&amp;IFERROR(VLOOKUP(E181,Lists!$V$4:$W$16,2,0),"??")&amp;"-"&amp;AM181)</f>
        <v/>
      </c>
      <c r="B181" s="10" t="str">
        <f aca="false">IF(D181="","",E181&amp;" "&amp;D181&amp;", excavation "&amp;TEXT(F181,"0.0")&amp;" m, "&amp;G181&amp;", "&amp;H181&amp;", "&amp;K181)</f>
        <v/>
      </c>
      <c r="C181" s="9"/>
      <c r="D181" s="9"/>
      <c r="E181" s="9"/>
      <c r="F181" s="42"/>
      <c r="G181" s="9"/>
      <c r="H181" s="9"/>
      <c r="I181" s="42"/>
      <c r="J181" s="38"/>
      <c r="K181" s="9"/>
      <c r="L181" s="9"/>
      <c r="M181" s="9"/>
      <c r="N181" s="42"/>
      <c r="O181" s="42"/>
      <c r="P181" s="9"/>
      <c r="Q181" s="9"/>
      <c r="R181" s="9"/>
      <c r="S181" s="9"/>
      <c r="T181" s="38"/>
      <c r="U181" s="38"/>
      <c r="V181" s="38"/>
      <c r="W181" s="38"/>
      <c r="X181" s="38"/>
      <c r="Y181" s="9"/>
      <c r="Z181" s="39"/>
      <c r="AA181" s="9"/>
      <c r="AB181" s="9"/>
      <c r="AC181" s="9"/>
      <c r="AD181" s="9"/>
      <c r="AE181" s="9"/>
      <c r="AF181" s="9"/>
      <c r="AG181" s="9"/>
      <c r="AH181" s="38"/>
      <c r="AI181" s="9"/>
      <c r="AJ181" s="39"/>
      <c r="AK181" s="9"/>
      <c r="AL181" s="9"/>
      <c r="AM181" s="9"/>
      <c r="AN181" s="9"/>
      <c r="AO181" s="9"/>
      <c r="AP181" s="9"/>
      <c r="AQ181" s="9"/>
      <c r="AR181" s="10" t="str">
        <f aca="false">IF(A181="","",SG_Criteria!$B$6&amp;SG_Criteria!$B$9&amp;"\"&amp;A181&amp;"\")</f>
        <v/>
      </c>
      <c r="AS181" s="10" t="str">
        <f aca="false">IF(A181="","",A181&amp;"_CAD.dwg")</f>
        <v/>
      </c>
      <c r="AT181" s="10" t="str">
        <f aca="false">IF(A181="","",A181&amp;"_DWG.pdf")</f>
        <v/>
      </c>
      <c r="AU181" s="10" t="str">
        <f aca="false">IF(A181="","",IF(AQ181="Y",A181&amp;"_STAAD.std","n/a"))</f>
        <v/>
      </c>
      <c r="AV181" s="10" t="str">
        <f aca="false">IF(A181="","",A181&amp;"_CALC.xlsx")</f>
        <v/>
      </c>
      <c r="AW181" s="10" t="str">
        <f aca="false">IF(A181="","",A181&amp;"_CALC.pdf")</f>
        <v/>
      </c>
      <c r="AX181" s="9"/>
      <c r="AY181" s="9"/>
      <c r="AZ181" s="39"/>
      <c r="BA181" s="39"/>
      <c r="BB181" s="39"/>
      <c r="BC181" s="39"/>
      <c r="BD181" s="39"/>
      <c r="BE181" s="12" t="str">
        <f aca="false">IF(A181="","",IF(COUNTIF(Rebar_Schedule!$A$5:$A$2004,A181)=0,"",ROUND(SUMIF(Rebar_Schedule!$A$5:$A$2004,A181,Rebar_Schedule!$K$5:$K$2004),1)))</f>
        <v/>
      </c>
      <c r="BF181" s="33" t="str">
        <f aca="false">IF(A181="","",IF(BE181="","No rebar schedule yet",IF(ABS(BE181-N(BA181))/MAX(N(BA181),1)&gt;SG_Criteria!$B$55,"NOTE: register rebar differs from schedule by "&amp;TEXT(ABS(BE181-N(BA181))/MAX(N(BA181),1),"0%"),"OK")))</f>
        <v/>
      </c>
      <c r="BG181" s="33" t="str">
        <f aca="false">IF(OR(D181="",F181=""),"",IF(F181&lt;=IF(D181="Soldier Pile &amp; Timber Lagging",SG_Criteria!$B$34,SG_Criteria!$B$33),"No ERSS submission",IF(F181&lt;=SG_Criteria!$B$35,"QP(ST)",IF(F181&lt;=SG_Criteria!$B$36,"QP(ST) + AC","Geotechnical building works: QP(Geo) + AC"))))</f>
        <v/>
      </c>
      <c r="BH181" s="33" t="str">
        <f aca="false">IF(D181="","",IF(LEN(IF(AND(AC181&lt;&gt;"",IFERROR(VALUE(MID(AC181,2,2)),0)&lt;SG_Criteria!$B$19),"FAIL: grade below C"&amp;SG_Criteria!$B$19&amp;". ","")&amp;IF(AND(LEFT(D181,3)="Con",N(I181)&lt;F181,H181="Kallang Formation (marine clay)"),"NOTE: CBP is not watertight below GWT in marine clay; consider secant / grouting. ","")&amp;IF(AND(D181="Steel Sheet Pile",E181="Permanent"),"NOTE: permanent sheet pile needs corrosion allowance. ","")&amp;IF(AND(G181="Cantilever (no support)",F181&gt;6),"NOTE: cantilever embedded wall &gt; 6 m, check deflection. ","")&amp;IF(AND(T181&lt;&gt;"",U181&lt;&gt;"",T181&gt;U181),"FAIL: deflection exceeds allowable. ",""))=0,"OK",IF(AND(AC181&lt;&gt;"",IFERROR(VALUE(MID(AC181,2,2)),0)&lt;SG_Criteria!$B$19),"FAIL: grade below C"&amp;SG_Criteria!$B$19&amp;". ","")&amp;IF(AND(LEFT(D181,3)="Con",N(I181)&lt;F181,H181="Kallang Formation (marine clay)"),"NOTE: CBP is not watertight below GWT in marine clay; consider secant / grouting. ","")&amp;IF(AND(D181="Steel Sheet Pile",E181="Permanent"),"NOTE: permanent sheet pile needs corrosion allowance. ","")&amp;IF(AND(G181="Cantilever (no support)",F181&gt;6),"NOTE: cantilever embedded wall &gt; 6 m, check deflection. ","")&amp;IF(AND(T181&lt;&gt;"",U181&lt;&gt;"",T181&gt;U181),"FAIL: deflection exceeds allowable. ","")))</f>
        <v/>
      </c>
      <c r="BI181" s="9"/>
      <c r="BJ181" s="9"/>
      <c r="BK181" s="9"/>
      <c r="BL181" s="10" t="str">
        <f aca="false">IF(BK181="","",IFERROR(VLOOKUP(BK181,Projects!$A$5:$D$504,2,0),"Ref not in Projects"))</f>
        <v/>
      </c>
      <c r="BM181" s="10" t="str">
        <f aca="false">IF(BK181="","",IFERROR(VLOOKUP(BK181,Projects!$A$5:$D$504,4,0),"Ref not in Projects"))</f>
        <v/>
      </c>
      <c r="BN181" s="9"/>
      <c r="BO181" s="9"/>
      <c r="BP181" s="9"/>
      <c r="BQ181" s="40"/>
      <c r="BR181" s="9"/>
      <c r="BS181" s="40"/>
      <c r="BT181" s="9"/>
      <c r="BU181" s="40"/>
      <c r="BV181" s="9"/>
      <c r="BW181" s="9"/>
      <c r="BX181" s="9"/>
      <c r="BY181" s="40"/>
      <c r="BZ181" s="40"/>
      <c r="CA181" s="36" t="str">
        <f aca="false">IF(BZ181="","",EDATE(BZ181,SG_Criteria!$B$54*12))</f>
        <v/>
      </c>
      <c r="CB181" s="33" t="str">
        <f aca="true">IF(A181="","",IF(BZ181="","NOTE: not reviewed yet",IF(TODAY()&gt;CA181,"NOTE: review overdue","OK")))</f>
        <v/>
      </c>
      <c r="CC181" s="37" t="str">
        <f aca="false">IF(A181="","",ROUND((IF(LEN(D181)&gt;0,1,0)+IF(LEN(E181)&gt;0,1,0)+IF(LEN(F181)&gt;0,1,0)+IF(LEN(G181)&gt;0,1,0)+IF(LEN(H181)&gt;0,1,0)+IF(LEN(I181)&gt;0,1,0)+IF(LEN(K181)&gt;0,1,0)+IF(LEN(N181)&gt;0,1,0)+IF(LEN(O181)&gt;0,1,0)+IF(LEN(T181)&gt;0,1,0)+IF(LEN(U181)&gt;0,1,0)+IF(LEN(V181)&gt;0,1,0)+IF(LEN(AK181)&gt;0,1,0)+IF(LEN(AM181)&gt;0,1,0)+IF(LEN(AN181)&gt;0,1,0)+IF(LEN(AO181)&gt;0,1,0)+IF(LEN(AP181)&gt;0,1,0)+IF(LEN(AY181)&gt;0,1,0)+IF(LEN(BK181)&gt;0,1,0)+IF(LEN(BX181)&gt;0,1,0))/20,2))</f>
        <v/>
      </c>
      <c r="CD181" s="10" t="str">
        <f aca="false">IF(D181="","",IF(AND(AN181="Approved",ISERROR(SEARCH("FAIL",BH181))),"Y","N"))</f>
        <v/>
      </c>
      <c r="CE181" s="10" t="str">
        <f aca="false">IF(D181="","",D181&amp;"|"&amp;F181&amp;"|"&amp;G181&amp;"|"&amp;H181&amp;"|"&amp;E181&amp;"|"&amp;CD181)</f>
        <v/>
      </c>
    </row>
    <row r="182" customFormat="false" ht="15" hidden="false" customHeight="false" outlineLevel="0" collapsed="false">
      <c r="A182" s="10" t="str">
        <f aca="false">IF(D182="","","EW-"&amp;IFERROR(VLOOKUP(D182,Lists!$P$4:$Q$22,2,0),"??")&amp;"-D"&amp;TEXT(F182*1000,"0000")&amp;"-"&amp;IFERROR(VLOOKUP(G182,Lists!$S$4:$T$21,2,0),"??")&amp;"-"&amp;IFERROR(VLOOKUP(H182,Lists!$Y$4:$Z$21,2,0),"??")&amp;"-"&amp;IFERROR(VLOOKUP(E182,Lists!$V$4:$W$16,2,0),"??")&amp;"-"&amp;AM182)</f>
        <v/>
      </c>
      <c r="B182" s="10" t="str">
        <f aca="false">IF(D182="","",E182&amp;" "&amp;D182&amp;", excavation "&amp;TEXT(F182,"0.0")&amp;" m, "&amp;G182&amp;", "&amp;H182&amp;", "&amp;K182)</f>
        <v/>
      </c>
      <c r="C182" s="9"/>
      <c r="D182" s="9"/>
      <c r="E182" s="9"/>
      <c r="F182" s="42"/>
      <c r="G182" s="9"/>
      <c r="H182" s="9"/>
      <c r="I182" s="42"/>
      <c r="J182" s="38"/>
      <c r="K182" s="9"/>
      <c r="L182" s="9"/>
      <c r="M182" s="9"/>
      <c r="N182" s="42"/>
      <c r="O182" s="42"/>
      <c r="P182" s="9"/>
      <c r="Q182" s="9"/>
      <c r="R182" s="9"/>
      <c r="S182" s="9"/>
      <c r="T182" s="38"/>
      <c r="U182" s="38"/>
      <c r="V182" s="38"/>
      <c r="W182" s="38"/>
      <c r="X182" s="38"/>
      <c r="Y182" s="9"/>
      <c r="Z182" s="39"/>
      <c r="AA182" s="9"/>
      <c r="AB182" s="9"/>
      <c r="AC182" s="9"/>
      <c r="AD182" s="9"/>
      <c r="AE182" s="9"/>
      <c r="AF182" s="9"/>
      <c r="AG182" s="9"/>
      <c r="AH182" s="38"/>
      <c r="AI182" s="9"/>
      <c r="AJ182" s="39"/>
      <c r="AK182" s="9"/>
      <c r="AL182" s="9"/>
      <c r="AM182" s="9"/>
      <c r="AN182" s="9"/>
      <c r="AO182" s="9"/>
      <c r="AP182" s="9"/>
      <c r="AQ182" s="9"/>
      <c r="AR182" s="10" t="str">
        <f aca="false">IF(A182="","",SG_Criteria!$B$6&amp;SG_Criteria!$B$9&amp;"\"&amp;A182&amp;"\")</f>
        <v/>
      </c>
      <c r="AS182" s="10" t="str">
        <f aca="false">IF(A182="","",A182&amp;"_CAD.dwg")</f>
        <v/>
      </c>
      <c r="AT182" s="10" t="str">
        <f aca="false">IF(A182="","",A182&amp;"_DWG.pdf")</f>
        <v/>
      </c>
      <c r="AU182" s="10" t="str">
        <f aca="false">IF(A182="","",IF(AQ182="Y",A182&amp;"_STAAD.std","n/a"))</f>
        <v/>
      </c>
      <c r="AV182" s="10" t="str">
        <f aca="false">IF(A182="","",A182&amp;"_CALC.xlsx")</f>
        <v/>
      </c>
      <c r="AW182" s="10" t="str">
        <f aca="false">IF(A182="","",A182&amp;"_CALC.pdf")</f>
        <v/>
      </c>
      <c r="AX182" s="9"/>
      <c r="AY182" s="9"/>
      <c r="AZ182" s="39"/>
      <c r="BA182" s="39"/>
      <c r="BB182" s="39"/>
      <c r="BC182" s="39"/>
      <c r="BD182" s="39"/>
      <c r="BE182" s="12" t="str">
        <f aca="false">IF(A182="","",IF(COUNTIF(Rebar_Schedule!$A$5:$A$2004,A182)=0,"",ROUND(SUMIF(Rebar_Schedule!$A$5:$A$2004,A182,Rebar_Schedule!$K$5:$K$2004),1)))</f>
        <v/>
      </c>
      <c r="BF182" s="33" t="str">
        <f aca="false">IF(A182="","",IF(BE182="","No rebar schedule yet",IF(ABS(BE182-N(BA182))/MAX(N(BA182),1)&gt;SG_Criteria!$B$55,"NOTE: register rebar differs from schedule by "&amp;TEXT(ABS(BE182-N(BA182))/MAX(N(BA182),1),"0%"),"OK")))</f>
        <v/>
      </c>
      <c r="BG182" s="33" t="str">
        <f aca="false">IF(OR(D182="",F182=""),"",IF(F182&lt;=IF(D182="Soldier Pile &amp; Timber Lagging",SG_Criteria!$B$34,SG_Criteria!$B$33),"No ERSS submission",IF(F182&lt;=SG_Criteria!$B$35,"QP(ST)",IF(F182&lt;=SG_Criteria!$B$36,"QP(ST) + AC","Geotechnical building works: QP(Geo) + AC"))))</f>
        <v/>
      </c>
      <c r="BH182" s="33" t="str">
        <f aca="false">IF(D182="","",IF(LEN(IF(AND(AC182&lt;&gt;"",IFERROR(VALUE(MID(AC182,2,2)),0)&lt;SG_Criteria!$B$19),"FAIL: grade below C"&amp;SG_Criteria!$B$19&amp;". ","")&amp;IF(AND(LEFT(D182,3)="Con",N(I182)&lt;F182,H182="Kallang Formation (marine clay)"),"NOTE: CBP is not watertight below GWT in marine clay; consider secant / grouting. ","")&amp;IF(AND(D182="Steel Sheet Pile",E182="Permanent"),"NOTE: permanent sheet pile needs corrosion allowance. ","")&amp;IF(AND(G182="Cantilever (no support)",F182&gt;6),"NOTE: cantilever embedded wall &gt; 6 m, check deflection. ","")&amp;IF(AND(T182&lt;&gt;"",U182&lt;&gt;"",T182&gt;U182),"FAIL: deflection exceeds allowable. ",""))=0,"OK",IF(AND(AC182&lt;&gt;"",IFERROR(VALUE(MID(AC182,2,2)),0)&lt;SG_Criteria!$B$19),"FAIL: grade below C"&amp;SG_Criteria!$B$19&amp;". ","")&amp;IF(AND(LEFT(D182,3)="Con",N(I182)&lt;F182,H182="Kallang Formation (marine clay)"),"NOTE: CBP is not watertight below GWT in marine clay; consider secant / grouting. ","")&amp;IF(AND(D182="Steel Sheet Pile",E182="Permanent"),"NOTE: permanent sheet pile needs corrosion allowance. ","")&amp;IF(AND(G182="Cantilever (no support)",F182&gt;6),"NOTE: cantilever embedded wall &gt; 6 m, check deflection. ","")&amp;IF(AND(T182&lt;&gt;"",U182&lt;&gt;"",T182&gt;U182),"FAIL: deflection exceeds allowable. ","")))</f>
        <v/>
      </c>
      <c r="BI182" s="9"/>
      <c r="BJ182" s="9"/>
      <c r="BK182" s="9"/>
      <c r="BL182" s="10" t="str">
        <f aca="false">IF(BK182="","",IFERROR(VLOOKUP(BK182,Projects!$A$5:$D$504,2,0),"Ref not in Projects"))</f>
        <v/>
      </c>
      <c r="BM182" s="10" t="str">
        <f aca="false">IF(BK182="","",IFERROR(VLOOKUP(BK182,Projects!$A$5:$D$504,4,0),"Ref not in Projects"))</f>
        <v/>
      </c>
      <c r="BN182" s="9"/>
      <c r="BO182" s="9"/>
      <c r="BP182" s="9"/>
      <c r="BQ182" s="40"/>
      <c r="BR182" s="9"/>
      <c r="BS182" s="40"/>
      <c r="BT182" s="9"/>
      <c r="BU182" s="40"/>
      <c r="BV182" s="9"/>
      <c r="BW182" s="9"/>
      <c r="BX182" s="9"/>
      <c r="BY182" s="40"/>
      <c r="BZ182" s="40"/>
      <c r="CA182" s="36" t="str">
        <f aca="false">IF(BZ182="","",EDATE(BZ182,SG_Criteria!$B$54*12))</f>
        <v/>
      </c>
      <c r="CB182" s="33" t="str">
        <f aca="true">IF(A182="","",IF(BZ182="","NOTE: not reviewed yet",IF(TODAY()&gt;CA182,"NOTE: review overdue","OK")))</f>
        <v/>
      </c>
      <c r="CC182" s="37" t="str">
        <f aca="false">IF(A182="","",ROUND((IF(LEN(D182)&gt;0,1,0)+IF(LEN(E182)&gt;0,1,0)+IF(LEN(F182)&gt;0,1,0)+IF(LEN(G182)&gt;0,1,0)+IF(LEN(H182)&gt;0,1,0)+IF(LEN(I182)&gt;0,1,0)+IF(LEN(K182)&gt;0,1,0)+IF(LEN(N182)&gt;0,1,0)+IF(LEN(O182)&gt;0,1,0)+IF(LEN(T182)&gt;0,1,0)+IF(LEN(U182)&gt;0,1,0)+IF(LEN(V182)&gt;0,1,0)+IF(LEN(AK182)&gt;0,1,0)+IF(LEN(AM182)&gt;0,1,0)+IF(LEN(AN182)&gt;0,1,0)+IF(LEN(AO182)&gt;0,1,0)+IF(LEN(AP182)&gt;0,1,0)+IF(LEN(AY182)&gt;0,1,0)+IF(LEN(BK182)&gt;0,1,0)+IF(LEN(BX182)&gt;0,1,0))/20,2))</f>
        <v/>
      </c>
      <c r="CD182" s="10" t="str">
        <f aca="false">IF(D182="","",IF(AND(AN182="Approved",ISERROR(SEARCH("FAIL",BH182))),"Y","N"))</f>
        <v/>
      </c>
      <c r="CE182" s="10" t="str">
        <f aca="false">IF(D182="","",D182&amp;"|"&amp;F182&amp;"|"&amp;G182&amp;"|"&amp;H182&amp;"|"&amp;E182&amp;"|"&amp;CD182)</f>
        <v/>
      </c>
    </row>
    <row r="183" customFormat="false" ht="15" hidden="false" customHeight="false" outlineLevel="0" collapsed="false">
      <c r="A183" s="10" t="str">
        <f aca="false">IF(D183="","","EW-"&amp;IFERROR(VLOOKUP(D183,Lists!$P$4:$Q$22,2,0),"??")&amp;"-D"&amp;TEXT(F183*1000,"0000")&amp;"-"&amp;IFERROR(VLOOKUP(G183,Lists!$S$4:$T$21,2,0),"??")&amp;"-"&amp;IFERROR(VLOOKUP(H183,Lists!$Y$4:$Z$21,2,0),"??")&amp;"-"&amp;IFERROR(VLOOKUP(E183,Lists!$V$4:$W$16,2,0),"??")&amp;"-"&amp;AM183)</f>
        <v/>
      </c>
      <c r="B183" s="10" t="str">
        <f aca="false">IF(D183="","",E183&amp;" "&amp;D183&amp;", excavation "&amp;TEXT(F183,"0.0")&amp;" m, "&amp;G183&amp;", "&amp;H183&amp;", "&amp;K183)</f>
        <v/>
      </c>
      <c r="C183" s="9"/>
      <c r="D183" s="9"/>
      <c r="E183" s="9"/>
      <c r="F183" s="42"/>
      <c r="G183" s="9"/>
      <c r="H183" s="9"/>
      <c r="I183" s="42"/>
      <c r="J183" s="38"/>
      <c r="K183" s="9"/>
      <c r="L183" s="9"/>
      <c r="M183" s="9"/>
      <c r="N183" s="42"/>
      <c r="O183" s="42"/>
      <c r="P183" s="9"/>
      <c r="Q183" s="9"/>
      <c r="R183" s="9"/>
      <c r="S183" s="9"/>
      <c r="T183" s="38"/>
      <c r="U183" s="38"/>
      <c r="V183" s="38"/>
      <c r="W183" s="38"/>
      <c r="X183" s="38"/>
      <c r="Y183" s="9"/>
      <c r="Z183" s="39"/>
      <c r="AA183" s="9"/>
      <c r="AB183" s="9"/>
      <c r="AC183" s="9"/>
      <c r="AD183" s="9"/>
      <c r="AE183" s="9"/>
      <c r="AF183" s="9"/>
      <c r="AG183" s="9"/>
      <c r="AH183" s="38"/>
      <c r="AI183" s="9"/>
      <c r="AJ183" s="39"/>
      <c r="AK183" s="9"/>
      <c r="AL183" s="9"/>
      <c r="AM183" s="9"/>
      <c r="AN183" s="9"/>
      <c r="AO183" s="9"/>
      <c r="AP183" s="9"/>
      <c r="AQ183" s="9"/>
      <c r="AR183" s="10" t="str">
        <f aca="false">IF(A183="","",SG_Criteria!$B$6&amp;SG_Criteria!$B$9&amp;"\"&amp;A183&amp;"\")</f>
        <v/>
      </c>
      <c r="AS183" s="10" t="str">
        <f aca="false">IF(A183="","",A183&amp;"_CAD.dwg")</f>
        <v/>
      </c>
      <c r="AT183" s="10" t="str">
        <f aca="false">IF(A183="","",A183&amp;"_DWG.pdf")</f>
        <v/>
      </c>
      <c r="AU183" s="10" t="str">
        <f aca="false">IF(A183="","",IF(AQ183="Y",A183&amp;"_STAAD.std","n/a"))</f>
        <v/>
      </c>
      <c r="AV183" s="10" t="str">
        <f aca="false">IF(A183="","",A183&amp;"_CALC.xlsx")</f>
        <v/>
      </c>
      <c r="AW183" s="10" t="str">
        <f aca="false">IF(A183="","",A183&amp;"_CALC.pdf")</f>
        <v/>
      </c>
      <c r="AX183" s="9"/>
      <c r="AY183" s="9"/>
      <c r="AZ183" s="39"/>
      <c r="BA183" s="39"/>
      <c r="BB183" s="39"/>
      <c r="BC183" s="39"/>
      <c r="BD183" s="39"/>
      <c r="BE183" s="12" t="str">
        <f aca="false">IF(A183="","",IF(COUNTIF(Rebar_Schedule!$A$5:$A$2004,A183)=0,"",ROUND(SUMIF(Rebar_Schedule!$A$5:$A$2004,A183,Rebar_Schedule!$K$5:$K$2004),1)))</f>
        <v/>
      </c>
      <c r="BF183" s="33" t="str">
        <f aca="false">IF(A183="","",IF(BE183="","No rebar schedule yet",IF(ABS(BE183-N(BA183))/MAX(N(BA183),1)&gt;SG_Criteria!$B$55,"NOTE: register rebar differs from schedule by "&amp;TEXT(ABS(BE183-N(BA183))/MAX(N(BA183),1),"0%"),"OK")))</f>
        <v/>
      </c>
      <c r="BG183" s="33" t="str">
        <f aca="false">IF(OR(D183="",F183=""),"",IF(F183&lt;=IF(D183="Soldier Pile &amp; Timber Lagging",SG_Criteria!$B$34,SG_Criteria!$B$33),"No ERSS submission",IF(F183&lt;=SG_Criteria!$B$35,"QP(ST)",IF(F183&lt;=SG_Criteria!$B$36,"QP(ST) + AC","Geotechnical building works: QP(Geo) + AC"))))</f>
        <v/>
      </c>
      <c r="BH183" s="33" t="str">
        <f aca="false">IF(D183="","",IF(LEN(IF(AND(AC183&lt;&gt;"",IFERROR(VALUE(MID(AC183,2,2)),0)&lt;SG_Criteria!$B$19),"FAIL: grade below C"&amp;SG_Criteria!$B$19&amp;". ","")&amp;IF(AND(LEFT(D183,3)="Con",N(I183)&lt;F183,H183="Kallang Formation (marine clay)"),"NOTE: CBP is not watertight below GWT in marine clay; consider secant / grouting. ","")&amp;IF(AND(D183="Steel Sheet Pile",E183="Permanent"),"NOTE: permanent sheet pile needs corrosion allowance. ","")&amp;IF(AND(G183="Cantilever (no support)",F183&gt;6),"NOTE: cantilever embedded wall &gt; 6 m, check deflection. ","")&amp;IF(AND(T183&lt;&gt;"",U183&lt;&gt;"",T183&gt;U183),"FAIL: deflection exceeds allowable. ",""))=0,"OK",IF(AND(AC183&lt;&gt;"",IFERROR(VALUE(MID(AC183,2,2)),0)&lt;SG_Criteria!$B$19),"FAIL: grade below C"&amp;SG_Criteria!$B$19&amp;". ","")&amp;IF(AND(LEFT(D183,3)="Con",N(I183)&lt;F183,H183="Kallang Formation (marine clay)"),"NOTE: CBP is not watertight below GWT in marine clay; consider secant / grouting. ","")&amp;IF(AND(D183="Steel Sheet Pile",E183="Permanent"),"NOTE: permanent sheet pile needs corrosion allowance. ","")&amp;IF(AND(G183="Cantilever (no support)",F183&gt;6),"NOTE: cantilever embedded wall &gt; 6 m, check deflection. ","")&amp;IF(AND(T183&lt;&gt;"",U183&lt;&gt;"",T183&gt;U183),"FAIL: deflection exceeds allowable. ","")))</f>
        <v/>
      </c>
      <c r="BI183" s="9"/>
      <c r="BJ183" s="9"/>
      <c r="BK183" s="9"/>
      <c r="BL183" s="10" t="str">
        <f aca="false">IF(BK183="","",IFERROR(VLOOKUP(BK183,Projects!$A$5:$D$504,2,0),"Ref not in Projects"))</f>
        <v/>
      </c>
      <c r="BM183" s="10" t="str">
        <f aca="false">IF(BK183="","",IFERROR(VLOOKUP(BK183,Projects!$A$5:$D$504,4,0),"Ref not in Projects"))</f>
        <v/>
      </c>
      <c r="BN183" s="9"/>
      <c r="BO183" s="9"/>
      <c r="BP183" s="9"/>
      <c r="BQ183" s="40"/>
      <c r="BR183" s="9"/>
      <c r="BS183" s="40"/>
      <c r="BT183" s="9"/>
      <c r="BU183" s="40"/>
      <c r="BV183" s="9"/>
      <c r="BW183" s="9"/>
      <c r="BX183" s="9"/>
      <c r="BY183" s="40"/>
      <c r="BZ183" s="40"/>
      <c r="CA183" s="36" t="str">
        <f aca="false">IF(BZ183="","",EDATE(BZ183,SG_Criteria!$B$54*12))</f>
        <v/>
      </c>
      <c r="CB183" s="33" t="str">
        <f aca="true">IF(A183="","",IF(BZ183="","NOTE: not reviewed yet",IF(TODAY()&gt;CA183,"NOTE: review overdue","OK")))</f>
        <v/>
      </c>
      <c r="CC183" s="37" t="str">
        <f aca="false">IF(A183="","",ROUND((IF(LEN(D183)&gt;0,1,0)+IF(LEN(E183)&gt;0,1,0)+IF(LEN(F183)&gt;0,1,0)+IF(LEN(G183)&gt;0,1,0)+IF(LEN(H183)&gt;0,1,0)+IF(LEN(I183)&gt;0,1,0)+IF(LEN(K183)&gt;0,1,0)+IF(LEN(N183)&gt;0,1,0)+IF(LEN(O183)&gt;0,1,0)+IF(LEN(T183)&gt;0,1,0)+IF(LEN(U183)&gt;0,1,0)+IF(LEN(V183)&gt;0,1,0)+IF(LEN(AK183)&gt;0,1,0)+IF(LEN(AM183)&gt;0,1,0)+IF(LEN(AN183)&gt;0,1,0)+IF(LEN(AO183)&gt;0,1,0)+IF(LEN(AP183)&gt;0,1,0)+IF(LEN(AY183)&gt;0,1,0)+IF(LEN(BK183)&gt;0,1,0)+IF(LEN(BX183)&gt;0,1,0))/20,2))</f>
        <v/>
      </c>
      <c r="CD183" s="10" t="str">
        <f aca="false">IF(D183="","",IF(AND(AN183="Approved",ISERROR(SEARCH("FAIL",BH183))),"Y","N"))</f>
        <v/>
      </c>
      <c r="CE183" s="10" t="str">
        <f aca="false">IF(D183="","",D183&amp;"|"&amp;F183&amp;"|"&amp;G183&amp;"|"&amp;H183&amp;"|"&amp;E183&amp;"|"&amp;CD183)</f>
        <v/>
      </c>
    </row>
    <row r="184" customFormat="false" ht="15" hidden="false" customHeight="false" outlineLevel="0" collapsed="false">
      <c r="A184" s="10" t="str">
        <f aca="false">IF(D184="","","EW-"&amp;IFERROR(VLOOKUP(D184,Lists!$P$4:$Q$22,2,0),"??")&amp;"-D"&amp;TEXT(F184*1000,"0000")&amp;"-"&amp;IFERROR(VLOOKUP(G184,Lists!$S$4:$T$21,2,0),"??")&amp;"-"&amp;IFERROR(VLOOKUP(H184,Lists!$Y$4:$Z$21,2,0),"??")&amp;"-"&amp;IFERROR(VLOOKUP(E184,Lists!$V$4:$W$16,2,0),"??")&amp;"-"&amp;AM184)</f>
        <v/>
      </c>
      <c r="B184" s="10" t="str">
        <f aca="false">IF(D184="","",E184&amp;" "&amp;D184&amp;", excavation "&amp;TEXT(F184,"0.0")&amp;" m, "&amp;G184&amp;", "&amp;H184&amp;", "&amp;K184)</f>
        <v/>
      </c>
      <c r="C184" s="9"/>
      <c r="D184" s="9"/>
      <c r="E184" s="9"/>
      <c r="F184" s="42"/>
      <c r="G184" s="9"/>
      <c r="H184" s="9"/>
      <c r="I184" s="42"/>
      <c r="J184" s="38"/>
      <c r="K184" s="9"/>
      <c r="L184" s="9"/>
      <c r="M184" s="9"/>
      <c r="N184" s="42"/>
      <c r="O184" s="42"/>
      <c r="P184" s="9"/>
      <c r="Q184" s="9"/>
      <c r="R184" s="9"/>
      <c r="S184" s="9"/>
      <c r="T184" s="38"/>
      <c r="U184" s="38"/>
      <c r="V184" s="38"/>
      <c r="W184" s="38"/>
      <c r="X184" s="38"/>
      <c r="Y184" s="9"/>
      <c r="Z184" s="39"/>
      <c r="AA184" s="9"/>
      <c r="AB184" s="9"/>
      <c r="AC184" s="9"/>
      <c r="AD184" s="9"/>
      <c r="AE184" s="9"/>
      <c r="AF184" s="9"/>
      <c r="AG184" s="9"/>
      <c r="AH184" s="38"/>
      <c r="AI184" s="9"/>
      <c r="AJ184" s="39"/>
      <c r="AK184" s="9"/>
      <c r="AL184" s="9"/>
      <c r="AM184" s="9"/>
      <c r="AN184" s="9"/>
      <c r="AO184" s="9"/>
      <c r="AP184" s="9"/>
      <c r="AQ184" s="9"/>
      <c r="AR184" s="10" t="str">
        <f aca="false">IF(A184="","",SG_Criteria!$B$6&amp;SG_Criteria!$B$9&amp;"\"&amp;A184&amp;"\")</f>
        <v/>
      </c>
      <c r="AS184" s="10" t="str">
        <f aca="false">IF(A184="","",A184&amp;"_CAD.dwg")</f>
        <v/>
      </c>
      <c r="AT184" s="10" t="str">
        <f aca="false">IF(A184="","",A184&amp;"_DWG.pdf")</f>
        <v/>
      </c>
      <c r="AU184" s="10" t="str">
        <f aca="false">IF(A184="","",IF(AQ184="Y",A184&amp;"_STAAD.std","n/a"))</f>
        <v/>
      </c>
      <c r="AV184" s="10" t="str">
        <f aca="false">IF(A184="","",A184&amp;"_CALC.xlsx")</f>
        <v/>
      </c>
      <c r="AW184" s="10" t="str">
        <f aca="false">IF(A184="","",A184&amp;"_CALC.pdf")</f>
        <v/>
      </c>
      <c r="AX184" s="9"/>
      <c r="AY184" s="9"/>
      <c r="AZ184" s="39"/>
      <c r="BA184" s="39"/>
      <c r="BB184" s="39"/>
      <c r="BC184" s="39"/>
      <c r="BD184" s="39"/>
      <c r="BE184" s="12" t="str">
        <f aca="false">IF(A184="","",IF(COUNTIF(Rebar_Schedule!$A$5:$A$2004,A184)=0,"",ROUND(SUMIF(Rebar_Schedule!$A$5:$A$2004,A184,Rebar_Schedule!$K$5:$K$2004),1)))</f>
        <v/>
      </c>
      <c r="BF184" s="33" t="str">
        <f aca="false">IF(A184="","",IF(BE184="","No rebar schedule yet",IF(ABS(BE184-N(BA184))/MAX(N(BA184),1)&gt;SG_Criteria!$B$55,"NOTE: register rebar differs from schedule by "&amp;TEXT(ABS(BE184-N(BA184))/MAX(N(BA184),1),"0%"),"OK")))</f>
        <v/>
      </c>
      <c r="BG184" s="33" t="str">
        <f aca="false">IF(OR(D184="",F184=""),"",IF(F184&lt;=IF(D184="Soldier Pile &amp; Timber Lagging",SG_Criteria!$B$34,SG_Criteria!$B$33),"No ERSS submission",IF(F184&lt;=SG_Criteria!$B$35,"QP(ST)",IF(F184&lt;=SG_Criteria!$B$36,"QP(ST) + AC","Geotechnical building works: QP(Geo) + AC"))))</f>
        <v/>
      </c>
      <c r="BH184" s="33" t="str">
        <f aca="false">IF(D184="","",IF(LEN(IF(AND(AC184&lt;&gt;"",IFERROR(VALUE(MID(AC184,2,2)),0)&lt;SG_Criteria!$B$19),"FAIL: grade below C"&amp;SG_Criteria!$B$19&amp;". ","")&amp;IF(AND(LEFT(D184,3)="Con",N(I184)&lt;F184,H184="Kallang Formation (marine clay)"),"NOTE: CBP is not watertight below GWT in marine clay; consider secant / grouting. ","")&amp;IF(AND(D184="Steel Sheet Pile",E184="Permanent"),"NOTE: permanent sheet pile needs corrosion allowance. ","")&amp;IF(AND(G184="Cantilever (no support)",F184&gt;6),"NOTE: cantilever embedded wall &gt; 6 m, check deflection. ","")&amp;IF(AND(T184&lt;&gt;"",U184&lt;&gt;"",T184&gt;U184),"FAIL: deflection exceeds allowable. ",""))=0,"OK",IF(AND(AC184&lt;&gt;"",IFERROR(VALUE(MID(AC184,2,2)),0)&lt;SG_Criteria!$B$19),"FAIL: grade below C"&amp;SG_Criteria!$B$19&amp;". ","")&amp;IF(AND(LEFT(D184,3)="Con",N(I184)&lt;F184,H184="Kallang Formation (marine clay)"),"NOTE: CBP is not watertight below GWT in marine clay; consider secant / grouting. ","")&amp;IF(AND(D184="Steel Sheet Pile",E184="Permanent"),"NOTE: permanent sheet pile needs corrosion allowance. ","")&amp;IF(AND(G184="Cantilever (no support)",F184&gt;6),"NOTE: cantilever embedded wall &gt; 6 m, check deflection. ","")&amp;IF(AND(T184&lt;&gt;"",U184&lt;&gt;"",T184&gt;U184),"FAIL: deflection exceeds allowable. ","")))</f>
        <v/>
      </c>
      <c r="BI184" s="9"/>
      <c r="BJ184" s="9"/>
      <c r="BK184" s="9"/>
      <c r="BL184" s="10" t="str">
        <f aca="false">IF(BK184="","",IFERROR(VLOOKUP(BK184,Projects!$A$5:$D$504,2,0),"Ref not in Projects"))</f>
        <v/>
      </c>
      <c r="BM184" s="10" t="str">
        <f aca="false">IF(BK184="","",IFERROR(VLOOKUP(BK184,Projects!$A$5:$D$504,4,0),"Ref not in Projects"))</f>
        <v/>
      </c>
      <c r="BN184" s="9"/>
      <c r="BO184" s="9"/>
      <c r="BP184" s="9"/>
      <c r="BQ184" s="40"/>
      <c r="BR184" s="9"/>
      <c r="BS184" s="40"/>
      <c r="BT184" s="9"/>
      <c r="BU184" s="40"/>
      <c r="BV184" s="9"/>
      <c r="BW184" s="9"/>
      <c r="BX184" s="9"/>
      <c r="BY184" s="40"/>
      <c r="BZ184" s="40"/>
      <c r="CA184" s="36" t="str">
        <f aca="false">IF(BZ184="","",EDATE(BZ184,SG_Criteria!$B$54*12))</f>
        <v/>
      </c>
      <c r="CB184" s="33" t="str">
        <f aca="true">IF(A184="","",IF(BZ184="","NOTE: not reviewed yet",IF(TODAY()&gt;CA184,"NOTE: review overdue","OK")))</f>
        <v/>
      </c>
      <c r="CC184" s="37" t="str">
        <f aca="false">IF(A184="","",ROUND((IF(LEN(D184)&gt;0,1,0)+IF(LEN(E184)&gt;0,1,0)+IF(LEN(F184)&gt;0,1,0)+IF(LEN(G184)&gt;0,1,0)+IF(LEN(H184)&gt;0,1,0)+IF(LEN(I184)&gt;0,1,0)+IF(LEN(K184)&gt;0,1,0)+IF(LEN(N184)&gt;0,1,0)+IF(LEN(O184)&gt;0,1,0)+IF(LEN(T184)&gt;0,1,0)+IF(LEN(U184)&gt;0,1,0)+IF(LEN(V184)&gt;0,1,0)+IF(LEN(AK184)&gt;0,1,0)+IF(LEN(AM184)&gt;0,1,0)+IF(LEN(AN184)&gt;0,1,0)+IF(LEN(AO184)&gt;0,1,0)+IF(LEN(AP184)&gt;0,1,0)+IF(LEN(AY184)&gt;0,1,0)+IF(LEN(BK184)&gt;0,1,0)+IF(LEN(BX184)&gt;0,1,0))/20,2))</f>
        <v/>
      </c>
      <c r="CD184" s="10" t="str">
        <f aca="false">IF(D184="","",IF(AND(AN184="Approved",ISERROR(SEARCH("FAIL",BH184))),"Y","N"))</f>
        <v/>
      </c>
      <c r="CE184" s="10" t="str">
        <f aca="false">IF(D184="","",D184&amp;"|"&amp;F184&amp;"|"&amp;G184&amp;"|"&amp;H184&amp;"|"&amp;E184&amp;"|"&amp;CD184)</f>
        <v/>
      </c>
    </row>
    <row r="185" customFormat="false" ht="15" hidden="false" customHeight="false" outlineLevel="0" collapsed="false">
      <c r="A185" s="10" t="str">
        <f aca="false">IF(D185="","","EW-"&amp;IFERROR(VLOOKUP(D185,Lists!$P$4:$Q$22,2,0),"??")&amp;"-D"&amp;TEXT(F185*1000,"0000")&amp;"-"&amp;IFERROR(VLOOKUP(G185,Lists!$S$4:$T$21,2,0),"??")&amp;"-"&amp;IFERROR(VLOOKUP(H185,Lists!$Y$4:$Z$21,2,0),"??")&amp;"-"&amp;IFERROR(VLOOKUP(E185,Lists!$V$4:$W$16,2,0),"??")&amp;"-"&amp;AM185)</f>
        <v/>
      </c>
      <c r="B185" s="10" t="str">
        <f aca="false">IF(D185="","",E185&amp;" "&amp;D185&amp;", excavation "&amp;TEXT(F185,"0.0")&amp;" m, "&amp;G185&amp;", "&amp;H185&amp;", "&amp;K185)</f>
        <v/>
      </c>
      <c r="C185" s="9"/>
      <c r="D185" s="9"/>
      <c r="E185" s="9"/>
      <c r="F185" s="42"/>
      <c r="G185" s="9"/>
      <c r="H185" s="9"/>
      <c r="I185" s="42"/>
      <c r="J185" s="38"/>
      <c r="K185" s="9"/>
      <c r="L185" s="9"/>
      <c r="M185" s="9"/>
      <c r="N185" s="42"/>
      <c r="O185" s="42"/>
      <c r="P185" s="9"/>
      <c r="Q185" s="9"/>
      <c r="R185" s="9"/>
      <c r="S185" s="9"/>
      <c r="T185" s="38"/>
      <c r="U185" s="38"/>
      <c r="V185" s="38"/>
      <c r="W185" s="38"/>
      <c r="X185" s="38"/>
      <c r="Y185" s="9"/>
      <c r="Z185" s="39"/>
      <c r="AA185" s="9"/>
      <c r="AB185" s="9"/>
      <c r="AC185" s="9"/>
      <c r="AD185" s="9"/>
      <c r="AE185" s="9"/>
      <c r="AF185" s="9"/>
      <c r="AG185" s="9"/>
      <c r="AH185" s="38"/>
      <c r="AI185" s="9"/>
      <c r="AJ185" s="39"/>
      <c r="AK185" s="9"/>
      <c r="AL185" s="9"/>
      <c r="AM185" s="9"/>
      <c r="AN185" s="9"/>
      <c r="AO185" s="9"/>
      <c r="AP185" s="9"/>
      <c r="AQ185" s="9"/>
      <c r="AR185" s="10" t="str">
        <f aca="false">IF(A185="","",SG_Criteria!$B$6&amp;SG_Criteria!$B$9&amp;"\"&amp;A185&amp;"\")</f>
        <v/>
      </c>
      <c r="AS185" s="10" t="str">
        <f aca="false">IF(A185="","",A185&amp;"_CAD.dwg")</f>
        <v/>
      </c>
      <c r="AT185" s="10" t="str">
        <f aca="false">IF(A185="","",A185&amp;"_DWG.pdf")</f>
        <v/>
      </c>
      <c r="AU185" s="10" t="str">
        <f aca="false">IF(A185="","",IF(AQ185="Y",A185&amp;"_STAAD.std","n/a"))</f>
        <v/>
      </c>
      <c r="AV185" s="10" t="str">
        <f aca="false">IF(A185="","",A185&amp;"_CALC.xlsx")</f>
        <v/>
      </c>
      <c r="AW185" s="10" t="str">
        <f aca="false">IF(A185="","",A185&amp;"_CALC.pdf")</f>
        <v/>
      </c>
      <c r="AX185" s="9"/>
      <c r="AY185" s="9"/>
      <c r="AZ185" s="39"/>
      <c r="BA185" s="39"/>
      <c r="BB185" s="39"/>
      <c r="BC185" s="39"/>
      <c r="BD185" s="39"/>
      <c r="BE185" s="12" t="str">
        <f aca="false">IF(A185="","",IF(COUNTIF(Rebar_Schedule!$A$5:$A$2004,A185)=0,"",ROUND(SUMIF(Rebar_Schedule!$A$5:$A$2004,A185,Rebar_Schedule!$K$5:$K$2004),1)))</f>
        <v/>
      </c>
      <c r="BF185" s="33" t="str">
        <f aca="false">IF(A185="","",IF(BE185="","No rebar schedule yet",IF(ABS(BE185-N(BA185))/MAX(N(BA185),1)&gt;SG_Criteria!$B$55,"NOTE: register rebar differs from schedule by "&amp;TEXT(ABS(BE185-N(BA185))/MAX(N(BA185),1),"0%"),"OK")))</f>
        <v/>
      </c>
      <c r="BG185" s="33" t="str">
        <f aca="false">IF(OR(D185="",F185=""),"",IF(F185&lt;=IF(D185="Soldier Pile &amp; Timber Lagging",SG_Criteria!$B$34,SG_Criteria!$B$33),"No ERSS submission",IF(F185&lt;=SG_Criteria!$B$35,"QP(ST)",IF(F185&lt;=SG_Criteria!$B$36,"QP(ST) + AC","Geotechnical building works: QP(Geo) + AC"))))</f>
        <v/>
      </c>
      <c r="BH185" s="33" t="str">
        <f aca="false">IF(D185="","",IF(LEN(IF(AND(AC185&lt;&gt;"",IFERROR(VALUE(MID(AC185,2,2)),0)&lt;SG_Criteria!$B$19),"FAIL: grade below C"&amp;SG_Criteria!$B$19&amp;". ","")&amp;IF(AND(LEFT(D185,3)="Con",N(I185)&lt;F185,H185="Kallang Formation (marine clay)"),"NOTE: CBP is not watertight below GWT in marine clay; consider secant / grouting. ","")&amp;IF(AND(D185="Steel Sheet Pile",E185="Permanent"),"NOTE: permanent sheet pile needs corrosion allowance. ","")&amp;IF(AND(G185="Cantilever (no support)",F185&gt;6),"NOTE: cantilever embedded wall &gt; 6 m, check deflection. ","")&amp;IF(AND(T185&lt;&gt;"",U185&lt;&gt;"",T185&gt;U185),"FAIL: deflection exceeds allowable. ",""))=0,"OK",IF(AND(AC185&lt;&gt;"",IFERROR(VALUE(MID(AC185,2,2)),0)&lt;SG_Criteria!$B$19),"FAIL: grade below C"&amp;SG_Criteria!$B$19&amp;". ","")&amp;IF(AND(LEFT(D185,3)="Con",N(I185)&lt;F185,H185="Kallang Formation (marine clay)"),"NOTE: CBP is not watertight below GWT in marine clay; consider secant / grouting. ","")&amp;IF(AND(D185="Steel Sheet Pile",E185="Permanent"),"NOTE: permanent sheet pile needs corrosion allowance. ","")&amp;IF(AND(G185="Cantilever (no support)",F185&gt;6),"NOTE: cantilever embedded wall &gt; 6 m, check deflection. ","")&amp;IF(AND(T185&lt;&gt;"",U185&lt;&gt;"",T185&gt;U185),"FAIL: deflection exceeds allowable. ","")))</f>
        <v/>
      </c>
      <c r="BI185" s="9"/>
      <c r="BJ185" s="9"/>
      <c r="BK185" s="9"/>
      <c r="BL185" s="10" t="str">
        <f aca="false">IF(BK185="","",IFERROR(VLOOKUP(BK185,Projects!$A$5:$D$504,2,0),"Ref not in Projects"))</f>
        <v/>
      </c>
      <c r="BM185" s="10" t="str">
        <f aca="false">IF(BK185="","",IFERROR(VLOOKUP(BK185,Projects!$A$5:$D$504,4,0),"Ref not in Projects"))</f>
        <v/>
      </c>
      <c r="BN185" s="9"/>
      <c r="BO185" s="9"/>
      <c r="BP185" s="9"/>
      <c r="BQ185" s="40"/>
      <c r="BR185" s="9"/>
      <c r="BS185" s="40"/>
      <c r="BT185" s="9"/>
      <c r="BU185" s="40"/>
      <c r="BV185" s="9"/>
      <c r="BW185" s="9"/>
      <c r="BX185" s="9"/>
      <c r="BY185" s="40"/>
      <c r="BZ185" s="40"/>
      <c r="CA185" s="36" t="str">
        <f aca="false">IF(BZ185="","",EDATE(BZ185,SG_Criteria!$B$54*12))</f>
        <v/>
      </c>
      <c r="CB185" s="33" t="str">
        <f aca="true">IF(A185="","",IF(BZ185="","NOTE: not reviewed yet",IF(TODAY()&gt;CA185,"NOTE: review overdue","OK")))</f>
        <v/>
      </c>
      <c r="CC185" s="37" t="str">
        <f aca="false">IF(A185="","",ROUND((IF(LEN(D185)&gt;0,1,0)+IF(LEN(E185)&gt;0,1,0)+IF(LEN(F185)&gt;0,1,0)+IF(LEN(G185)&gt;0,1,0)+IF(LEN(H185)&gt;0,1,0)+IF(LEN(I185)&gt;0,1,0)+IF(LEN(K185)&gt;0,1,0)+IF(LEN(N185)&gt;0,1,0)+IF(LEN(O185)&gt;0,1,0)+IF(LEN(T185)&gt;0,1,0)+IF(LEN(U185)&gt;0,1,0)+IF(LEN(V185)&gt;0,1,0)+IF(LEN(AK185)&gt;0,1,0)+IF(LEN(AM185)&gt;0,1,0)+IF(LEN(AN185)&gt;0,1,0)+IF(LEN(AO185)&gt;0,1,0)+IF(LEN(AP185)&gt;0,1,0)+IF(LEN(AY185)&gt;0,1,0)+IF(LEN(BK185)&gt;0,1,0)+IF(LEN(BX185)&gt;0,1,0))/20,2))</f>
        <v/>
      </c>
      <c r="CD185" s="10" t="str">
        <f aca="false">IF(D185="","",IF(AND(AN185="Approved",ISERROR(SEARCH("FAIL",BH185))),"Y","N"))</f>
        <v/>
      </c>
      <c r="CE185" s="10" t="str">
        <f aca="false">IF(D185="","",D185&amp;"|"&amp;F185&amp;"|"&amp;G185&amp;"|"&amp;H185&amp;"|"&amp;E185&amp;"|"&amp;CD185)</f>
        <v/>
      </c>
    </row>
    <row r="186" customFormat="false" ht="15" hidden="false" customHeight="false" outlineLevel="0" collapsed="false">
      <c r="A186" s="10" t="str">
        <f aca="false">IF(D186="","","EW-"&amp;IFERROR(VLOOKUP(D186,Lists!$P$4:$Q$22,2,0),"??")&amp;"-D"&amp;TEXT(F186*1000,"0000")&amp;"-"&amp;IFERROR(VLOOKUP(G186,Lists!$S$4:$T$21,2,0),"??")&amp;"-"&amp;IFERROR(VLOOKUP(H186,Lists!$Y$4:$Z$21,2,0),"??")&amp;"-"&amp;IFERROR(VLOOKUP(E186,Lists!$V$4:$W$16,2,0),"??")&amp;"-"&amp;AM186)</f>
        <v/>
      </c>
      <c r="B186" s="10" t="str">
        <f aca="false">IF(D186="","",E186&amp;" "&amp;D186&amp;", excavation "&amp;TEXT(F186,"0.0")&amp;" m, "&amp;G186&amp;", "&amp;H186&amp;", "&amp;K186)</f>
        <v/>
      </c>
      <c r="C186" s="9"/>
      <c r="D186" s="9"/>
      <c r="E186" s="9"/>
      <c r="F186" s="42"/>
      <c r="G186" s="9"/>
      <c r="H186" s="9"/>
      <c r="I186" s="42"/>
      <c r="J186" s="38"/>
      <c r="K186" s="9"/>
      <c r="L186" s="9"/>
      <c r="M186" s="9"/>
      <c r="N186" s="42"/>
      <c r="O186" s="42"/>
      <c r="P186" s="9"/>
      <c r="Q186" s="9"/>
      <c r="R186" s="9"/>
      <c r="S186" s="9"/>
      <c r="T186" s="38"/>
      <c r="U186" s="38"/>
      <c r="V186" s="38"/>
      <c r="W186" s="38"/>
      <c r="X186" s="38"/>
      <c r="Y186" s="9"/>
      <c r="Z186" s="39"/>
      <c r="AA186" s="9"/>
      <c r="AB186" s="9"/>
      <c r="AC186" s="9"/>
      <c r="AD186" s="9"/>
      <c r="AE186" s="9"/>
      <c r="AF186" s="9"/>
      <c r="AG186" s="9"/>
      <c r="AH186" s="38"/>
      <c r="AI186" s="9"/>
      <c r="AJ186" s="39"/>
      <c r="AK186" s="9"/>
      <c r="AL186" s="9"/>
      <c r="AM186" s="9"/>
      <c r="AN186" s="9"/>
      <c r="AO186" s="9"/>
      <c r="AP186" s="9"/>
      <c r="AQ186" s="9"/>
      <c r="AR186" s="10" t="str">
        <f aca="false">IF(A186="","",SG_Criteria!$B$6&amp;SG_Criteria!$B$9&amp;"\"&amp;A186&amp;"\")</f>
        <v/>
      </c>
      <c r="AS186" s="10" t="str">
        <f aca="false">IF(A186="","",A186&amp;"_CAD.dwg")</f>
        <v/>
      </c>
      <c r="AT186" s="10" t="str">
        <f aca="false">IF(A186="","",A186&amp;"_DWG.pdf")</f>
        <v/>
      </c>
      <c r="AU186" s="10" t="str">
        <f aca="false">IF(A186="","",IF(AQ186="Y",A186&amp;"_STAAD.std","n/a"))</f>
        <v/>
      </c>
      <c r="AV186" s="10" t="str">
        <f aca="false">IF(A186="","",A186&amp;"_CALC.xlsx")</f>
        <v/>
      </c>
      <c r="AW186" s="10" t="str">
        <f aca="false">IF(A186="","",A186&amp;"_CALC.pdf")</f>
        <v/>
      </c>
      <c r="AX186" s="9"/>
      <c r="AY186" s="9"/>
      <c r="AZ186" s="39"/>
      <c r="BA186" s="39"/>
      <c r="BB186" s="39"/>
      <c r="BC186" s="39"/>
      <c r="BD186" s="39"/>
      <c r="BE186" s="12" t="str">
        <f aca="false">IF(A186="","",IF(COUNTIF(Rebar_Schedule!$A$5:$A$2004,A186)=0,"",ROUND(SUMIF(Rebar_Schedule!$A$5:$A$2004,A186,Rebar_Schedule!$K$5:$K$2004),1)))</f>
        <v/>
      </c>
      <c r="BF186" s="33" t="str">
        <f aca="false">IF(A186="","",IF(BE186="","No rebar schedule yet",IF(ABS(BE186-N(BA186))/MAX(N(BA186),1)&gt;SG_Criteria!$B$55,"NOTE: register rebar differs from schedule by "&amp;TEXT(ABS(BE186-N(BA186))/MAX(N(BA186),1),"0%"),"OK")))</f>
        <v/>
      </c>
      <c r="BG186" s="33" t="str">
        <f aca="false">IF(OR(D186="",F186=""),"",IF(F186&lt;=IF(D186="Soldier Pile &amp; Timber Lagging",SG_Criteria!$B$34,SG_Criteria!$B$33),"No ERSS submission",IF(F186&lt;=SG_Criteria!$B$35,"QP(ST)",IF(F186&lt;=SG_Criteria!$B$36,"QP(ST) + AC","Geotechnical building works: QP(Geo) + AC"))))</f>
        <v/>
      </c>
      <c r="BH186" s="33" t="str">
        <f aca="false">IF(D186="","",IF(LEN(IF(AND(AC186&lt;&gt;"",IFERROR(VALUE(MID(AC186,2,2)),0)&lt;SG_Criteria!$B$19),"FAIL: grade below C"&amp;SG_Criteria!$B$19&amp;". ","")&amp;IF(AND(LEFT(D186,3)="Con",N(I186)&lt;F186,H186="Kallang Formation (marine clay)"),"NOTE: CBP is not watertight below GWT in marine clay; consider secant / grouting. ","")&amp;IF(AND(D186="Steel Sheet Pile",E186="Permanent"),"NOTE: permanent sheet pile needs corrosion allowance. ","")&amp;IF(AND(G186="Cantilever (no support)",F186&gt;6),"NOTE: cantilever embedded wall &gt; 6 m, check deflection. ","")&amp;IF(AND(T186&lt;&gt;"",U186&lt;&gt;"",T186&gt;U186),"FAIL: deflection exceeds allowable. ",""))=0,"OK",IF(AND(AC186&lt;&gt;"",IFERROR(VALUE(MID(AC186,2,2)),0)&lt;SG_Criteria!$B$19),"FAIL: grade below C"&amp;SG_Criteria!$B$19&amp;". ","")&amp;IF(AND(LEFT(D186,3)="Con",N(I186)&lt;F186,H186="Kallang Formation (marine clay)"),"NOTE: CBP is not watertight below GWT in marine clay; consider secant / grouting. ","")&amp;IF(AND(D186="Steel Sheet Pile",E186="Permanent"),"NOTE: permanent sheet pile needs corrosion allowance. ","")&amp;IF(AND(G186="Cantilever (no support)",F186&gt;6),"NOTE: cantilever embedded wall &gt; 6 m, check deflection. ","")&amp;IF(AND(T186&lt;&gt;"",U186&lt;&gt;"",T186&gt;U186),"FAIL: deflection exceeds allowable. ","")))</f>
        <v/>
      </c>
      <c r="BI186" s="9"/>
      <c r="BJ186" s="9"/>
      <c r="BK186" s="9"/>
      <c r="BL186" s="10" t="str">
        <f aca="false">IF(BK186="","",IFERROR(VLOOKUP(BK186,Projects!$A$5:$D$504,2,0),"Ref not in Projects"))</f>
        <v/>
      </c>
      <c r="BM186" s="10" t="str">
        <f aca="false">IF(BK186="","",IFERROR(VLOOKUP(BK186,Projects!$A$5:$D$504,4,0),"Ref not in Projects"))</f>
        <v/>
      </c>
      <c r="BN186" s="9"/>
      <c r="BO186" s="9"/>
      <c r="BP186" s="9"/>
      <c r="BQ186" s="40"/>
      <c r="BR186" s="9"/>
      <c r="BS186" s="40"/>
      <c r="BT186" s="9"/>
      <c r="BU186" s="40"/>
      <c r="BV186" s="9"/>
      <c r="BW186" s="9"/>
      <c r="BX186" s="9"/>
      <c r="BY186" s="40"/>
      <c r="BZ186" s="40"/>
      <c r="CA186" s="36" t="str">
        <f aca="false">IF(BZ186="","",EDATE(BZ186,SG_Criteria!$B$54*12))</f>
        <v/>
      </c>
      <c r="CB186" s="33" t="str">
        <f aca="true">IF(A186="","",IF(BZ186="","NOTE: not reviewed yet",IF(TODAY()&gt;CA186,"NOTE: review overdue","OK")))</f>
        <v/>
      </c>
      <c r="CC186" s="37" t="str">
        <f aca="false">IF(A186="","",ROUND((IF(LEN(D186)&gt;0,1,0)+IF(LEN(E186)&gt;0,1,0)+IF(LEN(F186)&gt;0,1,0)+IF(LEN(G186)&gt;0,1,0)+IF(LEN(H186)&gt;0,1,0)+IF(LEN(I186)&gt;0,1,0)+IF(LEN(K186)&gt;0,1,0)+IF(LEN(N186)&gt;0,1,0)+IF(LEN(O186)&gt;0,1,0)+IF(LEN(T186)&gt;0,1,0)+IF(LEN(U186)&gt;0,1,0)+IF(LEN(V186)&gt;0,1,0)+IF(LEN(AK186)&gt;0,1,0)+IF(LEN(AM186)&gt;0,1,0)+IF(LEN(AN186)&gt;0,1,0)+IF(LEN(AO186)&gt;0,1,0)+IF(LEN(AP186)&gt;0,1,0)+IF(LEN(AY186)&gt;0,1,0)+IF(LEN(BK186)&gt;0,1,0)+IF(LEN(BX186)&gt;0,1,0))/20,2))</f>
        <v/>
      </c>
      <c r="CD186" s="10" t="str">
        <f aca="false">IF(D186="","",IF(AND(AN186="Approved",ISERROR(SEARCH("FAIL",BH186))),"Y","N"))</f>
        <v/>
      </c>
      <c r="CE186" s="10" t="str">
        <f aca="false">IF(D186="","",D186&amp;"|"&amp;F186&amp;"|"&amp;G186&amp;"|"&amp;H186&amp;"|"&amp;E186&amp;"|"&amp;CD186)</f>
        <v/>
      </c>
    </row>
    <row r="187" customFormat="false" ht="15" hidden="false" customHeight="false" outlineLevel="0" collapsed="false">
      <c r="A187" s="10" t="str">
        <f aca="false">IF(D187="","","EW-"&amp;IFERROR(VLOOKUP(D187,Lists!$P$4:$Q$22,2,0),"??")&amp;"-D"&amp;TEXT(F187*1000,"0000")&amp;"-"&amp;IFERROR(VLOOKUP(G187,Lists!$S$4:$T$21,2,0),"??")&amp;"-"&amp;IFERROR(VLOOKUP(H187,Lists!$Y$4:$Z$21,2,0),"??")&amp;"-"&amp;IFERROR(VLOOKUP(E187,Lists!$V$4:$W$16,2,0),"??")&amp;"-"&amp;AM187)</f>
        <v/>
      </c>
      <c r="B187" s="10" t="str">
        <f aca="false">IF(D187="","",E187&amp;" "&amp;D187&amp;", excavation "&amp;TEXT(F187,"0.0")&amp;" m, "&amp;G187&amp;", "&amp;H187&amp;", "&amp;K187)</f>
        <v/>
      </c>
      <c r="C187" s="9"/>
      <c r="D187" s="9"/>
      <c r="E187" s="9"/>
      <c r="F187" s="42"/>
      <c r="G187" s="9"/>
      <c r="H187" s="9"/>
      <c r="I187" s="42"/>
      <c r="J187" s="38"/>
      <c r="K187" s="9"/>
      <c r="L187" s="9"/>
      <c r="M187" s="9"/>
      <c r="N187" s="42"/>
      <c r="O187" s="42"/>
      <c r="P187" s="9"/>
      <c r="Q187" s="9"/>
      <c r="R187" s="9"/>
      <c r="S187" s="9"/>
      <c r="T187" s="38"/>
      <c r="U187" s="38"/>
      <c r="V187" s="38"/>
      <c r="W187" s="38"/>
      <c r="X187" s="38"/>
      <c r="Y187" s="9"/>
      <c r="Z187" s="39"/>
      <c r="AA187" s="9"/>
      <c r="AB187" s="9"/>
      <c r="AC187" s="9"/>
      <c r="AD187" s="9"/>
      <c r="AE187" s="9"/>
      <c r="AF187" s="9"/>
      <c r="AG187" s="9"/>
      <c r="AH187" s="38"/>
      <c r="AI187" s="9"/>
      <c r="AJ187" s="39"/>
      <c r="AK187" s="9"/>
      <c r="AL187" s="9"/>
      <c r="AM187" s="9"/>
      <c r="AN187" s="9"/>
      <c r="AO187" s="9"/>
      <c r="AP187" s="9"/>
      <c r="AQ187" s="9"/>
      <c r="AR187" s="10" t="str">
        <f aca="false">IF(A187="","",SG_Criteria!$B$6&amp;SG_Criteria!$B$9&amp;"\"&amp;A187&amp;"\")</f>
        <v/>
      </c>
      <c r="AS187" s="10" t="str">
        <f aca="false">IF(A187="","",A187&amp;"_CAD.dwg")</f>
        <v/>
      </c>
      <c r="AT187" s="10" t="str">
        <f aca="false">IF(A187="","",A187&amp;"_DWG.pdf")</f>
        <v/>
      </c>
      <c r="AU187" s="10" t="str">
        <f aca="false">IF(A187="","",IF(AQ187="Y",A187&amp;"_STAAD.std","n/a"))</f>
        <v/>
      </c>
      <c r="AV187" s="10" t="str">
        <f aca="false">IF(A187="","",A187&amp;"_CALC.xlsx")</f>
        <v/>
      </c>
      <c r="AW187" s="10" t="str">
        <f aca="false">IF(A187="","",A187&amp;"_CALC.pdf")</f>
        <v/>
      </c>
      <c r="AX187" s="9"/>
      <c r="AY187" s="9"/>
      <c r="AZ187" s="39"/>
      <c r="BA187" s="39"/>
      <c r="BB187" s="39"/>
      <c r="BC187" s="39"/>
      <c r="BD187" s="39"/>
      <c r="BE187" s="12" t="str">
        <f aca="false">IF(A187="","",IF(COUNTIF(Rebar_Schedule!$A$5:$A$2004,A187)=0,"",ROUND(SUMIF(Rebar_Schedule!$A$5:$A$2004,A187,Rebar_Schedule!$K$5:$K$2004),1)))</f>
        <v/>
      </c>
      <c r="BF187" s="33" t="str">
        <f aca="false">IF(A187="","",IF(BE187="","No rebar schedule yet",IF(ABS(BE187-N(BA187))/MAX(N(BA187),1)&gt;SG_Criteria!$B$55,"NOTE: register rebar differs from schedule by "&amp;TEXT(ABS(BE187-N(BA187))/MAX(N(BA187),1),"0%"),"OK")))</f>
        <v/>
      </c>
      <c r="BG187" s="33" t="str">
        <f aca="false">IF(OR(D187="",F187=""),"",IF(F187&lt;=IF(D187="Soldier Pile &amp; Timber Lagging",SG_Criteria!$B$34,SG_Criteria!$B$33),"No ERSS submission",IF(F187&lt;=SG_Criteria!$B$35,"QP(ST)",IF(F187&lt;=SG_Criteria!$B$36,"QP(ST) + AC","Geotechnical building works: QP(Geo) + AC"))))</f>
        <v/>
      </c>
      <c r="BH187" s="33" t="str">
        <f aca="false">IF(D187="","",IF(LEN(IF(AND(AC187&lt;&gt;"",IFERROR(VALUE(MID(AC187,2,2)),0)&lt;SG_Criteria!$B$19),"FAIL: grade below C"&amp;SG_Criteria!$B$19&amp;". ","")&amp;IF(AND(LEFT(D187,3)="Con",N(I187)&lt;F187,H187="Kallang Formation (marine clay)"),"NOTE: CBP is not watertight below GWT in marine clay; consider secant / grouting. ","")&amp;IF(AND(D187="Steel Sheet Pile",E187="Permanent"),"NOTE: permanent sheet pile needs corrosion allowance. ","")&amp;IF(AND(G187="Cantilever (no support)",F187&gt;6),"NOTE: cantilever embedded wall &gt; 6 m, check deflection. ","")&amp;IF(AND(T187&lt;&gt;"",U187&lt;&gt;"",T187&gt;U187),"FAIL: deflection exceeds allowable. ",""))=0,"OK",IF(AND(AC187&lt;&gt;"",IFERROR(VALUE(MID(AC187,2,2)),0)&lt;SG_Criteria!$B$19),"FAIL: grade below C"&amp;SG_Criteria!$B$19&amp;". ","")&amp;IF(AND(LEFT(D187,3)="Con",N(I187)&lt;F187,H187="Kallang Formation (marine clay)"),"NOTE: CBP is not watertight below GWT in marine clay; consider secant / grouting. ","")&amp;IF(AND(D187="Steel Sheet Pile",E187="Permanent"),"NOTE: permanent sheet pile needs corrosion allowance. ","")&amp;IF(AND(G187="Cantilever (no support)",F187&gt;6),"NOTE: cantilever embedded wall &gt; 6 m, check deflection. ","")&amp;IF(AND(T187&lt;&gt;"",U187&lt;&gt;"",T187&gt;U187),"FAIL: deflection exceeds allowable. ","")))</f>
        <v/>
      </c>
      <c r="BI187" s="9"/>
      <c r="BJ187" s="9"/>
      <c r="BK187" s="9"/>
      <c r="BL187" s="10" t="str">
        <f aca="false">IF(BK187="","",IFERROR(VLOOKUP(BK187,Projects!$A$5:$D$504,2,0),"Ref not in Projects"))</f>
        <v/>
      </c>
      <c r="BM187" s="10" t="str">
        <f aca="false">IF(BK187="","",IFERROR(VLOOKUP(BK187,Projects!$A$5:$D$504,4,0),"Ref not in Projects"))</f>
        <v/>
      </c>
      <c r="BN187" s="9"/>
      <c r="BO187" s="9"/>
      <c r="BP187" s="9"/>
      <c r="BQ187" s="40"/>
      <c r="BR187" s="9"/>
      <c r="BS187" s="40"/>
      <c r="BT187" s="9"/>
      <c r="BU187" s="40"/>
      <c r="BV187" s="9"/>
      <c r="BW187" s="9"/>
      <c r="BX187" s="9"/>
      <c r="BY187" s="40"/>
      <c r="BZ187" s="40"/>
      <c r="CA187" s="36" t="str">
        <f aca="false">IF(BZ187="","",EDATE(BZ187,SG_Criteria!$B$54*12))</f>
        <v/>
      </c>
      <c r="CB187" s="33" t="str">
        <f aca="true">IF(A187="","",IF(BZ187="","NOTE: not reviewed yet",IF(TODAY()&gt;CA187,"NOTE: review overdue","OK")))</f>
        <v/>
      </c>
      <c r="CC187" s="37" t="str">
        <f aca="false">IF(A187="","",ROUND((IF(LEN(D187)&gt;0,1,0)+IF(LEN(E187)&gt;0,1,0)+IF(LEN(F187)&gt;0,1,0)+IF(LEN(G187)&gt;0,1,0)+IF(LEN(H187)&gt;0,1,0)+IF(LEN(I187)&gt;0,1,0)+IF(LEN(K187)&gt;0,1,0)+IF(LEN(N187)&gt;0,1,0)+IF(LEN(O187)&gt;0,1,0)+IF(LEN(T187)&gt;0,1,0)+IF(LEN(U187)&gt;0,1,0)+IF(LEN(V187)&gt;0,1,0)+IF(LEN(AK187)&gt;0,1,0)+IF(LEN(AM187)&gt;0,1,0)+IF(LEN(AN187)&gt;0,1,0)+IF(LEN(AO187)&gt;0,1,0)+IF(LEN(AP187)&gt;0,1,0)+IF(LEN(AY187)&gt;0,1,0)+IF(LEN(BK187)&gt;0,1,0)+IF(LEN(BX187)&gt;0,1,0))/20,2))</f>
        <v/>
      </c>
      <c r="CD187" s="10" t="str">
        <f aca="false">IF(D187="","",IF(AND(AN187="Approved",ISERROR(SEARCH("FAIL",BH187))),"Y","N"))</f>
        <v/>
      </c>
      <c r="CE187" s="10" t="str">
        <f aca="false">IF(D187="","",D187&amp;"|"&amp;F187&amp;"|"&amp;G187&amp;"|"&amp;H187&amp;"|"&amp;E187&amp;"|"&amp;CD187)</f>
        <v/>
      </c>
    </row>
    <row r="188" customFormat="false" ht="15" hidden="false" customHeight="false" outlineLevel="0" collapsed="false">
      <c r="A188" s="10" t="str">
        <f aca="false">IF(D188="","","EW-"&amp;IFERROR(VLOOKUP(D188,Lists!$P$4:$Q$22,2,0),"??")&amp;"-D"&amp;TEXT(F188*1000,"0000")&amp;"-"&amp;IFERROR(VLOOKUP(G188,Lists!$S$4:$T$21,2,0),"??")&amp;"-"&amp;IFERROR(VLOOKUP(H188,Lists!$Y$4:$Z$21,2,0),"??")&amp;"-"&amp;IFERROR(VLOOKUP(E188,Lists!$V$4:$W$16,2,0),"??")&amp;"-"&amp;AM188)</f>
        <v/>
      </c>
      <c r="B188" s="10" t="str">
        <f aca="false">IF(D188="","",E188&amp;" "&amp;D188&amp;", excavation "&amp;TEXT(F188,"0.0")&amp;" m, "&amp;G188&amp;", "&amp;H188&amp;", "&amp;K188)</f>
        <v/>
      </c>
      <c r="C188" s="9"/>
      <c r="D188" s="9"/>
      <c r="E188" s="9"/>
      <c r="F188" s="42"/>
      <c r="G188" s="9"/>
      <c r="H188" s="9"/>
      <c r="I188" s="42"/>
      <c r="J188" s="38"/>
      <c r="K188" s="9"/>
      <c r="L188" s="9"/>
      <c r="M188" s="9"/>
      <c r="N188" s="42"/>
      <c r="O188" s="42"/>
      <c r="P188" s="9"/>
      <c r="Q188" s="9"/>
      <c r="R188" s="9"/>
      <c r="S188" s="9"/>
      <c r="T188" s="38"/>
      <c r="U188" s="38"/>
      <c r="V188" s="38"/>
      <c r="W188" s="38"/>
      <c r="X188" s="38"/>
      <c r="Y188" s="9"/>
      <c r="Z188" s="39"/>
      <c r="AA188" s="9"/>
      <c r="AB188" s="9"/>
      <c r="AC188" s="9"/>
      <c r="AD188" s="9"/>
      <c r="AE188" s="9"/>
      <c r="AF188" s="9"/>
      <c r="AG188" s="9"/>
      <c r="AH188" s="38"/>
      <c r="AI188" s="9"/>
      <c r="AJ188" s="39"/>
      <c r="AK188" s="9"/>
      <c r="AL188" s="9"/>
      <c r="AM188" s="9"/>
      <c r="AN188" s="9"/>
      <c r="AO188" s="9"/>
      <c r="AP188" s="9"/>
      <c r="AQ188" s="9"/>
      <c r="AR188" s="10" t="str">
        <f aca="false">IF(A188="","",SG_Criteria!$B$6&amp;SG_Criteria!$B$9&amp;"\"&amp;A188&amp;"\")</f>
        <v/>
      </c>
      <c r="AS188" s="10" t="str">
        <f aca="false">IF(A188="","",A188&amp;"_CAD.dwg")</f>
        <v/>
      </c>
      <c r="AT188" s="10" t="str">
        <f aca="false">IF(A188="","",A188&amp;"_DWG.pdf")</f>
        <v/>
      </c>
      <c r="AU188" s="10" t="str">
        <f aca="false">IF(A188="","",IF(AQ188="Y",A188&amp;"_STAAD.std","n/a"))</f>
        <v/>
      </c>
      <c r="AV188" s="10" t="str">
        <f aca="false">IF(A188="","",A188&amp;"_CALC.xlsx")</f>
        <v/>
      </c>
      <c r="AW188" s="10" t="str">
        <f aca="false">IF(A188="","",A188&amp;"_CALC.pdf")</f>
        <v/>
      </c>
      <c r="AX188" s="9"/>
      <c r="AY188" s="9"/>
      <c r="AZ188" s="39"/>
      <c r="BA188" s="39"/>
      <c r="BB188" s="39"/>
      <c r="BC188" s="39"/>
      <c r="BD188" s="39"/>
      <c r="BE188" s="12" t="str">
        <f aca="false">IF(A188="","",IF(COUNTIF(Rebar_Schedule!$A$5:$A$2004,A188)=0,"",ROUND(SUMIF(Rebar_Schedule!$A$5:$A$2004,A188,Rebar_Schedule!$K$5:$K$2004),1)))</f>
        <v/>
      </c>
      <c r="BF188" s="33" t="str">
        <f aca="false">IF(A188="","",IF(BE188="","No rebar schedule yet",IF(ABS(BE188-N(BA188))/MAX(N(BA188),1)&gt;SG_Criteria!$B$55,"NOTE: register rebar differs from schedule by "&amp;TEXT(ABS(BE188-N(BA188))/MAX(N(BA188),1),"0%"),"OK")))</f>
        <v/>
      </c>
      <c r="BG188" s="33" t="str">
        <f aca="false">IF(OR(D188="",F188=""),"",IF(F188&lt;=IF(D188="Soldier Pile &amp; Timber Lagging",SG_Criteria!$B$34,SG_Criteria!$B$33),"No ERSS submission",IF(F188&lt;=SG_Criteria!$B$35,"QP(ST)",IF(F188&lt;=SG_Criteria!$B$36,"QP(ST) + AC","Geotechnical building works: QP(Geo) + AC"))))</f>
        <v/>
      </c>
      <c r="BH188" s="33" t="str">
        <f aca="false">IF(D188="","",IF(LEN(IF(AND(AC188&lt;&gt;"",IFERROR(VALUE(MID(AC188,2,2)),0)&lt;SG_Criteria!$B$19),"FAIL: grade below C"&amp;SG_Criteria!$B$19&amp;". ","")&amp;IF(AND(LEFT(D188,3)="Con",N(I188)&lt;F188,H188="Kallang Formation (marine clay)"),"NOTE: CBP is not watertight below GWT in marine clay; consider secant / grouting. ","")&amp;IF(AND(D188="Steel Sheet Pile",E188="Permanent"),"NOTE: permanent sheet pile needs corrosion allowance. ","")&amp;IF(AND(G188="Cantilever (no support)",F188&gt;6),"NOTE: cantilever embedded wall &gt; 6 m, check deflection. ","")&amp;IF(AND(T188&lt;&gt;"",U188&lt;&gt;"",T188&gt;U188),"FAIL: deflection exceeds allowable. ",""))=0,"OK",IF(AND(AC188&lt;&gt;"",IFERROR(VALUE(MID(AC188,2,2)),0)&lt;SG_Criteria!$B$19),"FAIL: grade below C"&amp;SG_Criteria!$B$19&amp;". ","")&amp;IF(AND(LEFT(D188,3)="Con",N(I188)&lt;F188,H188="Kallang Formation (marine clay)"),"NOTE: CBP is not watertight below GWT in marine clay; consider secant / grouting. ","")&amp;IF(AND(D188="Steel Sheet Pile",E188="Permanent"),"NOTE: permanent sheet pile needs corrosion allowance. ","")&amp;IF(AND(G188="Cantilever (no support)",F188&gt;6),"NOTE: cantilever embedded wall &gt; 6 m, check deflection. ","")&amp;IF(AND(T188&lt;&gt;"",U188&lt;&gt;"",T188&gt;U188),"FAIL: deflection exceeds allowable. ","")))</f>
        <v/>
      </c>
      <c r="BI188" s="9"/>
      <c r="BJ188" s="9"/>
      <c r="BK188" s="9"/>
      <c r="BL188" s="10" t="str">
        <f aca="false">IF(BK188="","",IFERROR(VLOOKUP(BK188,Projects!$A$5:$D$504,2,0),"Ref not in Projects"))</f>
        <v/>
      </c>
      <c r="BM188" s="10" t="str">
        <f aca="false">IF(BK188="","",IFERROR(VLOOKUP(BK188,Projects!$A$5:$D$504,4,0),"Ref not in Projects"))</f>
        <v/>
      </c>
      <c r="BN188" s="9"/>
      <c r="BO188" s="9"/>
      <c r="BP188" s="9"/>
      <c r="BQ188" s="40"/>
      <c r="BR188" s="9"/>
      <c r="BS188" s="40"/>
      <c r="BT188" s="9"/>
      <c r="BU188" s="40"/>
      <c r="BV188" s="9"/>
      <c r="BW188" s="9"/>
      <c r="BX188" s="9"/>
      <c r="BY188" s="40"/>
      <c r="BZ188" s="40"/>
      <c r="CA188" s="36" t="str">
        <f aca="false">IF(BZ188="","",EDATE(BZ188,SG_Criteria!$B$54*12))</f>
        <v/>
      </c>
      <c r="CB188" s="33" t="str">
        <f aca="true">IF(A188="","",IF(BZ188="","NOTE: not reviewed yet",IF(TODAY()&gt;CA188,"NOTE: review overdue","OK")))</f>
        <v/>
      </c>
      <c r="CC188" s="37" t="str">
        <f aca="false">IF(A188="","",ROUND((IF(LEN(D188)&gt;0,1,0)+IF(LEN(E188)&gt;0,1,0)+IF(LEN(F188)&gt;0,1,0)+IF(LEN(G188)&gt;0,1,0)+IF(LEN(H188)&gt;0,1,0)+IF(LEN(I188)&gt;0,1,0)+IF(LEN(K188)&gt;0,1,0)+IF(LEN(N188)&gt;0,1,0)+IF(LEN(O188)&gt;0,1,0)+IF(LEN(T188)&gt;0,1,0)+IF(LEN(U188)&gt;0,1,0)+IF(LEN(V188)&gt;0,1,0)+IF(LEN(AK188)&gt;0,1,0)+IF(LEN(AM188)&gt;0,1,0)+IF(LEN(AN188)&gt;0,1,0)+IF(LEN(AO188)&gt;0,1,0)+IF(LEN(AP188)&gt;0,1,0)+IF(LEN(AY188)&gt;0,1,0)+IF(LEN(BK188)&gt;0,1,0)+IF(LEN(BX188)&gt;0,1,0))/20,2))</f>
        <v/>
      </c>
      <c r="CD188" s="10" t="str">
        <f aca="false">IF(D188="","",IF(AND(AN188="Approved",ISERROR(SEARCH("FAIL",BH188))),"Y","N"))</f>
        <v/>
      </c>
      <c r="CE188" s="10" t="str">
        <f aca="false">IF(D188="","",D188&amp;"|"&amp;F188&amp;"|"&amp;G188&amp;"|"&amp;H188&amp;"|"&amp;E188&amp;"|"&amp;CD188)</f>
        <v/>
      </c>
    </row>
    <row r="189" customFormat="false" ht="15" hidden="false" customHeight="false" outlineLevel="0" collapsed="false">
      <c r="A189" s="10" t="str">
        <f aca="false">IF(D189="","","EW-"&amp;IFERROR(VLOOKUP(D189,Lists!$P$4:$Q$22,2,0),"??")&amp;"-D"&amp;TEXT(F189*1000,"0000")&amp;"-"&amp;IFERROR(VLOOKUP(G189,Lists!$S$4:$T$21,2,0),"??")&amp;"-"&amp;IFERROR(VLOOKUP(H189,Lists!$Y$4:$Z$21,2,0),"??")&amp;"-"&amp;IFERROR(VLOOKUP(E189,Lists!$V$4:$W$16,2,0),"??")&amp;"-"&amp;AM189)</f>
        <v/>
      </c>
      <c r="B189" s="10" t="str">
        <f aca="false">IF(D189="","",E189&amp;" "&amp;D189&amp;", excavation "&amp;TEXT(F189,"0.0")&amp;" m, "&amp;G189&amp;", "&amp;H189&amp;", "&amp;K189)</f>
        <v/>
      </c>
      <c r="C189" s="9"/>
      <c r="D189" s="9"/>
      <c r="E189" s="9"/>
      <c r="F189" s="42"/>
      <c r="G189" s="9"/>
      <c r="H189" s="9"/>
      <c r="I189" s="42"/>
      <c r="J189" s="38"/>
      <c r="K189" s="9"/>
      <c r="L189" s="9"/>
      <c r="M189" s="9"/>
      <c r="N189" s="42"/>
      <c r="O189" s="42"/>
      <c r="P189" s="9"/>
      <c r="Q189" s="9"/>
      <c r="R189" s="9"/>
      <c r="S189" s="9"/>
      <c r="T189" s="38"/>
      <c r="U189" s="38"/>
      <c r="V189" s="38"/>
      <c r="W189" s="38"/>
      <c r="X189" s="38"/>
      <c r="Y189" s="9"/>
      <c r="Z189" s="39"/>
      <c r="AA189" s="9"/>
      <c r="AB189" s="9"/>
      <c r="AC189" s="9"/>
      <c r="AD189" s="9"/>
      <c r="AE189" s="9"/>
      <c r="AF189" s="9"/>
      <c r="AG189" s="9"/>
      <c r="AH189" s="38"/>
      <c r="AI189" s="9"/>
      <c r="AJ189" s="39"/>
      <c r="AK189" s="9"/>
      <c r="AL189" s="9"/>
      <c r="AM189" s="9"/>
      <c r="AN189" s="9"/>
      <c r="AO189" s="9"/>
      <c r="AP189" s="9"/>
      <c r="AQ189" s="9"/>
      <c r="AR189" s="10" t="str">
        <f aca="false">IF(A189="","",SG_Criteria!$B$6&amp;SG_Criteria!$B$9&amp;"\"&amp;A189&amp;"\")</f>
        <v/>
      </c>
      <c r="AS189" s="10" t="str">
        <f aca="false">IF(A189="","",A189&amp;"_CAD.dwg")</f>
        <v/>
      </c>
      <c r="AT189" s="10" t="str">
        <f aca="false">IF(A189="","",A189&amp;"_DWG.pdf")</f>
        <v/>
      </c>
      <c r="AU189" s="10" t="str">
        <f aca="false">IF(A189="","",IF(AQ189="Y",A189&amp;"_STAAD.std","n/a"))</f>
        <v/>
      </c>
      <c r="AV189" s="10" t="str">
        <f aca="false">IF(A189="","",A189&amp;"_CALC.xlsx")</f>
        <v/>
      </c>
      <c r="AW189" s="10" t="str">
        <f aca="false">IF(A189="","",A189&amp;"_CALC.pdf")</f>
        <v/>
      </c>
      <c r="AX189" s="9"/>
      <c r="AY189" s="9"/>
      <c r="AZ189" s="39"/>
      <c r="BA189" s="39"/>
      <c r="BB189" s="39"/>
      <c r="BC189" s="39"/>
      <c r="BD189" s="39"/>
      <c r="BE189" s="12" t="str">
        <f aca="false">IF(A189="","",IF(COUNTIF(Rebar_Schedule!$A$5:$A$2004,A189)=0,"",ROUND(SUMIF(Rebar_Schedule!$A$5:$A$2004,A189,Rebar_Schedule!$K$5:$K$2004),1)))</f>
        <v/>
      </c>
      <c r="BF189" s="33" t="str">
        <f aca="false">IF(A189="","",IF(BE189="","No rebar schedule yet",IF(ABS(BE189-N(BA189))/MAX(N(BA189),1)&gt;SG_Criteria!$B$55,"NOTE: register rebar differs from schedule by "&amp;TEXT(ABS(BE189-N(BA189))/MAX(N(BA189),1),"0%"),"OK")))</f>
        <v/>
      </c>
      <c r="BG189" s="33" t="str">
        <f aca="false">IF(OR(D189="",F189=""),"",IF(F189&lt;=IF(D189="Soldier Pile &amp; Timber Lagging",SG_Criteria!$B$34,SG_Criteria!$B$33),"No ERSS submission",IF(F189&lt;=SG_Criteria!$B$35,"QP(ST)",IF(F189&lt;=SG_Criteria!$B$36,"QP(ST) + AC","Geotechnical building works: QP(Geo) + AC"))))</f>
        <v/>
      </c>
      <c r="BH189" s="33" t="str">
        <f aca="false">IF(D189="","",IF(LEN(IF(AND(AC189&lt;&gt;"",IFERROR(VALUE(MID(AC189,2,2)),0)&lt;SG_Criteria!$B$19),"FAIL: grade below C"&amp;SG_Criteria!$B$19&amp;". ","")&amp;IF(AND(LEFT(D189,3)="Con",N(I189)&lt;F189,H189="Kallang Formation (marine clay)"),"NOTE: CBP is not watertight below GWT in marine clay; consider secant / grouting. ","")&amp;IF(AND(D189="Steel Sheet Pile",E189="Permanent"),"NOTE: permanent sheet pile needs corrosion allowance. ","")&amp;IF(AND(G189="Cantilever (no support)",F189&gt;6),"NOTE: cantilever embedded wall &gt; 6 m, check deflection. ","")&amp;IF(AND(T189&lt;&gt;"",U189&lt;&gt;"",T189&gt;U189),"FAIL: deflection exceeds allowable. ",""))=0,"OK",IF(AND(AC189&lt;&gt;"",IFERROR(VALUE(MID(AC189,2,2)),0)&lt;SG_Criteria!$B$19),"FAIL: grade below C"&amp;SG_Criteria!$B$19&amp;". ","")&amp;IF(AND(LEFT(D189,3)="Con",N(I189)&lt;F189,H189="Kallang Formation (marine clay)"),"NOTE: CBP is not watertight below GWT in marine clay; consider secant / grouting. ","")&amp;IF(AND(D189="Steel Sheet Pile",E189="Permanent"),"NOTE: permanent sheet pile needs corrosion allowance. ","")&amp;IF(AND(G189="Cantilever (no support)",F189&gt;6),"NOTE: cantilever embedded wall &gt; 6 m, check deflection. ","")&amp;IF(AND(T189&lt;&gt;"",U189&lt;&gt;"",T189&gt;U189),"FAIL: deflection exceeds allowable. ","")))</f>
        <v/>
      </c>
      <c r="BI189" s="9"/>
      <c r="BJ189" s="9"/>
      <c r="BK189" s="9"/>
      <c r="BL189" s="10" t="str">
        <f aca="false">IF(BK189="","",IFERROR(VLOOKUP(BK189,Projects!$A$5:$D$504,2,0),"Ref not in Projects"))</f>
        <v/>
      </c>
      <c r="BM189" s="10" t="str">
        <f aca="false">IF(BK189="","",IFERROR(VLOOKUP(BK189,Projects!$A$5:$D$504,4,0),"Ref not in Projects"))</f>
        <v/>
      </c>
      <c r="BN189" s="9"/>
      <c r="BO189" s="9"/>
      <c r="BP189" s="9"/>
      <c r="BQ189" s="40"/>
      <c r="BR189" s="9"/>
      <c r="BS189" s="40"/>
      <c r="BT189" s="9"/>
      <c r="BU189" s="40"/>
      <c r="BV189" s="9"/>
      <c r="BW189" s="9"/>
      <c r="BX189" s="9"/>
      <c r="BY189" s="40"/>
      <c r="BZ189" s="40"/>
      <c r="CA189" s="36" t="str">
        <f aca="false">IF(BZ189="","",EDATE(BZ189,SG_Criteria!$B$54*12))</f>
        <v/>
      </c>
      <c r="CB189" s="33" t="str">
        <f aca="true">IF(A189="","",IF(BZ189="","NOTE: not reviewed yet",IF(TODAY()&gt;CA189,"NOTE: review overdue","OK")))</f>
        <v/>
      </c>
      <c r="CC189" s="37" t="str">
        <f aca="false">IF(A189="","",ROUND((IF(LEN(D189)&gt;0,1,0)+IF(LEN(E189)&gt;0,1,0)+IF(LEN(F189)&gt;0,1,0)+IF(LEN(G189)&gt;0,1,0)+IF(LEN(H189)&gt;0,1,0)+IF(LEN(I189)&gt;0,1,0)+IF(LEN(K189)&gt;0,1,0)+IF(LEN(N189)&gt;0,1,0)+IF(LEN(O189)&gt;0,1,0)+IF(LEN(T189)&gt;0,1,0)+IF(LEN(U189)&gt;0,1,0)+IF(LEN(V189)&gt;0,1,0)+IF(LEN(AK189)&gt;0,1,0)+IF(LEN(AM189)&gt;0,1,0)+IF(LEN(AN189)&gt;0,1,0)+IF(LEN(AO189)&gt;0,1,0)+IF(LEN(AP189)&gt;0,1,0)+IF(LEN(AY189)&gt;0,1,0)+IF(LEN(BK189)&gt;0,1,0)+IF(LEN(BX189)&gt;0,1,0))/20,2))</f>
        <v/>
      </c>
      <c r="CD189" s="10" t="str">
        <f aca="false">IF(D189="","",IF(AND(AN189="Approved",ISERROR(SEARCH("FAIL",BH189))),"Y","N"))</f>
        <v/>
      </c>
      <c r="CE189" s="10" t="str">
        <f aca="false">IF(D189="","",D189&amp;"|"&amp;F189&amp;"|"&amp;G189&amp;"|"&amp;H189&amp;"|"&amp;E189&amp;"|"&amp;CD189)</f>
        <v/>
      </c>
    </row>
    <row r="190" customFormat="false" ht="15" hidden="false" customHeight="false" outlineLevel="0" collapsed="false">
      <c r="A190" s="10" t="str">
        <f aca="false">IF(D190="","","EW-"&amp;IFERROR(VLOOKUP(D190,Lists!$P$4:$Q$22,2,0),"??")&amp;"-D"&amp;TEXT(F190*1000,"0000")&amp;"-"&amp;IFERROR(VLOOKUP(G190,Lists!$S$4:$T$21,2,0),"??")&amp;"-"&amp;IFERROR(VLOOKUP(H190,Lists!$Y$4:$Z$21,2,0),"??")&amp;"-"&amp;IFERROR(VLOOKUP(E190,Lists!$V$4:$W$16,2,0),"??")&amp;"-"&amp;AM190)</f>
        <v/>
      </c>
      <c r="B190" s="10" t="str">
        <f aca="false">IF(D190="","",E190&amp;" "&amp;D190&amp;", excavation "&amp;TEXT(F190,"0.0")&amp;" m, "&amp;G190&amp;", "&amp;H190&amp;", "&amp;K190)</f>
        <v/>
      </c>
      <c r="C190" s="9"/>
      <c r="D190" s="9"/>
      <c r="E190" s="9"/>
      <c r="F190" s="42"/>
      <c r="G190" s="9"/>
      <c r="H190" s="9"/>
      <c r="I190" s="42"/>
      <c r="J190" s="38"/>
      <c r="K190" s="9"/>
      <c r="L190" s="9"/>
      <c r="M190" s="9"/>
      <c r="N190" s="42"/>
      <c r="O190" s="42"/>
      <c r="P190" s="9"/>
      <c r="Q190" s="9"/>
      <c r="R190" s="9"/>
      <c r="S190" s="9"/>
      <c r="T190" s="38"/>
      <c r="U190" s="38"/>
      <c r="V190" s="38"/>
      <c r="W190" s="38"/>
      <c r="X190" s="38"/>
      <c r="Y190" s="9"/>
      <c r="Z190" s="39"/>
      <c r="AA190" s="9"/>
      <c r="AB190" s="9"/>
      <c r="AC190" s="9"/>
      <c r="AD190" s="9"/>
      <c r="AE190" s="9"/>
      <c r="AF190" s="9"/>
      <c r="AG190" s="9"/>
      <c r="AH190" s="38"/>
      <c r="AI190" s="9"/>
      <c r="AJ190" s="39"/>
      <c r="AK190" s="9"/>
      <c r="AL190" s="9"/>
      <c r="AM190" s="9"/>
      <c r="AN190" s="9"/>
      <c r="AO190" s="9"/>
      <c r="AP190" s="9"/>
      <c r="AQ190" s="9"/>
      <c r="AR190" s="10" t="str">
        <f aca="false">IF(A190="","",SG_Criteria!$B$6&amp;SG_Criteria!$B$9&amp;"\"&amp;A190&amp;"\")</f>
        <v/>
      </c>
      <c r="AS190" s="10" t="str">
        <f aca="false">IF(A190="","",A190&amp;"_CAD.dwg")</f>
        <v/>
      </c>
      <c r="AT190" s="10" t="str">
        <f aca="false">IF(A190="","",A190&amp;"_DWG.pdf")</f>
        <v/>
      </c>
      <c r="AU190" s="10" t="str">
        <f aca="false">IF(A190="","",IF(AQ190="Y",A190&amp;"_STAAD.std","n/a"))</f>
        <v/>
      </c>
      <c r="AV190" s="10" t="str">
        <f aca="false">IF(A190="","",A190&amp;"_CALC.xlsx")</f>
        <v/>
      </c>
      <c r="AW190" s="10" t="str">
        <f aca="false">IF(A190="","",A190&amp;"_CALC.pdf")</f>
        <v/>
      </c>
      <c r="AX190" s="9"/>
      <c r="AY190" s="9"/>
      <c r="AZ190" s="39"/>
      <c r="BA190" s="39"/>
      <c r="BB190" s="39"/>
      <c r="BC190" s="39"/>
      <c r="BD190" s="39"/>
      <c r="BE190" s="12" t="str">
        <f aca="false">IF(A190="","",IF(COUNTIF(Rebar_Schedule!$A$5:$A$2004,A190)=0,"",ROUND(SUMIF(Rebar_Schedule!$A$5:$A$2004,A190,Rebar_Schedule!$K$5:$K$2004),1)))</f>
        <v/>
      </c>
      <c r="BF190" s="33" t="str">
        <f aca="false">IF(A190="","",IF(BE190="","No rebar schedule yet",IF(ABS(BE190-N(BA190))/MAX(N(BA190),1)&gt;SG_Criteria!$B$55,"NOTE: register rebar differs from schedule by "&amp;TEXT(ABS(BE190-N(BA190))/MAX(N(BA190),1),"0%"),"OK")))</f>
        <v/>
      </c>
      <c r="BG190" s="33" t="str">
        <f aca="false">IF(OR(D190="",F190=""),"",IF(F190&lt;=IF(D190="Soldier Pile &amp; Timber Lagging",SG_Criteria!$B$34,SG_Criteria!$B$33),"No ERSS submission",IF(F190&lt;=SG_Criteria!$B$35,"QP(ST)",IF(F190&lt;=SG_Criteria!$B$36,"QP(ST) + AC","Geotechnical building works: QP(Geo) + AC"))))</f>
        <v/>
      </c>
      <c r="BH190" s="33" t="str">
        <f aca="false">IF(D190="","",IF(LEN(IF(AND(AC190&lt;&gt;"",IFERROR(VALUE(MID(AC190,2,2)),0)&lt;SG_Criteria!$B$19),"FAIL: grade below C"&amp;SG_Criteria!$B$19&amp;". ","")&amp;IF(AND(LEFT(D190,3)="Con",N(I190)&lt;F190,H190="Kallang Formation (marine clay)"),"NOTE: CBP is not watertight below GWT in marine clay; consider secant / grouting. ","")&amp;IF(AND(D190="Steel Sheet Pile",E190="Permanent"),"NOTE: permanent sheet pile needs corrosion allowance. ","")&amp;IF(AND(G190="Cantilever (no support)",F190&gt;6),"NOTE: cantilever embedded wall &gt; 6 m, check deflection. ","")&amp;IF(AND(T190&lt;&gt;"",U190&lt;&gt;"",T190&gt;U190),"FAIL: deflection exceeds allowable. ",""))=0,"OK",IF(AND(AC190&lt;&gt;"",IFERROR(VALUE(MID(AC190,2,2)),0)&lt;SG_Criteria!$B$19),"FAIL: grade below C"&amp;SG_Criteria!$B$19&amp;". ","")&amp;IF(AND(LEFT(D190,3)="Con",N(I190)&lt;F190,H190="Kallang Formation (marine clay)"),"NOTE: CBP is not watertight below GWT in marine clay; consider secant / grouting. ","")&amp;IF(AND(D190="Steel Sheet Pile",E190="Permanent"),"NOTE: permanent sheet pile needs corrosion allowance. ","")&amp;IF(AND(G190="Cantilever (no support)",F190&gt;6),"NOTE: cantilever embedded wall &gt; 6 m, check deflection. ","")&amp;IF(AND(T190&lt;&gt;"",U190&lt;&gt;"",T190&gt;U190),"FAIL: deflection exceeds allowable. ","")))</f>
        <v/>
      </c>
      <c r="BI190" s="9"/>
      <c r="BJ190" s="9"/>
      <c r="BK190" s="9"/>
      <c r="BL190" s="10" t="str">
        <f aca="false">IF(BK190="","",IFERROR(VLOOKUP(BK190,Projects!$A$5:$D$504,2,0),"Ref not in Projects"))</f>
        <v/>
      </c>
      <c r="BM190" s="10" t="str">
        <f aca="false">IF(BK190="","",IFERROR(VLOOKUP(BK190,Projects!$A$5:$D$504,4,0),"Ref not in Projects"))</f>
        <v/>
      </c>
      <c r="BN190" s="9"/>
      <c r="BO190" s="9"/>
      <c r="BP190" s="9"/>
      <c r="BQ190" s="40"/>
      <c r="BR190" s="9"/>
      <c r="BS190" s="40"/>
      <c r="BT190" s="9"/>
      <c r="BU190" s="40"/>
      <c r="BV190" s="9"/>
      <c r="BW190" s="9"/>
      <c r="BX190" s="9"/>
      <c r="BY190" s="40"/>
      <c r="BZ190" s="40"/>
      <c r="CA190" s="36" t="str">
        <f aca="false">IF(BZ190="","",EDATE(BZ190,SG_Criteria!$B$54*12))</f>
        <v/>
      </c>
      <c r="CB190" s="33" t="str">
        <f aca="true">IF(A190="","",IF(BZ190="","NOTE: not reviewed yet",IF(TODAY()&gt;CA190,"NOTE: review overdue","OK")))</f>
        <v/>
      </c>
      <c r="CC190" s="37" t="str">
        <f aca="false">IF(A190="","",ROUND((IF(LEN(D190)&gt;0,1,0)+IF(LEN(E190)&gt;0,1,0)+IF(LEN(F190)&gt;0,1,0)+IF(LEN(G190)&gt;0,1,0)+IF(LEN(H190)&gt;0,1,0)+IF(LEN(I190)&gt;0,1,0)+IF(LEN(K190)&gt;0,1,0)+IF(LEN(N190)&gt;0,1,0)+IF(LEN(O190)&gt;0,1,0)+IF(LEN(T190)&gt;0,1,0)+IF(LEN(U190)&gt;0,1,0)+IF(LEN(V190)&gt;0,1,0)+IF(LEN(AK190)&gt;0,1,0)+IF(LEN(AM190)&gt;0,1,0)+IF(LEN(AN190)&gt;0,1,0)+IF(LEN(AO190)&gt;0,1,0)+IF(LEN(AP190)&gt;0,1,0)+IF(LEN(AY190)&gt;0,1,0)+IF(LEN(BK190)&gt;0,1,0)+IF(LEN(BX190)&gt;0,1,0))/20,2))</f>
        <v/>
      </c>
      <c r="CD190" s="10" t="str">
        <f aca="false">IF(D190="","",IF(AND(AN190="Approved",ISERROR(SEARCH("FAIL",BH190))),"Y","N"))</f>
        <v/>
      </c>
      <c r="CE190" s="10" t="str">
        <f aca="false">IF(D190="","",D190&amp;"|"&amp;F190&amp;"|"&amp;G190&amp;"|"&amp;H190&amp;"|"&amp;E190&amp;"|"&amp;CD190)</f>
        <v/>
      </c>
    </row>
    <row r="191" customFormat="false" ht="15" hidden="false" customHeight="false" outlineLevel="0" collapsed="false">
      <c r="A191" s="10" t="str">
        <f aca="false">IF(D191="","","EW-"&amp;IFERROR(VLOOKUP(D191,Lists!$P$4:$Q$22,2,0),"??")&amp;"-D"&amp;TEXT(F191*1000,"0000")&amp;"-"&amp;IFERROR(VLOOKUP(G191,Lists!$S$4:$T$21,2,0),"??")&amp;"-"&amp;IFERROR(VLOOKUP(H191,Lists!$Y$4:$Z$21,2,0),"??")&amp;"-"&amp;IFERROR(VLOOKUP(E191,Lists!$V$4:$W$16,2,0),"??")&amp;"-"&amp;AM191)</f>
        <v/>
      </c>
      <c r="B191" s="10" t="str">
        <f aca="false">IF(D191="","",E191&amp;" "&amp;D191&amp;", excavation "&amp;TEXT(F191,"0.0")&amp;" m, "&amp;G191&amp;", "&amp;H191&amp;", "&amp;K191)</f>
        <v/>
      </c>
      <c r="C191" s="9"/>
      <c r="D191" s="9"/>
      <c r="E191" s="9"/>
      <c r="F191" s="42"/>
      <c r="G191" s="9"/>
      <c r="H191" s="9"/>
      <c r="I191" s="42"/>
      <c r="J191" s="38"/>
      <c r="K191" s="9"/>
      <c r="L191" s="9"/>
      <c r="M191" s="9"/>
      <c r="N191" s="42"/>
      <c r="O191" s="42"/>
      <c r="P191" s="9"/>
      <c r="Q191" s="9"/>
      <c r="R191" s="9"/>
      <c r="S191" s="9"/>
      <c r="T191" s="38"/>
      <c r="U191" s="38"/>
      <c r="V191" s="38"/>
      <c r="W191" s="38"/>
      <c r="X191" s="38"/>
      <c r="Y191" s="9"/>
      <c r="Z191" s="39"/>
      <c r="AA191" s="9"/>
      <c r="AB191" s="9"/>
      <c r="AC191" s="9"/>
      <c r="AD191" s="9"/>
      <c r="AE191" s="9"/>
      <c r="AF191" s="9"/>
      <c r="AG191" s="9"/>
      <c r="AH191" s="38"/>
      <c r="AI191" s="9"/>
      <c r="AJ191" s="39"/>
      <c r="AK191" s="9"/>
      <c r="AL191" s="9"/>
      <c r="AM191" s="9"/>
      <c r="AN191" s="9"/>
      <c r="AO191" s="9"/>
      <c r="AP191" s="9"/>
      <c r="AQ191" s="9"/>
      <c r="AR191" s="10" t="str">
        <f aca="false">IF(A191="","",SG_Criteria!$B$6&amp;SG_Criteria!$B$9&amp;"\"&amp;A191&amp;"\")</f>
        <v/>
      </c>
      <c r="AS191" s="10" t="str">
        <f aca="false">IF(A191="","",A191&amp;"_CAD.dwg")</f>
        <v/>
      </c>
      <c r="AT191" s="10" t="str">
        <f aca="false">IF(A191="","",A191&amp;"_DWG.pdf")</f>
        <v/>
      </c>
      <c r="AU191" s="10" t="str">
        <f aca="false">IF(A191="","",IF(AQ191="Y",A191&amp;"_STAAD.std","n/a"))</f>
        <v/>
      </c>
      <c r="AV191" s="10" t="str">
        <f aca="false">IF(A191="","",A191&amp;"_CALC.xlsx")</f>
        <v/>
      </c>
      <c r="AW191" s="10" t="str">
        <f aca="false">IF(A191="","",A191&amp;"_CALC.pdf")</f>
        <v/>
      </c>
      <c r="AX191" s="9"/>
      <c r="AY191" s="9"/>
      <c r="AZ191" s="39"/>
      <c r="BA191" s="39"/>
      <c r="BB191" s="39"/>
      <c r="BC191" s="39"/>
      <c r="BD191" s="39"/>
      <c r="BE191" s="12" t="str">
        <f aca="false">IF(A191="","",IF(COUNTIF(Rebar_Schedule!$A$5:$A$2004,A191)=0,"",ROUND(SUMIF(Rebar_Schedule!$A$5:$A$2004,A191,Rebar_Schedule!$K$5:$K$2004),1)))</f>
        <v/>
      </c>
      <c r="BF191" s="33" t="str">
        <f aca="false">IF(A191="","",IF(BE191="","No rebar schedule yet",IF(ABS(BE191-N(BA191))/MAX(N(BA191),1)&gt;SG_Criteria!$B$55,"NOTE: register rebar differs from schedule by "&amp;TEXT(ABS(BE191-N(BA191))/MAX(N(BA191),1),"0%"),"OK")))</f>
        <v/>
      </c>
      <c r="BG191" s="33" t="str">
        <f aca="false">IF(OR(D191="",F191=""),"",IF(F191&lt;=IF(D191="Soldier Pile &amp; Timber Lagging",SG_Criteria!$B$34,SG_Criteria!$B$33),"No ERSS submission",IF(F191&lt;=SG_Criteria!$B$35,"QP(ST)",IF(F191&lt;=SG_Criteria!$B$36,"QP(ST) + AC","Geotechnical building works: QP(Geo) + AC"))))</f>
        <v/>
      </c>
      <c r="BH191" s="33" t="str">
        <f aca="false">IF(D191="","",IF(LEN(IF(AND(AC191&lt;&gt;"",IFERROR(VALUE(MID(AC191,2,2)),0)&lt;SG_Criteria!$B$19),"FAIL: grade below C"&amp;SG_Criteria!$B$19&amp;". ","")&amp;IF(AND(LEFT(D191,3)="Con",N(I191)&lt;F191,H191="Kallang Formation (marine clay)"),"NOTE: CBP is not watertight below GWT in marine clay; consider secant / grouting. ","")&amp;IF(AND(D191="Steel Sheet Pile",E191="Permanent"),"NOTE: permanent sheet pile needs corrosion allowance. ","")&amp;IF(AND(G191="Cantilever (no support)",F191&gt;6),"NOTE: cantilever embedded wall &gt; 6 m, check deflection. ","")&amp;IF(AND(T191&lt;&gt;"",U191&lt;&gt;"",T191&gt;U191),"FAIL: deflection exceeds allowable. ",""))=0,"OK",IF(AND(AC191&lt;&gt;"",IFERROR(VALUE(MID(AC191,2,2)),0)&lt;SG_Criteria!$B$19),"FAIL: grade below C"&amp;SG_Criteria!$B$19&amp;". ","")&amp;IF(AND(LEFT(D191,3)="Con",N(I191)&lt;F191,H191="Kallang Formation (marine clay)"),"NOTE: CBP is not watertight below GWT in marine clay; consider secant / grouting. ","")&amp;IF(AND(D191="Steel Sheet Pile",E191="Permanent"),"NOTE: permanent sheet pile needs corrosion allowance. ","")&amp;IF(AND(G191="Cantilever (no support)",F191&gt;6),"NOTE: cantilever embedded wall &gt; 6 m, check deflection. ","")&amp;IF(AND(T191&lt;&gt;"",U191&lt;&gt;"",T191&gt;U191),"FAIL: deflection exceeds allowable. ","")))</f>
        <v/>
      </c>
      <c r="BI191" s="9"/>
      <c r="BJ191" s="9"/>
      <c r="BK191" s="9"/>
      <c r="BL191" s="10" t="str">
        <f aca="false">IF(BK191="","",IFERROR(VLOOKUP(BK191,Projects!$A$5:$D$504,2,0),"Ref not in Projects"))</f>
        <v/>
      </c>
      <c r="BM191" s="10" t="str">
        <f aca="false">IF(BK191="","",IFERROR(VLOOKUP(BK191,Projects!$A$5:$D$504,4,0),"Ref not in Projects"))</f>
        <v/>
      </c>
      <c r="BN191" s="9"/>
      <c r="BO191" s="9"/>
      <c r="BP191" s="9"/>
      <c r="BQ191" s="40"/>
      <c r="BR191" s="9"/>
      <c r="BS191" s="40"/>
      <c r="BT191" s="9"/>
      <c r="BU191" s="40"/>
      <c r="BV191" s="9"/>
      <c r="BW191" s="9"/>
      <c r="BX191" s="9"/>
      <c r="BY191" s="40"/>
      <c r="BZ191" s="40"/>
      <c r="CA191" s="36" t="str">
        <f aca="false">IF(BZ191="","",EDATE(BZ191,SG_Criteria!$B$54*12))</f>
        <v/>
      </c>
      <c r="CB191" s="33" t="str">
        <f aca="true">IF(A191="","",IF(BZ191="","NOTE: not reviewed yet",IF(TODAY()&gt;CA191,"NOTE: review overdue","OK")))</f>
        <v/>
      </c>
      <c r="CC191" s="37" t="str">
        <f aca="false">IF(A191="","",ROUND((IF(LEN(D191)&gt;0,1,0)+IF(LEN(E191)&gt;0,1,0)+IF(LEN(F191)&gt;0,1,0)+IF(LEN(G191)&gt;0,1,0)+IF(LEN(H191)&gt;0,1,0)+IF(LEN(I191)&gt;0,1,0)+IF(LEN(K191)&gt;0,1,0)+IF(LEN(N191)&gt;0,1,0)+IF(LEN(O191)&gt;0,1,0)+IF(LEN(T191)&gt;0,1,0)+IF(LEN(U191)&gt;0,1,0)+IF(LEN(V191)&gt;0,1,0)+IF(LEN(AK191)&gt;0,1,0)+IF(LEN(AM191)&gt;0,1,0)+IF(LEN(AN191)&gt;0,1,0)+IF(LEN(AO191)&gt;0,1,0)+IF(LEN(AP191)&gt;0,1,0)+IF(LEN(AY191)&gt;0,1,0)+IF(LEN(BK191)&gt;0,1,0)+IF(LEN(BX191)&gt;0,1,0))/20,2))</f>
        <v/>
      </c>
      <c r="CD191" s="10" t="str">
        <f aca="false">IF(D191="","",IF(AND(AN191="Approved",ISERROR(SEARCH("FAIL",BH191))),"Y","N"))</f>
        <v/>
      </c>
      <c r="CE191" s="10" t="str">
        <f aca="false">IF(D191="","",D191&amp;"|"&amp;F191&amp;"|"&amp;G191&amp;"|"&amp;H191&amp;"|"&amp;E191&amp;"|"&amp;CD191)</f>
        <v/>
      </c>
    </row>
    <row r="192" customFormat="false" ht="15" hidden="false" customHeight="false" outlineLevel="0" collapsed="false">
      <c r="A192" s="10" t="str">
        <f aca="false">IF(D192="","","EW-"&amp;IFERROR(VLOOKUP(D192,Lists!$P$4:$Q$22,2,0),"??")&amp;"-D"&amp;TEXT(F192*1000,"0000")&amp;"-"&amp;IFERROR(VLOOKUP(G192,Lists!$S$4:$T$21,2,0),"??")&amp;"-"&amp;IFERROR(VLOOKUP(H192,Lists!$Y$4:$Z$21,2,0),"??")&amp;"-"&amp;IFERROR(VLOOKUP(E192,Lists!$V$4:$W$16,2,0),"??")&amp;"-"&amp;AM192)</f>
        <v/>
      </c>
      <c r="B192" s="10" t="str">
        <f aca="false">IF(D192="","",E192&amp;" "&amp;D192&amp;", excavation "&amp;TEXT(F192,"0.0")&amp;" m, "&amp;G192&amp;", "&amp;H192&amp;", "&amp;K192)</f>
        <v/>
      </c>
      <c r="C192" s="9"/>
      <c r="D192" s="9"/>
      <c r="E192" s="9"/>
      <c r="F192" s="42"/>
      <c r="G192" s="9"/>
      <c r="H192" s="9"/>
      <c r="I192" s="42"/>
      <c r="J192" s="38"/>
      <c r="K192" s="9"/>
      <c r="L192" s="9"/>
      <c r="M192" s="9"/>
      <c r="N192" s="42"/>
      <c r="O192" s="42"/>
      <c r="P192" s="9"/>
      <c r="Q192" s="9"/>
      <c r="R192" s="9"/>
      <c r="S192" s="9"/>
      <c r="T192" s="38"/>
      <c r="U192" s="38"/>
      <c r="V192" s="38"/>
      <c r="W192" s="38"/>
      <c r="X192" s="38"/>
      <c r="Y192" s="9"/>
      <c r="Z192" s="39"/>
      <c r="AA192" s="9"/>
      <c r="AB192" s="9"/>
      <c r="AC192" s="9"/>
      <c r="AD192" s="9"/>
      <c r="AE192" s="9"/>
      <c r="AF192" s="9"/>
      <c r="AG192" s="9"/>
      <c r="AH192" s="38"/>
      <c r="AI192" s="9"/>
      <c r="AJ192" s="39"/>
      <c r="AK192" s="9"/>
      <c r="AL192" s="9"/>
      <c r="AM192" s="9"/>
      <c r="AN192" s="9"/>
      <c r="AO192" s="9"/>
      <c r="AP192" s="9"/>
      <c r="AQ192" s="9"/>
      <c r="AR192" s="10" t="str">
        <f aca="false">IF(A192="","",SG_Criteria!$B$6&amp;SG_Criteria!$B$9&amp;"\"&amp;A192&amp;"\")</f>
        <v/>
      </c>
      <c r="AS192" s="10" t="str">
        <f aca="false">IF(A192="","",A192&amp;"_CAD.dwg")</f>
        <v/>
      </c>
      <c r="AT192" s="10" t="str">
        <f aca="false">IF(A192="","",A192&amp;"_DWG.pdf")</f>
        <v/>
      </c>
      <c r="AU192" s="10" t="str">
        <f aca="false">IF(A192="","",IF(AQ192="Y",A192&amp;"_STAAD.std","n/a"))</f>
        <v/>
      </c>
      <c r="AV192" s="10" t="str">
        <f aca="false">IF(A192="","",A192&amp;"_CALC.xlsx")</f>
        <v/>
      </c>
      <c r="AW192" s="10" t="str">
        <f aca="false">IF(A192="","",A192&amp;"_CALC.pdf")</f>
        <v/>
      </c>
      <c r="AX192" s="9"/>
      <c r="AY192" s="9"/>
      <c r="AZ192" s="39"/>
      <c r="BA192" s="39"/>
      <c r="BB192" s="39"/>
      <c r="BC192" s="39"/>
      <c r="BD192" s="39"/>
      <c r="BE192" s="12" t="str">
        <f aca="false">IF(A192="","",IF(COUNTIF(Rebar_Schedule!$A$5:$A$2004,A192)=0,"",ROUND(SUMIF(Rebar_Schedule!$A$5:$A$2004,A192,Rebar_Schedule!$K$5:$K$2004),1)))</f>
        <v/>
      </c>
      <c r="BF192" s="33" t="str">
        <f aca="false">IF(A192="","",IF(BE192="","No rebar schedule yet",IF(ABS(BE192-N(BA192))/MAX(N(BA192),1)&gt;SG_Criteria!$B$55,"NOTE: register rebar differs from schedule by "&amp;TEXT(ABS(BE192-N(BA192))/MAX(N(BA192),1),"0%"),"OK")))</f>
        <v/>
      </c>
      <c r="BG192" s="33" t="str">
        <f aca="false">IF(OR(D192="",F192=""),"",IF(F192&lt;=IF(D192="Soldier Pile &amp; Timber Lagging",SG_Criteria!$B$34,SG_Criteria!$B$33),"No ERSS submission",IF(F192&lt;=SG_Criteria!$B$35,"QP(ST)",IF(F192&lt;=SG_Criteria!$B$36,"QP(ST) + AC","Geotechnical building works: QP(Geo) + AC"))))</f>
        <v/>
      </c>
      <c r="BH192" s="33" t="str">
        <f aca="false">IF(D192="","",IF(LEN(IF(AND(AC192&lt;&gt;"",IFERROR(VALUE(MID(AC192,2,2)),0)&lt;SG_Criteria!$B$19),"FAIL: grade below C"&amp;SG_Criteria!$B$19&amp;". ","")&amp;IF(AND(LEFT(D192,3)="Con",N(I192)&lt;F192,H192="Kallang Formation (marine clay)"),"NOTE: CBP is not watertight below GWT in marine clay; consider secant / grouting. ","")&amp;IF(AND(D192="Steel Sheet Pile",E192="Permanent"),"NOTE: permanent sheet pile needs corrosion allowance. ","")&amp;IF(AND(G192="Cantilever (no support)",F192&gt;6),"NOTE: cantilever embedded wall &gt; 6 m, check deflection. ","")&amp;IF(AND(T192&lt;&gt;"",U192&lt;&gt;"",T192&gt;U192),"FAIL: deflection exceeds allowable. ",""))=0,"OK",IF(AND(AC192&lt;&gt;"",IFERROR(VALUE(MID(AC192,2,2)),0)&lt;SG_Criteria!$B$19),"FAIL: grade below C"&amp;SG_Criteria!$B$19&amp;". ","")&amp;IF(AND(LEFT(D192,3)="Con",N(I192)&lt;F192,H192="Kallang Formation (marine clay)"),"NOTE: CBP is not watertight below GWT in marine clay; consider secant / grouting. ","")&amp;IF(AND(D192="Steel Sheet Pile",E192="Permanent"),"NOTE: permanent sheet pile needs corrosion allowance. ","")&amp;IF(AND(G192="Cantilever (no support)",F192&gt;6),"NOTE: cantilever embedded wall &gt; 6 m, check deflection. ","")&amp;IF(AND(T192&lt;&gt;"",U192&lt;&gt;"",T192&gt;U192),"FAIL: deflection exceeds allowable. ","")))</f>
        <v/>
      </c>
      <c r="BI192" s="9"/>
      <c r="BJ192" s="9"/>
      <c r="BK192" s="9"/>
      <c r="BL192" s="10" t="str">
        <f aca="false">IF(BK192="","",IFERROR(VLOOKUP(BK192,Projects!$A$5:$D$504,2,0),"Ref not in Projects"))</f>
        <v/>
      </c>
      <c r="BM192" s="10" t="str">
        <f aca="false">IF(BK192="","",IFERROR(VLOOKUP(BK192,Projects!$A$5:$D$504,4,0),"Ref not in Projects"))</f>
        <v/>
      </c>
      <c r="BN192" s="9"/>
      <c r="BO192" s="9"/>
      <c r="BP192" s="9"/>
      <c r="BQ192" s="40"/>
      <c r="BR192" s="9"/>
      <c r="BS192" s="40"/>
      <c r="BT192" s="9"/>
      <c r="BU192" s="40"/>
      <c r="BV192" s="9"/>
      <c r="BW192" s="9"/>
      <c r="BX192" s="9"/>
      <c r="BY192" s="40"/>
      <c r="BZ192" s="40"/>
      <c r="CA192" s="36" t="str">
        <f aca="false">IF(BZ192="","",EDATE(BZ192,SG_Criteria!$B$54*12))</f>
        <v/>
      </c>
      <c r="CB192" s="33" t="str">
        <f aca="true">IF(A192="","",IF(BZ192="","NOTE: not reviewed yet",IF(TODAY()&gt;CA192,"NOTE: review overdue","OK")))</f>
        <v/>
      </c>
      <c r="CC192" s="37" t="str">
        <f aca="false">IF(A192="","",ROUND((IF(LEN(D192)&gt;0,1,0)+IF(LEN(E192)&gt;0,1,0)+IF(LEN(F192)&gt;0,1,0)+IF(LEN(G192)&gt;0,1,0)+IF(LEN(H192)&gt;0,1,0)+IF(LEN(I192)&gt;0,1,0)+IF(LEN(K192)&gt;0,1,0)+IF(LEN(N192)&gt;0,1,0)+IF(LEN(O192)&gt;0,1,0)+IF(LEN(T192)&gt;0,1,0)+IF(LEN(U192)&gt;0,1,0)+IF(LEN(V192)&gt;0,1,0)+IF(LEN(AK192)&gt;0,1,0)+IF(LEN(AM192)&gt;0,1,0)+IF(LEN(AN192)&gt;0,1,0)+IF(LEN(AO192)&gt;0,1,0)+IF(LEN(AP192)&gt;0,1,0)+IF(LEN(AY192)&gt;0,1,0)+IF(LEN(BK192)&gt;0,1,0)+IF(LEN(BX192)&gt;0,1,0))/20,2))</f>
        <v/>
      </c>
      <c r="CD192" s="10" t="str">
        <f aca="false">IF(D192="","",IF(AND(AN192="Approved",ISERROR(SEARCH("FAIL",BH192))),"Y","N"))</f>
        <v/>
      </c>
      <c r="CE192" s="10" t="str">
        <f aca="false">IF(D192="","",D192&amp;"|"&amp;F192&amp;"|"&amp;G192&amp;"|"&amp;H192&amp;"|"&amp;E192&amp;"|"&amp;CD192)</f>
        <v/>
      </c>
    </row>
    <row r="193" customFormat="false" ht="15" hidden="false" customHeight="false" outlineLevel="0" collapsed="false">
      <c r="A193" s="10" t="str">
        <f aca="false">IF(D193="","","EW-"&amp;IFERROR(VLOOKUP(D193,Lists!$P$4:$Q$22,2,0),"??")&amp;"-D"&amp;TEXT(F193*1000,"0000")&amp;"-"&amp;IFERROR(VLOOKUP(G193,Lists!$S$4:$T$21,2,0),"??")&amp;"-"&amp;IFERROR(VLOOKUP(H193,Lists!$Y$4:$Z$21,2,0),"??")&amp;"-"&amp;IFERROR(VLOOKUP(E193,Lists!$V$4:$W$16,2,0),"??")&amp;"-"&amp;AM193)</f>
        <v/>
      </c>
      <c r="B193" s="10" t="str">
        <f aca="false">IF(D193="","",E193&amp;" "&amp;D193&amp;", excavation "&amp;TEXT(F193,"0.0")&amp;" m, "&amp;G193&amp;", "&amp;H193&amp;", "&amp;K193)</f>
        <v/>
      </c>
      <c r="C193" s="9"/>
      <c r="D193" s="9"/>
      <c r="E193" s="9"/>
      <c r="F193" s="42"/>
      <c r="G193" s="9"/>
      <c r="H193" s="9"/>
      <c r="I193" s="42"/>
      <c r="J193" s="38"/>
      <c r="K193" s="9"/>
      <c r="L193" s="9"/>
      <c r="M193" s="9"/>
      <c r="N193" s="42"/>
      <c r="O193" s="42"/>
      <c r="P193" s="9"/>
      <c r="Q193" s="9"/>
      <c r="R193" s="9"/>
      <c r="S193" s="9"/>
      <c r="T193" s="38"/>
      <c r="U193" s="38"/>
      <c r="V193" s="38"/>
      <c r="W193" s="38"/>
      <c r="X193" s="38"/>
      <c r="Y193" s="9"/>
      <c r="Z193" s="39"/>
      <c r="AA193" s="9"/>
      <c r="AB193" s="9"/>
      <c r="AC193" s="9"/>
      <c r="AD193" s="9"/>
      <c r="AE193" s="9"/>
      <c r="AF193" s="9"/>
      <c r="AG193" s="9"/>
      <c r="AH193" s="38"/>
      <c r="AI193" s="9"/>
      <c r="AJ193" s="39"/>
      <c r="AK193" s="9"/>
      <c r="AL193" s="9"/>
      <c r="AM193" s="9"/>
      <c r="AN193" s="9"/>
      <c r="AO193" s="9"/>
      <c r="AP193" s="9"/>
      <c r="AQ193" s="9"/>
      <c r="AR193" s="10" t="str">
        <f aca="false">IF(A193="","",SG_Criteria!$B$6&amp;SG_Criteria!$B$9&amp;"\"&amp;A193&amp;"\")</f>
        <v/>
      </c>
      <c r="AS193" s="10" t="str">
        <f aca="false">IF(A193="","",A193&amp;"_CAD.dwg")</f>
        <v/>
      </c>
      <c r="AT193" s="10" t="str">
        <f aca="false">IF(A193="","",A193&amp;"_DWG.pdf")</f>
        <v/>
      </c>
      <c r="AU193" s="10" t="str">
        <f aca="false">IF(A193="","",IF(AQ193="Y",A193&amp;"_STAAD.std","n/a"))</f>
        <v/>
      </c>
      <c r="AV193" s="10" t="str">
        <f aca="false">IF(A193="","",A193&amp;"_CALC.xlsx")</f>
        <v/>
      </c>
      <c r="AW193" s="10" t="str">
        <f aca="false">IF(A193="","",A193&amp;"_CALC.pdf")</f>
        <v/>
      </c>
      <c r="AX193" s="9"/>
      <c r="AY193" s="9"/>
      <c r="AZ193" s="39"/>
      <c r="BA193" s="39"/>
      <c r="BB193" s="39"/>
      <c r="BC193" s="39"/>
      <c r="BD193" s="39"/>
      <c r="BE193" s="12" t="str">
        <f aca="false">IF(A193="","",IF(COUNTIF(Rebar_Schedule!$A$5:$A$2004,A193)=0,"",ROUND(SUMIF(Rebar_Schedule!$A$5:$A$2004,A193,Rebar_Schedule!$K$5:$K$2004),1)))</f>
        <v/>
      </c>
      <c r="BF193" s="33" t="str">
        <f aca="false">IF(A193="","",IF(BE193="","No rebar schedule yet",IF(ABS(BE193-N(BA193))/MAX(N(BA193),1)&gt;SG_Criteria!$B$55,"NOTE: register rebar differs from schedule by "&amp;TEXT(ABS(BE193-N(BA193))/MAX(N(BA193),1),"0%"),"OK")))</f>
        <v/>
      </c>
      <c r="BG193" s="33" t="str">
        <f aca="false">IF(OR(D193="",F193=""),"",IF(F193&lt;=IF(D193="Soldier Pile &amp; Timber Lagging",SG_Criteria!$B$34,SG_Criteria!$B$33),"No ERSS submission",IF(F193&lt;=SG_Criteria!$B$35,"QP(ST)",IF(F193&lt;=SG_Criteria!$B$36,"QP(ST) + AC","Geotechnical building works: QP(Geo) + AC"))))</f>
        <v/>
      </c>
      <c r="BH193" s="33" t="str">
        <f aca="false">IF(D193="","",IF(LEN(IF(AND(AC193&lt;&gt;"",IFERROR(VALUE(MID(AC193,2,2)),0)&lt;SG_Criteria!$B$19),"FAIL: grade below C"&amp;SG_Criteria!$B$19&amp;". ","")&amp;IF(AND(LEFT(D193,3)="Con",N(I193)&lt;F193,H193="Kallang Formation (marine clay)"),"NOTE: CBP is not watertight below GWT in marine clay; consider secant / grouting. ","")&amp;IF(AND(D193="Steel Sheet Pile",E193="Permanent"),"NOTE: permanent sheet pile needs corrosion allowance. ","")&amp;IF(AND(G193="Cantilever (no support)",F193&gt;6),"NOTE: cantilever embedded wall &gt; 6 m, check deflection. ","")&amp;IF(AND(T193&lt;&gt;"",U193&lt;&gt;"",T193&gt;U193),"FAIL: deflection exceeds allowable. ",""))=0,"OK",IF(AND(AC193&lt;&gt;"",IFERROR(VALUE(MID(AC193,2,2)),0)&lt;SG_Criteria!$B$19),"FAIL: grade below C"&amp;SG_Criteria!$B$19&amp;". ","")&amp;IF(AND(LEFT(D193,3)="Con",N(I193)&lt;F193,H193="Kallang Formation (marine clay)"),"NOTE: CBP is not watertight below GWT in marine clay; consider secant / grouting. ","")&amp;IF(AND(D193="Steel Sheet Pile",E193="Permanent"),"NOTE: permanent sheet pile needs corrosion allowance. ","")&amp;IF(AND(G193="Cantilever (no support)",F193&gt;6),"NOTE: cantilever embedded wall &gt; 6 m, check deflection. ","")&amp;IF(AND(T193&lt;&gt;"",U193&lt;&gt;"",T193&gt;U193),"FAIL: deflection exceeds allowable. ","")))</f>
        <v/>
      </c>
      <c r="BI193" s="9"/>
      <c r="BJ193" s="9"/>
      <c r="BK193" s="9"/>
      <c r="BL193" s="10" t="str">
        <f aca="false">IF(BK193="","",IFERROR(VLOOKUP(BK193,Projects!$A$5:$D$504,2,0),"Ref not in Projects"))</f>
        <v/>
      </c>
      <c r="BM193" s="10" t="str">
        <f aca="false">IF(BK193="","",IFERROR(VLOOKUP(BK193,Projects!$A$5:$D$504,4,0),"Ref not in Projects"))</f>
        <v/>
      </c>
      <c r="BN193" s="9"/>
      <c r="BO193" s="9"/>
      <c r="BP193" s="9"/>
      <c r="BQ193" s="40"/>
      <c r="BR193" s="9"/>
      <c r="BS193" s="40"/>
      <c r="BT193" s="9"/>
      <c r="BU193" s="40"/>
      <c r="BV193" s="9"/>
      <c r="BW193" s="9"/>
      <c r="BX193" s="9"/>
      <c r="BY193" s="40"/>
      <c r="BZ193" s="40"/>
      <c r="CA193" s="36" t="str">
        <f aca="false">IF(BZ193="","",EDATE(BZ193,SG_Criteria!$B$54*12))</f>
        <v/>
      </c>
      <c r="CB193" s="33" t="str">
        <f aca="true">IF(A193="","",IF(BZ193="","NOTE: not reviewed yet",IF(TODAY()&gt;CA193,"NOTE: review overdue","OK")))</f>
        <v/>
      </c>
      <c r="CC193" s="37" t="str">
        <f aca="false">IF(A193="","",ROUND((IF(LEN(D193)&gt;0,1,0)+IF(LEN(E193)&gt;0,1,0)+IF(LEN(F193)&gt;0,1,0)+IF(LEN(G193)&gt;0,1,0)+IF(LEN(H193)&gt;0,1,0)+IF(LEN(I193)&gt;0,1,0)+IF(LEN(K193)&gt;0,1,0)+IF(LEN(N193)&gt;0,1,0)+IF(LEN(O193)&gt;0,1,0)+IF(LEN(T193)&gt;0,1,0)+IF(LEN(U193)&gt;0,1,0)+IF(LEN(V193)&gt;0,1,0)+IF(LEN(AK193)&gt;0,1,0)+IF(LEN(AM193)&gt;0,1,0)+IF(LEN(AN193)&gt;0,1,0)+IF(LEN(AO193)&gt;0,1,0)+IF(LEN(AP193)&gt;0,1,0)+IF(LEN(AY193)&gt;0,1,0)+IF(LEN(BK193)&gt;0,1,0)+IF(LEN(BX193)&gt;0,1,0))/20,2))</f>
        <v/>
      </c>
      <c r="CD193" s="10" t="str">
        <f aca="false">IF(D193="","",IF(AND(AN193="Approved",ISERROR(SEARCH("FAIL",BH193))),"Y","N"))</f>
        <v/>
      </c>
      <c r="CE193" s="10" t="str">
        <f aca="false">IF(D193="","",D193&amp;"|"&amp;F193&amp;"|"&amp;G193&amp;"|"&amp;H193&amp;"|"&amp;E193&amp;"|"&amp;CD193)</f>
        <v/>
      </c>
    </row>
    <row r="194" customFormat="false" ht="15" hidden="false" customHeight="false" outlineLevel="0" collapsed="false">
      <c r="A194" s="10" t="str">
        <f aca="false">IF(D194="","","EW-"&amp;IFERROR(VLOOKUP(D194,Lists!$P$4:$Q$22,2,0),"??")&amp;"-D"&amp;TEXT(F194*1000,"0000")&amp;"-"&amp;IFERROR(VLOOKUP(G194,Lists!$S$4:$T$21,2,0),"??")&amp;"-"&amp;IFERROR(VLOOKUP(H194,Lists!$Y$4:$Z$21,2,0),"??")&amp;"-"&amp;IFERROR(VLOOKUP(E194,Lists!$V$4:$W$16,2,0),"??")&amp;"-"&amp;AM194)</f>
        <v/>
      </c>
      <c r="B194" s="10" t="str">
        <f aca="false">IF(D194="","",E194&amp;" "&amp;D194&amp;", excavation "&amp;TEXT(F194,"0.0")&amp;" m, "&amp;G194&amp;", "&amp;H194&amp;", "&amp;K194)</f>
        <v/>
      </c>
      <c r="C194" s="9"/>
      <c r="D194" s="9"/>
      <c r="E194" s="9"/>
      <c r="F194" s="42"/>
      <c r="G194" s="9"/>
      <c r="H194" s="9"/>
      <c r="I194" s="42"/>
      <c r="J194" s="38"/>
      <c r="K194" s="9"/>
      <c r="L194" s="9"/>
      <c r="M194" s="9"/>
      <c r="N194" s="42"/>
      <c r="O194" s="42"/>
      <c r="P194" s="9"/>
      <c r="Q194" s="9"/>
      <c r="R194" s="9"/>
      <c r="S194" s="9"/>
      <c r="T194" s="38"/>
      <c r="U194" s="38"/>
      <c r="V194" s="38"/>
      <c r="W194" s="38"/>
      <c r="X194" s="38"/>
      <c r="Y194" s="9"/>
      <c r="Z194" s="39"/>
      <c r="AA194" s="9"/>
      <c r="AB194" s="9"/>
      <c r="AC194" s="9"/>
      <c r="AD194" s="9"/>
      <c r="AE194" s="9"/>
      <c r="AF194" s="9"/>
      <c r="AG194" s="9"/>
      <c r="AH194" s="38"/>
      <c r="AI194" s="9"/>
      <c r="AJ194" s="39"/>
      <c r="AK194" s="9"/>
      <c r="AL194" s="9"/>
      <c r="AM194" s="9"/>
      <c r="AN194" s="9"/>
      <c r="AO194" s="9"/>
      <c r="AP194" s="9"/>
      <c r="AQ194" s="9"/>
      <c r="AR194" s="10" t="str">
        <f aca="false">IF(A194="","",SG_Criteria!$B$6&amp;SG_Criteria!$B$9&amp;"\"&amp;A194&amp;"\")</f>
        <v/>
      </c>
      <c r="AS194" s="10" t="str">
        <f aca="false">IF(A194="","",A194&amp;"_CAD.dwg")</f>
        <v/>
      </c>
      <c r="AT194" s="10" t="str">
        <f aca="false">IF(A194="","",A194&amp;"_DWG.pdf")</f>
        <v/>
      </c>
      <c r="AU194" s="10" t="str">
        <f aca="false">IF(A194="","",IF(AQ194="Y",A194&amp;"_STAAD.std","n/a"))</f>
        <v/>
      </c>
      <c r="AV194" s="10" t="str">
        <f aca="false">IF(A194="","",A194&amp;"_CALC.xlsx")</f>
        <v/>
      </c>
      <c r="AW194" s="10" t="str">
        <f aca="false">IF(A194="","",A194&amp;"_CALC.pdf")</f>
        <v/>
      </c>
      <c r="AX194" s="9"/>
      <c r="AY194" s="9"/>
      <c r="AZ194" s="39"/>
      <c r="BA194" s="39"/>
      <c r="BB194" s="39"/>
      <c r="BC194" s="39"/>
      <c r="BD194" s="39"/>
      <c r="BE194" s="12" t="str">
        <f aca="false">IF(A194="","",IF(COUNTIF(Rebar_Schedule!$A$5:$A$2004,A194)=0,"",ROUND(SUMIF(Rebar_Schedule!$A$5:$A$2004,A194,Rebar_Schedule!$K$5:$K$2004),1)))</f>
        <v/>
      </c>
      <c r="BF194" s="33" t="str">
        <f aca="false">IF(A194="","",IF(BE194="","No rebar schedule yet",IF(ABS(BE194-N(BA194))/MAX(N(BA194),1)&gt;SG_Criteria!$B$55,"NOTE: register rebar differs from schedule by "&amp;TEXT(ABS(BE194-N(BA194))/MAX(N(BA194),1),"0%"),"OK")))</f>
        <v/>
      </c>
      <c r="BG194" s="33" t="str">
        <f aca="false">IF(OR(D194="",F194=""),"",IF(F194&lt;=IF(D194="Soldier Pile &amp; Timber Lagging",SG_Criteria!$B$34,SG_Criteria!$B$33),"No ERSS submission",IF(F194&lt;=SG_Criteria!$B$35,"QP(ST)",IF(F194&lt;=SG_Criteria!$B$36,"QP(ST) + AC","Geotechnical building works: QP(Geo) + AC"))))</f>
        <v/>
      </c>
      <c r="BH194" s="33" t="str">
        <f aca="false">IF(D194="","",IF(LEN(IF(AND(AC194&lt;&gt;"",IFERROR(VALUE(MID(AC194,2,2)),0)&lt;SG_Criteria!$B$19),"FAIL: grade below C"&amp;SG_Criteria!$B$19&amp;". ","")&amp;IF(AND(LEFT(D194,3)="Con",N(I194)&lt;F194,H194="Kallang Formation (marine clay)"),"NOTE: CBP is not watertight below GWT in marine clay; consider secant / grouting. ","")&amp;IF(AND(D194="Steel Sheet Pile",E194="Permanent"),"NOTE: permanent sheet pile needs corrosion allowance. ","")&amp;IF(AND(G194="Cantilever (no support)",F194&gt;6),"NOTE: cantilever embedded wall &gt; 6 m, check deflection. ","")&amp;IF(AND(T194&lt;&gt;"",U194&lt;&gt;"",T194&gt;U194),"FAIL: deflection exceeds allowable. ",""))=0,"OK",IF(AND(AC194&lt;&gt;"",IFERROR(VALUE(MID(AC194,2,2)),0)&lt;SG_Criteria!$B$19),"FAIL: grade below C"&amp;SG_Criteria!$B$19&amp;". ","")&amp;IF(AND(LEFT(D194,3)="Con",N(I194)&lt;F194,H194="Kallang Formation (marine clay)"),"NOTE: CBP is not watertight below GWT in marine clay; consider secant / grouting. ","")&amp;IF(AND(D194="Steel Sheet Pile",E194="Permanent"),"NOTE: permanent sheet pile needs corrosion allowance. ","")&amp;IF(AND(G194="Cantilever (no support)",F194&gt;6),"NOTE: cantilever embedded wall &gt; 6 m, check deflection. ","")&amp;IF(AND(T194&lt;&gt;"",U194&lt;&gt;"",T194&gt;U194),"FAIL: deflection exceeds allowable. ","")))</f>
        <v/>
      </c>
      <c r="BI194" s="9"/>
      <c r="BJ194" s="9"/>
      <c r="BK194" s="9"/>
      <c r="BL194" s="10" t="str">
        <f aca="false">IF(BK194="","",IFERROR(VLOOKUP(BK194,Projects!$A$5:$D$504,2,0),"Ref not in Projects"))</f>
        <v/>
      </c>
      <c r="BM194" s="10" t="str">
        <f aca="false">IF(BK194="","",IFERROR(VLOOKUP(BK194,Projects!$A$5:$D$504,4,0),"Ref not in Projects"))</f>
        <v/>
      </c>
      <c r="BN194" s="9"/>
      <c r="BO194" s="9"/>
      <c r="BP194" s="9"/>
      <c r="BQ194" s="40"/>
      <c r="BR194" s="9"/>
      <c r="BS194" s="40"/>
      <c r="BT194" s="9"/>
      <c r="BU194" s="40"/>
      <c r="BV194" s="9"/>
      <c r="BW194" s="9"/>
      <c r="BX194" s="9"/>
      <c r="BY194" s="40"/>
      <c r="BZ194" s="40"/>
      <c r="CA194" s="36" t="str">
        <f aca="false">IF(BZ194="","",EDATE(BZ194,SG_Criteria!$B$54*12))</f>
        <v/>
      </c>
      <c r="CB194" s="33" t="str">
        <f aca="true">IF(A194="","",IF(BZ194="","NOTE: not reviewed yet",IF(TODAY()&gt;CA194,"NOTE: review overdue","OK")))</f>
        <v/>
      </c>
      <c r="CC194" s="37" t="str">
        <f aca="false">IF(A194="","",ROUND((IF(LEN(D194)&gt;0,1,0)+IF(LEN(E194)&gt;0,1,0)+IF(LEN(F194)&gt;0,1,0)+IF(LEN(G194)&gt;0,1,0)+IF(LEN(H194)&gt;0,1,0)+IF(LEN(I194)&gt;0,1,0)+IF(LEN(K194)&gt;0,1,0)+IF(LEN(N194)&gt;0,1,0)+IF(LEN(O194)&gt;0,1,0)+IF(LEN(T194)&gt;0,1,0)+IF(LEN(U194)&gt;0,1,0)+IF(LEN(V194)&gt;0,1,0)+IF(LEN(AK194)&gt;0,1,0)+IF(LEN(AM194)&gt;0,1,0)+IF(LEN(AN194)&gt;0,1,0)+IF(LEN(AO194)&gt;0,1,0)+IF(LEN(AP194)&gt;0,1,0)+IF(LEN(AY194)&gt;0,1,0)+IF(LEN(BK194)&gt;0,1,0)+IF(LEN(BX194)&gt;0,1,0))/20,2))</f>
        <v/>
      </c>
      <c r="CD194" s="10" t="str">
        <f aca="false">IF(D194="","",IF(AND(AN194="Approved",ISERROR(SEARCH("FAIL",BH194))),"Y","N"))</f>
        <v/>
      </c>
      <c r="CE194" s="10" t="str">
        <f aca="false">IF(D194="","",D194&amp;"|"&amp;F194&amp;"|"&amp;G194&amp;"|"&amp;H194&amp;"|"&amp;E194&amp;"|"&amp;CD194)</f>
        <v/>
      </c>
    </row>
    <row r="195" customFormat="false" ht="15" hidden="false" customHeight="false" outlineLevel="0" collapsed="false">
      <c r="A195" s="10" t="str">
        <f aca="false">IF(D195="","","EW-"&amp;IFERROR(VLOOKUP(D195,Lists!$P$4:$Q$22,2,0),"??")&amp;"-D"&amp;TEXT(F195*1000,"0000")&amp;"-"&amp;IFERROR(VLOOKUP(G195,Lists!$S$4:$T$21,2,0),"??")&amp;"-"&amp;IFERROR(VLOOKUP(H195,Lists!$Y$4:$Z$21,2,0),"??")&amp;"-"&amp;IFERROR(VLOOKUP(E195,Lists!$V$4:$W$16,2,0),"??")&amp;"-"&amp;AM195)</f>
        <v/>
      </c>
      <c r="B195" s="10" t="str">
        <f aca="false">IF(D195="","",E195&amp;" "&amp;D195&amp;", excavation "&amp;TEXT(F195,"0.0")&amp;" m, "&amp;G195&amp;", "&amp;H195&amp;", "&amp;K195)</f>
        <v/>
      </c>
      <c r="C195" s="9"/>
      <c r="D195" s="9"/>
      <c r="E195" s="9"/>
      <c r="F195" s="42"/>
      <c r="G195" s="9"/>
      <c r="H195" s="9"/>
      <c r="I195" s="42"/>
      <c r="J195" s="38"/>
      <c r="K195" s="9"/>
      <c r="L195" s="9"/>
      <c r="M195" s="9"/>
      <c r="N195" s="42"/>
      <c r="O195" s="42"/>
      <c r="P195" s="9"/>
      <c r="Q195" s="9"/>
      <c r="R195" s="9"/>
      <c r="S195" s="9"/>
      <c r="T195" s="38"/>
      <c r="U195" s="38"/>
      <c r="V195" s="38"/>
      <c r="W195" s="38"/>
      <c r="X195" s="38"/>
      <c r="Y195" s="9"/>
      <c r="Z195" s="39"/>
      <c r="AA195" s="9"/>
      <c r="AB195" s="9"/>
      <c r="AC195" s="9"/>
      <c r="AD195" s="9"/>
      <c r="AE195" s="9"/>
      <c r="AF195" s="9"/>
      <c r="AG195" s="9"/>
      <c r="AH195" s="38"/>
      <c r="AI195" s="9"/>
      <c r="AJ195" s="39"/>
      <c r="AK195" s="9"/>
      <c r="AL195" s="9"/>
      <c r="AM195" s="9"/>
      <c r="AN195" s="9"/>
      <c r="AO195" s="9"/>
      <c r="AP195" s="9"/>
      <c r="AQ195" s="9"/>
      <c r="AR195" s="10" t="str">
        <f aca="false">IF(A195="","",SG_Criteria!$B$6&amp;SG_Criteria!$B$9&amp;"\"&amp;A195&amp;"\")</f>
        <v/>
      </c>
      <c r="AS195" s="10" t="str">
        <f aca="false">IF(A195="","",A195&amp;"_CAD.dwg")</f>
        <v/>
      </c>
      <c r="AT195" s="10" t="str">
        <f aca="false">IF(A195="","",A195&amp;"_DWG.pdf")</f>
        <v/>
      </c>
      <c r="AU195" s="10" t="str">
        <f aca="false">IF(A195="","",IF(AQ195="Y",A195&amp;"_STAAD.std","n/a"))</f>
        <v/>
      </c>
      <c r="AV195" s="10" t="str">
        <f aca="false">IF(A195="","",A195&amp;"_CALC.xlsx")</f>
        <v/>
      </c>
      <c r="AW195" s="10" t="str">
        <f aca="false">IF(A195="","",A195&amp;"_CALC.pdf")</f>
        <v/>
      </c>
      <c r="AX195" s="9"/>
      <c r="AY195" s="9"/>
      <c r="AZ195" s="39"/>
      <c r="BA195" s="39"/>
      <c r="BB195" s="39"/>
      <c r="BC195" s="39"/>
      <c r="BD195" s="39"/>
      <c r="BE195" s="12" t="str">
        <f aca="false">IF(A195="","",IF(COUNTIF(Rebar_Schedule!$A$5:$A$2004,A195)=0,"",ROUND(SUMIF(Rebar_Schedule!$A$5:$A$2004,A195,Rebar_Schedule!$K$5:$K$2004),1)))</f>
        <v/>
      </c>
      <c r="BF195" s="33" t="str">
        <f aca="false">IF(A195="","",IF(BE195="","No rebar schedule yet",IF(ABS(BE195-N(BA195))/MAX(N(BA195),1)&gt;SG_Criteria!$B$55,"NOTE: register rebar differs from schedule by "&amp;TEXT(ABS(BE195-N(BA195))/MAX(N(BA195),1),"0%"),"OK")))</f>
        <v/>
      </c>
      <c r="BG195" s="33" t="str">
        <f aca="false">IF(OR(D195="",F195=""),"",IF(F195&lt;=IF(D195="Soldier Pile &amp; Timber Lagging",SG_Criteria!$B$34,SG_Criteria!$B$33),"No ERSS submission",IF(F195&lt;=SG_Criteria!$B$35,"QP(ST)",IF(F195&lt;=SG_Criteria!$B$36,"QP(ST) + AC","Geotechnical building works: QP(Geo) + AC"))))</f>
        <v/>
      </c>
      <c r="BH195" s="33" t="str">
        <f aca="false">IF(D195="","",IF(LEN(IF(AND(AC195&lt;&gt;"",IFERROR(VALUE(MID(AC195,2,2)),0)&lt;SG_Criteria!$B$19),"FAIL: grade below C"&amp;SG_Criteria!$B$19&amp;". ","")&amp;IF(AND(LEFT(D195,3)="Con",N(I195)&lt;F195,H195="Kallang Formation (marine clay)"),"NOTE: CBP is not watertight below GWT in marine clay; consider secant / grouting. ","")&amp;IF(AND(D195="Steel Sheet Pile",E195="Permanent"),"NOTE: permanent sheet pile needs corrosion allowance. ","")&amp;IF(AND(G195="Cantilever (no support)",F195&gt;6),"NOTE: cantilever embedded wall &gt; 6 m, check deflection. ","")&amp;IF(AND(T195&lt;&gt;"",U195&lt;&gt;"",T195&gt;U195),"FAIL: deflection exceeds allowable. ",""))=0,"OK",IF(AND(AC195&lt;&gt;"",IFERROR(VALUE(MID(AC195,2,2)),0)&lt;SG_Criteria!$B$19),"FAIL: grade below C"&amp;SG_Criteria!$B$19&amp;". ","")&amp;IF(AND(LEFT(D195,3)="Con",N(I195)&lt;F195,H195="Kallang Formation (marine clay)"),"NOTE: CBP is not watertight below GWT in marine clay; consider secant / grouting. ","")&amp;IF(AND(D195="Steel Sheet Pile",E195="Permanent"),"NOTE: permanent sheet pile needs corrosion allowance. ","")&amp;IF(AND(G195="Cantilever (no support)",F195&gt;6),"NOTE: cantilever embedded wall &gt; 6 m, check deflection. ","")&amp;IF(AND(T195&lt;&gt;"",U195&lt;&gt;"",T195&gt;U195),"FAIL: deflection exceeds allowable. ","")))</f>
        <v/>
      </c>
      <c r="BI195" s="9"/>
      <c r="BJ195" s="9"/>
      <c r="BK195" s="9"/>
      <c r="BL195" s="10" t="str">
        <f aca="false">IF(BK195="","",IFERROR(VLOOKUP(BK195,Projects!$A$5:$D$504,2,0),"Ref not in Projects"))</f>
        <v/>
      </c>
      <c r="BM195" s="10" t="str">
        <f aca="false">IF(BK195="","",IFERROR(VLOOKUP(BK195,Projects!$A$5:$D$504,4,0),"Ref not in Projects"))</f>
        <v/>
      </c>
      <c r="BN195" s="9"/>
      <c r="BO195" s="9"/>
      <c r="BP195" s="9"/>
      <c r="BQ195" s="40"/>
      <c r="BR195" s="9"/>
      <c r="BS195" s="40"/>
      <c r="BT195" s="9"/>
      <c r="BU195" s="40"/>
      <c r="BV195" s="9"/>
      <c r="BW195" s="9"/>
      <c r="BX195" s="9"/>
      <c r="BY195" s="40"/>
      <c r="BZ195" s="40"/>
      <c r="CA195" s="36" t="str">
        <f aca="false">IF(BZ195="","",EDATE(BZ195,SG_Criteria!$B$54*12))</f>
        <v/>
      </c>
      <c r="CB195" s="33" t="str">
        <f aca="true">IF(A195="","",IF(BZ195="","NOTE: not reviewed yet",IF(TODAY()&gt;CA195,"NOTE: review overdue","OK")))</f>
        <v/>
      </c>
      <c r="CC195" s="37" t="str">
        <f aca="false">IF(A195="","",ROUND((IF(LEN(D195)&gt;0,1,0)+IF(LEN(E195)&gt;0,1,0)+IF(LEN(F195)&gt;0,1,0)+IF(LEN(G195)&gt;0,1,0)+IF(LEN(H195)&gt;0,1,0)+IF(LEN(I195)&gt;0,1,0)+IF(LEN(K195)&gt;0,1,0)+IF(LEN(N195)&gt;0,1,0)+IF(LEN(O195)&gt;0,1,0)+IF(LEN(T195)&gt;0,1,0)+IF(LEN(U195)&gt;0,1,0)+IF(LEN(V195)&gt;0,1,0)+IF(LEN(AK195)&gt;0,1,0)+IF(LEN(AM195)&gt;0,1,0)+IF(LEN(AN195)&gt;0,1,0)+IF(LEN(AO195)&gt;0,1,0)+IF(LEN(AP195)&gt;0,1,0)+IF(LEN(AY195)&gt;0,1,0)+IF(LEN(BK195)&gt;0,1,0)+IF(LEN(BX195)&gt;0,1,0))/20,2))</f>
        <v/>
      </c>
      <c r="CD195" s="10" t="str">
        <f aca="false">IF(D195="","",IF(AND(AN195="Approved",ISERROR(SEARCH("FAIL",BH195))),"Y","N"))</f>
        <v/>
      </c>
      <c r="CE195" s="10" t="str">
        <f aca="false">IF(D195="","",D195&amp;"|"&amp;F195&amp;"|"&amp;G195&amp;"|"&amp;H195&amp;"|"&amp;E195&amp;"|"&amp;CD195)</f>
        <v/>
      </c>
    </row>
    <row r="196" customFormat="false" ht="15" hidden="false" customHeight="false" outlineLevel="0" collapsed="false">
      <c r="A196" s="10" t="str">
        <f aca="false">IF(D196="","","EW-"&amp;IFERROR(VLOOKUP(D196,Lists!$P$4:$Q$22,2,0),"??")&amp;"-D"&amp;TEXT(F196*1000,"0000")&amp;"-"&amp;IFERROR(VLOOKUP(G196,Lists!$S$4:$T$21,2,0),"??")&amp;"-"&amp;IFERROR(VLOOKUP(H196,Lists!$Y$4:$Z$21,2,0),"??")&amp;"-"&amp;IFERROR(VLOOKUP(E196,Lists!$V$4:$W$16,2,0),"??")&amp;"-"&amp;AM196)</f>
        <v/>
      </c>
      <c r="B196" s="10" t="str">
        <f aca="false">IF(D196="","",E196&amp;" "&amp;D196&amp;", excavation "&amp;TEXT(F196,"0.0")&amp;" m, "&amp;G196&amp;", "&amp;H196&amp;", "&amp;K196)</f>
        <v/>
      </c>
      <c r="C196" s="9"/>
      <c r="D196" s="9"/>
      <c r="E196" s="9"/>
      <c r="F196" s="42"/>
      <c r="G196" s="9"/>
      <c r="H196" s="9"/>
      <c r="I196" s="42"/>
      <c r="J196" s="38"/>
      <c r="K196" s="9"/>
      <c r="L196" s="9"/>
      <c r="M196" s="9"/>
      <c r="N196" s="42"/>
      <c r="O196" s="42"/>
      <c r="P196" s="9"/>
      <c r="Q196" s="9"/>
      <c r="R196" s="9"/>
      <c r="S196" s="9"/>
      <c r="T196" s="38"/>
      <c r="U196" s="38"/>
      <c r="V196" s="38"/>
      <c r="W196" s="38"/>
      <c r="X196" s="38"/>
      <c r="Y196" s="9"/>
      <c r="Z196" s="39"/>
      <c r="AA196" s="9"/>
      <c r="AB196" s="9"/>
      <c r="AC196" s="9"/>
      <c r="AD196" s="9"/>
      <c r="AE196" s="9"/>
      <c r="AF196" s="9"/>
      <c r="AG196" s="9"/>
      <c r="AH196" s="38"/>
      <c r="AI196" s="9"/>
      <c r="AJ196" s="39"/>
      <c r="AK196" s="9"/>
      <c r="AL196" s="9"/>
      <c r="AM196" s="9"/>
      <c r="AN196" s="9"/>
      <c r="AO196" s="9"/>
      <c r="AP196" s="9"/>
      <c r="AQ196" s="9"/>
      <c r="AR196" s="10" t="str">
        <f aca="false">IF(A196="","",SG_Criteria!$B$6&amp;SG_Criteria!$B$9&amp;"\"&amp;A196&amp;"\")</f>
        <v/>
      </c>
      <c r="AS196" s="10" t="str">
        <f aca="false">IF(A196="","",A196&amp;"_CAD.dwg")</f>
        <v/>
      </c>
      <c r="AT196" s="10" t="str">
        <f aca="false">IF(A196="","",A196&amp;"_DWG.pdf")</f>
        <v/>
      </c>
      <c r="AU196" s="10" t="str">
        <f aca="false">IF(A196="","",IF(AQ196="Y",A196&amp;"_STAAD.std","n/a"))</f>
        <v/>
      </c>
      <c r="AV196" s="10" t="str">
        <f aca="false">IF(A196="","",A196&amp;"_CALC.xlsx")</f>
        <v/>
      </c>
      <c r="AW196" s="10" t="str">
        <f aca="false">IF(A196="","",A196&amp;"_CALC.pdf")</f>
        <v/>
      </c>
      <c r="AX196" s="9"/>
      <c r="AY196" s="9"/>
      <c r="AZ196" s="39"/>
      <c r="BA196" s="39"/>
      <c r="BB196" s="39"/>
      <c r="BC196" s="39"/>
      <c r="BD196" s="39"/>
      <c r="BE196" s="12" t="str">
        <f aca="false">IF(A196="","",IF(COUNTIF(Rebar_Schedule!$A$5:$A$2004,A196)=0,"",ROUND(SUMIF(Rebar_Schedule!$A$5:$A$2004,A196,Rebar_Schedule!$K$5:$K$2004),1)))</f>
        <v/>
      </c>
      <c r="BF196" s="33" t="str">
        <f aca="false">IF(A196="","",IF(BE196="","No rebar schedule yet",IF(ABS(BE196-N(BA196))/MAX(N(BA196),1)&gt;SG_Criteria!$B$55,"NOTE: register rebar differs from schedule by "&amp;TEXT(ABS(BE196-N(BA196))/MAX(N(BA196),1),"0%"),"OK")))</f>
        <v/>
      </c>
      <c r="BG196" s="33" t="str">
        <f aca="false">IF(OR(D196="",F196=""),"",IF(F196&lt;=IF(D196="Soldier Pile &amp; Timber Lagging",SG_Criteria!$B$34,SG_Criteria!$B$33),"No ERSS submission",IF(F196&lt;=SG_Criteria!$B$35,"QP(ST)",IF(F196&lt;=SG_Criteria!$B$36,"QP(ST) + AC","Geotechnical building works: QP(Geo) + AC"))))</f>
        <v/>
      </c>
      <c r="BH196" s="33" t="str">
        <f aca="false">IF(D196="","",IF(LEN(IF(AND(AC196&lt;&gt;"",IFERROR(VALUE(MID(AC196,2,2)),0)&lt;SG_Criteria!$B$19),"FAIL: grade below C"&amp;SG_Criteria!$B$19&amp;". ","")&amp;IF(AND(LEFT(D196,3)="Con",N(I196)&lt;F196,H196="Kallang Formation (marine clay)"),"NOTE: CBP is not watertight below GWT in marine clay; consider secant / grouting. ","")&amp;IF(AND(D196="Steel Sheet Pile",E196="Permanent"),"NOTE: permanent sheet pile needs corrosion allowance. ","")&amp;IF(AND(G196="Cantilever (no support)",F196&gt;6),"NOTE: cantilever embedded wall &gt; 6 m, check deflection. ","")&amp;IF(AND(T196&lt;&gt;"",U196&lt;&gt;"",T196&gt;U196),"FAIL: deflection exceeds allowable. ",""))=0,"OK",IF(AND(AC196&lt;&gt;"",IFERROR(VALUE(MID(AC196,2,2)),0)&lt;SG_Criteria!$B$19),"FAIL: grade below C"&amp;SG_Criteria!$B$19&amp;". ","")&amp;IF(AND(LEFT(D196,3)="Con",N(I196)&lt;F196,H196="Kallang Formation (marine clay)"),"NOTE: CBP is not watertight below GWT in marine clay; consider secant / grouting. ","")&amp;IF(AND(D196="Steel Sheet Pile",E196="Permanent"),"NOTE: permanent sheet pile needs corrosion allowance. ","")&amp;IF(AND(G196="Cantilever (no support)",F196&gt;6),"NOTE: cantilever embedded wall &gt; 6 m, check deflection. ","")&amp;IF(AND(T196&lt;&gt;"",U196&lt;&gt;"",T196&gt;U196),"FAIL: deflection exceeds allowable. ","")))</f>
        <v/>
      </c>
      <c r="BI196" s="9"/>
      <c r="BJ196" s="9"/>
      <c r="BK196" s="9"/>
      <c r="BL196" s="10" t="str">
        <f aca="false">IF(BK196="","",IFERROR(VLOOKUP(BK196,Projects!$A$5:$D$504,2,0),"Ref not in Projects"))</f>
        <v/>
      </c>
      <c r="BM196" s="10" t="str">
        <f aca="false">IF(BK196="","",IFERROR(VLOOKUP(BK196,Projects!$A$5:$D$504,4,0),"Ref not in Projects"))</f>
        <v/>
      </c>
      <c r="BN196" s="9"/>
      <c r="BO196" s="9"/>
      <c r="BP196" s="9"/>
      <c r="BQ196" s="40"/>
      <c r="BR196" s="9"/>
      <c r="BS196" s="40"/>
      <c r="BT196" s="9"/>
      <c r="BU196" s="40"/>
      <c r="BV196" s="9"/>
      <c r="BW196" s="9"/>
      <c r="BX196" s="9"/>
      <c r="BY196" s="40"/>
      <c r="BZ196" s="40"/>
      <c r="CA196" s="36" t="str">
        <f aca="false">IF(BZ196="","",EDATE(BZ196,SG_Criteria!$B$54*12))</f>
        <v/>
      </c>
      <c r="CB196" s="33" t="str">
        <f aca="true">IF(A196="","",IF(BZ196="","NOTE: not reviewed yet",IF(TODAY()&gt;CA196,"NOTE: review overdue","OK")))</f>
        <v/>
      </c>
      <c r="CC196" s="37" t="str">
        <f aca="false">IF(A196="","",ROUND((IF(LEN(D196)&gt;0,1,0)+IF(LEN(E196)&gt;0,1,0)+IF(LEN(F196)&gt;0,1,0)+IF(LEN(G196)&gt;0,1,0)+IF(LEN(H196)&gt;0,1,0)+IF(LEN(I196)&gt;0,1,0)+IF(LEN(K196)&gt;0,1,0)+IF(LEN(N196)&gt;0,1,0)+IF(LEN(O196)&gt;0,1,0)+IF(LEN(T196)&gt;0,1,0)+IF(LEN(U196)&gt;0,1,0)+IF(LEN(V196)&gt;0,1,0)+IF(LEN(AK196)&gt;0,1,0)+IF(LEN(AM196)&gt;0,1,0)+IF(LEN(AN196)&gt;0,1,0)+IF(LEN(AO196)&gt;0,1,0)+IF(LEN(AP196)&gt;0,1,0)+IF(LEN(AY196)&gt;0,1,0)+IF(LEN(BK196)&gt;0,1,0)+IF(LEN(BX196)&gt;0,1,0))/20,2))</f>
        <v/>
      </c>
      <c r="CD196" s="10" t="str">
        <f aca="false">IF(D196="","",IF(AND(AN196="Approved",ISERROR(SEARCH("FAIL",BH196))),"Y","N"))</f>
        <v/>
      </c>
      <c r="CE196" s="10" t="str">
        <f aca="false">IF(D196="","",D196&amp;"|"&amp;F196&amp;"|"&amp;G196&amp;"|"&amp;H196&amp;"|"&amp;E196&amp;"|"&amp;CD196)</f>
        <v/>
      </c>
    </row>
    <row r="197" customFormat="false" ht="15" hidden="false" customHeight="false" outlineLevel="0" collapsed="false">
      <c r="A197" s="10" t="str">
        <f aca="false">IF(D197="","","EW-"&amp;IFERROR(VLOOKUP(D197,Lists!$P$4:$Q$22,2,0),"??")&amp;"-D"&amp;TEXT(F197*1000,"0000")&amp;"-"&amp;IFERROR(VLOOKUP(G197,Lists!$S$4:$T$21,2,0),"??")&amp;"-"&amp;IFERROR(VLOOKUP(H197,Lists!$Y$4:$Z$21,2,0),"??")&amp;"-"&amp;IFERROR(VLOOKUP(E197,Lists!$V$4:$W$16,2,0),"??")&amp;"-"&amp;AM197)</f>
        <v/>
      </c>
      <c r="B197" s="10" t="str">
        <f aca="false">IF(D197="","",E197&amp;" "&amp;D197&amp;", excavation "&amp;TEXT(F197,"0.0")&amp;" m, "&amp;G197&amp;", "&amp;H197&amp;", "&amp;K197)</f>
        <v/>
      </c>
      <c r="C197" s="9"/>
      <c r="D197" s="9"/>
      <c r="E197" s="9"/>
      <c r="F197" s="42"/>
      <c r="G197" s="9"/>
      <c r="H197" s="9"/>
      <c r="I197" s="42"/>
      <c r="J197" s="38"/>
      <c r="K197" s="9"/>
      <c r="L197" s="9"/>
      <c r="M197" s="9"/>
      <c r="N197" s="42"/>
      <c r="O197" s="42"/>
      <c r="P197" s="9"/>
      <c r="Q197" s="9"/>
      <c r="R197" s="9"/>
      <c r="S197" s="9"/>
      <c r="T197" s="38"/>
      <c r="U197" s="38"/>
      <c r="V197" s="38"/>
      <c r="W197" s="38"/>
      <c r="X197" s="38"/>
      <c r="Y197" s="9"/>
      <c r="Z197" s="39"/>
      <c r="AA197" s="9"/>
      <c r="AB197" s="9"/>
      <c r="AC197" s="9"/>
      <c r="AD197" s="9"/>
      <c r="AE197" s="9"/>
      <c r="AF197" s="9"/>
      <c r="AG197" s="9"/>
      <c r="AH197" s="38"/>
      <c r="AI197" s="9"/>
      <c r="AJ197" s="39"/>
      <c r="AK197" s="9"/>
      <c r="AL197" s="9"/>
      <c r="AM197" s="9"/>
      <c r="AN197" s="9"/>
      <c r="AO197" s="9"/>
      <c r="AP197" s="9"/>
      <c r="AQ197" s="9"/>
      <c r="AR197" s="10" t="str">
        <f aca="false">IF(A197="","",SG_Criteria!$B$6&amp;SG_Criteria!$B$9&amp;"\"&amp;A197&amp;"\")</f>
        <v/>
      </c>
      <c r="AS197" s="10" t="str">
        <f aca="false">IF(A197="","",A197&amp;"_CAD.dwg")</f>
        <v/>
      </c>
      <c r="AT197" s="10" t="str">
        <f aca="false">IF(A197="","",A197&amp;"_DWG.pdf")</f>
        <v/>
      </c>
      <c r="AU197" s="10" t="str">
        <f aca="false">IF(A197="","",IF(AQ197="Y",A197&amp;"_STAAD.std","n/a"))</f>
        <v/>
      </c>
      <c r="AV197" s="10" t="str">
        <f aca="false">IF(A197="","",A197&amp;"_CALC.xlsx")</f>
        <v/>
      </c>
      <c r="AW197" s="10" t="str">
        <f aca="false">IF(A197="","",A197&amp;"_CALC.pdf")</f>
        <v/>
      </c>
      <c r="AX197" s="9"/>
      <c r="AY197" s="9"/>
      <c r="AZ197" s="39"/>
      <c r="BA197" s="39"/>
      <c r="BB197" s="39"/>
      <c r="BC197" s="39"/>
      <c r="BD197" s="39"/>
      <c r="BE197" s="12" t="str">
        <f aca="false">IF(A197="","",IF(COUNTIF(Rebar_Schedule!$A$5:$A$2004,A197)=0,"",ROUND(SUMIF(Rebar_Schedule!$A$5:$A$2004,A197,Rebar_Schedule!$K$5:$K$2004),1)))</f>
        <v/>
      </c>
      <c r="BF197" s="33" t="str">
        <f aca="false">IF(A197="","",IF(BE197="","No rebar schedule yet",IF(ABS(BE197-N(BA197))/MAX(N(BA197),1)&gt;SG_Criteria!$B$55,"NOTE: register rebar differs from schedule by "&amp;TEXT(ABS(BE197-N(BA197))/MAX(N(BA197),1),"0%"),"OK")))</f>
        <v/>
      </c>
      <c r="BG197" s="33" t="str">
        <f aca="false">IF(OR(D197="",F197=""),"",IF(F197&lt;=IF(D197="Soldier Pile &amp; Timber Lagging",SG_Criteria!$B$34,SG_Criteria!$B$33),"No ERSS submission",IF(F197&lt;=SG_Criteria!$B$35,"QP(ST)",IF(F197&lt;=SG_Criteria!$B$36,"QP(ST) + AC","Geotechnical building works: QP(Geo) + AC"))))</f>
        <v/>
      </c>
      <c r="BH197" s="33" t="str">
        <f aca="false">IF(D197="","",IF(LEN(IF(AND(AC197&lt;&gt;"",IFERROR(VALUE(MID(AC197,2,2)),0)&lt;SG_Criteria!$B$19),"FAIL: grade below C"&amp;SG_Criteria!$B$19&amp;". ","")&amp;IF(AND(LEFT(D197,3)="Con",N(I197)&lt;F197,H197="Kallang Formation (marine clay)"),"NOTE: CBP is not watertight below GWT in marine clay; consider secant / grouting. ","")&amp;IF(AND(D197="Steel Sheet Pile",E197="Permanent"),"NOTE: permanent sheet pile needs corrosion allowance. ","")&amp;IF(AND(G197="Cantilever (no support)",F197&gt;6),"NOTE: cantilever embedded wall &gt; 6 m, check deflection. ","")&amp;IF(AND(T197&lt;&gt;"",U197&lt;&gt;"",T197&gt;U197),"FAIL: deflection exceeds allowable. ",""))=0,"OK",IF(AND(AC197&lt;&gt;"",IFERROR(VALUE(MID(AC197,2,2)),0)&lt;SG_Criteria!$B$19),"FAIL: grade below C"&amp;SG_Criteria!$B$19&amp;". ","")&amp;IF(AND(LEFT(D197,3)="Con",N(I197)&lt;F197,H197="Kallang Formation (marine clay)"),"NOTE: CBP is not watertight below GWT in marine clay; consider secant / grouting. ","")&amp;IF(AND(D197="Steel Sheet Pile",E197="Permanent"),"NOTE: permanent sheet pile needs corrosion allowance. ","")&amp;IF(AND(G197="Cantilever (no support)",F197&gt;6),"NOTE: cantilever embedded wall &gt; 6 m, check deflection. ","")&amp;IF(AND(T197&lt;&gt;"",U197&lt;&gt;"",T197&gt;U197),"FAIL: deflection exceeds allowable. ","")))</f>
        <v/>
      </c>
      <c r="BI197" s="9"/>
      <c r="BJ197" s="9"/>
      <c r="BK197" s="9"/>
      <c r="BL197" s="10" t="str">
        <f aca="false">IF(BK197="","",IFERROR(VLOOKUP(BK197,Projects!$A$5:$D$504,2,0),"Ref not in Projects"))</f>
        <v/>
      </c>
      <c r="BM197" s="10" t="str">
        <f aca="false">IF(BK197="","",IFERROR(VLOOKUP(BK197,Projects!$A$5:$D$504,4,0),"Ref not in Projects"))</f>
        <v/>
      </c>
      <c r="BN197" s="9"/>
      <c r="BO197" s="9"/>
      <c r="BP197" s="9"/>
      <c r="BQ197" s="40"/>
      <c r="BR197" s="9"/>
      <c r="BS197" s="40"/>
      <c r="BT197" s="9"/>
      <c r="BU197" s="40"/>
      <c r="BV197" s="9"/>
      <c r="BW197" s="9"/>
      <c r="BX197" s="9"/>
      <c r="BY197" s="40"/>
      <c r="BZ197" s="40"/>
      <c r="CA197" s="36" t="str">
        <f aca="false">IF(BZ197="","",EDATE(BZ197,SG_Criteria!$B$54*12))</f>
        <v/>
      </c>
      <c r="CB197" s="33" t="str">
        <f aca="true">IF(A197="","",IF(BZ197="","NOTE: not reviewed yet",IF(TODAY()&gt;CA197,"NOTE: review overdue","OK")))</f>
        <v/>
      </c>
      <c r="CC197" s="37" t="str">
        <f aca="false">IF(A197="","",ROUND((IF(LEN(D197)&gt;0,1,0)+IF(LEN(E197)&gt;0,1,0)+IF(LEN(F197)&gt;0,1,0)+IF(LEN(G197)&gt;0,1,0)+IF(LEN(H197)&gt;0,1,0)+IF(LEN(I197)&gt;0,1,0)+IF(LEN(K197)&gt;0,1,0)+IF(LEN(N197)&gt;0,1,0)+IF(LEN(O197)&gt;0,1,0)+IF(LEN(T197)&gt;0,1,0)+IF(LEN(U197)&gt;0,1,0)+IF(LEN(V197)&gt;0,1,0)+IF(LEN(AK197)&gt;0,1,0)+IF(LEN(AM197)&gt;0,1,0)+IF(LEN(AN197)&gt;0,1,0)+IF(LEN(AO197)&gt;0,1,0)+IF(LEN(AP197)&gt;0,1,0)+IF(LEN(AY197)&gt;0,1,0)+IF(LEN(BK197)&gt;0,1,0)+IF(LEN(BX197)&gt;0,1,0))/20,2))</f>
        <v/>
      </c>
      <c r="CD197" s="10" t="str">
        <f aca="false">IF(D197="","",IF(AND(AN197="Approved",ISERROR(SEARCH("FAIL",BH197))),"Y","N"))</f>
        <v/>
      </c>
      <c r="CE197" s="10" t="str">
        <f aca="false">IF(D197="","",D197&amp;"|"&amp;F197&amp;"|"&amp;G197&amp;"|"&amp;H197&amp;"|"&amp;E197&amp;"|"&amp;CD197)</f>
        <v/>
      </c>
    </row>
    <row r="198" customFormat="false" ht="15" hidden="false" customHeight="false" outlineLevel="0" collapsed="false">
      <c r="A198" s="10" t="str">
        <f aca="false">IF(D198="","","EW-"&amp;IFERROR(VLOOKUP(D198,Lists!$P$4:$Q$22,2,0),"??")&amp;"-D"&amp;TEXT(F198*1000,"0000")&amp;"-"&amp;IFERROR(VLOOKUP(G198,Lists!$S$4:$T$21,2,0),"??")&amp;"-"&amp;IFERROR(VLOOKUP(H198,Lists!$Y$4:$Z$21,2,0),"??")&amp;"-"&amp;IFERROR(VLOOKUP(E198,Lists!$V$4:$W$16,2,0),"??")&amp;"-"&amp;AM198)</f>
        <v/>
      </c>
      <c r="B198" s="10" t="str">
        <f aca="false">IF(D198="","",E198&amp;" "&amp;D198&amp;", excavation "&amp;TEXT(F198,"0.0")&amp;" m, "&amp;G198&amp;", "&amp;H198&amp;", "&amp;K198)</f>
        <v/>
      </c>
      <c r="C198" s="9"/>
      <c r="D198" s="9"/>
      <c r="E198" s="9"/>
      <c r="F198" s="42"/>
      <c r="G198" s="9"/>
      <c r="H198" s="9"/>
      <c r="I198" s="42"/>
      <c r="J198" s="38"/>
      <c r="K198" s="9"/>
      <c r="L198" s="9"/>
      <c r="M198" s="9"/>
      <c r="N198" s="42"/>
      <c r="O198" s="42"/>
      <c r="P198" s="9"/>
      <c r="Q198" s="9"/>
      <c r="R198" s="9"/>
      <c r="S198" s="9"/>
      <c r="T198" s="38"/>
      <c r="U198" s="38"/>
      <c r="V198" s="38"/>
      <c r="W198" s="38"/>
      <c r="X198" s="38"/>
      <c r="Y198" s="9"/>
      <c r="Z198" s="39"/>
      <c r="AA198" s="9"/>
      <c r="AB198" s="9"/>
      <c r="AC198" s="9"/>
      <c r="AD198" s="9"/>
      <c r="AE198" s="9"/>
      <c r="AF198" s="9"/>
      <c r="AG198" s="9"/>
      <c r="AH198" s="38"/>
      <c r="AI198" s="9"/>
      <c r="AJ198" s="39"/>
      <c r="AK198" s="9"/>
      <c r="AL198" s="9"/>
      <c r="AM198" s="9"/>
      <c r="AN198" s="9"/>
      <c r="AO198" s="9"/>
      <c r="AP198" s="9"/>
      <c r="AQ198" s="9"/>
      <c r="AR198" s="10" t="str">
        <f aca="false">IF(A198="","",SG_Criteria!$B$6&amp;SG_Criteria!$B$9&amp;"\"&amp;A198&amp;"\")</f>
        <v/>
      </c>
      <c r="AS198" s="10" t="str">
        <f aca="false">IF(A198="","",A198&amp;"_CAD.dwg")</f>
        <v/>
      </c>
      <c r="AT198" s="10" t="str">
        <f aca="false">IF(A198="","",A198&amp;"_DWG.pdf")</f>
        <v/>
      </c>
      <c r="AU198" s="10" t="str">
        <f aca="false">IF(A198="","",IF(AQ198="Y",A198&amp;"_STAAD.std","n/a"))</f>
        <v/>
      </c>
      <c r="AV198" s="10" t="str">
        <f aca="false">IF(A198="","",A198&amp;"_CALC.xlsx")</f>
        <v/>
      </c>
      <c r="AW198" s="10" t="str">
        <f aca="false">IF(A198="","",A198&amp;"_CALC.pdf")</f>
        <v/>
      </c>
      <c r="AX198" s="9"/>
      <c r="AY198" s="9"/>
      <c r="AZ198" s="39"/>
      <c r="BA198" s="39"/>
      <c r="BB198" s="39"/>
      <c r="BC198" s="39"/>
      <c r="BD198" s="39"/>
      <c r="BE198" s="12" t="str">
        <f aca="false">IF(A198="","",IF(COUNTIF(Rebar_Schedule!$A$5:$A$2004,A198)=0,"",ROUND(SUMIF(Rebar_Schedule!$A$5:$A$2004,A198,Rebar_Schedule!$K$5:$K$2004),1)))</f>
        <v/>
      </c>
      <c r="BF198" s="33" t="str">
        <f aca="false">IF(A198="","",IF(BE198="","No rebar schedule yet",IF(ABS(BE198-N(BA198))/MAX(N(BA198),1)&gt;SG_Criteria!$B$55,"NOTE: register rebar differs from schedule by "&amp;TEXT(ABS(BE198-N(BA198))/MAX(N(BA198),1),"0%"),"OK")))</f>
        <v/>
      </c>
      <c r="BG198" s="33" t="str">
        <f aca="false">IF(OR(D198="",F198=""),"",IF(F198&lt;=IF(D198="Soldier Pile &amp; Timber Lagging",SG_Criteria!$B$34,SG_Criteria!$B$33),"No ERSS submission",IF(F198&lt;=SG_Criteria!$B$35,"QP(ST)",IF(F198&lt;=SG_Criteria!$B$36,"QP(ST) + AC","Geotechnical building works: QP(Geo) + AC"))))</f>
        <v/>
      </c>
      <c r="BH198" s="33" t="str">
        <f aca="false">IF(D198="","",IF(LEN(IF(AND(AC198&lt;&gt;"",IFERROR(VALUE(MID(AC198,2,2)),0)&lt;SG_Criteria!$B$19),"FAIL: grade below C"&amp;SG_Criteria!$B$19&amp;". ","")&amp;IF(AND(LEFT(D198,3)="Con",N(I198)&lt;F198,H198="Kallang Formation (marine clay)"),"NOTE: CBP is not watertight below GWT in marine clay; consider secant / grouting. ","")&amp;IF(AND(D198="Steel Sheet Pile",E198="Permanent"),"NOTE: permanent sheet pile needs corrosion allowance. ","")&amp;IF(AND(G198="Cantilever (no support)",F198&gt;6),"NOTE: cantilever embedded wall &gt; 6 m, check deflection. ","")&amp;IF(AND(T198&lt;&gt;"",U198&lt;&gt;"",T198&gt;U198),"FAIL: deflection exceeds allowable. ",""))=0,"OK",IF(AND(AC198&lt;&gt;"",IFERROR(VALUE(MID(AC198,2,2)),0)&lt;SG_Criteria!$B$19),"FAIL: grade below C"&amp;SG_Criteria!$B$19&amp;". ","")&amp;IF(AND(LEFT(D198,3)="Con",N(I198)&lt;F198,H198="Kallang Formation (marine clay)"),"NOTE: CBP is not watertight below GWT in marine clay; consider secant / grouting. ","")&amp;IF(AND(D198="Steel Sheet Pile",E198="Permanent"),"NOTE: permanent sheet pile needs corrosion allowance. ","")&amp;IF(AND(G198="Cantilever (no support)",F198&gt;6),"NOTE: cantilever embedded wall &gt; 6 m, check deflection. ","")&amp;IF(AND(T198&lt;&gt;"",U198&lt;&gt;"",T198&gt;U198),"FAIL: deflection exceeds allowable. ","")))</f>
        <v/>
      </c>
      <c r="BI198" s="9"/>
      <c r="BJ198" s="9"/>
      <c r="BK198" s="9"/>
      <c r="BL198" s="10" t="str">
        <f aca="false">IF(BK198="","",IFERROR(VLOOKUP(BK198,Projects!$A$5:$D$504,2,0),"Ref not in Projects"))</f>
        <v/>
      </c>
      <c r="BM198" s="10" t="str">
        <f aca="false">IF(BK198="","",IFERROR(VLOOKUP(BK198,Projects!$A$5:$D$504,4,0),"Ref not in Projects"))</f>
        <v/>
      </c>
      <c r="BN198" s="9"/>
      <c r="BO198" s="9"/>
      <c r="BP198" s="9"/>
      <c r="BQ198" s="40"/>
      <c r="BR198" s="9"/>
      <c r="BS198" s="40"/>
      <c r="BT198" s="9"/>
      <c r="BU198" s="40"/>
      <c r="BV198" s="9"/>
      <c r="BW198" s="9"/>
      <c r="BX198" s="9"/>
      <c r="BY198" s="40"/>
      <c r="BZ198" s="40"/>
      <c r="CA198" s="36" t="str">
        <f aca="false">IF(BZ198="","",EDATE(BZ198,SG_Criteria!$B$54*12))</f>
        <v/>
      </c>
      <c r="CB198" s="33" t="str">
        <f aca="true">IF(A198="","",IF(BZ198="","NOTE: not reviewed yet",IF(TODAY()&gt;CA198,"NOTE: review overdue","OK")))</f>
        <v/>
      </c>
      <c r="CC198" s="37" t="str">
        <f aca="false">IF(A198="","",ROUND((IF(LEN(D198)&gt;0,1,0)+IF(LEN(E198)&gt;0,1,0)+IF(LEN(F198)&gt;0,1,0)+IF(LEN(G198)&gt;0,1,0)+IF(LEN(H198)&gt;0,1,0)+IF(LEN(I198)&gt;0,1,0)+IF(LEN(K198)&gt;0,1,0)+IF(LEN(N198)&gt;0,1,0)+IF(LEN(O198)&gt;0,1,0)+IF(LEN(T198)&gt;0,1,0)+IF(LEN(U198)&gt;0,1,0)+IF(LEN(V198)&gt;0,1,0)+IF(LEN(AK198)&gt;0,1,0)+IF(LEN(AM198)&gt;0,1,0)+IF(LEN(AN198)&gt;0,1,0)+IF(LEN(AO198)&gt;0,1,0)+IF(LEN(AP198)&gt;0,1,0)+IF(LEN(AY198)&gt;0,1,0)+IF(LEN(BK198)&gt;0,1,0)+IF(LEN(BX198)&gt;0,1,0))/20,2))</f>
        <v/>
      </c>
      <c r="CD198" s="10" t="str">
        <f aca="false">IF(D198="","",IF(AND(AN198="Approved",ISERROR(SEARCH("FAIL",BH198))),"Y","N"))</f>
        <v/>
      </c>
      <c r="CE198" s="10" t="str">
        <f aca="false">IF(D198="","",D198&amp;"|"&amp;F198&amp;"|"&amp;G198&amp;"|"&amp;H198&amp;"|"&amp;E198&amp;"|"&amp;CD198)</f>
        <v/>
      </c>
    </row>
    <row r="199" customFormat="false" ht="15" hidden="false" customHeight="false" outlineLevel="0" collapsed="false">
      <c r="A199" s="10" t="str">
        <f aca="false">IF(D199="","","EW-"&amp;IFERROR(VLOOKUP(D199,Lists!$P$4:$Q$22,2,0),"??")&amp;"-D"&amp;TEXT(F199*1000,"0000")&amp;"-"&amp;IFERROR(VLOOKUP(G199,Lists!$S$4:$T$21,2,0),"??")&amp;"-"&amp;IFERROR(VLOOKUP(H199,Lists!$Y$4:$Z$21,2,0),"??")&amp;"-"&amp;IFERROR(VLOOKUP(E199,Lists!$V$4:$W$16,2,0),"??")&amp;"-"&amp;AM199)</f>
        <v/>
      </c>
      <c r="B199" s="10" t="str">
        <f aca="false">IF(D199="","",E199&amp;" "&amp;D199&amp;", excavation "&amp;TEXT(F199,"0.0")&amp;" m, "&amp;G199&amp;", "&amp;H199&amp;", "&amp;K199)</f>
        <v/>
      </c>
      <c r="C199" s="9"/>
      <c r="D199" s="9"/>
      <c r="E199" s="9"/>
      <c r="F199" s="42"/>
      <c r="G199" s="9"/>
      <c r="H199" s="9"/>
      <c r="I199" s="42"/>
      <c r="J199" s="38"/>
      <c r="K199" s="9"/>
      <c r="L199" s="9"/>
      <c r="M199" s="9"/>
      <c r="N199" s="42"/>
      <c r="O199" s="42"/>
      <c r="P199" s="9"/>
      <c r="Q199" s="9"/>
      <c r="R199" s="9"/>
      <c r="S199" s="9"/>
      <c r="T199" s="38"/>
      <c r="U199" s="38"/>
      <c r="V199" s="38"/>
      <c r="W199" s="38"/>
      <c r="X199" s="38"/>
      <c r="Y199" s="9"/>
      <c r="Z199" s="39"/>
      <c r="AA199" s="9"/>
      <c r="AB199" s="9"/>
      <c r="AC199" s="9"/>
      <c r="AD199" s="9"/>
      <c r="AE199" s="9"/>
      <c r="AF199" s="9"/>
      <c r="AG199" s="9"/>
      <c r="AH199" s="38"/>
      <c r="AI199" s="9"/>
      <c r="AJ199" s="39"/>
      <c r="AK199" s="9"/>
      <c r="AL199" s="9"/>
      <c r="AM199" s="9"/>
      <c r="AN199" s="9"/>
      <c r="AO199" s="9"/>
      <c r="AP199" s="9"/>
      <c r="AQ199" s="9"/>
      <c r="AR199" s="10" t="str">
        <f aca="false">IF(A199="","",SG_Criteria!$B$6&amp;SG_Criteria!$B$9&amp;"\"&amp;A199&amp;"\")</f>
        <v/>
      </c>
      <c r="AS199" s="10" t="str">
        <f aca="false">IF(A199="","",A199&amp;"_CAD.dwg")</f>
        <v/>
      </c>
      <c r="AT199" s="10" t="str">
        <f aca="false">IF(A199="","",A199&amp;"_DWG.pdf")</f>
        <v/>
      </c>
      <c r="AU199" s="10" t="str">
        <f aca="false">IF(A199="","",IF(AQ199="Y",A199&amp;"_STAAD.std","n/a"))</f>
        <v/>
      </c>
      <c r="AV199" s="10" t="str">
        <f aca="false">IF(A199="","",A199&amp;"_CALC.xlsx")</f>
        <v/>
      </c>
      <c r="AW199" s="10" t="str">
        <f aca="false">IF(A199="","",A199&amp;"_CALC.pdf")</f>
        <v/>
      </c>
      <c r="AX199" s="9"/>
      <c r="AY199" s="9"/>
      <c r="AZ199" s="39"/>
      <c r="BA199" s="39"/>
      <c r="BB199" s="39"/>
      <c r="BC199" s="39"/>
      <c r="BD199" s="39"/>
      <c r="BE199" s="12" t="str">
        <f aca="false">IF(A199="","",IF(COUNTIF(Rebar_Schedule!$A$5:$A$2004,A199)=0,"",ROUND(SUMIF(Rebar_Schedule!$A$5:$A$2004,A199,Rebar_Schedule!$K$5:$K$2004),1)))</f>
        <v/>
      </c>
      <c r="BF199" s="33" t="str">
        <f aca="false">IF(A199="","",IF(BE199="","No rebar schedule yet",IF(ABS(BE199-N(BA199))/MAX(N(BA199),1)&gt;SG_Criteria!$B$55,"NOTE: register rebar differs from schedule by "&amp;TEXT(ABS(BE199-N(BA199))/MAX(N(BA199),1),"0%"),"OK")))</f>
        <v/>
      </c>
      <c r="BG199" s="33" t="str">
        <f aca="false">IF(OR(D199="",F199=""),"",IF(F199&lt;=IF(D199="Soldier Pile &amp; Timber Lagging",SG_Criteria!$B$34,SG_Criteria!$B$33),"No ERSS submission",IF(F199&lt;=SG_Criteria!$B$35,"QP(ST)",IF(F199&lt;=SG_Criteria!$B$36,"QP(ST) + AC","Geotechnical building works: QP(Geo) + AC"))))</f>
        <v/>
      </c>
      <c r="BH199" s="33" t="str">
        <f aca="false">IF(D199="","",IF(LEN(IF(AND(AC199&lt;&gt;"",IFERROR(VALUE(MID(AC199,2,2)),0)&lt;SG_Criteria!$B$19),"FAIL: grade below C"&amp;SG_Criteria!$B$19&amp;". ","")&amp;IF(AND(LEFT(D199,3)="Con",N(I199)&lt;F199,H199="Kallang Formation (marine clay)"),"NOTE: CBP is not watertight below GWT in marine clay; consider secant / grouting. ","")&amp;IF(AND(D199="Steel Sheet Pile",E199="Permanent"),"NOTE: permanent sheet pile needs corrosion allowance. ","")&amp;IF(AND(G199="Cantilever (no support)",F199&gt;6),"NOTE: cantilever embedded wall &gt; 6 m, check deflection. ","")&amp;IF(AND(T199&lt;&gt;"",U199&lt;&gt;"",T199&gt;U199),"FAIL: deflection exceeds allowable. ",""))=0,"OK",IF(AND(AC199&lt;&gt;"",IFERROR(VALUE(MID(AC199,2,2)),0)&lt;SG_Criteria!$B$19),"FAIL: grade below C"&amp;SG_Criteria!$B$19&amp;". ","")&amp;IF(AND(LEFT(D199,3)="Con",N(I199)&lt;F199,H199="Kallang Formation (marine clay)"),"NOTE: CBP is not watertight below GWT in marine clay; consider secant / grouting. ","")&amp;IF(AND(D199="Steel Sheet Pile",E199="Permanent"),"NOTE: permanent sheet pile needs corrosion allowance. ","")&amp;IF(AND(G199="Cantilever (no support)",F199&gt;6),"NOTE: cantilever embedded wall &gt; 6 m, check deflection. ","")&amp;IF(AND(T199&lt;&gt;"",U199&lt;&gt;"",T199&gt;U199),"FAIL: deflection exceeds allowable. ","")))</f>
        <v/>
      </c>
      <c r="BI199" s="9"/>
      <c r="BJ199" s="9"/>
      <c r="BK199" s="9"/>
      <c r="BL199" s="10" t="str">
        <f aca="false">IF(BK199="","",IFERROR(VLOOKUP(BK199,Projects!$A$5:$D$504,2,0),"Ref not in Projects"))</f>
        <v/>
      </c>
      <c r="BM199" s="10" t="str">
        <f aca="false">IF(BK199="","",IFERROR(VLOOKUP(BK199,Projects!$A$5:$D$504,4,0),"Ref not in Projects"))</f>
        <v/>
      </c>
      <c r="BN199" s="9"/>
      <c r="BO199" s="9"/>
      <c r="BP199" s="9"/>
      <c r="BQ199" s="40"/>
      <c r="BR199" s="9"/>
      <c r="BS199" s="40"/>
      <c r="BT199" s="9"/>
      <c r="BU199" s="40"/>
      <c r="BV199" s="9"/>
      <c r="BW199" s="9"/>
      <c r="BX199" s="9"/>
      <c r="BY199" s="40"/>
      <c r="BZ199" s="40"/>
      <c r="CA199" s="36" t="str">
        <f aca="false">IF(BZ199="","",EDATE(BZ199,SG_Criteria!$B$54*12))</f>
        <v/>
      </c>
      <c r="CB199" s="33" t="str">
        <f aca="true">IF(A199="","",IF(BZ199="","NOTE: not reviewed yet",IF(TODAY()&gt;CA199,"NOTE: review overdue","OK")))</f>
        <v/>
      </c>
      <c r="CC199" s="37" t="str">
        <f aca="false">IF(A199="","",ROUND((IF(LEN(D199)&gt;0,1,0)+IF(LEN(E199)&gt;0,1,0)+IF(LEN(F199)&gt;0,1,0)+IF(LEN(G199)&gt;0,1,0)+IF(LEN(H199)&gt;0,1,0)+IF(LEN(I199)&gt;0,1,0)+IF(LEN(K199)&gt;0,1,0)+IF(LEN(N199)&gt;0,1,0)+IF(LEN(O199)&gt;0,1,0)+IF(LEN(T199)&gt;0,1,0)+IF(LEN(U199)&gt;0,1,0)+IF(LEN(V199)&gt;0,1,0)+IF(LEN(AK199)&gt;0,1,0)+IF(LEN(AM199)&gt;0,1,0)+IF(LEN(AN199)&gt;0,1,0)+IF(LEN(AO199)&gt;0,1,0)+IF(LEN(AP199)&gt;0,1,0)+IF(LEN(AY199)&gt;0,1,0)+IF(LEN(BK199)&gt;0,1,0)+IF(LEN(BX199)&gt;0,1,0))/20,2))</f>
        <v/>
      </c>
      <c r="CD199" s="10" t="str">
        <f aca="false">IF(D199="","",IF(AND(AN199="Approved",ISERROR(SEARCH("FAIL",BH199))),"Y","N"))</f>
        <v/>
      </c>
      <c r="CE199" s="10" t="str">
        <f aca="false">IF(D199="","",D199&amp;"|"&amp;F199&amp;"|"&amp;G199&amp;"|"&amp;H199&amp;"|"&amp;E199&amp;"|"&amp;CD199)</f>
        <v/>
      </c>
    </row>
    <row r="200" customFormat="false" ht="15" hidden="false" customHeight="false" outlineLevel="0" collapsed="false">
      <c r="A200" s="10" t="str">
        <f aca="false">IF(D200="","","EW-"&amp;IFERROR(VLOOKUP(D200,Lists!$P$4:$Q$22,2,0),"??")&amp;"-D"&amp;TEXT(F200*1000,"0000")&amp;"-"&amp;IFERROR(VLOOKUP(G200,Lists!$S$4:$T$21,2,0),"??")&amp;"-"&amp;IFERROR(VLOOKUP(H200,Lists!$Y$4:$Z$21,2,0),"??")&amp;"-"&amp;IFERROR(VLOOKUP(E200,Lists!$V$4:$W$16,2,0),"??")&amp;"-"&amp;AM200)</f>
        <v/>
      </c>
      <c r="B200" s="10" t="str">
        <f aca="false">IF(D200="","",E200&amp;" "&amp;D200&amp;", excavation "&amp;TEXT(F200,"0.0")&amp;" m, "&amp;G200&amp;", "&amp;H200&amp;", "&amp;K200)</f>
        <v/>
      </c>
      <c r="C200" s="9"/>
      <c r="D200" s="9"/>
      <c r="E200" s="9"/>
      <c r="F200" s="42"/>
      <c r="G200" s="9"/>
      <c r="H200" s="9"/>
      <c r="I200" s="42"/>
      <c r="J200" s="38"/>
      <c r="K200" s="9"/>
      <c r="L200" s="9"/>
      <c r="M200" s="9"/>
      <c r="N200" s="42"/>
      <c r="O200" s="42"/>
      <c r="P200" s="9"/>
      <c r="Q200" s="9"/>
      <c r="R200" s="9"/>
      <c r="S200" s="9"/>
      <c r="T200" s="38"/>
      <c r="U200" s="38"/>
      <c r="V200" s="38"/>
      <c r="W200" s="38"/>
      <c r="X200" s="38"/>
      <c r="Y200" s="9"/>
      <c r="Z200" s="39"/>
      <c r="AA200" s="9"/>
      <c r="AB200" s="9"/>
      <c r="AC200" s="9"/>
      <c r="AD200" s="9"/>
      <c r="AE200" s="9"/>
      <c r="AF200" s="9"/>
      <c r="AG200" s="9"/>
      <c r="AH200" s="38"/>
      <c r="AI200" s="9"/>
      <c r="AJ200" s="39"/>
      <c r="AK200" s="9"/>
      <c r="AL200" s="9"/>
      <c r="AM200" s="9"/>
      <c r="AN200" s="9"/>
      <c r="AO200" s="9"/>
      <c r="AP200" s="9"/>
      <c r="AQ200" s="9"/>
      <c r="AR200" s="10" t="str">
        <f aca="false">IF(A200="","",SG_Criteria!$B$6&amp;SG_Criteria!$B$9&amp;"\"&amp;A200&amp;"\")</f>
        <v/>
      </c>
      <c r="AS200" s="10" t="str">
        <f aca="false">IF(A200="","",A200&amp;"_CAD.dwg")</f>
        <v/>
      </c>
      <c r="AT200" s="10" t="str">
        <f aca="false">IF(A200="","",A200&amp;"_DWG.pdf")</f>
        <v/>
      </c>
      <c r="AU200" s="10" t="str">
        <f aca="false">IF(A200="","",IF(AQ200="Y",A200&amp;"_STAAD.std","n/a"))</f>
        <v/>
      </c>
      <c r="AV200" s="10" t="str">
        <f aca="false">IF(A200="","",A200&amp;"_CALC.xlsx")</f>
        <v/>
      </c>
      <c r="AW200" s="10" t="str">
        <f aca="false">IF(A200="","",A200&amp;"_CALC.pdf")</f>
        <v/>
      </c>
      <c r="AX200" s="9"/>
      <c r="AY200" s="9"/>
      <c r="AZ200" s="39"/>
      <c r="BA200" s="39"/>
      <c r="BB200" s="39"/>
      <c r="BC200" s="39"/>
      <c r="BD200" s="39"/>
      <c r="BE200" s="12" t="str">
        <f aca="false">IF(A200="","",IF(COUNTIF(Rebar_Schedule!$A$5:$A$2004,A200)=0,"",ROUND(SUMIF(Rebar_Schedule!$A$5:$A$2004,A200,Rebar_Schedule!$K$5:$K$2004),1)))</f>
        <v/>
      </c>
      <c r="BF200" s="33" t="str">
        <f aca="false">IF(A200="","",IF(BE200="","No rebar schedule yet",IF(ABS(BE200-N(BA200))/MAX(N(BA200),1)&gt;SG_Criteria!$B$55,"NOTE: register rebar differs from schedule by "&amp;TEXT(ABS(BE200-N(BA200))/MAX(N(BA200),1),"0%"),"OK")))</f>
        <v/>
      </c>
      <c r="BG200" s="33" t="str">
        <f aca="false">IF(OR(D200="",F200=""),"",IF(F200&lt;=IF(D200="Soldier Pile &amp; Timber Lagging",SG_Criteria!$B$34,SG_Criteria!$B$33),"No ERSS submission",IF(F200&lt;=SG_Criteria!$B$35,"QP(ST)",IF(F200&lt;=SG_Criteria!$B$36,"QP(ST) + AC","Geotechnical building works: QP(Geo) + AC"))))</f>
        <v/>
      </c>
      <c r="BH200" s="33" t="str">
        <f aca="false">IF(D200="","",IF(LEN(IF(AND(AC200&lt;&gt;"",IFERROR(VALUE(MID(AC200,2,2)),0)&lt;SG_Criteria!$B$19),"FAIL: grade below C"&amp;SG_Criteria!$B$19&amp;". ","")&amp;IF(AND(LEFT(D200,3)="Con",N(I200)&lt;F200,H200="Kallang Formation (marine clay)"),"NOTE: CBP is not watertight below GWT in marine clay; consider secant / grouting. ","")&amp;IF(AND(D200="Steel Sheet Pile",E200="Permanent"),"NOTE: permanent sheet pile needs corrosion allowance. ","")&amp;IF(AND(G200="Cantilever (no support)",F200&gt;6),"NOTE: cantilever embedded wall &gt; 6 m, check deflection. ","")&amp;IF(AND(T200&lt;&gt;"",U200&lt;&gt;"",T200&gt;U200),"FAIL: deflection exceeds allowable. ",""))=0,"OK",IF(AND(AC200&lt;&gt;"",IFERROR(VALUE(MID(AC200,2,2)),0)&lt;SG_Criteria!$B$19),"FAIL: grade below C"&amp;SG_Criteria!$B$19&amp;". ","")&amp;IF(AND(LEFT(D200,3)="Con",N(I200)&lt;F200,H200="Kallang Formation (marine clay)"),"NOTE: CBP is not watertight below GWT in marine clay; consider secant / grouting. ","")&amp;IF(AND(D200="Steel Sheet Pile",E200="Permanent"),"NOTE: permanent sheet pile needs corrosion allowance. ","")&amp;IF(AND(G200="Cantilever (no support)",F200&gt;6),"NOTE: cantilever embedded wall &gt; 6 m, check deflection. ","")&amp;IF(AND(T200&lt;&gt;"",U200&lt;&gt;"",T200&gt;U200),"FAIL: deflection exceeds allowable. ","")))</f>
        <v/>
      </c>
      <c r="BI200" s="9"/>
      <c r="BJ200" s="9"/>
      <c r="BK200" s="9"/>
      <c r="BL200" s="10" t="str">
        <f aca="false">IF(BK200="","",IFERROR(VLOOKUP(BK200,Projects!$A$5:$D$504,2,0),"Ref not in Projects"))</f>
        <v/>
      </c>
      <c r="BM200" s="10" t="str">
        <f aca="false">IF(BK200="","",IFERROR(VLOOKUP(BK200,Projects!$A$5:$D$504,4,0),"Ref not in Projects"))</f>
        <v/>
      </c>
      <c r="BN200" s="9"/>
      <c r="BO200" s="9"/>
      <c r="BP200" s="9"/>
      <c r="BQ200" s="40"/>
      <c r="BR200" s="9"/>
      <c r="BS200" s="40"/>
      <c r="BT200" s="9"/>
      <c r="BU200" s="40"/>
      <c r="BV200" s="9"/>
      <c r="BW200" s="9"/>
      <c r="BX200" s="9"/>
      <c r="BY200" s="40"/>
      <c r="BZ200" s="40"/>
      <c r="CA200" s="36" t="str">
        <f aca="false">IF(BZ200="","",EDATE(BZ200,SG_Criteria!$B$54*12))</f>
        <v/>
      </c>
      <c r="CB200" s="33" t="str">
        <f aca="true">IF(A200="","",IF(BZ200="","NOTE: not reviewed yet",IF(TODAY()&gt;CA200,"NOTE: review overdue","OK")))</f>
        <v/>
      </c>
      <c r="CC200" s="37" t="str">
        <f aca="false">IF(A200="","",ROUND((IF(LEN(D200)&gt;0,1,0)+IF(LEN(E200)&gt;0,1,0)+IF(LEN(F200)&gt;0,1,0)+IF(LEN(G200)&gt;0,1,0)+IF(LEN(H200)&gt;0,1,0)+IF(LEN(I200)&gt;0,1,0)+IF(LEN(K200)&gt;0,1,0)+IF(LEN(N200)&gt;0,1,0)+IF(LEN(O200)&gt;0,1,0)+IF(LEN(T200)&gt;0,1,0)+IF(LEN(U200)&gt;0,1,0)+IF(LEN(V200)&gt;0,1,0)+IF(LEN(AK200)&gt;0,1,0)+IF(LEN(AM200)&gt;0,1,0)+IF(LEN(AN200)&gt;0,1,0)+IF(LEN(AO200)&gt;0,1,0)+IF(LEN(AP200)&gt;0,1,0)+IF(LEN(AY200)&gt;0,1,0)+IF(LEN(BK200)&gt;0,1,0)+IF(LEN(BX200)&gt;0,1,0))/20,2))</f>
        <v/>
      </c>
      <c r="CD200" s="10" t="str">
        <f aca="false">IF(D200="","",IF(AND(AN200="Approved",ISERROR(SEARCH("FAIL",BH200))),"Y","N"))</f>
        <v/>
      </c>
      <c r="CE200" s="10" t="str">
        <f aca="false">IF(D200="","",D200&amp;"|"&amp;F200&amp;"|"&amp;G200&amp;"|"&amp;H200&amp;"|"&amp;E200&amp;"|"&amp;CD200)</f>
        <v/>
      </c>
    </row>
    <row r="201" customFormat="false" ht="15" hidden="false" customHeight="false" outlineLevel="0" collapsed="false">
      <c r="A201" s="10" t="str">
        <f aca="false">IF(D201="","","EW-"&amp;IFERROR(VLOOKUP(D201,Lists!$P$4:$Q$22,2,0),"??")&amp;"-D"&amp;TEXT(F201*1000,"0000")&amp;"-"&amp;IFERROR(VLOOKUP(G201,Lists!$S$4:$T$21,2,0),"??")&amp;"-"&amp;IFERROR(VLOOKUP(H201,Lists!$Y$4:$Z$21,2,0),"??")&amp;"-"&amp;IFERROR(VLOOKUP(E201,Lists!$V$4:$W$16,2,0),"??")&amp;"-"&amp;AM201)</f>
        <v/>
      </c>
      <c r="B201" s="10" t="str">
        <f aca="false">IF(D201="","",E201&amp;" "&amp;D201&amp;", excavation "&amp;TEXT(F201,"0.0")&amp;" m, "&amp;G201&amp;", "&amp;H201&amp;", "&amp;K201)</f>
        <v/>
      </c>
      <c r="C201" s="9"/>
      <c r="D201" s="9"/>
      <c r="E201" s="9"/>
      <c r="F201" s="42"/>
      <c r="G201" s="9"/>
      <c r="H201" s="9"/>
      <c r="I201" s="42"/>
      <c r="J201" s="38"/>
      <c r="K201" s="9"/>
      <c r="L201" s="9"/>
      <c r="M201" s="9"/>
      <c r="N201" s="42"/>
      <c r="O201" s="42"/>
      <c r="P201" s="9"/>
      <c r="Q201" s="9"/>
      <c r="R201" s="9"/>
      <c r="S201" s="9"/>
      <c r="T201" s="38"/>
      <c r="U201" s="38"/>
      <c r="V201" s="38"/>
      <c r="W201" s="38"/>
      <c r="X201" s="38"/>
      <c r="Y201" s="9"/>
      <c r="Z201" s="39"/>
      <c r="AA201" s="9"/>
      <c r="AB201" s="9"/>
      <c r="AC201" s="9"/>
      <c r="AD201" s="9"/>
      <c r="AE201" s="9"/>
      <c r="AF201" s="9"/>
      <c r="AG201" s="9"/>
      <c r="AH201" s="38"/>
      <c r="AI201" s="9"/>
      <c r="AJ201" s="39"/>
      <c r="AK201" s="9"/>
      <c r="AL201" s="9"/>
      <c r="AM201" s="9"/>
      <c r="AN201" s="9"/>
      <c r="AO201" s="9"/>
      <c r="AP201" s="9"/>
      <c r="AQ201" s="9"/>
      <c r="AR201" s="10" t="str">
        <f aca="false">IF(A201="","",SG_Criteria!$B$6&amp;SG_Criteria!$B$9&amp;"\"&amp;A201&amp;"\")</f>
        <v/>
      </c>
      <c r="AS201" s="10" t="str">
        <f aca="false">IF(A201="","",A201&amp;"_CAD.dwg")</f>
        <v/>
      </c>
      <c r="AT201" s="10" t="str">
        <f aca="false">IF(A201="","",A201&amp;"_DWG.pdf")</f>
        <v/>
      </c>
      <c r="AU201" s="10" t="str">
        <f aca="false">IF(A201="","",IF(AQ201="Y",A201&amp;"_STAAD.std","n/a"))</f>
        <v/>
      </c>
      <c r="AV201" s="10" t="str">
        <f aca="false">IF(A201="","",A201&amp;"_CALC.xlsx")</f>
        <v/>
      </c>
      <c r="AW201" s="10" t="str">
        <f aca="false">IF(A201="","",A201&amp;"_CALC.pdf")</f>
        <v/>
      </c>
      <c r="AX201" s="9"/>
      <c r="AY201" s="9"/>
      <c r="AZ201" s="39"/>
      <c r="BA201" s="39"/>
      <c r="BB201" s="39"/>
      <c r="BC201" s="39"/>
      <c r="BD201" s="39"/>
      <c r="BE201" s="12" t="str">
        <f aca="false">IF(A201="","",IF(COUNTIF(Rebar_Schedule!$A$5:$A$2004,A201)=0,"",ROUND(SUMIF(Rebar_Schedule!$A$5:$A$2004,A201,Rebar_Schedule!$K$5:$K$2004),1)))</f>
        <v/>
      </c>
      <c r="BF201" s="33" t="str">
        <f aca="false">IF(A201="","",IF(BE201="","No rebar schedule yet",IF(ABS(BE201-N(BA201))/MAX(N(BA201),1)&gt;SG_Criteria!$B$55,"NOTE: register rebar differs from schedule by "&amp;TEXT(ABS(BE201-N(BA201))/MAX(N(BA201),1),"0%"),"OK")))</f>
        <v/>
      </c>
      <c r="BG201" s="33" t="str">
        <f aca="false">IF(OR(D201="",F201=""),"",IF(F201&lt;=IF(D201="Soldier Pile &amp; Timber Lagging",SG_Criteria!$B$34,SG_Criteria!$B$33),"No ERSS submission",IF(F201&lt;=SG_Criteria!$B$35,"QP(ST)",IF(F201&lt;=SG_Criteria!$B$36,"QP(ST) + AC","Geotechnical building works: QP(Geo) + AC"))))</f>
        <v/>
      </c>
      <c r="BH201" s="33" t="str">
        <f aca="false">IF(D201="","",IF(LEN(IF(AND(AC201&lt;&gt;"",IFERROR(VALUE(MID(AC201,2,2)),0)&lt;SG_Criteria!$B$19),"FAIL: grade below C"&amp;SG_Criteria!$B$19&amp;". ","")&amp;IF(AND(LEFT(D201,3)="Con",N(I201)&lt;F201,H201="Kallang Formation (marine clay)"),"NOTE: CBP is not watertight below GWT in marine clay; consider secant / grouting. ","")&amp;IF(AND(D201="Steel Sheet Pile",E201="Permanent"),"NOTE: permanent sheet pile needs corrosion allowance. ","")&amp;IF(AND(G201="Cantilever (no support)",F201&gt;6),"NOTE: cantilever embedded wall &gt; 6 m, check deflection. ","")&amp;IF(AND(T201&lt;&gt;"",U201&lt;&gt;"",T201&gt;U201),"FAIL: deflection exceeds allowable. ",""))=0,"OK",IF(AND(AC201&lt;&gt;"",IFERROR(VALUE(MID(AC201,2,2)),0)&lt;SG_Criteria!$B$19),"FAIL: grade below C"&amp;SG_Criteria!$B$19&amp;". ","")&amp;IF(AND(LEFT(D201,3)="Con",N(I201)&lt;F201,H201="Kallang Formation (marine clay)"),"NOTE: CBP is not watertight below GWT in marine clay; consider secant / grouting. ","")&amp;IF(AND(D201="Steel Sheet Pile",E201="Permanent"),"NOTE: permanent sheet pile needs corrosion allowance. ","")&amp;IF(AND(G201="Cantilever (no support)",F201&gt;6),"NOTE: cantilever embedded wall &gt; 6 m, check deflection. ","")&amp;IF(AND(T201&lt;&gt;"",U201&lt;&gt;"",T201&gt;U201),"FAIL: deflection exceeds allowable. ","")))</f>
        <v/>
      </c>
      <c r="BI201" s="9"/>
      <c r="BJ201" s="9"/>
      <c r="BK201" s="9"/>
      <c r="BL201" s="10" t="str">
        <f aca="false">IF(BK201="","",IFERROR(VLOOKUP(BK201,Projects!$A$5:$D$504,2,0),"Ref not in Projects"))</f>
        <v/>
      </c>
      <c r="BM201" s="10" t="str">
        <f aca="false">IF(BK201="","",IFERROR(VLOOKUP(BK201,Projects!$A$5:$D$504,4,0),"Ref not in Projects"))</f>
        <v/>
      </c>
      <c r="BN201" s="9"/>
      <c r="BO201" s="9"/>
      <c r="BP201" s="9"/>
      <c r="BQ201" s="40"/>
      <c r="BR201" s="9"/>
      <c r="BS201" s="40"/>
      <c r="BT201" s="9"/>
      <c r="BU201" s="40"/>
      <c r="BV201" s="9"/>
      <c r="BW201" s="9"/>
      <c r="BX201" s="9"/>
      <c r="BY201" s="40"/>
      <c r="BZ201" s="40"/>
      <c r="CA201" s="36" t="str">
        <f aca="false">IF(BZ201="","",EDATE(BZ201,SG_Criteria!$B$54*12))</f>
        <v/>
      </c>
      <c r="CB201" s="33" t="str">
        <f aca="true">IF(A201="","",IF(BZ201="","NOTE: not reviewed yet",IF(TODAY()&gt;CA201,"NOTE: review overdue","OK")))</f>
        <v/>
      </c>
      <c r="CC201" s="37" t="str">
        <f aca="false">IF(A201="","",ROUND((IF(LEN(D201)&gt;0,1,0)+IF(LEN(E201)&gt;0,1,0)+IF(LEN(F201)&gt;0,1,0)+IF(LEN(G201)&gt;0,1,0)+IF(LEN(H201)&gt;0,1,0)+IF(LEN(I201)&gt;0,1,0)+IF(LEN(K201)&gt;0,1,0)+IF(LEN(N201)&gt;0,1,0)+IF(LEN(O201)&gt;0,1,0)+IF(LEN(T201)&gt;0,1,0)+IF(LEN(U201)&gt;0,1,0)+IF(LEN(V201)&gt;0,1,0)+IF(LEN(AK201)&gt;0,1,0)+IF(LEN(AM201)&gt;0,1,0)+IF(LEN(AN201)&gt;0,1,0)+IF(LEN(AO201)&gt;0,1,0)+IF(LEN(AP201)&gt;0,1,0)+IF(LEN(AY201)&gt;0,1,0)+IF(LEN(BK201)&gt;0,1,0)+IF(LEN(BX201)&gt;0,1,0))/20,2))</f>
        <v/>
      </c>
      <c r="CD201" s="10" t="str">
        <f aca="false">IF(D201="","",IF(AND(AN201="Approved",ISERROR(SEARCH("FAIL",BH201))),"Y","N"))</f>
        <v/>
      </c>
      <c r="CE201" s="10" t="str">
        <f aca="false">IF(D201="","",D201&amp;"|"&amp;F201&amp;"|"&amp;G201&amp;"|"&amp;H201&amp;"|"&amp;E201&amp;"|"&amp;CD201)</f>
        <v/>
      </c>
    </row>
    <row r="202" customFormat="false" ht="15" hidden="false" customHeight="false" outlineLevel="0" collapsed="false">
      <c r="A202" s="10" t="str">
        <f aca="false">IF(D202="","","EW-"&amp;IFERROR(VLOOKUP(D202,Lists!$P$4:$Q$22,2,0),"??")&amp;"-D"&amp;TEXT(F202*1000,"0000")&amp;"-"&amp;IFERROR(VLOOKUP(G202,Lists!$S$4:$T$21,2,0),"??")&amp;"-"&amp;IFERROR(VLOOKUP(H202,Lists!$Y$4:$Z$21,2,0),"??")&amp;"-"&amp;IFERROR(VLOOKUP(E202,Lists!$V$4:$W$16,2,0),"??")&amp;"-"&amp;AM202)</f>
        <v/>
      </c>
      <c r="B202" s="10" t="str">
        <f aca="false">IF(D202="","",E202&amp;" "&amp;D202&amp;", excavation "&amp;TEXT(F202,"0.0")&amp;" m, "&amp;G202&amp;", "&amp;H202&amp;", "&amp;K202)</f>
        <v/>
      </c>
      <c r="C202" s="9"/>
      <c r="D202" s="9"/>
      <c r="E202" s="9"/>
      <c r="F202" s="42"/>
      <c r="G202" s="9"/>
      <c r="H202" s="9"/>
      <c r="I202" s="42"/>
      <c r="J202" s="38"/>
      <c r="K202" s="9"/>
      <c r="L202" s="9"/>
      <c r="M202" s="9"/>
      <c r="N202" s="42"/>
      <c r="O202" s="42"/>
      <c r="P202" s="9"/>
      <c r="Q202" s="9"/>
      <c r="R202" s="9"/>
      <c r="S202" s="9"/>
      <c r="T202" s="38"/>
      <c r="U202" s="38"/>
      <c r="V202" s="38"/>
      <c r="W202" s="38"/>
      <c r="X202" s="38"/>
      <c r="Y202" s="9"/>
      <c r="Z202" s="39"/>
      <c r="AA202" s="9"/>
      <c r="AB202" s="9"/>
      <c r="AC202" s="9"/>
      <c r="AD202" s="9"/>
      <c r="AE202" s="9"/>
      <c r="AF202" s="9"/>
      <c r="AG202" s="9"/>
      <c r="AH202" s="38"/>
      <c r="AI202" s="9"/>
      <c r="AJ202" s="39"/>
      <c r="AK202" s="9"/>
      <c r="AL202" s="9"/>
      <c r="AM202" s="9"/>
      <c r="AN202" s="9"/>
      <c r="AO202" s="9"/>
      <c r="AP202" s="9"/>
      <c r="AQ202" s="9"/>
      <c r="AR202" s="10" t="str">
        <f aca="false">IF(A202="","",SG_Criteria!$B$6&amp;SG_Criteria!$B$9&amp;"\"&amp;A202&amp;"\")</f>
        <v/>
      </c>
      <c r="AS202" s="10" t="str">
        <f aca="false">IF(A202="","",A202&amp;"_CAD.dwg")</f>
        <v/>
      </c>
      <c r="AT202" s="10" t="str">
        <f aca="false">IF(A202="","",A202&amp;"_DWG.pdf")</f>
        <v/>
      </c>
      <c r="AU202" s="10" t="str">
        <f aca="false">IF(A202="","",IF(AQ202="Y",A202&amp;"_STAAD.std","n/a"))</f>
        <v/>
      </c>
      <c r="AV202" s="10" t="str">
        <f aca="false">IF(A202="","",A202&amp;"_CALC.xlsx")</f>
        <v/>
      </c>
      <c r="AW202" s="10" t="str">
        <f aca="false">IF(A202="","",A202&amp;"_CALC.pdf")</f>
        <v/>
      </c>
      <c r="AX202" s="9"/>
      <c r="AY202" s="9"/>
      <c r="AZ202" s="39"/>
      <c r="BA202" s="39"/>
      <c r="BB202" s="39"/>
      <c r="BC202" s="39"/>
      <c r="BD202" s="39"/>
      <c r="BE202" s="12" t="str">
        <f aca="false">IF(A202="","",IF(COUNTIF(Rebar_Schedule!$A$5:$A$2004,A202)=0,"",ROUND(SUMIF(Rebar_Schedule!$A$5:$A$2004,A202,Rebar_Schedule!$K$5:$K$2004),1)))</f>
        <v/>
      </c>
      <c r="BF202" s="33" t="str">
        <f aca="false">IF(A202="","",IF(BE202="","No rebar schedule yet",IF(ABS(BE202-N(BA202))/MAX(N(BA202),1)&gt;SG_Criteria!$B$55,"NOTE: register rebar differs from schedule by "&amp;TEXT(ABS(BE202-N(BA202))/MAX(N(BA202),1),"0%"),"OK")))</f>
        <v/>
      </c>
      <c r="BG202" s="33" t="str">
        <f aca="false">IF(OR(D202="",F202=""),"",IF(F202&lt;=IF(D202="Soldier Pile &amp; Timber Lagging",SG_Criteria!$B$34,SG_Criteria!$B$33),"No ERSS submission",IF(F202&lt;=SG_Criteria!$B$35,"QP(ST)",IF(F202&lt;=SG_Criteria!$B$36,"QP(ST) + AC","Geotechnical building works: QP(Geo) + AC"))))</f>
        <v/>
      </c>
      <c r="BH202" s="33" t="str">
        <f aca="false">IF(D202="","",IF(LEN(IF(AND(AC202&lt;&gt;"",IFERROR(VALUE(MID(AC202,2,2)),0)&lt;SG_Criteria!$B$19),"FAIL: grade below C"&amp;SG_Criteria!$B$19&amp;". ","")&amp;IF(AND(LEFT(D202,3)="Con",N(I202)&lt;F202,H202="Kallang Formation (marine clay)"),"NOTE: CBP is not watertight below GWT in marine clay; consider secant / grouting. ","")&amp;IF(AND(D202="Steel Sheet Pile",E202="Permanent"),"NOTE: permanent sheet pile needs corrosion allowance. ","")&amp;IF(AND(G202="Cantilever (no support)",F202&gt;6),"NOTE: cantilever embedded wall &gt; 6 m, check deflection. ","")&amp;IF(AND(T202&lt;&gt;"",U202&lt;&gt;"",T202&gt;U202),"FAIL: deflection exceeds allowable. ",""))=0,"OK",IF(AND(AC202&lt;&gt;"",IFERROR(VALUE(MID(AC202,2,2)),0)&lt;SG_Criteria!$B$19),"FAIL: grade below C"&amp;SG_Criteria!$B$19&amp;". ","")&amp;IF(AND(LEFT(D202,3)="Con",N(I202)&lt;F202,H202="Kallang Formation (marine clay)"),"NOTE: CBP is not watertight below GWT in marine clay; consider secant / grouting. ","")&amp;IF(AND(D202="Steel Sheet Pile",E202="Permanent"),"NOTE: permanent sheet pile needs corrosion allowance. ","")&amp;IF(AND(G202="Cantilever (no support)",F202&gt;6),"NOTE: cantilever embedded wall &gt; 6 m, check deflection. ","")&amp;IF(AND(T202&lt;&gt;"",U202&lt;&gt;"",T202&gt;U202),"FAIL: deflection exceeds allowable. ","")))</f>
        <v/>
      </c>
      <c r="BI202" s="9"/>
      <c r="BJ202" s="9"/>
      <c r="BK202" s="9"/>
      <c r="BL202" s="10" t="str">
        <f aca="false">IF(BK202="","",IFERROR(VLOOKUP(BK202,Projects!$A$5:$D$504,2,0),"Ref not in Projects"))</f>
        <v/>
      </c>
      <c r="BM202" s="10" t="str">
        <f aca="false">IF(BK202="","",IFERROR(VLOOKUP(BK202,Projects!$A$5:$D$504,4,0),"Ref not in Projects"))</f>
        <v/>
      </c>
      <c r="BN202" s="9"/>
      <c r="BO202" s="9"/>
      <c r="BP202" s="9"/>
      <c r="BQ202" s="40"/>
      <c r="BR202" s="9"/>
      <c r="BS202" s="40"/>
      <c r="BT202" s="9"/>
      <c r="BU202" s="40"/>
      <c r="BV202" s="9"/>
      <c r="BW202" s="9"/>
      <c r="BX202" s="9"/>
      <c r="BY202" s="40"/>
      <c r="BZ202" s="40"/>
      <c r="CA202" s="36" t="str">
        <f aca="false">IF(BZ202="","",EDATE(BZ202,SG_Criteria!$B$54*12))</f>
        <v/>
      </c>
      <c r="CB202" s="33" t="str">
        <f aca="true">IF(A202="","",IF(BZ202="","NOTE: not reviewed yet",IF(TODAY()&gt;CA202,"NOTE: review overdue","OK")))</f>
        <v/>
      </c>
      <c r="CC202" s="37" t="str">
        <f aca="false">IF(A202="","",ROUND((IF(LEN(D202)&gt;0,1,0)+IF(LEN(E202)&gt;0,1,0)+IF(LEN(F202)&gt;0,1,0)+IF(LEN(G202)&gt;0,1,0)+IF(LEN(H202)&gt;0,1,0)+IF(LEN(I202)&gt;0,1,0)+IF(LEN(K202)&gt;0,1,0)+IF(LEN(N202)&gt;0,1,0)+IF(LEN(O202)&gt;0,1,0)+IF(LEN(T202)&gt;0,1,0)+IF(LEN(U202)&gt;0,1,0)+IF(LEN(V202)&gt;0,1,0)+IF(LEN(AK202)&gt;0,1,0)+IF(LEN(AM202)&gt;0,1,0)+IF(LEN(AN202)&gt;0,1,0)+IF(LEN(AO202)&gt;0,1,0)+IF(LEN(AP202)&gt;0,1,0)+IF(LEN(AY202)&gt;0,1,0)+IF(LEN(BK202)&gt;0,1,0)+IF(LEN(BX202)&gt;0,1,0))/20,2))</f>
        <v/>
      </c>
      <c r="CD202" s="10" t="str">
        <f aca="false">IF(D202="","",IF(AND(AN202="Approved",ISERROR(SEARCH("FAIL",BH202))),"Y","N"))</f>
        <v/>
      </c>
      <c r="CE202" s="10" t="str">
        <f aca="false">IF(D202="","",D202&amp;"|"&amp;F202&amp;"|"&amp;G202&amp;"|"&amp;H202&amp;"|"&amp;E202&amp;"|"&amp;CD202)</f>
        <v/>
      </c>
    </row>
    <row r="203" customFormat="false" ht="15" hidden="false" customHeight="false" outlineLevel="0" collapsed="false">
      <c r="A203" s="10" t="str">
        <f aca="false">IF(D203="","","EW-"&amp;IFERROR(VLOOKUP(D203,Lists!$P$4:$Q$22,2,0),"??")&amp;"-D"&amp;TEXT(F203*1000,"0000")&amp;"-"&amp;IFERROR(VLOOKUP(G203,Lists!$S$4:$T$21,2,0),"??")&amp;"-"&amp;IFERROR(VLOOKUP(H203,Lists!$Y$4:$Z$21,2,0),"??")&amp;"-"&amp;IFERROR(VLOOKUP(E203,Lists!$V$4:$W$16,2,0),"??")&amp;"-"&amp;AM203)</f>
        <v/>
      </c>
      <c r="B203" s="10" t="str">
        <f aca="false">IF(D203="","",E203&amp;" "&amp;D203&amp;", excavation "&amp;TEXT(F203,"0.0")&amp;" m, "&amp;G203&amp;", "&amp;H203&amp;", "&amp;K203)</f>
        <v/>
      </c>
      <c r="C203" s="9"/>
      <c r="D203" s="9"/>
      <c r="E203" s="9"/>
      <c r="F203" s="42"/>
      <c r="G203" s="9"/>
      <c r="H203" s="9"/>
      <c r="I203" s="42"/>
      <c r="J203" s="38"/>
      <c r="K203" s="9"/>
      <c r="L203" s="9"/>
      <c r="M203" s="9"/>
      <c r="N203" s="42"/>
      <c r="O203" s="42"/>
      <c r="P203" s="9"/>
      <c r="Q203" s="9"/>
      <c r="R203" s="9"/>
      <c r="S203" s="9"/>
      <c r="T203" s="38"/>
      <c r="U203" s="38"/>
      <c r="V203" s="38"/>
      <c r="W203" s="38"/>
      <c r="X203" s="38"/>
      <c r="Y203" s="9"/>
      <c r="Z203" s="39"/>
      <c r="AA203" s="9"/>
      <c r="AB203" s="9"/>
      <c r="AC203" s="9"/>
      <c r="AD203" s="9"/>
      <c r="AE203" s="9"/>
      <c r="AF203" s="9"/>
      <c r="AG203" s="9"/>
      <c r="AH203" s="38"/>
      <c r="AI203" s="9"/>
      <c r="AJ203" s="39"/>
      <c r="AK203" s="9"/>
      <c r="AL203" s="9"/>
      <c r="AM203" s="9"/>
      <c r="AN203" s="9"/>
      <c r="AO203" s="9"/>
      <c r="AP203" s="9"/>
      <c r="AQ203" s="9"/>
      <c r="AR203" s="10" t="str">
        <f aca="false">IF(A203="","",SG_Criteria!$B$6&amp;SG_Criteria!$B$9&amp;"\"&amp;A203&amp;"\")</f>
        <v/>
      </c>
      <c r="AS203" s="10" t="str">
        <f aca="false">IF(A203="","",A203&amp;"_CAD.dwg")</f>
        <v/>
      </c>
      <c r="AT203" s="10" t="str">
        <f aca="false">IF(A203="","",A203&amp;"_DWG.pdf")</f>
        <v/>
      </c>
      <c r="AU203" s="10" t="str">
        <f aca="false">IF(A203="","",IF(AQ203="Y",A203&amp;"_STAAD.std","n/a"))</f>
        <v/>
      </c>
      <c r="AV203" s="10" t="str">
        <f aca="false">IF(A203="","",A203&amp;"_CALC.xlsx")</f>
        <v/>
      </c>
      <c r="AW203" s="10" t="str">
        <f aca="false">IF(A203="","",A203&amp;"_CALC.pdf")</f>
        <v/>
      </c>
      <c r="AX203" s="9"/>
      <c r="AY203" s="9"/>
      <c r="AZ203" s="39"/>
      <c r="BA203" s="39"/>
      <c r="BB203" s="39"/>
      <c r="BC203" s="39"/>
      <c r="BD203" s="39"/>
      <c r="BE203" s="12" t="str">
        <f aca="false">IF(A203="","",IF(COUNTIF(Rebar_Schedule!$A$5:$A$2004,A203)=0,"",ROUND(SUMIF(Rebar_Schedule!$A$5:$A$2004,A203,Rebar_Schedule!$K$5:$K$2004),1)))</f>
        <v/>
      </c>
      <c r="BF203" s="33" t="str">
        <f aca="false">IF(A203="","",IF(BE203="","No rebar schedule yet",IF(ABS(BE203-N(BA203))/MAX(N(BA203),1)&gt;SG_Criteria!$B$55,"NOTE: register rebar differs from schedule by "&amp;TEXT(ABS(BE203-N(BA203))/MAX(N(BA203),1),"0%"),"OK")))</f>
        <v/>
      </c>
      <c r="BG203" s="33" t="str">
        <f aca="false">IF(OR(D203="",F203=""),"",IF(F203&lt;=IF(D203="Soldier Pile &amp; Timber Lagging",SG_Criteria!$B$34,SG_Criteria!$B$33),"No ERSS submission",IF(F203&lt;=SG_Criteria!$B$35,"QP(ST)",IF(F203&lt;=SG_Criteria!$B$36,"QP(ST) + AC","Geotechnical building works: QP(Geo) + AC"))))</f>
        <v/>
      </c>
      <c r="BH203" s="33" t="str">
        <f aca="false">IF(D203="","",IF(LEN(IF(AND(AC203&lt;&gt;"",IFERROR(VALUE(MID(AC203,2,2)),0)&lt;SG_Criteria!$B$19),"FAIL: grade below C"&amp;SG_Criteria!$B$19&amp;". ","")&amp;IF(AND(LEFT(D203,3)="Con",N(I203)&lt;F203,H203="Kallang Formation (marine clay)"),"NOTE: CBP is not watertight below GWT in marine clay; consider secant / grouting. ","")&amp;IF(AND(D203="Steel Sheet Pile",E203="Permanent"),"NOTE: permanent sheet pile needs corrosion allowance. ","")&amp;IF(AND(G203="Cantilever (no support)",F203&gt;6),"NOTE: cantilever embedded wall &gt; 6 m, check deflection. ","")&amp;IF(AND(T203&lt;&gt;"",U203&lt;&gt;"",T203&gt;U203),"FAIL: deflection exceeds allowable. ",""))=0,"OK",IF(AND(AC203&lt;&gt;"",IFERROR(VALUE(MID(AC203,2,2)),0)&lt;SG_Criteria!$B$19),"FAIL: grade below C"&amp;SG_Criteria!$B$19&amp;". ","")&amp;IF(AND(LEFT(D203,3)="Con",N(I203)&lt;F203,H203="Kallang Formation (marine clay)"),"NOTE: CBP is not watertight below GWT in marine clay; consider secant / grouting. ","")&amp;IF(AND(D203="Steel Sheet Pile",E203="Permanent"),"NOTE: permanent sheet pile needs corrosion allowance. ","")&amp;IF(AND(G203="Cantilever (no support)",F203&gt;6),"NOTE: cantilever embedded wall &gt; 6 m, check deflection. ","")&amp;IF(AND(T203&lt;&gt;"",U203&lt;&gt;"",T203&gt;U203),"FAIL: deflection exceeds allowable. ","")))</f>
        <v/>
      </c>
      <c r="BI203" s="9"/>
      <c r="BJ203" s="9"/>
      <c r="BK203" s="9"/>
      <c r="BL203" s="10" t="str">
        <f aca="false">IF(BK203="","",IFERROR(VLOOKUP(BK203,Projects!$A$5:$D$504,2,0),"Ref not in Projects"))</f>
        <v/>
      </c>
      <c r="BM203" s="10" t="str">
        <f aca="false">IF(BK203="","",IFERROR(VLOOKUP(BK203,Projects!$A$5:$D$504,4,0),"Ref not in Projects"))</f>
        <v/>
      </c>
      <c r="BN203" s="9"/>
      <c r="BO203" s="9"/>
      <c r="BP203" s="9"/>
      <c r="BQ203" s="40"/>
      <c r="BR203" s="9"/>
      <c r="BS203" s="40"/>
      <c r="BT203" s="9"/>
      <c r="BU203" s="40"/>
      <c r="BV203" s="9"/>
      <c r="BW203" s="9"/>
      <c r="BX203" s="9"/>
      <c r="BY203" s="40"/>
      <c r="BZ203" s="40"/>
      <c r="CA203" s="36" t="str">
        <f aca="false">IF(BZ203="","",EDATE(BZ203,SG_Criteria!$B$54*12))</f>
        <v/>
      </c>
      <c r="CB203" s="33" t="str">
        <f aca="true">IF(A203="","",IF(BZ203="","NOTE: not reviewed yet",IF(TODAY()&gt;CA203,"NOTE: review overdue","OK")))</f>
        <v/>
      </c>
      <c r="CC203" s="37" t="str">
        <f aca="false">IF(A203="","",ROUND((IF(LEN(D203)&gt;0,1,0)+IF(LEN(E203)&gt;0,1,0)+IF(LEN(F203)&gt;0,1,0)+IF(LEN(G203)&gt;0,1,0)+IF(LEN(H203)&gt;0,1,0)+IF(LEN(I203)&gt;0,1,0)+IF(LEN(K203)&gt;0,1,0)+IF(LEN(N203)&gt;0,1,0)+IF(LEN(O203)&gt;0,1,0)+IF(LEN(T203)&gt;0,1,0)+IF(LEN(U203)&gt;0,1,0)+IF(LEN(V203)&gt;0,1,0)+IF(LEN(AK203)&gt;0,1,0)+IF(LEN(AM203)&gt;0,1,0)+IF(LEN(AN203)&gt;0,1,0)+IF(LEN(AO203)&gt;0,1,0)+IF(LEN(AP203)&gt;0,1,0)+IF(LEN(AY203)&gt;0,1,0)+IF(LEN(BK203)&gt;0,1,0)+IF(LEN(BX203)&gt;0,1,0))/20,2))</f>
        <v/>
      </c>
      <c r="CD203" s="10" t="str">
        <f aca="false">IF(D203="","",IF(AND(AN203="Approved",ISERROR(SEARCH("FAIL",BH203))),"Y","N"))</f>
        <v/>
      </c>
      <c r="CE203" s="10" t="str">
        <f aca="false">IF(D203="","",D203&amp;"|"&amp;F203&amp;"|"&amp;G203&amp;"|"&amp;H203&amp;"|"&amp;E203&amp;"|"&amp;CD203)</f>
        <v/>
      </c>
    </row>
    <row r="204" customFormat="false" ht="15" hidden="false" customHeight="false" outlineLevel="0" collapsed="false">
      <c r="A204" s="10" t="str">
        <f aca="false">IF(D204="","","EW-"&amp;IFERROR(VLOOKUP(D204,Lists!$P$4:$Q$22,2,0),"??")&amp;"-D"&amp;TEXT(F204*1000,"0000")&amp;"-"&amp;IFERROR(VLOOKUP(G204,Lists!$S$4:$T$21,2,0),"??")&amp;"-"&amp;IFERROR(VLOOKUP(H204,Lists!$Y$4:$Z$21,2,0),"??")&amp;"-"&amp;IFERROR(VLOOKUP(E204,Lists!$V$4:$W$16,2,0),"??")&amp;"-"&amp;AM204)</f>
        <v/>
      </c>
      <c r="B204" s="10" t="str">
        <f aca="false">IF(D204="","",E204&amp;" "&amp;D204&amp;", excavation "&amp;TEXT(F204,"0.0")&amp;" m, "&amp;G204&amp;", "&amp;H204&amp;", "&amp;K204)</f>
        <v/>
      </c>
      <c r="C204" s="9"/>
      <c r="D204" s="9"/>
      <c r="E204" s="9"/>
      <c r="F204" s="42"/>
      <c r="G204" s="9"/>
      <c r="H204" s="9"/>
      <c r="I204" s="42"/>
      <c r="J204" s="38"/>
      <c r="K204" s="9"/>
      <c r="L204" s="9"/>
      <c r="M204" s="9"/>
      <c r="N204" s="42"/>
      <c r="O204" s="42"/>
      <c r="P204" s="9"/>
      <c r="Q204" s="9"/>
      <c r="R204" s="9"/>
      <c r="S204" s="9"/>
      <c r="T204" s="38"/>
      <c r="U204" s="38"/>
      <c r="V204" s="38"/>
      <c r="W204" s="38"/>
      <c r="X204" s="38"/>
      <c r="Y204" s="9"/>
      <c r="Z204" s="39"/>
      <c r="AA204" s="9"/>
      <c r="AB204" s="9"/>
      <c r="AC204" s="9"/>
      <c r="AD204" s="9"/>
      <c r="AE204" s="9"/>
      <c r="AF204" s="9"/>
      <c r="AG204" s="9"/>
      <c r="AH204" s="38"/>
      <c r="AI204" s="9"/>
      <c r="AJ204" s="39"/>
      <c r="AK204" s="9"/>
      <c r="AL204" s="9"/>
      <c r="AM204" s="9"/>
      <c r="AN204" s="9"/>
      <c r="AO204" s="9"/>
      <c r="AP204" s="9"/>
      <c r="AQ204" s="9"/>
      <c r="AR204" s="10" t="str">
        <f aca="false">IF(A204="","",SG_Criteria!$B$6&amp;SG_Criteria!$B$9&amp;"\"&amp;A204&amp;"\")</f>
        <v/>
      </c>
      <c r="AS204" s="10" t="str">
        <f aca="false">IF(A204="","",A204&amp;"_CAD.dwg")</f>
        <v/>
      </c>
      <c r="AT204" s="10" t="str">
        <f aca="false">IF(A204="","",A204&amp;"_DWG.pdf")</f>
        <v/>
      </c>
      <c r="AU204" s="10" t="str">
        <f aca="false">IF(A204="","",IF(AQ204="Y",A204&amp;"_STAAD.std","n/a"))</f>
        <v/>
      </c>
      <c r="AV204" s="10" t="str">
        <f aca="false">IF(A204="","",A204&amp;"_CALC.xlsx")</f>
        <v/>
      </c>
      <c r="AW204" s="10" t="str">
        <f aca="false">IF(A204="","",A204&amp;"_CALC.pdf")</f>
        <v/>
      </c>
      <c r="AX204" s="9"/>
      <c r="AY204" s="9"/>
      <c r="AZ204" s="39"/>
      <c r="BA204" s="39"/>
      <c r="BB204" s="39"/>
      <c r="BC204" s="39"/>
      <c r="BD204" s="39"/>
      <c r="BE204" s="12" t="str">
        <f aca="false">IF(A204="","",IF(COUNTIF(Rebar_Schedule!$A$5:$A$2004,A204)=0,"",ROUND(SUMIF(Rebar_Schedule!$A$5:$A$2004,A204,Rebar_Schedule!$K$5:$K$2004),1)))</f>
        <v/>
      </c>
      <c r="BF204" s="33" t="str">
        <f aca="false">IF(A204="","",IF(BE204="","No rebar schedule yet",IF(ABS(BE204-N(BA204))/MAX(N(BA204),1)&gt;SG_Criteria!$B$55,"NOTE: register rebar differs from schedule by "&amp;TEXT(ABS(BE204-N(BA204))/MAX(N(BA204),1),"0%"),"OK")))</f>
        <v/>
      </c>
      <c r="BG204" s="33" t="str">
        <f aca="false">IF(OR(D204="",F204=""),"",IF(F204&lt;=IF(D204="Soldier Pile &amp; Timber Lagging",SG_Criteria!$B$34,SG_Criteria!$B$33),"No ERSS submission",IF(F204&lt;=SG_Criteria!$B$35,"QP(ST)",IF(F204&lt;=SG_Criteria!$B$36,"QP(ST) + AC","Geotechnical building works: QP(Geo) + AC"))))</f>
        <v/>
      </c>
      <c r="BH204" s="33" t="str">
        <f aca="false">IF(D204="","",IF(LEN(IF(AND(AC204&lt;&gt;"",IFERROR(VALUE(MID(AC204,2,2)),0)&lt;SG_Criteria!$B$19),"FAIL: grade below C"&amp;SG_Criteria!$B$19&amp;". ","")&amp;IF(AND(LEFT(D204,3)="Con",N(I204)&lt;F204,H204="Kallang Formation (marine clay)"),"NOTE: CBP is not watertight below GWT in marine clay; consider secant / grouting. ","")&amp;IF(AND(D204="Steel Sheet Pile",E204="Permanent"),"NOTE: permanent sheet pile needs corrosion allowance. ","")&amp;IF(AND(G204="Cantilever (no support)",F204&gt;6),"NOTE: cantilever embedded wall &gt; 6 m, check deflection. ","")&amp;IF(AND(T204&lt;&gt;"",U204&lt;&gt;"",T204&gt;U204),"FAIL: deflection exceeds allowable. ",""))=0,"OK",IF(AND(AC204&lt;&gt;"",IFERROR(VALUE(MID(AC204,2,2)),0)&lt;SG_Criteria!$B$19),"FAIL: grade below C"&amp;SG_Criteria!$B$19&amp;". ","")&amp;IF(AND(LEFT(D204,3)="Con",N(I204)&lt;F204,H204="Kallang Formation (marine clay)"),"NOTE: CBP is not watertight below GWT in marine clay; consider secant / grouting. ","")&amp;IF(AND(D204="Steel Sheet Pile",E204="Permanent"),"NOTE: permanent sheet pile needs corrosion allowance. ","")&amp;IF(AND(G204="Cantilever (no support)",F204&gt;6),"NOTE: cantilever embedded wall &gt; 6 m, check deflection. ","")&amp;IF(AND(T204&lt;&gt;"",U204&lt;&gt;"",T204&gt;U204),"FAIL: deflection exceeds allowable. ","")))</f>
        <v/>
      </c>
      <c r="BI204" s="9"/>
      <c r="BJ204" s="9"/>
      <c r="BK204" s="9"/>
      <c r="BL204" s="10" t="str">
        <f aca="false">IF(BK204="","",IFERROR(VLOOKUP(BK204,Projects!$A$5:$D$504,2,0),"Ref not in Projects"))</f>
        <v/>
      </c>
      <c r="BM204" s="10" t="str">
        <f aca="false">IF(BK204="","",IFERROR(VLOOKUP(BK204,Projects!$A$5:$D$504,4,0),"Ref not in Projects"))</f>
        <v/>
      </c>
      <c r="BN204" s="9"/>
      <c r="BO204" s="9"/>
      <c r="BP204" s="9"/>
      <c r="BQ204" s="40"/>
      <c r="BR204" s="9"/>
      <c r="BS204" s="40"/>
      <c r="BT204" s="9"/>
      <c r="BU204" s="40"/>
      <c r="BV204" s="9"/>
      <c r="BW204" s="9"/>
      <c r="BX204" s="9"/>
      <c r="BY204" s="40"/>
      <c r="BZ204" s="40"/>
      <c r="CA204" s="36" t="str">
        <f aca="false">IF(BZ204="","",EDATE(BZ204,SG_Criteria!$B$54*12))</f>
        <v/>
      </c>
      <c r="CB204" s="33" t="str">
        <f aca="true">IF(A204="","",IF(BZ204="","NOTE: not reviewed yet",IF(TODAY()&gt;CA204,"NOTE: review overdue","OK")))</f>
        <v/>
      </c>
      <c r="CC204" s="37" t="str">
        <f aca="false">IF(A204="","",ROUND((IF(LEN(D204)&gt;0,1,0)+IF(LEN(E204)&gt;0,1,0)+IF(LEN(F204)&gt;0,1,0)+IF(LEN(G204)&gt;0,1,0)+IF(LEN(H204)&gt;0,1,0)+IF(LEN(I204)&gt;0,1,0)+IF(LEN(K204)&gt;0,1,0)+IF(LEN(N204)&gt;0,1,0)+IF(LEN(O204)&gt;0,1,0)+IF(LEN(T204)&gt;0,1,0)+IF(LEN(U204)&gt;0,1,0)+IF(LEN(V204)&gt;0,1,0)+IF(LEN(AK204)&gt;0,1,0)+IF(LEN(AM204)&gt;0,1,0)+IF(LEN(AN204)&gt;0,1,0)+IF(LEN(AO204)&gt;0,1,0)+IF(LEN(AP204)&gt;0,1,0)+IF(LEN(AY204)&gt;0,1,0)+IF(LEN(BK204)&gt;0,1,0)+IF(LEN(BX204)&gt;0,1,0))/20,2))</f>
        <v/>
      </c>
      <c r="CD204" s="10" t="str">
        <f aca="false">IF(D204="","",IF(AND(AN204="Approved",ISERROR(SEARCH("FAIL",BH204))),"Y","N"))</f>
        <v/>
      </c>
      <c r="CE204" s="10" t="str">
        <f aca="false">IF(D204="","",D204&amp;"|"&amp;F204&amp;"|"&amp;G204&amp;"|"&amp;H204&amp;"|"&amp;E204&amp;"|"&amp;CD204)</f>
        <v/>
      </c>
    </row>
    <row r="205" customFormat="false" ht="15" hidden="false" customHeight="false" outlineLevel="0" collapsed="false">
      <c r="A205" s="10" t="str">
        <f aca="false">IF(D205="","","EW-"&amp;IFERROR(VLOOKUP(D205,Lists!$P$4:$Q$22,2,0),"??")&amp;"-D"&amp;TEXT(F205*1000,"0000")&amp;"-"&amp;IFERROR(VLOOKUP(G205,Lists!$S$4:$T$21,2,0),"??")&amp;"-"&amp;IFERROR(VLOOKUP(H205,Lists!$Y$4:$Z$21,2,0),"??")&amp;"-"&amp;IFERROR(VLOOKUP(E205,Lists!$V$4:$W$16,2,0),"??")&amp;"-"&amp;AM205)</f>
        <v/>
      </c>
      <c r="B205" s="10" t="str">
        <f aca="false">IF(D205="","",E205&amp;" "&amp;D205&amp;", excavation "&amp;TEXT(F205,"0.0")&amp;" m, "&amp;G205&amp;", "&amp;H205&amp;", "&amp;K205)</f>
        <v/>
      </c>
      <c r="C205" s="9"/>
      <c r="D205" s="9"/>
      <c r="E205" s="9"/>
      <c r="F205" s="42"/>
      <c r="G205" s="9"/>
      <c r="H205" s="9"/>
      <c r="I205" s="42"/>
      <c r="J205" s="38"/>
      <c r="K205" s="9"/>
      <c r="L205" s="9"/>
      <c r="M205" s="9"/>
      <c r="N205" s="42"/>
      <c r="O205" s="42"/>
      <c r="P205" s="9"/>
      <c r="Q205" s="9"/>
      <c r="R205" s="9"/>
      <c r="S205" s="9"/>
      <c r="T205" s="38"/>
      <c r="U205" s="38"/>
      <c r="V205" s="38"/>
      <c r="W205" s="38"/>
      <c r="X205" s="38"/>
      <c r="Y205" s="9"/>
      <c r="Z205" s="39"/>
      <c r="AA205" s="9"/>
      <c r="AB205" s="9"/>
      <c r="AC205" s="9"/>
      <c r="AD205" s="9"/>
      <c r="AE205" s="9"/>
      <c r="AF205" s="9"/>
      <c r="AG205" s="9"/>
      <c r="AH205" s="38"/>
      <c r="AI205" s="9"/>
      <c r="AJ205" s="39"/>
      <c r="AK205" s="9"/>
      <c r="AL205" s="9"/>
      <c r="AM205" s="9"/>
      <c r="AN205" s="9"/>
      <c r="AO205" s="9"/>
      <c r="AP205" s="9"/>
      <c r="AQ205" s="9"/>
      <c r="AR205" s="10" t="str">
        <f aca="false">IF(A205="","",SG_Criteria!$B$6&amp;SG_Criteria!$B$9&amp;"\"&amp;A205&amp;"\")</f>
        <v/>
      </c>
      <c r="AS205" s="10" t="str">
        <f aca="false">IF(A205="","",A205&amp;"_CAD.dwg")</f>
        <v/>
      </c>
      <c r="AT205" s="10" t="str">
        <f aca="false">IF(A205="","",A205&amp;"_DWG.pdf")</f>
        <v/>
      </c>
      <c r="AU205" s="10" t="str">
        <f aca="false">IF(A205="","",IF(AQ205="Y",A205&amp;"_STAAD.std","n/a"))</f>
        <v/>
      </c>
      <c r="AV205" s="10" t="str">
        <f aca="false">IF(A205="","",A205&amp;"_CALC.xlsx")</f>
        <v/>
      </c>
      <c r="AW205" s="10" t="str">
        <f aca="false">IF(A205="","",A205&amp;"_CALC.pdf")</f>
        <v/>
      </c>
      <c r="AX205" s="9"/>
      <c r="AY205" s="9"/>
      <c r="AZ205" s="39"/>
      <c r="BA205" s="39"/>
      <c r="BB205" s="39"/>
      <c r="BC205" s="39"/>
      <c r="BD205" s="39"/>
      <c r="BE205" s="12" t="str">
        <f aca="false">IF(A205="","",IF(COUNTIF(Rebar_Schedule!$A$5:$A$2004,A205)=0,"",ROUND(SUMIF(Rebar_Schedule!$A$5:$A$2004,A205,Rebar_Schedule!$K$5:$K$2004),1)))</f>
        <v/>
      </c>
      <c r="BF205" s="33" t="str">
        <f aca="false">IF(A205="","",IF(BE205="","No rebar schedule yet",IF(ABS(BE205-N(BA205))/MAX(N(BA205),1)&gt;SG_Criteria!$B$55,"NOTE: register rebar differs from schedule by "&amp;TEXT(ABS(BE205-N(BA205))/MAX(N(BA205),1),"0%"),"OK")))</f>
        <v/>
      </c>
      <c r="BG205" s="33" t="str">
        <f aca="false">IF(OR(D205="",F205=""),"",IF(F205&lt;=IF(D205="Soldier Pile &amp; Timber Lagging",SG_Criteria!$B$34,SG_Criteria!$B$33),"No ERSS submission",IF(F205&lt;=SG_Criteria!$B$35,"QP(ST)",IF(F205&lt;=SG_Criteria!$B$36,"QP(ST) + AC","Geotechnical building works: QP(Geo) + AC"))))</f>
        <v/>
      </c>
      <c r="BH205" s="33" t="str">
        <f aca="false">IF(D205="","",IF(LEN(IF(AND(AC205&lt;&gt;"",IFERROR(VALUE(MID(AC205,2,2)),0)&lt;SG_Criteria!$B$19),"FAIL: grade below C"&amp;SG_Criteria!$B$19&amp;". ","")&amp;IF(AND(LEFT(D205,3)="Con",N(I205)&lt;F205,H205="Kallang Formation (marine clay)"),"NOTE: CBP is not watertight below GWT in marine clay; consider secant / grouting. ","")&amp;IF(AND(D205="Steel Sheet Pile",E205="Permanent"),"NOTE: permanent sheet pile needs corrosion allowance. ","")&amp;IF(AND(G205="Cantilever (no support)",F205&gt;6),"NOTE: cantilever embedded wall &gt; 6 m, check deflection. ","")&amp;IF(AND(T205&lt;&gt;"",U205&lt;&gt;"",T205&gt;U205),"FAIL: deflection exceeds allowable. ",""))=0,"OK",IF(AND(AC205&lt;&gt;"",IFERROR(VALUE(MID(AC205,2,2)),0)&lt;SG_Criteria!$B$19),"FAIL: grade below C"&amp;SG_Criteria!$B$19&amp;". ","")&amp;IF(AND(LEFT(D205,3)="Con",N(I205)&lt;F205,H205="Kallang Formation (marine clay)"),"NOTE: CBP is not watertight below GWT in marine clay; consider secant / grouting. ","")&amp;IF(AND(D205="Steel Sheet Pile",E205="Permanent"),"NOTE: permanent sheet pile needs corrosion allowance. ","")&amp;IF(AND(G205="Cantilever (no support)",F205&gt;6),"NOTE: cantilever embedded wall &gt; 6 m, check deflection. ","")&amp;IF(AND(T205&lt;&gt;"",U205&lt;&gt;"",T205&gt;U205),"FAIL: deflection exceeds allowable. ","")))</f>
        <v/>
      </c>
      <c r="BI205" s="9"/>
      <c r="BJ205" s="9"/>
      <c r="BK205" s="9"/>
      <c r="BL205" s="10" t="str">
        <f aca="false">IF(BK205="","",IFERROR(VLOOKUP(BK205,Projects!$A$5:$D$504,2,0),"Ref not in Projects"))</f>
        <v/>
      </c>
      <c r="BM205" s="10" t="str">
        <f aca="false">IF(BK205="","",IFERROR(VLOOKUP(BK205,Projects!$A$5:$D$504,4,0),"Ref not in Projects"))</f>
        <v/>
      </c>
      <c r="BN205" s="9"/>
      <c r="BO205" s="9"/>
      <c r="BP205" s="9"/>
      <c r="BQ205" s="40"/>
      <c r="BR205" s="9"/>
      <c r="BS205" s="40"/>
      <c r="BT205" s="9"/>
      <c r="BU205" s="40"/>
      <c r="BV205" s="9"/>
      <c r="BW205" s="9"/>
      <c r="BX205" s="9"/>
      <c r="BY205" s="40"/>
      <c r="BZ205" s="40"/>
      <c r="CA205" s="36" t="str">
        <f aca="false">IF(BZ205="","",EDATE(BZ205,SG_Criteria!$B$54*12))</f>
        <v/>
      </c>
      <c r="CB205" s="33" t="str">
        <f aca="true">IF(A205="","",IF(BZ205="","NOTE: not reviewed yet",IF(TODAY()&gt;CA205,"NOTE: review overdue","OK")))</f>
        <v/>
      </c>
      <c r="CC205" s="37" t="str">
        <f aca="false">IF(A205="","",ROUND((IF(LEN(D205)&gt;0,1,0)+IF(LEN(E205)&gt;0,1,0)+IF(LEN(F205)&gt;0,1,0)+IF(LEN(G205)&gt;0,1,0)+IF(LEN(H205)&gt;0,1,0)+IF(LEN(I205)&gt;0,1,0)+IF(LEN(K205)&gt;0,1,0)+IF(LEN(N205)&gt;0,1,0)+IF(LEN(O205)&gt;0,1,0)+IF(LEN(T205)&gt;0,1,0)+IF(LEN(U205)&gt;0,1,0)+IF(LEN(V205)&gt;0,1,0)+IF(LEN(AK205)&gt;0,1,0)+IF(LEN(AM205)&gt;0,1,0)+IF(LEN(AN205)&gt;0,1,0)+IF(LEN(AO205)&gt;0,1,0)+IF(LEN(AP205)&gt;0,1,0)+IF(LEN(AY205)&gt;0,1,0)+IF(LEN(BK205)&gt;0,1,0)+IF(LEN(BX205)&gt;0,1,0))/20,2))</f>
        <v/>
      </c>
      <c r="CD205" s="10" t="str">
        <f aca="false">IF(D205="","",IF(AND(AN205="Approved",ISERROR(SEARCH("FAIL",BH205))),"Y","N"))</f>
        <v/>
      </c>
      <c r="CE205" s="10" t="str">
        <f aca="false">IF(D205="","",D205&amp;"|"&amp;F205&amp;"|"&amp;G205&amp;"|"&amp;H205&amp;"|"&amp;E205&amp;"|"&amp;CD205)</f>
        <v/>
      </c>
    </row>
    <row r="206" customFormat="false" ht="15" hidden="false" customHeight="false" outlineLevel="0" collapsed="false">
      <c r="A206" s="10" t="str">
        <f aca="false">IF(D206="","","EW-"&amp;IFERROR(VLOOKUP(D206,Lists!$P$4:$Q$22,2,0),"??")&amp;"-D"&amp;TEXT(F206*1000,"0000")&amp;"-"&amp;IFERROR(VLOOKUP(G206,Lists!$S$4:$T$21,2,0),"??")&amp;"-"&amp;IFERROR(VLOOKUP(H206,Lists!$Y$4:$Z$21,2,0),"??")&amp;"-"&amp;IFERROR(VLOOKUP(E206,Lists!$V$4:$W$16,2,0),"??")&amp;"-"&amp;AM206)</f>
        <v/>
      </c>
      <c r="B206" s="10" t="str">
        <f aca="false">IF(D206="","",E206&amp;" "&amp;D206&amp;", excavation "&amp;TEXT(F206,"0.0")&amp;" m, "&amp;G206&amp;", "&amp;H206&amp;", "&amp;K206)</f>
        <v/>
      </c>
      <c r="C206" s="9"/>
      <c r="D206" s="9"/>
      <c r="E206" s="9"/>
      <c r="F206" s="42"/>
      <c r="G206" s="9"/>
      <c r="H206" s="9"/>
      <c r="I206" s="42"/>
      <c r="J206" s="38"/>
      <c r="K206" s="9"/>
      <c r="L206" s="9"/>
      <c r="M206" s="9"/>
      <c r="N206" s="42"/>
      <c r="O206" s="42"/>
      <c r="P206" s="9"/>
      <c r="Q206" s="9"/>
      <c r="R206" s="9"/>
      <c r="S206" s="9"/>
      <c r="T206" s="38"/>
      <c r="U206" s="38"/>
      <c r="V206" s="38"/>
      <c r="W206" s="38"/>
      <c r="X206" s="38"/>
      <c r="Y206" s="9"/>
      <c r="Z206" s="39"/>
      <c r="AA206" s="9"/>
      <c r="AB206" s="9"/>
      <c r="AC206" s="9"/>
      <c r="AD206" s="9"/>
      <c r="AE206" s="9"/>
      <c r="AF206" s="9"/>
      <c r="AG206" s="9"/>
      <c r="AH206" s="38"/>
      <c r="AI206" s="9"/>
      <c r="AJ206" s="39"/>
      <c r="AK206" s="9"/>
      <c r="AL206" s="9"/>
      <c r="AM206" s="9"/>
      <c r="AN206" s="9"/>
      <c r="AO206" s="9"/>
      <c r="AP206" s="9"/>
      <c r="AQ206" s="9"/>
      <c r="AR206" s="10" t="str">
        <f aca="false">IF(A206="","",SG_Criteria!$B$6&amp;SG_Criteria!$B$9&amp;"\"&amp;A206&amp;"\")</f>
        <v/>
      </c>
      <c r="AS206" s="10" t="str">
        <f aca="false">IF(A206="","",A206&amp;"_CAD.dwg")</f>
        <v/>
      </c>
      <c r="AT206" s="10" t="str">
        <f aca="false">IF(A206="","",A206&amp;"_DWG.pdf")</f>
        <v/>
      </c>
      <c r="AU206" s="10" t="str">
        <f aca="false">IF(A206="","",IF(AQ206="Y",A206&amp;"_STAAD.std","n/a"))</f>
        <v/>
      </c>
      <c r="AV206" s="10" t="str">
        <f aca="false">IF(A206="","",A206&amp;"_CALC.xlsx")</f>
        <v/>
      </c>
      <c r="AW206" s="10" t="str">
        <f aca="false">IF(A206="","",A206&amp;"_CALC.pdf")</f>
        <v/>
      </c>
      <c r="AX206" s="9"/>
      <c r="AY206" s="9"/>
      <c r="AZ206" s="39"/>
      <c r="BA206" s="39"/>
      <c r="BB206" s="39"/>
      <c r="BC206" s="39"/>
      <c r="BD206" s="39"/>
      <c r="BE206" s="12" t="str">
        <f aca="false">IF(A206="","",IF(COUNTIF(Rebar_Schedule!$A$5:$A$2004,A206)=0,"",ROUND(SUMIF(Rebar_Schedule!$A$5:$A$2004,A206,Rebar_Schedule!$K$5:$K$2004),1)))</f>
        <v/>
      </c>
      <c r="BF206" s="33" t="str">
        <f aca="false">IF(A206="","",IF(BE206="","No rebar schedule yet",IF(ABS(BE206-N(BA206))/MAX(N(BA206),1)&gt;SG_Criteria!$B$55,"NOTE: register rebar differs from schedule by "&amp;TEXT(ABS(BE206-N(BA206))/MAX(N(BA206),1),"0%"),"OK")))</f>
        <v/>
      </c>
      <c r="BG206" s="33" t="str">
        <f aca="false">IF(OR(D206="",F206=""),"",IF(F206&lt;=IF(D206="Soldier Pile &amp; Timber Lagging",SG_Criteria!$B$34,SG_Criteria!$B$33),"No ERSS submission",IF(F206&lt;=SG_Criteria!$B$35,"QP(ST)",IF(F206&lt;=SG_Criteria!$B$36,"QP(ST) + AC","Geotechnical building works: QP(Geo) + AC"))))</f>
        <v/>
      </c>
      <c r="BH206" s="33" t="str">
        <f aca="false">IF(D206="","",IF(LEN(IF(AND(AC206&lt;&gt;"",IFERROR(VALUE(MID(AC206,2,2)),0)&lt;SG_Criteria!$B$19),"FAIL: grade below C"&amp;SG_Criteria!$B$19&amp;". ","")&amp;IF(AND(LEFT(D206,3)="Con",N(I206)&lt;F206,H206="Kallang Formation (marine clay)"),"NOTE: CBP is not watertight below GWT in marine clay; consider secant / grouting. ","")&amp;IF(AND(D206="Steel Sheet Pile",E206="Permanent"),"NOTE: permanent sheet pile needs corrosion allowance. ","")&amp;IF(AND(G206="Cantilever (no support)",F206&gt;6),"NOTE: cantilever embedded wall &gt; 6 m, check deflection. ","")&amp;IF(AND(T206&lt;&gt;"",U206&lt;&gt;"",T206&gt;U206),"FAIL: deflection exceeds allowable. ",""))=0,"OK",IF(AND(AC206&lt;&gt;"",IFERROR(VALUE(MID(AC206,2,2)),0)&lt;SG_Criteria!$B$19),"FAIL: grade below C"&amp;SG_Criteria!$B$19&amp;". ","")&amp;IF(AND(LEFT(D206,3)="Con",N(I206)&lt;F206,H206="Kallang Formation (marine clay)"),"NOTE: CBP is not watertight below GWT in marine clay; consider secant / grouting. ","")&amp;IF(AND(D206="Steel Sheet Pile",E206="Permanent"),"NOTE: permanent sheet pile needs corrosion allowance. ","")&amp;IF(AND(G206="Cantilever (no support)",F206&gt;6),"NOTE: cantilever embedded wall &gt; 6 m, check deflection. ","")&amp;IF(AND(T206&lt;&gt;"",U206&lt;&gt;"",T206&gt;U206),"FAIL: deflection exceeds allowable. ","")))</f>
        <v/>
      </c>
      <c r="BI206" s="9"/>
      <c r="BJ206" s="9"/>
      <c r="BK206" s="9"/>
      <c r="BL206" s="10" t="str">
        <f aca="false">IF(BK206="","",IFERROR(VLOOKUP(BK206,Projects!$A$5:$D$504,2,0),"Ref not in Projects"))</f>
        <v/>
      </c>
      <c r="BM206" s="10" t="str">
        <f aca="false">IF(BK206="","",IFERROR(VLOOKUP(BK206,Projects!$A$5:$D$504,4,0),"Ref not in Projects"))</f>
        <v/>
      </c>
      <c r="BN206" s="9"/>
      <c r="BO206" s="9"/>
      <c r="BP206" s="9"/>
      <c r="BQ206" s="40"/>
      <c r="BR206" s="9"/>
      <c r="BS206" s="40"/>
      <c r="BT206" s="9"/>
      <c r="BU206" s="40"/>
      <c r="BV206" s="9"/>
      <c r="BW206" s="9"/>
      <c r="BX206" s="9"/>
      <c r="BY206" s="40"/>
      <c r="BZ206" s="40"/>
      <c r="CA206" s="36" t="str">
        <f aca="false">IF(BZ206="","",EDATE(BZ206,SG_Criteria!$B$54*12))</f>
        <v/>
      </c>
      <c r="CB206" s="33" t="str">
        <f aca="true">IF(A206="","",IF(BZ206="","NOTE: not reviewed yet",IF(TODAY()&gt;CA206,"NOTE: review overdue","OK")))</f>
        <v/>
      </c>
      <c r="CC206" s="37" t="str">
        <f aca="false">IF(A206="","",ROUND((IF(LEN(D206)&gt;0,1,0)+IF(LEN(E206)&gt;0,1,0)+IF(LEN(F206)&gt;0,1,0)+IF(LEN(G206)&gt;0,1,0)+IF(LEN(H206)&gt;0,1,0)+IF(LEN(I206)&gt;0,1,0)+IF(LEN(K206)&gt;0,1,0)+IF(LEN(N206)&gt;0,1,0)+IF(LEN(O206)&gt;0,1,0)+IF(LEN(T206)&gt;0,1,0)+IF(LEN(U206)&gt;0,1,0)+IF(LEN(V206)&gt;0,1,0)+IF(LEN(AK206)&gt;0,1,0)+IF(LEN(AM206)&gt;0,1,0)+IF(LEN(AN206)&gt;0,1,0)+IF(LEN(AO206)&gt;0,1,0)+IF(LEN(AP206)&gt;0,1,0)+IF(LEN(AY206)&gt;0,1,0)+IF(LEN(BK206)&gt;0,1,0)+IF(LEN(BX206)&gt;0,1,0))/20,2))</f>
        <v/>
      </c>
      <c r="CD206" s="10" t="str">
        <f aca="false">IF(D206="","",IF(AND(AN206="Approved",ISERROR(SEARCH("FAIL",BH206))),"Y","N"))</f>
        <v/>
      </c>
      <c r="CE206" s="10" t="str">
        <f aca="false">IF(D206="","",D206&amp;"|"&amp;F206&amp;"|"&amp;G206&amp;"|"&amp;H206&amp;"|"&amp;E206&amp;"|"&amp;CD206)</f>
        <v/>
      </c>
    </row>
    <row r="207" customFormat="false" ht="15" hidden="false" customHeight="false" outlineLevel="0" collapsed="false">
      <c r="A207" s="10" t="str">
        <f aca="false">IF(D207="","","EW-"&amp;IFERROR(VLOOKUP(D207,Lists!$P$4:$Q$22,2,0),"??")&amp;"-D"&amp;TEXT(F207*1000,"0000")&amp;"-"&amp;IFERROR(VLOOKUP(G207,Lists!$S$4:$T$21,2,0),"??")&amp;"-"&amp;IFERROR(VLOOKUP(H207,Lists!$Y$4:$Z$21,2,0),"??")&amp;"-"&amp;IFERROR(VLOOKUP(E207,Lists!$V$4:$W$16,2,0),"??")&amp;"-"&amp;AM207)</f>
        <v/>
      </c>
      <c r="B207" s="10" t="str">
        <f aca="false">IF(D207="","",E207&amp;" "&amp;D207&amp;", excavation "&amp;TEXT(F207,"0.0")&amp;" m, "&amp;G207&amp;", "&amp;H207&amp;", "&amp;K207)</f>
        <v/>
      </c>
      <c r="C207" s="9"/>
      <c r="D207" s="9"/>
      <c r="E207" s="9"/>
      <c r="F207" s="42"/>
      <c r="G207" s="9"/>
      <c r="H207" s="9"/>
      <c r="I207" s="42"/>
      <c r="J207" s="38"/>
      <c r="K207" s="9"/>
      <c r="L207" s="9"/>
      <c r="M207" s="9"/>
      <c r="N207" s="42"/>
      <c r="O207" s="42"/>
      <c r="P207" s="9"/>
      <c r="Q207" s="9"/>
      <c r="R207" s="9"/>
      <c r="S207" s="9"/>
      <c r="T207" s="38"/>
      <c r="U207" s="38"/>
      <c r="V207" s="38"/>
      <c r="W207" s="38"/>
      <c r="X207" s="38"/>
      <c r="Y207" s="9"/>
      <c r="Z207" s="39"/>
      <c r="AA207" s="9"/>
      <c r="AB207" s="9"/>
      <c r="AC207" s="9"/>
      <c r="AD207" s="9"/>
      <c r="AE207" s="9"/>
      <c r="AF207" s="9"/>
      <c r="AG207" s="9"/>
      <c r="AH207" s="38"/>
      <c r="AI207" s="9"/>
      <c r="AJ207" s="39"/>
      <c r="AK207" s="9"/>
      <c r="AL207" s="9"/>
      <c r="AM207" s="9"/>
      <c r="AN207" s="9"/>
      <c r="AO207" s="9"/>
      <c r="AP207" s="9"/>
      <c r="AQ207" s="9"/>
      <c r="AR207" s="10" t="str">
        <f aca="false">IF(A207="","",SG_Criteria!$B$6&amp;SG_Criteria!$B$9&amp;"\"&amp;A207&amp;"\")</f>
        <v/>
      </c>
      <c r="AS207" s="10" t="str">
        <f aca="false">IF(A207="","",A207&amp;"_CAD.dwg")</f>
        <v/>
      </c>
      <c r="AT207" s="10" t="str">
        <f aca="false">IF(A207="","",A207&amp;"_DWG.pdf")</f>
        <v/>
      </c>
      <c r="AU207" s="10" t="str">
        <f aca="false">IF(A207="","",IF(AQ207="Y",A207&amp;"_STAAD.std","n/a"))</f>
        <v/>
      </c>
      <c r="AV207" s="10" t="str">
        <f aca="false">IF(A207="","",A207&amp;"_CALC.xlsx")</f>
        <v/>
      </c>
      <c r="AW207" s="10" t="str">
        <f aca="false">IF(A207="","",A207&amp;"_CALC.pdf")</f>
        <v/>
      </c>
      <c r="AX207" s="9"/>
      <c r="AY207" s="9"/>
      <c r="AZ207" s="39"/>
      <c r="BA207" s="39"/>
      <c r="BB207" s="39"/>
      <c r="BC207" s="39"/>
      <c r="BD207" s="39"/>
      <c r="BE207" s="12" t="str">
        <f aca="false">IF(A207="","",IF(COUNTIF(Rebar_Schedule!$A$5:$A$2004,A207)=0,"",ROUND(SUMIF(Rebar_Schedule!$A$5:$A$2004,A207,Rebar_Schedule!$K$5:$K$2004),1)))</f>
        <v/>
      </c>
      <c r="BF207" s="33" t="str">
        <f aca="false">IF(A207="","",IF(BE207="","No rebar schedule yet",IF(ABS(BE207-N(BA207))/MAX(N(BA207),1)&gt;SG_Criteria!$B$55,"NOTE: register rebar differs from schedule by "&amp;TEXT(ABS(BE207-N(BA207))/MAX(N(BA207),1),"0%"),"OK")))</f>
        <v/>
      </c>
      <c r="BG207" s="33" t="str">
        <f aca="false">IF(OR(D207="",F207=""),"",IF(F207&lt;=IF(D207="Soldier Pile &amp; Timber Lagging",SG_Criteria!$B$34,SG_Criteria!$B$33),"No ERSS submission",IF(F207&lt;=SG_Criteria!$B$35,"QP(ST)",IF(F207&lt;=SG_Criteria!$B$36,"QP(ST) + AC","Geotechnical building works: QP(Geo) + AC"))))</f>
        <v/>
      </c>
      <c r="BH207" s="33" t="str">
        <f aca="false">IF(D207="","",IF(LEN(IF(AND(AC207&lt;&gt;"",IFERROR(VALUE(MID(AC207,2,2)),0)&lt;SG_Criteria!$B$19),"FAIL: grade below C"&amp;SG_Criteria!$B$19&amp;". ","")&amp;IF(AND(LEFT(D207,3)="Con",N(I207)&lt;F207,H207="Kallang Formation (marine clay)"),"NOTE: CBP is not watertight below GWT in marine clay; consider secant / grouting. ","")&amp;IF(AND(D207="Steel Sheet Pile",E207="Permanent"),"NOTE: permanent sheet pile needs corrosion allowance. ","")&amp;IF(AND(G207="Cantilever (no support)",F207&gt;6),"NOTE: cantilever embedded wall &gt; 6 m, check deflection. ","")&amp;IF(AND(T207&lt;&gt;"",U207&lt;&gt;"",T207&gt;U207),"FAIL: deflection exceeds allowable. ",""))=0,"OK",IF(AND(AC207&lt;&gt;"",IFERROR(VALUE(MID(AC207,2,2)),0)&lt;SG_Criteria!$B$19),"FAIL: grade below C"&amp;SG_Criteria!$B$19&amp;". ","")&amp;IF(AND(LEFT(D207,3)="Con",N(I207)&lt;F207,H207="Kallang Formation (marine clay)"),"NOTE: CBP is not watertight below GWT in marine clay; consider secant / grouting. ","")&amp;IF(AND(D207="Steel Sheet Pile",E207="Permanent"),"NOTE: permanent sheet pile needs corrosion allowance. ","")&amp;IF(AND(G207="Cantilever (no support)",F207&gt;6),"NOTE: cantilever embedded wall &gt; 6 m, check deflection. ","")&amp;IF(AND(T207&lt;&gt;"",U207&lt;&gt;"",T207&gt;U207),"FAIL: deflection exceeds allowable. ","")))</f>
        <v/>
      </c>
      <c r="BI207" s="9"/>
      <c r="BJ207" s="9"/>
      <c r="BK207" s="9"/>
      <c r="BL207" s="10" t="str">
        <f aca="false">IF(BK207="","",IFERROR(VLOOKUP(BK207,Projects!$A$5:$D$504,2,0),"Ref not in Projects"))</f>
        <v/>
      </c>
      <c r="BM207" s="10" t="str">
        <f aca="false">IF(BK207="","",IFERROR(VLOOKUP(BK207,Projects!$A$5:$D$504,4,0),"Ref not in Projects"))</f>
        <v/>
      </c>
      <c r="BN207" s="9"/>
      <c r="BO207" s="9"/>
      <c r="BP207" s="9"/>
      <c r="BQ207" s="40"/>
      <c r="BR207" s="9"/>
      <c r="BS207" s="40"/>
      <c r="BT207" s="9"/>
      <c r="BU207" s="40"/>
      <c r="BV207" s="9"/>
      <c r="BW207" s="9"/>
      <c r="BX207" s="9"/>
      <c r="BY207" s="40"/>
      <c r="BZ207" s="40"/>
      <c r="CA207" s="36" t="str">
        <f aca="false">IF(BZ207="","",EDATE(BZ207,SG_Criteria!$B$54*12))</f>
        <v/>
      </c>
      <c r="CB207" s="33" t="str">
        <f aca="true">IF(A207="","",IF(BZ207="","NOTE: not reviewed yet",IF(TODAY()&gt;CA207,"NOTE: review overdue","OK")))</f>
        <v/>
      </c>
      <c r="CC207" s="37" t="str">
        <f aca="false">IF(A207="","",ROUND((IF(LEN(D207)&gt;0,1,0)+IF(LEN(E207)&gt;0,1,0)+IF(LEN(F207)&gt;0,1,0)+IF(LEN(G207)&gt;0,1,0)+IF(LEN(H207)&gt;0,1,0)+IF(LEN(I207)&gt;0,1,0)+IF(LEN(K207)&gt;0,1,0)+IF(LEN(N207)&gt;0,1,0)+IF(LEN(O207)&gt;0,1,0)+IF(LEN(T207)&gt;0,1,0)+IF(LEN(U207)&gt;0,1,0)+IF(LEN(V207)&gt;0,1,0)+IF(LEN(AK207)&gt;0,1,0)+IF(LEN(AM207)&gt;0,1,0)+IF(LEN(AN207)&gt;0,1,0)+IF(LEN(AO207)&gt;0,1,0)+IF(LEN(AP207)&gt;0,1,0)+IF(LEN(AY207)&gt;0,1,0)+IF(LEN(BK207)&gt;0,1,0)+IF(LEN(BX207)&gt;0,1,0))/20,2))</f>
        <v/>
      </c>
      <c r="CD207" s="10" t="str">
        <f aca="false">IF(D207="","",IF(AND(AN207="Approved",ISERROR(SEARCH("FAIL",BH207))),"Y","N"))</f>
        <v/>
      </c>
      <c r="CE207" s="10" t="str">
        <f aca="false">IF(D207="","",D207&amp;"|"&amp;F207&amp;"|"&amp;G207&amp;"|"&amp;H207&amp;"|"&amp;E207&amp;"|"&amp;CD207)</f>
        <v/>
      </c>
    </row>
    <row r="208" customFormat="false" ht="15" hidden="false" customHeight="false" outlineLevel="0" collapsed="false">
      <c r="A208" s="10" t="str">
        <f aca="false">IF(D208="","","EW-"&amp;IFERROR(VLOOKUP(D208,Lists!$P$4:$Q$22,2,0),"??")&amp;"-D"&amp;TEXT(F208*1000,"0000")&amp;"-"&amp;IFERROR(VLOOKUP(G208,Lists!$S$4:$T$21,2,0),"??")&amp;"-"&amp;IFERROR(VLOOKUP(H208,Lists!$Y$4:$Z$21,2,0),"??")&amp;"-"&amp;IFERROR(VLOOKUP(E208,Lists!$V$4:$W$16,2,0),"??")&amp;"-"&amp;AM208)</f>
        <v/>
      </c>
      <c r="B208" s="10" t="str">
        <f aca="false">IF(D208="","",E208&amp;" "&amp;D208&amp;", excavation "&amp;TEXT(F208,"0.0")&amp;" m, "&amp;G208&amp;", "&amp;H208&amp;", "&amp;K208)</f>
        <v/>
      </c>
      <c r="C208" s="9"/>
      <c r="D208" s="9"/>
      <c r="E208" s="9"/>
      <c r="F208" s="42"/>
      <c r="G208" s="9"/>
      <c r="H208" s="9"/>
      <c r="I208" s="42"/>
      <c r="J208" s="38"/>
      <c r="K208" s="9"/>
      <c r="L208" s="9"/>
      <c r="M208" s="9"/>
      <c r="N208" s="42"/>
      <c r="O208" s="42"/>
      <c r="P208" s="9"/>
      <c r="Q208" s="9"/>
      <c r="R208" s="9"/>
      <c r="S208" s="9"/>
      <c r="T208" s="38"/>
      <c r="U208" s="38"/>
      <c r="V208" s="38"/>
      <c r="W208" s="38"/>
      <c r="X208" s="38"/>
      <c r="Y208" s="9"/>
      <c r="Z208" s="39"/>
      <c r="AA208" s="9"/>
      <c r="AB208" s="9"/>
      <c r="AC208" s="9"/>
      <c r="AD208" s="9"/>
      <c r="AE208" s="9"/>
      <c r="AF208" s="9"/>
      <c r="AG208" s="9"/>
      <c r="AH208" s="38"/>
      <c r="AI208" s="9"/>
      <c r="AJ208" s="39"/>
      <c r="AK208" s="9"/>
      <c r="AL208" s="9"/>
      <c r="AM208" s="9"/>
      <c r="AN208" s="9"/>
      <c r="AO208" s="9"/>
      <c r="AP208" s="9"/>
      <c r="AQ208" s="9"/>
      <c r="AR208" s="10" t="str">
        <f aca="false">IF(A208="","",SG_Criteria!$B$6&amp;SG_Criteria!$B$9&amp;"\"&amp;A208&amp;"\")</f>
        <v/>
      </c>
      <c r="AS208" s="10" t="str">
        <f aca="false">IF(A208="","",A208&amp;"_CAD.dwg")</f>
        <v/>
      </c>
      <c r="AT208" s="10" t="str">
        <f aca="false">IF(A208="","",A208&amp;"_DWG.pdf")</f>
        <v/>
      </c>
      <c r="AU208" s="10" t="str">
        <f aca="false">IF(A208="","",IF(AQ208="Y",A208&amp;"_STAAD.std","n/a"))</f>
        <v/>
      </c>
      <c r="AV208" s="10" t="str">
        <f aca="false">IF(A208="","",A208&amp;"_CALC.xlsx")</f>
        <v/>
      </c>
      <c r="AW208" s="10" t="str">
        <f aca="false">IF(A208="","",A208&amp;"_CALC.pdf")</f>
        <v/>
      </c>
      <c r="AX208" s="9"/>
      <c r="AY208" s="9"/>
      <c r="AZ208" s="39"/>
      <c r="BA208" s="39"/>
      <c r="BB208" s="39"/>
      <c r="BC208" s="39"/>
      <c r="BD208" s="39"/>
      <c r="BE208" s="12" t="str">
        <f aca="false">IF(A208="","",IF(COUNTIF(Rebar_Schedule!$A$5:$A$2004,A208)=0,"",ROUND(SUMIF(Rebar_Schedule!$A$5:$A$2004,A208,Rebar_Schedule!$K$5:$K$2004),1)))</f>
        <v/>
      </c>
      <c r="BF208" s="33" t="str">
        <f aca="false">IF(A208="","",IF(BE208="","No rebar schedule yet",IF(ABS(BE208-N(BA208))/MAX(N(BA208),1)&gt;SG_Criteria!$B$55,"NOTE: register rebar differs from schedule by "&amp;TEXT(ABS(BE208-N(BA208))/MAX(N(BA208),1),"0%"),"OK")))</f>
        <v/>
      </c>
      <c r="BG208" s="33" t="str">
        <f aca="false">IF(OR(D208="",F208=""),"",IF(F208&lt;=IF(D208="Soldier Pile &amp; Timber Lagging",SG_Criteria!$B$34,SG_Criteria!$B$33),"No ERSS submission",IF(F208&lt;=SG_Criteria!$B$35,"QP(ST)",IF(F208&lt;=SG_Criteria!$B$36,"QP(ST) + AC","Geotechnical building works: QP(Geo) + AC"))))</f>
        <v/>
      </c>
      <c r="BH208" s="33" t="str">
        <f aca="false">IF(D208="","",IF(LEN(IF(AND(AC208&lt;&gt;"",IFERROR(VALUE(MID(AC208,2,2)),0)&lt;SG_Criteria!$B$19),"FAIL: grade below C"&amp;SG_Criteria!$B$19&amp;". ","")&amp;IF(AND(LEFT(D208,3)="Con",N(I208)&lt;F208,H208="Kallang Formation (marine clay)"),"NOTE: CBP is not watertight below GWT in marine clay; consider secant / grouting. ","")&amp;IF(AND(D208="Steel Sheet Pile",E208="Permanent"),"NOTE: permanent sheet pile needs corrosion allowance. ","")&amp;IF(AND(G208="Cantilever (no support)",F208&gt;6),"NOTE: cantilever embedded wall &gt; 6 m, check deflection. ","")&amp;IF(AND(T208&lt;&gt;"",U208&lt;&gt;"",T208&gt;U208),"FAIL: deflection exceeds allowable. ",""))=0,"OK",IF(AND(AC208&lt;&gt;"",IFERROR(VALUE(MID(AC208,2,2)),0)&lt;SG_Criteria!$B$19),"FAIL: grade below C"&amp;SG_Criteria!$B$19&amp;". ","")&amp;IF(AND(LEFT(D208,3)="Con",N(I208)&lt;F208,H208="Kallang Formation (marine clay)"),"NOTE: CBP is not watertight below GWT in marine clay; consider secant / grouting. ","")&amp;IF(AND(D208="Steel Sheet Pile",E208="Permanent"),"NOTE: permanent sheet pile needs corrosion allowance. ","")&amp;IF(AND(G208="Cantilever (no support)",F208&gt;6),"NOTE: cantilever embedded wall &gt; 6 m, check deflection. ","")&amp;IF(AND(T208&lt;&gt;"",U208&lt;&gt;"",T208&gt;U208),"FAIL: deflection exceeds allowable. ","")))</f>
        <v/>
      </c>
      <c r="BI208" s="9"/>
      <c r="BJ208" s="9"/>
      <c r="BK208" s="9"/>
      <c r="BL208" s="10" t="str">
        <f aca="false">IF(BK208="","",IFERROR(VLOOKUP(BK208,Projects!$A$5:$D$504,2,0),"Ref not in Projects"))</f>
        <v/>
      </c>
      <c r="BM208" s="10" t="str">
        <f aca="false">IF(BK208="","",IFERROR(VLOOKUP(BK208,Projects!$A$5:$D$504,4,0),"Ref not in Projects"))</f>
        <v/>
      </c>
      <c r="BN208" s="9"/>
      <c r="BO208" s="9"/>
      <c r="BP208" s="9"/>
      <c r="BQ208" s="40"/>
      <c r="BR208" s="9"/>
      <c r="BS208" s="40"/>
      <c r="BT208" s="9"/>
      <c r="BU208" s="40"/>
      <c r="BV208" s="9"/>
      <c r="BW208" s="9"/>
      <c r="BX208" s="9"/>
      <c r="BY208" s="40"/>
      <c r="BZ208" s="40"/>
      <c r="CA208" s="36" t="str">
        <f aca="false">IF(BZ208="","",EDATE(BZ208,SG_Criteria!$B$54*12))</f>
        <v/>
      </c>
      <c r="CB208" s="33" t="str">
        <f aca="true">IF(A208="","",IF(BZ208="","NOTE: not reviewed yet",IF(TODAY()&gt;CA208,"NOTE: review overdue","OK")))</f>
        <v/>
      </c>
      <c r="CC208" s="37" t="str">
        <f aca="false">IF(A208="","",ROUND((IF(LEN(D208)&gt;0,1,0)+IF(LEN(E208)&gt;0,1,0)+IF(LEN(F208)&gt;0,1,0)+IF(LEN(G208)&gt;0,1,0)+IF(LEN(H208)&gt;0,1,0)+IF(LEN(I208)&gt;0,1,0)+IF(LEN(K208)&gt;0,1,0)+IF(LEN(N208)&gt;0,1,0)+IF(LEN(O208)&gt;0,1,0)+IF(LEN(T208)&gt;0,1,0)+IF(LEN(U208)&gt;0,1,0)+IF(LEN(V208)&gt;0,1,0)+IF(LEN(AK208)&gt;0,1,0)+IF(LEN(AM208)&gt;0,1,0)+IF(LEN(AN208)&gt;0,1,0)+IF(LEN(AO208)&gt;0,1,0)+IF(LEN(AP208)&gt;0,1,0)+IF(LEN(AY208)&gt;0,1,0)+IF(LEN(BK208)&gt;0,1,0)+IF(LEN(BX208)&gt;0,1,0))/20,2))</f>
        <v/>
      </c>
      <c r="CD208" s="10" t="str">
        <f aca="false">IF(D208="","",IF(AND(AN208="Approved",ISERROR(SEARCH("FAIL",BH208))),"Y","N"))</f>
        <v/>
      </c>
      <c r="CE208" s="10" t="str">
        <f aca="false">IF(D208="","",D208&amp;"|"&amp;F208&amp;"|"&amp;G208&amp;"|"&amp;H208&amp;"|"&amp;E208&amp;"|"&amp;CD208)</f>
        <v/>
      </c>
    </row>
    <row r="209" customFormat="false" ht="15" hidden="false" customHeight="false" outlineLevel="0" collapsed="false">
      <c r="A209" s="10" t="str">
        <f aca="false">IF(D209="","","EW-"&amp;IFERROR(VLOOKUP(D209,Lists!$P$4:$Q$22,2,0),"??")&amp;"-D"&amp;TEXT(F209*1000,"0000")&amp;"-"&amp;IFERROR(VLOOKUP(G209,Lists!$S$4:$T$21,2,0),"??")&amp;"-"&amp;IFERROR(VLOOKUP(H209,Lists!$Y$4:$Z$21,2,0),"??")&amp;"-"&amp;IFERROR(VLOOKUP(E209,Lists!$V$4:$W$16,2,0),"??")&amp;"-"&amp;AM209)</f>
        <v/>
      </c>
      <c r="B209" s="10" t="str">
        <f aca="false">IF(D209="","",E209&amp;" "&amp;D209&amp;", excavation "&amp;TEXT(F209,"0.0")&amp;" m, "&amp;G209&amp;", "&amp;H209&amp;", "&amp;K209)</f>
        <v/>
      </c>
      <c r="C209" s="9"/>
      <c r="D209" s="9"/>
      <c r="E209" s="9"/>
      <c r="F209" s="42"/>
      <c r="G209" s="9"/>
      <c r="H209" s="9"/>
      <c r="I209" s="42"/>
      <c r="J209" s="38"/>
      <c r="K209" s="9"/>
      <c r="L209" s="9"/>
      <c r="M209" s="9"/>
      <c r="N209" s="42"/>
      <c r="O209" s="42"/>
      <c r="P209" s="9"/>
      <c r="Q209" s="9"/>
      <c r="R209" s="9"/>
      <c r="S209" s="9"/>
      <c r="T209" s="38"/>
      <c r="U209" s="38"/>
      <c r="V209" s="38"/>
      <c r="W209" s="38"/>
      <c r="X209" s="38"/>
      <c r="Y209" s="9"/>
      <c r="Z209" s="39"/>
      <c r="AA209" s="9"/>
      <c r="AB209" s="9"/>
      <c r="AC209" s="9"/>
      <c r="AD209" s="9"/>
      <c r="AE209" s="9"/>
      <c r="AF209" s="9"/>
      <c r="AG209" s="9"/>
      <c r="AH209" s="38"/>
      <c r="AI209" s="9"/>
      <c r="AJ209" s="39"/>
      <c r="AK209" s="9"/>
      <c r="AL209" s="9"/>
      <c r="AM209" s="9"/>
      <c r="AN209" s="9"/>
      <c r="AO209" s="9"/>
      <c r="AP209" s="9"/>
      <c r="AQ209" s="9"/>
      <c r="AR209" s="10" t="str">
        <f aca="false">IF(A209="","",SG_Criteria!$B$6&amp;SG_Criteria!$B$9&amp;"\"&amp;A209&amp;"\")</f>
        <v/>
      </c>
      <c r="AS209" s="10" t="str">
        <f aca="false">IF(A209="","",A209&amp;"_CAD.dwg")</f>
        <v/>
      </c>
      <c r="AT209" s="10" t="str">
        <f aca="false">IF(A209="","",A209&amp;"_DWG.pdf")</f>
        <v/>
      </c>
      <c r="AU209" s="10" t="str">
        <f aca="false">IF(A209="","",IF(AQ209="Y",A209&amp;"_STAAD.std","n/a"))</f>
        <v/>
      </c>
      <c r="AV209" s="10" t="str">
        <f aca="false">IF(A209="","",A209&amp;"_CALC.xlsx")</f>
        <v/>
      </c>
      <c r="AW209" s="10" t="str">
        <f aca="false">IF(A209="","",A209&amp;"_CALC.pdf")</f>
        <v/>
      </c>
      <c r="AX209" s="9"/>
      <c r="AY209" s="9"/>
      <c r="AZ209" s="39"/>
      <c r="BA209" s="39"/>
      <c r="BB209" s="39"/>
      <c r="BC209" s="39"/>
      <c r="BD209" s="39"/>
      <c r="BE209" s="12" t="str">
        <f aca="false">IF(A209="","",IF(COUNTIF(Rebar_Schedule!$A$5:$A$2004,A209)=0,"",ROUND(SUMIF(Rebar_Schedule!$A$5:$A$2004,A209,Rebar_Schedule!$K$5:$K$2004),1)))</f>
        <v/>
      </c>
      <c r="BF209" s="33" t="str">
        <f aca="false">IF(A209="","",IF(BE209="","No rebar schedule yet",IF(ABS(BE209-N(BA209))/MAX(N(BA209),1)&gt;SG_Criteria!$B$55,"NOTE: register rebar differs from schedule by "&amp;TEXT(ABS(BE209-N(BA209))/MAX(N(BA209),1),"0%"),"OK")))</f>
        <v/>
      </c>
      <c r="BG209" s="33" t="str">
        <f aca="false">IF(OR(D209="",F209=""),"",IF(F209&lt;=IF(D209="Soldier Pile &amp; Timber Lagging",SG_Criteria!$B$34,SG_Criteria!$B$33),"No ERSS submission",IF(F209&lt;=SG_Criteria!$B$35,"QP(ST)",IF(F209&lt;=SG_Criteria!$B$36,"QP(ST) + AC","Geotechnical building works: QP(Geo) + AC"))))</f>
        <v/>
      </c>
      <c r="BH209" s="33" t="str">
        <f aca="false">IF(D209="","",IF(LEN(IF(AND(AC209&lt;&gt;"",IFERROR(VALUE(MID(AC209,2,2)),0)&lt;SG_Criteria!$B$19),"FAIL: grade below C"&amp;SG_Criteria!$B$19&amp;". ","")&amp;IF(AND(LEFT(D209,3)="Con",N(I209)&lt;F209,H209="Kallang Formation (marine clay)"),"NOTE: CBP is not watertight below GWT in marine clay; consider secant / grouting. ","")&amp;IF(AND(D209="Steel Sheet Pile",E209="Permanent"),"NOTE: permanent sheet pile needs corrosion allowance. ","")&amp;IF(AND(G209="Cantilever (no support)",F209&gt;6),"NOTE: cantilever embedded wall &gt; 6 m, check deflection. ","")&amp;IF(AND(T209&lt;&gt;"",U209&lt;&gt;"",T209&gt;U209),"FAIL: deflection exceeds allowable. ",""))=0,"OK",IF(AND(AC209&lt;&gt;"",IFERROR(VALUE(MID(AC209,2,2)),0)&lt;SG_Criteria!$B$19),"FAIL: grade below C"&amp;SG_Criteria!$B$19&amp;". ","")&amp;IF(AND(LEFT(D209,3)="Con",N(I209)&lt;F209,H209="Kallang Formation (marine clay)"),"NOTE: CBP is not watertight below GWT in marine clay; consider secant / grouting. ","")&amp;IF(AND(D209="Steel Sheet Pile",E209="Permanent"),"NOTE: permanent sheet pile needs corrosion allowance. ","")&amp;IF(AND(G209="Cantilever (no support)",F209&gt;6),"NOTE: cantilever embedded wall &gt; 6 m, check deflection. ","")&amp;IF(AND(T209&lt;&gt;"",U209&lt;&gt;"",T209&gt;U209),"FAIL: deflection exceeds allowable. ","")))</f>
        <v/>
      </c>
      <c r="BI209" s="9"/>
      <c r="BJ209" s="9"/>
      <c r="BK209" s="9"/>
      <c r="BL209" s="10" t="str">
        <f aca="false">IF(BK209="","",IFERROR(VLOOKUP(BK209,Projects!$A$5:$D$504,2,0),"Ref not in Projects"))</f>
        <v/>
      </c>
      <c r="BM209" s="10" t="str">
        <f aca="false">IF(BK209="","",IFERROR(VLOOKUP(BK209,Projects!$A$5:$D$504,4,0),"Ref not in Projects"))</f>
        <v/>
      </c>
      <c r="BN209" s="9"/>
      <c r="BO209" s="9"/>
      <c r="BP209" s="9"/>
      <c r="BQ209" s="40"/>
      <c r="BR209" s="9"/>
      <c r="BS209" s="40"/>
      <c r="BT209" s="9"/>
      <c r="BU209" s="40"/>
      <c r="BV209" s="9"/>
      <c r="BW209" s="9"/>
      <c r="BX209" s="9"/>
      <c r="BY209" s="40"/>
      <c r="BZ209" s="40"/>
      <c r="CA209" s="36" t="str">
        <f aca="false">IF(BZ209="","",EDATE(BZ209,SG_Criteria!$B$54*12))</f>
        <v/>
      </c>
      <c r="CB209" s="33" t="str">
        <f aca="true">IF(A209="","",IF(BZ209="","NOTE: not reviewed yet",IF(TODAY()&gt;CA209,"NOTE: review overdue","OK")))</f>
        <v/>
      </c>
      <c r="CC209" s="37" t="str">
        <f aca="false">IF(A209="","",ROUND((IF(LEN(D209)&gt;0,1,0)+IF(LEN(E209)&gt;0,1,0)+IF(LEN(F209)&gt;0,1,0)+IF(LEN(G209)&gt;0,1,0)+IF(LEN(H209)&gt;0,1,0)+IF(LEN(I209)&gt;0,1,0)+IF(LEN(K209)&gt;0,1,0)+IF(LEN(N209)&gt;0,1,0)+IF(LEN(O209)&gt;0,1,0)+IF(LEN(T209)&gt;0,1,0)+IF(LEN(U209)&gt;0,1,0)+IF(LEN(V209)&gt;0,1,0)+IF(LEN(AK209)&gt;0,1,0)+IF(LEN(AM209)&gt;0,1,0)+IF(LEN(AN209)&gt;0,1,0)+IF(LEN(AO209)&gt;0,1,0)+IF(LEN(AP209)&gt;0,1,0)+IF(LEN(AY209)&gt;0,1,0)+IF(LEN(BK209)&gt;0,1,0)+IF(LEN(BX209)&gt;0,1,0))/20,2))</f>
        <v/>
      </c>
      <c r="CD209" s="10" t="str">
        <f aca="false">IF(D209="","",IF(AND(AN209="Approved",ISERROR(SEARCH("FAIL",BH209))),"Y","N"))</f>
        <v/>
      </c>
      <c r="CE209" s="10" t="str">
        <f aca="false">IF(D209="","",D209&amp;"|"&amp;F209&amp;"|"&amp;G209&amp;"|"&amp;H209&amp;"|"&amp;E209&amp;"|"&amp;CD209)</f>
        <v/>
      </c>
    </row>
    <row r="210" customFormat="false" ht="15" hidden="false" customHeight="false" outlineLevel="0" collapsed="false">
      <c r="A210" s="10" t="str">
        <f aca="false">IF(D210="","","EW-"&amp;IFERROR(VLOOKUP(D210,Lists!$P$4:$Q$22,2,0),"??")&amp;"-D"&amp;TEXT(F210*1000,"0000")&amp;"-"&amp;IFERROR(VLOOKUP(G210,Lists!$S$4:$T$21,2,0),"??")&amp;"-"&amp;IFERROR(VLOOKUP(H210,Lists!$Y$4:$Z$21,2,0),"??")&amp;"-"&amp;IFERROR(VLOOKUP(E210,Lists!$V$4:$W$16,2,0),"??")&amp;"-"&amp;AM210)</f>
        <v/>
      </c>
      <c r="B210" s="10" t="str">
        <f aca="false">IF(D210="","",E210&amp;" "&amp;D210&amp;", excavation "&amp;TEXT(F210,"0.0")&amp;" m, "&amp;G210&amp;", "&amp;H210&amp;", "&amp;K210)</f>
        <v/>
      </c>
      <c r="C210" s="9"/>
      <c r="D210" s="9"/>
      <c r="E210" s="9"/>
      <c r="F210" s="42"/>
      <c r="G210" s="9"/>
      <c r="H210" s="9"/>
      <c r="I210" s="42"/>
      <c r="J210" s="38"/>
      <c r="K210" s="9"/>
      <c r="L210" s="9"/>
      <c r="M210" s="9"/>
      <c r="N210" s="42"/>
      <c r="O210" s="42"/>
      <c r="P210" s="9"/>
      <c r="Q210" s="9"/>
      <c r="R210" s="9"/>
      <c r="S210" s="9"/>
      <c r="T210" s="38"/>
      <c r="U210" s="38"/>
      <c r="V210" s="38"/>
      <c r="W210" s="38"/>
      <c r="X210" s="38"/>
      <c r="Y210" s="9"/>
      <c r="Z210" s="39"/>
      <c r="AA210" s="9"/>
      <c r="AB210" s="9"/>
      <c r="AC210" s="9"/>
      <c r="AD210" s="9"/>
      <c r="AE210" s="9"/>
      <c r="AF210" s="9"/>
      <c r="AG210" s="9"/>
      <c r="AH210" s="38"/>
      <c r="AI210" s="9"/>
      <c r="AJ210" s="39"/>
      <c r="AK210" s="9"/>
      <c r="AL210" s="9"/>
      <c r="AM210" s="9"/>
      <c r="AN210" s="9"/>
      <c r="AO210" s="9"/>
      <c r="AP210" s="9"/>
      <c r="AQ210" s="9"/>
      <c r="AR210" s="10" t="str">
        <f aca="false">IF(A210="","",SG_Criteria!$B$6&amp;SG_Criteria!$B$9&amp;"\"&amp;A210&amp;"\")</f>
        <v/>
      </c>
      <c r="AS210" s="10" t="str">
        <f aca="false">IF(A210="","",A210&amp;"_CAD.dwg")</f>
        <v/>
      </c>
      <c r="AT210" s="10" t="str">
        <f aca="false">IF(A210="","",A210&amp;"_DWG.pdf")</f>
        <v/>
      </c>
      <c r="AU210" s="10" t="str">
        <f aca="false">IF(A210="","",IF(AQ210="Y",A210&amp;"_STAAD.std","n/a"))</f>
        <v/>
      </c>
      <c r="AV210" s="10" t="str">
        <f aca="false">IF(A210="","",A210&amp;"_CALC.xlsx")</f>
        <v/>
      </c>
      <c r="AW210" s="10" t="str">
        <f aca="false">IF(A210="","",A210&amp;"_CALC.pdf")</f>
        <v/>
      </c>
      <c r="AX210" s="9"/>
      <c r="AY210" s="9"/>
      <c r="AZ210" s="39"/>
      <c r="BA210" s="39"/>
      <c r="BB210" s="39"/>
      <c r="BC210" s="39"/>
      <c r="BD210" s="39"/>
      <c r="BE210" s="12" t="str">
        <f aca="false">IF(A210="","",IF(COUNTIF(Rebar_Schedule!$A$5:$A$2004,A210)=0,"",ROUND(SUMIF(Rebar_Schedule!$A$5:$A$2004,A210,Rebar_Schedule!$K$5:$K$2004),1)))</f>
        <v/>
      </c>
      <c r="BF210" s="33" t="str">
        <f aca="false">IF(A210="","",IF(BE210="","No rebar schedule yet",IF(ABS(BE210-N(BA210))/MAX(N(BA210),1)&gt;SG_Criteria!$B$55,"NOTE: register rebar differs from schedule by "&amp;TEXT(ABS(BE210-N(BA210))/MAX(N(BA210),1),"0%"),"OK")))</f>
        <v/>
      </c>
      <c r="BG210" s="33" t="str">
        <f aca="false">IF(OR(D210="",F210=""),"",IF(F210&lt;=IF(D210="Soldier Pile &amp; Timber Lagging",SG_Criteria!$B$34,SG_Criteria!$B$33),"No ERSS submission",IF(F210&lt;=SG_Criteria!$B$35,"QP(ST)",IF(F210&lt;=SG_Criteria!$B$36,"QP(ST) + AC","Geotechnical building works: QP(Geo) + AC"))))</f>
        <v/>
      </c>
      <c r="BH210" s="33" t="str">
        <f aca="false">IF(D210="","",IF(LEN(IF(AND(AC210&lt;&gt;"",IFERROR(VALUE(MID(AC210,2,2)),0)&lt;SG_Criteria!$B$19),"FAIL: grade below C"&amp;SG_Criteria!$B$19&amp;". ","")&amp;IF(AND(LEFT(D210,3)="Con",N(I210)&lt;F210,H210="Kallang Formation (marine clay)"),"NOTE: CBP is not watertight below GWT in marine clay; consider secant / grouting. ","")&amp;IF(AND(D210="Steel Sheet Pile",E210="Permanent"),"NOTE: permanent sheet pile needs corrosion allowance. ","")&amp;IF(AND(G210="Cantilever (no support)",F210&gt;6),"NOTE: cantilever embedded wall &gt; 6 m, check deflection. ","")&amp;IF(AND(T210&lt;&gt;"",U210&lt;&gt;"",T210&gt;U210),"FAIL: deflection exceeds allowable. ",""))=0,"OK",IF(AND(AC210&lt;&gt;"",IFERROR(VALUE(MID(AC210,2,2)),0)&lt;SG_Criteria!$B$19),"FAIL: grade below C"&amp;SG_Criteria!$B$19&amp;". ","")&amp;IF(AND(LEFT(D210,3)="Con",N(I210)&lt;F210,H210="Kallang Formation (marine clay)"),"NOTE: CBP is not watertight below GWT in marine clay; consider secant / grouting. ","")&amp;IF(AND(D210="Steel Sheet Pile",E210="Permanent"),"NOTE: permanent sheet pile needs corrosion allowance. ","")&amp;IF(AND(G210="Cantilever (no support)",F210&gt;6),"NOTE: cantilever embedded wall &gt; 6 m, check deflection. ","")&amp;IF(AND(T210&lt;&gt;"",U210&lt;&gt;"",T210&gt;U210),"FAIL: deflection exceeds allowable. ","")))</f>
        <v/>
      </c>
      <c r="BI210" s="9"/>
      <c r="BJ210" s="9"/>
      <c r="BK210" s="9"/>
      <c r="BL210" s="10" t="str">
        <f aca="false">IF(BK210="","",IFERROR(VLOOKUP(BK210,Projects!$A$5:$D$504,2,0),"Ref not in Projects"))</f>
        <v/>
      </c>
      <c r="BM210" s="10" t="str">
        <f aca="false">IF(BK210="","",IFERROR(VLOOKUP(BK210,Projects!$A$5:$D$504,4,0),"Ref not in Projects"))</f>
        <v/>
      </c>
      <c r="BN210" s="9"/>
      <c r="BO210" s="9"/>
      <c r="BP210" s="9"/>
      <c r="BQ210" s="40"/>
      <c r="BR210" s="9"/>
      <c r="BS210" s="40"/>
      <c r="BT210" s="9"/>
      <c r="BU210" s="40"/>
      <c r="BV210" s="9"/>
      <c r="BW210" s="9"/>
      <c r="BX210" s="9"/>
      <c r="BY210" s="40"/>
      <c r="BZ210" s="40"/>
      <c r="CA210" s="36" t="str">
        <f aca="false">IF(BZ210="","",EDATE(BZ210,SG_Criteria!$B$54*12))</f>
        <v/>
      </c>
      <c r="CB210" s="33" t="str">
        <f aca="true">IF(A210="","",IF(BZ210="","NOTE: not reviewed yet",IF(TODAY()&gt;CA210,"NOTE: review overdue","OK")))</f>
        <v/>
      </c>
      <c r="CC210" s="37" t="str">
        <f aca="false">IF(A210="","",ROUND((IF(LEN(D210)&gt;0,1,0)+IF(LEN(E210)&gt;0,1,0)+IF(LEN(F210)&gt;0,1,0)+IF(LEN(G210)&gt;0,1,0)+IF(LEN(H210)&gt;0,1,0)+IF(LEN(I210)&gt;0,1,0)+IF(LEN(K210)&gt;0,1,0)+IF(LEN(N210)&gt;0,1,0)+IF(LEN(O210)&gt;0,1,0)+IF(LEN(T210)&gt;0,1,0)+IF(LEN(U210)&gt;0,1,0)+IF(LEN(V210)&gt;0,1,0)+IF(LEN(AK210)&gt;0,1,0)+IF(LEN(AM210)&gt;0,1,0)+IF(LEN(AN210)&gt;0,1,0)+IF(LEN(AO210)&gt;0,1,0)+IF(LEN(AP210)&gt;0,1,0)+IF(LEN(AY210)&gt;0,1,0)+IF(LEN(BK210)&gt;0,1,0)+IF(LEN(BX210)&gt;0,1,0))/20,2))</f>
        <v/>
      </c>
      <c r="CD210" s="10" t="str">
        <f aca="false">IF(D210="","",IF(AND(AN210="Approved",ISERROR(SEARCH("FAIL",BH210))),"Y","N"))</f>
        <v/>
      </c>
      <c r="CE210" s="10" t="str">
        <f aca="false">IF(D210="","",D210&amp;"|"&amp;F210&amp;"|"&amp;G210&amp;"|"&amp;H210&amp;"|"&amp;E210&amp;"|"&amp;CD210)</f>
        <v/>
      </c>
    </row>
    <row r="211" customFormat="false" ht="15" hidden="false" customHeight="false" outlineLevel="0" collapsed="false">
      <c r="A211" s="10" t="str">
        <f aca="false">IF(D211="","","EW-"&amp;IFERROR(VLOOKUP(D211,Lists!$P$4:$Q$22,2,0),"??")&amp;"-D"&amp;TEXT(F211*1000,"0000")&amp;"-"&amp;IFERROR(VLOOKUP(G211,Lists!$S$4:$T$21,2,0),"??")&amp;"-"&amp;IFERROR(VLOOKUP(H211,Lists!$Y$4:$Z$21,2,0),"??")&amp;"-"&amp;IFERROR(VLOOKUP(E211,Lists!$V$4:$W$16,2,0),"??")&amp;"-"&amp;AM211)</f>
        <v/>
      </c>
      <c r="B211" s="10" t="str">
        <f aca="false">IF(D211="","",E211&amp;" "&amp;D211&amp;", excavation "&amp;TEXT(F211,"0.0")&amp;" m, "&amp;G211&amp;", "&amp;H211&amp;", "&amp;K211)</f>
        <v/>
      </c>
      <c r="C211" s="9"/>
      <c r="D211" s="9"/>
      <c r="E211" s="9"/>
      <c r="F211" s="42"/>
      <c r="G211" s="9"/>
      <c r="H211" s="9"/>
      <c r="I211" s="42"/>
      <c r="J211" s="38"/>
      <c r="K211" s="9"/>
      <c r="L211" s="9"/>
      <c r="M211" s="9"/>
      <c r="N211" s="42"/>
      <c r="O211" s="42"/>
      <c r="P211" s="9"/>
      <c r="Q211" s="9"/>
      <c r="R211" s="9"/>
      <c r="S211" s="9"/>
      <c r="T211" s="38"/>
      <c r="U211" s="38"/>
      <c r="V211" s="38"/>
      <c r="W211" s="38"/>
      <c r="X211" s="38"/>
      <c r="Y211" s="9"/>
      <c r="Z211" s="39"/>
      <c r="AA211" s="9"/>
      <c r="AB211" s="9"/>
      <c r="AC211" s="9"/>
      <c r="AD211" s="9"/>
      <c r="AE211" s="9"/>
      <c r="AF211" s="9"/>
      <c r="AG211" s="9"/>
      <c r="AH211" s="38"/>
      <c r="AI211" s="9"/>
      <c r="AJ211" s="39"/>
      <c r="AK211" s="9"/>
      <c r="AL211" s="9"/>
      <c r="AM211" s="9"/>
      <c r="AN211" s="9"/>
      <c r="AO211" s="9"/>
      <c r="AP211" s="9"/>
      <c r="AQ211" s="9"/>
      <c r="AR211" s="10" t="str">
        <f aca="false">IF(A211="","",SG_Criteria!$B$6&amp;SG_Criteria!$B$9&amp;"\"&amp;A211&amp;"\")</f>
        <v/>
      </c>
      <c r="AS211" s="10" t="str">
        <f aca="false">IF(A211="","",A211&amp;"_CAD.dwg")</f>
        <v/>
      </c>
      <c r="AT211" s="10" t="str">
        <f aca="false">IF(A211="","",A211&amp;"_DWG.pdf")</f>
        <v/>
      </c>
      <c r="AU211" s="10" t="str">
        <f aca="false">IF(A211="","",IF(AQ211="Y",A211&amp;"_STAAD.std","n/a"))</f>
        <v/>
      </c>
      <c r="AV211" s="10" t="str">
        <f aca="false">IF(A211="","",A211&amp;"_CALC.xlsx")</f>
        <v/>
      </c>
      <c r="AW211" s="10" t="str">
        <f aca="false">IF(A211="","",A211&amp;"_CALC.pdf")</f>
        <v/>
      </c>
      <c r="AX211" s="9"/>
      <c r="AY211" s="9"/>
      <c r="AZ211" s="39"/>
      <c r="BA211" s="39"/>
      <c r="BB211" s="39"/>
      <c r="BC211" s="39"/>
      <c r="BD211" s="39"/>
      <c r="BE211" s="12" t="str">
        <f aca="false">IF(A211="","",IF(COUNTIF(Rebar_Schedule!$A$5:$A$2004,A211)=0,"",ROUND(SUMIF(Rebar_Schedule!$A$5:$A$2004,A211,Rebar_Schedule!$K$5:$K$2004),1)))</f>
        <v/>
      </c>
      <c r="BF211" s="33" t="str">
        <f aca="false">IF(A211="","",IF(BE211="","No rebar schedule yet",IF(ABS(BE211-N(BA211))/MAX(N(BA211),1)&gt;SG_Criteria!$B$55,"NOTE: register rebar differs from schedule by "&amp;TEXT(ABS(BE211-N(BA211))/MAX(N(BA211),1),"0%"),"OK")))</f>
        <v/>
      </c>
      <c r="BG211" s="33" t="str">
        <f aca="false">IF(OR(D211="",F211=""),"",IF(F211&lt;=IF(D211="Soldier Pile &amp; Timber Lagging",SG_Criteria!$B$34,SG_Criteria!$B$33),"No ERSS submission",IF(F211&lt;=SG_Criteria!$B$35,"QP(ST)",IF(F211&lt;=SG_Criteria!$B$36,"QP(ST) + AC","Geotechnical building works: QP(Geo) + AC"))))</f>
        <v/>
      </c>
      <c r="BH211" s="33" t="str">
        <f aca="false">IF(D211="","",IF(LEN(IF(AND(AC211&lt;&gt;"",IFERROR(VALUE(MID(AC211,2,2)),0)&lt;SG_Criteria!$B$19),"FAIL: grade below C"&amp;SG_Criteria!$B$19&amp;". ","")&amp;IF(AND(LEFT(D211,3)="Con",N(I211)&lt;F211,H211="Kallang Formation (marine clay)"),"NOTE: CBP is not watertight below GWT in marine clay; consider secant / grouting. ","")&amp;IF(AND(D211="Steel Sheet Pile",E211="Permanent"),"NOTE: permanent sheet pile needs corrosion allowance. ","")&amp;IF(AND(G211="Cantilever (no support)",F211&gt;6),"NOTE: cantilever embedded wall &gt; 6 m, check deflection. ","")&amp;IF(AND(T211&lt;&gt;"",U211&lt;&gt;"",T211&gt;U211),"FAIL: deflection exceeds allowable. ",""))=0,"OK",IF(AND(AC211&lt;&gt;"",IFERROR(VALUE(MID(AC211,2,2)),0)&lt;SG_Criteria!$B$19),"FAIL: grade below C"&amp;SG_Criteria!$B$19&amp;". ","")&amp;IF(AND(LEFT(D211,3)="Con",N(I211)&lt;F211,H211="Kallang Formation (marine clay)"),"NOTE: CBP is not watertight below GWT in marine clay; consider secant / grouting. ","")&amp;IF(AND(D211="Steel Sheet Pile",E211="Permanent"),"NOTE: permanent sheet pile needs corrosion allowance. ","")&amp;IF(AND(G211="Cantilever (no support)",F211&gt;6),"NOTE: cantilever embedded wall &gt; 6 m, check deflection. ","")&amp;IF(AND(T211&lt;&gt;"",U211&lt;&gt;"",T211&gt;U211),"FAIL: deflection exceeds allowable. ","")))</f>
        <v/>
      </c>
      <c r="BI211" s="9"/>
      <c r="BJ211" s="9"/>
      <c r="BK211" s="9"/>
      <c r="BL211" s="10" t="str">
        <f aca="false">IF(BK211="","",IFERROR(VLOOKUP(BK211,Projects!$A$5:$D$504,2,0),"Ref not in Projects"))</f>
        <v/>
      </c>
      <c r="BM211" s="10" t="str">
        <f aca="false">IF(BK211="","",IFERROR(VLOOKUP(BK211,Projects!$A$5:$D$504,4,0),"Ref not in Projects"))</f>
        <v/>
      </c>
      <c r="BN211" s="9"/>
      <c r="BO211" s="9"/>
      <c r="BP211" s="9"/>
      <c r="BQ211" s="40"/>
      <c r="BR211" s="9"/>
      <c r="BS211" s="40"/>
      <c r="BT211" s="9"/>
      <c r="BU211" s="40"/>
      <c r="BV211" s="9"/>
      <c r="BW211" s="9"/>
      <c r="BX211" s="9"/>
      <c r="BY211" s="40"/>
      <c r="BZ211" s="40"/>
      <c r="CA211" s="36" t="str">
        <f aca="false">IF(BZ211="","",EDATE(BZ211,SG_Criteria!$B$54*12))</f>
        <v/>
      </c>
      <c r="CB211" s="33" t="str">
        <f aca="true">IF(A211="","",IF(BZ211="","NOTE: not reviewed yet",IF(TODAY()&gt;CA211,"NOTE: review overdue","OK")))</f>
        <v/>
      </c>
      <c r="CC211" s="37" t="str">
        <f aca="false">IF(A211="","",ROUND((IF(LEN(D211)&gt;0,1,0)+IF(LEN(E211)&gt;0,1,0)+IF(LEN(F211)&gt;0,1,0)+IF(LEN(G211)&gt;0,1,0)+IF(LEN(H211)&gt;0,1,0)+IF(LEN(I211)&gt;0,1,0)+IF(LEN(K211)&gt;0,1,0)+IF(LEN(N211)&gt;0,1,0)+IF(LEN(O211)&gt;0,1,0)+IF(LEN(T211)&gt;0,1,0)+IF(LEN(U211)&gt;0,1,0)+IF(LEN(V211)&gt;0,1,0)+IF(LEN(AK211)&gt;0,1,0)+IF(LEN(AM211)&gt;0,1,0)+IF(LEN(AN211)&gt;0,1,0)+IF(LEN(AO211)&gt;0,1,0)+IF(LEN(AP211)&gt;0,1,0)+IF(LEN(AY211)&gt;0,1,0)+IF(LEN(BK211)&gt;0,1,0)+IF(LEN(BX211)&gt;0,1,0))/20,2))</f>
        <v/>
      </c>
      <c r="CD211" s="10" t="str">
        <f aca="false">IF(D211="","",IF(AND(AN211="Approved",ISERROR(SEARCH("FAIL",BH211))),"Y","N"))</f>
        <v/>
      </c>
      <c r="CE211" s="10" t="str">
        <f aca="false">IF(D211="","",D211&amp;"|"&amp;F211&amp;"|"&amp;G211&amp;"|"&amp;H211&amp;"|"&amp;E211&amp;"|"&amp;CD211)</f>
        <v/>
      </c>
    </row>
    <row r="212" customFormat="false" ht="15" hidden="false" customHeight="false" outlineLevel="0" collapsed="false">
      <c r="A212" s="10" t="str">
        <f aca="false">IF(D212="","","EW-"&amp;IFERROR(VLOOKUP(D212,Lists!$P$4:$Q$22,2,0),"??")&amp;"-D"&amp;TEXT(F212*1000,"0000")&amp;"-"&amp;IFERROR(VLOOKUP(G212,Lists!$S$4:$T$21,2,0),"??")&amp;"-"&amp;IFERROR(VLOOKUP(H212,Lists!$Y$4:$Z$21,2,0),"??")&amp;"-"&amp;IFERROR(VLOOKUP(E212,Lists!$V$4:$W$16,2,0),"??")&amp;"-"&amp;AM212)</f>
        <v/>
      </c>
      <c r="B212" s="10" t="str">
        <f aca="false">IF(D212="","",E212&amp;" "&amp;D212&amp;", excavation "&amp;TEXT(F212,"0.0")&amp;" m, "&amp;G212&amp;", "&amp;H212&amp;", "&amp;K212)</f>
        <v/>
      </c>
      <c r="C212" s="9"/>
      <c r="D212" s="9"/>
      <c r="E212" s="9"/>
      <c r="F212" s="42"/>
      <c r="G212" s="9"/>
      <c r="H212" s="9"/>
      <c r="I212" s="42"/>
      <c r="J212" s="38"/>
      <c r="K212" s="9"/>
      <c r="L212" s="9"/>
      <c r="M212" s="9"/>
      <c r="N212" s="42"/>
      <c r="O212" s="42"/>
      <c r="P212" s="9"/>
      <c r="Q212" s="9"/>
      <c r="R212" s="9"/>
      <c r="S212" s="9"/>
      <c r="T212" s="38"/>
      <c r="U212" s="38"/>
      <c r="V212" s="38"/>
      <c r="W212" s="38"/>
      <c r="X212" s="38"/>
      <c r="Y212" s="9"/>
      <c r="Z212" s="39"/>
      <c r="AA212" s="9"/>
      <c r="AB212" s="9"/>
      <c r="AC212" s="9"/>
      <c r="AD212" s="9"/>
      <c r="AE212" s="9"/>
      <c r="AF212" s="9"/>
      <c r="AG212" s="9"/>
      <c r="AH212" s="38"/>
      <c r="AI212" s="9"/>
      <c r="AJ212" s="39"/>
      <c r="AK212" s="9"/>
      <c r="AL212" s="9"/>
      <c r="AM212" s="9"/>
      <c r="AN212" s="9"/>
      <c r="AO212" s="9"/>
      <c r="AP212" s="9"/>
      <c r="AQ212" s="9"/>
      <c r="AR212" s="10" t="str">
        <f aca="false">IF(A212="","",SG_Criteria!$B$6&amp;SG_Criteria!$B$9&amp;"\"&amp;A212&amp;"\")</f>
        <v/>
      </c>
      <c r="AS212" s="10" t="str">
        <f aca="false">IF(A212="","",A212&amp;"_CAD.dwg")</f>
        <v/>
      </c>
      <c r="AT212" s="10" t="str">
        <f aca="false">IF(A212="","",A212&amp;"_DWG.pdf")</f>
        <v/>
      </c>
      <c r="AU212" s="10" t="str">
        <f aca="false">IF(A212="","",IF(AQ212="Y",A212&amp;"_STAAD.std","n/a"))</f>
        <v/>
      </c>
      <c r="AV212" s="10" t="str">
        <f aca="false">IF(A212="","",A212&amp;"_CALC.xlsx")</f>
        <v/>
      </c>
      <c r="AW212" s="10" t="str">
        <f aca="false">IF(A212="","",A212&amp;"_CALC.pdf")</f>
        <v/>
      </c>
      <c r="AX212" s="9"/>
      <c r="AY212" s="9"/>
      <c r="AZ212" s="39"/>
      <c r="BA212" s="39"/>
      <c r="BB212" s="39"/>
      <c r="BC212" s="39"/>
      <c r="BD212" s="39"/>
      <c r="BE212" s="12" t="str">
        <f aca="false">IF(A212="","",IF(COUNTIF(Rebar_Schedule!$A$5:$A$2004,A212)=0,"",ROUND(SUMIF(Rebar_Schedule!$A$5:$A$2004,A212,Rebar_Schedule!$K$5:$K$2004),1)))</f>
        <v/>
      </c>
      <c r="BF212" s="33" t="str">
        <f aca="false">IF(A212="","",IF(BE212="","No rebar schedule yet",IF(ABS(BE212-N(BA212))/MAX(N(BA212),1)&gt;SG_Criteria!$B$55,"NOTE: register rebar differs from schedule by "&amp;TEXT(ABS(BE212-N(BA212))/MAX(N(BA212),1),"0%"),"OK")))</f>
        <v/>
      </c>
      <c r="BG212" s="33" t="str">
        <f aca="false">IF(OR(D212="",F212=""),"",IF(F212&lt;=IF(D212="Soldier Pile &amp; Timber Lagging",SG_Criteria!$B$34,SG_Criteria!$B$33),"No ERSS submission",IF(F212&lt;=SG_Criteria!$B$35,"QP(ST)",IF(F212&lt;=SG_Criteria!$B$36,"QP(ST) + AC","Geotechnical building works: QP(Geo) + AC"))))</f>
        <v/>
      </c>
      <c r="BH212" s="33" t="str">
        <f aca="false">IF(D212="","",IF(LEN(IF(AND(AC212&lt;&gt;"",IFERROR(VALUE(MID(AC212,2,2)),0)&lt;SG_Criteria!$B$19),"FAIL: grade below C"&amp;SG_Criteria!$B$19&amp;". ","")&amp;IF(AND(LEFT(D212,3)="Con",N(I212)&lt;F212,H212="Kallang Formation (marine clay)"),"NOTE: CBP is not watertight below GWT in marine clay; consider secant / grouting. ","")&amp;IF(AND(D212="Steel Sheet Pile",E212="Permanent"),"NOTE: permanent sheet pile needs corrosion allowance. ","")&amp;IF(AND(G212="Cantilever (no support)",F212&gt;6),"NOTE: cantilever embedded wall &gt; 6 m, check deflection. ","")&amp;IF(AND(T212&lt;&gt;"",U212&lt;&gt;"",T212&gt;U212),"FAIL: deflection exceeds allowable. ",""))=0,"OK",IF(AND(AC212&lt;&gt;"",IFERROR(VALUE(MID(AC212,2,2)),0)&lt;SG_Criteria!$B$19),"FAIL: grade below C"&amp;SG_Criteria!$B$19&amp;". ","")&amp;IF(AND(LEFT(D212,3)="Con",N(I212)&lt;F212,H212="Kallang Formation (marine clay)"),"NOTE: CBP is not watertight below GWT in marine clay; consider secant / grouting. ","")&amp;IF(AND(D212="Steel Sheet Pile",E212="Permanent"),"NOTE: permanent sheet pile needs corrosion allowance. ","")&amp;IF(AND(G212="Cantilever (no support)",F212&gt;6),"NOTE: cantilever embedded wall &gt; 6 m, check deflection. ","")&amp;IF(AND(T212&lt;&gt;"",U212&lt;&gt;"",T212&gt;U212),"FAIL: deflection exceeds allowable. ","")))</f>
        <v/>
      </c>
      <c r="BI212" s="9"/>
      <c r="BJ212" s="9"/>
      <c r="BK212" s="9"/>
      <c r="BL212" s="10" t="str">
        <f aca="false">IF(BK212="","",IFERROR(VLOOKUP(BK212,Projects!$A$5:$D$504,2,0),"Ref not in Projects"))</f>
        <v/>
      </c>
      <c r="BM212" s="10" t="str">
        <f aca="false">IF(BK212="","",IFERROR(VLOOKUP(BK212,Projects!$A$5:$D$504,4,0),"Ref not in Projects"))</f>
        <v/>
      </c>
      <c r="BN212" s="9"/>
      <c r="BO212" s="9"/>
      <c r="BP212" s="9"/>
      <c r="BQ212" s="40"/>
      <c r="BR212" s="9"/>
      <c r="BS212" s="40"/>
      <c r="BT212" s="9"/>
      <c r="BU212" s="40"/>
      <c r="BV212" s="9"/>
      <c r="BW212" s="9"/>
      <c r="BX212" s="9"/>
      <c r="BY212" s="40"/>
      <c r="BZ212" s="40"/>
      <c r="CA212" s="36" t="str">
        <f aca="false">IF(BZ212="","",EDATE(BZ212,SG_Criteria!$B$54*12))</f>
        <v/>
      </c>
      <c r="CB212" s="33" t="str">
        <f aca="true">IF(A212="","",IF(BZ212="","NOTE: not reviewed yet",IF(TODAY()&gt;CA212,"NOTE: review overdue","OK")))</f>
        <v/>
      </c>
      <c r="CC212" s="37" t="str">
        <f aca="false">IF(A212="","",ROUND((IF(LEN(D212)&gt;0,1,0)+IF(LEN(E212)&gt;0,1,0)+IF(LEN(F212)&gt;0,1,0)+IF(LEN(G212)&gt;0,1,0)+IF(LEN(H212)&gt;0,1,0)+IF(LEN(I212)&gt;0,1,0)+IF(LEN(K212)&gt;0,1,0)+IF(LEN(N212)&gt;0,1,0)+IF(LEN(O212)&gt;0,1,0)+IF(LEN(T212)&gt;0,1,0)+IF(LEN(U212)&gt;0,1,0)+IF(LEN(V212)&gt;0,1,0)+IF(LEN(AK212)&gt;0,1,0)+IF(LEN(AM212)&gt;0,1,0)+IF(LEN(AN212)&gt;0,1,0)+IF(LEN(AO212)&gt;0,1,0)+IF(LEN(AP212)&gt;0,1,0)+IF(LEN(AY212)&gt;0,1,0)+IF(LEN(BK212)&gt;0,1,0)+IF(LEN(BX212)&gt;0,1,0))/20,2))</f>
        <v/>
      </c>
      <c r="CD212" s="10" t="str">
        <f aca="false">IF(D212="","",IF(AND(AN212="Approved",ISERROR(SEARCH("FAIL",BH212))),"Y","N"))</f>
        <v/>
      </c>
      <c r="CE212" s="10" t="str">
        <f aca="false">IF(D212="","",D212&amp;"|"&amp;F212&amp;"|"&amp;G212&amp;"|"&amp;H212&amp;"|"&amp;E212&amp;"|"&amp;CD212)</f>
        <v/>
      </c>
    </row>
    <row r="213" customFormat="false" ht="15" hidden="false" customHeight="false" outlineLevel="0" collapsed="false">
      <c r="A213" s="10" t="str">
        <f aca="false">IF(D213="","","EW-"&amp;IFERROR(VLOOKUP(D213,Lists!$P$4:$Q$22,2,0),"??")&amp;"-D"&amp;TEXT(F213*1000,"0000")&amp;"-"&amp;IFERROR(VLOOKUP(G213,Lists!$S$4:$T$21,2,0),"??")&amp;"-"&amp;IFERROR(VLOOKUP(H213,Lists!$Y$4:$Z$21,2,0),"??")&amp;"-"&amp;IFERROR(VLOOKUP(E213,Lists!$V$4:$W$16,2,0),"??")&amp;"-"&amp;AM213)</f>
        <v/>
      </c>
      <c r="B213" s="10" t="str">
        <f aca="false">IF(D213="","",E213&amp;" "&amp;D213&amp;", excavation "&amp;TEXT(F213,"0.0")&amp;" m, "&amp;G213&amp;", "&amp;H213&amp;", "&amp;K213)</f>
        <v/>
      </c>
      <c r="C213" s="9"/>
      <c r="D213" s="9"/>
      <c r="E213" s="9"/>
      <c r="F213" s="42"/>
      <c r="G213" s="9"/>
      <c r="H213" s="9"/>
      <c r="I213" s="42"/>
      <c r="J213" s="38"/>
      <c r="K213" s="9"/>
      <c r="L213" s="9"/>
      <c r="M213" s="9"/>
      <c r="N213" s="42"/>
      <c r="O213" s="42"/>
      <c r="P213" s="9"/>
      <c r="Q213" s="9"/>
      <c r="R213" s="9"/>
      <c r="S213" s="9"/>
      <c r="T213" s="38"/>
      <c r="U213" s="38"/>
      <c r="V213" s="38"/>
      <c r="W213" s="38"/>
      <c r="X213" s="38"/>
      <c r="Y213" s="9"/>
      <c r="Z213" s="39"/>
      <c r="AA213" s="9"/>
      <c r="AB213" s="9"/>
      <c r="AC213" s="9"/>
      <c r="AD213" s="9"/>
      <c r="AE213" s="9"/>
      <c r="AF213" s="9"/>
      <c r="AG213" s="9"/>
      <c r="AH213" s="38"/>
      <c r="AI213" s="9"/>
      <c r="AJ213" s="39"/>
      <c r="AK213" s="9"/>
      <c r="AL213" s="9"/>
      <c r="AM213" s="9"/>
      <c r="AN213" s="9"/>
      <c r="AO213" s="9"/>
      <c r="AP213" s="9"/>
      <c r="AQ213" s="9"/>
      <c r="AR213" s="10" t="str">
        <f aca="false">IF(A213="","",SG_Criteria!$B$6&amp;SG_Criteria!$B$9&amp;"\"&amp;A213&amp;"\")</f>
        <v/>
      </c>
      <c r="AS213" s="10" t="str">
        <f aca="false">IF(A213="","",A213&amp;"_CAD.dwg")</f>
        <v/>
      </c>
      <c r="AT213" s="10" t="str">
        <f aca="false">IF(A213="","",A213&amp;"_DWG.pdf")</f>
        <v/>
      </c>
      <c r="AU213" s="10" t="str">
        <f aca="false">IF(A213="","",IF(AQ213="Y",A213&amp;"_STAAD.std","n/a"))</f>
        <v/>
      </c>
      <c r="AV213" s="10" t="str">
        <f aca="false">IF(A213="","",A213&amp;"_CALC.xlsx")</f>
        <v/>
      </c>
      <c r="AW213" s="10" t="str">
        <f aca="false">IF(A213="","",A213&amp;"_CALC.pdf")</f>
        <v/>
      </c>
      <c r="AX213" s="9"/>
      <c r="AY213" s="9"/>
      <c r="AZ213" s="39"/>
      <c r="BA213" s="39"/>
      <c r="BB213" s="39"/>
      <c r="BC213" s="39"/>
      <c r="BD213" s="39"/>
      <c r="BE213" s="12" t="str">
        <f aca="false">IF(A213="","",IF(COUNTIF(Rebar_Schedule!$A$5:$A$2004,A213)=0,"",ROUND(SUMIF(Rebar_Schedule!$A$5:$A$2004,A213,Rebar_Schedule!$K$5:$K$2004),1)))</f>
        <v/>
      </c>
      <c r="BF213" s="33" t="str">
        <f aca="false">IF(A213="","",IF(BE213="","No rebar schedule yet",IF(ABS(BE213-N(BA213))/MAX(N(BA213),1)&gt;SG_Criteria!$B$55,"NOTE: register rebar differs from schedule by "&amp;TEXT(ABS(BE213-N(BA213))/MAX(N(BA213),1),"0%"),"OK")))</f>
        <v/>
      </c>
      <c r="BG213" s="33" t="str">
        <f aca="false">IF(OR(D213="",F213=""),"",IF(F213&lt;=IF(D213="Soldier Pile &amp; Timber Lagging",SG_Criteria!$B$34,SG_Criteria!$B$33),"No ERSS submission",IF(F213&lt;=SG_Criteria!$B$35,"QP(ST)",IF(F213&lt;=SG_Criteria!$B$36,"QP(ST) + AC","Geotechnical building works: QP(Geo) + AC"))))</f>
        <v/>
      </c>
      <c r="BH213" s="33" t="str">
        <f aca="false">IF(D213="","",IF(LEN(IF(AND(AC213&lt;&gt;"",IFERROR(VALUE(MID(AC213,2,2)),0)&lt;SG_Criteria!$B$19),"FAIL: grade below C"&amp;SG_Criteria!$B$19&amp;". ","")&amp;IF(AND(LEFT(D213,3)="Con",N(I213)&lt;F213,H213="Kallang Formation (marine clay)"),"NOTE: CBP is not watertight below GWT in marine clay; consider secant / grouting. ","")&amp;IF(AND(D213="Steel Sheet Pile",E213="Permanent"),"NOTE: permanent sheet pile needs corrosion allowance. ","")&amp;IF(AND(G213="Cantilever (no support)",F213&gt;6),"NOTE: cantilever embedded wall &gt; 6 m, check deflection. ","")&amp;IF(AND(T213&lt;&gt;"",U213&lt;&gt;"",T213&gt;U213),"FAIL: deflection exceeds allowable. ",""))=0,"OK",IF(AND(AC213&lt;&gt;"",IFERROR(VALUE(MID(AC213,2,2)),0)&lt;SG_Criteria!$B$19),"FAIL: grade below C"&amp;SG_Criteria!$B$19&amp;". ","")&amp;IF(AND(LEFT(D213,3)="Con",N(I213)&lt;F213,H213="Kallang Formation (marine clay)"),"NOTE: CBP is not watertight below GWT in marine clay; consider secant / grouting. ","")&amp;IF(AND(D213="Steel Sheet Pile",E213="Permanent"),"NOTE: permanent sheet pile needs corrosion allowance. ","")&amp;IF(AND(G213="Cantilever (no support)",F213&gt;6),"NOTE: cantilever embedded wall &gt; 6 m, check deflection. ","")&amp;IF(AND(T213&lt;&gt;"",U213&lt;&gt;"",T213&gt;U213),"FAIL: deflection exceeds allowable. ","")))</f>
        <v/>
      </c>
      <c r="BI213" s="9"/>
      <c r="BJ213" s="9"/>
      <c r="BK213" s="9"/>
      <c r="BL213" s="10" t="str">
        <f aca="false">IF(BK213="","",IFERROR(VLOOKUP(BK213,Projects!$A$5:$D$504,2,0),"Ref not in Projects"))</f>
        <v/>
      </c>
      <c r="BM213" s="10" t="str">
        <f aca="false">IF(BK213="","",IFERROR(VLOOKUP(BK213,Projects!$A$5:$D$504,4,0),"Ref not in Projects"))</f>
        <v/>
      </c>
      <c r="BN213" s="9"/>
      <c r="BO213" s="9"/>
      <c r="BP213" s="9"/>
      <c r="BQ213" s="40"/>
      <c r="BR213" s="9"/>
      <c r="BS213" s="40"/>
      <c r="BT213" s="9"/>
      <c r="BU213" s="40"/>
      <c r="BV213" s="9"/>
      <c r="BW213" s="9"/>
      <c r="BX213" s="9"/>
      <c r="BY213" s="40"/>
      <c r="BZ213" s="40"/>
      <c r="CA213" s="36" t="str">
        <f aca="false">IF(BZ213="","",EDATE(BZ213,SG_Criteria!$B$54*12))</f>
        <v/>
      </c>
      <c r="CB213" s="33" t="str">
        <f aca="true">IF(A213="","",IF(BZ213="","NOTE: not reviewed yet",IF(TODAY()&gt;CA213,"NOTE: review overdue","OK")))</f>
        <v/>
      </c>
      <c r="CC213" s="37" t="str">
        <f aca="false">IF(A213="","",ROUND((IF(LEN(D213)&gt;0,1,0)+IF(LEN(E213)&gt;0,1,0)+IF(LEN(F213)&gt;0,1,0)+IF(LEN(G213)&gt;0,1,0)+IF(LEN(H213)&gt;0,1,0)+IF(LEN(I213)&gt;0,1,0)+IF(LEN(K213)&gt;0,1,0)+IF(LEN(N213)&gt;0,1,0)+IF(LEN(O213)&gt;0,1,0)+IF(LEN(T213)&gt;0,1,0)+IF(LEN(U213)&gt;0,1,0)+IF(LEN(V213)&gt;0,1,0)+IF(LEN(AK213)&gt;0,1,0)+IF(LEN(AM213)&gt;0,1,0)+IF(LEN(AN213)&gt;0,1,0)+IF(LEN(AO213)&gt;0,1,0)+IF(LEN(AP213)&gt;0,1,0)+IF(LEN(AY213)&gt;0,1,0)+IF(LEN(BK213)&gt;0,1,0)+IF(LEN(BX213)&gt;0,1,0))/20,2))</f>
        <v/>
      </c>
      <c r="CD213" s="10" t="str">
        <f aca="false">IF(D213="","",IF(AND(AN213="Approved",ISERROR(SEARCH("FAIL",BH213))),"Y","N"))</f>
        <v/>
      </c>
      <c r="CE213" s="10" t="str">
        <f aca="false">IF(D213="","",D213&amp;"|"&amp;F213&amp;"|"&amp;G213&amp;"|"&amp;H213&amp;"|"&amp;E213&amp;"|"&amp;CD213)</f>
        <v/>
      </c>
    </row>
    <row r="214" customFormat="false" ht="15" hidden="false" customHeight="false" outlineLevel="0" collapsed="false">
      <c r="A214" s="10" t="str">
        <f aca="false">IF(D214="","","EW-"&amp;IFERROR(VLOOKUP(D214,Lists!$P$4:$Q$22,2,0),"??")&amp;"-D"&amp;TEXT(F214*1000,"0000")&amp;"-"&amp;IFERROR(VLOOKUP(G214,Lists!$S$4:$T$21,2,0),"??")&amp;"-"&amp;IFERROR(VLOOKUP(H214,Lists!$Y$4:$Z$21,2,0),"??")&amp;"-"&amp;IFERROR(VLOOKUP(E214,Lists!$V$4:$W$16,2,0),"??")&amp;"-"&amp;AM214)</f>
        <v/>
      </c>
      <c r="B214" s="10" t="str">
        <f aca="false">IF(D214="","",E214&amp;" "&amp;D214&amp;", excavation "&amp;TEXT(F214,"0.0")&amp;" m, "&amp;G214&amp;", "&amp;H214&amp;", "&amp;K214)</f>
        <v/>
      </c>
      <c r="C214" s="9"/>
      <c r="D214" s="9"/>
      <c r="E214" s="9"/>
      <c r="F214" s="42"/>
      <c r="G214" s="9"/>
      <c r="H214" s="9"/>
      <c r="I214" s="42"/>
      <c r="J214" s="38"/>
      <c r="K214" s="9"/>
      <c r="L214" s="9"/>
      <c r="M214" s="9"/>
      <c r="N214" s="42"/>
      <c r="O214" s="42"/>
      <c r="P214" s="9"/>
      <c r="Q214" s="9"/>
      <c r="R214" s="9"/>
      <c r="S214" s="9"/>
      <c r="T214" s="38"/>
      <c r="U214" s="38"/>
      <c r="V214" s="38"/>
      <c r="W214" s="38"/>
      <c r="X214" s="38"/>
      <c r="Y214" s="9"/>
      <c r="Z214" s="39"/>
      <c r="AA214" s="9"/>
      <c r="AB214" s="9"/>
      <c r="AC214" s="9"/>
      <c r="AD214" s="9"/>
      <c r="AE214" s="9"/>
      <c r="AF214" s="9"/>
      <c r="AG214" s="9"/>
      <c r="AH214" s="38"/>
      <c r="AI214" s="9"/>
      <c r="AJ214" s="39"/>
      <c r="AK214" s="9"/>
      <c r="AL214" s="9"/>
      <c r="AM214" s="9"/>
      <c r="AN214" s="9"/>
      <c r="AO214" s="9"/>
      <c r="AP214" s="9"/>
      <c r="AQ214" s="9"/>
      <c r="AR214" s="10" t="str">
        <f aca="false">IF(A214="","",SG_Criteria!$B$6&amp;SG_Criteria!$B$9&amp;"\"&amp;A214&amp;"\")</f>
        <v/>
      </c>
      <c r="AS214" s="10" t="str">
        <f aca="false">IF(A214="","",A214&amp;"_CAD.dwg")</f>
        <v/>
      </c>
      <c r="AT214" s="10" t="str">
        <f aca="false">IF(A214="","",A214&amp;"_DWG.pdf")</f>
        <v/>
      </c>
      <c r="AU214" s="10" t="str">
        <f aca="false">IF(A214="","",IF(AQ214="Y",A214&amp;"_STAAD.std","n/a"))</f>
        <v/>
      </c>
      <c r="AV214" s="10" t="str">
        <f aca="false">IF(A214="","",A214&amp;"_CALC.xlsx")</f>
        <v/>
      </c>
      <c r="AW214" s="10" t="str">
        <f aca="false">IF(A214="","",A214&amp;"_CALC.pdf")</f>
        <v/>
      </c>
      <c r="AX214" s="9"/>
      <c r="AY214" s="9"/>
      <c r="AZ214" s="39"/>
      <c r="BA214" s="39"/>
      <c r="BB214" s="39"/>
      <c r="BC214" s="39"/>
      <c r="BD214" s="39"/>
      <c r="BE214" s="12" t="str">
        <f aca="false">IF(A214="","",IF(COUNTIF(Rebar_Schedule!$A$5:$A$2004,A214)=0,"",ROUND(SUMIF(Rebar_Schedule!$A$5:$A$2004,A214,Rebar_Schedule!$K$5:$K$2004),1)))</f>
        <v/>
      </c>
      <c r="BF214" s="33" t="str">
        <f aca="false">IF(A214="","",IF(BE214="","No rebar schedule yet",IF(ABS(BE214-N(BA214))/MAX(N(BA214),1)&gt;SG_Criteria!$B$55,"NOTE: register rebar differs from schedule by "&amp;TEXT(ABS(BE214-N(BA214))/MAX(N(BA214),1),"0%"),"OK")))</f>
        <v/>
      </c>
      <c r="BG214" s="33" t="str">
        <f aca="false">IF(OR(D214="",F214=""),"",IF(F214&lt;=IF(D214="Soldier Pile &amp; Timber Lagging",SG_Criteria!$B$34,SG_Criteria!$B$33),"No ERSS submission",IF(F214&lt;=SG_Criteria!$B$35,"QP(ST)",IF(F214&lt;=SG_Criteria!$B$36,"QP(ST) + AC","Geotechnical building works: QP(Geo) + AC"))))</f>
        <v/>
      </c>
      <c r="BH214" s="33" t="str">
        <f aca="false">IF(D214="","",IF(LEN(IF(AND(AC214&lt;&gt;"",IFERROR(VALUE(MID(AC214,2,2)),0)&lt;SG_Criteria!$B$19),"FAIL: grade below C"&amp;SG_Criteria!$B$19&amp;". ","")&amp;IF(AND(LEFT(D214,3)="Con",N(I214)&lt;F214,H214="Kallang Formation (marine clay)"),"NOTE: CBP is not watertight below GWT in marine clay; consider secant / grouting. ","")&amp;IF(AND(D214="Steel Sheet Pile",E214="Permanent"),"NOTE: permanent sheet pile needs corrosion allowance. ","")&amp;IF(AND(G214="Cantilever (no support)",F214&gt;6),"NOTE: cantilever embedded wall &gt; 6 m, check deflection. ","")&amp;IF(AND(T214&lt;&gt;"",U214&lt;&gt;"",T214&gt;U214),"FAIL: deflection exceeds allowable. ",""))=0,"OK",IF(AND(AC214&lt;&gt;"",IFERROR(VALUE(MID(AC214,2,2)),0)&lt;SG_Criteria!$B$19),"FAIL: grade below C"&amp;SG_Criteria!$B$19&amp;". ","")&amp;IF(AND(LEFT(D214,3)="Con",N(I214)&lt;F214,H214="Kallang Formation (marine clay)"),"NOTE: CBP is not watertight below GWT in marine clay; consider secant / grouting. ","")&amp;IF(AND(D214="Steel Sheet Pile",E214="Permanent"),"NOTE: permanent sheet pile needs corrosion allowance. ","")&amp;IF(AND(G214="Cantilever (no support)",F214&gt;6),"NOTE: cantilever embedded wall &gt; 6 m, check deflection. ","")&amp;IF(AND(T214&lt;&gt;"",U214&lt;&gt;"",T214&gt;U214),"FAIL: deflection exceeds allowable. ","")))</f>
        <v/>
      </c>
      <c r="BI214" s="9"/>
      <c r="BJ214" s="9"/>
      <c r="BK214" s="9"/>
      <c r="BL214" s="10" t="str">
        <f aca="false">IF(BK214="","",IFERROR(VLOOKUP(BK214,Projects!$A$5:$D$504,2,0),"Ref not in Projects"))</f>
        <v/>
      </c>
      <c r="BM214" s="10" t="str">
        <f aca="false">IF(BK214="","",IFERROR(VLOOKUP(BK214,Projects!$A$5:$D$504,4,0),"Ref not in Projects"))</f>
        <v/>
      </c>
      <c r="BN214" s="9"/>
      <c r="BO214" s="9"/>
      <c r="BP214" s="9"/>
      <c r="BQ214" s="40"/>
      <c r="BR214" s="9"/>
      <c r="BS214" s="40"/>
      <c r="BT214" s="9"/>
      <c r="BU214" s="40"/>
      <c r="BV214" s="9"/>
      <c r="BW214" s="9"/>
      <c r="BX214" s="9"/>
      <c r="BY214" s="40"/>
      <c r="BZ214" s="40"/>
      <c r="CA214" s="36" t="str">
        <f aca="false">IF(BZ214="","",EDATE(BZ214,SG_Criteria!$B$54*12))</f>
        <v/>
      </c>
      <c r="CB214" s="33" t="str">
        <f aca="true">IF(A214="","",IF(BZ214="","NOTE: not reviewed yet",IF(TODAY()&gt;CA214,"NOTE: review overdue","OK")))</f>
        <v/>
      </c>
      <c r="CC214" s="37" t="str">
        <f aca="false">IF(A214="","",ROUND((IF(LEN(D214)&gt;0,1,0)+IF(LEN(E214)&gt;0,1,0)+IF(LEN(F214)&gt;0,1,0)+IF(LEN(G214)&gt;0,1,0)+IF(LEN(H214)&gt;0,1,0)+IF(LEN(I214)&gt;0,1,0)+IF(LEN(K214)&gt;0,1,0)+IF(LEN(N214)&gt;0,1,0)+IF(LEN(O214)&gt;0,1,0)+IF(LEN(T214)&gt;0,1,0)+IF(LEN(U214)&gt;0,1,0)+IF(LEN(V214)&gt;0,1,0)+IF(LEN(AK214)&gt;0,1,0)+IF(LEN(AM214)&gt;0,1,0)+IF(LEN(AN214)&gt;0,1,0)+IF(LEN(AO214)&gt;0,1,0)+IF(LEN(AP214)&gt;0,1,0)+IF(LEN(AY214)&gt;0,1,0)+IF(LEN(BK214)&gt;0,1,0)+IF(LEN(BX214)&gt;0,1,0))/20,2))</f>
        <v/>
      </c>
      <c r="CD214" s="10" t="str">
        <f aca="false">IF(D214="","",IF(AND(AN214="Approved",ISERROR(SEARCH("FAIL",BH214))),"Y","N"))</f>
        <v/>
      </c>
      <c r="CE214" s="10" t="str">
        <f aca="false">IF(D214="","",D214&amp;"|"&amp;F214&amp;"|"&amp;G214&amp;"|"&amp;H214&amp;"|"&amp;E214&amp;"|"&amp;CD214)</f>
        <v/>
      </c>
    </row>
    <row r="215" customFormat="false" ht="15" hidden="false" customHeight="false" outlineLevel="0" collapsed="false">
      <c r="A215" s="10" t="str">
        <f aca="false">IF(D215="","","EW-"&amp;IFERROR(VLOOKUP(D215,Lists!$P$4:$Q$22,2,0),"??")&amp;"-D"&amp;TEXT(F215*1000,"0000")&amp;"-"&amp;IFERROR(VLOOKUP(G215,Lists!$S$4:$T$21,2,0),"??")&amp;"-"&amp;IFERROR(VLOOKUP(H215,Lists!$Y$4:$Z$21,2,0),"??")&amp;"-"&amp;IFERROR(VLOOKUP(E215,Lists!$V$4:$W$16,2,0),"??")&amp;"-"&amp;AM215)</f>
        <v/>
      </c>
      <c r="B215" s="10" t="str">
        <f aca="false">IF(D215="","",E215&amp;" "&amp;D215&amp;", excavation "&amp;TEXT(F215,"0.0")&amp;" m, "&amp;G215&amp;", "&amp;H215&amp;", "&amp;K215)</f>
        <v/>
      </c>
      <c r="C215" s="9"/>
      <c r="D215" s="9"/>
      <c r="E215" s="9"/>
      <c r="F215" s="42"/>
      <c r="G215" s="9"/>
      <c r="H215" s="9"/>
      <c r="I215" s="42"/>
      <c r="J215" s="38"/>
      <c r="K215" s="9"/>
      <c r="L215" s="9"/>
      <c r="M215" s="9"/>
      <c r="N215" s="42"/>
      <c r="O215" s="42"/>
      <c r="P215" s="9"/>
      <c r="Q215" s="9"/>
      <c r="R215" s="9"/>
      <c r="S215" s="9"/>
      <c r="T215" s="38"/>
      <c r="U215" s="38"/>
      <c r="V215" s="38"/>
      <c r="W215" s="38"/>
      <c r="X215" s="38"/>
      <c r="Y215" s="9"/>
      <c r="Z215" s="39"/>
      <c r="AA215" s="9"/>
      <c r="AB215" s="9"/>
      <c r="AC215" s="9"/>
      <c r="AD215" s="9"/>
      <c r="AE215" s="9"/>
      <c r="AF215" s="9"/>
      <c r="AG215" s="9"/>
      <c r="AH215" s="38"/>
      <c r="AI215" s="9"/>
      <c r="AJ215" s="39"/>
      <c r="AK215" s="9"/>
      <c r="AL215" s="9"/>
      <c r="AM215" s="9"/>
      <c r="AN215" s="9"/>
      <c r="AO215" s="9"/>
      <c r="AP215" s="9"/>
      <c r="AQ215" s="9"/>
      <c r="AR215" s="10" t="str">
        <f aca="false">IF(A215="","",SG_Criteria!$B$6&amp;SG_Criteria!$B$9&amp;"\"&amp;A215&amp;"\")</f>
        <v/>
      </c>
      <c r="AS215" s="10" t="str">
        <f aca="false">IF(A215="","",A215&amp;"_CAD.dwg")</f>
        <v/>
      </c>
      <c r="AT215" s="10" t="str">
        <f aca="false">IF(A215="","",A215&amp;"_DWG.pdf")</f>
        <v/>
      </c>
      <c r="AU215" s="10" t="str">
        <f aca="false">IF(A215="","",IF(AQ215="Y",A215&amp;"_STAAD.std","n/a"))</f>
        <v/>
      </c>
      <c r="AV215" s="10" t="str">
        <f aca="false">IF(A215="","",A215&amp;"_CALC.xlsx")</f>
        <v/>
      </c>
      <c r="AW215" s="10" t="str">
        <f aca="false">IF(A215="","",A215&amp;"_CALC.pdf")</f>
        <v/>
      </c>
      <c r="AX215" s="9"/>
      <c r="AY215" s="9"/>
      <c r="AZ215" s="39"/>
      <c r="BA215" s="39"/>
      <c r="BB215" s="39"/>
      <c r="BC215" s="39"/>
      <c r="BD215" s="39"/>
      <c r="BE215" s="12" t="str">
        <f aca="false">IF(A215="","",IF(COUNTIF(Rebar_Schedule!$A$5:$A$2004,A215)=0,"",ROUND(SUMIF(Rebar_Schedule!$A$5:$A$2004,A215,Rebar_Schedule!$K$5:$K$2004),1)))</f>
        <v/>
      </c>
      <c r="BF215" s="33" t="str">
        <f aca="false">IF(A215="","",IF(BE215="","No rebar schedule yet",IF(ABS(BE215-N(BA215))/MAX(N(BA215),1)&gt;SG_Criteria!$B$55,"NOTE: register rebar differs from schedule by "&amp;TEXT(ABS(BE215-N(BA215))/MAX(N(BA215),1),"0%"),"OK")))</f>
        <v/>
      </c>
      <c r="BG215" s="33" t="str">
        <f aca="false">IF(OR(D215="",F215=""),"",IF(F215&lt;=IF(D215="Soldier Pile &amp; Timber Lagging",SG_Criteria!$B$34,SG_Criteria!$B$33),"No ERSS submission",IF(F215&lt;=SG_Criteria!$B$35,"QP(ST)",IF(F215&lt;=SG_Criteria!$B$36,"QP(ST) + AC","Geotechnical building works: QP(Geo) + AC"))))</f>
        <v/>
      </c>
      <c r="BH215" s="33" t="str">
        <f aca="false">IF(D215="","",IF(LEN(IF(AND(AC215&lt;&gt;"",IFERROR(VALUE(MID(AC215,2,2)),0)&lt;SG_Criteria!$B$19),"FAIL: grade below C"&amp;SG_Criteria!$B$19&amp;". ","")&amp;IF(AND(LEFT(D215,3)="Con",N(I215)&lt;F215,H215="Kallang Formation (marine clay)"),"NOTE: CBP is not watertight below GWT in marine clay; consider secant / grouting. ","")&amp;IF(AND(D215="Steel Sheet Pile",E215="Permanent"),"NOTE: permanent sheet pile needs corrosion allowance. ","")&amp;IF(AND(G215="Cantilever (no support)",F215&gt;6),"NOTE: cantilever embedded wall &gt; 6 m, check deflection. ","")&amp;IF(AND(T215&lt;&gt;"",U215&lt;&gt;"",T215&gt;U215),"FAIL: deflection exceeds allowable. ",""))=0,"OK",IF(AND(AC215&lt;&gt;"",IFERROR(VALUE(MID(AC215,2,2)),0)&lt;SG_Criteria!$B$19),"FAIL: grade below C"&amp;SG_Criteria!$B$19&amp;". ","")&amp;IF(AND(LEFT(D215,3)="Con",N(I215)&lt;F215,H215="Kallang Formation (marine clay)"),"NOTE: CBP is not watertight below GWT in marine clay; consider secant / grouting. ","")&amp;IF(AND(D215="Steel Sheet Pile",E215="Permanent"),"NOTE: permanent sheet pile needs corrosion allowance. ","")&amp;IF(AND(G215="Cantilever (no support)",F215&gt;6),"NOTE: cantilever embedded wall &gt; 6 m, check deflection. ","")&amp;IF(AND(T215&lt;&gt;"",U215&lt;&gt;"",T215&gt;U215),"FAIL: deflection exceeds allowable. ","")))</f>
        <v/>
      </c>
      <c r="BI215" s="9"/>
      <c r="BJ215" s="9"/>
      <c r="BK215" s="9"/>
      <c r="BL215" s="10" t="str">
        <f aca="false">IF(BK215="","",IFERROR(VLOOKUP(BK215,Projects!$A$5:$D$504,2,0),"Ref not in Projects"))</f>
        <v/>
      </c>
      <c r="BM215" s="10" t="str">
        <f aca="false">IF(BK215="","",IFERROR(VLOOKUP(BK215,Projects!$A$5:$D$504,4,0),"Ref not in Projects"))</f>
        <v/>
      </c>
      <c r="BN215" s="9"/>
      <c r="BO215" s="9"/>
      <c r="BP215" s="9"/>
      <c r="BQ215" s="40"/>
      <c r="BR215" s="9"/>
      <c r="BS215" s="40"/>
      <c r="BT215" s="9"/>
      <c r="BU215" s="40"/>
      <c r="BV215" s="9"/>
      <c r="BW215" s="9"/>
      <c r="BX215" s="9"/>
      <c r="BY215" s="40"/>
      <c r="BZ215" s="40"/>
      <c r="CA215" s="36" t="str">
        <f aca="false">IF(BZ215="","",EDATE(BZ215,SG_Criteria!$B$54*12))</f>
        <v/>
      </c>
      <c r="CB215" s="33" t="str">
        <f aca="true">IF(A215="","",IF(BZ215="","NOTE: not reviewed yet",IF(TODAY()&gt;CA215,"NOTE: review overdue","OK")))</f>
        <v/>
      </c>
      <c r="CC215" s="37" t="str">
        <f aca="false">IF(A215="","",ROUND((IF(LEN(D215)&gt;0,1,0)+IF(LEN(E215)&gt;0,1,0)+IF(LEN(F215)&gt;0,1,0)+IF(LEN(G215)&gt;0,1,0)+IF(LEN(H215)&gt;0,1,0)+IF(LEN(I215)&gt;0,1,0)+IF(LEN(K215)&gt;0,1,0)+IF(LEN(N215)&gt;0,1,0)+IF(LEN(O215)&gt;0,1,0)+IF(LEN(T215)&gt;0,1,0)+IF(LEN(U215)&gt;0,1,0)+IF(LEN(V215)&gt;0,1,0)+IF(LEN(AK215)&gt;0,1,0)+IF(LEN(AM215)&gt;0,1,0)+IF(LEN(AN215)&gt;0,1,0)+IF(LEN(AO215)&gt;0,1,0)+IF(LEN(AP215)&gt;0,1,0)+IF(LEN(AY215)&gt;0,1,0)+IF(LEN(BK215)&gt;0,1,0)+IF(LEN(BX215)&gt;0,1,0))/20,2))</f>
        <v/>
      </c>
      <c r="CD215" s="10" t="str">
        <f aca="false">IF(D215="","",IF(AND(AN215="Approved",ISERROR(SEARCH("FAIL",BH215))),"Y","N"))</f>
        <v/>
      </c>
      <c r="CE215" s="10" t="str">
        <f aca="false">IF(D215="","",D215&amp;"|"&amp;F215&amp;"|"&amp;G215&amp;"|"&amp;H215&amp;"|"&amp;E215&amp;"|"&amp;CD215)</f>
        <v/>
      </c>
    </row>
    <row r="216" customFormat="false" ht="15" hidden="false" customHeight="false" outlineLevel="0" collapsed="false">
      <c r="A216" s="10" t="str">
        <f aca="false">IF(D216="","","EW-"&amp;IFERROR(VLOOKUP(D216,Lists!$P$4:$Q$22,2,0),"??")&amp;"-D"&amp;TEXT(F216*1000,"0000")&amp;"-"&amp;IFERROR(VLOOKUP(G216,Lists!$S$4:$T$21,2,0),"??")&amp;"-"&amp;IFERROR(VLOOKUP(H216,Lists!$Y$4:$Z$21,2,0),"??")&amp;"-"&amp;IFERROR(VLOOKUP(E216,Lists!$V$4:$W$16,2,0),"??")&amp;"-"&amp;AM216)</f>
        <v/>
      </c>
      <c r="B216" s="10" t="str">
        <f aca="false">IF(D216="","",E216&amp;" "&amp;D216&amp;", excavation "&amp;TEXT(F216,"0.0")&amp;" m, "&amp;G216&amp;", "&amp;H216&amp;", "&amp;K216)</f>
        <v/>
      </c>
      <c r="C216" s="9"/>
      <c r="D216" s="9"/>
      <c r="E216" s="9"/>
      <c r="F216" s="42"/>
      <c r="G216" s="9"/>
      <c r="H216" s="9"/>
      <c r="I216" s="42"/>
      <c r="J216" s="38"/>
      <c r="K216" s="9"/>
      <c r="L216" s="9"/>
      <c r="M216" s="9"/>
      <c r="N216" s="42"/>
      <c r="O216" s="42"/>
      <c r="P216" s="9"/>
      <c r="Q216" s="9"/>
      <c r="R216" s="9"/>
      <c r="S216" s="9"/>
      <c r="T216" s="38"/>
      <c r="U216" s="38"/>
      <c r="V216" s="38"/>
      <c r="W216" s="38"/>
      <c r="X216" s="38"/>
      <c r="Y216" s="9"/>
      <c r="Z216" s="39"/>
      <c r="AA216" s="9"/>
      <c r="AB216" s="9"/>
      <c r="AC216" s="9"/>
      <c r="AD216" s="9"/>
      <c r="AE216" s="9"/>
      <c r="AF216" s="9"/>
      <c r="AG216" s="9"/>
      <c r="AH216" s="38"/>
      <c r="AI216" s="9"/>
      <c r="AJ216" s="39"/>
      <c r="AK216" s="9"/>
      <c r="AL216" s="9"/>
      <c r="AM216" s="9"/>
      <c r="AN216" s="9"/>
      <c r="AO216" s="9"/>
      <c r="AP216" s="9"/>
      <c r="AQ216" s="9"/>
      <c r="AR216" s="10" t="str">
        <f aca="false">IF(A216="","",SG_Criteria!$B$6&amp;SG_Criteria!$B$9&amp;"\"&amp;A216&amp;"\")</f>
        <v/>
      </c>
      <c r="AS216" s="10" t="str">
        <f aca="false">IF(A216="","",A216&amp;"_CAD.dwg")</f>
        <v/>
      </c>
      <c r="AT216" s="10" t="str">
        <f aca="false">IF(A216="","",A216&amp;"_DWG.pdf")</f>
        <v/>
      </c>
      <c r="AU216" s="10" t="str">
        <f aca="false">IF(A216="","",IF(AQ216="Y",A216&amp;"_STAAD.std","n/a"))</f>
        <v/>
      </c>
      <c r="AV216" s="10" t="str">
        <f aca="false">IF(A216="","",A216&amp;"_CALC.xlsx")</f>
        <v/>
      </c>
      <c r="AW216" s="10" t="str">
        <f aca="false">IF(A216="","",A216&amp;"_CALC.pdf")</f>
        <v/>
      </c>
      <c r="AX216" s="9"/>
      <c r="AY216" s="9"/>
      <c r="AZ216" s="39"/>
      <c r="BA216" s="39"/>
      <c r="BB216" s="39"/>
      <c r="BC216" s="39"/>
      <c r="BD216" s="39"/>
      <c r="BE216" s="12" t="str">
        <f aca="false">IF(A216="","",IF(COUNTIF(Rebar_Schedule!$A$5:$A$2004,A216)=0,"",ROUND(SUMIF(Rebar_Schedule!$A$5:$A$2004,A216,Rebar_Schedule!$K$5:$K$2004),1)))</f>
        <v/>
      </c>
      <c r="BF216" s="33" t="str">
        <f aca="false">IF(A216="","",IF(BE216="","No rebar schedule yet",IF(ABS(BE216-N(BA216))/MAX(N(BA216),1)&gt;SG_Criteria!$B$55,"NOTE: register rebar differs from schedule by "&amp;TEXT(ABS(BE216-N(BA216))/MAX(N(BA216),1),"0%"),"OK")))</f>
        <v/>
      </c>
      <c r="BG216" s="33" t="str">
        <f aca="false">IF(OR(D216="",F216=""),"",IF(F216&lt;=IF(D216="Soldier Pile &amp; Timber Lagging",SG_Criteria!$B$34,SG_Criteria!$B$33),"No ERSS submission",IF(F216&lt;=SG_Criteria!$B$35,"QP(ST)",IF(F216&lt;=SG_Criteria!$B$36,"QP(ST) + AC","Geotechnical building works: QP(Geo) + AC"))))</f>
        <v/>
      </c>
      <c r="BH216" s="33" t="str">
        <f aca="false">IF(D216="","",IF(LEN(IF(AND(AC216&lt;&gt;"",IFERROR(VALUE(MID(AC216,2,2)),0)&lt;SG_Criteria!$B$19),"FAIL: grade below C"&amp;SG_Criteria!$B$19&amp;". ","")&amp;IF(AND(LEFT(D216,3)="Con",N(I216)&lt;F216,H216="Kallang Formation (marine clay)"),"NOTE: CBP is not watertight below GWT in marine clay; consider secant / grouting. ","")&amp;IF(AND(D216="Steel Sheet Pile",E216="Permanent"),"NOTE: permanent sheet pile needs corrosion allowance. ","")&amp;IF(AND(G216="Cantilever (no support)",F216&gt;6),"NOTE: cantilever embedded wall &gt; 6 m, check deflection. ","")&amp;IF(AND(T216&lt;&gt;"",U216&lt;&gt;"",T216&gt;U216),"FAIL: deflection exceeds allowable. ",""))=0,"OK",IF(AND(AC216&lt;&gt;"",IFERROR(VALUE(MID(AC216,2,2)),0)&lt;SG_Criteria!$B$19),"FAIL: grade below C"&amp;SG_Criteria!$B$19&amp;". ","")&amp;IF(AND(LEFT(D216,3)="Con",N(I216)&lt;F216,H216="Kallang Formation (marine clay)"),"NOTE: CBP is not watertight below GWT in marine clay; consider secant / grouting. ","")&amp;IF(AND(D216="Steel Sheet Pile",E216="Permanent"),"NOTE: permanent sheet pile needs corrosion allowance. ","")&amp;IF(AND(G216="Cantilever (no support)",F216&gt;6),"NOTE: cantilever embedded wall &gt; 6 m, check deflection. ","")&amp;IF(AND(T216&lt;&gt;"",U216&lt;&gt;"",T216&gt;U216),"FAIL: deflection exceeds allowable. ","")))</f>
        <v/>
      </c>
      <c r="BI216" s="9"/>
      <c r="BJ216" s="9"/>
      <c r="BK216" s="9"/>
      <c r="BL216" s="10" t="str">
        <f aca="false">IF(BK216="","",IFERROR(VLOOKUP(BK216,Projects!$A$5:$D$504,2,0),"Ref not in Projects"))</f>
        <v/>
      </c>
      <c r="BM216" s="10" t="str">
        <f aca="false">IF(BK216="","",IFERROR(VLOOKUP(BK216,Projects!$A$5:$D$504,4,0),"Ref not in Projects"))</f>
        <v/>
      </c>
      <c r="BN216" s="9"/>
      <c r="BO216" s="9"/>
      <c r="BP216" s="9"/>
      <c r="BQ216" s="40"/>
      <c r="BR216" s="9"/>
      <c r="BS216" s="40"/>
      <c r="BT216" s="9"/>
      <c r="BU216" s="40"/>
      <c r="BV216" s="9"/>
      <c r="BW216" s="9"/>
      <c r="BX216" s="9"/>
      <c r="BY216" s="40"/>
      <c r="BZ216" s="40"/>
      <c r="CA216" s="36" t="str">
        <f aca="false">IF(BZ216="","",EDATE(BZ216,SG_Criteria!$B$54*12))</f>
        <v/>
      </c>
      <c r="CB216" s="33" t="str">
        <f aca="true">IF(A216="","",IF(BZ216="","NOTE: not reviewed yet",IF(TODAY()&gt;CA216,"NOTE: review overdue","OK")))</f>
        <v/>
      </c>
      <c r="CC216" s="37" t="str">
        <f aca="false">IF(A216="","",ROUND((IF(LEN(D216)&gt;0,1,0)+IF(LEN(E216)&gt;0,1,0)+IF(LEN(F216)&gt;0,1,0)+IF(LEN(G216)&gt;0,1,0)+IF(LEN(H216)&gt;0,1,0)+IF(LEN(I216)&gt;0,1,0)+IF(LEN(K216)&gt;0,1,0)+IF(LEN(N216)&gt;0,1,0)+IF(LEN(O216)&gt;0,1,0)+IF(LEN(T216)&gt;0,1,0)+IF(LEN(U216)&gt;0,1,0)+IF(LEN(V216)&gt;0,1,0)+IF(LEN(AK216)&gt;0,1,0)+IF(LEN(AM216)&gt;0,1,0)+IF(LEN(AN216)&gt;0,1,0)+IF(LEN(AO216)&gt;0,1,0)+IF(LEN(AP216)&gt;0,1,0)+IF(LEN(AY216)&gt;0,1,0)+IF(LEN(BK216)&gt;0,1,0)+IF(LEN(BX216)&gt;0,1,0))/20,2))</f>
        <v/>
      </c>
      <c r="CD216" s="10" t="str">
        <f aca="false">IF(D216="","",IF(AND(AN216="Approved",ISERROR(SEARCH("FAIL",BH216))),"Y","N"))</f>
        <v/>
      </c>
      <c r="CE216" s="10" t="str">
        <f aca="false">IF(D216="","",D216&amp;"|"&amp;F216&amp;"|"&amp;G216&amp;"|"&amp;H216&amp;"|"&amp;E216&amp;"|"&amp;CD216)</f>
        <v/>
      </c>
    </row>
    <row r="217" customFormat="false" ht="15" hidden="false" customHeight="false" outlineLevel="0" collapsed="false">
      <c r="A217" s="10" t="str">
        <f aca="false">IF(D217="","","EW-"&amp;IFERROR(VLOOKUP(D217,Lists!$P$4:$Q$22,2,0),"??")&amp;"-D"&amp;TEXT(F217*1000,"0000")&amp;"-"&amp;IFERROR(VLOOKUP(G217,Lists!$S$4:$T$21,2,0),"??")&amp;"-"&amp;IFERROR(VLOOKUP(H217,Lists!$Y$4:$Z$21,2,0),"??")&amp;"-"&amp;IFERROR(VLOOKUP(E217,Lists!$V$4:$W$16,2,0),"??")&amp;"-"&amp;AM217)</f>
        <v/>
      </c>
      <c r="B217" s="10" t="str">
        <f aca="false">IF(D217="","",E217&amp;" "&amp;D217&amp;", excavation "&amp;TEXT(F217,"0.0")&amp;" m, "&amp;G217&amp;", "&amp;H217&amp;", "&amp;K217)</f>
        <v/>
      </c>
      <c r="C217" s="9"/>
      <c r="D217" s="9"/>
      <c r="E217" s="9"/>
      <c r="F217" s="42"/>
      <c r="G217" s="9"/>
      <c r="H217" s="9"/>
      <c r="I217" s="42"/>
      <c r="J217" s="38"/>
      <c r="K217" s="9"/>
      <c r="L217" s="9"/>
      <c r="M217" s="9"/>
      <c r="N217" s="42"/>
      <c r="O217" s="42"/>
      <c r="P217" s="9"/>
      <c r="Q217" s="9"/>
      <c r="R217" s="9"/>
      <c r="S217" s="9"/>
      <c r="T217" s="38"/>
      <c r="U217" s="38"/>
      <c r="V217" s="38"/>
      <c r="W217" s="38"/>
      <c r="X217" s="38"/>
      <c r="Y217" s="9"/>
      <c r="Z217" s="39"/>
      <c r="AA217" s="9"/>
      <c r="AB217" s="9"/>
      <c r="AC217" s="9"/>
      <c r="AD217" s="9"/>
      <c r="AE217" s="9"/>
      <c r="AF217" s="9"/>
      <c r="AG217" s="9"/>
      <c r="AH217" s="38"/>
      <c r="AI217" s="9"/>
      <c r="AJ217" s="39"/>
      <c r="AK217" s="9"/>
      <c r="AL217" s="9"/>
      <c r="AM217" s="9"/>
      <c r="AN217" s="9"/>
      <c r="AO217" s="9"/>
      <c r="AP217" s="9"/>
      <c r="AQ217" s="9"/>
      <c r="AR217" s="10" t="str">
        <f aca="false">IF(A217="","",SG_Criteria!$B$6&amp;SG_Criteria!$B$9&amp;"\"&amp;A217&amp;"\")</f>
        <v/>
      </c>
      <c r="AS217" s="10" t="str">
        <f aca="false">IF(A217="","",A217&amp;"_CAD.dwg")</f>
        <v/>
      </c>
      <c r="AT217" s="10" t="str">
        <f aca="false">IF(A217="","",A217&amp;"_DWG.pdf")</f>
        <v/>
      </c>
      <c r="AU217" s="10" t="str">
        <f aca="false">IF(A217="","",IF(AQ217="Y",A217&amp;"_STAAD.std","n/a"))</f>
        <v/>
      </c>
      <c r="AV217" s="10" t="str">
        <f aca="false">IF(A217="","",A217&amp;"_CALC.xlsx")</f>
        <v/>
      </c>
      <c r="AW217" s="10" t="str">
        <f aca="false">IF(A217="","",A217&amp;"_CALC.pdf")</f>
        <v/>
      </c>
      <c r="AX217" s="9"/>
      <c r="AY217" s="9"/>
      <c r="AZ217" s="39"/>
      <c r="BA217" s="39"/>
      <c r="BB217" s="39"/>
      <c r="BC217" s="39"/>
      <c r="BD217" s="39"/>
      <c r="BE217" s="12" t="str">
        <f aca="false">IF(A217="","",IF(COUNTIF(Rebar_Schedule!$A$5:$A$2004,A217)=0,"",ROUND(SUMIF(Rebar_Schedule!$A$5:$A$2004,A217,Rebar_Schedule!$K$5:$K$2004),1)))</f>
        <v/>
      </c>
      <c r="BF217" s="33" t="str">
        <f aca="false">IF(A217="","",IF(BE217="","No rebar schedule yet",IF(ABS(BE217-N(BA217))/MAX(N(BA217),1)&gt;SG_Criteria!$B$55,"NOTE: register rebar differs from schedule by "&amp;TEXT(ABS(BE217-N(BA217))/MAX(N(BA217),1),"0%"),"OK")))</f>
        <v/>
      </c>
      <c r="BG217" s="33" t="str">
        <f aca="false">IF(OR(D217="",F217=""),"",IF(F217&lt;=IF(D217="Soldier Pile &amp; Timber Lagging",SG_Criteria!$B$34,SG_Criteria!$B$33),"No ERSS submission",IF(F217&lt;=SG_Criteria!$B$35,"QP(ST)",IF(F217&lt;=SG_Criteria!$B$36,"QP(ST) + AC","Geotechnical building works: QP(Geo) + AC"))))</f>
        <v/>
      </c>
      <c r="BH217" s="33" t="str">
        <f aca="false">IF(D217="","",IF(LEN(IF(AND(AC217&lt;&gt;"",IFERROR(VALUE(MID(AC217,2,2)),0)&lt;SG_Criteria!$B$19),"FAIL: grade below C"&amp;SG_Criteria!$B$19&amp;". ","")&amp;IF(AND(LEFT(D217,3)="Con",N(I217)&lt;F217,H217="Kallang Formation (marine clay)"),"NOTE: CBP is not watertight below GWT in marine clay; consider secant / grouting. ","")&amp;IF(AND(D217="Steel Sheet Pile",E217="Permanent"),"NOTE: permanent sheet pile needs corrosion allowance. ","")&amp;IF(AND(G217="Cantilever (no support)",F217&gt;6),"NOTE: cantilever embedded wall &gt; 6 m, check deflection. ","")&amp;IF(AND(T217&lt;&gt;"",U217&lt;&gt;"",T217&gt;U217),"FAIL: deflection exceeds allowable. ",""))=0,"OK",IF(AND(AC217&lt;&gt;"",IFERROR(VALUE(MID(AC217,2,2)),0)&lt;SG_Criteria!$B$19),"FAIL: grade below C"&amp;SG_Criteria!$B$19&amp;". ","")&amp;IF(AND(LEFT(D217,3)="Con",N(I217)&lt;F217,H217="Kallang Formation (marine clay)"),"NOTE: CBP is not watertight below GWT in marine clay; consider secant / grouting. ","")&amp;IF(AND(D217="Steel Sheet Pile",E217="Permanent"),"NOTE: permanent sheet pile needs corrosion allowance. ","")&amp;IF(AND(G217="Cantilever (no support)",F217&gt;6),"NOTE: cantilever embedded wall &gt; 6 m, check deflection. ","")&amp;IF(AND(T217&lt;&gt;"",U217&lt;&gt;"",T217&gt;U217),"FAIL: deflection exceeds allowable. ","")))</f>
        <v/>
      </c>
      <c r="BI217" s="9"/>
      <c r="BJ217" s="9"/>
      <c r="BK217" s="9"/>
      <c r="BL217" s="10" t="str">
        <f aca="false">IF(BK217="","",IFERROR(VLOOKUP(BK217,Projects!$A$5:$D$504,2,0),"Ref not in Projects"))</f>
        <v/>
      </c>
      <c r="BM217" s="10" t="str">
        <f aca="false">IF(BK217="","",IFERROR(VLOOKUP(BK217,Projects!$A$5:$D$504,4,0),"Ref not in Projects"))</f>
        <v/>
      </c>
      <c r="BN217" s="9"/>
      <c r="BO217" s="9"/>
      <c r="BP217" s="9"/>
      <c r="BQ217" s="40"/>
      <c r="BR217" s="9"/>
      <c r="BS217" s="40"/>
      <c r="BT217" s="9"/>
      <c r="BU217" s="40"/>
      <c r="BV217" s="9"/>
      <c r="BW217" s="9"/>
      <c r="BX217" s="9"/>
      <c r="BY217" s="40"/>
      <c r="BZ217" s="40"/>
      <c r="CA217" s="36" t="str">
        <f aca="false">IF(BZ217="","",EDATE(BZ217,SG_Criteria!$B$54*12))</f>
        <v/>
      </c>
      <c r="CB217" s="33" t="str">
        <f aca="true">IF(A217="","",IF(BZ217="","NOTE: not reviewed yet",IF(TODAY()&gt;CA217,"NOTE: review overdue","OK")))</f>
        <v/>
      </c>
      <c r="CC217" s="37" t="str">
        <f aca="false">IF(A217="","",ROUND((IF(LEN(D217)&gt;0,1,0)+IF(LEN(E217)&gt;0,1,0)+IF(LEN(F217)&gt;0,1,0)+IF(LEN(G217)&gt;0,1,0)+IF(LEN(H217)&gt;0,1,0)+IF(LEN(I217)&gt;0,1,0)+IF(LEN(K217)&gt;0,1,0)+IF(LEN(N217)&gt;0,1,0)+IF(LEN(O217)&gt;0,1,0)+IF(LEN(T217)&gt;0,1,0)+IF(LEN(U217)&gt;0,1,0)+IF(LEN(V217)&gt;0,1,0)+IF(LEN(AK217)&gt;0,1,0)+IF(LEN(AM217)&gt;0,1,0)+IF(LEN(AN217)&gt;0,1,0)+IF(LEN(AO217)&gt;0,1,0)+IF(LEN(AP217)&gt;0,1,0)+IF(LEN(AY217)&gt;0,1,0)+IF(LEN(BK217)&gt;0,1,0)+IF(LEN(BX217)&gt;0,1,0))/20,2))</f>
        <v/>
      </c>
      <c r="CD217" s="10" t="str">
        <f aca="false">IF(D217="","",IF(AND(AN217="Approved",ISERROR(SEARCH("FAIL",BH217))),"Y","N"))</f>
        <v/>
      </c>
      <c r="CE217" s="10" t="str">
        <f aca="false">IF(D217="","",D217&amp;"|"&amp;F217&amp;"|"&amp;G217&amp;"|"&amp;H217&amp;"|"&amp;E217&amp;"|"&amp;CD217)</f>
        <v/>
      </c>
    </row>
    <row r="218" customFormat="false" ht="15" hidden="false" customHeight="false" outlineLevel="0" collapsed="false">
      <c r="A218" s="10" t="str">
        <f aca="false">IF(D218="","","EW-"&amp;IFERROR(VLOOKUP(D218,Lists!$P$4:$Q$22,2,0),"??")&amp;"-D"&amp;TEXT(F218*1000,"0000")&amp;"-"&amp;IFERROR(VLOOKUP(G218,Lists!$S$4:$T$21,2,0),"??")&amp;"-"&amp;IFERROR(VLOOKUP(H218,Lists!$Y$4:$Z$21,2,0),"??")&amp;"-"&amp;IFERROR(VLOOKUP(E218,Lists!$V$4:$W$16,2,0),"??")&amp;"-"&amp;AM218)</f>
        <v/>
      </c>
      <c r="B218" s="10" t="str">
        <f aca="false">IF(D218="","",E218&amp;" "&amp;D218&amp;", excavation "&amp;TEXT(F218,"0.0")&amp;" m, "&amp;G218&amp;", "&amp;H218&amp;", "&amp;K218)</f>
        <v/>
      </c>
      <c r="C218" s="9"/>
      <c r="D218" s="9"/>
      <c r="E218" s="9"/>
      <c r="F218" s="42"/>
      <c r="G218" s="9"/>
      <c r="H218" s="9"/>
      <c r="I218" s="42"/>
      <c r="J218" s="38"/>
      <c r="K218" s="9"/>
      <c r="L218" s="9"/>
      <c r="M218" s="9"/>
      <c r="N218" s="42"/>
      <c r="O218" s="42"/>
      <c r="P218" s="9"/>
      <c r="Q218" s="9"/>
      <c r="R218" s="9"/>
      <c r="S218" s="9"/>
      <c r="T218" s="38"/>
      <c r="U218" s="38"/>
      <c r="V218" s="38"/>
      <c r="W218" s="38"/>
      <c r="X218" s="38"/>
      <c r="Y218" s="9"/>
      <c r="Z218" s="39"/>
      <c r="AA218" s="9"/>
      <c r="AB218" s="9"/>
      <c r="AC218" s="9"/>
      <c r="AD218" s="9"/>
      <c r="AE218" s="9"/>
      <c r="AF218" s="9"/>
      <c r="AG218" s="9"/>
      <c r="AH218" s="38"/>
      <c r="AI218" s="9"/>
      <c r="AJ218" s="39"/>
      <c r="AK218" s="9"/>
      <c r="AL218" s="9"/>
      <c r="AM218" s="9"/>
      <c r="AN218" s="9"/>
      <c r="AO218" s="9"/>
      <c r="AP218" s="9"/>
      <c r="AQ218" s="9"/>
      <c r="AR218" s="10" t="str">
        <f aca="false">IF(A218="","",SG_Criteria!$B$6&amp;SG_Criteria!$B$9&amp;"\"&amp;A218&amp;"\")</f>
        <v/>
      </c>
      <c r="AS218" s="10" t="str">
        <f aca="false">IF(A218="","",A218&amp;"_CAD.dwg")</f>
        <v/>
      </c>
      <c r="AT218" s="10" t="str">
        <f aca="false">IF(A218="","",A218&amp;"_DWG.pdf")</f>
        <v/>
      </c>
      <c r="AU218" s="10" t="str">
        <f aca="false">IF(A218="","",IF(AQ218="Y",A218&amp;"_STAAD.std","n/a"))</f>
        <v/>
      </c>
      <c r="AV218" s="10" t="str">
        <f aca="false">IF(A218="","",A218&amp;"_CALC.xlsx")</f>
        <v/>
      </c>
      <c r="AW218" s="10" t="str">
        <f aca="false">IF(A218="","",A218&amp;"_CALC.pdf")</f>
        <v/>
      </c>
      <c r="AX218" s="9"/>
      <c r="AY218" s="9"/>
      <c r="AZ218" s="39"/>
      <c r="BA218" s="39"/>
      <c r="BB218" s="39"/>
      <c r="BC218" s="39"/>
      <c r="BD218" s="39"/>
      <c r="BE218" s="12" t="str">
        <f aca="false">IF(A218="","",IF(COUNTIF(Rebar_Schedule!$A$5:$A$2004,A218)=0,"",ROUND(SUMIF(Rebar_Schedule!$A$5:$A$2004,A218,Rebar_Schedule!$K$5:$K$2004),1)))</f>
        <v/>
      </c>
      <c r="BF218" s="33" t="str">
        <f aca="false">IF(A218="","",IF(BE218="","No rebar schedule yet",IF(ABS(BE218-N(BA218))/MAX(N(BA218),1)&gt;SG_Criteria!$B$55,"NOTE: register rebar differs from schedule by "&amp;TEXT(ABS(BE218-N(BA218))/MAX(N(BA218),1),"0%"),"OK")))</f>
        <v/>
      </c>
      <c r="BG218" s="33" t="str">
        <f aca="false">IF(OR(D218="",F218=""),"",IF(F218&lt;=IF(D218="Soldier Pile &amp; Timber Lagging",SG_Criteria!$B$34,SG_Criteria!$B$33),"No ERSS submission",IF(F218&lt;=SG_Criteria!$B$35,"QP(ST)",IF(F218&lt;=SG_Criteria!$B$36,"QP(ST) + AC","Geotechnical building works: QP(Geo) + AC"))))</f>
        <v/>
      </c>
      <c r="BH218" s="33" t="str">
        <f aca="false">IF(D218="","",IF(LEN(IF(AND(AC218&lt;&gt;"",IFERROR(VALUE(MID(AC218,2,2)),0)&lt;SG_Criteria!$B$19),"FAIL: grade below C"&amp;SG_Criteria!$B$19&amp;". ","")&amp;IF(AND(LEFT(D218,3)="Con",N(I218)&lt;F218,H218="Kallang Formation (marine clay)"),"NOTE: CBP is not watertight below GWT in marine clay; consider secant / grouting. ","")&amp;IF(AND(D218="Steel Sheet Pile",E218="Permanent"),"NOTE: permanent sheet pile needs corrosion allowance. ","")&amp;IF(AND(G218="Cantilever (no support)",F218&gt;6),"NOTE: cantilever embedded wall &gt; 6 m, check deflection. ","")&amp;IF(AND(T218&lt;&gt;"",U218&lt;&gt;"",T218&gt;U218),"FAIL: deflection exceeds allowable. ",""))=0,"OK",IF(AND(AC218&lt;&gt;"",IFERROR(VALUE(MID(AC218,2,2)),0)&lt;SG_Criteria!$B$19),"FAIL: grade below C"&amp;SG_Criteria!$B$19&amp;". ","")&amp;IF(AND(LEFT(D218,3)="Con",N(I218)&lt;F218,H218="Kallang Formation (marine clay)"),"NOTE: CBP is not watertight below GWT in marine clay; consider secant / grouting. ","")&amp;IF(AND(D218="Steel Sheet Pile",E218="Permanent"),"NOTE: permanent sheet pile needs corrosion allowance. ","")&amp;IF(AND(G218="Cantilever (no support)",F218&gt;6),"NOTE: cantilever embedded wall &gt; 6 m, check deflection. ","")&amp;IF(AND(T218&lt;&gt;"",U218&lt;&gt;"",T218&gt;U218),"FAIL: deflection exceeds allowable. ","")))</f>
        <v/>
      </c>
      <c r="BI218" s="9"/>
      <c r="BJ218" s="9"/>
      <c r="BK218" s="9"/>
      <c r="BL218" s="10" t="str">
        <f aca="false">IF(BK218="","",IFERROR(VLOOKUP(BK218,Projects!$A$5:$D$504,2,0),"Ref not in Projects"))</f>
        <v/>
      </c>
      <c r="BM218" s="10" t="str">
        <f aca="false">IF(BK218="","",IFERROR(VLOOKUP(BK218,Projects!$A$5:$D$504,4,0),"Ref not in Projects"))</f>
        <v/>
      </c>
      <c r="BN218" s="9"/>
      <c r="BO218" s="9"/>
      <c r="BP218" s="9"/>
      <c r="BQ218" s="40"/>
      <c r="BR218" s="9"/>
      <c r="BS218" s="40"/>
      <c r="BT218" s="9"/>
      <c r="BU218" s="40"/>
      <c r="BV218" s="9"/>
      <c r="BW218" s="9"/>
      <c r="BX218" s="9"/>
      <c r="BY218" s="40"/>
      <c r="BZ218" s="40"/>
      <c r="CA218" s="36" t="str">
        <f aca="false">IF(BZ218="","",EDATE(BZ218,SG_Criteria!$B$54*12))</f>
        <v/>
      </c>
      <c r="CB218" s="33" t="str">
        <f aca="true">IF(A218="","",IF(BZ218="","NOTE: not reviewed yet",IF(TODAY()&gt;CA218,"NOTE: review overdue","OK")))</f>
        <v/>
      </c>
      <c r="CC218" s="37" t="str">
        <f aca="false">IF(A218="","",ROUND((IF(LEN(D218)&gt;0,1,0)+IF(LEN(E218)&gt;0,1,0)+IF(LEN(F218)&gt;0,1,0)+IF(LEN(G218)&gt;0,1,0)+IF(LEN(H218)&gt;0,1,0)+IF(LEN(I218)&gt;0,1,0)+IF(LEN(K218)&gt;0,1,0)+IF(LEN(N218)&gt;0,1,0)+IF(LEN(O218)&gt;0,1,0)+IF(LEN(T218)&gt;0,1,0)+IF(LEN(U218)&gt;0,1,0)+IF(LEN(V218)&gt;0,1,0)+IF(LEN(AK218)&gt;0,1,0)+IF(LEN(AM218)&gt;0,1,0)+IF(LEN(AN218)&gt;0,1,0)+IF(LEN(AO218)&gt;0,1,0)+IF(LEN(AP218)&gt;0,1,0)+IF(LEN(AY218)&gt;0,1,0)+IF(LEN(BK218)&gt;0,1,0)+IF(LEN(BX218)&gt;0,1,0))/20,2))</f>
        <v/>
      </c>
      <c r="CD218" s="10" t="str">
        <f aca="false">IF(D218="","",IF(AND(AN218="Approved",ISERROR(SEARCH("FAIL",BH218))),"Y","N"))</f>
        <v/>
      </c>
      <c r="CE218" s="10" t="str">
        <f aca="false">IF(D218="","",D218&amp;"|"&amp;F218&amp;"|"&amp;G218&amp;"|"&amp;H218&amp;"|"&amp;E218&amp;"|"&amp;CD218)</f>
        <v/>
      </c>
    </row>
    <row r="219" customFormat="false" ht="15" hidden="false" customHeight="false" outlineLevel="0" collapsed="false">
      <c r="A219" s="10" t="str">
        <f aca="false">IF(D219="","","EW-"&amp;IFERROR(VLOOKUP(D219,Lists!$P$4:$Q$22,2,0),"??")&amp;"-D"&amp;TEXT(F219*1000,"0000")&amp;"-"&amp;IFERROR(VLOOKUP(G219,Lists!$S$4:$T$21,2,0),"??")&amp;"-"&amp;IFERROR(VLOOKUP(H219,Lists!$Y$4:$Z$21,2,0),"??")&amp;"-"&amp;IFERROR(VLOOKUP(E219,Lists!$V$4:$W$16,2,0),"??")&amp;"-"&amp;AM219)</f>
        <v/>
      </c>
      <c r="B219" s="10" t="str">
        <f aca="false">IF(D219="","",E219&amp;" "&amp;D219&amp;", excavation "&amp;TEXT(F219,"0.0")&amp;" m, "&amp;G219&amp;", "&amp;H219&amp;", "&amp;K219)</f>
        <v/>
      </c>
      <c r="C219" s="9"/>
      <c r="D219" s="9"/>
      <c r="E219" s="9"/>
      <c r="F219" s="42"/>
      <c r="G219" s="9"/>
      <c r="H219" s="9"/>
      <c r="I219" s="42"/>
      <c r="J219" s="38"/>
      <c r="K219" s="9"/>
      <c r="L219" s="9"/>
      <c r="M219" s="9"/>
      <c r="N219" s="42"/>
      <c r="O219" s="42"/>
      <c r="P219" s="9"/>
      <c r="Q219" s="9"/>
      <c r="R219" s="9"/>
      <c r="S219" s="9"/>
      <c r="T219" s="38"/>
      <c r="U219" s="38"/>
      <c r="V219" s="38"/>
      <c r="W219" s="38"/>
      <c r="X219" s="38"/>
      <c r="Y219" s="9"/>
      <c r="Z219" s="39"/>
      <c r="AA219" s="9"/>
      <c r="AB219" s="9"/>
      <c r="AC219" s="9"/>
      <c r="AD219" s="9"/>
      <c r="AE219" s="9"/>
      <c r="AF219" s="9"/>
      <c r="AG219" s="9"/>
      <c r="AH219" s="38"/>
      <c r="AI219" s="9"/>
      <c r="AJ219" s="39"/>
      <c r="AK219" s="9"/>
      <c r="AL219" s="9"/>
      <c r="AM219" s="9"/>
      <c r="AN219" s="9"/>
      <c r="AO219" s="9"/>
      <c r="AP219" s="9"/>
      <c r="AQ219" s="9"/>
      <c r="AR219" s="10" t="str">
        <f aca="false">IF(A219="","",SG_Criteria!$B$6&amp;SG_Criteria!$B$9&amp;"\"&amp;A219&amp;"\")</f>
        <v/>
      </c>
      <c r="AS219" s="10" t="str">
        <f aca="false">IF(A219="","",A219&amp;"_CAD.dwg")</f>
        <v/>
      </c>
      <c r="AT219" s="10" t="str">
        <f aca="false">IF(A219="","",A219&amp;"_DWG.pdf")</f>
        <v/>
      </c>
      <c r="AU219" s="10" t="str">
        <f aca="false">IF(A219="","",IF(AQ219="Y",A219&amp;"_STAAD.std","n/a"))</f>
        <v/>
      </c>
      <c r="AV219" s="10" t="str">
        <f aca="false">IF(A219="","",A219&amp;"_CALC.xlsx")</f>
        <v/>
      </c>
      <c r="AW219" s="10" t="str">
        <f aca="false">IF(A219="","",A219&amp;"_CALC.pdf")</f>
        <v/>
      </c>
      <c r="AX219" s="9"/>
      <c r="AY219" s="9"/>
      <c r="AZ219" s="39"/>
      <c r="BA219" s="39"/>
      <c r="BB219" s="39"/>
      <c r="BC219" s="39"/>
      <c r="BD219" s="39"/>
      <c r="BE219" s="12" t="str">
        <f aca="false">IF(A219="","",IF(COUNTIF(Rebar_Schedule!$A$5:$A$2004,A219)=0,"",ROUND(SUMIF(Rebar_Schedule!$A$5:$A$2004,A219,Rebar_Schedule!$K$5:$K$2004),1)))</f>
        <v/>
      </c>
      <c r="BF219" s="33" t="str">
        <f aca="false">IF(A219="","",IF(BE219="","No rebar schedule yet",IF(ABS(BE219-N(BA219))/MAX(N(BA219),1)&gt;SG_Criteria!$B$55,"NOTE: register rebar differs from schedule by "&amp;TEXT(ABS(BE219-N(BA219))/MAX(N(BA219),1),"0%"),"OK")))</f>
        <v/>
      </c>
      <c r="BG219" s="33" t="str">
        <f aca="false">IF(OR(D219="",F219=""),"",IF(F219&lt;=IF(D219="Soldier Pile &amp; Timber Lagging",SG_Criteria!$B$34,SG_Criteria!$B$33),"No ERSS submission",IF(F219&lt;=SG_Criteria!$B$35,"QP(ST)",IF(F219&lt;=SG_Criteria!$B$36,"QP(ST) + AC","Geotechnical building works: QP(Geo) + AC"))))</f>
        <v/>
      </c>
      <c r="BH219" s="33" t="str">
        <f aca="false">IF(D219="","",IF(LEN(IF(AND(AC219&lt;&gt;"",IFERROR(VALUE(MID(AC219,2,2)),0)&lt;SG_Criteria!$B$19),"FAIL: grade below C"&amp;SG_Criteria!$B$19&amp;". ","")&amp;IF(AND(LEFT(D219,3)="Con",N(I219)&lt;F219,H219="Kallang Formation (marine clay)"),"NOTE: CBP is not watertight below GWT in marine clay; consider secant / grouting. ","")&amp;IF(AND(D219="Steel Sheet Pile",E219="Permanent"),"NOTE: permanent sheet pile needs corrosion allowance. ","")&amp;IF(AND(G219="Cantilever (no support)",F219&gt;6),"NOTE: cantilever embedded wall &gt; 6 m, check deflection. ","")&amp;IF(AND(T219&lt;&gt;"",U219&lt;&gt;"",T219&gt;U219),"FAIL: deflection exceeds allowable. ",""))=0,"OK",IF(AND(AC219&lt;&gt;"",IFERROR(VALUE(MID(AC219,2,2)),0)&lt;SG_Criteria!$B$19),"FAIL: grade below C"&amp;SG_Criteria!$B$19&amp;". ","")&amp;IF(AND(LEFT(D219,3)="Con",N(I219)&lt;F219,H219="Kallang Formation (marine clay)"),"NOTE: CBP is not watertight below GWT in marine clay; consider secant / grouting. ","")&amp;IF(AND(D219="Steel Sheet Pile",E219="Permanent"),"NOTE: permanent sheet pile needs corrosion allowance. ","")&amp;IF(AND(G219="Cantilever (no support)",F219&gt;6),"NOTE: cantilever embedded wall &gt; 6 m, check deflection. ","")&amp;IF(AND(T219&lt;&gt;"",U219&lt;&gt;"",T219&gt;U219),"FAIL: deflection exceeds allowable. ","")))</f>
        <v/>
      </c>
      <c r="BI219" s="9"/>
      <c r="BJ219" s="9"/>
      <c r="BK219" s="9"/>
      <c r="BL219" s="10" t="str">
        <f aca="false">IF(BK219="","",IFERROR(VLOOKUP(BK219,Projects!$A$5:$D$504,2,0),"Ref not in Projects"))</f>
        <v/>
      </c>
      <c r="BM219" s="10" t="str">
        <f aca="false">IF(BK219="","",IFERROR(VLOOKUP(BK219,Projects!$A$5:$D$504,4,0),"Ref not in Projects"))</f>
        <v/>
      </c>
      <c r="BN219" s="9"/>
      <c r="BO219" s="9"/>
      <c r="BP219" s="9"/>
      <c r="BQ219" s="40"/>
      <c r="BR219" s="9"/>
      <c r="BS219" s="40"/>
      <c r="BT219" s="9"/>
      <c r="BU219" s="40"/>
      <c r="BV219" s="9"/>
      <c r="BW219" s="9"/>
      <c r="BX219" s="9"/>
      <c r="BY219" s="40"/>
      <c r="BZ219" s="40"/>
      <c r="CA219" s="36" t="str">
        <f aca="false">IF(BZ219="","",EDATE(BZ219,SG_Criteria!$B$54*12))</f>
        <v/>
      </c>
      <c r="CB219" s="33" t="str">
        <f aca="true">IF(A219="","",IF(BZ219="","NOTE: not reviewed yet",IF(TODAY()&gt;CA219,"NOTE: review overdue","OK")))</f>
        <v/>
      </c>
      <c r="CC219" s="37" t="str">
        <f aca="false">IF(A219="","",ROUND((IF(LEN(D219)&gt;0,1,0)+IF(LEN(E219)&gt;0,1,0)+IF(LEN(F219)&gt;0,1,0)+IF(LEN(G219)&gt;0,1,0)+IF(LEN(H219)&gt;0,1,0)+IF(LEN(I219)&gt;0,1,0)+IF(LEN(K219)&gt;0,1,0)+IF(LEN(N219)&gt;0,1,0)+IF(LEN(O219)&gt;0,1,0)+IF(LEN(T219)&gt;0,1,0)+IF(LEN(U219)&gt;0,1,0)+IF(LEN(V219)&gt;0,1,0)+IF(LEN(AK219)&gt;0,1,0)+IF(LEN(AM219)&gt;0,1,0)+IF(LEN(AN219)&gt;0,1,0)+IF(LEN(AO219)&gt;0,1,0)+IF(LEN(AP219)&gt;0,1,0)+IF(LEN(AY219)&gt;0,1,0)+IF(LEN(BK219)&gt;0,1,0)+IF(LEN(BX219)&gt;0,1,0))/20,2))</f>
        <v/>
      </c>
      <c r="CD219" s="10" t="str">
        <f aca="false">IF(D219="","",IF(AND(AN219="Approved",ISERROR(SEARCH("FAIL",BH219))),"Y","N"))</f>
        <v/>
      </c>
      <c r="CE219" s="10" t="str">
        <f aca="false">IF(D219="","",D219&amp;"|"&amp;F219&amp;"|"&amp;G219&amp;"|"&amp;H219&amp;"|"&amp;E219&amp;"|"&amp;CD219)</f>
        <v/>
      </c>
    </row>
    <row r="220" customFormat="false" ht="15" hidden="false" customHeight="false" outlineLevel="0" collapsed="false">
      <c r="A220" s="10" t="str">
        <f aca="false">IF(D220="","","EW-"&amp;IFERROR(VLOOKUP(D220,Lists!$P$4:$Q$22,2,0),"??")&amp;"-D"&amp;TEXT(F220*1000,"0000")&amp;"-"&amp;IFERROR(VLOOKUP(G220,Lists!$S$4:$T$21,2,0),"??")&amp;"-"&amp;IFERROR(VLOOKUP(H220,Lists!$Y$4:$Z$21,2,0),"??")&amp;"-"&amp;IFERROR(VLOOKUP(E220,Lists!$V$4:$W$16,2,0),"??")&amp;"-"&amp;AM220)</f>
        <v/>
      </c>
      <c r="B220" s="10" t="str">
        <f aca="false">IF(D220="","",E220&amp;" "&amp;D220&amp;", excavation "&amp;TEXT(F220,"0.0")&amp;" m, "&amp;G220&amp;", "&amp;H220&amp;", "&amp;K220)</f>
        <v/>
      </c>
      <c r="C220" s="9"/>
      <c r="D220" s="9"/>
      <c r="E220" s="9"/>
      <c r="F220" s="42"/>
      <c r="G220" s="9"/>
      <c r="H220" s="9"/>
      <c r="I220" s="42"/>
      <c r="J220" s="38"/>
      <c r="K220" s="9"/>
      <c r="L220" s="9"/>
      <c r="M220" s="9"/>
      <c r="N220" s="42"/>
      <c r="O220" s="42"/>
      <c r="P220" s="9"/>
      <c r="Q220" s="9"/>
      <c r="R220" s="9"/>
      <c r="S220" s="9"/>
      <c r="T220" s="38"/>
      <c r="U220" s="38"/>
      <c r="V220" s="38"/>
      <c r="W220" s="38"/>
      <c r="X220" s="38"/>
      <c r="Y220" s="9"/>
      <c r="Z220" s="39"/>
      <c r="AA220" s="9"/>
      <c r="AB220" s="9"/>
      <c r="AC220" s="9"/>
      <c r="AD220" s="9"/>
      <c r="AE220" s="9"/>
      <c r="AF220" s="9"/>
      <c r="AG220" s="9"/>
      <c r="AH220" s="38"/>
      <c r="AI220" s="9"/>
      <c r="AJ220" s="39"/>
      <c r="AK220" s="9"/>
      <c r="AL220" s="9"/>
      <c r="AM220" s="9"/>
      <c r="AN220" s="9"/>
      <c r="AO220" s="9"/>
      <c r="AP220" s="9"/>
      <c r="AQ220" s="9"/>
      <c r="AR220" s="10" t="str">
        <f aca="false">IF(A220="","",SG_Criteria!$B$6&amp;SG_Criteria!$B$9&amp;"\"&amp;A220&amp;"\")</f>
        <v/>
      </c>
      <c r="AS220" s="10" t="str">
        <f aca="false">IF(A220="","",A220&amp;"_CAD.dwg")</f>
        <v/>
      </c>
      <c r="AT220" s="10" t="str">
        <f aca="false">IF(A220="","",A220&amp;"_DWG.pdf")</f>
        <v/>
      </c>
      <c r="AU220" s="10" t="str">
        <f aca="false">IF(A220="","",IF(AQ220="Y",A220&amp;"_STAAD.std","n/a"))</f>
        <v/>
      </c>
      <c r="AV220" s="10" t="str">
        <f aca="false">IF(A220="","",A220&amp;"_CALC.xlsx")</f>
        <v/>
      </c>
      <c r="AW220" s="10" t="str">
        <f aca="false">IF(A220="","",A220&amp;"_CALC.pdf")</f>
        <v/>
      </c>
      <c r="AX220" s="9"/>
      <c r="AY220" s="9"/>
      <c r="AZ220" s="39"/>
      <c r="BA220" s="39"/>
      <c r="BB220" s="39"/>
      <c r="BC220" s="39"/>
      <c r="BD220" s="39"/>
      <c r="BE220" s="12" t="str">
        <f aca="false">IF(A220="","",IF(COUNTIF(Rebar_Schedule!$A$5:$A$2004,A220)=0,"",ROUND(SUMIF(Rebar_Schedule!$A$5:$A$2004,A220,Rebar_Schedule!$K$5:$K$2004),1)))</f>
        <v/>
      </c>
      <c r="BF220" s="33" t="str">
        <f aca="false">IF(A220="","",IF(BE220="","No rebar schedule yet",IF(ABS(BE220-N(BA220))/MAX(N(BA220),1)&gt;SG_Criteria!$B$55,"NOTE: register rebar differs from schedule by "&amp;TEXT(ABS(BE220-N(BA220))/MAX(N(BA220),1),"0%"),"OK")))</f>
        <v/>
      </c>
      <c r="BG220" s="33" t="str">
        <f aca="false">IF(OR(D220="",F220=""),"",IF(F220&lt;=IF(D220="Soldier Pile &amp; Timber Lagging",SG_Criteria!$B$34,SG_Criteria!$B$33),"No ERSS submission",IF(F220&lt;=SG_Criteria!$B$35,"QP(ST)",IF(F220&lt;=SG_Criteria!$B$36,"QP(ST) + AC","Geotechnical building works: QP(Geo) + AC"))))</f>
        <v/>
      </c>
      <c r="BH220" s="33" t="str">
        <f aca="false">IF(D220="","",IF(LEN(IF(AND(AC220&lt;&gt;"",IFERROR(VALUE(MID(AC220,2,2)),0)&lt;SG_Criteria!$B$19),"FAIL: grade below C"&amp;SG_Criteria!$B$19&amp;". ","")&amp;IF(AND(LEFT(D220,3)="Con",N(I220)&lt;F220,H220="Kallang Formation (marine clay)"),"NOTE: CBP is not watertight below GWT in marine clay; consider secant / grouting. ","")&amp;IF(AND(D220="Steel Sheet Pile",E220="Permanent"),"NOTE: permanent sheet pile needs corrosion allowance. ","")&amp;IF(AND(G220="Cantilever (no support)",F220&gt;6),"NOTE: cantilever embedded wall &gt; 6 m, check deflection. ","")&amp;IF(AND(T220&lt;&gt;"",U220&lt;&gt;"",T220&gt;U220),"FAIL: deflection exceeds allowable. ",""))=0,"OK",IF(AND(AC220&lt;&gt;"",IFERROR(VALUE(MID(AC220,2,2)),0)&lt;SG_Criteria!$B$19),"FAIL: grade below C"&amp;SG_Criteria!$B$19&amp;". ","")&amp;IF(AND(LEFT(D220,3)="Con",N(I220)&lt;F220,H220="Kallang Formation (marine clay)"),"NOTE: CBP is not watertight below GWT in marine clay; consider secant / grouting. ","")&amp;IF(AND(D220="Steel Sheet Pile",E220="Permanent"),"NOTE: permanent sheet pile needs corrosion allowance. ","")&amp;IF(AND(G220="Cantilever (no support)",F220&gt;6),"NOTE: cantilever embedded wall &gt; 6 m, check deflection. ","")&amp;IF(AND(T220&lt;&gt;"",U220&lt;&gt;"",T220&gt;U220),"FAIL: deflection exceeds allowable. ","")))</f>
        <v/>
      </c>
      <c r="BI220" s="9"/>
      <c r="BJ220" s="9"/>
      <c r="BK220" s="9"/>
      <c r="BL220" s="10" t="str">
        <f aca="false">IF(BK220="","",IFERROR(VLOOKUP(BK220,Projects!$A$5:$D$504,2,0),"Ref not in Projects"))</f>
        <v/>
      </c>
      <c r="BM220" s="10" t="str">
        <f aca="false">IF(BK220="","",IFERROR(VLOOKUP(BK220,Projects!$A$5:$D$504,4,0),"Ref not in Projects"))</f>
        <v/>
      </c>
      <c r="BN220" s="9"/>
      <c r="BO220" s="9"/>
      <c r="BP220" s="9"/>
      <c r="BQ220" s="40"/>
      <c r="BR220" s="9"/>
      <c r="BS220" s="40"/>
      <c r="BT220" s="9"/>
      <c r="BU220" s="40"/>
      <c r="BV220" s="9"/>
      <c r="BW220" s="9"/>
      <c r="BX220" s="9"/>
      <c r="BY220" s="40"/>
      <c r="BZ220" s="40"/>
      <c r="CA220" s="36" t="str">
        <f aca="false">IF(BZ220="","",EDATE(BZ220,SG_Criteria!$B$54*12))</f>
        <v/>
      </c>
      <c r="CB220" s="33" t="str">
        <f aca="true">IF(A220="","",IF(BZ220="","NOTE: not reviewed yet",IF(TODAY()&gt;CA220,"NOTE: review overdue","OK")))</f>
        <v/>
      </c>
      <c r="CC220" s="37" t="str">
        <f aca="false">IF(A220="","",ROUND((IF(LEN(D220)&gt;0,1,0)+IF(LEN(E220)&gt;0,1,0)+IF(LEN(F220)&gt;0,1,0)+IF(LEN(G220)&gt;0,1,0)+IF(LEN(H220)&gt;0,1,0)+IF(LEN(I220)&gt;0,1,0)+IF(LEN(K220)&gt;0,1,0)+IF(LEN(N220)&gt;0,1,0)+IF(LEN(O220)&gt;0,1,0)+IF(LEN(T220)&gt;0,1,0)+IF(LEN(U220)&gt;0,1,0)+IF(LEN(V220)&gt;0,1,0)+IF(LEN(AK220)&gt;0,1,0)+IF(LEN(AM220)&gt;0,1,0)+IF(LEN(AN220)&gt;0,1,0)+IF(LEN(AO220)&gt;0,1,0)+IF(LEN(AP220)&gt;0,1,0)+IF(LEN(AY220)&gt;0,1,0)+IF(LEN(BK220)&gt;0,1,0)+IF(LEN(BX220)&gt;0,1,0))/20,2))</f>
        <v/>
      </c>
      <c r="CD220" s="10" t="str">
        <f aca="false">IF(D220="","",IF(AND(AN220="Approved",ISERROR(SEARCH("FAIL",BH220))),"Y","N"))</f>
        <v/>
      </c>
      <c r="CE220" s="10" t="str">
        <f aca="false">IF(D220="","",D220&amp;"|"&amp;F220&amp;"|"&amp;G220&amp;"|"&amp;H220&amp;"|"&amp;E220&amp;"|"&amp;CD220)</f>
        <v/>
      </c>
    </row>
    <row r="221" customFormat="false" ht="15" hidden="false" customHeight="false" outlineLevel="0" collapsed="false">
      <c r="A221" s="10" t="str">
        <f aca="false">IF(D221="","","EW-"&amp;IFERROR(VLOOKUP(D221,Lists!$P$4:$Q$22,2,0),"??")&amp;"-D"&amp;TEXT(F221*1000,"0000")&amp;"-"&amp;IFERROR(VLOOKUP(G221,Lists!$S$4:$T$21,2,0),"??")&amp;"-"&amp;IFERROR(VLOOKUP(H221,Lists!$Y$4:$Z$21,2,0),"??")&amp;"-"&amp;IFERROR(VLOOKUP(E221,Lists!$V$4:$W$16,2,0),"??")&amp;"-"&amp;AM221)</f>
        <v/>
      </c>
      <c r="B221" s="10" t="str">
        <f aca="false">IF(D221="","",E221&amp;" "&amp;D221&amp;", excavation "&amp;TEXT(F221,"0.0")&amp;" m, "&amp;G221&amp;", "&amp;H221&amp;", "&amp;K221)</f>
        <v/>
      </c>
      <c r="C221" s="9"/>
      <c r="D221" s="9"/>
      <c r="E221" s="9"/>
      <c r="F221" s="42"/>
      <c r="G221" s="9"/>
      <c r="H221" s="9"/>
      <c r="I221" s="42"/>
      <c r="J221" s="38"/>
      <c r="K221" s="9"/>
      <c r="L221" s="9"/>
      <c r="M221" s="9"/>
      <c r="N221" s="42"/>
      <c r="O221" s="42"/>
      <c r="P221" s="9"/>
      <c r="Q221" s="9"/>
      <c r="R221" s="9"/>
      <c r="S221" s="9"/>
      <c r="T221" s="38"/>
      <c r="U221" s="38"/>
      <c r="V221" s="38"/>
      <c r="W221" s="38"/>
      <c r="X221" s="38"/>
      <c r="Y221" s="9"/>
      <c r="Z221" s="39"/>
      <c r="AA221" s="9"/>
      <c r="AB221" s="9"/>
      <c r="AC221" s="9"/>
      <c r="AD221" s="9"/>
      <c r="AE221" s="9"/>
      <c r="AF221" s="9"/>
      <c r="AG221" s="9"/>
      <c r="AH221" s="38"/>
      <c r="AI221" s="9"/>
      <c r="AJ221" s="39"/>
      <c r="AK221" s="9"/>
      <c r="AL221" s="9"/>
      <c r="AM221" s="9"/>
      <c r="AN221" s="9"/>
      <c r="AO221" s="9"/>
      <c r="AP221" s="9"/>
      <c r="AQ221" s="9"/>
      <c r="AR221" s="10" t="str">
        <f aca="false">IF(A221="","",SG_Criteria!$B$6&amp;SG_Criteria!$B$9&amp;"\"&amp;A221&amp;"\")</f>
        <v/>
      </c>
      <c r="AS221" s="10" t="str">
        <f aca="false">IF(A221="","",A221&amp;"_CAD.dwg")</f>
        <v/>
      </c>
      <c r="AT221" s="10" t="str">
        <f aca="false">IF(A221="","",A221&amp;"_DWG.pdf")</f>
        <v/>
      </c>
      <c r="AU221" s="10" t="str">
        <f aca="false">IF(A221="","",IF(AQ221="Y",A221&amp;"_STAAD.std","n/a"))</f>
        <v/>
      </c>
      <c r="AV221" s="10" t="str">
        <f aca="false">IF(A221="","",A221&amp;"_CALC.xlsx")</f>
        <v/>
      </c>
      <c r="AW221" s="10" t="str">
        <f aca="false">IF(A221="","",A221&amp;"_CALC.pdf")</f>
        <v/>
      </c>
      <c r="AX221" s="9"/>
      <c r="AY221" s="9"/>
      <c r="AZ221" s="39"/>
      <c r="BA221" s="39"/>
      <c r="BB221" s="39"/>
      <c r="BC221" s="39"/>
      <c r="BD221" s="39"/>
      <c r="BE221" s="12" t="str">
        <f aca="false">IF(A221="","",IF(COUNTIF(Rebar_Schedule!$A$5:$A$2004,A221)=0,"",ROUND(SUMIF(Rebar_Schedule!$A$5:$A$2004,A221,Rebar_Schedule!$K$5:$K$2004),1)))</f>
        <v/>
      </c>
      <c r="BF221" s="33" t="str">
        <f aca="false">IF(A221="","",IF(BE221="","No rebar schedule yet",IF(ABS(BE221-N(BA221))/MAX(N(BA221),1)&gt;SG_Criteria!$B$55,"NOTE: register rebar differs from schedule by "&amp;TEXT(ABS(BE221-N(BA221))/MAX(N(BA221),1),"0%"),"OK")))</f>
        <v/>
      </c>
      <c r="BG221" s="33" t="str">
        <f aca="false">IF(OR(D221="",F221=""),"",IF(F221&lt;=IF(D221="Soldier Pile &amp; Timber Lagging",SG_Criteria!$B$34,SG_Criteria!$B$33),"No ERSS submission",IF(F221&lt;=SG_Criteria!$B$35,"QP(ST)",IF(F221&lt;=SG_Criteria!$B$36,"QP(ST) + AC","Geotechnical building works: QP(Geo) + AC"))))</f>
        <v/>
      </c>
      <c r="BH221" s="33" t="str">
        <f aca="false">IF(D221="","",IF(LEN(IF(AND(AC221&lt;&gt;"",IFERROR(VALUE(MID(AC221,2,2)),0)&lt;SG_Criteria!$B$19),"FAIL: grade below C"&amp;SG_Criteria!$B$19&amp;". ","")&amp;IF(AND(LEFT(D221,3)="Con",N(I221)&lt;F221,H221="Kallang Formation (marine clay)"),"NOTE: CBP is not watertight below GWT in marine clay; consider secant / grouting. ","")&amp;IF(AND(D221="Steel Sheet Pile",E221="Permanent"),"NOTE: permanent sheet pile needs corrosion allowance. ","")&amp;IF(AND(G221="Cantilever (no support)",F221&gt;6),"NOTE: cantilever embedded wall &gt; 6 m, check deflection. ","")&amp;IF(AND(T221&lt;&gt;"",U221&lt;&gt;"",T221&gt;U221),"FAIL: deflection exceeds allowable. ",""))=0,"OK",IF(AND(AC221&lt;&gt;"",IFERROR(VALUE(MID(AC221,2,2)),0)&lt;SG_Criteria!$B$19),"FAIL: grade below C"&amp;SG_Criteria!$B$19&amp;". ","")&amp;IF(AND(LEFT(D221,3)="Con",N(I221)&lt;F221,H221="Kallang Formation (marine clay)"),"NOTE: CBP is not watertight below GWT in marine clay; consider secant / grouting. ","")&amp;IF(AND(D221="Steel Sheet Pile",E221="Permanent"),"NOTE: permanent sheet pile needs corrosion allowance. ","")&amp;IF(AND(G221="Cantilever (no support)",F221&gt;6),"NOTE: cantilever embedded wall &gt; 6 m, check deflection. ","")&amp;IF(AND(T221&lt;&gt;"",U221&lt;&gt;"",T221&gt;U221),"FAIL: deflection exceeds allowable. ","")))</f>
        <v/>
      </c>
      <c r="BI221" s="9"/>
      <c r="BJ221" s="9"/>
      <c r="BK221" s="9"/>
      <c r="BL221" s="10" t="str">
        <f aca="false">IF(BK221="","",IFERROR(VLOOKUP(BK221,Projects!$A$5:$D$504,2,0),"Ref not in Projects"))</f>
        <v/>
      </c>
      <c r="BM221" s="10" t="str">
        <f aca="false">IF(BK221="","",IFERROR(VLOOKUP(BK221,Projects!$A$5:$D$504,4,0),"Ref not in Projects"))</f>
        <v/>
      </c>
      <c r="BN221" s="9"/>
      <c r="BO221" s="9"/>
      <c r="BP221" s="9"/>
      <c r="BQ221" s="40"/>
      <c r="BR221" s="9"/>
      <c r="BS221" s="40"/>
      <c r="BT221" s="9"/>
      <c r="BU221" s="40"/>
      <c r="BV221" s="9"/>
      <c r="BW221" s="9"/>
      <c r="BX221" s="9"/>
      <c r="BY221" s="40"/>
      <c r="BZ221" s="40"/>
      <c r="CA221" s="36" t="str">
        <f aca="false">IF(BZ221="","",EDATE(BZ221,SG_Criteria!$B$54*12))</f>
        <v/>
      </c>
      <c r="CB221" s="33" t="str">
        <f aca="true">IF(A221="","",IF(BZ221="","NOTE: not reviewed yet",IF(TODAY()&gt;CA221,"NOTE: review overdue","OK")))</f>
        <v/>
      </c>
      <c r="CC221" s="37" t="str">
        <f aca="false">IF(A221="","",ROUND((IF(LEN(D221)&gt;0,1,0)+IF(LEN(E221)&gt;0,1,0)+IF(LEN(F221)&gt;0,1,0)+IF(LEN(G221)&gt;0,1,0)+IF(LEN(H221)&gt;0,1,0)+IF(LEN(I221)&gt;0,1,0)+IF(LEN(K221)&gt;0,1,0)+IF(LEN(N221)&gt;0,1,0)+IF(LEN(O221)&gt;0,1,0)+IF(LEN(T221)&gt;0,1,0)+IF(LEN(U221)&gt;0,1,0)+IF(LEN(V221)&gt;0,1,0)+IF(LEN(AK221)&gt;0,1,0)+IF(LEN(AM221)&gt;0,1,0)+IF(LEN(AN221)&gt;0,1,0)+IF(LEN(AO221)&gt;0,1,0)+IF(LEN(AP221)&gt;0,1,0)+IF(LEN(AY221)&gt;0,1,0)+IF(LEN(BK221)&gt;0,1,0)+IF(LEN(BX221)&gt;0,1,0))/20,2))</f>
        <v/>
      </c>
      <c r="CD221" s="10" t="str">
        <f aca="false">IF(D221="","",IF(AND(AN221="Approved",ISERROR(SEARCH("FAIL",BH221))),"Y","N"))</f>
        <v/>
      </c>
      <c r="CE221" s="10" t="str">
        <f aca="false">IF(D221="","",D221&amp;"|"&amp;F221&amp;"|"&amp;G221&amp;"|"&amp;H221&amp;"|"&amp;E221&amp;"|"&amp;CD221)</f>
        <v/>
      </c>
    </row>
    <row r="222" customFormat="false" ht="15" hidden="false" customHeight="false" outlineLevel="0" collapsed="false">
      <c r="A222" s="10" t="str">
        <f aca="false">IF(D222="","","EW-"&amp;IFERROR(VLOOKUP(D222,Lists!$P$4:$Q$22,2,0),"??")&amp;"-D"&amp;TEXT(F222*1000,"0000")&amp;"-"&amp;IFERROR(VLOOKUP(G222,Lists!$S$4:$T$21,2,0),"??")&amp;"-"&amp;IFERROR(VLOOKUP(H222,Lists!$Y$4:$Z$21,2,0),"??")&amp;"-"&amp;IFERROR(VLOOKUP(E222,Lists!$V$4:$W$16,2,0),"??")&amp;"-"&amp;AM222)</f>
        <v/>
      </c>
      <c r="B222" s="10" t="str">
        <f aca="false">IF(D222="","",E222&amp;" "&amp;D222&amp;", excavation "&amp;TEXT(F222,"0.0")&amp;" m, "&amp;G222&amp;", "&amp;H222&amp;", "&amp;K222)</f>
        <v/>
      </c>
      <c r="C222" s="9"/>
      <c r="D222" s="9"/>
      <c r="E222" s="9"/>
      <c r="F222" s="42"/>
      <c r="G222" s="9"/>
      <c r="H222" s="9"/>
      <c r="I222" s="42"/>
      <c r="J222" s="38"/>
      <c r="K222" s="9"/>
      <c r="L222" s="9"/>
      <c r="M222" s="9"/>
      <c r="N222" s="42"/>
      <c r="O222" s="42"/>
      <c r="P222" s="9"/>
      <c r="Q222" s="9"/>
      <c r="R222" s="9"/>
      <c r="S222" s="9"/>
      <c r="T222" s="38"/>
      <c r="U222" s="38"/>
      <c r="V222" s="38"/>
      <c r="W222" s="38"/>
      <c r="X222" s="38"/>
      <c r="Y222" s="9"/>
      <c r="Z222" s="39"/>
      <c r="AA222" s="9"/>
      <c r="AB222" s="9"/>
      <c r="AC222" s="9"/>
      <c r="AD222" s="9"/>
      <c r="AE222" s="9"/>
      <c r="AF222" s="9"/>
      <c r="AG222" s="9"/>
      <c r="AH222" s="38"/>
      <c r="AI222" s="9"/>
      <c r="AJ222" s="39"/>
      <c r="AK222" s="9"/>
      <c r="AL222" s="9"/>
      <c r="AM222" s="9"/>
      <c r="AN222" s="9"/>
      <c r="AO222" s="9"/>
      <c r="AP222" s="9"/>
      <c r="AQ222" s="9"/>
      <c r="AR222" s="10" t="str">
        <f aca="false">IF(A222="","",SG_Criteria!$B$6&amp;SG_Criteria!$B$9&amp;"\"&amp;A222&amp;"\")</f>
        <v/>
      </c>
      <c r="AS222" s="10" t="str">
        <f aca="false">IF(A222="","",A222&amp;"_CAD.dwg")</f>
        <v/>
      </c>
      <c r="AT222" s="10" t="str">
        <f aca="false">IF(A222="","",A222&amp;"_DWG.pdf")</f>
        <v/>
      </c>
      <c r="AU222" s="10" t="str">
        <f aca="false">IF(A222="","",IF(AQ222="Y",A222&amp;"_STAAD.std","n/a"))</f>
        <v/>
      </c>
      <c r="AV222" s="10" t="str">
        <f aca="false">IF(A222="","",A222&amp;"_CALC.xlsx")</f>
        <v/>
      </c>
      <c r="AW222" s="10" t="str">
        <f aca="false">IF(A222="","",A222&amp;"_CALC.pdf")</f>
        <v/>
      </c>
      <c r="AX222" s="9"/>
      <c r="AY222" s="9"/>
      <c r="AZ222" s="39"/>
      <c r="BA222" s="39"/>
      <c r="BB222" s="39"/>
      <c r="BC222" s="39"/>
      <c r="BD222" s="39"/>
      <c r="BE222" s="12" t="str">
        <f aca="false">IF(A222="","",IF(COUNTIF(Rebar_Schedule!$A$5:$A$2004,A222)=0,"",ROUND(SUMIF(Rebar_Schedule!$A$5:$A$2004,A222,Rebar_Schedule!$K$5:$K$2004),1)))</f>
        <v/>
      </c>
      <c r="BF222" s="33" t="str">
        <f aca="false">IF(A222="","",IF(BE222="","No rebar schedule yet",IF(ABS(BE222-N(BA222))/MAX(N(BA222),1)&gt;SG_Criteria!$B$55,"NOTE: register rebar differs from schedule by "&amp;TEXT(ABS(BE222-N(BA222))/MAX(N(BA222),1),"0%"),"OK")))</f>
        <v/>
      </c>
      <c r="BG222" s="33" t="str">
        <f aca="false">IF(OR(D222="",F222=""),"",IF(F222&lt;=IF(D222="Soldier Pile &amp; Timber Lagging",SG_Criteria!$B$34,SG_Criteria!$B$33),"No ERSS submission",IF(F222&lt;=SG_Criteria!$B$35,"QP(ST)",IF(F222&lt;=SG_Criteria!$B$36,"QP(ST) + AC","Geotechnical building works: QP(Geo) + AC"))))</f>
        <v/>
      </c>
      <c r="BH222" s="33" t="str">
        <f aca="false">IF(D222="","",IF(LEN(IF(AND(AC222&lt;&gt;"",IFERROR(VALUE(MID(AC222,2,2)),0)&lt;SG_Criteria!$B$19),"FAIL: grade below C"&amp;SG_Criteria!$B$19&amp;". ","")&amp;IF(AND(LEFT(D222,3)="Con",N(I222)&lt;F222,H222="Kallang Formation (marine clay)"),"NOTE: CBP is not watertight below GWT in marine clay; consider secant / grouting. ","")&amp;IF(AND(D222="Steel Sheet Pile",E222="Permanent"),"NOTE: permanent sheet pile needs corrosion allowance. ","")&amp;IF(AND(G222="Cantilever (no support)",F222&gt;6),"NOTE: cantilever embedded wall &gt; 6 m, check deflection. ","")&amp;IF(AND(T222&lt;&gt;"",U222&lt;&gt;"",T222&gt;U222),"FAIL: deflection exceeds allowable. ",""))=0,"OK",IF(AND(AC222&lt;&gt;"",IFERROR(VALUE(MID(AC222,2,2)),0)&lt;SG_Criteria!$B$19),"FAIL: grade below C"&amp;SG_Criteria!$B$19&amp;". ","")&amp;IF(AND(LEFT(D222,3)="Con",N(I222)&lt;F222,H222="Kallang Formation (marine clay)"),"NOTE: CBP is not watertight below GWT in marine clay; consider secant / grouting. ","")&amp;IF(AND(D222="Steel Sheet Pile",E222="Permanent"),"NOTE: permanent sheet pile needs corrosion allowance. ","")&amp;IF(AND(G222="Cantilever (no support)",F222&gt;6),"NOTE: cantilever embedded wall &gt; 6 m, check deflection. ","")&amp;IF(AND(T222&lt;&gt;"",U222&lt;&gt;"",T222&gt;U222),"FAIL: deflection exceeds allowable. ","")))</f>
        <v/>
      </c>
      <c r="BI222" s="9"/>
      <c r="BJ222" s="9"/>
      <c r="BK222" s="9"/>
      <c r="BL222" s="10" t="str">
        <f aca="false">IF(BK222="","",IFERROR(VLOOKUP(BK222,Projects!$A$5:$D$504,2,0),"Ref not in Projects"))</f>
        <v/>
      </c>
      <c r="BM222" s="10" t="str">
        <f aca="false">IF(BK222="","",IFERROR(VLOOKUP(BK222,Projects!$A$5:$D$504,4,0),"Ref not in Projects"))</f>
        <v/>
      </c>
      <c r="BN222" s="9"/>
      <c r="BO222" s="9"/>
      <c r="BP222" s="9"/>
      <c r="BQ222" s="40"/>
      <c r="BR222" s="9"/>
      <c r="BS222" s="40"/>
      <c r="BT222" s="9"/>
      <c r="BU222" s="40"/>
      <c r="BV222" s="9"/>
      <c r="BW222" s="9"/>
      <c r="BX222" s="9"/>
      <c r="BY222" s="40"/>
      <c r="BZ222" s="40"/>
      <c r="CA222" s="36" t="str">
        <f aca="false">IF(BZ222="","",EDATE(BZ222,SG_Criteria!$B$54*12))</f>
        <v/>
      </c>
      <c r="CB222" s="33" t="str">
        <f aca="true">IF(A222="","",IF(BZ222="","NOTE: not reviewed yet",IF(TODAY()&gt;CA222,"NOTE: review overdue","OK")))</f>
        <v/>
      </c>
      <c r="CC222" s="37" t="str">
        <f aca="false">IF(A222="","",ROUND((IF(LEN(D222)&gt;0,1,0)+IF(LEN(E222)&gt;0,1,0)+IF(LEN(F222)&gt;0,1,0)+IF(LEN(G222)&gt;0,1,0)+IF(LEN(H222)&gt;0,1,0)+IF(LEN(I222)&gt;0,1,0)+IF(LEN(K222)&gt;0,1,0)+IF(LEN(N222)&gt;0,1,0)+IF(LEN(O222)&gt;0,1,0)+IF(LEN(T222)&gt;0,1,0)+IF(LEN(U222)&gt;0,1,0)+IF(LEN(V222)&gt;0,1,0)+IF(LEN(AK222)&gt;0,1,0)+IF(LEN(AM222)&gt;0,1,0)+IF(LEN(AN222)&gt;0,1,0)+IF(LEN(AO222)&gt;0,1,0)+IF(LEN(AP222)&gt;0,1,0)+IF(LEN(AY222)&gt;0,1,0)+IF(LEN(BK222)&gt;0,1,0)+IF(LEN(BX222)&gt;0,1,0))/20,2))</f>
        <v/>
      </c>
      <c r="CD222" s="10" t="str">
        <f aca="false">IF(D222="","",IF(AND(AN222="Approved",ISERROR(SEARCH("FAIL",BH222))),"Y","N"))</f>
        <v/>
      </c>
      <c r="CE222" s="10" t="str">
        <f aca="false">IF(D222="","",D222&amp;"|"&amp;F222&amp;"|"&amp;G222&amp;"|"&amp;H222&amp;"|"&amp;E222&amp;"|"&amp;CD222)</f>
        <v/>
      </c>
    </row>
    <row r="223" customFormat="false" ht="15" hidden="false" customHeight="false" outlineLevel="0" collapsed="false">
      <c r="A223" s="10" t="str">
        <f aca="false">IF(D223="","","EW-"&amp;IFERROR(VLOOKUP(D223,Lists!$P$4:$Q$22,2,0),"??")&amp;"-D"&amp;TEXT(F223*1000,"0000")&amp;"-"&amp;IFERROR(VLOOKUP(G223,Lists!$S$4:$T$21,2,0),"??")&amp;"-"&amp;IFERROR(VLOOKUP(H223,Lists!$Y$4:$Z$21,2,0),"??")&amp;"-"&amp;IFERROR(VLOOKUP(E223,Lists!$V$4:$W$16,2,0),"??")&amp;"-"&amp;AM223)</f>
        <v/>
      </c>
      <c r="B223" s="10" t="str">
        <f aca="false">IF(D223="","",E223&amp;" "&amp;D223&amp;", excavation "&amp;TEXT(F223,"0.0")&amp;" m, "&amp;G223&amp;", "&amp;H223&amp;", "&amp;K223)</f>
        <v/>
      </c>
      <c r="C223" s="9"/>
      <c r="D223" s="9"/>
      <c r="E223" s="9"/>
      <c r="F223" s="42"/>
      <c r="G223" s="9"/>
      <c r="H223" s="9"/>
      <c r="I223" s="42"/>
      <c r="J223" s="38"/>
      <c r="K223" s="9"/>
      <c r="L223" s="9"/>
      <c r="M223" s="9"/>
      <c r="N223" s="42"/>
      <c r="O223" s="42"/>
      <c r="P223" s="9"/>
      <c r="Q223" s="9"/>
      <c r="R223" s="9"/>
      <c r="S223" s="9"/>
      <c r="T223" s="38"/>
      <c r="U223" s="38"/>
      <c r="V223" s="38"/>
      <c r="W223" s="38"/>
      <c r="X223" s="38"/>
      <c r="Y223" s="9"/>
      <c r="Z223" s="39"/>
      <c r="AA223" s="9"/>
      <c r="AB223" s="9"/>
      <c r="AC223" s="9"/>
      <c r="AD223" s="9"/>
      <c r="AE223" s="9"/>
      <c r="AF223" s="9"/>
      <c r="AG223" s="9"/>
      <c r="AH223" s="38"/>
      <c r="AI223" s="9"/>
      <c r="AJ223" s="39"/>
      <c r="AK223" s="9"/>
      <c r="AL223" s="9"/>
      <c r="AM223" s="9"/>
      <c r="AN223" s="9"/>
      <c r="AO223" s="9"/>
      <c r="AP223" s="9"/>
      <c r="AQ223" s="9"/>
      <c r="AR223" s="10" t="str">
        <f aca="false">IF(A223="","",SG_Criteria!$B$6&amp;SG_Criteria!$B$9&amp;"\"&amp;A223&amp;"\")</f>
        <v/>
      </c>
      <c r="AS223" s="10" t="str">
        <f aca="false">IF(A223="","",A223&amp;"_CAD.dwg")</f>
        <v/>
      </c>
      <c r="AT223" s="10" t="str">
        <f aca="false">IF(A223="","",A223&amp;"_DWG.pdf")</f>
        <v/>
      </c>
      <c r="AU223" s="10" t="str">
        <f aca="false">IF(A223="","",IF(AQ223="Y",A223&amp;"_STAAD.std","n/a"))</f>
        <v/>
      </c>
      <c r="AV223" s="10" t="str">
        <f aca="false">IF(A223="","",A223&amp;"_CALC.xlsx")</f>
        <v/>
      </c>
      <c r="AW223" s="10" t="str">
        <f aca="false">IF(A223="","",A223&amp;"_CALC.pdf")</f>
        <v/>
      </c>
      <c r="AX223" s="9"/>
      <c r="AY223" s="9"/>
      <c r="AZ223" s="39"/>
      <c r="BA223" s="39"/>
      <c r="BB223" s="39"/>
      <c r="BC223" s="39"/>
      <c r="BD223" s="39"/>
      <c r="BE223" s="12" t="str">
        <f aca="false">IF(A223="","",IF(COUNTIF(Rebar_Schedule!$A$5:$A$2004,A223)=0,"",ROUND(SUMIF(Rebar_Schedule!$A$5:$A$2004,A223,Rebar_Schedule!$K$5:$K$2004),1)))</f>
        <v/>
      </c>
      <c r="BF223" s="33" t="str">
        <f aca="false">IF(A223="","",IF(BE223="","No rebar schedule yet",IF(ABS(BE223-N(BA223))/MAX(N(BA223),1)&gt;SG_Criteria!$B$55,"NOTE: register rebar differs from schedule by "&amp;TEXT(ABS(BE223-N(BA223))/MAX(N(BA223),1),"0%"),"OK")))</f>
        <v/>
      </c>
      <c r="BG223" s="33" t="str">
        <f aca="false">IF(OR(D223="",F223=""),"",IF(F223&lt;=IF(D223="Soldier Pile &amp; Timber Lagging",SG_Criteria!$B$34,SG_Criteria!$B$33),"No ERSS submission",IF(F223&lt;=SG_Criteria!$B$35,"QP(ST)",IF(F223&lt;=SG_Criteria!$B$36,"QP(ST) + AC","Geotechnical building works: QP(Geo) + AC"))))</f>
        <v/>
      </c>
      <c r="BH223" s="33" t="str">
        <f aca="false">IF(D223="","",IF(LEN(IF(AND(AC223&lt;&gt;"",IFERROR(VALUE(MID(AC223,2,2)),0)&lt;SG_Criteria!$B$19),"FAIL: grade below C"&amp;SG_Criteria!$B$19&amp;". ","")&amp;IF(AND(LEFT(D223,3)="Con",N(I223)&lt;F223,H223="Kallang Formation (marine clay)"),"NOTE: CBP is not watertight below GWT in marine clay; consider secant / grouting. ","")&amp;IF(AND(D223="Steel Sheet Pile",E223="Permanent"),"NOTE: permanent sheet pile needs corrosion allowance. ","")&amp;IF(AND(G223="Cantilever (no support)",F223&gt;6),"NOTE: cantilever embedded wall &gt; 6 m, check deflection. ","")&amp;IF(AND(T223&lt;&gt;"",U223&lt;&gt;"",T223&gt;U223),"FAIL: deflection exceeds allowable. ",""))=0,"OK",IF(AND(AC223&lt;&gt;"",IFERROR(VALUE(MID(AC223,2,2)),0)&lt;SG_Criteria!$B$19),"FAIL: grade below C"&amp;SG_Criteria!$B$19&amp;". ","")&amp;IF(AND(LEFT(D223,3)="Con",N(I223)&lt;F223,H223="Kallang Formation (marine clay)"),"NOTE: CBP is not watertight below GWT in marine clay; consider secant / grouting. ","")&amp;IF(AND(D223="Steel Sheet Pile",E223="Permanent"),"NOTE: permanent sheet pile needs corrosion allowance. ","")&amp;IF(AND(G223="Cantilever (no support)",F223&gt;6),"NOTE: cantilever embedded wall &gt; 6 m, check deflection. ","")&amp;IF(AND(T223&lt;&gt;"",U223&lt;&gt;"",T223&gt;U223),"FAIL: deflection exceeds allowable. ","")))</f>
        <v/>
      </c>
      <c r="BI223" s="9"/>
      <c r="BJ223" s="9"/>
      <c r="BK223" s="9"/>
      <c r="BL223" s="10" t="str">
        <f aca="false">IF(BK223="","",IFERROR(VLOOKUP(BK223,Projects!$A$5:$D$504,2,0),"Ref not in Projects"))</f>
        <v/>
      </c>
      <c r="BM223" s="10" t="str">
        <f aca="false">IF(BK223="","",IFERROR(VLOOKUP(BK223,Projects!$A$5:$D$504,4,0),"Ref not in Projects"))</f>
        <v/>
      </c>
      <c r="BN223" s="9"/>
      <c r="BO223" s="9"/>
      <c r="BP223" s="9"/>
      <c r="BQ223" s="40"/>
      <c r="BR223" s="9"/>
      <c r="BS223" s="40"/>
      <c r="BT223" s="9"/>
      <c r="BU223" s="40"/>
      <c r="BV223" s="9"/>
      <c r="BW223" s="9"/>
      <c r="BX223" s="9"/>
      <c r="BY223" s="40"/>
      <c r="BZ223" s="40"/>
      <c r="CA223" s="36" t="str">
        <f aca="false">IF(BZ223="","",EDATE(BZ223,SG_Criteria!$B$54*12))</f>
        <v/>
      </c>
      <c r="CB223" s="33" t="str">
        <f aca="true">IF(A223="","",IF(BZ223="","NOTE: not reviewed yet",IF(TODAY()&gt;CA223,"NOTE: review overdue","OK")))</f>
        <v/>
      </c>
      <c r="CC223" s="37" t="str">
        <f aca="false">IF(A223="","",ROUND((IF(LEN(D223)&gt;0,1,0)+IF(LEN(E223)&gt;0,1,0)+IF(LEN(F223)&gt;0,1,0)+IF(LEN(G223)&gt;0,1,0)+IF(LEN(H223)&gt;0,1,0)+IF(LEN(I223)&gt;0,1,0)+IF(LEN(K223)&gt;0,1,0)+IF(LEN(N223)&gt;0,1,0)+IF(LEN(O223)&gt;0,1,0)+IF(LEN(T223)&gt;0,1,0)+IF(LEN(U223)&gt;0,1,0)+IF(LEN(V223)&gt;0,1,0)+IF(LEN(AK223)&gt;0,1,0)+IF(LEN(AM223)&gt;0,1,0)+IF(LEN(AN223)&gt;0,1,0)+IF(LEN(AO223)&gt;0,1,0)+IF(LEN(AP223)&gt;0,1,0)+IF(LEN(AY223)&gt;0,1,0)+IF(LEN(BK223)&gt;0,1,0)+IF(LEN(BX223)&gt;0,1,0))/20,2))</f>
        <v/>
      </c>
      <c r="CD223" s="10" t="str">
        <f aca="false">IF(D223="","",IF(AND(AN223="Approved",ISERROR(SEARCH("FAIL",BH223))),"Y","N"))</f>
        <v/>
      </c>
      <c r="CE223" s="10" t="str">
        <f aca="false">IF(D223="","",D223&amp;"|"&amp;F223&amp;"|"&amp;G223&amp;"|"&amp;H223&amp;"|"&amp;E223&amp;"|"&amp;CD223)</f>
        <v/>
      </c>
    </row>
    <row r="224" customFormat="false" ht="15" hidden="false" customHeight="false" outlineLevel="0" collapsed="false">
      <c r="A224" s="10" t="str">
        <f aca="false">IF(D224="","","EW-"&amp;IFERROR(VLOOKUP(D224,Lists!$P$4:$Q$22,2,0),"??")&amp;"-D"&amp;TEXT(F224*1000,"0000")&amp;"-"&amp;IFERROR(VLOOKUP(G224,Lists!$S$4:$T$21,2,0),"??")&amp;"-"&amp;IFERROR(VLOOKUP(H224,Lists!$Y$4:$Z$21,2,0),"??")&amp;"-"&amp;IFERROR(VLOOKUP(E224,Lists!$V$4:$W$16,2,0),"??")&amp;"-"&amp;AM224)</f>
        <v/>
      </c>
      <c r="B224" s="10" t="str">
        <f aca="false">IF(D224="","",E224&amp;" "&amp;D224&amp;", excavation "&amp;TEXT(F224,"0.0")&amp;" m, "&amp;G224&amp;", "&amp;H224&amp;", "&amp;K224)</f>
        <v/>
      </c>
      <c r="C224" s="9"/>
      <c r="D224" s="9"/>
      <c r="E224" s="9"/>
      <c r="F224" s="42"/>
      <c r="G224" s="9"/>
      <c r="H224" s="9"/>
      <c r="I224" s="42"/>
      <c r="J224" s="38"/>
      <c r="K224" s="9"/>
      <c r="L224" s="9"/>
      <c r="M224" s="9"/>
      <c r="N224" s="42"/>
      <c r="O224" s="42"/>
      <c r="P224" s="9"/>
      <c r="Q224" s="9"/>
      <c r="R224" s="9"/>
      <c r="S224" s="9"/>
      <c r="T224" s="38"/>
      <c r="U224" s="38"/>
      <c r="V224" s="38"/>
      <c r="W224" s="38"/>
      <c r="X224" s="38"/>
      <c r="Y224" s="9"/>
      <c r="Z224" s="39"/>
      <c r="AA224" s="9"/>
      <c r="AB224" s="9"/>
      <c r="AC224" s="9"/>
      <c r="AD224" s="9"/>
      <c r="AE224" s="9"/>
      <c r="AF224" s="9"/>
      <c r="AG224" s="9"/>
      <c r="AH224" s="38"/>
      <c r="AI224" s="9"/>
      <c r="AJ224" s="39"/>
      <c r="AK224" s="9"/>
      <c r="AL224" s="9"/>
      <c r="AM224" s="9"/>
      <c r="AN224" s="9"/>
      <c r="AO224" s="9"/>
      <c r="AP224" s="9"/>
      <c r="AQ224" s="9"/>
      <c r="AR224" s="10" t="str">
        <f aca="false">IF(A224="","",SG_Criteria!$B$6&amp;SG_Criteria!$B$9&amp;"\"&amp;A224&amp;"\")</f>
        <v/>
      </c>
      <c r="AS224" s="10" t="str">
        <f aca="false">IF(A224="","",A224&amp;"_CAD.dwg")</f>
        <v/>
      </c>
      <c r="AT224" s="10" t="str">
        <f aca="false">IF(A224="","",A224&amp;"_DWG.pdf")</f>
        <v/>
      </c>
      <c r="AU224" s="10" t="str">
        <f aca="false">IF(A224="","",IF(AQ224="Y",A224&amp;"_STAAD.std","n/a"))</f>
        <v/>
      </c>
      <c r="AV224" s="10" t="str">
        <f aca="false">IF(A224="","",A224&amp;"_CALC.xlsx")</f>
        <v/>
      </c>
      <c r="AW224" s="10" t="str">
        <f aca="false">IF(A224="","",A224&amp;"_CALC.pdf")</f>
        <v/>
      </c>
      <c r="AX224" s="9"/>
      <c r="AY224" s="9"/>
      <c r="AZ224" s="39"/>
      <c r="BA224" s="39"/>
      <c r="BB224" s="39"/>
      <c r="BC224" s="39"/>
      <c r="BD224" s="39"/>
      <c r="BE224" s="12" t="str">
        <f aca="false">IF(A224="","",IF(COUNTIF(Rebar_Schedule!$A$5:$A$2004,A224)=0,"",ROUND(SUMIF(Rebar_Schedule!$A$5:$A$2004,A224,Rebar_Schedule!$K$5:$K$2004),1)))</f>
        <v/>
      </c>
      <c r="BF224" s="33" t="str">
        <f aca="false">IF(A224="","",IF(BE224="","No rebar schedule yet",IF(ABS(BE224-N(BA224))/MAX(N(BA224),1)&gt;SG_Criteria!$B$55,"NOTE: register rebar differs from schedule by "&amp;TEXT(ABS(BE224-N(BA224))/MAX(N(BA224),1),"0%"),"OK")))</f>
        <v/>
      </c>
      <c r="BG224" s="33" t="str">
        <f aca="false">IF(OR(D224="",F224=""),"",IF(F224&lt;=IF(D224="Soldier Pile &amp; Timber Lagging",SG_Criteria!$B$34,SG_Criteria!$B$33),"No ERSS submission",IF(F224&lt;=SG_Criteria!$B$35,"QP(ST)",IF(F224&lt;=SG_Criteria!$B$36,"QP(ST) + AC","Geotechnical building works: QP(Geo) + AC"))))</f>
        <v/>
      </c>
      <c r="BH224" s="33" t="str">
        <f aca="false">IF(D224="","",IF(LEN(IF(AND(AC224&lt;&gt;"",IFERROR(VALUE(MID(AC224,2,2)),0)&lt;SG_Criteria!$B$19),"FAIL: grade below C"&amp;SG_Criteria!$B$19&amp;". ","")&amp;IF(AND(LEFT(D224,3)="Con",N(I224)&lt;F224,H224="Kallang Formation (marine clay)"),"NOTE: CBP is not watertight below GWT in marine clay; consider secant / grouting. ","")&amp;IF(AND(D224="Steel Sheet Pile",E224="Permanent"),"NOTE: permanent sheet pile needs corrosion allowance. ","")&amp;IF(AND(G224="Cantilever (no support)",F224&gt;6),"NOTE: cantilever embedded wall &gt; 6 m, check deflection. ","")&amp;IF(AND(T224&lt;&gt;"",U224&lt;&gt;"",T224&gt;U224),"FAIL: deflection exceeds allowable. ",""))=0,"OK",IF(AND(AC224&lt;&gt;"",IFERROR(VALUE(MID(AC224,2,2)),0)&lt;SG_Criteria!$B$19),"FAIL: grade below C"&amp;SG_Criteria!$B$19&amp;". ","")&amp;IF(AND(LEFT(D224,3)="Con",N(I224)&lt;F224,H224="Kallang Formation (marine clay)"),"NOTE: CBP is not watertight below GWT in marine clay; consider secant / grouting. ","")&amp;IF(AND(D224="Steel Sheet Pile",E224="Permanent"),"NOTE: permanent sheet pile needs corrosion allowance. ","")&amp;IF(AND(G224="Cantilever (no support)",F224&gt;6),"NOTE: cantilever embedded wall &gt; 6 m, check deflection. ","")&amp;IF(AND(T224&lt;&gt;"",U224&lt;&gt;"",T224&gt;U224),"FAIL: deflection exceeds allowable. ","")))</f>
        <v/>
      </c>
      <c r="BI224" s="9"/>
      <c r="BJ224" s="9"/>
      <c r="BK224" s="9"/>
      <c r="BL224" s="10" t="str">
        <f aca="false">IF(BK224="","",IFERROR(VLOOKUP(BK224,Projects!$A$5:$D$504,2,0),"Ref not in Projects"))</f>
        <v/>
      </c>
      <c r="BM224" s="10" t="str">
        <f aca="false">IF(BK224="","",IFERROR(VLOOKUP(BK224,Projects!$A$5:$D$504,4,0),"Ref not in Projects"))</f>
        <v/>
      </c>
      <c r="BN224" s="9"/>
      <c r="BO224" s="9"/>
      <c r="BP224" s="9"/>
      <c r="BQ224" s="40"/>
      <c r="BR224" s="9"/>
      <c r="BS224" s="40"/>
      <c r="BT224" s="9"/>
      <c r="BU224" s="40"/>
      <c r="BV224" s="9"/>
      <c r="BW224" s="9"/>
      <c r="BX224" s="9"/>
      <c r="BY224" s="40"/>
      <c r="BZ224" s="40"/>
      <c r="CA224" s="36" t="str">
        <f aca="false">IF(BZ224="","",EDATE(BZ224,SG_Criteria!$B$54*12))</f>
        <v/>
      </c>
      <c r="CB224" s="33" t="str">
        <f aca="true">IF(A224="","",IF(BZ224="","NOTE: not reviewed yet",IF(TODAY()&gt;CA224,"NOTE: review overdue","OK")))</f>
        <v/>
      </c>
      <c r="CC224" s="37" t="str">
        <f aca="false">IF(A224="","",ROUND((IF(LEN(D224)&gt;0,1,0)+IF(LEN(E224)&gt;0,1,0)+IF(LEN(F224)&gt;0,1,0)+IF(LEN(G224)&gt;0,1,0)+IF(LEN(H224)&gt;0,1,0)+IF(LEN(I224)&gt;0,1,0)+IF(LEN(K224)&gt;0,1,0)+IF(LEN(N224)&gt;0,1,0)+IF(LEN(O224)&gt;0,1,0)+IF(LEN(T224)&gt;0,1,0)+IF(LEN(U224)&gt;0,1,0)+IF(LEN(V224)&gt;0,1,0)+IF(LEN(AK224)&gt;0,1,0)+IF(LEN(AM224)&gt;0,1,0)+IF(LEN(AN224)&gt;0,1,0)+IF(LEN(AO224)&gt;0,1,0)+IF(LEN(AP224)&gt;0,1,0)+IF(LEN(AY224)&gt;0,1,0)+IF(LEN(BK224)&gt;0,1,0)+IF(LEN(BX224)&gt;0,1,0))/20,2))</f>
        <v/>
      </c>
      <c r="CD224" s="10" t="str">
        <f aca="false">IF(D224="","",IF(AND(AN224="Approved",ISERROR(SEARCH("FAIL",BH224))),"Y","N"))</f>
        <v/>
      </c>
      <c r="CE224" s="10" t="str">
        <f aca="false">IF(D224="","",D224&amp;"|"&amp;F224&amp;"|"&amp;G224&amp;"|"&amp;H224&amp;"|"&amp;E224&amp;"|"&amp;CD224)</f>
        <v/>
      </c>
    </row>
    <row r="225" customFormat="false" ht="15" hidden="false" customHeight="false" outlineLevel="0" collapsed="false">
      <c r="A225" s="10" t="str">
        <f aca="false">IF(D225="","","EW-"&amp;IFERROR(VLOOKUP(D225,Lists!$P$4:$Q$22,2,0),"??")&amp;"-D"&amp;TEXT(F225*1000,"0000")&amp;"-"&amp;IFERROR(VLOOKUP(G225,Lists!$S$4:$T$21,2,0),"??")&amp;"-"&amp;IFERROR(VLOOKUP(H225,Lists!$Y$4:$Z$21,2,0),"??")&amp;"-"&amp;IFERROR(VLOOKUP(E225,Lists!$V$4:$W$16,2,0),"??")&amp;"-"&amp;AM225)</f>
        <v/>
      </c>
      <c r="B225" s="10" t="str">
        <f aca="false">IF(D225="","",E225&amp;" "&amp;D225&amp;", excavation "&amp;TEXT(F225,"0.0")&amp;" m, "&amp;G225&amp;", "&amp;H225&amp;", "&amp;K225)</f>
        <v/>
      </c>
      <c r="C225" s="9"/>
      <c r="D225" s="9"/>
      <c r="E225" s="9"/>
      <c r="F225" s="42"/>
      <c r="G225" s="9"/>
      <c r="H225" s="9"/>
      <c r="I225" s="42"/>
      <c r="J225" s="38"/>
      <c r="K225" s="9"/>
      <c r="L225" s="9"/>
      <c r="M225" s="9"/>
      <c r="N225" s="42"/>
      <c r="O225" s="42"/>
      <c r="P225" s="9"/>
      <c r="Q225" s="9"/>
      <c r="R225" s="9"/>
      <c r="S225" s="9"/>
      <c r="T225" s="38"/>
      <c r="U225" s="38"/>
      <c r="V225" s="38"/>
      <c r="W225" s="38"/>
      <c r="X225" s="38"/>
      <c r="Y225" s="9"/>
      <c r="Z225" s="39"/>
      <c r="AA225" s="9"/>
      <c r="AB225" s="9"/>
      <c r="AC225" s="9"/>
      <c r="AD225" s="9"/>
      <c r="AE225" s="9"/>
      <c r="AF225" s="9"/>
      <c r="AG225" s="9"/>
      <c r="AH225" s="38"/>
      <c r="AI225" s="9"/>
      <c r="AJ225" s="39"/>
      <c r="AK225" s="9"/>
      <c r="AL225" s="9"/>
      <c r="AM225" s="9"/>
      <c r="AN225" s="9"/>
      <c r="AO225" s="9"/>
      <c r="AP225" s="9"/>
      <c r="AQ225" s="9"/>
      <c r="AR225" s="10" t="str">
        <f aca="false">IF(A225="","",SG_Criteria!$B$6&amp;SG_Criteria!$B$9&amp;"\"&amp;A225&amp;"\")</f>
        <v/>
      </c>
      <c r="AS225" s="10" t="str">
        <f aca="false">IF(A225="","",A225&amp;"_CAD.dwg")</f>
        <v/>
      </c>
      <c r="AT225" s="10" t="str">
        <f aca="false">IF(A225="","",A225&amp;"_DWG.pdf")</f>
        <v/>
      </c>
      <c r="AU225" s="10" t="str">
        <f aca="false">IF(A225="","",IF(AQ225="Y",A225&amp;"_STAAD.std","n/a"))</f>
        <v/>
      </c>
      <c r="AV225" s="10" t="str">
        <f aca="false">IF(A225="","",A225&amp;"_CALC.xlsx")</f>
        <v/>
      </c>
      <c r="AW225" s="10" t="str">
        <f aca="false">IF(A225="","",A225&amp;"_CALC.pdf")</f>
        <v/>
      </c>
      <c r="AX225" s="9"/>
      <c r="AY225" s="9"/>
      <c r="AZ225" s="39"/>
      <c r="BA225" s="39"/>
      <c r="BB225" s="39"/>
      <c r="BC225" s="39"/>
      <c r="BD225" s="39"/>
      <c r="BE225" s="12" t="str">
        <f aca="false">IF(A225="","",IF(COUNTIF(Rebar_Schedule!$A$5:$A$2004,A225)=0,"",ROUND(SUMIF(Rebar_Schedule!$A$5:$A$2004,A225,Rebar_Schedule!$K$5:$K$2004),1)))</f>
        <v/>
      </c>
      <c r="BF225" s="33" t="str">
        <f aca="false">IF(A225="","",IF(BE225="","No rebar schedule yet",IF(ABS(BE225-N(BA225))/MAX(N(BA225),1)&gt;SG_Criteria!$B$55,"NOTE: register rebar differs from schedule by "&amp;TEXT(ABS(BE225-N(BA225))/MAX(N(BA225),1),"0%"),"OK")))</f>
        <v/>
      </c>
      <c r="BG225" s="33" t="str">
        <f aca="false">IF(OR(D225="",F225=""),"",IF(F225&lt;=IF(D225="Soldier Pile &amp; Timber Lagging",SG_Criteria!$B$34,SG_Criteria!$B$33),"No ERSS submission",IF(F225&lt;=SG_Criteria!$B$35,"QP(ST)",IF(F225&lt;=SG_Criteria!$B$36,"QP(ST) + AC","Geotechnical building works: QP(Geo) + AC"))))</f>
        <v/>
      </c>
      <c r="BH225" s="33" t="str">
        <f aca="false">IF(D225="","",IF(LEN(IF(AND(AC225&lt;&gt;"",IFERROR(VALUE(MID(AC225,2,2)),0)&lt;SG_Criteria!$B$19),"FAIL: grade below C"&amp;SG_Criteria!$B$19&amp;". ","")&amp;IF(AND(LEFT(D225,3)="Con",N(I225)&lt;F225,H225="Kallang Formation (marine clay)"),"NOTE: CBP is not watertight below GWT in marine clay; consider secant / grouting. ","")&amp;IF(AND(D225="Steel Sheet Pile",E225="Permanent"),"NOTE: permanent sheet pile needs corrosion allowance. ","")&amp;IF(AND(G225="Cantilever (no support)",F225&gt;6),"NOTE: cantilever embedded wall &gt; 6 m, check deflection. ","")&amp;IF(AND(T225&lt;&gt;"",U225&lt;&gt;"",T225&gt;U225),"FAIL: deflection exceeds allowable. ",""))=0,"OK",IF(AND(AC225&lt;&gt;"",IFERROR(VALUE(MID(AC225,2,2)),0)&lt;SG_Criteria!$B$19),"FAIL: grade below C"&amp;SG_Criteria!$B$19&amp;". ","")&amp;IF(AND(LEFT(D225,3)="Con",N(I225)&lt;F225,H225="Kallang Formation (marine clay)"),"NOTE: CBP is not watertight below GWT in marine clay; consider secant / grouting. ","")&amp;IF(AND(D225="Steel Sheet Pile",E225="Permanent"),"NOTE: permanent sheet pile needs corrosion allowance. ","")&amp;IF(AND(G225="Cantilever (no support)",F225&gt;6),"NOTE: cantilever embedded wall &gt; 6 m, check deflection. ","")&amp;IF(AND(T225&lt;&gt;"",U225&lt;&gt;"",T225&gt;U225),"FAIL: deflection exceeds allowable. ","")))</f>
        <v/>
      </c>
      <c r="BI225" s="9"/>
      <c r="BJ225" s="9"/>
      <c r="BK225" s="9"/>
      <c r="BL225" s="10" t="str">
        <f aca="false">IF(BK225="","",IFERROR(VLOOKUP(BK225,Projects!$A$5:$D$504,2,0),"Ref not in Projects"))</f>
        <v/>
      </c>
      <c r="BM225" s="10" t="str">
        <f aca="false">IF(BK225="","",IFERROR(VLOOKUP(BK225,Projects!$A$5:$D$504,4,0),"Ref not in Projects"))</f>
        <v/>
      </c>
      <c r="BN225" s="9"/>
      <c r="BO225" s="9"/>
      <c r="BP225" s="9"/>
      <c r="BQ225" s="40"/>
      <c r="BR225" s="9"/>
      <c r="BS225" s="40"/>
      <c r="BT225" s="9"/>
      <c r="BU225" s="40"/>
      <c r="BV225" s="9"/>
      <c r="BW225" s="9"/>
      <c r="BX225" s="9"/>
      <c r="BY225" s="40"/>
      <c r="BZ225" s="40"/>
      <c r="CA225" s="36" t="str">
        <f aca="false">IF(BZ225="","",EDATE(BZ225,SG_Criteria!$B$54*12))</f>
        <v/>
      </c>
      <c r="CB225" s="33" t="str">
        <f aca="true">IF(A225="","",IF(BZ225="","NOTE: not reviewed yet",IF(TODAY()&gt;CA225,"NOTE: review overdue","OK")))</f>
        <v/>
      </c>
      <c r="CC225" s="37" t="str">
        <f aca="false">IF(A225="","",ROUND((IF(LEN(D225)&gt;0,1,0)+IF(LEN(E225)&gt;0,1,0)+IF(LEN(F225)&gt;0,1,0)+IF(LEN(G225)&gt;0,1,0)+IF(LEN(H225)&gt;0,1,0)+IF(LEN(I225)&gt;0,1,0)+IF(LEN(K225)&gt;0,1,0)+IF(LEN(N225)&gt;0,1,0)+IF(LEN(O225)&gt;0,1,0)+IF(LEN(T225)&gt;0,1,0)+IF(LEN(U225)&gt;0,1,0)+IF(LEN(V225)&gt;0,1,0)+IF(LEN(AK225)&gt;0,1,0)+IF(LEN(AM225)&gt;0,1,0)+IF(LEN(AN225)&gt;0,1,0)+IF(LEN(AO225)&gt;0,1,0)+IF(LEN(AP225)&gt;0,1,0)+IF(LEN(AY225)&gt;0,1,0)+IF(LEN(BK225)&gt;0,1,0)+IF(LEN(BX225)&gt;0,1,0))/20,2))</f>
        <v/>
      </c>
      <c r="CD225" s="10" t="str">
        <f aca="false">IF(D225="","",IF(AND(AN225="Approved",ISERROR(SEARCH("FAIL",BH225))),"Y","N"))</f>
        <v/>
      </c>
      <c r="CE225" s="10" t="str">
        <f aca="false">IF(D225="","",D225&amp;"|"&amp;F225&amp;"|"&amp;G225&amp;"|"&amp;H225&amp;"|"&amp;E225&amp;"|"&amp;CD225)</f>
        <v/>
      </c>
    </row>
    <row r="226" customFormat="false" ht="15" hidden="false" customHeight="false" outlineLevel="0" collapsed="false">
      <c r="A226" s="10" t="str">
        <f aca="false">IF(D226="","","EW-"&amp;IFERROR(VLOOKUP(D226,Lists!$P$4:$Q$22,2,0),"??")&amp;"-D"&amp;TEXT(F226*1000,"0000")&amp;"-"&amp;IFERROR(VLOOKUP(G226,Lists!$S$4:$T$21,2,0),"??")&amp;"-"&amp;IFERROR(VLOOKUP(H226,Lists!$Y$4:$Z$21,2,0),"??")&amp;"-"&amp;IFERROR(VLOOKUP(E226,Lists!$V$4:$W$16,2,0),"??")&amp;"-"&amp;AM226)</f>
        <v/>
      </c>
      <c r="B226" s="10" t="str">
        <f aca="false">IF(D226="","",E226&amp;" "&amp;D226&amp;", excavation "&amp;TEXT(F226,"0.0")&amp;" m, "&amp;G226&amp;", "&amp;H226&amp;", "&amp;K226)</f>
        <v/>
      </c>
      <c r="C226" s="9"/>
      <c r="D226" s="9"/>
      <c r="E226" s="9"/>
      <c r="F226" s="42"/>
      <c r="G226" s="9"/>
      <c r="H226" s="9"/>
      <c r="I226" s="42"/>
      <c r="J226" s="38"/>
      <c r="K226" s="9"/>
      <c r="L226" s="9"/>
      <c r="M226" s="9"/>
      <c r="N226" s="42"/>
      <c r="O226" s="42"/>
      <c r="P226" s="9"/>
      <c r="Q226" s="9"/>
      <c r="R226" s="9"/>
      <c r="S226" s="9"/>
      <c r="T226" s="38"/>
      <c r="U226" s="38"/>
      <c r="V226" s="38"/>
      <c r="W226" s="38"/>
      <c r="X226" s="38"/>
      <c r="Y226" s="9"/>
      <c r="Z226" s="39"/>
      <c r="AA226" s="9"/>
      <c r="AB226" s="9"/>
      <c r="AC226" s="9"/>
      <c r="AD226" s="9"/>
      <c r="AE226" s="9"/>
      <c r="AF226" s="9"/>
      <c r="AG226" s="9"/>
      <c r="AH226" s="38"/>
      <c r="AI226" s="9"/>
      <c r="AJ226" s="39"/>
      <c r="AK226" s="9"/>
      <c r="AL226" s="9"/>
      <c r="AM226" s="9"/>
      <c r="AN226" s="9"/>
      <c r="AO226" s="9"/>
      <c r="AP226" s="9"/>
      <c r="AQ226" s="9"/>
      <c r="AR226" s="10" t="str">
        <f aca="false">IF(A226="","",SG_Criteria!$B$6&amp;SG_Criteria!$B$9&amp;"\"&amp;A226&amp;"\")</f>
        <v/>
      </c>
      <c r="AS226" s="10" t="str">
        <f aca="false">IF(A226="","",A226&amp;"_CAD.dwg")</f>
        <v/>
      </c>
      <c r="AT226" s="10" t="str">
        <f aca="false">IF(A226="","",A226&amp;"_DWG.pdf")</f>
        <v/>
      </c>
      <c r="AU226" s="10" t="str">
        <f aca="false">IF(A226="","",IF(AQ226="Y",A226&amp;"_STAAD.std","n/a"))</f>
        <v/>
      </c>
      <c r="AV226" s="10" t="str">
        <f aca="false">IF(A226="","",A226&amp;"_CALC.xlsx")</f>
        <v/>
      </c>
      <c r="AW226" s="10" t="str">
        <f aca="false">IF(A226="","",A226&amp;"_CALC.pdf")</f>
        <v/>
      </c>
      <c r="AX226" s="9"/>
      <c r="AY226" s="9"/>
      <c r="AZ226" s="39"/>
      <c r="BA226" s="39"/>
      <c r="BB226" s="39"/>
      <c r="BC226" s="39"/>
      <c r="BD226" s="39"/>
      <c r="BE226" s="12" t="str">
        <f aca="false">IF(A226="","",IF(COUNTIF(Rebar_Schedule!$A$5:$A$2004,A226)=0,"",ROUND(SUMIF(Rebar_Schedule!$A$5:$A$2004,A226,Rebar_Schedule!$K$5:$K$2004),1)))</f>
        <v/>
      </c>
      <c r="BF226" s="33" t="str">
        <f aca="false">IF(A226="","",IF(BE226="","No rebar schedule yet",IF(ABS(BE226-N(BA226))/MAX(N(BA226),1)&gt;SG_Criteria!$B$55,"NOTE: register rebar differs from schedule by "&amp;TEXT(ABS(BE226-N(BA226))/MAX(N(BA226),1),"0%"),"OK")))</f>
        <v/>
      </c>
      <c r="BG226" s="33" t="str">
        <f aca="false">IF(OR(D226="",F226=""),"",IF(F226&lt;=IF(D226="Soldier Pile &amp; Timber Lagging",SG_Criteria!$B$34,SG_Criteria!$B$33),"No ERSS submission",IF(F226&lt;=SG_Criteria!$B$35,"QP(ST)",IF(F226&lt;=SG_Criteria!$B$36,"QP(ST) + AC","Geotechnical building works: QP(Geo) + AC"))))</f>
        <v/>
      </c>
      <c r="BH226" s="33" t="str">
        <f aca="false">IF(D226="","",IF(LEN(IF(AND(AC226&lt;&gt;"",IFERROR(VALUE(MID(AC226,2,2)),0)&lt;SG_Criteria!$B$19),"FAIL: grade below C"&amp;SG_Criteria!$B$19&amp;". ","")&amp;IF(AND(LEFT(D226,3)="Con",N(I226)&lt;F226,H226="Kallang Formation (marine clay)"),"NOTE: CBP is not watertight below GWT in marine clay; consider secant / grouting. ","")&amp;IF(AND(D226="Steel Sheet Pile",E226="Permanent"),"NOTE: permanent sheet pile needs corrosion allowance. ","")&amp;IF(AND(G226="Cantilever (no support)",F226&gt;6),"NOTE: cantilever embedded wall &gt; 6 m, check deflection. ","")&amp;IF(AND(T226&lt;&gt;"",U226&lt;&gt;"",T226&gt;U226),"FAIL: deflection exceeds allowable. ",""))=0,"OK",IF(AND(AC226&lt;&gt;"",IFERROR(VALUE(MID(AC226,2,2)),0)&lt;SG_Criteria!$B$19),"FAIL: grade below C"&amp;SG_Criteria!$B$19&amp;". ","")&amp;IF(AND(LEFT(D226,3)="Con",N(I226)&lt;F226,H226="Kallang Formation (marine clay)"),"NOTE: CBP is not watertight below GWT in marine clay; consider secant / grouting. ","")&amp;IF(AND(D226="Steel Sheet Pile",E226="Permanent"),"NOTE: permanent sheet pile needs corrosion allowance. ","")&amp;IF(AND(G226="Cantilever (no support)",F226&gt;6),"NOTE: cantilever embedded wall &gt; 6 m, check deflection. ","")&amp;IF(AND(T226&lt;&gt;"",U226&lt;&gt;"",T226&gt;U226),"FAIL: deflection exceeds allowable. ","")))</f>
        <v/>
      </c>
      <c r="BI226" s="9"/>
      <c r="BJ226" s="9"/>
      <c r="BK226" s="9"/>
      <c r="BL226" s="10" t="str">
        <f aca="false">IF(BK226="","",IFERROR(VLOOKUP(BK226,Projects!$A$5:$D$504,2,0),"Ref not in Projects"))</f>
        <v/>
      </c>
      <c r="BM226" s="10" t="str">
        <f aca="false">IF(BK226="","",IFERROR(VLOOKUP(BK226,Projects!$A$5:$D$504,4,0),"Ref not in Projects"))</f>
        <v/>
      </c>
      <c r="BN226" s="9"/>
      <c r="BO226" s="9"/>
      <c r="BP226" s="9"/>
      <c r="BQ226" s="40"/>
      <c r="BR226" s="9"/>
      <c r="BS226" s="40"/>
      <c r="BT226" s="9"/>
      <c r="BU226" s="40"/>
      <c r="BV226" s="9"/>
      <c r="BW226" s="9"/>
      <c r="BX226" s="9"/>
      <c r="BY226" s="40"/>
      <c r="BZ226" s="40"/>
      <c r="CA226" s="36" t="str">
        <f aca="false">IF(BZ226="","",EDATE(BZ226,SG_Criteria!$B$54*12))</f>
        <v/>
      </c>
      <c r="CB226" s="33" t="str">
        <f aca="true">IF(A226="","",IF(BZ226="","NOTE: not reviewed yet",IF(TODAY()&gt;CA226,"NOTE: review overdue","OK")))</f>
        <v/>
      </c>
      <c r="CC226" s="37" t="str">
        <f aca="false">IF(A226="","",ROUND((IF(LEN(D226)&gt;0,1,0)+IF(LEN(E226)&gt;0,1,0)+IF(LEN(F226)&gt;0,1,0)+IF(LEN(G226)&gt;0,1,0)+IF(LEN(H226)&gt;0,1,0)+IF(LEN(I226)&gt;0,1,0)+IF(LEN(K226)&gt;0,1,0)+IF(LEN(N226)&gt;0,1,0)+IF(LEN(O226)&gt;0,1,0)+IF(LEN(T226)&gt;0,1,0)+IF(LEN(U226)&gt;0,1,0)+IF(LEN(V226)&gt;0,1,0)+IF(LEN(AK226)&gt;0,1,0)+IF(LEN(AM226)&gt;0,1,0)+IF(LEN(AN226)&gt;0,1,0)+IF(LEN(AO226)&gt;0,1,0)+IF(LEN(AP226)&gt;0,1,0)+IF(LEN(AY226)&gt;0,1,0)+IF(LEN(BK226)&gt;0,1,0)+IF(LEN(BX226)&gt;0,1,0))/20,2))</f>
        <v/>
      </c>
      <c r="CD226" s="10" t="str">
        <f aca="false">IF(D226="","",IF(AND(AN226="Approved",ISERROR(SEARCH("FAIL",BH226))),"Y","N"))</f>
        <v/>
      </c>
      <c r="CE226" s="10" t="str">
        <f aca="false">IF(D226="","",D226&amp;"|"&amp;F226&amp;"|"&amp;G226&amp;"|"&amp;H226&amp;"|"&amp;E226&amp;"|"&amp;CD226)</f>
        <v/>
      </c>
    </row>
    <row r="227" customFormat="false" ht="15" hidden="false" customHeight="false" outlineLevel="0" collapsed="false">
      <c r="A227" s="10" t="str">
        <f aca="false">IF(D227="","","EW-"&amp;IFERROR(VLOOKUP(D227,Lists!$P$4:$Q$22,2,0),"??")&amp;"-D"&amp;TEXT(F227*1000,"0000")&amp;"-"&amp;IFERROR(VLOOKUP(G227,Lists!$S$4:$T$21,2,0),"??")&amp;"-"&amp;IFERROR(VLOOKUP(H227,Lists!$Y$4:$Z$21,2,0),"??")&amp;"-"&amp;IFERROR(VLOOKUP(E227,Lists!$V$4:$W$16,2,0),"??")&amp;"-"&amp;AM227)</f>
        <v/>
      </c>
      <c r="B227" s="10" t="str">
        <f aca="false">IF(D227="","",E227&amp;" "&amp;D227&amp;", excavation "&amp;TEXT(F227,"0.0")&amp;" m, "&amp;G227&amp;", "&amp;H227&amp;", "&amp;K227)</f>
        <v/>
      </c>
      <c r="C227" s="9"/>
      <c r="D227" s="9"/>
      <c r="E227" s="9"/>
      <c r="F227" s="42"/>
      <c r="G227" s="9"/>
      <c r="H227" s="9"/>
      <c r="I227" s="42"/>
      <c r="J227" s="38"/>
      <c r="K227" s="9"/>
      <c r="L227" s="9"/>
      <c r="M227" s="9"/>
      <c r="N227" s="42"/>
      <c r="O227" s="42"/>
      <c r="P227" s="9"/>
      <c r="Q227" s="9"/>
      <c r="R227" s="9"/>
      <c r="S227" s="9"/>
      <c r="T227" s="38"/>
      <c r="U227" s="38"/>
      <c r="V227" s="38"/>
      <c r="W227" s="38"/>
      <c r="X227" s="38"/>
      <c r="Y227" s="9"/>
      <c r="Z227" s="39"/>
      <c r="AA227" s="9"/>
      <c r="AB227" s="9"/>
      <c r="AC227" s="9"/>
      <c r="AD227" s="9"/>
      <c r="AE227" s="9"/>
      <c r="AF227" s="9"/>
      <c r="AG227" s="9"/>
      <c r="AH227" s="38"/>
      <c r="AI227" s="9"/>
      <c r="AJ227" s="39"/>
      <c r="AK227" s="9"/>
      <c r="AL227" s="9"/>
      <c r="AM227" s="9"/>
      <c r="AN227" s="9"/>
      <c r="AO227" s="9"/>
      <c r="AP227" s="9"/>
      <c r="AQ227" s="9"/>
      <c r="AR227" s="10" t="str">
        <f aca="false">IF(A227="","",SG_Criteria!$B$6&amp;SG_Criteria!$B$9&amp;"\"&amp;A227&amp;"\")</f>
        <v/>
      </c>
      <c r="AS227" s="10" t="str">
        <f aca="false">IF(A227="","",A227&amp;"_CAD.dwg")</f>
        <v/>
      </c>
      <c r="AT227" s="10" t="str">
        <f aca="false">IF(A227="","",A227&amp;"_DWG.pdf")</f>
        <v/>
      </c>
      <c r="AU227" s="10" t="str">
        <f aca="false">IF(A227="","",IF(AQ227="Y",A227&amp;"_STAAD.std","n/a"))</f>
        <v/>
      </c>
      <c r="AV227" s="10" t="str">
        <f aca="false">IF(A227="","",A227&amp;"_CALC.xlsx")</f>
        <v/>
      </c>
      <c r="AW227" s="10" t="str">
        <f aca="false">IF(A227="","",A227&amp;"_CALC.pdf")</f>
        <v/>
      </c>
      <c r="AX227" s="9"/>
      <c r="AY227" s="9"/>
      <c r="AZ227" s="39"/>
      <c r="BA227" s="39"/>
      <c r="BB227" s="39"/>
      <c r="BC227" s="39"/>
      <c r="BD227" s="39"/>
      <c r="BE227" s="12" t="str">
        <f aca="false">IF(A227="","",IF(COUNTIF(Rebar_Schedule!$A$5:$A$2004,A227)=0,"",ROUND(SUMIF(Rebar_Schedule!$A$5:$A$2004,A227,Rebar_Schedule!$K$5:$K$2004),1)))</f>
        <v/>
      </c>
      <c r="BF227" s="33" t="str">
        <f aca="false">IF(A227="","",IF(BE227="","No rebar schedule yet",IF(ABS(BE227-N(BA227))/MAX(N(BA227),1)&gt;SG_Criteria!$B$55,"NOTE: register rebar differs from schedule by "&amp;TEXT(ABS(BE227-N(BA227))/MAX(N(BA227),1),"0%"),"OK")))</f>
        <v/>
      </c>
      <c r="BG227" s="33" t="str">
        <f aca="false">IF(OR(D227="",F227=""),"",IF(F227&lt;=IF(D227="Soldier Pile &amp; Timber Lagging",SG_Criteria!$B$34,SG_Criteria!$B$33),"No ERSS submission",IF(F227&lt;=SG_Criteria!$B$35,"QP(ST)",IF(F227&lt;=SG_Criteria!$B$36,"QP(ST) + AC","Geotechnical building works: QP(Geo) + AC"))))</f>
        <v/>
      </c>
      <c r="BH227" s="33" t="str">
        <f aca="false">IF(D227="","",IF(LEN(IF(AND(AC227&lt;&gt;"",IFERROR(VALUE(MID(AC227,2,2)),0)&lt;SG_Criteria!$B$19),"FAIL: grade below C"&amp;SG_Criteria!$B$19&amp;". ","")&amp;IF(AND(LEFT(D227,3)="Con",N(I227)&lt;F227,H227="Kallang Formation (marine clay)"),"NOTE: CBP is not watertight below GWT in marine clay; consider secant / grouting. ","")&amp;IF(AND(D227="Steel Sheet Pile",E227="Permanent"),"NOTE: permanent sheet pile needs corrosion allowance. ","")&amp;IF(AND(G227="Cantilever (no support)",F227&gt;6),"NOTE: cantilever embedded wall &gt; 6 m, check deflection. ","")&amp;IF(AND(T227&lt;&gt;"",U227&lt;&gt;"",T227&gt;U227),"FAIL: deflection exceeds allowable. ",""))=0,"OK",IF(AND(AC227&lt;&gt;"",IFERROR(VALUE(MID(AC227,2,2)),0)&lt;SG_Criteria!$B$19),"FAIL: grade below C"&amp;SG_Criteria!$B$19&amp;". ","")&amp;IF(AND(LEFT(D227,3)="Con",N(I227)&lt;F227,H227="Kallang Formation (marine clay)"),"NOTE: CBP is not watertight below GWT in marine clay; consider secant / grouting. ","")&amp;IF(AND(D227="Steel Sheet Pile",E227="Permanent"),"NOTE: permanent sheet pile needs corrosion allowance. ","")&amp;IF(AND(G227="Cantilever (no support)",F227&gt;6),"NOTE: cantilever embedded wall &gt; 6 m, check deflection. ","")&amp;IF(AND(T227&lt;&gt;"",U227&lt;&gt;"",T227&gt;U227),"FAIL: deflection exceeds allowable. ","")))</f>
        <v/>
      </c>
      <c r="BI227" s="9"/>
      <c r="BJ227" s="9"/>
      <c r="BK227" s="9"/>
      <c r="BL227" s="10" t="str">
        <f aca="false">IF(BK227="","",IFERROR(VLOOKUP(BK227,Projects!$A$5:$D$504,2,0),"Ref not in Projects"))</f>
        <v/>
      </c>
      <c r="BM227" s="10" t="str">
        <f aca="false">IF(BK227="","",IFERROR(VLOOKUP(BK227,Projects!$A$5:$D$504,4,0),"Ref not in Projects"))</f>
        <v/>
      </c>
      <c r="BN227" s="9"/>
      <c r="BO227" s="9"/>
      <c r="BP227" s="9"/>
      <c r="BQ227" s="40"/>
      <c r="BR227" s="9"/>
      <c r="BS227" s="40"/>
      <c r="BT227" s="9"/>
      <c r="BU227" s="40"/>
      <c r="BV227" s="9"/>
      <c r="BW227" s="9"/>
      <c r="BX227" s="9"/>
      <c r="BY227" s="40"/>
      <c r="BZ227" s="40"/>
      <c r="CA227" s="36" t="str">
        <f aca="false">IF(BZ227="","",EDATE(BZ227,SG_Criteria!$B$54*12))</f>
        <v/>
      </c>
      <c r="CB227" s="33" t="str">
        <f aca="true">IF(A227="","",IF(BZ227="","NOTE: not reviewed yet",IF(TODAY()&gt;CA227,"NOTE: review overdue","OK")))</f>
        <v/>
      </c>
      <c r="CC227" s="37" t="str">
        <f aca="false">IF(A227="","",ROUND((IF(LEN(D227)&gt;0,1,0)+IF(LEN(E227)&gt;0,1,0)+IF(LEN(F227)&gt;0,1,0)+IF(LEN(G227)&gt;0,1,0)+IF(LEN(H227)&gt;0,1,0)+IF(LEN(I227)&gt;0,1,0)+IF(LEN(K227)&gt;0,1,0)+IF(LEN(N227)&gt;0,1,0)+IF(LEN(O227)&gt;0,1,0)+IF(LEN(T227)&gt;0,1,0)+IF(LEN(U227)&gt;0,1,0)+IF(LEN(V227)&gt;0,1,0)+IF(LEN(AK227)&gt;0,1,0)+IF(LEN(AM227)&gt;0,1,0)+IF(LEN(AN227)&gt;0,1,0)+IF(LEN(AO227)&gt;0,1,0)+IF(LEN(AP227)&gt;0,1,0)+IF(LEN(AY227)&gt;0,1,0)+IF(LEN(BK227)&gt;0,1,0)+IF(LEN(BX227)&gt;0,1,0))/20,2))</f>
        <v/>
      </c>
      <c r="CD227" s="10" t="str">
        <f aca="false">IF(D227="","",IF(AND(AN227="Approved",ISERROR(SEARCH("FAIL",BH227))),"Y","N"))</f>
        <v/>
      </c>
      <c r="CE227" s="10" t="str">
        <f aca="false">IF(D227="","",D227&amp;"|"&amp;F227&amp;"|"&amp;G227&amp;"|"&amp;H227&amp;"|"&amp;E227&amp;"|"&amp;CD227)</f>
        <v/>
      </c>
    </row>
    <row r="228" customFormat="false" ht="15" hidden="false" customHeight="false" outlineLevel="0" collapsed="false">
      <c r="A228" s="10" t="str">
        <f aca="false">IF(D228="","","EW-"&amp;IFERROR(VLOOKUP(D228,Lists!$P$4:$Q$22,2,0),"??")&amp;"-D"&amp;TEXT(F228*1000,"0000")&amp;"-"&amp;IFERROR(VLOOKUP(G228,Lists!$S$4:$T$21,2,0),"??")&amp;"-"&amp;IFERROR(VLOOKUP(H228,Lists!$Y$4:$Z$21,2,0),"??")&amp;"-"&amp;IFERROR(VLOOKUP(E228,Lists!$V$4:$W$16,2,0),"??")&amp;"-"&amp;AM228)</f>
        <v/>
      </c>
      <c r="B228" s="10" t="str">
        <f aca="false">IF(D228="","",E228&amp;" "&amp;D228&amp;", excavation "&amp;TEXT(F228,"0.0")&amp;" m, "&amp;G228&amp;", "&amp;H228&amp;", "&amp;K228)</f>
        <v/>
      </c>
      <c r="C228" s="9"/>
      <c r="D228" s="9"/>
      <c r="E228" s="9"/>
      <c r="F228" s="42"/>
      <c r="G228" s="9"/>
      <c r="H228" s="9"/>
      <c r="I228" s="42"/>
      <c r="J228" s="38"/>
      <c r="K228" s="9"/>
      <c r="L228" s="9"/>
      <c r="M228" s="9"/>
      <c r="N228" s="42"/>
      <c r="O228" s="42"/>
      <c r="P228" s="9"/>
      <c r="Q228" s="9"/>
      <c r="R228" s="9"/>
      <c r="S228" s="9"/>
      <c r="T228" s="38"/>
      <c r="U228" s="38"/>
      <c r="V228" s="38"/>
      <c r="W228" s="38"/>
      <c r="X228" s="38"/>
      <c r="Y228" s="9"/>
      <c r="Z228" s="39"/>
      <c r="AA228" s="9"/>
      <c r="AB228" s="9"/>
      <c r="AC228" s="9"/>
      <c r="AD228" s="9"/>
      <c r="AE228" s="9"/>
      <c r="AF228" s="9"/>
      <c r="AG228" s="9"/>
      <c r="AH228" s="38"/>
      <c r="AI228" s="9"/>
      <c r="AJ228" s="39"/>
      <c r="AK228" s="9"/>
      <c r="AL228" s="9"/>
      <c r="AM228" s="9"/>
      <c r="AN228" s="9"/>
      <c r="AO228" s="9"/>
      <c r="AP228" s="9"/>
      <c r="AQ228" s="9"/>
      <c r="AR228" s="10" t="str">
        <f aca="false">IF(A228="","",SG_Criteria!$B$6&amp;SG_Criteria!$B$9&amp;"\"&amp;A228&amp;"\")</f>
        <v/>
      </c>
      <c r="AS228" s="10" t="str">
        <f aca="false">IF(A228="","",A228&amp;"_CAD.dwg")</f>
        <v/>
      </c>
      <c r="AT228" s="10" t="str">
        <f aca="false">IF(A228="","",A228&amp;"_DWG.pdf")</f>
        <v/>
      </c>
      <c r="AU228" s="10" t="str">
        <f aca="false">IF(A228="","",IF(AQ228="Y",A228&amp;"_STAAD.std","n/a"))</f>
        <v/>
      </c>
      <c r="AV228" s="10" t="str">
        <f aca="false">IF(A228="","",A228&amp;"_CALC.xlsx")</f>
        <v/>
      </c>
      <c r="AW228" s="10" t="str">
        <f aca="false">IF(A228="","",A228&amp;"_CALC.pdf")</f>
        <v/>
      </c>
      <c r="AX228" s="9"/>
      <c r="AY228" s="9"/>
      <c r="AZ228" s="39"/>
      <c r="BA228" s="39"/>
      <c r="BB228" s="39"/>
      <c r="BC228" s="39"/>
      <c r="BD228" s="39"/>
      <c r="BE228" s="12" t="str">
        <f aca="false">IF(A228="","",IF(COUNTIF(Rebar_Schedule!$A$5:$A$2004,A228)=0,"",ROUND(SUMIF(Rebar_Schedule!$A$5:$A$2004,A228,Rebar_Schedule!$K$5:$K$2004),1)))</f>
        <v/>
      </c>
      <c r="BF228" s="33" t="str">
        <f aca="false">IF(A228="","",IF(BE228="","No rebar schedule yet",IF(ABS(BE228-N(BA228))/MAX(N(BA228),1)&gt;SG_Criteria!$B$55,"NOTE: register rebar differs from schedule by "&amp;TEXT(ABS(BE228-N(BA228))/MAX(N(BA228),1),"0%"),"OK")))</f>
        <v/>
      </c>
      <c r="BG228" s="33" t="str">
        <f aca="false">IF(OR(D228="",F228=""),"",IF(F228&lt;=IF(D228="Soldier Pile &amp; Timber Lagging",SG_Criteria!$B$34,SG_Criteria!$B$33),"No ERSS submission",IF(F228&lt;=SG_Criteria!$B$35,"QP(ST)",IF(F228&lt;=SG_Criteria!$B$36,"QP(ST) + AC","Geotechnical building works: QP(Geo) + AC"))))</f>
        <v/>
      </c>
      <c r="BH228" s="33" t="str">
        <f aca="false">IF(D228="","",IF(LEN(IF(AND(AC228&lt;&gt;"",IFERROR(VALUE(MID(AC228,2,2)),0)&lt;SG_Criteria!$B$19),"FAIL: grade below C"&amp;SG_Criteria!$B$19&amp;". ","")&amp;IF(AND(LEFT(D228,3)="Con",N(I228)&lt;F228,H228="Kallang Formation (marine clay)"),"NOTE: CBP is not watertight below GWT in marine clay; consider secant / grouting. ","")&amp;IF(AND(D228="Steel Sheet Pile",E228="Permanent"),"NOTE: permanent sheet pile needs corrosion allowance. ","")&amp;IF(AND(G228="Cantilever (no support)",F228&gt;6),"NOTE: cantilever embedded wall &gt; 6 m, check deflection. ","")&amp;IF(AND(T228&lt;&gt;"",U228&lt;&gt;"",T228&gt;U228),"FAIL: deflection exceeds allowable. ",""))=0,"OK",IF(AND(AC228&lt;&gt;"",IFERROR(VALUE(MID(AC228,2,2)),0)&lt;SG_Criteria!$B$19),"FAIL: grade below C"&amp;SG_Criteria!$B$19&amp;". ","")&amp;IF(AND(LEFT(D228,3)="Con",N(I228)&lt;F228,H228="Kallang Formation (marine clay)"),"NOTE: CBP is not watertight below GWT in marine clay; consider secant / grouting. ","")&amp;IF(AND(D228="Steel Sheet Pile",E228="Permanent"),"NOTE: permanent sheet pile needs corrosion allowance. ","")&amp;IF(AND(G228="Cantilever (no support)",F228&gt;6),"NOTE: cantilever embedded wall &gt; 6 m, check deflection. ","")&amp;IF(AND(T228&lt;&gt;"",U228&lt;&gt;"",T228&gt;U228),"FAIL: deflection exceeds allowable. ","")))</f>
        <v/>
      </c>
      <c r="BI228" s="9"/>
      <c r="BJ228" s="9"/>
      <c r="BK228" s="9"/>
      <c r="BL228" s="10" t="str">
        <f aca="false">IF(BK228="","",IFERROR(VLOOKUP(BK228,Projects!$A$5:$D$504,2,0),"Ref not in Projects"))</f>
        <v/>
      </c>
      <c r="BM228" s="10" t="str">
        <f aca="false">IF(BK228="","",IFERROR(VLOOKUP(BK228,Projects!$A$5:$D$504,4,0),"Ref not in Projects"))</f>
        <v/>
      </c>
      <c r="BN228" s="9"/>
      <c r="BO228" s="9"/>
      <c r="BP228" s="9"/>
      <c r="BQ228" s="40"/>
      <c r="BR228" s="9"/>
      <c r="BS228" s="40"/>
      <c r="BT228" s="9"/>
      <c r="BU228" s="40"/>
      <c r="BV228" s="9"/>
      <c r="BW228" s="9"/>
      <c r="BX228" s="9"/>
      <c r="BY228" s="40"/>
      <c r="BZ228" s="40"/>
      <c r="CA228" s="36" t="str">
        <f aca="false">IF(BZ228="","",EDATE(BZ228,SG_Criteria!$B$54*12))</f>
        <v/>
      </c>
      <c r="CB228" s="33" t="str">
        <f aca="true">IF(A228="","",IF(BZ228="","NOTE: not reviewed yet",IF(TODAY()&gt;CA228,"NOTE: review overdue","OK")))</f>
        <v/>
      </c>
      <c r="CC228" s="37" t="str">
        <f aca="false">IF(A228="","",ROUND((IF(LEN(D228)&gt;0,1,0)+IF(LEN(E228)&gt;0,1,0)+IF(LEN(F228)&gt;0,1,0)+IF(LEN(G228)&gt;0,1,0)+IF(LEN(H228)&gt;0,1,0)+IF(LEN(I228)&gt;0,1,0)+IF(LEN(K228)&gt;0,1,0)+IF(LEN(N228)&gt;0,1,0)+IF(LEN(O228)&gt;0,1,0)+IF(LEN(T228)&gt;0,1,0)+IF(LEN(U228)&gt;0,1,0)+IF(LEN(V228)&gt;0,1,0)+IF(LEN(AK228)&gt;0,1,0)+IF(LEN(AM228)&gt;0,1,0)+IF(LEN(AN228)&gt;0,1,0)+IF(LEN(AO228)&gt;0,1,0)+IF(LEN(AP228)&gt;0,1,0)+IF(LEN(AY228)&gt;0,1,0)+IF(LEN(BK228)&gt;0,1,0)+IF(LEN(BX228)&gt;0,1,0))/20,2))</f>
        <v/>
      </c>
      <c r="CD228" s="10" t="str">
        <f aca="false">IF(D228="","",IF(AND(AN228="Approved",ISERROR(SEARCH("FAIL",BH228))),"Y","N"))</f>
        <v/>
      </c>
      <c r="CE228" s="10" t="str">
        <f aca="false">IF(D228="","",D228&amp;"|"&amp;F228&amp;"|"&amp;G228&amp;"|"&amp;H228&amp;"|"&amp;E228&amp;"|"&amp;CD228)</f>
        <v/>
      </c>
    </row>
    <row r="229" customFormat="false" ht="15" hidden="false" customHeight="false" outlineLevel="0" collapsed="false">
      <c r="A229" s="10" t="str">
        <f aca="false">IF(D229="","","EW-"&amp;IFERROR(VLOOKUP(D229,Lists!$P$4:$Q$22,2,0),"??")&amp;"-D"&amp;TEXT(F229*1000,"0000")&amp;"-"&amp;IFERROR(VLOOKUP(G229,Lists!$S$4:$T$21,2,0),"??")&amp;"-"&amp;IFERROR(VLOOKUP(H229,Lists!$Y$4:$Z$21,2,0),"??")&amp;"-"&amp;IFERROR(VLOOKUP(E229,Lists!$V$4:$W$16,2,0),"??")&amp;"-"&amp;AM229)</f>
        <v/>
      </c>
      <c r="B229" s="10" t="str">
        <f aca="false">IF(D229="","",E229&amp;" "&amp;D229&amp;", excavation "&amp;TEXT(F229,"0.0")&amp;" m, "&amp;G229&amp;", "&amp;H229&amp;", "&amp;K229)</f>
        <v/>
      </c>
      <c r="C229" s="9"/>
      <c r="D229" s="9"/>
      <c r="E229" s="9"/>
      <c r="F229" s="42"/>
      <c r="G229" s="9"/>
      <c r="H229" s="9"/>
      <c r="I229" s="42"/>
      <c r="J229" s="38"/>
      <c r="K229" s="9"/>
      <c r="L229" s="9"/>
      <c r="M229" s="9"/>
      <c r="N229" s="42"/>
      <c r="O229" s="42"/>
      <c r="P229" s="9"/>
      <c r="Q229" s="9"/>
      <c r="R229" s="9"/>
      <c r="S229" s="9"/>
      <c r="T229" s="38"/>
      <c r="U229" s="38"/>
      <c r="V229" s="38"/>
      <c r="W229" s="38"/>
      <c r="X229" s="38"/>
      <c r="Y229" s="9"/>
      <c r="Z229" s="39"/>
      <c r="AA229" s="9"/>
      <c r="AB229" s="9"/>
      <c r="AC229" s="9"/>
      <c r="AD229" s="9"/>
      <c r="AE229" s="9"/>
      <c r="AF229" s="9"/>
      <c r="AG229" s="9"/>
      <c r="AH229" s="38"/>
      <c r="AI229" s="9"/>
      <c r="AJ229" s="39"/>
      <c r="AK229" s="9"/>
      <c r="AL229" s="9"/>
      <c r="AM229" s="9"/>
      <c r="AN229" s="9"/>
      <c r="AO229" s="9"/>
      <c r="AP229" s="9"/>
      <c r="AQ229" s="9"/>
      <c r="AR229" s="10" t="str">
        <f aca="false">IF(A229="","",SG_Criteria!$B$6&amp;SG_Criteria!$B$9&amp;"\"&amp;A229&amp;"\")</f>
        <v/>
      </c>
      <c r="AS229" s="10" t="str">
        <f aca="false">IF(A229="","",A229&amp;"_CAD.dwg")</f>
        <v/>
      </c>
      <c r="AT229" s="10" t="str">
        <f aca="false">IF(A229="","",A229&amp;"_DWG.pdf")</f>
        <v/>
      </c>
      <c r="AU229" s="10" t="str">
        <f aca="false">IF(A229="","",IF(AQ229="Y",A229&amp;"_STAAD.std","n/a"))</f>
        <v/>
      </c>
      <c r="AV229" s="10" t="str">
        <f aca="false">IF(A229="","",A229&amp;"_CALC.xlsx")</f>
        <v/>
      </c>
      <c r="AW229" s="10" t="str">
        <f aca="false">IF(A229="","",A229&amp;"_CALC.pdf")</f>
        <v/>
      </c>
      <c r="AX229" s="9"/>
      <c r="AY229" s="9"/>
      <c r="AZ229" s="39"/>
      <c r="BA229" s="39"/>
      <c r="BB229" s="39"/>
      <c r="BC229" s="39"/>
      <c r="BD229" s="39"/>
      <c r="BE229" s="12" t="str">
        <f aca="false">IF(A229="","",IF(COUNTIF(Rebar_Schedule!$A$5:$A$2004,A229)=0,"",ROUND(SUMIF(Rebar_Schedule!$A$5:$A$2004,A229,Rebar_Schedule!$K$5:$K$2004),1)))</f>
        <v/>
      </c>
      <c r="BF229" s="33" t="str">
        <f aca="false">IF(A229="","",IF(BE229="","No rebar schedule yet",IF(ABS(BE229-N(BA229))/MAX(N(BA229),1)&gt;SG_Criteria!$B$55,"NOTE: register rebar differs from schedule by "&amp;TEXT(ABS(BE229-N(BA229))/MAX(N(BA229),1),"0%"),"OK")))</f>
        <v/>
      </c>
      <c r="BG229" s="33" t="str">
        <f aca="false">IF(OR(D229="",F229=""),"",IF(F229&lt;=IF(D229="Soldier Pile &amp; Timber Lagging",SG_Criteria!$B$34,SG_Criteria!$B$33),"No ERSS submission",IF(F229&lt;=SG_Criteria!$B$35,"QP(ST)",IF(F229&lt;=SG_Criteria!$B$36,"QP(ST) + AC","Geotechnical building works: QP(Geo) + AC"))))</f>
        <v/>
      </c>
      <c r="BH229" s="33" t="str">
        <f aca="false">IF(D229="","",IF(LEN(IF(AND(AC229&lt;&gt;"",IFERROR(VALUE(MID(AC229,2,2)),0)&lt;SG_Criteria!$B$19),"FAIL: grade below C"&amp;SG_Criteria!$B$19&amp;". ","")&amp;IF(AND(LEFT(D229,3)="Con",N(I229)&lt;F229,H229="Kallang Formation (marine clay)"),"NOTE: CBP is not watertight below GWT in marine clay; consider secant / grouting. ","")&amp;IF(AND(D229="Steel Sheet Pile",E229="Permanent"),"NOTE: permanent sheet pile needs corrosion allowance. ","")&amp;IF(AND(G229="Cantilever (no support)",F229&gt;6),"NOTE: cantilever embedded wall &gt; 6 m, check deflection. ","")&amp;IF(AND(T229&lt;&gt;"",U229&lt;&gt;"",T229&gt;U229),"FAIL: deflection exceeds allowable. ",""))=0,"OK",IF(AND(AC229&lt;&gt;"",IFERROR(VALUE(MID(AC229,2,2)),0)&lt;SG_Criteria!$B$19),"FAIL: grade below C"&amp;SG_Criteria!$B$19&amp;". ","")&amp;IF(AND(LEFT(D229,3)="Con",N(I229)&lt;F229,H229="Kallang Formation (marine clay)"),"NOTE: CBP is not watertight below GWT in marine clay; consider secant / grouting. ","")&amp;IF(AND(D229="Steel Sheet Pile",E229="Permanent"),"NOTE: permanent sheet pile needs corrosion allowance. ","")&amp;IF(AND(G229="Cantilever (no support)",F229&gt;6),"NOTE: cantilever embedded wall &gt; 6 m, check deflection. ","")&amp;IF(AND(T229&lt;&gt;"",U229&lt;&gt;"",T229&gt;U229),"FAIL: deflection exceeds allowable. ","")))</f>
        <v/>
      </c>
      <c r="BI229" s="9"/>
      <c r="BJ229" s="9"/>
      <c r="BK229" s="9"/>
      <c r="BL229" s="10" t="str">
        <f aca="false">IF(BK229="","",IFERROR(VLOOKUP(BK229,Projects!$A$5:$D$504,2,0),"Ref not in Projects"))</f>
        <v/>
      </c>
      <c r="BM229" s="10" t="str">
        <f aca="false">IF(BK229="","",IFERROR(VLOOKUP(BK229,Projects!$A$5:$D$504,4,0),"Ref not in Projects"))</f>
        <v/>
      </c>
      <c r="BN229" s="9"/>
      <c r="BO229" s="9"/>
      <c r="BP229" s="9"/>
      <c r="BQ229" s="40"/>
      <c r="BR229" s="9"/>
      <c r="BS229" s="40"/>
      <c r="BT229" s="9"/>
      <c r="BU229" s="40"/>
      <c r="BV229" s="9"/>
      <c r="BW229" s="9"/>
      <c r="BX229" s="9"/>
      <c r="BY229" s="40"/>
      <c r="BZ229" s="40"/>
      <c r="CA229" s="36" t="str">
        <f aca="false">IF(BZ229="","",EDATE(BZ229,SG_Criteria!$B$54*12))</f>
        <v/>
      </c>
      <c r="CB229" s="33" t="str">
        <f aca="true">IF(A229="","",IF(BZ229="","NOTE: not reviewed yet",IF(TODAY()&gt;CA229,"NOTE: review overdue","OK")))</f>
        <v/>
      </c>
      <c r="CC229" s="37" t="str">
        <f aca="false">IF(A229="","",ROUND((IF(LEN(D229)&gt;0,1,0)+IF(LEN(E229)&gt;0,1,0)+IF(LEN(F229)&gt;0,1,0)+IF(LEN(G229)&gt;0,1,0)+IF(LEN(H229)&gt;0,1,0)+IF(LEN(I229)&gt;0,1,0)+IF(LEN(K229)&gt;0,1,0)+IF(LEN(N229)&gt;0,1,0)+IF(LEN(O229)&gt;0,1,0)+IF(LEN(T229)&gt;0,1,0)+IF(LEN(U229)&gt;0,1,0)+IF(LEN(V229)&gt;0,1,0)+IF(LEN(AK229)&gt;0,1,0)+IF(LEN(AM229)&gt;0,1,0)+IF(LEN(AN229)&gt;0,1,0)+IF(LEN(AO229)&gt;0,1,0)+IF(LEN(AP229)&gt;0,1,0)+IF(LEN(AY229)&gt;0,1,0)+IF(LEN(BK229)&gt;0,1,0)+IF(LEN(BX229)&gt;0,1,0))/20,2))</f>
        <v/>
      </c>
      <c r="CD229" s="10" t="str">
        <f aca="false">IF(D229="","",IF(AND(AN229="Approved",ISERROR(SEARCH("FAIL",BH229))),"Y","N"))</f>
        <v/>
      </c>
      <c r="CE229" s="10" t="str">
        <f aca="false">IF(D229="","",D229&amp;"|"&amp;F229&amp;"|"&amp;G229&amp;"|"&amp;H229&amp;"|"&amp;E229&amp;"|"&amp;CD229)</f>
        <v/>
      </c>
    </row>
    <row r="230" customFormat="false" ht="15" hidden="false" customHeight="false" outlineLevel="0" collapsed="false">
      <c r="A230" s="10" t="str">
        <f aca="false">IF(D230="","","EW-"&amp;IFERROR(VLOOKUP(D230,Lists!$P$4:$Q$22,2,0),"??")&amp;"-D"&amp;TEXT(F230*1000,"0000")&amp;"-"&amp;IFERROR(VLOOKUP(G230,Lists!$S$4:$T$21,2,0),"??")&amp;"-"&amp;IFERROR(VLOOKUP(H230,Lists!$Y$4:$Z$21,2,0),"??")&amp;"-"&amp;IFERROR(VLOOKUP(E230,Lists!$V$4:$W$16,2,0),"??")&amp;"-"&amp;AM230)</f>
        <v/>
      </c>
      <c r="B230" s="10" t="str">
        <f aca="false">IF(D230="","",E230&amp;" "&amp;D230&amp;", excavation "&amp;TEXT(F230,"0.0")&amp;" m, "&amp;G230&amp;", "&amp;H230&amp;", "&amp;K230)</f>
        <v/>
      </c>
      <c r="C230" s="9"/>
      <c r="D230" s="9"/>
      <c r="E230" s="9"/>
      <c r="F230" s="42"/>
      <c r="G230" s="9"/>
      <c r="H230" s="9"/>
      <c r="I230" s="42"/>
      <c r="J230" s="38"/>
      <c r="K230" s="9"/>
      <c r="L230" s="9"/>
      <c r="M230" s="9"/>
      <c r="N230" s="42"/>
      <c r="O230" s="42"/>
      <c r="P230" s="9"/>
      <c r="Q230" s="9"/>
      <c r="R230" s="9"/>
      <c r="S230" s="9"/>
      <c r="T230" s="38"/>
      <c r="U230" s="38"/>
      <c r="V230" s="38"/>
      <c r="W230" s="38"/>
      <c r="X230" s="38"/>
      <c r="Y230" s="9"/>
      <c r="Z230" s="39"/>
      <c r="AA230" s="9"/>
      <c r="AB230" s="9"/>
      <c r="AC230" s="9"/>
      <c r="AD230" s="9"/>
      <c r="AE230" s="9"/>
      <c r="AF230" s="9"/>
      <c r="AG230" s="9"/>
      <c r="AH230" s="38"/>
      <c r="AI230" s="9"/>
      <c r="AJ230" s="39"/>
      <c r="AK230" s="9"/>
      <c r="AL230" s="9"/>
      <c r="AM230" s="9"/>
      <c r="AN230" s="9"/>
      <c r="AO230" s="9"/>
      <c r="AP230" s="9"/>
      <c r="AQ230" s="9"/>
      <c r="AR230" s="10" t="str">
        <f aca="false">IF(A230="","",SG_Criteria!$B$6&amp;SG_Criteria!$B$9&amp;"\"&amp;A230&amp;"\")</f>
        <v/>
      </c>
      <c r="AS230" s="10" t="str">
        <f aca="false">IF(A230="","",A230&amp;"_CAD.dwg")</f>
        <v/>
      </c>
      <c r="AT230" s="10" t="str">
        <f aca="false">IF(A230="","",A230&amp;"_DWG.pdf")</f>
        <v/>
      </c>
      <c r="AU230" s="10" t="str">
        <f aca="false">IF(A230="","",IF(AQ230="Y",A230&amp;"_STAAD.std","n/a"))</f>
        <v/>
      </c>
      <c r="AV230" s="10" t="str">
        <f aca="false">IF(A230="","",A230&amp;"_CALC.xlsx")</f>
        <v/>
      </c>
      <c r="AW230" s="10" t="str">
        <f aca="false">IF(A230="","",A230&amp;"_CALC.pdf")</f>
        <v/>
      </c>
      <c r="AX230" s="9"/>
      <c r="AY230" s="9"/>
      <c r="AZ230" s="39"/>
      <c r="BA230" s="39"/>
      <c r="BB230" s="39"/>
      <c r="BC230" s="39"/>
      <c r="BD230" s="39"/>
      <c r="BE230" s="12" t="str">
        <f aca="false">IF(A230="","",IF(COUNTIF(Rebar_Schedule!$A$5:$A$2004,A230)=0,"",ROUND(SUMIF(Rebar_Schedule!$A$5:$A$2004,A230,Rebar_Schedule!$K$5:$K$2004),1)))</f>
        <v/>
      </c>
      <c r="BF230" s="33" t="str">
        <f aca="false">IF(A230="","",IF(BE230="","No rebar schedule yet",IF(ABS(BE230-N(BA230))/MAX(N(BA230),1)&gt;SG_Criteria!$B$55,"NOTE: register rebar differs from schedule by "&amp;TEXT(ABS(BE230-N(BA230))/MAX(N(BA230),1),"0%"),"OK")))</f>
        <v/>
      </c>
      <c r="BG230" s="33" t="str">
        <f aca="false">IF(OR(D230="",F230=""),"",IF(F230&lt;=IF(D230="Soldier Pile &amp; Timber Lagging",SG_Criteria!$B$34,SG_Criteria!$B$33),"No ERSS submission",IF(F230&lt;=SG_Criteria!$B$35,"QP(ST)",IF(F230&lt;=SG_Criteria!$B$36,"QP(ST) + AC","Geotechnical building works: QP(Geo) + AC"))))</f>
        <v/>
      </c>
      <c r="BH230" s="33" t="str">
        <f aca="false">IF(D230="","",IF(LEN(IF(AND(AC230&lt;&gt;"",IFERROR(VALUE(MID(AC230,2,2)),0)&lt;SG_Criteria!$B$19),"FAIL: grade below C"&amp;SG_Criteria!$B$19&amp;". ","")&amp;IF(AND(LEFT(D230,3)="Con",N(I230)&lt;F230,H230="Kallang Formation (marine clay)"),"NOTE: CBP is not watertight below GWT in marine clay; consider secant / grouting. ","")&amp;IF(AND(D230="Steel Sheet Pile",E230="Permanent"),"NOTE: permanent sheet pile needs corrosion allowance. ","")&amp;IF(AND(G230="Cantilever (no support)",F230&gt;6),"NOTE: cantilever embedded wall &gt; 6 m, check deflection. ","")&amp;IF(AND(T230&lt;&gt;"",U230&lt;&gt;"",T230&gt;U230),"FAIL: deflection exceeds allowable. ",""))=0,"OK",IF(AND(AC230&lt;&gt;"",IFERROR(VALUE(MID(AC230,2,2)),0)&lt;SG_Criteria!$B$19),"FAIL: grade below C"&amp;SG_Criteria!$B$19&amp;". ","")&amp;IF(AND(LEFT(D230,3)="Con",N(I230)&lt;F230,H230="Kallang Formation (marine clay)"),"NOTE: CBP is not watertight below GWT in marine clay; consider secant / grouting. ","")&amp;IF(AND(D230="Steel Sheet Pile",E230="Permanent"),"NOTE: permanent sheet pile needs corrosion allowance. ","")&amp;IF(AND(G230="Cantilever (no support)",F230&gt;6),"NOTE: cantilever embedded wall &gt; 6 m, check deflection. ","")&amp;IF(AND(T230&lt;&gt;"",U230&lt;&gt;"",T230&gt;U230),"FAIL: deflection exceeds allowable. ","")))</f>
        <v/>
      </c>
      <c r="BI230" s="9"/>
      <c r="BJ230" s="9"/>
      <c r="BK230" s="9"/>
      <c r="BL230" s="10" t="str">
        <f aca="false">IF(BK230="","",IFERROR(VLOOKUP(BK230,Projects!$A$5:$D$504,2,0),"Ref not in Projects"))</f>
        <v/>
      </c>
      <c r="BM230" s="10" t="str">
        <f aca="false">IF(BK230="","",IFERROR(VLOOKUP(BK230,Projects!$A$5:$D$504,4,0),"Ref not in Projects"))</f>
        <v/>
      </c>
      <c r="BN230" s="9"/>
      <c r="BO230" s="9"/>
      <c r="BP230" s="9"/>
      <c r="BQ230" s="40"/>
      <c r="BR230" s="9"/>
      <c r="BS230" s="40"/>
      <c r="BT230" s="9"/>
      <c r="BU230" s="40"/>
      <c r="BV230" s="9"/>
      <c r="BW230" s="9"/>
      <c r="BX230" s="9"/>
      <c r="BY230" s="40"/>
      <c r="BZ230" s="40"/>
      <c r="CA230" s="36" t="str">
        <f aca="false">IF(BZ230="","",EDATE(BZ230,SG_Criteria!$B$54*12))</f>
        <v/>
      </c>
      <c r="CB230" s="33" t="str">
        <f aca="true">IF(A230="","",IF(BZ230="","NOTE: not reviewed yet",IF(TODAY()&gt;CA230,"NOTE: review overdue","OK")))</f>
        <v/>
      </c>
      <c r="CC230" s="37" t="str">
        <f aca="false">IF(A230="","",ROUND((IF(LEN(D230)&gt;0,1,0)+IF(LEN(E230)&gt;0,1,0)+IF(LEN(F230)&gt;0,1,0)+IF(LEN(G230)&gt;0,1,0)+IF(LEN(H230)&gt;0,1,0)+IF(LEN(I230)&gt;0,1,0)+IF(LEN(K230)&gt;0,1,0)+IF(LEN(N230)&gt;0,1,0)+IF(LEN(O230)&gt;0,1,0)+IF(LEN(T230)&gt;0,1,0)+IF(LEN(U230)&gt;0,1,0)+IF(LEN(V230)&gt;0,1,0)+IF(LEN(AK230)&gt;0,1,0)+IF(LEN(AM230)&gt;0,1,0)+IF(LEN(AN230)&gt;0,1,0)+IF(LEN(AO230)&gt;0,1,0)+IF(LEN(AP230)&gt;0,1,0)+IF(LEN(AY230)&gt;0,1,0)+IF(LEN(BK230)&gt;0,1,0)+IF(LEN(BX230)&gt;0,1,0))/20,2))</f>
        <v/>
      </c>
      <c r="CD230" s="10" t="str">
        <f aca="false">IF(D230="","",IF(AND(AN230="Approved",ISERROR(SEARCH("FAIL",BH230))),"Y","N"))</f>
        <v/>
      </c>
      <c r="CE230" s="10" t="str">
        <f aca="false">IF(D230="","",D230&amp;"|"&amp;F230&amp;"|"&amp;G230&amp;"|"&amp;H230&amp;"|"&amp;E230&amp;"|"&amp;CD230)</f>
        <v/>
      </c>
    </row>
    <row r="231" customFormat="false" ht="15" hidden="false" customHeight="false" outlineLevel="0" collapsed="false">
      <c r="A231" s="10" t="str">
        <f aca="false">IF(D231="","","EW-"&amp;IFERROR(VLOOKUP(D231,Lists!$P$4:$Q$22,2,0),"??")&amp;"-D"&amp;TEXT(F231*1000,"0000")&amp;"-"&amp;IFERROR(VLOOKUP(G231,Lists!$S$4:$T$21,2,0),"??")&amp;"-"&amp;IFERROR(VLOOKUP(H231,Lists!$Y$4:$Z$21,2,0),"??")&amp;"-"&amp;IFERROR(VLOOKUP(E231,Lists!$V$4:$W$16,2,0),"??")&amp;"-"&amp;AM231)</f>
        <v/>
      </c>
      <c r="B231" s="10" t="str">
        <f aca="false">IF(D231="","",E231&amp;" "&amp;D231&amp;", excavation "&amp;TEXT(F231,"0.0")&amp;" m, "&amp;G231&amp;", "&amp;H231&amp;", "&amp;K231)</f>
        <v/>
      </c>
      <c r="C231" s="9"/>
      <c r="D231" s="9"/>
      <c r="E231" s="9"/>
      <c r="F231" s="42"/>
      <c r="G231" s="9"/>
      <c r="H231" s="9"/>
      <c r="I231" s="42"/>
      <c r="J231" s="38"/>
      <c r="K231" s="9"/>
      <c r="L231" s="9"/>
      <c r="M231" s="9"/>
      <c r="N231" s="42"/>
      <c r="O231" s="42"/>
      <c r="P231" s="9"/>
      <c r="Q231" s="9"/>
      <c r="R231" s="9"/>
      <c r="S231" s="9"/>
      <c r="T231" s="38"/>
      <c r="U231" s="38"/>
      <c r="V231" s="38"/>
      <c r="W231" s="38"/>
      <c r="X231" s="38"/>
      <c r="Y231" s="9"/>
      <c r="Z231" s="39"/>
      <c r="AA231" s="9"/>
      <c r="AB231" s="9"/>
      <c r="AC231" s="9"/>
      <c r="AD231" s="9"/>
      <c r="AE231" s="9"/>
      <c r="AF231" s="9"/>
      <c r="AG231" s="9"/>
      <c r="AH231" s="38"/>
      <c r="AI231" s="9"/>
      <c r="AJ231" s="39"/>
      <c r="AK231" s="9"/>
      <c r="AL231" s="9"/>
      <c r="AM231" s="9"/>
      <c r="AN231" s="9"/>
      <c r="AO231" s="9"/>
      <c r="AP231" s="9"/>
      <c r="AQ231" s="9"/>
      <c r="AR231" s="10" t="str">
        <f aca="false">IF(A231="","",SG_Criteria!$B$6&amp;SG_Criteria!$B$9&amp;"\"&amp;A231&amp;"\")</f>
        <v/>
      </c>
      <c r="AS231" s="10" t="str">
        <f aca="false">IF(A231="","",A231&amp;"_CAD.dwg")</f>
        <v/>
      </c>
      <c r="AT231" s="10" t="str">
        <f aca="false">IF(A231="","",A231&amp;"_DWG.pdf")</f>
        <v/>
      </c>
      <c r="AU231" s="10" t="str">
        <f aca="false">IF(A231="","",IF(AQ231="Y",A231&amp;"_STAAD.std","n/a"))</f>
        <v/>
      </c>
      <c r="AV231" s="10" t="str">
        <f aca="false">IF(A231="","",A231&amp;"_CALC.xlsx")</f>
        <v/>
      </c>
      <c r="AW231" s="10" t="str">
        <f aca="false">IF(A231="","",A231&amp;"_CALC.pdf")</f>
        <v/>
      </c>
      <c r="AX231" s="9"/>
      <c r="AY231" s="9"/>
      <c r="AZ231" s="39"/>
      <c r="BA231" s="39"/>
      <c r="BB231" s="39"/>
      <c r="BC231" s="39"/>
      <c r="BD231" s="39"/>
      <c r="BE231" s="12" t="str">
        <f aca="false">IF(A231="","",IF(COUNTIF(Rebar_Schedule!$A$5:$A$2004,A231)=0,"",ROUND(SUMIF(Rebar_Schedule!$A$5:$A$2004,A231,Rebar_Schedule!$K$5:$K$2004),1)))</f>
        <v/>
      </c>
      <c r="BF231" s="33" t="str">
        <f aca="false">IF(A231="","",IF(BE231="","No rebar schedule yet",IF(ABS(BE231-N(BA231))/MAX(N(BA231),1)&gt;SG_Criteria!$B$55,"NOTE: register rebar differs from schedule by "&amp;TEXT(ABS(BE231-N(BA231))/MAX(N(BA231),1),"0%"),"OK")))</f>
        <v/>
      </c>
      <c r="BG231" s="33" t="str">
        <f aca="false">IF(OR(D231="",F231=""),"",IF(F231&lt;=IF(D231="Soldier Pile &amp; Timber Lagging",SG_Criteria!$B$34,SG_Criteria!$B$33),"No ERSS submission",IF(F231&lt;=SG_Criteria!$B$35,"QP(ST)",IF(F231&lt;=SG_Criteria!$B$36,"QP(ST) + AC","Geotechnical building works: QP(Geo) + AC"))))</f>
        <v/>
      </c>
      <c r="BH231" s="33" t="str">
        <f aca="false">IF(D231="","",IF(LEN(IF(AND(AC231&lt;&gt;"",IFERROR(VALUE(MID(AC231,2,2)),0)&lt;SG_Criteria!$B$19),"FAIL: grade below C"&amp;SG_Criteria!$B$19&amp;". ","")&amp;IF(AND(LEFT(D231,3)="Con",N(I231)&lt;F231,H231="Kallang Formation (marine clay)"),"NOTE: CBP is not watertight below GWT in marine clay; consider secant / grouting. ","")&amp;IF(AND(D231="Steel Sheet Pile",E231="Permanent"),"NOTE: permanent sheet pile needs corrosion allowance. ","")&amp;IF(AND(G231="Cantilever (no support)",F231&gt;6),"NOTE: cantilever embedded wall &gt; 6 m, check deflection. ","")&amp;IF(AND(T231&lt;&gt;"",U231&lt;&gt;"",T231&gt;U231),"FAIL: deflection exceeds allowable. ",""))=0,"OK",IF(AND(AC231&lt;&gt;"",IFERROR(VALUE(MID(AC231,2,2)),0)&lt;SG_Criteria!$B$19),"FAIL: grade below C"&amp;SG_Criteria!$B$19&amp;". ","")&amp;IF(AND(LEFT(D231,3)="Con",N(I231)&lt;F231,H231="Kallang Formation (marine clay)"),"NOTE: CBP is not watertight below GWT in marine clay; consider secant / grouting. ","")&amp;IF(AND(D231="Steel Sheet Pile",E231="Permanent"),"NOTE: permanent sheet pile needs corrosion allowance. ","")&amp;IF(AND(G231="Cantilever (no support)",F231&gt;6),"NOTE: cantilever embedded wall &gt; 6 m, check deflection. ","")&amp;IF(AND(T231&lt;&gt;"",U231&lt;&gt;"",T231&gt;U231),"FAIL: deflection exceeds allowable. ","")))</f>
        <v/>
      </c>
      <c r="BI231" s="9"/>
      <c r="BJ231" s="9"/>
      <c r="BK231" s="9"/>
      <c r="BL231" s="10" t="str">
        <f aca="false">IF(BK231="","",IFERROR(VLOOKUP(BK231,Projects!$A$5:$D$504,2,0),"Ref not in Projects"))</f>
        <v/>
      </c>
      <c r="BM231" s="10" t="str">
        <f aca="false">IF(BK231="","",IFERROR(VLOOKUP(BK231,Projects!$A$5:$D$504,4,0),"Ref not in Projects"))</f>
        <v/>
      </c>
      <c r="BN231" s="9"/>
      <c r="BO231" s="9"/>
      <c r="BP231" s="9"/>
      <c r="BQ231" s="40"/>
      <c r="BR231" s="9"/>
      <c r="BS231" s="40"/>
      <c r="BT231" s="9"/>
      <c r="BU231" s="40"/>
      <c r="BV231" s="9"/>
      <c r="BW231" s="9"/>
      <c r="BX231" s="9"/>
      <c r="BY231" s="40"/>
      <c r="BZ231" s="40"/>
      <c r="CA231" s="36" t="str">
        <f aca="false">IF(BZ231="","",EDATE(BZ231,SG_Criteria!$B$54*12))</f>
        <v/>
      </c>
      <c r="CB231" s="33" t="str">
        <f aca="true">IF(A231="","",IF(BZ231="","NOTE: not reviewed yet",IF(TODAY()&gt;CA231,"NOTE: review overdue","OK")))</f>
        <v/>
      </c>
      <c r="CC231" s="37" t="str">
        <f aca="false">IF(A231="","",ROUND((IF(LEN(D231)&gt;0,1,0)+IF(LEN(E231)&gt;0,1,0)+IF(LEN(F231)&gt;0,1,0)+IF(LEN(G231)&gt;0,1,0)+IF(LEN(H231)&gt;0,1,0)+IF(LEN(I231)&gt;0,1,0)+IF(LEN(K231)&gt;0,1,0)+IF(LEN(N231)&gt;0,1,0)+IF(LEN(O231)&gt;0,1,0)+IF(LEN(T231)&gt;0,1,0)+IF(LEN(U231)&gt;0,1,0)+IF(LEN(V231)&gt;0,1,0)+IF(LEN(AK231)&gt;0,1,0)+IF(LEN(AM231)&gt;0,1,0)+IF(LEN(AN231)&gt;0,1,0)+IF(LEN(AO231)&gt;0,1,0)+IF(LEN(AP231)&gt;0,1,0)+IF(LEN(AY231)&gt;0,1,0)+IF(LEN(BK231)&gt;0,1,0)+IF(LEN(BX231)&gt;0,1,0))/20,2))</f>
        <v/>
      </c>
      <c r="CD231" s="10" t="str">
        <f aca="false">IF(D231="","",IF(AND(AN231="Approved",ISERROR(SEARCH("FAIL",BH231))),"Y","N"))</f>
        <v/>
      </c>
      <c r="CE231" s="10" t="str">
        <f aca="false">IF(D231="","",D231&amp;"|"&amp;F231&amp;"|"&amp;G231&amp;"|"&amp;H231&amp;"|"&amp;E231&amp;"|"&amp;CD231)</f>
        <v/>
      </c>
    </row>
    <row r="232" customFormat="false" ht="15" hidden="false" customHeight="false" outlineLevel="0" collapsed="false">
      <c r="A232" s="10" t="str">
        <f aca="false">IF(D232="","","EW-"&amp;IFERROR(VLOOKUP(D232,Lists!$P$4:$Q$22,2,0),"??")&amp;"-D"&amp;TEXT(F232*1000,"0000")&amp;"-"&amp;IFERROR(VLOOKUP(G232,Lists!$S$4:$T$21,2,0),"??")&amp;"-"&amp;IFERROR(VLOOKUP(H232,Lists!$Y$4:$Z$21,2,0),"??")&amp;"-"&amp;IFERROR(VLOOKUP(E232,Lists!$V$4:$W$16,2,0),"??")&amp;"-"&amp;AM232)</f>
        <v/>
      </c>
      <c r="B232" s="10" t="str">
        <f aca="false">IF(D232="","",E232&amp;" "&amp;D232&amp;", excavation "&amp;TEXT(F232,"0.0")&amp;" m, "&amp;G232&amp;", "&amp;H232&amp;", "&amp;K232)</f>
        <v/>
      </c>
      <c r="C232" s="9"/>
      <c r="D232" s="9"/>
      <c r="E232" s="9"/>
      <c r="F232" s="42"/>
      <c r="G232" s="9"/>
      <c r="H232" s="9"/>
      <c r="I232" s="42"/>
      <c r="J232" s="38"/>
      <c r="K232" s="9"/>
      <c r="L232" s="9"/>
      <c r="M232" s="9"/>
      <c r="N232" s="42"/>
      <c r="O232" s="42"/>
      <c r="P232" s="9"/>
      <c r="Q232" s="9"/>
      <c r="R232" s="9"/>
      <c r="S232" s="9"/>
      <c r="T232" s="38"/>
      <c r="U232" s="38"/>
      <c r="V232" s="38"/>
      <c r="W232" s="38"/>
      <c r="X232" s="38"/>
      <c r="Y232" s="9"/>
      <c r="Z232" s="39"/>
      <c r="AA232" s="9"/>
      <c r="AB232" s="9"/>
      <c r="AC232" s="9"/>
      <c r="AD232" s="9"/>
      <c r="AE232" s="9"/>
      <c r="AF232" s="9"/>
      <c r="AG232" s="9"/>
      <c r="AH232" s="38"/>
      <c r="AI232" s="9"/>
      <c r="AJ232" s="39"/>
      <c r="AK232" s="9"/>
      <c r="AL232" s="9"/>
      <c r="AM232" s="9"/>
      <c r="AN232" s="9"/>
      <c r="AO232" s="9"/>
      <c r="AP232" s="9"/>
      <c r="AQ232" s="9"/>
      <c r="AR232" s="10" t="str">
        <f aca="false">IF(A232="","",SG_Criteria!$B$6&amp;SG_Criteria!$B$9&amp;"\"&amp;A232&amp;"\")</f>
        <v/>
      </c>
      <c r="AS232" s="10" t="str">
        <f aca="false">IF(A232="","",A232&amp;"_CAD.dwg")</f>
        <v/>
      </c>
      <c r="AT232" s="10" t="str">
        <f aca="false">IF(A232="","",A232&amp;"_DWG.pdf")</f>
        <v/>
      </c>
      <c r="AU232" s="10" t="str">
        <f aca="false">IF(A232="","",IF(AQ232="Y",A232&amp;"_STAAD.std","n/a"))</f>
        <v/>
      </c>
      <c r="AV232" s="10" t="str">
        <f aca="false">IF(A232="","",A232&amp;"_CALC.xlsx")</f>
        <v/>
      </c>
      <c r="AW232" s="10" t="str">
        <f aca="false">IF(A232="","",A232&amp;"_CALC.pdf")</f>
        <v/>
      </c>
      <c r="AX232" s="9"/>
      <c r="AY232" s="9"/>
      <c r="AZ232" s="39"/>
      <c r="BA232" s="39"/>
      <c r="BB232" s="39"/>
      <c r="BC232" s="39"/>
      <c r="BD232" s="39"/>
      <c r="BE232" s="12" t="str">
        <f aca="false">IF(A232="","",IF(COUNTIF(Rebar_Schedule!$A$5:$A$2004,A232)=0,"",ROUND(SUMIF(Rebar_Schedule!$A$5:$A$2004,A232,Rebar_Schedule!$K$5:$K$2004),1)))</f>
        <v/>
      </c>
      <c r="BF232" s="33" t="str">
        <f aca="false">IF(A232="","",IF(BE232="","No rebar schedule yet",IF(ABS(BE232-N(BA232))/MAX(N(BA232),1)&gt;SG_Criteria!$B$55,"NOTE: register rebar differs from schedule by "&amp;TEXT(ABS(BE232-N(BA232))/MAX(N(BA232),1),"0%"),"OK")))</f>
        <v/>
      </c>
      <c r="BG232" s="33" t="str">
        <f aca="false">IF(OR(D232="",F232=""),"",IF(F232&lt;=IF(D232="Soldier Pile &amp; Timber Lagging",SG_Criteria!$B$34,SG_Criteria!$B$33),"No ERSS submission",IF(F232&lt;=SG_Criteria!$B$35,"QP(ST)",IF(F232&lt;=SG_Criteria!$B$36,"QP(ST) + AC","Geotechnical building works: QP(Geo) + AC"))))</f>
        <v/>
      </c>
      <c r="BH232" s="33" t="str">
        <f aca="false">IF(D232="","",IF(LEN(IF(AND(AC232&lt;&gt;"",IFERROR(VALUE(MID(AC232,2,2)),0)&lt;SG_Criteria!$B$19),"FAIL: grade below C"&amp;SG_Criteria!$B$19&amp;". ","")&amp;IF(AND(LEFT(D232,3)="Con",N(I232)&lt;F232,H232="Kallang Formation (marine clay)"),"NOTE: CBP is not watertight below GWT in marine clay; consider secant / grouting. ","")&amp;IF(AND(D232="Steel Sheet Pile",E232="Permanent"),"NOTE: permanent sheet pile needs corrosion allowance. ","")&amp;IF(AND(G232="Cantilever (no support)",F232&gt;6),"NOTE: cantilever embedded wall &gt; 6 m, check deflection. ","")&amp;IF(AND(T232&lt;&gt;"",U232&lt;&gt;"",T232&gt;U232),"FAIL: deflection exceeds allowable. ",""))=0,"OK",IF(AND(AC232&lt;&gt;"",IFERROR(VALUE(MID(AC232,2,2)),0)&lt;SG_Criteria!$B$19),"FAIL: grade below C"&amp;SG_Criteria!$B$19&amp;". ","")&amp;IF(AND(LEFT(D232,3)="Con",N(I232)&lt;F232,H232="Kallang Formation (marine clay)"),"NOTE: CBP is not watertight below GWT in marine clay; consider secant / grouting. ","")&amp;IF(AND(D232="Steel Sheet Pile",E232="Permanent"),"NOTE: permanent sheet pile needs corrosion allowance. ","")&amp;IF(AND(G232="Cantilever (no support)",F232&gt;6),"NOTE: cantilever embedded wall &gt; 6 m, check deflection. ","")&amp;IF(AND(T232&lt;&gt;"",U232&lt;&gt;"",T232&gt;U232),"FAIL: deflection exceeds allowable. ","")))</f>
        <v/>
      </c>
      <c r="BI232" s="9"/>
      <c r="BJ232" s="9"/>
      <c r="BK232" s="9"/>
      <c r="BL232" s="10" t="str">
        <f aca="false">IF(BK232="","",IFERROR(VLOOKUP(BK232,Projects!$A$5:$D$504,2,0),"Ref not in Projects"))</f>
        <v/>
      </c>
      <c r="BM232" s="10" t="str">
        <f aca="false">IF(BK232="","",IFERROR(VLOOKUP(BK232,Projects!$A$5:$D$504,4,0),"Ref not in Projects"))</f>
        <v/>
      </c>
      <c r="BN232" s="9"/>
      <c r="BO232" s="9"/>
      <c r="BP232" s="9"/>
      <c r="BQ232" s="40"/>
      <c r="BR232" s="9"/>
      <c r="BS232" s="40"/>
      <c r="BT232" s="9"/>
      <c r="BU232" s="40"/>
      <c r="BV232" s="9"/>
      <c r="BW232" s="9"/>
      <c r="BX232" s="9"/>
      <c r="BY232" s="40"/>
      <c r="BZ232" s="40"/>
      <c r="CA232" s="36" t="str">
        <f aca="false">IF(BZ232="","",EDATE(BZ232,SG_Criteria!$B$54*12))</f>
        <v/>
      </c>
      <c r="CB232" s="33" t="str">
        <f aca="true">IF(A232="","",IF(BZ232="","NOTE: not reviewed yet",IF(TODAY()&gt;CA232,"NOTE: review overdue","OK")))</f>
        <v/>
      </c>
      <c r="CC232" s="37" t="str">
        <f aca="false">IF(A232="","",ROUND((IF(LEN(D232)&gt;0,1,0)+IF(LEN(E232)&gt;0,1,0)+IF(LEN(F232)&gt;0,1,0)+IF(LEN(G232)&gt;0,1,0)+IF(LEN(H232)&gt;0,1,0)+IF(LEN(I232)&gt;0,1,0)+IF(LEN(K232)&gt;0,1,0)+IF(LEN(N232)&gt;0,1,0)+IF(LEN(O232)&gt;0,1,0)+IF(LEN(T232)&gt;0,1,0)+IF(LEN(U232)&gt;0,1,0)+IF(LEN(V232)&gt;0,1,0)+IF(LEN(AK232)&gt;0,1,0)+IF(LEN(AM232)&gt;0,1,0)+IF(LEN(AN232)&gt;0,1,0)+IF(LEN(AO232)&gt;0,1,0)+IF(LEN(AP232)&gt;0,1,0)+IF(LEN(AY232)&gt;0,1,0)+IF(LEN(BK232)&gt;0,1,0)+IF(LEN(BX232)&gt;0,1,0))/20,2))</f>
        <v/>
      </c>
      <c r="CD232" s="10" t="str">
        <f aca="false">IF(D232="","",IF(AND(AN232="Approved",ISERROR(SEARCH("FAIL",BH232))),"Y","N"))</f>
        <v/>
      </c>
      <c r="CE232" s="10" t="str">
        <f aca="false">IF(D232="","",D232&amp;"|"&amp;F232&amp;"|"&amp;G232&amp;"|"&amp;H232&amp;"|"&amp;E232&amp;"|"&amp;CD232)</f>
        <v/>
      </c>
    </row>
    <row r="233" customFormat="false" ht="15" hidden="false" customHeight="false" outlineLevel="0" collapsed="false">
      <c r="A233" s="10" t="str">
        <f aca="false">IF(D233="","","EW-"&amp;IFERROR(VLOOKUP(D233,Lists!$P$4:$Q$22,2,0),"??")&amp;"-D"&amp;TEXT(F233*1000,"0000")&amp;"-"&amp;IFERROR(VLOOKUP(G233,Lists!$S$4:$T$21,2,0),"??")&amp;"-"&amp;IFERROR(VLOOKUP(H233,Lists!$Y$4:$Z$21,2,0),"??")&amp;"-"&amp;IFERROR(VLOOKUP(E233,Lists!$V$4:$W$16,2,0),"??")&amp;"-"&amp;AM233)</f>
        <v/>
      </c>
      <c r="B233" s="10" t="str">
        <f aca="false">IF(D233="","",E233&amp;" "&amp;D233&amp;", excavation "&amp;TEXT(F233,"0.0")&amp;" m, "&amp;G233&amp;", "&amp;H233&amp;", "&amp;K233)</f>
        <v/>
      </c>
      <c r="C233" s="9"/>
      <c r="D233" s="9"/>
      <c r="E233" s="9"/>
      <c r="F233" s="42"/>
      <c r="G233" s="9"/>
      <c r="H233" s="9"/>
      <c r="I233" s="42"/>
      <c r="J233" s="38"/>
      <c r="K233" s="9"/>
      <c r="L233" s="9"/>
      <c r="M233" s="9"/>
      <c r="N233" s="42"/>
      <c r="O233" s="42"/>
      <c r="P233" s="9"/>
      <c r="Q233" s="9"/>
      <c r="R233" s="9"/>
      <c r="S233" s="9"/>
      <c r="T233" s="38"/>
      <c r="U233" s="38"/>
      <c r="V233" s="38"/>
      <c r="W233" s="38"/>
      <c r="X233" s="38"/>
      <c r="Y233" s="9"/>
      <c r="Z233" s="39"/>
      <c r="AA233" s="9"/>
      <c r="AB233" s="9"/>
      <c r="AC233" s="9"/>
      <c r="AD233" s="9"/>
      <c r="AE233" s="9"/>
      <c r="AF233" s="9"/>
      <c r="AG233" s="9"/>
      <c r="AH233" s="38"/>
      <c r="AI233" s="9"/>
      <c r="AJ233" s="39"/>
      <c r="AK233" s="9"/>
      <c r="AL233" s="9"/>
      <c r="AM233" s="9"/>
      <c r="AN233" s="9"/>
      <c r="AO233" s="9"/>
      <c r="AP233" s="9"/>
      <c r="AQ233" s="9"/>
      <c r="AR233" s="10" t="str">
        <f aca="false">IF(A233="","",SG_Criteria!$B$6&amp;SG_Criteria!$B$9&amp;"\"&amp;A233&amp;"\")</f>
        <v/>
      </c>
      <c r="AS233" s="10" t="str">
        <f aca="false">IF(A233="","",A233&amp;"_CAD.dwg")</f>
        <v/>
      </c>
      <c r="AT233" s="10" t="str">
        <f aca="false">IF(A233="","",A233&amp;"_DWG.pdf")</f>
        <v/>
      </c>
      <c r="AU233" s="10" t="str">
        <f aca="false">IF(A233="","",IF(AQ233="Y",A233&amp;"_STAAD.std","n/a"))</f>
        <v/>
      </c>
      <c r="AV233" s="10" t="str">
        <f aca="false">IF(A233="","",A233&amp;"_CALC.xlsx")</f>
        <v/>
      </c>
      <c r="AW233" s="10" t="str">
        <f aca="false">IF(A233="","",A233&amp;"_CALC.pdf")</f>
        <v/>
      </c>
      <c r="AX233" s="9"/>
      <c r="AY233" s="9"/>
      <c r="AZ233" s="39"/>
      <c r="BA233" s="39"/>
      <c r="BB233" s="39"/>
      <c r="BC233" s="39"/>
      <c r="BD233" s="39"/>
      <c r="BE233" s="12" t="str">
        <f aca="false">IF(A233="","",IF(COUNTIF(Rebar_Schedule!$A$5:$A$2004,A233)=0,"",ROUND(SUMIF(Rebar_Schedule!$A$5:$A$2004,A233,Rebar_Schedule!$K$5:$K$2004),1)))</f>
        <v/>
      </c>
      <c r="BF233" s="33" t="str">
        <f aca="false">IF(A233="","",IF(BE233="","No rebar schedule yet",IF(ABS(BE233-N(BA233))/MAX(N(BA233),1)&gt;SG_Criteria!$B$55,"NOTE: register rebar differs from schedule by "&amp;TEXT(ABS(BE233-N(BA233))/MAX(N(BA233),1),"0%"),"OK")))</f>
        <v/>
      </c>
      <c r="BG233" s="33" t="str">
        <f aca="false">IF(OR(D233="",F233=""),"",IF(F233&lt;=IF(D233="Soldier Pile &amp; Timber Lagging",SG_Criteria!$B$34,SG_Criteria!$B$33),"No ERSS submission",IF(F233&lt;=SG_Criteria!$B$35,"QP(ST)",IF(F233&lt;=SG_Criteria!$B$36,"QP(ST) + AC","Geotechnical building works: QP(Geo) + AC"))))</f>
        <v/>
      </c>
      <c r="BH233" s="33" t="str">
        <f aca="false">IF(D233="","",IF(LEN(IF(AND(AC233&lt;&gt;"",IFERROR(VALUE(MID(AC233,2,2)),0)&lt;SG_Criteria!$B$19),"FAIL: grade below C"&amp;SG_Criteria!$B$19&amp;". ","")&amp;IF(AND(LEFT(D233,3)="Con",N(I233)&lt;F233,H233="Kallang Formation (marine clay)"),"NOTE: CBP is not watertight below GWT in marine clay; consider secant / grouting. ","")&amp;IF(AND(D233="Steel Sheet Pile",E233="Permanent"),"NOTE: permanent sheet pile needs corrosion allowance. ","")&amp;IF(AND(G233="Cantilever (no support)",F233&gt;6),"NOTE: cantilever embedded wall &gt; 6 m, check deflection. ","")&amp;IF(AND(T233&lt;&gt;"",U233&lt;&gt;"",T233&gt;U233),"FAIL: deflection exceeds allowable. ",""))=0,"OK",IF(AND(AC233&lt;&gt;"",IFERROR(VALUE(MID(AC233,2,2)),0)&lt;SG_Criteria!$B$19),"FAIL: grade below C"&amp;SG_Criteria!$B$19&amp;". ","")&amp;IF(AND(LEFT(D233,3)="Con",N(I233)&lt;F233,H233="Kallang Formation (marine clay)"),"NOTE: CBP is not watertight below GWT in marine clay; consider secant / grouting. ","")&amp;IF(AND(D233="Steel Sheet Pile",E233="Permanent"),"NOTE: permanent sheet pile needs corrosion allowance. ","")&amp;IF(AND(G233="Cantilever (no support)",F233&gt;6),"NOTE: cantilever embedded wall &gt; 6 m, check deflection. ","")&amp;IF(AND(T233&lt;&gt;"",U233&lt;&gt;"",T233&gt;U233),"FAIL: deflection exceeds allowable. ","")))</f>
        <v/>
      </c>
      <c r="BI233" s="9"/>
      <c r="BJ233" s="9"/>
      <c r="BK233" s="9"/>
      <c r="BL233" s="10" t="str">
        <f aca="false">IF(BK233="","",IFERROR(VLOOKUP(BK233,Projects!$A$5:$D$504,2,0),"Ref not in Projects"))</f>
        <v/>
      </c>
      <c r="BM233" s="10" t="str">
        <f aca="false">IF(BK233="","",IFERROR(VLOOKUP(BK233,Projects!$A$5:$D$504,4,0),"Ref not in Projects"))</f>
        <v/>
      </c>
      <c r="BN233" s="9"/>
      <c r="BO233" s="9"/>
      <c r="BP233" s="9"/>
      <c r="BQ233" s="40"/>
      <c r="BR233" s="9"/>
      <c r="BS233" s="40"/>
      <c r="BT233" s="9"/>
      <c r="BU233" s="40"/>
      <c r="BV233" s="9"/>
      <c r="BW233" s="9"/>
      <c r="BX233" s="9"/>
      <c r="BY233" s="40"/>
      <c r="BZ233" s="40"/>
      <c r="CA233" s="36" t="str">
        <f aca="false">IF(BZ233="","",EDATE(BZ233,SG_Criteria!$B$54*12))</f>
        <v/>
      </c>
      <c r="CB233" s="33" t="str">
        <f aca="true">IF(A233="","",IF(BZ233="","NOTE: not reviewed yet",IF(TODAY()&gt;CA233,"NOTE: review overdue","OK")))</f>
        <v/>
      </c>
      <c r="CC233" s="37" t="str">
        <f aca="false">IF(A233="","",ROUND((IF(LEN(D233)&gt;0,1,0)+IF(LEN(E233)&gt;0,1,0)+IF(LEN(F233)&gt;0,1,0)+IF(LEN(G233)&gt;0,1,0)+IF(LEN(H233)&gt;0,1,0)+IF(LEN(I233)&gt;0,1,0)+IF(LEN(K233)&gt;0,1,0)+IF(LEN(N233)&gt;0,1,0)+IF(LEN(O233)&gt;0,1,0)+IF(LEN(T233)&gt;0,1,0)+IF(LEN(U233)&gt;0,1,0)+IF(LEN(V233)&gt;0,1,0)+IF(LEN(AK233)&gt;0,1,0)+IF(LEN(AM233)&gt;0,1,0)+IF(LEN(AN233)&gt;0,1,0)+IF(LEN(AO233)&gt;0,1,0)+IF(LEN(AP233)&gt;0,1,0)+IF(LEN(AY233)&gt;0,1,0)+IF(LEN(BK233)&gt;0,1,0)+IF(LEN(BX233)&gt;0,1,0))/20,2))</f>
        <v/>
      </c>
      <c r="CD233" s="10" t="str">
        <f aca="false">IF(D233="","",IF(AND(AN233="Approved",ISERROR(SEARCH("FAIL",BH233))),"Y","N"))</f>
        <v/>
      </c>
      <c r="CE233" s="10" t="str">
        <f aca="false">IF(D233="","",D233&amp;"|"&amp;F233&amp;"|"&amp;G233&amp;"|"&amp;H233&amp;"|"&amp;E233&amp;"|"&amp;CD233)</f>
        <v/>
      </c>
    </row>
    <row r="234" customFormat="false" ht="15" hidden="false" customHeight="false" outlineLevel="0" collapsed="false">
      <c r="A234" s="10" t="str">
        <f aca="false">IF(D234="","","EW-"&amp;IFERROR(VLOOKUP(D234,Lists!$P$4:$Q$22,2,0),"??")&amp;"-D"&amp;TEXT(F234*1000,"0000")&amp;"-"&amp;IFERROR(VLOOKUP(G234,Lists!$S$4:$T$21,2,0),"??")&amp;"-"&amp;IFERROR(VLOOKUP(H234,Lists!$Y$4:$Z$21,2,0),"??")&amp;"-"&amp;IFERROR(VLOOKUP(E234,Lists!$V$4:$W$16,2,0),"??")&amp;"-"&amp;AM234)</f>
        <v/>
      </c>
      <c r="B234" s="10" t="str">
        <f aca="false">IF(D234="","",E234&amp;" "&amp;D234&amp;", excavation "&amp;TEXT(F234,"0.0")&amp;" m, "&amp;G234&amp;", "&amp;H234&amp;", "&amp;K234)</f>
        <v/>
      </c>
      <c r="C234" s="9"/>
      <c r="D234" s="9"/>
      <c r="E234" s="9"/>
      <c r="F234" s="42"/>
      <c r="G234" s="9"/>
      <c r="H234" s="9"/>
      <c r="I234" s="42"/>
      <c r="J234" s="38"/>
      <c r="K234" s="9"/>
      <c r="L234" s="9"/>
      <c r="M234" s="9"/>
      <c r="N234" s="42"/>
      <c r="O234" s="42"/>
      <c r="P234" s="9"/>
      <c r="Q234" s="9"/>
      <c r="R234" s="9"/>
      <c r="S234" s="9"/>
      <c r="T234" s="38"/>
      <c r="U234" s="38"/>
      <c r="V234" s="38"/>
      <c r="W234" s="38"/>
      <c r="X234" s="38"/>
      <c r="Y234" s="9"/>
      <c r="Z234" s="39"/>
      <c r="AA234" s="9"/>
      <c r="AB234" s="9"/>
      <c r="AC234" s="9"/>
      <c r="AD234" s="9"/>
      <c r="AE234" s="9"/>
      <c r="AF234" s="9"/>
      <c r="AG234" s="9"/>
      <c r="AH234" s="38"/>
      <c r="AI234" s="9"/>
      <c r="AJ234" s="39"/>
      <c r="AK234" s="9"/>
      <c r="AL234" s="9"/>
      <c r="AM234" s="9"/>
      <c r="AN234" s="9"/>
      <c r="AO234" s="9"/>
      <c r="AP234" s="9"/>
      <c r="AQ234" s="9"/>
      <c r="AR234" s="10" t="str">
        <f aca="false">IF(A234="","",SG_Criteria!$B$6&amp;SG_Criteria!$B$9&amp;"\"&amp;A234&amp;"\")</f>
        <v/>
      </c>
      <c r="AS234" s="10" t="str">
        <f aca="false">IF(A234="","",A234&amp;"_CAD.dwg")</f>
        <v/>
      </c>
      <c r="AT234" s="10" t="str">
        <f aca="false">IF(A234="","",A234&amp;"_DWG.pdf")</f>
        <v/>
      </c>
      <c r="AU234" s="10" t="str">
        <f aca="false">IF(A234="","",IF(AQ234="Y",A234&amp;"_STAAD.std","n/a"))</f>
        <v/>
      </c>
      <c r="AV234" s="10" t="str">
        <f aca="false">IF(A234="","",A234&amp;"_CALC.xlsx")</f>
        <v/>
      </c>
      <c r="AW234" s="10" t="str">
        <f aca="false">IF(A234="","",A234&amp;"_CALC.pdf")</f>
        <v/>
      </c>
      <c r="AX234" s="9"/>
      <c r="AY234" s="9"/>
      <c r="AZ234" s="39"/>
      <c r="BA234" s="39"/>
      <c r="BB234" s="39"/>
      <c r="BC234" s="39"/>
      <c r="BD234" s="39"/>
      <c r="BE234" s="12" t="str">
        <f aca="false">IF(A234="","",IF(COUNTIF(Rebar_Schedule!$A$5:$A$2004,A234)=0,"",ROUND(SUMIF(Rebar_Schedule!$A$5:$A$2004,A234,Rebar_Schedule!$K$5:$K$2004),1)))</f>
        <v/>
      </c>
      <c r="BF234" s="33" t="str">
        <f aca="false">IF(A234="","",IF(BE234="","No rebar schedule yet",IF(ABS(BE234-N(BA234))/MAX(N(BA234),1)&gt;SG_Criteria!$B$55,"NOTE: register rebar differs from schedule by "&amp;TEXT(ABS(BE234-N(BA234))/MAX(N(BA234),1),"0%"),"OK")))</f>
        <v/>
      </c>
      <c r="BG234" s="33" t="str">
        <f aca="false">IF(OR(D234="",F234=""),"",IF(F234&lt;=IF(D234="Soldier Pile &amp; Timber Lagging",SG_Criteria!$B$34,SG_Criteria!$B$33),"No ERSS submission",IF(F234&lt;=SG_Criteria!$B$35,"QP(ST)",IF(F234&lt;=SG_Criteria!$B$36,"QP(ST) + AC","Geotechnical building works: QP(Geo) + AC"))))</f>
        <v/>
      </c>
      <c r="BH234" s="33" t="str">
        <f aca="false">IF(D234="","",IF(LEN(IF(AND(AC234&lt;&gt;"",IFERROR(VALUE(MID(AC234,2,2)),0)&lt;SG_Criteria!$B$19),"FAIL: grade below C"&amp;SG_Criteria!$B$19&amp;". ","")&amp;IF(AND(LEFT(D234,3)="Con",N(I234)&lt;F234,H234="Kallang Formation (marine clay)"),"NOTE: CBP is not watertight below GWT in marine clay; consider secant / grouting. ","")&amp;IF(AND(D234="Steel Sheet Pile",E234="Permanent"),"NOTE: permanent sheet pile needs corrosion allowance. ","")&amp;IF(AND(G234="Cantilever (no support)",F234&gt;6),"NOTE: cantilever embedded wall &gt; 6 m, check deflection. ","")&amp;IF(AND(T234&lt;&gt;"",U234&lt;&gt;"",T234&gt;U234),"FAIL: deflection exceeds allowable. ",""))=0,"OK",IF(AND(AC234&lt;&gt;"",IFERROR(VALUE(MID(AC234,2,2)),0)&lt;SG_Criteria!$B$19),"FAIL: grade below C"&amp;SG_Criteria!$B$19&amp;". ","")&amp;IF(AND(LEFT(D234,3)="Con",N(I234)&lt;F234,H234="Kallang Formation (marine clay)"),"NOTE: CBP is not watertight below GWT in marine clay; consider secant / grouting. ","")&amp;IF(AND(D234="Steel Sheet Pile",E234="Permanent"),"NOTE: permanent sheet pile needs corrosion allowance. ","")&amp;IF(AND(G234="Cantilever (no support)",F234&gt;6),"NOTE: cantilever embedded wall &gt; 6 m, check deflection. ","")&amp;IF(AND(T234&lt;&gt;"",U234&lt;&gt;"",T234&gt;U234),"FAIL: deflection exceeds allowable. ","")))</f>
        <v/>
      </c>
      <c r="BI234" s="9"/>
      <c r="BJ234" s="9"/>
      <c r="BK234" s="9"/>
      <c r="BL234" s="10" t="str">
        <f aca="false">IF(BK234="","",IFERROR(VLOOKUP(BK234,Projects!$A$5:$D$504,2,0),"Ref not in Projects"))</f>
        <v/>
      </c>
      <c r="BM234" s="10" t="str">
        <f aca="false">IF(BK234="","",IFERROR(VLOOKUP(BK234,Projects!$A$5:$D$504,4,0),"Ref not in Projects"))</f>
        <v/>
      </c>
      <c r="BN234" s="9"/>
      <c r="BO234" s="9"/>
      <c r="BP234" s="9"/>
      <c r="BQ234" s="40"/>
      <c r="BR234" s="9"/>
      <c r="BS234" s="40"/>
      <c r="BT234" s="9"/>
      <c r="BU234" s="40"/>
      <c r="BV234" s="9"/>
      <c r="BW234" s="9"/>
      <c r="BX234" s="9"/>
      <c r="BY234" s="40"/>
      <c r="BZ234" s="40"/>
      <c r="CA234" s="36" t="str">
        <f aca="false">IF(BZ234="","",EDATE(BZ234,SG_Criteria!$B$54*12))</f>
        <v/>
      </c>
      <c r="CB234" s="33" t="str">
        <f aca="true">IF(A234="","",IF(BZ234="","NOTE: not reviewed yet",IF(TODAY()&gt;CA234,"NOTE: review overdue","OK")))</f>
        <v/>
      </c>
      <c r="CC234" s="37" t="str">
        <f aca="false">IF(A234="","",ROUND((IF(LEN(D234)&gt;0,1,0)+IF(LEN(E234)&gt;0,1,0)+IF(LEN(F234)&gt;0,1,0)+IF(LEN(G234)&gt;0,1,0)+IF(LEN(H234)&gt;0,1,0)+IF(LEN(I234)&gt;0,1,0)+IF(LEN(K234)&gt;0,1,0)+IF(LEN(N234)&gt;0,1,0)+IF(LEN(O234)&gt;0,1,0)+IF(LEN(T234)&gt;0,1,0)+IF(LEN(U234)&gt;0,1,0)+IF(LEN(V234)&gt;0,1,0)+IF(LEN(AK234)&gt;0,1,0)+IF(LEN(AM234)&gt;0,1,0)+IF(LEN(AN234)&gt;0,1,0)+IF(LEN(AO234)&gt;0,1,0)+IF(LEN(AP234)&gt;0,1,0)+IF(LEN(AY234)&gt;0,1,0)+IF(LEN(BK234)&gt;0,1,0)+IF(LEN(BX234)&gt;0,1,0))/20,2))</f>
        <v/>
      </c>
      <c r="CD234" s="10" t="str">
        <f aca="false">IF(D234="","",IF(AND(AN234="Approved",ISERROR(SEARCH("FAIL",BH234))),"Y","N"))</f>
        <v/>
      </c>
      <c r="CE234" s="10" t="str">
        <f aca="false">IF(D234="","",D234&amp;"|"&amp;F234&amp;"|"&amp;G234&amp;"|"&amp;H234&amp;"|"&amp;E234&amp;"|"&amp;CD234)</f>
        <v/>
      </c>
    </row>
    <row r="235" customFormat="false" ht="15" hidden="false" customHeight="false" outlineLevel="0" collapsed="false">
      <c r="A235" s="10" t="str">
        <f aca="false">IF(D235="","","EW-"&amp;IFERROR(VLOOKUP(D235,Lists!$P$4:$Q$22,2,0),"??")&amp;"-D"&amp;TEXT(F235*1000,"0000")&amp;"-"&amp;IFERROR(VLOOKUP(G235,Lists!$S$4:$T$21,2,0),"??")&amp;"-"&amp;IFERROR(VLOOKUP(H235,Lists!$Y$4:$Z$21,2,0),"??")&amp;"-"&amp;IFERROR(VLOOKUP(E235,Lists!$V$4:$W$16,2,0),"??")&amp;"-"&amp;AM235)</f>
        <v/>
      </c>
      <c r="B235" s="10" t="str">
        <f aca="false">IF(D235="","",E235&amp;" "&amp;D235&amp;", excavation "&amp;TEXT(F235,"0.0")&amp;" m, "&amp;G235&amp;", "&amp;H235&amp;", "&amp;K235)</f>
        <v/>
      </c>
      <c r="C235" s="9"/>
      <c r="D235" s="9"/>
      <c r="E235" s="9"/>
      <c r="F235" s="42"/>
      <c r="G235" s="9"/>
      <c r="H235" s="9"/>
      <c r="I235" s="42"/>
      <c r="J235" s="38"/>
      <c r="K235" s="9"/>
      <c r="L235" s="9"/>
      <c r="M235" s="9"/>
      <c r="N235" s="42"/>
      <c r="O235" s="42"/>
      <c r="P235" s="9"/>
      <c r="Q235" s="9"/>
      <c r="R235" s="9"/>
      <c r="S235" s="9"/>
      <c r="T235" s="38"/>
      <c r="U235" s="38"/>
      <c r="V235" s="38"/>
      <c r="W235" s="38"/>
      <c r="X235" s="38"/>
      <c r="Y235" s="9"/>
      <c r="Z235" s="39"/>
      <c r="AA235" s="9"/>
      <c r="AB235" s="9"/>
      <c r="AC235" s="9"/>
      <c r="AD235" s="9"/>
      <c r="AE235" s="9"/>
      <c r="AF235" s="9"/>
      <c r="AG235" s="9"/>
      <c r="AH235" s="38"/>
      <c r="AI235" s="9"/>
      <c r="AJ235" s="39"/>
      <c r="AK235" s="9"/>
      <c r="AL235" s="9"/>
      <c r="AM235" s="9"/>
      <c r="AN235" s="9"/>
      <c r="AO235" s="9"/>
      <c r="AP235" s="9"/>
      <c r="AQ235" s="9"/>
      <c r="AR235" s="10" t="str">
        <f aca="false">IF(A235="","",SG_Criteria!$B$6&amp;SG_Criteria!$B$9&amp;"\"&amp;A235&amp;"\")</f>
        <v/>
      </c>
      <c r="AS235" s="10" t="str">
        <f aca="false">IF(A235="","",A235&amp;"_CAD.dwg")</f>
        <v/>
      </c>
      <c r="AT235" s="10" t="str">
        <f aca="false">IF(A235="","",A235&amp;"_DWG.pdf")</f>
        <v/>
      </c>
      <c r="AU235" s="10" t="str">
        <f aca="false">IF(A235="","",IF(AQ235="Y",A235&amp;"_STAAD.std","n/a"))</f>
        <v/>
      </c>
      <c r="AV235" s="10" t="str">
        <f aca="false">IF(A235="","",A235&amp;"_CALC.xlsx")</f>
        <v/>
      </c>
      <c r="AW235" s="10" t="str">
        <f aca="false">IF(A235="","",A235&amp;"_CALC.pdf")</f>
        <v/>
      </c>
      <c r="AX235" s="9"/>
      <c r="AY235" s="9"/>
      <c r="AZ235" s="39"/>
      <c r="BA235" s="39"/>
      <c r="BB235" s="39"/>
      <c r="BC235" s="39"/>
      <c r="BD235" s="39"/>
      <c r="BE235" s="12" t="str">
        <f aca="false">IF(A235="","",IF(COUNTIF(Rebar_Schedule!$A$5:$A$2004,A235)=0,"",ROUND(SUMIF(Rebar_Schedule!$A$5:$A$2004,A235,Rebar_Schedule!$K$5:$K$2004),1)))</f>
        <v/>
      </c>
      <c r="BF235" s="33" t="str">
        <f aca="false">IF(A235="","",IF(BE235="","No rebar schedule yet",IF(ABS(BE235-N(BA235))/MAX(N(BA235),1)&gt;SG_Criteria!$B$55,"NOTE: register rebar differs from schedule by "&amp;TEXT(ABS(BE235-N(BA235))/MAX(N(BA235),1),"0%"),"OK")))</f>
        <v/>
      </c>
      <c r="BG235" s="33" t="str">
        <f aca="false">IF(OR(D235="",F235=""),"",IF(F235&lt;=IF(D235="Soldier Pile &amp; Timber Lagging",SG_Criteria!$B$34,SG_Criteria!$B$33),"No ERSS submission",IF(F235&lt;=SG_Criteria!$B$35,"QP(ST)",IF(F235&lt;=SG_Criteria!$B$36,"QP(ST) + AC","Geotechnical building works: QP(Geo) + AC"))))</f>
        <v/>
      </c>
      <c r="BH235" s="33" t="str">
        <f aca="false">IF(D235="","",IF(LEN(IF(AND(AC235&lt;&gt;"",IFERROR(VALUE(MID(AC235,2,2)),0)&lt;SG_Criteria!$B$19),"FAIL: grade below C"&amp;SG_Criteria!$B$19&amp;". ","")&amp;IF(AND(LEFT(D235,3)="Con",N(I235)&lt;F235,H235="Kallang Formation (marine clay)"),"NOTE: CBP is not watertight below GWT in marine clay; consider secant / grouting. ","")&amp;IF(AND(D235="Steel Sheet Pile",E235="Permanent"),"NOTE: permanent sheet pile needs corrosion allowance. ","")&amp;IF(AND(G235="Cantilever (no support)",F235&gt;6),"NOTE: cantilever embedded wall &gt; 6 m, check deflection. ","")&amp;IF(AND(T235&lt;&gt;"",U235&lt;&gt;"",T235&gt;U235),"FAIL: deflection exceeds allowable. ",""))=0,"OK",IF(AND(AC235&lt;&gt;"",IFERROR(VALUE(MID(AC235,2,2)),0)&lt;SG_Criteria!$B$19),"FAIL: grade below C"&amp;SG_Criteria!$B$19&amp;". ","")&amp;IF(AND(LEFT(D235,3)="Con",N(I235)&lt;F235,H235="Kallang Formation (marine clay)"),"NOTE: CBP is not watertight below GWT in marine clay; consider secant / grouting. ","")&amp;IF(AND(D235="Steel Sheet Pile",E235="Permanent"),"NOTE: permanent sheet pile needs corrosion allowance. ","")&amp;IF(AND(G235="Cantilever (no support)",F235&gt;6),"NOTE: cantilever embedded wall &gt; 6 m, check deflection. ","")&amp;IF(AND(T235&lt;&gt;"",U235&lt;&gt;"",T235&gt;U235),"FAIL: deflection exceeds allowable. ","")))</f>
        <v/>
      </c>
      <c r="BI235" s="9"/>
      <c r="BJ235" s="9"/>
      <c r="BK235" s="9"/>
      <c r="BL235" s="10" t="str">
        <f aca="false">IF(BK235="","",IFERROR(VLOOKUP(BK235,Projects!$A$5:$D$504,2,0),"Ref not in Projects"))</f>
        <v/>
      </c>
      <c r="BM235" s="10" t="str">
        <f aca="false">IF(BK235="","",IFERROR(VLOOKUP(BK235,Projects!$A$5:$D$504,4,0),"Ref not in Projects"))</f>
        <v/>
      </c>
      <c r="BN235" s="9"/>
      <c r="BO235" s="9"/>
      <c r="BP235" s="9"/>
      <c r="BQ235" s="40"/>
      <c r="BR235" s="9"/>
      <c r="BS235" s="40"/>
      <c r="BT235" s="9"/>
      <c r="BU235" s="40"/>
      <c r="BV235" s="9"/>
      <c r="BW235" s="9"/>
      <c r="BX235" s="9"/>
      <c r="BY235" s="40"/>
      <c r="BZ235" s="40"/>
      <c r="CA235" s="36" t="str">
        <f aca="false">IF(BZ235="","",EDATE(BZ235,SG_Criteria!$B$54*12))</f>
        <v/>
      </c>
      <c r="CB235" s="33" t="str">
        <f aca="true">IF(A235="","",IF(BZ235="","NOTE: not reviewed yet",IF(TODAY()&gt;CA235,"NOTE: review overdue","OK")))</f>
        <v/>
      </c>
      <c r="CC235" s="37" t="str">
        <f aca="false">IF(A235="","",ROUND((IF(LEN(D235)&gt;0,1,0)+IF(LEN(E235)&gt;0,1,0)+IF(LEN(F235)&gt;0,1,0)+IF(LEN(G235)&gt;0,1,0)+IF(LEN(H235)&gt;0,1,0)+IF(LEN(I235)&gt;0,1,0)+IF(LEN(K235)&gt;0,1,0)+IF(LEN(N235)&gt;0,1,0)+IF(LEN(O235)&gt;0,1,0)+IF(LEN(T235)&gt;0,1,0)+IF(LEN(U235)&gt;0,1,0)+IF(LEN(V235)&gt;0,1,0)+IF(LEN(AK235)&gt;0,1,0)+IF(LEN(AM235)&gt;0,1,0)+IF(LEN(AN235)&gt;0,1,0)+IF(LEN(AO235)&gt;0,1,0)+IF(LEN(AP235)&gt;0,1,0)+IF(LEN(AY235)&gt;0,1,0)+IF(LEN(BK235)&gt;0,1,0)+IF(LEN(BX235)&gt;0,1,0))/20,2))</f>
        <v/>
      </c>
      <c r="CD235" s="10" t="str">
        <f aca="false">IF(D235="","",IF(AND(AN235="Approved",ISERROR(SEARCH("FAIL",BH235))),"Y","N"))</f>
        <v/>
      </c>
      <c r="CE235" s="10" t="str">
        <f aca="false">IF(D235="","",D235&amp;"|"&amp;F235&amp;"|"&amp;G235&amp;"|"&amp;H235&amp;"|"&amp;E235&amp;"|"&amp;CD235)</f>
        <v/>
      </c>
    </row>
    <row r="236" customFormat="false" ht="15" hidden="false" customHeight="false" outlineLevel="0" collapsed="false">
      <c r="A236" s="10" t="str">
        <f aca="false">IF(D236="","","EW-"&amp;IFERROR(VLOOKUP(D236,Lists!$P$4:$Q$22,2,0),"??")&amp;"-D"&amp;TEXT(F236*1000,"0000")&amp;"-"&amp;IFERROR(VLOOKUP(G236,Lists!$S$4:$T$21,2,0),"??")&amp;"-"&amp;IFERROR(VLOOKUP(H236,Lists!$Y$4:$Z$21,2,0),"??")&amp;"-"&amp;IFERROR(VLOOKUP(E236,Lists!$V$4:$W$16,2,0),"??")&amp;"-"&amp;AM236)</f>
        <v/>
      </c>
      <c r="B236" s="10" t="str">
        <f aca="false">IF(D236="","",E236&amp;" "&amp;D236&amp;", excavation "&amp;TEXT(F236,"0.0")&amp;" m, "&amp;G236&amp;", "&amp;H236&amp;", "&amp;K236)</f>
        <v/>
      </c>
      <c r="C236" s="9"/>
      <c r="D236" s="9"/>
      <c r="E236" s="9"/>
      <c r="F236" s="42"/>
      <c r="G236" s="9"/>
      <c r="H236" s="9"/>
      <c r="I236" s="42"/>
      <c r="J236" s="38"/>
      <c r="K236" s="9"/>
      <c r="L236" s="9"/>
      <c r="M236" s="9"/>
      <c r="N236" s="42"/>
      <c r="O236" s="42"/>
      <c r="P236" s="9"/>
      <c r="Q236" s="9"/>
      <c r="R236" s="9"/>
      <c r="S236" s="9"/>
      <c r="T236" s="38"/>
      <c r="U236" s="38"/>
      <c r="V236" s="38"/>
      <c r="W236" s="38"/>
      <c r="X236" s="38"/>
      <c r="Y236" s="9"/>
      <c r="Z236" s="39"/>
      <c r="AA236" s="9"/>
      <c r="AB236" s="9"/>
      <c r="AC236" s="9"/>
      <c r="AD236" s="9"/>
      <c r="AE236" s="9"/>
      <c r="AF236" s="9"/>
      <c r="AG236" s="9"/>
      <c r="AH236" s="38"/>
      <c r="AI236" s="9"/>
      <c r="AJ236" s="39"/>
      <c r="AK236" s="9"/>
      <c r="AL236" s="9"/>
      <c r="AM236" s="9"/>
      <c r="AN236" s="9"/>
      <c r="AO236" s="9"/>
      <c r="AP236" s="9"/>
      <c r="AQ236" s="9"/>
      <c r="AR236" s="10" t="str">
        <f aca="false">IF(A236="","",SG_Criteria!$B$6&amp;SG_Criteria!$B$9&amp;"\"&amp;A236&amp;"\")</f>
        <v/>
      </c>
      <c r="AS236" s="10" t="str">
        <f aca="false">IF(A236="","",A236&amp;"_CAD.dwg")</f>
        <v/>
      </c>
      <c r="AT236" s="10" t="str">
        <f aca="false">IF(A236="","",A236&amp;"_DWG.pdf")</f>
        <v/>
      </c>
      <c r="AU236" s="10" t="str">
        <f aca="false">IF(A236="","",IF(AQ236="Y",A236&amp;"_STAAD.std","n/a"))</f>
        <v/>
      </c>
      <c r="AV236" s="10" t="str">
        <f aca="false">IF(A236="","",A236&amp;"_CALC.xlsx")</f>
        <v/>
      </c>
      <c r="AW236" s="10" t="str">
        <f aca="false">IF(A236="","",A236&amp;"_CALC.pdf")</f>
        <v/>
      </c>
      <c r="AX236" s="9"/>
      <c r="AY236" s="9"/>
      <c r="AZ236" s="39"/>
      <c r="BA236" s="39"/>
      <c r="BB236" s="39"/>
      <c r="BC236" s="39"/>
      <c r="BD236" s="39"/>
      <c r="BE236" s="12" t="str">
        <f aca="false">IF(A236="","",IF(COUNTIF(Rebar_Schedule!$A$5:$A$2004,A236)=0,"",ROUND(SUMIF(Rebar_Schedule!$A$5:$A$2004,A236,Rebar_Schedule!$K$5:$K$2004),1)))</f>
        <v/>
      </c>
      <c r="BF236" s="33" t="str">
        <f aca="false">IF(A236="","",IF(BE236="","No rebar schedule yet",IF(ABS(BE236-N(BA236))/MAX(N(BA236),1)&gt;SG_Criteria!$B$55,"NOTE: register rebar differs from schedule by "&amp;TEXT(ABS(BE236-N(BA236))/MAX(N(BA236),1),"0%"),"OK")))</f>
        <v/>
      </c>
      <c r="BG236" s="33" t="str">
        <f aca="false">IF(OR(D236="",F236=""),"",IF(F236&lt;=IF(D236="Soldier Pile &amp; Timber Lagging",SG_Criteria!$B$34,SG_Criteria!$B$33),"No ERSS submission",IF(F236&lt;=SG_Criteria!$B$35,"QP(ST)",IF(F236&lt;=SG_Criteria!$B$36,"QP(ST) + AC","Geotechnical building works: QP(Geo) + AC"))))</f>
        <v/>
      </c>
      <c r="BH236" s="33" t="str">
        <f aca="false">IF(D236="","",IF(LEN(IF(AND(AC236&lt;&gt;"",IFERROR(VALUE(MID(AC236,2,2)),0)&lt;SG_Criteria!$B$19),"FAIL: grade below C"&amp;SG_Criteria!$B$19&amp;". ","")&amp;IF(AND(LEFT(D236,3)="Con",N(I236)&lt;F236,H236="Kallang Formation (marine clay)"),"NOTE: CBP is not watertight below GWT in marine clay; consider secant / grouting. ","")&amp;IF(AND(D236="Steel Sheet Pile",E236="Permanent"),"NOTE: permanent sheet pile needs corrosion allowance. ","")&amp;IF(AND(G236="Cantilever (no support)",F236&gt;6),"NOTE: cantilever embedded wall &gt; 6 m, check deflection. ","")&amp;IF(AND(T236&lt;&gt;"",U236&lt;&gt;"",T236&gt;U236),"FAIL: deflection exceeds allowable. ",""))=0,"OK",IF(AND(AC236&lt;&gt;"",IFERROR(VALUE(MID(AC236,2,2)),0)&lt;SG_Criteria!$B$19),"FAIL: grade below C"&amp;SG_Criteria!$B$19&amp;". ","")&amp;IF(AND(LEFT(D236,3)="Con",N(I236)&lt;F236,H236="Kallang Formation (marine clay)"),"NOTE: CBP is not watertight below GWT in marine clay; consider secant / grouting. ","")&amp;IF(AND(D236="Steel Sheet Pile",E236="Permanent"),"NOTE: permanent sheet pile needs corrosion allowance. ","")&amp;IF(AND(G236="Cantilever (no support)",F236&gt;6),"NOTE: cantilever embedded wall &gt; 6 m, check deflection. ","")&amp;IF(AND(T236&lt;&gt;"",U236&lt;&gt;"",T236&gt;U236),"FAIL: deflection exceeds allowable. ","")))</f>
        <v/>
      </c>
      <c r="BI236" s="9"/>
      <c r="BJ236" s="9"/>
      <c r="BK236" s="9"/>
      <c r="BL236" s="10" t="str">
        <f aca="false">IF(BK236="","",IFERROR(VLOOKUP(BK236,Projects!$A$5:$D$504,2,0),"Ref not in Projects"))</f>
        <v/>
      </c>
      <c r="BM236" s="10" t="str">
        <f aca="false">IF(BK236="","",IFERROR(VLOOKUP(BK236,Projects!$A$5:$D$504,4,0),"Ref not in Projects"))</f>
        <v/>
      </c>
      <c r="BN236" s="9"/>
      <c r="BO236" s="9"/>
      <c r="BP236" s="9"/>
      <c r="BQ236" s="40"/>
      <c r="BR236" s="9"/>
      <c r="BS236" s="40"/>
      <c r="BT236" s="9"/>
      <c r="BU236" s="40"/>
      <c r="BV236" s="9"/>
      <c r="BW236" s="9"/>
      <c r="BX236" s="9"/>
      <c r="BY236" s="40"/>
      <c r="BZ236" s="40"/>
      <c r="CA236" s="36" t="str">
        <f aca="false">IF(BZ236="","",EDATE(BZ236,SG_Criteria!$B$54*12))</f>
        <v/>
      </c>
      <c r="CB236" s="33" t="str">
        <f aca="true">IF(A236="","",IF(BZ236="","NOTE: not reviewed yet",IF(TODAY()&gt;CA236,"NOTE: review overdue","OK")))</f>
        <v/>
      </c>
      <c r="CC236" s="37" t="str">
        <f aca="false">IF(A236="","",ROUND((IF(LEN(D236)&gt;0,1,0)+IF(LEN(E236)&gt;0,1,0)+IF(LEN(F236)&gt;0,1,0)+IF(LEN(G236)&gt;0,1,0)+IF(LEN(H236)&gt;0,1,0)+IF(LEN(I236)&gt;0,1,0)+IF(LEN(K236)&gt;0,1,0)+IF(LEN(N236)&gt;0,1,0)+IF(LEN(O236)&gt;0,1,0)+IF(LEN(T236)&gt;0,1,0)+IF(LEN(U236)&gt;0,1,0)+IF(LEN(V236)&gt;0,1,0)+IF(LEN(AK236)&gt;0,1,0)+IF(LEN(AM236)&gt;0,1,0)+IF(LEN(AN236)&gt;0,1,0)+IF(LEN(AO236)&gt;0,1,0)+IF(LEN(AP236)&gt;0,1,0)+IF(LEN(AY236)&gt;0,1,0)+IF(LEN(BK236)&gt;0,1,0)+IF(LEN(BX236)&gt;0,1,0))/20,2))</f>
        <v/>
      </c>
      <c r="CD236" s="10" t="str">
        <f aca="false">IF(D236="","",IF(AND(AN236="Approved",ISERROR(SEARCH("FAIL",BH236))),"Y","N"))</f>
        <v/>
      </c>
      <c r="CE236" s="10" t="str">
        <f aca="false">IF(D236="","",D236&amp;"|"&amp;F236&amp;"|"&amp;G236&amp;"|"&amp;H236&amp;"|"&amp;E236&amp;"|"&amp;CD236)</f>
        <v/>
      </c>
    </row>
    <row r="237" customFormat="false" ht="15" hidden="false" customHeight="false" outlineLevel="0" collapsed="false">
      <c r="A237" s="10" t="str">
        <f aca="false">IF(D237="","","EW-"&amp;IFERROR(VLOOKUP(D237,Lists!$P$4:$Q$22,2,0),"??")&amp;"-D"&amp;TEXT(F237*1000,"0000")&amp;"-"&amp;IFERROR(VLOOKUP(G237,Lists!$S$4:$T$21,2,0),"??")&amp;"-"&amp;IFERROR(VLOOKUP(H237,Lists!$Y$4:$Z$21,2,0),"??")&amp;"-"&amp;IFERROR(VLOOKUP(E237,Lists!$V$4:$W$16,2,0),"??")&amp;"-"&amp;AM237)</f>
        <v/>
      </c>
      <c r="B237" s="10" t="str">
        <f aca="false">IF(D237="","",E237&amp;" "&amp;D237&amp;", excavation "&amp;TEXT(F237,"0.0")&amp;" m, "&amp;G237&amp;", "&amp;H237&amp;", "&amp;K237)</f>
        <v/>
      </c>
      <c r="C237" s="9"/>
      <c r="D237" s="9"/>
      <c r="E237" s="9"/>
      <c r="F237" s="42"/>
      <c r="G237" s="9"/>
      <c r="H237" s="9"/>
      <c r="I237" s="42"/>
      <c r="J237" s="38"/>
      <c r="K237" s="9"/>
      <c r="L237" s="9"/>
      <c r="M237" s="9"/>
      <c r="N237" s="42"/>
      <c r="O237" s="42"/>
      <c r="P237" s="9"/>
      <c r="Q237" s="9"/>
      <c r="R237" s="9"/>
      <c r="S237" s="9"/>
      <c r="T237" s="38"/>
      <c r="U237" s="38"/>
      <c r="V237" s="38"/>
      <c r="W237" s="38"/>
      <c r="X237" s="38"/>
      <c r="Y237" s="9"/>
      <c r="Z237" s="39"/>
      <c r="AA237" s="9"/>
      <c r="AB237" s="9"/>
      <c r="AC237" s="9"/>
      <c r="AD237" s="9"/>
      <c r="AE237" s="9"/>
      <c r="AF237" s="9"/>
      <c r="AG237" s="9"/>
      <c r="AH237" s="38"/>
      <c r="AI237" s="9"/>
      <c r="AJ237" s="39"/>
      <c r="AK237" s="9"/>
      <c r="AL237" s="9"/>
      <c r="AM237" s="9"/>
      <c r="AN237" s="9"/>
      <c r="AO237" s="9"/>
      <c r="AP237" s="9"/>
      <c r="AQ237" s="9"/>
      <c r="AR237" s="10" t="str">
        <f aca="false">IF(A237="","",SG_Criteria!$B$6&amp;SG_Criteria!$B$9&amp;"\"&amp;A237&amp;"\")</f>
        <v/>
      </c>
      <c r="AS237" s="10" t="str">
        <f aca="false">IF(A237="","",A237&amp;"_CAD.dwg")</f>
        <v/>
      </c>
      <c r="AT237" s="10" t="str">
        <f aca="false">IF(A237="","",A237&amp;"_DWG.pdf")</f>
        <v/>
      </c>
      <c r="AU237" s="10" t="str">
        <f aca="false">IF(A237="","",IF(AQ237="Y",A237&amp;"_STAAD.std","n/a"))</f>
        <v/>
      </c>
      <c r="AV237" s="10" t="str">
        <f aca="false">IF(A237="","",A237&amp;"_CALC.xlsx")</f>
        <v/>
      </c>
      <c r="AW237" s="10" t="str">
        <f aca="false">IF(A237="","",A237&amp;"_CALC.pdf")</f>
        <v/>
      </c>
      <c r="AX237" s="9"/>
      <c r="AY237" s="9"/>
      <c r="AZ237" s="39"/>
      <c r="BA237" s="39"/>
      <c r="BB237" s="39"/>
      <c r="BC237" s="39"/>
      <c r="BD237" s="39"/>
      <c r="BE237" s="12" t="str">
        <f aca="false">IF(A237="","",IF(COUNTIF(Rebar_Schedule!$A$5:$A$2004,A237)=0,"",ROUND(SUMIF(Rebar_Schedule!$A$5:$A$2004,A237,Rebar_Schedule!$K$5:$K$2004),1)))</f>
        <v/>
      </c>
      <c r="BF237" s="33" t="str">
        <f aca="false">IF(A237="","",IF(BE237="","No rebar schedule yet",IF(ABS(BE237-N(BA237))/MAX(N(BA237),1)&gt;SG_Criteria!$B$55,"NOTE: register rebar differs from schedule by "&amp;TEXT(ABS(BE237-N(BA237))/MAX(N(BA237),1),"0%"),"OK")))</f>
        <v/>
      </c>
      <c r="BG237" s="33" t="str">
        <f aca="false">IF(OR(D237="",F237=""),"",IF(F237&lt;=IF(D237="Soldier Pile &amp; Timber Lagging",SG_Criteria!$B$34,SG_Criteria!$B$33),"No ERSS submission",IF(F237&lt;=SG_Criteria!$B$35,"QP(ST)",IF(F237&lt;=SG_Criteria!$B$36,"QP(ST) + AC","Geotechnical building works: QP(Geo) + AC"))))</f>
        <v/>
      </c>
      <c r="BH237" s="33" t="str">
        <f aca="false">IF(D237="","",IF(LEN(IF(AND(AC237&lt;&gt;"",IFERROR(VALUE(MID(AC237,2,2)),0)&lt;SG_Criteria!$B$19),"FAIL: grade below C"&amp;SG_Criteria!$B$19&amp;". ","")&amp;IF(AND(LEFT(D237,3)="Con",N(I237)&lt;F237,H237="Kallang Formation (marine clay)"),"NOTE: CBP is not watertight below GWT in marine clay; consider secant / grouting. ","")&amp;IF(AND(D237="Steel Sheet Pile",E237="Permanent"),"NOTE: permanent sheet pile needs corrosion allowance. ","")&amp;IF(AND(G237="Cantilever (no support)",F237&gt;6),"NOTE: cantilever embedded wall &gt; 6 m, check deflection. ","")&amp;IF(AND(T237&lt;&gt;"",U237&lt;&gt;"",T237&gt;U237),"FAIL: deflection exceeds allowable. ",""))=0,"OK",IF(AND(AC237&lt;&gt;"",IFERROR(VALUE(MID(AC237,2,2)),0)&lt;SG_Criteria!$B$19),"FAIL: grade below C"&amp;SG_Criteria!$B$19&amp;". ","")&amp;IF(AND(LEFT(D237,3)="Con",N(I237)&lt;F237,H237="Kallang Formation (marine clay)"),"NOTE: CBP is not watertight below GWT in marine clay; consider secant / grouting. ","")&amp;IF(AND(D237="Steel Sheet Pile",E237="Permanent"),"NOTE: permanent sheet pile needs corrosion allowance. ","")&amp;IF(AND(G237="Cantilever (no support)",F237&gt;6),"NOTE: cantilever embedded wall &gt; 6 m, check deflection. ","")&amp;IF(AND(T237&lt;&gt;"",U237&lt;&gt;"",T237&gt;U237),"FAIL: deflection exceeds allowable. ","")))</f>
        <v/>
      </c>
      <c r="BI237" s="9"/>
      <c r="BJ237" s="9"/>
      <c r="BK237" s="9"/>
      <c r="BL237" s="10" t="str">
        <f aca="false">IF(BK237="","",IFERROR(VLOOKUP(BK237,Projects!$A$5:$D$504,2,0),"Ref not in Projects"))</f>
        <v/>
      </c>
      <c r="BM237" s="10" t="str">
        <f aca="false">IF(BK237="","",IFERROR(VLOOKUP(BK237,Projects!$A$5:$D$504,4,0),"Ref not in Projects"))</f>
        <v/>
      </c>
      <c r="BN237" s="9"/>
      <c r="BO237" s="9"/>
      <c r="BP237" s="9"/>
      <c r="BQ237" s="40"/>
      <c r="BR237" s="9"/>
      <c r="BS237" s="40"/>
      <c r="BT237" s="9"/>
      <c r="BU237" s="40"/>
      <c r="BV237" s="9"/>
      <c r="BW237" s="9"/>
      <c r="BX237" s="9"/>
      <c r="BY237" s="40"/>
      <c r="BZ237" s="40"/>
      <c r="CA237" s="36" t="str">
        <f aca="false">IF(BZ237="","",EDATE(BZ237,SG_Criteria!$B$54*12))</f>
        <v/>
      </c>
      <c r="CB237" s="33" t="str">
        <f aca="true">IF(A237="","",IF(BZ237="","NOTE: not reviewed yet",IF(TODAY()&gt;CA237,"NOTE: review overdue","OK")))</f>
        <v/>
      </c>
      <c r="CC237" s="37" t="str">
        <f aca="false">IF(A237="","",ROUND((IF(LEN(D237)&gt;0,1,0)+IF(LEN(E237)&gt;0,1,0)+IF(LEN(F237)&gt;0,1,0)+IF(LEN(G237)&gt;0,1,0)+IF(LEN(H237)&gt;0,1,0)+IF(LEN(I237)&gt;0,1,0)+IF(LEN(K237)&gt;0,1,0)+IF(LEN(N237)&gt;0,1,0)+IF(LEN(O237)&gt;0,1,0)+IF(LEN(T237)&gt;0,1,0)+IF(LEN(U237)&gt;0,1,0)+IF(LEN(V237)&gt;0,1,0)+IF(LEN(AK237)&gt;0,1,0)+IF(LEN(AM237)&gt;0,1,0)+IF(LEN(AN237)&gt;0,1,0)+IF(LEN(AO237)&gt;0,1,0)+IF(LEN(AP237)&gt;0,1,0)+IF(LEN(AY237)&gt;0,1,0)+IF(LEN(BK237)&gt;0,1,0)+IF(LEN(BX237)&gt;0,1,0))/20,2))</f>
        <v/>
      </c>
      <c r="CD237" s="10" t="str">
        <f aca="false">IF(D237="","",IF(AND(AN237="Approved",ISERROR(SEARCH("FAIL",BH237))),"Y","N"))</f>
        <v/>
      </c>
      <c r="CE237" s="10" t="str">
        <f aca="false">IF(D237="","",D237&amp;"|"&amp;F237&amp;"|"&amp;G237&amp;"|"&amp;H237&amp;"|"&amp;E237&amp;"|"&amp;CD237)</f>
        <v/>
      </c>
    </row>
    <row r="238" customFormat="false" ht="15" hidden="false" customHeight="false" outlineLevel="0" collapsed="false">
      <c r="A238" s="10" t="str">
        <f aca="false">IF(D238="","","EW-"&amp;IFERROR(VLOOKUP(D238,Lists!$P$4:$Q$22,2,0),"??")&amp;"-D"&amp;TEXT(F238*1000,"0000")&amp;"-"&amp;IFERROR(VLOOKUP(G238,Lists!$S$4:$T$21,2,0),"??")&amp;"-"&amp;IFERROR(VLOOKUP(H238,Lists!$Y$4:$Z$21,2,0),"??")&amp;"-"&amp;IFERROR(VLOOKUP(E238,Lists!$V$4:$W$16,2,0),"??")&amp;"-"&amp;AM238)</f>
        <v/>
      </c>
      <c r="B238" s="10" t="str">
        <f aca="false">IF(D238="","",E238&amp;" "&amp;D238&amp;", excavation "&amp;TEXT(F238,"0.0")&amp;" m, "&amp;G238&amp;", "&amp;H238&amp;", "&amp;K238)</f>
        <v/>
      </c>
      <c r="C238" s="9"/>
      <c r="D238" s="9"/>
      <c r="E238" s="9"/>
      <c r="F238" s="42"/>
      <c r="G238" s="9"/>
      <c r="H238" s="9"/>
      <c r="I238" s="42"/>
      <c r="J238" s="38"/>
      <c r="K238" s="9"/>
      <c r="L238" s="9"/>
      <c r="M238" s="9"/>
      <c r="N238" s="42"/>
      <c r="O238" s="42"/>
      <c r="P238" s="9"/>
      <c r="Q238" s="9"/>
      <c r="R238" s="9"/>
      <c r="S238" s="9"/>
      <c r="T238" s="38"/>
      <c r="U238" s="38"/>
      <c r="V238" s="38"/>
      <c r="W238" s="38"/>
      <c r="X238" s="38"/>
      <c r="Y238" s="9"/>
      <c r="Z238" s="39"/>
      <c r="AA238" s="9"/>
      <c r="AB238" s="9"/>
      <c r="AC238" s="9"/>
      <c r="AD238" s="9"/>
      <c r="AE238" s="9"/>
      <c r="AF238" s="9"/>
      <c r="AG238" s="9"/>
      <c r="AH238" s="38"/>
      <c r="AI238" s="9"/>
      <c r="AJ238" s="39"/>
      <c r="AK238" s="9"/>
      <c r="AL238" s="9"/>
      <c r="AM238" s="9"/>
      <c r="AN238" s="9"/>
      <c r="AO238" s="9"/>
      <c r="AP238" s="9"/>
      <c r="AQ238" s="9"/>
      <c r="AR238" s="10" t="str">
        <f aca="false">IF(A238="","",SG_Criteria!$B$6&amp;SG_Criteria!$B$9&amp;"\"&amp;A238&amp;"\")</f>
        <v/>
      </c>
      <c r="AS238" s="10" t="str">
        <f aca="false">IF(A238="","",A238&amp;"_CAD.dwg")</f>
        <v/>
      </c>
      <c r="AT238" s="10" t="str">
        <f aca="false">IF(A238="","",A238&amp;"_DWG.pdf")</f>
        <v/>
      </c>
      <c r="AU238" s="10" t="str">
        <f aca="false">IF(A238="","",IF(AQ238="Y",A238&amp;"_STAAD.std","n/a"))</f>
        <v/>
      </c>
      <c r="AV238" s="10" t="str">
        <f aca="false">IF(A238="","",A238&amp;"_CALC.xlsx")</f>
        <v/>
      </c>
      <c r="AW238" s="10" t="str">
        <f aca="false">IF(A238="","",A238&amp;"_CALC.pdf")</f>
        <v/>
      </c>
      <c r="AX238" s="9"/>
      <c r="AY238" s="9"/>
      <c r="AZ238" s="39"/>
      <c r="BA238" s="39"/>
      <c r="BB238" s="39"/>
      <c r="BC238" s="39"/>
      <c r="BD238" s="39"/>
      <c r="BE238" s="12" t="str">
        <f aca="false">IF(A238="","",IF(COUNTIF(Rebar_Schedule!$A$5:$A$2004,A238)=0,"",ROUND(SUMIF(Rebar_Schedule!$A$5:$A$2004,A238,Rebar_Schedule!$K$5:$K$2004),1)))</f>
        <v/>
      </c>
      <c r="BF238" s="33" t="str">
        <f aca="false">IF(A238="","",IF(BE238="","No rebar schedule yet",IF(ABS(BE238-N(BA238))/MAX(N(BA238),1)&gt;SG_Criteria!$B$55,"NOTE: register rebar differs from schedule by "&amp;TEXT(ABS(BE238-N(BA238))/MAX(N(BA238),1),"0%"),"OK")))</f>
        <v/>
      </c>
      <c r="BG238" s="33" t="str">
        <f aca="false">IF(OR(D238="",F238=""),"",IF(F238&lt;=IF(D238="Soldier Pile &amp; Timber Lagging",SG_Criteria!$B$34,SG_Criteria!$B$33),"No ERSS submission",IF(F238&lt;=SG_Criteria!$B$35,"QP(ST)",IF(F238&lt;=SG_Criteria!$B$36,"QP(ST) + AC","Geotechnical building works: QP(Geo) + AC"))))</f>
        <v/>
      </c>
      <c r="BH238" s="33" t="str">
        <f aca="false">IF(D238="","",IF(LEN(IF(AND(AC238&lt;&gt;"",IFERROR(VALUE(MID(AC238,2,2)),0)&lt;SG_Criteria!$B$19),"FAIL: grade below C"&amp;SG_Criteria!$B$19&amp;". ","")&amp;IF(AND(LEFT(D238,3)="Con",N(I238)&lt;F238,H238="Kallang Formation (marine clay)"),"NOTE: CBP is not watertight below GWT in marine clay; consider secant / grouting. ","")&amp;IF(AND(D238="Steel Sheet Pile",E238="Permanent"),"NOTE: permanent sheet pile needs corrosion allowance. ","")&amp;IF(AND(G238="Cantilever (no support)",F238&gt;6),"NOTE: cantilever embedded wall &gt; 6 m, check deflection. ","")&amp;IF(AND(T238&lt;&gt;"",U238&lt;&gt;"",T238&gt;U238),"FAIL: deflection exceeds allowable. ",""))=0,"OK",IF(AND(AC238&lt;&gt;"",IFERROR(VALUE(MID(AC238,2,2)),0)&lt;SG_Criteria!$B$19),"FAIL: grade below C"&amp;SG_Criteria!$B$19&amp;". ","")&amp;IF(AND(LEFT(D238,3)="Con",N(I238)&lt;F238,H238="Kallang Formation (marine clay)"),"NOTE: CBP is not watertight below GWT in marine clay; consider secant / grouting. ","")&amp;IF(AND(D238="Steel Sheet Pile",E238="Permanent"),"NOTE: permanent sheet pile needs corrosion allowance. ","")&amp;IF(AND(G238="Cantilever (no support)",F238&gt;6),"NOTE: cantilever embedded wall &gt; 6 m, check deflection. ","")&amp;IF(AND(T238&lt;&gt;"",U238&lt;&gt;"",T238&gt;U238),"FAIL: deflection exceeds allowable. ","")))</f>
        <v/>
      </c>
      <c r="BI238" s="9"/>
      <c r="BJ238" s="9"/>
      <c r="BK238" s="9"/>
      <c r="BL238" s="10" t="str">
        <f aca="false">IF(BK238="","",IFERROR(VLOOKUP(BK238,Projects!$A$5:$D$504,2,0),"Ref not in Projects"))</f>
        <v/>
      </c>
      <c r="BM238" s="10" t="str">
        <f aca="false">IF(BK238="","",IFERROR(VLOOKUP(BK238,Projects!$A$5:$D$504,4,0),"Ref not in Projects"))</f>
        <v/>
      </c>
      <c r="BN238" s="9"/>
      <c r="BO238" s="9"/>
      <c r="BP238" s="9"/>
      <c r="BQ238" s="40"/>
      <c r="BR238" s="9"/>
      <c r="BS238" s="40"/>
      <c r="BT238" s="9"/>
      <c r="BU238" s="40"/>
      <c r="BV238" s="9"/>
      <c r="BW238" s="9"/>
      <c r="BX238" s="9"/>
      <c r="BY238" s="40"/>
      <c r="BZ238" s="40"/>
      <c r="CA238" s="36" t="str">
        <f aca="false">IF(BZ238="","",EDATE(BZ238,SG_Criteria!$B$54*12))</f>
        <v/>
      </c>
      <c r="CB238" s="33" t="str">
        <f aca="true">IF(A238="","",IF(BZ238="","NOTE: not reviewed yet",IF(TODAY()&gt;CA238,"NOTE: review overdue","OK")))</f>
        <v/>
      </c>
      <c r="CC238" s="37" t="str">
        <f aca="false">IF(A238="","",ROUND((IF(LEN(D238)&gt;0,1,0)+IF(LEN(E238)&gt;0,1,0)+IF(LEN(F238)&gt;0,1,0)+IF(LEN(G238)&gt;0,1,0)+IF(LEN(H238)&gt;0,1,0)+IF(LEN(I238)&gt;0,1,0)+IF(LEN(K238)&gt;0,1,0)+IF(LEN(N238)&gt;0,1,0)+IF(LEN(O238)&gt;0,1,0)+IF(LEN(T238)&gt;0,1,0)+IF(LEN(U238)&gt;0,1,0)+IF(LEN(V238)&gt;0,1,0)+IF(LEN(AK238)&gt;0,1,0)+IF(LEN(AM238)&gt;0,1,0)+IF(LEN(AN238)&gt;0,1,0)+IF(LEN(AO238)&gt;0,1,0)+IF(LEN(AP238)&gt;0,1,0)+IF(LEN(AY238)&gt;0,1,0)+IF(LEN(BK238)&gt;0,1,0)+IF(LEN(BX238)&gt;0,1,0))/20,2))</f>
        <v/>
      </c>
      <c r="CD238" s="10" t="str">
        <f aca="false">IF(D238="","",IF(AND(AN238="Approved",ISERROR(SEARCH("FAIL",BH238))),"Y","N"))</f>
        <v/>
      </c>
      <c r="CE238" s="10" t="str">
        <f aca="false">IF(D238="","",D238&amp;"|"&amp;F238&amp;"|"&amp;G238&amp;"|"&amp;H238&amp;"|"&amp;E238&amp;"|"&amp;CD238)</f>
        <v/>
      </c>
    </row>
    <row r="239" customFormat="false" ht="15" hidden="false" customHeight="false" outlineLevel="0" collapsed="false">
      <c r="A239" s="10" t="str">
        <f aca="false">IF(D239="","","EW-"&amp;IFERROR(VLOOKUP(D239,Lists!$P$4:$Q$22,2,0),"??")&amp;"-D"&amp;TEXT(F239*1000,"0000")&amp;"-"&amp;IFERROR(VLOOKUP(G239,Lists!$S$4:$T$21,2,0),"??")&amp;"-"&amp;IFERROR(VLOOKUP(H239,Lists!$Y$4:$Z$21,2,0),"??")&amp;"-"&amp;IFERROR(VLOOKUP(E239,Lists!$V$4:$W$16,2,0),"??")&amp;"-"&amp;AM239)</f>
        <v/>
      </c>
      <c r="B239" s="10" t="str">
        <f aca="false">IF(D239="","",E239&amp;" "&amp;D239&amp;", excavation "&amp;TEXT(F239,"0.0")&amp;" m, "&amp;G239&amp;", "&amp;H239&amp;", "&amp;K239)</f>
        <v/>
      </c>
      <c r="C239" s="9"/>
      <c r="D239" s="9"/>
      <c r="E239" s="9"/>
      <c r="F239" s="42"/>
      <c r="G239" s="9"/>
      <c r="H239" s="9"/>
      <c r="I239" s="42"/>
      <c r="J239" s="38"/>
      <c r="K239" s="9"/>
      <c r="L239" s="9"/>
      <c r="M239" s="9"/>
      <c r="N239" s="42"/>
      <c r="O239" s="42"/>
      <c r="P239" s="9"/>
      <c r="Q239" s="9"/>
      <c r="R239" s="9"/>
      <c r="S239" s="9"/>
      <c r="T239" s="38"/>
      <c r="U239" s="38"/>
      <c r="V239" s="38"/>
      <c r="W239" s="38"/>
      <c r="X239" s="38"/>
      <c r="Y239" s="9"/>
      <c r="Z239" s="39"/>
      <c r="AA239" s="9"/>
      <c r="AB239" s="9"/>
      <c r="AC239" s="9"/>
      <c r="AD239" s="9"/>
      <c r="AE239" s="9"/>
      <c r="AF239" s="9"/>
      <c r="AG239" s="9"/>
      <c r="AH239" s="38"/>
      <c r="AI239" s="9"/>
      <c r="AJ239" s="39"/>
      <c r="AK239" s="9"/>
      <c r="AL239" s="9"/>
      <c r="AM239" s="9"/>
      <c r="AN239" s="9"/>
      <c r="AO239" s="9"/>
      <c r="AP239" s="9"/>
      <c r="AQ239" s="9"/>
      <c r="AR239" s="10" t="str">
        <f aca="false">IF(A239="","",SG_Criteria!$B$6&amp;SG_Criteria!$B$9&amp;"\"&amp;A239&amp;"\")</f>
        <v/>
      </c>
      <c r="AS239" s="10" t="str">
        <f aca="false">IF(A239="","",A239&amp;"_CAD.dwg")</f>
        <v/>
      </c>
      <c r="AT239" s="10" t="str">
        <f aca="false">IF(A239="","",A239&amp;"_DWG.pdf")</f>
        <v/>
      </c>
      <c r="AU239" s="10" t="str">
        <f aca="false">IF(A239="","",IF(AQ239="Y",A239&amp;"_STAAD.std","n/a"))</f>
        <v/>
      </c>
      <c r="AV239" s="10" t="str">
        <f aca="false">IF(A239="","",A239&amp;"_CALC.xlsx")</f>
        <v/>
      </c>
      <c r="AW239" s="10" t="str">
        <f aca="false">IF(A239="","",A239&amp;"_CALC.pdf")</f>
        <v/>
      </c>
      <c r="AX239" s="9"/>
      <c r="AY239" s="9"/>
      <c r="AZ239" s="39"/>
      <c r="BA239" s="39"/>
      <c r="BB239" s="39"/>
      <c r="BC239" s="39"/>
      <c r="BD239" s="39"/>
      <c r="BE239" s="12" t="str">
        <f aca="false">IF(A239="","",IF(COUNTIF(Rebar_Schedule!$A$5:$A$2004,A239)=0,"",ROUND(SUMIF(Rebar_Schedule!$A$5:$A$2004,A239,Rebar_Schedule!$K$5:$K$2004),1)))</f>
        <v/>
      </c>
      <c r="BF239" s="33" t="str">
        <f aca="false">IF(A239="","",IF(BE239="","No rebar schedule yet",IF(ABS(BE239-N(BA239))/MAX(N(BA239),1)&gt;SG_Criteria!$B$55,"NOTE: register rebar differs from schedule by "&amp;TEXT(ABS(BE239-N(BA239))/MAX(N(BA239),1),"0%"),"OK")))</f>
        <v/>
      </c>
      <c r="BG239" s="33" t="str">
        <f aca="false">IF(OR(D239="",F239=""),"",IF(F239&lt;=IF(D239="Soldier Pile &amp; Timber Lagging",SG_Criteria!$B$34,SG_Criteria!$B$33),"No ERSS submission",IF(F239&lt;=SG_Criteria!$B$35,"QP(ST)",IF(F239&lt;=SG_Criteria!$B$36,"QP(ST) + AC","Geotechnical building works: QP(Geo) + AC"))))</f>
        <v/>
      </c>
      <c r="BH239" s="33" t="str">
        <f aca="false">IF(D239="","",IF(LEN(IF(AND(AC239&lt;&gt;"",IFERROR(VALUE(MID(AC239,2,2)),0)&lt;SG_Criteria!$B$19),"FAIL: grade below C"&amp;SG_Criteria!$B$19&amp;". ","")&amp;IF(AND(LEFT(D239,3)="Con",N(I239)&lt;F239,H239="Kallang Formation (marine clay)"),"NOTE: CBP is not watertight below GWT in marine clay; consider secant / grouting. ","")&amp;IF(AND(D239="Steel Sheet Pile",E239="Permanent"),"NOTE: permanent sheet pile needs corrosion allowance. ","")&amp;IF(AND(G239="Cantilever (no support)",F239&gt;6),"NOTE: cantilever embedded wall &gt; 6 m, check deflection. ","")&amp;IF(AND(T239&lt;&gt;"",U239&lt;&gt;"",T239&gt;U239),"FAIL: deflection exceeds allowable. ",""))=0,"OK",IF(AND(AC239&lt;&gt;"",IFERROR(VALUE(MID(AC239,2,2)),0)&lt;SG_Criteria!$B$19),"FAIL: grade below C"&amp;SG_Criteria!$B$19&amp;". ","")&amp;IF(AND(LEFT(D239,3)="Con",N(I239)&lt;F239,H239="Kallang Formation (marine clay)"),"NOTE: CBP is not watertight below GWT in marine clay; consider secant / grouting. ","")&amp;IF(AND(D239="Steel Sheet Pile",E239="Permanent"),"NOTE: permanent sheet pile needs corrosion allowance. ","")&amp;IF(AND(G239="Cantilever (no support)",F239&gt;6),"NOTE: cantilever embedded wall &gt; 6 m, check deflection. ","")&amp;IF(AND(T239&lt;&gt;"",U239&lt;&gt;"",T239&gt;U239),"FAIL: deflection exceeds allowable. ","")))</f>
        <v/>
      </c>
      <c r="BI239" s="9"/>
      <c r="BJ239" s="9"/>
      <c r="BK239" s="9"/>
      <c r="BL239" s="10" t="str">
        <f aca="false">IF(BK239="","",IFERROR(VLOOKUP(BK239,Projects!$A$5:$D$504,2,0),"Ref not in Projects"))</f>
        <v/>
      </c>
      <c r="BM239" s="10" t="str">
        <f aca="false">IF(BK239="","",IFERROR(VLOOKUP(BK239,Projects!$A$5:$D$504,4,0),"Ref not in Projects"))</f>
        <v/>
      </c>
      <c r="BN239" s="9"/>
      <c r="BO239" s="9"/>
      <c r="BP239" s="9"/>
      <c r="BQ239" s="40"/>
      <c r="BR239" s="9"/>
      <c r="BS239" s="40"/>
      <c r="BT239" s="9"/>
      <c r="BU239" s="40"/>
      <c r="BV239" s="9"/>
      <c r="BW239" s="9"/>
      <c r="BX239" s="9"/>
      <c r="BY239" s="40"/>
      <c r="BZ239" s="40"/>
      <c r="CA239" s="36" t="str">
        <f aca="false">IF(BZ239="","",EDATE(BZ239,SG_Criteria!$B$54*12))</f>
        <v/>
      </c>
      <c r="CB239" s="33" t="str">
        <f aca="true">IF(A239="","",IF(BZ239="","NOTE: not reviewed yet",IF(TODAY()&gt;CA239,"NOTE: review overdue","OK")))</f>
        <v/>
      </c>
      <c r="CC239" s="37" t="str">
        <f aca="false">IF(A239="","",ROUND((IF(LEN(D239)&gt;0,1,0)+IF(LEN(E239)&gt;0,1,0)+IF(LEN(F239)&gt;0,1,0)+IF(LEN(G239)&gt;0,1,0)+IF(LEN(H239)&gt;0,1,0)+IF(LEN(I239)&gt;0,1,0)+IF(LEN(K239)&gt;0,1,0)+IF(LEN(N239)&gt;0,1,0)+IF(LEN(O239)&gt;0,1,0)+IF(LEN(T239)&gt;0,1,0)+IF(LEN(U239)&gt;0,1,0)+IF(LEN(V239)&gt;0,1,0)+IF(LEN(AK239)&gt;0,1,0)+IF(LEN(AM239)&gt;0,1,0)+IF(LEN(AN239)&gt;0,1,0)+IF(LEN(AO239)&gt;0,1,0)+IF(LEN(AP239)&gt;0,1,0)+IF(LEN(AY239)&gt;0,1,0)+IF(LEN(BK239)&gt;0,1,0)+IF(LEN(BX239)&gt;0,1,0))/20,2))</f>
        <v/>
      </c>
      <c r="CD239" s="10" t="str">
        <f aca="false">IF(D239="","",IF(AND(AN239="Approved",ISERROR(SEARCH("FAIL",BH239))),"Y","N"))</f>
        <v/>
      </c>
      <c r="CE239" s="10" t="str">
        <f aca="false">IF(D239="","",D239&amp;"|"&amp;F239&amp;"|"&amp;G239&amp;"|"&amp;H239&amp;"|"&amp;E239&amp;"|"&amp;CD239)</f>
        <v/>
      </c>
    </row>
    <row r="240" customFormat="false" ht="15" hidden="false" customHeight="false" outlineLevel="0" collapsed="false">
      <c r="A240" s="10" t="str">
        <f aca="false">IF(D240="","","EW-"&amp;IFERROR(VLOOKUP(D240,Lists!$P$4:$Q$22,2,0),"??")&amp;"-D"&amp;TEXT(F240*1000,"0000")&amp;"-"&amp;IFERROR(VLOOKUP(G240,Lists!$S$4:$T$21,2,0),"??")&amp;"-"&amp;IFERROR(VLOOKUP(H240,Lists!$Y$4:$Z$21,2,0),"??")&amp;"-"&amp;IFERROR(VLOOKUP(E240,Lists!$V$4:$W$16,2,0),"??")&amp;"-"&amp;AM240)</f>
        <v/>
      </c>
      <c r="B240" s="10" t="str">
        <f aca="false">IF(D240="","",E240&amp;" "&amp;D240&amp;", excavation "&amp;TEXT(F240,"0.0")&amp;" m, "&amp;G240&amp;", "&amp;H240&amp;", "&amp;K240)</f>
        <v/>
      </c>
      <c r="C240" s="9"/>
      <c r="D240" s="9"/>
      <c r="E240" s="9"/>
      <c r="F240" s="42"/>
      <c r="G240" s="9"/>
      <c r="H240" s="9"/>
      <c r="I240" s="42"/>
      <c r="J240" s="38"/>
      <c r="K240" s="9"/>
      <c r="L240" s="9"/>
      <c r="M240" s="9"/>
      <c r="N240" s="42"/>
      <c r="O240" s="42"/>
      <c r="P240" s="9"/>
      <c r="Q240" s="9"/>
      <c r="R240" s="9"/>
      <c r="S240" s="9"/>
      <c r="T240" s="38"/>
      <c r="U240" s="38"/>
      <c r="V240" s="38"/>
      <c r="W240" s="38"/>
      <c r="X240" s="38"/>
      <c r="Y240" s="9"/>
      <c r="Z240" s="39"/>
      <c r="AA240" s="9"/>
      <c r="AB240" s="9"/>
      <c r="AC240" s="9"/>
      <c r="AD240" s="9"/>
      <c r="AE240" s="9"/>
      <c r="AF240" s="9"/>
      <c r="AG240" s="9"/>
      <c r="AH240" s="38"/>
      <c r="AI240" s="9"/>
      <c r="AJ240" s="39"/>
      <c r="AK240" s="9"/>
      <c r="AL240" s="9"/>
      <c r="AM240" s="9"/>
      <c r="AN240" s="9"/>
      <c r="AO240" s="9"/>
      <c r="AP240" s="9"/>
      <c r="AQ240" s="9"/>
      <c r="AR240" s="10" t="str">
        <f aca="false">IF(A240="","",SG_Criteria!$B$6&amp;SG_Criteria!$B$9&amp;"\"&amp;A240&amp;"\")</f>
        <v/>
      </c>
      <c r="AS240" s="10" t="str">
        <f aca="false">IF(A240="","",A240&amp;"_CAD.dwg")</f>
        <v/>
      </c>
      <c r="AT240" s="10" t="str">
        <f aca="false">IF(A240="","",A240&amp;"_DWG.pdf")</f>
        <v/>
      </c>
      <c r="AU240" s="10" t="str">
        <f aca="false">IF(A240="","",IF(AQ240="Y",A240&amp;"_STAAD.std","n/a"))</f>
        <v/>
      </c>
      <c r="AV240" s="10" t="str">
        <f aca="false">IF(A240="","",A240&amp;"_CALC.xlsx")</f>
        <v/>
      </c>
      <c r="AW240" s="10" t="str">
        <f aca="false">IF(A240="","",A240&amp;"_CALC.pdf")</f>
        <v/>
      </c>
      <c r="AX240" s="9"/>
      <c r="AY240" s="9"/>
      <c r="AZ240" s="39"/>
      <c r="BA240" s="39"/>
      <c r="BB240" s="39"/>
      <c r="BC240" s="39"/>
      <c r="BD240" s="39"/>
      <c r="BE240" s="12" t="str">
        <f aca="false">IF(A240="","",IF(COUNTIF(Rebar_Schedule!$A$5:$A$2004,A240)=0,"",ROUND(SUMIF(Rebar_Schedule!$A$5:$A$2004,A240,Rebar_Schedule!$K$5:$K$2004),1)))</f>
        <v/>
      </c>
      <c r="BF240" s="33" t="str">
        <f aca="false">IF(A240="","",IF(BE240="","No rebar schedule yet",IF(ABS(BE240-N(BA240))/MAX(N(BA240),1)&gt;SG_Criteria!$B$55,"NOTE: register rebar differs from schedule by "&amp;TEXT(ABS(BE240-N(BA240))/MAX(N(BA240),1),"0%"),"OK")))</f>
        <v/>
      </c>
      <c r="BG240" s="33" t="str">
        <f aca="false">IF(OR(D240="",F240=""),"",IF(F240&lt;=IF(D240="Soldier Pile &amp; Timber Lagging",SG_Criteria!$B$34,SG_Criteria!$B$33),"No ERSS submission",IF(F240&lt;=SG_Criteria!$B$35,"QP(ST)",IF(F240&lt;=SG_Criteria!$B$36,"QP(ST) + AC","Geotechnical building works: QP(Geo) + AC"))))</f>
        <v/>
      </c>
      <c r="BH240" s="33" t="str">
        <f aca="false">IF(D240="","",IF(LEN(IF(AND(AC240&lt;&gt;"",IFERROR(VALUE(MID(AC240,2,2)),0)&lt;SG_Criteria!$B$19),"FAIL: grade below C"&amp;SG_Criteria!$B$19&amp;". ","")&amp;IF(AND(LEFT(D240,3)="Con",N(I240)&lt;F240,H240="Kallang Formation (marine clay)"),"NOTE: CBP is not watertight below GWT in marine clay; consider secant / grouting. ","")&amp;IF(AND(D240="Steel Sheet Pile",E240="Permanent"),"NOTE: permanent sheet pile needs corrosion allowance. ","")&amp;IF(AND(G240="Cantilever (no support)",F240&gt;6),"NOTE: cantilever embedded wall &gt; 6 m, check deflection. ","")&amp;IF(AND(T240&lt;&gt;"",U240&lt;&gt;"",T240&gt;U240),"FAIL: deflection exceeds allowable. ",""))=0,"OK",IF(AND(AC240&lt;&gt;"",IFERROR(VALUE(MID(AC240,2,2)),0)&lt;SG_Criteria!$B$19),"FAIL: grade below C"&amp;SG_Criteria!$B$19&amp;". ","")&amp;IF(AND(LEFT(D240,3)="Con",N(I240)&lt;F240,H240="Kallang Formation (marine clay)"),"NOTE: CBP is not watertight below GWT in marine clay; consider secant / grouting. ","")&amp;IF(AND(D240="Steel Sheet Pile",E240="Permanent"),"NOTE: permanent sheet pile needs corrosion allowance. ","")&amp;IF(AND(G240="Cantilever (no support)",F240&gt;6),"NOTE: cantilever embedded wall &gt; 6 m, check deflection. ","")&amp;IF(AND(T240&lt;&gt;"",U240&lt;&gt;"",T240&gt;U240),"FAIL: deflection exceeds allowable. ","")))</f>
        <v/>
      </c>
      <c r="BI240" s="9"/>
      <c r="BJ240" s="9"/>
      <c r="BK240" s="9"/>
      <c r="BL240" s="10" t="str">
        <f aca="false">IF(BK240="","",IFERROR(VLOOKUP(BK240,Projects!$A$5:$D$504,2,0),"Ref not in Projects"))</f>
        <v/>
      </c>
      <c r="BM240" s="10" t="str">
        <f aca="false">IF(BK240="","",IFERROR(VLOOKUP(BK240,Projects!$A$5:$D$504,4,0),"Ref not in Projects"))</f>
        <v/>
      </c>
      <c r="BN240" s="9"/>
      <c r="BO240" s="9"/>
      <c r="BP240" s="9"/>
      <c r="BQ240" s="40"/>
      <c r="BR240" s="9"/>
      <c r="BS240" s="40"/>
      <c r="BT240" s="9"/>
      <c r="BU240" s="40"/>
      <c r="BV240" s="9"/>
      <c r="BW240" s="9"/>
      <c r="BX240" s="9"/>
      <c r="BY240" s="40"/>
      <c r="BZ240" s="40"/>
      <c r="CA240" s="36" t="str">
        <f aca="false">IF(BZ240="","",EDATE(BZ240,SG_Criteria!$B$54*12))</f>
        <v/>
      </c>
      <c r="CB240" s="33" t="str">
        <f aca="true">IF(A240="","",IF(BZ240="","NOTE: not reviewed yet",IF(TODAY()&gt;CA240,"NOTE: review overdue","OK")))</f>
        <v/>
      </c>
      <c r="CC240" s="37" t="str">
        <f aca="false">IF(A240="","",ROUND((IF(LEN(D240)&gt;0,1,0)+IF(LEN(E240)&gt;0,1,0)+IF(LEN(F240)&gt;0,1,0)+IF(LEN(G240)&gt;0,1,0)+IF(LEN(H240)&gt;0,1,0)+IF(LEN(I240)&gt;0,1,0)+IF(LEN(K240)&gt;0,1,0)+IF(LEN(N240)&gt;0,1,0)+IF(LEN(O240)&gt;0,1,0)+IF(LEN(T240)&gt;0,1,0)+IF(LEN(U240)&gt;0,1,0)+IF(LEN(V240)&gt;0,1,0)+IF(LEN(AK240)&gt;0,1,0)+IF(LEN(AM240)&gt;0,1,0)+IF(LEN(AN240)&gt;0,1,0)+IF(LEN(AO240)&gt;0,1,0)+IF(LEN(AP240)&gt;0,1,0)+IF(LEN(AY240)&gt;0,1,0)+IF(LEN(BK240)&gt;0,1,0)+IF(LEN(BX240)&gt;0,1,0))/20,2))</f>
        <v/>
      </c>
      <c r="CD240" s="10" t="str">
        <f aca="false">IF(D240="","",IF(AND(AN240="Approved",ISERROR(SEARCH("FAIL",BH240))),"Y","N"))</f>
        <v/>
      </c>
      <c r="CE240" s="10" t="str">
        <f aca="false">IF(D240="","",D240&amp;"|"&amp;F240&amp;"|"&amp;G240&amp;"|"&amp;H240&amp;"|"&amp;E240&amp;"|"&amp;CD240)</f>
        <v/>
      </c>
    </row>
    <row r="241" customFormat="false" ht="15" hidden="false" customHeight="false" outlineLevel="0" collapsed="false">
      <c r="A241" s="10" t="str">
        <f aca="false">IF(D241="","","EW-"&amp;IFERROR(VLOOKUP(D241,Lists!$P$4:$Q$22,2,0),"??")&amp;"-D"&amp;TEXT(F241*1000,"0000")&amp;"-"&amp;IFERROR(VLOOKUP(G241,Lists!$S$4:$T$21,2,0),"??")&amp;"-"&amp;IFERROR(VLOOKUP(H241,Lists!$Y$4:$Z$21,2,0),"??")&amp;"-"&amp;IFERROR(VLOOKUP(E241,Lists!$V$4:$W$16,2,0),"??")&amp;"-"&amp;AM241)</f>
        <v/>
      </c>
      <c r="B241" s="10" t="str">
        <f aca="false">IF(D241="","",E241&amp;" "&amp;D241&amp;", excavation "&amp;TEXT(F241,"0.0")&amp;" m, "&amp;G241&amp;", "&amp;H241&amp;", "&amp;K241)</f>
        <v/>
      </c>
      <c r="C241" s="9"/>
      <c r="D241" s="9"/>
      <c r="E241" s="9"/>
      <c r="F241" s="42"/>
      <c r="G241" s="9"/>
      <c r="H241" s="9"/>
      <c r="I241" s="42"/>
      <c r="J241" s="38"/>
      <c r="K241" s="9"/>
      <c r="L241" s="9"/>
      <c r="M241" s="9"/>
      <c r="N241" s="42"/>
      <c r="O241" s="42"/>
      <c r="P241" s="9"/>
      <c r="Q241" s="9"/>
      <c r="R241" s="9"/>
      <c r="S241" s="9"/>
      <c r="T241" s="38"/>
      <c r="U241" s="38"/>
      <c r="V241" s="38"/>
      <c r="W241" s="38"/>
      <c r="X241" s="38"/>
      <c r="Y241" s="9"/>
      <c r="Z241" s="39"/>
      <c r="AA241" s="9"/>
      <c r="AB241" s="9"/>
      <c r="AC241" s="9"/>
      <c r="AD241" s="9"/>
      <c r="AE241" s="9"/>
      <c r="AF241" s="9"/>
      <c r="AG241" s="9"/>
      <c r="AH241" s="38"/>
      <c r="AI241" s="9"/>
      <c r="AJ241" s="39"/>
      <c r="AK241" s="9"/>
      <c r="AL241" s="9"/>
      <c r="AM241" s="9"/>
      <c r="AN241" s="9"/>
      <c r="AO241" s="9"/>
      <c r="AP241" s="9"/>
      <c r="AQ241" s="9"/>
      <c r="AR241" s="10" t="str">
        <f aca="false">IF(A241="","",SG_Criteria!$B$6&amp;SG_Criteria!$B$9&amp;"\"&amp;A241&amp;"\")</f>
        <v/>
      </c>
      <c r="AS241" s="10" t="str">
        <f aca="false">IF(A241="","",A241&amp;"_CAD.dwg")</f>
        <v/>
      </c>
      <c r="AT241" s="10" t="str">
        <f aca="false">IF(A241="","",A241&amp;"_DWG.pdf")</f>
        <v/>
      </c>
      <c r="AU241" s="10" t="str">
        <f aca="false">IF(A241="","",IF(AQ241="Y",A241&amp;"_STAAD.std","n/a"))</f>
        <v/>
      </c>
      <c r="AV241" s="10" t="str">
        <f aca="false">IF(A241="","",A241&amp;"_CALC.xlsx")</f>
        <v/>
      </c>
      <c r="AW241" s="10" t="str">
        <f aca="false">IF(A241="","",A241&amp;"_CALC.pdf")</f>
        <v/>
      </c>
      <c r="AX241" s="9"/>
      <c r="AY241" s="9"/>
      <c r="AZ241" s="39"/>
      <c r="BA241" s="39"/>
      <c r="BB241" s="39"/>
      <c r="BC241" s="39"/>
      <c r="BD241" s="39"/>
      <c r="BE241" s="12" t="str">
        <f aca="false">IF(A241="","",IF(COUNTIF(Rebar_Schedule!$A$5:$A$2004,A241)=0,"",ROUND(SUMIF(Rebar_Schedule!$A$5:$A$2004,A241,Rebar_Schedule!$K$5:$K$2004),1)))</f>
        <v/>
      </c>
      <c r="BF241" s="33" t="str">
        <f aca="false">IF(A241="","",IF(BE241="","No rebar schedule yet",IF(ABS(BE241-N(BA241))/MAX(N(BA241),1)&gt;SG_Criteria!$B$55,"NOTE: register rebar differs from schedule by "&amp;TEXT(ABS(BE241-N(BA241))/MAX(N(BA241),1),"0%"),"OK")))</f>
        <v/>
      </c>
      <c r="BG241" s="33" t="str">
        <f aca="false">IF(OR(D241="",F241=""),"",IF(F241&lt;=IF(D241="Soldier Pile &amp; Timber Lagging",SG_Criteria!$B$34,SG_Criteria!$B$33),"No ERSS submission",IF(F241&lt;=SG_Criteria!$B$35,"QP(ST)",IF(F241&lt;=SG_Criteria!$B$36,"QP(ST) + AC","Geotechnical building works: QP(Geo) + AC"))))</f>
        <v/>
      </c>
      <c r="BH241" s="33" t="str">
        <f aca="false">IF(D241="","",IF(LEN(IF(AND(AC241&lt;&gt;"",IFERROR(VALUE(MID(AC241,2,2)),0)&lt;SG_Criteria!$B$19),"FAIL: grade below C"&amp;SG_Criteria!$B$19&amp;". ","")&amp;IF(AND(LEFT(D241,3)="Con",N(I241)&lt;F241,H241="Kallang Formation (marine clay)"),"NOTE: CBP is not watertight below GWT in marine clay; consider secant / grouting. ","")&amp;IF(AND(D241="Steel Sheet Pile",E241="Permanent"),"NOTE: permanent sheet pile needs corrosion allowance. ","")&amp;IF(AND(G241="Cantilever (no support)",F241&gt;6),"NOTE: cantilever embedded wall &gt; 6 m, check deflection. ","")&amp;IF(AND(T241&lt;&gt;"",U241&lt;&gt;"",T241&gt;U241),"FAIL: deflection exceeds allowable. ",""))=0,"OK",IF(AND(AC241&lt;&gt;"",IFERROR(VALUE(MID(AC241,2,2)),0)&lt;SG_Criteria!$B$19),"FAIL: grade below C"&amp;SG_Criteria!$B$19&amp;". ","")&amp;IF(AND(LEFT(D241,3)="Con",N(I241)&lt;F241,H241="Kallang Formation (marine clay)"),"NOTE: CBP is not watertight below GWT in marine clay; consider secant / grouting. ","")&amp;IF(AND(D241="Steel Sheet Pile",E241="Permanent"),"NOTE: permanent sheet pile needs corrosion allowance. ","")&amp;IF(AND(G241="Cantilever (no support)",F241&gt;6),"NOTE: cantilever embedded wall &gt; 6 m, check deflection. ","")&amp;IF(AND(T241&lt;&gt;"",U241&lt;&gt;"",T241&gt;U241),"FAIL: deflection exceeds allowable. ","")))</f>
        <v/>
      </c>
      <c r="BI241" s="9"/>
      <c r="BJ241" s="9"/>
      <c r="BK241" s="9"/>
      <c r="BL241" s="10" t="str">
        <f aca="false">IF(BK241="","",IFERROR(VLOOKUP(BK241,Projects!$A$5:$D$504,2,0),"Ref not in Projects"))</f>
        <v/>
      </c>
      <c r="BM241" s="10" t="str">
        <f aca="false">IF(BK241="","",IFERROR(VLOOKUP(BK241,Projects!$A$5:$D$504,4,0),"Ref not in Projects"))</f>
        <v/>
      </c>
      <c r="BN241" s="9"/>
      <c r="BO241" s="9"/>
      <c r="BP241" s="9"/>
      <c r="BQ241" s="40"/>
      <c r="BR241" s="9"/>
      <c r="BS241" s="40"/>
      <c r="BT241" s="9"/>
      <c r="BU241" s="40"/>
      <c r="BV241" s="9"/>
      <c r="BW241" s="9"/>
      <c r="BX241" s="9"/>
      <c r="BY241" s="40"/>
      <c r="BZ241" s="40"/>
      <c r="CA241" s="36" t="str">
        <f aca="false">IF(BZ241="","",EDATE(BZ241,SG_Criteria!$B$54*12))</f>
        <v/>
      </c>
      <c r="CB241" s="33" t="str">
        <f aca="true">IF(A241="","",IF(BZ241="","NOTE: not reviewed yet",IF(TODAY()&gt;CA241,"NOTE: review overdue","OK")))</f>
        <v/>
      </c>
      <c r="CC241" s="37" t="str">
        <f aca="false">IF(A241="","",ROUND((IF(LEN(D241)&gt;0,1,0)+IF(LEN(E241)&gt;0,1,0)+IF(LEN(F241)&gt;0,1,0)+IF(LEN(G241)&gt;0,1,0)+IF(LEN(H241)&gt;0,1,0)+IF(LEN(I241)&gt;0,1,0)+IF(LEN(K241)&gt;0,1,0)+IF(LEN(N241)&gt;0,1,0)+IF(LEN(O241)&gt;0,1,0)+IF(LEN(T241)&gt;0,1,0)+IF(LEN(U241)&gt;0,1,0)+IF(LEN(V241)&gt;0,1,0)+IF(LEN(AK241)&gt;0,1,0)+IF(LEN(AM241)&gt;0,1,0)+IF(LEN(AN241)&gt;0,1,0)+IF(LEN(AO241)&gt;0,1,0)+IF(LEN(AP241)&gt;0,1,0)+IF(LEN(AY241)&gt;0,1,0)+IF(LEN(BK241)&gt;0,1,0)+IF(LEN(BX241)&gt;0,1,0))/20,2))</f>
        <v/>
      </c>
      <c r="CD241" s="10" t="str">
        <f aca="false">IF(D241="","",IF(AND(AN241="Approved",ISERROR(SEARCH("FAIL",BH241))),"Y","N"))</f>
        <v/>
      </c>
      <c r="CE241" s="10" t="str">
        <f aca="false">IF(D241="","",D241&amp;"|"&amp;F241&amp;"|"&amp;G241&amp;"|"&amp;H241&amp;"|"&amp;E241&amp;"|"&amp;CD241)</f>
        <v/>
      </c>
    </row>
    <row r="242" customFormat="false" ht="15" hidden="false" customHeight="false" outlineLevel="0" collapsed="false">
      <c r="A242" s="10" t="str">
        <f aca="false">IF(D242="","","EW-"&amp;IFERROR(VLOOKUP(D242,Lists!$P$4:$Q$22,2,0),"??")&amp;"-D"&amp;TEXT(F242*1000,"0000")&amp;"-"&amp;IFERROR(VLOOKUP(G242,Lists!$S$4:$T$21,2,0),"??")&amp;"-"&amp;IFERROR(VLOOKUP(H242,Lists!$Y$4:$Z$21,2,0),"??")&amp;"-"&amp;IFERROR(VLOOKUP(E242,Lists!$V$4:$W$16,2,0),"??")&amp;"-"&amp;AM242)</f>
        <v/>
      </c>
      <c r="B242" s="10" t="str">
        <f aca="false">IF(D242="","",E242&amp;" "&amp;D242&amp;", excavation "&amp;TEXT(F242,"0.0")&amp;" m, "&amp;G242&amp;", "&amp;H242&amp;", "&amp;K242)</f>
        <v/>
      </c>
      <c r="C242" s="9"/>
      <c r="D242" s="9"/>
      <c r="E242" s="9"/>
      <c r="F242" s="42"/>
      <c r="G242" s="9"/>
      <c r="H242" s="9"/>
      <c r="I242" s="42"/>
      <c r="J242" s="38"/>
      <c r="K242" s="9"/>
      <c r="L242" s="9"/>
      <c r="M242" s="9"/>
      <c r="N242" s="42"/>
      <c r="O242" s="42"/>
      <c r="P242" s="9"/>
      <c r="Q242" s="9"/>
      <c r="R242" s="9"/>
      <c r="S242" s="9"/>
      <c r="T242" s="38"/>
      <c r="U242" s="38"/>
      <c r="V242" s="38"/>
      <c r="W242" s="38"/>
      <c r="X242" s="38"/>
      <c r="Y242" s="9"/>
      <c r="Z242" s="39"/>
      <c r="AA242" s="9"/>
      <c r="AB242" s="9"/>
      <c r="AC242" s="9"/>
      <c r="AD242" s="9"/>
      <c r="AE242" s="9"/>
      <c r="AF242" s="9"/>
      <c r="AG242" s="9"/>
      <c r="AH242" s="38"/>
      <c r="AI242" s="9"/>
      <c r="AJ242" s="39"/>
      <c r="AK242" s="9"/>
      <c r="AL242" s="9"/>
      <c r="AM242" s="9"/>
      <c r="AN242" s="9"/>
      <c r="AO242" s="9"/>
      <c r="AP242" s="9"/>
      <c r="AQ242" s="9"/>
      <c r="AR242" s="10" t="str">
        <f aca="false">IF(A242="","",SG_Criteria!$B$6&amp;SG_Criteria!$B$9&amp;"\"&amp;A242&amp;"\")</f>
        <v/>
      </c>
      <c r="AS242" s="10" t="str">
        <f aca="false">IF(A242="","",A242&amp;"_CAD.dwg")</f>
        <v/>
      </c>
      <c r="AT242" s="10" t="str">
        <f aca="false">IF(A242="","",A242&amp;"_DWG.pdf")</f>
        <v/>
      </c>
      <c r="AU242" s="10" t="str">
        <f aca="false">IF(A242="","",IF(AQ242="Y",A242&amp;"_STAAD.std","n/a"))</f>
        <v/>
      </c>
      <c r="AV242" s="10" t="str">
        <f aca="false">IF(A242="","",A242&amp;"_CALC.xlsx")</f>
        <v/>
      </c>
      <c r="AW242" s="10" t="str">
        <f aca="false">IF(A242="","",A242&amp;"_CALC.pdf")</f>
        <v/>
      </c>
      <c r="AX242" s="9"/>
      <c r="AY242" s="9"/>
      <c r="AZ242" s="39"/>
      <c r="BA242" s="39"/>
      <c r="BB242" s="39"/>
      <c r="BC242" s="39"/>
      <c r="BD242" s="39"/>
      <c r="BE242" s="12" t="str">
        <f aca="false">IF(A242="","",IF(COUNTIF(Rebar_Schedule!$A$5:$A$2004,A242)=0,"",ROUND(SUMIF(Rebar_Schedule!$A$5:$A$2004,A242,Rebar_Schedule!$K$5:$K$2004),1)))</f>
        <v/>
      </c>
      <c r="BF242" s="33" t="str">
        <f aca="false">IF(A242="","",IF(BE242="","No rebar schedule yet",IF(ABS(BE242-N(BA242))/MAX(N(BA242),1)&gt;SG_Criteria!$B$55,"NOTE: register rebar differs from schedule by "&amp;TEXT(ABS(BE242-N(BA242))/MAX(N(BA242),1),"0%"),"OK")))</f>
        <v/>
      </c>
      <c r="BG242" s="33" t="str">
        <f aca="false">IF(OR(D242="",F242=""),"",IF(F242&lt;=IF(D242="Soldier Pile &amp; Timber Lagging",SG_Criteria!$B$34,SG_Criteria!$B$33),"No ERSS submission",IF(F242&lt;=SG_Criteria!$B$35,"QP(ST)",IF(F242&lt;=SG_Criteria!$B$36,"QP(ST) + AC","Geotechnical building works: QP(Geo) + AC"))))</f>
        <v/>
      </c>
      <c r="BH242" s="33" t="str">
        <f aca="false">IF(D242="","",IF(LEN(IF(AND(AC242&lt;&gt;"",IFERROR(VALUE(MID(AC242,2,2)),0)&lt;SG_Criteria!$B$19),"FAIL: grade below C"&amp;SG_Criteria!$B$19&amp;". ","")&amp;IF(AND(LEFT(D242,3)="Con",N(I242)&lt;F242,H242="Kallang Formation (marine clay)"),"NOTE: CBP is not watertight below GWT in marine clay; consider secant / grouting. ","")&amp;IF(AND(D242="Steel Sheet Pile",E242="Permanent"),"NOTE: permanent sheet pile needs corrosion allowance. ","")&amp;IF(AND(G242="Cantilever (no support)",F242&gt;6),"NOTE: cantilever embedded wall &gt; 6 m, check deflection. ","")&amp;IF(AND(T242&lt;&gt;"",U242&lt;&gt;"",T242&gt;U242),"FAIL: deflection exceeds allowable. ",""))=0,"OK",IF(AND(AC242&lt;&gt;"",IFERROR(VALUE(MID(AC242,2,2)),0)&lt;SG_Criteria!$B$19),"FAIL: grade below C"&amp;SG_Criteria!$B$19&amp;". ","")&amp;IF(AND(LEFT(D242,3)="Con",N(I242)&lt;F242,H242="Kallang Formation (marine clay)"),"NOTE: CBP is not watertight below GWT in marine clay; consider secant / grouting. ","")&amp;IF(AND(D242="Steel Sheet Pile",E242="Permanent"),"NOTE: permanent sheet pile needs corrosion allowance. ","")&amp;IF(AND(G242="Cantilever (no support)",F242&gt;6),"NOTE: cantilever embedded wall &gt; 6 m, check deflection. ","")&amp;IF(AND(T242&lt;&gt;"",U242&lt;&gt;"",T242&gt;U242),"FAIL: deflection exceeds allowable. ","")))</f>
        <v/>
      </c>
      <c r="BI242" s="9"/>
      <c r="BJ242" s="9"/>
      <c r="BK242" s="9"/>
      <c r="BL242" s="10" t="str">
        <f aca="false">IF(BK242="","",IFERROR(VLOOKUP(BK242,Projects!$A$5:$D$504,2,0),"Ref not in Projects"))</f>
        <v/>
      </c>
      <c r="BM242" s="10" t="str">
        <f aca="false">IF(BK242="","",IFERROR(VLOOKUP(BK242,Projects!$A$5:$D$504,4,0),"Ref not in Projects"))</f>
        <v/>
      </c>
      <c r="BN242" s="9"/>
      <c r="BO242" s="9"/>
      <c r="BP242" s="9"/>
      <c r="BQ242" s="40"/>
      <c r="BR242" s="9"/>
      <c r="BS242" s="40"/>
      <c r="BT242" s="9"/>
      <c r="BU242" s="40"/>
      <c r="BV242" s="9"/>
      <c r="BW242" s="9"/>
      <c r="BX242" s="9"/>
      <c r="BY242" s="40"/>
      <c r="BZ242" s="40"/>
      <c r="CA242" s="36" t="str">
        <f aca="false">IF(BZ242="","",EDATE(BZ242,SG_Criteria!$B$54*12))</f>
        <v/>
      </c>
      <c r="CB242" s="33" t="str">
        <f aca="true">IF(A242="","",IF(BZ242="","NOTE: not reviewed yet",IF(TODAY()&gt;CA242,"NOTE: review overdue","OK")))</f>
        <v/>
      </c>
      <c r="CC242" s="37" t="str">
        <f aca="false">IF(A242="","",ROUND((IF(LEN(D242)&gt;0,1,0)+IF(LEN(E242)&gt;0,1,0)+IF(LEN(F242)&gt;0,1,0)+IF(LEN(G242)&gt;0,1,0)+IF(LEN(H242)&gt;0,1,0)+IF(LEN(I242)&gt;0,1,0)+IF(LEN(K242)&gt;0,1,0)+IF(LEN(N242)&gt;0,1,0)+IF(LEN(O242)&gt;0,1,0)+IF(LEN(T242)&gt;0,1,0)+IF(LEN(U242)&gt;0,1,0)+IF(LEN(V242)&gt;0,1,0)+IF(LEN(AK242)&gt;0,1,0)+IF(LEN(AM242)&gt;0,1,0)+IF(LEN(AN242)&gt;0,1,0)+IF(LEN(AO242)&gt;0,1,0)+IF(LEN(AP242)&gt;0,1,0)+IF(LEN(AY242)&gt;0,1,0)+IF(LEN(BK242)&gt;0,1,0)+IF(LEN(BX242)&gt;0,1,0))/20,2))</f>
        <v/>
      </c>
      <c r="CD242" s="10" t="str">
        <f aca="false">IF(D242="","",IF(AND(AN242="Approved",ISERROR(SEARCH("FAIL",BH242))),"Y","N"))</f>
        <v/>
      </c>
      <c r="CE242" s="10" t="str">
        <f aca="false">IF(D242="","",D242&amp;"|"&amp;F242&amp;"|"&amp;G242&amp;"|"&amp;H242&amp;"|"&amp;E242&amp;"|"&amp;CD242)</f>
        <v/>
      </c>
    </row>
    <row r="243" customFormat="false" ht="15" hidden="false" customHeight="false" outlineLevel="0" collapsed="false">
      <c r="A243" s="10" t="str">
        <f aca="false">IF(D243="","","EW-"&amp;IFERROR(VLOOKUP(D243,Lists!$P$4:$Q$22,2,0),"??")&amp;"-D"&amp;TEXT(F243*1000,"0000")&amp;"-"&amp;IFERROR(VLOOKUP(G243,Lists!$S$4:$T$21,2,0),"??")&amp;"-"&amp;IFERROR(VLOOKUP(H243,Lists!$Y$4:$Z$21,2,0),"??")&amp;"-"&amp;IFERROR(VLOOKUP(E243,Lists!$V$4:$W$16,2,0),"??")&amp;"-"&amp;AM243)</f>
        <v/>
      </c>
      <c r="B243" s="10" t="str">
        <f aca="false">IF(D243="","",E243&amp;" "&amp;D243&amp;", excavation "&amp;TEXT(F243,"0.0")&amp;" m, "&amp;G243&amp;", "&amp;H243&amp;", "&amp;K243)</f>
        <v/>
      </c>
      <c r="C243" s="9"/>
      <c r="D243" s="9"/>
      <c r="E243" s="9"/>
      <c r="F243" s="42"/>
      <c r="G243" s="9"/>
      <c r="H243" s="9"/>
      <c r="I243" s="42"/>
      <c r="J243" s="38"/>
      <c r="K243" s="9"/>
      <c r="L243" s="9"/>
      <c r="M243" s="9"/>
      <c r="N243" s="42"/>
      <c r="O243" s="42"/>
      <c r="P243" s="9"/>
      <c r="Q243" s="9"/>
      <c r="R243" s="9"/>
      <c r="S243" s="9"/>
      <c r="T243" s="38"/>
      <c r="U243" s="38"/>
      <c r="V243" s="38"/>
      <c r="W243" s="38"/>
      <c r="X243" s="38"/>
      <c r="Y243" s="9"/>
      <c r="Z243" s="39"/>
      <c r="AA243" s="9"/>
      <c r="AB243" s="9"/>
      <c r="AC243" s="9"/>
      <c r="AD243" s="9"/>
      <c r="AE243" s="9"/>
      <c r="AF243" s="9"/>
      <c r="AG243" s="9"/>
      <c r="AH243" s="38"/>
      <c r="AI243" s="9"/>
      <c r="AJ243" s="39"/>
      <c r="AK243" s="9"/>
      <c r="AL243" s="9"/>
      <c r="AM243" s="9"/>
      <c r="AN243" s="9"/>
      <c r="AO243" s="9"/>
      <c r="AP243" s="9"/>
      <c r="AQ243" s="9"/>
      <c r="AR243" s="10" t="str">
        <f aca="false">IF(A243="","",SG_Criteria!$B$6&amp;SG_Criteria!$B$9&amp;"\"&amp;A243&amp;"\")</f>
        <v/>
      </c>
      <c r="AS243" s="10" t="str">
        <f aca="false">IF(A243="","",A243&amp;"_CAD.dwg")</f>
        <v/>
      </c>
      <c r="AT243" s="10" t="str">
        <f aca="false">IF(A243="","",A243&amp;"_DWG.pdf")</f>
        <v/>
      </c>
      <c r="AU243" s="10" t="str">
        <f aca="false">IF(A243="","",IF(AQ243="Y",A243&amp;"_STAAD.std","n/a"))</f>
        <v/>
      </c>
      <c r="AV243" s="10" t="str">
        <f aca="false">IF(A243="","",A243&amp;"_CALC.xlsx")</f>
        <v/>
      </c>
      <c r="AW243" s="10" t="str">
        <f aca="false">IF(A243="","",A243&amp;"_CALC.pdf")</f>
        <v/>
      </c>
      <c r="AX243" s="9"/>
      <c r="AY243" s="9"/>
      <c r="AZ243" s="39"/>
      <c r="BA243" s="39"/>
      <c r="BB243" s="39"/>
      <c r="BC243" s="39"/>
      <c r="BD243" s="39"/>
      <c r="BE243" s="12" t="str">
        <f aca="false">IF(A243="","",IF(COUNTIF(Rebar_Schedule!$A$5:$A$2004,A243)=0,"",ROUND(SUMIF(Rebar_Schedule!$A$5:$A$2004,A243,Rebar_Schedule!$K$5:$K$2004),1)))</f>
        <v/>
      </c>
      <c r="BF243" s="33" t="str">
        <f aca="false">IF(A243="","",IF(BE243="","No rebar schedule yet",IF(ABS(BE243-N(BA243))/MAX(N(BA243),1)&gt;SG_Criteria!$B$55,"NOTE: register rebar differs from schedule by "&amp;TEXT(ABS(BE243-N(BA243))/MAX(N(BA243),1),"0%"),"OK")))</f>
        <v/>
      </c>
      <c r="BG243" s="33" t="str">
        <f aca="false">IF(OR(D243="",F243=""),"",IF(F243&lt;=IF(D243="Soldier Pile &amp; Timber Lagging",SG_Criteria!$B$34,SG_Criteria!$B$33),"No ERSS submission",IF(F243&lt;=SG_Criteria!$B$35,"QP(ST)",IF(F243&lt;=SG_Criteria!$B$36,"QP(ST) + AC","Geotechnical building works: QP(Geo) + AC"))))</f>
        <v/>
      </c>
      <c r="BH243" s="33" t="str">
        <f aca="false">IF(D243="","",IF(LEN(IF(AND(AC243&lt;&gt;"",IFERROR(VALUE(MID(AC243,2,2)),0)&lt;SG_Criteria!$B$19),"FAIL: grade below C"&amp;SG_Criteria!$B$19&amp;". ","")&amp;IF(AND(LEFT(D243,3)="Con",N(I243)&lt;F243,H243="Kallang Formation (marine clay)"),"NOTE: CBP is not watertight below GWT in marine clay; consider secant / grouting. ","")&amp;IF(AND(D243="Steel Sheet Pile",E243="Permanent"),"NOTE: permanent sheet pile needs corrosion allowance. ","")&amp;IF(AND(G243="Cantilever (no support)",F243&gt;6),"NOTE: cantilever embedded wall &gt; 6 m, check deflection. ","")&amp;IF(AND(T243&lt;&gt;"",U243&lt;&gt;"",T243&gt;U243),"FAIL: deflection exceeds allowable. ",""))=0,"OK",IF(AND(AC243&lt;&gt;"",IFERROR(VALUE(MID(AC243,2,2)),0)&lt;SG_Criteria!$B$19),"FAIL: grade below C"&amp;SG_Criteria!$B$19&amp;". ","")&amp;IF(AND(LEFT(D243,3)="Con",N(I243)&lt;F243,H243="Kallang Formation (marine clay)"),"NOTE: CBP is not watertight below GWT in marine clay; consider secant / grouting. ","")&amp;IF(AND(D243="Steel Sheet Pile",E243="Permanent"),"NOTE: permanent sheet pile needs corrosion allowance. ","")&amp;IF(AND(G243="Cantilever (no support)",F243&gt;6),"NOTE: cantilever embedded wall &gt; 6 m, check deflection. ","")&amp;IF(AND(T243&lt;&gt;"",U243&lt;&gt;"",T243&gt;U243),"FAIL: deflection exceeds allowable. ","")))</f>
        <v/>
      </c>
      <c r="BI243" s="9"/>
      <c r="BJ243" s="9"/>
      <c r="BK243" s="9"/>
      <c r="BL243" s="10" t="str">
        <f aca="false">IF(BK243="","",IFERROR(VLOOKUP(BK243,Projects!$A$5:$D$504,2,0),"Ref not in Projects"))</f>
        <v/>
      </c>
      <c r="BM243" s="10" t="str">
        <f aca="false">IF(BK243="","",IFERROR(VLOOKUP(BK243,Projects!$A$5:$D$504,4,0),"Ref not in Projects"))</f>
        <v/>
      </c>
      <c r="BN243" s="9"/>
      <c r="BO243" s="9"/>
      <c r="BP243" s="9"/>
      <c r="BQ243" s="40"/>
      <c r="BR243" s="9"/>
      <c r="BS243" s="40"/>
      <c r="BT243" s="9"/>
      <c r="BU243" s="40"/>
      <c r="BV243" s="9"/>
      <c r="BW243" s="9"/>
      <c r="BX243" s="9"/>
      <c r="BY243" s="40"/>
      <c r="BZ243" s="40"/>
      <c r="CA243" s="36" t="str">
        <f aca="false">IF(BZ243="","",EDATE(BZ243,SG_Criteria!$B$54*12))</f>
        <v/>
      </c>
      <c r="CB243" s="33" t="str">
        <f aca="true">IF(A243="","",IF(BZ243="","NOTE: not reviewed yet",IF(TODAY()&gt;CA243,"NOTE: review overdue","OK")))</f>
        <v/>
      </c>
      <c r="CC243" s="37" t="str">
        <f aca="false">IF(A243="","",ROUND((IF(LEN(D243)&gt;0,1,0)+IF(LEN(E243)&gt;0,1,0)+IF(LEN(F243)&gt;0,1,0)+IF(LEN(G243)&gt;0,1,0)+IF(LEN(H243)&gt;0,1,0)+IF(LEN(I243)&gt;0,1,0)+IF(LEN(K243)&gt;0,1,0)+IF(LEN(N243)&gt;0,1,0)+IF(LEN(O243)&gt;0,1,0)+IF(LEN(T243)&gt;0,1,0)+IF(LEN(U243)&gt;0,1,0)+IF(LEN(V243)&gt;0,1,0)+IF(LEN(AK243)&gt;0,1,0)+IF(LEN(AM243)&gt;0,1,0)+IF(LEN(AN243)&gt;0,1,0)+IF(LEN(AO243)&gt;0,1,0)+IF(LEN(AP243)&gt;0,1,0)+IF(LEN(AY243)&gt;0,1,0)+IF(LEN(BK243)&gt;0,1,0)+IF(LEN(BX243)&gt;0,1,0))/20,2))</f>
        <v/>
      </c>
      <c r="CD243" s="10" t="str">
        <f aca="false">IF(D243="","",IF(AND(AN243="Approved",ISERROR(SEARCH("FAIL",BH243))),"Y","N"))</f>
        <v/>
      </c>
      <c r="CE243" s="10" t="str">
        <f aca="false">IF(D243="","",D243&amp;"|"&amp;F243&amp;"|"&amp;G243&amp;"|"&amp;H243&amp;"|"&amp;E243&amp;"|"&amp;CD243)</f>
        <v/>
      </c>
    </row>
    <row r="244" customFormat="false" ht="15" hidden="false" customHeight="false" outlineLevel="0" collapsed="false">
      <c r="A244" s="10" t="str">
        <f aca="false">IF(D244="","","EW-"&amp;IFERROR(VLOOKUP(D244,Lists!$P$4:$Q$22,2,0),"??")&amp;"-D"&amp;TEXT(F244*1000,"0000")&amp;"-"&amp;IFERROR(VLOOKUP(G244,Lists!$S$4:$T$21,2,0),"??")&amp;"-"&amp;IFERROR(VLOOKUP(H244,Lists!$Y$4:$Z$21,2,0),"??")&amp;"-"&amp;IFERROR(VLOOKUP(E244,Lists!$V$4:$W$16,2,0),"??")&amp;"-"&amp;AM244)</f>
        <v/>
      </c>
      <c r="B244" s="10" t="str">
        <f aca="false">IF(D244="","",E244&amp;" "&amp;D244&amp;", excavation "&amp;TEXT(F244,"0.0")&amp;" m, "&amp;G244&amp;", "&amp;H244&amp;", "&amp;K244)</f>
        <v/>
      </c>
      <c r="C244" s="9"/>
      <c r="D244" s="9"/>
      <c r="E244" s="9"/>
      <c r="F244" s="42"/>
      <c r="G244" s="9"/>
      <c r="H244" s="9"/>
      <c r="I244" s="42"/>
      <c r="J244" s="38"/>
      <c r="K244" s="9"/>
      <c r="L244" s="9"/>
      <c r="M244" s="9"/>
      <c r="N244" s="42"/>
      <c r="O244" s="42"/>
      <c r="P244" s="9"/>
      <c r="Q244" s="9"/>
      <c r="R244" s="9"/>
      <c r="S244" s="9"/>
      <c r="T244" s="38"/>
      <c r="U244" s="38"/>
      <c r="V244" s="38"/>
      <c r="W244" s="38"/>
      <c r="X244" s="38"/>
      <c r="Y244" s="9"/>
      <c r="Z244" s="39"/>
      <c r="AA244" s="9"/>
      <c r="AB244" s="9"/>
      <c r="AC244" s="9"/>
      <c r="AD244" s="9"/>
      <c r="AE244" s="9"/>
      <c r="AF244" s="9"/>
      <c r="AG244" s="9"/>
      <c r="AH244" s="38"/>
      <c r="AI244" s="9"/>
      <c r="AJ244" s="39"/>
      <c r="AK244" s="9"/>
      <c r="AL244" s="9"/>
      <c r="AM244" s="9"/>
      <c r="AN244" s="9"/>
      <c r="AO244" s="9"/>
      <c r="AP244" s="9"/>
      <c r="AQ244" s="9"/>
      <c r="AR244" s="10" t="str">
        <f aca="false">IF(A244="","",SG_Criteria!$B$6&amp;SG_Criteria!$B$9&amp;"\"&amp;A244&amp;"\")</f>
        <v/>
      </c>
      <c r="AS244" s="10" t="str">
        <f aca="false">IF(A244="","",A244&amp;"_CAD.dwg")</f>
        <v/>
      </c>
      <c r="AT244" s="10" t="str">
        <f aca="false">IF(A244="","",A244&amp;"_DWG.pdf")</f>
        <v/>
      </c>
      <c r="AU244" s="10" t="str">
        <f aca="false">IF(A244="","",IF(AQ244="Y",A244&amp;"_STAAD.std","n/a"))</f>
        <v/>
      </c>
      <c r="AV244" s="10" t="str">
        <f aca="false">IF(A244="","",A244&amp;"_CALC.xlsx")</f>
        <v/>
      </c>
      <c r="AW244" s="10" t="str">
        <f aca="false">IF(A244="","",A244&amp;"_CALC.pdf")</f>
        <v/>
      </c>
      <c r="AX244" s="9"/>
      <c r="AY244" s="9"/>
      <c r="AZ244" s="39"/>
      <c r="BA244" s="39"/>
      <c r="BB244" s="39"/>
      <c r="BC244" s="39"/>
      <c r="BD244" s="39"/>
      <c r="BE244" s="12" t="str">
        <f aca="false">IF(A244="","",IF(COUNTIF(Rebar_Schedule!$A$5:$A$2004,A244)=0,"",ROUND(SUMIF(Rebar_Schedule!$A$5:$A$2004,A244,Rebar_Schedule!$K$5:$K$2004),1)))</f>
        <v/>
      </c>
      <c r="BF244" s="33" t="str">
        <f aca="false">IF(A244="","",IF(BE244="","No rebar schedule yet",IF(ABS(BE244-N(BA244))/MAX(N(BA244),1)&gt;SG_Criteria!$B$55,"NOTE: register rebar differs from schedule by "&amp;TEXT(ABS(BE244-N(BA244))/MAX(N(BA244),1),"0%"),"OK")))</f>
        <v/>
      </c>
      <c r="BG244" s="33" t="str">
        <f aca="false">IF(OR(D244="",F244=""),"",IF(F244&lt;=IF(D244="Soldier Pile &amp; Timber Lagging",SG_Criteria!$B$34,SG_Criteria!$B$33),"No ERSS submission",IF(F244&lt;=SG_Criteria!$B$35,"QP(ST)",IF(F244&lt;=SG_Criteria!$B$36,"QP(ST) + AC","Geotechnical building works: QP(Geo) + AC"))))</f>
        <v/>
      </c>
      <c r="BH244" s="33" t="str">
        <f aca="false">IF(D244="","",IF(LEN(IF(AND(AC244&lt;&gt;"",IFERROR(VALUE(MID(AC244,2,2)),0)&lt;SG_Criteria!$B$19),"FAIL: grade below C"&amp;SG_Criteria!$B$19&amp;". ","")&amp;IF(AND(LEFT(D244,3)="Con",N(I244)&lt;F244,H244="Kallang Formation (marine clay)"),"NOTE: CBP is not watertight below GWT in marine clay; consider secant / grouting. ","")&amp;IF(AND(D244="Steel Sheet Pile",E244="Permanent"),"NOTE: permanent sheet pile needs corrosion allowance. ","")&amp;IF(AND(G244="Cantilever (no support)",F244&gt;6),"NOTE: cantilever embedded wall &gt; 6 m, check deflection. ","")&amp;IF(AND(T244&lt;&gt;"",U244&lt;&gt;"",T244&gt;U244),"FAIL: deflection exceeds allowable. ",""))=0,"OK",IF(AND(AC244&lt;&gt;"",IFERROR(VALUE(MID(AC244,2,2)),0)&lt;SG_Criteria!$B$19),"FAIL: grade below C"&amp;SG_Criteria!$B$19&amp;". ","")&amp;IF(AND(LEFT(D244,3)="Con",N(I244)&lt;F244,H244="Kallang Formation (marine clay)"),"NOTE: CBP is not watertight below GWT in marine clay; consider secant / grouting. ","")&amp;IF(AND(D244="Steel Sheet Pile",E244="Permanent"),"NOTE: permanent sheet pile needs corrosion allowance. ","")&amp;IF(AND(G244="Cantilever (no support)",F244&gt;6),"NOTE: cantilever embedded wall &gt; 6 m, check deflection. ","")&amp;IF(AND(T244&lt;&gt;"",U244&lt;&gt;"",T244&gt;U244),"FAIL: deflection exceeds allowable. ","")))</f>
        <v/>
      </c>
      <c r="BI244" s="9"/>
      <c r="BJ244" s="9"/>
      <c r="BK244" s="9"/>
      <c r="BL244" s="10" t="str">
        <f aca="false">IF(BK244="","",IFERROR(VLOOKUP(BK244,Projects!$A$5:$D$504,2,0),"Ref not in Projects"))</f>
        <v/>
      </c>
      <c r="BM244" s="10" t="str">
        <f aca="false">IF(BK244="","",IFERROR(VLOOKUP(BK244,Projects!$A$5:$D$504,4,0),"Ref not in Projects"))</f>
        <v/>
      </c>
      <c r="BN244" s="9"/>
      <c r="BO244" s="9"/>
      <c r="BP244" s="9"/>
      <c r="BQ244" s="40"/>
      <c r="BR244" s="9"/>
      <c r="BS244" s="40"/>
      <c r="BT244" s="9"/>
      <c r="BU244" s="40"/>
      <c r="BV244" s="9"/>
      <c r="BW244" s="9"/>
      <c r="BX244" s="9"/>
      <c r="BY244" s="40"/>
      <c r="BZ244" s="40"/>
      <c r="CA244" s="36" t="str">
        <f aca="false">IF(BZ244="","",EDATE(BZ244,SG_Criteria!$B$54*12))</f>
        <v/>
      </c>
      <c r="CB244" s="33" t="str">
        <f aca="true">IF(A244="","",IF(BZ244="","NOTE: not reviewed yet",IF(TODAY()&gt;CA244,"NOTE: review overdue","OK")))</f>
        <v/>
      </c>
      <c r="CC244" s="37" t="str">
        <f aca="false">IF(A244="","",ROUND((IF(LEN(D244)&gt;0,1,0)+IF(LEN(E244)&gt;0,1,0)+IF(LEN(F244)&gt;0,1,0)+IF(LEN(G244)&gt;0,1,0)+IF(LEN(H244)&gt;0,1,0)+IF(LEN(I244)&gt;0,1,0)+IF(LEN(K244)&gt;0,1,0)+IF(LEN(N244)&gt;0,1,0)+IF(LEN(O244)&gt;0,1,0)+IF(LEN(T244)&gt;0,1,0)+IF(LEN(U244)&gt;0,1,0)+IF(LEN(V244)&gt;0,1,0)+IF(LEN(AK244)&gt;0,1,0)+IF(LEN(AM244)&gt;0,1,0)+IF(LEN(AN244)&gt;0,1,0)+IF(LEN(AO244)&gt;0,1,0)+IF(LEN(AP244)&gt;0,1,0)+IF(LEN(AY244)&gt;0,1,0)+IF(LEN(BK244)&gt;0,1,0)+IF(LEN(BX244)&gt;0,1,0))/20,2))</f>
        <v/>
      </c>
      <c r="CD244" s="10" t="str">
        <f aca="false">IF(D244="","",IF(AND(AN244="Approved",ISERROR(SEARCH("FAIL",BH244))),"Y","N"))</f>
        <v/>
      </c>
      <c r="CE244" s="10" t="str">
        <f aca="false">IF(D244="","",D244&amp;"|"&amp;F244&amp;"|"&amp;G244&amp;"|"&amp;H244&amp;"|"&amp;E244&amp;"|"&amp;CD244)</f>
        <v/>
      </c>
    </row>
    <row r="245" customFormat="false" ht="15" hidden="false" customHeight="false" outlineLevel="0" collapsed="false">
      <c r="A245" s="10" t="str">
        <f aca="false">IF(D245="","","EW-"&amp;IFERROR(VLOOKUP(D245,Lists!$P$4:$Q$22,2,0),"??")&amp;"-D"&amp;TEXT(F245*1000,"0000")&amp;"-"&amp;IFERROR(VLOOKUP(G245,Lists!$S$4:$T$21,2,0),"??")&amp;"-"&amp;IFERROR(VLOOKUP(H245,Lists!$Y$4:$Z$21,2,0),"??")&amp;"-"&amp;IFERROR(VLOOKUP(E245,Lists!$V$4:$W$16,2,0),"??")&amp;"-"&amp;AM245)</f>
        <v/>
      </c>
      <c r="B245" s="10" t="str">
        <f aca="false">IF(D245="","",E245&amp;" "&amp;D245&amp;", excavation "&amp;TEXT(F245,"0.0")&amp;" m, "&amp;G245&amp;", "&amp;H245&amp;", "&amp;K245)</f>
        <v/>
      </c>
      <c r="C245" s="9"/>
      <c r="D245" s="9"/>
      <c r="E245" s="9"/>
      <c r="F245" s="42"/>
      <c r="G245" s="9"/>
      <c r="H245" s="9"/>
      <c r="I245" s="42"/>
      <c r="J245" s="38"/>
      <c r="K245" s="9"/>
      <c r="L245" s="9"/>
      <c r="M245" s="9"/>
      <c r="N245" s="42"/>
      <c r="O245" s="42"/>
      <c r="P245" s="9"/>
      <c r="Q245" s="9"/>
      <c r="R245" s="9"/>
      <c r="S245" s="9"/>
      <c r="T245" s="38"/>
      <c r="U245" s="38"/>
      <c r="V245" s="38"/>
      <c r="W245" s="38"/>
      <c r="X245" s="38"/>
      <c r="Y245" s="9"/>
      <c r="Z245" s="39"/>
      <c r="AA245" s="9"/>
      <c r="AB245" s="9"/>
      <c r="AC245" s="9"/>
      <c r="AD245" s="9"/>
      <c r="AE245" s="9"/>
      <c r="AF245" s="9"/>
      <c r="AG245" s="9"/>
      <c r="AH245" s="38"/>
      <c r="AI245" s="9"/>
      <c r="AJ245" s="39"/>
      <c r="AK245" s="9"/>
      <c r="AL245" s="9"/>
      <c r="AM245" s="9"/>
      <c r="AN245" s="9"/>
      <c r="AO245" s="9"/>
      <c r="AP245" s="9"/>
      <c r="AQ245" s="9"/>
      <c r="AR245" s="10" t="str">
        <f aca="false">IF(A245="","",SG_Criteria!$B$6&amp;SG_Criteria!$B$9&amp;"\"&amp;A245&amp;"\")</f>
        <v/>
      </c>
      <c r="AS245" s="10" t="str">
        <f aca="false">IF(A245="","",A245&amp;"_CAD.dwg")</f>
        <v/>
      </c>
      <c r="AT245" s="10" t="str">
        <f aca="false">IF(A245="","",A245&amp;"_DWG.pdf")</f>
        <v/>
      </c>
      <c r="AU245" s="10" t="str">
        <f aca="false">IF(A245="","",IF(AQ245="Y",A245&amp;"_STAAD.std","n/a"))</f>
        <v/>
      </c>
      <c r="AV245" s="10" t="str">
        <f aca="false">IF(A245="","",A245&amp;"_CALC.xlsx")</f>
        <v/>
      </c>
      <c r="AW245" s="10" t="str">
        <f aca="false">IF(A245="","",A245&amp;"_CALC.pdf")</f>
        <v/>
      </c>
      <c r="AX245" s="9"/>
      <c r="AY245" s="9"/>
      <c r="AZ245" s="39"/>
      <c r="BA245" s="39"/>
      <c r="BB245" s="39"/>
      <c r="BC245" s="39"/>
      <c r="BD245" s="39"/>
      <c r="BE245" s="12" t="str">
        <f aca="false">IF(A245="","",IF(COUNTIF(Rebar_Schedule!$A$5:$A$2004,A245)=0,"",ROUND(SUMIF(Rebar_Schedule!$A$5:$A$2004,A245,Rebar_Schedule!$K$5:$K$2004),1)))</f>
        <v/>
      </c>
      <c r="BF245" s="33" t="str">
        <f aca="false">IF(A245="","",IF(BE245="","No rebar schedule yet",IF(ABS(BE245-N(BA245))/MAX(N(BA245),1)&gt;SG_Criteria!$B$55,"NOTE: register rebar differs from schedule by "&amp;TEXT(ABS(BE245-N(BA245))/MAX(N(BA245),1),"0%"),"OK")))</f>
        <v/>
      </c>
      <c r="BG245" s="33" t="str">
        <f aca="false">IF(OR(D245="",F245=""),"",IF(F245&lt;=IF(D245="Soldier Pile &amp; Timber Lagging",SG_Criteria!$B$34,SG_Criteria!$B$33),"No ERSS submission",IF(F245&lt;=SG_Criteria!$B$35,"QP(ST)",IF(F245&lt;=SG_Criteria!$B$36,"QP(ST) + AC","Geotechnical building works: QP(Geo) + AC"))))</f>
        <v/>
      </c>
      <c r="BH245" s="33" t="str">
        <f aca="false">IF(D245="","",IF(LEN(IF(AND(AC245&lt;&gt;"",IFERROR(VALUE(MID(AC245,2,2)),0)&lt;SG_Criteria!$B$19),"FAIL: grade below C"&amp;SG_Criteria!$B$19&amp;". ","")&amp;IF(AND(LEFT(D245,3)="Con",N(I245)&lt;F245,H245="Kallang Formation (marine clay)"),"NOTE: CBP is not watertight below GWT in marine clay; consider secant / grouting. ","")&amp;IF(AND(D245="Steel Sheet Pile",E245="Permanent"),"NOTE: permanent sheet pile needs corrosion allowance. ","")&amp;IF(AND(G245="Cantilever (no support)",F245&gt;6),"NOTE: cantilever embedded wall &gt; 6 m, check deflection. ","")&amp;IF(AND(T245&lt;&gt;"",U245&lt;&gt;"",T245&gt;U245),"FAIL: deflection exceeds allowable. ",""))=0,"OK",IF(AND(AC245&lt;&gt;"",IFERROR(VALUE(MID(AC245,2,2)),0)&lt;SG_Criteria!$B$19),"FAIL: grade below C"&amp;SG_Criteria!$B$19&amp;". ","")&amp;IF(AND(LEFT(D245,3)="Con",N(I245)&lt;F245,H245="Kallang Formation (marine clay)"),"NOTE: CBP is not watertight below GWT in marine clay; consider secant / grouting. ","")&amp;IF(AND(D245="Steel Sheet Pile",E245="Permanent"),"NOTE: permanent sheet pile needs corrosion allowance. ","")&amp;IF(AND(G245="Cantilever (no support)",F245&gt;6),"NOTE: cantilever embedded wall &gt; 6 m, check deflection. ","")&amp;IF(AND(T245&lt;&gt;"",U245&lt;&gt;"",T245&gt;U245),"FAIL: deflection exceeds allowable. ","")))</f>
        <v/>
      </c>
      <c r="BI245" s="9"/>
      <c r="BJ245" s="9"/>
      <c r="BK245" s="9"/>
      <c r="BL245" s="10" t="str">
        <f aca="false">IF(BK245="","",IFERROR(VLOOKUP(BK245,Projects!$A$5:$D$504,2,0),"Ref not in Projects"))</f>
        <v/>
      </c>
      <c r="BM245" s="10" t="str">
        <f aca="false">IF(BK245="","",IFERROR(VLOOKUP(BK245,Projects!$A$5:$D$504,4,0),"Ref not in Projects"))</f>
        <v/>
      </c>
      <c r="BN245" s="9"/>
      <c r="BO245" s="9"/>
      <c r="BP245" s="9"/>
      <c r="BQ245" s="40"/>
      <c r="BR245" s="9"/>
      <c r="BS245" s="40"/>
      <c r="BT245" s="9"/>
      <c r="BU245" s="40"/>
      <c r="BV245" s="9"/>
      <c r="BW245" s="9"/>
      <c r="BX245" s="9"/>
      <c r="BY245" s="40"/>
      <c r="BZ245" s="40"/>
      <c r="CA245" s="36" t="str">
        <f aca="false">IF(BZ245="","",EDATE(BZ245,SG_Criteria!$B$54*12))</f>
        <v/>
      </c>
      <c r="CB245" s="33" t="str">
        <f aca="true">IF(A245="","",IF(BZ245="","NOTE: not reviewed yet",IF(TODAY()&gt;CA245,"NOTE: review overdue","OK")))</f>
        <v/>
      </c>
      <c r="CC245" s="37" t="str">
        <f aca="false">IF(A245="","",ROUND((IF(LEN(D245)&gt;0,1,0)+IF(LEN(E245)&gt;0,1,0)+IF(LEN(F245)&gt;0,1,0)+IF(LEN(G245)&gt;0,1,0)+IF(LEN(H245)&gt;0,1,0)+IF(LEN(I245)&gt;0,1,0)+IF(LEN(K245)&gt;0,1,0)+IF(LEN(N245)&gt;0,1,0)+IF(LEN(O245)&gt;0,1,0)+IF(LEN(T245)&gt;0,1,0)+IF(LEN(U245)&gt;0,1,0)+IF(LEN(V245)&gt;0,1,0)+IF(LEN(AK245)&gt;0,1,0)+IF(LEN(AM245)&gt;0,1,0)+IF(LEN(AN245)&gt;0,1,0)+IF(LEN(AO245)&gt;0,1,0)+IF(LEN(AP245)&gt;0,1,0)+IF(LEN(AY245)&gt;0,1,0)+IF(LEN(BK245)&gt;0,1,0)+IF(LEN(BX245)&gt;0,1,0))/20,2))</f>
        <v/>
      </c>
      <c r="CD245" s="10" t="str">
        <f aca="false">IF(D245="","",IF(AND(AN245="Approved",ISERROR(SEARCH("FAIL",BH245))),"Y","N"))</f>
        <v/>
      </c>
      <c r="CE245" s="10" t="str">
        <f aca="false">IF(D245="","",D245&amp;"|"&amp;F245&amp;"|"&amp;G245&amp;"|"&amp;H245&amp;"|"&amp;E245&amp;"|"&amp;CD245)</f>
        <v/>
      </c>
    </row>
    <row r="246" customFormat="false" ht="15" hidden="false" customHeight="false" outlineLevel="0" collapsed="false">
      <c r="A246" s="10" t="str">
        <f aca="false">IF(D246="","","EW-"&amp;IFERROR(VLOOKUP(D246,Lists!$P$4:$Q$22,2,0),"??")&amp;"-D"&amp;TEXT(F246*1000,"0000")&amp;"-"&amp;IFERROR(VLOOKUP(G246,Lists!$S$4:$T$21,2,0),"??")&amp;"-"&amp;IFERROR(VLOOKUP(H246,Lists!$Y$4:$Z$21,2,0),"??")&amp;"-"&amp;IFERROR(VLOOKUP(E246,Lists!$V$4:$W$16,2,0),"??")&amp;"-"&amp;AM246)</f>
        <v/>
      </c>
      <c r="B246" s="10" t="str">
        <f aca="false">IF(D246="","",E246&amp;" "&amp;D246&amp;", excavation "&amp;TEXT(F246,"0.0")&amp;" m, "&amp;G246&amp;", "&amp;H246&amp;", "&amp;K246)</f>
        <v/>
      </c>
      <c r="C246" s="9"/>
      <c r="D246" s="9"/>
      <c r="E246" s="9"/>
      <c r="F246" s="42"/>
      <c r="G246" s="9"/>
      <c r="H246" s="9"/>
      <c r="I246" s="42"/>
      <c r="J246" s="38"/>
      <c r="K246" s="9"/>
      <c r="L246" s="9"/>
      <c r="M246" s="9"/>
      <c r="N246" s="42"/>
      <c r="O246" s="42"/>
      <c r="P246" s="9"/>
      <c r="Q246" s="9"/>
      <c r="R246" s="9"/>
      <c r="S246" s="9"/>
      <c r="T246" s="38"/>
      <c r="U246" s="38"/>
      <c r="V246" s="38"/>
      <c r="W246" s="38"/>
      <c r="X246" s="38"/>
      <c r="Y246" s="9"/>
      <c r="Z246" s="39"/>
      <c r="AA246" s="9"/>
      <c r="AB246" s="9"/>
      <c r="AC246" s="9"/>
      <c r="AD246" s="9"/>
      <c r="AE246" s="9"/>
      <c r="AF246" s="9"/>
      <c r="AG246" s="9"/>
      <c r="AH246" s="38"/>
      <c r="AI246" s="9"/>
      <c r="AJ246" s="39"/>
      <c r="AK246" s="9"/>
      <c r="AL246" s="9"/>
      <c r="AM246" s="9"/>
      <c r="AN246" s="9"/>
      <c r="AO246" s="9"/>
      <c r="AP246" s="9"/>
      <c r="AQ246" s="9"/>
      <c r="AR246" s="10" t="str">
        <f aca="false">IF(A246="","",SG_Criteria!$B$6&amp;SG_Criteria!$B$9&amp;"\"&amp;A246&amp;"\")</f>
        <v/>
      </c>
      <c r="AS246" s="10" t="str">
        <f aca="false">IF(A246="","",A246&amp;"_CAD.dwg")</f>
        <v/>
      </c>
      <c r="AT246" s="10" t="str">
        <f aca="false">IF(A246="","",A246&amp;"_DWG.pdf")</f>
        <v/>
      </c>
      <c r="AU246" s="10" t="str">
        <f aca="false">IF(A246="","",IF(AQ246="Y",A246&amp;"_STAAD.std","n/a"))</f>
        <v/>
      </c>
      <c r="AV246" s="10" t="str">
        <f aca="false">IF(A246="","",A246&amp;"_CALC.xlsx")</f>
        <v/>
      </c>
      <c r="AW246" s="10" t="str">
        <f aca="false">IF(A246="","",A246&amp;"_CALC.pdf")</f>
        <v/>
      </c>
      <c r="AX246" s="9"/>
      <c r="AY246" s="9"/>
      <c r="AZ246" s="39"/>
      <c r="BA246" s="39"/>
      <c r="BB246" s="39"/>
      <c r="BC246" s="39"/>
      <c r="BD246" s="39"/>
      <c r="BE246" s="12" t="str">
        <f aca="false">IF(A246="","",IF(COUNTIF(Rebar_Schedule!$A$5:$A$2004,A246)=0,"",ROUND(SUMIF(Rebar_Schedule!$A$5:$A$2004,A246,Rebar_Schedule!$K$5:$K$2004),1)))</f>
        <v/>
      </c>
      <c r="BF246" s="33" t="str">
        <f aca="false">IF(A246="","",IF(BE246="","No rebar schedule yet",IF(ABS(BE246-N(BA246))/MAX(N(BA246),1)&gt;SG_Criteria!$B$55,"NOTE: register rebar differs from schedule by "&amp;TEXT(ABS(BE246-N(BA246))/MAX(N(BA246),1),"0%"),"OK")))</f>
        <v/>
      </c>
      <c r="BG246" s="33" t="str">
        <f aca="false">IF(OR(D246="",F246=""),"",IF(F246&lt;=IF(D246="Soldier Pile &amp; Timber Lagging",SG_Criteria!$B$34,SG_Criteria!$B$33),"No ERSS submission",IF(F246&lt;=SG_Criteria!$B$35,"QP(ST)",IF(F246&lt;=SG_Criteria!$B$36,"QP(ST) + AC","Geotechnical building works: QP(Geo) + AC"))))</f>
        <v/>
      </c>
      <c r="BH246" s="33" t="str">
        <f aca="false">IF(D246="","",IF(LEN(IF(AND(AC246&lt;&gt;"",IFERROR(VALUE(MID(AC246,2,2)),0)&lt;SG_Criteria!$B$19),"FAIL: grade below C"&amp;SG_Criteria!$B$19&amp;". ","")&amp;IF(AND(LEFT(D246,3)="Con",N(I246)&lt;F246,H246="Kallang Formation (marine clay)"),"NOTE: CBP is not watertight below GWT in marine clay; consider secant / grouting. ","")&amp;IF(AND(D246="Steel Sheet Pile",E246="Permanent"),"NOTE: permanent sheet pile needs corrosion allowance. ","")&amp;IF(AND(G246="Cantilever (no support)",F246&gt;6),"NOTE: cantilever embedded wall &gt; 6 m, check deflection. ","")&amp;IF(AND(T246&lt;&gt;"",U246&lt;&gt;"",T246&gt;U246),"FAIL: deflection exceeds allowable. ",""))=0,"OK",IF(AND(AC246&lt;&gt;"",IFERROR(VALUE(MID(AC246,2,2)),0)&lt;SG_Criteria!$B$19),"FAIL: grade below C"&amp;SG_Criteria!$B$19&amp;". ","")&amp;IF(AND(LEFT(D246,3)="Con",N(I246)&lt;F246,H246="Kallang Formation (marine clay)"),"NOTE: CBP is not watertight below GWT in marine clay; consider secant / grouting. ","")&amp;IF(AND(D246="Steel Sheet Pile",E246="Permanent"),"NOTE: permanent sheet pile needs corrosion allowance. ","")&amp;IF(AND(G246="Cantilever (no support)",F246&gt;6),"NOTE: cantilever embedded wall &gt; 6 m, check deflection. ","")&amp;IF(AND(T246&lt;&gt;"",U246&lt;&gt;"",T246&gt;U246),"FAIL: deflection exceeds allowable. ","")))</f>
        <v/>
      </c>
      <c r="BI246" s="9"/>
      <c r="BJ246" s="9"/>
      <c r="BK246" s="9"/>
      <c r="BL246" s="10" t="str">
        <f aca="false">IF(BK246="","",IFERROR(VLOOKUP(BK246,Projects!$A$5:$D$504,2,0),"Ref not in Projects"))</f>
        <v/>
      </c>
      <c r="BM246" s="10" t="str">
        <f aca="false">IF(BK246="","",IFERROR(VLOOKUP(BK246,Projects!$A$5:$D$504,4,0),"Ref not in Projects"))</f>
        <v/>
      </c>
      <c r="BN246" s="9"/>
      <c r="BO246" s="9"/>
      <c r="BP246" s="9"/>
      <c r="BQ246" s="40"/>
      <c r="BR246" s="9"/>
      <c r="BS246" s="40"/>
      <c r="BT246" s="9"/>
      <c r="BU246" s="40"/>
      <c r="BV246" s="9"/>
      <c r="BW246" s="9"/>
      <c r="BX246" s="9"/>
      <c r="BY246" s="40"/>
      <c r="BZ246" s="40"/>
      <c r="CA246" s="36" t="str">
        <f aca="false">IF(BZ246="","",EDATE(BZ246,SG_Criteria!$B$54*12))</f>
        <v/>
      </c>
      <c r="CB246" s="33" t="str">
        <f aca="true">IF(A246="","",IF(BZ246="","NOTE: not reviewed yet",IF(TODAY()&gt;CA246,"NOTE: review overdue","OK")))</f>
        <v/>
      </c>
      <c r="CC246" s="37" t="str">
        <f aca="false">IF(A246="","",ROUND((IF(LEN(D246)&gt;0,1,0)+IF(LEN(E246)&gt;0,1,0)+IF(LEN(F246)&gt;0,1,0)+IF(LEN(G246)&gt;0,1,0)+IF(LEN(H246)&gt;0,1,0)+IF(LEN(I246)&gt;0,1,0)+IF(LEN(K246)&gt;0,1,0)+IF(LEN(N246)&gt;0,1,0)+IF(LEN(O246)&gt;0,1,0)+IF(LEN(T246)&gt;0,1,0)+IF(LEN(U246)&gt;0,1,0)+IF(LEN(V246)&gt;0,1,0)+IF(LEN(AK246)&gt;0,1,0)+IF(LEN(AM246)&gt;0,1,0)+IF(LEN(AN246)&gt;0,1,0)+IF(LEN(AO246)&gt;0,1,0)+IF(LEN(AP246)&gt;0,1,0)+IF(LEN(AY246)&gt;0,1,0)+IF(LEN(BK246)&gt;0,1,0)+IF(LEN(BX246)&gt;0,1,0))/20,2))</f>
        <v/>
      </c>
      <c r="CD246" s="10" t="str">
        <f aca="false">IF(D246="","",IF(AND(AN246="Approved",ISERROR(SEARCH("FAIL",BH246))),"Y","N"))</f>
        <v/>
      </c>
      <c r="CE246" s="10" t="str">
        <f aca="false">IF(D246="","",D246&amp;"|"&amp;F246&amp;"|"&amp;G246&amp;"|"&amp;H246&amp;"|"&amp;E246&amp;"|"&amp;CD246)</f>
        <v/>
      </c>
    </row>
    <row r="247" customFormat="false" ht="15" hidden="false" customHeight="false" outlineLevel="0" collapsed="false">
      <c r="A247" s="10" t="str">
        <f aca="false">IF(D247="","","EW-"&amp;IFERROR(VLOOKUP(D247,Lists!$P$4:$Q$22,2,0),"??")&amp;"-D"&amp;TEXT(F247*1000,"0000")&amp;"-"&amp;IFERROR(VLOOKUP(G247,Lists!$S$4:$T$21,2,0),"??")&amp;"-"&amp;IFERROR(VLOOKUP(H247,Lists!$Y$4:$Z$21,2,0),"??")&amp;"-"&amp;IFERROR(VLOOKUP(E247,Lists!$V$4:$W$16,2,0),"??")&amp;"-"&amp;AM247)</f>
        <v/>
      </c>
      <c r="B247" s="10" t="str">
        <f aca="false">IF(D247="","",E247&amp;" "&amp;D247&amp;", excavation "&amp;TEXT(F247,"0.0")&amp;" m, "&amp;G247&amp;", "&amp;H247&amp;", "&amp;K247)</f>
        <v/>
      </c>
      <c r="C247" s="9"/>
      <c r="D247" s="9"/>
      <c r="E247" s="9"/>
      <c r="F247" s="42"/>
      <c r="G247" s="9"/>
      <c r="H247" s="9"/>
      <c r="I247" s="42"/>
      <c r="J247" s="38"/>
      <c r="K247" s="9"/>
      <c r="L247" s="9"/>
      <c r="M247" s="9"/>
      <c r="N247" s="42"/>
      <c r="O247" s="42"/>
      <c r="P247" s="9"/>
      <c r="Q247" s="9"/>
      <c r="R247" s="9"/>
      <c r="S247" s="9"/>
      <c r="T247" s="38"/>
      <c r="U247" s="38"/>
      <c r="V247" s="38"/>
      <c r="W247" s="38"/>
      <c r="X247" s="38"/>
      <c r="Y247" s="9"/>
      <c r="Z247" s="39"/>
      <c r="AA247" s="9"/>
      <c r="AB247" s="9"/>
      <c r="AC247" s="9"/>
      <c r="AD247" s="9"/>
      <c r="AE247" s="9"/>
      <c r="AF247" s="9"/>
      <c r="AG247" s="9"/>
      <c r="AH247" s="38"/>
      <c r="AI247" s="9"/>
      <c r="AJ247" s="39"/>
      <c r="AK247" s="9"/>
      <c r="AL247" s="9"/>
      <c r="AM247" s="9"/>
      <c r="AN247" s="9"/>
      <c r="AO247" s="9"/>
      <c r="AP247" s="9"/>
      <c r="AQ247" s="9"/>
      <c r="AR247" s="10" t="str">
        <f aca="false">IF(A247="","",SG_Criteria!$B$6&amp;SG_Criteria!$B$9&amp;"\"&amp;A247&amp;"\")</f>
        <v/>
      </c>
      <c r="AS247" s="10" t="str">
        <f aca="false">IF(A247="","",A247&amp;"_CAD.dwg")</f>
        <v/>
      </c>
      <c r="AT247" s="10" t="str">
        <f aca="false">IF(A247="","",A247&amp;"_DWG.pdf")</f>
        <v/>
      </c>
      <c r="AU247" s="10" t="str">
        <f aca="false">IF(A247="","",IF(AQ247="Y",A247&amp;"_STAAD.std","n/a"))</f>
        <v/>
      </c>
      <c r="AV247" s="10" t="str">
        <f aca="false">IF(A247="","",A247&amp;"_CALC.xlsx")</f>
        <v/>
      </c>
      <c r="AW247" s="10" t="str">
        <f aca="false">IF(A247="","",A247&amp;"_CALC.pdf")</f>
        <v/>
      </c>
      <c r="AX247" s="9"/>
      <c r="AY247" s="9"/>
      <c r="AZ247" s="39"/>
      <c r="BA247" s="39"/>
      <c r="BB247" s="39"/>
      <c r="BC247" s="39"/>
      <c r="BD247" s="39"/>
      <c r="BE247" s="12" t="str">
        <f aca="false">IF(A247="","",IF(COUNTIF(Rebar_Schedule!$A$5:$A$2004,A247)=0,"",ROUND(SUMIF(Rebar_Schedule!$A$5:$A$2004,A247,Rebar_Schedule!$K$5:$K$2004),1)))</f>
        <v/>
      </c>
      <c r="BF247" s="33" t="str">
        <f aca="false">IF(A247="","",IF(BE247="","No rebar schedule yet",IF(ABS(BE247-N(BA247))/MAX(N(BA247),1)&gt;SG_Criteria!$B$55,"NOTE: register rebar differs from schedule by "&amp;TEXT(ABS(BE247-N(BA247))/MAX(N(BA247),1),"0%"),"OK")))</f>
        <v/>
      </c>
      <c r="BG247" s="33" t="str">
        <f aca="false">IF(OR(D247="",F247=""),"",IF(F247&lt;=IF(D247="Soldier Pile &amp; Timber Lagging",SG_Criteria!$B$34,SG_Criteria!$B$33),"No ERSS submission",IF(F247&lt;=SG_Criteria!$B$35,"QP(ST)",IF(F247&lt;=SG_Criteria!$B$36,"QP(ST) + AC","Geotechnical building works: QP(Geo) + AC"))))</f>
        <v/>
      </c>
      <c r="BH247" s="33" t="str">
        <f aca="false">IF(D247="","",IF(LEN(IF(AND(AC247&lt;&gt;"",IFERROR(VALUE(MID(AC247,2,2)),0)&lt;SG_Criteria!$B$19),"FAIL: grade below C"&amp;SG_Criteria!$B$19&amp;". ","")&amp;IF(AND(LEFT(D247,3)="Con",N(I247)&lt;F247,H247="Kallang Formation (marine clay)"),"NOTE: CBP is not watertight below GWT in marine clay; consider secant / grouting. ","")&amp;IF(AND(D247="Steel Sheet Pile",E247="Permanent"),"NOTE: permanent sheet pile needs corrosion allowance. ","")&amp;IF(AND(G247="Cantilever (no support)",F247&gt;6),"NOTE: cantilever embedded wall &gt; 6 m, check deflection. ","")&amp;IF(AND(T247&lt;&gt;"",U247&lt;&gt;"",T247&gt;U247),"FAIL: deflection exceeds allowable. ",""))=0,"OK",IF(AND(AC247&lt;&gt;"",IFERROR(VALUE(MID(AC247,2,2)),0)&lt;SG_Criteria!$B$19),"FAIL: grade below C"&amp;SG_Criteria!$B$19&amp;". ","")&amp;IF(AND(LEFT(D247,3)="Con",N(I247)&lt;F247,H247="Kallang Formation (marine clay)"),"NOTE: CBP is not watertight below GWT in marine clay; consider secant / grouting. ","")&amp;IF(AND(D247="Steel Sheet Pile",E247="Permanent"),"NOTE: permanent sheet pile needs corrosion allowance. ","")&amp;IF(AND(G247="Cantilever (no support)",F247&gt;6),"NOTE: cantilever embedded wall &gt; 6 m, check deflection. ","")&amp;IF(AND(T247&lt;&gt;"",U247&lt;&gt;"",T247&gt;U247),"FAIL: deflection exceeds allowable. ","")))</f>
        <v/>
      </c>
      <c r="BI247" s="9"/>
      <c r="BJ247" s="9"/>
      <c r="BK247" s="9"/>
      <c r="BL247" s="10" t="str">
        <f aca="false">IF(BK247="","",IFERROR(VLOOKUP(BK247,Projects!$A$5:$D$504,2,0),"Ref not in Projects"))</f>
        <v/>
      </c>
      <c r="BM247" s="10" t="str">
        <f aca="false">IF(BK247="","",IFERROR(VLOOKUP(BK247,Projects!$A$5:$D$504,4,0),"Ref not in Projects"))</f>
        <v/>
      </c>
      <c r="BN247" s="9"/>
      <c r="BO247" s="9"/>
      <c r="BP247" s="9"/>
      <c r="BQ247" s="40"/>
      <c r="BR247" s="9"/>
      <c r="BS247" s="40"/>
      <c r="BT247" s="9"/>
      <c r="BU247" s="40"/>
      <c r="BV247" s="9"/>
      <c r="BW247" s="9"/>
      <c r="BX247" s="9"/>
      <c r="BY247" s="40"/>
      <c r="BZ247" s="40"/>
      <c r="CA247" s="36" t="str">
        <f aca="false">IF(BZ247="","",EDATE(BZ247,SG_Criteria!$B$54*12))</f>
        <v/>
      </c>
      <c r="CB247" s="33" t="str">
        <f aca="true">IF(A247="","",IF(BZ247="","NOTE: not reviewed yet",IF(TODAY()&gt;CA247,"NOTE: review overdue","OK")))</f>
        <v/>
      </c>
      <c r="CC247" s="37" t="str">
        <f aca="false">IF(A247="","",ROUND((IF(LEN(D247)&gt;0,1,0)+IF(LEN(E247)&gt;0,1,0)+IF(LEN(F247)&gt;0,1,0)+IF(LEN(G247)&gt;0,1,0)+IF(LEN(H247)&gt;0,1,0)+IF(LEN(I247)&gt;0,1,0)+IF(LEN(K247)&gt;0,1,0)+IF(LEN(N247)&gt;0,1,0)+IF(LEN(O247)&gt;0,1,0)+IF(LEN(T247)&gt;0,1,0)+IF(LEN(U247)&gt;0,1,0)+IF(LEN(V247)&gt;0,1,0)+IF(LEN(AK247)&gt;0,1,0)+IF(LEN(AM247)&gt;0,1,0)+IF(LEN(AN247)&gt;0,1,0)+IF(LEN(AO247)&gt;0,1,0)+IF(LEN(AP247)&gt;0,1,0)+IF(LEN(AY247)&gt;0,1,0)+IF(LEN(BK247)&gt;0,1,0)+IF(LEN(BX247)&gt;0,1,0))/20,2))</f>
        <v/>
      </c>
      <c r="CD247" s="10" t="str">
        <f aca="false">IF(D247="","",IF(AND(AN247="Approved",ISERROR(SEARCH("FAIL",BH247))),"Y","N"))</f>
        <v/>
      </c>
      <c r="CE247" s="10" t="str">
        <f aca="false">IF(D247="","",D247&amp;"|"&amp;F247&amp;"|"&amp;G247&amp;"|"&amp;H247&amp;"|"&amp;E247&amp;"|"&amp;CD247)</f>
        <v/>
      </c>
    </row>
    <row r="248" customFormat="false" ht="15" hidden="false" customHeight="false" outlineLevel="0" collapsed="false">
      <c r="A248" s="10" t="str">
        <f aca="false">IF(D248="","","EW-"&amp;IFERROR(VLOOKUP(D248,Lists!$P$4:$Q$22,2,0),"??")&amp;"-D"&amp;TEXT(F248*1000,"0000")&amp;"-"&amp;IFERROR(VLOOKUP(G248,Lists!$S$4:$T$21,2,0),"??")&amp;"-"&amp;IFERROR(VLOOKUP(H248,Lists!$Y$4:$Z$21,2,0),"??")&amp;"-"&amp;IFERROR(VLOOKUP(E248,Lists!$V$4:$W$16,2,0),"??")&amp;"-"&amp;AM248)</f>
        <v/>
      </c>
      <c r="B248" s="10" t="str">
        <f aca="false">IF(D248="","",E248&amp;" "&amp;D248&amp;", excavation "&amp;TEXT(F248,"0.0")&amp;" m, "&amp;G248&amp;", "&amp;H248&amp;", "&amp;K248)</f>
        <v/>
      </c>
      <c r="C248" s="9"/>
      <c r="D248" s="9"/>
      <c r="E248" s="9"/>
      <c r="F248" s="42"/>
      <c r="G248" s="9"/>
      <c r="H248" s="9"/>
      <c r="I248" s="42"/>
      <c r="J248" s="38"/>
      <c r="K248" s="9"/>
      <c r="L248" s="9"/>
      <c r="M248" s="9"/>
      <c r="N248" s="42"/>
      <c r="O248" s="42"/>
      <c r="P248" s="9"/>
      <c r="Q248" s="9"/>
      <c r="R248" s="9"/>
      <c r="S248" s="9"/>
      <c r="T248" s="38"/>
      <c r="U248" s="38"/>
      <c r="V248" s="38"/>
      <c r="W248" s="38"/>
      <c r="X248" s="38"/>
      <c r="Y248" s="9"/>
      <c r="Z248" s="39"/>
      <c r="AA248" s="9"/>
      <c r="AB248" s="9"/>
      <c r="AC248" s="9"/>
      <c r="AD248" s="9"/>
      <c r="AE248" s="9"/>
      <c r="AF248" s="9"/>
      <c r="AG248" s="9"/>
      <c r="AH248" s="38"/>
      <c r="AI248" s="9"/>
      <c r="AJ248" s="39"/>
      <c r="AK248" s="9"/>
      <c r="AL248" s="9"/>
      <c r="AM248" s="9"/>
      <c r="AN248" s="9"/>
      <c r="AO248" s="9"/>
      <c r="AP248" s="9"/>
      <c r="AQ248" s="9"/>
      <c r="AR248" s="10" t="str">
        <f aca="false">IF(A248="","",SG_Criteria!$B$6&amp;SG_Criteria!$B$9&amp;"\"&amp;A248&amp;"\")</f>
        <v/>
      </c>
      <c r="AS248" s="10" t="str">
        <f aca="false">IF(A248="","",A248&amp;"_CAD.dwg")</f>
        <v/>
      </c>
      <c r="AT248" s="10" t="str">
        <f aca="false">IF(A248="","",A248&amp;"_DWG.pdf")</f>
        <v/>
      </c>
      <c r="AU248" s="10" t="str">
        <f aca="false">IF(A248="","",IF(AQ248="Y",A248&amp;"_STAAD.std","n/a"))</f>
        <v/>
      </c>
      <c r="AV248" s="10" t="str">
        <f aca="false">IF(A248="","",A248&amp;"_CALC.xlsx")</f>
        <v/>
      </c>
      <c r="AW248" s="10" t="str">
        <f aca="false">IF(A248="","",A248&amp;"_CALC.pdf")</f>
        <v/>
      </c>
      <c r="AX248" s="9"/>
      <c r="AY248" s="9"/>
      <c r="AZ248" s="39"/>
      <c r="BA248" s="39"/>
      <c r="BB248" s="39"/>
      <c r="BC248" s="39"/>
      <c r="BD248" s="39"/>
      <c r="BE248" s="12" t="str">
        <f aca="false">IF(A248="","",IF(COUNTIF(Rebar_Schedule!$A$5:$A$2004,A248)=0,"",ROUND(SUMIF(Rebar_Schedule!$A$5:$A$2004,A248,Rebar_Schedule!$K$5:$K$2004),1)))</f>
        <v/>
      </c>
      <c r="BF248" s="33" t="str">
        <f aca="false">IF(A248="","",IF(BE248="","No rebar schedule yet",IF(ABS(BE248-N(BA248))/MAX(N(BA248),1)&gt;SG_Criteria!$B$55,"NOTE: register rebar differs from schedule by "&amp;TEXT(ABS(BE248-N(BA248))/MAX(N(BA248),1),"0%"),"OK")))</f>
        <v/>
      </c>
      <c r="BG248" s="33" t="str">
        <f aca="false">IF(OR(D248="",F248=""),"",IF(F248&lt;=IF(D248="Soldier Pile &amp; Timber Lagging",SG_Criteria!$B$34,SG_Criteria!$B$33),"No ERSS submission",IF(F248&lt;=SG_Criteria!$B$35,"QP(ST)",IF(F248&lt;=SG_Criteria!$B$36,"QP(ST) + AC","Geotechnical building works: QP(Geo) + AC"))))</f>
        <v/>
      </c>
      <c r="BH248" s="33" t="str">
        <f aca="false">IF(D248="","",IF(LEN(IF(AND(AC248&lt;&gt;"",IFERROR(VALUE(MID(AC248,2,2)),0)&lt;SG_Criteria!$B$19),"FAIL: grade below C"&amp;SG_Criteria!$B$19&amp;". ","")&amp;IF(AND(LEFT(D248,3)="Con",N(I248)&lt;F248,H248="Kallang Formation (marine clay)"),"NOTE: CBP is not watertight below GWT in marine clay; consider secant / grouting. ","")&amp;IF(AND(D248="Steel Sheet Pile",E248="Permanent"),"NOTE: permanent sheet pile needs corrosion allowance. ","")&amp;IF(AND(G248="Cantilever (no support)",F248&gt;6),"NOTE: cantilever embedded wall &gt; 6 m, check deflection. ","")&amp;IF(AND(T248&lt;&gt;"",U248&lt;&gt;"",T248&gt;U248),"FAIL: deflection exceeds allowable. ",""))=0,"OK",IF(AND(AC248&lt;&gt;"",IFERROR(VALUE(MID(AC248,2,2)),0)&lt;SG_Criteria!$B$19),"FAIL: grade below C"&amp;SG_Criteria!$B$19&amp;". ","")&amp;IF(AND(LEFT(D248,3)="Con",N(I248)&lt;F248,H248="Kallang Formation (marine clay)"),"NOTE: CBP is not watertight below GWT in marine clay; consider secant / grouting. ","")&amp;IF(AND(D248="Steel Sheet Pile",E248="Permanent"),"NOTE: permanent sheet pile needs corrosion allowance. ","")&amp;IF(AND(G248="Cantilever (no support)",F248&gt;6),"NOTE: cantilever embedded wall &gt; 6 m, check deflection. ","")&amp;IF(AND(T248&lt;&gt;"",U248&lt;&gt;"",T248&gt;U248),"FAIL: deflection exceeds allowable. ","")))</f>
        <v/>
      </c>
      <c r="BI248" s="9"/>
      <c r="BJ248" s="9"/>
      <c r="BK248" s="9"/>
      <c r="BL248" s="10" t="str">
        <f aca="false">IF(BK248="","",IFERROR(VLOOKUP(BK248,Projects!$A$5:$D$504,2,0),"Ref not in Projects"))</f>
        <v/>
      </c>
      <c r="BM248" s="10" t="str">
        <f aca="false">IF(BK248="","",IFERROR(VLOOKUP(BK248,Projects!$A$5:$D$504,4,0),"Ref not in Projects"))</f>
        <v/>
      </c>
      <c r="BN248" s="9"/>
      <c r="BO248" s="9"/>
      <c r="BP248" s="9"/>
      <c r="BQ248" s="40"/>
      <c r="BR248" s="9"/>
      <c r="BS248" s="40"/>
      <c r="BT248" s="9"/>
      <c r="BU248" s="40"/>
      <c r="BV248" s="9"/>
      <c r="BW248" s="9"/>
      <c r="BX248" s="9"/>
      <c r="BY248" s="40"/>
      <c r="BZ248" s="40"/>
      <c r="CA248" s="36" t="str">
        <f aca="false">IF(BZ248="","",EDATE(BZ248,SG_Criteria!$B$54*12))</f>
        <v/>
      </c>
      <c r="CB248" s="33" t="str">
        <f aca="true">IF(A248="","",IF(BZ248="","NOTE: not reviewed yet",IF(TODAY()&gt;CA248,"NOTE: review overdue","OK")))</f>
        <v/>
      </c>
      <c r="CC248" s="37" t="str">
        <f aca="false">IF(A248="","",ROUND((IF(LEN(D248)&gt;0,1,0)+IF(LEN(E248)&gt;0,1,0)+IF(LEN(F248)&gt;0,1,0)+IF(LEN(G248)&gt;0,1,0)+IF(LEN(H248)&gt;0,1,0)+IF(LEN(I248)&gt;0,1,0)+IF(LEN(K248)&gt;0,1,0)+IF(LEN(N248)&gt;0,1,0)+IF(LEN(O248)&gt;0,1,0)+IF(LEN(T248)&gt;0,1,0)+IF(LEN(U248)&gt;0,1,0)+IF(LEN(V248)&gt;0,1,0)+IF(LEN(AK248)&gt;0,1,0)+IF(LEN(AM248)&gt;0,1,0)+IF(LEN(AN248)&gt;0,1,0)+IF(LEN(AO248)&gt;0,1,0)+IF(LEN(AP248)&gt;0,1,0)+IF(LEN(AY248)&gt;0,1,0)+IF(LEN(BK248)&gt;0,1,0)+IF(LEN(BX248)&gt;0,1,0))/20,2))</f>
        <v/>
      </c>
      <c r="CD248" s="10" t="str">
        <f aca="false">IF(D248="","",IF(AND(AN248="Approved",ISERROR(SEARCH("FAIL",BH248))),"Y","N"))</f>
        <v/>
      </c>
      <c r="CE248" s="10" t="str">
        <f aca="false">IF(D248="","",D248&amp;"|"&amp;F248&amp;"|"&amp;G248&amp;"|"&amp;H248&amp;"|"&amp;E248&amp;"|"&amp;CD248)</f>
        <v/>
      </c>
    </row>
    <row r="249" customFormat="false" ht="15" hidden="false" customHeight="false" outlineLevel="0" collapsed="false">
      <c r="A249" s="10" t="str">
        <f aca="false">IF(D249="","","EW-"&amp;IFERROR(VLOOKUP(D249,Lists!$P$4:$Q$22,2,0),"??")&amp;"-D"&amp;TEXT(F249*1000,"0000")&amp;"-"&amp;IFERROR(VLOOKUP(G249,Lists!$S$4:$T$21,2,0),"??")&amp;"-"&amp;IFERROR(VLOOKUP(H249,Lists!$Y$4:$Z$21,2,0),"??")&amp;"-"&amp;IFERROR(VLOOKUP(E249,Lists!$V$4:$W$16,2,0),"??")&amp;"-"&amp;AM249)</f>
        <v/>
      </c>
      <c r="B249" s="10" t="str">
        <f aca="false">IF(D249="","",E249&amp;" "&amp;D249&amp;", excavation "&amp;TEXT(F249,"0.0")&amp;" m, "&amp;G249&amp;", "&amp;H249&amp;", "&amp;K249)</f>
        <v/>
      </c>
      <c r="C249" s="9"/>
      <c r="D249" s="9"/>
      <c r="E249" s="9"/>
      <c r="F249" s="42"/>
      <c r="G249" s="9"/>
      <c r="H249" s="9"/>
      <c r="I249" s="42"/>
      <c r="J249" s="38"/>
      <c r="K249" s="9"/>
      <c r="L249" s="9"/>
      <c r="M249" s="9"/>
      <c r="N249" s="42"/>
      <c r="O249" s="42"/>
      <c r="P249" s="9"/>
      <c r="Q249" s="9"/>
      <c r="R249" s="9"/>
      <c r="S249" s="9"/>
      <c r="T249" s="38"/>
      <c r="U249" s="38"/>
      <c r="V249" s="38"/>
      <c r="W249" s="38"/>
      <c r="X249" s="38"/>
      <c r="Y249" s="9"/>
      <c r="Z249" s="39"/>
      <c r="AA249" s="9"/>
      <c r="AB249" s="9"/>
      <c r="AC249" s="9"/>
      <c r="AD249" s="9"/>
      <c r="AE249" s="9"/>
      <c r="AF249" s="9"/>
      <c r="AG249" s="9"/>
      <c r="AH249" s="38"/>
      <c r="AI249" s="9"/>
      <c r="AJ249" s="39"/>
      <c r="AK249" s="9"/>
      <c r="AL249" s="9"/>
      <c r="AM249" s="9"/>
      <c r="AN249" s="9"/>
      <c r="AO249" s="9"/>
      <c r="AP249" s="9"/>
      <c r="AQ249" s="9"/>
      <c r="AR249" s="10" t="str">
        <f aca="false">IF(A249="","",SG_Criteria!$B$6&amp;SG_Criteria!$B$9&amp;"\"&amp;A249&amp;"\")</f>
        <v/>
      </c>
      <c r="AS249" s="10" t="str">
        <f aca="false">IF(A249="","",A249&amp;"_CAD.dwg")</f>
        <v/>
      </c>
      <c r="AT249" s="10" t="str">
        <f aca="false">IF(A249="","",A249&amp;"_DWG.pdf")</f>
        <v/>
      </c>
      <c r="AU249" s="10" t="str">
        <f aca="false">IF(A249="","",IF(AQ249="Y",A249&amp;"_STAAD.std","n/a"))</f>
        <v/>
      </c>
      <c r="AV249" s="10" t="str">
        <f aca="false">IF(A249="","",A249&amp;"_CALC.xlsx")</f>
        <v/>
      </c>
      <c r="AW249" s="10" t="str">
        <f aca="false">IF(A249="","",A249&amp;"_CALC.pdf")</f>
        <v/>
      </c>
      <c r="AX249" s="9"/>
      <c r="AY249" s="9"/>
      <c r="AZ249" s="39"/>
      <c r="BA249" s="39"/>
      <c r="BB249" s="39"/>
      <c r="BC249" s="39"/>
      <c r="BD249" s="39"/>
      <c r="BE249" s="12" t="str">
        <f aca="false">IF(A249="","",IF(COUNTIF(Rebar_Schedule!$A$5:$A$2004,A249)=0,"",ROUND(SUMIF(Rebar_Schedule!$A$5:$A$2004,A249,Rebar_Schedule!$K$5:$K$2004),1)))</f>
        <v/>
      </c>
      <c r="BF249" s="33" t="str">
        <f aca="false">IF(A249="","",IF(BE249="","No rebar schedule yet",IF(ABS(BE249-N(BA249))/MAX(N(BA249),1)&gt;SG_Criteria!$B$55,"NOTE: register rebar differs from schedule by "&amp;TEXT(ABS(BE249-N(BA249))/MAX(N(BA249),1),"0%"),"OK")))</f>
        <v/>
      </c>
      <c r="BG249" s="33" t="str">
        <f aca="false">IF(OR(D249="",F249=""),"",IF(F249&lt;=IF(D249="Soldier Pile &amp; Timber Lagging",SG_Criteria!$B$34,SG_Criteria!$B$33),"No ERSS submission",IF(F249&lt;=SG_Criteria!$B$35,"QP(ST)",IF(F249&lt;=SG_Criteria!$B$36,"QP(ST) + AC","Geotechnical building works: QP(Geo) + AC"))))</f>
        <v/>
      </c>
      <c r="BH249" s="33" t="str">
        <f aca="false">IF(D249="","",IF(LEN(IF(AND(AC249&lt;&gt;"",IFERROR(VALUE(MID(AC249,2,2)),0)&lt;SG_Criteria!$B$19),"FAIL: grade below C"&amp;SG_Criteria!$B$19&amp;". ","")&amp;IF(AND(LEFT(D249,3)="Con",N(I249)&lt;F249,H249="Kallang Formation (marine clay)"),"NOTE: CBP is not watertight below GWT in marine clay; consider secant / grouting. ","")&amp;IF(AND(D249="Steel Sheet Pile",E249="Permanent"),"NOTE: permanent sheet pile needs corrosion allowance. ","")&amp;IF(AND(G249="Cantilever (no support)",F249&gt;6),"NOTE: cantilever embedded wall &gt; 6 m, check deflection. ","")&amp;IF(AND(T249&lt;&gt;"",U249&lt;&gt;"",T249&gt;U249),"FAIL: deflection exceeds allowable. ",""))=0,"OK",IF(AND(AC249&lt;&gt;"",IFERROR(VALUE(MID(AC249,2,2)),0)&lt;SG_Criteria!$B$19),"FAIL: grade below C"&amp;SG_Criteria!$B$19&amp;". ","")&amp;IF(AND(LEFT(D249,3)="Con",N(I249)&lt;F249,H249="Kallang Formation (marine clay)"),"NOTE: CBP is not watertight below GWT in marine clay; consider secant / grouting. ","")&amp;IF(AND(D249="Steel Sheet Pile",E249="Permanent"),"NOTE: permanent sheet pile needs corrosion allowance. ","")&amp;IF(AND(G249="Cantilever (no support)",F249&gt;6),"NOTE: cantilever embedded wall &gt; 6 m, check deflection. ","")&amp;IF(AND(T249&lt;&gt;"",U249&lt;&gt;"",T249&gt;U249),"FAIL: deflection exceeds allowable. ","")))</f>
        <v/>
      </c>
      <c r="BI249" s="9"/>
      <c r="BJ249" s="9"/>
      <c r="BK249" s="9"/>
      <c r="BL249" s="10" t="str">
        <f aca="false">IF(BK249="","",IFERROR(VLOOKUP(BK249,Projects!$A$5:$D$504,2,0),"Ref not in Projects"))</f>
        <v/>
      </c>
      <c r="BM249" s="10" t="str">
        <f aca="false">IF(BK249="","",IFERROR(VLOOKUP(BK249,Projects!$A$5:$D$504,4,0),"Ref not in Projects"))</f>
        <v/>
      </c>
      <c r="BN249" s="9"/>
      <c r="BO249" s="9"/>
      <c r="BP249" s="9"/>
      <c r="BQ249" s="40"/>
      <c r="BR249" s="9"/>
      <c r="BS249" s="40"/>
      <c r="BT249" s="9"/>
      <c r="BU249" s="40"/>
      <c r="BV249" s="9"/>
      <c r="BW249" s="9"/>
      <c r="BX249" s="9"/>
      <c r="BY249" s="40"/>
      <c r="BZ249" s="40"/>
      <c r="CA249" s="36" t="str">
        <f aca="false">IF(BZ249="","",EDATE(BZ249,SG_Criteria!$B$54*12))</f>
        <v/>
      </c>
      <c r="CB249" s="33" t="str">
        <f aca="true">IF(A249="","",IF(BZ249="","NOTE: not reviewed yet",IF(TODAY()&gt;CA249,"NOTE: review overdue","OK")))</f>
        <v/>
      </c>
      <c r="CC249" s="37" t="str">
        <f aca="false">IF(A249="","",ROUND((IF(LEN(D249)&gt;0,1,0)+IF(LEN(E249)&gt;0,1,0)+IF(LEN(F249)&gt;0,1,0)+IF(LEN(G249)&gt;0,1,0)+IF(LEN(H249)&gt;0,1,0)+IF(LEN(I249)&gt;0,1,0)+IF(LEN(K249)&gt;0,1,0)+IF(LEN(N249)&gt;0,1,0)+IF(LEN(O249)&gt;0,1,0)+IF(LEN(T249)&gt;0,1,0)+IF(LEN(U249)&gt;0,1,0)+IF(LEN(V249)&gt;0,1,0)+IF(LEN(AK249)&gt;0,1,0)+IF(LEN(AM249)&gt;0,1,0)+IF(LEN(AN249)&gt;0,1,0)+IF(LEN(AO249)&gt;0,1,0)+IF(LEN(AP249)&gt;0,1,0)+IF(LEN(AY249)&gt;0,1,0)+IF(LEN(BK249)&gt;0,1,0)+IF(LEN(BX249)&gt;0,1,0))/20,2))</f>
        <v/>
      </c>
      <c r="CD249" s="10" t="str">
        <f aca="false">IF(D249="","",IF(AND(AN249="Approved",ISERROR(SEARCH("FAIL",BH249))),"Y","N"))</f>
        <v/>
      </c>
      <c r="CE249" s="10" t="str">
        <f aca="false">IF(D249="","",D249&amp;"|"&amp;F249&amp;"|"&amp;G249&amp;"|"&amp;H249&amp;"|"&amp;E249&amp;"|"&amp;CD249)</f>
        <v/>
      </c>
    </row>
    <row r="250" customFormat="false" ht="15" hidden="false" customHeight="false" outlineLevel="0" collapsed="false">
      <c r="A250" s="10" t="str">
        <f aca="false">IF(D250="","","EW-"&amp;IFERROR(VLOOKUP(D250,Lists!$P$4:$Q$22,2,0),"??")&amp;"-D"&amp;TEXT(F250*1000,"0000")&amp;"-"&amp;IFERROR(VLOOKUP(G250,Lists!$S$4:$T$21,2,0),"??")&amp;"-"&amp;IFERROR(VLOOKUP(H250,Lists!$Y$4:$Z$21,2,0),"??")&amp;"-"&amp;IFERROR(VLOOKUP(E250,Lists!$V$4:$W$16,2,0),"??")&amp;"-"&amp;AM250)</f>
        <v/>
      </c>
      <c r="B250" s="10" t="str">
        <f aca="false">IF(D250="","",E250&amp;" "&amp;D250&amp;", excavation "&amp;TEXT(F250,"0.0")&amp;" m, "&amp;G250&amp;", "&amp;H250&amp;", "&amp;K250)</f>
        <v/>
      </c>
      <c r="C250" s="9"/>
      <c r="D250" s="9"/>
      <c r="E250" s="9"/>
      <c r="F250" s="42"/>
      <c r="G250" s="9"/>
      <c r="H250" s="9"/>
      <c r="I250" s="42"/>
      <c r="J250" s="38"/>
      <c r="K250" s="9"/>
      <c r="L250" s="9"/>
      <c r="M250" s="9"/>
      <c r="N250" s="42"/>
      <c r="O250" s="42"/>
      <c r="P250" s="9"/>
      <c r="Q250" s="9"/>
      <c r="R250" s="9"/>
      <c r="S250" s="9"/>
      <c r="T250" s="38"/>
      <c r="U250" s="38"/>
      <c r="V250" s="38"/>
      <c r="W250" s="38"/>
      <c r="X250" s="38"/>
      <c r="Y250" s="9"/>
      <c r="Z250" s="39"/>
      <c r="AA250" s="9"/>
      <c r="AB250" s="9"/>
      <c r="AC250" s="9"/>
      <c r="AD250" s="9"/>
      <c r="AE250" s="9"/>
      <c r="AF250" s="9"/>
      <c r="AG250" s="9"/>
      <c r="AH250" s="38"/>
      <c r="AI250" s="9"/>
      <c r="AJ250" s="39"/>
      <c r="AK250" s="9"/>
      <c r="AL250" s="9"/>
      <c r="AM250" s="9"/>
      <c r="AN250" s="9"/>
      <c r="AO250" s="9"/>
      <c r="AP250" s="9"/>
      <c r="AQ250" s="9"/>
      <c r="AR250" s="10" t="str">
        <f aca="false">IF(A250="","",SG_Criteria!$B$6&amp;SG_Criteria!$B$9&amp;"\"&amp;A250&amp;"\")</f>
        <v/>
      </c>
      <c r="AS250" s="10" t="str">
        <f aca="false">IF(A250="","",A250&amp;"_CAD.dwg")</f>
        <v/>
      </c>
      <c r="AT250" s="10" t="str">
        <f aca="false">IF(A250="","",A250&amp;"_DWG.pdf")</f>
        <v/>
      </c>
      <c r="AU250" s="10" t="str">
        <f aca="false">IF(A250="","",IF(AQ250="Y",A250&amp;"_STAAD.std","n/a"))</f>
        <v/>
      </c>
      <c r="AV250" s="10" t="str">
        <f aca="false">IF(A250="","",A250&amp;"_CALC.xlsx")</f>
        <v/>
      </c>
      <c r="AW250" s="10" t="str">
        <f aca="false">IF(A250="","",A250&amp;"_CALC.pdf")</f>
        <v/>
      </c>
      <c r="AX250" s="9"/>
      <c r="AY250" s="9"/>
      <c r="AZ250" s="39"/>
      <c r="BA250" s="39"/>
      <c r="BB250" s="39"/>
      <c r="BC250" s="39"/>
      <c r="BD250" s="39"/>
      <c r="BE250" s="12" t="str">
        <f aca="false">IF(A250="","",IF(COUNTIF(Rebar_Schedule!$A$5:$A$2004,A250)=0,"",ROUND(SUMIF(Rebar_Schedule!$A$5:$A$2004,A250,Rebar_Schedule!$K$5:$K$2004),1)))</f>
        <v/>
      </c>
      <c r="BF250" s="33" t="str">
        <f aca="false">IF(A250="","",IF(BE250="","No rebar schedule yet",IF(ABS(BE250-N(BA250))/MAX(N(BA250),1)&gt;SG_Criteria!$B$55,"NOTE: register rebar differs from schedule by "&amp;TEXT(ABS(BE250-N(BA250))/MAX(N(BA250),1),"0%"),"OK")))</f>
        <v/>
      </c>
      <c r="BG250" s="33" t="str">
        <f aca="false">IF(OR(D250="",F250=""),"",IF(F250&lt;=IF(D250="Soldier Pile &amp; Timber Lagging",SG_Criteria!$B$34,SG_Criteria!$B$33),"No ERSS submission",IF(F250&lt;=SG_Criteria!$B$35,"QP(ST)",IF(F250&lt;=SG_Criteria!$B$36,"QP(ST) + AC","Geotechnical building works: QP(Geo) + AC"))))</f>
        <v/>
      </c>
      <c r="BH250" s="33" t="str">
        <f aca="false">IF(D250="","",IF(LEN(IF(AND(AC250&lt;&gt;"",IFERROR(VALUE(MID(AC250,2,2)),0)&lt;SG_Criteria!$B$19),"FAIL: grade below C"&amp;SG_Criteria!$B$19&amp;". ","")&amp;IF(AND(LEFT(D250,3)="Con",N(I250)&lt;F250,H250="Kallang Formation (marine clay)"),"NOTE: CBP is not watertight below GWT in marine clay; consider secant / grouting. ","")&amp;IF(AND(D250="Steel Sheet Pile",E250="Permanent"),"NOTE: permanent sheet pile needs corrosion allowance. ","")&amp;IF(AND(G250="Cantilever (no support)",F250&gt;6),"NOTE: cantilever embedded wall &gt; 6 m, check deflection. ","")&amp;IF(AND(T250&lt;&gt;"",U250&lt;&gt;"",T250&gt;U250),"FAIL: deflection exceeds allowable. ",""))=0,"OK",IF(AND(AC250&lt;&gt;"",IFERROR(VALUE(MID(AC250,2,2)),0)&lt;SG_Criteria!$B$19),"FAIL: grade below C"&amp;SG_Criteria!$B$19&amp;". ","")&amp;IF(AND(LEFT(D250,3)="Con",N(I250)&lt;F250,H250="Kallang Formation (marine clay)"),"NOTE: CBP is not watertight below GWT in marine clay; consider secant / grouting. ","")&amp;IF(AND(D250="Steel Sheet Pile",E250="Permanent"),"NOTE: permanent sheet pile needs corrosion allowance. ","")&amp;IF(AND(G250="Cantilever (no support)",F250&gt;6),"NOTE: cantilever embedded wall &gt; 6 m, check deflection. ","")&amp;IF(AND(T250&lt;&gt;"",U250&lt;&gt;"",T250&gt;U250),"FAIL: deflection exceeds allowable. ","")))</f>
        <v/>
      </c>
      <c r="BI250" s="9"/>
      <c r="BJ250" s="9"/>
      <c r="BK250" s="9"/>
      <c r="BL250" s="10" t="str">
        <f aca="false">IF(BK250="","",IFERROR(VLOOKUP(BK250,Projects!$A$5:$D$504,2,0),"Ref not in Projects"))</f>
        <v/>
      </c>
      <c r="BM250" s="10" t="str">
        <f aca="false">IF(BK250="","",IFERROR(VLOOKUP(BK250,Projects!$A$5:$D$504,4,0),"Ref not in Projects"))</f>
        <v/>
      </c>
      <c r="BN250" s="9"/>
      <c r="BO250" s="9"/>
      <c r="BP250" s="9"/>
      <c r="BQ250" s="40"/>
      <c r="BR250" s="9"/>
      <c r="BS250" s="40"/>
      <c r="BT250" s="9"/>
      <c r="BU250" s="40"/>
      <c r="BV250" s="9"/>
      <c r="BW250" s="9"/>
      <c r="BX250" s="9"/>
      <c r="BY250" s="40"/>
      <c r="BZ250" s="40"/>
      <c r="CA250" s="36" t="str">
        <f aca="false">IF(BZ250="","",EDATE(BZ250,SG_Criteria!$B$54*12))</f>
        <v/>
      </c>
      <c r="CB250" s="33" t="str">
        <f aca="true">IF(A250="","",IF(BZ250="","NOTE: not reviewed yet",IF(TODAY()&gt;CA250,"NOTE: review overdue","OK")))</f>
        <v/>
      </c>
      <c r="CC250" s="37" t="str">
        <f aca="false">IF(A250="","",ROUND((IF(LEN(D250)&gt;0,1,0)+IF(LEN(E250)&gt;0,1,0)+IF(LEN(F250)&gt;0,1,0)+IF(LEN(G250)&gt;0,1,0)+IF(LEN(H250)&gt;0,1,0)+IF(LEN(I250)&gt;0,1,0)+IF(LEN(K250)&gt;0,1,0)+IF(LEN(N250)&gt;0,1,0)+IF(LEN(O250)&gt;0,1,0)+IF(LEN(T250)&gt;0,1,0)+IF(LEN(U250)&gt;0,1,0)+IF(LEN(V250)&gt;0,1,0)+IF(LEN(AK250)&gt;0,1,0)+IF(LEN(AM250)&gt;0,1,0)+IF(LEN(AN250)&gt;0,1,0)+IF(LEN(AO250)&gt;0,1,0)+IF(LEN(AP250)&gt;0,1,0)+IF(LEN(AY250)&gt;0,1,0)+IF(LEN(BK250)&gt;0,1,0)+IF(LEN(BX250)&gt;0,1,0))/20,2))</f>
        <v/>
      </c>
      <c r="CD250" s="10" t="str">
        <f aca="false">IF(D250="","",IF(AND(AN250="Approved",ISERROR(SEARCH("FAIL",BH250))),"Y","N"))</f>
        <v/>
      </c>
      <c r="CE250" s="10" t="str">
        <f aca="false">IF(D250="","",D250&amp;"|"&amp;F250&amp;"|"&amp;G250&amp;"|"&amp;H250&amp;"|"&amp;E250&amp;"|"&amp;CD250)</f>
        <v/>
      </c>
    </row>
    <row r="251" customFormat="false" ht="15" hidden="false" customHeight="false" outlineLevel="0" collapsed="false">
      <c r="A251" s="10" t="str">
        <f aca="false">IF(D251="","","EW-"&amp;IFERROR(VLOOKUP(D251,Lists!$P$4:$Q$22,2,0),"??")&amp;"-D"&amp;TEXT(F251*1000,"0000")&amp;"-"&amp;IFERROR(VLOOKUP(G251,Lists!$S$4:$T$21,2,0),"??")&amp;"-"&amp;IFERROR(VLOOKUP(H251,Lists!$Y$4:$Z$21,2,0),"??")&amp;"-"&amp;IFERROR(VLOOKUP(E251,Lists!$V$4:$W$16,2,0),"??")&amp;"-"&amp;AM251)</f>
        <v/>
      </c>
      <c r="B251" s="10" t="str">
        <f aca="false">IF(D251="","",E251&amp;" "&amp;D251&amp;", excavation "&amp;TEXT(F251,"0.0")&amp;" m, "&amp;G251&amp;", "&amp;H251&amp;", "&amp;K251)</f>
        <v/>
      </c>
      <c r="C251" s="9"/>
      <c r="D251" s="9"/>
      <c r="E251" s="9"/>
      <c r="F251" s="42"/>
      <c r="G251" s="9"/>
      <c r="H251" s="9"/>
      <c r="I251" s="42"/>
      <c r="J251" s="38"/>
      <c r="K251" s="9"/>
      <c r="L251" s="9"/>
      <c r="M251" s="9"/>
      <c r="N251" s="42"/>
      <c r="O251" s="42"/>
      <c r="P251" s="9"/>
      <c r="Q251" s="9"/>
      <c r="R251" s="9"/>
      <c r="S251" s="9"/>
      <c r="T251" s="38"/>
      <c r="U251" s="38"/>
      <c r="V251" s="38"/>
      <c r="W251" s="38"/>
      <c r="X251" s="38"/>
      <c r="Y251" s="9"/>
      <c r="Z251" s="39"/>
      <c r="AA251" s="9"/>
      <c r="AB251" s="9"/>
      <c r="AC251" s="9"/>
      <c r="AD251" s="9"/>
      <c r="AE251" s="9"/>
      <c r="AF251" s="9"/>
      <c r="AG251" s="9"/>
      <c r="AH251" s="38"/>
      <c r="AI251" s="9"/>
      <c r="AJ251" s="39"/>
      <c r="AK251" s="9"/>
      <c r="AL251" s="9"/>
      <c r="AM251" s="9"/>
      <c r="AN251" s="9"/>
      <c r="AO251" s="9"/>
      <c r="AP251" s="9"/>
      <c r="AQ251" s="9"/>
      <c r="AR251" s="10" t="str">
        <f aca="false">IF(A251="","",SG_Criteria!$B$6&amp;SG_Criteria!$B$9&amp;"\"&amp;A251&amp;"\")</f>
        <v/>
      </c>
      <c r="AS251" s="10" t="str">
        <f aca="false">IF(A251="","",A251&amp;"_CAD.dwg")</f>
        <v/>
      </c>
      <c r="AT251" s="10" t="str">
        <f aca="false">IF(A251="","",A251&amp;"_DWG.pdf")</f>
        <v/>
      </c>
      <c r="AU251" s="10" t="str">
        <f aca="false">IF(A251="","",IF(AQ251="Y",A251&amp;"_STAAD.std","n/a"))</f>
        <v/>
      </c>
      <c r="AV251" s="10" t="str">
        <f aca="false">IF(A251="","",A251&amp;"_CALC.xlsx")</f>
        <v/>
      </c>
      <c r="AW251" s="10" t="str">
        <f aca="false">IF(A251="","",A251&amp;"_CALC.pdf")</f>
        <v/>
      </c>
      <c r="AX251" s="9"/>
      <c r="AY251" s="9"/>
      <c r="AZ251" s="39"/>
      <c r="BA251" s="39"/>
      <c r="BB251" s="39"/>
      <c r="BC251" s="39"/>
      <c r="BD251" s="39"/>
      <c r="BE251" s="12" t="str">
        <f aca="false">IF(A251="","",IF(COUNTIF(Rebar_Schedule!$A$5:$A$2004,A251)=0,"",ROUND(SUMIF(Rebar_Schedule!$A$5:$A$2004,A251,Rebar_Schedule!$K$5:$K$2004),1)))</f>
        <v/>
      </c>
      <c r="BF251" s="33" t="str">
        <f aca="false">IF(A251="","",IF(BE251="","No rebar schedule yet",IF(ABS(BE251-N(BA251))/MAX(N(BA251),1)&gt;SG_Criteria!$B$55,"NOTE: register rebar differs from schedule by "&amp;TEXT(ABS(BE251-N(BA251))/MAX(N(BA251),1),"0%"),"OK")))</f>
        <v/>
      </c>
      <c r="BG251" s="33" t="str">
        <f aca="false">IF(OR(D251="",F251=""),"",IF(F251&lt;=IF(D251="Soldier Pile &amp; Timber Lagging",SG_Criteria!$B$34,SG_Criteria!$B$33),"No ERSS submission",IF(F251&lt;=SG_Criteria!$B$35,"QP(ST)",IF(F251&lt;=SG_Criteria!$B$36,"QP(ST) + AC","Geotechnical building works: QP(Geo) + AC"))))</f>
        <v/>
      </c>
      <c r="BH251" s="33" t="str">
        <f aca="false">IF(D251="","",IF(LEN(IF(AND(AC251&lt;&gt;"",IFERROR(VALUE(MID(AC251,2,2)),0)&lt;SG_Criteria!$B$19),"FAIL: grade below C"&amp;SG_Criteria!$B$19&amp;". ","")&amp;IF(AND(LEFT(D251,3)="Con",N(I251)&lt;F251,H251="Kallang Formation (marine clay)"),"NOTE: CBP is not watertight below GWT in marine clay; consider secant / grouting. ","")&amp;IF(AND(D251="Steel Sheet Pile",E251="Permanent"),"NOTE: permanent sheet pile needs corrosion allowance. ","")&amp;IF(AND(G251="Cantilever (no support)",F251&gt;6),"NOTE: cantilever embedded wall &gt; 6 m, check deflection. ","")&amp;IF(AND(T251&lt;&gt;"",U251&lt;&gt;"",T251&gt;U251),"FAIL: deflection exceeds allowable. ",""))=0,"OK",IF(AND(AC251&lt;&gt;"",IFERROR(VALUE(MID(AC251,2,2)),0)&lt;SG_Criteria!$B$19),"FAIL: grade below C"&amp;SG_Criteria!$B$19&amp;". ","")&amp;IF(AND(LEFT(D251,3)="Con",N(I251)&lt;F251,H251="Kallang Formation (marine clay)"),"NOTE: CBP is not watertight below GWT in marine clay; consider secant / grouting. ","")&amp;IF(AND(D251="Steel Sheet Pile",E251="Permanent"),"NOTE: permanent sheet pile needs corrosion allowance. ","")&amp;IF(AND(G251="Cantilever (no support)",F251&gt;6),"NOTE: cantilever embedded wall &gt; 6 m, check deflection. ","")&amp;IF(AND(T251&lt;&gt;"",U251&lt;&gt;"",T251&gt;U251),"FAIL: deflection exceeds allowable. ","")))</f>
        <v/>
      </c>
      <c r="BI251" s="9"/>
      <c r="BJ251" s="9"/>
      <c r="BK251" s="9"/>
      <c r="BL251" s="10" t="str">
        <f aca="false">IF(BK251="","",IFERROR(VLOOKUP(BK251,Projects!$A$5:$D$504,2,0),"Ref not in Projects"))</f>
        <v/>
      </c>
      <c r="BM251" s="10" t="str">
        <f aca="false">IF(BK251="","",IFERROR(VLOOKUP(BK251,Projects!$A$5:$D$504,4,0),"Ref not in Projects"))</f>
        <v/>
      </c>
      <c r="BN251" s="9"/>
      <c r="BO251" s="9"/>
      <c r="BP251" s="9"/>
      <c r="BQ251" s="40"/>
      <c r="BR251" s="9"/>
      <c r="BS251" s="40"/>
      <c r="BT251" s="9"/>
      <c r="BU251" s="40"/>
      <c r="BV251" s="9"/>
      <c r="BW251" s="9"/>
      <c r="BX251" s="9"/>
      <c r="BY251" s="40"/>
      <c r="BZ251" s="40"/>
      <c r="CA251" s="36" t="str">
        <f aca="false">IF(BZ251="","",EDATE(BZ251,SG_Criteria!$B$54*12))</f>
        <v/>
      </c>
      <c r="CB251" s="33" t="str">
        <f aca="true">IF(A251="","",IF(BZ251="","NOTE: not reviewed yet",IF(TODAY()&gt;CA251,"NOTE: review overdue","OK")))</f>
        <v/>
      </c>
      <c r="CC251" s="37" t="str">
        <f aca="false">IF(A251="","",ROUND((IF(LEN(D251)&gt;0,1,0)+IF(LEN(E251)&gt;0,1,0)+IF(LEN(F251)&gt;0,1,0)+IF(LEN(G251)&gt;0,1,0)+IF(LEN(H251)&gt;0,1,0)+IF(LEN(I251)&gt;0,1,0)+IF(LEN(K251)&gt;0,1,0)+IF(LEN(N251)&gt;0,1,0)+IF(LEN(O251)&gt;0,1,0)+IF(LEN(T251)&gt;0,1,0)+IF(LEN(U251)&gt;0,1,0)+IF(LEN(V251)&gt;0,1,0)+IF(LEN(AK251)&gt;0,1,0)+IF(LEN(AM251)&gt;0,1,0)+IF(LEN(AN251)&gt;0,1,0)+IF(LEN(AO251)&gt;0,1,0)+IF(LEN(AP251)&gt;0,1,0)+IF(LEN(AY251)&gt;0,1,0)+IF(LEN(BK251)&gt;0,1,0)+IF(LEN(BX251)&gt;0,1,0))/20,2))</f>
        <v/>
      </c>
      <c r="CD251" s="10" t="str">
        <f aca="false">IF(D251="","",IF(AND(AN251="Approved",ISERROR(SEARCH("FAIL",BH251))),"Y","N"))</f>
        <v/>
      </c>
      <c r="CE251" s="10" t="str">
        <f aca="false">IF(D251="","",D251&amp;"|"&amp;F251&amp;"|"&amp;G251&amp;"|"&amp;H251&amp;"|"&amp;E251&amp;"|"&amp;CD251)</f>
        <v/>
      </c>
    </row>
    <row r="252" customFormat="false" ht="15" hidden="false" customHeight="false" outlineLevel="0" collapsed="false">
      <c r="A252" s="10" t="str">
        <f aca="false">IF(D252="","","EW-"&amp;IFERROR(VLOOKUP(D252,Lists!$P$4:$Q$22,2,0),"??")&amp;"-D"&amp;TEXT(F252*1000,"0000")&amp;"-"&amp;IFERROR(VLOOKUP(G252,Lists!$S$4:$T$21,2,0),"??")&amp;"-"&amp;IFERROR(VLOOKUP(H252,Lists!$Y$4:$Z$21,2,0),"??")&amp;"-"&amp;IFERROR(VLOOKUP(E252,Lists!$V$4:$W$16,2,0),"??")&amp;"-"&amp;AM252)</f>
        <v/>
      </c>
      <c r="B252" s="10" t="str">
        <f aca="false">IF(D252="","",E252&amp;" "&amp;D252&amp;", excavation "&amp;TEXT(F252,"0.0")&amp;" m, "&amp;G252&amp;", "&amp;H252&amp;", "&amp;K252)</f>
        <v/>
      </c>
      <c r="C252" s="9"/>
      <c r="D252" s="9"/>
      <c r="E252" s="9"/>
      <c r="F252" s="42"/>
      <c r="G252" s="9"/>
      <c r="H252" s="9"/>
      <c r="I252" s="42"/>
      <c r="J252" s="38"/>
      <c r="K252" s="9"/>
      <c r="L252" s="9"/>
      <c r="M252" s="9"/>
      <c r="N252" s="42"/>
      <c r="O252" s="42"/>
      <c r="P252" s="9"/>
      <c r="Q252" s="9"/>
      <c r="R252" s="9"/>
      <c r="S252" s="9"/>
      <c r="T252" s="38"/>
      <c r="U252" s="38"/>
      <c r="V252" s="38"/>
      <c r="W252" s="38"/>
      <c r="X252" s="38"/>
      <c r="Y252" s="9"/>
      <c r="Z252" s="39"/>
      <c r="AA252" s="9"/>
      <c r="AB252" s="9"/>
      <c r="AC252" s="9"/>
      <c r="AD252" s="9"/>
      <c r="AE252" s="9"/>
      <c r="AF252" s="9"/>
      <c r="AG252" s="9"/>
      <c r="AH252" s="38"/>
      <c r="AI252" s="9"/>
      <c r="AJ252" s="39"/>
      <c r="AK252" s="9"/>
      <c r="AL252" s="9"/>
      <c r="AM252" s="9"/>
      <c r="AN252" s="9"/>
      <c r="AO252" s="9"/>
      <c r="AP252" s="9"/>
      <c r="AQ252" s="9"/>
      <c r="AR252" s="10" t="str">
        <f aca="false">IF(A252="","",SG_Criteria!$B$6&amp;SG_Criteria!$B$9&amp;"\"&amp;A252&amp;"\")</f>
        <v/>
      </c>
      <c r="AS252" s="10" t="str">
        <f aca="false">IF(A252="","",A252&amp;"_CAD.dwg")</f>
        <v/>
      </c>
      <c r="AT252" s="10" t="str">
        <f aca="false">IF(A252="","",A252&amp;"_DWG.pdf")</f>
        <v/>
      </c>
      <c r="AU252" s="10" t="str">
        <f aca="false">IF(A252="","",IF(AQ252="Y",A252&amp;"_STAAD.std","n/a"))</f>
        <v/>
      </c>
      <c r="AV252" s="10" t="str">
        <f aca="false">IF(A252="","",A252&amp;"_CALC.xlsx")</f>
        <v/>
      </c>
      <c r="AW252" s="10" t="str">
        <f aca="false">IF(A252="","",A252&amp;"_CALC.pdf")</f>
        <v/>
      </c>
      <c r="AX252" s="9"/>
      <c r="AY252" s="9"/>
      <c r="AZ252" s="39"/>
      <c r="BA252" s="39"/>
      <c r="BB252" s="39"/>
      <c r="BC252" s="39"/>
      <c r="BD252" s="39"/>
      <c r="BE252" s="12" t="str">
        <f aca="false">IF(A252="","",IF(COUNTIF(Rebar_Schedule!$A$5:$A$2004,A252)=0,"",ROUND(SUMIF(Rebar_Schedule!$A$5:$A$2004,A252,Rebar_Schedule!$K$5:$K$2004),1)))</f>
        <v/>
      </c>
      <c r="BF252" s="33" t="str">
        <f aca="false">IF(A252="","",IF(BE252="","No rebar schedule yet",IF(ABS(BE252-N(BA252))/MAX(N(BA252),1)&gt;SG_Criteria!$B$55,"NOTE: register rebar differs from schedule by "&amp;TEXT(ABS(BE252-N(BA252))/MAX(N(BA252),1),"0%"),"OK")))</f>
        <v/>
      </c>
      <c r="BG252" s="33" t="str">
        <f aca="false">IF(OR(D252="",F252=""),"",IF(F252&lt;=IF(D252="Soldier Pile &amp; Timber Lagging",SG_Criteria!$B$34,SG_Criteria!$B$33),"No ERSS submission",IF(F252&lt;=SG_Criteria!$B$35,"QP(ST)",IF(F252&lt;=SG_Criteria!$B$36,"QP(ST) + AC","Geotechnical building works: QP(Geo) + AC"))))</f>
        <v/>
      </c>
      <c r="BH252" s="33" t="str">
        <f aca="false">IF(D252="","",IF(LEN(IF(AND(AC252&lt;&gt;"",IFERROR(VALUE(MID(AC252,2,2)),0)&lt;SG_Criteria!$B$19),"FAIL: grade below C"&amp;SG_Criteria!$B$19&amp;". ","")&amp;IF(AND(LEFT(D252,3)="Con",N(I252)&lt;F252,H252="Kallang Formation (marine clay)"),"NOTE: CBP is not watertight below GWT in marine clay; consider secant / grouting. ","")&amp;IF(AND(D252="Steel Sheet Pile",E252="Permanent"),"NOTE: permanent sheet pile needs corrosion allowance. ","")&amp;IF(AND(G252="Cantilever (no support)",F252&gt;6),"NOTE: cantilever embedded wall &gt; 6 m, check deflection. ","")&amp;IF(AND(T252&lt;&gt;"",U252&lt;&gt;"",T252&gt;U252),"FAIL: deflection exceeds allowable. ",""))=0,"OK",IF(AND(AC252&lt;&gt;"",IFERROR(VALUE(MID(AC252,2,2)),0)&lt;SG_Criteria!$B$19),"FAIL: grade below C"&amp;SG_Criteria!$B$19&amp;". ","")&amp;IF(AND(LEFT(D252,3)="Con",N(I252)&lt;F252,H252="Kallang Formation (marine clay)"),"NOTE: CBP is not watertight below GWT in marine clay; consider secant / grouting. ","")&amp;IF(AND(D252="Steel Sheet Pile",E252="Permanent"),"NOTE: permanent sheet pile needs corrosion allowance. ","")&amp;IF(AND(G252="Cantilever (no support)",F252&gt;6),"NOTE: cantilever embedded wall &gt; 6 m, check deflection. ","")&amp;IF(AND(T252&lt;&gt;"",U252&lt;&gt;"",T252&gt;U252),"FAIL: deflection exceeds allowable. ","")))</f>
        <v/>
      </c>
      <c r="BI252" s="9"/>
      <c r="BJ252" s="9"/>
      <c r="BK252" s="9"/>
      <c r="BL252" s="10" t="str">
        <f aca="false">IF(BK252="","",IFERROR(VLOOKUP(BK252,Projects!$A$5:$D$504,2,0),"Ref not in Projects"))</f>
        <v/>
      </c>
      <c r="BM252" s="10" t="str">
        <f aca="false">IF(BK252="","",IFERROR(VLOOKUP(BK252,Projects!$A$5:$D$504,4,0),"Ref not in Projects"))</f>
        <v/>
      </c>
      <c r="BN252" s="9"/>
      <c r="BO252" s="9"/>
      <c r="BP252" s="9"/>
      <c r="BQ252" s="40"/>
      <c r="BR252" s="9"/>
      <c r="BS252" s="40"/>
      <c r="BT252" s="9"/>
      <c r="BU252" s="40"/>
      <c r="BV252" s="9"/>
      <c r="BW252" s="9"/>
      <c r="BX252" s="9"/>
      <c r="BY252" s="40"/>
      <c r="BZ252" s="40"/>
      <c r="CA252" s="36" t="str">
        <f aca="false">IF(BZ252="","",EDATE(BZ252,SG_Criteria!$B$54*12))</f>
        <v/>
      </c>
      <c r="CB252" s="33" t="str">
        <f aca="true">IF(A252="","",IF(BZ252="","NOTE: not reviewed yet",IF(TODAY()&gt;CA252,"NOTE: review overdue","OK")))</f>
        <v/>
      </c>
      <c r="CC252" s="37" t="str">
        <f aca="false">IF(A252="","",ROUND((IF(LEN(D252)&gt;0,1,0)+IF(LEN(E252)&gt;0,1,0)+IF(LEN(F252)&gt;0,1,0)+IF(LEN(G252)&gt;0,1,0)+IF(LEN(H252)&gt;0,1,0)+IF(LEN(I252)&gt;0,1,0)+IF(LEN(K252)&gt;0,1,0)+IF(LEN(N252)&gt;0,1,0)+IF(LEN(O252)&gt;0,1,0)+IF(LEN(T252)&gt;0,1,0)+IF(LEN(U252)&gt;0,1,0)+IF(LEN(V252)&gt;0,1,0)+IF(LEN(AK252)&gt;0,1,0)+IF(LEN(AM252)&gt;0,1,0)+IF(LEN(AN252)&gt;0,1,0)+IF(LEN(AO252)&gt;0,1,0)+IF(LEN(AP252)&gt;0,1,0)+IF(LEN(AY252)&gt;0,1,0)+IF(LEN(BK252)&gt;0,1,0)+IF(LEN(BX252)&gt;0,1,0))/20,2))</f>
        <v/>
      </c>
      <c r="CD252" s="10" t="str">
        <f aca="false">IF(D252="","",IF(AND(AN252="Approved",ISERROR(SEARCH("FAIL",BH252))),"Y","N"))</f>
        <v/>
      </c>
      <c r="CE252" s="10" t="str">
        <f aca="false">IF(D252="","",D252&amp;"|"&amp;F252&amp;"|"&amp;G252&amp;"|"&amp;H252&amp;"|"&amp;E252&amp;"|"&amp;CD252)</f>
        <v/>
      </c>
    </row>
    <row r="253" customFormat="false" ht="15" hidden="false" customHeight="false" outlineLevel="0" collapsed="false">
      <c r="A253" s="10" t="str">
        <f aca="false">IF(D253="","","EW-"&amp;IFERROR(VLOOKUP(D253,Lists!$P$4:$Q$22,2,0),"??")&amp;"-D"&amp;TEXT(F253*1000,"0000")&amp;"-"&amp;IFERROR(VLOOKUP(G253,Lists!$S$4:$T$21,2,0),"??")&amp;"-"&amp;IFERROR(VLOOKUP(H253,Lists!$Y$4:$Z$21,2,0),"??")&amp;"-"&amp;IFERROR(VLOOKUP(E253,Lists!$V$4:$W$16,2,0),"??")&amp;"-"&amp;AM253)</f>
        <v/>
      </c>
      <c r="B253" s="10" t="str">
        <f aca="false">IF(D253="","",E253&amp;" "&amp;D253&amp;", excavation "&amp;TEXT(F253,"0.0")&amp;" m, "&amp;G253&amp;", "&amp;H253&amp;", "&amp;K253)</f>
        <v/>
      </c>
      <c r="C253" s="9"/>
      <c r="D253" s="9"/>
      <c r="E253" s="9"/>
      <c r="F253" s="42"/>
      <c r="G253" s="9"/>
      <c r="H253" s="9"/>
      <c r="I253" s="42"/>
      <c r="J253" s="38"/>
      <c r="K253" s="9"/>
      <c r="L253" s="9"/>
      <c r="M253" s="9"/>
      <c r="N253" s="42"/>
      <c r="O253" s="42"/>
      <c r="P253" s="9"/>
      <c r="Q253" s="9"/>
      <c r="R253" s="9"/>
      <c r="S253" s="9"/>
      <c r="T253" s="38"/>
      <c r="U253" s="38"/>
      <c r="V253" s="38"/>
      <c r="W253" s="38"/>
      <c r="X253" s="38"/>
      <c r="Y253" s="9"/>
      <c r="Z253" s="39"/>
      <c r="AA253" s="9"/>
      <c r="AB253" s="9"/>
      <c r="AC253" s="9"/>
      <c r="AD253" s="9"/>
      <c r="AE253" s="9"/>
      <c r="AF253" s="9"/>
      <c r="AG253" s="9"/>
      <c r="AH253" s="38"/>
      <c r="AI253" s="9"/>
      <c r="AJ253" s="39"/>
      <c r="AK253" s="9"/>
      <c r="AL253" s="9"/>
      <c r="AM253" s="9"/>
      <c r="AN253" s="9"/>
      <c r="AO253" s="9"/>
      <c r="AP253" s="9"/>
      <c r="AQ253" s="9"/>
      <c r="AR253" s="10" t="str">
        <f aca="false">IF(A253="","",SG_Criteria!$B$6&amp;SG_Criteria!$B$9&amp;"\"&amp;A253&amp;"\")</f>
        <v/>
      </c>
      <c r="AS253" s="10" t="str">
        <f aca="false">IF(A253="","",A253&amp;"_CAD.dwg")</f>
        <v/>
      </c>
      <c r="AT253" s="10" t="str">
        <f aca="false">IF(A253="","",A253&amp;"_DWG.pdf")</f>
        <v/>
      </c>
      <c r="AU253" s="10" t="str">
        <f aca="false">IF(A253="","",IF(AQ253="Y",A253&amp;"_STAAD.std","n/a"))</f>
        <v/>
      </c>
      <c r="AV253" s="10" t="str">
        <f aca="false">IF(A253="","",A253&amp;"_CALC.xlsx")</f>
        <v/>
      </c>
      <c r="AW253" s="10" t="str">
        <f aca="false">IF(A253="","",A253&amp;"_CALC.pdf")</f>
        <v/>
      </c>
      <c r="AX253" s="9"/>
      <c r="AY253" s="9"/>
      <c r="AZ253" s="39"/>
      <c r="BA253" s="39"/>
      <c r="BB253" s="39"/>
      <c r="BC253" s="39"/>
      <c r="BD253" s="39"/>
      <c r="BE253" s="12" t="str">
        <f aca="false">IF(A253="","",IF(COUNTIF(Rebar_Schedule!$A$5:$A$2004,A253)=0,"",ROUND(SUMIF(Rebar_Schedule!$A$5:$A$2004,A253,Rebar_Schedule!$K$5:$K$2004),1)))</f>
        <v/>
      </c>
      <c r="BF253" s="33" t="str">
        <f aca="false">IF(A253="","",IF(BE253="","No rebar schedule yet",IF(ABS(BE253-N(BA253))/MAX(N(BA253),1)&gt;SG_Criteria!$B$55,"NOTE: register rebar differs from schedule by "&amp;TEXT(ABS(BE253-N(BA253))/MAX(N(BA253),1),"0%"),"OK")))</f>
        <v/>
      </c>
      <c r="BG253" s="33" t="str">
        <f aca="false">IF(OR(D253="",F253=""),"",IF(F253&lt;=IF(D253="Soldier Pile &amp; Timber Lagging",SG_Criteria!$B$34,SG_Criteria!$B$33),"No ERSS submission",IF(F253&lt;=SG_Criteria!$B$35,"QP(ST)",IF(F253&lt;=SG_Criteria!$B$36,"QP(ST) + AC","Geotechnical building works: QP(Geo) + AC"))))</f>
        <v/>
      </c>
      <c r="BH253" s="33" t="str">
        <f aca="false">IF(D253="","",IF(LEN(IF(AND(AC253&lt;&gt;"",IFERROR(VALUE(MID(AC253,2,2)),0)&lt;SG_Criteria!$B$19),"FAIL: grade below C"&amp;SG_Criteria!$B$19&amp;". ","")&amp;IF(AND(LEFT(D253,3)="Con",N(I253)&lt;F253,H253="Kallang Formation (marine clay)"),"NOTE: CBP is not watertight below GWT in marine clay; consider secant / grouting. ","")&amp;IF(AND(D253="Steel Sheet Pile",E253="Permanent"),"NOTE: permanent sheet pile needs corrosion allowance. ","")&amp;IF(AND(G253="Cantilever (no support)",F253&gt;6),"NOTE: cantilever embedded wall &gt; 6 m, check deflection. ","")&amp;IF(AND(T253&lt;&gt;"",U253&lt;&gt;"",T253&gt;U253),"FAIL: deflection exceeds allowable. ",""))=0,"OK",IF(AND(AC253&lt;&gt;"",IFERROR(VALUE(MID(AC253,2,2)),0)&lt;SG_Criteria!$B$19),"FAIL: grade below C"&amp;SG_Criteria!$B$19&amp;". ","")&amp;IF(AND(LEFT(D253,3)="Con",N(I253)&lt;F253,H253="Kallang Formation (marine clay)"),"NOTE: CBP is not watertight below GWT in marine clay; consider secant / grouting. ","")&amp;IF(AND(D253="Steel Sheet Pile",E253="Permanent"),"NOTE: permanent sheet pile needs corrosion allowance. ","")&amp;IF(AND(G253="Cantilever (no support)",F253&gt;6),"NOTE: cantilever embedded wall &gt; 6 m, check deflection. ","")&amp;IF(AND(T253&lt;&gt;"",U253&lt;&gt;"",T253&gt;U253),"FAIL: deflection exceeds allowable. ","")))</f>
        <v/>
      </c>
      <c r="BI253" s="9"/>
      <c r="BJ253" s="9"/>
      <c r="BK253" s="9"/>
      <c r="BL253" s="10" t="str">
        <f aca="false">IF(BK253="","",IFERROR(VLOOKUP(BK253,Projects!$A$5:$D$504,2,0),"Ref not in Projects"))</f>
        <v/>
      </c>
      <c r="BM253" s="10" t="str">
        <f aca="false">IF(BK253="","",IFERROR(VLOOKUP(BK253,Projects!$A$5:$D$504,4,0),"Ref not in Projects"))</f>
        <v/>
      </c>
      <c r="BN253" s="9"/>
      <c r="BO253" s="9"/>
      <c r="BP253" s="9"/>
      <c r="BQ253" s="40"/>
      <c r="BR253" s="9"/>
      <c r="BS253" s="40"/>
      <c r="BT253" s="9"/>
      <c r="BU253" s="40"/>
      <c r="BV253" s="9"/>
      <c r="BW253" s="9"/>
      <c r="BX253" s="9"/>
      <c r="BY253" s="40"/>
      <c r="BZ253" s="40"/>
      <c r="CA253" s="36" t="str">
        <f aca="false">IF(BZ253="","",EDATE(BZ253,SG_Criteria!$B$54*12))</f>
        <v/>
      </c>
      <c r="CB253" s="33" t="str">
        <f aca="true">IF(A253="","",IF(BZ253="","NOTE: not reviewed yet",IF(TODAY()&gt;CA253,"NOTE: review overdue","OK")))</f>
        <v/>
      </c>
      <c r="CC253" s="37" t="str">
        <f aca="false">IF(A253="","",ROUND((IF(LEN(D253)&gt;0,1,0)+IF(LEN(E253)&gt;0,1,0)+IF(LEN(F253)&gt;0,1,0)+IF(LEN(G253)&gt;0,1,0)+IF(LEN(H253)&gt;0,1,0)+IF(LEN(I253)&gt;0,1,0)+IF(LEN(K253)&gt;0,1,0)+IF(LEN(N253)&gt;0,1,0)+IF(LEN(O253)&gt;0,1,0)+IF(LEN(T253)&gt;0,1,0)+IF(LEN(U253)&gt;0,1,0)+IF(LEN(V253)&gt;0,1,0)+IF(LEN(AK253)&gt;0,1,0)+IF(LEN(AM253)&gt;0,1,0)+IF(LEN(AN253)&gt;0,1,0)+IF(LEN(AO253)&gt;0,1,0)+IF(LEN(AP253)&gt;0,1,0)+IF(LEN(AY253)&gt;0,1,0)+IF(LEN(BK253)&gt;0,1,0)+IF(LEN(BX253)&gt;0,1,0))/20,2))</f>
        <v/>
      </c>
      <c r="CD253" s="10" t="str">
        <f aca="false">IF(D253="","",IF(AND(AN253="Approved",ISERROR(SEARCH("FAIL",BH253))),"Y","N"))</f>
        <v/>
      </c>
      <c r="CE253" s="10" t="str">
        <f aca="false">IF(D253="","",D253&amp;"|"&amp;F253&amp;"|"&amp;G253&amp;"|"&amp;H253&amp;"|"&amp;E253&amp;"|"&amp;CD253)</f>
        <v/>
      </c>
    </row>
    <row r="254" customFormat="false" ht="15" hidden="false" customHeight="false" outlineLevel="0" collapsed="false">
      <c r="A254" s="10" t="str">
        <f aca="false">IF(D254="","","EW-"&amp;IFERROR(VLOOKUP(D254,Lists!$P$4:$Q$22,2,0),"??")&amp;"-D"&amp;TEXT(F254*1000,"0000")&amp;"-"&amp;IFERROR(VLOOKUP(G254,Lists!$S$4:$T$21,2,0),"??")&amp;"-"&amp;IFERROR(VLOOKUP(H254,Lists!$Y$4:$Z$21,2,0),"??")&amp;"-"&amp;IFERROR(VLOOKUP(E254,Lists!$V$4:$W$16,2,0),"??")&amp;"-"&amp;AM254)</f>
        <v/>
      </c>
      <c r="B254" s="10" t="str">
        <f aca="false">IF(D254="","",E254&amp;" "&amp;D254&amp;", excavation "&amp;TEXT(F254,"0.0")&amp;" m, "&amp;G254&amp;", "&amp;H254&amp;", "&amp;K254)</f>
        <v/>
      </c>
      <c r="C254" s="9"/>
      <c r="D254" s="9"/>
      <c r="E254" s="9"/>
      <c r="F254" s="42"/>
      <c r="G254" s="9"/>
      <c r="H254" s="9"/>
      <c r="I254" s="42"/>
      <c r="J254" s="38"/>
      <c r="K254" s="9"/>
      <c r="L254" s="9"/>
      <c r="M254" s="9"/>
      <c r="N254" s="42"/>
      <c r="O254" s="42"/>
      <c r="P254" s="9"/>
      <c r="Q254" s="9"/>
      <c r="R254" s="9"/>
      <c r="S254" s="9"/>
      <c r="T254" s="38"/>
      <c r="U254" s="38"/>
      <c r="V254" s="38"/>
      <c r="W254" s="38"/>
      <c r="X254" s="38"/>
      <c r="Y254" s="9"/>
      <c r="Z254" s="39"/>
      <c r="AA254" s="9"/>
      <c r="AB254" s="9"/>
      <c r="AC254" s="9"/>
      <c r="AD254" s="9"/>
      <c r="AE254" s="9"/>
      <c r="AF254" s="9"/>
      <c r="AG254" s="9"/>
      <c r="AH254" s="38"/>
      <c r="AI254" s="9"/>
      <c r="AJ254" s="39"/>
      <c r="AK254" s="9"/>
      <c r="AL254" s="9"/>
      <c r="AM254" s="9"/>
      <c r="AN254" s="9"/>
      <c r="AO254" s="9"/>
      <c r="AP254" s="9"/>
      <c r="AQ254" s="9"/>
      <c r="AR254" s="10" t="str">
        <f aca="false">IF(A254="","",SG_Criteria!$B$6&amp;SG_Criteria!$B$9&amp;"\"&amp;A254&amp;"\")</f>
        <v/>
      </c>
      <c r="AS254" s="10" t="str">
        <f aca="false">IF(A254="","",A254&amp;"_CAD.dwg")</f>
        <v/>
      </c>
      <c r="AT254" s="10" t="str">
        <f aca="false">IF(A254="","",A254&amp;"_DWG.pdf")</f>
        <v/>
      </c>
      <c r="AU254" s="10" t="str">
        <f aca="false">IF(A254="","",IF(AQ254="Y",A254&amp;"_STAAD.std","n/a"))</f>
        <v/>
      </c>
      <c r="AV254" s="10" t="str">
        <f aca="false">IF(A254="","",A254&amp;"_CALC.xlsx")</f>
        <v/>
      </c>
      <c r="AW254" s="10" t="str">
        <f aca="false">IF(A254="","",A254&amp;"_CALC.pdf")</f>
        <v/>
      </c>
      <c r="AX254" s="9"/>
      <c r="AY254" s="9"/>
      <c r="AZ254" s="39"/>
      <c r="BA254" s="39"/>
      <c r="BB254" s="39"/>
      <c r="BC254" s="39"/>
      <c r="BD254" s="39"/>
      <c r="BE254" s="12" t="str">
        <f aca="false">IF(A254="","",IF(COUNTIF(Rebar_Schedule!$A$5:$A$2004,A254)=0,"",ROUND(SUMIF(Rebar_Schedule!$A$5:$A$2004,A254,Rebar_Schedule!$K$5:$K$2004),1)))</f>
        <v/>
      </c>
      <c r="BF254" s="33" t="str">
        <f aca="false">IF(A254="","",IF(BE254="","No rebar schedule yet",IF(ABS(BE254-N(BA254))/MAX(N(BA254),1)&gt;SG_Criteria!$B$55,"NOTE: register rebar differs from schedule by "&amp;TEXT(ABS(BE254-N(BA254))/MAX(N(BA254),1),"0%"),"OK")))</f>
        <v/>
      </c>
      <c r="BG254" s="33" t="str">
        <f aca="false">IF(OR(D254="",F254=""),"",IF(F254&lt;=IF(D254="Soldier Pile &amp; Timber Lagging",SG_Criteria!$B$34,SG_Criteria!$B$33),"No ERSS submission",IF(F254&lt;=SG_Criteria!$B$35,"QP(ST)",IF(F254&lt;=SG_Criteria!$B$36,"QP(ST) + AC","Geotechnical building works: QP(Geo) + AC"))))</f>
        <v/>
      </c>
      <c r="BH254" s="33" t="str">
        <f aca="false">IF(D254="","",IF(LEN(IF(AND(AC254&lt;&gt;"",IFERROR(VALUE(MID(AC254,2,2)),0)&lt;SG_Criteria!$B$19),"FAIL: grade below C"&amp;SG_Criteria!$B$19&amp;". ","")&amp;IF(AND(LEFT(D254,3)="Con",N(I254)&lt;F254,H254="Kallang Formation (marine clay)"),"NOTE: CBP is not watertight below GWT in marine clay; consider secant / grouting. ","")&amp;IF(AND(D254="Steel Sheet Pile",E254="Permanent"),"NOTE: permanent sheet pile needs corrosion allowance. ","")&amp;IF(AND(G254="Cantilever (no support)",F254&gt;6),"NOTE: cantilever embedded wall &gt; 6 m, check deflection. ","")&amp;IF(AND(T254&lt;&gt;"",U254&lt;&gt;"",T254&gt;U254),"FAIL: deflection exceeds allowable. ",""))=0,"OK",IF(AND(AC254&lt;&gt;"",IFERROR(VALUE(MID(AC254,2,2)),0)&lt;SG_Criteria!$B$19),"FAIL: grade below C"&amp;SG_Criteria!$B$19&amp;". ","")&amp;IF(AND(LEFT(D254,3)="Con",N(I254)&lt;F254,H254="Kallang Formation (marine clay)"),"NOTE: CBP is not watertight below GWT in marine clay; consider secant / grouting. ","")&amp;IF(AND(D254="Steel Sheet Pile",E254="Permanent"),"NOTE: permanent sheet pile needs corrosion allowance. ","")&amp;IF(AND(G254="Cantilever (no support)",F254&gt;6),"NOTE: cantilever embedded wall &gt; 6 m, check deflection. ","")&amp;IF(AND(T254&lt;&gt;"",U254&lt;&gt;"",T254&gt;U254),"FAIL: deflection exceeds allowable. ","")))</f>
        <v/>
      </c>
      <c r="BI254" s="9"/>
      <c r="BJ254" s="9"/>
      <c r="BK254" s="9"/>
      <c r="BL254" s="10" t="str">
        <f aca="false">IF(BK254="","",IFERROR(VLOOKUP(BK254,Projects!$A$5:$D$504,2,0),"Ref not in Projects"))</f>
        <v/>
      </c>
      <c r="BM254" s="10" t="str">
        <f aca="false">IF(BK254="","",IFERROR(VLOOKUP(BK254,Projects!$A$5:$D$504,4,0),"Ref not in Projects"))</f>
        <v/>
      </c>
      <c r="BN254" s="9"/>
      <c r="BO254" s="9"/>
      <c r="BP254" s="9"/>
      <c r="BQ254" s="40"/>
      <c r="BR254" s="9"/>
      <c r="BS254" s="40"/>
      <c r="BT254" s="9"/>
      <c r="BU254" s="40"/>
      <c r="BV254" s="9"/>
      <c r="BW254" s="9"/>
      <c r="BX254" s="9"/>
      <c r="BY254" s="40"/>
      <c r="BZ254" s="40"/>
      <c r="CA254" s="36" t="str">
        <f aca="false">IF(BZ254="","",EDATE(BZ254,SG_Criteria!$B$54*12))</f>
        <v/>
      </c>
      <c r="CB254" s="33" t="str">
        <f aca="true">IF(A254="","",IF(BZ254="","NOTE: not reviewed yet",IF(TODAY()&gt;CA254,"NOTE: review overdue","OK")))</f>
        <v/>
      </c>
      <c r="CC254" s="37" t="str">
        <f aca="false">IF(A254="","",ROUND((IF(LEN(D254)&gt;0,1,0)+IF(LEN(E254)&gt;0,1,0)+IF(LEN(F254)&gt;0,1,0)+IF(LEN(G254)&gt;0,1,0)+IF(LEN(H254)&gt;0,1,0)+IF(LEN(I254)&gt;0,1,0)+IF(LEN(K254)&gt;0,1,0)+IF(LEN(N254)&gt;0,1,0)+IF(LEN(O254)&gt;0,1,0)+IF(LEN(T254)&gt;0,1,0)+IF(LEN(U254)&gt;0,1,0)+IF(LEN(V254)&gt;0,1,0)+IF(LEN(AK254)&gt;0,1,0)+IF(LEN(AM254)&gt;0,1,0)+IF(LEN(AN254)&gt;0,1,0)+IF(LEN(AO254)&gt;0,1,0)+IF(LEN(AP254)&gt;0,1,0)+IF(LEN(AY254)&gt;0,1,0)+IF(LEN(BK254)&gt;0,1,0)+IF(LEN(BX254)&gt;0,1,0))/20,2))</f>
        <v/>
      </c>
      <c r="CD254" s="10" t="str">
        <f aca="false">IF(D254="","",IF(AND(AN254="Approved",ISERROR(SEARCH("FAIL",BH254))),"Y","N"))</f>
        <v/>
      </c>
      <c r="CE254" s="10" t="str">
        <f aca="false">IF(D254="","",D254&amp;"|"&amp;F254&amp;"|"&amp;G254&amp;"|"&amp;H254&amp;"|"&amp;E254&amp;"|"&amp;CD254)</f>
        <v/>
      </c>
    </row>
    <row r="255" customFormat="false" ht="15" hidden="false" customHeight="false" outlineLevel="0" collapsed="false">
      <c r="A255" s="10" t="str">
        <f aca="false">IF(D255="","","EW-"&amp;IFERROR(VLOOKUP(D255,Lists!$P$4:$Q$22,2,0),"??")&amp;"-D"&amp;TEXT(F255*1000,"0000")&amp;"-"&amp;IFERROR(VLOOKUP(G255,Lists!$S$4:$T$21,2,0),"??")&amp;"-"&amp;IFERROR(VLOOKUP(H255,Lists!$Y$4:$Z$21,2,0),"??")&amp;"-"&amp;IFERROR(VLOOKUP(E255,Lists!$V$4:$W$16,2,0),"??")&amp;"-"&amp;AM255)</f>
        <v/>
      </c>
      <c r="B255" s="10" t="str">
        <f aca="false">IF(D255="","",E255&amp;" "&amp;D255&amp;", excavation "&amp;TEXT(F255,"0.0")&amp;" m, "&amp;G255&amp;", "&amp;H255&amp;", "&amp;K255)</f>
        <v/>
      </c>
      <c r="C255" s="9"/>
      <c r="D255" s="9"/>
      <c r="E255" s="9"/>
      <c r="F255" s="42"/>
      <c r="G255" s="9"/>
      <c r="H255" s="9"/>
      <c r="I255" s="42"/>
      <c r="J255" s="38"/>
      <c r="K255" s="9"/>
      <c r="L255" s="9"/>
      <c r="M255" s="9"/>
      <c r="N255" s="42"/>
      <c r="O255" s="42"/>
      <c r="P255" s="9"/>
      <c r="Q255" s="9"/>
      <c r="R255" s="9"/>
      <c r="S255" s="9"/>
      <c r="T255" s="38"/>
      <c r="U255" s="38"/>
      <c r="V255" s="38"/>
      <c r="W255" s="38"/>
      <c r="X255" s="38"/>
      <c r="Y255" s="9"/>
      <c r="Z255" s="39"/>
      <c r="AA255" s="9"/>
      <c r="AB255" s="9"/>
      <c r="AC255" s="9"/>
      <c r="AD255" s="9"/>
      <c r="AE255" s="9"/>
      <c r="AF255" s="9"/>
      <c r="AG255" s="9"/>
      <c r="AH255" s="38"/>
      <c r="AI255" s="9"/>
      <c r="AJ255" s="39"/>
      <c r="AK255" s="9"/>
      <c r="AL255" s="9"/>
      <c r="AM255" s="9"/>
      <c r="AN255" s="9"/>
      <c r="AO255" s="9"/>
      <c r="AP255" s="9"/>
      <c r="AQ255" s="9"/>
      <c r="AR255" s="10" t="str">
        <f aca="false">IF(A255="","",SG_Criteria!$B$6&amp;SG_Criteria!$B$9&amp;"\"&amp;A255&amp;"\")</f>
        <v/>
      </c>
      <c r="AS255" s="10" t="str">
        <f aca="false">IF(A255="","",A255&amp;"_CAD.dwg")</f>
        <v/>
      </c>
      <c r="AT255" s="10" t="str">
        <f aca="false">IF(A255="","",A255&amp;"_DWG.pdf")</f>
        <v/>
      </c>
      <c r="AU255" s="10" t="str">
        <f aca="false">IF(A255="","",IF(AQ255="Y",A255&amp;"_STAAD.std","n/a"))</f>
        <v/>
      </c>
      <c r="AV255" s="10" t="str">
        <f aca="false">IF(A255="","",A255&amp;"_CALC.xlsx")</f>
        <v/>
      </c>
      <c r="AW255" s="10" t="str">
        <f aca="false">IF(A255="","",A255&amp;"_CALC.pdf")</f>
        <v/>
      </c>
      <c r="AX255" s="9"/>
      <c r="AY255" s="9"/>
      <c r="AZ255" s="39"/>
      <c r="BA255" s="39"/>
      <c r="BB255" s="39"/>
      <c r="BC255" s="39"/>
      <c r="BD255" s="39"/>
      <c r="BE255" s="12" t="str">
        <f aca="false">IF(A255="","",IF(COUNTIF(Rebar_Schedule!$A$5:$A$2004,A255)=0,"",ROUND(SUMIF(Rebar_Schedule!$A$5:$A$2004,A255,Rebar_Schedule!$K$5:$K$2004),1)))</f>
        <v/>
      </c>
      <c r="BF255" s="33" t="str">
        <f aca="false">IF(A255="","",IF(BE255="","No rebar schedule yet",IF(ABS(BE255-N(BA255))/MAX(N(BA255),1)&gt;SG_Criteria!$B$55,"NOTE: register rebar differs from schedule by "&amp;TEXT(ABS(BE255-N(BA255))/MAX(N(BA255),1),"0%"),"OK")))</f>
        <v/>
      </c>
      <c r="BG255" s="33" t="str">
        <f aca="false">IF(OR(D255="",F255=""),"",IF(F255&lt;=IF(D255="Soldier Pile &amp; Timber Lagging",SG_Criteria!$B$34,SG_Criteria!$B$33),"No ERSS submission",IF(F255&lt;=SG_Criteria!$B$35,"QP(ST)",IF(F255&lt;=SG_Criteria!$B$36,"QP(ST) + AC","Geotechnical building works: QP(Geo) + AC"))))</f>
        <v/>
      </c>
      <c r="BH255" s="33" t="str">
        <f aca="false">IF(D255="","",IF(LEN(IF(AND(AC255&lt;&gt;"",IFERROR(VALUE(MID(AC255,2,2)),0)&lt;SG_Criteria!$B$19),"FAIL: grade below C"&amp;SG_Criteria!$B$19&amp;". ","")&amp;IF(AND(LEFT(D255,3)="Con",N(I255)&lt;F255,H255="Kallang Formation (marine clay)"),"NOTE: CBP is not watertight below GWT in marine clay; consider secant / grouting. ","")&amp;IF(AND(D255="Steel Sheet Pile",E255="Permanent"),"NOTE: permanent sheet pile needs corrosion allowance. ","")&amp;IF(AND(G255="Cantilever (no support)",F255&gt;6),"NOTE: cantilever embedded wall &gt; 6 m, check deflection. ","")&amp;IF(AND(T255&lt;&gt;"",U255&lt;&gt;"",T255&gt;U255),"FAIL: deflection exceeds allowable. ",""))=0,"OK",IF(AND(AC255&lt;&gt;"",IFERROR(VALUE(MID(AC255,2,2)),0)&lt;SG_Criteria!$B$19),"FAIL: grade below C"&amp;SG_Criteria!$B$19&amp;". ","")&amp;IF(AND(LEFT(D255,3)="Con",N(I255)&lt;F255,H255="Kallang Formation (marine clay)"),"NOTE: CBP is not watertight below GWT in marine clay; consider secant / grouting. ","")&amp;IF(AND(D255="Steel Sheet Pile",E255="Permanent"),"NOTE: permanent sheet pile needs corrosion allowance. ","")&amp;IF(AND(G255="Cantilever (no support)",F255&gt;6),"NOTE: cantilever embedded wall &gt; 6 m, check deflection. ","")&amp;IF(AND(T255&lt;&gt;"",U255&lt;&gt;"",T255&gt;U255),"FAIL: deflection exceeds allowable. ","")))</f>
        <v/>
      </c>
      <c r="BI255" s="9"/>
      <c r="BJ255" s="9"/>
      <c r="BK255" s="9"/>
      <c r="BL255" s="10" t="str">
        <f aca="false">IF(BK255="","",IFERROR(VLOOKUP(BK255,Projects!$A$5:$D$504,2,0),"Ref not in Projects"))</f>
        <v/>
      </c>
      <c r="BM255" s="10" t="str">
        <f aca="false">IF(BK255="","",IFERROR(VLOOKUP(BK255,Projects!$A$5:$D$504,4,0),"Ref not in Projects"))</f>
        <v/>
      </c>
      <c r="BN255" s="9"/>
      <c r="BO255" s="9"/>
      <c r="BP255" s="9"/>
      <c r="BQ255" s="40"/>
      <c r="BR255" s="9"/>
      <c r="BS255" s="40"/>
      <c r="BT255" s="9"/>
      <c r="BU255" s="40"/>
      <c r="BV255" s="9"/>
      <c r="BW255" s="9"/>
      <c r="BX255" s="9"/>
      <c r="BY255" s="40"/>
      <c r="BZ255" s="40"/>
      <c r="CA255" s="36" t="str">
        <f aca="false">IF(BZ255="","",EDATE(BZ255,SG_Criteria!$B$54*12))</f>
        <v/>
      </c>
      <c r="CB255" s="33" t="str">
        <f aca="true">IF(A255="","",IF(BZ255="","NOTE: not reviewed yet",IF(TODAY()&gt;CA255,"NOTE: review overdue","OK")))</f>
        <v/>
      </c>
      <c r="CC255" s="37" t="str">
        <f aca="false">IF(A255="","",ROUND((IF(LEN(D255)&gt;0,1,0)+IF(LEN(E255)&gt;0,1,0)+IF(LEN(F255)&gt;0,1,0)+IF(LEN(G255)&gt;0,1,0)+IF(LEN(H255)&gt;0,1,0)+IF(LEN(I255)&gt;0,1,0)+IF(LEN(K255)&gt;0,1,0)+IF(LEN(N255)&gt;0,1,0)+IF(LEN(O255)&gt;0,1,0)+IF(LEN(T255)&gt;0,1,0)+IF(LEN(U255)&gt;0,1,0)+IF(LEN(V255)&gt;0,1,0)+IF(LEN(AK255)&gt;0,1,0)+IF(LEN(AM255)&gt;0,1,0)+IF(LEN(AN255)&gt;0,1,0)+IF(LEN(AO255)&gt;0,1,0)+IF(LEN(AP255)&gt;0,1,0)+IF(LEN(AY255)&gt;0,1,0)+IF(LEN(BK255)&gt;0,1,0)+IF(LEN(BX255)&gt;0,1,0))/20,2))</f>
        <v/>
      </c>
      <c r="CD255" s="10" t="str">
        <f aca="false">IF(D255="","",IF(AND(AN255="Approved",ISERROR(SEARCH("FAIL",BH255))),"Y","N"))</f>
        <v/>
      </c>
      <c r="CE255" s="10" t="str">
        <f aca="false">IF(D255="","",D255&amp;"|"&amp;F255&amp;"|"&amp;G255&amp;"|"&amp;H255&amp;"|"&amp;E255&amp;"|"&amp;CD255)</f>
        <v/>
      </c>
    </row>
    <row r="256" customFormat="false" ht="15" hidden="false" customHeight="false" outlineLevel="0" collapsed="false">
      <c r="A256" s="10" t="str">
        <f aca="false">IF(D256="","","EW-"&amp;IFERROR(VLOOKUP(D256,Lists!$P$4:$Q$22,2,0),"??")&amp;"-D"&amp;TEXT(F256*1000,"0000")&amp;"-"&amp;IFERROR(VLOOKUP(G256,Lists!$S$4:$T$21,2,0),"??")&amp;"-"&amp;IFERROR(VLOOKUP(H256,Lists!$Y$4:$Z$21,2,0),"??")&amp;"-"&amp;IFERROR(VLOOKUP(E256,Lists!$V$4:$W$16,2,0),"??")&amp;"-"&amp;AM256)</f>
        <v/>
      </c>
      <c r="B256" s="10" t="str">
        <f aca="false">IF(D256="","",E256&amp;" "&amp;D256&amp;", excavation "&amp;TEXT(F256,"0.0")&amp;" m, "&amp;G256&amp;", "&amp;H256&amp;", "&amp;K256)</f>
        <v/>
      </c>
      <c r="C256" s="9"/>
      <c r="D256" s="9"/>
      <c r="E256" s="9"/>
      <c r="F256" s="42"/>
      <c r="G256" s="9"/>
      <c r="H256" s="9"/>
      <c r="I256" s="42"/>
      <c r="J256" s="38"/>
      <c r="K256" s="9"/>
      <c r="L256" s="9"/>
      <c r="M256" s="9"/>
      <c r="N256" s="42"/>
      <c r="O256" s="42"/>
      <c r="P256" s="9"/>
      <c r="Q256" s="9"/>
      <c r="R256" s="9"/>
      <c r="S256" s="9"/>
      <c r="T256" s="38"/>
      <c r="U256" s="38"/>
      <c r="V256" s="38"/>
      <c r="W256" s="38"/>
      <c r="X256" s="38"/>
      <c r="Y256" s="9"/>
      <c r="Z256" s="39"/>
      <c r="AA256" s="9"/>
      <c r="AB256" s="9"/>
      <c r="AC256" s="9"/>
      <c r="AD256" s="9"/>
      <c r="AE256" s="9"/>
      <c r="AF256" s="9"/>
      <c r="AG256" s="9"/>
      <c r="AH256" s="38"/>
      <c r="AI256" s="9"/>
      <c r="AJ256" s="39"/>
      <c r="AK256" s="9"/>
      <c r="AL256" s="9"/>
      <c r="AM256" s="9"/>
      <c r="AN256" s="9"/>
      <c r="AO256" s="9"/>
      <c r="AP256" s="9"/>
      <c r="AQ256" s="9"/>
      <c r="AR256" s="10" t="str">
        <f aca="false">IF(A256="","",SG_Criteria!$B$6&amp;SG_Criteria!$B$9&amp;"\"&amp;A256&amp;"\")</f>
        <v/>
      </c>
      <c r="AS256" s="10" t="str">
        <f aca="false">IF(A256="","",A256&amp;"_CAD.dwg")</f>
        <v/>
      </c>
      <c r="AT256" s="10" t="str">
        <f aca="false">IF(A256="","",A256&amp;"_DWG.pdf")</f>
        <v/>
      </c>
      <c r="AU256" s="10" t="str">
        <f aca="false">IF(A256="","",IF(AQ256="Y",A256&amp;"_STAAD.std","n/a"))</f>
        <v/>
      </c>
      <c r="AV256" s="10" t="str">
        <f aca="false">IF(A256="","",A256&amp;"_CALC.xlsx")</f>
        <v/>
      </c>
      <c r="AW256" s="10" t="str">
        <f aca="false">IF(A256="","",A256&amp;"_CALC.pdf")</f>
        <v/>
      </c>
      <c r="AX256" s="9"/>
      <c r="AY256" s="9"/>
      <c r="AZ256" s="39"/>
      <c r="BA256" s="39"/>
      <c r="BB256" s="39"/>
      <c r="BC256" s="39"/>
      <c r="BD256" s="39"/>
      <c r="BE256" s="12" t="str">
        <f aca="false">IF(A256="","",IF(COUNTIF(Rebar_Schedule!$A$5:$A$2004,A256)=0,"",ROUND(SUMIF(Rebar_Schedule!$A$5:$A$2004,A256,Rebar_Schedule!$K$5:$K$2004),1)))</f>
        <v/>
      </c>
      <c r="BF256" s="33" t="str">
        <f aca="false">IF(A256="","",IF(BE256="","No rebar schedule yet",IF(ABS(BE256-N(BA256))/MAX(N(BA256),1)&gt;SG_Criteria!$B$55,"NOTE: register rebar differs from schedule by "&amp;TEXT(ABS(BE256-N(BA256))/MAX(N(BA256),1),"0%"),"OK")))</f>
        <v/>
      </c>
      <c r="BG256" s="33" t="str">
        <f aca="false">IF(OR(D256="",F256=""),"",IF(F256&lt;=IF(D256="Soldier Pile &amp; Timber Lagging",SG_Criteria!$B$34,SG_Criteria!$B$33),"No ERSS submission",IF(F256&lt;=SG_Criteria!$B$35,"QP(ST)",IF(F256&lt;=SG_Criteria!$B$36,"QP(ST) + AC","Geotechnical building works: QP(Geo) + AC"))))</f>
        <v/>
      </c>
      <c r="BH256" s="33" t="str">
        <f aca="false">IF(D256="","",IF(LEN(IF(AND(AC256&lt;&gt;"",IFERROR(VALUE(MID(AC256,2,2)),0)&lt;SG_Criteria!$B$19),"FAIL: grade below C"&amp;SG_Criteria!$B$19&amp;". ","")&amp;IF(AND(LEFT(D256,3)="Con",N(I256)&lt;F256,H256="Kallang Formation (marine clay)"),"NOTE: CBP is not watertight below GWT in marine clay; consider secant / grouting. ","")&amp;IF(AND(D256="Steel Sheet Pile",E256="Permanent"),"NOTE: permanent sheet pile needs corrosion allowance. ","")&amp;IF(AND(G256="Cantilever (no support)",F256&gt;6),"NOTE: cantilever embedded wall &gt; 6 m, check deflection. ","")&amp;IF(AND(T256&lt;&gt;"",U256&lt;&gt;"",T256&gt;U256),"FAIL: deflection exceeds allowable. ",""))=0,"OK",IF(AND(AC256&lt;&gt;"",IFERROR(VALUE(MID(AC256,2,2)),0)&lt;SG_Criteria!$B$19),"FAIL: grade below C"&amp;SG_Criteria!$B$19&amp;". ","")&amp;IF(AND(LEFT(D256,3)="Con",N(I256)&lt;F256,H256="Kallang Formation (marine clay)"),"NOTE: CBP is not watertight below GWT in marine clay; consider secant / grouting. ","")&amp;IF(AND(D256="Steel Sheet Pile",E256="Permanent"),"NOTE: permanent sheet pile needs corrosion allowance. ","")&amp;IF(AND(G256="Cantilever (no support)",F256&gt;6),"NOTE: cantilever embedded wall &gt; 6 m, check deflection. ","")&amp;IF(AND(T256&lt;&gt;"",U256&lt;&gt;"",T256&gt;U256),"FAIL: deflection exceeds allowable. ","")))</f>
        <v/>
      </c>
      <c r="BI256" s="9"/>
      <c r="BJ256" s="9"/>
      <c r="BK256" s="9"/>
      <c r="BL256" s="10" t="str">
        <f aca="false">IF(BK256="","",IFERROR(VLOOKUP(BK256,Projects!$A$5:$D$504,2,0),"Ref not in Projects"))</f>
        <v/>
      </c>
      <c r="BM256" s="10" t="str">
        <f aca="false">IF(BK256="","",IFERROR(VLOOKUP(BK256,Projects!$A$5:$D$504,4,0),"Ref not in Projects"))</f>
        <v/>
      </c>
      <c r="BN256" s="9"/>
      <c r="BO256" s="9"/>
      <c r="BP256" s="9"/>
      <c r="BQ256" s="40"/>
      <c r="BR256" s="9"/>
      <c r="BS256" s="40"/>
      <c r="BT256" s="9"/>
      <c r="BU256" s="40"/>
      <c r="BV256" s="9"/>
      <c r="BW256" s="9"/>
      <c r="BX256" s="9"/>
      <c r="BY256" s="40"/>
      <c r="BZ256" s="40"/>
      <c r="CA256" s="36" t="str">
        <f aca="false">IF(BZ256="","",EDATE(BZ256,SG_Criteria!$B$54*12))</f>
        <v/>
      </c>
      <c r="CB256" s="33" t="str">
        <f aca="true">IF(A256="","",IF(BZ256="","NOTE: not reviewed yet",IF(TODAY()&gt;CA256,"NOTE: review overdue","OK")))</f>
        <v/>
      </c>
      <c r="CC256" s="37" t="str">
        <f aca="false">IF(A256="","",ROUND((IF(LEN(D256)&gt;0,1,0)+IF(LEN(E256)&gt;0,1,0)+IF(LEN(F256)&gt;0,1,0)+IF(LEN(G256)&gt;0,1,0)+IF(LEN(H256)&gt;0,1,0)+IF(LEN(I256)&gt;0,1,0)+IF(LEN(K256)&gt;0,1,0)+IF(LEN(N256)&gt;0,1,0)+IF(LEN(O256)&gt;0,1,0)+IF(LEN(T256)&gt;0,1,0)+IF(LEN(U256)&gt;0,1,0)+IF(LEN(V256)&gt;0,1,0)+IF(LEN(AK256)&gt;0,1,0)+IF(LEN(AM256)&gt;0,1,0)+IF(LEN(AN256)&gt;0,1,0)+IF(LEN(AO256)&gt;0,1,0)+IF(LEN(AP256)&gt;0,1,0)+IF(LEN(AY256)&gt;0,1,0)+IF(LEN(BK256)&gt;0,1,0)+IF(LEN(BX256)&gt;0,1,0))/20,2))</f>
        <v/>
      </c>
      <c r="CD256" s="10" t="str">
        <f aca="false">IF(D256="","",IF(AND(AN256="Approved",ISERROR(SEARCH("FAIL",BH256))),"Y","N"))</f>
        <v/>
      </c>
      <c r="CE256" s="10" t="str">
        <f aca="false">IF(D256="","",D256&amp;"|"&amp;F256&amp;"|"&amp;G256&amp;"|"&amp;H256&amp;"|"&amp;E256&amp;"|"&amp;CD256)</f>
        <v/>
      </c>
    </row>
    <row r="257" customFormat="false" ht="15" hidden="false" customHeight="false" outlineLevel="0" collapsed="false">
      <c r="A257" s="10" t="str">
        <f aca="false">IF(D257="","","EW-"&amp;IFERROR(VLOOKUP(D257,Lists!$P$4:$Q$22,2,0),"??")&amp;"-D"&amp;TEXT(F257*1000,"0000")&amp;"-"&amp;IFERROR(VLOOKUP(G257,Lists!$S$4:$T$21,2,0),"??")&amp;"-"&amp;IFERROR(VLOOKUP(H257,Lists!$Y$4:$Z$21,2,0),"??")&amp;"-"&amp;IFERROR(VLOOKUP(E257,Lists!$V$4:$W$16,2,0),"??")&amp;"-"&amp;AM257)</f>
        <v/>
      </c>
      <c r="B257" s="10" t="str">
        <f aca="false">IF(D257="","",E257&amp;" "&amp;D257&amp;", excavation "&amp;TEXT(F257,"0.0")&amp;" m, "&amp;G257&amp;", "&amp;H257&amp;", "&amp;K257)</f>
        <v/>
      </c>
      <c r="C257" s="9"/>
      <c r="D257" s="9"/>
      <c r="E257" s="9"/>
      <c r="F257" s="42"/>
      <c r="G257" s="9"/>
      <c r="H257" s="9"/>
      <c r="I257" s="42"/>
      <c r="J257" s="38"/>
      <c r="K257" s="9"/>
      <c r="L257" s="9"/>
      <c r="M257" s="9"/>
      <c r="N257" s="42"/>
      <c r="O257" s="42"/>
      <c r="P257" s="9"/>
      <c r="Q257" s="9"/>
      <c r="R257" s="9"/>
      <c r="S257" s="9"/>
      <c r="T257" s="38"/>
      <c r="U257" s="38"/>
      <c r="V257" s="38"/>
      <c r="W257" s="38"/>
      <c r="X257" s="38"/>
      <c r="Y257" s="9"/>
      <c r="Z257" s="39"/>
      <c r="AA257" s="9"/>
      <c r="AB257" s="9"/>
      <c r="AC257" s="9"/>
      <c r="AD257" s="9"/>
      <c r="AE257" s="9"/>
      <c r="AF257" s="9"/>
      <c r="AG257" s="9"/>
      <c r="AH257" s="38"/>
      <c r="AI257" s="9"/>
      <c r="AJ257" s="39"/>
      <c r="AK257" s="9"/>
      <c r="AL257" s="9"/>
      <c r="AM257" s="9"/>
      <c r="AN257" s="9"/>
      <c r="AO257" s="9"/>
      <c r="AP257" s="9"/>
      <c r="AQ257" s="9"/>
      <c r="AR257" s="10" t="str">
        <f aca="false">IF(A257="","",SG_Criteria!$B$6&amp;SG_Criteria!$B$9&amp;"\"&amp;A257&amp;"\")</f>
        <v/>
      </c>
      <c r="AS257" s="10" t="str">
        <f aca="false">IF(A257="","",A257&amp;"_CAD.dwg")</f>
        <v/>
      </c>
      <c r="AT257" s="10" t="str">
        <f aca="false">IF(A257="","",A257&amp;"_DWG.pdf")</f>
        <v/>
      </c>
      <c r="AU257" s="10" t="str">
        <f aca="false">IF(A257="","",IF(AQ257="Y",A257&amp;"_STAAD.std","n/a"))</f>
        <v/>
      </c>
      <c r="AV257" s="10" t="str">
        <f aca="false">IF(A257="","",A257&amp;"_CALC.xlsx")</f>
        <v/>
      </c>
      <c r="AW257" s="10" t="str">
        <f aca="false">IF(A257="","",A257&amp;"_CALC.pdf")</f>
        <v/>
      </c>
      <c r="AX257" s="9"/>
      <c r="AY257" s="9"/>
      <c r="AZ257" s="39"/>
      <c r="BA257" s="39"/>
      <c r="BB257" s="39"/>
      <c r="BC257" s="39"/>
      <c r="BD257" s="39"/>
      <c r="BE257" s="12" t="str">
        <f aca="false">IF(A257="","",IF(COUNTIF(Rebar_Schedule!$A$5:$A$2004,A257)=0,"",ROUND(SUMIF(Rebar_Schedule!$A$5:$A$2004,A257,Rebar_Schedule!$K$5:$K$2004),1)))</f>
        <v/>
      </c>
      <c r="BF257" s="33" t="str">
        <f aca="false">IF(A257="","",IF(BE257="","No rebar schedule yet",IF(ABS(BE257-N(BA257))/MAX(N(BA257),1)&gt;SG_Criteria!$B$55,"NOTE: register rebar differs from schedule by "&amp;TEXT(ABS(BE257-N(BA257))/MAX(N(BA257),1),"0%"),"OK")))</f>
        <v/>
      </c>
      <c r="BG257" s="33" t="str">
        <f aca="false">IF(OR(D257="",F257=""),"",IF(F257&lt;=IF(D257="Soldier Pile &amp; Timber Lagging",SG_Criteria!$B$34,SG_Criteria!$B$33),"No ERSS submission",IF(F257&lt;=SG_Criteria!$B$35,"QP(ST)",IF(F257&lt;=SG_Criteria!$B$36,"QP(ST) + AC","Geotechnical building works: QP(Geo) + AC"))))</f>
        <v/>
      </c>
      <c r="BH257" s="33" t="str">
        <f aca="false">IF(D257="","",IF(LEN(IF(AND(AC257&lt;&gt;"",IFERROR(VALUE(MID(AC257,2,2)),0)&lt;SG_Criteria!$B$19),"FAIL: grade below C"&amp;SG_Criteria!$B$19&amp;". ","")&amp;IF(AND(LEFT(D257,3)="Con",N(I257)&lt;F257,H257="Kallang Formation (marine clay)"),"NOTE: CBP is not watertight below GWT in marine clay; consider secant / grouting. ","")&amp;IF(AND(D257="Steel Sheet Pile",E257="Permanent"),"NOTE: permanent sheet pile needs corrosion allowance. ","")&amp;IF(AND(G257="Cantilever (no support)",F257&gt;6),"NOTE: cantilever embedded wall &gt; 6 m, check deflection. ","")&amp;IF(AND(T257&lt;&gt;"",U257&lt;&gt;"",T257&gt;U257),"FAIL: deflection exceeds allowable. ",""))=0,"OK",IF(AND(AC257&lt;&gt;"",IFERROR(VALUE(MID(AC257,2,2)),0)&lt;SG_Criteria!$B$19),"FAIL: grade below C"&amp;SG_Criteria!$B$19&amp;". ","")&amp;IF(AND(LEFT(D257,3)="Con",N(I257)&lt;F257,H257="Kallang Formation (marine clay)"),"NOTE: CBP is not watertight below GWT in marine clay; consider secant / grouting. ","")&amp;IF(AND(D257="Steel Sheet Pile",E257="Permanent"),"NOTE: permanent sheet pile needs corrosion allowance. ","")&amp;IF(AND(G257="Cantilever (no support)",F257&gt;6),"NOTE: cantilever embedded wall &gt; 6 m, check deflection. ","")&amp;IF(AND(T257&lt;&gt;"",U257&lt;&gt;"",T257&gt;U257),"FAIL: deflection exceeds allowable. ","")))</f>
        <v/>
      </c>
      <c r="BI257" s="9"/>
      <c r="BJ257" s="9"/>
      <c r="BK257" s="9"/>
      <c r="BL257" s="10" t="str">
        <f aca="false">IF(BK257="","",IFERROR(VLOOKUP(BK257,Projects!$A$5:$D$504,2,0),"Ref not in Projects"))</f>
        <v/>
      </c>
      <c r="BM257" s="10" t="str">
        <f aca="false">IF(BK257="","",IFERROR(VLOOKUP(BK257,Projects!$A$5:$D$504,4,0),"Ref not in Projects"))</f>
        <v/>
      </c>
      <c r="BN257" s="9"/>
      <c r="BO257" s="9"/>
      <c r="BP257" s="9"/>
      <c r="BQ257" s="40"/>
      <c r="BR257" s="9"/>
      <c r="BS257" s="40"/>
      <c r="BT257" s="9"/>
      <c r="BU257" s="40"/>
      <c r="BV257" s="9"/>
      <c r="BW257" s="9"/>
      <c r="BX257" s="9"/>
      <c r="BY257" s="40"/>
      <c r="BZ257" s="40"/>
      <c r="CA257" s="36" t="str">
        <f aca="false">IF(BZ257="","",EDATE(BZ257,SG_Criteria!$B$54*12))</f>
        <v/>
      </c>
      <c r="CB257" s="33" t="str">
        <f aca="true">IF(A257="","",IF(BZ257="","NOTE: not reviewed yet",IF(TODAY()&gt;CA257,"NOTE: review overdue","OK")))</f>
        <v/>
      </c>
      <c r="CC257" s="37" t="str">
        <f aca="false">IF(A257="","",ROUND((IF(LEN(D257)&gt;0,1,0)+IF(LEN(E257)&gt;0,1,0)+IF(LEN(F257)&gt;0,1,0)+IF(LEN(G257)&gt;0,1,0)+IF(LEN(H257)&gt;0,1,0)+IF(LEN(I257)&gt;0,1,0)+IF(LEN(K257)&gt;0,1,0)+IF(LEN(N257)&gt;0,1,0)+IF(LEN(O257)&gt;0,1,0)+IF(LEN(T257)&gt;0,1,0)+IF(LEN(U257)&gt;0,1,0)+IF(LEN(V257)&gt;0,1,0)+IF(LEN(AK257)&gt;0,1,0)+IF(LEN(AM257)&gt;0,1,0)+IF(LEN(AN257)&gt;0,1,0)+IF(LEN(AO257)&gt;0,1,0)+IF(LEN(AP257)&gt;0,1,0)+IF(LEN(AY257)&gt;0,1,0)+IF(LEN(BK257)&gt;0,1,0)+IF(LEN(BX257)&gt;0,1,0))/20,2))</f>
        <v/>
      </c>
      <c r="CD257" s="10" t="str">
        <f aca="false">IF(D257="","",IF(AND(AN257="Approved",ISERROR(SEARCH("FAIL",BH257))),"Y","N"))</f>
        <v/>
      </c>
      <c r="CE257" s="10" t="str">
        <f aca="false">IF(D257="","",D257&amp;"|"&amp;F257&amp;"|"&amp;G257&amp;"|"&amp;H257&amp;"|"&amp;E257&amp;"|"&amp;CD257)</f>
        <v/>
      </c>
    </row>
    <row r="258" customFormat="false" ht="15" hidden="false" customHeight="false" outlineLevel="0" collapsed="false">
      <c r="A258" s="10" t="str">
        <f aca="false">IF(D258="","","EW-"&amp;IFERROR(VLOOKUP(D258,Lists!$P$4:$Q$22,2,0),"??")&amp;"-D"&amp;TEXT(F258*1000,"0000")&amp;"-"&amp;IFERROR(VLOOKUP(G258,Lists!$S$4:$T$21,2,0),"??")&amp;"-"&amp;IFERROR(VLOOKUP(H258,Lists!$Y$4:$Z$21,2,0),"??")&amp;"-"&amp;IFERROR(VLOOKUP(E258,Lists!$V$4:$W$16,2,0),"??")&amp;"-"&amp;AM258)</f>
        <v/>
      </c>
      <c r="B258" s="10" t="str">
        <f aca="false">IF(D258="","",E258&amp;" "&amp;D258&amp;", excavation "&amp;TEXT(F258,"0.0")&amp;" m, "&amp;G258&amp;", "&amp;H258&amp;", "&amp;K258)</f>
        <v/>
      </c>
      <c r="C258" s="9"/>
      <c r="D258" s="9"/>
      <c r="E258" s="9"/>
      <c r="F258" s="42"/>
      <c r="G258" s="9"/>
      <c r="H258" s="9"/>
      <c r="I258" s="42"/>
      <c r="J258" s="38"/>
      <c r="K258" s="9"/>
      <c r="L258" s="9"/>
      <c r="M258" s="9"/>
      <c r="N258" s="42"/>
      <c r="O258" s="42"/>
      <c r="P258" s="9"/>
      <c r="Q258" s="9"/>
      <c r="R258" s="9"/>
      <c r="S258" s="9"/>
      <c r="T258" s="38"/>
      <c r="U258" s="38"/>
      <c r="V258" s="38"/>
      <c r="W258" s="38"/>
      <c r="X258" s="38"/>
      <c r="Y258" s="9"/>
      <c r="Z258" s="39"/>
      <c r="AA258" s="9"/>
      <c r="AB258" s="9"/>
      <c r="AC258" s="9"/>
      <c r="AD258" s="9"/>
      <c r="AE258" s="9"/>
      <c r="AF258" s="9"/>
      <c r="AG258" s="9"/>
      <c r="AH258" s="38"/>
      <c r="AI258" s="9"/>
      <c r="AJ258" s="39"/>
      <c r="AK258" s="9"/>
      <c r="AL258" s="9"/>
      <c r="AM258" s="9"/>
      <c r="AN258" s="9"/>
      <c r="AO258" s="9"/>
      <c r="AP258" s="9"/>
      <c r="AQ258" s="9"/>
      <c r="AR258" s="10" t="str">
        <f aca="false">IF(A258="","",SG_Criteria!$B$6&amp;SG_Criteria!$B$9&amp;"\"&amp;A258&amp;"\")</f>
        <v/>
      </c>
      <c r="AS258" s="10" t="str">
        <f aca="false">IF(A258="","",A258&amp;"_CAD.dwg")</f>
        <v/>
      </c>
      <c r="AT258" s="10" t="str">
        <f aca="false">IF(A258="","",A258&amp;"_DWG.pdf")</f>
        <v/>
      </c>
      <c r="AU258" s="10" t="str">
        <f aca="false">IF(A258="","",IF(AQ258="Y",A258&amp;"_STAAD.std","n/a"))</f>
        <v/>
      </c>
      <c r="AV258" s="10" t="str">
        <f aca="false">IF(A258="","",A258&amp;"_CALC.xlsx")</f>
        <v/>
      </c>
      <c r="AW258" s="10" t="str">
        <f aca="false">IF(A258="","",A258&amp;"_CALC.pdf")</f>
        <v/>
      </c>
      <c r="AX258" s="9"/>
      <c r="AY258" s="9"/>
      <c r="AZ258" s="39"/>
      <c r="BA258" s="39"/>
      <c r="BB258" s="39"/>
      <c r="BC258" s="39"/>
      <c r="BD258" s="39"/>
      <c r="BE258" s="12" t="str">
        <f aca="false">IF(A258="","",IF(COUNTIF(Rebar_Schedule!$A$5:$A$2004,A258)=0,"",ROUND(SUMIF(Rebar_Schedule!$A$5:$A$2004,A258,Rebar_Schedule!$K$5:$K$2004),1)))</f>
        <v/>
      </c>
      <c r="BF258" s="33" t="str">
        <f aca="false">IF(A258="","",IF(BE258="","No rebar schedule yet",IF(ABS(BE258-N(BA258))/MAX(N(BA258),1)&gt;SG_Criteria!$B$55,"NOTE: register rebar differs from schedule by "&amp;TEXT(ABS(BE258-N(BA258))/MAX(N(BA258),1),"0%"),"OK")))</f>
        <v/>
      </c>
      <c r="BG258" s="33" t="str">
        <f aca="false">IF(OR(D258="",F258=""),"",IF(F258&lt;=IF(D258="Soldier Pile &amp; Timber Lagging",SG_Criteria!$B$34,SG_Criteria!$B$33),"No ERSS submission",IF(F258&lt;=SG_Criteria!$B$35,"QP(ST)",IF(F258&lt;=SG_Criteria!$B$36,"QP(ST) + AC","Geotechnical building works: QP(Geo) + AC"))))</f>
        <v/>
      </c>
      <c r="BH258" s="33" t="str">
        <f aca="false">IF(D258="","",IF(LEN(IF(AND(AC258&lt;&gt;"",IFERROR(VALUE(MID(AC258,2,2)),0)&lt;SG_Criteria!$B$19),"FAIL: grade below C"&amp;SG_Criteria!$B$19&amp;". ","")&amp;IF(AND(LEFT(D258,3)="Con",N(I258)&lt;F258,H258="Kallang Formation (marine clay)"),"NOTE: CBP is not watertight below GWT in marine clay; consider secant / grouting. ","")&amp;IF(AND(D258="Steel Sheet Pile",E258="Permanent"),"NOTE: permanent sheet pile needs corrosion allowance. ","")&amp;IF(AND(G258="Cantilever (no support)",F258&gt;6),"NOTE: cantilever embedded wall &gt; 6 m, check deflection. ","")&amp;IF(AND(T258&lt;&gt;"",U258&lt;&gt;"",T258&gt;U258),"FAIL: deflection exceeds allowable. ",""))=0,"OK",IF(AND(AC258&lt;&gt;"",IFERROR(VALUE(MID(AC258,2,2)),0)&lt;SG_Criteria!$B$19),"FAIL: grade below C"&amp;SG_Criteria!$B$19&amp;". ","")&amp;IF(AND(LEFT(D258,3)="Con",N(I258)&lt;F258,H258="Kallang Formation (marine clay)"),"NOTE: CBP is not watertight below GWT in marine clay; consider secant / grouting. ","")&amp;IF(AND(D258="Steel Sheet Pile",E258="Permanent"),"NOTE: permanent sheet pile needs corrosion allowance. ","")&amp;IF(AND(G258="Cantilever (no support)",F258&gt;6),"NOTE: cantilever embedded wall &gt; 6 m, check deflection. ","")&amp;IF(AND(T258&lt;&gt;"",U258&lt;&gt;"",T258&gt;U258),"FAIL: deflection exceeds allowable. ","")))</f>
        <v/>
      </c>
      <c r="BI258" s="9"/>
      <c r="BJ258" s="9"/>
      <c r="BK258" s="9"/>
      <c r="BL258" s="10" t="str">
        <f aca="false">IF(BK258="","",IFERROR(VLOOKUP(BK258,Projects!$A$5:$D$504,2,0),"Ref not in Projects"))</f>
        <v/>
      </c>
      <c r="BM258" s="10" t="str">
        <f aca="false">IF(BK258="","",IFERROR(VLOOKUP(BK258,Projects!$A$5:$D$504,4,0),"Ref not in Projects"))</f>
        <v/>
      </c>
      <c r="BN258" s="9"/>
      <c r="BO258" s="9"/>
      <c r="BP258" s="9"/>
      <c r="BQ258" s="40"/>
      <c r="BR258" s="9"/>
      <c r="BS258" s="40"/>
      <c r="BT258" s="9"/>
      <c r="BU258" s="40"/>
      <c r="BV258" s="9"/>
      <c r="BW258" s="9"/>
      <c r="BX258" s="9"/>
      <c r="BY258" s="40"/>
      <c r="BZ258" s="40"/>
      <c r="CA258" s="36" t="str">
        <f aca="false">IF(BZ258="","",EDATE(BZ258,SG_Criteria!$B$54*12))</f>
        <v/>
      </c>
      <c r="CB258" s="33" t="str">
        <f aca="true">IF(A258="","",IF(BZ258="","NOTE: not reviewed yet",IF(TODAY()&gt;CA258,"NOTE: review overdue","OK")))</f>
        <v/>
      </c>
      <c r="CC258" s="37" t="str">
        <f aca="false">IF(A258="","",ROUND((IF(LEN(D258)&gt;0,1,0)+IF(LEN(E258)&gt;0,1,0)+IF(LEN(F258)&gt;0,1,0)+IF(LEN(G258)&gt;0,1,0)+IF(LEN(H258)&gt;0,1,0)+IF(LEN(I258)&gt;0,1,0)+IF(LEN(K258)&gt;0,1,0)+IF(LEN(N258)&gt;0,1,0)+IF(LEN(O258)&gt;0,1,0)+IF(LEN(T258)&gt;0,1,0)+IF(LEN(U258)&gt;0,1,0)+IF(LEN(V258)&gt;0,1,0)+IF(LEN(AK258)&gt;0,1,0)+IF(LEN(AM258)&gt;0,1,0)+IF(LEN(AN258)&gt;0,1,0)+IF(LEN(AO258)&gt;0,1,0)+IF(LEN(AP258)&gt;0,1,0)+IF(LEN(AY258)&gt;0,1,0)+IF(LEN(BK258)&gt;0,1,0)+IF(LEN(BX258)&gt;0,1,0))/20,2))</f>
        <v/>
      </c>
      <c r="CD258" s="10" t="str">
        <f aca="false">IF(D258="","",IF(AND(AN258="Approved",ISERROR(SEARCH("FAIL",BH258))),"Y","N"))</f>
        <v/>
      </c>
      <c r="CE258" s="10" t="str">
        <f aca="false">IF(D258="","",D258&amp;"|"&amp;F258&amp;"|"&amp;G258&amp;"|"&amp;H258&amp;"|"&amp;E258&amp;"|"&amp;CD258)</f>
        <v/>
      </c>
    </row>
    <row r="259" customFormat="false" ht="15" hidden="false" customHeight="false" outlineLevel="0" collapsed="false">
      <c r="A259" s="10" t="str">
        <f aca="false">IF(D259="","","EW-"&amp;IFERROR(VLOOKUP(D259,Lists!$P$4:$Q$22,2,0),"??")&amp;"-D"&amp;TEXT(F259*1000,"0000")&amp;"-"&amp;IFERROR(VLOOKUP(G259,Lists!$S$4:$T$21,2,0),"??")&amp;"-"&amp;IFERROR(VLOOKUP(H259,Lists!$Y$4:$Z$21,2,0),"??")&amp;"-"&amp;IFERROR(VLOOKUP(E259,Lists!$V$4:$W$16,2,0),"??")&amp;"-"&amp;AM259)</f>
        <v/>
      </c>
      <c r="B259" s="10" t="str">
        <f aca="false">IF(D259="","",E259&amp;" "&amp;D259&amp;", excavation "&amp;TEXT(F259,"0.0")&amp;" m, "&amp;G259&amp;", "&amp;H259&amp;", "&amp;K259)</f>
        <v/>
      </c>
      <c r="C259" s="9"/>
      <c r="D259" s="9"/>
      <c r="E259" s="9"/>
      <c r="F259" s="42"/>
      <c r="G259" s="9"/>
      <c r="H259" s="9"/>
      <c r="I259" s="42"/>
      <c r="J259" s="38"/>
      <c r="K259" s="9"/>
      <c r="L259" s="9"/>
      <c r="M259" s="9"/>
      <c r="N259" s="42"/>
      <c r="O259" s="42"/>
      <c r="P259" s="9"/>
      <c r="Q259" s="9"/>
      <c r="R259" s="9"/>
      <c r="S259" s="9"/>
      <c r="T259" s="38"/>
      <c r="U259" s="38"/>
      <c r="V259" s="38"/>
      <c r="W259" s="38"/>
      <c r="X259" s="38"/>
      <c r="Y259" s="9"/>
      <c r="Z259" s="39"/>
      <c r="AA259" s="9"/>
      <c r="AB259" s="9"/>
      <c r="AC259" s="9"/>
      <c r="AD259" s="9"/>
      <c r="AE259" s="9"/>
      <c r="AF259" s="9"/>
      <c r="AG259" s="9"/>
      <c r="AH259" s="38"/>
      <c r="AI259" s="9"/>
      <c r="AJ259" s="39"/>
      <c r="AK259" s="9"/>
      <c r="AL259" s="9"/>
      <c r="AM259" s="9"/>
      <c r="AN259" s="9"/>
      <c r="AO259" s="9"/>
      <c r="AP259" s="9"/>
      <c r="AQ259" s="9"/>
      <c r="AR259" s="10" t="str">
        <f aca="false">IF(A259="","",SG_Criteria!$B$6&amp;SG_Criteria!$B$9&amp;"\"&amp;A259&amp;"\")</f>
        <v/>
      </c>
      <c r="AS259" s="10" t="str">
        <f aca="false">IF(A259="","",A259&amp;"_CAD.dwg")</f>
        <v/>
      </c>
      <c r="AT259" s="10" t="str">
        <f aca="false">IF(A259="","",A259&amp;"_DWG.pdf")</f>
        <v/>
      </c>
      <c r="AU259" s="10" t="str">
        <f aca="false">IF(A259="","",IF(AQ259="Y",A259&amp;"_STAAD.std","n/a"))</f>
        <v/>
      </c>
      <c r="AV259" s="10" t="str">
        <f aca="false">IF(A259="","",A259&amp;"_CALC.xlsx")</f>
        <v/>
      </c>
      <c r="AW259" s="10" t="str">
        <f aca="false">IF(A259="","",A259&amp;"_CALC.pdf")</f>
        <v/>
      </c>
      <c r="AX259" s="9"/>
      <c r="AY259" s="9"/>
      <c r="AZ259" s="39"/>
      <c r="BA259" s="39"/>
      <c r="BB259" s="39"/>
      <c r="BC259" s="39"/>
      <c r="BD259" s="39"/>
      <c r="BE259" s="12" t="str">
        <f aca="false">IF(A259="","",IF(COUNTIF(Rebar_Schedule!$A$5:$A$2004,A259)=0,"",ROUND(SUMIF(Rebar_Schedule!$A$5:$A$2004,A259,Rebar_Schedule!$K$5:$K$2004),1)))</f>
        <v/>
      </c>
      <c r="BF259" s="33" t="str">
        <f aca="false">IF(A259="","",IF(BE259="","No rebar schedule yet",IF(ABS(BE259-N(BA259))/MAX(N(BA259),1)&gt;SG_Criteria!$B$55,"NOTE: register rebar differs from schedule by "&amp;TEXT(ABS(BE259-N(BA259))/MAX(N(BA259),1),"0%"),"OK")))</f>
        <v/>
      </c>
      <c r="BG259" s="33" t="str">
        <f aca="false">IF(OR(D259="",F259=""),"",IF(F259&lt;=IF(D259="Soldier Pile &amp; Timber Lagging",SG_Criteria!$B$34,SG_Criteria!$B$33),"No ERSS submission",IF(F259&lt;=SG_Criteria!$B$35,"QP(ST)",IF(F259&lt;=SG_Criteria!$B$36,"QP(ST) + AC","Geotechnical building works: QP(Geo) + AC"))))</f>
        <v/>
      </c>
      <c r="BH259" s="33" t="str">
        <f aca="false">IF(D259="","",IF(LEN(IF(AND(AC259&lt;&gt;"",IFERROR(VALUE(MID(AC259,2,2)),0)&lt;SG_Criteria!$B$19),"FAIL: grade below C"&amp;SG_Criteria!$B$19&amp;". ","")&amp;IF(AND(LEFT(D259,3)="Con",N(I259)&lt;F259,H259="Kallang Formation (marine clay)"),"NOTE: CBP is not watertight below GWT in marine clay; consider secant / grouting. ","")&amp;IF(AND(D259="Steel Sheet Pile",E259="Permanent"),"NOTE: permanent sheet pile needs corrosion allowance. ","")&amp;IF(AND(G259="Cantilever (no support)",F259&gt;6),"NOTE: cantilever embedded wall &gt; 6 m, check deflection. ","")&amp;IF(AND(T259&lt;&gt;"",U259&lt;&gt;"",T259&gt;U259),"FAIL: deflection exceeds allowable. ",""))=0,"OK",IF(AND(AC259&lt;&gt;"",IFERROR(VALUE(MID(AC259,2,2)),0)&lt;SG_Criteria!$B$19),"FAIL: grade below C"&amp;SG_Criteria!$B$19&amp;". ","")&amp;IF(AND(LEFT(D259,3)="Con",N(I259)&lt;F259,H259="Kallang Formation (marine clay)"),"NOTE: CBP is not watertight below GWT in marine clay; consider secant / grouting. ","")&amp;IF(AND(D259="Steel Sheet Pile",E259="Permanent"),"NOTE: permanent sheet pile needs corrosion allowance. ","")&amp;IF(AND(G259="Cantilever (no support)",F259&gt;6),"NOTE: cantilever embedded wall &gt; 6 m, check deflection. ","")&amp;IF(AND(T259&lt;&gt;"",U259&lt;&gt;"",T259&gt;U259),"FAIL: deflection exceeds allowable. ","")))</f>
        <v/>
      </c>
      <c r="BI259" s="9"/>
      <c r="BJ259" s="9"/>
      <c r="BK259" s="9"/>
      <c r="BL259" s="10" t="str">
        <f aca="false">IF(BK259="","",IFERROR(VLOOKUP(BK259,Projects!$A$5:$D$504,2,0),"Ref not in Projects"))</f>
        <v/>
      </c>
      <c r="BM259" s="10" t="str">
        <f aca="false">IF(BK259="","",IFERROR(VLOOKUP(BK259,Projects!$A$5:$D$504,4,0),"Ref not in Projects"))</f>
        <v/>
      </c>
      <c r="BN259" s="9"/>
      <c r="BO259" s="9"/>
      <c r="BP259" s="9"/>
      <c r="BQ259" s="40"/>
      <c r="BR259" s="9"/>
      <c r="BS259" s="40"/>
      <c r="BT259" s="9"/>
      <c r="BU259" s="40"/>
      <c r="BV259" s="9"/>
      <c r="BW259" s="9"/>
      <c r="BX259" s="9"/>
      <c r="BY259" s="40"/>
      <c r="BZ259" s="40"/>
      <c r="CA259" s="36" t="str">
        <f aca="false">IF(BZ259="","",EDATE(BZ259,SG_Criteria!$B$54*12))</f>
        <v/>
      </c>
      <c r="CB259" s="33" t="str">
        <f aca="true">IF(A259="","",IF(BZ259="","NOTE: not reviewed yet",IF(TODAY()&gt;CA259,"NOTE: review overdue","OK")))</f>
        <v/>
      </c>
      <c r="CC259" s="37" t="str">
        <f aca="false">IF(A259="","",ROUND((IF(LEN(D259)&gt;0,1,0)+IF(LEN(E259)&gt;0,1,0)+IF(LEN(F259)&gt;0,1,0)+IF(LEN(G259)&gt;0,1,0)+IF(LEN(H259)&gt;0,1,0)+IF(LEN(I259)&gt;0,1,0)+IF(LEN(K259)&gt;0,1,0)+IF(LEN(N259)&gt;0,1,0)+IF(LEN(O259)&gt;0,1,0)+IF(LEN(T259)&gt;0,1,0)+IF(LEN(U259)&gt;0,1,0)+IF(LEN(V259)&gt;0,1,0)+IF(LEN(AK259)&gt;0,1,0)+IF(LEN(AM259)&gt;0,1,0)+IF(LEN(AN259)&gt;0,1,0)+IF(LEN(AO259)&gt;0,1,0)+IF(LEN(AP259)&gt;0,1,0)+IF(LEN(AY259)&gt;0,1,0)+IF(LEN(BK259)&gt;0,1,0)+IF(LEN(BX259)&gt;0,1,0))/20,2))</f>
        <v/>
      </c>
      <c r="CD259" s="10" t="str">
        <f aca="false">IF(D259="","",IF(AND(AN259="Approved",ISERROR(SEARCH("FAIL",BH259))),"Y","N"))</f>
        <v/>
      </c>
      <c r="CE259" s="10" t="str">
        <f aca="false">IF(D259="","",D259&amp;"|"&amp;F259&amp;"|"&amp;G259&amp;"|"&amp;H259&amp;"|"&amp;E259&amp;"|"&amp;CD259)</f>
        <v/>
      </c>
    </row>
    <row r="260" customFormat="false" ht="15" hidden="false" customHeight="false" outlineLevel="0" collapsed="false">
      <c r="A260" s="10" t="str">
        <f aca="false">IF(D260="","","EW-"&amp;IFERROR(VLOOKUP(D260,Lists!$P$4:$Q$22,2,0),"??")&amp;"-D"&amp;TEXT(F260*1000,"0000")&amp;"-"&amp;IFERROR(VLOOKUP(G260,Lists!$S$4:$T$21,2,0),"??")&amp;"-"&amp;IFERROR(VLOOKUP(H260,Lists!$Y$4:$Z$21,2,0),"??")&amp;"-"&amp;IFERROR(VLOOKUP(E260,Lists!$V$4:$W$16,2,0),"??")&amp;"-"&amp;AM260)</f>
        <v/>
      </c>
      <c r="B260" s="10" t="str">
        <f aca="false">IF(D260="","",E260&amp;" "&amp;D260&amp;", excavation "&amp;TEXT(F260,"0.0")&amp;" m, "&amp;G260&amp;", "&amp;H260&amp;", "&amp;K260)</f>
        <v/>
      </c>
      <c r="C260" s="9"/>
      <c r="D260" s="9"/>
      <c r="E260" s="9"/>
      <c r="F260" s="42"/>
      <c r="G260" s="9"/>
      <c r="H260" s="9"/>
      <c r="I260" s="42"/>
      <c r="J260" s="38"/>
      <c r="K260" s="9"/>
      <c r="L260" s="9"/>
      <c r="M260" s="9"/>
      <c r="N260" s="42"/>
      <c r="O260" s="42"/>
      <c r="P260" s="9"/>
      <c r="Q260" s="9"/>
      <c r="R260" s="9"/>
      <c r="S260" s="9"/>
      <c r="T260" s="38"/>
      <c r="U260" s="38"/>
      <c r="V260" s="38"/>
      <c r="W260" s="38"/>
      <c r="X260" s="38"/>
      <c r="Y260" s="9"/>
      <c r="Z260" s="39"/>
      <c r="AA260" s="9"/>
      <c r="AB260" s="9"/>
      <c r="AC260" s="9"/>
      <c r="AD260" s="9"/>
      <c r="AE260" s="9"/>
      <c r="AF260" s="9"/>
      <c r="AG260" s="9"/>
      <c r="AH260" s="38"/>
      <c r="AI260" s="9"/>
      <c r="AJ260" s="39"/>
      <c r="AK260" s="9"/>
      <c r="AL260" s="9"/>
      <c r="AM260" s="9"/>
      <c r="AN260" s="9"/>
      <c r="AO260" s="9"/>
      <c r="AP260" s="9"/>
      <c r="AQ260" s="9"/>
      <c r="AR260" s="10" t="str">
        <f aca="false">IF(A260="","",SG_Criteria!$B$6&amp;SG_Criteria!$B$9&amp;"\"&amp;A260&amp;"\")</f>
        <v/>
      </c>
      <c r="AS260" s="10" t="str">
        <f aca="false">IF(A260="","",A260&amp;"_CAD.dwg")</f>
        <v/>
      </c>
      <c r="AT260" s="10" t="str">
        <f aca="false">IF(A260="","",A260&amp;"_DWG.pdf")</f>
        <v/>
      </c>
      <c r="AU260" s="10" t="str">
        <f aca="false">IF(A260="","",IF(AQ260="Y",A260&amp;"_STAAD.std","n/a"))</f>
        <v/>
      </c>
      <c r="AV260" s="10" t="str">
        <f aca="false">IF(A260="","",A260&amp;"_CALC.xlsx")</f>
        <v/>
      </c>
      <c r="AW260" s="10" t="str">
        <f aca="false">IF(A260="","",A260&amp;"_CALC.pdf")</f>
        <v/>
      </c>
      <c r="AX260" s="9"/>
      <c r="AY260" s="9"/>
      <c r="AZ260" s="39"/>
      <c r="BA260" s="39"/>
      <c r="BB260" s="39"/>
      <c r="BC260" s="39"/>
      <c r="BD260" s="39"/>
      <c r="BE260" s="12" t="str">
        <f aca="false">IF(A260="","",IF(COUNTIF(Rebar_Schedule!$A$5:$A$2004,A260)=0,"",ROUND(SUMIF(Rebar_Schedule!$A$5:$A$2004,A260,Rebar_Schedule!$K$5:$K$2004),1)))</f>
        <v/>
      </c>
      <c r="BF260" s="33" t="str">
        <f aca="false">IF(A260="","",IF(BE260="","No rebar schedule yet",IF(ABS(BE260-N(BA260))/MAX(N(BA260),1)&gt;SG_Criteria!$B$55,"NOTE: register rebar differs from schedule by "&amp;TEXT(ABS(BE260-N(BA260))/MAX(N(BA260),1),"0%"),"OK")))</f>
        <v/>
      </c>
      <c r="BG260" s="33" t="str">
        <f aca="false">IF(OR(D260="",F260=""),"",IF(F260&lt;=IF(D260="Soldier Pile &amp; Timber Lagging",SG_Criteria!$B$34,SG_Criteria!$B$33),"No ERSS submission",IF(F260&lt;=SG_Criteria!$B$35,"QP(ST)",IF(F260&lt;=SG_Criteria!$B$36,"QP(ST) + AC","Geotechnical building works: QP(Geo) + AC"))))</f>
        <v/>
      </c>
      <c r="BH260" s="33" t="str">
        <f aca="false">IF(D260="","",IF(LEN(IF(AND(AC260&lt;&gt;"",IFERROR(VALUE(MID(AC260,2,2)),0)&lt;SG_Criteria!$B$19),"FAIL: grade below C"&amp;SG_Criteria!$B$19&amp;". ","")&amp;IF(AND(LEFT(D260,3)="Con",N(I260)&lt;F260,H260="Kallang Formation (marine clay)"),"NOTE: CBP is not watertight below GWT in marine clay; consider secant / grouting. ","")&amp;IF(AND(D260="Steel Sheet Pile",E260="Permanent"),"NOTE: permanent sheet pile needs corrosion allowance. ","")&amp;IF(AND(G260="Cantilever (no support)",F260&gt;6),"NOTE: cantilever embedded wall &gt; 6 m, check deflection. ","")&amp;IF(AND(T260&lt;&gt;"",U260&lt;&gt;"",T260&gt;U260),"FAIL: deflection exceeds allowable. ",""))=0,"OK",IF(AND(AC260&lt;&gt;"",IFERROR(VALUE(MID(AC260,2,2)),0)&lt;SG_Criteria!$B$19),"FAIL: grade below C"&amp;SG_Criteria!$B$19&amp;". ","")&amp;IF(AND(LEFT(D260,3)="Con",N(I260)&lt;F260,H260="Kallang Formation (marine clay)"),"NOTE: CBP is not watertight below GWT in marine clay; consider secant / grouting. ","")&amp;IF(AND(D260="Steel Sheet Pile",E260="Permanent"),"NOTE: permanent sheet pile needs corrosion allowance. ","")&amp;IF(AND(G260="Cantilever (no support)",F260&gt;6),"NOTE: cantilever embedded wall &gt; 6 m, check deflection. ","")&amp;IF(AND(T260&lt;&gt;"",U260&lt;&gt;"",T260&gt;U260),"FAIL: deflection exceeds allowable. ","")))</f>
        <v/>
      </c>
      <c r="BI260" s="9"/>
      <c r="BJ260" s="9"/>
      <c r="BK260" s="9"/>
      <c r="BL260" s="10" t="str">
        <f aca="false">IF(BK260="","",IFERROR(VLOOKUP(BK260,Projects!$A$5:$D$504,2,0),"Ref not in Projects"))</f>
        <v/>
      </c>
      <c r="BM260" s="10" t="str">
        <f aca="false">IF(BK260="","",IFERROR(VLOOKUP(BK260,Projects!$A$5:$D$504,4,0),"Ref not in Projects"))</f>
        <v/>
      </c>
      <c r="BN260" s="9"/>
      <c r="BO260" s="9"/>
      <c r="BP260" s="9"/>
      <c r="BQ260" s="40"/>
      <c r="BR260" s="9"/>
      <c r="BS260" s="40"/>
      <c r="BT260" s="9"/>
      <c r="BU260" s="40"/>
      <c r="BV260" s="9"/>
      <c r="BW260" s="9"/>
      <c r="BX260" s="9"/>
      <c r="BY260" s="40"/>
      <c r="BZ260" s="40"/>
      <c r="CA260" s="36" t="str">
        <f aca="false">IF(BZ260="","",EDATE(BZ260,SG_Criteria!$B$54*12))</f>
        <v/>
      </c>
      <c r="CB260" s="33" t="str">
        <f aca="true">IF(A260="","",IF(BZ260="","NOTE: not reviewed yet",IF(TODAY()&gt;CA260,"NOTE: review overdue","OK")))</f>
        <v/>
      </c>
      <c r="CC260" s="37" t="str">
        <f aca="false">IF(A260="","",ROUND((IF(LEN(D260)&gt;0,1,0)+IF(LEN(E260)&gt;0,1,0)+IF(LEN(F260)&gt;0,1,0)+IF(LEN(G260)&gt;0,1,0)+IF(LEN(H260)&gt;0,1,0)+IF(LEN(I260)&gt;0,1,0)+IF(LEN(K260)&gt;0,1,0)+IF(LEN(N260)&gt;0,1,0)+IF(LEN(O260)&gt;0,1,0)+IF(LEN(T260)&gt;0,1,0)+IF(LEN(U260)&gt;0,1,0)+IF(LEN(V260)&gt;0,1,0)+IF(LEN(AK260)&gt;0,1,0)+IF(LEN(AM260)&gt;0,1,0)+IF(LEN(AN260)&gt;0,1,0)+IF(LEN(AO260)&gt;0,1,0)+IF(LEN(AP260)&gt;0,1,0)+IF(LEN(AY260)&gt;0,1,0)+IF(LEN(BK260)&gt;0,1,0)+IF(LEN(BX260)&gt;0,1,0))/20,2))</f>
        <v/>
      </c>
      <c r="CD260" s="10" t="str">
        <f aca="false">IF(D260="","",IF(AND(AN260="Approved",ISERROR(SEARCH("FAIL",BH260))),"Y","N"))</f>
        <v/>
      </c>
      <c r="CE260" s="10" t="str">
        <f aca="false">IF(D260="","",D260&amp;"|"&amp;F260&amp;"|"&amp;G260&amp;"|"&amp;H260&amp;"|"&amp;E260&amp;"|"&amp;CD260)</f>
        <v/>
      </c>
    </row>
    <row r="261" customFormat="false" ht="15" hidden="false" customHeight="false" outlineLevel="0" collapsed="false">
      <c r="A261" s="10" t="str">
        <f aca="false">IF(D261="","","EW-"&amp;IFERROR(VLOOKUP(D261,Lists!$P$4:$Q$22,2,0),"??")&amp;"-D"&amp;TEXT(F261*1000,"0000")&amp;"-"&amp;IFERROR(VLOOKUP(G261,Lists!$S$4:$T$21,2,0),"??")&amp;"-"&amp;IFERROR(VLOOKUP(H261,Lists!$Y$4:$Z$21,2,0),"??")&amp;"-"&amp;IFERROR(VLOOKUP(E261,Lists!$V$4:$W$16,2,0),"??")&amp;"-"&amp;AM261)</f>
        <v/>
      </c>
      <c r="B261" s="10" t="str">
        <f aca="false">IF(D261="","",E261&amp;" "&amp;D261&amp;", excavation "&amp;TEXT(F261,"0.0")&amp;" m, "&amp;G261&amp;", "&amp;H261&amp;", "&amp;K261)</f>
        <v/>
      </c>
      <c r="C261" s="9"/>
      <c r="D261" s="9"/>
      <c r="E261" s="9"/>
      <c r="F261" s="42"/>
      <c r="G261" s="9"/>
      <c r="H261" s="9"/>
      <c r="I261" s="42"/>
      <c r="J261" s="38"/>
      <c r="K261" s="9"/>
      <c r="L261" s="9"/>
      <c r="M261" s="9"/>
      <c r="N261" s="42"/>
      <c r="O261" s="42"/>
      <c r="P261" s="9"/>
      <c r="Q261" s="9"/>
      <c r="R261" s="9"/>
      <c r="S261" s="9"/>
      <c r="T261" s="38"/>
      <c r="U261" s="38"/>
      <c r="V261" s="38"/>
      <c r="W261" s="38"/>
      <c r="X261" s="38"/>
      <c r="Y261" s="9"/>
      <c r="Z261" s="39"/>
      <c r="AA261" s="9"/>
      <c r="AB261" s="9"/>
      <c r="AC261" s="9"/>
      <c r="AD261" s="9"/>
      <c r="AE261" s="9"/>
      <c r="AF261" s="9"/>
      <c r="AG261" s="9"/>
      <c r="AH261" s="38"/>
      <c r="AI261" s="9"/>
      <c r="AJ261" s="39"/>
      <c r="AK261" s="9"/>
      <c r="AL261" s="9"/>
      <c r="AM261" s="9"/>
      <c r="AN261" s="9"/>
      <c r="AO261" s="9"/>
      <c r="AP261" s="9"/>
      <c r="AQ261" s="9"/>
      <c r="AR261" s="10" t="str">
        <f aca="false">IF(A261="","",SG_Criteria!$B$6&amp;SG_Criteria!$B$9&amp;"\"&amp;A261&amp;"\")</f>
        <v/>
      </c>
      <c r="AS261" s="10" t="str">
        <f aca="false">IF(A261="","",A261&amp;"_CAD.dwg")</f>
        <v/>
      </c>
      <c r="AT261" s="10" t="str">
        <f aca="false">IF(A261="","",A261&amp;"_DWG.pdf")</f>
        <v/>
      </c>
      <c r="AU261" s="10" t="str">
        <f aca="false">IF(A261="","",IF(AQ261="Y",A261&amp;"_STAAD.std","n/a"))</f>
        <v/>
      </c>
      <c r="AV261" s="10" t="str">
        <f aca="false">IF(A261="","",A261&amp;"_CALC.xlsx")</f>
        <v/>
      </c>
      <c r="AW261" s="10" t="str">
        <f aca="false">IF(A261="","",A261&amp;"_CALC.pdf")</f>
        <v/>
      </c>
      <c r="AX261" s="9"/>
      <c r="AY261" s="9"/>
      <c r="AZ261" s="39"/>
      <c r="BA261" s="39"/>
      <c r="BB261" s="39"/>
      <c r="BC261" s="39"/>
      <c r="BD261" s="39"/>
      <c r="BE261" s="12" t="str">
        <f aca="false">IF(A261="","",IF(COUNTIF(Rebar_Schedule!$A$5:$A$2004,A261)=0,"",ROUND(SUMIF(Rebar_Schedule!$A$5:$A$2004,A261,Rebar_Schedule!$K$5:$K$2004),1)))</f>
        <v/>
      </c>
      <c r="BF261" s="33" t="str">
        <f aca="false">IF(A261="","",IF(BE261="","No rebar schedule yet",IF(ABS(BE261-N(BA261))/MAX(N(BA261),1)&gt;SG_Criteria!$B$55,"NOTE: register rebar differs from schedule by "&amp;TEXT(ABS(BE261-N(BA261))/MAX(N(BA261),1),"0%"),"OK")))</f>
        <v/>
      </c>
      <c r="BG261" s="33" t="str">
        <f aca="false">IF(OR(D261="",F261=""),"",IF(F261&lt;=IF(D261="Soldier Pile &amp; Timber Lagging",SG_Criteria!$B$34,SG_Criteria!$B$33),"No ERSS submission",IF(F261&lt;=SG_Criteria!$B$35,"QP(ST)",IF(F261&lt;=SG_Criteria!$B$36,"QP(ST) + AC","Geotechnical building works: QP(Geo) + AC"))))</f>
        <v/>
      </c>
      <c r="BH261" s="33" t="str">
        <f aca="false">IF(D261="","",IF(LEN(IF(AND(AC261&lt;&gt;"",IFERROR(VALUE(MID(AC261,2,2)),0)&lt;SG_Criteria!$B$19),"FAIL: grade below C"&amp;SG_Criteria!$B$19&amp;". ","")&amp;IF(AND(LEFT(D261,3)="Con",N(I261)&lt;F261,H261="Kallang Formation (marine clay)"),"NOTE: CBP is not watertight below GWT in marine clay; consider secant / grouting. ","")&amp;IF(AND(D261="Steel Sheet Pile",E261="Permanent"),"NOTE: permanent sheet pile needs corrosion allowance. ","")&amp;IF(AND(G261="Cantilever (no support)",F261&gt;6),"NOTE: cantilever embedded wall &gt; 6 m, check deflection. ","")&amp;IF(AND(T261&lt;&gt;"",U261&lt;&gt;"",T261&gt;U261),"FAIL: deflection exceeds allowable. ",""))=0,"OK",IF(AND(AC261&lt;&gt;"",IFERROR(VALUE(MID(AC261,2,2)),0)&lt;SG_Criteria!$B$19),"FAIL: grade below C"&amp;SG_Criteria!$B$19&amp;". ","")&amp;IF(AND(LEFT(D261,3)="Con",N(I261)&lt;F261,H261="Kallang Formation (marine clay)"),"NOTE: CBP is not watertight below GWT in marine clay; consider secant / grouting. ","")&amp;IF(AND(D261="Steel Sheet Pile",E261="Permanent"),"NOTE: permanent sheet pile needs corrosion allowance. ","")&amp;IF(AND(G261="Cantilever (no support)",F261&gt;6),"NOTE: cantilever embedded wall &gt; 6 m, check deflection. ","")&amp;IF(AND(T261&lt;&gt;"",U261&lt;&gt;"",T261&gt;U261),"FAIL: deflection exceeds allowable. ","")))</f>
        <v/>
      </c>
      <c r="BI261" s="9"/>
      <c r="BJ261" s="9"/>
      <c r="BK261" s="9"/>
      <c r="BL261" s="10" t="str">
        <f aca="false">IF(BK261="","",IFERROR(VLOOKUP(BK261,Projects!$A$5:$D$504,2,0),"Ref not in Projects"))</f>
        <v/>
      </c>
      <c r="BM261" s="10" t="str">
        <f aca="false">IF(BK261="","",IFERROR(VLOOKUP(BK261,Projects!$A$5:$D$504,4,0),"Ref not in Projects"))</f>
        <v/>
      </c>
      <c r="BN261" s="9"/>
      <c r="BO261" s="9"/>
      <c r="BP261" s="9"/>
      <c r="BQ261" s="40"/>
      <c r="BR261" s="9"/>
      <c r="BS261" s="40"/>
      <c r="BT261" s="9"/>
      <c r="BU261" s="40"/>
      <c r="BV261" s="9"/>
      <c r="BW261" s="9"/>
      <c r="BX261" s="9"/>
      <c r="BY261" s="40"/>
      <c r="BZ261" s="40"/>
      <c r="CA261" s="36" t="str">
        <f aca="false">IF(BZ261="","",EDATE(BZ261,SG_Criteria!$B$54*12))</f>
        <v/>
      </c>
      <c r="CB261" s="33" t="str">
        <f aca="true">IF(A261="","",IF(BZ261="","NOTE: not reviewed yet",IF(TODAY()&gt;CA261,"NOTE: review overdue","OK")))</f>
        <v/>
      </c>
      <c r="CC261" s="37" t="str">
        <f aca="false">IF(A261="","",ROUND((IF(LEN(D261)&gt;0,1,0)+IF(LEN(E261)&gt;0,1,0)+IF(LEN(F261)&gt;0,1,0)+IF(LEN(G261)&gt;0,1,0)+IF(LEN(H261)&gt;0,1,0)+IF(LEN(I261)&gt;0,1,0)+IF(LEN(K261)&gt;0,1,0)+IF(LEN(N261)&gt;0,1,0)+IF(LEN(O261)&gt;0,1,0)+IF(LEN(T261)&gt;0,1,0)+IF(LEN(U261)&gt;0,1,0)+IF(LEN(V261)&gt;0,1,0)+IF(LEN(AK261)&gt;0,1,0)+IF(LEN(AM261)&gt;0,1,0)+IF(LEN(AN261)&gt;0,1,0)+IF(LEN(AO261)&gt;0,1,0)+IF(LEN(AP261)&gt;0,1,0)+IF(LEN(AY261)&gt;0,1,0)+IF(LEN(BK261)&gt;0,1,0)+IF(LEN(BX261)&gt;0,1,0))/20,2))</f>
        <v/>
      </c>
      <c r="CD261" s="10" t="str">
        <f aca="false">IF(D261="","",IF(AND(AN261="Approved",ISERROR(SEARCH("FAIL",BH261))),"Y","N"))</f>
        <v/>
      </c>
      <c r="CE261" s="10" t="str">
        <f aca="false">IF(D261="","",D261&amp;"|"&amp;F261&amp;"|"&amp;G261&amp;"|"&amp;H261&amp;"|"&amp;E261&amp;"|"&amp;CD261)</f>
        <v/>
      </c>
    </row>
    <row r="262" customFormat="false" ht="15" hidden="false" customHeight="false" outlineLevel="0" collapsed="false">
      <c r="A262" s="10" t="str">
        <f aca="false">IF(D262="","","EW-"&amp;IFERROR(VLOOKUP(D262,Lists!$P$4:$Q$22,2,0),"??")&amp;"-D"&amp;TEXT(F262*1000,"0000")&amp;"-"&amp;IFERROR(VLOOKUP(G262,Lists!$S$4:$T$21,2,0),"??")&amp;"-"&amp;IFERROR(VLOOKUP(H262,Lists!$Y$4:$Z$21,2,0),"??")&amp;"-"&amp;IFERROR(VLOOKUP(E262,Lists!$V$4:$W$16,2,0),"??")&amp;"-"&amp;AM262)</f>
        <v/>
      </c>
      <c r="B262" s="10" t="str">
        <f aca="false">IF(D262="","",E262&amp;" "&amp;D262&amp;", excavation "&amp;TEXT(F262,"0.0")&amp;" m, "&amp;G262&amp;", "&amp;H262&amp;", "&amp;K262)</f>
        <v/>
      </c>
      <c r="C262" s="9"/>
      <c r="D262" s="9"/>
      <c r="E262" s="9"/>
      <c r="F262" s="42"/>
      <c r="G262" s="9"/>
      <c r="H262" s="9"/>
      <c r="I262" s="42"/>
      <c r="J262" s="38"/>
      <c r="K262" s="9"/>
      <c r="L262" s="9"/>
      <c r="M262" s="9"/>
      <c r="N262" s="42"/>
      <c r="O262" s="42"/>
      <c r="P262" s="9"/>
      <c r="Q262" s="9"/>
      <c r="R262" s="9"/>
      <c r="S262" s="9"/>
      <c r="T262" s="38"/>
      <c r="U262" s="38"/>
      <c r="V262" s="38"/>
      <c r="W262" s="38"/>
      <c r="X262" s="38"/>
      <c r="Y262" s="9"/>
      <c r="Z262" s="39"/>
      <c r="AA262" s="9"/>
      <c r="AB262" s="9"/>
      <c r="AC262" s="9"/>
      <c r="AD262" s="9"/>
      <c r="AE262" s="9"/>
      <c r="AF262" s="9"/>
      <c r="AG262" s="9"/>
      <c r="AH262" s="38"/>
      <c r="AI262" s="9"/>
      <c r="AJ262" s="39"/>
      <c r="AK262" s="9"/>
      <c r="AL262" s="9"/>
      <c r="AM262" s="9"/>
      <c r="AN262" s="9"/>
      <c r="AO262" s="9"/>
      <c r="AP262" s="9"/>
      <c r="AQ262" s="9"/>
      <c r="AR262" s="10" t="str">
        <f aca="false">IF(A262="","",SG_Criteria!$B$6&amp;SG_Criteria!$B$9&amp;"\"&amp;A262&amp;"\")</f>
        <v/>
      </c>
      <c r="AS262" s="10" t="str">
        <f aca="false">IF(A262="","",A262&amp;"_CAD.dwg")</f>
        <v/>
      </c>
      <c r="AT262" s="10" t="str">
        <f aca="false">IF(A262="","",A262&amp;"_DWG.pdf")</f>
        <v/>
      </c>
      <c r="AU262" s="10" t="str">
        <f aca="false">IF(A262="","",IF(AQ262="Y",A262&amp;"_STAAD.std","n/a"))</f>
        <v/>
      </c>
      <c r="AV262" s="10" t="str">
        <f aca="false">IF(A262="","",A262&amp;"_CALC.xlsx")</f>
        <v/>
      </c>
      <c r="AW262" s="10" t="str">
        <f aca="false">IF(A262="","",A262&amp;"_CALC.pdf")</f>
        <v/>
      </c>
      <c r="AX262" s="9"/>
      <c r="AY262" s="9"/>
      <c r="AZ262" s="39"/>
      <c r="BA262" s="39"/>
      <c r="BB262" s="39"/>
      <c r="BC262" s="39"/>
      <c r="BD262" s="39"/>
      <c r="BE262" s="12" t="str">
        <f aca="false">IF(A262="","",IF(COUNTIF(Rebar_Schedule!$A$5:$A$2004,A262)=0,"",ROUND(SUMIF(Rebar_Schedule!$A$5:$A$2004,A262,Rebar_Schedule!$K$5:$K$2004),1)))</f>
        <v/>
      </c>
      <c r="BF262" s="33" t="str">
        <f aca="false">IF(A262="","",IF(BE262="","No rebar schedule yet",IF(ABS(BE262-N(BA262))/MAX(N(BA262),1)&gt;SG_Criteria!$B$55,"NOTE: register rebar differs from schedule by "&amp;TEXT(ABS(BE262-N(BA262))/MAX(N(BA262),1),"0%"),"OK")))</f>
        <v/>
      </c>
      <c r="BG262" s="33" t="str">
        <f aca="false">IF(OR(D262="",F262=""),"",IF(F262&lt;=IF(D262="Soldier Pile &amp; Timber Lagging",SG_Criteria!$B$34,SG_Criteria!$B$33),"No ERSS submission",IF(F262&lt;=SG_Criteria!$B$35,"QP(ST)",IF(F262&lt;=SG_Criteria!$B$36,"QP(ST) + AC","Geotechnical building works: QP(Geo) + AC"))))</f>
        <v/>
      </c>
      <c r="BH262" s="33" t="str">
        <f aca="false">IF(D262="","",IF(LEN(IF(AND(AC262&lt;&gt;"",IFERROR(VALUE(MID(AC262,2,2)),0)&lt;SG_Criteria!$B$19),"FAIL: grade below C"&amp;SG_Criteria!$B$19&amp;". ","")&amp;IF(AND(LEFT(D262,3)="Con",N(I262)&lt;F262,H262="Kallang Formation (marine clay)"),"NOTE: CBP is not watertight below GWT in marine clay; consider secant / grouting. ","")&amp;IF(AND(D262="Steel Sheet Pile",E262="Permanent"),"NOTE: permanent sheet pile needs corrosion allowance. ","")&amp;IF(AND(G262="Cantilever (no support)",F262&gt;6),"NOTE: cantilever embedded wall &gt; 6 m, check deflection. ","")&amp;IF(AND(T262&lt;&gt;"",U262&lt;&gt;"",T262&gt;U262),"FAIL: deflection exceeds allowable. ",""))=0,"OK",IF(AND(AC262&lt;&gt;"",IFERROR(VALUE(MID(AC262,2,2)),0)&lt;SG_Criteria!$B$19),"FAIL: grade below C"&amp;SG_Criteria!$B$19&amp;". ","")&amp;IF(AND(LEFT(D262,3)="Con",N(I262)&lt;F262,H262="Kallang Formation (marine clay)"),"NOTE: CBP is not watertight below GWT in marine clay; consider secant / grouting. ","")&amp;IF(AND(D262="Steel Sheet Pile",E262="Permanent"),"NOTE: permanent sheet pile needs corrosion allowance. ","")&amp;IF(AND(G262="Cantilever (no support)",F262&gt;6),"NOTE: cantilever embedded wall &gt; 6 m, check deflection. ","")&amp;IF(AND(T262&lt;&gt;"",U262&lt;&gt;"",T262&gt;U262),"FAIL: deflection exceeds allowable. ","")))</f>
        <v/>
      </c>
      <c r="BI262" s="9"/>
      <c r="BJ262" s="9"/>
      <c r="BK262" s="9"/>
      <c r="BL262" s="10" t="str">
        <f aca="false">IF(BK262="","",IFERROR(VLOOKUP(BK262,Projects!$A$5:$D$504,2,0),"Ref not in Projects"))</f>
        <v/>
      </c>
      <c r="BM262" s="10" t="str">
        <f aca="false">IF(BK262="","",IFERROR(VLOOKUP(BK262,Projects!$A$5:$D$504,4,0),"Ref not in Projects"))</f>
        <v/>
      </c>
      <c r="BN262" s="9"/>
      <c r="BO262" s="9"/>
      <c r="BP262" s="9"/>
      <c r="BQ262" s="40"/>
      <c r="BR262" s="9"/>
      <c r="BS262" s="40"/>
      <c r="BT262" s="9"/>
      <c r="BU262" s="40"/>
      <c r="BV262" s="9"/>
      <c r="BW262" s="9"/>
      <c r="BX262" s="9"/>
      <c r="BY262" s="40"/>
      <c r="BZ262" s="40"/>
      <c r="CA262" s="36" t="str">
        <f aca="false">IF(BZ262="","",EDATE(BZ262,SG_Criteria!$B$54*12))</f>
        <v/>
      </c>
      <c r="CB262" s="33" t="str">
        <f aca="true">IF(A262="","",IF(BZ262="","NOTE: not reviewed yet",IF(TODAY()&gt;CA262,"NOTE: review overdue","OK")))</f>
        <v/>
      </c>
      <c r="CC262" s="37" t="str">
        <f aca="false">IF(A262="","",ROUND((IF(LEN(D262)&gt;0,1,0)+IF(LEN(E262)&gt;0,1,0)+IF(LEN(F262)&gt;0,1,0)+IF(LEN(G262)&gt;0,1,0)+IF(LEN(H262)&gt;0,1,0)+IF(LEN(I262)&gt;0,1,0)+IF(LEN(K262)&gt;0,1,0)+IF(LEN(N262)&gt;0,1,0)+IF(LEN(O262)&gt;0,1,0)+IF(LEN(T262)&gt;0,1,0)+IF(LEN(U262)&gt;0,1,0)+IF(LEN(V262)&gt;0,1,0)+IF(LEN(AK262)&gt;0,1,0)+IF(LEN(AM262)&gt;0,1,0)+IF(LEN(AN262)&gt;0,1,0)+IF(LEN(AO262)&gt;0,1,0)+IF(LEN(AP262)&gt;0,1,0)+IF(LEN(AY262)&gt;0,1,0)+IF(LEN(BK262)&gt;0,1,0)+IF(LEN(BX262)&gt;0,1,0))/20,2))</f>
        <v/>
      </c>
      <c r="CD262" s="10" t="str">
        <f aca="false">IF(D262="","",IF(AND(AN262="Approved",ISERROR(SEARCH("FAIL",BH262))),"Y","N"))</f>
        <v/>
      </c>
      <c r="CE262" s="10" t="str">
        <f aca="false">IF(D262="","",D262&amp;"|"&amp;F262&amp;"|"&amp;G262&amp;"|"&amp;H262&amp;"|"&amp;E262&amp;"|"&amp;CD262)</f>
        <v/>
      </c>
    </row>
    <row r="263" customFormat="false" ht="15" hidden="false" customHeight="false" outlineLevel="0" collapsed="false">
      <c r="A263" s="10" t="str">
        <f aca="false">IF(D263="","","EW-"&amp;IFERROR(VLOOKUP(D263,Lists!$P$4:$Q$22,2,0),"??")&amp;"-D"&amp;TEXT(F263*1000,"0000")&amp;"-"&amp;IFERROR(VLOOKUP(G263,Lists!$S$4:$T$21,2,0),"??")&amp;"-"&amp;IFERROR(VLOOKUP(H263,Lists!$Y$4:$Z$21,2,0),"??")&amp;"-"&amp;IFERROR(VLOOKUP(E263,Lists!$V$4:$W$16,2,0),"??")&amp;"-"&amp;AM263)</f>
        <v/>
      </c>
      <c r="B263" s="10" t="str">
        <f aca="false">IF(D263="","",E263&amp;" "&amp;D263&amp;", excavation "&amp;TEXT(F263,"0.0")&amp;" m, "&amp;G263&amp;", "&amp;H263&amp;", "&amp;K263)</f>
        <v/>
      </c>
      <c r="C263" s="9"/>
      <c r="D263" s="9"/>
      <c r="E263" s="9"/>
      <c r="F263" s="42"/>
      <c r="G263" s="9"/>
      <c r="H263" s="9"/>
      <c r="I263" s="42"/>
      <c r="J263" s="38"/>
      <c r="K263" s="9"/>
      <c r="L263" s="9"/>
      <c r="M263" s="9"/>
      <c r="N263" s="42"/>
      <c r="O263" s="42"/>
      <c r="P263" s="9"/>
      <c r="Q263" s="9"/>
      <c r="R263" s="9"/>
      <c r="S263" s="9"/>
      <c r="T263" s="38"/>
      <c r="U263" s="38"/>
      <c r="V263" s="38"/>
      <c r="W263" s="38"/>
      <c r="X263" s="38"/>
      <c r="Y263" s="9"/>
      <c r="Z263" s="39"/>
      <c r="AA263" s="9"/>
      <c r="AB263" s="9"/>
      <c r="AC263" s="9"/>
      <c r="AD263" s="9"/>
      <c r="AE263" s="9"/>
      <c r="AF263" s="9"/>
      <c r="AG263" s="9"/>
      <c r="AH263" s="38"/>
      <c r="AI263" s="9"/>
      <c r="AJ263" s="39"/>
      <c r="AK263" s="9"/>
      <c r="AL263" s="9"/>
      <c r="AM263" s="9"/>
      <c r="AN263" s="9"/>
      <c r="AO263" s="9"/>
      <c r="AP263" s="9"/>
      <c r="AQ263" s="9"/>
      <c r="AR263" s="10" t="str">
        <f aca="false">IF(A263="","",SG_Criteria!$B$6&amp;SG_Criteria!$B$9&amp;"\"&amp;A263&amp;"\")</f>
        <v/>
      </c>
      <c r="AS263" s="10" t="str">
        <f aca="false">IF(A263="","",A263&amp;"_CAD.dwg")</f>
        <v/>
      </c>
      <c r="AT263" s="10" t="str">
        <f aca="false">IF(A263="","",A263&amp;"_DWG.pdf")</f>
        <v/>
      </c>
      <c r="AU263" s="10" t="str">
        <f aca="false">IF(A263="","",IF(AQ263="Y",A263&amp;"_STAAD.std","n/a"))</f>
        <v/>
      </c>
      <c r="AV263" s="10" t="str">
        <f aca="false">IF(A263="","",A263&amp;"_CALC.xlsx")</f>
        <v/>
      </c>
      <c r="AW263" s="10" t="str">
        <f aca="false">IF(A263="","",A263&amp;"_CALC.pdf")</f>
        <v/>
      </c>
      <c r="AX263" s="9"/>
      <c r="AY263" s="9"/>
      <c r="AZ263" s="39"/>
      <c r="BA263" s="39"/>
      <c r="BB263" s="39"/>
      <c r="BC263" s="39"/>
      <c r="BD263" s="39"/>
      <c r="BE263" s="12" t="str">
        <f aca="false">IF(A263="","",IF(COUNTIF(Rebar_Schedule!$A$5:$A$2004,A263)=0,"",ROUND(SUMIF(Rebar_Schedule!$A$5:$A$2004,A263,Rebar_Schedule!$K$5:$K$2004),1)))</f>
        <v/>
      </c>
      <c r="BF263" s="33" t="str">
        <f aca="false">IF(A263="","",IF(BE263="","No rebar schedule yet",IF(ABS(BE263-N(BA263))/MAX(N(BA263),1)&gt;SG_Criteria!$B$55,"NOTE: register rebar differs from schedule by "&amp;TEXT(ABS(BE263-N(BA263))/MAX(N(BA263),1),"0%"),"OK")))</f>
        <v/>
      </c>
      <c r="BG263" s="33" t="str">
        <f aca="false">IF(OR(D263="",F263=""),"",IF(F263&lt;=IF(D263="Soldier Pile &amp; Timber Lagging",SG_Criteria!$B$34,SG_Criteria!$B$33),"No ERSS submission",IF(F263&lt;=SG_Criteria!$B$35,"QP(ST)",IF(F263&lt;=SG_Criteria!$B$36,"QP(ST) + AC","Geotechnical building works: QP(Geo) + AC"))))</f>
        <v/>
      </c>
      <c r="BH263" s="33" t="str">
        <f aca="false">IF(D263="","",IF(LEN(IF(AND(AC263&lt;&gt;"",IFERROR(VALUE(MID(AC263,2,2)),0)&lt;SG_Criteria!$B$19),"FAIL: grade below C"&amp;SG_Criteria!$B$19&amp;". ","")&amp;IF(AND(LEFT(D263,3)="Con",N(I263)&lt;F263,H263="Kallang Formation (marine clay)"),"NOTE: CBP is not watertight below GWT in marine clay; consider secant / grouting. ","")&amp;IF(AND(D263="Steel Sheet Pile",E263="Permanent"),"NOTE: permanent sheet pile needs corrosion allowance. ","")&amp;IF(AND(G263="Cantilever (no support)",F263&gt;6),"NOTE: cantilever embedded wall &gt; 6 m, check deflection. ","")&amp;IF(AND(T263&lt;&gt;"",U263&lt;&gt;"",T263&gt;U263),"FAIL: deflection exceeds allowable. ",""))=0,"OK",IF(AND(AC263&lt;&gt;"",IFERROR(VALUE(MID(AC263,2,2)),0)&lt;SG_Criteria!$B$19),"FAIL: grade below C"&amp;SG_Criteria!$B$19&amp;". ","")&amp;IF(AND(LEFT(D263,3)="Con",N(I263)&lt;F263,H263="Kallang Formation (marine clay)"),"NOTE: CBP is not watertight below GWT in marine clay; consider secant / grouting. ","")&amp;IF(AND(D263="Steel Sheet Pile",E263="Permanent"),"NOTE: permanent sheet pile needs corrosion allowance. ","")&amp;IF(AND(G263="Cantilever (no support)",F263&gt;6),"NOTE: cantilever embedded wall &gt; 6 m, check deflection. ","")&amp;IF(AND(T263&lt;&gt;"",U263&lt;&gt;"",T263&gt;U263),"FAIL: deflection exceeds allowable. ","")))</f>
        <v/>
      </c>
      <c r="BI263" s="9"/>
      <c r="BJ263" s="9"/>
      <c r="BK263" s="9"/>
      <c r="BL263" s="10" t="str">
        <f aca="false">IF(BK263="","",IFERROR(VLOOKUP(BK263,Projects!$A$5:$D$504,2,0),"Ref not in Projects"))</f>
        <v/>
      </c>
      <c r="BM263" s="10" t="str">
        <f aca="false">IF(BK263="","",IFERROR(VLOOKUP(BK263,Projects!$A$5:$D$504,4,0),"Ref not in Projects"))</f>
        <v/>
      </c>
      <c r="BN263" s="9"/>
      <c r="BO263" s="9"/>
      <c r="BP263" s="9"/>
      <c r="BQ263" s="40"/>
      <c r="BR263" s="9"/>
      <c r="BS263" s="40"/>
      <c r="BT263" s="9"/>
      <c r="BU263" s="40"/>
      <c r="BV263" s="9"/>
      <c r="BW263" s="9"/>
      <c r="BX263" s="9"/>
      <c r="BY263" s="40"/>
      <c r="BZ263" s="40"/>
      <c r="CA263" s="36" t="str">
        <f aca="false">IF(BZ263="","",EDATE(BZ263,SG_Criteria!$B$54*12))</f>
        <v/>
      </c>
      <c r="CB263" s="33" t="str">
        <f aca="true">IF(A263="","",IF(BZ263="","NOTE: not reviewed yet",IF(TODAY()&gt;CA263,"NOTE: review overdue","OK")))</f>
        <v/>
      </c>
      <c r="CC263" s="37" t="str">
        <f aca="false">IF(A263="","",ROUND((IF(LEN(D263)&gt;0,1,0)+IF(LEN(E263)&gt;0,1,0)+IF(LEN(F263)&gt;0,1,0)+IF(LEN(G263)&gt;0,1,0)+IF(LEN(H263)&gt;0,1,0)+IF(LEN(I263)&gt;0,1,0)+IF(LEN(K263)&gt;0,1,0)+IF(LEN(N263)&gt;0,1,0)+IF(LEN(O263)&gt;0,1,0)+IF(LEN(T263)&gt;0,1,0)+IF(LEN(U263)&gt;0,1,0)+IF(LEN(V263)&gt;0,1,0)+IF(LEN(AK263)&gt;0,1,0)+IF(LEN(AM263)&gt;0,1,0)+IF(LEN(AN263)&gt;0,1,0)+IF(LEN(AO263)&gt;0,1,0)+IF(LEN(AP263)&gt;0,1,0)+IF(LEN(AY263)&gt;0,1,0)+IF(LEN(BK263)&gt;0,1,0)+IF(LEN(BX263)&gt;0,1,0))/20,2))</f>
        <v/>
      </c>
      <c r="CD263" s="10" t="str">
        <f aca="false">IF(D263="","",IF(AND(AN263="Approved",ISERROR(SEARCH("FAIL",BH263))),"Y","N"))</f>
        <v/>
      </c>
      <c r="CE263" s="10" t="str">
        <f aca="false">IF(D263="","",D263&amp;"|"&amp;F263&amp;"|"&amp;G263&amp;"|"&amp;H263&amp;"|"&amp;E263&amp;"|"&amp;CD263)</f>
        <v/>
      </c>
    </row>
    <row r="264" customFormat="false" ht="15" hidden="false" customHeight="false" outlineLevel="0" collapsed="false">
      <c r="A264" s="10" t="str">
        <f aca="false">IF(D264="","","EW-"&amp;IFERROR(VLOOKUP(D264,Lists!$P$4:$Q$22,2,0),"??")&amp;"-D"&amp;TEXT(F264*1000,"0000")&amp;"-"&amp;IFERROR(VLOOKUP(G264,Lists!$S$4:$T$21,2,0),"??")&amp;"-"&amp;IFERROR(VLOOKUP(H264,Lists!$Y$4:$Z$21,2,0),"??")&amp;"-"&amp;IFERROR(VLOOKUP(E264,Lists!$V$4:$W$16,2,0),"??")&amp;"-"&amp;AM264)</f>
        <v/>
      </c>
      <c r="B264" s="10" t="str">
        <f aca="false">IF(D264="","",E264&amp;" "&amp;D264&amp;", excavation "&amp;TEXT(F264,"0.0")&amp;" m, "&amp;G264&amp;", "&amp;H264&amp;", "&amp;K264)</f>
        <v/>
      </c>
      <c r="C264" s="9"/>
      <c r="D264" s="9"/>
      <c r="E264" s="9"/>
      <c r="F264" s="42"/>
      <c r="G264" s="9"/>
      <c r="H264" s="9"/>
      <c r="I264" s="42"/>
      <c r="J264" s="38"/>
      <c r="K264" s="9"/>
      <c r="L264" s="9"/>
      <c r="M264" s="9"/>
      <c r="N264" s="42"/>
      <c r="O264" s="42"/>
      <c r="P264" s="9"/>
      <c r="Q264" s="9"/>
      <c r="R264" s="9"/>
      <c r="S264" s="9"/>
      <c r="T264" s="38"/>
      <c r="U264" s="38"/>
      <c r="V264" s="38"/>
      <c r="W264" s="38"/>
      <c r="X264" s="38"/>
      <c r="Y264" s="9"/>
      <c r="Z264" s="39"/>
      <c r="AA264" s="9"/>
      <c r="AB264" s="9"/>
      <c r="AC264" s="9"/>
      <c r="AD264" s="9"/>
      <c r="AE264" s="9"/>
      <c r="AF264" s="9"/>
      <c r="AG264" s="9"/>
      <c r="AH264" s="38"/>
      <c r="AI264" s="9"/>
      <c r="AJ264" s="39"/>
      <c r="AK264" s="9"/>
      <c r="AL264" s="9"/>
      <c r="AM264" s="9"/>
      <c r="AN264" s="9"/>
      <c r="AO264" s="9"/>
      <c r="AP264" s="9"/>
      <c r="AQ264" s="9"/>
      <c r="AR264" s="10" t="str">
        <f aca="false">IF(A264="","",SG_Criteria!$B$6&amp;SG_Criteria!$B$9&amp;"\"&amp;A264&amp;"\")</f>
        <v/>
      </c>
      <c r="AS264" s="10" t="str">
        <f aca="false">IF(A264="","",A264&amp;"_CAD.dwg")</f>
        <v/>
      </c>
      <c r="AT264" s="10" t="str">
        <f aca="false">IF(A264="","",A264&amp;"_DWG.pdf")</f>
        <v/>
      </c>
      <c r="AU264" s="10" t="str">
        <f aca="false">IF(A264="","",IF(AQ264="Y",A264&amp;"_STAAD.std","n/a"))</f>
        <v/>
      </c>
      <c r="AV264" s="10" t="str">
        <f aca="false">IF(A264="","",A264&amp;"_CALC.xlsx")</f>
        <v/>
      </c>
      <c r="AW264" s="10" t="str">
        <f aca="false">IF(A264="","",A264&amp;"_CALC.pdf")</f>
        <v/>
      </c>
      <c r="AX264" s="9"/>
      <c r="AY264" s="9"/>
      <c r="AZ264" s="39"/>
      <c r="BA264" s="39"/>
      <c r="BB264" s="39"/>
      <c r="BC264" s="39"/>
      <c r="BD264" s="39"/>
      <c r="BE264" s="12" t="str">
        <f aca="false">IF(A264="","",IF(COUNTIF(Rebar_Schedule!$A$5:$A$2004,A264)=0,"",ROUND(SUMIF(Rebar_Schedule!$A$5:$A$2004,A264,Rebar_Schedule!$K$5:$K$2004),1)))</f>
        <v/>
      </c>
      <c r="BF264" s="33" t="str">
        <f aca="false">IF(A264="","",IF(BE264="","No rebar schedule yet",IF(ABS(BE264-N(BA264))/MAX(N(BA264),1)&gt;SG_Criteria!$B$55,"NOTE: register rebar differs from schedule by "&amp;TEXT(ABS(BE264-N(BA264))/MAX(N(BA264),1),"0%"),"OK")))</f>
        <v/>
      </c>
      <c r="BG264" s="33" t="str">
        <f aca="false">IF(OR(D264="",F264=""),"",IF(F264&lt;=IF(D264="Soldier Pile &amp; Timber Lagging",SG_Criteria!$B$34,SG_Criteria!$B$33),"No ERSS submission",IF(F264&lt;=SG_Criteria!$B$35,"QP(ST)",IF(F264&lt;=SG_Criteria!$B$36,"QP(ST) + AC","Geotechnical building works: QP(Geo) + AC"))))</f>
        <v/>
      </c>
      <c r="BH264" s="33" t="str">
        <f aca="false">IF(D264="","",IF(LEN(IF(AND(AC264&lt;&gt;"",IFERROR(VALUE(MID(AC264,2,2)),0)&lt;SG_Criteria!$B$19),"FAIL: grade below C"&amp;SG_Criteria!$B$19&amp;". ","")&amp;IF(AND(LEFT(D264,3)="Con",N(I264)&lt;F264,H264="Kallang Formation (marine clay)"),"NOTE: CBP is not watertight below GWT in marine clay; consider secant / grouting. ","")&amp;IF(AND(D264="Steel Sheet Pile",E264="Permanent"),"NOTE: permanent sheet pile needs corrosion allowance. ","")&amp;IF(AND(G264="Cantilever (no support)",F264&gt;6),"NOTE: cantilever embedded wall &gt; 6 m, check deflection. ","")&amp;IF(AND(T264&lt;&gt;"",U264&lt;&gt;"",T264&gt;U264),"FAIL: deflection exceeds allowable. ",""))=0,"OK",IF(AND(AC264&lt;&gt;"",IFERROR(VALUE(MID(AC264,2,2)),0)&lt;SG_Criteria!$B$19),"FAIL: grade below C"&amp;SG_Criteria!$B$19&amp;". ","")&amp;IF(AND(LEFT(D264,3)="Con",N(I264)&lt;F264,H264="Kallang Formation (marine clay)"),"NOTE: CBP is not watertight below GWT in marine clay; consider secant / grouting. ","")&amp;IF(AND(D264="Steel Sheet Pile",E264="Permanent"),"NOTE: permanent sheet pile needs corrosion allowance. ","")&amp;IF(AND(G264="Cantilever (no support)",F264&gt;6),"NOTE: cantilever embedded wall &gt; 6 m, check deflection. ","")&amp;IF(AND(T264&lt;&gt;"",U264&lt;&gt;"",T264&gt;U264),"FAIL: deflection exceeds allowable. ","")))</f>
        <v/>
      </c>
      <c r="BI264" s="9"/>
      <c r="BJ264" s="9"/>
      <c r="BK264" s="9"/>
      <c r="BL264" s="10" t="str">
        <f aca="false">IF(BK264="","",IFERROR(VLOOKUP(BK264,Projects!$A$5:$D$504,2,0),"Ref not in Projects"))</f>
        <v/>
      </c>
      <c r="BM264" s="10" t="str">
        <f aca="false">IF(BK264="","",IFERROR(VLOOKUP(BK264,Projects!$A$5:$D$504,4,0),"Ref not in Projects"))</f>
        <v/>
      </c>
      <c r="BN264" s="9"/>
      <c r="BO264" s="9"/>
      <c r="BP264" s="9"/>
      <c r="BQ264" s="40"/>
      <c r="BR264" s="9"/>
      <c r="BS264" s="40"/>
      <c r="BT264" s="9"/>
      <c r="BU264" s="40"/>
      <c r="BV264" s="9"/>
      <c r="BW264" s="9"/>
      <c r="BX264" s="9"/>
      <c r="BY264" s="40"/>
      <c r="BZ264" s="40"/>
      <c r="CA264" s="36" t="str">
        <f aca="false">IF(BZ264="","",EDATE(BZ264,SG_Criteria!$B$54*12))</f>
        <v/>
      </c>
      <c r="CB264" s="33" t="str">
        <f aca="true">IF(A264="","",IF(BZ264="","NOTE: not reviewed yet",IF(TODAY()&gt;CA264,"NOTE: review overdue","OK")))</f>
        <v/>
      </c>
      <c r="CC264" s="37" t="str">
        <f aca="false">IF(A264="","",ROUND((IF(LEN(D264)&gt;0,1,0)+IF(LEN(E264)&gt;0,1,0)+IF(LEN(F264)&gt;0,1,0)+IF(LEN(G264)&gt;0,1,0)+IF(LEN(H264)&gt;0,1,0)+IF(LEN(I264)&gt;0,1,0)+IF(LEN(K264)&gt;0,1,0)+IF(LEN(N264)&gt;0,1,0)+IF(LEN(O264)&gt;0,1,0)+IF(LEN(T264)&gt;0,1,0)+IF(LEN(U264)&gt;0,1,0)+IF(LEN(V264)&gt;0,1,0)+IF(LEN(AK264)&gt;0,1,0)+IF(LEN(AM264)&gt;0,1,0)+IF(LEN(AN264)&gt;0,1,0)+IF(LEN(AO264)&gt;0,1,0)+IF(LEN(AP264)&gt;0,1,0)+IF(LEN(AY264)&gt;0,1,0)+IF(LEN(BK264)&gt;0,1,0)+IF(LEN(BX264)&gt;0,1,0))/20,2))</f>
        <v/>
      </c>
      <c r="CD264" s="10" t="str">
        <f aca="false">IF(D264="","",IF(AND(AN264="Approved",ISERROR(SEARCH("FAIL",BH264))),"Y","N"))</f>
        <v/>
      </c>
      <c r="CE264" s="10" t="str">
        <f aca="false">IF(D264="","",D264&amp;"|"&amp;F264&amp;"|"&amp;G264&amp;"|"&amp;H264&amp;"|"&amp;E264&amp;"|"&amp;CD264)</f>
        <v/>
      </c>
    </row>
    <row r="265" customFormat="false" ht="15" hidden="false" customHeight="false" outlineLevel="0" collapsed="false">
      <c r="A265" s="10" t="str">
        <f aca="false">IF(D265="","","EW-"&amp;IFERROR(VLOOKUP(D265,Lists!$P$4:$Q$22,2,0),"??")&amp;"-D"&amp;TEXT(F265*1000,"0000")&amp;"-"&amp;IFERROR(VLOOKUP(G265,Lists!$S$4:$T$21,2,0),"??")&amp;"-"&amp;IFERROR(VLOOKUP(H265,Lists!$Y$4:$Z$21,2,0),"??")&amp;"-"&amp;IFERROR(VLOOKUP(E265,Lists!$V$4:$W$16,2,0),"??")&amp;"-"&amp;AM265)</f>
        <v/>
      </c>
      <c r="B265" s="10" t="str">
        <f aca="false">IF(D265="","",E265&amp;" "&amp;D265&amp;", excavation "&amp;TEXT(F265,"0.0")&amp;" m, "&amp;G265&amp;", "&amp;H265&amp;", "&amp;K265)</f>
        <v/>
      </c>
      <c r="C265" s="9"/>
      <c r="D265" s="9"/>
      <c r="E265" s="9"/>
      <c r="F265" s="42"/>
      <c r="G265" s="9"/>
      <c r="H265" s="9"/>
      <c r="I265" s="42"/>
      <c r="J265" s="38"/>
      <c r="K265" s="9"/>
      <c r="L265" s="9"/>
      <c r="M265" s="9"/>
      <c r="N265" s="42"/>
      <c r="O265" s="42"/>
      <c r="P265" s="9"/>
      <c r="Q265" s="9"/>
      <c r="R265" s="9"/>
      <c r="S265" s="9"/>
      <c r="T265" s="38"/>
      <c r="U265" s="38"/>
      <c r="V265" s="38"/>
      <c r="W265" s="38"/>
      <c r="X265" s="38"/>
      <c r="Y265" s="9"/>
      <c r="Z265" s="39"/>
      <c r="AA265" s="9"/>
      <c r="AB265" s="9"/>
      <c r="AC265" s="9"/>
      <c r="AD265" s="9"/>
      <c r="AE265" s="9"/>
      <c r="AF265" s="9"/>
      <c r="AG265" s="9"/>
      <c r="AH265" s="38"/>
      <c r="AI265" s="9"/>
      <c r="AJ265" s="39"/>
      <c r="AK265" s="9"/>
      <c r="AL265" s="9"/>
      <c r="AM265" s="9"/>
      <c r="AN265" s="9"/>
      <c r="AO265" s="9"/>
      <c r="AP265" s="9"/>
      <c r="AQ265" s="9"/>
      <c r="AR265" s="10" t="str">
        <f aca="false">IF(A265="","",SG_Criteria!$B$6&amp;SG_Criteria!$B$9&amp;"\"&amp;A265&amp;"\")</f>
        <v/>
      </c>
      <c r="AS265" s="10" t="str">
        <f aca="false">IF(A265="","",A265&amp;"_CAD.dwg")</f>
        <v/>
      </c>
      <c r="AT265" s="10" t="str">
        <f aca="false">IF(A265="","",A265&amp;"_DWG.pdf")</f>
        <v/>
      </c>
      <c r="AU265" s="10" t="str">
        <f aca="false">IF(A265="","",IF(AQ265="Y",A265&amp;"_STAAD.std","n/a"))</f>
        <v/>
      </c>
      <c r="AV265" s="10" t="str">
        <f aca="false">IF(A265="","",A265&amp;"_CALC.xlsx")</f>
        <v/>
      </c>
      <c r="AW265" s="10" t="str">
        <f aca="false">IF(A265="","",A265&amp;"_CALC.pdf")</f>
        <v/>
      </c>
      <c r="AX265" s="9"/>
      <c r="AY265" s="9"/>
      <c r="AZ265" s="39"/>
      <c r="BA265" s="39"/>
      <c r="BB265" s="39"/>
      <c r="BC265" s="39"/>
      <c r="BD265" s="39"/>
      <c r="BE265" s="12" t="str">
        <f aca="false">IF(A265="","",IF(COUNTIF(Rebar_Schedule!$A$5:$A$2004,A265)=0,"",ROUND(SUMIF(Rebar_Schedule!$A$5:$A$2004,A265,Rebar_Schedule!$K$5:$K$2004),1)))</f>
        <v/>
      </c>
      <c r="BF265" s="33" t="str">
        <f aca="false">IF(A265="","",IF(BE265="","No rebar schedule yet",IF(ABS(BE265-N(BA265))/MAX(N(BA265),1)&gt;SG_Criteria!$B$55,"NOTE: register rebar differs from schedule by "&amp;TEXT(ABS(BE265-N(BA265))/MAX(N(BA265),1),"0%"),"OK")))</f>
        <v/>
      </c>
      <c r="BG265" s="33" t="str">
        <f aca="false">IF(OR(D265="",F265=""),"",IF(F265&lt;=IF(D265="Soldier Pile &amp; Timber Lagging",SG_Criteria!$B$34,SG_Criteria!$B$33),"No ERSS submission",IF(F265&lt;=SG_Criteria!$B$35,"QP(ST)",IF(F265&lt;=SG_Criteria!$B$36,"QP(ST) + AC","Geotechnical building works: QP(Geo) + AC"))))</f>
        <v/>
      </c>
      <c r="BH265" s="33" t="str">
        <f aca="false">IF(D265="","",IF(LEN(IF(AND(AC265&lt;&gt;"",IFERROR(VALUE(MID(AC265,2,2)),0)&lt;SG_Criteria!$B$19),"FAIL: grade below C"&amp;SG_Criteria!$B$19&amp;". ","")&amp;IF(AND(LEFT(D265,3)="Con",N(I265)&lt;F265,H265="Kallang Formation (marine clay)"),"NOTE: CBP is not watertight below GWT in marine clay; consider secant / grouting. ","")&amp;IF(AND(D265="Steel Sheet Pile",E265="Permanent"),"NOTE: permanent sheet pile needs corrosion allowance. ","")&amp;IF(AND(G265="Cantilever (no support)",F265&gt;6),"NOTE: cantilever embedded wall &gt; 6 m, check deflection. ","")&amp;IF(AND(T265&lt;&gt;"",U265&lt;&gt;"",T265&gt;U265),"FAIL: deflection exceeds allowable. ",""))=0,"OK",IF(AND(AC265&lt;&gt;"",IFERROR(VALUE(MID(AC265,2,2)),0)&lt;SG_Criteria!$B$19),"FAIL: grade below C"&amp;SG_Criteria!$B$19&amp;". ","")&amp;IF(AND(LEFT(D265,3)="Con",N(I265)&lt;F265,H265="Kallang Formation (marine clay)"),"NOTE: CBP is not watertight below GWT in marine clay; consider secant / grouting. ","")&amp;IF(AND(D265="Steel Sheet Pile",E265="Permanent"),"NOTE: permanent sheet pile needs corrosion allowance. ","")&amp;IF(AND(G265="Cantilever (no support)",F265&gt;6),"NOTE: cantilever embedded wall &gt; 6 m, check deflection. ","")&amp;IF(AND(T265&lt;&gt;"",U265&lt;&gt;"",T265&gt;U265),"FAIL: deflection exceeds allowable. ","")))</f>
        <v/>
      </c>
      <c r="BI265" s="9"/>
      <c r="BJ265" s="9"/>
      <c r="BK265" s="9"/>
      <c r="BL265" s="10" t="str">
        <f aca="false">IF(BK265="","",IFERROR(VLOOKUP(BK265,Projects!$A$5:$D$504,2,0),"Ref not in Projects"))</f>
        <v/>
      </c>
      <c r="BM265" s="10" t="str">
        <f aca="false">IF(BK265="","",IFERROR(VLOOKUP(BK265,Projects!$A$5:$D$504,4,0),"Ref not in Projects"))</f>
        <v/>
      </c>
      <c r="BN265" s="9"/>
      <c r="BO265" s="9"/>
      <c r="BP265" s="9"/>
      <c r="BQ265" s="40"/>
      <c r="BR265" s="9"/>
      <c r="BS265" s="40"/>
      <c r="BT265" s="9"/>
      <c r="BU265" s="40"/>
      <c r="BV265" s="9"/>
      <c r="BW265" s="9"/>
      <c r="BX265" s="9"/>
      <c r="BY265" s="40"/>
      <c r="BZ265" s="40"/>
      <c r="CA265" s="36" t="str">
        <f aca="false">IF(BZ265="","",EDATE(BZ265,SG_Criteria!$B$54*12))</f>
        <v/>
      </c>
      <c r="CB265" s="33" t="str">
        <f aca="true">IF(A265="","",IF(BZ265="","NOTE: not reviewed yet",IF(TODAY()&gt;CA265,"NOTE: review overdue","OK")))</f>
        <v/>
      </c>
      <c r="CC265" s="37" t="str">
        <f aca="false">IF(A265="","",ROUND((IF(LEN(D265)&gt;0,1,0)+IF(LEN(E265)&gt;0,1,0)+IF(LEN(F265)&gt;0,1,0)+IF(LEN(G265)&gt;0,1,0)+IF(LEN(H265)&gt;0,1,0)+IF(LEN(I265)&gt;0,1,0)+IF(LEN(K265)&gt;0,1,0)+IF(LEN(N265)&gt;0,1,0)+IF(LEN(O265)&gt;0,1,0)+IF(LEN(T265)&gt;0,1,0)+IF(LEN(U265)&gt;0,1,0)+IF(LEN(V265)&gt;0,1,0)+IF(LEN(AK265)&gt;0,1,0)+IF(LEN(AM265)&gt;0,1,0)+IF(LEN(AN265)&gt;0,1,0)+IF(LEN(AO265)&gt;0,1,0)+IF(LEN(AP265)&gt;0,1,0)+IF(LEN(AY265)&gt;0,1,0)+IF(LEN(BK265)&gt;0,1,0)+IF(LEN(BX265)&gt;0,1,0))/20,2))</f>
        <v/>
      </c>
      <c r="CD265" s="10" t="str">
        <f aca="false">IF(D265="","",IF(AND(AN265="Approved",ISERROR(SEARCH("FAIL",BH265))),"Y","N"))</f>
        <v/>
      </c>
      <c r="CE265" s="10" t="str">
        <f aca="false">IF(D265="","",D265&amp;"|"&amp;F265&amp;"|"&amp;G265&amp;"|"&amp;H265&amp;"|"&amp;E265&amp;"|"&amp;CD265)</f>
        <v/>
      </c>
    </row>
    <row r="266" customFormat="false" ht="15" hidden="false" customHeight="false" outlineLevel="0" collapsed="false">
      <c r="A266" s="10" t="str">
        <f aca="false">IF(D266="","","EW-"&amp;IFERROR(VLOOKUP(D266,Lists!$P$4:$Q$22,2,0),"??")&amp;"-D"&amp;TEXT(F266*1000,"0000")&amp;"-"&amp;IFERROR(VLOOKUP(G266,Lists!$S$4:$T$21,2,0),"??")&amp;"-"&amp;IFERROR(VLOOKUP(H266,Lists!$Y$4:$Z$21,2,0),"??")&amp;"-"&amp;IFERROR(VLOOKUP(E266,Lists!$V$4:$W$16,2,0),"??")&amp;"-"&amp;AM266)</f>
        <v/>
      </c>
      <c r="B266" s="10" t="str">
        <f aca="false">IF(D266="","",E266&amp;" "&amp;D266&amp;", excavation "&amp;TEXT(F266,"0.0")&amp;" m, "&amp;G266&amp;", "&amp;H266&amp;", "&amp;K266)</f>
        <v/>
      </c>
      <c r="C266" s="9"/>
      <c r="D266" s="9"/>
      <c r="E266" s="9"/>
      <c r="F266" s="42"/>
      <c r="G266" s="9"/>
      <c r="H266" s="9"/>
      <c r="I266" s="42"/>
      <c r="J266" s="38"/>
      <c r="K266" s="9"/>
      <c r="L266" s="9"/>
      <c r="M266" s="9"/>
      <c r="N266" s="42"/>
      <c r="O266" s="42"/>
      <c r="P266" s="9"/>
      <c r="Q266" s="9"/>
      <c r="R266" s="9"/>
      <c r="S266" s="9"/>
      <c r="T266" s="38"/>
      <c r="U266" s="38"/>
      <c r="V266" s="38"/>
      <c r="W266" s="38"/>
      <c r="X266" s="38"/>
      <c r="Y266" s="9"/>
      <c r="Z266" s="39"/>
      <c r="AA266" s="9"/>
      <c r="AB266" s="9"/>
      <c r="AC266" s="9"/>
      <c r="AD266" s="9"/>
      <c r="AE266" s="9"/>
      <c r="AF266" s="9"/>
      <c r="AG266" s="9"/>
      <c r="AH266" s="38"/>
      <c r="AI266" s="9"/>
      <c r="AJ266" s="39"/>
      <c r="AK266" s="9"/>
      <c r="AL266" s="9"/>
      <c r="AM266" s="9"/>
      <c r="AN266" s="9"/>
      <c r="AO266" s="9"/>
      <c r="AP266" s="9"/>
      <c r="AQ266" s="9"/>
      <c r="AR266" s="10" t="str">
        <f aca="false">IF(A266="","",SG_Criteria!$B$6&amp;SG_Criteria!$B$9&amp;"\"&amp;A266&amp;"\")</f>
        <v/>
      </c>
      <c r="AS266" s="10" t="str">
        <f aca="false">IF(A266="","",A266&amp;"_CAD.dwg")</f>
        <v/>
      </c>
      <c r="AT266" s="10" t="str">
        <f aca="false">IF(A266="","",A266&amp;"_DWG.pdf")</f>
        <v/>
      </c>
      <c r="AU266" s="10" t="str">
        <f aca="false">IF(A266="","",IF(AQ266="Y",A266&amp;"_STAAD.std","n/a"))</f>
        <v/>
      </c>
      <c r="AV266" s="10" t="str">
        <f aca="false">IF(A266="","",A266&amp;"_CALC.xlsx")</f>
        <v/>
      </c>
      <c r="AW266" s="10" t="str">
        <f aca="false">IF(A266="","",A266&amp;"_CALC.pdf")</f>
        <v/>
      </c>
      <c r="AX266" s="9"/>
      <c r="AY266" s="9"/>
      <c r="AZ266" s="39"/>
      <c r="BA266" s="39"/>
      <c r="BB266" s="39"/>
      <c r="BC266" s="39"/>
      <c r="BD266" s="39"/>
      <c r="BE266" s="12" t="str">
        <f aca="false">IF(A266="","",IF(COUNTIF(Rebar_Schedule!$A$5:$A$2004,A266)=0,"",ROUND(SUMIF(Rebar_Schedule!$A$5:$A$2004,A266,Rebar_Schedule!$K$5:$K$2004),1)))</f>
        <v/>
      </c>
      <c r="BF266" s="33" t="str">
        <f aca="false">IF(A266="","",IF(BE266="","No rebar schedule yet",IF(ABS(BE266-N(BA266))/MAX(N(BA266),1)&gt;SG_Criteria!$B$55,"NOTE: register rebar differs from schedule by "&amp;TEXT(ABS(BE266-N(BA266))/MAX(N(BA266),1),"0%"),"OK")))</f>
        <v/>
      </c>
      <c r="BG266" s="33" t="str">
        <f aca="false">IF(OR(D266="",F266=""),"",IF(F266&lt;=IF(D266="Soldier Pile &amp; Timber Lagging",SG_Criteria!$B$34,SG_Criteria!$B$33),"No ERSS submission",IF(F266&lt;=SG_Criteria!$B$35,"QP(ST)",IF(F266&lt;=SG_Criteria!$B$36,"QP(ST) + AC","Geotechnical building works: QP(Geo) + AC"))))</f>
        <v/>
      </c>
      <c r="BH266" s="33" t="str">
        <f aca="false">IF(D266="","",IF(LEN(IF(AND(AC266&lt;&gt;"",IFERROR(VALUE(MID(AC266,2,2)),0)&lt;SG_Criteria!$B$19),"FAIL: grade below C"&amp;SG_Criteria!$B$19&amp;". ","")&amp;IF(AND(LEFT(D266,3)="Con",N(I266)&lt;F266,H266="Kallang Formation (marine clay)"),"NOTE: CBP is not watertight below GWT in marine clay; consider secant / grouting. ","")&amp;IF(AND(D266="Steel Sheet Pile",E266="Permanent"),"NOTE: permanent sheet pile needs corrosion allowance. ","")&amp;IF(AND(G266="Cantilever (no support)",F266&gt;6),"NOTE: cantilever embedded wall &gt; 6 m, check deflection. ","")&amp;IF(AND(T266&lt;&gt;"",U266&lt;&gt;"",T266&gt;U266),"FAIL: deflection exceeds allowable. ",""))=0,"OK",IF(AND(AC266&lt;&gt;"",IFERROR(VALUE(MID(AC266,2,2)),0)&lt;SG_Criteria!$B$19),"FAIL: grade below C"&amp;SG_Criteria!$B$19&amp;". ","")&amp;IF(AND(LEFT(D266,3)="Con",N(I266)&lt;F266,H266="Kallang Formation (marine clay)"),"NOTE: CBP is not watertight below GWT in marine clay; consider secant / grouting. ","")&amp;IF(AND(D266="Steel Sheet Pile",E266="Permanent"),"NOTE: permanent sheet pile needs corrosion allowance. ","")&amp;IF(AND(G266="Cantilever (no support)",F266&gt;6),"NOTE: cantilever embedded wall &gt; 6 m, check deflection. ","")&amp;IF(AND(T266&lt;&gt;"",U266&lt;&gt;"",T266&gt;U266),"FAIL: deflection exceeds allowable. ","")))</f>
        <v/>
      </c>
      <c r="BI266" s="9"/>
      <c r="BJ266" s="9"/>
      <c r="BK266" s="9"/>
      <c r="BL266" s="10" t="str">
        <f aca="false">IF(BK266="","",IFERROR(VLOOKUP(BK266,Projects!$A$5:$D$504,2,0),"Ref not in Projects"))</f>
        <v/>
      </c>
      <c r="BM266" s="10" t="str">
        <f aca="false">IF(BK266="","",IFERROR(VLOOKUP(BK266,Projects!$A$5:$D$504,4,0),"Ref not in Projects"))</f>
        <v/>
      </c>
      <c r="BN266" s="9"/>
      <c r="BO266" s="9"/>
      <c r="BP266" s="9"/>
      <c r="BQ266" s="40"/>
      <c r="BR266" s="9"/>
      <c r="BS266" s="40"/>
      <c r="BT266" s="9"/>
      <c r="BU266" s="40"/>
      <c r="BV266" s="9"/>
      <c r="BW266" s="9"/>
      <c r="BX266" s="9"/>
      <c r="BY266" s="40"/>
      <c r="BZ266" s="40"/>
      <c r="CA266" s="36" t="str">
        <f aca="false">IF(BZ266="","",EDATE(BZ266,SG_Criteria!$B$54*12))</f>
        <v/>
      </c>
      <c r="CB266" s="33" t="str">
        <f aca="true">IF(A266="","",IF(BZ266="","NOTE: not reviewed yet",IF(TODAY()&gt;CA266,"NOTE: review overdue","OK")))</f>
        <v/>
      </c>
      <c r="CC266" s="37" t="str">
        <f aca="false">IF(A266="","",ROUND((IF(LEN(D266)&gt;0,1,0)+IF(LEN(E266)&gt;0,1,0)+IF(LEN(F266)&gt;0,1,0)+IF(LEN(G266)&gt;0,1,0)+IF(LEN(H266)&gt;0,1,0)+IF(LEN(I266)&gt;0,1,0)+IF(LEN(K266)&gt;0,1,0)+IF(LEN(N266)&gt;0,1,0)+IF(LEN(O266)&gt;0,1,0)+IF(LEN(T266)&gt;0,1,0)+IF(LEN(U266)&gt;0,1,0)+IF(LEN(V266)&gt;0,1,0)+IF(LEN(AK266)&gt;0,1,0)+IF(LEN(AM266)&gt;0,1,0)+IF(LEN(AN266)&gt;0,1,0)+IF(LEN(AO266)&gt;0,1,0)+IF(LEN(AP266)&gt;0,1,0)+IF(LEN(AY266)&gt;0,1,0)+IF(LEN(BK266)&gt;0,1,0)+IF(LEN(BX266)&gt;0,1,0))/20,2))</f>
        <v/>
      </c>
      <c r="CD266" s="10" t="str">
        <f aca="false">IF(D266="","",IF(AND(AN266="Approved",ISERROR(SEARCH("FAIL",BH266))),"Y","N"))</f>
        <v/>
      </c>
      <c r="CE266" s="10" t="str">
        <f aca="false">IF(D266="","",D266&amp;"|"&amp;F266&amp;"|"&amp;G266&amp;"|"&amp;H266&amp;"|"&amp;E266&amp;"|"&amp;CD266)</f>
        <v/>
      </c>
    </row>
    <row r="267" customFormat="false" ht="15" hidden="false" customHeight="false" outlineLevel="0" collapsed="false">
      <c r="A267" s="10" t="str">
        <f aca="false">IF(D267="","","EW-"&amp;IFERROR(VLOOKUP(D267,Lists!$P$4:$Q$22,2,0),"??")&amp;"-D"&amp;TEXT(F267*1000,"0000")&amp;"-"&amp;IFERROR(VLOOKUP(G267,Lists!$S$4:$T$21,2,0),"??")&amp;"-"&amp;IFERROR(VLOOKUP(H267,Lists!$Y$4:$Z$21,2,0),"??")&amp;"-"&amp;IFERROR(VLOOKUP(E267,Lists!$V$4:$W$16,2,0),"??")&amp;"-"&amp;AM267)</f>
        <v/>
      </c>
      <c r="B267" s="10" t="str">
        <f aca="false">IF(D267="","",E267&amp;" "&amp;D267&amp;", excavation "&amp;TEXT(F267,"0.0")&amp;" m, "&amp;G267&amp;", "&amp;H267&amp;", "&amp;K267)</f>
        <v/>
      </c>
      <c r="C267" s="9"/>
      <c r="D267" s="9"/>
      <c r="E267" s="9"/>
      <c r="F267" s="42"/>
      <c r="G267" s="9"/>
      <c r="H267" s="9"/>
      <c r="I267" s="42"/>
      <c r="J267" s="38"/>
      <c r="K267" s="9"/>
      <c r="L267" s="9"/>
      <c r="M267" s="9"/>
      <c r="N267" s="42"/>
      <c r="O267" s="42"/>
      <c r="P267" s="9"/>
      <c r="Q267" s="9"/>
      <c r="R267" s="9"/>
      <c r="S267" s="9"/>
      <c r="T267" s="38"/>
      <c r="U267" s="38"/>
      <c r="V267" s="38"/>
      <c r="W267" s="38"/>
      <c r="X267" s="38"/>
      <c r="Y267" s="9"/>
      <c r="Z267" s="39"/>
      <c r="AA267" s="9"/>
      <c r="AB267" s="9"/>
      <c r="AC267" s="9"/>
      <c r="AD267" s="9"/>
      <c r="AE267" s="9"/>
      <c r="AF267" s="9"/>
      <c r="AG267" s="9"/>
      <c r="AH267" s="38"/>
      <c r="AI267" s="9"/>
      <c r="AJ267" s="39"/>
      <c r="AK267" s="9"/>
      <c r="AL267" s="9"/>
      <c r="AM267" s="9"/>
      <c r="AN267" s="9"/>
      <c r="AO267" s="9"/>
      <c r="AP267" s="9"/>
      <c r="AQ267" s="9"/>
      <c r="AR267" s="10" t="str">
        <f aca="false">IF(A267="","",SG_Criteria!$B$6&amp;SG_Criteria!$B$9&amp;"\"&amp;A267&amp;"\")</f>
        <v/>
      </c>
      <c r="AS267" s="10" t="str">
        <f aca="false">IF(A267="","",A267&amp;"_CAD.dwg")</f>
        <v/>
      </c>
      <c r="AT267" s="10" t="str">
        <f aca="false">IF(A267="","",A267&amp;"_DWG.pdf")</f>
        <v/>
      </c>
      <c r="AU267" s="10" t="str">
        <f aca="false">IF(A267="","",IF(AQ267="Y",A267&amp;"_STAAD.std","n/a"))</f>
        <v/>
      </c>
      <c r="AV267" s="10" t="str">
        <f aca="false">IF(A267="","",A267&amp;"_CALC.xlsx")</f>
        <v/>
      </c>
      <c r="AW267" s="10" t="str">
        <f aca="false">IF(A267="","",A267&amp;"_CALC.pdf")</f>
        <v/>
      </c>
      <c r="AX267" s="9"/>
      <c r="AY267" s="9"/>
      <c r="AZ267" s="39"/>
      <c r="BA267" s="39"/>
      <c r="BB267" s="39"/>
      <c r="BC267" s="39"/>
      <c r="BD267" s="39"/>
      <c r="BE267" s="12" t="str">
        <f aca="false">IF(A267="","",IF(COUNTIF(Rebar_Schedule!$A$5:$A$2004,A267)=0,"",ROUND(SUMIF(Rebar_Schedule!$A$5:$A$2004,A267,Rebar_Schedule!$K$5:$K$2004),1)))</f>
        <v/>
      </c>
      <c r="BF267" s="33" t="str">
        <f aca="false">IF(A267="","",IF(BE267="","No rebar schedule yet",IF(ABS(BE267-N(BA267))/MAX(N(BA267),1)&gt;SG_Criteria!$B$55,"NOTE: register rebar differs from schedule by "&amp;TEXT(ABS(BE267-N(BA267))/MAX(N(BA267),1),"0%"),"OK")))</f>
        <v/>
      </c>
      <c r="BG267" s="33" t="str">
        <f aca="false">IF(OR(D267="",F267=""),"",IF(F267&lt;=IF(D267="Soldier Pile &amp; Timber Lagging",SG_Criteria!$B$34,SG_Criteria!$B$33),"No ERSS submission",IF(F267&lt;=SG_Criteria!$B$35,"QP(ST)",IF(F267&lt;=SG_Criteria!$B$36,"QP(ST) + AC","Geotechnical building works: QP(Geo) + AC"))))</f>
        <v/>
      </c>
      <c r="BH267" s="33" t="str">
        <f aca="false">IF(D267="","",IF(LEN(IF(AND(AC267&lt;&gt;"",IFERROR(VALUE(MID(AC267,2,2)),0)&lt;SG_Criteria!$B$19),"FAIL: grade below C"&amp;SG_Criteria!$B$19&amp;". ","")&amp;IF(AND(LEFT(D267,3)="Con",N(I267)&lt;F267,H267="Kallang Formation (marine clay)"),"NOTE: CBP is not watertight below GWT in marine clay; consider secant / grouting. ","")&amp;IF(AND(D267="Steel Sheet Pile",E267="Permanent"),"NOTE: permanent sheet pile needs corrosion allowance. ","")&amp;IF(AND(G267="Cantilever (no support)",F267&gt;6),"NOTE: cantilever embedded wall &gt; 6 m, check deflection. ","")&amp;IF(AND(T267&lt;&gt;"",U267&lt;&gt;"",T267&gt;U267),"FAIL: deflection exceeds allowable. ",""))=0,"OK",IF(AND(AC267&lt;&gt;"",IFERROR(VALUE(MID(AC267,2,2)),0)&lt;SG_Criteria!$B$19),"FAIL: grade below C"&amp;SG_Criteria!$B$19&amp;". ","")&amp;IF(AND(LEFT(D267,3)="Con",N(I267)&lt;F267,H267="Kallang Formation (marine clay)"),"NOTE: CBP is not watertight below GWT in marine clay; consider secant / grouting. ","")&amp;IF(AND(D267="Steel Sheet Pile",E267="Permanent"),"NOTE: permanent sheet pile needs corrosion allowance. ","")&amp;IF(AND(G267="Cantilever (no support)",F267&gt;6),"NOTE: cantilever embedded wall &gt; 6 m, check deflection. ","")&amp;IF(AND(T267&lt;&gt;"",U267&lt;&gt;"",T267&gt;U267),"FAIL: deflection exceeds allowable. ","")))</f>
        <v/>
      </c>
      <c r="BI267" s="9"/>
      <c r="BJ267" s="9"/>
      <c r="BK267" s="9"/>
      <c r="BL267" s="10" t="str">
        <f aca="false">IF(BK267="","",IFERROR(VLOOKUP(BK267,Projects!$A$5:$D$504,2,0),"Ref not in Projects"))</f>
        <v/>
      </c>
      <c r="BM267" s="10" t="str">
        <f aca="false">IF(BK267="","",IFERROR(VLOOKUP(BK267,Projects!$A$5:$D$504,4,0),"Ref not in Projects"))</f>
        <v/>
      </c>
      <c r="BN267" s="9"/>
      <c r="BO267" s="9"/>
      <c r="BP267" s="9"/>
      <c r="BQ267" s="40"/>
      <c r="BR267" s="9"/>
      <c r="BS267" s="40"/>
      <c r="BT267" s="9"/>
      <c r="BU267" s="40"/>
      <c r="BV267" s="9"/>
      <c r="BW267" s="9"/>
      <c r="BX267" s="9"/>
      <c r="BY267" s="40"/>
      <c r="BZ267" s="40"/>
      <c r="CA267" s="36" t="str">
        <f aca="false">IF(BZ267="","",EDATE(BZ267,SG_Criteria!$B$54*12))</f>
        <v/>
      </c>
      <c r="CB267" s="33" t="str">
        <f aca="true">IF(A267="","",IF(BZ267="","NOTE: not reviewed yet",IF(TODAY()&gt;CA267,"NOTE: review overdue","OK")))</f>
        <v/>
      </c>
      <c r="CC267" s="37" t="str">
        <f aca="false">IF(A267="","",ROUND((IF(LEN(D267)&gt;0,1,0)+IF(LEN(E267)&gt;0,1,0)+IF(LEN(F267)&gt;0,1,0)+IF(LEN(G267)&gt;0,1,0)+IF(LEN(H267)&gt;0,1,0)+IF(LEN(I267)&gt;0,1,0)+IF(LEN(K267)&gt;0,1,0)+IF(LEN(N267)&gt;0,1,0)+IF(LEN(O267)&gt;0,1,0)+IF(LEN(T267)&gt;0,1,0)+IF(LEN(U267)&gt;0,1,0)+IF(LEN(V267)&gt;0,1,0)+IF(LEN(AK267)&gt;0,1,0)+IF(LEN(AM267)&gt;0,1,0)+IF(LEN(AN267)&gt;0,1,0)+IF(LEN(AO267)&gt;0,1,0)+IF(LEN(AP267)&gt;0,1,0)+IF(LEN(AY267)&gt;0,1,0)+IF(LEN(BK267)&gt;0,1,0)+IF(LEN(BX267)&gt;0,1,0))/20,2))</f>
        <v/>
      </c>
      <c r="CD267" s="10" t="str">
        <f aca="false">IF(D267="","",IF(AND(AN267="Approved",ISERROR(SEARCH("FAIL",BH267))),"Y","N"))</f>
        <v/>
      </c>
      <c r="CE267" s="10" t="str">
        <f aca="false">IF(D267="","",D267&amp;"|"&amp;F267&amp;"|"&amp;G267&amp;"|"&amp;H267&amp;"|"&amp;E267&amp;"|"&amp;CD267)</f>
        <v/>
      </c>
    </row>
    <row r="268" customFormat="false" ht="15" hidden="false" customHeight="false" outlineLevel="0" collapsed="false">
      <c r="A268" s="10" t="str">
        <f aca="false">IF(D268="","","EW-"&amp;IFERROR(VLOOKUP(D268,Lists!$P$4:$Q$22,2,0),"??")&amp;"-D"&amp;TEXT(F268*1000,"0000")&amp;"-"&amp;IFERROR(VLOOKUP(G268,Lists!$S$4:$T$21,2,0),"??")&amp;"-"&amp;IFERROR(VLOOKUP(H268,Lists!$Y$4:$Z$21,2,0),"??")&amp;"-"&amp;IFERROR(VLOOKUP(E268,Lists!$V$4:$W$16,2,0),"??")&amp;"-"&amp;AM268)</f>
        <v/>
      </c>
      <c r="B268" s="10" t="str">
        <f aca="false">IF(D268="","",E268&amp;" "&amp;D268&amp;", excavation "&amp;TEXT(F268,"0.0")&amp;" m, "&amp;G268&amp;", "&amp;H268&amp;", "&amp;K268)</f>
        <v/>
      </c>
      <c r="C268" s="9"/>
      <c r="D268" s="9"/>
      <c r="E268" s="9"/>
      <c r="F268" s="42"/>
      <c r="G268" s="9"/>
      <c r="H268" s="9"/>
      <c r="I268" s="42"/>
      <c r="J268" s="38"/>
      <c r="K268" s="9"/>
      <c r="L268" s="9"/>
      <c r="M268" s="9"/>
      <c r="N268" s="42"/>
      <c r="O268" s="42"/>
      <c r="P268" s="9"/>
      <c r="Q268" s="9"/>
      <c r="R268" s="9"/>
      <c r="S268" s="9"/>
      <c r="T268" s="38"/>
      <c r="U268" s="38"/>
      <c r="V268" s="38"/>
      <c r="W268" s="38"/>
      <c r="X268" s="38"/>
      <c r="Y268" s="9"/>
      <c r="Z268" s="39"/>
      <c r="AA268" s="9"/>
      <c r="AB268" s="9"/>
      <c r="AC268" s="9"/>
      <c r="AD268" s="9"/>
      <c r="AE268" s="9"/>
      <c r="AF268" s="9"/>
      <c r="AG268" s="9"/>
      <c r="AH268" s="38"/>
      <c r="AI268" s="9"/>
      <c r="AJ268" s="39"/>
      <c r="AK268" s="9"/>
      <c r="AL268" s="9"/>
      <c r="AM268" s="9"/>
      <c r="AN268" s="9"/>
      <c r="AO268" s="9"/>
      <c r="AP268" s="9"/>
      <c r="AQ268" s="9"/>
      <c r="AR268" s="10" t="str">
        <f aca="false">IF(A268="","",SG_Criteria!$B$6&amp;SG_Criteria!$B$9&amp;"\"&amp;A268&amp;"\")</f>
        <v/>
      </c>
      <c r="AS268" s="10" t="str">
        <f aca="false">IF(A268="","",A268&amp;"_CAD.dwg")</f>
        <v/>
      </c>
      <c r="AT268" s="10" t="str">
        <f aca="false">IF(A268="","",A268&amp;"_DWG.pdf")</f>
        <v/>
      </c>
      <c r="AU268" s="10" t="str">
        <f aca="false">IF(A268="","",IF(AQ268="Y",A268&amp;"_STAAD.std","n/a"))</f>
        <v/>
      </c>
      <c r="AV268" s="10" t="str">
        <f aca="false">IF(A268="","",A268&amp;"_CALC.xlsx")</f>
        <v/>
      </c>
      <c r="AW268" s="10" t="str">
        <f aca="false">IF(A268="","",A268&amp;"_CALC.pdf")</f>
        <v/>
      </c>
      <c r="AX268" s="9"/>
      <c r="AY268" s="9"/>
      <c r="AZ268" s="39"/>
      <c r="BA268" s="39"/>
      <c r="BB268" s="39"/>
      <c r="BC268" s="39"/>
      <c r="BD268" s="39"/>
      <c r="BE268" s="12" t="str">
        <f aca="false">IF(A268="","",IF(COUNTIF(Rebar_Schedule!$A$5:$A$2004,A268)=0,"",ROUND(SUMIF(Rebar_Schedule!$A$5:$A$2004,A268,Rebar_Schedule!$K$5:$K$2004),1)))</f>
        <v/>
      </c>
      <c r="BF268" s="33" t="str">
        <f aca="false">IF(A268="","",IF(BE268="","No rebar schedule yet",IF(ABS(BE268-N(BA268))/MAX(N(BA268),1)&gt;SG_Criteria!$B$55,"NOTE: register rebar differs from schedule by "&amp;TEXT(ABS(BE268-N(BA268))/MAX(N(BA268),1),"0%"),"OK")))</f>
        <v/>
      </c>
      <c r="BG268" s="33" t="str">
        <f aca="false">IF(OR(D268="",F268=""),"",IF(F268&lt;=IF(D268="Soldier Pile &amp; Timber Lagging",SG_Criteria!$B$34,SG_Criteria!$B$33),"No ERSS submission",IF(F268&lt;=SG_Criteria!$B$35,"QP(ST)",IF(F268&lt;=SG_Criteria!$B$36,"QP(ST) + AC","Geotechnical building works: QP(Geo) + AC"))))</f>
        <v/>
      </c>
      <c r="BH268" s="33" t="str">
        <f aca="false">IF(D268="","",IF(LEN(IF(AND(AC268&lt;&gt;"",IFERROR(VALUE(MID(AC268,2,2)),0)&lt;SG_Criteria!$B$19),"FAIL: grade below C"&amp;SG_Criteria!$B$19&amp;". ","")&amp;IF(AND(LEFT(D268,3)="Con",N(I268)&lt;F268,H268="Kallang Formation (marine clay)"),"NOTE: CBP is not watertight below GWT in marine clay; consider secant / grouting. ","")&amp;IF(AND(D268="Steel Sheet Pile",E268="Permanent"),"NOTE: permanent sheet pile needs corrosion allowance. ","")&amp;IF(AND(G268="Cantilever (no support)",F268&gt;6),"NOTE: cantilever embedded wall &gt; 6 m, check deflection. ","")&amp;IF(AND(T268&lt;&gt;"",U268&lt;&gt;"",T268&gt;U268),"FAIL: deflection exceeds allowable. ",""))=0,"OK",IF(AND(AC268&lt;&gt;"",IFERROR(VALUE(MID(AC268,2,2)),0)&lt;SG_Criteria!$B$19),"FAIL: grade below C"&amp;SG_Criteria!$B$19&amp;". ","")&amp;IF(AND(LEFT(D268,3)="Con",N(I268)&lt;F268,H268="Kallang Formation (marine clay)"),"NOTE: CBP is not watertight below GWT in marine clay; consider secant / grouting. ","")&amp;IF(AND(D268="Steel Sheet Pile",E268="Permanent"),"NOTE: permanent sheet pile needs corrosion allowance. ","")&amp;IF(AND(G268="Cantilever (no support)",F268&gt;6),"NOTE: cantilever embedded wall &gt; 6 m, check deflection. ","")&amp;IF(AND(T268&lt;&gt;"",U268&lt;&gt;"",T268&gt;U268),"FAIL: deflection exceeds allowable. ","")))</f>
        <v/>
      </c>
      <c r="BI268" s="9"/>
      <c r="BJ268" s="9"/>
      <c r="BK268" s="9"/>
      <c r="BL268" s="10" t="str">
        <f aca="false">IF(BK268="","",IFERROR(VLOOKUP(BK268,Projects!$A$5:$D$504,2,0),"Ref not in Projects"))</f>
        <v/>
      </c>
      <c r="BM268" s="10" t="str">
        <f aca="false">IF(BK268="","",IFERROR(VLOOKUP(BK268,Projects!$A$5:$D$504,4,0),"Ref not in Projects"))</f>
        <v/>
      </c>
      <c r="BN268" s="9"/>
      <c r="BO268" s="9"/>
      <c r="BP268" s="9"/>
      <c r="BQ268" s="40"/>
      <c r="BR268" s="9"/>
      <c r="BS268" s="40"/>
      <c r="BT268" s="9"/>
      <c r="BU268" s="40"/>
      <c r="BV268" s="9"/>
      <c r="BW268" s="9"/>
      <c r="BX268" s="9"/>
      <c r="BY268" s="40"/>
      <c r="BZ268" s="40"/>
      <c r="CA268" s="36" t="str">
        <f aca="false">IF(BZ268="","",EDATE(BZ268,SG_Criteria!$B$54*12))</f>
        <v/>
      </c>
      <c r="CB268" s="33" t="str">
        <f aca="true">IF(A268="","",IF(BZ268="","NOTE: not reviewed yet",IF(TODAY()&gt;CA268,"NOTE: review overdue","OK")))</f>
        <v/>
      </c>
      <c r="CC268" s="37" t="str">
        <f aca="false">IF(A268="","",ROUND((IF(LEN(D268)&gt;0,1,0)+IF(LEN(E268)&gt;0,1,0)+IF(LEN(F268)&gt;0,1,0)+IF(LEN(G268)&gt;0,1,0)+IF(LEN(H268)&gt;0,1,0)+IF(LEN(I268)&gt;0,1,0)+IF(LEN(K268)&gt;0,1,0)+IF(LEN(N268)&gt;0,1,0)+IF(LEN(O268)&gt;0,1,0)+IF(LEN(T268)&gt;0,1,0)+IF(LEN(U268)&gt;0,1,0)+IF(LEN(V268)&gt;0,1,0)+IF(LEN(AK268)&gt;0,1,0)+IF(LEN(AM268)&gt;0,1,0)+IF(LEN(AN268)&gt;0,1,0)+IF(LEN(AO268)&gt;0,1,0)+IF(LEN(AP268)&gt;0,1,0)+IF(LEN(AY268)&gt;0,1,0)+IF(LEN(BK268)&gt;0,1,0)+IF(LEN(BX268)&gt;0,1,0))/20,2))</f>
        <v/>
      </c>
      <c r="CD268" s="10" t="str">
        <f aca="false">IF(D268="","",IF(AND(AN268="Approved",ISERROR(SEARCH("FAIL",BH268))),"Y","N"))</f>
        <v/>
      </c>
      <c r="CE268" s="10" t="str">
        <f aca="false">IF(D268="","",D268&amp;"|"&amp;F268&amp;"|"&amp;G268&amp;"|"&amp;H268&amp;"|"&amp;E268&amp;"|"&amp;CD268)</f>
        <v/>
      </c>
    </row>
    <row r="269" customFormat="false" ht="15" hidden="false" customHeight="false" outlineLevel="0" collapsed="false">
      <c r="A269" s="10" t="str">
        <f aca="false">IF(D269="","","EW-"&amp;IFERROR(VLOOKUP(D269,Lists!$P$4:$Q$22,2,0),"??")&amp;"-D"&amp;TEXT(F269*1000,"0000")&amp;"-"&amp;IFERROR(VLOOKUP(G269,Lists!$S$4:$T$21,2,0),"??")&amp;"-"&amp;IFERROR(VLOOKUP(H269,Lists!$Y$4:$Z$21,2,0),"??")&amp;"-"&amp;IFERROR(VLOOKUP(E269,Lists!$V$4:$W$16,2,0),"??")&amp;"-"&amp;AM269)</f>
        <v/>
      </c>
      <c r="B269" s="10" t="str">
        <f aca="false">IF(D269="","",E269&amp;" "&amp;D269&amp;", excavation "&amp;TEXT(F269,"0.0")&amp;" m, "&amp;G269&amp;", "&amp;H269&amp;", "&amp;K269)</f>
        <v/>
      </c>
      <c r="C269" s="9"/>
      <c r="D269" s="9"/>
      <c r="E269" s="9"/>
      <c r="F269" s="42"/>
      <c r="G269" s="9"/>
      <c r="H269" s="9"/>
      <c r="I269" s="42"/>
      <c r="J269" s="38"/>
      <c r="K269" s="9"/>
      <c r="L269" s="9"/>
      <c r="M269" s="9"/>
      <c r="N269" s="42"/>
      <c r="O269" s="42"/>
      <c r="P269" s="9"/>
      <c r="Q269" s="9"/>
      <c r="R269" s="9"/>
      <c r="S269" s="9"/>
      <c r="T269" s="38"/>
      <c r="U269" s="38"/>
      <c r="V269" s="38"/>
      <c r="W269" s="38"/>
      <c r="X269" s="38"/>
      <c r="Y269" s="9"/>
      <c r="Z269" s="39"/>
      <c r="AA269" s="9"/>
      <c r="AB269" s="9"/>
      <c r="AC269" s="9"/>
      <c r="AD269" s="9"/>
      <c r="AE269" s="9"/>
      <c r="AF269" s="9"/>
      <c r="AG269" s="9"/>
      <c r="AH269" s="38"/>
      <c r="AI269" s="9"/>
      <c r="AJ269" s="39"/>
      <c r="AK269" s="9"/>
      <c r="AL269" s="9"/>
      <c r="AM269" s="9"/>
      <c r="AN269" s="9"/>
      <c r="AO269" s="9"/>
      <c r="AP269" s="9"/>
      <c r="AQ269" s="9"/>
      <c r="AR269" s="10" t="str">
        <f aca="false">IF(A269="","",SG_Criteria!$B$6&amp;SG_Criteria!$B$9&amp;"\"&amp;A269&amp;"\")</f>
        <v/>
      </c>
      <c r="AS269" s="10" t="str">
        <f aca="false">IF(A269="","",A269&amp;"_CAD.dwg")</f>
        <v/>
      </c>
      <c r="AT269" s="10" t="str">
        <f aca="false">IF(A269="","",A269&amp;"_DWG.pdf")</f>
        <v/>
      </c>
      <c r="AU269" s="10" t="str">
        <f aca="false">IF(A269="","",IF(AQ269="Y",A269&amp;"_STAAD.std","n/a"))</f>
        <v/>
      </c>
      <c r="AV269" s="10" t="str">
        <f aca="false">IF(A269="","",A269&amp;"_CALC.xlsx")</f>
        <v/>
      </c>
      <c r="AW269" s="10" t="str">
        <f aca="false">IF(A269="","",A269&amp;"_CALC.pdf")</f>
        <v/>
      </c>
      <c r="AX269" s="9"/>
      <c r="AY269" s="9"/>
      <c r="AZ269" s="39"/>
      <c r="BA269" s="39"/>
      <c r="BB269" s="39"/>
      <c r="BC269" s="39"/>
      <c r="BD269" s="39"/>
      <c r="BE269" s="12" t="str">
        <f aca="false">IF(A269="","",IF(COUNTIF(Rebar_Schedule!$A$5:$A$2004,A269)=0,"",ROUND(SUMIF(Rebar_Schedule!$A$5:$A$2004,A269,Rebar_Schedule!$K$5:$K$2004),1)))</f>
        <v/>
      </c>
      <c r="BF269" s="33" t="str">
        <f aca="false">IF(A269="","",IF(BE269="","No rebar schedule yet",IF(ABS(BE269-N(BA269))/MAX(N(BA269),1)&gt;SG_Criteria!$B$55,"NOTE: register rebar differs from schedule by "&amp;TEXT(ABS(BE269-N(BA269))/MAX(N(BA269),1),"0%"),"OK")))</f>
        <v/>
      </c>
      <c r="BG269" s="33" t="str">
        <f aca="false">IF(OR(D269="",F269=""),"",IF(F269&lt;=IF(D269="Soldier Pile &amp; Timber Lagging",SG_Criteria!$B$34,SG_Criteria!$B$33),"No ERSS submission",IF(F269&lt;=SG_Criteria!$B$35,"QP(ST)",IF(F269&lt;=SG_Criteria!$B$36,"QP(ST) + AC","Geotechnical building works: QP(Geo) + AC"))))</f>
        <v/>
      </c>
      <c r="BH269" s="33" t="str">
        <f aca="false">IF(D269="","",IF(LEN(IF(AND(AC269&lt;&gt;"",IFERROR(VALUE(MID(AC269,2,2)),0)&lt;SG_Criteria!$B$19),"FAIL: grade below C"&amp;SG_Criteria!$B$19&amp;". ","")&amp;IF(AND(LEFT(D269,3)="Con",N(I269)&lt;F269,H269="Kallang Formation (marine clay)"),"NOTE: CBP is not watertight below GWT in marine clay; consider secant / grouting. ","")&amp;IF(AND(D269="Steel Sheet Pile",E269="Permanent"),"NOTE: permanent sheet pile needs corrosion allowance. ","")&amp;IF(AND(G269="Cantilever (no support)",F269&gt;6),"NOTE: cantilever embedded wall &gt; 6 m, check deflection. ","")&amp;IF(AND(T269&lt;&gt;"",U269&lt;&gt;"",T269&gt;U269),"FAIL: deflection exceeds allowable. ",""))=0,"OK",IF(AND(AC269&lt;&gt;"",IFERROR(VALUE(MID(AC269,2,2)),0)&lt;SG_Criteria!$B$19),"FAIL: grade below C"&amp;SG_Criteria!$B$19&amp;". ","")&amp;IF(AND(LEFT(D269,3)="Con",N(I269)&lt;F269,H269="Kallang Formation (marine clay)"),"NOTE: CBP is not watertight below GWT in marine clay; consider secant / grouting. ","")&amp;IF(AND(D269="Steel Sheet Pile",E269="Permanent"),"NOTE: permanent sheet pile needs corrosion allowance. ","")&amp;IF(AND(G269="Cantilever (no support)",F269&gt;6),"NOTE: cantilever embedded wall &gt; 6 m, check deflection. ","")&amp;IF(AND(T269&lt;&gt;"",U269&lt;&gt;"",T269&gt;U269),"FAIL: deflection exceeds allowable. ","")))</f>
        <v/>
      </c>
      <c r="BI269" s="9"/>
      <c r="BJ269" s="9"/>
      <c r="BK269" s="9"/>
      <c r="BL269" s="10" t="str">
        <f aca="false">IF(BK269="","",IFERROR(VLOOKUP(BK269,Projects!$A$5:$D$504,2,0),"Ref not in Projects"))</f>
        <v/>
      </c>
      <c r="BM269" s="10" t="str">
        <f aca="false">IF(BK269="","",IFERROR(VLOOKUP(BK269,Projects!$A$5:$D$504,4,0),"Ref not in Projects"))</f>
        <v/>
      </c>
      <c r="BN269" s="9"/>
      <c r="BO269" s="9"/>
      <c r="BP269" s="9"/>
      <c r="BQ269" s="40"/>
      <c r="BR269" s="9"/>
      <c r="BS269" s="40"/>
      <c r="BT269" s="9"/>
      <c r="BU269" s="40"/>
      <c r="BV269" s="9"/>
      <c r="BW269" s="9"/>
      <c r="BX269" s="9"/>
      <c r="BY269" s="40"/>
      <c r="BZ269" s="40"/>
      <c r="CA269" s="36" t="str">
        <f aca="false">IF(BZ269="","",EDATE(BZ269,SG_Criteria!$B$54*12))</f>
        <v/>
      </c>
      <c r="CB269" s="33" t="str">
        <f aca="true">IF(A269="","",IF(BZ269="","NOTE: not reviewed yet",IF(TODAY()&gt;CA269,"NOTE: review overdue","OK")))</f>
        <v/>
      </c>
      <c r="CC269" s="37" t="str">
        <f aca="false">IF(A269="","",ROUND((IF(LEN(D269)&gt;0,1,0)+IF(LEN(E269)&gt;0,1,0)+IF(LEN(F269)&gt;0,1,0)+IF(LEN(G269)&gt;0,1,0)+IF(LEN(H269)&gt;0,1,0)+IF(LEN(I269)&gt;0,1,0)+IF(LEN(K269)&gt;0,1,0)+IF(LEN(N269)&gt;0,1,0)+IF(LEN(O269)&gt;0,1,0)+IF(LEN(T269)&gt;0,1,0)+IF(LEN(U269)&gt;0,1,0)+IF(LEN(V269)&gt;0,1,0)+IF(LEN(AK269)&gt;0,1,0)+IF(LEN(AM269)&gt;0,1,0)+IF(LEN(AN269)&gt;0,1,0)+IF(LEN(AO269)&gt;0,1,0)+IF(LEN(AP269)&gt;0,1,0)+IF(LEN(AY269)&gt;0,1,0)+IF(LEN(BK269)&gt;0,1,0)+IF(LEN(BX269)&gt;0,1,0))/20,2))</f>
        <v/>
      </c>
      <c r="CD269" s="10" t="str">
        <f aca="false">IF(D269="","",IF(AND(AN269="Approved",ISERROR(SEARCH("FAIL",BH269))),"Y","N"))</f>
        <v/>
      </c>
      <c r="CE269" s="10" t="str">
        <f aca="false">IF(D269="","",D269&amp;"|"&amp;F269&amp;"|"&amp;G269&amp;"|"&amp;H269&amp;"|"&amp;E269&amp;"|"&amp;CD269)</f>
        <v/>
      </c>
    </row>
    <row r="270" customFormat="false" ht="15" hidden="false" customHeight="false" outlineLevel="0" collapsed="false">
      <c r="A270" s="10" t="str">
        <f aca="false">IF(D270="","","EW-"&amp;IFERROR(VLOOKUP(D270,Lists!$P$4:$Q$22,2,0),"??")&amp;"-D"&amp;TEXT(F270*1000,"0000")&amp;"-"&amp;IFERROR(VLOOKUP(G270,Lists!$S$4:$T$21,2,0),"??")&amp;"-"&amp;IFERROR(VLOOKUP(H270,Lists!$Y$4:$Z$21,2,0),"??")&amp;"-"&amp;IFERROR(VLOOKUP(E270,Lists!$V$4:$W$16,2,0),"??")&amp;"-"&amp;AM270)</f>
        <v/>
      </c>
      <c r="B270" s="10" t="str">
        <f aca="false">IF(D270="","",E270&amp;" "&amp;D270&amp;", excavation "&amp;TEXT(F270,"0.0")&amp;" m, "&amp;G270&amp;", "&amp;H270&amp;", "&amp;K270)</f>
        <v/>
      </c>
      <c r="C270" s="9"/>
      <c r="D270" s="9"/>
      <c r="E270" s="9"/>
      <c r="F270" s="42"/>
      <c r="G270" s="9"/>
      <c r="H270" s="9"/>
      <c r="I270" s="42"/>
      <c r="J270" s="38"/>
      <c r="K270" s="9"/>
      <c r="L270" s="9"/>
      <c r="M270" s="9"/>
      <c r="N270" s="42"/>
      <c r="O270" s="42"/>
      <c r="P270" s="9"/>
      <c r="Q270" s="9"/>
      <c r="R270" s="9"/>
      <c r="S270" s="9"/>
      <c r="T270" s="38"/>
      <c r="U270" s="38"/>
      <c r="V270" s="38"/>
      <c r="W270" s="38"/>
      <c r="X270" s="38"/>
      <c r="Y270" s="9"/>
      <c r="Z270" s="39"/>
      <c r="AA270" s="9"/>
      <c r="AB270" s="9"/>
      <c r="AC270" s="9"/>
      <c r="AD270" s="9"/>
      <c r="AE270" s="9"/>
      <c r="AF270" s="9"/>
      <c r="AG270" s="9"/>
      <c r="AH270" s="38"/>
      <c r="AI270" s="9"/>
      <c r="AJ270" s="39"/>
      <c r="AK270" s="9"/>
      <c r="AL270" s="9"/>
      <c r="AM270" s="9"/>
      <c r="AN270" s="9"/>
      <c r="AO270" s="9"/>
      <c r="AP270" s="9"/>
      <c r="AQ270" s="9"/>
      <c r="AR270" s="10" t="str">
        <f aca="false">IF(A270="","",SG_Criteria!$B$6&amp;SG_Criteria!$B$9&amp;"\"&amp;A270&amp;"\")</f>
        <v/>
      </c>
      <c r="AS270" s="10" t="str">
        <f aca="false">IF(A270="","",A270&amp;"_CAD.dwg")</f>
        <v/>
      </c>
      <c r="AT270" s="10" t="str">
        <f aca="false">IF(A270="","",A270&amp;"_DWG.pdf")</f>
        <v/>
      </c>
      <c r="AU270" s="10" t="str">
        <f aca="false">IF(A270="","",IF(AQ270="Y",A270&amp;"_STAAD.std","n/a"))</f>
        <v/>
      </c>
      <c r="AV270" s="10" t="str">
        <f aca="false">IF(A270="","",A270&amp;"_CALC.xlsx")</f>
        <v/>
      </c>
      <c r="AW270" s="10" t="str">
        <f aca="false">IF(A270="","",A270&amp;"_CALC.pdf")</f>
        <v/>
      </c>
      <c r="AX270" s="9"/>
      <c r="AY270" s="9"/>
      <c r="AZ270" s="39"/>
      <c r="BA270" s="39"/>
      <c r="BB270" s="39"/>
      <c r="BC270" s="39"/>
      <c r="BD270" s="39"/>
      <c r="BE270" s="12" t="str">
        <f aca="false">IF(A270="","",IF(COUNTIF(Rebar_Schedule!$A$5:$A$2004,A270)=0,"",ROUND(SUMIF(Rebar_Schedule!$A$5:$A$2004,A270,Rebar_Schedule!$K$5:$K$2004),1)))</f>
        <v/>
      </c>
      <c r="BF270" s="33" t="str">
        <f aca="false">IF(A270="","",IF(BE270="","No rebar schedule yet",IF(ABS(BE270-N(BA270))/MAX(N(BA270),1)&gt;SG_Criteria!$B$55,"NOTE: register rebar differs from schedule by "&amp;TEXT(ABS(BE270-N(BA270))/MAX(N(BA270),1),"0%"),"OK")))</f>
        <v/>
      </c>
      <c r="BG270" s="33" t="str">
        <f aca="false">IF(OR(D270="",F270=""),"",IF(F270&lt;=IF(D270="Soldier Pile &amp; Timber Lagging",SG_Criteria!$B$34,SG_Criteria!$B$33),"No ERSS submission",IF(F270&lt;=SG_Criteria!$B$35,"QP(ST)",IF(F270&lt;=SG_Criteria!$B$36,"QP(ST) + AC","Geotechnical building works: QP(Geo) + AC"))))</f>
        <v/>
      </c>
      <c r="BH270" s="33" t="str">
        <f aca="false">IF(D270="","",IF(LEN(IF(AND(AC270&lt;&gt;"",IFERROR(VALUE(MID(AC270,2,2)),0)&lt;SG_Criteria!$B$19),"FAIL: grade below C"&amp;SG_Criteria!$B$19&amp;". ","")&amp;IF(AND(LEFT(D270,3)="Con",N(I270)&lt;F270,H270="Kallang Formation (marine clay)"),"NOTE: CBP is not watertight below GWT in marine clay; consider secant / grouting. ","")&amp;IF(AND(D270="Steel Sheet Pile",E270="Permanent"),"NOTE: permanent sheet pile needs corrosion allowance. ","")&amp;IF(AND(G270="Cantilever (no support)",F270&gt;6),"NOTE: cantilever embedded wall &gt; 6 m, check deflection. ","")&amp;IF(AND(T270&lt;&gt;"",U270&lt;&gt;"",T270&gt;U270),"FAIL: deflection exceeds allowable. ",""))=0,"OK",IF(AND(AC270&lt;&gt;"",IFERROR(VALUE(MID(AC270,2,2)),0)&lt;SG_Criteria!$B$19),"FAIL: grade below C"&amp;SG_Criteria!$B$19&amp;". ","")&amp;IF(AND(LEFT(D270,3)="Con",N(I270)&lt;F270,H270="Kallang Formation (marine clay)"),"NOTE: CBP is not watertight below GWT in marine clay; consider secant / grouting. ","")&amp;IF(AND(D270="Steel Sheet Pile",E270="Permanent"),"NOTE: permanent sheet pile needs corrosion allowance. ","")&amp;IF(AND(G270="Cantilever (no support)",F270&gt;6),"NOTE: cantilever embedded wall &gt; 6 m, check deflection. ","")&amp;IF(AND(T270&lt;&gt;"",U270&lt;&gt;"",T270&gt;U270),"FAIL: deflection exceeds allowable. ","")))</f>
        <v/>
      </c>
      <c r="BI270" s="9"/>
      <c r="BJ270" s="9"/>
      <c r="BK270" s="9"/>
      <c r="BL270" s="10" t="str">
        <f aca="false">IF(BK270="","",IFERROR(VLOOKUP(BK270,Projects!$A$5:$D$504,2,0),"Ref not in Projects"))</f>
        <v/>
      </c>
      <c r="BM270" s="10" t="str">
        <f aca="false">IF(BK270="","",IFERROR(VLOOKUP(BK270,Projects!$A$5:$D$504,4,0),"Ref not in Projects"))</f>
        <v/>
      </c>
      <c r="BN270" s="9"/>
      <c r="BO270" s="9"/>
      <c r="BP270" s="9"/>
      <c r="BQ270" s="40"/>
      <c r="BR270" s="9"/>
      <c r="BS270" s="40"/>
      <c r="BT270" s="9"/>
      <c r="BU270" s="40"/>
      <c r="BV270" s="9"/>
      <c r="BW270" s="9"/>
      <c r="BX270" s="9"/>
      <c r="BY270" s="40"/>
      <c r="BZ270" s="40"/>
      <c r="CA270" s="36" t="str">
        <f aca="false">IF(BZ270="","",EDATE(BZ270,SG_Criteria!$B$54*12))</f>
        <v/>
      </c>
      <c r="CB270" s="33" t="str">
        <f aca="true">IF(A270="","",IF(BZ270="","NOTE: not reviewed yet",IF(TODAY()&gt;CA270,"NOTE: review overdue","OK")))</f>
        <v/>
      </c>
      <c r="CC270" s="37" t="str">
        <f aca="false">IF(A270="","",ROUND((IF(LEN(D270)&gt;0,1,0)+IF(LEN(E270)&gt;0,1,0)+IF(LEN(F270)&gt;0,1,0)+IF(LEN(G270)&gt;0,1,0)+IF(LEN(H270)&gt;0,1,0)+IF(LEN(I270)&gt;0,1,0)+IF(LEN(K270)&gt;0,1,0)+IF(LEN(N270)&gt;0,1,0)+IF(LEN(O270)&gt;0,1,0)+IF(LEN(T270)&gt;0,1,0)+IF(LEN(U270)&gt;0,1,0)+IF(LEN(V270)&gt;0,1,0)+IF(LEN(AK270)&gt;0,1,0)+IF(LEN(AM270)&gt;0,1,0)+IF(LEN(AN270)&gt;0,1,0)+IF(LEN(AO270)&gt;0,1,0)+IF(LEN(AP270)&gt;0,1,0)+IF(LEN(AY270)&gt;0,1,0)+IF(LEN(BK270)&gt;0,1,0)+IF(LEN(BX270)&gt;0,1,0))/20,2))</f>
        <v/>
      </c>
      <c r="CD270" s="10" t="str">
        <f aca="false">IF(D270="","",IF(AND(AN270="Approved",ISERROR(SEARCH("FAIL",BH270))),"Y","N"))</f>
        <v/>
      </c>
      <c r="CE270" s="10" t="str">
        <f aca="false">IF(D270="","",D270&amp;"|"&amp;F270&amp;"|"&amp;G270&amp;"|"&amp;H270&amp;"|"&amp;E270&amp;"|"&amp;CD270)</f>
        <v/>
      </c>
    </row>
    <row r="271" customFormat="false" ht="15" hidden="false" customHeight="false" outlineLevel="0" collapsed="false">
      <c r="A271" s="10" t="str">
        <f aca="false">IF(D271="","","EW-"&amp;IFERROR(VLOOKUP(D271,Lists!$P$4:$Q$22,2,0),"??")&amp;"-D"&amp;TEXT(F271*1000,"0000")&amp;"-"&amp;IFERROR(VLOOKUP(G271,Lists!$S$4:$T$21,2,0),"??")&amp;"-"&amp;IFERROR(VLOOKUP(H271,Lists!$Y$4:$Z$21,2,0),"??")&amp;"-"&amp;IFERROR(VLOOKUP(E271,Lists!$V$4:$W$16,2,0),"??")&amp;"-"&amp;AM271)</f>
        <v/>
      </c>
      <c r="B271" s="10" t="str">
        <f aca="false">IF(D271="","",E271&amp;" "&amp;D271&amp;", excavation "&amp;TEXT(F271,"0.0")&amp;" m, "&amp;G271&amp;", "&amp;H271&amp;", "&amp;K271)</f>
        <v/>
      </c>
      <c r="C271" s="9"/>
      <c r="D271" s="9"/>
      <c r="E271" s="9"/>
      <c r="F271" s="42"/>
      <c r="G271" s="9"/>
      <c r="H271" s="9"/>
      <c r="I271" s="42"/>
      <c r="J271" s="38"/>
      <c r="K271" s="9"/>
      <c r="L271" s="9"/>
      <c r="M271" s="9"/>
      <c r="N271" s="42"/>
      <c r="O271" s="42"/>
      <c r="P271" s="9"/>
      <c r="Q271" s="9"/>
      <c r="R271" s="9"/>
      <c r="S271" s="9"/>
      <c r="T271" s="38"/>
      <c r="U271" s="38"/>
      <c r="V271" s="38"/>
      <c r="W271" s="38"/>
      <c r="X271" s="38"/>
      <c r="Y271" s="9"/>
      <c r="Z271" s="39"/>
      <c r="AA271" s="9"/>
      <c r="AB271" s="9"/>
      <c r="AC271" s="9"/>
      <c r="AD271" s="9"/>
      <c r="AE271" s="9"/>
      <c r="AF271" s="9"/>
      <c r="AG271" s="9"/>
      <c r="AH271" s="38"/>
      <c r="AI271" s="9"/>
      <c r="AJ271" s="39"/>
      <c r="AK271" s="9"/>
      <c r="AL271" s="9"/>
      <c r="AM271" s="9"/>
      <c r="AN271" s="9"/>
      <c r="AO271" s="9"/>
      <c r="AP271" s="9"/>
      <c r="AQ271" s="9"/>
      <c r="AR271" s="10" t="str">
        <f aca="false">IF(A271="","",SG_Criteria!$B$6&amp;SG_Criteria!$B$9&amp;"\"&amp;A271&amp;"\")</f>
        <v/>
      </c>
      <c r="AS271" s="10" t="str">
        <f aca="false">IF(A271="","",A271&amp;"_CAD.dwg")</f>
        <v/>
      </c>
      <c r="AT271" s="10" t="str">
        <f aca="false">IF(A271="","",A271&amp;"_DWG.pdf")</f>
        <v/>
      </c>
      <c r="AU271" s="10" t="str">
        <f aca="false">IF(A271="","",IF(AQ271="Y",A271&amp;"_STAAD.std","n/a"))</f>
        <v/>
      </c>
      <c r="AV271" s="10" t="str">
        <f aca="false">IF(A271="","",A271&amp;"_CALC.xlsx")</f>
        <v/>
      </c>
      <c r="AW271" s="10" t="str">
        <f aca="false">IF(A271="","",A271&amp;"_CALC.pdf")</f>
        <v/>
      </c>
      <c r="AX271" s="9"/>
      <c r="AY271" s="9"/>
      <c r="AZ271" s="39"/>
      <c r="BA271" s="39"/>
      <c r="BB271" s="39"/>
      <c r="BC271" s="39"/>
      <c r="BD271" s="39"/>
      <c r="BE271" s="12" t="str">
        <f aca="false">IF(A271="","",IF(COUNTIF(Rebar_Schedule!$A$5:$A$2004,A271)=0,"",ROUND(SUMIF(Rebar_Schedule!$A$5:$A$2004,A271,Rebar_Schedule!$K$5:$K$2004),1)))</f>
        <v/>
      </c>
      <c r="BF271" s="33" t="str">
        <f aca="false">IF(A271="","",IF(BE271="","No rebar schedule yet",IF(ABS(BE271-N(BA271))/MAX(N(BA271),1)&gt;SG_Criteria!$B$55,"NOTE: register rebar differs from schedule by "&amp;TEXT(ABS(BE271-N(BA271))/MAX(N(BA271),1),"0%"),"OK")))</f>
        <v/>
      </c>
      <c r="BG271" s="33" t="str">
        <f aca="false">IF(OR(D271="",F271=""),"",IF(F271&lt;=IF(D271="Soldier Pile &amp; Timber Lagging",SG_Criteria!$B$34,SG_Criteria!$B$33),"No ERSS submission",IF(F271&lt;=SG_Criteria!$B$35,"QP(ST)",IF(F271&lt;=SG_Criteria!$B$36,"QP(ST) + AC","Geotechnical building works: QP(Geo) + AC"))))</f>
        <v/>
      </c>
      <c r="BH271" s="33" t="str">
        <f aca="false">IF(D271="","",IF(LEN(IF(AND(AC271&lt;&gt;"",IFERROR(VALUE(MID(AC271,2,2)),0)&lt;SG_Criteria!$B$19),"FAIL: grade below C"&amp;SG_Criteria!$B$19&amp;". ","")&amp;IF(AND(LEFT(D271,3)="Con",N(I271)&lt;F271,H271="Kallang Formation (marine clay)"),"NOTE: CBP is not watertight below GWT in marine clay; consider secant / grouting. ","")&amp;IF(AND(D271="Steel Sheet Pile",E271="Permanent"),"NOTE: permanent sheet pile needs corrosion allowance. ","")&amp;IF(AND(G271="Cantilever (no support)",F271&gt;6),"NOTE: cantilever embedded wall &gt; 6 m, check deflection. ","")&amp;IF(AND(T271&lt;&gt;"",U271&lt;&gt;"",T271&gt;U271),"FAIL: deflection exceeds allowable. ",""))=0,"OK",IF(AND(AC271&lt;&gt;"",IFERROR(VALUE(MID(AC271,2,2)),0)&lt;SG_Criteria!$B$19),"FAIL: grade below C"&amp;SG_Criteria!$B$19&amp;". ","")&amp;IF(AND(LEFT(D271,3)="Con",N(I271)&lt;F271,H271="Kallang Formation (marine clay)"),"NOTE: CBP is not watertight below GWT in marine clay; consider secant / grouting. ","")&amp;IF(AND(D271="Steel Sheet Pile",E271="Permanent"),"NOTE: permanent sheet pile needs corrosion allowance. ","")&amp;IF(AND(G271="Cantilever (no support)",F271&gt;6),"NOTE: cantilever embedded wall &gt; 6 m, check deflection. ","")&amp;IF(AND(T271&lt;&gt;"",U271&lt;&gt;"",T271&gt;U271),"FAIL: deflection exceeds allowable. ","")))</f>
        <v/>
      </c>
      <c r="BI271" s="9"/>
      <c r="BJ271" s="9"/>
      <c r="BK271" s="9"/>
      <c r="BL271" s="10" t="str">
        <f aca="false">IF(BK271="","",IFERROR(VLOOKUP(BK271,Projects!$A$5:$D$504,2,0),"Ref not in Projects"))</f>
        <v/>
      </c>
      <c r="BM271" s="10" t="str">
        <f aca="false">IF(BK271="","",IFERROR(VLOOKUP(BK271,Projects!$A$5:$D$504,4,0),"Ref not in Projects"))</f>
        <v/>
      </c>
      <c r="BN271" s="9"/>
      <c r="BO271" s="9"/>
      <c r="BP271" s="9"/>
      <c r="BQ271" s="40"/>
      <c r="BR271" s="9"/>
      <c r="BS271" s="40"/>
      <c r="BT271" s="9"/>
      <c r="BU271" s="40"/>
      <c r="BV271" s="9"/>
      <c r="BW271" s="9"/>
      <c r="BX271" s="9"/>
      <c r="BY271" s="40"/>
      <c r="BZ271" s="40"/>
      <c r="CA271" s="36" t="str">
        <f aca="false">IF(BZ271="","",EDATE(BZ271,SG_Criteria!$B$54*12))</f>
        <v/>
      </c>
      <c r="CB271" s="33" t="str">
        <f aca="true">IF(A271="","",IF(BZ271="","NOTE: not reviewed yet",IF(TODAY()&gt;CA271,"NOTE: review overdue","OK")))</f>
        <v/>
      </c>
      <c r="CC271" s="37" t="str">
        <f aca="false">IF(A271="","",ROUND((IF(LEN(D271)&gt;0,1,0)+IF(LEN(E271)&gt;0,1,0)+IF(LEN(F271)&gt;0,1,0)+IF(LEN(G271)&gt;0,1,0)+IF(LEN(H271)&gt;0,1,0)+IF(LEN(I271)&gt;0,1,0)+IF(LEN(K271)&gt;0,1,0)+IF(LEN(N271)&gt;0,1,0)+IF(LEN(O271)&gt;0,1,0)+IF(LEN(T271)&gt;0,1,0)+IF(LEN(U271)&gt;0,1,0)+IF(LEN(V271)&gt;0,1,0)+IF(LEN(AK271)&gt;0,1,0)+IF(LEN(AM271)&gt;0,1,0)+IF(LEN(AN271)&gt;0,1,0)+IF(LEN(AO271)&gt;0,1,0)+IF(LEN(AP271)&gt;0,1,0)+IF(LEN(AY271)&gt;0,1,0)+IF(LEN(BK271)&gt;0,1,0)+IF(LEN(BX271)&gt;0,1,0))/20,2))</f>
        <v/>
      </c>
      <c r="CD271" s="10" t="str">
        <f aca="false">IF(D271="","",IF(AND(AN271="Approved",ISERROR(SEARCH("FAIL",BH271))),"Y","N"))</f>
        <v/>
      </c>
      <c r="CE271" s="10" t="str">
        <f aca="false">IF(D271="","",D271&amp;"|"&amp;F271&amp;"|"&amp;G271&amp;"|"&amp;H271&amp;"|"&amp;E271&amp;"|"&amp;CD271)</f>
        <v/>
      </c>
    </row>
    <row r="272" customFormat="false" ht="15" hidden="false" customHeight="false" outlineLevel="0" collapsed="false">
      <c r="A272" s="10" t="str">
        <f aca="false">IF(D272="","","EW-"&amp;IFERROR(VLOOKUP(D272,Lists!$P$4:$Q$22,2,0),"??")&amp;"-D"&amp;TEXT(F272*1000,"0000")&amp;"-"&amp;IFERROR(VLOOKUP(G272,Lists!$S$4:$T$21,2,0),"??")&amp;"-"&amp;IFERROR(VLOOKUP(H272,Lists!$Y$4:$Z$21,2,0),"??")&amp;"-"&amp;IFERROR(VLOOKUP(E272,Lists!$V$4:$W$16,2,0),"??")&amp;"-"&amp;AM272)</f>
        <v/>
      </c>
      <c r="B272" s="10" t="str">
        <f aca="false">IF(D272="","",E272&amp;" "&amp;D272&amp;", excavation "&amp;TEXT(F272,"0.0")&amp;" m, "&amp;G272&amp;", "&amp;H272&amp;", "&amp;K272)</f>
        <v/>
      </c>
      <c r="C272" s="9"/>
      <c r="D272" s="9"/>
      <c r="E272" s="9"/>
      <c r="F272" s="42"/>
      <c r="G272" s="9"/>
      <c r="H272" s="9"/>
      <c r="I272" s="42"/>
      <c r="J272" s="38"/>
      <c r="K272" s="9"/>
      <c r="L272" s="9"/>
      <c r="M272" s="9"/>
      <c r="N272" s="42"/>
      <c r="O272" s="42"/>
      <c r="P272" s="9"/>
      <c r="Q272" s="9"/>
      <c r="R272" s="9"/>
      <c r="S272" s="9"/>
      <c r="T272" s="38"/>
      <c r="U272" s="38"/>
      <c r="V272" s="38"/>
      <c r="W272" s="38"/>
      <c r="X272" s="38"/>
      <c r="Y272" s="9"/>
      <c r="Z272" s="39"/>
      <c r="AA272" s="9"/>
      <c r="AB272" s="9"/>
      <c r="AC272" s="9"/>
      <c r="AD272" s="9"/>
      <c r="AE272" s="9"/>
      <c r="AF272" s="9"/>
      <c r="AG272" s="9"/>
      <c r="AH272" s="38"/>
      <c r="AI272" s="9"/>
      <c r="AJ272" s="39"/>
      <c r="AK272" s="9"/>
      <c r="AL272" s="9"/>
      <c r="AM272" s="9"/>
      <c r="AN272" s="9"/>
      <c r="AO272" s="9"/>
      <c r="AP272" s="9"/>
      <c r="AQ272" s="9"/>
      <c r="AR272" s="10" t="str">
        <f aca="false">IF(A272="","",SG_Criteria!$B$6&amp;SG_Criteria!$B$9&amp;"\"&amp;A272&amp;"\")</f>
        <v/>
      </c>
      <c r="AS272" s="10" t="str">
        <f aca="false">IF(A272="","",A272&amp;"_CAD.dwg")</f>
        <v/>
      </c>
      <c r="AT272" s="10" t="str">
        <f aca="false">IF(A272="","",A272&amp;"_DWG.pdf")</f>
        <v/>
      </c>
      <c r="AU272" s="10" t="str">
        <f aca="false">IF(A272="","",IF(AQ272="Y",A272&amp;"_STAAD.std","n/a"))</f>
        <v/>
      </c>
      <c r="AV272" s="10" t="str">
        <f aca="false">IF(A272="","",A272&amp;"_CALC.xlsx")</f>
        <v/>
      </c>
      <c r="AW272" s="10" t="str">
        <f aca="false">IF(A272="","",A272&amp;"_CALC.pdf")</f>
        <v/>
      </c>
      <c r="AX272" s="9"/>
      <c r="AY272" s="9"/>
      <c r="AZ272" s="39"/>
      <c r="BA272" s="39"/>
      <c r="BB272" s="39"/>
      <c r="BC272" s="39"/>
      <c r="BD272" s="39"/>
      <c r="BE272" s="12" t="str">
        <f aca="false">IF(A272="","",IF(COUNTIF(Rebar_Schedule!$A$5:$A$2004,A272)=0,"",ROUND(SUMIF(Rebar_Schedule!$A$5:$A$2004,A272,Rebar_Schedule!$K$5:$K$2004),1)))</f>
        <v/>
      </c>
      <c r="BF272" s="33" t="str">
        <f aca="false">IF(A272="","",IF(BE272="","No rebar schedule yet",IF(ABS(BE272-N(BA272))/MAX(N(BA272),1)&gt;SG_Criteria!$B$55,"NOTE: register rebar differs from schedule by "&amp;TEXT(ABS(BE272-N(BA272))/MAX(N(BA272),1),"0%"),"OK")))</f>
        <v/>
      </c>
      <c r="BG272" s="33" t="str">
        <f aca="false">IF(OR(D272="",F272=""),"",IF(F272&lt;=IF(D272="Soldier Pile &amp; Timber Lagging",SG_Criteria!$B$34,SG_Criteria!$B$33),"No ERSS submission",IF(F272&lt;=SG_Criteria!$B$35,"QP(ST)",IF(F272&lt;=SG_Criteria!$B$36,"QP(ST) + AC","Geotechnical building works: QP(Geo) + AC"))))</f>
        <v/>
      </c>
      <c r="BH272" s="33" t="str">
        <f aca="false">IF(D272="","",IF(LEN(IF(AND(AC272&lt;&gt;"",IFERROR(VALUE(MID(AC272,2,2)),0)&lt;SG_Criteria!$B$19),"FAIL: grade below C"&amp;SG_Criteria!$B$19&amp;". ","")&amp;IF(AND(LEFT(D272,3)="Con",N(I272)&lt;F272,H272="Kallang Formation (marine clay)"),"NOTE: CBP is not watertight below GWT in marine clay; consider secant / grouting. ","")&amp;IF(AND(D272="Steel Sheet Pile",E272="Permanent"),"NOTE: permanent sheet pile needs corrosion allowance. ","")&amp;IF(AND(G272="Cantilever (no support)",F272&gt;6),"NOTE: cantilever embedded wall &gt; 6 m, check deflection. ","")&amp;IF(AND(T272&lt;&gt;"",U272&lt;&gt;"",T272&gt;U272),"FAIL: deflection exceeds allowable. ",""))=0,"OK",IF(AND(AC272&lt;&gt;"",IFERROR(VALUE(MID(AC272,2,2)),0)&lt;SG_Criteria!$B$19),"FAIL: grade below C"&amp;SG_Criteria!$B$19&amp;". ","")&amp;IF(AND(LEFT(D272,3)="Con",N(I272)&lt;F272,H272="Kallang Formation (marine clay)"),"NOTE: CBP is not watertight below GWT in marine clay; consider secant / grouting. ","")&amp;IF(AND(D272="Steel Sheet Pile",E272="Permanent"),"NOTE: permanent sheet pile needs corrosion allowance. ","")&amp;IF(AND(G272="Cantilever (no support)",F272&gt;6),"NOTE: cantilever embedded wall &gt; 6 m, check deflection. ","")&amp;IF(AND(T272&lt;&gt;"",U272&lt;&gt;"",T272&gt;U272),"FAIL: deflection exceeds allowable. ","")))</f>
        <v/>
      </c>
      <c r="BI272" s="9"/>
      <c r="BJ272" s="9"/>
      <c r="BK272" s="9"/>
      <c r="BL272" s="10" t="str">
        <f aca="false">IF(BK272="","",IFERROR(VLOOKUP(BK272,Projects!$A$5:$D$504,2,0),"Ref not in Projects"))</f>
        <v/>
      </c>
      <c r="BM272" s="10" t="str">
        <f aca="false">IF(BK272="","",IFERROR(VLOOKUP(BK272,Projects!$A$5:$D$504,4,0),"Ref not in Projects"))</f>
        <v/>
      </c>
      <c r="BN272" s="9"/>
      <c r="BO272" s="9"/>
      <c r="BP272" s="9"/>
      <c r="BQ272" s="40"/>
      <c r="BR272" s="9"/>
      <c r="BS272" s="40"/>
      <c r="BT272" s="9"/>
      <c r="BU272" s="40"/>
      <c r="BV272" s="9"/>
      <c r="BW272" s="9"/>
      <c r="BX272" s="9"/>
      <c r="BY272" s="40"/>
      <c r="BZ272" s="40"/>
      <c r="CA272" s="36" t="str">
        <f aca="false">IF(BZ272="","",EDATE(BZ272,SG_Criteria!$B$54*12))</f>
        <v/>
      </c>
      <c r="CB272" s="33" t="str">
        <f aca="true">IF(A272="","",IF(BZ272="","NOTE: not reviewed yet",IF(TODAY()&gt;CA272,"NOTE: review overdue","OK")))</f>
        <v/>
      </c>
      <c r="CC272" s="37" t="str">
        <f aca="false">IF(A272="","",ROUND((IF(LEN(D272)&gt;0,1,0)+IF(LEN(E272)&gt;0,1,0)+IF(LEN(F272)&gt;0,1,0)+IF(LEN(G272)&gt;0,1,0)+IF(LEN(H272)&gt;0,1,0)+IF(LEN(I272)&gt;0,1,0)+IF(LEN(K272)&gt;0,1,0)+IF(LEN(N272)&gt;0,1,0)+IF(LEN(O272)&gt;0,1,0)+IF(LEN(T272)&gt;0,1,0)+IF(LEN(U272)&gt;0,1,0)+IF(LEN(V272)&gt;0,1,0)+IF(LEN(AK272)&gt;0,1,0)+IF(LEN(AM272)&gt;0,1,0)+IF(LEN(AN272)&gt;0,1,0)+IF(LEN(AO272)&gt;0,1,0)+IF(LEN(AP272)&gt;0,1,0)+IF(LEN(AY272)&gt;0,1,0)+IF(LEN(BK272)&gt;0,1,0)+IF(LEN(BX272)&gt;0,1,0))/20,2))</f>
        <v/>
      </c>
      <c r="CD272" s="10" t="str">
        <f aca="false">IF(D272="","",IF(AND(AN272="Approved",ISERROR(SEARCH("FAIL",BH272))),"Y","N"))</f>
        <v/>
      </c>
      <c r="CE272" s="10" t="str">
        <f aca="false">IF(D272="","",D272&amp;"|"&amp;F272&amp;"|"&amp;G272&amp;"|"&amp;H272&amp;"|"&amp;E272&amp;"|"&amp;CD272)</f>
        <v/>
      </c>
    </row>
    <row r="273" customFormat="false" ht="15" hidden="false" customHeight="false" outlineLevel="0" collapsed="false">
      <c r="A273" s="10" t="str">
        <f aca="false">IF(D273="","","EW-"&amp;IFERROR(VLOOKUP(D273,Lists!$P$4:$Q$22,2,0),"??")&amp;"-D"&amp;TEXT(F273*1000,"0000")&amp;"-"&amp;IFERROR(VLOOKUP(G273,Lists!$S$4:$T$21,2,0),"??")&amp;"-"&amp;IFERROR(VLOOKUP(H273,Lists!$Y$4:$Z$21,2,0),"??")&amp;"-"&amp;IFERROR(VLOOKUP(E273,Lists!$V$4:$W$16,2,0),"??")&amp;"-"&amp;AM273)</f>
        <v/>
      </c>
      <c r="B273" s="10" t="str">
        <f aca="false">IF(D273="","",E273&amp;" "&amp;D273&amp;", excavation "&amp;TEXT(F273,"0.0")&amp;" m, "&amp;G273&amp;", "&amp;H273&amp;", "&amp;K273)</f>
        <v/>
      </c>
      <c r="C273" s="9"/>
      <c r="D273" s="9"/>
      <c r="E273" s="9"/>
      <c r="F273" s="42"/>
      <c r="G273" s="9"/>
      <c r="H273" s="9"/>
      <c r="I273" s="42"/>
      <c r="J273" s="38"/>
      <c r="K273" s="9"/>
      <c r="L273" s="9"/>
      <c r="M273" s="9"/>
      <c r="N273" s="42"/>
      <c r="O273" s="42"/>
      <c r="P273" s="9"/>
      <c r="Q273" s="9"/>
      <c r="R273" s="9"/>
      <c r="S273" s="9"/>
      <c r="T273" s="38"/>
      <c r="U273" s="38"/>
      <c r="V273" s="38"/>
      <c r="W273" s="38"/>
      <c r="X273" s="38"/>
      <c r="Y273" s="9"/>
      <c r="Z273" s="39"/>
      <c r="AA273" s="9"/>
      <c r="AB273" s="9"/>
      <c r="AC273" s="9"/>
      <c r="AD273" s="9"/>
      <c r="AE273" s="9"/>
      <c r="AF273" s="9"/>
      <c r="AG273" s="9"/>
      <c r="AH273" s="38"/>
      <c r="AI273" s="9"/>
      <c r="AJ273" s="39"/>
      <c r="AK273" s="9"/>
      <c r="AL273" s="9"/>
      <c r="AM273" s="9"/>
      <c r="AN273" s="9"/>
      <c r="AO273" s="9"/>
      <c r="AP273" s="9"/>
      <c r="AQ273" s="9"/>
      <c r="AR273" s="10" t="str">
        <f aca="false">IF(A273="","",SG_Criteria!$B$6&amp;SG_Criteria!$B$9&amp;"\"&amp;A273&amp;"\")</f>
        <v/>
      </c>
      <c r="AS273" s="10" t="str">
        <f aca="false">IF(A273="","",A273&amp;"_CAD.dwg")</f>
        <v/>
      </c>
      <c r="AT273" s="10" t="str">
        <f aca="false">IF(A273="","",A273&amp;"_DWG.pdf")</f>
        <v/>
      </c>
      <c r="AU273" s="10" t="str">
        <f aca="false">IF(A273="","",IF(AQ273="Y",A273&amp;"_STAAD.std","n/a"))</f>
        <v/>
      </c>
      <c r="AV273" s="10" t="str">
        <f aca="false">IF(A273="","",A273&amp;"_CALC.xlsx")</f>
        <v/>
      </c>
      <c r="AW273" s="10" t="str">
        <f aca="false">IF(A273="","",A273&amp;"_CALC.pdf")</f>
        <v/>
      </c>
      <c r="AX273" s="9"/>
      <c r="AY273" s="9"/>
      <c r="AZ273" s="39"/>
      <c r="BA273" s="39"/>
      <c r="BB273" s="39"/>
      <c r="BC273" s="39"/>
      <c r="BD273" s="39"/>
      <c r="BE273" s="12" t="str">
        <f aca="false">IF(A273="","",IF(COUNTIF(Rebar_Schedule!$A$5:$A$2004,A273)=0,"",ROUND(SUMIF(Rebar_Schedule!$A$5:$A$2004,A273,Rebar_Schedule!$K$5:$K$2004),1)))</f>
        <v/>
      </c>
      <c r="BF273" s="33" t="str">
        <f aca="false">IF(A273="","",IF(BE273="","No rebar schedule yet",IF(ABS(BE273-N(BA273))/MAX(N(BA273),1)&gt;SG_Criteria!$B$55,"NOTE: register rebar differs from schedule by "&amp;TEXT(ABS(BE273-N(BA273))/MAX(N(BA273),1),"0%"),"OK")))</f>
        <v/>
      </c>
      <c r="BG273" s="33" t="str">
        <f aca="false">IF(OR(D273="",F273=""),"",IF(F273&lt;=IF(D273="Soldier Pile &amp; Timber Lagging",SG_Criteria!$B$34,SG_Criteria!$B$33),"No ERSS submission",IF(F273&lt;=SG_Criteria!$B$35,"QP(ST)",IF(F273&lt;=SG_Criteria!$B$36,"QP(ST) + AC","Geotechnical building works: QP(Geo) + AC"))))</f>
        <v/>
      </c>
      <c r="BH273" s="33" t="str">
        <f aca="false">IF(D273="","",IF(LEN(IF(AND(AC273&lt;&gt;"",IFERROR(VALUE(MID(AC273,2,2)),0)&lt;SG_Criteria!$B$19),"FAIL: grade below C"&amp;SG_Criteria!$B$19&amp;". ","")&amp;IF(AND(LEFT(D273,3)="Con",N(I273)&lt;F273,H273="Kallang Formation (marine clay)"),"NOTE: CBP is not watertight below GWT in marine clay; consider secant / grouting. ","")&amp;IF(AND(D273="Steel Sheet Pile",E273="Permanent"),"NOTE: permanent sheet pile needs corrosion allowance. ","")&amp;IF(AND(G273="Cantilever (no support)",F273&gt;6),"NOTE: cantilever embedded wall &gt; 6 m, check deflection. ","")&amp;IF(AND(T273&lt;&gt;"",U273&lt;&gt;"",T273&gt;U273),"FAIL: deflection exceeds allowable. ",""))=0,"OK",IF(AND(AC273&lt;&gt;"",IFERROR(VALUE(MID(AC273,2,2)),0)&lt;SG_Criteria!$B$19),"FAIL: grade below C"&amp;SG_Criteria!$B$19&amp;". ","")&amp;IF(AND(LEFT(D273,3)="Con",N(I273)&lt;F273,H273="Kallang Formation (marine clay)"),"NOTE: CBP is not watertight below GWT in marine clay; consider secant / grouting. ","")&amp;IF(AND(D273="Steel Sheet Pile",E273="Permanent"),"NOTE: permanent sheet pile needs corrosion allowance. ","")&amp;IF(AND(G273="Cantilever (no support)",F273&gt;6),"NOTE: cantilever embedded wall &gt; 6 m, check deflection. ","")&amp;IF(AND(T273&lt;&gt;"",U273&lt;&gt;"",T273&gt;U273),"FAIL: deflection exceeds allowable. ","")))</f>
        <v/>
      </c>
      <c r="BI273" s="9"/>
      <c r="BJ273" s="9"/>
      <c r="BK273" s="9"/>
      <c r="BL273" s="10" t="str">
        <f aca="false">IF(BK273="","",IFERROR(VLOOKUP(BK273,Projects!$A$5:$D$504,2,0),"Ref not in Projects"))</f>
        <v/>
      </c>
      <c r="BM273" s="10" t="str">
        <f aca="false">IF(BK273="","",IFERROR(VLOOKUP(BK273,Projects!$A$5:$D$504,4,0),"Ref not in Projects"))</f>
        <v/>
      </c>
      <c r="BN273" s="9"/>
      <c r="BO273" s="9"/>
      <c r="BP273" s="9"/>
      <c r="BQ273" s="40"/>
      <c r="BR273" s="9"/>
      <c r="BS273" s="40"/>
      <c r="BT273" s="9"/>
      <c r="BU273" s="40"/>
      <c r="BV273" s="9"/>
      <c r="BW273" s="9"/>
      <c r="BX273" s="9"/>
      <c r="BY273" s="40"/>
      <c r="BZ273" s="40"/>
      <c r="CA273" s="36" t="str">
        <f aca="false">IF(BZ273="","",EDATE(BZ273,SG_Criteria!$B$54*12))</f>
        <v/>
      </c>
      <c r="CB273" s="33" t="str">
        <f aca="true">IF(A273="","",IF(BZ273="","NOTE: not reviewed yet",IF(TODAY()&gt;CA273,"NOTE: review overdue","OK")))</f>
        <v/>
      </c>
      <c r="CC273" s="37" t="str">
        <f aca="false">IF(A273="","",ROUND((IF(LEN(D273)&gt;0,1,0)+IF(LEN(E273)&gt;0,1,0)+IF(LEN(F273)&gt;0,1,0)+IF(LEN(G273)&gt;0,1,0)+IF(LEN(H273)&gt;0,1,0)+IF(LEN(I273)&gt;0,1,0)+IF(LEN(K273)&gt;0,1,0)+IF(LEN(N273)&gt;0,1,0)+IF(LEN(O273)&gt;0,1,0)+IF(LEN(T273)&gt;0,1,0)+IF(LEN(U273)&gt;0,1,0)+IF(LEN(V273)&gt;0,1,0)+IF(LEN(AK273)&gt;0,1,0)+IF(LEN(AM273)&gt;0,1,0)+IF(LEN(AN273)&gt;0,1,0)+IF(LEN(AO273)&gt;0,1,0)+IF(LEN(AP273)&gt;0,1,0)+IF(LEN(AY273)&gt;0,1,0)+IF(LEN(BK273)&gt;0,1,0)+IF(LEN(BX273)&gt;0,1,0))/20,2))</f>
        <v/>
      </c>
      <c r="CD273" s="10" t="str">
        <f aca="false">IF(D273="","",IF(AND(AN273="Approved",ISERROR(SEARCH("FAIL",BH273))),"Y","N"))</f>
        <v/>
      </c>
      <c r="CE273" s="10" t="str">
        <f aca="false">IF(D273="","",D273&amp;"|"&amp;F273&amp;"|"&amp;G273&amp;"|"&amp;H273&amp;"|"&amp;E273&amp;"|"&amp;CD273)</f>
        <v/>
      </c>
    </row>
    <row r="274" customFormat="false" ht="15" hidden="false" customHeight="false" outlineLevel="0" collapsed="false">
      <c r="A274" s="10" t="str">
        <f aca="false">IF(D274="","","EW-"&amp;IFERROR(VLOOKUP(D274,Lists!$P$4:$Q$22,2,0),"??")&amp;"-D"&amp;TEXT(F274*1000,"0000")&amp;"-"&amp;IFERROR(VLOOKUP(G274,Lists!$S$4:$T$21,2,0),"??")&amp;"-"&amp;IFERROR(VLOOKUP(H274,Lists!$Y$4:$Z$21,2,0),"??")&amp;"-"&amp;IFERROR(VLOOKUP(E274,Lists!$V$4:$W$16,2,0),"??")&amp;"-"&amp;AM274)</f>
        <v/>
      </c>
      <c r="B274" s="10" t="str">
        <f aca="false">IF(D274="","",E274&amp;" "&amp;D274&amp;", excavation "&amp;TEXT(F274,"0.0")&amp;" m, "&amp;G274&amp;", "&amp;H274&amp;", "&amp;K274)</f>
        <v/>
      </c>
      <c r="C274" s="9"/>
      <c r="D274" s="9"/>
      <c r="E274" s="9"/>
      <c r="F274" s="42"/>
      <c r="G274" s="9"/>
      <c r="H274" s="9"/>
      <c r="I274" s="42"/>
      <c r="J274" s="38"/>
      <c r="K274" s="9"/>
      <c r="L274" s="9"/>
      <c r="M274" s="9"/>
      <c r="N274" s="42"/>
      <c r="O274" s="42"/>
      <c r="P274" s="9"/>
      <c r="Q274" s="9"/>
      <c r="R274" s="9"/>
      <c r="S274" s="9"/>
      <c r="T274" s="38"/>
      <c r="U274" s="38"/>
      <c r="V274" s="38"/>
      <c r="W274" s="38"/>
      <c r="X274" s="38"/>
      <c r="Y274" s="9"/>
      <c r="Z274" s="39"/>
      <c r="AA274" s="9"/>
      <c r="AB274" s="9"/>
      <c r="AC274" s="9"/>
      <c r="AD274" s="9"/>
      <c r="AE274" s="9"/>
      <c r="AF274" s="9"/>
      <c r="AG274" s="9"/>
      <c r="AH274" s="38"/>
      <c r="AI274" s="9"/>
      <c r="AJ274" s="39"/>
      <c r="AK274" s="9"/>
      <c r="AL274" s="9"/>
      <c r="AM274" s="9"/>
      <c r="AN274" s="9"/>
      <c r="AO274" s="9"/>
      <c r="AP274" s="9"/>
      <c r="AQ274" s="9"/>
      <c r="AR274" s="10" t="str">
        <f aca="false">IF(A274="","",SG_Criteria!$B$6&amp;SG_Criteria!$B$9&amp;"\"&amp;A274&amp;"\")</f>
        <v/>
      </c>
      <c r="AS274" s="10" t="str">
        <f aca="false">IF(A274="","",A274&amp;"_CAD.dwg")</f>
        <v/>
      </c>
      <c r="AT274" s="10" t="str">
        <f aca="false">IF(A274="","",A274&amp;"_DWG.pdf")</f>
        <v/>
      </c>
      <c r="AU274" s="10" t="str">
        <f aca="false">IF(A274="","",IF(AQ274="Y",A274&amp;"_STAAD.std","n/a"))</f>
        <v/>
      </c>
      <c r="AV274" s="10" t="str">
        <f aca="false">IF(A274="","",A274&amp;"_CALC.xlsx")</f>
        <v/>
      </c>
      <c r="AW274" s="10" t="str">
        <f aca="false">IF(A274="","",A274&amp;"_CALC.pdf")</f>
        <v/>
      </c>
      <c r="AX274" s="9"/>
      <c r="AY274" s="9"/>
      <c r="AZ274" s="39"/>
      <c r="BA274" s="39"/>
      <c r="BB274" s="39"/>
      <c r="BC274" s="39"/>
      <c r="BD274" s="39"/>
      <c r="BE274" s="12" t="str">
        <f aca="false">IF(A274="","",IF(COUNTIF(Rebar_Schedule!$A$5:$A$2004,A274)=0,"",ROUND(SUMIF(Rebar_Schedule!$A$5:$A$2004,A274,Rebar_Schedule!$K$5:$K$2004),1)))</f>
        <v/>
      </c>
      <c r="BF274" s="33" t="str">
        <f aca="false">IF(A274="","",IF(BE274="","No rebar schedule yet",IF(ABS(BE274-N(BA274))/MAX(N(BA274),1)&gt;SG_Criteria!$B$55,"NOTE: register rebar differs from schedule by "&amp;TEXT(ABS(BE274-N(BA274))/MAX(N(BA274),1),"0%"),"OK")))</f>
        <v/>
      </c>
      <c r="BG274" s="33" t="str">
        <f aca="false">IF(OR(D274="",F274=""),"",IF(F274&lt;=IF(D274="Soldier Pile &amp; Timber Lagging",SG_Criteria!$B$34,SG_Criteria!$B$33),"No ERSS submission",IF(F274&lt;=SG_Criteria!$B$35,"QP(ST)",IF(F274&lt;=SG_Criteria!$B$36,"QP(ST) + AC","Geotechnical building works: QP(Geo) + AC"))))</f>
        <v/>
      </c>
      <c r="BH274" s="33" t="str">
        <f aca="false">IF(D274="","",IF(LEN(IF(AND(AC274&lt;&gt;"",IFERROR(VALUE(MID(AC274,2,2)),0)&lt;SG_Criteria!$B$19),"FAIL: grade below C"&amp;SG_Criteria!$B$19&amp;". ","")&amp;IF(AND(LEFT(D274,3)="Con",N(I274)&lt;F274,H274="Kallang Formation (marine clay)"),"NOTE: CBP is not watertight below GWT in marine clay; consider secant / grouting. ","")&amp;IF(AND(D274="Steel Sheet Pile",E274="Permanent"),"NOTE: permanent sheet pile needs corrosion allowance. ","")&amp;IF(AND(G274="Cantilever (no support)",F274&gt;6),"NOTE: cantilever embedded wall &gt; 6 m, check deflection. ","")&amp;IF(AND(T274&lt;&gt;"",U274&lt;&gt;"",T274&gt;U274),"FAIL: deflection exceeds allowable. ",""))=0,"OK",IF(AND(AC274&lt;&gt;"",IFERROR(VALUE(MID(AC274,2,2)),0)&lt;SG_Criteria!$B$19),"FAIL: grade below C"&amp;SG_Criteria!$B$19&amp;". ","")&amp;IF(AND(LEFT(D274,3)="Con",N(I274)&lt;F274,H274="Kallang Formation (marine clay)"),"NOTE: CBP is not watertight below GWT in marine clay; consider secant / grouting. ","")&amp;IF(AND(D274="Steel Sheet Pile",E274="Permanent"),"NOTE: permanent sheet pile needs corrosion allowance. ","")&amp;IF(AND(G274="Cantilever (no support)",F274&gt;6),"NOTE: cantilever embedded wall &gt; 6 m, check deflection. ","")&amp;IF(AND(T274&lt;&gt;"",U274&lt;&gt;"",T274&gt;U274),"FAIL: deflection exceeds allowable. ","")))</f>
        <v/>
      </c>
      <c r="BI274" s="9"/>
      <c r="BJ274" s="9"/>
      <c r="BK274" s="9"/>
      <c r="BL274" s="10" t="str">
        <f aca="false">IF(BK274="","",IFERROR(VLOOKUP(BK274,Projects!$A$5:$D$504,2,0),"Ref not in Projects"))</f>
        <v/>
      </c>
      <c r="BM274" s="10" t="str">
        <f aca="false">IF(BK274="","",IFERROR(VLOOKUP(BK274,Projects!$A$5:$D$504,4,0),"Ref not in Projects"))</f>
        <v/>
      </c>
      <c r="BN274" s="9"/>
      <c r="BO274" s="9"/>
      <c r="BP274" s="9"/>
      <c r="BQ274" s="40"/>
      <c r="BR274" s="9"/>
      <c r="BS274" s="40"/>
      <c r="BT274" s="9"/>
      <c r="BU274" s="40"/>
      <c r="BV274" s="9"/>
      <c r="BW274" s="9"/>
      <c r="BX274" s="9"/>
      <c r="BY274" s="40"/>
      <c r="BZ274" s="40"/>
      <c r="CA274" s="36" t="str">
        <f aca="false">IF(BZ274="","",EDATE(BZ274,SG_Criteria!$B$54*12))</f>
        <v/>
      </c>
      <c r="CB274" s="33" t="str">
        <f aca="true">IF(A274="","",IF(BZ274="","NOTE: not reviewed yet",IF(TODAY()&gt;CA274,"NOTE: review overdue","OK")))</f>
        <v/>
      </c>
      <c r="CC274" s="37" t="str">
        <f aca="false">IF(A274="","",ROUND((IF(LEN(D274)&gt;0,1,0)+IF(LEN(E274)&gt;0,1,0)+IF(LEN(F274)&gt;0,1,0)+IF(LEN(G274)&gt;0,1,0)+IF(LEN(H274)&gt;0,1,0)+IF(LEN(I274)&gt;0,1,0)+IF(LEN(K274)&gt;0,1,0)+IF(LEN(N274)&gt;0,1,0)+IF(LEN(O274)&gt;0,1,0)+IF(LEN(T274)&gt;0,1,0)+IF(LEN(U274)&gt;0,1,0)+IF(LEN(V274)&gt;0,1,0)+IF(LEN(AK274)&gt;0,1,0)+IF(LEN(AM274)&gt;0,1,0)+IF(LEN(AN274)&gt;0,1,0)+IF(LEN(AO274)&gt;0,1,0)+IF(LEN(AP274)&gt;0,1,0)+IF(LEN(AY274)&gt;0,1,0)+IF(LEN(BK274)&gt;0,1,0)+IF(LEN(BX274)&gt;0,1,0))/20,2))</f>
        <v/>
      </c>
      <c r="CD274" s="10" t="str">
        <f aca="false">IF(D274="","",IF(AND(AN274="Approved",ISERROR(SEARCH("FAIL",BH274))),"Y","N"))</f>
        <v/>
      </c>
      <c r="CE274" s="10" t="str">
        <f aca="false">IF(D274="","",D274&amp;"|"&amp;F274&amp;"|"&amp;G274&amp;"|"&amp;H274&amp;"|"&amp;E274&amp;"|"&amp;CD274)</f>
        <v/>
      </c>
    </row>
    <row r="275" customFormat="false" ht="15" hidden="false" customHeight="false" outlineLevel="0" collapsed="false">
      <c r="A275" s="10" t="str">
        <f aca="false">IF(D275="","","EW-"&amp;IFERROR(VLOOKUP(D275,Lists!$P$4:$Q$22,2,0),"??")&amp;"-D"&amp;TEXT(F275*1000,"0000")&amp;"-"&amp;IFERROR(VLOOKUP(G275,Lists!$S$4:$T$21,2,0),"??")&amp;"-"&amp;IFERROR(VLOOKUP(H275,Lists!$Y$4:$Z$21,2,0),"??")&amp;"-"&amp;IFERROR(VLOOKUP(E275,Lists!$V$4:$W$16,2,0),"??")&amp;"-"&amp;AM275)</f>
        <v/>
      </c>
      <c r="B275" s="10" t="str">
        <f aca="false">IF(D275="","",E275&amp;" "&amp;D275&amp;", excavation "&amp;TEXT(F275,"0.0")&amp;" m, "&amp;G275&amp;", "&amp;H275&amp;", "&amp;K275)</f>
        <v/>
      </c>
      <c r="C275" s="9"/>
      <c r="D275" s="9"/>
      <c r="E275" s="9"/>
      <c r="F275" s="42"/>
      <c r="G275" s="9"/>
      <c r="H275" s="9"/>
      <c r="I275" s="42"/>
      <c r="J275" s="38"/>
      <c r="K275" s="9"/>
      <c r="L275" s="9"/>
      <c r="M275" s="9"/>
      <c r="N275" s="42"/>
      <c r="O275" s="42"/>
      <c r="P275" s="9"/>
      <c r="Q275" s="9"/>
      <c r="R275" s="9"/>
      <c r="S275" s="9"/>
      <c r="T275" s="38"/>
      <c r="U275" s="38"/>
      <c r="V275" s="38"/>
      <c r="W275" s="38"/>
      <c r="X275" s="38"/>
      <c r="Y275" s="9"/>
      <c r="Z275" s="39"/>
      <c r="AA275" s="9"/>
      <c r="AB275" s="9"/>
      <c r="AC275" s="9"/>
      <c r="AD275" s="9"/>
      <c r="AE275" s="9"/>
      <c r="AF275" s="9"/>
      <c r="AG275" s="9"/>
      <c r="AH275" s="38"/>
      <c r="AI275" s="9"/>
      <c r="AJ275" s="39"/>
      <c r="AK275" s="9"/>
      <c r="AL275" s="9"/>
      <c r="AM275" s="9"/>
      <c r="AN275" s="9"/>
      <c r="AO275" s="9"/>
      <c r="AP275" s="9"/>
      <c r="AQ275" s="9"/>
      <c r="AR275" s="10" t="str">
        <f aca="false">IF(A275="","",SG_Criteria!$B$6&amp;SG_Criteria!$B$9&amp;"\"&amp;A275&amp;"\")</f>
        <v/>
      </c>
      <c r="AS275" s="10" t="str">
        <f aca="false">IF(A275="","",A275&amp;"_CAD.dwg")</f>
        <v/>
      </c>
      <c r="AT275" s="10" t="str">
        <f aca="false">IF(A275="","",A275&amp;"_DWG.pdf")</f>
        <v/>
      </c>
      <c r="AU275" s="10" t="str">
        <f aca="false">IF(A275="","",IF(AQ275="Y",A275&amp;"_STAAD.std","n/a"))</f>
        <v/>
      </c>
      <c r="AV275" s="10" t="str">
        <f aca="false">IF(A275="","",A275&amp;"_CALC.xlsx")</f>
        <v/>
      </c>
      <c r="AW275" s="10" t="str">
        <f aca="false">IF(A275="","",A275&amp;"_CALC.pdf")</f>
        <v/>
      </c>
      <c r="AX275" s="9"/>
      <c r="AY275" s="9"/>
      <c r="AZ275" s="39"/>
      <c r="BA275" s="39"/>
      <c r="BB275" s="39"/>
      <c r="BC275" s="39"/>
      <c r="BD275" s="39"/>
      <c r="BE275" s="12" t="str">
        <f aca="false">IF(A275="","",IF(COUNTIF(Rebar_Schedule!$A$5:$A$2004,A275)=0,"",ROUND(SUMIF(Rebar_Schedule!$A$5:$A$2004,A275,Rebar_Schedule!$K$5:$K$2004),1)))</f>
        <v/>
      </c>
      <c r="BF275" s="33" t="str">
        <f aca="false">IF(A275="","",IF(BE275="","No rebar schedule yet",IF(ABS(BE275-N(BA275))/MAX(N(BA275),1)&gt;SG_Criteria!$B$55,"NOTE: register rebar differs from schedule by "&amp;TEXT(ABS(BE275-N(BA275))/MAX(N(BA275),1),"0%"),"OK")))</f>
        <v/>
      </c>
      <c r="BG275" s="33" t="str">
        <f aca="false">IF(OR(D275="",F275=""),"",IF(F275&lt;=IF(D275="Soldier Pile &amp; Timber Lagging",SG_Criteria!$B$34,SG_Criteria!$B$33),"No ERSS submission",IF(F275&lt;=SG_Criteria!$B$35,"QP(ST)",IF(F275&lt;=SG_Criteria!$B$36,"QP(ST) + AC","Geotechnical building works: QP(Geo) + AC"))))</f>
        <v/>
      </c>
      <c r="BH275" s="33" t="str">
        <f aca="false">IF(D275="","",IF(LEN(IF(AND(AC275&lt;&gt;"",IFERROR(VALUE(MID(AC275,2,2)),0)&lt;SG_Criteria!$B$19),"FAIL: grade below C"&amp;SG_Criteria!$B$19&amp;". ","")&amp;IF(AND(LEFT(D275,3)="Con",N(I275)&lt;F275,H275="Kallang Formation (marine clay)"),"NOTE: CBP is not watertight below GWT in marine clay; consider secant / grouting. ","")&amp;IF(AND(D275="Steel Sheet Pile",E275="Permanent"),"NOTE: permanent sheet pile needs corrosion allowance. ","")&amp;IF(AND(G275="Cantilever (no support)",F275&gt;6),"NOTE: cantilever embedded wall &gt; 6 m, check deflection. ","")&amp;IF(AND(T275&lt;&gt;"",U275&lt;&gt;"",T275&gt;U275),"FAIL: deflection exceeds allowable. ",""))=0,"OK",IF(AND(AC275&lt;&gt;"",IFERROR(VALUE(MID(AC275,2,2)),0)&lt;SG_Criteria!$B$19),"FAIL: grade below C"&amp;SG_Criteria!$B$19&amp;". ","")&amp;IF(AND(LEFT(D275,3)="Con",N(I275)&lt;F275,H275="Kallang Formation (marine clay)"),"NOTE: CBP is not watertight below GWT in marine clay; consider secant / grouting. ","")&amp;IF(AND(D275="Steel Sheet Pile",E275="Permanent"),"NOTE: permanent sheet pile needs corrosion allowance. ","")&amp;IF(AND(G275="Cantilever (no support)",F275&gt;6),"NOTE: cantilever embedded wall &gt; 6 m, check deflection. ","")&amp;IF(AND(T275&lt;&gt;"",U275&lt;&gt;"",T275&gt;U275),"FAIL: deflection exceeds allowable. ","")))</f>
        <v/>
      </c>
      <c r="BI275" s="9"/>
      <c r="BJ275" s="9"/>
      <c r="BK275" s="9"/>
      <c r="BL275" s="10" t="str">
        <f aca="false">IF(BK275="","",IFERROR(VLOOKUP(BK275,Projects!$A$5:$D$504,2,0),"Ref not in Projects"))</f>
        <v/>
      </c>
      <c r="BM275" s="10" t="str">
        <f aca="false">IF(BK275="","",IFERROR(VLOOKUP(BK275,Projects!$A$5:$D$504,4,0),"Ref not in Projects"))</f>
        <v/>
      </c>
      <c r="BN275" s="9"/>
      <c r="BO275" s="9"/>
      <c r="BP275" s="9"/>
      <c r="BQ275" s="40"/>
      <c r="BR275" s="9"/>
      <c r="BS275" s="40"/>
      <c r="BT275" s="9"/>
      <c r="BU275" s="40"/>
      <c r="BV275" s="9"/>
      <c r="BW275" s="9"/>
      <c r="BX275" s="9"/>
      <c r="BY275" s="40"/>
      <c r="BZ275" s="40"/>
      <c r="CA275" s="36" t="str">
        <f aca="false">IF(BZ275="","",EDATE(BZ275,SG_Criteria!$B$54*12))</f>
        <v/>
      </c>
      <c r="CB275" s="33" t="str">
        <f aca="true">IF(A275="","",IF(BZ275="","NOTE: not reviewed yet",IF(TODAY()&gt;CA275,"NOTE: review overdue","OK")))</f>
        <v/>
      </c>
      <c r="CC275" s="37" t="str">
        <f aca="false">IF(A275="","",ROUND((IF(LEN(D275)&gt;0,1,0)+IF(LEN(E275)&gt;0,1,0)+IF(LEN(F275)&gt;0,1,0)+IF(LEN(G275)&gt;0,1,0)+IF(LEN(H275)&gt;0,1,0)+IF(LEN(I275)&gt;0,1,0)+IF(LEN(K275)&gt;0,1,0)+IF(LEN(N275)&gt;0,1,0)+IF(LEN(O275)&gt;0,1,0)+IF(LEN(T275)&gt;0,1,0)+IF(LEN(U275)&gt;0,1,0)+IF(LEN(V275)&gt;0,1,0)+IF(LEN(AK275)&gt;0,1,0)+IF(LEN(AM275)&gt;0,1,0)+IF(LEN(AN275)&gt;0,1,0)+IF(LEN(AO275)&gt;0,1,0)+IF(LEN(AP275)&gt;0,1,0)+IF(LEN(AY275)&gt;0,1,0)+IF(LEN(BK275)&gt;0,1,0)+IF(LEN(BX275)&gt;0,1,0))/20,2))</f>
        <v/>
      </c>
      <c r="CD275" s="10" t="str">
        <f aca="false">IF(D275="","",IF(AND(AN275="Approved",ISERROR(SEARCH("FAIL",BH275))),"Y","N"))</f>
        <v/>
      </c>
      <c r="CE275" s="10" t="str">
        <f aca="false">IF(D275="","",D275&amp;"|"&amp;F275&amp;"|"&amp;G275&amp;"|"&amp;H275&amp;"|"&amp;E275&amp;"|"&amp;CD275)</f>
        <v/>
      </c>
    </row>
    <row r="276" customFormat="false" ht="15" hidden="false" customHeight="false" outlineLevel="0" collapsed="false">
      <c r="A276" s="10" t="str">
        <f aca="false">IF(D276="","","EW-"&amp;IFERROR(VLOOKUP(D276,Lists!$P$4:$Q$22,2,0),"??")&amp;"-D"&amp;TEXT(F276*1000,"0000")&amp;"-"&amp;IFERROR(VLOOKUP(G276,Lists!$S$4:$T$21,2,0),"??")&amp;"-"&amp;IFERROR(VLOOKUP(H276,Lists!$Y$4:$Z$21,2,0),"??")&amp;"-"&amp;IFERROR(VLOOKUP(E276,Lists!$V$4:$W$16,2,0),"??")&amp;"-"&amp;AM276)</f>
        <v/>
      </c>
      <c r="B276" s="10" t="str">
        <f aca="false">IF(D276="","",E276&amp;" "&amp;D276&amp;", excavation "&amp;TEXT(F276,"0.0")&amp;" m, "&amp;G276&amp;", "&amp;H276&amp;", "&amp;K276)</f>
        <v/>
      </c>
      <c r="C276" s="9"/>
      <c r="D276" s="9"/>
      <c r="E276" s="9"/>
      <c r="F276" s="42"/>
      <c r="G276" s="9"/>
      <c r="H276" s="9"/>
      <c r="I276" s="42"/>
      <c r="J276" s="38"/>
      <c r="K276" s="9"/>
      <c r="L276" s="9"/>
      <c r="M276" s="9"/>
      <c r="N276" s="42"/>
      <c r="O276" s="42"/>
      <c r="P276" s="9"/>
      <c r="Q276" s="9"/>
      <c r="R276" s="9"/>
      <c r="S276" s="9"/>
      <c r="T276" s="38"/>
      <c r="U276" s="38"/>
      <c r="V276" s="38"/>
      <c r="W276" s="38"/>
      <c r="X276" s="38"/>
      <c r="Y276" s="9"/>
      <c r="Z276" s="39"/>
      <c r="AA276" s="9"/>
      <c r="AB276" s="9"/>
      <c r="AC276" s="9"/>
      <c r="AD276" s="9"/>
      <c r="AE276" s="9"/>
      <c r="AF276" s="9"/>
      <c r="AG276" s="9"/>
      <c r="AH276" s="38"/>
      <c r="AI276" s="9"/>
      <c r="AJ276" s="39"/>
      <c r="AK276" s="9"/>
      <c r="AL276" s="9"/>
      <c r="AM276" s="9"/>
      <c r="AN276" s="9"/>
      <c r="AO276" s="9"/>
      <c r="AP276" s="9"/>
      <c r="AQ276" s="9"/>
      <c r="AR276" s="10" t="str">
        <f aca="false">IF(A276="","",SG_Criteria!$B$6&amp;SG_Criteria!$B$9&amp;"\"&amp;A276&amp;"\")</f>
        <v/>
      </c>
      <c r="AS276" s="10" t="str">
        <f aca="false">IF(A276="","",A276&amp;"_CAD.dwg")</f>
        <v/>
      </c>
      <c r="AT276" s="10" t="str">
        <f aca="false">IF(A276="","",A276&amp;"_DWG.pdf")</f>
        <v/>
      </c>
      <c r="AU276" s="10" t="str">
        <f aca="false">IF(A276="","",IF(AQ276="Y",A276&amp;"_STAAD.std","n/a"))</f>
        <v/>
      </c>
      <c r="AV276" s="10" t="str">
        <f aca="false">IF(A276="","",A276&amp;"_CALC.xlsx")</f>
        <v/>
      </c>
      <c r="AW276" s="10" t="str">
        <f aca="false">IF(A276="","",A276&amp;"_CALC.pdf")</f>
        <v/>
      </c>
      <c r="AX276" s="9"/>
      <c r="AY276" s="9"/>
      <c r="AZ276" s="39"/>
      <c r="BA276" s="39"/>
      <c r="BB276" s="39"/>
      <c r="BC276" s="39"/>
      <c r="BD276" s="39"/>
      <c r="BE276" s="12" t="str">
        <f aca="false">IF(A276="","",IF(COUNTIF(Rebar_Schedule!$A$5:$A$2004,A276)=0,"",ROUND(SUMIF(Rebar_Schedule!$A$5:$A$2004,A276,Rebar_Schedule!$K$5:$K$2004),1)))</f>
        <v/>
      </c>
      <c r="BF276" s="33" t="str">
        <f aca="false">IF(A276="","",IF(BE276="","No rebar schedule yet",IF(ABS(BE276-N(BA276))/MAX(N(BA276),1)&gt;SG_Criteria!$B$55,"NOTE: register rebar differs from schedule by "&amp;TEXT(ABS(BE276-N(BA276))/MAX(N(BA276),1),"0%"),"OK")))</f>
        <v/>
      </c>
      <c r="BG276" s="33" t="str">
        <f aca="false">IF(OR(D276="",F276=""),"",IF(F276&lt;=IF(D276="Soldier Pile &amp; Timber Lagging",SG_Criteria!$B$34,SG_Criteria!$B$33),"No ERSS submission",IF(F276&lt;=SG_Criteria!$B$35,"QP(ST)",IF(F276&lt;=SG_Criteria!$B$36,"QP(ST) + AC","Geotechnical building works: QP(Geo) + AC"))))</f>
        <v/>
      </c>
      <c r="BH276" s="33" t="str">
        <f aca="false">IF(D276="","",IF(LEN(IF(AND(AC276&lt;&gt;"",IFERROR(VALUE(MID(AC276,2,2)),0)&lt;SG_Criteria!$B$19),"FAIL: grade below C"&amp;SG_Criteria!$B$19&amp;". ","")&amp;IF(AND(LEFT(D276,3)="Con",N(I276)&lt;F276,H276="Kallang Formation (marine clay)"),"NOTE: CBP is not watertight below GWT in marine clay; consider secant / grouting. ","")&amp;IF(AND(D276="Steel Sheet Pile",E276="Permanent"),"NOTE: permanent sheet pile needs corrosion allowance. ","")&amp;IF(AND(G276="Cantilever (no support)",F276&gt;6),"NOTE: cantilever embedded wall &gt; 6 m, check deflection. ","")&amp;IF(AND(T276&lt;&gt;"",U276&lt;&gt;"",T276&gt;U276),"FAIL: deflection exceeds allowable. ",""))=0,"OK",IF(AND(AC276&lt;&gt;"",IFERROR(VALUE(MID(AC276,2,2)),0)&lt;SG_Criteria!$B$19),"FAIL: grade below C"&amp;SG_Criteria!$B$19&amp;". ","")&amp;IF(AND(LEFT(D276,3)="Con",N(I276)&lt;F276,H276="Kallang Formation (marine clay)"),"NOTE: CBP is not watertight below GWT in marine clay; consider secant / grouting. ","")&amp;IF(AND(D276="Steel Sheet Pile",E276="Permanent"),"NOTE: permanent sheet pile needs corrosion allowance. ","")&amp;IF(AND(G276="Cantilever (no support)",F276&gt;6),"NOTE: cantilever embedded wall &gt; 6 m, check deflection. ","")&amp;IF(AND(T276&lt;&gt;"",U276&lt;&gt;"",T276&gt;U276),"FAIL: deflection exceeds allowable. ","")))</f>
        <v/>
      </c>
      <c r="BI276" s="9"/>
      <c r="BJ276" s="9"/>
      <c r="BK276" s="9"/>
      <c r="BL276" s="10" t="str">
        <f aca="false">IF(BK276="","",IFERROR(VLOOKUP(BK276,Projects!$A$5:$D$504,2,0),"Ref not in Projects"))</f>
        <v/>
      </c>
      <c r="BM276" s="10" t="str">
        <f aca="false">IF(BK276="","",IFERROR(VLOOKUP(BK276,Projects!$A$5:$D$504,4,0),"Ref not in Projects"))</f>
        <v/>
      </c>
      <c r="BN276" s="9"/>
      <c r="BO276" s="9"/>
      <c r="BP276" s="9"/>
      <c r="BQ276" s="40"/>
      <c r="BR276" s="9"/>
      <c r="BS276" s="40"/>
      <c r="BT276" s="9"/>
      <c r="BU276" s="40"/>
      <c r="BV276" s="9"/>
      <c r="BW276" s="9"/>
      <c r="BX276" s="9"/>
      <c r="BY276" s="40"/>
      <c r="BZ276" s="40"/>
      <c r="CA276" s="36" t="str">
        <f aca="false">IF(BZ276="","",EDATE(BZ276,SG_Criteria!$B$54*12))</f>
        <v/>
      </c>
      <c r="CB276" s="33" t="str">
        <f aca="true">IF(A276="","",IF(BZ276="","NOTE: not reviewed yet",IF(TODAY()&gt;CA276,"NOTE: review overdue","OK")))</f>
        <v/>
      </c>
      <c r="CC276" s="37" t="str">
        <f aca="false">IF(A276="","",ROUND((IF(LEN(D276)&gt;0,1,0)+IF(LEN(E276)&gt;0,1,0)+IF(LEN(F276)&gt;0,1,0)+IF(LEN(G276)&gt;0,1,0)+IF(LEN(H276)&gt;0,1,0)+IF(LEN(I276)&gt;0,1,0)+IF(LEN(K276)&gt;0,1,0)+IF(LEN(N276)&gt;0,1,0)+IF(LEN(O276)&gt;0,1,0)+IF(LEN(T276)&gt;0,1,0)+IF(LEN(U276)&gt;0,1,0)+IF(LEN(V276)&gt;0,1,0)+IF(LEN(AK276)&gt;0,1,0)+IF(LEN(AM276)&gt;0,1,0)+IF(LEN(AN276)&gt;0,1,0)+IF(LEN(AO276)&gt;0,1,0)+IF(LEN(AP276)&gt;0,1,0)+IF(LEN(AY276)&gt;0,1,0)+IF(LEN(BK276)&gt;0,1,0)+IF(LEN(BX276)&gt;0,1,0))/20,2))</f>
        <v/>
      </c>
      <c r="CD276" s="10" t="str">
        <f aca="false">IF(D276="","",IF(AND(AN276="Approved",ISERROR(SEARCH("FAIL",BH276))),"Y","N"))</f>
        <v/>
      </c>
      <c r="CE276" s="10" t="str">
        <f aca="false">IF(D276="","",D276&amp;"|"&amp;F276&amp;"|"&amp;G276&amp;"|"&amp;H276&amp;"|"&amp;E276&amp;"|"&amp;CD276)</f>
        <v/>
      </c>
    </row>
    <row r="277" customFormat="false" ht="15" hidden="false" customHeight="false" outlineLevel="0" collapsed="false">
      <c r="A277" s="10" t="str">
        <f aca="false">IF(D277="","","EW-"&amp;IFERROR(VLOOKUP(D277,Lists!$P$4:$Q$22,2,0),"??")&amp;"-D"&amp;TEXT(F277*1000,"0000")&amp;"-"&amp;IFERROR(VLOOKUP(G277,Lists!$S$4:$T$21,2,0),"??")&amp;"-"&amp;IFERROR(VLOOKUP(H277,Lists!$Y$4:$Z$21,2,0),"??")&amp;"-"&amp;IFERROR(VLOOKUP(E277,Lists!$V$4:$W$16,2,0),"??")&amp;"-"&amp;AM277)</f>
        <v/>
      </c>
      <c r="B277" s="10" t="str">
        <f aca="false">IF(D277="","",E277&amp;" "&amp;D277&amp;", excavation "&amp;TEXT(F277,"0.0")&amp;" m, "&amp;G277&amp;", "&amp;H277&amp;", "&amp;K277)</f>
        <v/>
      </c>
      <c r="C277" s="9"/>
      <c r="D277" s="9"/>
      <c r="E277" s="9"/>
      <c r="F277" s="42"/>
      <c r="G277" s="9"/>
      <c r="H277" s="9"/>
      <c r="I277" s="42"/>
      <c r="J277" s="38"/>
      <c r="K277" s="9"/>
      <c r="L277" s="9"/>
      <c r="M277" s="9"/>
      <c r="N277" s="42"/>
      <c r="O277" s="42"/>
      <c r="P277" s="9"/>
      <c r="Q277" s="9"/>
      <c r="R277" s="9"/>
      <c r="S277" s="9"/>
      <c r="T277" s="38"/>
      <c r="U277" s="38"/>
      <c r="V277" s="38"/>
      <c r="W277" s="38"/>
      <c r="X277" s="38"/>
      <c r="Y277" s="9"/>
      <c r="Z277" s="39"/>
      <c r="AA277" s="9"/>
      <c r="AB277" s="9"/>
      <c r="AC277" s="9"/>
      <c r="AD277" s="9"/>
      <c r="AE277" s="9"/>
      <c r="AF277" s="9"/>
      <c r="AG277" s="9"/>
      <c r="AH277" s="38"/>
      <c r="AI277" s="9"/>
      <c r="AJ277" s="39"/>
      <c r="AK277" s="9"/>
      <c r="AL277" s="9"/>
      <c r="AM277" s="9"/>
      <c r="AN277" s="9"/>
      <c r="AO277" s="9"/>
      <c r="AP277" s="9"/>
      <c r="AQ277" s="9"/>
      <c r="AR277" s="10" t="str">
        <f aca="false">IF(A277="","",SG_Criteria!$B$6&amp;SG_Criteria!$B$9&amp;"\"&amp;A277&amp;"\")</f>
        <v/>
      </c>
      <c r="AS277" s="10" t="str">
        <f aca="false">IF(A277="","",A277&amp;"_CAD.dwg")</f>
        <v/>
      </c>
      <c r="AT277" s="10" t="str">
        <f aca="false">IF(A277="","",A277&amp;"_DWG.pdf")</f>
        <v/>
      </c>
      <c r="AU277" s="10" t="str">
        <f aca="false">IF(A277="","",IF(AQ277="Y",A277&amp;"_STAAD.std","n/a"))</f>
        <v/>
      </c>
      <c r="AV277" s="10" t="str">
        <f aca="false">IF(A277="","",A277&amp;"_CALC.xlsx")</f>
        <v/>
      </c>
      <c r="AW277" s="10" t="str">
        <f aca="false">IF(A277="","",A277&amp;"_CALC.pdf")</f>
        <v/>
      </c>
      <c r="AX277" s="9"/>
      <c r="AY277" s="9"/>
      <c r="AZ277" s="39"/>
      <c r="BA277" s="39"/>
      <c r="BB277" s="39"/>
      <c r="BC277" s="39"/>
      <c r="BD277" s="39"/>
      <c r="BE277" s="12" t="str">
        <f aca="false">IF(A277="","",IF(COUNTIF(Rebar_Schedule!$A$5:$A$2004,A277)=0,"",ROUND(SUMIF(Rebar_Schedule!$A$5:$A$2004,A277,Rebar_Schedule!$K$5:$K$2004),1)))</f>
        <v/>
      </c>
      <c r="BF277" s="33" t="str">
        <f aca="false">IF(A277="","",IF(BE277="","No rebar schedule yet",IF(ABS(BE277-N(BA277))/MAX(N(BA277),1)&gt;SG_Criteria!$B$55,"NOTE: register rebar differs from schedule by "&amp;TEXT(ABS(BE277-N(BA277))/MAX(N(BA277),1),"0%"),"OK")))</f>
        <v/>
      </c>
      <c r="BG277" s="33" t="str">
        <f aca="false">IF(OR(D277="",F277=""),"",IF(F277&lt;=IF(D277="Soldier Pile &amp; Timber Lagging",SG_Criteria!$B$34,SG_Criteria!$B$33),"No ERSS submission",IF(F277&lt;=SG_Criteria!$B$35,"QP(ST)",IF(F277&lt;=SG_Criteria!$B$36,"QP(ST) + AC","Geotechnical building works: QP(Geo) + AC"))))</f>
        <v/>
      </c>
      <c r="BH277" s="33" t="str">
        <f aca="false">IF(D277="","",IF(LEN(IF(AND(AC277&lt;&gt;"",IFERROR(VALUE(MID(AC277,2,2)),0)&lt;SG_Criteria!$B$19),"FAIL: grade below C"&amp;SG_Criteria!$B$19&amp;". ","")&amp;IF(AND(LEFT(D277,3)="Con",N(I277)&lt;F277,H277="Kallang Formation (marine clay)"),"NOTE: CBP is not watertight below GWT in marine clay; consider secant / grouting. ","")&amp;IF(AND(D277="Steel Sheet Pile",E277="Permanent"),"NOTE: permanent sheet pile needs corrosion allowance. ","")&amp;IF(AND(G277="Cantilever (no support)",F277&gt;6),"NOTE: cantilever embedded wall &gt; 6 m, check deflection. ","")&amp;IF(AND(T277&lt;&gt;"",U277&lt;&gt;"",T277&gt;U277),"FAIL: deflection exceeds allowable. ",""))=0,"OK",IF(AND(AC277&lt;&gt;"",IFERROR(VALUE(MID(AC277,2,2)),0)&lt;SG_Criteria!$B$19),"FAIL: grade below C"&amp;SG_Criteria!$B$19&amp;". ","")&amp;IF(AND(LEFT(D277,3)="Con",N(I277)&lt;F277,H277="Kallang Formation (marine clay)"),"NOTE: CBP is not watertight below GWT in marine clay; consider secant / grouting. ","")&amp;IF(AND(D277="Steel Sheet Pile",E277="Permanent"),"NOTE: permanent sheet pile needs corrosion allowance. ","")&amp;IF(AND(G277="Cantilever (no support)",F277&gt;6),"NOTE: cantilever embedded wall &gt; 6 m, check deflection. ","")&amp;IF(AND(T277&lt;&gt;"",U277&lt;&gt;"",T277&gt;U277),"FAIL: deflection exceeds allowable. ","")))</f>
        <v/>
      </c>
      <c r="BI277" s="9"/>
      <c r="BJ277" s="9"/>
      <c r="BK277" s="9"/>
      <c r="BL277" s="10" t="str">
        <f aca="false">IF(BK277="","",IFERROR(VLOOKUP(BK277,Projects!$A$5:$D$504,2,0),"Ref not in Projects"))</f>
        <v/>
      </c>
      <c r="BM277" s="10" t="str">
        <f aca="false">IF(BK277="","",IFERROR(VLOOKUP(BK277,Projects!$A$5:$D$504,4,0),"Ref not in Projects"))</f>
        <v/>
      </c>
      <c r="BN277" s="9"/>
      <c r="BO277" s="9"/>
      <c r="BP277" s="9"/>
      <c r="BQ277" s="40"/>
      <c r="BR277" s="9"/>
      <c r="BS277" s="40"/>
      <c r="BT277" s="9"/>
      <c r="BU277" s="40"/>
      <c r="BV277" s="9"/>
      <c r="BW277" s="9"/>
      <c r="BX277" s="9"/>
      <c r="BY277" s="40"/>
      <c r="BZ277" s="40"/>
      <c r="CA277" s="36" t="str">
        <f aca="false">IF(BZ277="","",EDATE(BZ277,SG_Criteria!$B$54*12))</f>
        <v/>
      </c>
      <c r="CB277" s="33" t="str">
        <f aca="true">IF(A277="","",IF(BZ277="","NOTE: not reviewed yet",IF(TODAY()&gt;CA277,"NOTE: review overdue","OK")))</f>
        <v/>
      </c>
      <c r="CC277" s="37" t="str">
        <f aca="false">IF(A277="","",ROUND((IF(LEN(D277)&gt;0,1,0)+IF(LEN(E277)&gt;0,1,0)+IF(LEN(F277)&gt;0,1,0)+IF(LEN(G277)&gt;0,1,0)+IF(LEN(H277)&gt;0,1,0)+IF(LEN(I277)&gt;0,1,0)+IF(LEN(K277)&gt;0,1,0)+IF(LEN(N277)&gt;0,1,0)+IF(LEN(O277)&gt;0,1,0)+IF(LEN(T277)&gt;0,1,0)+IF(LEN(U277)&gt;0,1,0)+IF(LEN(V277)&gt;0,1,0)+IF(LEN(AK277)&gt;0,1,0)+IF(LEN(AM277)&gt;0,1,0)+IF(LEN(AN277)&gt;0,1,0)+IF(LEN(AO277)&gt;0,1,0)+IF(LEN(AP277)&gt;0,1,0)+IF(LEN(AY277)&gt;0,1,0)+IF(LEN(BK277)&gt;0,1,0)+IF(LEN(BX277)&gt;0,1,0))/20,2))</f>
        <v/>
      </c>
      <c r="CD277" s="10" t="str">
        <f aca="false">IF(D277="","",IF(AND(AN277="Approved",ISERROR(SEARCH("FAIL",BH277))),"Y","N"))</f>
        <v/>
      </c>
      <c r="CE277" s="10" t="str">
        <f aca="false">IF(D277="","",D277&amp;"|"&amp;F277&amp;"|"&amp;G277&amp;"|"&amp;H277&amp;"|"&amp;E277&amp;"|"&amp;CD277)</f>
        <v/>
      </c>
    </row>
    <row r="278" customFormat="false" ht="15" hidden="false" customHeight="false" outlineLevel="0" collapsed="false">
      <c r="A278" s="10" t="str">
        <f aca="false">IF(D278="","","EW-"&amp;IFERROR(VLOOKUP(D278,Lists!$P$4:$Q$22,2,0),"??")&amp;"-D"&amp;TEXT(F278*1000,"0000")&amp;"-"&amp;IFERROR(VLOOKUP(G278,Lists!$S$4:$T$21,2,0),"??")&amp;"-"&amp;IFERROR(VLOOKUP(H278,Lists!$Y$4:$Z$21,2,0),"??")&amp;"-"&amp;IFERROR(VLOOKUP(E278,Lists!$V$4:$W$16,2,0),"??")&amp;"-"&amp;AM278)</f>
        <v/>
      </c>
      <c r="B278" s="10" t="str">
        <f aca="false">IF(D278="","",E278&amp;" "&amp;D278&amp;", excavation "&amp;TEXT(F278,"0.0")&amp;" m, "&amp;G278&amp;", "&amp;H278&amp;", "&amp;K278)</f>
        <v/>
      </c>
      <c r="C278" s="9"/>
      <c r="D278" s="9"/>
      <c r="E278" s="9"/>
      <c r="F278" s="42"/>
      <c r="G278" s="9"/>
      <c r="H278" s="9"/>
      <c r="I278" s="42"/>
      <c r="J278" s="38"/>
      <c r="K278" s="9"/>
      <c r="L278" s="9"/>
      <c r="M278" s="9"/>
      <c r="N278" s="42"/>
      <c r="O278" s="42"/>
      <c r="P278" s="9"/>
      <c r="Q278" s="9"/>
      <c r="R278" s="9"/>
      <c r="S278" s="9"/>
      <c r="T278" s="38"/>
      <c r="U278" s="38"/>
      <c r="V278" s="38"/>
      <c r="W278" s="38"/>
      <c r="X278" s="38"/>
      <c r="Y278" s="9"/>
      <c r="Z278" s="39"/>
      <c r="AA278" s="9"/>
      <c r="AB278" s="9"/>
      <c r="AC278" s="9"/>
      <c r="AD278" s="9"/>
      <c r="AE278" s="9"/>
      <c r="AF278" s="9"/>
      <c r="AG278" s="9"/>
      <c r="AH278" s="38"/>
      <c r="AI278" s="9"/>
      <c r="AJ278" s="39"/>
      <c r="AK278" s="9"/>
      <c r="AL278" s="9"/>
      <c r="AM278" s="9"/>
      <c r="AN278" s="9"/>
      <c r="AO278" s="9"/>
      <c r="AP278" s="9"/>
      <c r="AQ278" s="9"/>
      <c r="AR278" s="10" t="str">
        <f aca="false">IF(A278="","",SG_Criteria!$B$6&amp;SG_Criteria!$B$9&amp;"\"&amp;A278&amp;"\")</f>
        <v/>
      </c>
      <c r="AS278" s="10" t="str">
        <f aca="false">IF(A278="","",A278&amp;"_CAD.dwg")</f>
        <v/>
      </c>
      <c r="AT278" s="10" t="str">
        <f aca="false">IF(A278="","",A278&amp;"_DWG.pdf")</f>
        <v/>
      </c>
      <c r="AU278" s="10" t="str">
        <f aca="false">IF(A278="","",IF(AQ278="Y",A278&amp;"_STAAD.std","n/a"))</f>
        <v/>
      </c>
      <c r="AV278" s="10" t="str">
        <f aca="false">IF(A278="","",A278&amp;"_CALC.xlsx")</f>
        <v/>
      </c>
      <c r="AW278" s="10" t="str">
        <f aca="false">IF(A278="","",A278&amp;"_CALC.pdf")</f>
        <v/>
      </c>
      <c r="AX278" s="9"/>
      <c r="AY278" s="9"/>
      <c r="AZ278" s="39"/>
      <c r="BA278" s="39"/>
      <c r="BB278" s="39"/>
      <c r="BC278" s="39"/>
      <c r="BD278" s="39"/>
      <c r="BE278" s="12" t="str">
        <f aca="false">IF(A278="","",IF(COUNTIF(Rebar_Schedule!$A$5:$A$2004,A278)=0,"",ROUND(SUMIF(Rebar_Schedule!$A$5:$A$2004,A278,Rebar_Schedule!$K$5:$K$2004),1)))</f>
        <v/>
      </c>
      <c r="BF278" s="33" t="str">
        <f aca="false">IF(A278="","",IF(BE278="","No rebar schedule yet",IF(ABS(BE278-N(BA278))/MAX(N(BA278),1)&gt;SG_Criteria!$B$55,"NOTE: register rebar differs from schedule by "&amp;TEXT(ABS(BE278-N(BA278))/MAX(N(BA278),1),"0%"),"OK")))</f>
        <v/>
      </c>
      <c r="BG278" s="33" t="str">
        <f aca="false">IF(OR(D278="",F278=""),"",IF(F278&lt;=IF(D278="Soldier Pile &amp; Timber Lagging",SG_Criteria!$B$34,SG_Criteria!$B$33),"No ERSS submission",IF(F278&lt;=SG_Criteria!$B$35,"QP(ST)",IF(F278&lt;=SG_Criteria!$B$36,"QP(ST) + AC","Geotechnical building works: QP(Geo) + AC"))))</f>
        <v/>
      </c>
      <c r="BH278" s="33" t="str">
        <f aca="false">IF(D278="","",IF(LEN(IF(AND(AC278&lt;&gt;"",IFERROR(VALUE(MID(AC278,2,2)),0)&lt;SG_Criteria!$B$19),"FAIL: grade below C"&amp;SG_Criteria!$B$19&amp;". ","")&amp;IF(AND(LEFT(D278,3)="Con",N(I278)&lt;F278,H278="Kallang Formation (marine clay)"),"NOTE: CBP is not watertight below GWT in marine clay; consider secant / grouting. ","")&amp;IF(AND(D278="Steel Sheet Pile",E278="Permanent"),"NOTE: permanent sheet pile needs corrosion allowance. ","")&amp;IF(AND(G278="Cantilever (no support)",F278&gt;6),"NOTE: cantilever embedded wall &gt; 6 m, check deflection. ","")&amp;IF(AND(T278&lt;&gt;"",U278&lt;&gt;"",T278&gt;U278),"FAIL: deflection exceeds allowable. ",""))=0,"OK",IF(AND(AC278&lt;&gt;"",IFERROR(VALUE(MID(AC278,2,2)),0)&lt;SG_Criteria!$B$19),"FAIL: grade below C"&amp;SG_Criteria!$B$19&amp;". ","")&amp;IF(AND(LEFT(D278,3)="Con",N(I278)&lt;F278,H278="Kallang Formation (marine clay)"),"NOTE: CBP is not watertight below GWT in marine clay; consider secant / grouting. ","")&amp;IF(AND(D278="Steel Sheet Pile",E278="Permanent"),"NOTE: permanent sheet pile needs corrosion allowance. ","")&amp;IF(AND(G278="Cantilever (no support)",F278&gt;6),"NOTE: cantilever embedded wall &gt; 6 m, check deflection. ","")&amp;IF(AND(T278&lt;&gt;"",U278&lt;&gt;"",T278&gt;U278),"FAIL: deflection exceeds allowable. ","")))</f>
        <v/>
      </c>
      <c r="BI278" s="9"/>
      <c r="BJ278" s="9"/>
      <c r="BK278" s="9"/>
      <c r="BL278" s="10" t="str">
        <f aca="false">IF(BK278="","",IFERROR(VLOOKUP(BK278,Projects!$A$5:$D$504,2,0),"Ref not in Projects"))</f>
        <v/>
      </c>
      <c r="BM278" s="10" t="str">
        <f aca="false">IF(BK278="","",IFERROR(VLOOKUP(BK278,Projects!$A$5:$D$504,4,0),"Ref not in Projects"))</f>
        <v/>
      </c>
      <c r="BN278" s="9"/>
      <c r="BO278" s="9"/>
      <c r="BP278" s="9"/>
      <c r="BQ278" s="40"/>
      <c r="BR278" s="9"/>
      <c r="BS278" s="40"/>
      <c r="BT278" s="9"/>
      <c r="BU278" s="40"/>
      <c r="BV278" s="9"/>
      <c r="BW278" s="9"/>
      <c r="BX278" s="9"/>
      <c r="BY278" s="40"/>
      <c r="BZ278" s="40"/>
      <c r="CA278" s="36" t="str">
        <f aca="false">IF(BZ278="","",EDATE(BZ278,SG_Criteria!$B$54*12))</f>
        <v/>
      </c>
      <c r="CB278" s="33" t="str">
        <f aca="true">IF(A278="","",IF(BZ278="","NOTE: not reviewed yet",IF(TODAY()&gt;CA278,"NOTE: review overdue","OK")))</f>
        <v/>
      </c>
      <c r="CC278" s="37" t="str">
        <f aca="false">IF(A278="","",ROUND((IF(LEN(D278)&gt;0,1,0)+IF(LEN(E278)&gt;0,1,0)+IF(LEN(F278)&gt;0,1,0)+IF(LEN(G278)&gt;0,1,0)+IF(LEN(H278)&gt;0,1,0)+IF(LEN(I278)&gt;0,1,0)+IF(LEN(K278)&gt;0,1,0)+IF(LEN(N278)&gt;0,1,0)+IF(LEN(O278)&gt;0,1,0)+IF(LEN(T278)&gt;0,1,0)+IF(LEN(U278)&gt;0,1,0)+IF(LEN(V278)&gt;0,1,0)+IF(LEN(AK278)&gt;0,1,0)+IF(LEN(AM278)&gt;0,1,0)+IF(LEN(AN278)&gt;0,1,0)+IF(LEN(AO278)&gt;0,1,0)+IF(LEN(AP278)&gt;0,1,0)+IF(LEN(AY278)&gt;0,1,0)+IF(LEN(BK278)&gt;0,1,0)+IF(LEN(BX278)&gt;0,1,0))/20,2))</f>
        <v/>
      </c>
      <c r="CD278" s="10" t="str">
        <f aca="false">IF(D278="","",IF(AND(AN278="Approved",ISERROR(SEARCH("FAIL",BH278))),"Y","N"))</f>
        <v/>
      </c>
      <c r="CE278" s="10" t="str">
        <f aca="false">IF(D278="","",D278&amp;"|"&amp;F278&amp;"|"&amp;G278&amp;"|"&amp;H278&amp;"|"&amp;E278&amp;"|"&amp;CD278)</f>
        <v/>
      </c>
    </row>
    <row r="279" customFormat="false" ht="15" hidden="false" customHeight="false" outlineLevel="0" collapsed="false">
      <c r="A279" s="10" t="str">
        <f aca="false">IF(D279="","","EW-"&amp;IFERROR(VLOOKUP(D279,Lists!$P$4:$Q$22,2,0),"??")&amp;"-D"&amp;TEXT(F279*1000,"0000")&amp;"-"&amp;IFERROR(VLOOKUP(G279,Lists!$S$4:$T$21,2,0),"??")&amp;"-"&amp;IFERROR(VLOOKUP(H279,Lists!$Y$4:$Z$21,2,0),"??")&amp;"-"&amp;IFERROR(VLOOKUP(E279,Lists!$V$4:$W$16,2,0),"??")&amp;"-"&amp;AM279)</f>
        <v/>
      </c>
      <c r="B279" s="10" t="str">
        <f aca="false">IF(D279="","",E279&amp;" "&amp;D279&amp;", excavation "&amp;TEXT(F279,"0.0")&amp;" m, "&amp;G279&amp;", "&amp;H279&amp;", "&amp;K279)</f>
        <v/>
      </c>
      <c r="C279" s="9"/>
      <c r="D279" s="9"/>
      <c r="E279" s="9"/>
      <c r="F279" s="42"/>
      <c r="G279" s="9"/>
      <c r="H279" s="9"/>
      <c r="I279" s="42"/>
      <c r="J279" s="38"/>
      <c r="K279" s="9"/>
      <c r="L279" s="9"/>
      <c r="M279" s="9"/>
      <c r="N279" s="42"/>
      <c r="O279" s="42"/>
      <c r="P279" s="9"/>
      <c r="Q279" s="9"/>
      <c r="R279" s="9"/>
      <c r="S279" s="9"/>
      <c r="T279" s="38"/>
      <c r="U279" s="38"/>
      <c r="V279" s="38"/>
      <c r="W279" s="38"/>
      <c r="X279" s="38"/>
      <c r="Y279" s="9"/>
      <c r="Z279" s="39"/>
      <c r="AA279" s="9"/>
      <c r="AB279" s="9"/>
      <c r="AC279" s="9"/>
      <c r="AD279" s="9"/>
      <c r="AE279" s="9"/>
      <c r="AF279" s="9"/>
      <c r="AG279" s="9"/>
      <c r="AH279" s="38"/>
      <c r="AI279" s="9"/>
      <c r="AJ279" s="39"/>
      <c r="AK279" s="9"/>
      <c r="AL279" s="9"/>
      <c r="AM279" s="9"/>
      <c r="AN279" s="9"/>
      <c r="AO279" s="9"/>
      <c r="AP279" s="9"/>
      <c r="AQ279" s="9"/>
      <c r="AR279" s="10" t="str">
        <f aca="false">IF(A279="","",SG_Criteria!$B$6&amp;SG_Criteria!$B$9&amp;"\"&amp;A279&amp;"\")</f>
        <v/>
      </c>
      <c r="AS279" s="10" t="str">
        <f aca="false">IF(A279="","",A279&amp;"_CAD.dwg")</f>
        <v/>
      </c>
      <c r="AT279" s="10" t="str">
        <f aca="false">IF(A279="","",A279&amp;"_DWG.pdf")</f>
        <v/>
      </c>
      <c r="AU279" s="10" t="str">
        <f aca="false">IF(A279="","",IF(AQ279="Y",A279&amp;"_STAAD.std","n/a"))</f>
        <v/>
      </c>
      <c r="AV279" s="10" t="str">
        <f aca="false">IF(A279="","",A279&amp;"_CALC.xlsx")</f>
        <v/>
      </c>
      <c r="AW279" s="10" t="str">
        <f aca="false">IF(A279="","",A279&amp;"_CALC.pdf")</f>
        <v/>
      </c>
      <c r="AX279" s="9"/>
      <c r="AY279" s="9"/>
      <c r="AZ279" s="39"/>
      <c r="BA279" s="39"/>
      <c r="BB279" s="39"/>
      <c r="BC279" s="39"/>
      <c r="BD279" s="39"/>
      <c r="BE279" s="12" t="str">
        <f aca="false">IF(A279="","",IF(COUNTIF(Rebar_Schedule!$A$5:$A$2004,A279)=0,"",ROUND(SUMIF(Rebar_Schedule!$A$5:$A$2004,A279,Rebar_Schedule!$K$5:$K$2004),1)))</f>
        <v/>
      </c>
      <c r="BF279" s="33" t="str">
        <f aca="false">IF(A279="","",IF(BE279="","No rebar schedule yet",IF(ABS(BE279-N(BA279))/MAX(N(BA279),1)&gt;SG_Criteria!$B$55,"NOTE: register rebar differs from schedule by "&amp;TEXT(ABS(BE279-N(BA279))/MAX(N(BA279),1),"0%"),"OK")))</f>
        <v/>
      </c>
      <c r="BG279" s="33" t="str">
        <f aca="false">IF(OR(D279="",F279=""),"",IF(F279&lt;=IF(D279="Soldier Pile &amp; Timber Lagging",SG_Criteria!$B$34,SG_Criteria!$B$33),"No ERSS submission",IF(F279&lt;=SG_Criteria!$B$35,"QP(ST)",IF(F279&lt;=SG_Criteria!$B$36,"QP(ST) + AC","Geotechnical building works: QP(Geo) + AC"))))</f>
        <v/>
      </c>
      <c r="BH279" s="33" t="str">
        <f aca="false">IF(D279="","",IF(LEN(IF(AND(AC279&lt;&gt;"",IFERROR(VALUE(MID(AC279,2,2)),0)&lt;SG_Criteria!$B$19),"FAIL: grade below C"&amp;SG_Criteria!$B$19&amp;". ","")&amp;IF(AND(LEFT(D279,3)="Con",N(I279)&lt;F279,H279="Kallang Formation (marine clay)"),"NOTE: CBP is not watertight below GWT in marine clay; consider secant / grouting. ","")&amp;IF(AND(D279="Steel Sheet Pile",E279="Permanent"),"NOTE: permanent sheet pile needs corrosion allowance. ","")&amp;IF(AND(G279="Cantilever (no support)",F279&gt;6),"NOTE: cantilever embedded wall &gt; 6 m, check deflection. ","")&amp;IF(AND(T279&lt;&gt;"",U279&lt;&gt;"",T279&gt;U279),"FAIL: deflection exceeds allowable. ",""))=0,"OK",IF(AND(AC279&lt;&gt;"",IFERROR(VALUE(MID(AC279,2,2)),0)&lt;SG_Criteria!$B$19),"FAIL: grade below C"&amp;SG_Criteria!$B$19&amp;". ","")&amp;IF(AND(LEFT(D279,3)="Con",N(I279)&lt;F279,H279="Kallang Formation (marine clay)"),"NOTE: CBP is not watertight below GWT in marine clay; consider secant / grouting. ","")&amp;IF(AND(D279="Steel Sheet Pile",E279="Permanent"),"NOTE: permanent sheet pile needs corrosion allowance. ","")&amp;IF(AND(G279="Cantilever (no support)",F279&gt;6),"NOTE: cantilever embedded wall &gt; 6 m, check deflection. ","")&amp;IF(AND(T279&lt;&gt;"",U279&lt;&gt;"",T279&gt;U279),"FAIL: deflection exceeds allowable. ","")))</f>
        <v/>
      </c>
      <c r="BI279" s="9"/>
      <c r="BJ279" s="9"/>
      <c r="BK279" s="9"/>
      <c r="BL279" s="10" t="str">
        <f aca="false">IF(BK279="","",IFERROR(VLOOKUP(BK279,Projects!$A$5:$D$504,2,0),"Ref not in Projects"))</f>
        <v/>
      </c>
      <c r="BM279" s="10" t="str">
        <f aca="false">IF(BK279="","",IFERROR(VLOOKUP(BK279,Projects!$A$5:$D$504,4,0),"Ref not in Projects"))</f>
        <v/>
      </c>
      <c r="BN279" s="9"/>
      <c r="BO279" s="9"/>
      <c r="BP279" s="9"/>
      <c r="BQ279" s="40"/>
      <c r="BR279" s="9"/>
      <c r="BS279" s="40"/>
      <c r="BT279" s="9"/>
      <c r="BU279" s="40"/>
      <c r="BV279" s="9"/>
      <c r="BW279" s="9"/>
      <c r="BX279" s="9"/>
      <c r="BY279" s="40"/>
      <c r="BZ279" s="40"/>
      <c r="CA279" s="36" t="str">
        <f aca="false">IF(BZ279="","",EDATE(BZ279,SG_Criteria!$B$54*12))</f>
        <v/>
      </c>
      <c r="CB279" s="33" t="str">
        <f aca="true">IF(A279="","",IF(BZ279="","NOTE: not reviewed yet",IF(TODAY()&gt;CA279,"NOTE: review overdue","OK")))</f>
        <v/>
      </c>
      <c r="CC279" s="37" t="str">
        <f aca="false">IF(A279="","",ROUND((IF(LEN(D279)&gt;0,1,0)+IF(LEN(E279)&gt;0,1,0)+IF(LEN(F279)&gt;0,1,0)+IF(LEN(G279)&gt;0,1,0)+IF(LEN(H279)&gt;0,1,0)+IF(LEN(I279)&gt;0,1,0)+IF(LEN(K279)&gt;0,1,0)+IF(LEN(N279)&gt;0,1,0)+IF(LEN(O279)&gt;0,1,0)+IF(LEN(T279)&gt;0,1,0)+IF(LEN(U279)&gt;0,1,0)+IF(LEN(V279)&gt;0,1,0)+IF(LEN(AK279)&gt;0,1,0)+IF(LEN(AM279)&gt;0,1,0)+IF(LEN(AN279)&gt;0,1,0)+IF(LEN(AO279)&gt;0,1,0)+IF(LEN(AP279)&gt;0,1,0)+IF(LEN(AY279)&gt;0,1,0)+IF(LEN(BK279)&gt;0,1,0)+IF(LEN(BX279)&gt;0,1,0))/20,2))</f>
        <v/>
      </c>
      <c r="CD279" s="10" t="str">
        <f aca="false">IF(D279="","",IF(AND(AN279="Approved",ISERROR(SEARCH("FAIL",BH279))),"Y","N"))</f>
        <v/>
      </c>
      <c r="CE279" s="10" t="str">
        <f aca="false">IF(D279="","",D279&amp;"|"&amp;F279&amp;"|"&amp;G279&amp;"|"&amp;H279&amp;"|"&amp;E279&amp;"|"&amp;CD279)</f>
        <v/>
      </c>
    </row>
    <row r="280" customFormat="false" ht="15" hidden="false" customHeight="false" outlineLevel="0" collapsed="false">
      <c r="A280" s="10" t="str">
        <f aca="false">IF(D280="","","EW-"&amp;IFERROR(VLOOKUP(D280,Lists!$P$4:$Q$22,2,0),"??")&amp;"-D"&amp;TEXT(F280*1000,"0000")&amp;"-"&amp;IFERROR(VLOOKUP(G280,Lists!$S$4:$T$21,2,0),"??")&amp;"-"&amp;IFERROR(VLOOKUP(H280,Lists!$Y$4:$Z$21,2,0),"??")&amp;"-"&amp;IFERROR(VLOOKUP(E280,Lists!$V$4:$W$16,2,0),"??")&amp;"-"&amp;AM280)</f>
        <v/>
      </c>
      <c r="B280" s="10" t="str">
        <f aca="false">IF(D280="","",E280&amp;" "&amp;D280&amp;", excavation "&amp;TEXT(F280,"0.0")&amp;" m, "&amp;G280&amp;", "&amp;H280&amp;", "&amp;K280)</f>
        <v/>
      </c>
      <c r="C280" s="9"/>
      <c r="D280" s="9"/>
      <c r="E280" s="9"/>
      <c r="F280" s="42"/>
      <c r="G280" s="9"/>
      <c r="H280" s="9"/>
      <c r="I280" s="42"/>
      <c r="J280" s="38"/>
      <c r="K280" s="9"/>
      <c r="L280" s="9"/>
      <c r="M280" s="9"/>
      <c r="N280" s="42"/>
      <c r="O280" s="42"/>
      <c r="P280" s="9"/>
      <c r="Q280" s="9"/>
      <c r="R280" s="9"/>
      <c r="S280" s="9"/>
      <c r="T280" s="38"/>
      <c r="U280" s="38"/>
      <c r="V280" s="38"/>
      <c r="W280" s="38"/>
      <c r="X280" s="38"/>
      <c r="Y280" s="9"/>
      <c r="Z280" s="39"/>
      <c r="AA280" s="9"/>
      <c r="AB280" s="9"/>
      <c r="AC280" s="9"/>
      <c r="AD280" s="9"/>
      <c r="AE280" s="9"/>
      <c r="AF280" s="9"/>
      <c r="AG280" s="9"/>
      <c r="AH280" s="38"/>
      <c r="AI280" s="9"/>
      <c r="AJ280" s="39"/>
      <c r="AK280" s="9"/>
      <c r="AL280" s="9"/>
      <c r="AM280" s="9"/>
      <c r="AN280" s="9"/>
      <c r="AO280" s="9"/>
      <c r="AP280" s="9"/>
      <c r="AQ280" s="9"/>
      <c r="AR280" s="10" t="str">
        <f aca="false">IF(A280="","",SG_Criteria!$B$6&amp;SG_Criteria!$B$9&amp;"\"&amp;A280&amp;"\")</f>
        <v/>
      </c>
      <c r="AS280" s="10" t="str">
        <f aca="false">IF(A280="","",A280&amp;"_CAD.dwg")</f>
        <v/>
      </c>
      <c r="AT280" s="10" t="str">
        <f aca="false">IF(A280="","",A280&amp;"_DWG.pdf")</f>
        <v/>
      </c>
      <c r="AU280" s="10" t="str">
        <f aca="false">IF(A280="","",IF(AQ280="Y",A280&amp;"_STAAD.std","n/a"))</f>
        <v/>
      </c>
      <c r="AV280" s="10" t="str">
        <f aca="false">IF(A280="","",A280&amp;"_CALC.xlsx")</f>
        <v/>
      </c>
      <c r="AW280" s="10" t="str">
        <f aca="false">IF(A280="","",A280&amp;"_CALC.pdf")</f>
        <v/>
      </c>
      <c r="AX280" s="9"/>
      <c r="AY280" s="9"/>
      <c r="AZ280" s="39"/>
      <c r="BA280" s="39"/>
      <c r="BB280" s="39"/>
      <c r="BC280" s="39"/>
      <c r="BD280" s="39"/>
      <c r="BE280" s="12" t="str">
        <f aca="false">IF(A280="","",IF(COUNTIF(Rebar_Schedule!$A$5:$A$2004,A280)=0,"",ROUND(SUMIF(Rebar_Schedule!$A$5:$A$2004,A280,Rebar_Schedule!$K$5:$K$2004),1)))</f>
        <v/>
      </c>
      <c r="BF280" s="33" t="str">
        <f aca="false">IF(A280="","",IF(BE280="","No rebar schedule yet",IF(ABS(BE280-N(BA280))/MAX(N(BA280),1)&gt;SG_Criteria!$B$55,"NOTE: register rebar differs from schedule by "&amp;TEXT(ABS(BE280-N(BA280))/MAX(N(BA280),1),"0%"),"OK")))</f>
        <v/>
      </c>
      <c r="BG280" s="33" t="str">
        <f aca="false">IF(OR(D280="",F280=""),"",IF(F280&lt;=IF(D280="Soldier Pile &amp; Timber Lagging",SG_Criteria!$B$34,SG_Criteria!$B$33),"No ERSS submission",IF(F280&lt;=SG_Criteria!$B$35,"QP(ST)",IF(F280&lt;=SG_Criteria!$B$36,"QP(ST) + AC","Geotechnical building works: QP(Geo) + AC"))))</f>
        <v/>
      </c>
      <c r="BH280" s="33" t="str">
        <f aca="false">IF(D280="","",IF(LEN(IF(AND(AC280&lt;&gt;"",IFERROR(VALUE(MID(AC280,2,2)),0)&lt;SG_Criteria!$B$19),"FAIL: grade below C"&amp;SG_Criteria!$B$19&amp;". ","")&amp;IF(AND(LEFT(D280,3)="Con",N(I280)&lt;F280,H280="Kallang Formation (marine clay)"),"NOTE: CBP is not watertight below GWT in marine clay; consider secant / grouting. ","")&amp;IF(AND(D280="Steel Sheet Pile",E280="Permanent"),"NOTE: permanent sheet pile needs corrosion allowance. ","")&amp;IF(AND(G280="Cantilever (no support)",F280&gt;6),"NOTE: cantilever embedded wall &gt; 6 m, check deflection. ","")&amp;IF(AND(T280&lt;&gt;"",U280&lt;&gt;"",T280&gt;U280),"FAIL: deflection exceeds allowable. ",""))=0,"OK",IF(AND(AC280&lt;&gt;"",IFERROR(VALUE(MID(AC280,2,2)),0)&lt;SG_Criteria!$B$19),"FAIL: grade below C"&amp;SG_Criteria!$B$19&amp;". ","")&amp;IF(AND(LEFT(D280,3)="Con",N(I280)&lt;F280,H280="Kallang Formation (marine clay)"),"NOTE: CBP is not watertight below GWT in marine clay; consider secant / grouting. ","")&amp;IF(AND(D280="Steel Sheet Pile",E280="Permanent"),"NOTE: permanent sheet pile needs corrosion allowance. ","")&amp;IF(AND(G280="Cantilever (no support)",F280&gt;6),"NOTE: cantilever embedded wall &gt; 6 m, check deflection. ","")&amp;IF(AND(T280&lt;&gt;"",U280&lt;&gt;"",T280&gt;U280),"FAIL: deflection exceeds allowable. ","")))</f>
        <v/>
      </c>
      <c r="BI280" s="9"/>
      <c r="BJ280" s="9"/>
      <c r="BK280" s="9"/>
      <c r="BL280" s="10" t="str">
        <f aca="false">IF(BK280="","",IFERROR(VLOOKUP(BK280,Projects!$A$5:$D$504,2,0),"Ref not in Projects"))</f>
        <v/>
      </c>
      <c r="BM280" s="10" t="str">
        <f aca="false">IF(BK280="","",IFERROR(VLOOKUP(BK280,Projects!$A$5:$D$504,4,0),"Ref not in Projects"))</f>
        <v/>
      </c>
      <c r="BN280" s="9"/>
      <c r="BO280" s="9"/>
      <c r="BP280" s="9"/>
      <c r="BQ280" s="40"/>
      <c r="BR280" s="9"/>
      <c r="BS280" s="40"/>
      <c r="BT280" s="9"/>
      <c r="BU280" s="40"/>
      <c r="BV280" s="9"/>
      <c r="BW280" s="9"/>
      <c r="BX280" s="9"/>
      <c r="BY280" s="40"/>
      <c r="BZ280" s="40"/>
      <c r="CA280" s="36" t="str">
        <f aca="false">IF(BZ280="","",EDATE(BZ280,SG_Criteria!$B$54*12))</f>
        <v/>
      </c>
      <c r="CB280" s="33" t="str">
        <f aca="true">IF(A280="","",IF(BZ280="","NOTE: not reviewed yet",IF(TODAY()&gt;CA280,"NOTE: review overdue","OK")))</f>
        <v/>
      </c>
      <c r="CC280" s="37" t="str">
        <f aca="false">IF(A280="","",ROUND((IF(LEN(D280)&gt;0,1,0)+IF(LEN(E280)&gt;0,1,0)+IF(LEN(F280)&gt;0,1,0)+IF(LEN(G280)&gt;0,1,0)+IF(LEN(H280)&gt;0,1,0)+IF(LEN(I280)&gt;0,1,0)+IF(LEN(K280)&gt;0,1,0)+IF(LEN(N280)&gt;0,1,0)+IF(LEN(O280)&gt;0,1,0)+IF(LEN(T280)&gt;0,1,0)+IF(LEN(U280)&gt;0,1,0)+IF(LEN(V280)&gt;0,1,0)+IF(LEN(AK280)&gt;0,1,0)+IF(LEN(AM280)&gt;0,1,0)+IF(LEN(AN280)&gt;0,1,0)+IF(LEN(AO280)&gt;0,1,0)+IF(LEN(AP280)&gt;0,1,0)+IF(LEN(AY280)&gt;0,1,0)+IF(LEN(BK280)&gt;0,1,0)+IF(LEN(BX280)&gt;0,1,0))/20,2))</f>
        <v/>
      </c>
      <c r="CD280" s="10" t="str">
        <f aca="false">IF(D280="","",IF(AND(AN280="Approved",ISERROR(SEARCH("FAIL",BH280))),"Y","N"))</f>
        <v/>
      </c>
      <c r="CE280" s="10" t="str">
        <f aca="false">IF(D280="","",D280&amp;"|"&amp;F280&amp;"|"&amp;G280&amp;"|"&amp;H280&amp;"|"&amp;E280&amp;"|"&amp;CD280)</f>
        <v/>
      </c>
    </row>
    <row r="281" customFormat="false" ht="15" hidden="false" customHeight="false" outlineLevel="0" collapsed="false">
      <c r="A281" s="10" t="str">
        <f aca="false">IF(D281="","","EW-"&amp;IFERROR(VLOOKUP(D281,Lists!$P$4:$Q$22,2,0),"??")&amp;"-D"&amp;TEXT(F281*1000,"0000")&amp;"-"&amp;IFERROR(VLOOKUP(G281,Lists!$S$4:$T$21,2,0),"??")&amp;"-"&amp;IFERROR(VLOOKUP(H281,Lists!$Y$4:$Z$21,2,0),"??")&amp;"-"&amp;IFERROR(VLOOKUP(E281,Lists!$V$4:$W$16,2,0),"??")&amp;"-"&amp;AM281)</f>
        <v/>
      </c>
      <c r="B281" s="10" t="str">
        <f aca="false">IF(D281="","",E281&amp;" "&amp;D281&amp;", excavation "&amp;TEXT(F281,"0.0")&amp;" m, "&amp;G281&amp;", "&amp;H281&amp;", "&amp;K281)</f>
        <v/>
      </c>
      <c r="C281" s="9"/>
      <c r="D281" s="9"/>
      <c r="E281" s="9"/>
      <c r="F281" s="42"/>
      <c r="G281" s="9"/>
      <c r="H281" s="9"/>
      <c r="I281" s="42"/>
      <c r="J281" s="38"/>
      <c r="K281" s="9"/>
      <c r="L281" s="9"/>
      <c r="M281" s="9"/>
      <c r="N281" s="42"/>
      <c r="O281" s="42"/>
      <c r="P281" s="9"/>
      <c r="Q281" s="9"/>
      <c r="R281" s="9"/>
      <c r="S281" s="9"/>
      <c r="T281" s="38"/>
      <c r="U281" s="38"/>
      <c r="V281" s="38"/>
      <c r="W281" s="38"/>
      <c r="X281" s="38"/>
      <c r="Y281" s="9"/>
      <c r="Z281" s="39"/>
      <c r="AA281" s="9"/>
      <c r="AB281" s="9"/>
      <c r="AC281" s="9"/>
      <c r="AD281" s="9"/>
      <c r="AE281" s="9"/>
      <c r="AF281" s="9"/>
      <c r="AG281" s="9"/>
      <c r="AH281" s="38"/>
      <c r="AI281" s="9"/>
      <c r="AJ281" s="39"/>
      <c r="AK281" s="9"/>
      <c r="AL281" s="9"/>
      <c r="AM281" s="9"/>
      <c r="AN281" s="9"/>
      <c r="AO281" s="9"/>
      <c r="AP281" s="9"/>
      <c r="AQ281" s="9"/>
      <c r="AR281" s="10" t="str">
        <f aca="false">IF(A281="","",SG_Criteria!$B$6&amp;SG_Criteria!$B$9&amp;"\"&amp;A281&amp;"\")</f>
        <v/>
      </c>
      <c r="AS281" s="10" t="str">
        <f aca="false">IF(A281="","",A281&amp;"_CAD.dwg")</f>
        <v/>
      </c>
      <c r="AT281" s="10" t="str">
        <f aca="false">IF(A281="","",A281&amp;"_DWG.pdf")</f>
        <v/>
      </c>
      <c r="AU281" s="10" t="str">
        <f aca="false">IF(A281="","",IF(AQ281="Y",A281&amp;"_STAAD.std","n/a"))</f>
        <v/>
      </c>
      <c r="AV281" s="10" t="str">
        <f aca="false">IF(A281="","",A281&amp;"_CALC.xlsx")</f>
        <v/>
      </c>
      <c r="AW281" s="10" t="str">
        <f aca="false">IF(A281="","",A281&amp;"_CALC.pdf")</f>
        <v/>
      </c>
      <c r="AX281" s="9"/>
      <c r="AY281" s="9"/>
      <c r="AZ281" s="39"/>
      <c r="BA281" s="39"/>
      <c r="BB281" s="39"/>
      <c r="BC281" s="39"/>
      <c r="BD281" s="39"/>
      <c r="BE281" s="12" t="str">
        <f aca="false">IF(A281="","",IF(COUNTIF(Rebar_Schedule!$A$5:$A$2004,A281)=0,"",ROUND(SUMIF(Rebar_Schedule!$A$5:$A$2004,A281,Rebar_Schedule!$K$5:$K$2004),1)))</f>
        <v/>
      </c>
      <c r="BF281" s="33" t="str">
        <f aca="false">IF(A281="","",IF(BE281="","No rebar schedule yet",IF(ABS(BE281-N(BA281))/MAX(N(BA281),1)&gt;SG_Criteria!$B$55,"NOTE: register rebar differs from schedule by "&amp;TEXT(ABS(BE281-N(BA281))/MAX(N(BA281),1),"0%"),"OK")))</f>
        <v/>
      </c>
      <c r="BG281" s="33" t="str">
        <f aca="false">IF(OR(D281="",F281=""),"",IF(F281&lt;=IF(D281="Soldier Pile &amp; Timber Lagging",SG_Criteria!$B$34,SG_Criteria!$B$33),"No ERSS submission",IF(F281&lt;=SG_Criteria!$B$35,"QP(ST)",IF(F281&lt;=SG_Criteria!$B$36,"QP(ST) + AC","Geotechnical building works: QP(Geo) + AC"))))</f>
        <v/>
      </c>
      <c r="BH281" s="33" t="str">
        <f aca="false">IF(D281="","",IF(LEN(IF(AND(AC281&lt;&gt;"",IFERROR(VALUE(MID(AC281,2,2)),0)&lt;SG_Criteria!$B$19),"FAIL: grade below C"&amp;SG_Criteria!$B$19&amp;". ","")&amp;IF(AND(LEFT(D281,3)="Con",N(I281)&lt;F281,H281="Kallang Formation (marine clay)"),"NOTE: CBP is not watertight below GWT in marine clay; consider secant / grouting. ","")&amp;IF(AND(D281="Steel Sheet Pile",E281="Permanent"),"NOTE: permanent sheet pile needs corrosion allowance. ","")&amp;IF(AND(G281="Cantilever (no support)",F281&gt;6),"NOTE: cantilever embedded wall &gt; 6 m, check deflection. ","")&amp;IF(AND(T281&lt;&gt;"",U281&lt;&gt;"",T281&gt;U281),"FAIL: deflection exceeds allowable. ",""))=0,"OK",IF(AND(AC281&lt;&gt;"",IFERROR(VALUE(MID(AC281,2,2)),0)&lt;SG_Criteria!$B$19),"FAIL: grade below C"&amp;SG_Criteria!$B$19&amp;". ","")&amp;IF(AND(LEFT(D281,3)="Con",N(I281)&lt;F281,H281="Kallang Formation (marine clay)"),"NOTE: CBP is not watertight below GWT in marine clay; consider secant / grouting. ","")&amp;IF(AND(D281="Steel Sheet Pile",E281="Permanent"),"NOTE: permanent sheet pile needs corrosion allowance. ","")&amp;IF(AND(G281="Cantilever (no support)",F281&gt;6),"NOTE: cantilever embedded wall &gt; 6 m, check deflection. ","")&amp;IF(AND(T281&lt;&gt;"",U281&lt;&gt;"",T281&gt;U281),"FAIL: deflection exceeds allowable. ","")))</f>
        <v/>
      </c>
      <c r="BI281" s="9"/>
      <c r="BJ281" s="9"/>
      <c r="BK281" s="9"/>
      <c r="BL281" s="10" t="str">
        <f aca="false">IF(BK281="","",IFERROR(VLOOKUP(BK281,Projects!$A$5:$D$504,2,0),"Ref not in Projects"))</f>
        <v/>
      </c>
      <c r="BM281" s="10" t="str">
        <f aca="false">IF(BK281="","",IFERROR(VLOOKUP(BK281,Projects!$A$5:$D$504,4,0),"Ref not in Projects"))</f>
        <v/>
      </c>
      <c r="BN281" s="9"/>
      <c r="BO281" s="9"/>
      <c r="BP281" s="9"/>
      <c r="BQ281" s="40"/>
      <c r="BR281" s="9"/>
      <c r="BS281" s="40"/>
      <c r="BT281" s="9"/>
      <c r="BU281" s="40"/>
      <c r="BV281" s="9"/>
      <c r="BW281" s="9"/>
      <c r="BX281" s="9"/>
      <c r="BY281" s="40"/>
      <c r="BZ281" s="40"/>
      <c r="CA281" s="36" t="str">
        <f aca="false">IF(BZ281="","",EDATE(BZ281,SG_Criteria!$B$54*12))</f>
        <v/>
      </c>
      <c r="CB281" s="33" t="str">
        <f aca="true">IF(A281="","",IF(BZ281="","NOTE: not reviewed yet",IF(TODAY()&gt;CA281,"NOTE: review overdue","OK")))</f>
        <v/>
      </c>
      <c r="CC281" s="37" t="str">
        <f aca="false">IF(A281="","",ROUND((IF(LEN(D281)&gt;0,1,0)+IF(LEN(E281)&gt;0,1,0)+IF(LEN(F281)&gt;0,1,0)+IF(LEN(G281)&gt;0,1,0)+IF(LEN(H281)&gt;0,1,0)+IF(LEN(I281)&gt;0,1,0)+IF(LEN(K281)&gt;0,1,0)+IF(LEN(N281)&gt;0,1,0)+IF(LEN(O281)&gt;0,1,0)+IF(LEN(T281)&gt;0,1,0)+IF(LEN(U281)&gt;0,1,0)+IF(LEN(V281)&gt;0,1,0)+IF(LEN(AK281)&gt;0,1,0)+IF(LEN(AM281)&gt;0,1,0)+IF(LEN(AN281)&gt;0,1,0)+IF(LEN(AO281)&gt;0,1,0)+IF(LEN(AP281)&gt;0,1,0)+IF(LEN(AY281)&gt;0,1,0)+IF(LEN(BK281)&gt;0,1,0)+IF(LEN(BX281)&gt;0,1,0))/20,2))</f>
        <v/>
      </c>
      <c r="CD281" s="10" t="str">
        <f aca="false">IF(D281="","",IF(AND(AN281="Approved",ISERROR(SEARCH("FAIL",BH281))),"Y","N"))</f>
        <v/>
      </c>
      <c r="CE281" s="10" t="str">
        <f aca="false">IF(D281="","",D281&amp;"|"&amp;F281&amp;"|"&amp;G281&amp;"|"&amp;H281&amp;"|"&amp;E281&amp;"|"&amp;CD281)</f>
        <v/>
      </c>
    </row>
    <row r="282" customFormat="false" ht="15" hidden="false" customHeight="false" outlineLevel="0" collapsed="false">
      <c r="A282" s="10" t="str">
        <f aca="false">IF(D282="","","EW-"&amp;IFERROR(VLOOKUP(D282,Lists!$P$4:$Q$22,2,0),"??")&amp;"-D"&amp;TEXT(F282*1000,"0000")&amp;"-"&amp;IFERROR(VLOOKUP(G282,Lists!$S$4:$T$21,2,0),"??")&amp;"-"&amp;IFERROR(VLOOKUP(H282,Lists!$Y$4:$Z$21,2,0),"??")&amp;"-"&amp;IFERROR(VLOOKUP(E282,Lists!$V$4:$W$16,2,0),"??")&amp;"-"&amp;AM282)</f>
        <v/>
      </c>
      <c r="B282" s="10" t="str">
        <f aca="false">IF(D282="","",E282&amp;" "&amp;D282&amp;", excavation "&amp;TEXT(F282,"0.0")&amp;" m, "&amp;G282&amp;", "&amp;H282&amp;", "&amp;K282)</f>
        <v/>
      </c>
      <c r="C282" s="9"/>
      <c r="D282" s="9"/>
      <c r="E282" s="9"/>
      <c r="F282" s="42"/>
      <c r="G282" s="9"/>
      <c r="H282" s="9"/>
      <c r="I282" s="42"/>
      <c r="J282" s="38"/>
      <c r="K282" s="9"/>
      <c r="L282" s="9"/>
      <c r="M282" s="9"/>
      <c r="N282" s="42"/>
      <c r="O282" s="42"/>
      <c r="P282" s="9"/>
      <c r="Q282" s="9"/>
      <c r="R282" s="9"/>
      <c r="S282" s="9"/>
      <c r="T282" s="38"/>
      <c r="U282" s="38"/>
      <c r="V282" s="38"/>
      <c r="W282" s="38"/>
      <c r="X282" s="38"/>
      <c r="Y282" s="9"/>
      <c r="Z282" s="39"/>
      <c r="AA282" s="9"/>
      <c r="AB282" s="9"/>
      <c r="AC282" s="9"/>
      <c r="AD282" s="9"/>
      <c r="AE282" s="9"/>
      <c r="AF282" s="9"/>
      <c r="AG282" s="9"/>
      <c r="AH282" s="38"/>
      <c r="AI282" s="9"/>
      <c r="AJ282" s="39"/>
      <c r="AK282" s="9"/>
      <c r="AL282" s="9"/>
      <c r="AM282" s="9"/>
      <c r="AN282" s="9"/>
      <c r="AO282" s="9"/>
      <c r="AP282" s="9"/>
      <c r="AQ282" s="9"/>
      <c r="AR282" s="10" t="str">
        <f aca="false">IF(A282="","",SG_Criteria!$B$6&amp;SG_Criteria!$B$9&amp;"\"&amp;A282&amp;"\")</f>
        <v/>
      </c>
      <c r="AS282" s="10" t="str">
        <f aca="false">IF(A282="","",A282&amp;"_CAD.dwg")</f>
        <v/>
      </c>
      <c r="AT282" s="10" t="str">
        <f aca="false">IF(A282="","",A282&amp;"_DWG.pdf")</f>
        <v/>
      </c>
      <c r="AU282" s="10" t="str">
        <f aca="false">IF(A282="","",IF(AQ282="Y",A282&amp;"_STAAD.std","n/a"))</f>
        <v/>
      </c>
      <c r="AV282" s="10" t="str">
        <f aca="false">IF(A282="","",A282&amp;"_CALC.xlsx")</f>
        <v/>
      </c>
      <c r="AW282" s="10" t="str">
        <f aca="false">IF(A282="","",A282&amp;"_CALC.pdf")</f>
        <v/>
      </c>
      <c r="AX282" s="9"/>
      <c r="AY282" s="9"/>
      <c r="AZ282" s="39"/>
      <c r="BA282" s="39"/>
      <c r="BB282" s="39"/>
      <c r="BC282" s="39"/>
      <c r="BD282" s="39"/>
      <c r="BE282" s="12" t="str">
        <f aca="false">IF(A282="","",IF(COUNTIF(Rebar_Schedule!$A$5:$A$2004,A282)=0,"",ROUND(SUMIF(Rebar_Schedule!$A$5:$A$2004,A282,Rebar_Schedule!$K$5:$K$2004),1)))</f>
        <v/>
      </c>
      <c r="BF282" s="33" t="str">
        <f aca="false">IF(A282="","",IF(BE282="","No rebar schedule yet",IF(ABS(BE282-N(BA282))/MAX(N(BA282),1)&gt;SG_Criteria!$B$55,"NOTE: register rebar differs from schedule by "&amp;TEXT(ABS(BE282-N(BA282))/MAX(N(BA282),1),"0%"),"OK")))</f>
        <v/>
      </c>
      <c r="BG282" s="33" t="str">
        <f aca="false">IF(OR(D282="",F282=""),"",IF(F282&lt;=IF(D282="Soldier Pile &amp; Timber Lagging",SG_Criteria!$B$34,SG_Criteria!$B$33),"No ERSS submission",IF(F282&lt;=SG_Criteria!$B$35,"QP(ST)",IF(F282&lt;=SG_Criteria!$B$36,"QP(ST) + AC","Geotechnical building works: QP(Geo) + AC"))))</f>
        <v/>
      </c>
      <c r="BH282" s="33" t="str">
        <f aca="false">IF(D282="","",IF(LEN(IF(AND(AC282&lt;&gt;"",IFERROR(VALUE(MID(AC282,2,2)),0)&lt;SG_Criteria!$B$19),"FAIL: grade below C"&amp;SG_Criteria!$B$19&amp;". ","")&amp;IF(AND(LEFT(D282,3)="Con",N(I282)&lt;F282,H282="Kallang Formation (marine clay)"),"NOTE: CBP is not watertight below GWT in marine clay; consider secant / grouting. ","")&amp;IF(AND(D282="Steel Sheet Pile",E282="Permanent"),"NOTE: permanent sheet pile needs corrosion allowance. ","")&amp;IF(AND(G282="Cantilever (no support)",F282&gt;6),"NOTE: cantilever embedded wall &gt; 6 m, check deflection. ","")&amp;IF(AND(T282&lt;&gt;"",U282&lt;&gt;"",T282&gt;U282),"FAIL: deflection exceeds allowable. ",""))=0,"OK",IF(AND(AC282&lt;&gt;"",IFERROR(VALUE(MID(AC282,2,2)),0)&lt;SG_Criteria!$B$19),"FAIL: grade below C"&amp;SG_Criteria!$B$19&amp;". ","")&amp;IF(AND(LEFT(D282,3)="Con",N(I282)&lt;F282,H282="Kallang Formation (marine clay)"),"NOTE: CBP is not watertight below GWT in marine clay; consider secant / grouting. ","")&amp;IF(AND(D282="Steel Sheet Pile",E282="Permanent"),"NOTE: permanent sheet pile needs corrosion allowance. ","")&amp;IF(AND(G282="Cantilever (no support)",F282&gt;6),"NOTE: cantilever embedded wall &gt; 6 m, check deflection. ","")&amp;IF(AND(T282&lt;&gt;"",U282&lt;&gt;"",T282&gt;U282),"FAIL: deflection exceeds allowable. ","")))</f>
        <v/>
      </c>
      <c r="BI282" s="9"/>
      <c r="BJ282" s="9"/>
      <c r="BK282" s="9"/>
      <c r="BL282" s="10" t="str">
        <f aca="false">IF(BK282="","",IFERROR(VLOOKUP(BK282,Projects!$A$5:$D$504,2,0),"Ref not in Projects"))</f>
        <v/>
      </c>
      <c r="BM282" s="10" t="str">
        <f aca="false">IF(BK282="","",IFERROR(VLOOKUP(BK282,Projects!$A$5:$D$504,4,0),"Ref not in Projects"))</f>
        <v/>
      </c>
      <c r="BN282" s="9"/>
      <c r="BO282" s="9"/>
      <c r="BP282" s="9"/>
      <c r="BQ282" s="40"/>
      <c r="BR282" s="9"/>
      <c r="BS282" s="40"/>
      <c r="BT282" s="9"/>
      <c r="BU282" s="40"/>
      <c r="BV282" s="9"/>
      <c r="BW282" s="9"/>
      <c r="BX282" s="9"/>
      <c r="BY282" s="40"/>
      <c r="BZ282" s="40"/>
      <c r="CA282" s="36" t="str">
        <f aca="false">IF(BZ282="","",EDATE(BZ282,SG_Criteria!$B$54*12))</f>
        <v/>
      </c>
      <c r="CB282" s="33" t="str">
        <f aca="true">IF(A282="","",IF(BZ282="","NOTE: not reviewed yet",IF(TODAY()&gt;CA282,"NOTE: review overdue","OK")))</f>
        <v/>
      </c>
      <c r="CC282" s="37" t="str">
        <f aca="false">IF(A282="","",ROUND((IF(LEN(D282)&gt;0,1,0)+IF(LEN(E282)&gt;0,1,0)+IF(LEN(F282)&gt;0,1,0)+IF(LEN(G282)&gt;0,1,0)+IF(LEN(H282)&gt;0,1,0)+IF(LEN(I282)&gt;0,1,0)+IF(LEN(K282)&gt;0,1,0)+IF(LEN(N282)&gt;0,1,0)+IF(LEN(O282)&gt;0,1,0)+IF(LEN(T282)&gt;0,1,0)+IF(LEN(U282)&gt;0,1,0)+IF(LEN(V282)&gt;0,1,0)+IF(LEN(AK282)&gt;0,1,0)+IF(LEN(AM282)&gt;0,1,0)+IF(LEN(AN282)&gt;0,1,0)+IF(LEN(AO282)&gt;0,1,0)+IF(LEN(AP282)&gt;0,1,0)+IF(LEN(AY282)&gt;0,1,0)+IF(LEN(BK282)&gt;0,1,0)+IF(LEN(BX282)&gt;0,1,0))/20,2))</f>
        <v/>
      </c>
      <c r="CD282" s="10" t="str">
        <f aca="false">IF(D282="","",IF(AND(AN282="Approved",ISERROR(SEARCH("FAIL",BH282))),"Y","N"))</f>
        <v/>
      </c>
      <c r="CE282" s="10" t="str">
        <f aca="false">IF(D282="","",D282&amp;"|"&amp;F282&amp;"|"&amp;G282&amp;"|"&amp;H282&amp;"|"&amp;E282&amp;"|"&amp;CD282)</f>
        <v/>
      </c>
    </row>
    <row r="283" customFormat="false" ht="15" hidden="false" customHeight="false" outlineLevel="0" collapsed="false">
      <c r="A283" s="10" t="str">
        <f aca="false">IF(D283="","","EW-"&amp;IFERROR(VLOOKUP(D283,Lists!$P$4:$Q$22,2,0),"??")&amp;"-D"&amp;TEXT(F283*1000,"0000")&amp;"-"&amp;IFERROR(VLOOKUP(G283,Lists!$S$4:$T$21,2,0),"??")&amp;"-"&amp;IFERROR(VLOOKUP(H283,Lists!$Y$4:$Z$21,2,0),"??")&amp;"-"&amp;IFERROR(VLOOKUP(E283,Lists!$V$4:$W$16,2,0),"??")&amp;"-"&amp;AM283)</f>
        <v/>
      </c>
      <c r="B283" s="10" t="str">
        <f aca="false">IF(D283="","",E283&amp;" "&amp;D283&amp;", excavation "&amp;TEXT(F283,"0.0")&amp;" m, "&amp;G283&amp;", "&amp;H283&amp;", "&amp;K283)</f>
        <v/>
      </c>
      <c r="C283" s="9"/>
      <c r="D283" s="9"/>
      <c r="E283" s="9"/>
      <c r="F283" s="42"/>
      <c r="G283" s="9"/>
      <c r="H283" s="9"/>
      <c r="I283" s="42"/>
      <c r="J283" s="38"/>
      <c r="K283" s="9"/>
      <c r="L283" s="9"/>
      <c r="M283" s="9"/>
      <c r="N283" s="42"/>
      <c r="O283" s="42"/>
      <c r="P283" s="9"/>
      <c r="Q283" s="9"/>
      <c r="R283" s="9"/>
      <c r="S283" s="9"/>
      <c r="T283" s="38"/>
      <c r="U283" s="38"/>
      <c r="V283" s="38"/>
      <c r="W283" s="38"/>
      <c r="X283" s="38"/>
      <c r="Y283" s="9"/>
      <c r="Z283" s="39"/>
      <c r="AA283" s="9"/>
      <c r="AB283" s="9"/>
      <c r="AC283" s="9"/>
      <c r="AD283" s="9"/>
      <c r="AE283" s="9"/>
      <c r="AF283" s="9"/>
      <c r="AG283" s="9"/>
      <c r="AH283" s="38"/>
      <c r="AI283" s="9"/>
      <c r="AJ283" s="39"/>
      <c r="AK283" s="9"/>
      <c r="AL283" s="9"/>
      <c r="AM283" s="9"/>
      <c r="AN283" s="9"/>
      <c r="AO283" s="9"/>
      <c r="AP283" s="9"/>
      <c r="AQ283" s="9"/>
      <c r="AR283" s="10" t="str">
        <f aca="false">IF(A283="","",SG_Criteria!$B$6&amp;SG_Criteria!$B$9&amp;"\"&amp;A283&amp;"\")</f>
        <v/>
      </c>
      <c r="AS283" s="10" t="str">
        <f aca="false">IF(A283="","",A283&amp;"_CAD.dwg")</f>
        <v/>
      </c>
      <c r="AT283" s="10" t="str">
        <f aca="false">IF(A283="","",A283&amp;"_DWG.pdf")</f>
        <v/>
      </c>
      <c r="AU283" s="10" t="str">
        <f aca="false">IF(A283="","",IF(AQ283="Y",A283&amp;"_STAAD.std","n/a"))</f>
        <v/>
      </c>
      <c r="AV283" s="10" t="str">
        <f aca="false">IF(A283="","",A283&amp;"_CALC.xlsx")</f>
        <v/>
      </c>
      <c r="AW283" s="10" t="str">
        <f aca="false">IF(A283="","",A283&amp;"_CALC.pdf")</f>
        <v/>
      </c>
      <c r="AX283" s="9"/>
      <c r="AY283" s="9"/>
      <c r="AZ283" s="39"/>
      <c r="BA283" s="39"/>
      <c r="BB283" s="39"/>
      <c r="BC283" s="39"/>
      <c r="BD283" s="39"/>
      <c r="BE283" s="12" t="str">
        <f aca="false">IF(A283="","",IF(COUNTIF(Rebar_Schedule!$A$5:$A$2004,A283)=0,"",ROUND(SUMIF(Rebar_Schedule!$A$5:$A$2004,A283,Rebar_Schedule!$K$5:$K$2004),1)))</f>
        <v/>
      </c>
      <c r="BF283" s="33" t="str">
        <f aca="false">IF(A283="","",IF(BE283="","No rebar schedule yet",IF(ABS(BE283-N(BA283))/MAX(N(BA283),1)&gt;SG_Criteria!$B$55,"NOTE: register rebar differs from schedule by "&amp;TEXT(ABS(BE283-N(BA283))/MAX(N(BA283),1),"0%"),"OK")))</f>
        <v/>
      </c>
      <c r="BG283" s="33" t="str">
        <f aca="false">IF(OR(D283="",F283=""),"",IF(F283&lt;=IF(D283="Soldier Pile &amp; Timber Lagging",SG_Criteria!$B$34,SG_Criteria!$B$33),"No ERSS submission",IF(F283&lt;=SG_Criteria!$B$35,"QP(ST)",IF(F283&lt;=SG_Criteria!$B$36,"QP(ST) + AC","Geotechnical building works: QP(Geo) + AC"))))</f>
        <v/>
      </c>
      <c r="BH283" s="33" t="str">
        <f aca="false">IF(D283="","",IF(LEN(IF(AND(AC283&lt;&gt;"",IFERROR(VALUE(MID(AC283,2,2)),0)&lt;SG_Criteria!$B$19),"FAIL: grade below C"&amp;SG_Criteria!$B$19&amp;". ","")&amp;IF(AND(LEFT(D283,3)="Con",N(I283)&lt;F283,H283="Kallang Formation (marine clay)"),"NOTE: CBP is not watertight below GWT in marine clay; consider secant / grouting. ","")&amp;IF(AND(D283="Steel Sheet Pile",E283="Permanent"),"NOTE: permanent sheet pile needs corrosion allowance. ","")&amp;IF(AND(G283="Cantilever (no support)",F283&gt;6),"NOTE: cantilever embedded wall &gt; 6 m, check deflection. ","")&amp;IF(AND(T283&lt;&gt;"",U283&lt;&gt;"",T283&gt;U283),"FAIL: deflection exceeds allowable. ",""))=0,"OK",IF(AND(AC283&lt;&gt;"",IFERROR(VALUE(MID(AC283,2,2)),0)&lt;SG_Criteria!$B$19),"FAIL: grade below C"&amp;SG_Criteria!$B$19&amp;". ","")&amp;IF(AND(LEFT(D283,3)="Con",N(I283)&lt;F283,H283="Kallang Formation (marine clay)"),"NOTE: CBP is not watertight below GWT in marine clay; consider secant / grouting. ","")&amp;IF(AND(D283="Steel Sheet Pile",E283="Permanent"),"NOTE: permanent sheet pile needs corrosion allowance. ","")&amp;IF(AND(G283="Cantilever (no support)",F283&gt;6),"NOTE: cantilever embedded wall &gt; 6 m, check deflection. ","")&amp;IF(AND(T283&lt;&gt;"",U283&lt;&gt;"",T283&gt;U283),"FAIL: deflection exceeds allowable. ","")))</f>
        <v/>
      </c>
      <c r="BI283" s="9"/>
      <c r="BJ283" s="9"/>
      <c r="BK283" s="9"/>
      <c r="BL283" s="10" t="str">
        <f aca="false">IF(BK283="","",IFERROR(VLOOKUP(BK283,Projects!$A$5:$D$504,2,0),"Ref not in Projects"))</f>
        <v/>
      </c>
      <c r="BM283" s="10" t="str">
        <f aca="false">IF(BK283="","",IFERROR(VLOOKUP(BK283,Projects!$A$5:$D$504,4,0),"Ref not in Projects"))</f>
        <v/>
      </c>
      <c r="BN283" s="9"/>
      <c r="BO283" s="9"/>
      <c r="BP283" s="9"/>
      <c r="BQ283" s="40"/>
      <c r="BR283" s="9"/>
      <c r="BS283" s="40"/>
      <c r="BT283" s="9"/>
      <c r="BU283" s="40"/>
      <c r="BV283" s="9"/>
      <c r="BW283" s="9"/>
      <c r="BX283" s="9"/>
      <c r="BY283" s="40"/>
      <c r="BZ283" s="40"/>
      <c r="CA283" s="36" t="str">
        <f aca="false">IF(BZ283="","",EDATE(BZ283,SG_Criteria!$B$54*12))</f>
        <v/>
      </c>
      <c r="CB283" s="33" t="str">
        <f aca="true">IF(A283="","",IF(BZ283="","NOTE: not reviewed yet",IF(TODAY()&gt;CA283,"NOTE: review overdue","OK")))</f>
        <v/>
      </c>
      <c r="CC283" s="37" t="str">
        <f aca="false">IF(A283="","",ROUND((IF(LEN(D283)&gt;0,1,0)+IF(LEN(E283)&gt;0,1,0)+IF(LEN(F283)&gt;0,1,0)+IF(LEN(G283)&gt;0,1,0)+IF(LEN(H283)&gt;0,1,0)+IF(LEN(I283)&gt;0,1,0)+IF(LEN(K283)&gt;0,1,0)+IF(LEN(N283)&gt;0,1,0)+IF(LEN(O283)&gt;0,1,0)+IF(LEN(T283)&gt;0,1,0)+IF(LEN(U283)&gt;0,1,0)+IF(LEN(V283)&gt;0,1,0)+IF(LEN(AK283)&gt;0,1,0)+IF(LEN(AM283)&gt;0,1,0)+IF(LEN(AN283)&gt;0,1,0)+IF(LEN(AO283)&gt;0,1,0)+IF(LEN(AP283)&gt;0,1,0)+IF(LEN(AY283)&gt;0,1,0)+IF(LEN(BK283)&gt;0,1,0)+IF(LEN(BX283)&gt;0,1,0))/20,2))</f>
        <v/>
      </c>
      <c r="CD283" s="10" t="str">
        <f aca="false">IF(D283="","",IF(AND(AN283="Approved",ISERROR(SEARCH("FAIL",BH283))),"Y","N"))</f>
        <v/>
      </c>
      <c r="CE283" s="10" t="str">
        <f aca="false">IF(D283="","",D283&amp;"|"&amp;F283&amp;"|"&amp;G283&amp;"|"&amp;H283&amp;"|"&amp;E283&amp;"|"&amp;CD283)</f>
        <v/>
      </c>
    </row>
    <row r="284" customFormat="false" ht="15" hidden="false" customHeight="false" outlineLevel="0" collapsed="false">
      <c r="A284" s="10" t="str">
        <f aca="false">IF(D284="","","EW-"&amp;IFERROR(VLOOKUP(D284,Lists!$P$4:$Q$22,2,0),"??")&amp;"-D"&amp;TEXT(F284*1000,"0000")&amp;"-"&amp;IFERROR(VLOOKUP(G284,Lists!$S$4:$T$21,2,0),"??")&amp;"-"&amp;IFERROR(VLOOKUP(H284,Lists!$Y$4:$Z$21,2,0),"??")&amp;"-"&amp;IFERROR(VLOOKUP(E284,Lists!$V$4:$W$16,2,0),"??")&amp;"-"&amp;AM284)</f>
        <v/>
      </c>
      <c r="B284" s="10" t="str">
        <f aca="false">IF(D284="","",E284&amp;" "&amp;D284&amp;", excavation "&amp;TEXT(F284,"0.0")&amp;" m, "&amp;G284&amp;", "&amp;H284&amp;", "&amp;K284)</f>
        <v/>
      </c>
      <c r="C284" s="9"/>
      <c r="D284" s="9"/>
      <c r="E284" s="9"/>
      <c r="F284" s="42"/>
      <c r="G284" s="9"/>
      <c r="H284" s="9"/>
      <c r="I284" s="42"/>
      <c r="J284" s="38"/>
      <c r="K284" s="9"/>
      <c r="L284" s="9"/>
      <c r="M284" s="9"/>
      <c r="N284" s="42"/>
      <c r="O284" s="42"/>
      <c r="P284" s="9"/>
      <c r="Q284" s="9"/>
      <c r="R284" s="9"/>
      <c r="S284" s="9"/>
      <c r="T284" s="38"/>
      <c r="U284" s="38"/>
      <c r="V284" s="38"/>
      <c r="W284" s="38"/>
      <c r="X284" s="38"/>
      <c r="Y284" s="9"/>
      <c r="Z284" s="39"/>
      <c r="AA284" s="9"/>
      <c r="AB284" s="9"/>
      <c r="AC284" s="9"/>
      <c r="AD284" s="9"/>
      <c r="AE284" s="9"/>
      <c r="AF284" s="9"/>
      <c r="AG284" s="9"/>
      <c r="AH284" s="38"/>
      <c r="AI284" s="9"/>
      <c r="AJ284" s="39"/>
      <c r="AK284" s="9"/>
      <c r="AL284" s="9"/>
      <c r="AM284" s="9"/>
      <c r="AN284" s="9"/>
      <c r="AO284" s="9"/>
      <c r="AP284" s="9"/>
      <c r="AQ284" s="9"/>
      <c r="AR284" s="10" t="str">
        <f aca="false">IF(A284="","",SG_Criteria!$B$6&amp;SG_Criteria!$B$9&amp;"\"&amp;A284&amp;"\")</f>
        <v/>
      </c>
      <c r="AS284" s="10" t="str">
        <f aca="false">IF(A284="","",A284&amp;"_CAD.dwg")</f>
        <v/>
      </c>
      <c r="AT284" s="10" t="str">
        <f aca="false">IF(A284="","",A284&amp;"_DWG.pdf")</f>
        <v/>
      </c>
      <c r="AU284" s="10" t="str">
        <f aca="false">IF(A284="","",IF(AQ284="Y",A284&amp;"_STAAD.std","n/a"))</f>
        <v/>
      </c>
      <c r="AV284" s="10" t="str">
        <f aca="false">IF(A284="","",A284&amp;"_CALC.xlsx")</f>
        <v/>
      </c>
      <c r="AW284" s="10" t="str">
        <f aca="false">IF(A284="","",A284&amp;"_CALC.pdf")</f>
        <v/>
      </c>
      <c r="AX284" s="9"/>
      <c r="AY284" s="9"/>
      <c r="AZ284" s="39"/>
      <c r="BA284" s="39"/>
      <c r="BB284" s="39"/>
      <c r="BC284" s="39"/>
      <c r="BD284" s="39"/>
      <c r="BE284" s="12" t="str">
        <f aca="false">IF(A284="","",IF(COUNTIF(Rebar_Schedule!$A$5:$A$2004,A284)=0,"",ROUND(SUMIF(Rebar_Schedule!$A$5:$A$2004,A284,Rebar_Schedule!$K$5:$K$2004),1)))</f>
        <v/>
      </c>
      <c r="BF284" s="33" t="str">
        <f aca="false">IF(A284="","",IF(BE284="","No rebar schedule yet",IF(ABS(BE284-N(BA284))/MAX(N(BA284),1)&gt;SG_Criteria!$B$55,"NOTE: register rebar differs from schedule by "&amp;TEXT(ABS(BE284-N(BA284))/MAX(N(BA284),1),"0%"),"OK")))</f>
        <v/>
      </c>
      <c r="BG284" s="33" t="str">
        <f aca="false">IF(OR(D284="",F284=""),"",IF(F284&lt;=IF(D284="Soldier Pile &amp; Timber Lagging",SG_Criteria!$B$34,SG_Criteria!$B$33),"No ERSS submission",IF(F284&lt;=SG_Criteria!$B$35,"QP(ST)",IF(F284&lt;=SG_Criteria!$B$36,"QP(ST) + AC","Geotechnical building works: QP(Geo) + AC"))))</f>
        <v/>
      </c>
      <c r="BH284" s="33" t="str">
        <f aca="false">IF(D284="","",IF(LEN(IF(AND(AC284&lt;&gt;"",IFERROR(VALUE(MID(AC284,2,2)),0)&lt;SG_Criteria!$B$19),"FAIL: grade below C"&amp;SG_Criteria!$B$19&amp;". ","")&amp;IF(AND(LEFT(D284,3)="Con",N(I284)&lt;F284,H284="Kallang Formation (marine clay)"),"NOTE: CBP is not watertight below GWT in marine clay; consider secant / grouting. ","")&amp;IF(AND(D284="Steel Sheet Pile",E284="Permanent"),"NOTE: permanent sheet pile needs corrosion allowance. ","")&amp;IF(AND(G284="Cantilever (no support)",F284&gt;6),"NOTE: cantilever embedded wall &gt; 6 m, check deflection. ","")&amp;IF(AND(T284&lt;&gt;"",U284&lt;&gt;"",T284&gt;U284),"FAIL: deflection exceeds allowable. ",""))=0,"OK",IF(AND(AC284&lt;&gt;"",IFERROR(VALUE(MID(AC284,2,2)),0)&lt;SG_Criteria!$B$19),"FAIL: grade below C"&amp;SG_Criteria!$B$19&amp;". ","")&amp;IF(AND(LEFT(D284,3)="Con",N(I284)&lt;F284,H284="Kallang Formation (marine clay)"),"NOTE: CBP is not watertight below GWT in marine clay; consider secant / grouting. ","")&amp;IF(AND(D284="Steel Sheet Pile",E284="Permanent"),"NOTE: permanent sheet pile needs corrosion allowance. ","")&amp;IF(AND(G284="Cantilever (no support)",F284&gt;6),"NOTE: cantilever embedded wall &gt; 6 m, check deflection. ","")&amp;IF(AND(T284&lt;&gt;"",U284&lt;&gt;"",T284&gt;U284),"FAIL: deflection exceeds allowable. ","")))</f>
        <v/>
      </c>
      <c r="BI284" s="9"/>
      <c r="BJ284" s="9"/>
      <c r="BK284" s="9"/>
      <c r="BL284" s="10" t="str">
        <f aca="false">IF(BK284="","",IFERROR(VLOOKUP(BK284,Projects!$A$5:$D$504,2,0),"Ref not in Projects"))</f>
        <v/>
      </c>
      <c r="BM284" s="10" t="str">
        <f aca="false">IF(BK284="","",IFERROR(VLOOKUP(BK284,Projects!$A$5:$D$504,4,0),"Ref not in Projects"))</f>
        <v/>
      </c>
      <c r="BN284" s="9"/>
      <c r="BO284" s="9"/>
      <c r="BP284" s="9"/>
      <c r="BQ284" s="40"/>
      <c r="BR284" s="9"/>
      <c r="BS284" s="40"/>
      <c r="BT284" s="9"/>
      <c r="BU284" s="40"/>
      <c r="BV284" s="9"/>
      <c r="BW284" s="9"/>
      <c r="BX284" s="9"/>
      <c r="BY284" s="40"/>
      <c r="BZ284" s="40"/>
      <c r="CA284" s="36" t="str">
        <f aca="false">IF(BZ284="","",EDATE(BZ284,SG_Criteria!$B$54*12))</f>
        <v/>
      </c>
      <c r="CB284" s="33" t="str">
        <f aca="true">IF(A284="","",IF(BZ284="","NOTE: not reviewed yet",IF(TODAY()&gt;CA284,"NOTE: review overdue","OK")))</f>
        <v/>
      </c>
      <c r="CC284" s="37" t="str">
        <f aca="false">IF(A284="","",ROUND((IF(LEN(D284)&gt;0,1,0)+IF(LEN(E284)&gt;0,1,0)+IF(LEN(F284)&gt;0,1,0)+IF(LEN(G284)&gt;0,1,0)+IF(LEN(H284)&gt;0,1,0)+IF(LEN(I284)&gt;0,1,0)+IF(LEN(K284)&gt;0,1,0)+IF(LEN(N284)&gt;0,1,0)+IF(LEN(O284)&gt;0,1,0)+IF(LEN(T284)&gt;0,1,0)+IF(LEN(U284)&gt;0,1,0)+IF(LEN(V284)&gt;0,1,0)+IF(LEN(AK284)&gt;0,1,0)+IF(LEN(AM284)&gt;0,1,0)+IF(LEN(AN284)&gt;0,1,0)+IF(LEN(AO284)&gt;0,1,0)+IF(LEN(AP284)&gt;0,1,0)+IF(LEN(AY284)&gt;0,1,0)+IF(LEN(BK284)&gt;0,1,0)+IF(LEN(BX284)&gt;0,1,0))/20,2))</f>
        <v/>
      </c>
      <c r="CD284" s="10" t="str">
        <f aca="false">IF(D284="","",IF(AND(AN284="Approved",ISERROR(SEARCH("FAIL",BH284))),"Y","N"))</f>
        <v/>
      </c>
      <c r="CE284" s="10" t="str">
        <f aca="false">IF(D284="","",D284&amp;"|"&amp;F284&amp;"|"&amp;G284&amp;"|"&amp;H284&amp;"|"&amp;E284&amp;"|"&amp;CD284)</f>
        <v/>
      </c>
    </row>
    <row r="285" customFormat="false" ht="15" hidden="false" customHeight="false" outlineLevel="0" collapsed="false">
      <c r="A285" s="10" t="str">
        <f aca="false">IF(D285="","","EW-"&amp;IFERROR(VLOOKUP(D285,Lists!$P$4:$Q$22,2,0),"??")&amp;"-D"&amp;TEXT(F285*1000,"0000")&amp;"-"&amp;IFERROR(VLOOKUP(G285,Lists!$S$4:$T$21,2,0),"??")&amp;"-"&amp;IFERROR(VLOOKUP(H285,Lists!$Y$4:$Z$21,2,0),"??")&amp;"-"&amp;IFERROR(VLOOKUP(E285,Lists!$V$4:$W$16,2,0),"??")&amp;"-"&amp;AM285)</f>
        <v/>
      </c>
      <c r="B285" s="10" t="str">
        <f aca="false">IF(D285="","",E285&amp;" "&amp;D285&amp;", excavation "&amp;TEXT(F285,"0.0")&amp;" m, "&amp;G285&amp;", "&amp;H285&amp;", "&amp;K285)</f>
        <v/>
      </c>
      <c r="C285" s="9"/>
      <c r="D285" s="9"/>
      <c r="E285" s="9"/>
      <c r="F285" s="42"/>
      <c r="G285" s="9"/>
      <c r="H285" s="9"/>
      <c r="I285" s="42"/>
      <c r="J285" s="38"/>
      <c r="K285" s="9"/>
      <c r="L285" s="9"/>
      <c r="M285" s="9"/>
      <c r="N285" s="42"/>
      <c r="O285" s="42"/>
      <c r="P285" s="9"/>
      <c r="Q285" s="9"/>
      <c r="R285" s="9"/>
      <c r="S285" s="9"/>
      <c r="T285" s="38"/>
      <c r="U285" s="38"/>
      <c r="V285" s="38"/>
      <c r="W285" s="38"/>
      <c r="X285" s="38"/>
      <c r="Y285" s="9"/>
      <c r="Z285" s="39"/>
      <c r="AA285" s="9"/>
      <c r="AB285" s="9"/>
      <c r="AC285" s="9"/>
      <c r="AD285" s="9"/>
      <c r="AE285" s="9"/>
      <c r="AF285" s="9"/>
      <c r="AG285" s="9"/>
      <c r="AH285" s="38"/>
      <c r="AI285" s="9"/>
      <c r="AJ285" s="39"/>
      <c r="AK285" s="9"/>
      <c r="AL285" s="9"/>
      <c r="AM285" s="9"/>
      <c r="AN285" s="9"/>
      <c r="AO285" s="9"/>
      <c r="AP285" s="9"/>
      <c r="AQ285" s="9"/>
      <c r="AR285" s="10" t="str">
        <f aca="false">IF(A285="","",SG_Criteria!$B$6&amp;SG_Criteria!$B$9&amp;"\"&amp;A285&amp;"\")</f>
        <v/>
      </c>
      <c r="AS285" s="10" t="str">
        <f aca="false">IF(A285="","",A285&amp;"_CAD.dwg")</f>
        <v/>
      </c>
      <c r="AT285" s="10" t="str">
        <f aca="false">IF(A285="","",A285&amp;"_DWG.pdf")</f>
        <v/>
      </c>
      <c r="AU285" s="10" t="str">
        <f aca="false">IF(A285="","",IF(AQ285="Y",A285&amp;"_STAAD.std","n/a"))</f>
        <v/>
      </c>
      <c r="AV285" s="10" t="str">
        <f aca="false">IF(A285="","",A285&amp;"_CALC.xlsx")</f>
        <v/>
      </c>
      <c r="AW285" s="10" t="str">
        <f aca="false">IF(A285="","",A285&amp;"_CALC.pdf")</f>
        <v/>
      </c>
      <c r="AX285" s="9"/>
      <c r="AY285" s="9"/>
      <c r="AZ285" s="39"/>
      <c r="BA285" s="39"/>
      <c r="BB285" s="39"/>
      <c r="BC285" s="39"/>
      <c r="BD285" s="39"/>
      <c r="BE285" s="12" t="str">
        <f aca="false">IF(A285="","",IF(COUNTIF(Rebar_Schedule!$A$5:$A$2004,A285)=0,"",ROUND(SUMIF(Rebar_Schedule!$A$5:$A$2004,A285,Rebar_Schedule!$K$5:$K$2004),1)))</f>
        <v/>
      </c>
      <c r="BF285" s="33" t="str">
        <f aca="false">IF(A285="","",IF(BE285="","No rebar schedule yet",IF(ABS(BE285-N(BA285))/MAX(N(BA285),1)&gt;SG_Criteria!$B$55,"NOTE: register rebar differs from schedule by "&amp;TEXT(ABS(BE285-N(BA285))/MAX(N(BA285),1),"0%"),"OK")))</f>
        <v/>
      </c>
      <c r="BG285" s="33" t="str">
        <f aca="false">IF(OR(D285="",F285=""),"",IF(F285&lt;=IF(D285="Soldier Pile &amp; Timber Lagging",SG_Criteria!$B$34,SG_Criteria!$B$33),"No ERSS submission",IF(F285&lt;=SG_Criteria!$B$35,"QP(ST)",IF(F285&lt;=SG_Criteria!$B$36,"QP(ST) + AC","Geotechnical building works: QP(Geo) + AC"))))</f>
        <v/>
      </c>
      <c r="BH285" s="33" t="str">
        <f aca="false">IF(D285="","",IF(LEN(IF(AND(AC285&lt;&gt;"",IFERROR(VALUE(MID(AC285,2,2)),0)&lt;SG_Criteria!$B$19),"FAIL: grade below C"&amp;SG_Criteria!$B$19&amp;". ","")&amp;IF(AND(LEFT(D285,3)="Con",N(I285)&lt;F285,H285="Kallang Formation (marine clay)"),"NOTE: CBP is not watertight below GWT in marine clay; consider secant / grouting. ","")&amp;IF(AND(D285="Steel Sheet Pile",E285="Permanent"),"NOTE: permanent sheet pile needs corrosion allowance. ","")&amp;IF(AND(G285="Cantilever (no support)",F285&gt;6),"NOTE: cantilever embedded wall &gt; 6 m, check deflection. ","")&amp;IF(AND(T285&lt;&gt;"",U285&lt;&gt;"",T285&gt;U285),"FAIL: deflection exceeds allowable. ",""))=0,"OK",IF(AND(AC285&lt;&gt;"",IFERROR(VALUE(MID(AC285,2,2)),0)&lt;SG_Criteria!$B$19),"FAIL: grade below C"&amp;SG_Criteria!$B$19&amp;". ","")&amp;IF(AND(LEFT(D285,3)="Con",N(I285)&lt;F285,H285="Kallang Formation (marine clay)"),"NOTE: CBP is not watertight below GWT in marine clay; consider secant / grouting. ","")&amp;IF(AND(D285="Steel Sheet Pile",E285="Permanent"),"NOTE: permanent sheet pile needs corrosion allowance. ","")&amp;IF(AND(G285="Cantilever (no support)",F285&gt;6),"NOTE: cantilever embedded wall &gt; 6 m, check deflection. ","")&amp;IF(AND(T285&lt;&gt;"",U285&lt;&gt;"",T285&gt;U285),"FAIL: deflection exceeds allowable. ","")))</f>
        <v/>
      </c>
      <c r="BI285" s="9"/>
      <c r="BJ285" s="9"/>
      <c r="BK285" s="9"/>
      <c r="BL285" s="10" t="str">
        <f aca="false">IF(BK285="","",IFERROR(VLOOKUP(BK285,Projects!$A$5:$D$504,2,0),"Ref not in Projects"))</f>
        <v/>
      </c>
      <c r="BM285" s="10" t="str">
        <f aca="false">IF(BK285="","",IFERROR(VLOOKUP(BK285,Projects!$A$5:$D$504,4,0),"Ref not in Projects"))</f>
        <v/>
      </c>
      <c r="BN285" s="9"/>
      <c r="BO285" s="9"/>
      <c r="BP285" s="9"/>
      <c r="BQ285" s="40"/>
      <c r="BR285" s="9"/>
      <c r="BS285" s="40"/>
      <c r="BT285" s="9"/>
      <c r="BU285" s="40"/>
      <c r="BV285" s="9"/>
      <c r="BW285" s="9"/>
      <c r="BX285" s="9"/>
      <c r="BY285" s="40"/>
      <c r="BZ285" s="40"/>
      <c r="CA285" s="36" t="str">
        <f aca="false">IF(BZ285="","",EDATE(BZ285,SG_Criteria!$B$54*12))</f>
        <v/>
      </c>
      <c r="CB285" s="33" t="str">
        <f aca="true">IF(A285="","",IF(BZ285="","NOTE: not reviewed yet",IF(TODAY()&gt;CA285,"NOTE: review overdue","OK")))</f>
        <v/>
      </c>
      <c r="CC285" s="37" t="str">
        <f aca="false">IF(A285="","",ROUND((IF(LEN(D285)&gt;0,1,0)+IF(LEN(E285)&gt;0,1,0)+IF(LEN(F285)&gt;0,1,0)+IF(LEN(G285)&gt;0,1,0)+IF(LEN(H285)&gt;0,1,0)+IF(LEN(I285)&gt;0,1,0)+IF(LEN(K285)&gt;0,1,0)+IF(LEN(N285)&gt;0,1,0)+IF(LEN(O285)&gt;0,1,0)+IF(LEN(T285)&gt;0,1,0)+IF(LEN(U285)&gt;0,1,0)+IF(LEN(V285)&gt;0,1,0)+IF(LEN(AK285)&gt;0,1,0)+IF(LEN(AM285)&gt;0,1,0)+IF(LEN(AN285)&gt;0,1,0)+IF(LEN(AO285)&gt;0,1,0)+IF(LEN(AP285)&gt;0,1,0)+IF(LEN(AY285)&gt;0,1,0)+IF(LEN(BK285)&gt;0,1,0)+IF(LEN(BX285)&gt;0,1,0))/20,2))</f>
        <v/>
      </c>
      <c r="CD285" s="10" t="str">
        <f aca="false">IF(D285="","",IF(AND(AN285="Approved",ISERROR(SEARCH("FAIL",BH285))),"Y","N"))</f>
        <v/>
      </c>
      <c r="CE285" s="10" t="str">
        <f aca="false">IF(D285="","",D285&amp;"|"&amp;F285&amp;"|"&amp;G285&amp;"|"&amp;H285&amp;"|"&amp;E285&amp;"|"&amp;CD285)</f>
        <v/>
      </c>
    </row>
    <row r="286" customFormat="false" ht="15" hidden="false" customHeight="false" outlineLevel="0" collapsed="false">
      <c r="A286" s="10" t="str">
        <f aca="false">IF(D286="","","EW-"&amp;IFERROR(VLOOKUP(D286,Lists!$P$4:$Q$22,2,0),"??")&amp;"-D"&amp;TEXT(F286*1000,"0000")&amp;"-"&amp;IFERROR(VLOOKUP(G286,Lists!$S$4:$T$21,2,0),"??")&amp;"-"&amp;IFERROR(VLOOKUP(H286,Lists!$Y$4:$Z$21,2,0),"??")&amp;"-"&amp;IFERROR(VLOOKUP(E286,Lists!$V$4:$W$16,2,0),"??")&amp;"-"&amp;AM286)</f>
        <v/>
      </c>
      <c r="B286" s="10" t="str">
        <f aca="false">IF(D286="","",E286&amp;" "&amp;D286&amp;", excavation "&amp;TEXT(F286,"0.0")&amp;" m, "&amp;G286&amp;", "&amp;H286&amp;", "&amp;K286)</f>
        <v/>
      </c>
      <c r="C286" s="9"/>
      <c r="D286" s="9"/>
      <c r="E286" s="9"/>
      <c r="F286" s="42"/>
      <c r="G286" s="9"/>
      <c r="H286" s="9"/>
      <c r="I286" s="42"/>
      <c r="J286" s="38"/>
      <c r="K286" s="9"/>
      <c r="L286" s="9"/>
      <c r="M286" s="9"/>
      <c r="N286" s="42"/>
      <c r="O286" s="42"/>
      <c r="P286" s="9"/>
      <c r="Q286" s="9"/>
      <c r="R286" s="9"/>
      <c r="S286" s="9"/>
      <c r="T286" s="38"/>
      <c r="U286" s="38"/>
      <c r="V286" s="38"/>
      <c r="W286" s="38"/>
      <c r="X286" s="38"/>
      <c r="Y286" s="9"/>
      <c r="Z286" s="39"/>
      <c r="AA286" s="9"/>
      <c r="AB286" s="9"/>
      <c r="AC286" s="9"/>
      <c r="AD286" s="9"/>
      <c r="AE286" s="9"/>
      <c r="AF286" s="9"/>
      <c r="AG286" s="9"/>
      <c r="AH286" s="38"/>
      <c r="AI286" s="9"/>
      <c r="AJ286" s="39"/>
      <c r="AK286" s="9"/>
      <c r="AL286" s="9"/>
      <c r="AM286" s="9"/>
      <c r="AN286" s="9"/>
      <c r="AO286" s="9"/>
      <c r="AP286" s="9"/>
      <c r="AQ286" s="9"/>
      <c r="AR286" s="10" t="str">
        <f aca="false">IF(A286="","",SG_Criteria!$B$6&amp;SG_Criteria!$B$9&amp;"\"&amp;A286&amp;"\")</f>
        <v/>
      </c>
      <c r="AS286" s="10" t="str">
        <f aca="false">IF(A286="","",A286&amp;"_CAD.dwg")</f>
        <v/>
      </c>
      <c r="AT286" s="10" t="str">
        <f aca="false">IF(A286="","",A286&amp;"_DWG.pdf")</f>
        <v/>
      </c>
      <c r="AU286" s="10" t="str">
        <f aca="false">IF(A286="","",IF(AQ286="Y",A286&amp;"_STAAD.std","n/a"))</f>
        <v/>
      </c>
      <c r="AV286" s="10" t="str">
        <f aca="false">IF(A286="","",A286&amp;"_CALC.xlsx")</f>
        <v/>
      </c>
      <c r="AW286" s="10" t="str">
        <f aca="false">IF(A286="","",A286&amp;"_CALC.pdf")</f>
        <v/>
      </c>
      <c r="AX286" s="9"/>
      <c r="AY286" s="9"/>
      <c r="AZ286" s="39"/>
      <c r="BA286" s="39"/>
      <c r="BB286" s="39"/>
      <c r="BC286" s="39"/>
      <c r="BD286" s="39"/>
      <c r="BE286" s="12" t="str">
        <f aca="false">IF(A286="","",IF(COUNTIF(Rebar_Schedule!$A$5:$A$2004,A286)=0,"",ROUND(SUMIF(Rebar_Schedule!$A$5:$A$2004,A286,Rebar_Schedule!$K$5:$K$2004),1)))</f>
        <v/>
      </c>
      <c r="BF286" s="33" t="str">
        <f aca="false">IF(A286="","",IF(BE286="","No rebar schedule yet",IF(ABS(BE286-N(BA286))/MAX(N(BA286),1)&gt;SG_Criteria!$B$55,"NOTE: register rebar differs from schedule by "&amp;TEXT(ABS(BE286-N(BA286))/MAX(N(BA286),1),"0%"),"OK")))</f>
        <v/>
      </c>
      <c r="BG286" s="33" t="str">
        <f aca="false">IF(OR(D286="",F286=""),"",IF(F286&lt;=IF(D286="Soldier Pile &amp; Timber Lagging",SG_Criteria!$B$34,SG_Criteria!$B$33),"No ERSS submission",IF(F286&lt;=SG_Criteria!$B$35,"QP(ST)",IF(F286&lt;=SG_Criteria!$B$36,"QP(ST) + AC","Geotechnical building works: QP(Geo) + AC"))))</f>
        <v/>
      </c>
      <c r="BH286" s="33" t="str">
        <f aca="false">IF(D286="","",IF(LEN(IF(AND(AC286&lt;&gt;"",IFERROR(VALUE(MID(AC286,2,2)),0)&lt;SG_Criteria!$B$19),"FAIL: grade below C"&amp;SG_Criteria!$B$19&amp;". ","")&amp;IF(AND(LEFT(D286,3)="Con",N(I286)&lt;F286,H286="Kallang Formation (marine clay)"),"NOTE: CBP is not watertight below GWT in marine clay; consider secant / grouting. ","")&amp;IF(AND(D286="Steel Sheet Pile",E286="Permanent"),"NOTE: permanent sheet pile needs corrosion allowance. ","")&amp;IF(AND(G286="Cantilever (no support)",F286&gt;6),"NOTE: cantilever embedded wall &gt; 6 m, check deflection. ","")&amp;IF(AND(T286&lt;&gt;"",U286&lt;&gt;"",T286&gt;U286),"FAIL: deflection exceeds allowable. ",""))=0,"OK",IF(AND(AC286&lt;&gt;"",IFERROR(VALUE(MID(AC286,2,2)),0)&lt;SG_Criteria!$B$19),"FAIL: grade below C"&amp;SG_Criteria!$B$19&amp;". ","")&amp;IF(AND(LEFT(D286,3)="Con",N(I286)&lt;F286,H286="Kallang Formation (marine clay)"),"NOTE: CBP is not watertight below GWT in marine clay; consider secant / grouting. ","")&amp;IF(AND(D286="Steel Sheet Pile",E286="Permanent"),"NOTE: permanent sheet pile needs corrosion allowance. ","")&amp;IF(AND(G286="Cantilever (no support)",F286&gt;6),"NOTE: cantilever embedded wall &gt; 6 m, check deflection. ","")&amp;IF(AND(T286&lt;&gt;"",U286&lt;&gt;"",T286&gt;U286),"FAIL: deflection exceeds allowable. ","")))</f>
        <v/>
      </c>
      <c r="BI286" s="9"/>
      <c r="BJ286" s="9"/>
      <c r="BK286" s="9"/>
      <c r="BL286" s="10" t="str">
        <f aca="false">IF(BK286="","",IFERROR(VLOOKUP(BK286,Projects!$A$5:$D$504,2,0),"Ref not in Projects"))</f>
        <v/>
      </c>
      <c r="BM286" s="10" t="str">
        <f aca="false">IF(BK286="","",IFERROR(VLOOKUP(BK286,Projects!$A$5:$D$504,4,0),"Ref not in Projects"))</f>
        <v/>
      </c>
      <c r="BN286" s="9"/>
      <c r="BO286" s="9"/>
      <c r="BP286" s="9"/>
      <c r="BQ286" s="40"/>
      <c r="BR286" s="9"/>
      <c r="BS286" s="40"/>
      <c r="BT286" s="9"/>
      <c r="BU286" s="40"/>
      <c r="BV286" s="9"/>
      <c r="BW286" s="9"/>
      <c r="BX286" s="9"/>
      <c r="BY286" s="40"/>
      <c r="BZ286" s="40"/>
      <c r="CA286" s="36" t="str">
        <f aca="false">IF(BZ286="","",EDATE(BZ286,SG_Criteria!$B$54*12))</f>
        <v/>
      </c>
      <c r="CB286" s="33" t="str">
        <f aca="true">IF(A286="","",IF(BZ286="","NOTE: not reviewed yet",IF(TODAY()&gt;CA286,"NOTE: review overdue","OK")))</f>
        <v/>
      </c>
      <c r="CC286" s="37" t="str">
        <f aca="false">IF(A286="","",ROUND((IF(LEN(D286)&gt;0,1,0)+IF(LEN(E286)&gt;0,1,0)+IF(LEN(F286)&gt;0,1,0)+IF(LEN(G286)&gt;0,1,0)+IF(LEN(H286)&gt;0,1,0)+IF(LEN(I286)&gt;0,1,0)+IF(LEN(K286)&gt;0,1,0)+IF(LEN(N286)&gt;0,1,0)+IF(LEN(O286)&gt;0,1,0)+IF(LEN(T286)&gt;0,1,0)+IF(LEN(U286)&gt;0,1,0)+IF(LEN(V286)&gt;0,1,0)+IF(LEN(AK286)&gt;0,1,0)+IF(LEN(AM286)&gt;0,1,0)+IF(LEN(AN286)&gt;0,1,0)+IF(LEN(AO286)&gt;0,1,0)+IF(LEN(AP286)&gt;0,1,0)+IF(LEN(AY286)&gt;0,1,0)+IF(LEN(BK286)&gt;0,1,0)+IF(LEN(BX286)&gt;0,1,0))/20,2))</f>
        <v/>
      </c>
      <c r="CD286" s="10" t="str">
        <f aca="false">IF(D286="","",IF(AND(AN286="Approved",ISERROR(SEARCH("FAIL",BH286))),"Y","N"))</f>
        <v/>
      </c>
      <c r="CE286" s="10" t="str">
        <f aca="false">IF(D286="","",D286&amp;"|"&amp;F286&amp;"|"&amp;G286&amp;"|"&amp;H286&amp;"|"&amp;E286&amp;"|"&amp;CD286)</f>
        <v/>
      </c>
    </row>
    <row r="287" customFormat="false" ht="15" hidden="false" customHeight="false" outlineLevel="0" collapsed="false">
      <c r="A287" s="10" t="str">
        <f aca="false">IF(D287="","","EW-"&amp;IFERROR(VLOOKUP(D287,Lists!$P$4:$Q$22,2,0),"??")&amp;"-D"&amp;TEXT(F287*1000,"0000")&amp;"-"&amp;IFERROR(VLOOKUP(G287,Lists!$S$4:$T$21,2,0),"??")&amp;"-"&amp;IFERROR(VLOOKUP(H287,Lists!$Y$4:$Z$21,2,0),"??")&amp;"-"&amp;IFERROR(VLOOKUP(E287,Lists!$V$4:$W$16,2,0),"??")&amp;"-"&amp;AM287)</f>
        <v/>
      </c>
      <c r="B287" s="10" t="str">
        <f aca="false">IF(D287="","",E287&amp;" "&amp;D287&amp;", excavation "&amp;TEXT(F287,"0.0")&amp;" m, "&amp;G287&amp;", "&amp;H287&amp;", "&amp;K287)</f>
        <v/>
      </c>
      <c r="C287" s="9"/>
      <c r="D287" s="9"/>
      <c r="E287" s="9"/>
      <c r="F287" s="42"/>
      <c r="G287" s="9"/>
      <c r="H287" s="9"/>
      <c r="I287" s="42"/>
      <c r="J287" s="38"/>
      <c r="K287" s="9"/>
      <c r="L287" s="9"/>
      <c r="M287" s="9"/>
      <c r="N287" s="42"/>
      <c r="O287" s="42"/>
      <c r="P287" s="9"/>
      <c r="Q287" s="9"/>
      <c r="R287" s="9"/>
      <c r="S287" s="9"/>
      <c r="T287" s="38"/>
      <c r="U287" s="38"/>
      <c r="V287" s="38"/>
      <c r="W287" s="38"/>
      <c r="X287" s="38"/>
      <c r="Y287" s="9"/>
      <c r="Z287" s="39"/>
      <c r="AA287" s="9"/>
      <c r="AB287" s="9"/>
      <c r="AC287" s="9"/>
      <c r="AD287" s="9"/>
      <c r="AE287" s="9"/>
      <c r="AF287" s="9"/>
      <c r="AG287" s="9"/>
      <c r="AH287" s="38"/>
      <c r="AI287" s="9"/>
      <c r="AJ287" s="39"/>
      <c r="AK287" s="9"/>
      <c r="AL287" s="9"/>
      <c r="AM287" s="9"/>
      <c r="AN287" s="9"/>
      <c r="AO287" s="9"/>
      <c r="AP287" s="9"/>
      <c r="AQ287" s="9"/>
      <c r="AR287" s="10" t="str">
        <f aca="false">IF(A287="","",SG_Criteria!$B$6&amp;SG_Criteria!$B$9&amp;"\"&amp;A287&amp;"\")</f>
        <v/>
      </c>
      <c r="AS287" s="10" t="str">
        <f aca="false">IF(A287="","",A287&amp;"_CAD.dwg")</f>
        <v/>
      </c>
      <c r="AT287" s="10" t="str">
        <f aca="false">IF(A287="","",A287&amp;"_DWG.pdf")</f>
        <v/>
      </c>
      <c r="AU287" s="10" t="str">
        <f aca="false">IF(A287="","",IF(AQ287="Y",A287&amp;"_STAAD.std","n/a"))</f>
        <v/>
      </c>
      <c r="AV287" s="10" t="str">
        <f aca="false">IF(A287="","",A287&amp;"_CALC.xlsx")</f>
        <v/>
      </c>
      <c r="AW287" s="10" t="str">
        <f aca="false">IF(A287="","",A287&amp;"_CALC.pdf")</f>
        <v/>
      </c>
      <c r="AX287" s="9"/>
      <c r="AY287" s="9"/>
      <c r="AZ287" s="39"/>
      <c r="BA287" s="39"/>
      <c r="BB287" s="39"/>
      <c r="BC287" s="39"/>
      <c r="BD287" s="39"/>
      <c r="BE287" s="12" t="str">
        <f aca="false">IF(A287="","",IF(COUNTIF(Rebar_Schedule!$A$5:$A$2004,A287)=0,"",ROUND(SUMIF(Rebar_Schedule!$A$5:$A$2004,A287,Rebar_Schedule!$K$5:$K$2004),1)))</f>
        <v/>
      </c>
      <c r="BF287" s="33" t="str">
        <f aca="false">IF(A287="","",IF(BE287="","No rebar schedule yet",IF(ABS(BE287-N(BA287))/MAX(N(BA287),1)&gt;SG_Criteria!$B$55,"NOTE: register rebar differs from schedule by "&amp;TEXT(ABS(BE287-N(BA287))/MAX(N(BA287),1),"0%"),"OK")))</f>
        <v/>
      </c>
      <c r="BG287" s="33" t="str">
        <f aca="false">IF(OR(D287="",F287=""),"",IF(F287&lt;=IF(D287="Soldier Pile &amp; Timber Lagging",SG_Criteria!$B$34,SG_Criteria!$B$33),"No ERSS submission",IF(F287&lt;=SG_Criteria!$B$35,"QP(ST)",IF(F287&lt;=SG_Criteria!$B$36,"QP(ST) + AC","Geotechnical building works: QP(Geo) + AC"))))</f>
        <v/>
      </c>
      <c r="BH287" s="33" t="str">
        <f aca="false">IF(D287="","",IF(LEN(IF(AND(AC287&lt;&gt;"",IFERROR(VALUE(MID(AC287,2,2)),0)&lt;SG_Criteria!$B$19),"FAIL: grade below C"&amp;SG_Criteria!$B$19&amp;". ","")&amp;IF(AND(LEFT(D287,3)="Con",N(I287)&lt;F287,H287="Kallang Formation (marine clay)"),"NOTE: CBP is not watertight below GWT in marine clay; consider secant / grouting. ","")&amp;IF(AND(D287="Steel Sheet Pile",E287="Permanent"),"NOTE: permanent sheet pile needs corrosion allowance. ","")&amp;IF(AND(G287="Cantilever (no support)",F287&gt;6),"NOTE: cantilever embedded wall &gt; 6 m, check deflection. ","")&amp;IF(AND(T287&lt;&gt;"",U287&lt;&gt;"",T287&gt;U287),"FAIL: deflection exceeds allowable. ",""))=0,"OK",IF(AND(AC287&lt;&gt;"",IFERROR(VALUE(MID(AC287,2,2)),0)&lt;SG_Criteria!$B$19),"FAIL: grade below C"&amp;SG_Criteria!$B$19&amp;". ","")&amp;IF(AND(LEFT(D287,3)="Con",N(I287)&lt;F287,H287="Kallang Formation (marine clay)"),"NOTE: CBP is not watertight below GWT in marine clay; consider secant / grouting. ","")&amp;IF(AND(D287="Steel Sheet Pile",E287="Permanent"),"NOTE: permanent sheet pile needs corrosion allowance. ","")&amp;IF(AND(G287="Cantilever (no support)",F287&gt;6),"NOTE: cantilever embedded wall &gt; 6 m, check deflection. ","")&amp;IF(AND(T287&lt;&gt;"",U287&lt;&gt;"",T287&gt;U287),"FAIL: deflection exceeds allowable. ","")))</f>
        <v/>
      </c>
      <c r="BI287" s="9"/>
      <c r="BJ287" s="9"/>
      <c r="BK287" s="9"/>
      <c r="BL287" s="10" t="str">
        <f aca="false">IF(BK287="","",IFERROR(VLOOKUP(BK287,Projects!$A$5:$D$504,2,0),"Ref not in Projects"))</f>
        <v/>
      </c>
      <c r="BM287" s="10" t="str">
        <f aca="false">IF(BK287="","",IFERROR(VLOOKUP(BK287,Projects!$A$5:$D$504,4,0),"Ref not in Projects"))</f>
        <v/>
      </c>
      <c r="BN287" s="9"/>
      <c r="BO287" s="9"/>
      <c r="BP287" s="9"/>
      <c r="BQ287" s="40"/>
      <c r="BR287" s="9"/>
      <c r="BS287" s="40"/>
      <c r="BT287" s="9"/>
      <c r="BU287" s="40"/>
      <c r="BV287" s="9"/>
      <c r="BW287" s="9"/>
      <c r="BX287" s="9"/>
      <c r="BY287" s="40"/>
      <c r="BZ287" s="40"/>
      <c r="CA287" s="36" t="str">
        <f aca="false">IF(BZ287="","",EDATE(BZ287,SG_Criteria!$B$54*12))</f>
        <v/>
      </c>
      <c r="CB287" s="33" t="str">
        <f aca="true">IF(A287="","",IF(BZ287="","NOTE: not reviewed yet",IF(TODAY()&gt;CA287,"NOTE: review overdue","OK")))</f>
        <v/>
      </c>
      <c r="CC287" s="37" t="str">
        <f aca="false">IF(A287="","",ROUND((IF(LEN(D287)&gt;0,1,0)+IF(LEN(E287)&gt;0,1,0)+IF(LEN(F287)&gt;0,1,0)+IF(LEN(G287)&gt;0,1,0)+IF(LEN(H287)&gt;0,1,0)+IF(LEN(I287)&gt;0,1,0)+IF(LEN(K287)&gt;0,1,0)+IF(LEN(N287)&gt;0,1,0)+IF(LEN(O287)&gt;0,1,0)+IF(LEN(T287)&gt;0,1,0)+IF(LEN(U287)&gt;0,1,0)+IF(LEN(V287)&gt;0,1,0)+IF(LEN(AK287)&gt;0,1,0)+IF(LEN(AM287)&gt;0,1,0)+IF(LEN(AN287)&gt;0,1,0)+IF(LEN(AO287)&gt;0,1,0)+IF(LEN(AP287)&gt;0,1,0)+IF(LEN(AY287)&gt;0,1,0)+IF(LEN(BK287)&gt;0,1,0)+IF(LEN(BX287)&gt;0,1,0))/20,2))</f>
        <v/>
      </c>
      <c r="CD287" s="10" t="str">
        <f aca="false">IF(D287="","",IF(AND(AN287="Approved",ISERROR(SEARCH("FAIL",BH287))),"Y","N"))</f>
        <v/>
      </c>
      <c r="CE287" s="10" t="str">
        <f aca="false">IF(D287="","",D287&amp;"|"&amp;F287&amp;"|"&amp;G287&amp;"|"&amp;H287&amp;"|"&amp;E287&amp;"|"&amp;CD287)</f>
        <v/>
      </c>
    </row>
    <row r="288" customFormat="false" ht="15" hidden="false" customHeight="false" outlineLevel="0" collapsed="false">
      <c r="A288" s="10" t="str">
        <f aca="false">IF(D288="","","EW-"&amp;IFERROR(VLOOKUP(D288,Lists!$P$4:$Q$22,2,0),"??")&amp;"-D"&amp;TEXT(F288*1000,"0000")&amp;"-"&amp;IFERROR(VLOOKUP(G288,Lists!$S$4:$T$21,2,0),"??")&amp;"-"&amp;IFERROR(VLOOKUP(H288,Lists!$Y$4:$Z$21,2,0),"??")&amp;"-"&amp;IFERROR(VLOOKUP(E288,Lists!$V$4:$W$16,2,0),"??")&amp;"-"&amp;AM288)</f>
        <v/>
      </c>
      <c r="B288" s="10" t="str">
        <f aca="false">IF(D288="","",E288&amp;" "&amp;D288&amp;", excavation "&amp;TEXT(F288,"0.0")&amp;" m, "&amp;G288&amp;", "&amp;H288&amp;", "&amp;K288)</f>
        <v/>
      </c>
      <c r="C288" s="9"/>
      <c r="D288" s="9"/>
      <c r="E288" s="9"/>
      <c r="F288" s="42"/>
      <c r="G288" s="9"/>
      <c r="H288" s="9"/>
      <c r="I288" s="42"/>
      <c r="J288" s="38"/>
      <c r="K288" s="9"/>
      <c r="L288" s="9"/>
      <c r="M288" s="9"/>
      <c r="N288" s="42"/>
      <c r="O288" s="42"/>
      <c r="P288" s="9"/>
      <c r="Q288" s="9"/>
      <c r="R288" s="9"/>
      <c r="S288" s="9"/>
      <c r="T288" s="38"/>
      <c r="U288" s="38"/>
      <c r="V288" s="38"/>
      <c r="W288" s="38"/>
      <c r="X288" s="38"/>
      <c r="Y288" s="9"/>
      <c r="Z288" s="39"/>
      <c r="AA288" s="9"/>
      <c r="AB288" s="9"/>
      <c r="AC288" s="9"/>
      <c r="AD288" s="9"/>
      <c r="AE288" s="9"/>
      <c r="AF288" s="9"/>
      <c r="AG288" s="9"/>
      <c r="AH288" s="38"/>
      <c r="AI288" s="9"/>
      <c r="AJ288" s="39"/>
      <c r="AK288" s="9"/>
      <c r="AL288" s="9"/>
      <c r="AM288" s="9"/>
      <c r="AN288" s="9"/>
      <c r="AO288" s="9"/>
      <c r="AP288" s="9"/>
      <c r="AQ288" s="9"/>
      <c r="AR288" s="10" t="str">
        <f aca="false">IF(A288="","",SG_Criteria!$B$6&amp;SG_Criteria!$B$9&amp;"\"&amp;A288&amp;"\")</f>
        <v/>
      </c>
      <c r="AS288" s="10" t="str">
        <f aca="false">IF(A288="","",A288&amp;"_CAD.dwg")</f>
        <v/>
      </c>
      <c r="AT288" s="10" t="str">
        <f aca="false">IF(A288="","",A288&amp;"_DWG.pdf")</f>
        <v/>
      </c>
      <c r="AU288" s="10" t="str">
        <f aca="false">IF(A288="","",IF(AQ288="Y",A288&amp;"_STAAD.std","n/a"))</f>
        <v/>
      </c>
      <c r="AV288" s="10" t="str">
        <f aca="false">IF(A288="","",A288&amp;"_CALC.xlsx")</f>
        <v/>
      </c>
      <c r="AW288" s="10" t="str">
        <f aca="false">IF(A288="","",A288&amp;"_CALC.pdf")</f>
        <v/>
      </c>
      <c r="AX288" s="9"/>
      <c r="AY288" s="9"/>
      <c r="AZ288" s="39"/>
      <c r="BA288" s="39"/>
      <c r="BB288" s="39"/>
      <c r="BC288" s="39"/>
      <c r="BD288" s="39"/>
      <c r="BE288" s="12" t="str">
        <f aca="false">IF(A288="","",IF(COUNTIF(Rebar_Schedule!$A$5:$A$2004,A288)=0,"",ROUND(SUMIF(Rebar_Schedule!$A$5:$A$2004,A288,Rebar_Schedule!$K$5:$K$2004),1)))</f>
        <v/>
      </c>
      <c r="BF288" s="33" t="str">
        <f aca="false">IF(A288="","",IF(BE288="","No rebar schedule yet",IF(ABS(BE288-N(BA288))/MAX(N(BA288),1)&gt;SG_Criteria!$B$55,"NOTE: register rebar differs from schedule by "&amp;TEXT(ABS(BE288-N(BA288))/MAX(N(BA288),1),"0%"),"OK")))</f>
        <v/>
      </c>
      <c r="BG288" s="33" t="str">
        <f aca="false">IF(OR(D288="",F288=""),"",IF(F288&lt;=IF(D288="Soldier Pile &amp; Timber Lagging",SG_Criteria!$B$34,SG_Criteria!$B$33),"No ERSS submission",IF(F288&lt;=SG_Criteria!$B$35,"QP(ST)",IF(F288&lt;=SG_Criteria!$B$36,"QP(ST) + AC","Geotechnical building works: QP(Geo) + AC"))))</f>
        <v/>
      </c>
      <c r="BH288" s="33" t="str">
        <f aca="false">IF(D288="","",IF(LEN(IF(AND(AC288&lt;&gt;"",IFERROR(VALUE(MID(AC288,2,2)),0)&lt;SG_Criteria!$B$19),"FAIL: grade below C"&amp;SG_Criteria!$B$19&amp;". ","")&amp;IF(AND(LEFT(D288,3)="Con",N(I288)&lt;F288,H288="Kallang Formation (marine clay)"),"NOTE: CBP is not watertight below GWT in marine clay; consider secant / grouting. ","")&amp;IF(AND(D288="Steel Sheet Pile",E288="Permanent"),"NOTE: permanent sheet pile needs corrosion allowance. ","")&amp;IF(AND(G288="Cantilever (no support)",F288&gt;6),"NOTE: cantilever embedded wall &gt; 6 m, check deflection. ","")&amp;IF(AND(T288&lt;&gt;"",U288&lt;&gt;"",T288&gt;U288),"FAIL: deflection exceeds allowable. ",""))=0,"OK",IF(AND(AC288&lt;&gt;"",IFERROR(VALUE(MID(AC288,2,2)),0)&lt;SG_Criteria!$B$19),"FAIL: grade below C"&amp;SG_Criteria!$B$19&amp;". ","")&amp;IF(AND(LEFT(D288,3)="Con",N(I288)&lt;F288,H288="Kallang Formation (marine clay)"),"NOTE: CBP is not watertight below GWT in marine clay; consider secant / grouting. ","")&amp;IF(AND(D288="Steel Sheet Pile",E288="Permanent"),"NOTE: permanent sheet pile needs corrosion allowance. ","")&amp;IF(AND(G288="Cantilever (no support)",F288&gt;6),"NOTE: cantilever embedded wall &gt; 6 m, check deflection. ","")&amp;IF(AND(T288&lt;&gt;"",U288&lt;&gt;"",T288&gt;U288),"FAIL: deflection exceeds allowable. ","")))</f>
        <v/>
      </c>
      <c r="BI288" s="9"/>
      <c r="BJ288" s="9"/>
      <c r="BK288" s="9"/>
      <c r="BL288" s="10" t="str">
        <f aca="false">IF(BK288="","",IFERROR(VLOOKUP(BK288,Projects!$A$5:$D$504,2,0),"Ref not in Projects"))</f>
        <v/>
      </c>
      <c r="BM288" s="10" t="str">
        <f aca="false">IF(BK288="","",IFERROR(VLOOKUP(BK288,Projects!$A$5:$D$504,4,0),"Ref not in Projects"))</f>
        <v/>
      </c>
      <c r="BN288" s="9"/>
      <c r="BO288" s="9"/>
      <c r="BP288" s="9"/>
      <c r="BQ288" s="40"/>
      <c r="BR288" s="9"/>
      <c r="BS288" s="40"/>
      <c r="BT288" s="9"/>
      <c r="BU288" s="40"/>
      <c r="BV288" s="9"/>
      <c r="BW288" s="9"/>
      <c r="BX288" s="9"/>
      <c r="BY288" s="40"/>
      <c r="BZ288" s="40"/>
      <c r="CA288" s="36" t="str">
        <f aca="false">IF(BZ288="","",EDATE(BZ288,SG_Criteria!$B$54*12))</f>
        <v/>
      </c>
      <c r="CB288" s="33" t="str">
        <f aca="true">IF(A288="","",IF(BZ288="","NOTE: not reviewed yet",IF(TODAY()&gt;CA288,"NOTE: review overdue","OK")))</f>
        <v/>
      </c>
      <c r="CC288" s="37" t="str">
        <f aca="false">IF(A288="","",ROUND((IF(LEN(D288)&gt;0,1,0)+IF(LEN(E288)&gt;0,1,0)+IF(LEN(F288)&gt;0,1,0)+IF(LEN(G288)&gt;0,1,0)+IF(LEN(H288)&gt;0,1,0)+IF(LEN(I288)&gt;0,1,0)+IF(LEN(K288)&gt;0,1,0)+IF(LEN(N288)&gt;0,1,0)+IF(LEN(O288)&gt;0,1,0)+IF(LEN(T288)&gt;0,1,0)+IF(LEN(U288)&gt;0,1,0)+IF(LEN(V288)&gt;0,1,0)+IF(LEN(AK288)&gt;0,1,0)+IF(LEN(AM288)&gt;0,1,0)+IF(LEN(AN288)&gt;0,1,0)+IF(LEN(AO288)&gt;0,1,0)+IF(LEN(AP288)&gt;0,1,0)+IF(LEN(AY288)&gt;0,1,0)+IF(LEN(BK288)&gt;0,1,0)+IF(LEN(BX288)&gt;0,1,0))/20,2))</f>
        <v/>
      </c>
      <c r="CD288" s="10" t="str">
        <f aca="false">IF(D288="","",IF(AND(AN288="Approved",ISERROR(SEARCH("FAIL",BH288))),"Y","N"))</f>
        <v/>
      </c>
      <c r="CE288" s="10" t="str">
        <f aca="false">IF(D288="","",D288&amp;"|"&amp;F288&amp;"|"&amp;G288&amp;"|"&amp;H288&amp;"|"&amp;E288&amp;"|"&amp;CD288)</f>
        <v/>
      </c>
    </row>
    <row r="289" customFormat="false" ht="15" hidden="false" customHeight="false" outlineLevel="0" collapsed="false">
      <c r="A289" s="10" t="str">
        <f aca="false">IF(D289="","","EW-"&amp;IFERROR(VLOOKUP(D289,Lists!$P$4:$Q$22,2,0),"??")&amp;"-D"&amp;TEXT(F289*1000,"0000")&amp;"-"&amp;IFERROR(VLOOKUP(G289,Lists!$S$4:$T$21,2,0),"??")&amp;"-"&amp;IFERROR(VLOOKUP(H289,Lists!$Y$4:$Z$21,2,0),"??")&amp;"-"&amp;IFERROR(VLOOKUP(E289,Lists!$V$4:$W$16,2,0),"??")&amp;"-"&amp;AM289)</f>
        <v/>
      </c>
      <c r="B289" s="10" t="str">
        <f aca="false">IF(D289="","",E289&amp;" "&amp;D289&amp;", excavation "&amp;TEXT(F289,"0.0")&amp;" m, "&amp;G289&amp;", "&amp;H289&amp;", "&amp;K289)</f>
        <v/>
      </c>
      <c r="C289" s="9"/>
      <c r="D289" s="9"/>
      <c r="E289" s="9"/>
      <c r="F289" s="42"/>
      <c r="G289" s="9"/>
      <c r="H289" s="9"/>
      <c r="I289" s="42"/>
      <c r="J289" s="38"/>
      <c r="K289" s="9"/>
      <c r="L289" s="9"/>
      <c r="M289" s="9"/>
      <c r="N289" s="42"/>
      <c r="O289" s="42"/>
      <c r="P289" s="9"/>
      <c r="Q289" s="9"/>
      <c r="R289" s="9"/>
      <c r="S289" s="9"/>
      <c r="T289" s="38"/>
      <c r="U289" s="38"/>
      <c r="V289" s="38"/>
      <c r="W289" s="38"/>
      <c r="X289" s="38"/>
      <c r="Y289" s="9"/>
      <c r="Z289" s="39"/>
      <c r="AA289" s="9"/>
      <c r="AB289" s="9"/>
      <c r="AC289" s="9"/>
      <c r="AD289" s="9"/>
      <c r="AE289" s="9"/>
      <c r="AF289" s="9"/>
      <c r="AG289" s="9"/>
      <c r="AH289" s="38"/>
      <c r="AI289" s="9"/>
      <c r="AJ289" s="39"/>
      <c r="AK289" s="9"/>
      <c r="AL289" s="9"/>
      <c r="AM289" s="9"/>
      <c r="AN289" s="9"/>
      <c r="AO289" s="9"/>
      <c r="AP289" s="9"/>
      <c r="AQ289" s="9"/>
      <c r="AR289" s="10" t="str">
        <f aca="false">IF(A289="","",SG_Criteria!$B$6&amp;SG_Criteria!$B$9&amp;"\"&amp;A289&amp;"\")</f>
        <v/>
      </c>
      <c r="AS289" s="10" t="str">
        <f aca="false">IF(A289="","",A289&amp;"_CAD.dwg")</f>
        <v/>
      </c>
      <c r="AT289" s="10" t="str">
        <f aca="false">IF(A289="","",A289&amp;"_DWG.pdf")</f>
        <v/>
      </c>
      <c r="AU289" s="10" t="str">
        <f aca="false">IF(A289="","",IF(AQ289="Y",A289&amp;"_STAAD.std","n/a"))</f>
        <v/>
      </c>
      <c r="AV289" s="10" t="str">
        <f aca="false">IF(A289="","",A289&amp;"_CALC.xlsx")</f>
        <v/>
      </c>
      <c r="AW289" s="10" t="str">
        <f aca="false">IF(A289="","",A289&amp;"_CALC.pdf")</f>
        <v/>
      </c>
      <c r="AX289" s="9"/>
      <c r="AY289" s="9"/>
      <c r="AZ289" s="39"/>
      <c r="BA289" s="39"/>
      <c r="BB289" s="39"/>
      <c r="BC289" s="39"/>
      <c r="BD289" s="39"/>
      <c r="BE289" s="12" t="str">
        <f aca="false">IF(A289="","",IF(COUNTIF(Rebar_Schedule!$A$5:$A$2004,A289)=0,"",ROUND(SUMIF(Rebar_Schedule!$A$5:$A$2004,A289,Rebar_Schedule!$K$5:$K$2004),1)))</f>
        <v/>
      </c>
      <c r="BF289" s="33" t="str">
        <f aca="false">IF(A289="","",IF(BE289="","No rebar schedule yet",IF(ABS(BE289-N(BA289))/MAX(N(BA289),1)&gt;SG_Criteria!$B$55,"NOTE: register rebar differs from schedule by "&amp;TEXT(ABS(BE289-N(BA289))/MAX(N(BA289),1),"0%"),"OK")))</f>
        <v/>
      </c>
      <c r="BG289" s="33" t="str">
        <f aca="false">IF(OR(D289="",F289=""),"",IF(F289&lt;=IF(D289="Soldier Pile &amp; Timber Lagging",SG_Criteria!$B$34,SG_Criteria!$B$33),"No ERSS submission",IF(F289&lt;=SG_Criteria!$B$35,"QP(ST)",IF(F289&lt;=SG_Criteria!$B$36,"QP(ST) + AC","Geotechnical building works: QP(Geo) + AC"))))</f>
        <v/>
      </c>
      <c r="BH289" s="33" t="str">
        <f aca="false">IF(D289="","",IF(LEN(IF(AND(AC289&lt;&gt;"",IFERROR(VALUE(MID(AC289,2,2)),0)&lt;SG_Criteria!$B$19),"FAIL: grade below C"&amp;SG_Criteria!$B$19&amp;". ","")&amp;IF(AND(LEFT(D289,3)="Con",N(I289)&lt;F289,H289="Kallang Formation (marine clay)"),"NOTE: CBP is not watertight below GWT in marine clay; consider secant / grouting. ","")&amp;IF(AND(D289="Steel Sheet Pile",E289="Permanent"),"NOTE: permanent sheet pile needs corrosion allowance. ","")&amp;IF(AND(G289="Cantilever (no support)",F289&gt;6),"NOTE: cantilever embedded wall &gt; 6 m, check deflection. ","")&amp;IF(AND(T289&lt;&gt;"",U289&lt;&gt;"",T289&gt;U289),"FAIL: deflection exceeds allowable. ",""))=0,"OK",IF(AND(AC289&lt;&gt;"",IFERROR(VALUE(MID(AC289,2,2)),0)&lt;SG_Criteria!$B$19),"FAIL: grade below C"&amp;SG_Criteria!$B$19&amp;". ","")&amp;IF(AND(LEFT(D289,3)="Con",N(I289)&lt;F289,H289="Kallang Formation (marine clay)"),"NOTE: CBP is not watertight below GWT in marine clay; consider secant / grouting. ","")&amp;IF(AND(D289="Steel Sheet Pile",E289="Permanent"),"NOTE: permanent sheet pile needs corrosion allowance. ","")&amp;IF(AND(G289="Cantilever (no support)",F289&gt;6),"NOTE: cantilever embedded wall &gt; 6 m, check deflection. ","")&amp;IF(AND(T289&lt;&gt;"",U289&lt;&gt;"",T289&gt;U289),"FAIL: deflection exceeds allowable. ","")))</f>
        <v/>
      </c>
      <c r="BI289" s="9"/>
      <c r="BJ289" s="9"/>
      <c r="BK289" s="9"/>
      <c r="BL289" s="10" t="str">
        <f aca="false">IF(BK289="","",IFERROR(VLOOKUP(BK289,Projects!$A$5:$D$504,2,0),"Ref not in Projects"))</f>
        <v/>
      </c>
      <c r="BM289" s="10" t="str">
        <f aca="false">IF(BK289="","",IFERROR(VLOOKUP(BK289,Projects!$A$5:$D$504,4,0),"Ref not in Projects"))</f>
        <v/>
      </c>
      <c r="BN289" s="9"/>
      <c r="BO289" s="9"/>
      <c r="BP289" s="9"/>
      <c r="BQ289" s="40"/>
      <c r="BR289" s="9"/>
      <c r="BS289" s="40"/>
      <c r="BT289" s="9"/>
      <c r="BU289" s="40"/>
      <c r="BV289" s="9"/>
      <c r="BW289" s="9"/>
      <c r="BX289" s="9"/>
      <c r="BY289" s="40"/>
      <c r="BZ289" s="40"/>
      <c r="CA289" s="36" t="str">
        <f aca="false">IF(BZ289="","",EDATE(BZ289,SG_Criteria!$B$54*12))</f>
        <v/>
      </c>
      <c r="CB289" s="33" t="str">
        <f aca="true">IF(A289="","",IF(BZ289="","NOTE: not reviewed yet",IF(TODAY()&gt;CA289,"NOTE: review overdue","OK")))</f>
        <v/>
      </c>
      <c r="CC289" s="37" t="str">
        <f aca="false">IF(A289="","",ROUND((IF(LEN(D289)&gt;0,1,0)+IF(LEN(E289)&gt;0,1,0)+IF(LEN(F289)&gt;0,1,0)+IF(LEN(G289)&gt;0,1,0)+IF(LEN(H289)&gt;0,1,0)+IF(LEN(I289)&gt;0,1,0)+IF(LEN(K289)&gt;0,1,0)+IF(LEN(N289)&gt;0,1,0)+IF(LEN(O289)&gt;0,1,0)+IF(LEN(T289)&gt;0,1,0)+IF(LEN(U289)&gt;0,1,0)+IF(LEN(V289)&gt;0,1,0)+IF(LEN(AK289)&gt;0,1,0)+IF(LEN(AM289)&gt;0,1,0)+IF(LEN(AN289)&gt;0,1,0)+IF(LEN(AO289)&gt;0,1,0)+IF(LEN(AP289)&gt;0,1,0)+IF(LEN(AY289)&gt;0,1,0)+IF(LEN(BK289)&gt;0,1,0)+IF(LEN(BX289)&gt;0,1,0))/20,2))</f>
        <v/>
      </c>
      <c r="CD289" s="10" t="str">
        <f aca="false">IF(D289="","",IF(AND(AN289="Approved",ISERROR(SEARCH("FAIL",BH289))),"Y","N"))</f>
        <v/>
      </c>
      <c r="CE289" s="10" t="str">
        <f aca="false">IF(D289="","",D289&amp;"|"&amp;F289&amp;"|"&amp;G289&amp;"|"&amp;H289&amp;"|"&amp;E289&amp;"|"&amp;CD289)</f>
        <v/>
      </c>
    </row>
    <row r="290" customFormat="false" ht="15" hidden="false" customHeight="false" outlineLevel="0" collapsed="false">
      <c r="A290" s="10" t="str">
        <f aca="false">IF(D290="","","EW-"&amp;IFERROR(VLOOKUP(D290,Lists!$P$4:$Q$22,2,0),"??")&amp;"-D"&amp;TEXT(F290*1000,"0000")&amp;"-"&amp;IFERROR(VLOOKUP(G290,Lists!$S$4:$T$21,2,0),"??")&amp;"-"&amp;IFERROR(VLOOKUP(H290,Lists!$Y$4:$Z$21,2,0),"??")&amp;"-"&amp;IFERROR(VLOOKUP(E290,Lists!$V$4:$W$16,2,0),"??")&amp;"-"&amp;AM290)</f>
        <v/>
      </c>
      <c r="B290" s="10" t="str">
        <f aca="false">IF(D290="","",E290&amp;" "&amp;D290&amp;", excavation "&amp;TEXT(F290,"0.0")&amp;" m, "&amp;G290&amp;", "&amp;H290&amp;", "&amp;K290)</f>
        <v/>
      </c>
      <c r="C290" s="9"/>
      <c r="D290" s="9"/>
      <c r="E290" s="9"/>
      <c r="F290" s="42"/>
      <c r="G290" s="9"/>
      <c r="H290" s="9"/>
      <c r="I290" s="42"/>
      <c r="J290" s="38"/>
      <c r="K290" s="9"/>
      <c r="L290" s="9"/>
      <c r="M290" s="9"/>
      <c r="N290" s="42"/>
      <c r="O290" s="42"/>
      <c r="P290" s="9"/>
      <c r="Q290" s="9"/>
      <c r="R290" s="9"/>
      <c r="S290" s="9"/>
      <c r="T290" s="38"/>
      <c r="U290" s="38"/>
      <c r="V290" s="38"/>
      <c r="W290" s="38"/>
      <c r="X290" s="38"/>
      <c r="Y290" s="9"/>
      <c r="Z290" s="39"/>
      <c r="AA290" s="9"/>
      <c r="AB290" s="9"/>
      <c r="AC290" s="9"/>
      <c r="AD290" s="9"/>
      <c r="AE290" s="9"/>
      <c r="AF290" s="9"/>
      <c r="AG290" s="9"/>
      <c r="AH290" s="38"/>
      <c r="AI290" s="9"/>
      <c r="AJ290" s="39"/>
      <c r="AK290" s="9"/>
      <c r="AL290" s="9"/>
      <c r="AM290" s="9"/>
      <c r="AN290" s="9"/>
      <c r="AO290" s="9"/>
      <c r="AP290" s="9"/>
      <c r="AQ290" s="9"/>
      <c r="AR290" s="10" t="str">
        <f aca="false">IF(A290="","",SG_Criteria!$B$6&amp;SG_Criteria!$B$9&amp;"\"&amp;A290&amp;"\")</f>
        <v/>
      </c>
      <c r="AS290" s="10" t="str">
        <f aca="false">IF(A290="","",A290&amp;"_CAD.dwg")</f>
        <v/>
      </c>
      <c r="AT290" s="10" t="str">
        <f aca="false">IF(A290="","",A290&amp;"_DWG.pdf")</f>
        <v/>
      </c>
      <c r="AU290" s="10" t="str">
        <f aca="false">IF(A290="","",IF(AQ290="Y",A290&amp;"_STAAD.std","n/a"))</f>
        <v/>
      </c>
      <c r="AV290" s="10" t="str">
        <f aca="false">IF(A290="","",A290&amp;"_CALC.xlsx")</f>
        <v/>
      </c>
      <c r="AW290" s="10" t="str">
        <f aca="false">IF(A290="","",A290&amp;"_CALC.pdf")</f>
        <v/>
      </c>
      <c r="AX290" s="9"/>
      <c r="AY290" s="9"/>
      <c r="AZ290" s="39"/>
      <c r="BA290" s="39"/>
      <c r="BB290" s="39"/>
      <c r="BC290" s="39"/>
      <c r="BD290" s="39"/>
      <c r="BE290" s="12" t="str">
        <f aca="false">IF(A290="","",IF(COUNTIF(Rebar_Schedule!$A$5:$A$2004,A290)=0,"",ROUND(SUMIF(Rebar_Schedule!$A$5:$A$2004,A290,Rebar_Schedule!$K$5:$K$2004),1)))</f>
        <v/>
      </c>
      <c r="BF290" s="33" t="str">
        <f aca="false">IF(A290="","",IF(BE290="","No rebar schedule yet",IF(ABS(BE290-N(BA290))/MAX(N(BA290),1)&gt;SG_Criteria!$B$55,"NOTE: register rebar differs from schedule by "&amp;TEXT(ABS(BE290-N(BA290))/MAX(N(BA290),1),"0%"),"OK")))</f>
        <v/>
      </c>
      <c r="BG290" s="33" t="str">
        <f aca="false">IF(OR(D290="",F290=""),"",IF(F290&lt;=IF(D290="Soldier Pile &amp; Timber Lagging",SG_Criteria!$B$34,SG_Criteria!$B$33),"No ERSS submission",IF(F290&lt;=SG_Criteria!$B$35,"QP(ST)",IF(F290&lt;=SG_Criteria!$B$36,"QP(ST) + AC","Geotechnical building works: QP(Geo) + AC"))))</f>
        <v/>
      </c>
      <c r="BH290" s="33" t="str">
        <f aca="false">IF(D290="","",IF(LEN(IF(AND(AC290&lt;&gt;"",IFERROR(VALUE(MID(AC290,2,2)),0)&lt;SG_Criteria!$B$19),"FAIL: grade below C"&amp;SG_Criteria!$B$19&amp;". ","")&amp;IF(AND(LEFT(D290,3)="Con",N(I290)&lt;F290,H290="Kallang Formation (marine clay)"),"NOTE: CBP is not watertight below GWT in marine clay; consider secant / grouting. ","")&amp;IF(AND(D290="Steel Sheet Pile",E290="Permanent"),"NOTE: permanent sheet pile needs corrosion allowance. ","")&amp;IF(AND(G290="Cantilever (no support)",F290&gt;6),"NOTE: cantilever embedded wall &gt; 6 m, check deflection. ","")&amp;IF(AND(T290&lt;&gt;"",U290&lt;&gt;"",T290&gt;U290),"FAIL: deflection exceeds allowable. ",""))=0,"OK",IF(AND(AC290&lt;&gt;"",IFERROR(VALUE(MID(AC290,2,2)),0)&lt;SG_Criteria!$B$19),"FAIL: grade below C"&amp;SG_Criteria!$B$19&amp;". ","")&amp;IF(AND(LEFT(D290,3)="Con",N(I290)&lt;F290,H290="Kallang Formation (marine clay)"),"NOTE: CBP is not watertight below GWT in marine clay; consider secant / grouting. ","")&amp;IF(AND(D290="Steel Sheet Pile",E290="Permanent"),"NOTE: permanent sheet pile needs corrosion allowance. ","")&amp;IF(AND(G290="Cantilever (no support)",F290&gt;6),"NOTE: cantilever embedded wall &gt; 6 m, check deflection. ","")&amp;IF(AND(T290&lt;&gt;"",U290&lt;&gt;"",T290&gt;U290),"FAIL: deflection exceeds allowable. ","")))</f>
        <v/>
      </c>
      <c r="BI290" s="9"/>
      <c r="BJ290" s="9"/>
      <c r="BK290" s="9"/>
      <c r="BL290" s="10" t="str">
        <f aca="false">IF(BK290="","",IFERROR(VLOOKUP(BK290,Projects!$A$5:$D$504,2,0),"Ref not in Projects"))</f>
        <v/>
      </c>
      <c r="BM290" s="10" t="str">
        <f aca="false">IF(BK290="","",IFERROR(VLOOKUP(BK290,Projects!$A$5:$D$504,4,0),"Ref not in Projects"))</f>
        <v/>
      </c>
      <c r="BN290" s="9"/>
      <c r="BO290" s="9"/>
      <c r="BP290" s="9"/>
      <c r="BQ290" s="40"/>
      <c r="BR290" s="9"/>
      <c r="BS290" s="40"/>
      <c r="BT290" s="9"/>
      <c r="BU290" s="40"/>
      <c r="BV290" s="9"/>
      <c r="BW290" s="9"/>
      <c r="BX290" s="9"/>
      <c r="BY290" s="40"/>
      <c r="BZ290" s="40"/>
      <c r="CA290" s="36" t="str">
        <f aca="false">IF(BZ290="","",EDATE(BZ290,SG_Criteria!$B$54*12))</f>
        <v/>
      </c>
      <c r="CB290" s="33" t="str">
        <f aca="true">IF(A290="","",IF(BZ290="","NOTE: not reviewed yet",IF(TODAY()&gt;CA290,"NOTE: review overdue","OK")))</f>
        <v/>
      </c>
      <c r="CC290" s="37" t="str">
        <f aca="false">IF(A290="","",ROUND((IF(LEN(D290)&gt;0,1,0)+IF(LEN(E290)&gt;0,1,0)+IF(LEN(F290)&gt;0,1,0)+IF(LEN(G290)&gt;0,1,0)+IF(LEN(H290)&gt;0,1,0)+IF(LEN(I290)&gt;0,1,0)+IF(LEN(K290)&gt;0,1,0)+IF(LEN(N290)&gt;0,1,0)+IF(LEN(O290)&gt;0,1,0)+IF(LEN(T290)&gt;0,1,0)+IF(LEN(U290)&gt;0,1,0)+IF(LEN(V290)&gt;0,1,0)+IF(LEN(AK290)&gt;0,1,0)+IF(LEN(AM290)&gt;0,1,0)+IF(LEN(AN290)&gt;0,1,0)+IF(LEN(AO290)&gt;0,1,0)+IF(LEN(AP290)&gt;0,1,0)+IF(LEN(AY290)&gt;0,1,0)+IF(LEN(BK290)&gt;0,1,0)+IF(LEN(BX290)&gt;0,1,0))/20,2))</f>
        <v/>
      </c>
      <c r="CD290" s="10" t="str">
        <f aca="false">IF(D290="","",IF(AND(AN290="Approved",ISERROR(SEARCH("FAIL",BH290))),"Y","N"))</f>
        <v/>
      </c>
      <c r="CE290" s="10" t="str">
        <f aca="false">IF(D290="","",D290&amp;"|"&amp;F290&amp;"|"&amp;G290&amp;"|"&amp;H290&amp;"|"&amp;E290&amp;"|"&amp;CD290)</f>
        <v/>
      </c>
    </row>
    <row r="291" customFormat="false" ht="15" hidden="false" customHeight="false" outlineLevel="0" collapsed="false">
      <c r="A291" s="10" t="str">
        <f aca="false">IF(D291="","","EW-"&amp;IFERROR(VLOOKUP(D291,Lists!$P$4:$Q$22,2,0),"??")&amp;"-D"&amp;TEXT(F291*1000,"0000")&amp;"-"&amp;IFERROR(VLOOKUP(G291,Lists!$S$4:$T$21,2,0),"??")&amp;"-"&amp;IFERROR(VLOOKUP(H291,Lists!$Y$4:$Z$21,2,0),"??")&amp;"-"&amp;IFERROR(VLOOKUP(E291,Lists!$V$4:$W$16,2,0),"??")&amp;"-"&amp;AM291)</f>
        <v/>
      </c>
      <c r="B291" s="10" t="str">
        <f aca="false">IF(D291="","",E291&amp;" "&amp;D291&amp;", excavation "&amp;TEXT(F291,"0.0")&amp;" m, "&amp;G291&amp;", "&amp;H291&amp;", "&amp;K291)</f>
        <v/>
      </c>
      <c r="C291" s="9"/>
      <c r="D291" s="9"/>
      <c r="E291" s="9"/>
      <c r="F291" s="42"/>
      <c r="G291" s="9"/>
      <c r="H291" s="9"/>
      <c r="I291" s="42"/>
      <c r="J291" s="38"/>
      <c r="K291" s="9"/>
      <c r="L291" s="9"/>
      <c r="M291" s="9"/>
      <c r="N291" s="42"/>
      <c r="O291" s="42"/>
      <c r="P291" s="9"/>
      <c r="Q291" s="9"/>
      <c r="R291" s="9"/>
      <c r="S291" s="9"/>
      <c r="T291" s="38"/>
      <c r="U291" s="38"/>
      <c r="V291" s="38"/>
      <c r="W291" s="38"/>
      <c r="X291" s="38"/>
      <c r="Y291" s="9"/>
      <c r="Z291" s="39"/>
      <c r="AA291" s="9"/>
      <c r="AB291" s="9"/>
      <c r="AC291" s="9"/>
      <c r="AD291" s="9"/>
      <c r="AE291" s="9"/>
      <c r="AF291" s="9"/>
      <c r="AG291" s="9"/>
      <c r="AH291" s="38"/>
      <c r="AI291" s="9"/>
      <c r="AJ291" s="39"/>
      <c r="AK291" s="9"/>
      <c r="AL291" s="9"/>
      <c r="AM291" s="9"/>
      <c r="AN291" s="9"/>
      <c r="AO291" s="9"/>
      <c r="AP291" s="9"/>
      <c r="AQ291" s="9"/>
      <c r="AR291" s="10" t="str">
        <f aca="false">IF(A291="","",SG_Criteria!$B$6&amp;SG_Criteria!$B$9&amp;"\"&amp;A291&amp;"\")</f>
        <v/>
      </c>
      <c r="AS291" s="10" t="str">
        <f aca="false">IF(A291="","",A291&amp;"_CAD.dwg")</f>
        <v/>
      </c>
      <c r="AT291" s="10" t="str">
        <f aca="false">IF(A291="","",A291&amp;"_DWG.pdf")</f>
        <v/>
      </c>
      <c r="AU291" s="10" t="str">
        <f aca="false">IF(A291="","",IF(AQ291="Y",A291&amp;"_STAAD.std","n/a"))</f>
        <v/>
      </c>
      <c r="AV291" s="10" t="str">
        <f aca="false">IF(A291="","",A291&amp;"_CALC.xlsx")</f>
        <v/>
      </c>
      <c r="AW291" s="10" t="str">
        <f aca="false">IF(A291="","",A291&amp;"_CALC.pdf")</f>
        <v/>
      </c>
      <c r="AX291" s="9"/>
      <c r="AY291" s="9"/>
      <c r="AZ291" s="39"/>
      <c r="BA291" s="39"/>
      <c r="BB291" s="39"/>
      <c r="BC291" s="39"/>
      <c r="BD291" s="39"/>
      <c r="BE291" s="12" t="str">
        <f aca="false">IF(A291="","",IF(COUNTIF(Rebar_Schedule!$A$5:$A$2004,A291)=0,"",ROUND(SUMIF(Rebar_Schedule!$A$5:$A$2004,A291,Rebar_Schedule!$K$5:$K$2004),1)))</f>
        <v/>
      </c>
      <c r="BF291" s="33" t="str">
        <f aca="false">IF(A291="","",IF(BE291="","No rebar schedule yet",IF(ABS(BE291-N(BA291))/MAX(N(BA291),1)&gt;SG_Criteria!$B$55,"NOTE: register rebar differs from schedule by "&amp;TEXT(ABS(BE291-N(BA291))/MAX(N(BA291),1),"0%"),"OK")))</f>
        <v/>
      </c>
      <c r="BG291" s="33" t="str">
        <f aca="false">IF(OR(D291="",F291=""),"",IF(F291&lt;=IF(D291="Soldier Pile &amp; Timber Lagging",SG_Criteria!$B$34,SG_Criteria!$B$33),"No ERSS submission",IF(F291&lt;=SG_Criteria!$B$35,"QP(ST)",IF(F291&lt;=SG_Criteria!$B$36,"QP(ST) + AC","Geotechnical building works: QP(Geo) + AC"))))</f>
        <v/>
      </c>
      <c r="BH291" s="33" t="str">
        <f aca="false">IF(D291="","",IF(LEN(IF(AND(AC291&lt;&gt;"",IFERROR(VALUE(MID(AC291,2,2)),0)&lt;SG_Criteria!$B$19),"FAIL: grade below C"&amp;SG_Criteria!$B$19&amp;". ","")&amp;IF(AND(LEFT(D291,3)="Con",N(I291)&lt;F291,H291="Kallang Formation (marine clay)"),"NOTE: CBP is not watertight below GWT in marine clay; consider secant / grouting. ","")&amp;IF(AND(D291="Steel Sheet Pile",E291="Permanent"),"NOTE: permanent sheet pile needs corrosion allowance. ","")&amp;IF(AND(G291="Cantilever (no support)",F291&gt;6),"NOTE: cantilever embedded wall &gt; 6 m, check deflection. ","")&amp;IF(AND(T291&lt;&gt;"",U291&lt;&gt;"",T291&gt;U291),"FAIL: deflection exceeds allowable. ",""))=0,"OK",IF(AND(AC291&lt;&gt;"",IFERROR(VALUE(MID(AC291,2,2)),0)&lt;SG_Criteria!$B$19),"FAIL: grade below C"&amp;SG_Criteria!$B$19&amp;". ","")&amp;IF(AND(LEFT(D291,3)="Con",N(I291)&lt;F291,H291="Kallang Formation (marine clay)"),"NOTE: CBP is not watertight below GWT in marine clay; consider secant / grouting. ","")&amp;IF(AND(D291="Steel Sheet Pile",E291="Permanent"),"NOTE: permanent sheet pile needs corrosion allowance. ","")&amp;IF(AND(G291="Cantilever (no support)",F291&gt;6),"NOTE: cantilever embedded wall &gt; 6 m, check deflection. ","")&amp;IF(AND(T291&lt;&gt;"",U291&lt;&gt;"",T291&gt;U291),"FAIL: deflection exceeds allowable. ","")))</f>
        <v/>
      </c>
      <c r="BI291" s="9"/>
      <c r="BJ291" s="9"/>
      <c r="BK291" s="9"/>
      <c r="BL291" s="10" t="str">
        <f aca="false">IF(BK291="","",IFERROR(VLOOKUP(BK291,Projects!$A$5:$D$504,2,0),"Ref not in Projects"))</f>
        <v/>
      </c>
      <c r="BM291" s="10" t="str">
        <f aca="false">IF(BK291="","",IFERROR(VLOOKUP(BK291,Projects!$A$5:$D$504,4,0),"Ref not in Projects"))</f>
        <v/>
      </c>
      <c r="BN291" s="9"/>
      <c r="BO291" s="9"/>
      <c r="BP291" s="9"/>
      <c r="BQ291" s="40"/>
      <c r="BR291" s="9"/>
      <c r="BS291" s="40"/>
      <c r="BT291" s="9"/>
      <c r="BU291" s="40"/>
      <c r="BV291" s="9"/>
      <c r="BW291" s="9"/>
      <c r="BX291" s="9"/>
      <c r="BY291" s="40"/>
      <c r="BZ291" s="40"/>
      <c r="CA291" s="36" t="str">
        <f aca="false">IF(BZ291="","",EDATE(BZ291,SG_Criteria!$B$54*12))</f>
        <v/>
      </c>
      <c r="CB291" s="33" t="str">
        <f aca="true">IF(A291="","",IF(BZ291="","NOTE: not reviewed yet",IF(TODAY()&gt;CA291,"NOTE: review overdue","OK")))</f>
        <v/>
      </c>
      <c r="CC291" s="37" t="str">
        <f aca="false">IF(A291="","",ROUND((IF(LEN(D291)&gt;0,1,0)+IF(LEN(E291)&gt;0,1,0)+IF(LEN(F291)&gt;0,1,0)+IF(LEN(G291)&gt;0,1,0)+IF(LEN(H291)&gt;0,1,0)+IF(LEN(I291)&gt;0,1,0)+IF(LEN(K291)&gt;0,1,0)+IF(LEN(N291)&gt;0,1,0)+IF(LEN(O291)&gt;0,1,0)+IF(LEN(T291)&gt;0,1,0)+IF(LEN(U291)&gt;0,1,0)+IF(LEN(V291)&gt;0,1,0)+IF(LEN(AK291)&gt;0,1,0)+IF(LEN(AM291)&gt;0,1,0)+IF(LEN(AN291)&gt;0,1,0)+IF(LEN(AO291)&gt;0,1,0)+IF(LEN(AP291)&gt;0,1,0)+IF(LEN(AY291)&gt;0,1,0)+IF(LEN(BK291)&gt;0,1,0)+IF(LEN(BX291)&gt;0,1,0))/20,2))</f>
        <v/>
      </c>
      <c r="CD291" s="10" t="str">
        <f aca="false">IF(D291="","",IF(AND(AN291="Approved",ISERROR(SEARCH("FAIL",BH291))),"Y","N"))</f>
        <v/>
      </c>
      <c r="CE291" s="10" t="str">
        <f aca="false">IF(D291="","",D291&amp;"|"&amp;F291&amp;"|"&amp;G291&amp;"|"&amp;H291&amp;"|"&amp;E291&amp;"|"&amp;CD291)</f>
        <v/>
      </c>
    </row>
    <row r="292" customFormat="false" ht="15" hidden="false" customHeight="false" outlineLevel="0" collapsed="false">
      <c r="A292" s="10" t="str">
        <f aca="false">IF(D292="","","EW-"&amp;IFERROR(VLOOKUP(D292,Lists!$P$4:$Q$22,2,0),"??")&amp;"-D"&amp;TEXT(F292*1000,"0000")&amp;"-"&amp;IFERROR(VLOOKUP(G292,Lists!$S$4:$T$21,2,0),"??")&amp;"-"&amp;IFERROR(VLOOKUP(H292,Lists!$Y$4:$Z$21,2,0),"??")&amp;"-"&amp;IFERROR(VLOOKUP(E292,Lists!$V$4:$W$16,2,0),"??")&amp;"-"&amp;AM292)</f>
        <v/>
      </c>
      <c r="B292" s="10" t="str">
        <f aca="false">IF(D292="","",E292&amp;" "&amp;D292&amp;", excavation "&amp;TEXT(F292,"0.0")&amp;" m, "&amp;G292&amp;", "&amp;H292&amp;", "&amp;K292)</f>
        <v/>
      </c>
      <c r="C292" s="9"/>
      <c r="D292" s="9"/>
      <c r="E292" s="9"/>
      <c r="F292" s="42"/>
      <c r="G292" s="9"/>
      <c r="H292" s="9"/>
      <c r="I292" s="42"/>
      <c r="J292" s="38"/>
      <c r="K292" s="9"/>
      <c r="L292" s="9"/>
      <c r="M292" s="9"/>
      <c r="N292" s="42"/>
      <c r="O292" s="42"/>
      <c r="P292" s="9"/>
      <c r="Q292" s="9"/>
      <c r="R292" s="9"/>
      <c r="S292" s="9"/>
      <c r="T292" s="38"/>
      <c r="U292" s="38"/>
      <c r="V292" s="38"/>
      <c r="W292" s="38"/>
      <c r="X292" s="38"/>
      <c r="Y292" s="9"/>
      <c r="Z292" s="39"/>
      <c r="AA292" s="9"/>
      <c r="AB292" s="9"/>
      <c r="AC292" s="9"/>
      <c r="AD292" s="9"/>
      <c r="AE292" s="9"/>
      <c r="AF292" s="9"/>
      <c r="AG292" s="9"/>
      <c r="AH292" s="38"/>
      <c r="AI292" s="9"/>
      <c r="AJ292" s="39"/>
      <c r="AK292" s="9"/>
      <c r="AL292" s="9"/>
      <c r="AM292" s="9"/>
      <c r="AN292" s="9"/>
      <c r="AO292" s="9"/>
      <c r="AP292" s="9"/>
      <c r="AQ292" s="9"/>
      <c r="AR292" s="10" t="str">
        <f aca="false">IF(A292="","",SG_Criteria!$B$6&amp;SG_Criteria!$B$9&amp;"\"&amp;A292&amp;"\")</f>
        <v/>
      </c>
      <c r="AS292" s="10" t="str">
        <f aca="false">IF(A292="","",A292&amp;"_CAD.dwg")</f>
        <v/>
      </c>
      <c r="AT292" s="10" t="str">
        <f aca="false">IF(A292="","",A292&amp;"_DWG.pdf")</f>
        <v/>
      </c>
      <c r="AU292" s="10" t="str">
        <f aca="false">IF(A292="","",IF(AQ292="Y",A292&amp;"_STAAD.std","n/a"))</f>
        <v/>
      </c>
      <c r="AV292" s="10" t="str">
        <f aca="false">IF(A292="","",A292&amp;"_CALC.xlsx")</f>
        <v/>
      </c>
      <c r="AW292" s="10" t="str">
        <f aca="false">IF(A292="","",A292&amp;"_CALC.pdf")</f>
        <v/>
      </c>
      <c r="AX292" s="9"/>
      <c r="AY292" s="9"/>
      <c r="AZ292" s="39"/>
      <c r="BA292" s="39"/>
      <c r="BB292" s="39"/>
      <c r="BC292" s="39"/>
      <c r="BD292" s="39"/>
      <c r="BE292" s="12" t="str">
        <f aca="false">IF(A292="","",IF(COUNTIF(Rebar_Schedule!$A$5:$A$2004,A292)=0,"",ROUND(SUMIF(Rebar_Schedule!$A$5:$A$2004,A292,Rebar_Schedule!$K$5:$K$2004),1)))</f>
        <v/>
      </c>
      <c r="BF292" s="33" t="str">
        <f aca="false">IF(A292="","",IF(BE292="","No rebar schedule yet",IF(ABS(BE292-N(BA292))/MAX(N(BA292),1)&gt;SG_Criteria!$B$55,"NOTE: register rebar differs from schedule by "&amp;TEXT(ABS(BE292-N(BA292))/MAX(N(BA292),1),"0%"),"OK")))</f>
        <v/>
      </c>
      <c r="BG292" s="33" t="str">
        <f aca="false">IF(OR(D292="",F292=""),"",IF(F292&lt;=IF(D292="Soldier Pile &amp; Timber Lagging",SG_Criteria!$B$34,SG_Criteria!$B$33),"No ERSS submission",IF(F292&lt;=SG_Criteria!$B$35,"QP(ST)",IF(F292&lt;=SG_Criteria!$B$36,"QP(ST) + AC","Geotechnical building works: QP(Geo) + AC"))))</f>
        <v/>
      </c>
      <c r="BH292" s="33" t="str">
        <f aca="false">IF(D292="","",IF(LEN(IF(AND(AC292&lt;&gt;"",IFERROR(VALUE(MID(AC292,2,2)),0)&lt;SG_Criteria!$B$19),"FAIL: grade below C"&amp;SG_Criteria!$B$19&amp;". ","")&amp;IF(AND(LEFT(D292,3)="Con",N(I292)&lt;F292,H292="Kallang Formation (marine clay)"),"NOTE: CBP is not watertight below GWT in marine clay; consider secant / grouting. ","")&amp;IF(AND(D292="Steel Sheet Pile",E292="Permanent"),"NOTE: permanent sheet pile needs corrosion allowance. ","")&amp;IF(AND(G292="Cantilever (no support)",F292&gt;6),"NOTE: cantilever embedded wall &gt; 6 m, check deflection. ","")&amp;IF(AND(T292&lt;&gt;"",U292&lt;&gt;"",T292&gt;U292),"FAIL: deflection exceeds allowable. ",""))=0,"OK",IF(AND(AC292&lt;&gt;"",IFERROR(VALUE(MID(AC292,2,2)),0)&lt;SG_Criteria!$B$19),"FAIL: grade below C"&amp;SG_Criteria!$B$19&amp;". ","")&amp;IF(AND(LEFT(D292,3)="Con",N(I292)&lt;F292,H292="Kallang Formation (marine clay)"),"NOTE: CBP is not watertight below GWT in marine clay; consider secant / grouting. ","")&amp;IF(AND(D292="Steel Sheet Pile",E292="Permanent"),"NOTE: permanent sheet pile needs corrosion allowance. ","")&amp;IF(AND(G292="Cantilever (no support)",F292&gt;6),"NOTE: cantilever embedded wall &gt; 6 m, check deflection. ","")&amp;IF(AND(T292&lt;&gt;"",U292&lt;&gt;"",T292&gt;U292),"FAIL: deflection exceeds allowable. ","")))</f>
        <v/>
      </c>
      <c r="BI292" s="9"/>
      <c r="BJ292" s="9"/>
      <c r="BK292" s="9"/>
      <c r="BL292" s="10" t="str">
        <f aca="false">IF(BK292="","",IFERROR(VLOOKUP(BK292,Projects!$A$5:$D$504,2,0),"Ref not in Projects"))</f>
        <v/>
      </c>
      <c r="BM292" s="10" t="str">
        <f aca="false">IF(BK292="","",IFERROR(VLOOKUP(BK292,Projects!$A$5:$D$504,4,0),"Ref not in Projects"))</f>
        <v/>
      </c>
      <c r="BN292" s="9"/>
      <c r="BO292" s="9"/>
      <c r="BP292" s="9"/>
      <c r="BQ292" s="40"/>
      <c r="BR292" s="9"/>
      <c r="BS292" s="40"/>
      <c r="BT292" s="9"/>
      <c r="BU292" s="40"/>
      <c r="BV292" s="9"/>
      <c r="BW292" s="9"/>
      <c r="BX292" s="9"/>
      <c r="BY292" s="40"/>
      <c r="BZ292" s="40"/>
      <c r="CA292" s="36" t="str">
        <f aca="false">IF(BZ292="","",EDATE(BZ292,SG_Criteria!$B$54*12))</f>
        <v/>
      </c>
      <c r="CB292" s="33" t="str">
        <f aca="true">IF(A292="","",IF(BZ292="","NOTE: not reviewed yet",IF(TODAY()&gt;CA292,"NOTE: review overdue","OK")))</f>
        <v/>
      </c>
      <c r="CC292" s="37" t="str">
        <f aca="false">IF(A292="","",ROUND((IF(LEN(D292)&gt;0,1,0)+IF(LEN(E292)&gt;0,1,0)+IF(LEN(F292)&gt;0,1,0)+IF(LEN(G292)&gt;0,1,0)+IF(LEN(H292)&gt;0,1,0)+IF(LEN(I292)&gt;0,1,0)+IF(LEN(K292)&gt;0,1,0)+IF(LEN(N292)&gt;0,1,0)+IF(LEN(O292)&gt;0,1,0)+IF(LEN(T292)&gt;0,1,0)+IF(LEN(U292)&gt;0,1,0)+IF(LEN(V292)&gt;0,1,0)+IF(LEN(AK292)&gt;0,1,0)+IF(LEN(AM292)&gt;0,1,0)+IF(LEN(AN292)&gt;0,1,0)+IF(LEN(AO292)&gt;0,1,0)+IF(LEN(AP292)&gt;0,1,0)+IF(LEN(AY292)&gt;0,1,0)+IF(LEN(BK292)&gt;0,1,0)+IF(LEN(BX292)&gt;0,1,0))/20,2))</f>
        <v/>
      </c>
      <c r="CD292" s="10" t="str">
        <f aca="false">IF(D292="","",IF(AND(AN292="Approved",ISERROR(SEARCH("FAIL",BH292))),"Y","N"))</f>
        <v/>
      </c>
      <c r="CE292" s="10" t="str">
        <f aca="false">IF(D292="","",D292&amp;"|"&amp;F292&amp;"|"&amp;G292&amp;"|"&amp;H292&amp;"|"&amp;E292&amp;"|"&amp;CD292)</f>
        <v/>
      </c>
    </row>
    <row r="293" customFormat="false" ht="15" hidden="false" customHeight="false" outlineLevel="0" collapsed="false">
      <c r="A293" s="10" t="str">
        <f aca="false">IF(D293="","","EW-"&amp;IFERROR(VLOOKUP(D293,Lists!$P$4:$Q$22,2,0),"??")&amp;"-D"&amp;TEXT(F293*1000,"0000")&amp;"-"&amp;IFERROR(VLOOKUP(G293,Lists!$S$4:$T$21,2,0),"??")&amp;"-"&amp;IFERROR(VLOOKUP(H293,Lists!$Y$4:$Z$21,2,0),"??")&amp;"-"&amp;IFERROR(VLOOKUP(E293,Lists!$V$4:$W$16,2,0),"??")&amp;"-"&amp;AM293)</f>
        <v/>
      </c>
      <c r="B293" s="10" t="str">
        <f aca="false">IF(D293="","",E293&amp;" "&amp;D293&amp;", excavation "&amp;TEXT(F293,"0.0")&amp;" m, "&amp;G293&amp;", "&amp;H293&amp;", "&amp;K293)</f>
        <v/>
      </c>
      <c r="C293" s="9"/>
      <c r="D293" s="9"/>
      <c r="E293" s="9"/>
      <c r="F293" s="42"/>
      <c r="G293" s="9"/>
      <c r="H293" s="9"/>
      <c r="I293" s="42"/>
      <c r="J293" s="38"/>
      <c r="K293" s="9"/>
      <c r="L293" s="9"/>
      <c r="M293" s="9"/>
      <c r="N293" s="42"/>
      <c r="O293" s="42"/>
      <c r="P293" s="9"/>
      <c r="Q293" s="9"/>
      <c r="R293" s="9"/>
      <c r="S293" s="9"/>
      <c r="T293" s="38"/>
      <c r="U293" s="38"/>
      <c r="V293" s="38"/>
      <c r="W293" s="38"/>
      <c r="X293" s="38"/>
      <c r="Y293" s="9"/>
      <c r="Z293" s="39"/>
      <c r="AA293" s="9"/>
      <c r="AB293" s="9"/>
      <c r="AC293" s="9"/>
      <c r="AD293" s="9"/>
      <c r="AE293" s="9"/>
      <c r="AF293" s="9"/>
      <c r="AG293" s="9"/>
      <c r="AH293" s="38"/>
      <c r="AI293" s="9"/>
      <c r="AJ293" s="39"/>
      <c r="AK293" s="9"/>
      <c r="AL293" s="9"/>
      <c r="AM293" s="9"/>
      <c r="AN293" s="9"/>
      <c r="AO293" s="9"/>
      <c r="AP293" s="9"/>
      <c r="AQ293" s="9"/>
      <c r="AR293" s="10" t="str">
        <f aca="false">IF(A293="","",SG_Criteria!$B$6&amp;SG_Criteria!$B$9&amp;"\"&amp;A293&amp;"\")</f>
        <v/>
      </c>
      <c r="AS293" s="10" t="str">
        <f aca="false">IF(A293="","",A293&amp;"_CAD.dwg")</f>
        <v/>
      </c>
      <c r="AT293" s="10" t="str">
        <f aca="false">IF(A293="","",A293&amp;"_DWG.pdf")</f>
        <v/>
      </c>
      <c r="AU293" s="10" t="str">
        <f aca="false">IF(A293="","",IF(AQ293="Y",A293&amp;"_STAAD.std","n/a"))</f>
        <v/>
      </c>
      <c r="AV293" s="10" t="str">
        <f aca="false">IF(A293="","",A293&amp;"_CALC.xlsx")</f>
        <v/>
      </c>
      <c r="AW293" s="10" t="str">
        <f aca="false">IF(A293="","",A293&amp;"_CALC.pdf")</f>
        <v/>
      </c>
      <c r="AX293" s="9"/>
      <c r="AY293" s="9"/>
      <c r="AZ293" s="39"/>
      <c r="BA293" s="39"/>
      <c r="BB293" s="39"/>
      <c r="BC293" s="39"/>
      <c r="BD293" s="39"/>
      <c r="BE293" s="12" t="str">
        <f aca="false">IF(A293="","",IF(COUNTIF(Rebar_Schedule!$A$5:$A$2004,A293)=0,"",ROUND(SUMIF(Rebar_Schedule!$A$5:$A$2004,A293,Rebar_Schedule!$K$5:$K$2004),1)))</f>
        <v/>
      </c>
      <c r="BF293" s="33" t="str">
        <f aca="false">IF(A293="","",IF(BE293="","No rebar schedule yet",IF(ABS(BE293-N(BA293))/MAX(N(BA293),1)&gt;SG_Criteria!$B$55,"NOTE: register rebar differs from schedule by "&amp;TEXT(ABS(BE293-N(BA293))/MAX(N(BA293),1),"0%"),"OK")))</f>
        <v/>
      </c>
      <c r="BG293" s="33" t="str">
        <f aca="false">IF(OR(D293="",F293=""),"",IF(F293&lt;=IF(D293="Soldier Pile &amp; Timber Lagging",SG_Criteria!$B$34,SG_Criteria!$B$33),"No ERSS submission",IF(F293&lt;=SG_Criteria!$B$35,"QP(ST)",IF(F293&lt;=SG_Criteria!$B$36,"QP(ST) + AC","Geotechnical building works: QP(Geo) + AC"))))</f>
        <v/>
      </c>
      <c r="BH293" s="33" t="str">
        <f aca="false">IF(D293="","",IF(LEN(IF(AND(AC293&lt;&gt;"",IFERROR(VALUE(MID(AC293,2,2)),0)&lt;SG_Criteria!$B$19),"FAIL: grade below C"&amp;SG_Criteria!$B$19&amp;". ","")&amp;IF(AND(LEFT(D293,3)="Con",N(I293)&lt;F293,H293="Kallang Formation (marine clay)"),"NOTE: CBP is not watertight below GWT in marine clay; consider secant / grouting. ","")&amp;IF(AND(D293="Steel Sheet Pile",E293="Permanent"),"NOTE: permanent sheet pile needs corrosion allowance. ","")&amp;IF(AND(G293="Cantilever (no support)",F293&gt;6),"NOTE: cantilever embedded wall &gt; 6 m, check deflection. ","")&amp;IF(AND(T293&lt;&gt;"",U293&lt;&gt;"",T293&gt;U293),"FAIL: deflection exceeds allowable. ",""))=0,"OK",IF(AND(AC293&lt;&gt;"",IFERROR(VALUE(MID(AC293,2,2)),0)&lt;SG_Criteria!$B$19),"FAIL: grade below C"&amp;SG_Criteria!$B$19&amp;". ","")&amp;IF(AND(LEFT(D293,3)="Con",N(I293)&lt;F293,H293="Kallang Formation (marine clay)"),"NOTE: CBP is not watertight below GWT in marine clay; consider secant / grouting. ","")&amp;IF(AND(D293="Steel Sheet Pile",E293="Permanent"),"NOTE: permanent sheet pile needs corrosion allowance. ","")&amp;IF(AND(G293="Cantilever (no support)",F293&gt;6),"NOTE: cantilever embedded wall &gt; 6 m, check deflection. ","")&amp;IF(AND(T293&lt;&gt;"",U293&lt;&gt;"",T293&gt;U293),"FAIL: deflection exceeds allowable. ","")))</f>
        <v/>
      </c>
      <c r="BI293" s="9"/>
      <c r="BJ293" s="9"/>
      <c r="BK293" s="9"/>
      <c r="BL293" s="10" t="str">
        <f aca="false">IF(BK293="","",IFERROR(VLOOKUP(BK293,Projects!$A$5:$D$504,2,0),"Ref not in Projects"))</f>
        <v/>
      </c>
      <c r="BM293" s="10" t="str">
        <f aca="false">IF(BK293="","",IFERROR(VLOOKUP(BK293,Projects!$A$5:$D$504,4,0),"Ref not in Projects"))</f>
        <v/>
      </c>
      <c r="BN293" s="9"/>
      <c r="BO293" s="9"/>
      <c r="BP293" s="9"/>
      <c r="BQ293" s="40"/>
      <c r="BR293" s="9"/>
      <c r="BS293" s="40"/>
      <c r="BT293" s="9"/>
      <c r="BU293" s="40"/>
      <c r="BV293" s="9"/>
      <c r="BW293" s="9"/>
      <c r="BX293" s="9"/>
      <c r="BY293" s="40"/>
      <c r="BZ293" s="40"/>
      <c r="CA293" s="36" t="str">
        <f aca="false">IF(BZ293="","",EDATE(BZ293,SG_Criteria!$B$54*12))</f>
        <v/>
      </c>
      <c r="CB293" s="33" t="str">
        <f aca="true">IF(A293="","",IF(BZ293="","NOTE: not reviewed yet",IF(TODAY()&gt;CA293,"NOTE: review overdue","OK")))</f>
        <v/>
      </c>
      <c r="CC293" s="37" t="str">
        <f aca="false">IF(A293="","",ROUND((IF(LEN(D293)&gt;0,1,0)+IF(LEN(E293)&gt;0,1,0)+IF(LEN(F293)&gt;0,1,0)+IF(LEN(G293)&gt;0,1,0)+IF(LEN(H293)&gt;0,1,0)+IF(LEN(I293)&gt;0,1,0)+IF(LEN(K293)&gt;0,1,0)+IF(LEN(N293)&gt;0,1,0)+IF(LEN(O293)&gt;0,1,0)+IF(LEN(T293)&gt;0,1,0)+IF(LEN(U293)&gt;0,1,0)+IF(LEN(V293)&gt;0,1,0)+IF(LEN(AK293)&gt;0,1,0)+IF(LEN(AM293)&gt;0,1,0)+IF(LEN(AN293)&gt;0,1,0)+IF(LEN(AO293)&gt;0,1,0)+IF(LEN(AP293)&gt;0,1,0)+IF(LEN(AY293)&gt;0,1,0)+IF(LEN(BK293)&gt;0,1,0)+IF(LEN(BX293)&gt;0,1,0))/20,2))</f>
        <v/>
      </c>
      <c r="CD293" s="10" t="str">
        <f aca="false">IF(D293="","",IF(AND(AN293="Approved",ISERROR(SEARCH("FAIL",BH293))),"Y","N"))</f>
        <v/>
      </c>
      <c r="CE293" s="10" t="str">
        <f aca="false">IF(D293="","",D293&amp;"|"&amp;F293&amp;"|"&amp;G293&amp;"|"&amp;H293&amp;"|"&amp;E293&amp;"|"&amp;CD293)</f>
        <v/>
      </c>
    </row>
    <row r="294" customFormat="false" ht="15" hidden="false" customHeight="false" outlineLevel="0" collapsed="false">
      <c r="A294" s="10" t="str">
        <f aca="false">IF(D294="","","EW-"&amp;IFERROR(VLOOKUP(D294,Lists!$P$4:$Q$22,2,0),"??")&amp;"-D"&amp;TEXT(F294*1000,"0000")&amp;"-"&amp;IFERROR(VLOOKUP(G294,Lists!$S$4:$T$21,2,0),"??")&amp;"-"&amp;IFERROR(VLOOKUP(H294,Lists!$Y$4:$Z$21,2,0),"??")&amp;"-"&amp;IFERROR(VLOOKUP(E294,Lists!$V$4:$W$16,2,0),"??")&amp;"-"&amp;AM294)</f>
        <v/>
      </c>
      <c r="B294" s="10" t="str">
        <f aca="false">IF(D294="","",E294&amp;" "&amp;D294&amp;", excavation "&amp;TEXT(F294,"0.0")&amp;" m, "&amp;G294&amp;", "&amp;H294&amp;", "&amp;K294)</f>
        <v/>
      </c>
      <c r="C294" s="9"/>
      <c r="D294" s="9"/>
      <c r="E294" s="9"/>
      <c r="F294" s="42"/>
      <c r="G294" s="9"/>
      <c r="H294" s="9"/>
      <c r="I294" s="42"/>
      <c r="J294" s="38"/>
      <c r="K294" s="9"/>
      <c r="L294" s="9"/>
      <c r="M294" s="9"/>
      <c r="N294" s="42"/>
      <c r="O294" s="42"/>
      <c r="P294" s="9"/>
      <c r="Q294" s="9"/>
      <c r="R294" s="9"/>
      <c r="S294" s="9"/>
      <c r="T294" s="38"/>
      <c r="U294" s="38"/>
      <c r="V294" s="38"/>
      <c r="W294" s="38"/>
      <c r="X294" s="38"/>
      <c r="Y294" s="9"/>
      <c r="Z294" s="39"/>
      <c r="AA294" s="9"/>
      <c r="AB294" s="9"/>
      <c r="AC294" s="9"/>
      <c r="AD294" s="9"/>
      <c r="AE294" s="9"/>
      <c r="AF294" s="9"/>
      <c r="AG294" s="9"/>
      <c r="AH294" s="38"/>
      <c r="AI294" s="9"/>
      <c r="AJ294" s="39"/>
      <c r="AK294" s="9"/>
      <c r="AL294" s="9"/>
      <c r="AM294" s="9"/>
      <c r="AN294" s="9"/>
      <c r="AO294" s="9"/>
      <c r="AP294" s="9"/>
      <c r="AQ294" s="9"/>
      <c r="AR294" s="10" t="str">
        <f aca="false">IF(A294="","",SG_Criteria!$B$6&amp;SG_Criteria!$B$9&amp;"\"&amp;A294&amp;"\")</f>
        <v/>
      </c>
      <c r="AS294" s="10" t="str">
        <f aca="false">IF(A294="","",A294&amp;"_CAD.dwg")</f>
        <v/>
      </c>
      <c r="AT294" s="10" t="str">
        <f aca="false">IF(A294="","",A294&amp;"_DWG.pdf")</f>
        <v/>
      </c>
      <c r="AU294" s="10" t="str">
        <f aca="false">IF(A294="","",IF(AQ294="Y",A294&amp;"_STAAD.std","n/a"))</f>
        <v/>
      </c>
      <c r="AV294" s="10" t="str">
        <f aca="false">IF(A294="","",A294&amp;"_CALC.xlsx")</f>
        <v/>
      </c>
      <c r="AW294" s="10" t="str">
        <f aca="false">IF(A294="","",A294&amp;"_CALC.pdf")</f>
        <v/>
      </c>
      <c r="AX294" s="9"/>
      <c r="AY294" s="9"/>
      <c r="AZ294" s="39"/>
      <c r="BA294" s="39"/>
      <c r="BB294" s="39"/>
      <c r="BC294" s="39"/>
      <c r="BD294" s="39"/>
      <c r="BE294" s="12" t="str">
        <f aca="false">IF(A294="","",IF(COUNTIF(Rebar_Schedule!$A$5:$A$2004,A294)=0,"",ROUND(SUMIF(Rebar_Schedule!$A$5:$A$2004,A294,Rebar_Schedule!$K$5:$K$2004),1)))</f>
        <v/>
      </c>
      <c r="BF294" s="33" t="str">
        <f aca="false">IF(A294="","",IF(BE294="","No rebar schedule yet",IF(ABS(BE294-N(BA294))/MAX(N(BA294),1)&gt;SG_Criteria!$B$55,"NOTE: register rebar differs from schedule by "&amp;TEXT(ABS(BE294-N(BA294))/MAX(N(BA294),1),"0%"),"OK")))</f>
        <v/>
      </c>
      <c r="BG294" s="33" t="str">
        <f aca="false">IF(OR(D294="",F294=""),"",IF(F294&lt;=IF(D294="Soldier Pile &amp; Timber Lagging",SG_Criteria!$B$34,SG_Criteria!$B$33),"No ERSS submission",IF(F294&lt;=SG_Criteria!$B$35,"QP(ST)",IF(F294&lt;=SG_Criteria!$B$36,"QP(ST) + AC","Geotechnical building works: QP(Geo) + AC"))))</f>
        <v/>
      </c>
      <c r="BH294" s="33" t="str">
        <f aca="false">IF(D294="","",IF(LEN(IF(AND(AC294&lt;&gt;"",IFERROR(VALUE(MID(AC294,2,2)),0)&lt;SG_Criteria!$B$19),"FAIL: grade below C"&amp;SG_Criteria!$B$19&amp;". ","")&amp;IF(AND(LEFT(D294,3)="Con",N(I294)&lt;F294,H294="Kallang Formation (marine clay)"),"NOTE: CBP is not watertight below GWT in marine clay; consider secant / grouting. ","")&amp;IF(AND(D294="Steel Sheet Pile",E294="Permanent"),"NOTE: permanent sheet pile needs corrosion allowance. ","")&amp;IF(AND(G294="Cantilever (no support)",F294&gt;6),"NOTE: cantilever embedded wall &gt; 6 m, check deflection. ","")&amp;IF(AND(T294&lt;&gt;"",U294&lt;&gt;"",T294&gt;U294),"FAIL: deflection exceeds allowable. ",""))=0,"OK",IF(AND(AC294&lt;&gt;"",IFERROR(VALUE(MID(AC294,2,2)),0)&lt;SG_Criteria!$B$19),"FAIL: grade below C"&amp;SG_Criteria!$B$19&amp;". ","")&amp;IF(AND(LEFT(D294,3)="Con",N(I294)&lt;F294,H294="Kallang Formation (marine clay)"),"NOTE: CBP is not watertight below GWT in marine clay; consider secant / grouting. ","")&amp;IF(AND(D294="Steel Sheet Pile",E294="Permanent"),"NOTE: permanent sheet pile needs corrosion allowance. ","")&amp;IF(AND(G294="Cantilever (no support)",F294&gt;6),"NOTE: cantilever embedded wall &gt; 6 m, check deflection. ","")&amp;IF(AND(T294&lt;&gt;"",U294&lt;&gt;"",T294&gt;U294),"FAIL: deflection exceeds allowable. ","")))</f>
        <v/>
      </c>
      <c r="BI294" s="9"/>
      <c r="BJ294" s="9"/>
      <c r="BK294" s="9"/>
      <c r="BL294" s="10" t="str">
        <f aca="false">IF(BK294="","",IFERROR(VLOOKUP(BK294,Projects!$A$5:$D$504,2,0),"Ref not in Projects"))</f>
        <v/>
      </c>
      <c r="BM294" s="10" t="str">
        <f aca="false">IF(BK294="","",IFERROR(VLOOKUP(BK294,Projects!$A$5:$D$504,4,0),"Ref not in Projects"))</f>
        <v/>
      </c>
      <c r="BN294" s="9"/>
      <c r="BO294" s="9"/>
      <c r="BP294" s="9"/>
      <c r="BQ294" s="40"/>
      <c r="BR294" s="9"/>
      <c r="BS294" s="40"/>
      <c r="BT294" s="9"/>
      <c r="BU294" s="40"/>
      <c r="BV294" s="9"/>
      <c r="BW294" s="9"/>
      <c r="BX294" s="9"/>
      <c r="BY294" s="40"/>
      <c r="BZ294" s="40"/>
      <c r="CA294" s="36" t="str">
        <f aca="false">IF(BZ294="","",EDATE(BZ294,SG_Criteria!$B$54*12))</f>
        <v/>
      </c>
      <c r="CB294" s="33" t="str">
        <f aca="true">IF(A294="","",IF(BZ294="","NOTE: not reviewed yet",IF(TODAY()&gt;CA294,"NOTE: review overdue","OK")))</f>
        <v/>
      </c>
      <c r="CC294" s="37" t="str">
        <f aca="false">IF(A294="","",ROUND((IF(LEN(D294)&gt;0,1,0)+IF(LEN(E294)&gt;0,1,0)+IF(LEN(F294)&gt;0,1,0)+IF(LEN(G294)&gt;0,1,0)+IF(LEN(H294)&gt;0,1,0)+IF(LEN(I294)&gt;0,1,0)+IF(LEN(K294)&gt;0,1,0)+IF(LEN(N294)&gt;0,1,0)+IF(LEN(O294)&gt;0,1,0)+IF(LEN(T294)&gt;0,1,0)+IF(LEN(U294)&gt;0,1,0)+IF(LEN(V294)&gt;0,1,0)+IF(LEN(AK294)&gt;0,1,0)+IF(LEN(AM294)&gt;0,1,0)+IF(LEN(AN294)&gt;0,1,0)+IF(LEN(AO294)&gt;0,1,0)+IF(LEN(AP294)&gt;0,1,0)+IF(LEN(AY294)&gt;0,1,0)+IF(LEN(BK294)&gt;0,1,0)+IF(LEN(BX294)&gt;0,1,0))/20,2))</f>
        <v/>
      </c>
      <c r="CD294" s="10" t="str">
        <f aca="false">IF(D294="","",IF(AND(AN294="Approved",ISERROR(SEARCH("FAIL",BH294))),"Y","N"))</f>
        <v/>
      </c>
      <c r="CE294" s="10" t="str">
        <f aca="false">IF(D294="","",D294&amp;"|"&amp;F294&amp;"|"&amp;G294&amp;"|"&amp;H294&amp;"|"&amp;E294&amp;"|"&amp;CD294)</f>
        <v/>
      </c>
    </row>
    <row r="295" customFormat="false" ht="15" hidden="false" customHeight="false" outlineLevel="0" collapsed="false">
      <c r="A295" s="10" t="str">
        <f aca="false">IF(D295="","","EW-"&amp;IFERROR(VLOOKUP(D295,Lists!$P$4:$Q$22,2,0),"??")&amp;"-D"&amp;TEXT(F295*1000,"0000")&amp;"-"&amp;IFERROR(VLOOKUP(G295,Lists!$S$4:$T$21,2,0),"??")&amp;"-"&amp;IFERROR(VLOOKUP(H295,Lists!$Y$4:$Z$21,2,0),"??")&amp;"-"&amp;IFERROR(VLOOKUP(E295,Lists!$V$4:$W$16,2,0),"??")&amp;"-"&amp;AM295)</f>
        <v/>
      </c>
      <c r="B295" s="10" t="str">
        <f aca="false">IF(D295="","",E295&amp;" "&amp;D295&amp;", excavation "&amp;TEXT(F295,"0.0")&amp;" m, "&amp;G295&amp;", "&amp;H295&amp;", "&amp;K295)</f>
        <v/>
      </c>
      <c r="C295" s="9"/>
      <c r="D295" s="9"/>
      <c r="E295" s="9"/>
      <c r="F295" s="42"/>
      <c r="G295" s="9"/>
      <c r="H295" s="9"/>
      <c r="I295" s="42"/>
      <c r="J295" s="38"/>
      <c r="K295" s="9"/>
      <c r="L295" s="9"/>
      <c r="M295" s="9"/>
      <c r="N295" s="42"/>
      <c r="O295" s="42"/>
      <c r="P295" s="9"/>
      <c r="Q295" s="9"/>
      <c r="R295" s="9"/>
      <c r="S295" s="9"/>
      <c r="T295" s="38"/>
      <c r="U295" s="38"/>
      <c r="V295" s="38"/>
      <c r="W295" s="38"/>
      <c r="X295" s="38"/>
      <c r="Y295" s="9"/>
      <c r="Z295" s="39"/>
      <c r="AA295" s="9"/>
      <c r="AB295" s="9"/>
      <c r="AC295" s="9"/>
      <c r="AD295" s="9"/>
      <c r="AE295" s="9"/>
      <c r="AF295" s="9"/>
      <c r="AG295" s="9"/>
      <c r="AH295" s="38"/>
      <c r="AI295" s="9"/>
      <c r="AJ295" s="39"/>
      <c r="AK295" s="9"/>
      <c r="AL295" s="9"/>
      <c r="AM295" s="9"/>
      <c r="AN295" s="9"/>
      <c r="AO295" s="9"/>
      <c r="AP295" s="9"/>
      <c r="AQ295" s="9"/>
      <c r="AR295" s="10" t="str">
        <f aca="false">IF(A295="","",SG_Criteria!$B$6&amp;SG_Criteria!$B$9&amp;"\"&amp;A295&amp;"\")</f>
        <v/>
      </c>
      <c r="AS295" s="10" t="str">
        <f aca="false">IF(A295="","",A295&amp;"_CAD.dwg")</f>
        <v/>
      </c>
      <c r="AT295" s="10" t="str">
        <f aca="false">IF(A295="","",A295&amp;"_DWG.pdf")</f>
        <v/>
      </c>
      <c r="AU295" s="10" t="str">
        <f aca="false">IF(A295="","",IF(AQ295="Y",A295&amp;"_STAAD.std","n/a"))</f>
        <v/>
      </c>
      <c r="AV295" s="10" t="str">
        <f aca="false">IF(A295="","",A295&amp;"_CALC.xlsx")</f>
        <v/>
      </c>
      <c r="AW295" s="10" t="str">
        <f aca="false">IF(A295="","",A295&amp;"_CALC.pdf")</f>
        <v/>
      </c>
      <c r="AX295" s="9"/>
      <c r="AY295" s="9"/>
      <c r="AZ295" s="39"/>
      <c r="BA295" s="39"/>
      <c r="BB295" s="39"/>
      <c r="BC295" s="39"/>
      <c r="BD295" s="39"/>
      <c r="BE295" s="12" t="str">
        <f aca="false">IF(A295="","",IF(COUNTIF(Rebar_Schedule!$A$5:$A$2004,A295)=0,"",ROUND(SUMIF(Rebar_Schedule!$A$5:$A$2004,A295,Rebar_Schedule!$K$5:$K$2004),1)))</f>
        <v/>
      </c>
      <c r="BF295" s="33" t="str">
        <f aca="false">IF(A295="","",IF(BE295="","No rebar schedule yet",IF(ABS(BE295-N(BA295))/MAX(N(BA295),1)&gt;SG_Criteria!$B$55,"NOTE: register rebar differs from schedule by "&amp;TEXT(ABS(BE295-N(BA295))/MAX(N(BA295),1),"0%"),"OK")))</f>
        <v/>
      </c>
      <c r="BG295" s="33" t="str">
        <f aca="false">IF(OR(D295="",F295=""),"",IF(F295&lt;=IF(D295="Soldier Pile &amp; Timber Lagging",SG_Criteria!$B$34,SG_Criteria!$B$33),"No ERSS submission",IF(F295&lt;=SG_Criteria!$B$35,"QP(ST)",IF(F295&lt;=SG_Criteria!$B$36,"QP(ST) + AC","Geotechnical building works: QP(Geo) + AC"))))</f>
        <v/>
      </c>
      <c r="BH295" s="33" t="str">
        <f aca="false">IF(D295="","",IF(LEN(IF(AND(AC295&lt;&gt;"",IFERROR(VALUE(MID(AC295,2,2)),0)&lt;SG_Criteria!$B$19),"FAIL: grade below C"&amp;SG_Criteria!$B$19&amp;". ","")&amp;IF(AND(LEFT(D295,3)="Con",N(I295)&lt;F295,H295="Kallang Formation (marine clay)"),"NOTE: CBP is not watertight below GWT in marine clay; consider secant / grouting. ","")&amp;IF(AND(D295="Steel Sheet Pile",E295="Permanent"),"NOTE: permanent sheet pile needs corrosion allowance. ","")&amp;IF(AND(G295="Cantilever (no support)",F295&gt;6),"NOTE: cantilever embedded wall &gt; 6 m, check deflection. ","")&amp;IF(AND(T295&lt;&gt;"",U295&lt;&gt;"",T295&gt;U295),"FAIL: deflection exceeds allowable. ",""))=0,"OK",IF(AND(AC295&lt;&gt;"",IFERROR(VALUE(MID(AC295,2,2)),0)&lt;SG_Criteria!$B$19),"FAIL: grade below C"&amp;SG_Criteria!$B$19&amp;". ","")&amp;IF(AND(LEFT(D295,3)="Con",N(I295)&lt;F295,H295="Kallang Formation (marine clay)"),"NOTE: CBP is not watertight below GWT in marine clay; consider secant / grouting. ","")&amp;IF(AND(D295="Steel Sheet Pile",E295="Permanent"),"NOTE: permanent sheet pile needs corrosion allowance. ","")&amp;IF(AND(G295="Cantilever (no support)",F295&gt;6),"NOTE: cantilever embedded wall &gt; 6 m, check deflection. ","")&amp;IF(AND(T295&lt;&gt;"",U295&lt;&gt;"",T295&gt;U295),"FAIL: deflection exceeds allowable. ","")))</f>
        <v/>
      </c>
      <c r="BI295" s="9"/>
      <c r="BJ295" s="9"/>
      <c r="BK295" s="9"/>
      <c r="BL295" s="10" t="str">
        <f aca="false">IF(BK295="","",IFERROR(VLOOKUP(BK295,Projects!$A$5:$D$504,2,0),"Ref not in Projects"))</f>
        <v/>
      </c>
      <c r="BM295" s="10" t="str">
        <f aca="false">IF(BK295="","",IFERROR(VLOOKUP(BK295,Projects!$A$5:$D$504,4,0),"Ref not in Projects"))</f>
        <v/>
      </c>
      <c r="BN295" s="9"/>
      <c r="BO295" s="9"/>
      <c r="BP295" s="9"/>
      <c r="BQ295" s="40"/>
      <c r="BR295" s="9"/>
      <c r="BS295" s="40"/>
      <c r="BT295" s="9"/>
      <c r="BU295" s="40"/>
      <c r="BV295" s="9"/>
      <c r="BW295" s="9"/>
      <c r="BX295" s="9"/>
      <c r="BY295" s="40"/>
      <c r="BZ295" s="40"/>
      <c r="CA295" s="36" t="str">
        <f aca="false">IF(BZ295="","",EDATE(BZ295,SG_Criteria!$B$54*12))</f>
        <v/>
      </c>
      <c r="CB295" s="33" t="str">
        <f aca="true">IF(A295="","",IF(BZ295="","NOTE: not reviewed yet",IF(TODAY()&gt;CA295,"NOTE: review overdue","OK")))</f>
        <v/>
      </c>
      <c r="CC295" s="37" t="str">
        <f aca="false">IF(A295="","",ROUND((IF(LEN(D295)&gt;0,1,0)+IF(LEN(E295)&gt;0,1,0)+IF(LEN(F295)&gt;0,1,0)+IF(LEN(G295)&gt;0,1,0)+IF(LEN(H295)&gt;0,1,0)+IF(LEN(I295)&gt;0,1,0)+IF(LEN(K295)&gt;0,1,0)+IF(LEN(N295)&gt;0,1,0)+IF(LEN(O295)&gt;0,1,0)+IF(LEN(T295)&gt;0,1,0)+IF(LEN(U295)&gt;0,1,0)+IF(LEN(V295)&gt;0,1,0)+IF(LEN(AK295)&gt;0,1,0)+IF(LEN(AM295)&gt;0,1,0)+IF(LEN(AN295)&gt;0,1,0)+IF(LEN(AO295)&gt;0,1,0)+IF(LEN(AP295)&gt;0,1,0)+IF(LEN(AY295)&gt;0,1,0)+IF(LEN(BK295)&gt;0,1,0)+IF(LEN(BX295)&gt;0,1,0))/20,2))</f>
        <v/>
      </c>
      <c r="CD295" s="10" t="str">
        <f aca="false">IF(D295="","",IF(AND(AN295="Approved",ISERROR(SEARCH("FAIL",BH295))),"Y","N"))</f>
        <v/>
      </c>
      <c r="CE295" s="10" t="str">
        <f aca="false">IF(D295="","",D295&amp;"|"&amp;F295&amp;"|"&amp;G295&amp;"|"&amp;H295&amp;"|"&amp;E295&amp;"|"&amp;CD295)</f>
        <v/>
      </c>
    </row>
    <row r="296" customFormat="false" ht="15" hidden="false" customHeight="false" outlineLevel="0" collapsed="false">
      <c r="A296" s="10" t="str">
        <f aca="false">IF(D296="","","EW-"&amp;IFERROR(VLOOKUP(D296,Lists!$P$4:$Q$22,2,0),"??")&amp;"-D"&amp;TEXT(F296*1000,"0000")&amp;"-"&amp;IFERROR(VLOOKUP(G296,Lists!$S$4:$T$21,2,0),"??")&amp;"-"&amp;IFERROR(VLOOKUP(H296,Lists!$Y$4:$Z$21,2,0),"??")&amp;"-"&amp;IFERROR(VLOOKUP(E296,Lists!$V$4:$W$16,2,0),"??")&amp;"-"&amp;AM296)</f>
        <v/>
      </c>
      <c r="B296" s="10" t="str">
        <f aca="false">IF(D296="","",E296&amp;" "&amp;D296&amp;", excavation "&amp;TEXT(F296,"0.0")&amp;" m, "&amp;G296&amp;", "&amp;H296&amp;", "&amp;K296)</f>
        <v/>
      </c>
      <c r="C296" s="9"/>
      <c r="D296" s="9"/>
      <c r="E296" s="9"/>
      <c r="F296" s="42"/>
      <c r="G296" s="9"/>
      <c r="H296" s="9"/>
      <c r="I296" s="42"/>
      <c r="J296" s="38"/>
      <c r="K296" s="9"/>
      <c r="L296" s="9"/>
      <c r="M296" s="9"/>
      <c r="N296" s="42"/>
      <c r="O296" s="42"/>
      <c r="P296" s="9"/>
      <c r="Q296" s="9"/>
      <c r="R296" s="9"/>
      <c r="S296" s="9"/>
      <c r="T296" s="38"/>
      <c r="U296" s="38"/>
      <c r="V296" s="38"/>
      <c r="W296" s="38"/>
      <c r="X296" s="38"/>
      <c r="Y296" s="9"/>
      <c r="Z296" s="39"/>
      <c r="AA296" s="9"/>
      <c r="AB296" s="9"/>
      <c r="AC296" s="9"/>
      <c r="AD296" s="9"/>
      <c r="AE296" s="9"/>
      <c r="AF296" s="9"/>
      <c r="AG296" s="9"/>
      <c r="AH296" s="38"/>
      <c r="AI296" s="9"/>
      <c r="AJ296" s="39"/>
      <c r="AK296" s="9"/>
      <c r="AL296" s="9"/>
      <c r="AM296" s="9"/>
      <c r="AN296" s="9"/>
      <c r="AO296" s="9"/>
      <c r="AP296" s="9"/>
      <c r="AQ296" s="9"/>
      <c r="AR296" s="10" t="str">
        <f aca="false">IF(A296="","",SG_Criteria!$B$6&amp;SG_Criteria!$B$9&amp;"\"&amp;A296&amp;"\")</f>
        <v/>
      </c>
      <c r="AS296" s="10" t="str">
        <f aca="false">IF(A296="","",A296&amp;"_CAD.dwg")</f>
        <v/>
      </c>
      <c r="AT296" s="10" t="str">
        <f aca="false">IF(A296="","",A296&amp;"_DWG.pdf")</f>
        <v/>
      </c>
      <c r="AU296" s="10" t="str">
        <f aca="false">IF(A296="","",IF(AQ296="Y",A296&amp;"_STAAD.std","n/a"))</f>
        <v/>
      </c>
      <c r="AV296" s="10" t="str">
        <f aca="false">IF(A296="","",A296&amp;"_CALC.xlsx")</f>
        <v/>
      </c>
      <c r="AW296" s="10" t="str">
        <f aca="false">IF(A296="","",A296&amp;"_CALC.pdf")</f>
        <v/>
      </c>
      <c r="AX296" s="9"/>
      <c r="AY296" s="9"/>
      <c r="AZ296" s="39"/>
      <c r="BA296" s="39"/>
      <c r="BB296" s="39"/>
      <c r="BC296" s="39"/>
      <c r="BD296" s="39"/>
      <c r="BE296" s="12" t="str">
        <f aca="false">IF(A296="","",IF(COUNTIF(Rebar_Schedule!$A$5:$A$2004,A296)=0,"",ROUND(SUMIF(Rebar_Schedule!$A$5:$A$2004,A296,Rebar_Schedule!$K$5:$K$2004),1)))</f>
        <v/>
      </c>
      <c r="BF296" s="33" t="str">
        <f aca="false">IF(A296="","",IF(BE296="","No rebar schedule yet",IF(ABS(BE296-N(BA296))/MAX(N(BA296),1)&gt;SG_Criteria!$B$55,"NOTE: register rebar differs from schedule by "&amp;TEXT(ABS(BE296-N(BA296))/MAX(N(BA296),1),"0%"),"OK")))</f>
        <v/>
      </c>
      <c r="BG296" s="33" t="str">
        <f aca="false">IF(OR(D296="",F296=""),"",IF(F296&lt;=IF(D296="Soldier Pile &amp; Timber Lagging",SG_Criteria!$B$34,SG_Criteria!$B$33),"No ERSS submission",IF(F296&lt;=SG_Criteria!$B$35,"QP(ST)",IF(F296&lt;=SG_Criteria!$B$36,"QP(ST) + AC","Geotechnical building works: QP(Geo) + AC"))))</f>
        <v/>
      </c>
      <c r="BH296" s="33" t="str">
        <f aca="false">IF(D296="","",IF(LEN(IF(AND(AC296&lt;&gt;"",IFERROR(VALUE(MID(AC296,2,2)),0)&lt;SG_Criteria!$B$19),"FAIL: grade below C"&amp;SG_Criteria!$B$19&amp;". ","")&amp;IF(AND(LEFT(D296,3)="Con",N(I296)&lt;F296,H296="Kallang Formation (marine clay)"),"NOTE: CBP is not watertight below GWT in marine clay; consider secant / grouting. ","")&amp;IF(AND(D296="Steel Sheet Pile",E296="Permanent"),"NOTE: permanent sheet pile needs corrosion allowance. ","")&amp;IF(AND(G296="Cantilever (no support)",F296&gt;6),"NOTE: cantilever embedded wall &gt; 6 m, check deflection. ","")&amp;IF(AND(T296&lt;&gt;"",U296&lt;&gt;"",T296&gt;U296),"FAIL: deflection exceeds allowable. ",""))=0,"OK",IF(AND(AC296&lt;&gt;"",IFERROR(VALUE(MID(AC296,2,2)),0)&lt;SG_Criteria!$B$19),"FAIL: grade below C"&amp;SG_Criteria!$B$19&amp;". ","")&amp;IF(AND(LEFT(D296,3)="Con",N(I296)&lt;F296,H296="Kallang Formation (marine clay)"),"NOTE: CBP is not watertight below GWT in marine clay; consider secant / grouting. ","")&amp;IF(AND(D296="Steel Sheet Pile",E296="Permanent"),"NOTE: permanent sheet pile needs corrosion allowance. ","")&amp;IF(AND(G296="Cantilever (no support)",F296&gt;6),"NOTE: cantilever embedded wall &gt; 6 m, check deflection. ","")&amp;IF(AND(T296&lt;&gt;"",U296&lt;&gt;"",T296&gt;U296),"FAIL: deflection exceeds allowable. ","")))</f>
        <v/>
      </c>
      <c r="BI296" s="9"/>
      <c r="BJ296" s="9"/>
      <c r="BK296" s="9"/>
      <c r="BL296" s="10" t="str">
        <f aca="false">IF(BK296="","",IFERROR(VLOOKUP(BK296,Projects!$A$5:$D$504,2,0),"Ref not in Projects"))</f>
        <v/>
      </c>
      <c r="BM296" s="10" t="str">
        <f aca="false">IF(BK296="","",IFERROR(VLOOKUP(BK296,Projects!$A$5:$D$504,4,0),"Ref not in Projects"))</f>
        <v/>
      </c>
      <c r="BN296" s="9"/>
      <c r="BO296" s="9"/>
      <c r="BP296" s="9"/>
      <c r="BQ296" s="40"/>
      <c r="BR296" s="9"/>
      <c r="BS296" s="40"/>
      <c r="BT296" s="9"/>
      <c r="BU296" s="40"/>
      <c r="BV296" s="9"/>
      <c r="BW296" s="9"/>
      <c r="BX296" s="9"/>
      <c r="BY296" s="40"/>
      <c r="BZ296" s="40"/>
      <c r="CA296" s="36" t="str">
        <f aca="false">IF(BZ296="","",EDATE(BZ296,SG_Criteria!$B$54*12))</f>
        <v/>
      </c>
      <c r="CB296" s="33" t="str">
        <f aca="true">IF(A296="","",IF(BZ296="","NOTE: not reviewed yet",IF(TODAY()&gt;CA296,"NOTE: review overdue","OK")))</f>
        <v/>
      </c>
      <c r="CC296" s="37" t="str">
        <f aca="false">IF(A296="","",ROUND((IF(LEN(D296)&gt;0,1,0)+IF(LEN(E296)&gt;0,1,0)+IF(LEN(F296)&gt;0,1,0)+IF(LEN(G296)&gt;0,1,0)+IF(LEN(H296)&gt;0,1,0)+IF(LEN(I296)&gt;0,1,0)+IF(LEN(K296)&gt;0,1,0)+IF(LEN(N296)&gt;0,1,0)+IF(LEN(O296)&gt;0,1,0)+IF(LEN(T296)&gt;0,1,0)+IF(LEN(U296)&gt;0,1,0)+IF(LEN(V296)&gt;0,1,0)+IF(LEN(AK296)&gt;0,1,0)+IF(LEN(AM296)&gt;0,1,0)+IF(LEN(AN296)&gt;0,1,0)+IF(LEN(AO296)&gt;0,1,0)+IF(LEN(AP296)&gt;0,1,0)+IF(LEN(AY296)&gt;0,1,0)+IF(LEN(BK296)&gt;0,1,0)+IF(LEN(BX296)&gt;0,1,0))/20,2))</f>
        <v/>
      </c>
      <c r="CD296" s="10" t="str">
        <f aca="false">IF(D296="","",IF(AND(AN296="Approved",ISERROR(SEARCH("FAIL",BH296))),"Y","N"))</f>
        <v/>
      </c>
      <c r="CE296" s="10" t="str">
        <f aca="false">IF(D296="","",D296&amp;"|"&amp;F296&amp;"|"&amp;G296&amp;"|"&amp;H296&amp;"|"&amp;E296&amp;"|"&amp;CD296)</f>
        <v/>
      </c>
    </row>
    <row r="297" customFormat="false" ht="15" hidden="false" customHeight="false" outlineLevel="0" collapsed="false">
      <c r="A297" s="10" t="str">
        <f aca="false">IF(D297="","","EW-"&amp;IFERROR(VLOOKUP(D297,Lists!$P$4:$Q$22,2,0),"??")&amp;"-D"&amp;TEXT(F297*1000,"0000")&amp;"-"&amp;IFERROR(VLOOKUP(G297,Lists!$S$4:$T$21,2,0),"??")&amp;"-"&amp;IFERROR(VLOOKUP(H297,Lists!$Y$4:$Z$21,2,0),"??")&amp;"-"&amp;IFERROR(VLOOKUP(E297,Lists!$V$4:$W$16,2,0),"??")&amp;"-"&amp;AM297)</f>
        <v/>
      </c>
      <c r="B297" s="10" t="str">
        <f aca="false">IF(D297="","",E297&amp;" "&amp;D297&amp;", excavation "&amp;TEXT(F297,"0.0")&amp;" m, "&amp;G297&amp;", "&amp;H297&amp;", "&amp;K297)</f>
        <v/>
      </c>
      <c r="C297" s="9"/>
      <c r="D297" s="9"/>
      <c r="E297" s="9"/>
      <c r="F297" s="42"/>
      <c r="G297" s="9"/>
      <c r="H297" s="9"/>
      <c r="I297" s="42"/>
      <c r="J297" s="38"/>
      <c r="K297" s="9"/>
      <c r="L297" s="9"/>
      <c r="M297" s="9"/>
      <c r="N297" s="42"/>
      <c r="O297" s="42"/>
      <c r="P297" s="9"/>
      <c r="Q297" s="9"/>
      <c r="R297" s="9"/>
      <c r="S297" s="9"/>
      <c r="T297" s="38"/>
      <c r="U297" s="38"/>
      <c r="V297" s="38"/>
      <c r="W297" s="38"/>
      <c r="X297" s="38"/>
      <c r="Y297" s="9"/>
      <c r="Z297" s="39"/>
      <c r="AA297" s="9"/>
      <c r="AB297" s="9"/>
      <c r="AC297" s="9"/>
      <c r="AD297" s="9"/>
      <c r="AE297" s="9"/>
      <c r="AF297" s="9"/>
      <c r="AG297" s="9"/>
      <c r="AH297" s="38"/>
      <c r="AI297" s="9"/>
      <c r="AJ297" s="39"/>
      <c r="AK297" s="9"/>
      <c r="AL297" s="9"/>
      <c r="AM297" s="9"/>
      <c r="AN297" s="9"/>
      <c r="AO297" s="9"/>
      <c r="AP297" s="9"/>
      <c r="AQ297" s="9"/>
      <c r="AR297" s="10" t="str">
        <f aca="false">IF(A297="","",SG_Criteria!$B$6&amp;SG_Criteria!$B$9&amp;"\"&amp;A297&amp;"\")</f>
        <v/>
      </c>
      <c r="AS297" s="10" t="str">
        <f aca="false">IF(A297="","",A297&amp;"_CAD.dwg")</f>
        <v/>
      </c>
      <c r="AT297" s="10" t="str">
        <f aca="false">IF(A297="","",A297&amp;"_DWG.pdf")</f>
        <v/>
      </c>
      <c r="AU297" s="10" t="str">
        <f aca="false">IF(A297="","",IF(AQ297="Y",A297&amp;"_STAAD.std","n/a"))</f>
        <v/>
      </c>
      <c r="AV297" s="10" t="str">
        <f aca="false">IF(A297="","",A297&amp;"_CALC.xlsx")</f>
        <v/>
      </c>
      <c r="AW297" s="10" t="str">
        <f aca="false">IF(A297="","",A297&amp;"_CALC.pdf")</f>
        <v/>
      </c>
      <c r="AX297" s="9"/>
      <c r="AY297" s="9"/>
      <c r="AZ297" s="39"/>
      <c r="BA297" s="39"/>
      <c r="BB297" s="39"/>
      <c r="BC297" s="39"/>
      <c r="BD297" s="39"/>
      <c r="BE297" s="12" t="str">
        <f aca="false">IF(A297="","",IF(COUNTIF(Rebar_Schedule!$A$5:$A$2004,A297)=0,"",ROUND(SUMIF(Rebar_Schedule!$A$5:$A$2004,A297,Rebar_Schedule!$K$5:$K$2004),1)))</f>
        <v/>
      </c>
      <c r="BF297" s="33" t="str">
        <f aca="false">IF(A297="","",IF(BE297="","No rebar schedule yet",IF(ABS(BE297-N(BA297))/MAX(N(BA297),1)&gt;SG_Criteria!$B$55,"NOTE: register rebar differs from schedule by "&amp;TEXT(ABS(BE297-N(BA297))/MAX(N(BA297),1),"0%"),"OK")))</f>
        <v/>
      </c>
      <c r="BG297" s="33" t="str">
        <f aca="false">IF(OR(D297="",F297=""),"",IF(F297&lt;=IF(D297="Soldier Pile &amp; Timber Lagging",SG_Criteria!$B$34,SG_Criteria!$B$33),"No ERSS submission",IF(F297&lt;=SG_Criteria!$B$35,"QP(ST)",IF(F297&lt;=SG_Criteria!$B$36,"QP(ST) + AC","Geotechnical building works: QP(Geo) + AC"))))</f>
        <v/>
      </c>
      <c r="BH297" s="33" t="str">
        <f aca="false">IF(D297="","",IF(LEN(IF(AND(AC297&lt;&gt;"",IFERROR(VALUE(MID(AC297,2,2)),0)&lt;SG_Criteria!$B$19),"FAIL: grade below C"&amp;SG_Criteria!$B$19&amp;". ","")&amp;IF(AND(LEFT(D297,3)="Con",N(I297)&lt;F297,H297="Kallang Formation (marine clay)"),"NOTE: CBP is not watertight below GWT in marine clay; consider secant / grouting. ","")&amp;IF(AND(D297="Steel Sheet Pile",E297="Permanent"),"NOTE: permanent sheet pile needs corrosion allowance. ","")&amp;IF(AND(G297="Cantilever (no support)",F297&gt;6),"NOTE: cantilever embedded wall &gt; 6 m, check deflection. ","")&amp;IF(AND(T297&lt;&gt;"",U297&lt;&gt;"",T297&gt;U297),"FAIL: deflection exceeds allowable. ",""))=0,"OK",IF(AND(AC297&lt;&gt;"",IFERROR(VALUE(MID(AC297,2,2)),0)&lt;SG_Criteria!$B$19),"FAIL: grade below C"&amp;SG_Criteria!$B$19&amp;". ","")&amp;IF(AND(LEFT(D297,3)="Con",N(I297)&lt;F297,H297="Kallang Formation (marine clay)"),"NOTE: CBP is not watertight below GWT in marine clay; consider secant / grouting. ","")&amp;IF(AND(D297="Steel Sheet Pile",E297="Permanent"),"NOTE: permanent sheet pile needs corrosion allowance. ","")&amp;IF(AND(G297="Cantilever (no support)",F297&gt;6),"NOTE: cantilever embedded wall &gt; 6 m, check deflection. ","")&amp;IF(AND(T297&lt;&gt;"",U297&lt;&gt;"",T297&gt;U297),"FAIL: deflection exceeds allowable. ","")))</f>
        <v/>
      </c>
      <c r="BI297" s="9"/>
      <c r="BJ297" s="9"/>
      <c r="BK297" s="9"/>
      <c r="BL297" s="10" t="str">
        <f aca="false">IF(BK297="","",IFERROR(VLOOKUP(BK297,Projects!$A$5:$D$504,2,0),"Ref not in Projects"))</f>
        <v/>
      </c>
      <c r="BM297" s="10" t="str">
        <f aca="false">IF(BK297="","",IFERROR(VLOOKUP(BK297,Projects!$A$5:$D$504,4,0),"Ref not in Projects"))</f>
        <v/>
      </c>
      <c r="BN297" s="9"/>
      <c r="BO297" s="9"/>
      <c r="BP297" s="9"/>
      <c r="BQ297" s="40"/>
      <c r="BR297" s="9"/>
      <c r="BS297" s="40"/>
      <c r="BT297" s="9"/>
      <c r="BU297" s="40"/>
      <c r="BV297" s="9"/>
      <c r="BW297" s="9"/>
      <c r="BX297" s="9"/>
      <c r="BY297" s="40"/>
      <c r="BZ297" s="40"/>
      <c r="CA297" s="36" t="str">
        <f aca="false">IF(BZ297="","",EDATE(BZ297,SG_Criteria!$B$54*12))</f>
        <v/>
      </c>
      <c r="CB297" s="33" t="str">
        <f aca="true">IF(A297="","",IF(BZ297="","NOTE: not reviewed yet",IF(TODAY()&gt;CA297,"NOTE: review overdue","OK")))</f>
        <v/>
      </c>
      <c r="CC297" s="37" t="str">
        <f aca="false">IF(A297="","",ROUND((IF(LEN(D297)&gt;0,1,0)+IF(LEN(E297)&gt;0,1,0)+IF(LEN(F297)&gt;0,1,0)+IF(LEN(G297)&gt;0,1,0)+IF(LEN(H297)&gt;0,1,0)+IF(LEN(I297)&gt;0,1,0)+IF(LEN(K297)&gt;0,1,0)+IF(LEN(N297)&gt;0,1,0)+IF(LEN(O297)&gt;0,1,0)+IF(LEN(T297)&gt;0,1,0)+IF(LEN(U297)&gt;0,1,0)+IF(LEN(V297)&gt;0,1,0)+IF(LEN(AK297)&gt;0,1,0)+IF(LEN(AM297)&gt;0,1,0)+IF(LEN(AN297)&gt;0,1,0)+IF(LEN(AO297)&gt;0,1,0)+IF(LEN(AP297)&gt;0,1,0)+IF(LEN(AY297)&gt;0,1,0)+IF(LEN(BK297)&gt;0,1,0)+IF(LEN(BX297)&gt;0,1,0))/20,2))</f>
        <v/>
      </c>
      <c r="CD297" s="10" t="str">
        <f aca="false">IF(D297="","",IF(AND(AN297="Approved",ISERROR(SEARCH("FAIL",BH297))),"Y","N"))</f>
        <v/>
      </c>
      <c r="CE297" s="10" t="str">
        <f aca="false">IF(D297="","",D297&amp;"|"&amp;F297&amp;"|"&amp;G297&amp;"|"&amp;H297&amp;"|"&amp;E297&amp;"|"&amp;CD297)</f>
        <v/>
      </c>
    </row>
    <row r="298" customFormat="false" ht="15" hidden="false" customHeight="false" outlineLevel="0" collapsed="false">
      <c r="A298" s="10" t="str">
        <f aca="false">IF(D298="","","EW-"&amp;IFERROR(VLOOKUP(D298,Lists!$P$4:$Q$22,2,0),"??")&amp;"-D"&amp;TEXT(F298*1000,"0000")&amp;"-"&amp;IFERROR(VLOOKUP(G298,Lists!$S$4:$T$21,2,0),"??")&amp;"-"&amp;IFERROR(VLOOKUP(H298,Lists!$Y$4:$Z$21,2,0),"??")&amp;"-"&amp;IFERROR(VLOOKUP(E298,Lists!$V$4:$W$16,2,0),"??")&amp;"-"&amp;AM298)</f>
        <v/>
      </c>
      <c r="B298" s="10" t="str">
        <f aca="false">IF(D298="","",E298&amp;" "&amp;D298&amp;", excavation "&amp;TEXT(F298,"0.0")&amp;" m, "&amp;G298&amp;", "&amp;H298&amp;", "&amp;K298)</f>
        <v/>
      </c>
      <c r="C298" s="9"/>
      <c r="D298" s="9"/>
      <c r="E298" s="9"/>
      <c r="F298" s="42"/>
      <c r="G298" s="9"/>
      <c r="H298" s="9"/>
      <c r="I298" s="42"/>
      <c r="J298" s="38"/>
      <c r="K298" s="9"/>
      <c r="L298" s="9"/>
      <c r="M298" s="9"/>
      <c r="N298" s="42"/>
      <c r="O298" s="42"/>
      <c r="P298" s="9"/>
      <c r="Q298" s="9"/>
      <c r="R298" s="9"/>
      <c r="S298" s="9"/>
      <c r="T298" s="38"/>
      <c r="U298" s="38"/>
      <c r="V298" s="38"/>
      <c r="W298" s="38"/>
      <c r="X298" s="38"/>
      <c r="Y298" s="9"/>
      <c r="Z298" s="39"/>
      <c r="AA298" s="9"/>
      <c r="AB298" s="9"/>
      <c r="AC298" s="9"/>
      <c r="AD298" s="9"/>
      <c r="AE298" s="9"/>
      <c r="AF298" s="9"/>
      <c r="AG298" s="9"/>
      <c r="AH298" s="38"/>
      <c r="AI298" s="9"/>
      <c r="AJ298" s="39"/>
      <c r="AK298" s="9"/>
      <c r="AL298" s="9"/>
      <c r="AM298" s="9"/>
      <c r="AN298" s="9"/>
      <c r="AO298" s="9"/>
      <c r="AP298" s="9"/>
      <c r="AQ298" s="9"/>
      <c r="AR298" s="10" t="str">
        <f aca="false">IF(A298="","",SG_Criteria!$B$6&amp;SG_Criteria!$B$9&amp;"\"&amp;A298&amp;"\")</f>
        <v/>
      </c>
      <c r="AS298" s="10" t="str">
        <f aca="false">IF(A298="","",A298&amp;"_CAD.dwg")</f>
        <v/>
      </c>
      <c r="AT298" s="10" t="str">
        <f aca="false">IF(A298="","",A298&amp;"_DWG.pdf")</f>
        <v/>
      </c>
      <c r="AU298" s="10" t="str">
        <f aca="false">IF(A298="","",IF(AQ298="Y",A298&amp;"_STAAD.std","n/a"))</f>
        <v/>
      </c>
      <c r="AV298" s="10" t="str">
        <f aca="false">IF(A298="","",A298&amp;"_CALC.xlsx")</f>
        <v/>
      </c>
      <c r="AW298" s="10" t="str">
        <f aca="false">IF(A298="","",A298&amp;"_CALC.pdf")</f>
        <v/>
      </c>
      <c r="AX298" s="9"/>
      <c r="AY298" s="9"/>
      <c r="AZ298" s="39"/>
      <c r="BA298" s="39"/>
      <c r="BB298" s="39"/>
      <c r="BC298" s="39"/>
      <c r="BD298" s="39"/>
      <c r="BE298" s="12" t="str">
        <f aca="false">IF(A298="","",IF(COUNTIF(Rebar_Schedule!$A$5:$A$2004,A298)=0,"",ROUND(SUMIF(Rebar_Schedule!$A$5:$A$2004,A298,Rebar_Schedule!$K$5:$K$2004),1)))</f>
        <v/>
      </c>
      <c r="BF298" s="33" t="str">
        <f aca="false">IF(A298="","",IF(BE298="","No rebar schedule yet",IF(ABS(BE298-N(BA298))/MAX(N(BA298),1)&gt;SG_Criteria!$B$55,"NOTE: register rebar differs from schedule by "&amp;TEXT(ABS(BE298-N(BA298))/MAX(N(BA298),1),"0%"),"OK")))</f>
        <v/>
      </c>
      <c r="BG298" s="33" t="str">
        <f aca="false">IF(OR(D298="",F298=""),"",IF(F298&lt;=IF(D298="Soldier Pile &amp; Timber Lagging",SG_Criteria!$B$34,SG_Criteria!$B$33),"No ERSS submission",IF(F298&lt;=SG_Criteria!$B$35,"QP(ST)",IF(F298&lt;=SG_Criteria!$B$36,"QP(ST) + AC","Geotechnical building works: QP(Geo) + AC"))))</f>
        <v/>
      </c>
      <c r="BH298" s="33" t="str">
        <f aca="false">IF(D298="","",IF(LEN(IF(AND(AC298&lt;&gt;"",IFERROR(VALUE(MID(AC298,2,2)),0)&lt;SG_Criteria!$B$19),"FAIL: grade below C"&amp;SG_Criteria!$B$19&amp;". ","")&amp;IF(AND(LEFT(D298,3)="Con",N(I298)&lt;F298,H298="Kallang Formation (marine clay)"),"NOTE: CBP is not watertight below GWT in marine clay; consider secant / grouting. ","")&amp;IF(AND(D298="Steel Sheet Pile",E298="Permanent"),"NOTE: permanent sheet pile needs corrosion allowance. ","")&amp;IF(AND(G298="Cantilever (no support)",F298&gt;6),"NOTE: cantilever embedded wall &gt; 6 m, check deflection. ","")&amp;IF(AND(T298&lt;&gt;"",U298&lt;&gt;"",T298&gt;U298),"FAIL: deflection exceeds allowable. ",""))=0,"OK",IF(AND(AC298&lt;&gt;"",IFERROR(VALUE(MID(AC298,2,2)),0)&lt;SG_Criteria!$B$19),"FAIL: grade below C"&amp;SG_Criteria!$B$19&amp;". ","")&amp;IF(AND(LEFT(D298,3)="Con",N(I298)&lt;F298,H298="Kallang Formation (marine clay)"),"NOTE: CBP is not watertight below GWT in marine clay; consider secant / grouting. ","")&amp;IF(AND(D298="Steel Sheet Pile",E298="Permanent"),"NOTE: permanent sheet pile needs corrosion allowance. ","")&amp;IF(AND(G298="Cantilever (no support)",F298&gt;6),"NOTE: cantilever embedded wall &gt; 6 m, check deflection. ","")&amp;IF(AND(T298&lt;&gt;"",U298&lt;&gt;"",T298&gt;U298),"FAIL: deflection exceeds allowable. ","")))</f>
        <v/>
      </c>
      <c r="BI298" s="9"/>
      <c r="BJ298" s="9"/>
      <c r="BK298" s="9"/>
      <c r="BL298" s="10" t="str">
        <f aca="false">IF(BK298="","",IFERROR(VLOOKUP(BK298,Projects!$A$5:$D$504,2,0),"Ref not in Projects"))</f>
        <v/>
      </c>
      <c r="BM298" s="10" t="str">
        <f aca="false">IF(BK298="","",IFERROR(VLOOKUP(BK298,Projects!$A$5:$D$504,4,0),"Ref not in Projects"))</f>
        <v/>
      </c>
      <c r="BN298" s="9"/>
      <c r="BO298" s="9"/>
      <c r="BP298" s="9"/>
      <c r="BQ298" s="40"/>
      <c r="BR298" s="9"/>
      <c r="BS298" s="40"/>
      <c r="BT298" s="9"/>
      <c r="BU298" s="40"/>
      <c r="BV298" s="9"/>
      <c r="BW298" s="9"/>
      <c r="BX298" s="9"/>
      <c r="BY298" s="40"/>
      <c r="BZ298" s="40"/>
      <c r="CA298" s="36" t="str">
        <f aca="false">IF(BZ298="","",EDATE(BZ298,SG_Criteria!$B$54*12))</f>
        <v/>
      </c>
      <c r="CB298" s="33" t="str">
        <f aca="true">IF(A298="","",IF(BZ298="","NOTE: not reviewed yet",IF(TODAY()&gt;CA298,"NOTE: review overdue","OK")))</f>
        <v/>
      </c>
      <c r="CC298" s="37" t="str">
        <f aca="false">IF(A298="","",ROUND((IF(LEN(D298)&gt;0,1,0)+IF(LEN(E298)&gt;0,1,0)+IF(LEN(F298)&gt;0,1,0)+IF(LEN(G298)&gt;0,1,0)+IF(LEN(H298)&gt;0,1,0)+IF(LEN(I298)&gt;0,1,0)+IF(LEN(K298)&gt;0,1,0)+IF(LEN(N298)&gt;0,1,0)+IF(LEN(O298)&gt;0,1,0)+IF(LEN(T298)&gt;0,1,0)+IF(LEN(U298)&gt;0,1,0)+IF(LEN(V298)&gt;0,1,0)+IF(LEN(AK298)&gt;0,1,0)+IF(LEN(AM298)&gt;0,1,0)+IF(LEN(AN298)&gt;0,1,0)+IF(LEN(AO298)&gt;0,1,0)+IF(LEN(AP298)&gt;0,1,0)+IF(LEN(AY298)&gt;0,1,0)+IF(LEN(BK298)&gt;0,1,0)+IF(LEN(BX298)&gt;0,1,0))/20,2))</f>
        <v/>
      </c>
      <c r="CD298" s="10" t="str">
        <f aca="false">IF(D298="","",IF(AND(AN298="Approved",ISERROR(SEARCH("FAIL",BH298))),"Y","N"))</f>
        <v/>
      </c>
      <c r="CE298" s="10" t="str">
        <f aca="false">IF(D298="","",D298&amp;"|"&amp;F298&amp;"|"&amp;G298&amp;"|"&amp;H298&amp;"|"&amp;E298&amp;"|"&amp;CD298)</f>
        <v/>
      </c>
    </row>
    <row r="299" customFormat="false" ht="15" hidden="false" customHeight="false" outlineLevel="0" collapsed="false">
      <c r="A299" s="10" t="str">
        <f aca="false">IF(D299="","","EW-"&amp;IFERROR(VLOOKUP(D299,Lists!$P$4:$Q$22,2,0),"??")&amp;"-D"&amp;TEXT(F299*1000,"0000")&amp;"-"&amp;IFERROR(VLOOKUP(G299,Lists!$S$4:$T$21,2,0),"??")&amp;"-"&amp;IFERROR(VLOOKUP(H299,Lists!$Y$4:$Z$21,2,0),"??")&amp;"-"&amp;IFERROR(VLOOKUP(E299,Lists!$V$4:$W$16,2,0),"??")&amp;"-"&amp;AM299)</f>
        <v/>
      </c>
      <c r="B299" s="10" t="str">
        <f aca="false">IF(D299="","",E299&amp;" "&amp;D299&amp;", excavation "&amp;TEXT(F299,"0.0")&amp;" m, "&amp;G299&amp;", "&amp;H299&amp;", "&amp;K299)</f>
        <v/>
      </c>
      <c r="C299" s="9"/>
      <c r="D299" s="9"/>
      <c r="E299" s="9"/>
      <c r="F299" s="42"/>
      <c r="G299" s="9"/>
      <c r="H299" s="9"/>
      <c r="I299" s="42"/>
      <c r="J299" s="38"/>
      <c r="K299" s="9"/>
      <c r="L299" s="9"/>
      <c r="M299" s="9"/>
      <c r="N299" s="42"/>
      <c r="O299" s="42"/>
      <c r="P299" s="9"/>
      <c r="Q299" s="9"/>
      <c r="R299" s="9"/>
      <c r="S299" s="9"/>
      <c r="T299" s="38"/>
      <c r="U299" s="38"/>
      <c r="V299" s="38"/>
      <c r="W299" s="38"/>
      <c r="X299" s="38"/>
      <c r="Y299" s="9"/>
      <c r="Z299" s="39"/>
      <c r="AA299" s="9"/>
      <c r="AB299" s="9"/>
      <c r="AC299" s="9"/>
      <c r="AD299" s="9"/>
      <c r="AE299" s="9"/>
      <c r="AF299" s="9"/>
      <c r="AG299" s="9"/>
      <c r="AH299" s="38"/>
      <c r="AI299" s="9"/>
      <c r="AJ299" s="39"/>
      <c r="AK299" s="9"/>
      <c r="AL299" s="9"/>
      <c r="AM299" s="9"/>
      <c r="AN299" s="9"/>
      <c r="AO299" s="9"/>
      <c r="AP299" s="9"/>
      <c r="AQ299" s="9"/>
      <c r="AR299" s="10" t="str">
        <f aca="false">IF(A299="","",SG_Criteria!$B$6&amp;SG_Criteria!$B$9&amp;"\"&amp;A299&amp;"\")</f>
        <v/>
      </c>
      <c r="AS299" s="10" t="str">
        <f aca="false">IF(A299="","",A299&amp;"_CAD.dwg")</f>
        <v/>
      </c>
      <c r="AT299" s="10" t="str">
        <f aca="false">IF(A299="","",A299&amp;"_DWG.pdf")</f>
        <v/>
      </c>
      <c r="AU299" s="10" t="str">
        <f aca="false">IF(A299="","",IF(AQ299="Y",A299&amp;"_STAAD.std","n/a"))</f>
        <v/>
      </c>
      <c r="AV299" s="10" t="str">
        <f aca="false">IF(A299="","",A299&amp;"_CALC.xlsx")</f>
        <v/>
      </c>
      <c r="AW299" s="10" t="str">
        <f aca="false">IF(A299="","",A299&amp;"_CALC.pdf")</f>
        <v/>
      </c>
      <c r="AX299" s="9"/>
      <c r="AY299" s="9"/>
      <c r="AZ299" s="39"/>
      <c r="BA299" s="39"/>
      <c r="BB299" s="39"/>
      <c r="BC299" s="39"/>
      <c r="BD299" s="39"/>
      <c r="BE299" s="12" t="str">
        <f aca="false">IF(A299="","",IF(COUNTIF(Rebar_Schedule!$A$5:$A$2004,A299)=0,"",ROUND(SUMIF(Rebar_Schedule!$A$5:$A$2004,A299,Rebar_Schedule!$K$5:$K$2004),1)))</f>
        <v/>
      </c>
      <c r="BF299" s="33" t="str">
        <f aca="false">IF(A299="","",IF(BE299="","No rebar schedule yet",IF(ABS(BE299-N(BA299))/MAX(N(BA299),1)&gt;SG_Criteria!$B$55,"NOTE: register rebar differs from schedule by "&amp;TEXT(ABS(BE299-N(BA299))/MAX(N(BA299),1),"0%"),"OK")))</f>
        <v/>
      </c>
      <c r="BG299" s="33" t="str">
        <f aca="false">IF(OR(D299="",F299=""),"",IF(F299&lt;=IF(D299="Soldier Pile &amp; Timber Lagging",SG_Criteria!$B$34,SG_Criteria!$B$33),"No ERSS submission",IF(F299&lt;=SG_Criteria!$B$35,"QP(ST)",IF(F299&lt;=SG_Criteria!$B$36,"QP(ST) + AC","Geotechnical building works: QP(Geo) + AC"))))</f>
        <v/>
      </c>
      <c r="BH299" s="33" t="str">
        <f aca="false">IF(D299="","",IF(LEN(IF(AND(AC299&lt;&gt;"",IFERROR(VALUE(MID(AC299,2,2)),0)&lt;SG_Criteria!$B$19),"FAIL: grade below C"&amp;SG_Criteria!$B$19&amp;". ","")&amp;IF(AND(LEFT(D299,3)="Con",N(I299)&lt;F299,H299="Kallang Formation (marine clay)"),"NOTE: CBP is not watertight below GWT in marine clay; consider secant / grouting. ","")&amp;IF(AND(D299="Steel Sheet Pile",E299="Permanent"),"NOTE: permanent sheet pile needs corrosion allowance. ","")&amp;IF(AND(G299="Cantilever (no support)",F299&gt;6),"NOTE: cantilever embedded wall &gt; 6 m, check deflection. ","")&amp;IF(AND(T299&lt;&gt;"",U299&lt;&gt;"",T299&gt;U299),"FAIL: deflection exceeds allowable. ",""))=0,"OK",IF(AND(AC299&lt;&gt;"",IFERROR(VALUE(MID(AC299,2,2)),0)&lt;SG_Criteria!$B$19),"FAIL: grade below C"&amp;SG_Criteria!$B$19&amp;". ","")&amp;IF(AND(LEFT(D299,3)="Con",N(I299)&lt;F299,H299="Kallang Formation (marine clay)"),"NOTE: CBP is not watertight below GWT in marine clay; consider secant / grouting. ","")&amp;IF(AND(D299="Steel Sheet Pile",E299="Permanent"),"NOTE: permanent sheet pile needs corrosion allowance. ","")&amp;IF(AND(G299="Cantilever (no support)",F299&gt;6),"NOTE: cantilever embedded wall &gt; 6 m, check deflection. ","")&amp;IF(AND(T299&lt;&gt;"",U299&lt;&gt;"",T299&gt;U299),"FAIL: deflection exceeds allowable. ","")))</f>
        <v/>
      </c>
      <c r="BI299" s="9"/>
      <c r="BJ299" s="9"/>
      <c r="BK299" s="9"/>
      <c r="BL299" s="10" t="str">
        <f aca="false">IF(BK299="","",IFERROR(VLOOKUP(BK299,Projects!$A$5:$D$504,2,0),"Ref not in Projects"))</f>
        <v/>
      </c>
      <c r="BM299" s="10" t="str">
        <f aca="false">IF(BK299="","",IFERROR(VLOOKUP(BK299,Projects!$A$5:$D$504,4,0),"Ref not in Projects"))</f>
        <v/>
      </c>
      <c r="BN299" s="9"/>
      <c r="BO299" s="9"/>
      <c r="BP299" s="9"/>
      <c r="BQ299" s="40"/>
      <c r="BR299" s="9"/>
      <c r="BS299" s="40"/>
      <c r="BT299" s="9"/>
      <c r="BU299" s="40"/>
      <c r="BV299" s="9"/>
      <c r="BW299" s="9"/>
      <c r="BX299" s="9"/>
      <c r="BY299" s="40"/>
      <c r="BZ299" s="40"/>
      <c r="CA299" s="36" t="str">
        <f aca="false">IF(BZ299="","",EDATE(BZ299,SG_Criteria!$B$54*12))</f>
        <v/>
      </c>
      <c r="CB299" s="33" t="str">
        <f aca="true">IF(A299="","",IF(BZ299="","NOTE: not reviewed yet",IF(TODAY()&gt;CA299,"NOTE: review overdue","OK")))</f>
        <v/>
      </c>
      <c r="CC299" s="37" t="str">
        <f aca="false">IF(A299="","",ROUND((IF(LEN(D299)&gt;0,1,0)+IF(LEN(E299)&gt;0,1,0)+IF(LEN(F299)&gt;0,1,0)+IF(LEN(G299)&gt;0,1,0)+IF(LEN(H299)&gt;0,1,0)+IF(LEN(I299)&gt;0,1,0)+IF(LEN(K299)&gt;0,1,0)+IF(LEN(N299)&gt;0,1,0)+IF(LEN(O299)&gt;0,1,0)+IF(LEN(T299)&gt;0,1,0)+IF(LEN(U299)&gt;0,1,0)+IF(LEN(V299)&gt;0,1,0)+IF(LEN(AK299)&gt;0,1,0)+IF(LEN(AM299)&gt;0,1,0)+IF(LEN(AN299)&gt;0,1,0)+IF(LEN(AO299)&gt;0,1,0)+IF(LEN(AP299)&gt;0,1,0)+IF(LEN(AY299)&gt;0,1,0)+IF(LEN(BK299)&gt;0,1,0)+IF(LEN(BX299)&gt;0,1,0))/20,2))</f>
        <v/>
      </c>
      <c r="CD299" s="10" t="str">
        <f aca="false">IF(D299="","",IF(AND(AN299="Approved",ISERROR(SEARCH("FAIL",BH299))),"Y","N"))</f>
        <v/>
      </c>
      <c r="CE299" s="10" t="str">
        <f aca="false">IF(D299="","",D299&amp;"|"&amp;F299&amp;"|"&amp;G299&amp;"|"&amp;H299&amp;"|"&amp;E299&amp;"|"&amp;CD299)</f>
        <v/>
      </c>
    </row>
    <row r="300" customFormat="false" ht="15" hidden="false" customHeight="false" outlineLevel="0" collapsed="false">
      <c r="A300" s="10" t="str">
        <f aca="false">IF(D300="","","EW-"&amp;IFERROR(VLOOKUP(D300,Lists!$P$4:$Q$22,2,0),"??")&amp;"-D"&amp;TEXT(F300*1000,"0000")&amp;"-"&amp;IFERROR(VLOOKUP(G300,Lists!$S$4:$T$21,2,0),"??")&amp;"-"&amp;IFERROR(VLOOKUP(H300,Lists!$Y$4:$Z$21,2,0),"??")&amp;"-"&amp;IFERROR(VLOOKUP(E300,Lists!$V$4:$W$16,2,0),"??")&amp;"-"&amp;AM300)</f>
        <v/>
      </c>
      <c r="B300" s="10" t="str">
        <f aca="false">IF(D300="","",E300&amp;" "&amp;D300&amp;", excavation "&amp;TEXT(F300,"0.0")&amp;" m, "&amp;G300&amp;", "&amp;H300&amp;", "&amp;K300)</f>
        <v/>
      </c>
      <c r="C300" s="9"/>
      <c r="D300" s="9"/>
      <c r="E300" s="9"/>
      <c r="F300" s="42"/>
      <c r="G300" s="9"/>
      <c r="H300" s="9"/>
      <c r="I300" s="42"/>
      <c r="J300" s="38"/>
      <c r="K300" s="9"/>
      <c r="L300" s="9"/>
      <c r="M300" s="9"/>
      <c r="N300" s="42"/>
      <c r="O300" s="42"/>
      <c r="P300" s="9"/>
      <c r="Q300" s="9"/>
      <c r="R300" s="9"/>
      <c r="S300" s="9"/>
      <c r="T300" s="38"/>
      <c r="U300" s="38"/>
      <c r="V300" s="38"/>
      <c r="W300" s="38"/>
      <c r="X300" s="38"/>
      <c r="Y300" s="9"/>
      <c r="Z300" s="39"/>
      <c r="AA300" s="9"/>
      <c r="AB300" s="9"/>
      <c r="AC300" s="9"/>
      <c r="AD300" s="9"/>
      <c r="AE300" s="9"/>
      <c r="AF300" s="9"/>
      <c r="AG300" s="9"/>
      <c r="AH300" s="38"/>
      <c r="AI300" s="9"/>
      <c r="AJ300" s="39"/>
      <c r="AK300" s="9"/>
      <c r="AL300" s="9"/>
      <c r="AM300" s="9"/>
      <c r="AN300" s="9"/>
      <c r="AO300" s="9"/>
      <c r="AP300" s="9"/>
      <c r="AQ300" s="9"/>
      <c r="AR300" s="10" t="str">
        <f aca="false">IF(A300="","",SG_Criteria!$B$6&amp;SG_Criteria!$B$9&amp;"\"&amp;A300&amp;"\")</f>
        <v/>
      </c>
      <c r="AS300" s="10" t="str">
        <f aca="false">IF(A300="","",A300&amp;"_CAD.dwg")</f>
        <v/>
      </c>
      <c r="AT300" s="10" t="str">
        <f aca="false">IF(A300="","",A300&amp;"_DWG.pdf")</f>
        <v/>
      </c>
      <c r="AU300" s="10" t="str">
        <f aca="false">IF(A300="","",IF(AQ300="Y",A300&amp;"_STAAD.std","n/a"))</f>
        <v/>
      </c>
      <c r="AV300" s="10" t="str">
        <f aca="false">IF(A300="","",A300&amp;"_CALC.xlsx")</f>
        <v/>
      </c>
      <c r="AW300" s="10" t="str">
        <f aca="false">IF(A300="","",A300&amp;"_CALC.pdf")</f>
        <v/>
      </c>
      <c r="AX300" s="9"/>
      <c r="AY300" s="9"/>
      <c r="AZ300" s="39"/>
      <c r="BA300" s="39"/>
      <c r="BB300" s="39"/>
      <c r="BC300" s="39"/>
      <c r="BD300" s="39"/>
      <c r="BE300" s="12" t="str">
        <f aca="false">IF(A300="","",IF(COUNTIF(Rebar_Schedule!$A$5:$A$2004,A300)=0,"",ROUND(SUMIF(Rebar_Schedule!$A$5:$A$2004,A300,Rebar_Schedule!$K$5:$K$2004),1)))</f>
        <v/>
      </c>
      <c r="BF300" s="33" t="str">
        <f aca="false">IF(A300="","",IF(BE300="","No rebar schedule yet",IF(ABS(BE300-N(BA300))/MAX(N(BA300),1)&gt;SG_Criteria!$B$55,"NOTE: register rebar differs from schedule by "&amp;TEXT(ABS(BE300-N(BA300))/MAX(N(BA300),1),"0%"),"OK")))</f>
        <v/>
      </c>
      <c r="BG300" s="33" t="str">
        <f aca="false">IF(OR(D300="",F300=""),"",IF(F300&lt;=IF(D300="Soldier Pile &amp; Timber Lagging",SG_Criteria!$B$34,SG_Criteria!$B$33),"No ERSS submission",IF(F300&lt;=SG_Criteria!$B$35,"QP(ST)",IF(F300&lt;=SG_Criteria!$B$36,"QP(ST) + AC","Geotechnical building works: QP(Geo) + AC"))))</f>
        <v/>
      </c>
      <c r="BH300" s="33" t="str">
        <f aca="false">IF(D300="","",IF(LEN(IF(AND(AC300&lt;&gt;"",IFERROR(VALUE(MID(AC300,2,2)),0)&lt;SG_Criteria!$B$19),"FAIL: grade below C"&amp;SG_Criteria!$B$19&amp;". ","")&amp;IF(AND(LEFT(D300,3)="Con",N(I300)&lt;F300,H300="Kallang Formation (marine clay)"),"NOTE: CBP is not watertight below GWT in marine clay; consider secant / grouting. ","")&amp;IF(AND(D300="Steel Sheet Pile",E300="Permanent"),"NOTE: permanent sheet pile needs corrosion allowance. ","")&amp;IF(AND(G300="Cantilever (no support)",F300&gt;6),"NOTE: cantilever embedded wall &gt; 6 m, check deflection. ","")&amp;IF(AND(T300&lt;&gt;"",U300&lt;&gt;"",T300&gt;U300),"FAIL: deflection exceeds allowable. ",""))=0,"OK",IF(AND(AC300&lt;&gt;"",IFERROR(VALUE(MID(AC300,2,2)),0)&lt;SG_Criteria!$B$19),"FAIL: grade below C"&amp;SG_Criteria!$B$19&amp;". ","")&amp;IF(AND(LEFT(D300,3)="Con",N(I300)&lt;F300,H300="Kallang Formation (marine clay)"),"NOTE: CBP is not watertight below GWT in marine clay; consider secant / grouting. ","")&amp;IF(AND(D300="Steel Sheet Pile",E300="Permanent"),"NOTE: permanent sheet pile needs corrosion allowance. ","")&amp;IF(AND(G300="Cantilever (no support)",F300&gt;6),"NOTE: cantilever embedded wall &gt; 6 m, check deflection. ","")&amp;IF(AND(T300&lt;&gt;"",U300&lt;&gt;"",T300&gt;U300),"FAIL: deflection exceeds allowable. ","")))</f>
        <v/>
      </c>
      <c r="BI300" s="9"/>
      <c r="BJ300" s="9"/>
      <c r="BK300" s="9"/>
      <c r="BL300" s="10" t="str">
        <f aca="false">IF(BK300="","",IFERROR(VLOOKUP(BK300,Projects!$A$5:$D$504,2,0),"Ref not in Projects"))</f>
        <v/>
      </c>
      <c r="BM300" s="10" t="str">
        <f aca="false">IF(BK300="","",IFERROR(VLOOKUP(BK300,Projects!$A$5:$D$504,4,0),"Ref not in Projects"))</f>
        <v/>
      </c>
      <c r="BN300" s="9"/>
      <c r="BO300" s="9"/>
      <c r="BP300" s="9"/>
      <c r="BQ300" s="40"/>
      <c r="BR300" s="9"/>
      <c r="BS300" s="40"/>
      <c r="BT300" s="9"/>
      <c r="BU300" s="40"/>
      <c r="BV300" s="9"/>
      <c r="BW300" s="9"/>
      <c r="BX300" s="9"/>
      <c r="BY300" s="40"/>
      <c r="BZ300" s="40"/>
      <c r="CA300" s="36" t="str">
        <f aca="false">IF(BZ300="","",EDATE(BZ300,SG_Criteria!$B$54*12))</f>
        <v/>
      </c>
      <c r="CB300" s="33" t="str">
        <f aca="true">IF(A300="","",IF(BZ300="","NOTE: not reviewed yet",IF(TODAY()&gt;CA300,"NOTE: review overdue","OK")))</f>
        <v/>
      </c>
      <c r="CC300" s="37" t="str">
        <f aca="false">IF(A300="","",ROUND((IF(LEN(D300)&gt;0,1,0)+IF(LEN(E300)&gt;0,1,0)+IF(LEN(F300)&gt;0,1,0)+IF(LEN(G300)&gt;0,1,0)+IF(LEN(H300)&gt;0,1,0)+IF(LEN(I300)&gt;0,1,0)+IF(LEN(K300)&gt;0,1,0)+IF(LEN(N300)&gt;0,1,0)+IF(LEN(O300)&gt;0,1,0)+IF(LEN(T300)&gt;0,1,0)+IF(LEN(U300)&gt;0,1,0)+IF(LEN(V300)&gt;0,1,0)+IF(LEN(AK300)&gt;0,1,0)+IF(LEN(AM300)&gt;0,1,0)+IF(LEN(AN300)&gt;0,1,0)+IF(LEN(AO300)&gt;0,1,0)+IF(LEN(AP300)&gt;0,1,0)+IF(LEN(AY300)&gt;0,1,0)+IF(LEN(BK300)&gt;0,1,0)+IF(LEN(BX300)&gt;0,1,0))/20,2))</f>
        <v/>
      </c>
      <c r="CD300" s="10" t="str">
        <f aca="false">IF(D300="","",IF(AND(AN300="Approved",ISERROR(SEARCH("FAIL",BH300))),"Y","N"))</f>
        <v/>
      </c>
      <c r="CE300" s="10" t="str">
        <f aca="false">IF(D300="","",D300&amp;"|"&amp;F300&amp;"|"&amp;G300&amp;"|"&amp;H300&amp;"|"&amp;E300&amp;"|"&amp;CD300)</f>
        <v/>
      </c>
    </row>
    <row r="301" customFormat="false" ht="15" hidden="false" customHeight="false" outlineLevel="0" collapsed="false">
      <c r="A301" s="10" t="str">
        <f aca="false">IF(D301="","","EW-"&amp;IFERROR(VLOOKUP(D301,Lists!$P$4:$Q$22,2,0),"??")&amp;"-D"&amp;TEXT(F301*1000,"0000")&amp;"-"&amp;IFERROR(VLOOKUP(G301,Lists!$S$4:$T$21,2,0),"??")&amp;"-"&amp;IFERROR(VLOOKUP(H301,Lists!$Y$4:$Z$21,2,0),"??")&amp;"-"&amp;IFERROR(VLOOKUP(E301,Lists!$V$4:$W$16,2,0),"??")&amp;"-"&amp;AM301)</f>
        <v/>
      </c>
      <c r="B301" s="10" t="str">
        <f aca="false">IF(D301="","",E301&amp;" "&amp;D301&amp;", excavation "&amp;TEXT(F301,"0.0")&amp;" m, "&amp;G301&amp;", "&amp;H301&amp;", "&amp;K301)</f>
        <v/>
      </c>
      <c r="C301" s="9"/>
      <c r="D301" s="9"/>
      <c r="E301" s="9"/>
      <c r="F301" s="42"/>
      <c r="G301" s="9"/>
      <c r="H301" s="9"/>
      <c r="I301" s="42"/>
      <c r="J301" s="38"/>
      <c r="K301" s="9"/>
      <c r="L301" s="9"/>
      <c r="M301" s="9"/>
      <c r="N301" s="42"/>
      <c r="O301" s="42"/>
      <c r="P301" s="9"/>
      <c r="Q301" s="9"/>
      <c r="R301" s="9"/>
      <c r="S301" s="9"/>
      <c r="T301" s="38"/>
      <c r="U301" s="38"/>
      <c r="V301" s="38"/>
      <c r="W301" s="38"/>
      <c r="X301" s="38"/>
      <c r="Y301" s="9"/>
      <c r="Z301" s="39"/>
      <c r="AA301" s="9"/>
      <c r="AB301" s="9"/>
      <c r="AC301" s="9"/>
      <c r="AD301" s="9"/>
      <c r="AE301" s="9"/>
      <c r="AF301" s="9"/>
      <c r="AG301" s="9"/>
      <c r="AH301" s="38"/>
      <c r="AI301" s="9"/>
      <c r="AJ301" s="39"/>
      <c r="AK301" s="9"/>
      <c r="AL301" s="9"/>
      <c r="AM301" s="9"/>
      <c r="AN301" s="9"/>
      <c r="AO301" s="9"/>
      <c r="AP301" s="9"/>
      <c r="AQ301" s="9"/>
      <c r="AR301" s="10" t="str">
        <f aca="false">IF(A301="","",SG_Criteria!$B$6&amp;SG_Criteria!$B$9&amp;"\"&amp;A301&amp;"\")</f>
        <v/>
      </c>
      <c r="AS301" s="10" t="str">
        <f aca="false">IF(A301="","",A301&amp;"_CAD.dwg")</f>
        <v/>
      </c>
      <c r="AT301" s="10" t="str">
        <f aca="false">IF(A301="","",A301&amp;"_DWG.pdf")</f>
        <v/>
      </c>
      <c r="AU301" s="10" t="str">
        <f aca="false">IF(A301="","",IF(AQ301="Y",A301&amp;"_STAAD.std","n/a"))</f>
        <v/>
      </c>
      <c r="AV301" s="10" t="str">
        <f aca="false">IF(A301="","",A301&amp;"_CALC.xlsx")</f>
        <v/>
      </c>
      <c r="AW301" s="10" t="str">
        <f aca="false">IF(A301="","",A301&amp;"_CALC.pdf")</f>
        <v/>
      </c>
      <c r="AX301" s="9"/>
      <c r="AY301" s="9"/>
      <c r="AZ301" s="39"/>
      <c r="BA301" s="39"/>
      <c r="BB301" s="39"/>
      <c r="BC301" s="39"/>
      <c r="BD301" s="39"/>
      <c r="BE301" s="12" t="str">
        <f aca="false">IF(A301="","",IF(COUNTIF(Rebar_Schedule!$A$5:$A$2004,A301)=0,"",ROUND(SUMIF(Rebar_Schedule!$A$5:$A$2004,A301,Rebar_Schedule!$K$5:$K$2004),1)))</f>
        <v/>
      </c>
      <c r="BF301" s="33" t="str">
        <f aca="false">IF(A301="","",IF(BE301="","No rebar schedule yet",IF(ABS(BE301-N(BA301))/MAX(N(BA301),1)&gt;SG_Criteria!$B$55,"NOTE: register rebar differs from schedule by "&amp;TEXT(ABS(BE301-N(BA301))/MAX(N(BA301),1),"0%"),"OK")))</f>
        <v/>
      </c>
      <c r="BG301" s="33" t="str">
        <f aca="false">IF(OR(D301="",F301=""),"",IF(F301&lt;=IF(D301="Soldier Pile &amp; Timber Lagging",SG_Criteria!$B$34,SG_Criteria!$B$33),"No ERSS submission",IF(F301&lt;=SG_Criteria!$B$35,"QP(ST)",IF(F301&lt;=SG_Criteria!$B$36,"QP(ST) + AC","Geotechnical building works: QP(Geo) + AC"))))</f>
        <v/>
      </c>
      <c r="BH301" s="33" t="str">
        <f aca="false">IF(D301="","",IF(LEN(IF(AND(AC301&lt;&gt;"",IFERROR(VALUE(MID(AC301,2,2)),0)&lt;SG_Criteria!$B$19),"FAIL: grade below C"&amp;SG_Criteria!$B$19&amp;". ","")&amp;IF(AND(LEFT(D301,3)="Con",N(I301)&lt;F301,H301="Kallang Formation (marine clay)"),"NOTE: CBP is not watertight below GWT in marine clay; consider secant / grouting. ","")&amp;IF(AND(D301="Steel Sheet Pile",E301="Permanent"),"NOTE: permanent sheet pile needs corrosion allowance. ","")&amp;IF(AND(G301="Cantilever (no support)",F301&gt;6),"NOTE: cantilever embedded wall &gt; 6 m, check deflection. ","")&amp;IF(AND(T301&lt;&gt;"",U301&lt;&gt;"",T301&gt;U301),"FAIL: deflection exceeds allowable. ",""))=0,"OK",IF(AND(AC301&lt;&gt;"",IFERROR(VALUE(MID(AC301,2,2)),0)&lt;SG_Criteria!$B$19),"FAIL: grade below C"&amp;SG_Criteria!$B$19&amp;". ","")&amp;IF(AND(LEFT(D301,3)="Con",N(I301)&lt;F301,H301="Kallang Formation (marine clay)"),"NOTE: CBP is not watertight below GWT in marine clay; consider secant / grouting. ","")&amp;IF(AND(D301="Steel Sheet Pile",E301="Permanent"),"NOTE: permanent sheet pile needs corrosion allowance. ","")&amp;IF(AND(G301="Cantilever (no support)",F301&gt;6),"NOTE: cantilever embedded wall &gt; 6 m, check deflection. ","")&amp;IF(AND(T301&lt;&gt;"",U301&lt;&gt;"",T301&gt;U301),"FAIL: deflection exceeds allowable. ","")))</f>
        <v/>
      </c>
      <c r="BI301" s="9"/>
      <c r="BJ301" s="9"/>
      <c r="BK301" s="9"/>
      <c r="BL301" s="10" t="str">
        <f aca="false">IF(BK301="","",IFERROR(VLOOKUP(BK301,Projects!$A$5:$D$504,2,0),"Ref not in Projects"))</f>
        <v/>
      </c>
      <c r="BM301" s="10" t="str">
        <f aca="false">IF(BK301="","",IFERROR(VLOOKUP(BK301,Projects!$A$5:$D$504,4,0),"Ref not in Projects"))</f>
        <v/>
      </c>
      <c r="BN301" s="9"/>
      <c r="BO301" s="9"/>
      <c r="BP301" s="9"/>
      <c r="BQ301" s="40"/>
      <c r="BR301" s="9"/>
      <c r="BS301" s="40"/>
      <c r="BT301" s="9"/>
      <c r="BU301" s="40"/>
      <c r="BV301" s="9"/>
      <c r="BW301" s="9"/>
      <c r="BX301" s="9"/>
      <c r="BY301" s="40"/>
      <c r="BZ301" s="40"/>
      <c r="CA301" s="36" t="str">
        <f aca="false">IF(BZ301="","",EDATE(BZ301,SG_Criteria!$B$54*12))</f>
        <v/>
      </c>
      <c r="CB301" s="33" t="str">
        <f aca="true">IF(A301="","",IF(BZ301="","NOTE: not reviewed yet",IF(TODAY()&gt;CA301,"NOTE: review overdue","OK")))</f>
        <v/>
      </c>
      <c r="CC301" s="37" t="str">
        <f aca="false">IF(A301="","",ROUND((IF(LEN(D301)&gt;0,1,0)+IF(LEN(E301)&gt;0,1,0)+IF(LEN(F301)&gt;0,1,0)+IF(LEN(G301)&gt;0,1,0)+IF(LEN(H301)&gt;0,1,0)+IF(LEN(I301)&gt;0,1,0)+IF(LEN(K301)&gt;0,1,0)+IF(LEN(N301)&gt;0,1,0)+IF(LEN(O301)&gt;0,1,0)+IF(LEN(T301)&gt;0,1,0)+IF(LEN(U301)&gt;0,1,0)+IF(LEN(V301)&gt;0,1,0)+IF(LEN(AK301)&gt;0,1,0)+IF(LEN(AM301)&gt;0,1,0)+IF(LEN(AN301)&gt;0,1,0)+IF(LEN(AO301)&gt;0,1,0)+IF(LEN(AP301)&gt;0,1,0)+IF(LEN(AY301)&gt;0,1,0)+IF(LEN(BK301)&gt;0,1,0)+IF(LEN(BX301)&gt;0,1,0))/20,2))</f>
        <v/>
      </c>
      <c r="CD301" s="10" t="str">
        <f aca="false">IF(D301="","",IF(AND(AN301="Approved",ISERROR(SEARCH("FAIL",BH301))),"Y","N"))</f>
        <v/>
      </c>
      <c r="CE301" s="10" t="str">
        <f aca="false">IF(D301="","",D301&amp;"|"&amp;F301&amp;"|"&amp;G301&amp;"|"&amp;H301&amp;"|"&amp;E301&amp;"|"&amp;CD301)</f>
        <v/>
      </c>
    </row>
    <row r="302" customFormat="false" ht="15" hidden="false" customHeight="false" outlineLevel="0" collapsed="false">
      <c r="A302" s="10" t="str">
        <f aca="false">IF(D302="","","EW-"&amp;IFERROR(VLOOKUP(D302,Lists!$P$4:$Q$22,2,0),"??")&amp;"-D"&amp;TEXT(F302*1000,"0000")&amp;"-"&amp;IFERROR(VLOOKUP(G302,Lists!$S$4:$T$21,2,0),"??")&amp;"-"&amp;IFERROR(VLOOKUP(H302,Lists!$Y$4:$Z$21,2,0),"??")&amp;"-"&amp;IFERROR(VLOOKUP(E302,Lists!$V$4:$W$16,2,0),"??")&amp;"-"&amp;AM302)</f>
        <v/>
      </c>
      <c r="B302" s="10" t="str">
        <f aca="false">IF(D302="","",E302&amp;" "&amp;D302&amp;", excavation "&amp;TEXT(F302,"0.0")&amp;" m, "&amp;G302&amp;", "&amp;H302&amp;", "&amp;K302)</f>
        <v/>
      </c>
      <c r="C302" s="9"/>
      <c r="D302" s="9"/>
      <c r="E302" s="9"/>
      <c r="F302" s="42"/>
      <c r="G302" s="9"/>
      <c r="H302" s="9"/>
      <c r="I302" s="42"/>
      <c r="J302" s="38"/>
      <c r="K302" s="9"/>
      <c r="L302" s="9"/>
      <c r="M302" s="9"/>
      <c r="N302" s="42"/>
      <c r="O302" s="42"/>
      <c r="P302" s="9"/>
      <c r="Q302" s="9"/>
      <c r="R302" s="9"/>
      <c r="S302" s="9"/>
      <c r="T302" s="38"/>
      <c r="U302" s="38"/>
      <c r="V302" s="38"/>
      <c r="W302" s="38"/>
      <c r="X302" s="38"/>
      <c r="Y302" s="9"/>
      <c r="Z302" s="39"/>
      <c r="AA302" s="9"/>
      <c r="AB302" s="9"/>
      <c r="AC302" s="9"/>
      <c r="AD302" s="9"/>
      <c r="AE302" s="9"/>
      <c r="AF302" s="9"/>
      <c r="AG302" s="9"/>
      <c r="AH302" s="38"/>
      <c r="AI302" s="9"/>
      <c r="AJ302" s="39"/>
      <c r="AK302" s="9"/>
      <c r="AL302" s="9"/>
      <c r="AM302" s="9"/>
      <c r="AN302" s="9"/>
      <c r="AO302" s="9"/>
      <c r="AP302" s="9"/>
      <c r="AQ302" s="9"/>
      <c r="AR302" s="10" t="str">
        <f aca="false">IF(A302="","",SG_Criteria!$B$6&amp;SG_Criteria!$B$9&amp;"\"&amp;A302&amp;"\")</f>
        <v/>
      </c>
      <c r="AS302" s="10" t="str">
        <f aca="false">IF(A302="","",A302&amp;"_CAD.dwg")</f>
        <v/>
      </c>
      <c r="AT302" s="10" t="str">
        <f aca="false">IF(A302="","",A302&amp;"_DWG.pdf")</f>
        <v/>
      </c>
      <c r="AU302" s="10" t="str">
        <f aca="false">IF(A302="","",IF(AQ302="Y",A302&amp;"_STAAD.std","n/a"))</f>
        <v/>
      </c>
      <c r="AV302" s="10" t="str">
        <f aca="false">IF(A302="","",A302&amp;"_CALC.xlsx")</f>
        <v/>
      </c>
      <c r="AW302" s="10" t="str">
        <f aca="false">IF(A302="","",A302&amp;"_CALC.pdf")</f>
        <v/>
      </c>
      <c r="AX302" s="9"/>
      <c r="AY302" s="9"/>
      <c r="AZ302" s="39"/>
      <c r="BA302" s="39"/>
      <c r="BB302" s="39"/>
      <c r="BC302" s="39"/>
      <c r="BD302" s="39"/>
      <c r="BE302" s="12" t="str">
        <f aca="false">IF(A302="","",IF(COUNTIF(Rebar_Schedule!$A$5:$A$2004,A302)=0,"",ROUND(SUMIF(Rebar_Schedule!$A$5:$A$2004,A302,Rebar_Schedule!$K$5:$K$2004),1)))</f>
        <v/>
      </c>
      <c r="BF302" s="33" t="str">
        <f aca="false">IF(A302="","",IF(BE302="","No rebar schedule yet",IF(ABS(BE302-N(BA302))/MAX(N(BA302),1)&gt;SG_Criteria!$B$55,"NOTE: register rebar differs from schedule by "&amp;TEXT(ABS(BE302-N(BA302))/MAX(N(BA302),1),"0%"),"OK")))</f>
        <v/>
      </c>
      <c r="BG302" s="33" t="str">
        <f aca="false">IF(OR(D302="",F302=""),"",IF(F302&lt;=IF(D302="Soldier Pile &amp; Timber Lagging",SG_Criteria!$B$34,SG_Criteria!$B$33),"No ERSS submission",IF(F302&lt;=SG_Criteria!$B$35,"QP(ST)",IF(F302&lt;=SG_Criteria!$B$36,"QP(ST) + AC","Geotechnical building works: QP(Geo) + AC"))))</f>
        <v/>
      </c>
      <c r="BH302" s="33" t="str">
        <f aca="false">IF(D302="","",IF(LEN(IF(AND(AC302&lt;&gt;"",IFERROR(VALUE(MID(AC302,2,2)),0)&lt;SG_Criteria!$B$19),"FAIL: grade below C"&amp;SG_Criteria!$B$19&amp;". ","")&amp;IF(AND(LEFT(D302,3)="Con",N(I302)&lt;F302,H302="Kallang Formation (marine clay)"),"NOTE: CBP is not watertight below GWT in marine clay; consider secant / grouting. ","")&amp;IF(AND(D302="Steel Sheet Pile",E302="Permanent"),"NOTE: permanent sheet pile needs corrosion allowance. ","")&amp;IF(AND(G302="Cantilever (no support)",F302&gt;6),"NOTE: cantilever embedded wall &gt; 6 m, check deflection. ","")&amp;IF(AND(T302&lt;&gt;"",U302&lt;&gt;"",T302&gt;U302),"FAIL: deflection exceeds allowable. ",""))=0,"OK",IF(AND(AC302&lt;&gt;"",IFERROR(VALUE(MID(AC302,2,2)),0)&lt;SG_Criteria!$B$19),"FAIL: grade below C"&amp;SG_Criteria!$B$19&amp;". ","")&amp;IF(AND(LEFT(D302,3)="Con",N(I302)&lt;F302,H302="Kallang Formation (marine clay)"),"NOTE: CBP is not watertight below GWT in marine clay; consider secant / grouting. ","")&amp;IF(AND(D302="Steel Sheet Pile",E302="Permanent"),"NOTE: permanent sheet pile needs corrosion allowance. ","")&amp;IF(AND(G302="Cantilever (no support)",F302&gt;6),"NOTE: cantilever embedded wall &gt; 6 m, check deflection. ","")&amp;IF(AND(T302&lt;&gt;"",U302&lt;&gt;"",T302&gt;U302),"FAIL: deflection exceeds allowable. ","")))</f>
        <v/>
      </c>
      <c r="BI302" s="9"/>
      <c r="BJ302" s="9"/>
      <c r="BK302" s="9"/>
      <c r="BL302" s="10" t="str">
        <f aca="false">IF(BK302="","",IFERROR(VLOOKUP(BK302,Projects!$A$5:$D$504,2,0),"Ref not in Projects"))</f>
        <v/>
      </c>
      <c r="BM302" s="10" t="str">
        <f aca="false">IF(BK302="","",IFERROR(VLOOKUP(BK302,Projects!$A$5:$D$504,4,0),"Ref not in Projects"))</f>
        <v/>
      </c>
      <c r="BN302" s="9"/>
      <c r="BO302" s="9"/>
      <c r="BP302" s="9"/>
      <c r="BQ302" s="40"/>
      <c r="BR302" s="9"/>
      <c r="BS302" s="40"/>
      <c r="BT302" s="9"/>
      <c r="BU302" s="40"/>
      <c r="BV302" s="9"/>
      <c r="BW302" s="9"/>
      <c r="BX302" s="9"/>
      <c r="BY302" s="40"/>
      <c r="BZ302" s="40"/>
      <c r="CA302" s="36" t="str">
        <f aca="false">IF(BZ302="","",EDATE(BZ302,SG_Criteria!$B$54*12))</f>
        <v/>
      </c>
      <c r="CB302" s="33" t="str">
        <f aca="true">IF(A302="","",IF(BZ302="","NOTE: not reviewed yet",IF(TODAY()&gt;CA302,"NOTE: review overdue","OK")))</f>
        <v/>
      </c>
      <c r="CC302" s="37" t="str">
        <f aca="false">IF(A302="","",ROUND((IF(LEN(D302)&gt;0,1,0)+IF(LEN(E302)&gt;0,1,0)+IF(LEN(F302)&gt;0,1,0)+IF(LEN(G302)&gt;0,1,0)+IF(LEN(H302)&gt;0,1,0)+IF(LEN(I302)&gt;0,1,0)+IF(LEN(K302)&gt;0,1,0)+IF(LEN(N302)&gt;0,1,0)+IF(LEN(O302)&gt;0,1,0)+IF(LEN(T302)&gt;0,1,0)+IF(LEN(U302)&gt;0,1,0)+IF(LEN(V302)&gt;0,1,0)+IF(LEN(AK302)&gt;0,1,0)+IF(LEN(AM302)&gt;0,1,0)+IF(LEN(AN302)&gt;0,1,0)+IF(LEN(AO302)&gt;0,1,0)+IF(LEN(AP302)&gt;0,1,0)+IF(LEN(AY302)&gt;0,1,0)+IF(LEN(BK302)&gt;0,1,0)+IF(LEN(BX302)&gt;0,1,0))/20,2))</f>
        <v/>
      </c>
      <c r="CD302" s="10" t="str">
        <f aca="false">IF(D302="","",IF(AND(AN302="Approved",ISERROR(SEARCH("FAIL",BH302))),"Y","N"))</f>
        <v/>
      </c>
      <c r="CE302" s="10" t="str">
        <f aca="false">IF(D302="","",D302&amp;"|"&amp;F302&amp;"|"&amp;G302&amp;"|"&amp;H302&amp;"|"&amp;E302&amp;"|"&amp;CD302)</f>
        <v/>
      </c>
    </row>
    <row r="303" customFormat="false" ht="15" hidden="false" customHeight="false" outlineLevel="0" collapsed="false">
      <c r="A303" s="10" t="str">
        <f aca="false">IF(D303="","","EW-"&amp;IFERROR(VLOOKUP(D303,Lists!$P$4:$Q$22,2,0),"??")&amp;"-D"&amp;TEXT(F303*1000,"0000")&amp;"-"&amp;IFERROR(VLOOKUP(G303,Lists!$S$4:$T$21,2,0),"??")&amp;"-"&amp;IFERROR(VLOOKUP(H303,Lists!$Y$4:$Z$21,2,0),"??")&amp;"-"&amp;IFERROR(VLOOKUP(E303,Lists!$V$4:$W$16,2,0),"??")&amp;"-"&amp;AM303)</f>
        <v/>
      </c>
      <c r="B303" s="10" t="str">
        <f aca="false">IF(D303="","",E303&amp;" "&amp;D303&amp;", excavation "&amp;TEXT(F303,"0.0")&amp;" m, "&amp;G303&amp;", "&amp;H303&amp;", "&amp;K303)</f>
        <v/>
      </c>
      <c r="C303" s="9"/>
      <c r="D303" s="9"/>
      <c r="E303" s="9"/>
      <c r="F303" s="42"/>
      <c r="G303" s="9"/>
      <c r="H303" s="9"/>
      <c r="I303" s="42"/>
      <c r="J303" s="38"/>
      <c r="K303" s="9"/>
      <c r="L303" s="9"/>
      <c r="M303" s="9"/>
      <c r="N303" s="42"/>
      <c r="O303" s="42"/>
      <c r="P303" s="9"/>
      <c r="Q303" s="9"/>
      <c r="R303" s="9"/>
      <c r="S303" s="9"/>
      <c r="T303" s="38"/>
      <c r="U303" s="38"/>
      <c r="V303" s="38"/>
      <c r="W303" s="38"/>
      <c r="X303" s="38"/>
      <c r="Y303" s="9"/>
      <c r="Z303" s="39"/>
      <c r="AA303" s="9"/>
      <c r="AB303" s="9"/>
      <c r="AC303" s="9"/>
      <c r="AD303" s="9"/>
      <c r="AE303" s="9"/>
      <c r="AF303" s="9"/>
      <c r="AG303" s="9"/>
      <c r="AH303" s="38"/>
      <c r="AI303" s="9"/>
      <c r="AJ303" s="39"/>
      <c r="AK303" s="9"/>
      <c r="AL303" s="9"/>
      <c r="AM303" s="9"/>
      <c r="AN303" s="9"/>
      <c r="AO303" s="9"/>
      <c r="AP303" s="9"/>
      <c r="AQ303" s="9"/>
      <c r="AR303" s="10" t="str">
        <f aca="false">IF(A303="","",SG_Criteria!$B$6&amp;SG_Criteria!$B$9&amp;"\"&amp;A303&amp;"\")</f>
        <v/>
      </c>
      <c r="AS303" s="10" t="str">
        <f aca="false">IF(A303="","",A303&amp;"_CAD.dwg")</f>
        <v/>
      </c>
      <c r="AT303" s="10" t="str">
        <f aca="false">IF(A303="","",A303&amp;"_DWG.pdf")</f>
        <v/>
      </c>
      <c r="AU303" s="10" t="str">
        <f aca="false">IF(A303="","",IF(AQ303="Y",A303&amp;"_STAAD.std","n/a"))</f>
        <v/>
      </c>
      <c r="AV303" s="10" t="str">
        <f aca="false">IF(A303="","",A303&amp;"_CALC.xlsx")</f>
        <v/>
      </c>
      <c r="AW303" s="10" t="str">
        <f aca="false">IF(A303="","",A303&amp;"_CALC.pdf")</f>
        <v/>
      </c>
      <c r="AX303" s="9"/>
      <c r="AY303" s="9"/>
      <c r="AZ303" s="39"/>
      <c r="BA303" s="39"/>
      <c r="BB303" s="39"/>
      <c r="BC303" s="39"/>
      <c r="BD303" s="39"/>
      <c r="BE303" s="12" t="str">
        <f aca="false">IF(A303="","",IF(COUNTIF(Rebar_Schedule!$A$5:$A$2004,A303)=0,"",ROUND(SUMIF(Rebar_Schedule!$A$5:$A$2004,A303,Rebar_Schedule!$K$5:$K$2004),1)))</f>
        <v/>
      </c>
      <c r="BF303" s="33" t="str">
        <f aca="false">IF(A303="","",IF(BE303="","No rebar schedule yet",IF(ABS(BE303-N(BA303))/MAX(N(BA303),1)&gt;SG_Criteria!$B$55,"NOTE: register rebar differs from schedule by "&amp;TEXT(ABS(BE303-N(BA303))/MAX(N(BA303),1),"0%"),"OK")))</f>
        <v/>
      </c>
      <c r="BG303" s="33" t="str">
        <f aca="false">IF(OR(D303="",F303=""),"",IF(F303&lt;=IF(D303="Soldier Pile &amp; Timber Lagging",SG_Criteria!$B$34,SG_Criteria!$B$33),"No ERSS submission",IF(F303&lt;=SG_Criteria!$B$35,"QP(ST)",IF(F303&lt;=SG_Criteria!$B$36,"QP(ST) + AC","Geotechnical building works: QP(Geo) + AC"))))</f>
        <v/>
      </c>
      <c r="BH303" s="33" t="str">
        <f aca="false">IF(D303="","",IF(LEN(IF(AND(AC303&lt;&gt;"",IFERROR(VALUE(MID(AC303,2,2)),0)&lt;SG_Criteria!$B$19),"FAIL: grade below C"&amp;SG_Criteria!$B$19&amp;". ","")&amp;IF(AND(LEFT(D303,3)="Con",N(I303)&lt;F303,H303="Kallang Formation (marine clay)"),"NOTE: CBP is not watertight below GWT in marine clay; consider secant / grouting. ","")&amp;IF(AND(D303="Steel Sheet Pile",E303="Permanent"),"NOTE: permanent sheet pile needs corrosion allowance. ","")&amp;IF(AND(G303="Cantilever (no support)",F303&gt;6),"NOTE: cantilever embedded wall &gt; 6 m, check deflection. ","")&amp;IF(AND(T303&lt;&gt;"",U303&lt;&gt;"",T303&gt;U303),"FAIL: deflection exceeds allowable. ",""))=0,"OK",IF(AND(AC303&lt;&gt;"",IFERROR(VALUE(MID(AC303,2,2)),0)&lt;SG_Criteria!$B$19),"FAIL: grade below C"&amp;SG_Criteria!$B$19&amp;". ","")&amp;IF(AND(LEFT(D303,3)="Con",N(I303)&lt;F303,H303="Kallang Formation (marine clay)"),"NOTE: CBP is not watertight below GWT in marine clay; consider secant / grouting. ","")&amp;IF(AND(D303="Steel Sheet Pile",E303="Permanent"),"NOTE: permanent sheet pile needs corrosion allowance. ","")&amp;IF(AND(G303="Cantilever (no support)",F303&gt;6),"NOTE: cantilever embedded wall &gt; 6 m, check deflection. ","")&amp;IF(AND(T303&lt;&gt;"",U303&lt;&gt;"",T303&gt;U303),"FAIL: deflection exceeds allowable. ","")))</f>
        <v/>
      </c>
      <c r="BI303" s="9"/>
      <c r="BJ303" s="9"/>
      <c r="BK303" s="9"/>
      <c r="BL303" s="10" t="str">
        <f aca="false">IF(BK303="","",IFERROR(VLOOKUP(BK303,Projects!$A$5:$D$504,2,0),"Ref not in Projects"))</f>
        <v/>
      </c>
      <c r="BM303" s="10" t="str">
        <f aca="false">IF(BK303="","",IFERROR(VLOOKUP(BK303,Projects!$A$5:$D$504,4,0),"Ref not in Projects"))</f>
        <v/>
      </c>
      <c r="BN303" s="9"/>
      <c r="BO303" s="9"/>
      <c r="BP303" s="9"/>
      <c r="BQ303" s="40"/>
      <c r="BR303" s="9"/>
      <c r="BS303" s="40"/>
      <c r="BT303" s="9"/>
      <c r="BU303" s="40"/>
      <c r="BV303" s="9"/>
      <c r="BW303" s="9"/>
      <c r="BX303" s="9"/>
      <c r="BY303" s="40"/>
      <c r="BZ303" s="40"/>
      <c r="CA303" s="36" t="str">
        <f aca="false">IF(BZ303="","",EDATE(BZ303,SG_Criteria!$B$54*12))</f>
        <v/>
      </c>
      <c r="CB303" s="33" t="str">
        <f aca="true">IF(A303="","",IF(BZ303="","NOTE: not reviewed yet",IF(TODAY()&gt;CA303,"NOTE: review overdue","OK")))</f>
        <v/>
      </c>
      <c r="CC303" s="37" t="str">
        <f aca="false">IF(A303="","",ROUND((IF(LEN(D303)&gt;0,1,0)+IF(LEN(E303)&gt;0,1,0)+IF(LEN(F303)&gt;0,1,0)+IF(LEN(G303)&gt;0,1,0)+IF(LEN(H303)&gt;0,1,0)+IF(LEN(I303)&gt;0,1,0)+IF(LEN(K303)&gt;0,1,0)+IF(LEN(N303)&gt;0,1,0)+IF(LEN(O303)&gt;0,1,0)+IF(LEN(T303)&gt;0,1,0)+IF(LEN(U303)&gt;0,1,0)+IF(LEN(V303)&gt;0,1,0)+IF(LEN(AK303)&gt;0,1,0)+IF(LEN(AM303)&gt;0,1,0)+IF(LEN(AN303)&gt;0,1,0)+IF(LEN(AO303)&gt;0,1,0)+IF(LEN(AP303)&gt;0,1,0)+IF(LEN(AY303)&gt;0,1,0)+IF(LEN(BK303)&gt;0,1,0)+IF(LEN(BX303)&gt;0,1,0))/20,2))</f>
        <v/>
      </c>
      <c r="CD303" s="10" t="str">
        <f aca="false">IF(D303="","",IF(AND(AN303="Approved",ISERROR(SEARCH("FAIL",BH303))),"Y","N"))</f>
        <v/>
      </c>
      <c r="CE303" s="10" t="str">
        <f aca="false">IF(D303="","",D303&amp;"|"&amp;F303&amp;"|"&amp;G303&amp;"|"&amp;H303&amp;"|"&amp;E303&amp;"|"&amp;CD303)</f>
        <v/>
      </c>
    </row>
    <row r="304" customFormat="false" ht="15" hidden="false" customHeight="false" outlineLevel="0" collapsed="false">
      <c r="A304" s="10" t="str">
        <f aca="false">IF(D304="","","EW-"&amp;IFERROR(VLOOKUP(D304,Lists!$P$4:$Q$22,2,0),"??")&amp;"-D"&amp;TEXT(F304*1000,"0000")&amp;"-"&amp;IFERROR(VLOOKUP(G304,Lists!$S$4:$T$21,2,0),"??")&amp;"-"&amp;IFERROR(VLOOKUP(H304,Lists!$Y$4:$Z$21,2,0),"??")&amp;"-"&amp;IFERROR(VLOOKUP(E304,Lists!$V$4:$W$16,2,0),"??")&amp;"-"&amp;AM304)</f>
        <v/>
      </c>
      <c r="B304" s="10" t="str">
        <f aca="false">IF(D304="","",E304&amp;" "&amp;D304&amp;", excavation "&amp;TEXT(F304,"0.0")&amp;" m, "&amp;G304&amp;", "&amp;H304&amp;", "&amp;K304)</f>
        <v/>
      </c>
      <c r="C304" s="9"/>
      <c r="D304" s="9"/>
      <c r="E304" s="9"/>
      <c r="F304" s="42"/>
      <c r="G304" s="9"/>
      <c r="H304" s="9"/>
      <c r="I304" s="42"/>
      <c r="J304" s="38"/>
      <c r="K304" s="9"/>
      <c r="L304" s="9"/>
      <c r="M304" s="9"/>
      <c r="N304" s="42"/>
      <c r="O304" s="42"/>
      <c r="P304" s="9"/>
      <c r="Q304" s="9"/>
      <c r="R304" s="9"/>
      <c r="S304" s="9"/>
      <c r="T304" s="38"/>
      <c r="U304" s="38"/>
      <c r="V304" s="38"/>
      <c r="W304" s="38"/>
      <c r="X304" s="38"/>
      <c r="Y304" s="9"/>
      <c r="Z304" s="39"/>
      <c r="AA304" s="9"/>
      <c r="AB304" s="9"/>
      <c r="AC304" s="9"/>
      <c r="AD304" s="9"/>
      <c r="AE304" s="9"/>
      <c r="AF304" s="9"/>
      <c r="AG304" s="9"/>
      <c r="AH304" s="38"/>
      <c r="AI304" s="9"/>
      <c r="AJ304" s="39"/>
      <c r="AK304" s="9"/>
      <c r="AL304" s="9"/>
      <c r="AM304" s="9"/>
      <c r="AN304" s="9"/>
      <c r="AO304" s="9"/>
      <c r="AP304" s="9"/>
      <c r="AQ304" s="9"/>
      <c r="AR304" s="10" t="str">
        <f aca="false">IF(A304="","",SG_Criteria!$B$6&amp;SG_Criteria!$B$9&amp;"\"&amp;A304&amp;"\")</f>
        <v/>
      </c>
      <c r="AS304" s="10" t="str">
        <f aca="false">IF(A304="","",A304&amp;"_CAD.dwg")</f>
        <v/>
      </c>
      <c r="AT304" s="10" t="str">
        <f aca="false">IF(A304="","",A304&amp;"_DWG.pdf")</f>
        <v/>
      </c>
      <c r="AU304" s="10" t="str">
        <f aca="false">IF(A304="","",IF(AQ304="Y",A304&amp;"_STAAD.std","n/a"))</f>
        <v/>
      </c>
      <c r="AV304" s="10" t="str">
        <f aca="false">IF(A304="","",A304&amp;"_CALC.xlsx")</f>
        <v/>
      </c>
      <c r="AW304" s="10" t="str">
        <f aca="false">IF(A304="","",A304&amp;"_CALC.pdf")</f>
        <v/>
      </c>
      <c r="AX304" s="9"/>
      <c r="AY304" s="9"/>
      <c r="AZ304" s="39"/>
      <c r="BA304" s="39"/>
      <c r="BB304" s="39"/>
      <c r="BC304" s="39"/>
      <c r="BD304" s="39"/>
      <c r="BE304" s="12" t="str">
        <f aca="false">IF(A304="","",IF(COUNTIF(Rebar_Schedule!$A$5:$A$2004,A304)=0,"",ROUND(SUMIF(Rebar_Schedule!$A$5:$A$2004,A304,Rebar_Schedule!$K$5:$K$2004),1)))</f>
        <v/>
      </c>
      <c r="BF304" s="33" t="str">
        <f aca="false">IF(A304="","",IF(BE304="","No rebar schedule yet",IF(ABS(BE304-N(BA304))/MAX(N(BA304),1)&gt;SG_Criteria!$B$55,"NOTE: register rebar differs from schedule by "&amp;TEXT(ABS(BE304-N(BA304))/MAX(N(BA304),1),"0%"),"OK")))</f>
        <v/>
      </c>
      <c r="BG304" s="33" t="str">
        <f aca="false">IF(OR(D304="",F304=""),"",IF(F304&lt;=IF(D304="Soldier Pile &amp; Timber Lagging",SG_Criteria!$B$34,SG_Criteria!$B$33),"No ERSS submission",IF(F304&lt;=SG_Criteria!$B$35,"QP(ST)",IF(F304&lt;=SG_Criteria!$B$36,"QP(ST) + AC","Geotechnical building works: QP(Geo) + AC"))))</f>
        <v/>
      </c>
      <c r="BH304" s="33" t="str">
        <f aca="false">IF(D304="","",IF(LEN(IF(AND(AC304&lt;&gt;"",IFERROR(VALUE(MID(AC304,2,2)),0)&lt;SG_Criteria!$B$19),"FAIL: grade below C"&amp;SG_Criteria!$B$19&amp;". ","")&amp;IF(AND(LEFT(D304,3)="Con",N(I304)&lt;F304,H304="Kallang Formation (marine clay)"),"NOTE: CBP is not watertight below GWT in marine clay; consider secant / grouting. ","")&amp;IF(AND(D304="Steel Sheet Pile",E304="Permanent"),"NOTE: permanent sheet pile needs corrosion allowance. ","")&amp;IF(AND(G304="Cantilever (no support)",F304&gt;6),"NOTE: cantilever embedded wall &gt; 6 m, check deflection. ","")&amp;IF(AND(T304&lt;&gt;"",U304&lt;&gt;"",T304&gt;U304),"FAIL: deflection exceeds allowable. ",""))=0,"OK",IF(AND(AC304&lt;&gt;"",IFERROR(VALUE(MID(AC304,2,2)),0)&lt;SG_Criteria!$B$19),"FAIL: grade below C"&amp;SG_Criteria!$B$19&amp;". ","")&amp;IF(AND(LEFT(D304,3)="Con",N(I304)&lt;F304,H304="Kallang Formation (marine clay)"),"NOTE: CBP is not watertight below GWT in marine clay; consider secant / grouting. ","")&amp;IF(AND(D304="Steel Sheet Pile",E304="Permanent"),"NOTE: permanent sheet pile needs corrosion allowance. ","")&amp;IF(AND(G304="Cantilever (no support)",F304&gt;6),"NOTE: cantilever embedded wall &gt; 6 m, check deflection. ","")&amp;IF(AND(T304&lt;&gt;"",U304&lt;&gt;"",T304&gt;U304),"FAIL: deflection exceeds allowable. ","")))</f>
        <v/>
      </c>
      <c r="BI304" s="9"/>
      <c r="BJ304" s="9"/>
      <c r="BK304" s="9"/>
      <c r="BL304" s="10" t="str">
        <f aca="false">IF(BK304="","",IFERROR(VLOOKUP(BK304,Projects!$A$5:$D$504,2,0),"Ref not in Projects"))</f>
        <v/>
      </c>
      <c r="BM304" s="10" t="str">
        <f aca="false">IF(BK304="","",IFERROR(VLOOKUP(BK304,Projects!$A$5:$D$504,4,0),"Ref not in Projects"))</f>
        <v/>
      </c>
      <c r="BN304" s="9"/>
      <c r="BO304" s="9"/>
      <c r="BP304" s="9"/>
      <c r="BQ304" s="40"/>
      <c r="BR304" s="9"/>
      <c r="BS304" s="40"/>
      <c r="BT304" s="9"/>
      <c r="BU304" s="40"/>
      <c r="BV304" s="9"/>
      <c r="BW304" s="9"/>
      <c r="BX304" s="9"/>
      <c r="BY304" s="40"/>
      <c r="BZ304" s="40"/>
      <c r="CA304" s="36" t="str">
        <f aca="false">IF(BZ304="","",EDATE(BZ304,SG_Criteria!$B$54*12))</f>
        <v/>
      </c>
      <c r="CB304" s="33" t="str">
        <f aca="true">IF(A304="","",IF(BZ304="","NOTE: not reviewed yet",IF(TODAY()&gt;CA304,"NOTE: review overdue","OK")))</f>
        <v/>
      </c>
      <c r="CC304" s="37" t="str">
        <f aca="false">IF(A304="","",ROUND((IF(LEN(D304)&gt;0,1,0)+IF(LEN(E304)&gt;0,1,0)+IF(LEN(F304)&gt;0,1,0)+IF(LEN(G304)&gt;0,1,0)+IF(LEN(H304)&gt;0,1,0)+IF(LEN(I304)&gt;0,1,0)+IF(LEN(K304)&gt;0,1,0)+IF(LEN(N304)&gt;0,1,0)+IF(LEN(O304)&gt;0,1,0)+IF(LEN(T304)&gt;0,1,0)+IF(LEN(U304)&gt;0,1,0)+IF(LEN(V304)&gt;0,1,0)+IF(LEN(AK304)&gt;0,1,0)+IF(LEN(AM304)&gt;0,1,0)+IF(LEN(AN304)&gt;0,1,0)+IF(LEN(AO304)&gt;0,1,0)+IF(LEN(AP304)&gt;0,1,0)+IF(LEN(AY304)&gt;0,1,0)+IF(LEN(BK304)&gt;0,1,0)+IF(LEN(BX304)&gt;0,1,0))/20,2))</f>
        <v/>
      </c>
      <c r="CD304" s="10" t="str">
        <f aca="false">IF(D304="","",IF(AND(AN304="Approved",ISERROR(SEARCH("FAIL",BH304))),"Y","N"))</f>
        <v/>
      </c>
      <c r="CE304" s="10" t="str">
        <f aca="false">IF(D304="","",D304&amp;"|"&amp;F304&amp;"|"&amp;G304&amp;"|"&amp;H304&amp;"|"&amp;E304&amp;"|"&amp;CD304)</f>
        <v/>
      </c>
    </row>
  </sheetData>
  <conditionalFormatting sqref="BH5:BH304">
    <cfRule type="expression" priority="2" aboveAverage="0" equalAverage="0" bottom="0" percent="0" rank="0" text="" dxfId="0">
      <formula>ISNUMBER(SEARCH("FAIL",BH5))</formula>
    </cfRule>
    <cfRule type="expression" priority="3" aboveAverage="0" equalAverage="0" bottom="0" percent="0" rank="0" text="" dxfId="16">
      <formula>ISNUMBER(SEARCH("NOTE",BH5))</formula>
    </cfRule>
    <cfRule type="expression" priority="4" aboveAverage="0" equalAverage="0" bottom="0" percent="0" rank="0" text="" dxfId="1">
      <formula>BH5="OK"</formula>
    </cfRule>
  </conditionalFormatting>
  <conditionalFormatting sqref="BG5:BG304">
    <cfRule type="expression" priority="5" aboveAverage="0" equalAverage="0" bottom="0" percent="0" rank="0" text="" dxfId="0">
      <formula>ISNUMBER(SEARCH("FAIL",BG5))</formula>
    </cfRule>
    <cfRule type="expression" priority="6" aboveAverage="0" equalAverage="0" bottom="0" percent="0" rank="0" text="" dxfId="16">
      <formula>ISNUMBER(SEARCH("NOTE",BG5))</formula>
    </cfRule>
    <cfRule type="expression" priority="7" aboveAverage="0" equalAverage="0" bottom="0" percent="0" rank="0" text="" dxfId="1">
      <formula>BG5="OK"</formula>
    </cfRule>
  </conditionalFormatting>
  <conditionalFormatting sqref="BF5:BF304">
    <cfRule type="expression" priority="8" aboveAverage="0" equalAverage="0" bottom="0" percent="0" rank="0" text="" dxfId="0">
      <formula>ISNUMBER(SEARCH("FAIL",BF5))</formula>
    </cfRule>
    <cfRule type="expression" priority="9" aboveAverage="0" equalAverage="0" bottom="0" percent="0" rank="0" text="" dxfId="16">
      <formula>ISNUMBER(SEARCH("NOTE",BF5))</formula>
    </cfRule>
    <cfRule type="expression" priority="10" aboveAverage="0" equalAverage="0" bottom="0" percent="0" rank="0" text="" dxfId="1">
      <formula>BF5="OK"</formula>
    </cfRule>
  </conditionalFormatting>
  <conditionalFormatting sqref="CB5:CB304">
    <cfRule type="expression" priority="11" aboveAverage="0" equalAverage="0" bottom="0" percent="0" rank="0" text="" dxfId="0">
      <formula>ISNUMBER(SEARCH("FAIL",CB5))</formula>
    </cfRule>
    <cfRule type="expression" priority="12" aboveAverage="0" equalAverage="0" bottom="0" percent="0" rank="0" text="" dxfId="16">
      <formula>ISNUMBER(SEARCH("NOTE",CB5))</formula>
    </cfRule>
    <cfRule type="expression" priority="13" aboveAverage="0" equalAverage="0" bottom="0" percent="0" rank="0" text="" dxfId="1">
      <formula>CB5="OK"</formula>
    </cfRule>
  </conditionalFormatting>
  <conditionalFormatting sqref="CC5:CC304">
    <cfRule type="expression" priority="14" aboveAverage="0" equalAverage="0" bottom="0" percent="0" rank="0" text="" dxfId="16">
      <formula>AND(CC5&lt;&gt;"",CC5&lt;SG_Criteria!$B$56)</formula>
    </cfRule>
    <cfRule type="expression" priority="15" aboveAverage="0" equalAverage="0" bottom="0" percent="0" rank="0" text="" dxfId="1">
      <formula>AND(CC5&lt;&gt;"",CC5&gt;=SG_Criteria!$B$56)</formula>
    </cfRule>
  </conditionalFormatting>
  <dataValidations count="15">
    <dataValidation allowBlank="true" error="Pick a value from the list (add new values on the Lists sheet)." errorStyle="stop" errorTitle="Not in list" operator="between" showDropDown="false" showErrorMessage="false" showInputMessage="false" sqref="D5:D304" type="list">
      <formula1>Lists!$P$4:$P$22</formula1>
      <formula2>0</formula2>
    </dataValidation>
    <dataValidation allowBlank="true" error="Pick a value from the list (add new values on the Lists sheet)." errorStyle="stop" errorTitle="Not in list" operator="between" showDropDown="false" showErrorMessage="false" showInputMessage="false" sqref="E5:E304" type="list">
      <formula1>Lists!$V$4:$V$16</formula1>
      <formula2>0</formula2>
    </dataValidation>
    <dataValidation allowBlank="true" error="Pick a value from the list (add new values on the Lists sheet)." errorStyle="stop" errorTitle="Not in list" operator="between" showDropDown="false" showErrorMessage="false" showInputMessage="false" sqref="G5:G304" type="list">
      <formula1>Lists!$S$4:$S$21</formula1>
      <formula2>0</formula2>
    </dataValidation>
    <dataValidation allowBlank="true" error="Pick a value from the list (add new values on the Lists sheet)." errorStyle="stop" errorTitle="Not in list" operator="between" showDropDown="false" showErrorMessage="false" showInputMessage="false" sqref="H5:H304" type="list">
      <formula1>Lists!$Y$4:$Y$21</formula1>
      <formula2>0</formula2>
    </dataValidation>
    <dataValidation allowBlank="true" error="Pick a value from the list (add new values on the Lists sheet)." errorStyle="stop" errorTitle="Not in list" operator="between" showDropDown="false" showErrorMessage="false" showInputMessage="false" sqref="AA5:AA304" type="list">
      <formula1>Lists!$CD$4:$CD$18</formula1>
      <formula2>0</formula2>
    </dataValidation>
    <dataValidation allowBlank="true" error="Pick a value from the list (add new values on the Lists sheet)." errorStyle="stop" errorTitle="Not in list" operator="between" showDropDown="false" showErrorMessage="false" showInputMessage="false" sqref="AB5:AB304" type="list">
      <formula1>Lists!$CJ$4:$CJ$19</formula1>
      <formula2>0</formula2>
    </dataValidation>
    <dataValidation allowBlank="true" error="Pick a value from the list (add new values on the Lists sheet)." errorStyle="stop" errorTitle="Not in list" operator="between" showDropDown="false" showErrorMessage="false" showInputMessage="false" sqref="AC5:AC304" type="list">
      <formula1>Lists!$BO$4:$BO$20</formula1>
      <formula2>0</formula2>
    </dataValidation>
    <dataValidation allowBlank="true" error="Pick a value from the list (add new values on the Lists sheet)." errorStyle="stop" errorTitle="Not in list" operator="between" showDropDown="false" showErrorMessage="false" showInputMessage="false" sqref="AG5:AG304" type="list">
      <formula1>Lists!$BU$4:$BU$27</formula1>
      <formula2>0</formula2>
    </dataValidation>
    <dataValidation allowBlank="true" error="Pick a value from the list (add new values on the Lists sheet)." errorStyle="stop" errorTitle="Not in list" operator="between" showDropDown="false" showErrorMessage="false" showInputMessage="false" sqref="AI5:AI304" type="list">
      <formula1>Lists!$BX$4:$BX$18</formula1>
      <formula2>0</formula2>
    </dataValidation>
    <dataValidation allowBlank="true" error="Pick a value from the list (add new values on the Lists sheet)." errorStyle="stop" errorTitle="Not in list" operator="between" showDropDown="false" showErrorMessage="false" showInputMessage="false" sqref="AN5:AN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AP5:AP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AQ5:AQ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X5:AX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Y5:AY304" type="list">
      <formula1>Lists!$BL$4:$BL$19</formula1>
      <formula2>0</formula2>
    </dataValidation>
    <dataValidation allowBlank="true" error="Pick a Project Ref from the Projects sheet (add the project there first)." errorStyle="stop" errorTitle="Not in list" operator="between" showDropDown="false" showErrorMessage="false" showInputMessage="false" sqref="BK5:BK304" type="list">
      <formula1>Projects!$A$5:$A$504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CD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54"/>
    <col collapsed="false" customWidth="true" hidden="false" outlineLevel="0" max="3" min="3" style="0" width="24"/>
    <col collapsed="false" customWidth="true" hidden="false" outlineLevel="0" max="4" min="4" style="0" width="26"/>
    <col collapsed="false" customWidth="true" hidden="false" outlineLevel="0" max="5" min="5" style="0" width="11"/>
    <col collapsed="false" customWidth="true" hidden="false" outlineLevel="0" max="6" min="6" style="0" width="10"/>
    <col collapsed="false" customWidth="true" hidden="false" outlineLevel="0" max="7" min="7" style="0" width="9"/>
    <col collapsed="false" customWidth="true" hidden="false" outlineLevel="0" max="8" min="8" style="0" width="8"/>
    <col collapsed="false" customWidth="true" hidden="false" outlineLevel="0" max="10" min="9" style="0" width="7"/>
    <col collapsed="false" customWidth="true" hidden="false" outlineLevel="0" max="11" min="11" style="0" width="8"/>
    <col collapsed="false" customWidth="true" hidden="false" outlineLevel="0" max="14" min="12" style="0" width="7"/>
    <col collapsed="false" customWidth="true" hidden="false" outlineLevel="0" max="15" min="15" style="0" width="16"/>
    <col collapsed="false" customWidth="true" hidden="false" outlineLevel="0" max="16" min="16" style="0" width="8"/>
    <col collapsed="false" customWidth="true" hidden="false" outlineLevel="0" max="17" min="17" style="0" width="10"/>
    <col collapsed="false" customWidth="true" hidden="false" outlineLevel="0" max="18" min="18" style="0" width="14"/>
    <col collapsed="false" customWidth="true" hidden="false" outlineLevel="0" max="19" min="19" style="0" width="12"/>
    <col collapsed="false" customWidth="true" hidden="false" outlineLevel="0" max="20" min="20" style="0" width="16"/>
    <col collapsed="false" customWidth="true" hidden="false" outlineLevel="0" max="21" min="21" style="0" width="14"/>
    <col collapsed="false" customWidth="true" hidden="false" outlineLevel="0" max="22" min="22" style="0" width="8"/>
    <col collapsed="false" customWidth="true" hidden="false" outlineLevel="0" max="23" min="23" style="0" width="14"/>
    <col collapsed="false" customWidth="true" hidden="false" outlineLevel="0" max="24" min="24" style="0" width="20"/>
    <col collapsed="false" customWidth="true" hidden="false" outlineLevel="0" max="25" min="25" style="0" width="7"/>
    <col collapsed="false" customWidth="true" hidden="false" outlineLevel="0" max="26" min="26" style="0" width="8"/>
    <col collapsed="false" customWidth="true" hidden="false" outlineLevel="0" max="27" min="27" style="0" width="6"/>
    <col collapsed="false" customWidth="true" hidden="false" outlineLevel="0" max="30" min="28" style="0" width="10"/>
    <col collapsed="false" customWidth="true" hidden="false" outlineLevel="0" max="31" min="31" style="0" width="16"/>
    <col collapsed="false" customWidth="true" hidden="false" outlineLevel="0" max="32" min="32" style="0" width="30"/>
    <col collapsed="false" customWidth="true" hidden="false" outlineLevel="0" max="34" min="33" style="0" width="7"/>
    <col collapsed="false" customWidth="true" hidden="false" outlineLevel="0" max="35" min="35" style="0" width="13"/>
    <col collapsed="false" customWidth="true" hidden="false" outlineLevel="0" max="36" min="36" style="0" width="7"/>
    <col collapsed="false" customWidth="true" hidden="false" outlineLevel="0" max="37" min="37" style="0" width="30"/>
    <col collapsed="false" customWidth="true" hidden="false" outlineLevel="0" max="38" min="38" style="0" width="28"/>
    <col collapsed="false" customWidth="true" hidden="false" outlineLevel="0" max="39" min="39" style="0" width="5"/>
    <col collapsed="false" customWidth="true" hidden="false" outlineLevel="0" max="40" min="40" style="0" width="10"/>
    <col collapsed="false" customWidth="true" hidden="false" outlineLevel="0" max="41" min="41" style="0" width="14"/>
    <col collapsed="false" customWidth="true" hidden="false" outlineLevel="0" max="42" min="42" style="0" width="8"/>
    <col collapsed="false" customWidth="true" hidden="false" outlineLevel="0" max="43" min="43" style="0" width="9"/>
    <col collapsed="false" customWidth="true" hidden="false" outlineLevel="0" max="44" min="44" style="0" width="46"/>
    <col collapsed="false" customWidth="true" hidden="false" outlineLevel="0" max="49" min="45" style="0" width="30"/>
    <col collapsed="false" customWidth="true" hidden="false" outlineLevel="0" max="50" min="50" style="0" width="9"/>
    <col collapsed="false" customWidth="true" hidden="false" outlineLevel="0" max="51" min="51" style="0" width="6"/>
    <col collapsed="false" customWidth="true" hidden="false" outlineLevel="0" max="56" min="52" style="0" width="9"/>
    <col collapsed="false" customWidth="true" hidden="false" outlineLevel="0" max="57" min="57" style="0" width="10"/>
    <col collapsed="false" customWidth="true" hidden="false" outlineLevel="0" max="58" min="58" style="0" width="22"/>
    <col collapsed="false" customWidth="true" hidden="false" outlineLevel="0" max="59" min="59" style="0" width="44"/>
    <col collapsed="false" customWidth="true" hidden="false" outlineLevel="0" max="60" min="60" style="0" width="36"/>
    <col collapsed="false" customWidth="true" hidden="false" outlineLevel="0" max="61" min="61" style="0" width="22"/>
    <col collapsed="false" customWidth="true" hidden="false" outlineLevel="0" max="62" min="62" style="0" width="11"/>
    <col collapsed="false" customWidth="true" hidden="false" outlineLevel="0" max="63" min="63" style="0" width="30"/>
    <col collapsed="false" customWidth="true" hidden="false" outlineLevel="0" max="64" min="64" style="0" width="10"/>
    <col collapsed="false" customWidth="true" hidden="false" outlineLevel="0" max="66" min="65" style="0" width="22"/>
    <col collapsed="false" customWidth="true" hidden="false" outlineLevel="0" max="70" min="67" style="0" width="11"/>
    <col collapsed="false" customWidth="true" hidden="false" outlineLevel="0" max="71" min="71" style="0" width="18"/>
    <col collapsed="false" customWidth="true" hidden="false" outlineLevel="0" max="72" min="72" style="0" width="11"/>
    <col collapsed="false" customWidth="true" hidden="false" outlineLevel="0" max="74" min="73" style="0" width="10"/>
    <col collapsed="false" customWidth="true" hidden="false" outlineLevel="0" max="78" min="75" style="0" width="11"/>
    <col collapsed="false" customWidth="true" hidden="false" outlineLevel="0" max="79" min="79" style="0" width="18"/>
    <col collapsed="false" customWidth="true" hidden="false" outlineLevel="0" max="80" min="80" style="0" width="9"/>
    <col collapsed="false" customWidth="true" hidden="false" outlineLevel="0" max="81" min="81" style="0" width="8"/>
    <col collapsed="false" customWidth="true" hidden="false" outlineLevel="0" max="82" min="82" style="0" width="40"/>
  </cols>
  <sheetData>
    <row r="1" customFormat="false" ht="17.35" hidden="false" customHeight="false" outlineLevel="0" collapsed="false">
      <c r="A1" s="5" t="s">
        <v>778</v>
      </c>
    </row>
    <row r="2" customFormat="false" ht="15" hidden="false" customHeight="false" outlineLevel="0" collapsed="false">
      <c r="A2" s="6" t="s">
        <v>779</v>
      </c>
    </row>
    <row r="3" customFormat="false" ht="15" hidden="false" customHeight="false" outlineLevel="0" collapsed="false">
      <c r="A3" s="6" t="s">
        <v>598</v>
      </c>
    </row>
    <row r="4" customFormat="false" ht="54" hidden="false" customHeight="true" outlineLevel="0" collapsed="false">
      <c r="A4" s="16" t="s">
        <v>102</v>
      </c>
      <c r="B4" s="16" t="s">
        <v>103</v>
      </c>
      <c r="C4" s="15" t="s">
        <v>279</v>
      </c>
      <c r="D4" s="15" t="s">
        <v>468</v>
      </c>
      <c r="E4" s="15" t="s">
        <v>469</v>
      </c>
      <c r="F4" s="15" t="s">
        <v>470</v>
      </c>
      <c r="G4" s="15" t="s">
        <v>471</v>
      </c>
      <c r="H4" s="15" t="s">
        <v>288</v>
      </c>
      <c r="I4" s="15" t="s">
        <v>472</v>
      </c>
      <c r="J4" s="15" t="s">
        <v>473</v>
      </c>
      <c r="K4" s="15" t="s">
        <v>474</v>
      </c>
      <c r="L4" s="15" t="s">
        <v>294</v>
      </c>
      <c r="M4" s="15" t="s">
        <v>295</v>
      </c>
      <c r="N4" s="15" t="s">
        <v>475</v>
      </c>
      <c r="O4" s="15" t="s">
        <v>476</v>
      </c>
      <c r="P4" s="15" t="s">
        <v>477</v>
      </c>
      <c r="Q4" s="15" t="s">
        <v>478</v>
      </c>
      <c r="R4" s="15" t="s">
        <v>479</v>
      </c>
      <c r="S4" s="15" t="s">
        <v>480</v>
      </c>
      <c r="T4" s="15" t="s">
        <v>481</v>
      </c>
      <c r="U4" s="15" t="s">
        <v>482</v>
      </c>
      <c r="V4" s="15" t="s">
        <v>483</v>
      </c>
      <c r="W4" s="15" t="s">
        <v>484</v>
      </c>
      <c r="X4" s="15" t="s">
        <v>81</v>
      </c>
      <c r="Y4" s="15" t="s">
        <v>317</v>
      </c>
      <c r="Z4" s="15" t="s">
        <v>298</v>
      </c>
      <c r="AA4" s="15" t="s">
        <v>301</v>
      </c>
      <c r="AB4" s="15" t="s">
        <v>485</v>
      </c>
      <c r="AC4" s="15" t="s">
        <v>486</v>
      </c>
      <c r="AD4" s="15" t="s">
        <v>487</v>
      </c>
      <c r="AE4" s="15" t="s">
        <v>488</v>
      </c>
      <c r="AF4" s="15" t="s">
        <v>489</v>
      </c>
      <c r="AG4" s="15" t="s">
        <v>320</v>
      </c>
      <c r="AH4" s="15" t="s">
        <v>322</v>
      </c>
      <c r="AI4" s="15" t="s">
        <v>325</v>
      </c>
      <c r="AJ4" s="15" t="s">
        <v>327</v>
      </c>
      <c r="AK4" s="15" t="s">
        <v>329</v>
      </c>
      <c r="AL4" s="15" t="s">
        <v>333</v>
      </c>
      <c r="AM4" s="15" t="s">
        <v>131</v>
      </c>
      <c r="AN4" s="15" t="s">
        <v>132</v>
      </c>
      <c r="AO4" s="15" t="s">
        <v>133</v>
      </c>
      <c r="AP4" s="15" t="s">
        <v>336</v>
      </c>
      <c r="AQ4" s="15" t="s">
        <v>341</v>
      </c>
      <c r="AR4" s="30" t="s">
        <v>343</v>
      </c>
      <c r="AS4" s="30" t="s">
        <v>344</v>
      </c>
      <c r="AT4" s="30" t="s">
        <v>345</v>
      </c>
      <c r="AU4" s="30" t="s">
        <v>346</v>
      </c>
      <c r="AV4" s="30" t="s">
        <v>347</v>
      </c>
      <c r="AW4" s="30" t="s">
        <v>348</v>
      </c>
      <c r="AX4" s="15" t="s">
        <v>349</v>
      </c>
      <c r="AY4" s="15" t="s">
        <v>351</v>
      </c>
      <c r="AZ4" s="17" t="s">
        <v>355</v>
      </c>
      <c r="BA4" s="17" t="s">
        <v>357</v>
      </c>
      <c r="BB4" s="17" t="s">
        <v>359</v>
      </c>
      <c r="BC4" s="17" t="s">
        <v>360</v>
      </c>
      <c r="BD4" s="17" t="s">
        <v>362</v>
      </c>
      <c r="BE4" s="16" t="s">
        <v>363</v>
      </c>
      <c r="BF4" s="16" t="s">
        <v>365</v>
      </c>
      <c r="BG4" s="16" t="s">
        <v>371</v>
      </c>
      <c r="BH4" s="15" t="s">
        <v>373</v>
      </c>
      <c r="BI4" s="15" t="s">
        <v>374</v>
      </c>
      <c r="BJ4" s="15" t="s">
        <v>375</v>
      </c>
      <c r="BK4" s="16" t="s">
        <v>378</v>
      </c>
      <c r="BL4" s="16" t="s">
        <v>379</v>
      </c>
      <c r="BM4" s="15" t="s">
        <v>380</v>
      </c>
      <c r="BN4" s="15" t="s">
        <v>382</v>
      </c>
      <c r="BO4" s="15" t="s">
        <v>384</v>
      </c>
      <c r="BP4" s="15" t="s">
        <v>386</v>
      </c>
      <c r="BQ4" s="15" t="s">
        <v>387</v>
      </c>
      <c r="BR4" s="15" t="s">
        <v>389</v>
      </c>
      <c r="BS4" s="15" t="s">
        <v>390</v>
      </c>
      <c r="BT4" s="15" t="s">
        <v>392</v>
      </c>
      <c r="BU4" s="15" t="s">
        <v>393</v>
      </c>
      <c r="BV4" s="15" t="s">
        <v>394</v>
      </c>
      <c r="BW4" s="15" t="s">
        <v>395</v>
      </c>
      <c r="BX4" s="15" t="s">
        <v>397</v>
      </c>
      <c r="BY4" s="15" t="s">
        <v>398</v>
      </c>
      <c r="BZ4" s="16" t="s">
        <v>400</v>
      </c>
      <c r="CA4" s="16" t="s">
        <v>402</v>
      </c>
      <c r="CB4" s="16" t="s">
        <v>404</v>
      </c>
      <c r="CC4" s="16" t="s">
        <v>406</v>
      </c>
      <c r="CD4" s="16" t="s">
        <v>409</v>
      </c>
    </row>
    <row r="5" customFormat="false" ht="15" hidden="false" customHeight="false" outlineLevel="0" collapsed="false">
      <c r="A5" s="10" t="str">
        <f aca="false">IF(D5="","","MH-"&amp;IFERROR(VLOOKUP(D5,Lists!$AB$4:$AC$20,2,0),"??")&amp;"-"&amp;TEXT(G5,"0000")&amp;IF(F5="Circular","D","x"&amp;TEXT(H5,"0000"))&amp;"-D"&amp;TEXT(J5*1000,"0000")&amp;"-"&amp;IFERROR(VLOOKUP(E5,Lists!$AE$4:$AF$16,2,0),"??")&amp;"-"&amp;AM5)</f>
        <v>MH-SM-1200x0900-D3000-C-A</v>
      </c>
      <c r="B5" s="10" t="str">
        <f aca="false">IF(D5="","",D5&amp;", "&amp;E5&amp;", "&amp;IF(F5="Circular",G5&amp;" dia",G5&amp;" x "&amp;H5)&amp;", depth "&amp;TEXT(I5,"0.0")&amp;"-"&amp;TEXT(J5,"0.0")&amp;" m, pipe up to "&amp;K5&amp;" dia")</f>
        <v>Standard Manhole (PUB 001C), Cast-in-situ, 1200 x 900, depth 1.5-3.0 m, pipe up to 300 dia</v>
      </c>
      <c r="C5" s="18" t="s">
        <v>780</v>
      </c>
      <c r="D5" s="18" t="s">
        <v>71</v>
      </c>
      <c r="E5" s="18" t="s">
        <v>781</v>
      </c>
      <c r="F5" s="18" t="s">
        <v>782</v>
      </c>
      <c r="G5" s="31" t="n">
        <v>1200</v>
      </c>
      <c r="H5" s="31" t="n">
        <v>900</v>
      </c>
      <c r="I5" s="41" t="n">
        <v>1.5</v>
      </c>
      <c r="J5" s="41" t="n">
        <v>3</v>
      </c>
      <c r="K5" s="31" t="n">
        <v>300</v>
      </c>
      <c r="L5" s="31" t="n">
        <v>200</v>
      </c>
      <c r="M5" s="31" t="n">
        <v>250</v>
      </c>
      <c r="N5" s="31" t="n">
        <v>200</v>
      </c>
      <c r="O5" s="18" t="s">
        <v>783</v>
      </c>
      <c r="P5" s="18" t="s">
        <v>656</v>
      </c>
      <c r="Q5" s="18" t="s">
        <v>784</v>
      </c>
      <c r="R5" s="18" t="s">
        <v>785</v>
      </c>
      <c r="S5" s="18" t="s">
        <v>786</v>
      </c>
      <c r="T5" s="18" t="s">
        <v>787</v>
      </c>
      <c r="U5" s="18"/>
      <c r="V5" s="41" t="n">
        <v>0</v>
      </c>
      <c r="W5" s="18" t="s">
        <v>786</v>
      </c>
      <c r="X5" s="18" t="s">
        <v>644</v>
      </c>
      <c r="Y5" s="32" t="n">
        <v>1.3</v>
      </c>
      <c r="Z5" s="18" t="s">
        <v>603</v>
      </c>
      <c r="AA5" s="31" t="n">
        <v>40</v>
      </c>
      <c r="AB5" s="18" t="s">
        <v>637</v>
      </c>
      <c r="AC5" s="18" t="s">
        <v>637</v>
      </c>
      <c r="AD5" s="18" t="s">
        <v>632</v>
      </c>
      <c r="AE5" s="18" t="s">
        <v>788</v>
      </c>
      <c r="AF5" s="18" t="s">
        <v>789</v>
      </c>
      <c r="AG5" s="18" t="s">
        <v>790</v>
      </c>
      <c r="AH5" s="31" t="n">
        <v>100</v>
      </c>
      <c r="AI5" s="18" t="s">
        <v>609</v>
      </c>
      <c r="AJ5" s="32" t="n">
        <v>0.3</v>
      </c>
      <c r="AK5" s="18" t="s">
        <v>791</v>
      </c>
      <c r="AL5" s="18" t="s">
        <v>792</v>
      </c>
      <c r="AM5" s="18" t="s">
        <v>612</v>
      </c>
      <c r="AN5" s="18" t="s">
        <v>254</v>
      </c>
      <c r="AO5" s="18" t="s">
        <v>793</v>
      </c>
      <c r="AP5" s="18" t="n">
        <v>25</v>
      </c>
      <c r="AQ5" s="18" t="s">
        <v>84</v>
      </c>
      <c r="AR5" s="10" t="str">
        <f aca="false">IF(A5="","",SG_Criteria!$B$6&amp;SG_Criteria!$B$10&amp;"\"&amp;A5&amp;"\")</f>
        <v>C:\Users\yourname\YourCompany\Design Library - Documents\04_Sewer_Manhole\MH-SM-1200x0900-D3000-C-A\</v>
      </c>
      <c r="AS5" s="10" t="str">
        <f aca="false">IF(A5="","",A5&amp;"_CAD.dwg")</f>
        <v>MH-SM-1200x0900-D3000-C-A_CAD.dwg</v>
      </c>
      <c r="AT5" s="10" t="str">
        <f aca="false">IF(A5="","",A5&amp;"_DWG.pdf")</f>
        <v>MH-SM-1200x0900-D3000-C-A_DWG.pdf</v>
      </c>
      <c r="AU5" s="10" t="str">
        <f aca="false">IF(A5="","",IF(AQ5="Y",A5&amp;"_STAAD.std","n/a"))</f>
        <v>n/a</v>
      </c>
      <c r="AV5" s="10" t="str">
        <f aca="false">IF(A5="","",A5&amp;"_CALC.xlsx")</f>
        <v>MH-SM-1200x0900-D3000-C-A_CALC.xlsx</v>
      </c>
      <c r="AW5" s="10" t="str">
        <f aca="false">IF(A5="","",A5&amp;"_CALC.pdf")</f>
        <v>MH-SM-1200x0900-D3000-C-A_CALC.pdf</v>
      </c>
      <c r="AX5" s="18" t="s">
        <v>84</v>
      </c>
      <c r="AY5" s="18" t="s">
        <v>673</v>
      </c>
      <c r="AZ5" s="32" t="n">
        <v>3.4</v>
      </c>
      <c r="BA5" s="32" t="n">
        <v>260</v>
      </c>
      <c r="BB5" s="32" t="n">
        <v>0</v>
      </c>
      <c r="BC5" s="32" t="n">
        <v>26</v>
      </c>
      <c r="BD5" s="32" t="n">
        <v>28</v>
      </c>
      <c r="BE5" s="12" t="str">
        <f aca="false">IF(A5="","",IF(COUNTIF(Rebar_Schedule!$A$5:$A$2004,A5)=0,"",ROUND(SUMIF(Rebar_Schedule!$A$5:$A$2004,A5,Rebar_Schedule!$K$5:$K$2004),1)))</f>
        <v/>
      </c>
      <c r="BF5" s="33" t="str">
        <f aca="false">IF(A5="","",IF(BE5="","No rebar schedule yet",IF(ABS(BE5-N(BA5))/MAX(N(BA5),1)&gt;SG_Criteria!$B$55,"NOTE: register rebar differs from schedule by "&amp;TEXT(ABS(BE5-N(BA5))/MAX(N(BA5),1),"0%"),"OK")))</f>
        <v>No rebar schedule yet</v>
      </c>
      <c r="BG5" s="33" t="str">
        <f aca="false">IF(D5="","",IF(LEN(IF(AND(Z5&lt;&gt;"",IFERROR(VALUE(MID(Z5,2,2)),0)&lt;SG_Criteria!$B$19),"FAIL: grade below C"&amp;SG_Criteria!$B$19&amp;". ","")&amp;IF(AND(AA5&lt;&gt;"",AA5&lt;SG_Criteria!$B$20),"FAIL: cover &lt; "&amp;SG_Criteria!$B$20&amp;" mm. ","")&amp;IF(AND(I5&lt;&gt;"",I5&lt;SG_Criteria!$B$39),"NOTE: min depth below PUB "&amp;SG_Criteria!$B$39&amp;" m. ","")&amp;IF(AND(LEFT(D5,8)="Standard",J5&gt;SG_Criteria!$B$42),"FAIL: PUB 001C covers manholes up to "&amp;SG_Criteria!$B$42&amp;" m deep only. ","")&amp;IF(AND(LEFT(D5,11)="Rectangular",K5&lt;SG_Criteria!$B$43),"NOTE: 004C is for sewers &gt;= "&amp;SG_Criteria!$B$43&amp;" dia. ","")&amp;IF(AND(LEFT(D5,7)="Precast",J5&lt;=SG_Criteria!$B$42),"NOTE: 006C is for manholes &gt; "&amp;SG_Criteria!$B$42&amp;" m deep. ","")&amp;IF(AND(K5&lt;&gt;"",K5&lt;SG_Criteria!$B$40,D5&lt;&gt;"Inspection Chamber"),"NOTE: public sewer min dia "&amp;SG_Criteria!$B$40&amp;" mm. ","")&amp;IF(AND(Y5&lt;&gt;"",Y5&lt;SG_Criteria!$B$44),"FAIL: uplift FOS below "&amp;SG_Criteria!$B$44&amp;". ",""))=0,"OK",IF(AND(Z5&lt;&gt;"",IFERROR(VALUE(MID(Z5,2,2)),0)&lt;SG_Criteria!$B$19),"FAIL: grade below C"&amp;SG_Criteria!$B$19&amp;". ","")&amp;IF(AND(AA5&lt;&gt;"",AA5&lt;SG_Criteria!$B$20),"FAIL: cover &lt; "&amp;SG_Criteria!$B$20&amp;" mm. ","")&amp;IF(AND(I5&lt;&gt;"",I5&lt;SG_Criteria!$B$39),"NOTE: min depth below PUB "&amp;SG_Criteria!$B$39&amp;" m. ","")&amp;IF(AND(LEFT(D5,8)="Standard",J5&gt;SG_Criteria!$B$42),"FAIL: PUB 001C covers manholes up to "&amp;SG_Criteria!$B$42&amp;" m deep only. ","")&amp;IF(AND(LEFT(D5,11)="Rectangular",K5&lt;SG_Criteria!$B$43),"NOTE: 004C is for sewers &gt;= "&amp;SG_Criteria!$B$43&amp;" dia. ","")&amp;IF(AND(LEFT(D5,7)="Precast",J5&lt;=SG_Criteria!$B$42),"NOTE: 006C is for manholes &gt; "&amp;SG_Criteria!$B$42&amp;" m deep. ","")&amp;IF(AND(K5&lt;&gt;"",K5&lt;SG_Criteria!$B$40,D5&lt;&gt;"Inspection Chamber"),"NOTE: public sewer min dia "&amp;SG_Criteria!$B$40&amp;" mm. ","")&amp;IF(AND(Y5&lt;&gt;"",Y5&lt;SG_Criteria!$B$44),"FAIL: uplift FOS below "&amp;SG_Criteria!$B$44&amp;". ","")))</f>
        <v>OK</v>
      </c>
      <c r="BH5" s="18" t="s">
        <v>794</v>
      </c>
      <c r="BI5" s="18"/>
      <c r="BJ5" s="18" t="s">
        <v>583</v>
      </c>
      <c r="BK5" s="10" t="str">
        <f aca="false">IF(BJ5="","",IFERROR(VLOOKUP(BJ5,Projects!$A$5:$D$504,2,0),"Ref not in Projects"))</f>
        <v>EXAMPLE Sewer renewal, Sector 12</v>
      </c>
      <c r="BL5" s="10" t="str">
        <f aca="false">IF(BJ5="","",IFERROR(VLOOKUP(BJ5,Projects!$A$5:$D$504,4,0),"Ref not in Projects"))</f>
        <v>PUB</v>
      </c>
      <c r="BM5" s="18" t="s">
        <v>795</v>
      </c>
      <c r="BN5" s="18" t="s">
        <v>616</v>
      </c>
      <c r="BO5" s="18" t="s">
        <v>617</v>
      </c>
      <c r="BP5" s="35" t="n">
        <v>46309</v>
      </c>
      <c r="BQ5" s="18" t="s">
        <v>617</v>
      </c>
      <c r="BR5" s="35" t="n">
        <v>46309</v>
      </c>
      <c r="BS5" s="18" t="s">
        <v>618</v>
      </c>
      <c r="BT5" s="35"/>
      <c r="BU5" s="18" t="s">
        <v>617</v>
      </c>
      <c r="BV5" s="18" t="s">
        <v>617</v>
      </c>
      <c r="BW5" s="18" t="s">
        <v>617</v>
      </c>
      <c r="BX5" s="35" t="n">
        <v>46309</v>
      </c>
      <c r="BY5" s="35" t="n">
        <v>46309</v>
      </c>
      <c r="BZ5" s="36" t="n">
        <f aca="false">IF(BY5="","",EDATE(BY5,SG_Criteria!$B$54*12))</f>
        <v>47405</v>
      </c>
      <c r="CA5" s="33" t="str">
        <f aca="true">IF(A5="","",IF(BY5="","NOTE: not reviewed yet",IF(TODAY()&gt;BZ5,"NOTE: review overdue","OK")))</f>
        <v>OK</v>
      </c>
      <c r="CB5" s="37" t="n">
        <f aca="false">IF(A5="","",ROUND((IF(LEN(D5)&gt;0,1,0)+IF(LEN(E5)&gt;0,1,0)+IF(LEN(F5)&gt;0,1,0)+IF(LEN(G5)&gt;0,1,0)+IF(LEN(I5)&gt;0,1,0)+IF(LEN(J5)&gt;0,1,0)+IF(LEN(K5)&gt;0,1,0)+IF(LEN(L5)&gt;0,1,0)+IF(LEN(M5)&gt;0,1,0)+IF(LEN(N5)&gt;0,1,0)+IF(LEN(Z5)&gt;0,1,0)+IF(LEN(AA5)&gt;0,1,0)+IF(LEN(Y5)&gt;0,1,0)+IF(LEN(AE5)&gt;0,1,0)+IF(LEN(AG5)&gt;0,1,0)+IF(LEN(AZ5)&gt;0,1,0)+IF(LEN(AK5)&gt;0,1,0)+IF(LEN(AM5)&gt;0,1,0)+IF(LEN(AN5)&gt;0,1,0)+IF(LEN(AO5)&gt;0,1,0)+IF(LEN(AP5)&gt;0,1,0)+IF(LEN(AY5)&gt;0,1,0)+IF(LEN(BJ5)&gt;0,1,0)+IF(LEN(BW5)&gt;0,1,0))/24,2))</f>
        <v>1</v>
      </c>
      <c r="CC5" s="10" t="str">
        <f aca="false">IF(D5="","",IF(AND(AN5="Approved",ISERROR(SEARCH("FAIL",BG5))),"Y","N"))</f>
        <v>Y</v>
      </c>
      <c r="CD5" s="10" t="str">
        <f aca="false">IF(D5="","",D5&amp;"|"&amp;J5&amp;"|"&amp;G5&amp;"|"&amp;CC5)</f>
        <v>Standard Manhole (PUB 001C)|3|1200|Y</v>
      </c>
    </row>
    <row r="6" customFormat="false" ht="15" hidden="false" customHeight="false" outlineLevel="0" collapsed="false">
      <c r="A6" s="10" t="str">
        <f aca="false">IF(D6="","","MH-"&amp;IFERROR(VLOOKUP(D6,Lists!$AB$4:$AC$20,2,0),"??")&amp;"-"&amp;TEXT(G6,"0000")&amp;IF(F6="Circular","D","x"&amp;TEXT(H6,"0000"))&amp;"-D"&amp;TEXT(J6*1000,"0000")&amp;"-"&amp;IFERROR(VLOOKUP(E6,Lists!$AE$4:$AF$16,2,0),"??")&amp;"-"&amp;AM6)</f>
        <v>MH-SM-1500x1200-D6000-C-A</v>
      </c>
      <c r="B6" s="10" t="str">
        <f aca="false">IF(D6="","",D6&amp;", "&amp;E6&amp;", "&amp;IF(F6="Circular",G6&amp;" dia",G6&amp;" x "&amp;H6)&amp;", depth "&amp;TEXT(I6,"0.0")&amp;"-"&amp;TEXT(J6,"0.0")&amp;" m, pipe up to "&amp;K6&amp;" dia")</f>
        <v>Standard Manhole (PUB 001C), Cast-in-situ, 1500 x 1200, depth 3.0-6.0 m, pipe up to 600 dia</v>
      </c>
      <c r="C6" s="18" t="s">
        <v>780</v>
      </c>
      <c r="D6" s="18" t="s">
        <v>71</v>
      </c>
      <c r="E6" s="18" t="s">
        <v>781</v>
      </c>
      <c r="F6" s="18" t="s">
        <v>782</v>
      </c>
      <c r="G6" s="31" t="n">
        <v>1500</v>
      </c>
      <c r="H6" s="31" t="n">
        <v>1200</v>
      </c>
      <c r="I6" s="41" t="n">
        <v>3</v>
      </c>
      <c r="J6" s="41" t="n">
        <v>6</v>
      </c>
      <c r="K6" s="31" t="n">
        <v>600</v>
      </c>
      <c r="L6" s="31" t="n">
        <v>250</v>
      </c>
      <c r="M6" s="31" t="n">
        <v>300</v>
      </c>
      <c r="N6" s="31" t="n">
        <v>250</v>
      </c>
      <c r="O6" s="18" t="s">
        <v>783</v>
      </c>
      <c r="P6" s="18" t="s">
        <v>656</v>
      </c>
      <c r="Q6" s="18" t="s">
        <v>796</v>
      </c>
      <c r="R6" s="18" t="s">
        <v>785</v>
      </c>
      <c r="S6" s="18" t="s">
        <v>786</v>
      </c>
      <c r="T6" s="18" t="s">
        <v>787</v>
      </c>
      <c r="U6" s="18"/>
      <c r="V6" s="41" t="n">
        <v>0</v>
      </c>
      <c r="W6" s="18" t="s">
        <v>786</v>
      </c>
      <c r="X6" s="18" t="s">
        <v>644</v>
      </c>
      <c r="Y6" s="32" t="n">
        <v>1.2</v>
      </c>
      <c r="Z6" s="18" t="s">
        <v>603</v>
      </c>
      <c r="AA6" s="31" t="n">
        <v>40</v>
      </c>
      <c r="AB6" s="18" t="s">
        <v>797</v>
      </c>
      <c r="AC6" s="18" t="s">
        <v>797</v>
      </c>
      <c r="AD6" s="18" t="s">
        <v>636</v>
      </c>
      <c r="AE6" s="18" t="s">
        <v>788</v>
      </c>
      <c r="AF6" s="18" t="s">
        <v>156</v>
      </c>
      <c r="AG6" s="18" t="s">
        <v>790</v>
      </c>
      <c r="AH6" s="31" t="n">
        <v>100</v>
      </c>
      <c r="AI6" s="18" t="s">
        <v>609</v>
      </c>
      <c r="AJ6" s="32" t="n">
        <v>0.3</v>
      </c>
      <c r="AK6" s="18" t="s">
        <v>791</v>
      </c>
      <c r="AL6" s="18" t="s">
        <v>792</v>
      </c>
      <c r="AM6" s="18" t="s">
        <v>612</v>
      </c>
      <c r="AN6" s="18" t="s">
        <v>254</v>
      </c>
      <c r="AO6" s="18" t="s">
        <v>798</v>
      </c>
      <c r="AP6" s="18" t="n">
        <v>25</v>
      </c>
      <c r="AQ6" s="18" t="s">
        <v>284</v>
      </c>
      <c r="AR6" s="10" t="str">
        <f aca="false">IF(A6="","",SG_Criteria!$B$6&amp;SG_Criteria!$B$10&amp;"\"&amp;A6&amp;"\")</f>
        <v>C:\Users\yourname\YourCompany\Design Library - Documents\04_Sewer_Manhole\MH-SM-1500x1200-D6000-C-A\</v>
      </c>
      <c r="AS6" s="10" t="str">
        <f aca="false">IF(A6="","",A6&amp;"_CAD.dwg")</f>
        <v>MH-SM-1500x1200-D6000-C-A_CAD.dwg</v>
      </c>
      <c r="AT6" s="10" t="str">
        <f aca="false">IF(A6="","",A6&amp;"_DWG.pdf")</f>
        <v>MH-SM-1500x1200-D6000-C-A_DWG.pdf</v>
      </c>
      <c r="AU6" s="10" t="str">
        <f aca="false">IF(A6="","",IF(AQ6="Y",A6&amp;"_STAAD.std","n/a"))</f>
        <v>MH-SM-1500x1200-D6000-C-A_STAAD.std</v>
      </c>
      <c r="AV6" s="10" t="str">
        <f aca="false">IF(A6="","",A6&amp;"_CALC.xlsx")</f>
        <v>MH-SM-1500x1200-D6000-C-A_CALC.xlsx</v>
      </c>
      <c r="AW6" s="10" t="str">
        <f aca="false">IF(A6="","",A6&amp;"_CALC.pdf")</f>
        <v>MH-SM-1500x1200-D6000-C-A_CALC.pdf</v>
      </c>
      <c r="AX6" s="18" t="s">
        <v>84</v>
      </c>
      <c r="AY6" s="18" t="s">
        <v>673</v>
      </c>
      <c r="AZ6" s="32" t="n">
        <v>9.8</v>
      </c>
      <c r="BA6" s="32" t="n">
        <v>820</v>
      </c>
      <c r="BB6" s="32" t="n">
        <v>0</v>
      </c>
      <c r="BC6" s="32" t="n">
        <v>62</v>
      </c>
      <c r="BD6" s="32" t="n">
        <v>92</v>
      </c>
      <c r="BE6" s="12" t="str">
        <f aca="false">IF(A6="","",IF(COUNTIF(Rebar_Schedule!$A$5:$A$2004,A6)=0,"",ROUND(SUMIF(Rebar_Schedule!$A$5:$A$2004,A6,Rebar_Schedule!$K$5:$K$2004),1)))</f>
        <v/>
      </c>
      <c r="BF6" s="33" t="str">
        <f aca="false">IF(A6="","",IF(BE6="","No rebar schedule yet",IF(ABS(BE6-N(BA6))/MAX(N(BA6),1)&gt;SG_Criteria!$B$55,"NOTE: register rebar differs from schedule by "&amp;TEXT(ABS(BE6-N(BA6))/MAX(N(BA6),1),"0%"),"OK")))</f>
        <v>No rebar schedule yet</v>
      </c>
      <c r="BG6" s="33" t="str">
        <f aca="false">IF(D6="","",IF(LEN(IF(AND(Z6&lt;&gt;"",IFERROR(VALUE(MID(Z6,2,2)),0)&lt;SG_Criteria!$B$19),"FAIL: grade below C"&amp;SG_Criteria!$B$19&amp;". ","")&amp;IF(AND(AA6&lt;&gt;"",AA6&lt;SG_Criteria!$B$20),"FAIL: cover &lt; "&amp;SG_Criteria!$B$20&amp;" mm. ","")&amp;IF(AND(I6&lt;&gt;"",I6&lt;SG_Criteria!$B$39),"NOTE: min depth below PUB "&amp;SG_Criteria!$B$39&amp;" m. ","")&amp;IF(AND(LEFT(D6,8)="Standard",J6&gt;SG_Criteria!$B$42),"FAIL: PUB 001C covers manholes up to "&amp;SG_Criteria!$B$42&amp;" m deep only. ","")&amp;IF(AND(LEFT(D6,11)="Rectangular",K6&lt;SG_Criteria!$B$43),"NOTE: 004C is for sewers &gt;= "&amp;SG_Criteria!$B$43&amp;" dia. ","")&amp;IF(AND(LEFT(D6,7)="Precast",J6&lt;=SG_Criteria!$B$42),"NOTE: 006C is for manholes &gt; "&amp;SG_Criteria!$B$42&amp;" m deep. ","")&amp;IF(AND(K6&lt;&gt;"",K6&lt;SG_Criteria!$B$40,D6&lt;&gt;"Inspection Chamber"),"NOTE: public sewer min dia "&amp;SG_Criteria!$B$40&amp;" mm. ","")&amp;IF(AND(Y6&lt;&gt;"",Y6&lt;SG_Criteria!$B$44),"FAIL: uplift FOS below "&amp;SG_Criteria!$B$44&amp;". ",""))=0,"OK",IF(AND(Z6&lt;&gt;"",IFERROR(VALUE(MID(Z6,2,2)),0)&lt;SG_Criteria!$B$19),"FAIL: grade below C"&amp;SG_Criteria!$B$19&amp;". ","")&amp;IF(AND(AA6&lt;&gt;"",AA6&lt;SG_Criteria!$B$20),"FAIL: cover &lt; "&amp;SG_Criteria!$B$20&amp;" mm. ","")&amp;IF(AND(I6&lt;&gt;"",I6&lt;SG_Criteria!$B$39),"NOTE: min depth below PUB "&amp;SG_Criteria!$B$39&amp;" m. ","")&amp;IF(AND(LEFT(D6,8)="Standard",J6&gt;SG_Criteria!$B$42),"FAIL: PUB 001C covers manholes up to "&amp;SG_Criteria!$B$42&amp;" m deep only. ","")&amp;IF(AND(LEFT(D6,11)="Rectangular",K6&lt;SG_Criteria!$B$43),"NOTE: 004C is for sewers &gt;= "&amp;SG_Criteria!$B$43&amp;" dia. ","")&amp;IF(AND(LEFT(D6,7)="Precast",J6&lt;=SG_Criteria!$B$42),"NOTE: 006C is for manholes &gt; "&amp;SG_Criteria!$B$42&amp;" m deep. ","")&amp;IF(AND(K6&lt;&gt;"",K6&lt;SG_Criteria!$B$40,D6&lt;&gt;"Inspection Chamber"),"NOTE: public sewer min dia "&amp;SG_Criteria!$B$40&amp;" mm. ","")&amp;IF(AND(Y6&lt;&gt;"",Y6&lt;SG_Criteria!$B$44),"FAIL: uplift FOS below "&amp;SG_Criteria!$B$44&amp;". ","")))</f>
        <v>OK</v>
      </c>
      <c r="BH6" s="18" t="s">
        <v>794</v>
      </c>
      <c r="BI6" s="18"/>
      <c r="BJ6" s="18" t="s">
        <v>583</v>
      </c>
      <c r="BK6" s="10" t="str">
        <f aca="false">IF(BJ6="","",IFERROR(VLOOKUP(BJ6,Projects!$A$5:$D$504,2,0),"Ref not in Projects"))</f>
        <v>EXAMPLE Sewer renewal, Sector 12</v>
      </c>
      <c r="BL6" s="10" t="str">
        <f aca="false">IF(BJ6="","",IFERROR(VLOOKUP(BJ6,Projects!$A$5:$D$504,4,0),"Ref not in Projects"))</f>
        <v>PUB</v>
      </c>
      <c r="BM6" s="18" t="s">
        <v>799</v>
      </c>
      <c r="BN6" s="18" t="s">
        <v>616</v>
      </c>
      <c r="BO6" s="18" t="s">
        <v>617</v>
      </c>
      <c r="BP6" s="35" t="n">
        <v>46309</v>
      </c>
      <c r="BQ6" s="18" t="s">
        <v>617</v>
      </c>
      <c r="BR6" s="35" t="n">
        <v>46309</v>
      </c>
      <c r="BS6" s="18" t="s">
        <v>618</v>
      </c>
      <c r="BT6" s="35"/>
      <c r="BU6" s="18" t="s">
        <v>617</v>
      </c>
      <c r="BV6" s="18" t="s">
        <v>617</v>
      </c>
      <c r="BW6" s="18" t="s">
        <v>617</v>
      </c>
      <c r="BX6" s="35" t="n">
        <v>46309</v>
      </c>
      <c r="BY6" s="35" t="n">
        <v>46309</v>
      </c>
      <c r="BZ6" s="36" t="n">
        <f aca="false">IF(BY6="","",EDATE(BY6,SG_Criteria!$B$54*12))</f>
        <v>47405</v>
      </c>
      <c r="CA6" s="33" t="str">
        <f aca="true">IF(A6="","",IF(BY6="","NOTE: not reviewed yet",IF(TODAY()&gt;BZ6,"NOTE: review overdue","OK")))</f>
        <v>OK</v>
      </c>
      <c r="CB6" s="37" t="n">
        <f aca="false">IF(A6="","",ROUND((IF(LEN(D6)&gt;0,1,0)+IF(LEN(E6)&gt;0,1,0)+IF(LEN(F6)&gt;0,1,0)+IF(LEN(G6)&gt;0,1,0)+IF(LEN(I6)&gt;0,1,0)+IF(LEN(J6)&gt;0,1,0)+IF(LEN(K6)&gt;0,1,0)+IF(LEN(L6)&gt;0,1,0)+IF(LEN(M6)&gt;0,1,0)+IF(LEN(N6)&gt;0,1,0)+IF(LEN(Z6)&gt;0,1,0)+IF(LEN(AA6)&gt;0,1,0)+IF(LEN(Y6)&gt;0,1,0)+IF(LEN(AE6)&gt;0,1,0)+IF(LEN(AG6)&gt;0,1,0)+IF(LEN(AZ6)&gt;0,1,0)+IF(LEN(AK6)&gt;0,1,0)+IF(LEN(AM6)&gt;0,1,0)+IF(LEN(AN6)&gt;0,1,0)+IF(LEN(AO6)&gt;0,1,0)+IF(LEN(AP6)&gt;0,1,0)+IF(LEN(AY6)&gt;0,1,0)+IF(LEN(BJ6)&gt;0,1,0)+IF(LEN(BW6)&gt;0,1,0))/24,2))</f>
        <v>1</v>
      </c>
      <c r="CC6" s="10" t="str">
        <f aca="false">IF(D6="","",IF(AND(AN6="Approved",ISERROR(SEARCH("FAIL",BG6))),"Y","N"))</f>
        <v>Y</v>
      </c>
      <c r="CD6" s="10" t="str">
        <f aca="false">IF(D6="","",D6&amp;"|"&amp;J6&amp;"|"&amp;G6&amp;"|"&amp;CC6)</f>
        <v>Standard Manhole (PUB 001C)|6|1500|Y</v>
      </c>
    </row>
    <row r="7" customFormat="false" ht="15" hidden="false" customHeight="false" outlineLevel="0" collapsed="false">
      <c r="A7" s="10" t="str">
        <f aca="false">IF(D7="","","MH-"&amp;IFERROR(VLOOKUP(D7,Lists!$AB$4:$AC$20,2,0),"??")&amp;"-"&amp;TEXT(G7,"0000")&amp;IF(F7="Circular","D","x"&amp;TEXT(H7,"0000"))&amp;"-D"&amp;TEXT(J7*1000,"0000")&amp;"-"&amp;IFERROR(VLOOKUP(E7,Lists!$AE$4:$AF$16,2,0),"??")&amp;"-"&amp;AM7)</f>
        <v>MH-RM-2400x1800-D6000-C-A</v>
      </c>
      <c r="B7" s="10" t="str">
        <f aca="false">IF(D7="","",D7&amp;", "&amp;E7&amp;", "&amp;IF(F7="Circular",G7&amp;" dia",G7&amp;" x "&amp;H7)&amp;", depth "&amp;TEXT(I7,"0.0")&amp;"-"&amp;TEXT(J7,"0.0")&amp;" m, pipe up to "&amp;K7&amp;" dia")</f>
        <v>Rectangular Manhole, sewer &gt;= 1000 dia (PUB 004C), Cast-in-situ, 2400 x 1800, depth 3.0-6.0 m, pipe up to 1200 dia</v>
      </c>
      <c r="C7" s="18" t="s">
        <v>780</v>
      </c>
      <c r="D7" s="18" t="s">
        <v>231</v>
      </c>
      <c r="E7" s="18" t="s">
        <v>781</v>
      </c>
      <c r="F7" s="18" t="s">
        <v>782</v>
      </c>
      <c r="G7" s="31" t="n">
        <v>2400</v>
      </c>
      <c r="H7" s="31" t="n">
        <v>1800</v>
      </c>
      <c r="I7" s="41" t="n">
        <v>3</v>
      </c>
      <c r="J7" s="41" t="n">
        <v>6</v>
      </c>
      <c r="K7" s="31" t="n">
        <v>1200</v>
      </c>
      <c r="L7" s="31" t="n">
        <v>300</v>
      </c>
      <c r="M7" s="31" t="n">
        <v>400</v>
      </c>
      <c r="N7" s="31" t="n">
        <v>300</v>
      </c>
      <c r="O7" s="18" t="s">
        <v>783</v>
      </c>
      <c r="P7" s="18" t="s">
        <v>656</v>
      </c>
      <c r="Q7" s="18" t="s">
        <v>796</v>
      </c>
      <c r="R7" s="18" t="s">
        <v>785</v>
      </c>
      <c r="S7" s="18" t="s">
        <v>786</v>
      </c>
      <c r="T7" s="18" t="s">
        <v>787</v>
      </c>
      <c r="U7" s="18"/>
      <c r="V7" s="41" t="n">
        <v>0</v>
      </c>
      <c r="W7" s="18" t="s">
        <v>786</v>
      </c>
      <c r="X7" s="18" t="s">
        <v>644</v>
      </c>
      <c r="Y7" s="32" t="n">
        <v>1.15</v>
      </c>
      <c r="Z7" s="18" t="s">
        <v>603</v>
      </c>
      <c r="AA7" s="31" t="n">
        <v>40</v>
      </c>
      <c r="AB7" s="18" t="s">
        <v>650</v>
      </c>
      <c r="AC7" s="18" t="s">
        <v>650</v>
      </c>
      <c r="AD7" s="18" t="s">
        <v>650</v>
      </c>
      <c r="AE7" s="18" t="s">
        <v>800</v>
      </c>
      <c r="AF7" s="18" t="s">
        <v>156</v>
      </c>
      <c r="AG7" s="18" t="s">
        <v>790</v>
      </c>
      <c r="AH7" s="31" t="n">
        <v>100</v>
      </c>
      <c r="AI7" s="18" t="s">
        <v>609</v>
      </c>
      <c r="AJ7" s="32" t="n">
        <v>0.3</v>
      </c>
      <c r="AK7" s="18" t="s">
        <v>791</v>
      </c>
      <c r="AL7" s="18" t="s">
        <v>792</v>
      </c>
      <c r="AM7" s="18" t="s">
        <v>612</v>
      </c>
      <c r="AN7" s="18" t="s">
        <v>254</v>
      </c>
      <c r="AO7" s="18" t="s">
        <v>801</v>
      </c>
      <c r="AP7" s="18" t="n">
        <v>50</v>
      </c>
      <c r="AQ7" s="18" t="s">
        <v>284</v>
      </c>
      <c r="AR7" s="10" t="str">
        <f aca="false">IF(A7="","",SG_Criteria!$B$6&amp;SG_Criteria!$B$10&amp;"\"&amp;A7&amp;"\")</f>
        <v>C:\Users\yourname\YourCompany\Design Library - Documents\04_Sewer_Manhole\MH-RM-2400x1800-D6000-C-A\</v>
      </c>
      <c r="AS7" s="10" t="str">
        <f aca="false">IF(A7="","",A7&amp;"_CAD.dwg")</f>
        <v>MH-RM-2400x1800-D6000-C-A_CAD.dwg</v>
      </c>
      <c r="AT7" s="10" t="str">
        <f aca="false">IF(A7="","",A7&amp;"_DWG.pdf")</f>
        <v>MH-RM-2400x1800-D6000-C-A_DWG.pdf</v>
      </c>
      <c r="AU7" s="10" t="str">
        <f aca="false">IF(A7="","",IF(AQ7="Y",A7&amp;"_STAAD.std","n/a"))</f>
        <v>MH-RM-2400x1800-D6000-C-A_STAAD.std</v>
      </c>
      <c r="AV7" s="10" t="str">
        <f aca="false">IF(A7="","",A7&amp;"_CALC.xlsx")</f>
        <v>MH-RM-2400x1800-D6000-C-A_CALC.xlsx</v>
      </c>
      <c r="AW7" s="10" t="str">
        <f aca="false">IF(A7="","",A7&amp;"_CALC.pdf")</f>
        <v>MH-RM-2400x1800-D6000-C-A_CALC.pdf</v>
      </c>
      <c r="AX7" s="18" t="s">
        <v>84</v>
      </c>
      <c r="AY7" s="18" t="s">
        <v>673</v>
      </c>
      <c r="AZ7" s="32" t="n">
        <v>19.5</v>
      </c>
      <c r="BA7" s="32" t="n">
        <v>1900</v>
      </c>
      <c r="BB7" s="32" t="n">
        <v>0</v>
      </c>
      <c r="BC7" s="32" t="n">
        <v>95</v>
      </c>
      <c r="BD7" s="32" t="n">
        <v>140</v>
      </c>
      <c r="BE7" s="12" t="str">
        <f aca="false">IF(A7="","",IF(COUNTIF(Rebar_Schedule!$A$5:$A$2004,A7)=0,"",ROUND(SUMIF(Rebar_Schedule!$A$5:$A$2004,A7,Rebar_Schedule!$K$5:$K$2004),1)))</f>
        <v/>
      </c>
      <c r="BF7" s="33" t="str">
        <f aca="false">IF(A7="","",IF(BE7="","No rebar schedule yet",IF(ABS(BE7-N(BA7))/MAX(N(BA7),1)&gt;SG_Criteria!$B$55,"NOTE: register rebar differs from schedule by "&amp;TEXT(ABS(BE7-N(BA7))/MAX(N(BA7),1),"0%"),"OK")))</f>
        <v>No rebar schedule yet</v>
      </c>
      <c r="BG7" s="33" t="str">
        <f aca="false">IF(D7="","",IF(LEN(IF(AND(Z7&lt;&gt;"",IFERROR(VALUE(MID(Z7,2,2)),0)&lt;SG_Criteria!$B$19),"FAIL: grade below C"&amp;SG_Criteria!$B$19&amp;". ","")&amp;IF(AND(AA7&lt;&gt;"",AA7&lt;SG_Criteria!$B$20),"FAIL: cover &lt; "&amp;SG_Criteria!$B$20&amp;" mm. ","")&amp;IF(AND(I7&lt;&gt;"",I7&lt;SG_Criteria!$B$39),"NOTE: min depth below PUB "&amp;SG_Criteria!$B$39&amp;" m. ","")&amp;IF(AND(LEFT(D7,8)="Standard",J7&gt;SG_Criteria!$B$42),"FAIL: PUB 001C covers manholes up to "&amp;SG_Criteria!$B$42&amp;" m deep only. ","")&amp;IF(AND(LEFT(D7,11)="Rectangular",K7&lt;SG_Criteria!$B$43),"NOTE: 004C is for sewers &gt;= "&amp;SG_Criteria!$B$43&amp;" dia. ","")&amp;IF(AND(LEFT(D7,7)="Precast",J7&lt;=SG_Criteria!$B$42),"NOTE: 006C is for manholes &gt; "&amp;SG_Criteria!$B$42&amp;" m deep. ","")&amp;IF(AND(K7&lt;&gt;"",K7&lt;SG_Criteria!$B$40,D7&lt;&gt;"Inspection Chamber"),"NOTE: public sewer min dia "&amp;SG_Criteria!$B$40&amp;" mm. ","")&amp;IF(AND(Y7&lt;&gt;"",Y7&lt;SG_Criteria!$B$44),"FAIL: uplift FOS below "&amp;SG_Criteria!$B$44&amp;". ",""))=0,"OK",IF(AND(Z7&lt;&gt;"",IFERROR(VALUE(MID(Z7,2,2)),0)&lt;SG_Criteria!$B$19),"FAIL: grade below C"&amp;SG_Criteria!$B$19&amp;". ","")&amp;IF(AND(AA7&lt;&gt;"",AA7&lt;SG_Criteria!$B$20),"FAIL: cover &lt; "&amp;SG_Criteria!$B$20&amp;" mm. ","")&amp;IF(AND(I7&lt;&gt;"",I7&lt;SG_Criteria!$B$39),"NOTE: min depth below PUB "&amp;SG_Criteria!$B$39&amp;" m. ","")&amp;IF(AND(LEFT(D7,8)="Standard",J7&gt;SG_Criteria!$B$42),"FAIL: PUB 001C covers manholes up to "&amp;SG_Criteria!$B$42&amp;" m deep only. ","")&amp;IF(AND(LEFT(D7,11)="Rectangular",K7&lt;SG_Criteria!$B$43),"NOTE: 004C is for sewers &gt;= "&amp;SG_Criteria!$B$43&amp;" dia. ","")&amp;IF(AND(LEFT(D7,7)="Precast",J7&lt;=SG_Criteria!$B$42),"NOTE: 006C is for manholes &gt; "&amp;SG_Criteria!$B$42&amp;" m deep. ","")&amp;IF(AND(K7&lt;&gt;"",K7&lt;SG_Criteria!$B$40,D7&lt;&gt;"Inspection Chamber"),"NOTE: public sewer min dia "&amp;SG_Criteria!$B$40&amp;" mm. ","")&amp;IF(AND(Y7&lt;&gt;"",Y7&lt;SG_Criteria!$B$44),"FAIL: uplift FOS below "&amp;SG_Criteria!$B$44&amp;". ","")))</f>
        <v>OK</v>
      </c>
      <c r="BH7" s="18" t="s">
        <v>621</v>
      </c>
      <c r="BI7" s="18"/>
      <c r="BJ7" s="18" t="s">
        <v>583</v>
      </c>
      <c r="BK7" s="10" t="str">
        <f aca="false">IF(BJ7="","",IFERROR(VLOOKUP(BJ7,Projects!$A$5:$D$504,2,0),"Ref not in Projects"))</f>
        <v>EXAMPLE Sewer renewal, Sector 12</v>
      </c>
      <c r="BL7" s="10" t="str">
        <f aca="false">IF(BJ7="","",IFERROR(VLOOKUP(BJ7,Projects!$A$5:$D$504,4,0),"Ref not in Projects"))</f>
        <v>PUB</v>
      </c>
      <c r="BM7" s="18" t="s">
        <v>802</v>
      </c>
      <c r="BN7" s="18" t="s">
        <v>616</v>
      </c>
      <c r="BO7" s="18" t="s">
        <v>617</v>
      </c>
      <c r="BP7" s="35" t="n">
        <v>46309</v>
      </c>
      <c r="BQ7" s="18" t="s">
        <v>617</v>
      </c>
      <c r="BR7" s="35" t="n">
        <v>46309</v>
      </c>
      <c r="BS7" s="18" t="s">
        <v>618</v>
      </c>
      <c r="BT7" s="35"/>
      <c r="BU7" s="18" t="s">
        <v>617</v>
      </c>
      <c r="BV7" s="18" t="s">
        <v>617</v>
      </c>
      <c r="BW7" s="18" t="s">
        <v>617</v>
      </c>
      <c r="BX7" s="35" t="n">
        <v>46309</v>
      </c>
      <c r="BY7" s="35" t="n">
        <v>46309</v>
      </c>
      <c r="BZ7" s="36" t="n">
        <f aca="false">IF(BY7="","",EDATE(BY7,SG_Criteria!$B$54*12))</f>
        <v>47405</v>
      </c>
      <c r="CA7" s="33" t="str">
        <f aca="true">IF(A7="","",IF(BY7="","NOTE: not reviewed yet",IF(TODAY()&gt;BZ7,"NOTE: review overdue","OK")))</f>
        <v>OK</v>
      </c>
      <c r="CB7" s="37" t="n">
        <f aca="false">IF(A7="","",ROUND((IF(LEN(D7)&gt;0,1,0)+IF(LEN(E7)&gt;0,1,0)+IF(LEN(F7)&gt;0,1,0)+IF(LEN(G7)&gt;0,1,0)+IF(LEN(I7)&gt;0,1,0)+IF(LEN(J7)&gt;0,1,0)+IF(LEN(K7)&gt;0,1,0)+IF(LEN(L7)&gt;0,1,0)+IF(LEN(M7)&gt;0,1,0)+IF(LEN(N7)&gt;0,1,0)+IF(LEN(Z7)&gt;0,1,0)+IF(LEN(AA7)&gt;0,1,0)+IF(LEN(Y7)&gt;0,1,0)+IF(LEN(AE7)&gt;0,1,0)+IF(LEN(AG7)&gt;0,1,0)+IF(LEN(AZ7)&gt;0,1,0)+IF(LEN(AK7)&gt;0,1,0)+IF(LEN(AM7)&gt;0,1,0)+IF(LEN(AN7)&gt;0,1,0)+IF(LEN(AO7)&gt;0,1,0)+IF(LEN(AP7)&gt;0,1,0)+IF(LEN(AY7)&gt;0,1,0)+IF(LEN(BJ7)&gt;0,1,0)+IF(LEN(BW7)&gt;0,1,0))/24,2))</f>
        <v>1</v>
      </c>
      <c r="CC7" s="10" t="str">
        <f aca="false">IF(D7="","",IF(AND(AN7="Approved",ISERROR(SEARCH("FAIL",BG7))),"Y","N"))</f>
        <v>Y</v>
      </c>
      <c r="CD7" s="10" t="str">
        <f aca="false">IF(D7="","",D7&amp;"|"&amp;J7&amp;"|"&amp;G7&amp;"|"&amp;CC7)</f>
        <v>Rectangular Manhole, sewer &gt;= 1000 dia (PUB 004C)|6|2400|Y</v>
      </c>
    </row>
    <row r="8" customFormat="false" ht="15" hidden="false" customHeight="false" outlineLevel="0" collapsed="false">
      <c r="A8" s="10" t="str">
        <f aca="false">IF(D8="","","MH-"&amp;IFERROR(VLOOKUP(D8,Lists!$AB$4:$AC$20,2,0),"??")&amp;"-"&amp;TEXT(G8,"0000")&amp;IF(F8="Circular","D","x"&amp;TEXT(H8,"0000"))&amp;"-D"&amp;TEXT(J8*1000,"0000")&amp;"-"&amp;IFERROR(VLOOKUP(E8,Lists!$AE$4:$AF$16,2,0),"??")&amp;"-"&amp;AM8)</f>
        <v>MH-PM-1800D-D10000-P-A</v>
      </c>
      <c r="B8" s="10" t="str">
        <f aca="false">IF(D8="","",D8&amp;", "&amp;E8&amp;", "&amp;IF(F8="Circular",G8&amp;" dia",G8&amp;" x "&amp;H8)&amp;", depth "&amp;TEXT(I8,"0.0")&amp;"-"&amp;TEXT(J8,"0.0")&amp;" m, pipe up to "&amp;K8&amp;" dia")</f>
        <v>Precast Manhole &gt; 6 m (PUB 006C), Precast, 1800 dia, depth 6.0-10.0 m, pipe up to 600 dia</v>
      </c>
      <c r="C8" s="18" t="s">
        <v>780</v>
      </c>
      <c r="D8" s="18" t="s">
        <v>232</v>
      </c>
      <c r="E8" s="18" t="s">
        <v>803</v>
      </c>
      <c r="F8" s="18" t="s">
        <v>804</v>
      </c>
      <c r="G8" s="31" t="n">
        <v>1800</v>
      </c>
      <c r="H8" s="31"/>
      <c r="I8" s="41" t="n">
        <v>6</v>
      </c>
      <c r="J8" s="41" t="n">
        <v>10</v>
      </c>
      <c r="K8" s="31" t="n">
        <v>600</v>
      </c>
      <c r="L8" s="31" t="n">
        <v>200</v>
      </c>
      <c r="M8" s="31" t="n">
        <v>400</v>
      </c>
      <c r="N8" s="31" t="n">
        <v>250</v>
      </c>
      <c r="O8" s="18" t="s">
        <v>783</v>
      </c>
      <c r="P8" s="18" t="s">
        <v>656</v>
      </c>
      <c r="Q8" s="18" t="s">
        <v>796</v>
      </c>
      <c r="R8" s="18" t="s">
        <v>785</v>
      </c>
      <c r="S8" s="18" t="s">
        <v>786</v>
      </c>
      <c r="T8" s="18" t="s">
        <v>787</v>
      </c>
      <c r="U8" s="18" t="s">
        <v>805</v>
      </c>
      <c r="V8" s="41" t="n">
        <v>0</v>
      </c>
      <c r="W8" s="18" t="s">
        <v>786</v>
      </c>
      <c r="X8" s="18" t="s">
        <v>644</v>
      </c>
      <c r="Y8" s="32" t="n">
        <v>1.25</v>
      </c>
      <c r="Z8" s="18" t="s">
        <v>603</v>
      </c>
      <c r="AA8" s="31" t="n">
        <v>40</v>
      </c>
      <c r="AB8" s="18" t="s">
        <v>806</v>
      </c>
      <c r="AC8" s="18" t="s">
        <v>650</v>
      </c>
      <c r="AD8" s="18" t="s">
        <v>636</v>
      </c>
      <c r="AE8" s="18" t="s">
        <v>807</v>
      </c>
      <c r="AF8" s="18" t="s">
        <v>808</v>
      </c>
      <c r="AG8" s="18" t="s">
        <v>790</v>
      </c>
      <c r="AH8" s="31" t="n">
        <v>100</v>
      </c>
      <c r="AI8" s="18" t="s">
        <v>609</v>
      </c>
      <c r="AJ8" s="32" t="n">
        <v>0.3</v>
      </c>
      <c r="AK8" s="18" t="s">
        <v>791</v>
      </c>
      <c r="AL8" s="18" t="s">
        <v>792</v>
      </c>
      <c r="AM8" s="18" t="s">
        <v>612</v>
      </c>
      <c r="AN8" s="18" t="s">
        <v>255</v>
      </c>
      <c r="AO8" s="18" t="s">
        <v>809</v>
      </c>
      <c r="AP8" s="18" t="n">
        <v>50</v>
      </c>
      <c r="AQ8" s="18" t="s">
        <v>284</v>
      </c>
      <c r="AR8" s="10" t="str">
        <f aca="false">IF(A8="","",SG_Criteria!$B$6&amp;SG_Criteria!$B$10&amp;"\"&amp;A8&amp;"\")</f>
        <v>C:\Users\yourname\YourCompany\Design Library - Documents\04_Sewer_Manhole\MH-PM-1800D-D10000-P-A\</v>
      </c>
      <c r="AS8" s="10" t="str">
        <f aca="false">IF(A8="","",A8&amp;"_CAD.dwg")</f>
        <v>MH-PM-1800D-D10000-P-A_CAD.dwg</v>
      </c>
      <c r="AT8" s="10" t="str">
        <f aca="false">IF(A8="","",A8&amp;"_DWG.pdf")</f>
        <v>MH-PM-1800D-D10000-P-A_DWG.pdf</v>
      </c>
      <c r="AU8" s="10" t="str">
        <f aca="false">IF(A8="","",IF(AQ8="Y",A8&amp;"_STAAD.std","n/a"))</f>
        <v>MH-PM-1800D-D10000-P-A_STAAD.std</v>
      </c>
      <c r="AV8" s="10" t="str">
        <f aca="false">IF(A8="","",A8&amp;"_CALC.xlsx")</f>
        <v>MH-PM-1800D-D10000-P-A_CALC.xlsx</v>
      </c>
      <c r="AW8" s="10" t="str">
        <f aca="false">IF(A8="","",A8&amp;"_CALC.pdf")</f>
        <v>MH-PM-1800D-D10000-P-A_CALC.pdf</v>
      </c>
      <c r="AX8" s="18" t="s">
        <v>84</v>
      </c>
      <c r="AY8" s="18" t="s">
        <v>673</v>
      </c>
      <c r="AZ8" s="32" t="n">
        <v>12</v>
      </c>
      <c r="BA8" s="32" t="n">
        <v>950</v>
      </c>
      <c r="BB8" s="32" t="n">
        <v>0</v>
      </c>
      <c r="BC8" s="32" t="n">
        <v>20</v>
      </c>
      <c r="BD8" s="32" t="n">
        <v>85</v>
      </c>
      <c r="BE8" s="12" t="str">
        <f aca="false">IF(A8="","",IF(COUNTIF(Rebar_Schedule!$A$5:$A$2004,A8)=0,"",ROUND(SUMIF(Rebar_Schedule!$A$5:$A$2004,A8,Rebar_Schedule!$K$5:$K$2004),1)))</f>
        <v/>
      </c>
      <c r="BF8" s="33" t="str">
        <f aca="false">IF(A8="","",IF(BE8="","No rebar schedule yet",IF(ABS(BE8-N(BA8))/MAX(N(BA8),1)&gt;SG_Criteria!$B$55,"NOTE: register rebar differs from schedule by "&amp;TEXT(ABS(BE8-N(BA8))/MAX(N(BA8),1),"0%"),"OK")))</f>
        <v>No rebar schedule yet</v>
      </c>
      <c r="BG8" s="33" t="str">
        <f aca="false">IF(D8="","",IF(LEN(IF(AND(Z8&lt;&gt;"",IFERROR(VALUE(MID(Z8,2,2)),0)&lt;SG_Criteria!$B$19),"FAIL: grade below C"&amp;SG_Criteria!$B$19&amp;". ","")&amp;IF(AND(AA8&lt;&gt;"",AA8&lt;SG_Criteria!$B$20),"FAIL: cover &lt; "&amp;SG_Criteria!$B$20&amp;" mm. ","")&amp;IF(AND(I8&lt;&gt;"",I8&lt;SG_Criteria!$B$39),"NOTE: min depth below PUB "&amp;SG_Criteria!$B$39&amp;" m. ","")&amp;IF(AND(LEFT(D8,8)="Standard",J8&gt;SG_Criteria!$B$42),"FAIL: PUB 001C covers manholes up to "&amp;SG_Criteria!$B$42&amp;" m deep only. ","")&amp;IF(AND(LEFT(D8,11)="Rectangular",K8&lt;SG_Criteria!$B$43),"NOTE: 004C is for sewers &gt;= "&amp;SG_Criteria!$B$43&amp;" dia. ","")&amp;IF(AND(LEFT(D8,7)="Precast",J8&lt;=SG_Criteria!$B$42),"NOTE: 006C is for manholes &gt; "&amp;SG_Criteria!$B$42&amp;" m deep. ","")&amp;IF(AND(K8&lt;&gt;"",K8&lt;SG_Criteria!$B$40,D8&lt;&gt;"Inspection Chamber"),"NOTE: public sewer min dia "&amp;SG_Criteria!$B$40&amp;" mm. ","")&amp;IF(AND(Y8&lt;&gt;"",Y8&lt;SG_Criteria!$B$44),"FAIL: uplift FOS below "&amp;SG_Criteria!$B$44&amp;". ",""))=0,"OK",IF(AND(Z8&lt;&gt;"",IFERROR(VALUE(MID(Z8,2,2)),0)&lt;SG_Criteria!$B$19),"FAIL: grade below C"&amp;SG_Criteria!$B$19&amp;". ","")&amp;IF(AND(AA8&lt;&gt;"",AA8&lt;SG_Criteria!$B$20),"FAIL: cover &lt; "&amp;SG_Criteria!$B$20&amp;" mm. ","")&amp;IF(AND(I8&lt;&gt;"",I8&lt;SG_Criteria!$B$39),"NOTE: min depth below PUB "&amp;SG_Criteria!$B$39&amp;" m. ","")&amp;IF(AND(LEFT(D8,8)="Standard",J8&gt;SG_Criteria!$B$42),"FAIL: PUB 001C covers manholes up to "&amp;SG_Criteria!$B$42&amp;" m deep only. ","")&amp;IF(AND(LEFT(D8,11)="Rectangular",K8&lt;SG_Criteria!$B$43),"NOTE: 004C is for sewers &gt;= "&amp;SG_Criteria!$B$43&amp;" dia. ","")&amp;IF(AND(LEFT(D8,7)="Precast",J8&lt;=SG_Criteria!$B$42),"NOTE: 006C is for manholes &gt; "&amp;SG_Criteria!$B$42&amp;" m deep. ","")&amp;IF(AND(K8&lt;&gt;"",K8&lt;SG_Criteria!$B$40,D8&lt;&gt;"Inspection Chamber"),"NOTE: public sewer min dia "&amp;SG_Criteria!$B$40&amp;" mm. ","")&amp;IF(AND(Y8&lt;&gt;"",Y8&lt;SG_Criteria!$B$44),"FAIL: uplift FOS below "&amp;SG_Criteria!$B$44&amp;". ","")))</f>
        <v>OK</v>
      </c>
      <c r="BH8" s="18" t="s">
        <v>639</v>
      </c>
      <c r="BI8" s="18"/>
      <c r="BJ8" s="18" t="s">
        <v>583</v>
      </c>
      <c r="BK8" s="10" t="str">
        <f aca="false">IF(BJ8="","",IFERROR(VLOOKUP(BJ8,Projects!$A$5:$D$504,2,0),"Ref not in Projects"))</f>
        <v>EXAMPLE Sewer renewal, Sector 12</v>
      </c>
      <c r="BL8" s="10" t="str">
        <f aca="false">IF(BJ8="","",IFERROR(VLOOKUP(BJ8,Projects!$A$5:$D$504,4,0),"Ref not in Projects"))</f>
        <v>PUB</v>
      </c>
      <c r="BM8" s="18" t="s">
        <v>810</v>
      </c>
      <c r="BN8" s="18" t="s">
        <v>616</v>
      </c>
      <c r="BO8" s="18" t="s">
        <v>617</v>
      </c>
      <c r="BP8" s="35" t="n">
        <v>46309</v>
      </c>
      <c r="BQ8" s="18" t="s">
        <v>617</v>
      </c>
      <c r="BR8" s="35" t="n">
        <v>46309</v>
      </c>
      <c r="BS8" s="18"/>
      <c r="BT8" s="35"/>
      <c r="BU8" s="18" t="s">
        <v>617</v>
      </c>
      <c r="BV8" s="18" t="s">
        <v>617</v>
      </c>
      <c r="BW8" s="18" t="s">
        <v>617</v>
      </c>
      <c r="BX8" s="35" t="n">
        <v>46309</v>
      </c>
      <c r="BY8" s="35" t="n">
        <v>46309</v>
      </c>
      <c r="BZ8" s="36" t="n">
        <f aca="false">IF(BY8="","",EDATE(BY8,SG_Criteria!$B$54*12))</f>
        <v>47405</v>
      </c>
      <c r="CA8" s="33" t="str">
        <f aca="true">IF(A8="","",IF(BY8="","NOTE: not reviewed yet",IF(TODAY()&gt;BZ8,"NOTE: review overdue","OK")))</f>
        <v>OK</v>
      </c>
      <c r="CB8" s="37" t="n">
        <f aca="false">IF(A8="","",ROUND((IF(LEN(D8)&gt;0,1,0)+IF(LEN(E8)&gt;0,1,0)+IF(LEN(F8)&gt;0,1,0)+IF(LEN(G8)&gt;0,1,0)+IF(LEN(I8)&gt;0,1,0)+IF(LEN(J8)&gt;0,1,0)+IF(LEN(K8)&gt;0,1,0)+IF(LEN(L8)&gt;0,1,0)+IF(LEN(M8)&gt;0,1,0)+IF(LEN(N8)&gt;0,1,0)+IF(LEN(Z8)&gt;0,1,0)+IF(LEN(AA8)&gt;0,1,0)+IF(LEN(Y8)&gt;0,1,0)+IF(LEN(AE8)&gt;0,1,0)+IF(LEN(AG8)&gt;0,1,0)+IF(LEN(AZ8)&gt;0,1,0)+IF(LEN(AK8)&gt;0,1,0)+IF(LEN(AM8)&gt;0,1,0)+IF(LEN(AN8)&gt;0,1,0)+IF(LEN(AO8)&gt;0,1,0)+IF(LEN(AP8)&gt;0,1,0)+IF(LEN(AY8)&gt;0,1,0)+IF(LEN(BJ8)&gt;0,1,0)+IF(LEN(BW8)&gt;0,1,0))/24,2))</f>
        <v>1</v>
      </c>
      <c r="CC8" s="10" t="str">
        <f aca="false">IF(D8="","",IF(AND(AN8="Approved",ISERROR(SEARCH("FAIL",BG8))),"Y","N"))</f>
        <v>N</v>
      </c>
      <c r="CD8" s="10" t="str">
        <f aca="false">IF(D8="","",D8&amp;"|"&amp;J8&amp;"|"&amp;G8&amp;"|"&amp;CC8)</f>
        <v>Precast Manhole &gt; 6 m (PUB 006C)|10|1800|N</v>
      </c>
    </row>
    <row r="9" customFormat="false" ht="15" hidden="false" customHeight="false" outlineLevel="0" collapsed="false">
      <c r="A9" s="10" t="str">
        <f aca="false">IF(D9="","","MH-"&amp;IFERROR(VLOOKUP(D9,Lists!$AB$4:$AC$20,2,0),"??")&amp;"-"&amp;TEXT(G9,"0000")&amp;IF(F9="Circular","D","x"&amp;TEXT(H9,"0000"))&amp;"-D"&amp;TEXT(J9*1000,"0000")&amp;"-"&amp;IFERROR(VLOOKUP(E9,Lists!$AE$4:$AF$16,2,0),"??")&amp;"-"&amp;AM9)</f>
        <v>MH-SM-1200x0900-D7500-C-A</v>
      </c>
      <c r="B9" s="10" t="str">
        <f aca="false">IF(D9="","",D9&amp;", "&amp;E9&amp;", "&amp;IF(F9="Circular",G9&amp;" dia",G9&amp;" x "&amp;H9)&amp;", depth "&amp;TEXT(I9,"0.0")&amp;"-"&amp;TEXT(J9,"0.0")&amp;" m, pipe up to "&amp;K9&amp;" dia")</f>
        <v>Standard Manhole (PUB 001C), Cast-in-situ, 1200 x 900, depth 1.5-7.5 m, pipe up to 300 dia</v>
      </c>
      <c r="C9" s="18" t="s">
        <v>780</v>
      </c>
      <c r="D9" s="18" t="s">
        <v>71</v>
      </c>
      <c r="E9" s="18" t="s">
        <v>781</v>
      </c>
      <c r="F9" s="18" t="s">
        <v>782</v>
      </c>
      <c r="G9" s="31" t="n">
        <v>1200</v>
      </c>
      <c r="H9" s="31" t="n">
        <v>900</v>
      </c>
      <c r="I9" s="41" t="n">
        <v>1.5</v>
      </c>
      <c r="J9" s="41" t="n">
        <v>7.5</v>
      </c>
      <c r="K9" s="31" t="n">
        <v>300</v>
      </c>
      <c r="L9" s="31" t="n">
        <v>200</v>
      </c>
      <c r="M9" s="31" t="n">
        <v>250</v>
      </c>
      <c r="N9" s="31" t="n">
        <v>200</v>
      </c>
      <c r="O9" s="18" t="s">
        <v>783</v>
      </c>
      <c r="P9" s="18" t="s">
        <v>656</v>
      </c>
      <c r="Q9" s="18" t="s">
        <v>784</v>
      </c>
      <c r="R9" s="18" t="s">
        <v>785</v>
      </c>
      <c r="S9" s="18" t="s">
        <v>786</v>
      </c>
      <c r="T9" s="18" t="s">
        <v>787</v>
      </c>
      <c r="U9" s="18"/>
      <c r="V9" s="41" t="n">
        <v>0</v>
      </c>
      <c r="W9" s="18" t="s">
        <v>786</v>
      </c>
      <c r="X9" s="18" t="s">
        <v>644</v>
      </c>
      <c r="Y9" s="32" t="n">
        <v>1.3</v>
      </c>
      <c r="Z9" s="18" t="s">
        <v>603</v>
      </c>
      <c r="AA9" s="31" t="n">
        <v>40</v>
      </c>
      <c r="AB9" s="18" t="s">
        <v>637</v>
      </c>
      <c r="AC9" s="18" t="s">
        <v>637</v>
      </c>
      <c r="AD9" s="18" t="s">
        <v>632</v>
      </c>
      <c r="AE9" s="18" t="s">
        <v>788</v>
      </c>
      <c r="AF9" s="18"/>
      <c r="AG9" s="18" t="s">
        <v>790</v>
      </c>
      <c r="AH9" s="31" t="n">
        <v>100</v>
      </c>
      <c r="AI9" s="18" t="s">
        <v>609</v>
      </c>
      <c r="AJ9" s="32" t="n">
        <v>0.3</v>
      </c>
      <c r="AK9" s="18" t="s">
        <v>791</v>
      </c>
      <c r="AL9" s="18" t="s">
        <v>792</v>
      </c>
      <c r="AM9" s="18" t="s">
        <v>612</v>
      </c>
      <c r="AN9" s="18" t="s">
        <v>256</v>
      </c>
      <c r="AO9" s="18" t="s">
        <v>811</v>
      </c>
      <c r="AP9" s="18" t="n">
        <v>25</v>
      </c>
      <c r="AQ9" s="18" t="s">
        <v>84</v>
      </c>
      <c r="AR9" s="10" t="str">
        <f aca="false">IF(A9="","",SG_Criteria!$B$6&amp;SG_Criteria!$B$10&amp;"\"&amp;A9&amp;"\")</f>
        <v>C:\Users\yourname\YourCompany\Design Library - Documents\04_Sewer_Manhole\MH-SM-1200x0900-D7500-C-A\</v>
      </c>
      <c r="AS9" s="10" t="str">
        <f aca="false">IF(A9="","",A9&amp;"_CAD.dwg")</f>
        <v>MH-SM-1200x0900-D7500-C-A_CAD.dwg</v>
      </c>
      <c r="AT9" s="10" t="str">
        <f aca="false">IF(A9="","",A9&amp;"_DWG.pdf")</f>
        <v>MH-SM-1200x0900-D7500-C-A_DWG.pdf</v>
      </c>
      <c r="AU9" s="10" t="str">
        <f aca="false">IF(A9="","",IF(AQ9="Y",A9&amp;"_STAAD.std","n/a"))</f>
        <v>n/a</v>
      </c>
      <c r="AV9" s="10" t="str">
        <f aca="false">IF(A9="","",A9&amp;"_CALC.xlsx")</f>
        <v>MH-SM-1200x0900-D7500-C-A_CALC.xlsx</v>
      </c>
      <c r="AW9" s="10" t="str">
        <f aca="false">IF(A9="","",A9&amp;"_CALC.pdf")</f>
        <v>MH-SM-1200x0900-D7500-C-A_CALC.pdf</v>
      </c>
      <c r="AX9" s="18" t="s">
        <v>84</v>
      </c>
      <c r="AY9" s="18" t="s">
        <v>673</v>
      </c>
      <c r="AZ9" s="32" t="n">
        <v>5</v>
      </c>
      <c r="BA9" s="32" t="n">
        <v>380</v>
      </c>
      <c r="BB9" s="32" t="n">
        <v>0</v>
      </c>
      <c r="BC9" s="32" t="n">
        <v>40</v>
      </c>
      <c r="BD9" s="32" t="n">
        <v>60</v>
      </c>
      <c r="BE9" s="12" t="str">
        <f aca="false">IF(A9="","",IF(COUNTIF(Rebar_Schedule!$A$5:$A$2004,A9)=0,"",ROUND(SUMIF(Rebar_Schedule!$A$5:$A$2004,A9,Rebar_Schedule!$K$5:$K$2004),1)))</f>
        <v/>
      </c>
      <c r="BF9" s="33" t="str">
        <f aca="false">IF(A9="","",IF(BE9="","No rebar schedule yet",IF(ABS(BE9-N(BA9))/MAX(N(BA9),1)&gt;SG_Criteria!$B$55,"NOTE: register rebar differs from schedule by "&amp;TEXT(ABS(BE9-N(BA9))/MAX(N(BA9),1),"0%"),"OK")))</f>
        <v>No rebar schedule yet</v>
      </c>
      <c r="BG9" s="33" t="str">
        <f aca="false">IF(D9="","",IF(LEN(IF(AND(Z9&lt;&gt;"",IFERROR(VALUE(MID(Z9,2,2)),0)&lt;SG_Criteria!$B$19),"FAIL: grade below C"&amp;SG_Criteria!$B$19&amp;". ","")&amp;IF(AND(AA9&lt;&gt;"",AA9&lt;SG_Criteria!$B$20),"FAIL: cover &lt; "&amp;SG_Criteria!$B$20&amp;" mm. ","")&amp;IF(AND(I9&lt;&gt;"",I9&lt;SG_Criteria!$B$39),"NOTE: min depth below PUB "&amp;SG_Criteria!$B$39&amp;" m. ","")&amp;IF(AND(LEFT(D9,8)="Standard",J9&gt;SG_Criteria!$B$42),"FAIL: PUB 001C covers manholes up to "&amp;SG_Criteria!$B$42&amp;" m deep only. ","")&amp;IF(AND(LEFT(D9,11)="Rectangular",K9&lt;SG_Criteria!$B$43),"NOTE: 004C is for sewers &gt;= "&amp;SG_Criteria!$B$43&amp;" dia. ","")&amp;IF(AND(LEFT(D9,7)="Precast",J9&lt;=SG_Criteria!$B$42),"NOTE: 006C is for manholes &gt; "&amp;SG_Criteria!$B$42&amp;" m deep. ","")&amp;IF(AND(K9&lt;&gt;"",K9&lt;SG_Criteria!$B$40,D9&lt;&gt;"Inspection Chamber"),"NOTE: public sewer min dia "&amp;SG_Criteria!$B$40&amp;" mm. ","")&amp;IF(AND(Y9&lt;&gt;"",Y9&lt;SG_Criteria!$B$44),"FAIL: uplift FOS below "&amp;SG_Criteria!$B$44&amp;". ",""))=0,"OK",IF(AND(Z9&lt;&gt;"",IFERROR(VALUE(MID(Z9,2,2)),0)&lt;SG_Criteria!$B$19),"FAIL: grade below C"&amp;SG_Criteria!$B$19&amp;". ","")&amp;IF(AND(AA9&lt;&gt;"",AA9&lt;SG_Criteria!$B$20),"FAIL: cover &lt; "&amp;SG_Criteria!$B$20&amp;" mm. ","")&amp;IF(AND(I9&lt;&gt;"",I9&lt;SG_Criteria!$B$39),"NOTE: min depth below PUB "&amp;SG_Criteria!$B$39&amp;" m. ","")&amp;IF(AND(LEFT(D9,8)="Standard",J9&gt;SG_Criteria!$B$42),"FAIL: PUB 001C covers manholes up to "&amp;SG_Criteria!$B$42&amp;" m deep only. ","")&amp;IF(AND(LEFT(D9,11)="Rectangular",K9&lt;SG_Criteria!$B$43),"NOTE: 004C is for sewers &gt;= "&amp;SG_Criteria!$B$43&amp;" dia. ","")&amp;IF(AND(LEFT(D9,7)="Precast",J9&lt;=SG_Criteria!$B$42),"NOTE: 006C is for manholes &gt; "&amp;SG_Criteria!$B$42&amp;" m deep. ","")&amp;IF(AND(K9&lt;&gt;"",K9&lt;SG_Criteria!$B$40,D9&lt;&gt;"Inspection Chamber"),"NOTE: public sewer min dia "&amp;SG_Criteria!$B$40&amp;" mm. ","")&amp;IF(AND(Y9&lt;&gt;"",Y9&lt;SG_Criteria!$B$44),"FAIL: uplift FOS below "&amp;SG_Criteria!$B$44&amp;". ","")))</f>
        <v>FAIL: PUB 001C covers manholes up to 6 m deep only. </v>
      </c>
      <c r="BH9" s="18" t="s">
        <v>812</v>
      </c>
      <c r="BI9" s="18"/>
      <c r="BJ9" s="18" t="s">
        <v>583</v>
      </c>
      <c r="BK9" s="10" t="str">
        <f aca="false">IF(BJ9="","",IFERROR(VLOOKUP(BJ9,Projects!$A$5:$D$504,2,0),"Ref not in Projects"))</f>
        <v>EXAMPLE Sewer renewal, Sector 12</v>
      </c>
      <c r="BL9" s="10" t="str">
        <f aca="false">IF(BJ9="","",IFERROR(VLOOKUP(BJ9,Projects!$A$5:$D$504,4,0),"Ref not in Projects"))</f>
        <v>PUB</v>
      </c>
      <c r="BM9" s="18" t="s">
        <v>813</v>
      </c>
      <c r="BN9" s="18" t="s">
        <v>616</v>
      </c>
      <c r="BO9" s="18" t="s">
        <v>617</v>
      </c>
      <c r="BP9" s="35" t="n">
        <v>46309</v>
      </c>
      <c r="BQ9" s="18" t="s">
        <v>617</v>
      </c>
      <c r="BR9" s="35" t="n">
        <v>46309</v>
      </c>
      <c r="BS9" s="18"/>
      <c r="BT9" s="35"/>
      <c r="BU9" s="18" t="s">
        <v>617</v>
      </c>
      <c r="BV9" s="18" t="s">
        <v>617</v>
      </c>
      <c r="BW9" s="18" t="s">
        <v>617</v>
      </c>
      <c r="BX9" s="35" t="n">
        <v>46309</v>
      </c>
      <c r="BY9" s="35" t="n">
        <v>46309</v>
      </c>
      <c r="BZ9" s="36" t="n">
        <f aca="false">IF(BY9="","",EDATE(BY9,SG_Criteria!$B$54*12))</f>
        <v>47405</v>
      </c>
      <c r="CA9" s="33" t="str">
        <f aca="true">IF(A9="","",IF(BY9="","NOTE: not reviewed yet",IF(TODAY()&gt;BZ9,"NOTE: review overdue","OK")))</f>
        <v>OK</v>
      </c>
      <c r="CB9" s="37" t="n">
        <f aca="false">IF(A9="","",ROUND((IF(LEN(D9)&gt;0,1,0)+IF(LEN(E9)&gt;0,1,0)+IF(LEN(F9)&gt;0,1,0)+IF(LEN(G9)&gt;0,1,0)+IF(LEN(I9)&gt;0,1,0)+IF(LEN(J9)&gt;0,1,0)+IF(LEN(K9)&gt;0,1,0)+IF(LEN(L9)&gt;0,1,0)+IF(LEN(M9)&gt;0,1,0)+IF(LEN(N9)&gt;0,1,0)+IF(LEN(Z9)&gt;0,1,0)+IF(LEN(AA9)&gt;0,1,0)+IF(LEN(Y9)&gt;0,1,0)+IF(LEN(AE9)&gt;0,1,0)+IF(LEN(AG9)&gt;0,1,0)+IF(LEN(AZ9)&gt;0,1,0)+IF(LEN(AK9)&gt;0,1,0)+IF(LEN(AM9)&gt;0,1,0)+IF(LEN(AN9)&gt;0,1,0)+IF(LEN(AO9)&gt;0,1,0)+IF(LEN(AP9)&gt;0,1,0)+IF(LEN(AY9)&gt;0,1,0)+IF(LEN(BJ9)&gt;0,1,0)+IF(LEN(BW9)&gt;0,1,0))/24,2))</f>
        <v>1</v>
      </c>
      <c r="CC9" s="10" t="str">
        <f aca="false">IF(D9="","",IF(AND(AN9="Approved",ISERROR(SEARCH("FAIL",BG9))),"Y","N"))</f>
        <v>N</v>
      </c>
      <c r="CD9" s="10" t="str">
        <f aca="false">IF(D9="","",D9&amp;"|"&amp;J9&amp;"|"&amp;G9&amp;"|"&amp;CC9)</f>
        <v>Standard Manhole (PUB 001C)|7.5|1200|N</v>
      </c>
    </row>
    <row r="10" customFormat="false" ht="15" hidden="false" customHeight="false" outlineLevel="0" collapsed="false">
      <c r="A10" s="10" t="str">
        <f aca="false">IF(D10="","","MH-"&amp;IFERROR(VLOOKUP(D10,Lists!$AB$4:$AC$20,2,0),"??")&amp;"-"&amp;TEXT(G10,"0000")&amp;IF(F10="Circular","D","x"&amp;TEXT(H10,"0000"))&amp;"-D"&amp;TEXT(J10*1000,"0000")&amp;"-"&amp;IFERROR(VLOOKUP(E10,Lists!$AE$4:$AF$16,2,0),"??")&amp;"-"&amp;AM10)</f>
        <v/>
      </c>
      <c r="B10" s="10" t="str">
        <f aca="false">IF(D10="","",D10&amp;", "&amp;E10&amp;", "&amp;IF(F10="Circular",G10&amp;" dia",G10&amp;" x "&amp;H10)&amp;", depth "&amp;TEXT(I10,"0.0")&amp;"-"&amp;TEXT(J10,"0.0")&amp;" m, pipe up to "&amp;K10&amp;" dia")</f>
        <v/>
      </c>
      <c r="C10" s="9"/>
      <c r="D10" s="9"/>
      <c r="E10" s="9"/>
      <c r="F10" s="9"/>
      <c r="G10" s="38"/>
      <c r="H10" s="38"/>
      <c r="I10" s="42"/>
      <c r="J10" s="42"/>
      <c r="K10" s="38"/>
      <c r="L10" s="38"/>
      <c r="M10" s="38"/>
      <c r="N10" s="38"/>
      <c r="O10" s="9"/>
      <c r="P10" s="9"/>
      <c r="Q10" s="9"/>
      <c r="R10" s="9"/>
      <c r="S10" s="9"/>
      <c r="T10" s="9"/>
      <c r="U10" s="9"/>
      <c r="V10" s="42"/>
      <c r="W10" s="9"/>
      <c r="X10" s="9"/>
      <c r="Y10" s="39"/>
      <c r="Z10" s="9"/>
      <c r="AA10" s="38"/>
      <c r="AB10" s="9"/>
      <c r="AC10" s="9"/>
      <c r="AD10" s="9"/>
      <c r="AE10" s="9"/>
      <c r="AF10" s="9"/>
      <c r="AG10" s="9"/>
      <c r="AH10" s="38"/>
      <c r="AI10" s="9"/>
      <c r="AJ10" s="39"/>
      <c r="AK10" s="9"/>
      <c r="AL10" s="9"/>
      <c r="AM10" s="9"/>
      <c r="AN10" s="9"/>
      <c r="AO10" s="9"/>
      <c r="AP10" s="9"/>
      <c r="AQ10" s="9"/>
      <c r="AR10" s="10" t="str">
        <f aca="false">IF(A10="","",SG_Criteria!$B$6&amp;SG_Criteria!$B$10&amp;"\"&amp;A10&amp;"\")</f>
        <v/>
      </c>
      <c r="AS10" s="10" t="str">
        <f aca="false">IF(A10="","",A10&amp;"_CAD.dwg")</f>
        <v/>
      </c>
      <c r="AT10" s="10" t="str">
        <f aca="false">IF(A10="","",A10&amp;"_DWG.pdf")</f>
        <v/>
      </c>
      <c r="AU10" s="10" t="str">
        <f aca="false">IF(A10="","",IF(AQ10="Y",A10&amp;"_STAAD.std","n/a"))</f>
        <v/>
      </c>
      <c r="AV10" s="10" t="str">
        <f aca="false">IF(A10="","",A10&amp;"_CALC.xlsx")</f>
        <v/>
      </c>
      <c r="AW10" s="10" t="str">
        <f aca="false">IF(A10="","",A10&amp;"_CALC.pdf")</f>
        <v/>
      </c>
      <c r="AX10" s="9"/>
      <c r="AY10" s="9"/>
      <c r="AZ10" s="39"/>
      <c r="BA10" s="39"/>
      <c r="BB10" s="39"/>
      <c r="BC10" s="39"/>
      <c r="BD10" s="39"/>
      <c r="BE10" s="12" t="str">
        <f aca="false">IF(A10="","",IF(COUNTIF(Rebar_Schedule!$A$5:$A$2004,A10)=0,"",ROUND(SUMIF(Rebar_Schedule!$A$5:$A$2004,A10,Rebar_Schedule!$K$5:$K$2004),1)))</f>
        <v/>
      </c>
      <c r="BF10" s="33" t="str">
        <f aca="false">IF(A10="","",IF(BE10="","No rebar schedule yet",IF(ABS(BE10-N(BA10))/MAX(N(BA10),1)&gt;SG_Criteria!$B$55,"NOTE: register rebar differs from schedule by "&amp;TEXT(ABS(BE10-N(BA10))/MAX(N(BA10),1),"0%"),"OK")))</f>
        <v/>
      </c>
      <c r="BG10" s="33" t="str">
        <f aca="false">IF(D10="","",IF(LEN(IF(AND(Z10&lt;&gt;"",IFERROR(VALUE(MID(Z10,2,2)),0)&lt;SG_Criteria!$B$19),"FAIL: grade below C"&amp;SG_Criteria!$B$19&amp;". ","")&amp;IF(AND(AA10&lt;&gt;"",AA10&lt;SG_Criteria!$B$20),"FAIL: cover &lt; "&amp;SG_Criteria!$B$20&amp;" mm. ","")&amp;IF(AND(I10&lt;&gt;"",I10&lt;SG_Criteria!$B$39),"NOTE: min depth below PUB "&amp;SG_Criteria!$B$39&amp;" m. ","")&amp;IF(AND(LEFT(D10,8)="Standard",J10&gt;SG_Criteria!$B$42),"FAIL: PUB 001C covers manholes up to "&amp;SG_Criteria!$B$42&amp;" m deep only. ","")&amp;IF(AND(LEFT(D10,11)="Rectangular",K10&lt;SG_Criteria!$B$43),"NOTE: 004C is for sewers &gt;= "&amp;SG_Criteria!$B$43&amp;" dia. ","")&amp;IF(AND(LEFT(D10,7)="Precast",J10&lt;=SG_Criteria!$B$42),"NOTE: 006C is for manholes &gt; "&amp;SG_Criteria!$B$42&amp;" m deep. ","")&amp;IF(AND(K10&lt;&gt;"",K10&lt;SG_Criteria!$B$40,D10&lt;&gt;"Inspection Chamber"),"NOTE: public sewer min dia "&amp;SG_Criteria!$B$40&amp;" mm. ","")&amp;IF(AND(Y10&lt;&gt;"",Y10&lt;SG_Criteria!$B$44),"FAIL: uplift FOS below "&amp;SG_Criteria!$B$44&amp;". ",""))=0,"OK",IF(AND(Z10&lt;&gt;"",IFERROR(VALUE(MID(Z10,2,2)),0)&lt;SG_Criteria!$B$19),"FAIL: grade below C"&amp;SG_Criteria!$B$19&amp;". ","")&amp;IF(AND(AA10&lt;&gt;"",AA10&lt;SG_Criteria!$B$20),"FAIL: cover &lt; "&amp;SG_Criteria!$B$20&amp;" mm. ","")&amp;IF(AND(I10&lt;&gt;"",I10&lt;SG_Criteria!$B$39),"NOTE: min depth below PUB "&amp;SG_Criteria!$B$39&amp;" m. ","")&amp;IF(AND(LEFT(D10,8)="Standard",J10&gt;SG_Criteria!$B$42),"FAIL: PUB 001C covers manholes up to "&amp;SG_Criteria!$B$42&amp;" m deep only. ","")&amp;IF(AND(LEFT(D10,11)="Rectangular",K10&lt;SG_Criteria!$B$43),"NOTE: 004C is for sewers &gt;= "&amp;SG_Criteria!$B$43&amp;" dia. ","")&amp;IF(AND(LEFT(D10,7)="Precast",J10&lt;=SG_Criteria!$B$42),"NOTE: 006C is for manholes &gt; "&amp;SG_Criteria!$B$42&amp;" m deep. ","")&amp;IF(AND(K10&lt;&gt;"",K10&lt;SG_Criteria!$B$40,D10&lt;&gt;"Inspection Chamber"),"NOTE: public sewer min dia "&amp;SG_Criteria!$B$40&amp;" mm. ","")&amp;IF(AND(Y10&lt;&gt;"",Y10&lt;SG_Criteria!$B$44),"FAIL: uplift FOS below "&amp;SG_Criteria!$B$44&amp;". ","")))</f>
        <v/>
      </c>
      <c r="BH10" s="9"/>
      <c r="BI10" s="9"/>
      <c r="BJ10" s="9"/>
      <c r="BK10" s="10" t="str">
        <f aca="false">IF(BJ10="","",IFERROR(VLOOKUP(BJ10,Projects!$A$5:$D$504,2,0),"Ref not in Projects"))</f>
        <v/>
      </c>
      <c r="BL10" s="10" t="str">
        <f aca="false">IF(BJ10="","",IFERROR(VLOOKUP(BJ10,Projects!$A$5:$D$504,4,0),"Ref not in Projects"))</f>
        <v/>
      </c>
      <c r="BM10" s="9"/>
      <c r="BN10" s="9"/>
      <c r="BO10" s="9"/>
      <c r="BP10" s="40"/>
      <c r="BQ10" s="9"/>
      <c r="BR10" s="40"/>
      <c r="BS10" s="9"/>
      <c r="BT10" s="40"/>
      <c r="BU10" s="9"/>
      <c r="BV10" s="9"/>
      <c r="BW10" s="9"/>
      <c r="BX10" s="40"/>
      <c r="BY10" s="40"/>
      <c r="BZ10" s="36" t="str">
        <f aca="false">IF(BY10="","",EDATE(BY10,SG_Criteria!$B$54*12))</f>
        <v/>
      </c>
      <c r="CA10" s="33" t="str">
        <f aca="true">IF(A10="","",IF(BY10="","NOTE: not reviewed yet",IF(TODAY()&gt;BZ10,"NOTE: review overdue","OK")))</f>
        <v/>
      </c>
      <c r="CB10" s="37" t="str">
        <f aca="false">IF(A10="","",ROUND((IF(LEN(D10)&gt;0,1,0)+IF(LEN(E10)&gt;0,1,0)+IF(LEN(F10)&gt;0,1,0)+IF(LEN(G10)&gt;0,1,0)+IF(LEN(I10)&gt;0,1,0)+IF(LEN(J10)&gt;0,1,0)+IF(LEN(K10)&gt;0,1,0)+IF(LEN(L10)&gt;0,1,0)+IF(LEN(M10)&gt;0,1,0)+IF(LEN(N10)&gt;0,1,0)+IF(LEN(Z10)&gt;0,1,0)+IF(LEN(AA10)&gt;0,1,0)+IF(LEN(Y10)&gt;0,1,0)+IF(LEN(AE10)&gt;0,1,0)+IF(LEN(AG10)&gt;0,1,0)+IF(LEN(AZ10)&gt;0,1,0)+IF(LEN(AK10)&gt;0,1,0)+IF(LEN(AM10)&gt;0,1,0)+IF(LEN(AN10)&gt;0,1,0)+IF(LEN(AO10)&gt;0,1,0)+IF(LEN(AP10)&gt;0,1,0)+IF(LEN(AY10)&gt;0,1,0)+IF(LEN(BJ10)&gt;0,1,0)+IF(LEN(BW10)&gt;0,1,0))/24,2))</f>
        <v/>
      </c>
      <c r="CC10" s="10" t="str">
        <f aca="false">IF(D10="","",IF(AND(AN10="Approved",ISERROR(SEARCH("FAIL",BG10))),"Y","N"))</f>
        <v/>
      </c>
      <c r="CD10" s="10" t="str">
        <f aca="false">IF(D10="","",D10&amp;"|"&amp;J10&amp;"|"&amp;G10&amp;"|"&amp;CC10)</f>
        <v/>
      </c>
    </row>
    <row r="11" customFormat="false" ht="15" hidden="false" customHeight="false" outlineLevel="0" collapsed="false">
      <c r="A11" s="10" t="str">
        <f aca="false">IF(D11="","","MH-"&amp;IFERROR(VLOOKUP(D11,Lists!$AB$4:$AC$20,2,0),"??")&amp;"-"&amp;TEXT(G11,"0000")&amp;IF(F11="Circular","D","x"&amp;TEXT(H11,"0000"))&amp;"-D"&amp;TEXT(J11*1000,"0000")&amp;"-"&amp;IFERROR(VLOOKUP(E11,Lists!$AE$4:$AF$16,2,0),"??")&amp;"-"&amp;AM11)</f>
        <v/>
      </c>
      <c r="B11" s="10" t="str">
        <f aca="false">IF(D11="","",D11&amp;", "&amp;E11&amp;", "&amp;IF(F11="Circular",G11&amp;" dia",G11&amp;" x "&amp;H11)&amp;", depth "&amp;TEXT(I11,"0.0")&amp;"-"&amp;TEXT(J11,"0.0")&amp;" m, pipe up to "&amp;K11&amp;" dia")</f>
        <v/>
      </c>
      <c r="C11" s="9"/>
      <c r="D11" s="9"/>
      <c r="E11" s="9"/>
      <c r="F11" s="9"/>
      <c r="G11" s="38"/>
      <c r="H11" s="38"/>
      <c r="I11" s="42"/>
      <c r="J11" s="42"/>
      <c r="K11" s="38"/>
      <c r="L11" s="38"/>
      <c r="M11" s="38"/>
      <c r="N11" s="38"/>
      <c r="O11" s="9"/>
      <c r="P11" s="9"/>
      <c r="Q11" s="9"/>
      <c r="R11" s="9"/>
      <c r="S11" s="9"/>
      <c r="T11" s="9"/>
      <c r="U11" s="9"/>
      <c r="V11" s="42"/>
      <c r="W11" s="9"/>
      <c r="X11" s="9"/>
      <c r="Y11" s="39"/>
      <c r="Z11" s="9"/>
      <c r="AA11" s="38"/>
      <c r="AB11" s="9"/>
      <c r="AC11" s="9"/>
      <c r="AD11" s="9"/>
      <c r="AE11" s="9"/>
      <c r="AF11" s="9"/>
      <c r="AG11" s="9"/>
      <c r="AH11" s="38"/>
      <c r="AI11" s="9"/>
      <c r="AJ11" s="39"/>
      <c r="AK11" s="9"/>
      <c r="AL11" s="9"/>
      <c r="AM11" s="9"/>
      <c r="AN11" s="9"/>
      <c r="AO11" s="9"/>
      <c r="AP11" s="9"/>
      <c r="AQ11" s="9"/>
      <c r="AR11" s="10" t="str">
        <f aca="false">IF(A11="","",SG_Criteria!$B$6&amp;SG_Criteria!$B$10&amp;"\"&amp;A11&amp;"\")</f>
        <v/>
      </c>
      <c r="AS11" s="10" t="str">
        <f aca="false">IF(A11="","",A11&amp;"_CAD.dwg")</f>
        <v/>
      </c>
      <c r="AT11" s="10" t="str">
        <f aca="false">IF(A11="","",A11&amp;"_DWG.pdf")</f>
        <v/>
      </c>
      <c r="AU11" s="10" t="str">
        <f aca="false">IF(A11="","",IF(AQ11="Y",A11&amp;"_STAAD.std","n/a"))</f>
        <v/>
      </c>
      <c r="AV11" s="10" t="str">
        <f aca="false">IF(A11="","",A11&amp;"_CALC.xlsx")</f>
        <v/>
      </c>
      <c r="AW11" s="10" t="str">
        <f aca="false">IF(A11="","",A11&amp;"_CALC.pdf")</f>
        <v/>
      </c>
      <c r="AX11" s="9"/>
      <c r="AY11" s="9"/>
      <c r="AZ11" s="39"/>
      <c r="BA11" s="39"/>
      <c r="BB11" s="39"/>
      <c r="BC11" s="39"/>
      <c r="BD11" s="39"/>
      <c r="BE11" s="12" t="str">
        <f aca="false">IF(A11="","",IF(COUNTIF(Rebar_Schedule!$A$5:$A$2004,A11)=0,"",ROUND(SUMIF(Rebar_Schedule!$A$5:$A$2004,A11,Rebar_Schedule!$K$5:$K$2004),1)))</f>
        <v/>
      </c>
      <c r="BF11" s="33" t="str">
        <f aca="false">IF(A11="","",IF(BE11="","No rebar schedule yet",IF(ABS(BE11-N(BA11))/MAX(N(BA11),1)&gt;SG_Criteria!$B$55,"NOTE: register rebar differs from schedule by "&amp;TEXT(ABS(BE11-N(BA11))/MAX(N(BA11),1),"0%"),"OK")))</f>
        <v/>
      </c>
      <c r="BG11" s="33" t="str">
        <f aca="false">IF(D11="","",IF(LEN(IF(AND(Z11&lt;&gt;"",IFERROR(VALUE(MID(Z11,2,2)),0)&lt;SG_Criteria!$B$19),"FAIL: grade below C"&amp;SG_Criteria!$B$19&amp;". ","")&amp;IF(AND(AA11&lt;&gt;"",AA11&lt;SG_Criteria!$B$20),"FAIL: cover &lt; "&amp;SG_Criteria!$B$20&amp;" mm. ","")&amp;IF(AND(I11&lt;&gt;"",I11&lt;SG_Criteria!$B$39),"NOTE: min depth below PUB "&amp;SG_Criteria!$B$39&amp;" m. ","")&amp;IF(AND(LEFT(D11,8)="Standard",J11&gt;SG_Criteria!$B$42),"FAIL: PUB 001C covers manholes up to "&amp;SG_Criteria!$B$42&amp;" m deep only. ","")&amp;IF(AND(LEFT(D11,11)="Rectangular",K11&lt;SG_Criteria!$B$43),"NOTE: 004C is for sewers &gt;= "&amp;SG_Criteria!$B$43&amp;" dia. ","")&amp;IF(AND(LEFT(D11,7)="Precast",J11&lt;=SG_Criteria!$B$42),"NOTE: 006C is for manholes &gt; "&amp;SG_Criteria!$B$42&amp;" m deep. ","")&amp;IF(AND(K11&lt;&gt;"",K11&lt;SG_Criteria!$B$40,D11&lt;&gt;"Inspection Chamber"),"NOTE: public sewer min dia "&amp;SG_Criteria!$B$40&amp;" mm. ","")&amp;IF(AND(Y11&lt;&gt;"",Y11&lt;SG_Criteria!$B$44),"FAIL: uplift FOS below "&amp;SG_Criteria!$B$44&amp;". ",""))=0,"OK",IF(AND(Z11&lt;&gt;"",IFERROR(VALUE(MID(Z11,2,2)),0)&lt;SG_Criteria!$B$19),"FAIL: grade below C"&amp;SG_Criteria!$B$19&amp;". ","")&amp;IF(AND(AA11&lt;&gt;"",AA11&lt;SG_Criteria!$B$20),"FAIL: cover &lt; "&amp;SG_Criteria!$B$20&amp;" mm. ","")&amp;IF(AND(I11&lt;&gt;"",I11&lt;SG_Criteria!$B$39),"NOTE: min depth below PUB "&amp;SG_Criteria!$B$39&amp;" m. ","")&amp;IF(AND(LEFT(D11,8)="Standard",J11&gt;SG_Criteria!$B$42),"FAIL: PUB 001C covers manholes up to "&amp;SG_Criteria!$B$42&amp;" m deep only. ","")&amp;IF(AND(LEFT(D11,11)="Rectangular",K11&lt;SG_Criteria!$B$43),"NOTE: 004C is for sewers &gt;= "&amp;SG_Criteria!$B$43&amp;" dia. ","")&amp;IF(AND(LEFT(D11,7)="Precast",J11&lt;=SG_Criteria!$B$42),"NOTE: 006C is for manholes &gt; "&amp;SG_Criteria!$B$42&amp;" m deep. ","")&amp;IF(AND(K11&lt;&gt;"",K11&lt;SG_Criteria!$B$40,D11&lt;&gt;"Inspection Chamber"),"NOTE: public sewer min dia "&amp;SG_Criteria!$B$40&amp;" mm. ","")&amp;IF(AND(Y11&lt;&gt;"",Y11&lt;SG_Criteria!$B$44),"FAIL: uplift FOS below "&amp;SG_Criteria!$B$44&amp;". ","")))</f>
        <v/>
      </c>
      <c r="BH11" s="9"/>
      <c r="BI11" s="9"/>
      <c r="BJ11" s="9"/>
      <c r="BK11" s="10" t="str">
        <f aca="false">IF(BJ11="","",IFERROR(VLOOKUP(BJ11,Projects!$A$5:$D$504,2,0),"Ref not in Projects"))</f>
        <v/>
      </c>
      <c r="BL11" s="10" t="str">
        <f aca="false">IF(BJ11="","",IFERROR(VLOOKUP(BJ11,Projects!$A$5:$D$504,4,0),"Ref not in Projects"))</f>
        <v/>
      </c>
      <c r="BM11" s="9"/>
      <c r="BN11" s="9"/>
      <c r="BO11" s="9"/>
      <c r="BP11" s="40"/>
      <c r="BQ11" s="9"/>
      <c r="BR11" s="40"/>
      <c r="BS11" s="9"/>
      <c r="BT11" s="40"/>
      <c r="BU11" s="9"/>
      <c r="BV11" s="9"/>
      <c r="BW11" s="9"/>
      <c r="BX11" s="40"/>
      <c r="BY11" s="40"/>
      <c r="BZ11" s="36" t="str">
        <f aca="false">IF(BY11="","",EDATE(BY11,SG_Criteria!$B$54*12))</f>
        <v/>
      </c>
      <c r="CA11" s="33" t="str">
        <f aca="true">IF(A11="","",IF(BY11="","NOTE: not reviewed yet",IF(TODAY()&gt;BZ11,"NOTE: review overdue","OK")))</f>
        <v/>
      </c>
      <c r="CB11" s="37" t="str">
        <f aca="false">IF(A11="","",ROUND((IF(LEN(D11)&gt;0,1,0)+IF(LEN(E11)&gt;0,1,0)+IF(LEN(F11)&gt;0,1,0)+IF(LEN(G11)&gt;0,1,0)+IF(LEN(I11)&gt;0,1,0)+IF(LEN(J11)&gt;0,1,0)+IF(LEN(K11)&gt;0,1,0)+IF(LEN(L11)&gt;0,1,0)+IF(LEN(M11)&gt;0,1,0)+IF(LEN(N11)&gt;0,1,0)+IF(LEN(Z11)&gt;0,1,0)+IF(LEN(AA11)&gt;0,1,0)+IF(LEN(Y11)&gt;0,1,0)+IF(LEN(AE11)&gt;0,1,0)+IF(LEN(AG11)&gt;0,1,0)+IF(LEN(AZ11)&gt;0,1,0)+IF(LEN(AK11)&gt;0,1,0)+IF(LEN(AM11)&gt;0,1,0)+IF(LEN(AN11)&gt;0,1,0)+IF(LEN(AO11)&gt;0,1,0)+IF(LEN(AP11)&gt;0,1,0)+IF(LEN(AY11)&gt;0,1,0)+IF(LEN(BJ11)&gt;0,1,0)+IF(LEN(BW11)&gt;0,1,0))/24,2))</f>
        <v/>
      </c>
      <c r="CC11" s="10" t="str">
        <f aca="false">IF(D11="","",IF(AND(AN11="Approved",ISERROR(SEARCH("FAIL",BG11))),"Y","N"))</f>
        <v/>
      </c>
      <c r="CD11" s="10" t="str">
        <f aca="false">IF(D11="","",D11&amp;"|"&amp;J11&amp;"|"&amp;G11&amp;"|"&amp;CC11)</f>
        <v/>
      </c>
    </row>
    <row r="12" customFormat="false" ht="15" hidden="false" customHeight="false" outlineLevel="0" collapsed="false">
      <c r="A12" s="10" t="str">
        <f aca="false">IF(D12="","","MH-"&amp;IFERROR(VLOOKUP(D12,Lists!$AB$4:$AC$20,2,0),"??")&amp;"-"&amp;TEXT(G12,"0000")&amp;IF(F12="Circular","D","x"&amp;TEXT(H12,"0000"))&amp;"-D"&amp;TEXT(J12*1000,"0000")&amp;"-"&amp;IFERROR(VLOOKUP(E12,Lists!$AE$4:$AF$16,2,0),"??")&amp;"-"&amp;AM12)</f>
        <v/>
      </c>
      <c r="B12" s="10" t="str">
        <f aca="false">IF(D12="","",D12&amp;", "&amp;E12&amp;", "&amp;IF(F12="Circular",G12&amp;" dia",G12&amp;" x "&amp;H12)&amp;", depth "&amp;TEXT(I12,"0.0")&amp;"-"&amp;TEXT(J12,"0.0")&amp;" m, pipe up to "&amp;K12&amp;" dia")</f>
        <v/>
      </c>
      <c r="C12" s="9"/>
      <c r="D12" s="9"/>
      <c r="E12" s="9"/>
      <c r="F12" s="9"/>
      <c r="G12" s="38"/>
      <c r="H12" s="38"/>
      <c r="I12" s="42"/>
      <c r="J12" s="42"/>
      <c r="K12" s="38"/>
      <c r="L12" s="38"/>
      <c r="M12" s="38"/>
      <c r="N12" s="38"/>
      <c r="O12" s="9"/>
      <c r="P12" s="9"/>
      <c r="Q12" s="9"/>
      <c r="R12" s="9"/>
      <c r="S12" s="9"/>
      <c r="T12" s="9"/>
      <c r="U12" s="9"/>
      <c r="V12" s="42"/>
      <c r="W12" s="9"/>
      <c r="X12" s="9"/>
      <c r="Y12" s="39"/>
      <c r="Z12" s="9"/>
      <c r="AA12" s="38"/>
      <c r="AB12" s="9"/>
      <c r="AC12" s="9"/>
      <c r="AD12" s="9"/>
      <c r="AE12" s="9"/>
      <c r="AF12" s="9"/>
      <c r="AG12" s="9"/>
      <c r="AH12" s="38"/>
      <c r="AI12" s="9"/>
      <c r="AJ12" s="39"/>
      <c r="AK12" s="9"/>
      <c r="AL12" s="9"/>
      <c r="AM12" s="9"/>
      <c r="AN12" s="9"/>
      <c r="AO12" s="9"/>
      <c r="AP12" s="9"/>
      <c r="AQ12" s="9"/>
      <c r="AR12" s="10" t="str">
        <f aca="false">IF(A12="","",SG_Criteria!$B$6&amp;SG_Criteria!$B$10&amp;"\"&amp;A12&amp;"\")</f>
        <v/>
      </c>
      <c r="AS12" s="10" t="str">
        <f aca="false">IF(A12="","",A12&amp;"_CAD.dwg")</f>
        <v/>
      </c>
      <c r="AT12" s="10" t="str">
        <f aca="false">IF(A12="","",A12&amp;"_DWG.pdf")</f>
        <v/>
      </c>
      <c r="AU12" s="10" t="str">
        <f aca="false">IF(A12="","",IF(AQ12="Y",A12&amp;"_STAAD.std","n/a"))</f>
        <v/>
      </c>
      <c r="AV12" s="10" t="str">
        <f aca="false">IF(A12="","",A12&amp;"_CALC.xlsx")</f>
        <v/>
      </c>
      <c r="AW12" s="10" t="str">
        <f aca="false">IF(A12="","",A12&amp;"_CALC.pdf")</f>
        <v/>
      </c>
      <c r="AX12" s="9"/>
      <c r="AY12" s="9"/>
      <c r="AZ12" s="39"/>
      <c r="BA12" s="39"/>
      <c r="BB12" s="39"/>
      <c r="BC12" s="39"/>
      <c r="BD12" s="39"/>
      <c r="BE12" s="12" t="str">
        <f aca="false">IF(A12="","",IF(COUNTIF(Rebar_Schedule!$A$5:$A$2004,A12)=0,"",ROUND(SUMIF(Rebar_Schedule!$A$5:$A$2004,A12,Rebar_Schedule!$K$5:$K$2004),1)))</f>
        <v/>
      </c>
      <c r="BF12" s="33" t="str">
        <f aca="false">IF(A12="","",IF(BE12="","No rebar schedule yet",IF(ABS(BE12-N(BA12))/MAX(N(BA12),1)&gt;SG_Criteria!$B$55,"NOTE: register rebar differs from schedule by "&amp;TEXT(ABS(BE12-N(BA12))/MAX(N(BA12),1),"0%"),"OK")))</f>
        <v/>
      </c>
      <c r="BG12" s="33" t="str">
        <f aca="false">IF(D12="","",IF(LEN(IF(AND(Z12&lt;&gt;"",IFERROR(VALUE(MID(Z12,2,2)),0)&lt;SG_Criteria!$B$19),"FAIL: grade below C"&amp;SG_Criteria!$B$19&amp;". ","")&amp;IF(AND(AA12&lt;&gt;"",AA12&lt;SG_Criteria!$B$20),"FAIL: cover &lt; "&amp;SG_Criteria!$B$20&amp;" mm. ","")&amp;IF(AND(I12&lt;&gt;"",I12&lt;SG_Criteria!$B$39),"NOTE: min depth below PUB "&amp;SG_Criteria!$B$39&amp;" m. ","")&amp;IF(AND(LEFT(D12,8)="Standard",J12&gt;SG_Criteria!$B$42),"FAIL: PUB 001C covers manholes up to "&amp;SG_Criteria!$B$42&amp;" m deep only. ","")&amp;IF(AND(LEFT(D12,11)="Rectangular",K12&lt;SG_Criteria!$B$43),"NOTE: 004C is for sewers &gt;= "&amp;SG_Criteria!$B$43&amp;" dia. ","")&amp;IF(AND(LEFT(D12,7)="Precast",J12&lt;=SG_Criteria!$B$42),"NOTE: 006C is for manholes &gt; "&amp;SG_Criteria!$B$42&amp;" m deep. ","")&amp;IF(AND(K12&lt;&gt;"",K12&lt;SG_Criteria!$B$40,D12&lt;&gt;"Inspection Chamber"),"NOTE: public sewer min dia "&amp;SG_Criteria!$B$40&amp;" mm. ","")&amp;IF(AND(Y12&lt;&gt;"",Y12&lt;SG_Criteria!$B$44),"FAIL: uplift FOS below "&amp;SG_Criteria!$B$44&amp;". ",""))=0,"OK",IF(AND(Z12&lt;&gt;"",IFERROR(VALUE(MID(Z12,2,2)),0)&lt;SG_Criteria!$B$19),"FAIL: grade below C"&amp;SG_Criteria!$B$19&amp;". ","")&amp;IF(AND(AA12&lt;&gt;"",AA12&lt;SG_Criteria!$B$20),"FAIL: cover &lt; "&amp;SG_Criteria!$B$20&amp;" mm. ","")&amp;IF(AND(I12&lt;&gt;"",I12&lt;SG_Criteria!$B$39),"NOTE: min depth below PUB "&amp;SG_Criteria!$B$39&amp;" m. ","")&amp;IF(AND(LEFT(D12,8)="Standard",J12&gt;SG_Criteria!$B$42),"FAIL: PUB 001C covers manholes up to "&amp;SG_Criteria!$B$42&amp;" m deep only. ","")&amp;IF(AND(LEFT(D12,11)="Rectangular",K12&lt;SG_Criteria!$B$43),"NOTE: 004C is for sewers &gt;= "&amp;SG_Criteria!$B$43&amp;" dia. ","")&amp;IF(AND(LEFT(D12,7)="Precast",J12&lt;=SG_Criteria!$B$42),"NOTE: 006C is for manholes &gt; "&amp;SG_Criteria!$B$42&amp;" m deep. ","")&amp;IF(AND(K12&lt;&gt;"",K12&lt;SG_Criteria!$B$40,D12&lt;&gt;"Inspection Chamber"),"NOTE: public sewer min dia "&amp;SG_Criteria!$B$40&amp;" mm. ","")&amp;IF(AND(Y12&lt;&gt;"",Y12&lt;SG_Criteria!$B$44),"FAIL: uplift FOS below "&amp;SG_Criteria!$B$44&amp;". ","")))</f>
        <v/>
      </c>
      <c r="BH12" s="9"/>
      <c r="BI12" s="9"/>
      <c r="BJ12" s="9"/>
      <c r="BK12" s="10" t="str">
        <f aca="false">IF(BJ12="","",IFERROR(VLOOKUP(BJ12,Projects!$A$5:$D$504,2,0),"Ref not in Projects"))</f>
        <v/>
      </c>
      <c r="BL12" s="10" t="str">
        <f aca="false">IF(BJ12="","",IFERROR(VLOOKUP(BJ12,Projects!$A$5:$D$504,4,0),"Ref not in Projects"))</f>
        <v/>
      </c>
      <c r="BM12" s="9"/>
      <c r="BN12" s="9"/>
      <c r="BO12" s="9"/>
      <c r="BP12" s="40"/>
      <c r="BQ12" s="9"/>
      <c r="BR12" s="40"/>
      <c r="BS12" s="9"/>
      <c r="BT12" s="40"/>
      <c r="BU12" s="9"/>
      <c r="BV12" s="9"/>
      <c r="BW12" s="9"/>
      <c r="BX12" s="40"/>
      <c r="BY12" s="40"/>
      <c r="BZ12" s="36" t="str">
        <f aca="false">IF(BY12="","",EDATE(BY12,SG_Criteria!$B$54*12))</f>
        <v/>
      </c>
      <c r="CA12" s="33" t="str">
        <f aca="true">IF(A12="","",IF(BY12="","NOTE: not reviewed yet",IF(TODAY()&gt;BZ12,"NOTE: review overdue","OK")))</f>
        <v/>
      </c>
      <c r="CB12" s="37" t="str">
        <f aca="false">IF(A12="","",ROUND((IF(LEN(D12)&gt;0,1,0)+IF(LEN(E12)&gt;0,1,0)+IF(LEN(F12)&gt;0,1,0)+IF(LEN(G12)&gt;0,1,0)+IF(LEN(I12)&gt;0,1,0)+IF(LEN(J12)&gt;0,1,0)+IF(LEN(K12)&gt;0,1,0)+IF(LEN(L12)&gt;0,1,0)+IF(LEN(M12)&gt;0,1,0)+IF(LEN(N12)&gt;0,1,0)+IF(LEN(Z12)&gt;0,1,0)+IF(LEN(AA12)&gt;0,1,0)+IF(LEN(Y12)&gt;0,1,0)+IF(LEN(AE12)&gt;0,1,0)+IF(LEN(AG12)&gt;0,1,0)+IF(LEN(AZ12)&gt;0,1,0)+IF(LEN(AK12)&gt;0,1,0)+IF(LEN(AM12)&gt;0,1,0)+IF(LEN(AN12)&gt;0,1,0)+IF(LEN(AO12)&gt;0,1,0)+IF(LEN(AP12)&gt;0,1,0)+IF(LEN(AY12)&gt;0,1,0)+IF(LEN(BJ12)&gt;0,1,0)+IF(LEN(BW12)&gt;0,1,0))/24,2))</f>
        <v/>
      </c>
      <c r="CC12" s="10" t="str">
        <f aca="false">IF(D12="","",IF(AND(AN12="Approved",ISERROR(SEARCH("FAIL",BG12))),"Y","N"))</f>
        <v/>
      </c>
      <c r="CD12" s="10" t="str">
        <f aca="false">IF(D12="","",D12&amp;"|"&amp;J12&amp;"|"&amp;G12&amp;"|"&amp;CC12)</f>
        <v/>
      </c>
    </row>
    <row r="13" customFormat="false" ht="15" hidden="false" customHeight="false" outlineLevel="0" collapsed="false">
      <c r="A13" s="10" t="str">
        <f aca="false">IF(D13="","","MH-"&amp;IFERROR(VLOOKUP(D13,Lists!$AB$4:$AC$20,2,0),"??")&amp;"-"&amp;TEXT(G13,"0000")&amp;IF(F13="Circular","D","x"&amp;TEXT(H13,"0000"))&amp;"-D"&amp;TEXT(J13*1000,"0000")&amp;"-"&amp;IFERROR(VLOOKUP(E13,Lists!$AE$4:$AF$16,2,0),"??")&amp;"-"&amp;AM13)</f>
        <v/>
      </c>
      <c r="B13" s="10" t="str">
        <f aca="false">IF(D13="","",D13&amp;", "&amp;E13&amp;", "&amp;IF(F13="Circular",G13&amp;" dia",G13&amp;" x "&amp;H13)&amp;", depth "&amp;TEXT(I13,"0.0")&amp;"-"&amp;TEXT(J13,"0.0")&amp;" m, pipe up to "&amp;K13&amp;" dia")</f>
        <v/>
      </c>
      <c r="C13" s="9"/>
      <c r="D13" s="9"/>
      <c r="E13" s="9"/>
      <c r="F13" s="9"/>
      <c r="G13" s="38"/>
      <c r="H13" s="38"/>
      <c r="I13" s="42"/>
      <c r="J13" s="42"/>
      <c r="K13" s="38"/>
      <c r="L13" s="38"/>
      <c r="M13" s="38"/>
      <c r="N13" s="38"/>
      <c r="O13" s="9"/>
      <c r="P13" s="9"/>
      <c r="Q13" s="9"/>
      <c r="R13" s="9"/>
      <c r="S13" s="9"/>
      <c r="T13" s="9"/>
      <c r="U13" s="9"/>
      <c r="V13" s="42"/>
      <c r="W13" s="9"/>
      <c r="X13" s="9"/>
      <c r="Y13" s="39"/>
      <c r="Z13" s="9"/>
      <c r="AA13" s="38"/>
      <c r="AB13" s="9"/>
      <c r="AC13" s="9"/>
      <c r="AD13" s="9"/>
      <c r="AE13" s="9"/>
      <c r="AF13" s="9"/>
      <c r="AG13" s="9"/>
      <c r="AH13" s="38"/>
      <c r="AI13" s="9"/>
      <c r="AJ13" s="39"/>
      <c r="AK13" s="9"/>
      <c r="AL13" s="9"/>
      <c r="AM13" s="9"/>
      <c r="AN13" s="9"/>
      <c r="AO13" s="9"/>
      <c r="AP13" s="9"/>
      <c r="AQ13" s="9"/>
      <c r="AR13" s="10" t="str">
        <f aca="false">IF(A13="","",SG_Criteria!$B$6&amp;SG_Criteria!$B$10&amp;"\"&amp;A13&amp;"\")</f>
        <v/>
      </c>
      <c r="AS13" s="10" t="str">
        <f aca="false">IF(A13="","",A13&amp;"_CAD.dwg")</f>
        <v/>
      </c>
      <c r="AT13" s="10" t="str">
        <f aca="false">IF(A13="","",A13&amp;"_DWG.pdf")</f>
        <v/>
      </c>
      <c r="AU13" s="10" t="str">
        <f aca="false">IF(A13="","",IF(AQ13="Y",A13&amp;"_STAAD.std","n/a"))</f>
        <v/>
      </c>
      <c r="AV13" s="10" t="str">
        <f aca="false">IF(A13="","",A13&amp;"_CALC.xlsx")</f>
        <v/>
      </c>
      <c r="AW13" s="10" t="str">
        <f aca="false">IF(A13="","",A13&amp;"_CALC.pdf")</f>
        <v/>
      </c>
      <c r="AX13" s="9"/>
      <c r="AY13" s="9"/>
      <c r="AZ13" s="39"/>
      <c r="BA13" s="39"/>
      <c r="BB13" s="39"/>
      <c r="BC13" s="39"/>
      <c r="BD13" s="39"/>
      <c r="BE13" s="12" t="str">
        <f aca="false">IF(A13="","",IF(COUNTIF(Rebar_Schedule!$A$5:$A$2004,A13)=0,"",ROUND(SUMIF(Rebar_Schedule!$A$5:$A$2004,A13,Rebar_Schedule!$K$5:$K$2004),1)))</f>
        <v/>
      </c>
      <c r="BF13" s="33" t="str">
        <f aca="false">IF(A13="","",IF(BE13="","No rebar schedule yet",IF(ABS(BE13-N(BA13))/MAX(N(BA13),1)&gt;SG_Criteria!$B$55,"NOTE: register rebar differs from schedule by "&amp;TEXT(ABS(BE13-N(BA13))/MAX(N(BA13),1),"0%"),"OK")))</f>
        <v/>
      </c>
      <c r="BG13" s="33" t="str">
        <f aca="false">IF(D13="","",IF(LEN(IF(AND(Z13&lt;&gt;"",IFERROR(VALUE(MID(Z13,2,2)),0)&lt;SG_Criteria!$B$19),"FAIL: grade below C"&amp;SG_Criteria!$B$19&amp;". ","")&amp;IF(AND(AA13&lt;&gt;"",AA13&lt;SG_Criteria!$B$20),"FAIL: cover &lt; "&amp;SG_Criteria!$B$20&amp;" mm. ","")&amp;IF(AND(I13&lt;&gt;"",I13&lt;SG_Criteria!$B$39),"NOTE: min depth below PUB "&amp;SG_Criteria!$B$39&amp;" m. ","")&amp;IF(AND(LEFT(D13,8)="Standard",J13&gt;SG_Criteria!$B$42),"FAIL: PUB 001C covers manholes up to "&amp;SG_Criteria!$B$42&amp;" m deep only. ","")&amp;IF(AND(LEFT(D13,11)="Rectangular",K13&lt;SG_Criteria!$B$43),"NOTE: 004C is for sewers &gt;= "&amp;SG_Criteria!$B$43&amp;" dia. ","")&amp;IF(AND(LEFT(D13,7)="Precast",J13&lt;=SG_Criteria!$B$42),"NOTE: 006C is for manholes &gt; "&amp;SG_Criteria!$B$42&amp;" m deep. ","")&amp;IF(AND(K13&lt;&gt;"",K13&lt;SG_Criteria!$B$40,D13&lt;&gt;"Inspection Chamber"),"NOTE: public sewer min dia "&amp;SG_Criteria!$B$40&amp;" mm. ","")&amp;IF(AND(Y13&lt;&gt;"",Y13&lt;SG_Criteria!$B$44),"FAIL: uplift FOS below "&amp;SG_Criteria!$B$44&amp;". ",""))=0,"OK",IF(AND(Z13&lt;&gt;"",IFERROR(VALUE(MID(Z13,2,2)),0)&lt;SG_Criteria!$B$19),"FAIL: grade below C"&amp;SG_Criteria!$B$19&amp;". ","")&amp;IF(AND(AA13&lt;&gt;"",AA13&lt;SG_Criteria!$B$20),"FAIL: cover &lt; "&amp;SG_Criteria!$B$20&amp;" mm. ","")&amp;IF(AND(I13&lt;&gt;"",I13&lt;SG_Criteria!$B$39),"NOTE: min depth below PUB "&amp;SG_Criteria!$B$39&amp;" m. ","")&amp;IF(AND(LEFT(D13,8)="Standard",J13&gt;SG_Criteria!$B$42),"FAIL: PUB 001C covers manholes up to "&amp;SG_Criteria!$B$42&amp;" m deep only. ","")&amp;IF(AND(LEFT(D13,11)="Rectangular",K13&lt;SG_Criteria!$B$43),"NOTE: 004C is for sewers &gt;= "&amp;SG_Criteria!$B$43&amp;" dia. ","")&amp;IF(AND(LEFT(D13,7)="Precast",J13&lt;=SG_Criteria!$B$42),"NOTE: 006C is for manholes &gt; "&amp;SG_Criteria!$B$42&amp;" m deep. ","")&amp;IF(AND(K13&lt;&gt;"",K13&lt;SG_Criteria!$B$40,D13&lt;&gt;"Inspection Chamber"),"NOTE: public sewer min dia "&amp;SG_Criteria!$B$40&amp;" mm. ","")&amp;IF(AND(Y13&lt;&gt;"",Y13&lt;SG_Criteria!$B$44),"FAIL: uplift FOS below "&amp;SG_Criteria!$B$44&amp;". ","")))</f>
        <v/>
      </c>
      <c r="BH13" s="9"/>
      <c r="BI13" s="9"/>
      <c r="BJ13" s="9"/>
      <c r="BK13" s="10" t="str">
        <f aca="false">IF(BJ13="","",IFERROR(VLOOKUP(BJ13,Projects!$A$5:$D$504,2,0),"Ref not in Projects"))</f>
        <v/>
      </c>
      <c r="BL13" s="10" t="str">
        <f aca="false">IF(BJ13="","",IFERROR(VLOOKUP(BJ13,Projects!$A$5:$D$504,4,0),"Ref not in Projects"))</f>
        <v/>
      </c>
      <c r="BM13" s="9"/>
      <c r="BN13" s="9"/>
      <c r="BO13" s="9"/>
      <c r="BP13" s="40"/>
      <c r="BQ13" s="9"/>
      <c r="BR13" s="40"/>
      <c r="BS13" s="9"/>
      <c r="BT13" s="40"/>
      <c r="BU13" s="9"/>
      <c r="BV13" s="9"/>
      <c r="BW13" s="9"/>
      <c r="BX13" s="40"/>
      <c r="BY13" s="40"/>
      <c r="BZ13" s="36" t="str">
        <f aca="false">IF(BY13="","",EDATE(BY13,SG_Criteria!$B$54*12))</f>
        <v/>
      </c>
      <c r="CA13" s="33" t="str">
        <f aca="true">IF(A13="","",IF(BY13="","NOTE: not reviewed yet",IF(TODAY()&gt;BZ13,"NOTE: review overdue","OK")))</f>
        <v/>
      </c>
      <c r="CB13" s="37" t="str">
        <f aca="false">IF(A13="","",ROUND((IF(LEN(D13)&gt;0,1,0)+IF(LEN(E13)&gt;0,1,0)+IF(LEN(F13)&gt;0,1,0)+IF(LEN(G13)&gt;0,1,0)+IF(LEN(I13)&gt;0,1,0)+IF(LEN(J13)&gt;0,1,0)+IF(LEN(K13)&gt;0,1,0)+IF(LEN(L13)&gt;0,1,0)+IF(LEN(M13)&gt;0,1,0)+IF(LEN(N13)&gt;0,1,0)+IF(LEN(Z13)&gt;0,1,0)+IF(LEN(AA13)&gt;0,1,0)+IF(LEN(Y13)&gt;0,1,0)+IF(LEN(AE13)&gt;0,1,0)+IF(LEN(AG13)&gt;0,1,0)+IF(LEN(AZ13)&gt;0,1,0)+IF(LEN(AK13)&gt;0,1,0)+IF(LEN(AM13)&gt;0,1,0)+IF(LEN(AN13)&gt;0,1,0)+IF(LEN(AO13)&gt;0,1,0)+IF(LEN(AP13)&gt;0,1,0)+IF(LEN(AY13)&gt;0,1,0)+IF(LEN(BJ13)&gt;0,1,0)+IF(LEN(BW13)&gt;0,1,0))/24,2))</f>
        <v/>
      </c>
      <c r="CC13" s="10" t="str">
        <f aca="false">IF(D13="","",IF(AND(AN13="Approved",ISERROR(SEARCH("FAIL",BG13))),"Y","N"))</f>
        <v/>
      </c>
      <c r="CD13" s="10" t="str">
        <f aca="false">IF(D13="","",D13&amp;"|"&amp;J13&amp;"|"&amp;G13&amp;"|"&amp;CC13)</f>
        <v/>
      </c>
    </row>
    <row r="14" customFormat="false" ht="15" hidden="false" customHeight="false" outlineLevel="0" collapsed="false">
      <c r="A14" s="10" t="str">
        <f aca="false">IF(D14="","","MH-"&amp;IFERROR(VLOOKUP(D14,Lists!$AB$4:$AC$20,2,0),"??")&amp;"-"&amp;TEXT(G14,"0000")&amp;IF(F14="Circular","D","x"&amp;TEXT(H14,"0000"))&amp;"-D"&amp;TEXT(J14*1000,"0000")&amp;"-"&amp;IFERROR(VLOOKUP(E14,Lists!$AE$4:$AF$16,2,0),"??")&amp;"-"&amp;AM14)</f>
        <v/>
      </c>
      <c r="B14" s="10" t="str">
        <f aca="false">IF(D14="","",D14&amp;", "&amp;E14&amp;", "&amp;IF(F14="Circular",G14&amp;" dia",G14&amp;" x "&amp;H14)&amp;", depth "&amp;TEXT(I14,"0.0")&amp;"-"&amp;TEXT(J14,"0.0")&amp;" m, pipe up to "&amp;K14&amp;" dia")</f>
        <v/>
      </c>
      <c r="C14" s="9"/>
      <c r="D14" s="9"/>
      <c r="E14" s="9"/>
      <c r="F14" s="9"/>
      <c r="G14" s="38"/>
      <c r="H14" s="38"/>
      <c r="I14" s="42"/>
      <c r="J14" s="42"/>
      <c r="K14" s="38"/>
      <c r="L14" s="38"/>
      <c r="M14" s="38"/>
      <c r="N14" s="38"/>
      <c r="O14" s="9"/>
      <c r="P14" s="9"/>
      <c r="Q14" s="9"/>
      <c r="R14" s="9"/>
      <c r="S14" s="9"/>
      <c r="T14" s="9"/>
      <c r="U14" s="9"/>
      <c r="V14" s="42"/>
      <c r="W14" s="9"/>
      <c r="X14" s="9"/>
      <c r="Y14" s="39"/>
      <c r="Z14" s="9"/>
      <c r="AA14" s="38"/>
      <c r="AB14" s="9"/>
      <c r="AC14" s="9"/>
      <c r="AD14" s="9"/>
      <c r="AE14" s="9"/>
      <c r="AF14" s="9"/>
      <c r="AG14" s="9"/>
      <c r="AH14" s="38"/>
      <c r="AI14" s="9"/>
      <c r="AJ14" s="39"/>
      <c r="AK14" s="9"/>
      <c r="AL14" s="9"/>
      <c r="AM14" s="9"/>
      <c r="AN14" s="9"/>
      <c r="AO14" s="9"/>
      <c r="AP14" s="9"/>
      <c r="AQ14" s="9"/>
      <c r="AR14" s="10" t="str">
        <f aca="false">IF(A14="","",SG_Criteria!$B$6&amp;SG_Criteria!$B$10&amp;"\"&amp;A14&amp;"\")</f>
        <v/>
      </c>
      <c r="AS14" s="10" t="str">
        <f aca="false">IF(A14="","",A14&amp;"_CAD.dwg")</f>
        <v/>
      </c>
      <c r="AT14" s="10" t="str">
        <f aca="false">IF(A14="","",A14&amp;"_DWG.pdf")</f>
        <v/>
      </c>
      <c r="AU14" s="10" t="str">
        <f aca="false">IF(A14="","",IF(AQ14="Y",A14&amp;"_STAAD.std","n/a"))</f>
        <v/>
      </c>
      <c r="AV14" s="10" t="str">
        <f aca="false">IF(A14="","",A14&amp;"_CALC.xlsx")</f>
        <v/>
      </c>
      <c r="AW14" s="10" t="str">
        <f aca="false">IF(A14="","",A14&amp;"_CALC.pdf")</f>
        <v/>
      </c>
      <c r="AX14" s="9"/>
      <c r="AY14" s="9"/>
      <c r="AZ14" s="39"/>
      <c r="BA14" s="39"/>
      <c r="BB14" s="39"/>
      <c r="BC14" s="39"/>
      <c r="BD14" s="39"/>
      <c r="BE14" s="12" t="str">
        <f aca="false">IF(A14="","",IF(COUNTIF(Rebar_Schedule!$A$5:$A$2004,A14)=0,"",ROUND(SUMIF(Rebar_Schedule!$A$5:$A$2004,A14,Rebar_Schedule!$K$5:$K$2004),1)))</f>
        <v/>
      </c>
      <c r="BF14" s="33" t="str">
        <f aca="false">IF(A14="","",IF(BE14="","No rebar schedule yet",IF(ABS(BE14-N(BA14))/MAX(N(BA14),1)&gt;SG_Criteria!$B$55,"NOTE: register rebar differs from schedule by "&amp;TEXT(ABS(BE14-N(BA14))/MAX(N(BA14),1),"0%"),"OK")))</f>
        <v/>
      </c>
      <c r="BG14" s="33" t="str">
        <f aca="false">IF(D14="","",IF(LEN(IF(AND(Z14&lt;&gt;"",IFERROR(VALUE(MID(Z14,2,2)),0)&lt;SG_Criteria!$B$19),"FAIL: grade below C"&amp;SG_Criteria!$B$19&amp;". ","")&amp;IF(AND(AA14&lt;&gt;"",AA14&lt;SG_Criteria!$B$20),"FAIL: cover &lt; "&amp;SG_Criteria!$B$20&amp;" mm. ","")&amp;IF(AND(I14&lt;&gt;"",I14&lt;SG_Criteria!$B$39),"NOTE: min depth below PUB "&amp;SG_Criteria!$B$39&amp;" m. ","")&amp;IF(AND(LEFT(D14,8)="Standard",J14&gt;SG_Criteria!$B$42),"FAIL: PUB 001C covers manholes up to "&amp;SG_Criteria!$B$42&amp;" m deep only. ","")&amp;IF(AND(LEFT(D14,11)="Rectangular",K14&lt;SG_Criteria!$B$43),"NOTE: 004C is for sewers &gt;= "&amp;SG_Criteria!$B$43&amp;" dia. ","")&amp;IF(AND(LEFT(D14,7)="Precast",J14&lt;=SG_Criteria!$B$42),"NOTE: 006C is for manholes &gt; "&amp;SG_Criteria!$B$42&amp;" m deep. ","")&amp;IF(AND(K14&lt;&gt;"",K14&lt;SG_Criteria!$B$40,D14&lt;&gt;"Inspection Chamber"),"NOTE: public sewer min dia "&amp;SG_Criteria!$B$40&amp;" mm. ","")&amp;IF(AND(Y14&lt;&gt;"",Y14&lt;SG_Criteria!$B$44),"FAIL: uplift FOS below "&amp;SG_Criteria!$B$44&amp;". ",""))=0,"OK",IF(AND(Z14&lt;&gt;"",IFERROR(VALUE(MID(Z14,2,2)),0)&lt;SG_Criteria!$B$19),"FAIL: grade below C"&amp;SG_Criteria!$B$19&amp;". ","")&amp;IF(AND(AA14&lt;&gt;"",AA14&lt;SG_Criteria!$B$20),"FAIL: cover &lt; "&amp;SG_Criteria!$B$20&amp;" mm. ","")&amp;IF(AND(I14&lt;&gt;"",I14&lt;SG_Criteria!$B$39),"NOTE: min depth below PUB "&amp;SG_Criteria!$B$39&amp;" m. ","")&amp;IF(AND(LEFT(D14,8)="Standard",J14&gt;SG_Criteria!$B$42),"FAIL: PUB 001C covers manholes up to "&amp;SG_Criteria!$B$42&amp;" m deep only. ","")&amp;IF(AND(LEFT(D14,11)="Rectangular",K14&lt;SG_Criteria!$B$43),"NOTE: 004C is for sewers &gt;= "&amp;SG_Criteria!$B$43&amp;" dia. ","")&amp;IF(AND(LEFT(D14,7)="Precast",J14&lt;=SG_Criteria!$B$42),"NOTE: 006C is for manholes &gt; "&amp;SG_Criteria!$B$42&amp;" m deep. ","")&amp;IF(AND(K14&lt;&gt;"",K14&lt;SG_Criteria!$B$40,D14&lt;&gt;"Inspection Chamber"),"NOTE: public sewer min dia "&amp;SG_Criteria!$B$40&amp;" mm. ","")&amp;IF(AND(Y14&lt;&gt;"",Y14&lt;SG_Criteria!$B$44),"FAIL: uplift FOS below "&amp;SG_Criteria!$B$44&amp;". ","")))</f>
        <v/>
      </c>
      <c r="BH14" s="9"/>
      <c r="BI14" s="9"/>
      <c r="BJ14" s="9"/>
      <c r="BK14" s="10" t="str">
        <f aca="false">IF(BJ14="","",IFERROR(VLOOKUP(BJ14,Projects!$A$5:$D$504,2,0),"Ref not in Projects"))</f>
        <v/>
      </c>
      <c r="BL14" s="10" t="str">
        <f aca="false">IF(BJ14="","",IFERROR(VLOOKUP(BJ14,Projects!$A$5:$D$504,4,0),"Ref not in Projects"))</f>
        <v/>
      </c>
      <c r="BM14" s="9"/>
      <c r="BN14" s="9"/>
      <c r="BO14" s="9"/>
      <c r="BP14" s="40"/>
      <c r="BQ14" s="9"/>
      <c r="BR14" s="40"/>
      <c r="BS14" s="9"/>
      <c r="BT14" s="40"/>
      <c r="BU14" s="9"/>
      <c r="BV14" s="9"/>
      <c r="BW14" s="9"/>
      <c r="BX14" s="40"/>
      <c r="BY14" s="40"/>
      <c r="BZ14" s="36" t="str">
        <f aca="false">IF(BY14="","",EDATE(BY14,SG_Criteria!$B$54*12))</f>
        <v/>
      </c>
      <c r="CA14" s="33" t="str">
        <f aca="true">IF(A14="","",IF(BY14="","NOTE: not reviewed yet",IF(TODAY()&gt;BZ14,"NOTE: review overdue","OK")))</f>
        <v/>
      </c>
      <c r="CB14" s="37" t="str">
        <f aca="false">IF(A14="","",ROUND((IF(LEN(D14)&gt;0,1,0)+IF(LEN(E14)&gt;0,1,0)+IF(LEN(F14)&gt;0,1,0)+IF(LEN(G14)&gt;0,1,0)+IF(LEN(I14)&gt;0,1,0)+IF(LEN(J14)&gt;0,1,0)+IF(LEN(K14)&gt;0,1,0)+IF(LEN(L14)&gt;0,1,0)+IF(LEN(M14)&gt;0,1,0)+IF(LEN(N14)&gt;0,1,0)+IF(LEN(Z14)&gt;0,1,0)+IF(LEN(AA14)&gt;0,1,0)+IF(LEN(Y14)&gt;0,1,0)+IF(LEN(AE14)&gt;0,1,0)+IF(LEN(AG14)&gt;0,1,0)+IF(LEN(AZ14)&gt;0,1,0)+IF(LEN(AK14)&gt;0,1,0)+IF(LEN(AM14)&gt;0,1,0)+IF(LEN(AN14)&gt;0,1,0)+IF(LEN(AO14)&gt;0,1,0)+IF(LEN(AP14)&gt;0,1,0)+IF(LEN(AY14)&gt;0,1,0)+IF(LEN(BJ14)&gt;0,1,0)+IF(LEN(BW14)&gt;0,1,0))/24,2))</f>
        <v/>
      </c>
      <c r="CC14" s="10" t="str">
        <f aca="false">IF(D14="","",IF(AND(AN14="Approved",ISERROR(SEARCH("FAIL",BG14))),"Y","N"))</f>
        <v/>
      </c>
      <c r="CD14" s="10" t="str">
        <f aca="false">IF(D14="","",D14&amp;"|"&amp;J14&amp;"|"&amp;G14&amp;"|"&amp;CC14)</f>
        <v/>
      </c>
    </row>
    <row r="15" customFormat="false" ht="15" hidden="false" customHeight="false" outlineLevel="0" collapsed="false">
      <c r="A15" s="10" t="str">
        <f aca="false">IF(D15="","","MH-"&amp;IFERROR(VLOOKUP(D15,Lists!$AB$4:$AC$20,2,0),"??")&amp;"-"&amp;TEXT(G15,"0000")&amp;IF(F15="Circular","D","x"&amp;TEXT(H15,"0000"))&amp;"-D"&amp;TEXT(J15*1000,"0000")&amp;"-"&amp;IFERROR(VLOOKUP(E15,Lists!$AE$4:$AF$16,2,0),"??")&amp;"-"&amp;AM15)</f>
        <v/>
      </c>
      <c r="B15" s="10" t="str">
        <f aca="false">IF(D15="","",D15&amp;", "&amp;E15&amp;", "&amp;IF(F15="Circular",G15&amp;" dia",G15&amp;" x "&amp;H15)&amp;", depth "&amp;TEXT(I15,"0.0")&amp;"-"&amp;TEXT(J15,"0.0")&amp;" m, pipe up to "&amp;K15&amp;" dia")</f>
        <v/>
      </c>
      <c r="C15" s="9"/>
      <c r="D15" s="9"/>
      <c r="E15" s="9"/>
      <c r="F15" s="9"/>
      <c r="G15" s="38"/>
      <c r="H15" s="38"/>
      <c r="I15" s="42"/>
      <c r="J15" s="42"/>
      <c r="K15" s="38"/>
      <c r="L15" s="38"/>
      <c r="M15" s="38"/>
      <c r="N15" s="38"/>
      <c r="O15" s="9"/>
      <c r="P15" s="9"/>
      <c r="Q15" s="9"/>
      <c r="R15" s="9"/>
      <c r="S15" s="9"/>
      <c r="T15" s="9"/>
      <c r="U15" s="9"/>
      <c r="V15" s="42"/>
      <c r="W15" s="9"/>
      <c r="X15" s="9"/>
      <c r="Y15" s="39"/>
      <c r="Z15" s="9"/>
      <c r="AA15" s="38"/>
      <c r="AB15" s="9"/>
      <c r="AC15" s="9"/>
      <c r="AD15" s="9"/>
      <c r="AE15" s="9"/>
      <c r="AF15" s="9"/>
      <c r="AG15" s="9"/>
      <c r="AH15" s="38"/>
      <c r="AI15" s="9"/>
      <c r="AJ15" s="39"/>
      <c r="AK15" s="9"/>
      <c r="AL15" s="9"/>
      <c r="AM15" s="9"/>
      <c r="AN15" s="9"/>
      <c r="AO15" s="9"/>
      <c r="AP15" s="9"/>
      <c r="AQ15" s="9"/>
      <c r="AR15" s="10" t="str">
        <f aca="false">IF(A15="","",SG_Criteria!$B$6&amp;SG_Criteria!$B$10&amp;"\"&amp;A15&amp;"\")</f>
        <v/>
      </c>
      <c r="AS15" s="10" t="str">
        <f aca="false">IF(A15="","",A15&amp;"_CAD.dwg")</f>
        <v/>
      </c>
      <c r="AT15" s="10" t="str">
        <f aca="false">IF(A15="","",A15&amp;"_DWG.pdf")</f>
        <v/>
      </c>
      <c r="AU15" s="10" t="str">
        <f aca="false">IF(A15="","",IF(AQ15="Y",A15&amp;"_STAAD.std","n/a"))</f>
        <v/>
      </c>
      <c r="AV15" s="10" t="str">
        <f aca="false">IF(A15="","",A15&amp;"_CALC.xlsx")</f>
        <v/>
      </c>
      <c r="AW15" s="10" t="str">
        <f aca="false">IF(A15="","",A15&amp;"_CALC.pdf")</f>
        <v/>
      </c>
      <c r="AX15" s="9"/>
      <c r="AY15" s="9"/>
      <c r="AZ15" s="39"/>
      <c r="BA15" s="39"/>
      <c r="BB15" s="39"/>
      <c r="BC15" s="39"/>
      <c r="BD15" s="39"/>
      <c r="BE15" s="12" t="str">
        <f aca="false">IF(A15="","",IF(COUNTIF(Rebar_Schedule!$A$5:$A$2004,A15)=0,"",ROUND(SUMIF(Rebar_Schedule!$A$5:$A$2004,A15,Rebar_Schedule!$K$5:$K$2004),1)))</f>
        <v/>
      </c>
      <c r="BF15" s="33" t="str">
        <f aca="false">IF(A15="","",IF(BE15="","No rebar schedule yet",IF(ABS(BE15-N(BA15))/MAX(N(BA15),1)&gt;SG_Criteria!$B$55,"NOTE: register rebar differs from schedule by "&amp;TEXT(ABS(BE15-N(BA15))/MAX(N(BA15),1),"0%"),"OK")))</f>
        <v/>
      </c>
      <c r="BG15" s="33" t="str">
        <f aca="false">IF(D15="","",IF(LEN(IF(AND(Z15&lt;&gt;"",IFERROR(VALUE(MID(Z15,2,2)),0)&lt;SG_Criteria!$B$19),"FAIL: grade below C"&amp;SG_Criteria!$B$19&amp;". ","")&amp;IF(AND(AA15&lt;&gt;"",AA15&lt;SG_Criteria!$B$20),"FAIL: cover &lt; "&amp;SG_Criteria!$B$20&amp;" mm. ","")&amp;IF(AND(I15&lt;&gt;"",I15&lt;SG_Criteria!$B$39),"NOTE: min depth below PUB "&amp;SG_Criteria!$B$39&amp;" m. ","")&amp;IF(AND(LEFT(D15,8)="Standard",J15&gt;SG_Criteria!$B$42),"FAIL: PUB 001C covers manholes up to "&amp;SG_Criteria!$B$42&amp;" m deep only. ","")&amp;IF(AND(LEFT(D15,11)="Rectangular",K15&lt;SG_Criteria!$B$43),"NOTE: 004C is for sewers &gt;= "&amp;SG_Criteria!$B$43&amp;" dia. ","")&amp;IF(AND(LEFT(D15,7)="Precast",J15&lt;=SG_Criteria!$B$42),"NOTE: 006C is for manholes &gt; "&amp;SG_Criteria!$B$42&amp;" m deep. ","")&amp;IF(AND(K15&lt;&gt;"",K15&lt;SG_Criteria!$B$40,D15&lt;&gt;"Inspection Chamber"),"NOTE: public sewer min dia "&amp;SG_Criteria!$B$40&amp;" mm. ","")&amp;IF(AND(Y15&lt;&gt;"",Y15&lt;SG_Criteria!$B$44),"FAIL: uplift FOS below "&amp;SG_Criteria!$B$44&amp;". ",""))=0,"OK",IF(AND(Z15&lt;&gt;"",IFERROR(VALUE(MID(Z15,2,2)),0)&lt;SG_Criteria!$B$19),"FAIL: grade below C"&amp;SG_Criteria!$B$19&amp;". ","")&amp;IF(AND(AA15&lt;&gt;"",AA15&lt;SG_Criteria!$B$20),"FAIL: cover &lt; "&amp;SG_Criteria!$B$20&amp;" mm. ","")&amp;IF(AND(I15&lt;&gt;"",I15&lt;SG_Criteria!$B$39),"NOTE: min depth below PUB "&amp;SG_Criteria!$B$39&amp;" m. ","")&amp;IF(AND(LEFT(D15,8)="Standard",J15&gt;SG_Criteria!$B$42),"FAIL: PUB 001C covers manholes up to "&amp;SG_Criteria!$B$42&amp;" m deep only. ","")&amp;IF(AND(LEFT(D15,11)="Rectangular",K15&lt;SG_Criteria!$B$43),"NOTE: 004C is for sewers &gt;= "&amp;SG_Criteria!$B$43&amp;" dia. ","")&amp;IF(AND(LEFT(D15,7)="Precast",J15&lt;=SG_Criteria!$B$42),"NOTE: 006C is for manholes &gt; "&amp;SG_Criteria!$B$42&amp;" m deep. ","")&amp;IF(AND(K15&lt;&gt;"",K15&lt;SG_Criteria!$B$40,D15&lt;&gt;"Inspection Chamber"),"NOTE: public sewer min dia "&amp;SG_Criteria!$B$40&amp;" mm. ","")&amp;IF(AND(Y15&lt;&gt;"",Y15&lt;SG_Criteria!$B$44),"FAIL: uplift FOS below "&amp;SG_Criteria!$B$44&amp;". ","")))</f>
        <v/>
      </c>
      <c r="BH15" s="9"/>
      <c r="BI15" s="9"/>
      <c r="BJ15" s="9"/>
      <c r="BK15" s="10" t="str">
        <f aca="false">IF(BJ15="","",IFERROR(VLOOKUP(BJ15,Projects!$A$5:$D$504,2,0),"Ref not in Projects"))</f>
        <v/>
      </c>
      <c r="BL15" s="10" t="str">
        <f aca="false">IF(BJ15="","",IFERROR(VLOOKUP(BJ15,Projects!$A$5:$D$504,4,0),"Ref not in Projects"))</f>
        <v/>
      </c>
      <c r="BM15" s="9"/>
      <c r="BN15" s="9"/>
      <c r="BO15" s="9"/>
      <c r="BP15" s="40"/>
      <c r="BQ15" s="9"/>
      <c r="BR15" s="40"/>
      <c r="BS15" s="9"/>
      <c r="BT15" s="40"/>
      <c r="BU15" s="9"/>
      <c r="BV15" s="9"/>
      <c r="BW15" s="9"/>
      <c r="BX15" s="40"/>
      <c r="BY15" s="40"/>
      <c r="BZ15" s="36" t="str">
        <f aca="false">IF(BY15="","",EDATE(BY15,SG_Criteria!$B$54*12))</f>
        <v/>
      </c>
      <c r="CA15" s="33" t="str">
        <f aca="true">IF(A15="","",IF(BY15="","NOTE: not reviewed yet",IF(TODAY()&gt;BZ15,"NOTE: review overdue","OK")))</f>
        <v/>
      </c>
      <c r="CB15" s="37" t="str">
        <f aca="false">IF(A15="","",ROUND((IF(LEN(D15)&gt;0,1,0)+IF(LEN(E15)&gt;0,1,0)+IF(LEN(F15)&gt;0,1,0)+IF(LEN(G15)&gt;0,1,0)+IF(LEN(I15)&gt;0,1,0)+IF(LEN(J15)&gt;0,1,0)+IF(LEN(K15)&gt;0,1,0)+IF(LEN(L15)&gt;0,1,0)+IF(LEN(M15)&gt;0,1,0)+IF(LEN(N15)&gt;0,1,0)+IF(LEN(Z15)&gt;0,1,0)+IF(LEN(AA15)&gt;0,1,0)+IF(LEN(Y15)&gt;0,1,0)+IF(LEN(AE15)&gt;0,1,0)+IF(LEN(AG15)&gt;0,1,0)+IF(LEN(AZ15)&gt;0,1,0)+IF(LEN(AK15)&gt;0,1,0)+IF(LEN(AM15)&gt;0,1,0)+IF(LEN(AN15)&gt;0,1,0)+IF(LEN(AO15)&gt;0,1,0)+IF(LEN(AP15)&gt;0,1,0)+IF(LEN(AY15)&gt;0,1,0)+IF(LEN(BJ15)&gt;0,1,0)+IF(LEN(BW15)&gt;0,1,0))/24,2))</f>
        <v/>
      </c>
      <c r="CC15" s="10" t="str">
        <f aca="false">IF(D15="","",IF(AND(AN15="Approved",ISERROR(SEARCH("FAIL",BG15))),"Y","N"))</f>
        <v/>
      </c>
      <c r="CD15" s="10" t="str">
        <f aca="false">IF(D15="","",D15&amp;"|"&amp;J15&amp;"|"&amp;G15&amp;"|"&amp;CC15)</f>
        <v/>
      </c>
    </row>
    <row r="16" customFormat="false" ht="15" hidden="false" customHeight="false" outlineLevel="0" collapsed="false">
      <c r="A16" s="10" t="str">
        <f aca="false">IF(D16="","","MH-"&amp;IFERROR(VLOOKUP(D16,Lists!$AB$4:$AC$20,2,0),"??")&amp;"-"&amp;TEXT(G16,"0000")&amp;IF(F16="Circular","D","x"&amp;TEXT(H16,"0000"))&amp;"-D"&amp;TEXT(J16*1000,"0000")&amp;"-"&amp;IFERROR(VLOOKUP(E16,Lists!$AE$4:$AF$16,2,0),"??")&amp;"-"&amp;AM16)</f>
        <v/>
      </c>
      <c r="B16" s="10" t="str">
        <f aca="false">IF(D16="","",D16&amp;", "&amp;E16&amp;", "&amp;IF(F16="Circular",G16&amp;" dia",G16&amp;" x "&amp;H16)&amp;", depth "&amp;TEXT(I16,"0.0")&amp;"-"&amp;TEXT(J16,"0.0")&amp;" m, pipe up to "&amp;K16&amp;" dia")</f>
        <v/>
      </c>
      <c r="C16" s="9"/>
      <c r="D16" s="9"/>
      <c r="E16" s="9"/>
      <c r="F16" s="9"/>
      <c r="G16" s="38"/>
      <c r="H16" s="38"/>
      <c r="I16" s="42"/>
      <c r="J16" s="42"/>
      <c r="K16" s="38"/>
      <c r="L16" s="38"/>
      <c r="M16" s="38"/>
      <c r="N16" s="38"/>
      <c r="O16" s="9"/>
      <c r="P16" s="9"/>
      <c r="Q16" s="9"/>
      <c r="R16" s="9"/>
      <c r="S16" s="9"/>
      <c r="T16" s="9"/>
      <c r="U16" s="9"/>
      <c r="V16" s="42"/>
      <c r="W16" s="9"/>
      <c r="X16" s="9"/>
      <c r="Y16" s="39"/>
      <c r="Z16" s="9"/>
      <c r="AA16" s="38"/>
      <c r="AB16" s="9"/>
      <c r="AC16" s="9"/>
      <c r="AD16" s="9"/>
      <c r="AE16" s="9"/>
      <c r="AF16" s="9"/>
      <c r="AG16" s="9"/>
      <c r="AH16" s="38"/>
      <c r="AI16" s="9"/>
      <c r="AJ16" s="39"/>
      <c r="AK16" s="9"/>
      <c r="AL16" s="9"/>
      <c r="AM16" s="9"/>
      <c r="AN16" s="9"/>
      <c r="AO16" s="9"/>
      <c r="AP16" s="9"/>
      <c r="AQ16" s="9"/>
      <c r="AR16" s="10" t="str">
        <f aca="false">IF(A16="","",SG_Criteria!$B$6&amp;SG_Criteria!$B$10&amp;"\"&amp;A16&amp;"\")</f>
        <v/>
      </c>
      <c r="AS16" s="10" t="str">
        <f aca="false">IF(A16="","",A16&amp;"_CAD.dwg")</f>
        <v/>
      </c>
      <c r="AT16" s="10" t="str">
        <f aca="false">IF(A16="","",A16&amp;"_DWG.pdf")</f>
        <v/>
      </c>
      <c r="AU16" s="10" t="str">
        <f aca="false">IF(A16="","",IF(AQ16="Y",A16&amp;"_STAAD.std","n/a"))</f>
        <v/>
      </c>
      <c r="AV16" s="10" t="str">
        <f aca="false">IF(A16="","",A16&amp;"_CALC.xlsx")</f>
        <v/>
      </c>
      <c r="AW16" s="10" t="str">
        <f aca="false">IF(A16="","",A16&amp;"_CALC.pdf")</f>
        <v/>
      </c>
      <c r="AX16" s="9"/>
      <c r="AY16" s="9"/>
      <c r="AZ16" s="39"/>
      <c r="BA16" s="39"/>
      <c r="BB16" s="39"/>
      <c r="BC16" s="39"/>
      <c r="BD16" s="39"/>
      <c r="BE16" s="12" t="str">
        <f aca="false">IF(A16="","",IF(COUNTIF(Rebar_Schedule!$A$5:$A$2004,A16)=0,"",ROUND(SUMIF(Rebar_Schedule!$A$5:$A$2004,A16,Rebar_Schedule!$K$5:$K$2004),1)))</f>
        <v/>
      </c>
      <c r="BF16" s="33" t="str">
        <f aca="false">IF(A16="","",IF(BE16="","No rebar schedule yet",IF(ABS(BE16-N(BA16))/MAX(N(BA16),1)&gt;SG_Criteria!$B$55,"NOTE: register rebar differs from schedule by "&amp;TEXT(ABS(BE16-N(BA16))/MAX(N(BA16),1),"0%"),"OK")))</f>
        <v/>
      </c>
      <c r="BG16" s="33" t="str">
        <f aca="false">IF(D16="","",IF(LEN(IF(AND(Z16&lt;&gt;"",IFERROR(VALUE(MID(Z16,2,2)),0)&lt;SG_Criteria!$B$19),"FAIL: grade below C"&amp;SG_Criteria!$B$19&amp;". ","")&amp;IF(AND(AA16&lt;&gt;"",AA16&lt;SG_Criteria!$B$20),"FAIL: cover &lt; "&amp;SG_Criteria!$B$20&amp;" mm. ","")&amp;IF(AND(I16&lt;&gt;"",I16&lt;SG_Criteria!$B$39),"NOTE: min depth below PUB "&amp;SG_Criteria!$B$39&amp;" m. ","")&amp;IF(AND(LEFT(D16,8)="Standard",J16&gt;SG_Criteria!$B$42),"FAIL: PUB 001C covers manholes up to "&amp;SG_Criteria!$B$42&amp;" m deep only. ","")&amp;IF(AND(LEFT(D16,11)="Rectangular",K16&lt;SG_Criteria!$B$43),"NOTE: 004C is for sewers &gt;= "&amp;SG_Criteria!$B$43&amp;" dia. ","")&amp;IF(AND(LEFT(D16,7)="Precast",J16&lt;=SG_Criteria!$B$42),"NOTE: 006C is for manholes &gt; "&amp;SG_Criteria!$B$42&amp;" m deep. ","")&amp;IF(AND(K16&lt;&gt;"",K16&lt;SG_Criteria!$B$40,D16&lt;&gt;"Inspection Chamber"),"NOTE: public sewer min dia "&amp;SG_Criteria!$B$40&amp;" mm. ","")&amp;IF(AND(Y16&lt;&gt;"",Y16&lt;SG_Criteria!$B$44),"FAIL: uplift FOS below "&amp;SG_Criteria!$B$44&amp;". ",""))=0,"OK",IF(AND(Z16&lt;&gt;"",IFERROR(VALUE(MID(Z16,2,2)),0)&lt;SG_Criteria!$B$19),"FAIL: grade below C"&amp;SG_Criteria!$B$19&amp;". ","")&amp;IF(AND(AA16&lt;&gt;"",AA16&lt;SG_Criteria!$B$20),"FAIL: cover &lt; "&amp;SG_Criteria!$B$20&amp;" mm. ","")&amp;IF(AND(I16&lt;&gt;"",I16&lt;SG_Criteria!$B$39),"NOTE: min depth below PUB "&amp;SG_Criteria!$B$39&amp;" m. ","")&amp;IF(AND(LEFT(D16,8)="Standard",J16&gt;SG_Criteria!$B$42),"FAIL: PUB 001C covers manholes up to "&amp;SG_Criteria!$B$42&amp;" m deep only. ","")&amp;IF(AND(LEFT(D16,11)="Rectangular",K16&lt;SG_Criteria!$B$43),"NOTE: 004C is for sewers &gt;= "&amp;SG_Criteria!$B$43&amp;" dia. ","")&amp;IF(AND(LEFT(D16,7)="Precast",J16&lt;=SG_Criteria!$B$42),"NOTE: 006C is for manholes &gt; "&amp;SG_Criteria!$B$42&amp;" m deep. ","")&amp;IF(AND(K16&lt;&gt;"",K16&lt;SG_Criteria!$B$40,D16&lt;&gt;"Inspection Chamber"),"NOTE: public sewer min dia "&amp;SG_Criteria!$B$40&amp;" mm. ","")&amp;IF(AND(Y16&lt;&gt;"",Y16&lt;SG_Criteria!$B$44),"FAIL: uplift FOS below "&amp;SG_Criteria!$B$44&amp;". ","")))</f>
        <v/>
      </c>
      <c r="BH16" s="9"/>
      <c r="BI16" s="9"/>
      <c r="BJ16" s="9"/>
      <c r="BK16" s="10" t="str">
        <f aca="false">IF(BJ16="","",IFERROR(VLOOKUP(BJ16,Projects!$A$5:$D$504,2,0),"Ref not in Projects"))</f>
        <v/>
      </c>
      <c r="BL16" s="10" t="str">
        <f aca="false">IF(BJ16="","",IFERROR(VLOOKUP(BJ16,Projects!$A$5:$D$504,4,0),"Ref not in Projects"))</f>
        <v/>
      </c>
      <c r="BM16" s="9"/>
      <c r="BN16" s="9"/>
      <c r="BO16" s="9"/>
      <c r="BP16" s="40"/>
      <c r="BQ16" s="9"/>
      <c r="BR16" s="40"/>
      <c r="BS16" s="9"/>
      <c r="BT16" s="40"/>
      <c r="BU16" s="9"/>
      <c r="BV16" s="9"/>
      <c r="BW16" s="9"/>
      <c r="BX16" s="40"/>
      <c r="BY16" s="40"/>
      <c r="BZ16" s="36" t="str">
        <f aca="false">IF(BY16="","",EDATE(BY16,SG_Criteria!$B$54*12))</f>
        <v/>
      </c>
      <c r="CA16" s="33" t="str">
        <f aca="true">IF(A16="","",IF(BY16="","NOTE: not reviewed yet",IF(TODAY()&gt;BZ16,"NOTE: review overdue","OK")))</f>
        <v/>
      </c>
      <c r="CB16" s="37" t="str">
        <f aca="false">IF(A16="","",ROUND((IF(LEN(D16)&gt;0,1,0)+IF(LEN(E16)&gt;0,1,0)+IF(LEN(F16)&gt;0,1,0)+IF(LEN(G16)&gt;0,1,0)+IF(LEN(I16)&gt;0,1,0)+IF(LEN(J16)&gt;0,1,0)+IF(LEN(K16)&gt;0,1,0)+IF(LEN(L16)&gt;0,1,0)+IF(LEN(M16)&gt;0,1,0)+IF(LEN(N16)&gt;0,1,0)+IF(LEN(Z16)&gt;0,1,0)+IF(LEN(AA16)&gt;0,1,0)+IF(LEN(Y16)&gt;0,1,0)+IF(LEN(AE16)&gt;0,1,0)+IF(LEN(AG16)&gt;0,1,0)+IF(LEN(AZ16)&gt;0,1,0)+IF(LEN(AK16)&gt;0,1,0)+IF(LEN(AM16)&gt;0,1,0)+IF(LEN(AN16)&gt;0,1,0)+IF(LEN(AO16)&gt;0,1,0)+IF(LEN(AP16)&gt;0,1,0)+IF(LEN(AY16)&gt;0,1,0)+IF(LEN(BJ16)&gt;0,1,0)+IF(LEN(BW16)&gt;0,1,0))/24,2))</f>
        <v/>
      </c>
      <c r="CC16" s="10" t="str">
        <f aca="false">IF(D16="","",IF(AND(AN16="Approved",ISERROR(SEARCH("FAIL",BG16))),"Y","N"))</f>
        <v/>
      </c>
      <c r="CD16" s="10" t="str">
        <f aca="false">IF(D16="","",D16&amp;"|"&amp;J16&amp;"|"&amp;G16&amp;"|"&amp;CC16)</f>
        <v/>
      </c>
    </row>
    <row r="17" customFormat="false" ht="15" hidden="false" customHeight="false" outlineLevel="0" collapsed="false">
      <c r="A17" s="10" t="str">
        <f aca="false">IF(D17="","","MH-"&amp;IFERROR(VLOOKUP(D17,Lists!$AB$4:$AC$20,2,0),"??")&amp;"-"&amp;TEXT(G17,"0000")&amp;IF(F17="Circular","D","x"&amp;TEXT(H17,"0000"))&amp;"-D"&amp;TEXT(J17*1000,"0000")&amp;"-"&amp;IFERROR(VLOOKUP(E17,Lists!$AE$4:$AF$16,2,0),"??")&amp;"-"&amp;AM17)</f>
        <v/>
      </c>
      <c r="B17" s="10" t="str">
        <f aca="false">IF(D17="","",D17&amp;", "&amp;E17&amp;", "&amp;IF(F17="Circular",G17&amp;" dia",G17&amp;" x "&amp;H17)&amp;", depth "&amp;TEXT(I17,"0.0")&amp;"-"&amp;TEXT(J17,"0.0")&amp;" m, pipe up to "&amp;K17&amp;" dia")</f>
        <v/>
      </c>
      <c r="C17" s="9"/>
      <c r="D17" s="9"/>
      <c r="E17" s="9"/>
      <c r="F17" s="9"/>
      <c r="G17" s="38"/>
      <c r="H17" s="38"/>
      <c r="I17" s="42"/>
      <c r="J17" s="42"/>
      <c r="K17" s="38"/>
      <c r="L17" s="38"/>
      <c r="M17" s="38"/>
      <c r="N17" s="38"/>
      <c r="O17" s="9"/>
      <c r="P17" s="9"/>
      <c r="Q17" s="9"/>
      <c r="R17" s="9"/>
      <c r="S17" s="9"/>
      <c r="T17" s="9"/>
      <c r="U17" s="9"/>
      <c r="V17" s="42"/>
      <c r="W17" s="9"/>
      <c r="X17" s="9"/>
      <c r="Y17" s="39"/>
      <c r="Z17" s="9"/>
      <c r="AA17" s="38"/>
      <c r="AB17" s="9"/>
      <c r="AC17" s="9"/>
      <c r="AD17" s="9"/>
      <c r="AE17" s="9"/>
      <c r="AF17" s="9"/>
      <c r="AG17" s="9"/>
      <c r="AH17" s="38"/>
      <c r="AI17" s="9"/>
      <c r="AJ17" s="39"/>
      <c r="AK17" s="9"/>
      <c r="AL17" s="9"/>
      <c r="AM17" s="9"/>
      <c r="AN17" s="9"/>
      <c r="AO17" s="9"/>
      <c r="AP17" s="9"/>
      <c r="AQ17" s="9"/>
      <c r="AR17" s="10" t="str">
        <f aca="false">IF(A17="","",SG_Criteria!$B$6&amp;SG_Criteria!$B$10&amp;"\"&amp;A17&amp;"\")</f>
        <v/>
      </c>
      <c r="AS17" s="10" t="str">
        <f aca="false">IF(A17="","",A17&amp;"_CAD.dwg")</f>
        <v/>
      </c>
      <c r="AT17" s="10" t="str">
        <f aca="false">IF(A17="","",A17&amp;"_DWG.pdf")</f>
        <v/>
      </c>
      <c r="AU17" s="10" t="str">
        <f aca="false">IF(A17="","",IF(AQ17="Y",A17&amp;"_STAAD.std","n/a"))</f>
        <v/>
      </c>
      <c r="AV17" s="10" t="str">
        <f aca="false">IF(A17="","",A17&amp;"_CALC.xlsx")</f>
        <v/>
      </c>
      <c r="AW17" s="10" t="str">
        <f aca="false">IF(A17="","",A17&amp;"_CALC.pdf")</f>
        <v/>
      </c>
      <c r="AX17" s="9"/>
      <c r="AY17" s="9"/>
      <c r="AZ17" s="39"/>
      <c r="BA17" s="39"/>
      <c r="BB17" s="39"/>
      <c r="BC17" s="39"/>
      <c r="BD17" s="39"/>
      <c r="BE17" s="12" t="str">
        <f aca="false">IF(A17="","",IF(COUNTIF(Rebar_Schedule!$A$5:$A$2004,A17)=0,"",ROUND(SUMIF(Rebar_Schedule!$A$5:$A$2004,A17,Rebar_Schedule!$K$5:$K$2004),1)))</f>
        <v/>
      </c>
      <c r="BF17" s="33" t="str">
        <f aca="false">IF(A17="","",IF(BE17="","No rebar schedule yet",IF(ABS(BE17-N(BA17))/MAX(N(BA17),1)&gt;SG_Criteria!$B$55,"NOTE: register rebar differs from schedule by "&amp;TEXT(ABS(BE17-N(BA17))/MAX(N(BA17),1),"0%"),"OK")))</f>
        <v/>
      </c>
      <c r="BG17" s="33" t="str">
        <f aca="false">IF(D17="","",IF(LEN(IF(AND(Z17&lt;&gt;"",IFERROR(VALUE(MID(Z17,2,2)),0)&lt;SG_Criteria!$B$19),"FAIL: grade below C"&amp;SG_Criteria!$B$19&amp;". ","")&amp;IF(AND(AA17&lt;&gt;"",AA17&lt;SG_Criteria!$B$20),"FAIL: cover &lt; "&amp;SG_Criteria!$B$20&amp;" mm. ","")&amp;IF(AND(I17&lt;&gt;"",I17&lt;SG_Criteria!$B$39),"NOTE: min depth below PUB "&amp;SG_Criteria!$B$39&amp;" m. ","")&amp;IF(AND(LEFT(D17,8)="Standard",J17&gt;SG_Criteria!$B$42),"FAIL: PUB 001C covers manholes up to "&amp;SG_Criteria!$B$42&amp;" m deep only. ","")&amp;IF(AND(LEFT(D17,11)="Rectangular",K17&lt;SG_Criteria!$B$43),"NOTE: 004C is for sewers &gt;= "&amp;SG_Criteria!$B$43&amp;" dia. ","")&amp;IF(AND(LEFT(D17,7)="Precast",J17&lt;=SG_Criteria!$B$42),"NOTE: 006C is for manholes &gt; "&amp;SG_Criteria!$B$42&amp;" m deep. ","")&amp;IF(AND(K17&lt;&gt;"",K17&lt;SG_Criteria!$B$40,D17&lt;&gt;"Inspection Chamber"),"NOTE: public sewer min dia "&amp;SG_Criteria!$B$40&amp;" mm. ","")&amp;IF(AND(Y17&lt;&gt;"",Y17&lt;SG_Criteria!$B$44),"FAIL: uplift FOS below "&amp;SG_Criteria!$B$44&amp;". ",""))=0,"OK",IF(AND(Z17&lt;&gt;"",IFERROR(VALUE(MID(Z17,2,2)),0)&lt;SG_Criteria!$B$19),"FAIL: grade below C"&amp;SG_Criteria!$B$19&amp;". ","")&amp;IF(AND(AA17&lt;&gt;"",AA17&lt;SG_Criteria!$B$20),"FAIL: cover &lt; "&amp;SG_Criteria!$B$20&amp;" mm. ","")&amp;IF(AND(I17&lt;&gt;"",I17&lt;SG_Criteria!$B$39),"NOTE: min depth below PUB "&amp;SG_Criteria!$B$39&amp;" m. ","")&amp;IF(AND(LEFT(D17,8)="Standard",J17&gt;SG_Criteria!$B$42),"FAIL: PUB 001C covers manholes up to "&amp;SG_Criteria!$B$42&amp;" m deep only. ","")&amp;IF(AND(LEFT(D17,11)="Rectangular",K17&lt;SG_Criteria!$B$43),"NOTE: 004C is for sewers &gt;= "&amp;SG_Criteria!$B$43&amp;" dia. ","")&amp;IF(AND(LEFT(D17,7)="Precast",J17&lt;=SG_Criteria!$B$42),"NOTE: 006C is for manholes &gt; "&amp;SG_Criteria!$B$42&amp;" m deep. ","")&amp;IF(AND(K17&lt;&gt;"",K17&lt;SG_Criteria!$B$40,D17&lt;&gt;"Inspection Chamber"),"NOTE: public sewer min dia "&amp;SG_Criteria!$B$40&amp;" mm. ","")&amp;IF(AND(Y17&lt;&gt;"",Y17&lt;SG_Criteria!$B$44),"FAIL: uplift FOS below "&amp;SG_Criteria!$B$44&amp;". ","")))</f>
        <v/>
      </c>
      <c r="BH17" s="9"/>
      <c r="BI17" s="9"/>
      <c r="BJ17" s="9"/>
      <c r="BK17" s="10" t="str">
        <f aca="false">IF(BJ17="","",IFERROR(VLOOKUP(BJ17,Projects!$A$5:$D$504,2,0),"Ref not in Projects"))</f>
        <v/>
      </c>
      <c r="BL17" s="10" t="str">
        <f aca="false">IF(BJ17="","",IFERROR(VLOOKUP(BJ17,Projects!$A$5:$D$504,4,0),"Ref not in Projects"))</f>
        <v/>
      </c>
      <c r="BM17" s="9"/>
      <c r="BN17" s="9"/>
      <c r="BO17" s="9"/>
      <c r="BP17" s="40"/>
      <c r="BQ17" s="9"/>
      <c r="BR17" s="40"/>
      <c r="BS17" s="9"/>
      <c r="BT17" s="40"/>
      <c r="BU17" s="9"/>
      <c r="BV17" s="9"/>
      <c r="BW17" s="9"/>
      <c r="BX17" s="40"/>
      <c r="BY17" s="40"/>
      <c r="BZ17" s="36" t="str">
        <f aca="false">IF(BY17="","",EDATE(BY17,SG_Criteria!$B$54*12))</f>
        <v/>
      </c>
      <c r="CA17" s="33" t="str">
        <f aca="true">IF(A17="","",IF(BY17="","NOTE: not reviewed yet",IF(TODAY()&gt;BZ17,"NOTE: review overdue","OK")))</f>
        <v/>
      </c>
      <c r="CB17" s="37" t="str">
        <f aca="false">IF(A17="","",ROUND((IF(LEN(D17)&gt;0,1,0)+IF(LEN(E17)&gt;0,1,0)+IF(LEN(F17)&gt;0,1,0)+IF(LEN(G17)&gt;0,1,0)+IF(LEN(I17)&gt;0,1,0)+IF(LEN(J17)&gt;0,1,0)+IF(LEN(K17)&gt;0,1,0)+IF(LEN(L17)&gt;0,1,0)+IF(LEN(M17)&gt;0,1,0)+IF(LEN(N17)&gt;0,1,0)+IF(LEN(Z17)&gt;0,1,0)+IF(LEN(AA17)&gt;0,1,0)+IF(LEN(Y17)&gt;0,1,0)+IF(LEN(AE17)&gt;0,1,0)+IF(LEN(AG17)&gt;0,1,0)+IF(LEN(AZ17)&gt;0,1,0)+IF(LEN(AK17)&gt;0,1,0)+IF(LEN(AM17)&gt;0,1,0)+IF(LEN(AN17)&gt;0,1,0)+IF(LEN(AO17)&gt;0,1,0)+IF(LEN(AP17)&gt;0,1,0)+IF(LEN(AY17)&gt;0,1,0)+IF(LEN(BJ17)&gt;0,1,0)+IF(LEN(BW17)&gt;0,1,0))/24,2))</f>
        <v/>
      </c>
      <c r="CC17" s="10" t="str">
        <f aca="false">IF(D17="","",IF(AND(AN17="Approved",ISERROR(SEARCH("FAIL",BG17))),"Y","N"))</f>
        <v/>
      </c>
      <c r="CD17" s="10" t="str">
        <f aca="false">IF(D17="","",D17&amp;"|"&amp;J17&amp;"|"&amp;G17&amp;"|"&amp;CC17)</f>
        <v/>
      </c>
    </row>
    <row r="18" customFormat="false" ht="15" hidden="false" customHeight="false" outlineLevel="0" collapsed="false">
      <c r="A18" s="10" t="str">
        <f aca="false">IF(D18="","","MH-"&amp;IFERROR(VLOOKUP(D18,Lists!$AB$4:$AC$20,2,0),"??")&amp;"-"&amp;TEXT(G18,"0000")&amp;IF(F18="Circular","D","x"&amp;TEXT(H18,"0000"))&amp;"-D"&amp;TEXT(J18*1000,"0000")&amp;"-"&amp;IFERROR(VLOOKUP(E18,Lists!$AE$4:$AF$16,2,0),"??")&amp;"-"&amp;AM18)</f>
        <v/>
      </c>
      <c r="B18" s="10" t="str">
        <f aca="false">IF(D18="","",D18&amp;", "&amp;E18&amp;", "&amp;IF(F18="Circular",G18&amp;" dia",G18&amp;" x "&amp;H18)&amp;", depth "&amp;TEXT(I18,"0.0")&amp;"-"&amp;TEXT(J18,"0.0")&amp;" m, pipe up to "&amp;K18&amp;" dia")</f>
        <v/>
      </c>
      <c r="C18" s="9"/>
      <c r="D18" s="9"/>
      <c r="E18" s="9"/>
      <c r="F18" s="9"/>
      <c r="G18" s="38"/>
      <c r="H18" s="38"/>
      <c r="I18" s="42"/>
      <c r="J18" s="42"/>
      <c r="K18" s="38"/>
      <c r="L18" s="38"/>
      <c r="M18" s="38"/>
      <c r="N18" s="38"/>
      <c r="O18" s="9"/>
      <c r="P18" s="9"/>
      <c r="Q18" s="9"/>
      <c r="R18" s="9"/>
      <c r="S18" s="9"/>
      <c r="T18" s="9"/>
      <c r="U18" s="9"/>
      <c r="V18" s="42"/>
      <c r="W18" s="9"/>
      <c r="X18" s="9"/>
      <c r="Y18" s="39"/>
      <c r="Z18" s="9"/>
      <c r="AA18" s="38"/>
      <c r="AB18" s="9"/>
      <c r="AC18" s="9"/>
      <c r="AD18" s="9"/>
      <c r="AE18" s="9"/>
      <c r="AF18" s="9"/>
      <c r="AG18" s="9"/>
      <c r="AH18" s="38"/>
      <c r="AI18" s="9"/>
      <c r="AJ18" s="39"/>
      <c r="AK18" s="9"/>
      <c r="AL18" s="9"/>
      <c r="AM18" s="9"/>
      <c r="AN18" s="9"/>
      <c r="AO18" s="9"/>
      <c r="AP18" s="9"/>
      <c r="AQ18" s="9"/>
      <c r="AR18" s="10" t="str">
        <f aca="false">IF(A18="","",SG_Criteria!$B$6&amp;SG_Criteria!$B$10&amp;"\"&amp;A18&amp;"\")</f>
        <v/>
      </c>
      <c r="AS18" s="10" t="str">
        <f aca="false">IF(A18="","",A18&amp;"_CAD.dwg")</f>
        <v/>
      </c>
      <c r="AT18" s="10" t="str">
        <f aca="false">IF(A18="","",A18&amp;"_DWG.pdf")</f>
        <v/>
      </c>
      <c r="AU18" s="10" t="str">
        <f aca="false">IF(A18="","",IF(AQ18="Y",A18&amp;"_STAAD.std","n/a"))</f>
        <v/>
      </c>
      <c r="AV18" s="10" t="str">
        <f aca="false">IF(A18="","",A18&amp;"_CALC.xlsx")</f>
        <v/>
      </c>
      <c r="AW18" s="10" t="str">
        <f aca="false">IF(A18="","",A18&amp;"_CALC.pdf")</f>
        <v/>
      </c>
      <c r="AX18" s="9"/>
      <c r="AY18" s="9"/>
      <c r="AZ18" s="39"/>
      <c r="BA18" s="39"/>
      <c r="BB18" s="39"/>
      <c r="BC18" s="39"/>
      <c r="BD18" s="39"/>
      <c r="BE18" s="12" t="str">
        <f aca="false">IF(A18="","",IF(COUNTIF(Rebar_Schedule!$A$5:$A$2004,A18)=0,"",ROUND(SUMIF(Rebar_Schedule!$A$5:$A$2004,A18,Rebar_Schedule!$K$5:$K$2004),1)))</f>
        <v/>
      </c>
      <c r="BF18" s="33" t="str">
        <f aca="false">IF(A18="","",IF(BE18="","No rebar schedule yet",IF(ABS(BE18-N(BA18))/MAX(N(BA18),1)&gt;SG_Criteria!$B$55,"NOTE: register rebar differs from schedule by "&amp;TEXT(ABS(BE18-N(BA18))/MAX(N(BA18),1),"0%"),"OK")))</f>
        <v/>
      </c>
      <c r="BG18" s="33" t="str">
        <f aca="false">IF(D18="","",IF(LEN(IF(AND(Z18&lt;&gt;"",IFERROR(VALUE(MID(Z18,2,2)),0)&lt;SG_Criteria!$B$19),"FAIL: grade below C"&amp;SG_Criteria!$B$19&amp;". ","")&amp;IF(AND(AA18&lt;&gt;"",AA18&lt;SG_Criteria!$B$20),"FAIL: cover &lt; "&amp;SG_Criteria!$B$20&amp;" mm. ","")&amp;IF(AND(I18&lt;&gt;"",I18&lt;SG_Criteria!$B$39),"NOTE: min depth below PUB "&amp;SG_Criteria!$B$39&amp;" m. ","")&amp;IF(AND(LEFT(D18,8)="Standard",J18&gt;SG_Criteria!$B$42),"FAIL: PUB 001C covers manholes up to "&amp;SG_Criteria!$B$42&amp;" m deep only. ","")&amp;IF(AND(LEFT(D18,11)="Rectangular",K18&lt;SG_Criteria!$B$43),"NOTE: 004C is for sewers &gt;= "&amp;SG_Criteria!$B$43&amp;" dia. ","")&amp;IF(AND(LEFT(D18,7)="Precast",J18&lt;=SG_Criteria!$B$42),"NOTE: 006C is for manholes &gt; "&amp;SG_Criteria!$B$42&amp;" m deep. ","")&amp;IF(AND(K18&lt;&gt;"",K18&lt;SG_Criteria!$B$40,D18&lt;&gt;"Inspection Chamber"),"NOTE: public sewer min dia "&amp;SG_Criteria!$B$40&amp;" mm. ","")&amp;IF(AND(Y18&lt;&gt;"",Y18&lt;SG_Criteria!$B$44),"FAIL: uplift FOS below "&amp;SG_Criteria!$B$44&amp;". ",""))=0,"OK",IF(AND(Z18&lt;&gt;"",IFERROR(VALUE(MID(Z18,2,2)),0)&lt;SG_Criteria!$B$19),"FAIL: grade below C"&amp;SG_Criteria!$B$19&amp;". ","")&amp;IF(AND(AA18&lt;&gt;"",AA18&lt;SG_Criteria!$B$20),"FAIL: cover &lt; "&amp;SG_Criteria!$B$20&amp;" mm. ","")&amp;IF(AND(I18&lt;&gt;"",I18&lt;SG_Criteria!$B$39),"NOTE: min depth below PUB "&amp;SG_Criteria!$B$39&amp;" m. ","")&amp;IF(AND(LEFT(D18,8)="Standard",J18&gt;SG_Criteria!$B$42),"FAIL: PUB 001C covers manholes up to "&amp;SG_Criteria!$B$42&amp;" m deep only. ","")&amp;IF(AND(LEFT(D18,11)="Rectangular",K18&lt;SG_Criteria!$B$43),"NOTE: 004C is for sewers &gt;= "&amp;SG_Criteria!$B$43&amp;" dia. ","")&amp;IF(AND(LEFT(D18,7)="Precast",J18&lt;=SG_Criteria!$B$42),"NOTE: 006C is for manholes &gt; "&amp;SG_Criteria!$B$42&amp;" m deep. ","")&amp;IF(AND(K18&lt;&gt;"",K18&lt;SG_Criteria!$B$40,D18&lt;&gt;"Inspection Chamber"),"NOTE: public sewer min dia "&amp;SG_Criteria!$B$40&amp;" mm. ","")&amp;IF(AND(Y18&lt;&gt;"",Y18&lt;SG_Criteria!$B$44),"FAIL: uplift FOS below "&amp;SG_Criteria!$B$44&amp;". ","")))</f>
        <v/>
      </c>
      <c r="BH18" s="9"/>
      <c r="BI18" s="9"/>
      <c r="BJ18" s="9"/>
      <c r="BK18" s="10" t="str">
        <f aca="false">IF(BJ18="","",IFERROR(VLOOKUP(BJ18,Projects!$A$5:$D$504,2,0),"Ref not in Projects"))</f>
        <v/>
      </c>
      <c r="BL18" s="10" t="str">
        <f aca="false">IF(BJ18="","",IFERROR(VLOOKUP(BJ18,Projects!$A$5:$D$504,4,0),"Ref not in Projects"))</f>
        <v/>
      </c>
      <c r="BM18" s="9"/>
      <c r="BN18" s="9"/>
      <c r="BO18" s="9"/>
      <c r="BP18" s="40"/>
      <c r="BQ18" s="9"/>
      <c r="BR18" s="40"/>
      <c r="BS18" s="9"/>
      <c r="BT18" s="40"/>
      <c r="BU18" s="9"/>
      <c r="BV18" s="9"/>
      <c r="BW18" s="9"/>
      <c r="BX18" s="40"/>
      <c r="BY18" s="40"/>
      <c r="BZ18" s="36" t="str">
        <f aca="false">IF(BY18="","",EDATE(BY18,SG_Criteria!$B$54*12))</f>
        <v/>
      </c>
      <c r="CA18" s="33" t="str">
        <f aca="true">IF(A18="","",IF(BY18="","NOTE: not reviewed yet",IF(TODAY()&gt;BZ18,"NOTE: review overdue","OK")))</f>
        <v/>
      </c>
      <c r="CB18" s="37" t="str">
        <f aca="false">IF(A18="","",ROUND((IF(LEN(D18)&gt;0,1,0)+IF(LEN(E18)&gt;0,1,0)+IF(LEN(F18)&gt;0,1,0)+IF(LEN(G18)&gt;0,1,0)+IF(LEN(I18)&gt;0,1,0)+IF(LEN(J18)&gt;0,1,0)+IF(LEN(K18)&gt;0,1,0)+IF(LEN(L18)&gt;0,1,0)+IF(LEN(M18)&gt;0,1,0)+IF(LEN(N18)&gt;0,1,0)+IF(LEN(Z18)&gt;0,1,0)+IF(LEN(AA18)&gt;0,1,0)+IF(LEN(Y18)&gt;0,1,0)+IF(LEN(AE18)&gt;0,1,0)+IF(LEN(AG18)&gt;0,1,0)+IF(LEN(AZ18)&gt;0,1,0)+IF(LEN(AK18)&gt;0,1,0)+IF(LEN(AM18)&gt;0,1,0)+IF(LEN(AN18)&gt;0,1,0)+IF(LEN(AO18)&gt;0,1,0)+IF(LEN(AP18)&gt;0,1,0)+IF(LEN(AY18)&gt;0,1,0)+IF(LEN(BJ18)&gt;0,1,0)+IF(LEN(BW18)&gt;0,1,0))/24,2))</f>
        <v/>
      </c>
      <c r="CC18" s="10" t="str">
        <f aca="false">IF(D18="","",IF(AND(AN18="Approved",ISERROR(SEARCH("FAIL",BG18))),"Y","N"))</f>
        <v/>
      </c>
      <c r="CD18" s="10" t="str">
        <f aca="false">IF(D18="","",D18&amp;"|"&amp;J18&amp;"|"&amp;G18&amp;"|"&amp;CC18)</f>
        <v/>
      </c>
    </row>
    <row r="19" customFormat="false" ht="15" hidden="false" customHeight="false" outlineLevel="0" collapsed="false">
      <c r="A19" s="10" t="str">
        <f aca="false">IF(D19="","","MH-"&amp;IFERROR(VLOOKUP(D19,Lists!$AB$4:$AC$20,2,0),"??")&amp;"-"&amp;TEXT(G19,"0000")&amp;IF(F19="Circular","D","x"&amp;TEXT(H19,"0000"))&amp;"-D"&amp;TEXT(J19*1000,"0000")&amp;"-"&amp;IFERROR(VLOOKUP(E19,Lists!$AE$4:$AF$16,2,0),"??")&amp;"-"&amp;AM19)</f>
        <v/>
      </c>
      <c r="B19" s="10" t="str">
        <f aca="false">IF(D19="","",D19&amp;", "&amp;E19&amp;", "&amp;IF(F19="Circular",G19&amp;" dia",G19&amp;" x "&amp;H19)&amp;", depth "&amp;TEXT(I19,"0.0")&amp;"-"&amp;TEXT(J19,"0.0")&amp;" m, pipe up to "&amp;K19&amp;" dia")</f>
        <v/>
      </c>
      <c r="C19" s="9"/>
      <c r="D19" s="9"/>
      <c r="E19" s="9"/>
      <c r="F19" s="9"/>
      <c r="G19" s="38"/>
      <c r="H19" s="38"/>
      <c r="I19" s="42"/>
      <c r="J19" s="42"/>
      <c r="K19" s="38"/>
      <c r="L19" s="38"/>
      <c r="M19" s="38"/>
      <c r="N19" s="38"/>
      <c r="O19" s="9"/>
      <c r="P19" s="9"/>
      <c r="Q19" s="9"/>
      <c r="R19" s="9"/>
      <c r="S19" s="9"/>
      <c r="T19" s="9"/>
      <c r="U19" s="9"/>
      <c r="V19" s="42"/>
      <c r="W19" s="9"/>
      <c r="X19" s="9"/>
      <c r="Y19" s="39"/>
      <c r="Z19" s="9"/>
      <c r="AA19" s="38"/>
      <c r="AB19" s="9"/>
      <c r="AC19" s="9"/>
      <c r="AD19" s="9"/>
      <c r="AE19" s="9"/>
      <c r="AF19" s="9"/>
      <c r="AG19" s="9"/>
      <c r="AH19" s="38"/>
      <c r="AI19" s="9"/>
      <c r="AJ19" s="39"/>
      <c r="AK19" s="9"/>
      <c r="AL19" s="9"/>
      <c r="AM19" s="9"/>
      <c r="AN19" s="9"/>
      <c r="AO19" s="9"/>
      <c r="AP19" s="9"/>
      <c r="AQ19" s="9"/>
      <c r="AR19" s="10" t="str">
        <f aca="false">IF(A19="","",SG_Criteria!$B$6&amp;SG_Criteria!$B$10&amp;"\"&amp;A19&amp;"\")</f>
        <v/>
      </c>
      <c r="AS19" s="10" t="str">
        <f aca="false">IF(A19="","",A19&amp;"_CAD.dwg")</f>
        <v/>
      </c>
      <c r="AT19" s="10" t="str">
        <f aca="false">IF(A19="","",A19&amp;"_DWG.pdf")</f>
        <v/>
      </c>
      <c r="AU19" s="10" t="str">
        <f aca="false">IF(A19="","",IF(AQ19="Y",A19&amp;"_STAAD.std","n/a"))</f>
        <v/>
      </c>
      <c r="AV19" s="10" t="str">
        <f aca="false">IF(A19="","",A19&amp;"_CALC.xlsx")</f>
        <v/>
      </c>
      <c r="AW19" s="10" t="str">
        <f aca="false">IF(A19="","",A19&amp;"_CALC.pdf")</f>
        <v/>
      </c>
      <c r="AX19" s="9"/>
      <c r="AY19" s="9"/>
      <c r="AZ19" s="39"/>
      <c r="BA19" s="39"/>
      <c r="BB19" s="39"/>
      <c r="BC19" s="39"/>
      <c r="BD19" s="39"/>
      <c r="BE19" s="12" t="str">
        <f aca="false">IF(A19="","",IF(COUNTIF(Rebar_Schedule!$A$5:$A$2004,A19)=0,"",ROUND(SUMIF(Rebar_Schedule!$A$5:$A$2004,A19,Rebar_Schedule!$K$5:$K$2004),1)))</f>
        <v/>
      </c>
      <c r="BF19" s="33" t="str">
        <f aca="false">IF(A19="","",IF(BE19="","No rebar schedule yet",IF(ABS(BE19-N(BA19))/MAX(N(BA19),1)&gt;SG_Criteria!$B$55,"NOTE: register rebar differs from schedule by "&amp;TEXT(ABS(BE19-N(BA19))/MAX(N(BA19),1),"0%"),"OK")))</f>
        <v/>
      </c>
      <c r="BG19" s="33" t="str">
        <f aca="false">IF(D19="","",IF(LEN(IF(AND(Z19&lt;&gt;"",IFERROR(VALUE(MID(Z19,2,2)),0)&lt;SG_Criteria!$B$19),"FAIL: grade below C"&amp;SG_Criteria!$B$19&amp;". ","")&amp;IF(AND(AA19&lt;&gt;"",AA19&lt;SG_Criteria!$B$20),"FAIL: cover &lt; "&amp;SG_Criteria!$B$20&amp;" mm. ","")&amp;IF(AND(I19&lt;&gt;"",I19&lt;SG_Criteria!$B$39),"NOTE: min depth below PUB "&amp;SG_Criteria!$B$39&amp;" m. ","")&amp;IF(AND(LEFT(D19,8)="Standard",J19&gt;SG_Criteria!$B$42),"FAIL: PUB 001C covers manholes up to "&amp;SG_Criteria!$B$42&amp;" m deep only. ","")&amp;IF(AND(LEFT(D19,11)="Rectangular",K19&lt;SG_Criteria!$B$43),"NOTE: 004C is for sewers &gt;= "&amp;SG_Criteria!$B$43&amp;" dia. ","")&amp;IF(AND(LEFT(D19,7)="Precast",J19&lt;=SG_Criteria!$B$42),"NOTE: 006C is for manholes &gt; "&amp;SG_Criteria!$B$42&amp;" m deep. ","")&amp;IF(AND(K19&lt;&gt;"",K19&lt;SG_Criteria!$B$40,D19&lt;&gt;"Inspection Chamber"),"NOTE: public sewer min dia "&amp;SG_Criteria!$B$40&amp;" mm. ","")&amp;IF(AND(Y19&lt;&gt;"",Y19&lt;SG_Criteria!$B$44),"FAIL: uplift FOS below "&amp;SG_Criteria!$B$44&amp;". ",""))=0,"OK",IF(AND(Z19&lt;&gt;"",IFERROR(VALUE(MID(Z19,2,2)),0)&lt;SG_Criteria!$B$19),"FAIL: grade below C"&amp;SG_Criteria!$B$19&amp;". ","")&amp;IF(AND(AA19&lt;&gt;"",AA19&lt;SG_Criteria!$B$20),"FAIL: cover &lt; "&amp;SG_Criteria!$B$20&amp;" mm. ","")&amp;IF(AND(I19&lt;&gt;"",I19&lt;SG_Criteria!$B$39),"NOTE: min depth below PUB "&amp;SG_Criteria!$B$39&amp;" m. ","")&amp;IF(AND(LEFT(D19,8)="Standard",J19&gt;SG_Criteria!$B$42),"FAIL: PUB 001C covers manholes up to "&amp;SG_Criteria!$B$42&amp;" m deep only. ","")&amp;IF(AND(LEFT(D19,11)="Rectangular",K19&lt;SG_Criteria!$B$43),"NOTE: 004C is for sewers &gt;= "&amp;SG_Criteria!$B$43&amp;" dia. ","")&amp;IF(AND(LEFT(D19,7)="Precast",J19&lt;=SG_Criteria!$B$42),"NOTE: 006C is for manholes &gt; "&amp;SG_Criteria!$B$42&amp;" m deep. ","")&amp;IF(AND(K19&lt;&gt;"",K19&lt;SG_Criteria!$B$40,D19&lt;&gt;"Inspection Chamber"),"NOTE: public sewer min dia "&amp;SG_Criteria!$B$40&amp;" mm. ","")&amp;IF(AND(Y19&lt;&gt;"",Y19&lt;SG_Criteria!$B$44),"FAIL: uplift FOS below "&amp;SG_Criteria!$B$44&amp;". ","")))</f>
        <v/>
      </c>
      <c r="BH19" s="9"/>
      <c r="BI19" s="9"/>
      <c r="BJ19" s="9"/>
      <c r="BK19" s="10" t="str">
        <f aca="false">IF(BJ19="","",IFERROR(VLOOKUP(BJ19,Projects!$A$5:$D$504,2,0),"Ref not in Projects"))</f>
        <v/>
      </c>
      <c r="BL19" s="10" t="str">
        <f aca="false">IF(BJ19="","",IFERROR(VLOOKUP(BJ19,Projects!$A$5:$D$504,4,0),"Ref not in Projects"))</f>
        <v/>
      </c>
      <c r="BM19" s="9"/>
      <c r="BN19" s="9"/>
      <c r="BO19" s="9"/>
      <c r="BP19" s="40"/>
      <c r="BQ19" s="9"/>
      <c r="BR19" s="40"/>
      <c r="BS19" s="9"/>
      <c r="BT19" s="40"/>
      <c r="BU19" s="9"/>
      <c r="BV19" s="9"/>
      <c r="BW19" s="9"/>
      <c r="BX19" s="40"/>
      <c r="BY19" s="40"/>
      <c r="BZ19" s="36" t="str">
        <f aca="false">IF(BY19="","",EDATE(BY19,SG_Criteria!$B$54*12))</f>
        <v/>
      </c>
      <c r="CA19" s="33" t="str">
        <f aca="true">IF(A19="","",IF(BY19="","NOTE: not reviewed yet",IF(TODAY()&gt;BZ19,"NOTE: review overdue","OK")))</f>
        <v/>
      </c>
      <c r="CB19" s="37" t="str">
        <f aca="false">IF(A19="","",ROUND((IF(LEN(D19)&gt;0,1,0)+IF(LEN(E19)&gt;0,1,0)+IF(LEN(F19)&gt;0,1,0)+IF(LEN(G19)&gt;0,1,0)+IF(LEN(I19)&gt;0,1,0)+IF(LEN(J19)&gt;0,1,0)+IF(LEN(K19)&gt;0,1,0)+IF(LEN(L19)&gt;0,1,0)+IF(LEN(M19)&gt;0,1,0)+IF(LEN(N19)&gt;0,1,0)+IF(LEN(Z19)&gt;0,1,0)+IF(LEN(AA19)&gt;0,1,0)+IF(LEN(Y19)&gt;0,1,0)+IF(LEN(AE19)&gt;0,1,0)+IF(LEN(AG19)&gt;0,1,0)+IF(LEN(AZ19)&gt;0,1,0)+IF(LEN(AK19)&gt;0,1,0)+IF(LEN(AM19)&gt;0,1,0)+IF(LEN(AN19)&gt;0,1,0)+IF(LEN(AO19)&gt;0,1,0)+IF(LEN(AP19)&gt;0,1,0)+IF(LEN(AY19)&gt;0,1,0)+IF(LEN(BJ19)&gt;0,1,0)+IF(LEN(BW19)&gt;0,1,0))/24,2))</f>
        <v/>
      </c>
      <c r="CC19" s="10" t="str">
        <f aca="false">IF(D19="","",IF(AND(AN19="Approved",ISERROR(SEARCH("FAIL",BG19))),"Y","N"))</f>
        <v/>
      </c>
      <c r="CD19" s="10" t="str">
        <f aca="false">IF(D19="","",D19&amp;"|"&amp;J19&amp;"|"&amp;G19&amp;"|"&amp;CC19)</f>
        <v/>
      </c>
    </row>
    <row r="20" customFormat="false" ht="15" hidden="false" customHeight="false" outlineLevel="0" collapsed="false">
      <c r="A20" s="10" t="str">
        <f aca="false">IF(D20="","","MH-"&amp;IFERROR(VLOOKUP(D20,Lists!$AB$4:$AC$20,2,0),"??")&amp;"-"&amp;TEXT(G20,"0000")&amp;IF(F20="Circular","D","x"&amp;TEXT(H20,"0000"))&amp;"-D"&amp;TEXT(J20*1000,"0000")&amp;"-"&amp;IFERROR(VLOOKUP(E20,Lists!$AE$4:$AF$16,2,0),"??")&amp;"-"&amp;AM20)</f>
        <v/>
      </c>
      <c r="B20" s="10" t="str">
        <f aca="false">IF(D20="","",D20&amp;", "&amp;E20&amp;", "&amp;IF(F20="Circular",G20&amp;" dia",G20&amp;" x "&amp;H20)&amp;", depth "&amp;TEXT(I20,"0.0")&amp;"-"&amp;TEXT(J20,"0.0")&amp;" m, pipe up to "&amp;K20&amp;" dia")</f>
        <v/>
      </c>
      <c r="C20" s="9"/>
      <c r="D20" s="9"/>
      <c r="E20" s="9"/>
      <c r="F20" s="9"/>
      <c r="G20" s="38"/>
      <c r="H20" s="38"/>
      <c r="I20" s="42"/>
      <c r="J20" s="42"/>
      <c r="K20" s="38"/>
      <c r="L20" s="38"/>
      <c r="M20" s="38"/>
      <c r="N20" s="38"/>
      <c r="O20" s="9"/>
      <c r="P20" s="9"/>
      <c r="Q20" s="9"/>
      <c r="R20" s="9"/>
      <c r="S20" s="9"/>
      <c r="T20" s="9"/>
      <c r="U20" s="9"/>
      <c r="V20" s="42"/>
      <c r="W20" s="9"/>
      <c r="X20" s="9"/>
      <c r="Y20" s="39"/>
      <c r="Z20" s="9"/>
      <c r="AA20" s="38"/>
      <c r="AB20" s="9"/>
      <c r="AC20" s="9"/>
      <c r="AD20" s="9"/>
      <c r="AE20" s="9"/>
      <c r="AF20" s="9"/>
      <c r="AG20" s="9"/>
      <c r="AH20" s="38"/>
      <c r="AI20" s="9"/>
      <c r="AJ20" s="39"/>
      <c r="AK20" s="9"/>
      <c r="AL20" s="9"/>
      <c r="AM20" s="9"/>
      <c r="AN20" s="9"/>
      <c r="AO20" s="9"/>
      <c r="AP20" s="9"/>
      <c r="AQ20" s="9"/>
      <c r="AR20" s="10" t="str">
        <f aca="false">IF(A20="","",SG_Criteria!$B$6&amp;SG_Criteria!$B$10&amp;"\"&amp;A20&amp;"\")</f>
        <v/>
      </c>
      <c r="AS20" s="10" t="str">
        <f aca="false">IF(A20="","",A20&amp;"_CAD.dwg")</f>
        <v/>
      </c>
      <c r="AT20" s="10" t="str">
        <f aca="false">IF(A20="","",A20&amp;"_DWG.pdf")</f>
        <v/>
      </c>
      <c r="AU20" s="10" t="str">
        <f aca="false">IF(A20="","",IF(AQ20="Y",A20&amp;"_STAAD.std","n/a"))</f>
        <v/>
      </c>
      <c r="AV20" s="10" t="str">
        <f aca="false">IF(A20="","",A20&amp;"_CALC.xlsx")</f>
        <v/>
      </c>
      <c r="AW20" s="10" t="str">
        <f aca="false">IF(A20="","",A20&amp;"_CALC.pdf")</f>
        <v/>
      </c>
      <c r="AX20" s="9"/>
      <c r="AY20" s="9"/>
      <c r="AZ20" s="39"/>
      <c r="BA20" s="39"/>
      <c r="BB20" s="39"/>
      <c r="BC20" s="39"/>
      <c r="BD20" s="39"/>
      <c r="BE20" s="12" t="str">
        <f aca="false">IF(A20="","",IF(COUNTIF(Rebar_Schedule!$A$5:$A$2004,A20)=0,"",ROUND(SUMIF(Rebar_Schedule!$A$5:$A$2004,A20,Rebar_Schedule!$K$5:$K$2004),1)))</f>
        <v/>
      </c>
      <c r="BF20" s="33" t="str">
        <f aca="false">IF(A20="","",IF(BE20="","No rebar schedule yet",IF(ABS(BE20-N(BA20))/MAX(N(BA20),1)&gt;SG_Criteria!$B$55,"NOTE: register rebar differs from schedule by "&amp;TEXT(ABS(BE20-N(BA20))/MAX(N(BA20),1),"0%"),"OK")))</f>
        <v/>
      </c>
      <c r="BG20" s="33" t="str">
        <f aca="false">IF(D20="","",IF(LEN(IF(AND(Z20&lt;&gt;"",IFERROR(VALUE(MID(Z20,2,2)),0)&lt;SG_Criteria!$B$19),"FAIL: grade below C"&amp;SG_Criteria!$B$19&amp;". ","")&amp;IF(AND(AA20&lt;&gt;"",AA20&lt;SG_Criteria!$B$20),"FAIL: cover &lt; "&amp;SG_Criteria!$B$20&amp;" mm. ","")&amp;IF(AND(I20&lt;&gt;"",I20&lt;SG_Criteria!$B$39),"NOTE: min depth below PUB "&amp;SG_Criteria!$B$39&amp;" m. ","")&amp;IF(AND(LEFT(D20,8)="Standard",J20&gt;SG_Criteria!$B$42),"FAIL: PUB 001C covers manholes up to "&amp;SG_Criteria!$B$42&amp;" m deep only. ","")&amp;IF(AND(LEFT(D20,11)="Rectangular",K20&lt;SG_Criteria!$B$43),"NOTE: 004C is for sewers &gt;= "&amp;SG_Criteria!$B$43&amp;" dia. ","")&amp;IF(AND(LEFT(D20,7)="Precast",J20&lt;=SG_Criteria!$B$42),"NOTE: 006C is for manholes &gt; "&amp;SG_Criteria!$B$42&amp;" m deep. ","")&amp;IF(AND(K20&lt;&gt;"",K20&lt;SG_Criteria!$B$40,D20&lt;&gt;"Inspection Chamber"),"NOTE: public sewer min dia "&amp;SG_Criteria!$B$40&amp;" mm. ","")&amp;IF(AND(Y20&lt;&gt;"",Y20&lt;SG_Criteria!$B$44),"FAIL: uplift FOS below "&amp;SG_Criteria!$B$44&amp;". ",""))=0,"OK",IF(AND(Z20&lt;&gt;"",IFERROR(VALUE(MID(Z20,2,2)),0)&lt;SG_Criteria!$B$19),"FAIL: grade below C"&amp;SG_Criteria!$B$19&amp;". ","")&amp;IF(AND(AA20&lt;&gt;"",AA20&lt;SG_Criteria!$B$20),"FAIL: cover &lt; "&amp;SG_Criteria!$B$20&amp;" mm. ","")&amp;IF(AND(I20&lt;&gt;"",I20&lt;SG_Criteria!$B$39),"NOTE: min depth below PUB "&amp;SG_Criteria!$B$39&amp;" m. ","")&amp;IF(AND(LEFT(D20,8)="Standard",J20&gt;SG_Criteria!$B$42),"FAIL: PUB 001C covers manholes up to "&amp;SG_Criteria!$B$42&amp;" m deep only. ","")&amp;IF(AND(LEFT(D20,11)="Rectangular",K20&lt;SG_Criteria!$B$43),"NOTE: 004C is for sewers &gt;= "&amp;SG_Criteria!$B$43&amp;" dia. ","")&amp;IF(AND(LEFT(D20,7)="Precast",J20&lt;=SG_Criteria!$B$42),"NOTE: 006C is for manholes &gt; "&amp;SG_Criteria!$B$42&amp;" m deep. ","")&amp;IF(AND(K20&lt;&gt;"",K20&lt;SG_Criteria!$B$40,D20&lt;&gt;"Inspection Chamber"),"NOTE: public sewer min dia "&amp;SG_Criteria!$B$40&amp;" mm. ","")&amp;IF(AND(Y20&lt;&gt;"",Y20&lt;SG_Criteria!$B$44),"FAIL: uplift FOS below "&amp;SG_Criteria!$B$44&amp;". ","")))</f>
        <v/>
      </c>
      <c r="BH20" s="9"/>
      <c r="BI20" s="9"/>
      <c r="BJ20" s="9"/>
      <c r="BK20" s="10" t="str">
        <f aca="false">IF(BJ20="","",IFERROR(VLOOKUP(BJ20,Projects!$A$5:$D$504,2,0),"Ref not in Projects"))</f>
        <v/>
      </c>
      <c r="BL20" s="10" t="str">
        <f aca="false">IF(BJ20="","",IFERROR(VLOOKUP(BJ20,Projects!$A$5:$D$504,4,0),"Ref not in Projects"))</f>
        <v/>
      </c>
      <c r="BM20" s="9"/>
      <c r="BN20" s="9"/>
      <c r="BO20" s="9"/>
      <c r="BP20" s="40"/>
      <c r="BQ20" s="9"/>
      <c r="BR20" s="40"/>
      <c r="BS20" s="9"/>
      <c r="BT20" s="40"/>
      <c r="BU20" s="9"/>
      <c r="BV20" s="9"/>
      <c r="BW20" s="9"/>
      <c r="BX20" s="40"/>
      <c r="BY20" s="40"/>
      <c r="BZ20" s="36" t="str">
        <f aca="false">IF(BY20="","",EDATE(BY20,SG_Criteria!$B$54*12))</f>
        <v/>
      </c>
      <c r="CA20" s="33" t="str">
        <f aca="true">IF(A20="","",IF(BY20="","NOTE: not reviewed yet",IF(TODAY()&gt;BZ20,"NOTE: review overdue","OK")))</f>
        <v/>
      </c>
      <c r="CB20" s="37" t="str">
        <f aca="false">IF(A20="","",ROUND((IF(LEN(D20)&gt;0,1,0)+IF(LEN(E20)&gt;0,1,0)+IF(LEN(F20)&gt;0,1,0)+IF(LEN(G20)&gt;0,1,0)+IF(LEN(I20)&gt;0,1,0)+IF(LEN(J20)&gt;0,1,0)+IF(LEN(K20)&gt;0,1,0)+IF(LEN(L20)&gt;0,1,0)+IF(LEN(M20)&gt;0,1,0)+IF(LEN(N20)&gt;0,1,0)+IF(LEN(Z20)&gt;0,1,0)+IF(LEN(AA20)&gt;0,1,0)+IF(LEN(Y20)&gt;0,1,0)+IF(LEN(AE20)&gt;0,1,0)+IF(LEN(AG20)&gt;0,1,0)+IF(LEN(AZ20)&gt;0,1,0)+IF(LEN(AK20)&gt;0,1,0)+IF(LEN(AM20)&gt;0,1,0)+IF(LEN(AN20)&gt;0,1,0)+IF(LEN(AO20)&gt;0,1,0)+IF(LEN(AP20)&gt;0,1,0)+IF(LEN(AY20)&gt;0,1,0)+IF(LEN(BJ20)&gt;0,1,0)+IF(LEN(BW20)&gt;0,1,0))/24,2))</f>
        <v/>
      </c>
      <c r="CC20" s="10" t="str">
        <f aca="false">IF(D20="","",IF(AND(AN20="Approved",ISERROR(SEARCH("FAIL",BG20))),"Y","N"))</f>
        <v/>
      </c>
      <c r="CD20" s="10" t="str">
        <f aca="false">IF(D20="","",D20&amp;"|"&amp;J20&amp;"|"&amp;G20&amp;"|"&amp;CC20)</f>
        <v/>
      </c>
    </row>
    <row r="21" customFormat="false" ht="15" hidden="false" customHeight="false" outlineLevel="0" collapsed="false">
      <c r="A21" s="10" t="str">
        <f aca="false">IF(D21="","","MH-"&amp;IFERROR(VLOOKUP(D21,Lists!$AB$4:$AC$20,2,0),"??")&amp;"-"&amp;TEXT(G21,"0000")&amp;IF(F21="Circular","D","x"&amp;TEXT(H21,"0000"))&amp;"-D"&amp;TEXT(J21*1000,"0000")&amp;"-"&amp;IFERROR(VLOOKUP(E21,Lists!$AE$4:$AF$16,2,0),"??")&amp;"-"&amp;AM21)</f>
        <v/>
      </c>
      <c r="B21" s="10" t="str">
        <f aca="false">IF(D21="","",D21&amp;", "&amp;E21&amp;", "&amp;IF(F21="Circular",G21&amp;" dia",G21&amp;" x "&amp;H21)&amp;", depth "&amp;TEXT(I21,"0.0")&amp;"-"&amp;TEXT(J21,"0.0")&amp;" m, pipe up to "&amp;K21&amp;" dia")</f>
        <v/>
      </c>
      <c r="C21" s="9"/>
      <c r="D21" s="9"/>
      <c r="E21" s="9"/>
      <c r="F21" s="9"/>
      <c r="G21" s="38"/>
      <c r="H21" s="38"/>
      <c r="I21" s="42"/>
      <c r="J21" s="42"/>
      <c r="K21" s="38"/>
      <c r="L21" s="38"/>
      <c r="M21" s="38"/>
      <c r="N21" s="38"/>
      <c r="O21" s="9"/>
      <c r="P21" s="9"/>
      <c r="Q21" s="9"/>
      <c r="R21" s="9"/>
      <c r="S21" s="9"/>
      <c r="T21" s="9"/>
      <c r="U21" s="9"/>
      <c r="V21" s="42"/>
      <c r="W21" s="9"/>
      <c r="X21" s="9"/>
      <c r="Y21" s="39"/>
      <c r="Z21" s="9"/>
      <c r="AA21" s="38"/>
      <c r="AB21" s="9"/>
      <c r="AC21" s="9"/>
      <c r="AD21" s="9"/>
      <c r="AE21" s="9"/>
      <c r="AF21" s="9"/>
      <c r="AG21" s="9"/>
      <c r="AH21" s="38"/>
      <c r="AI21" s="9"/>
      <c r="AJ21" s="39"/>
      <c r="AK21" s="9"/>
      <c r="AL21" s="9"/>
      <c r="AM21" s="9"/>
      <c r="AN21" s="9"/>
      <c r="AO21" s="9"/>
      <c r="AP21" s="9"/>
      <c r="AQ21" s="9"/>
      <c r="AR21" s="10" t="str">
        <f aca="false">IF(A21="","",SG_Criteria!$B$6&amp;SG_Criteria!$B$10&amp;"\"&amp;A21&amp;"\")</f>
        <v/>
      </c>
      <c r="AS21" s="10" t="str">
        <f aca="false">IF(A21="","",A21&amp;"_CAD.dwg")</f>
        <v/>
      </c>
      <c r="AT21" s="10" t="str">
        <f aca="false">IF(A21="","",A21&amp;"_DWG.pdf")</f>
        <v/>
      </c>
      <c r="AU21" s="10" t="str">
        <f aca="false">IF(A21="","",IF(AQ21="Y",A21&amp;"_STAAD.std","n/a"))</f>
        <v/>
      </c>
      <c r="AV21" s="10" t="str">
        <f aca="false">IF(A21="","",A21&amp;"_CALC.xlsx")</f>
        <v/>
      </c>
      <c r="AW21" s="10" t="str">
        <f aca="false">IF(A21="","",A21&amp;"_CALC.pdf")</f>
        <v/>
      </c>
      <c r="AX21" s="9"/>
      <c r="AY21" s="9"/>
      <c r="AZ21" s="39"/>
      <c r="BA21" s="39"/>
      <c r="BB21" s="39"/>
      <c r="BC21" s="39"/>
      <c r="BD21" s="39"/>
      <c r="BE21" s="12" t="str">
        <f aca="false">IF(A21="","",IF(COUNTIF(Rebar_Schedule!$A$5:$A$2004,A21)=0,"",ROUND(SUMIF(Rebar_Schedule!$A$5:$A$2004,A21,Rebar_Schedule!$K$5:$K$2004),1)))</f>
        <v/>
      </c>
      <c r="BF21" s="33" t="str">
        <f aca="false">IF(A21="","",IF(BE21="","No rebar schedule yet",IF(ABS(BE21-N(BA21))/MAX(N(BA21),1)&gt;SG_Criteria!$B$55,"NOTE: register rebar differs from schedule by "&amp;TEXT(ABS(BE21-N(BA21))/MAX(N(BA21),1),"0%"),"OK")))</f>
        <v/>
      </c>
      <c r="BG21" s="33" t="str">
        <f aca="false">IF(D21="","",IF(LEN(IF(AND(Z21&lt;&gt;"",IFERROR(VALUE(MID(Z21,2,2)),0)&lt;SG_Criteria!$B$19),"FAIL: grade below C"&amp;SG_Criteria!$B$19&amp;". ","")&amp;IF(AND(AA21&lt;&gt;"",AA21&lt;SG_Criteria!$B$20),"FAIL: cover &lt; "&amp;SG_Criteria!$B$20&amp;" mm. ","")&amp;IF(AND(I21&lt;&gt;"",I21&lt;SG_Criteria!$B$39),"NOTE: min depth below PUB "&amp;SG_Criteria!$B$39&amp;" m. ","")&amp;IF(AND(LEFT(D21,8)="Standard",J21&gt;SG_Criteria!$B$42),"FAIL: PUB 001C covers manholes up to "&amp;SG_Criteria!$B$42&amp;" m deep only. ","")&amp;IF(AND(LEFT(D21,11)="Rectangular",K21&lt;SG_Criteria!$B$43),"NOTE: 004C is for sewers &gt;= "&amp;SG_Criteria!$B$43&amp;" dia. ","")&amp;IF(AND(LEFT(D21,7)="Precast",J21&lt;=SG_Criteria!$B$42),"NOTE: 006C is for manholes &gt; "&amp;SG_Criteria!$B$42&amp;" m deep. ","")&amp;IF(AND(K21&lt;&gt;"",K21&lt;SG_Criteria!$B$40,D21&lt;&gt;"Inspection Chamber"),"NOTE: public sewer min dia "&amp;SG_Criteria!$B$40&amp;" mm. ","")&amp;IF(AND(Y21&lt;&gt;"",Y21&lt;SG_Criteria!$B$44),"FAIL: uplift FOS below "&amp;SG_Criteria!$B$44&amp;". ",""))=0,"OK",IF(AND(Z21&lt;&gt;"",IFERROR(VALUE(MID(Z21,2,2)),0)&lt;SG_Criteria!$B$19),"FAIL: grade below C"&amp;SG_Criteria!$B$19&amp;". ","")&amp;IF(AND(AA21&lt;&gt;"",AA21&lt;SG_Criteria!$B$20),"FAIL: cover &lt; "&amp;SG_Criteria!$B$20&amp;" mm. ","")&amp;IF(AND(I21&lt;&gt;"",I21&lt;SG_Criteria!$B$39),"NOTE: min depth below PUB "&amp;SG_Criteria!$B$39&amp;" m. ","")&amp;IF(AND(LEFT(D21,8)="Standard",J21&gt;SG_Criteria!$B$42),"FAIL: PUB 001C covers manholes up to "&amp;SG_Criteria!$B$42&amp;" m deep only. ","")&amp;IF(AND(LEFT(D21,11)="Rectangular",K21&lt;SG_Criteria!$B$43),"NOTE: 004C is for sewers &gt;= "&amp;SG_Criteria!$B$43&amp;" dia. ","")&amp;IF(AND(LEFT(D21,7)="Precast",J21&lt;=SG_Criteria!$B$42),"NOTE: 006C is for manholes &gt; "&amp;SG_Criteria!$B$42&amp;" m deep. ","")&amp;IF(AND(K21&lt;&gt;"",K21&lt;SG_Criteria!$B$40,D21&lt;&gt;"Inspection Chamber"),"NOTE: public sewer min dia "&amp;SG_Criteria!$B$40&amp;" mm. ","")&amp;IF(AND(Y21&lt;&gt;"",Y21&lt;SG_Criteria!$B$44),"FAIL: uplift FOS below "&amp;SG_Criteria!$B$44&amp;". ","")))</f>
        <v/>
      </c>
      <c r="BH21" s="9"/>
      <c r="BI21" s="9"/>
      <c r="BJ21" s="9"/>
      <c r="BK21" s="10" t="str">
        <f aca="false">IF(BJ21="","",IFERROR(VLOOKUP(BJ21,Projects!$A$5:$D$504,2,0),"Ref not in Projects"))</f>
        <v/>
      </c>
      <c r="BL21" s="10" t="str">
        <f aca="false">IF(BJ21="","",IFERROR(VLOOKUP(BJ21,Projects!$A$5:$D$504,4,0),"Ref not in Projects"))</f>
        <v/>
      </c>
      <c r="BM21" s="9"/>
      <c r="BN21" s="9"/>
      <c r="BO21" s="9"/>
      <c r="BP21" s="40"/>
      <c r="BQ21" s="9"/>
      <c r="BR21" s="40"/>
      <c r="BS21" s="9"/>
      <c r="BT21" s="40"/>
      <c r="BU21" s="9"/>
      <c r="BV21" s="9"/>
      <c r="BW21" s="9"/>
      <c r="BX21" s="40"/>
      <c r="BY21" s="40"/>
      <c r="BZ21" s="36" t="str">
        <f aca="false">IF(BY21="","",EDATE(BY21,SG_Criteria!$B$54*12))</f>
        <v/>
      </c>
      <c r="CA21" s="33" t="str">
        <f aca="true">IF(A21="","",IF(BY21="","NOTE: not reviewed yet",IF(TODAY()&gt;BZ21,"NOTE: review overdue","OK")))</f>
        <v/>
      </c>
      <c r="CB21" s="37" t="str">
        <f aca="false">IF(A21="","",ROUND((IF(LEN(D21)&gt;0,1,0)+IF(LEN(E21)&gt;0,1,0)+IF(LEN(F21)&gt;0,1,0)+IF(LEN(G21)&gt;0,1,0)+IF(LEN(I21)&gt;0,1,0)+IF(LEN(J21)&gt;0,1,0)+IF(LEN(K21)&gt;0,1,0)+IF(LEN(L21)&gt;0,1,0)+IF(LEN(M21)&gt;0,1,0)+IF(LEN(N21)&gt;0,1,0)+IF(LEN(Z21)&gt;0,1,0)+IF(LEN(AA21)&gt;0,1,0)+IF(LEN(Y21)&gt;0,1,0)+IF(LEN(AE21)&gt;0,1,0)+IF(LEN(AG21)&gt;0,1,0)+IF(LEN(AZ21)&gt;0,1,0)+IF(LEN(AK21)&gt;0,1,0)+IF(LEN(AM21)&gt;0,1,0)+IF(LEN(AN21)&gt;0,1,0)+IF(LEN(AO21)&gt;0,1,0)+IF(LEN(AP21)&gt;0,1,0)+IF(LEN(AY21)&gt;0,1,0)+IF(LEN(BJ21)&gt;0,1,0)+IF(LEN(BW21)&gt;0,1,0))/24,2))</f>
        <v/>
      </c>
      <c r="CC21" s="10" t="str">
        <f aca="false">IF(D21="","",IF(AND(AN21="Approved",ISERROR(SEARCH("FAIL",BG21))),"Y","N"))</f>
        <v/>
      </c>
      <c r="CD21" s="10" t="str">
        <f aca="false">IF(D21="","",D21&amp;"|"&amp;J21&amp;"|"&amp;G21&amp;"|"&amp;CC21)</f>
        <v/>
      </c>
    </row>
    <row r="22" customFormat="false" ht="15" hidden="false" customHeight="false" outlineLevel="0" collapsed="false">
      <c r="A22" s="10" t="str">
        <f aca="false">IF(D22="","","MH-"&amp;IFERROR(VLOOKUP(D22,Lists!$AB$4:$AC$20,2,0),"??")&amp;"-"&amp;TEXT(G22,"0000")&amp;IF(F22="Circular","D","x"&amp;TEXT(H22,"0000"))&amp;"-D"&amp;TEXT(J22*1000,"0000")&amp;"-"&amp;IFERROR(VLOOKUP(E22,Lists!$AE$4:$AF$16,2,0),"??")&amp;"-"&amp;AM22)</f>
        <v/>
      </c>
      <c r="B22" s="10" t="str">
        <f aca="false">IF(D22="","",D22&amp;", "&amp;E22&amp;", "&amp;IF(F22="Circular",G22&amp;" dia",G22&amp;" x "&amp;H22)&amp;", depth "&amp;TEXT(I22,"0.0")&amp;"-"&amp;TEXT(J22,"0.0")&amp;" m, pipe up to "&amp;K22&amp;" dia")</f>
        <v/>
      </c>
      <c r="C22" s="9"/>
      <c r="D22" s="9"/>
      <c r="E22" s="9"/>
      <c r="F22" s="9"/>
      <c r="G22" s="38"/>
      <c r="H22" s="38"/>
      <c r="I22" s="42"/>
      <c r="J22" s="42"/>
      <c r="K22" s="38"/>
      <c r="L22" s="38"/>
      <c r="M22" s="38"/>
      <c r="N22" s="38"/>
      <c r="O22" s="9"/>
      <c r="P22" s="9"/>
      <c r="Q22" s="9"/>
      <c r="R22" s="9"/>
      <c r="S22" s="9"/>
      <c r="T22" s="9"/>
      <c r="U22" s="9"/>
      <c r="V22" s="42"/>
      <c r="W22" s="9"/>
      <c r="X22" s="9"/>
      <c r="Y22" s="39"/>
      <c r="Z22" s="9"/>
      <c r="AA22" s="38"/>
      <c r="AB22" s="9"/>
      <c r="AC22" s="9"/>
      <c r="AD22" s="9"/>
      <c r="AE22" s="9"/>
      <c r="AF22" s="9"/>
      <c r="AG22" s="9"/>
      <c r="AH22" s="38"/>
      <c r="AI22" s="9"/>
      <c r="AJ22" s="39"/>
      <c r="AK22" s="9"/>
      <c r="AL22" s="9"/>
      <c r="AM22" s="9"/>
      <c r="AN22" s="9"/>
      <c r="AO22" s="9"/>
      <c r="AP22" s="9"/>
      <c r="AQ22" s="9"/>
      <c r="AR22" s="10" t="str">
        <f aca="false">IF(A22="","",SG_Criteria!$B$6&amp;SG_Criteria!$B$10&amp;"\"&amp;A22&amp;"\")</f>
        <v/>
      </c>
      <c r="AS22" s="10" t="str">
        <f aca="false">IF(A22="","",A22&amp;"_CAD.dwg")</f>
        <v/>
      </c>
      <c r="AT22" s="10" t="str">
        <f aca="false">IF(A22="","",A22&amp;"_DWG.pdf")</f>
        <v/>
      </c>
      <c r="AU22" s="10" t="str">
        <f aca="false">IF(A22="","",IF(AQ22="Y",A22&amp;"_STAAD.std","n/a"))</f>
        <v/>
      </c>
      <c r="AV22" s="10" t="str">
        <f aca="false">IF(A22="","",A22&amp;"_CALC.xlsx")</f>
        <v/>
      </c>
      <c r="AW22" s="10" t="str">
        <f aca="false">IF(A22="","",A22&amp;"_CALC.pdf")</f>
        <v/>
      </c>
      <c r="AX22" s="9"/>
      <c r="AY22" s="9"/>
      <c r="AZ22" s="39"/>
      <c r="BA22" s="39"/>
      <c r="BB22" s="39"/>
      <c r="BC22" s="39"/>
      <c r="BD22" s="39"/>
      <c r="BE22" s="12" t="str">
        <f aca="false">IF(A22="","",IF(COUNTIF(Rebar_Schedule!$A$5:$A$2004,A22)=0,"",ROUND(SUMIF(Rebar_Schedule!$A$5:$A$2004,A22,Rebar_Schedule!$K$5:$K$2004),1)))</f>
        <v/>
      </c>
      <c r="BF22" s="33" t="str">
        <f aca="false">IF(A22="","",IF(BE22="","No rebar schedule yet",IF(ABS(BE22-N(BA22))/MAX(N(BA22),1)&gt;SG_Criteria!$B$55,"NOTE: register rebar differs from schedule by "&amp;TEXT(ABS(BE22-N(BA22))/MAX(N(BA22),1),"0%"),"OK")))</f>
        <v/>
      </c>
      <c r="BG22" s="33" t="str">
        <f aca="false">IF(D22="","",IF(LEN(IF(AND(Z22&lt;&gt;"",IFERROR(VALUE(MID(Z22,2,2)),0)&lt;SG_Criteria!$B$19),"FAIL: grade below C"&amp;SG_Criteria!$B$19&amp;". ","")&amp;IF(AND(AA22&lt;&gt;"",AA22&lt;SG_Criteria!$B$20),"FAIL: cover &lt; "&amp;SG_Criteria!$B$20&amp;" mm. ","")&amp;IF(AND(I22&lt;&gt;"",I22&lt;SG_Criteria!$B$39),"NOTE: min depth below PUB "&amp;SG_Criteria!$B$39&amp;" m. ","")&amp;IF(AND(LEFT(D22,8)="Standard",J22&gt;SG_Criteria!$B$42),"FAIL: PUB 001C covers manholes up to "&amp;SG_Criteria!$B$42&amp;" m deep only. ","")&amp;IF(AND(LEFT(D22,11)="Rectangular",K22&lt;SG_Criteria!$B$43),"NOTE: 004C is for sewers &gt;= "&amp;SG_Criteria!$B$43&amp;" dia. ","")&amp;IF(AND(LEFT(D22,7)="Precast",J22&lt;=SG_Criteria!$B$42),"NOTE: 006C is for manholes &gt; "&amp;SG_Criteria!$B$42&amp;" m deep. ","")&amp;IF(AND(K22&lt;&gt;"",K22&lt;SG_Criteria!$B$40,D22&lt;&gt;"Inspection Chamber"),"NOTE: public sewer min dia "&amp;SG_Criteria!$B$40&amp;" mm. ","")&amp;IF(AND(Y22&lt;&gt;"",Y22&lt;SG_Criteria!$B$44),"FAIL: uplift FOS below "&amp;SG_Criteria!$B$44&amp;". ",""))=0,"OK",IF(AND(Z22&lt;&gt;"",IFERROR(VALUE(MID(Z22,2,2)),0)&lt;SG_Criteria!$B$19),"FAIL: grade below C"&amp;SG_Criteria!$B$19&amp;". ","")&amp;IF(AND(AA22&lt;&gt;"",AA22&lt;SG_Criteria!$B$20),"FAIL: cover &lt; "&amp;SG_Criteria!$B$20&amp;" mm. ","")&amp;IF(AND(I22&lt;&gt;"",I22&lt;SG_Criteria!$B$39),"NOTE: min depth below PUB "&amp;SG_Criteria!$B$39&amp;" m. ","")&amp;IF(AND(LEFT(D22,8)="Standard",J22&gt;SG_Criteria!$B$42),"FAIL: PUB 001C covers manholes up to "&amp;SG_Criteria!$B$42&amp;" m deep only. ","")&amp;IF(AND(LEFT(D22,11)="Rectangular",K22&lt;SG_Criteria!$B$43),"NOTE: 004C is for sewers &gt;= "&amp;SG_Criteria!$B$43&amp;" dia. ","")&amp;IF(AND(LEFT(D22,7)="Precast",J22&lt;=SG_Criteria!$B$42),"NOTE: 006C is for manholes &gt; "&amp;SG_Criteria!$B$42&amp;" m deep. ","")&amp;IF(AND(K22&lt;&gt;"",K22&lt;SG_Criteria!$B$40,D22&lt;&gt;"Inspection Chamber"),"NOTE: public sewer min dia "&amp;SG_Criteria!$B$40&amp;" mm. ","")&amp;IF(AND(Y22&lt;&gt;"",Y22&lt;SG_Criteria!$B$44),"FAIL: uplift FOS below "&amp;SG_Criteria!$B$44&amp;". ","")))</f>
        <v/>
      </c>
      <c r="BH22" s="9"/>
      <c r="BI22" s="9"/>
      <c r="BJ22" s="9"/>
      <c r="BK22" s="10" t="str">
        <f aca="false">IF(BJ22="","",IFERROR(VLOOKUP(BJ22,Projects!$A$5:$D$504,2,0),"Ref not in Projects"))</f>
        <v/>
      </c>
      <c r="BL22" s="10" t="str">
        <f aca="false">IF(BJ22="","",IFERROR(VLOOKUP(BJ22,Projects!$A$5:$D$504,4,0),"Ref not in Projects"))</f>
        <v/>
      </c>
      <c r="BM22" s="9"/>
      <c r="BN22" s="9"/>
      <c r="BO22" s="9"/>
      <c r="BP22" s="40"/>
      <c r="BQ22" s="9"/>
      <c r="BR22" s="40"/>
      <c r="BS22" s="9"/>
      <c r="BT22" s="40"/>
      <c r="BU22" s="9"/>
      <c r="BV22" s="9"/>
      <c r="BW22" s="9"/>
      <c r="BX22" s="40"/>
      <c r="BY22" s="40"/>
      <c r="BZ22" s="36" t="str">
        <f aca="false">IF(BY22="","",EDATE(BY22,SG_Criteria!$B$54*12))</f>
        <v/>
      </c>
      <c r="CA22" s="33" t="str">
        <f aca="true">IF(A22="","",IF(BY22="","NOTE: not reviewed yet",IF(TODAY()&gt;BZ22,"NOTE: review overdue","OK")))</f>
        <v/>
      </c>
      <c r="CB22" s="37" t="str">
        <f aca="false">IF(A22="","",ROUND((IF(LEN(D22)&gt;0,1,0)+IF(LEN(E22)&gt;0,1,0)+IF(LEN(F22)&gt;0,1,0)+IF(LEN(G22)&gt;0,1,0)+IF(LEN(I22)&gt;0,1,0)+IF(LEN(J22)&gt;0,1,0)+IF(LEN(K22)&gt;0,1,0)+IF(LEN(L22)&gt;0,1,0)+IF(LEN(M22)&gt;0,1,0)+IF(LEN(N22)&gt;0,1,0)+IF(LEN(Z22)&gt;0,1,0)+IF(LEN(AA22)&gt;0,1,0)+IF(LEN(Y22)&gt;0,1,0)+IF(LEN(AE22)&gt;0,1,0)+IF(LEN(AG22)&gt;0,1,0)+IF(LEN(AZ22)&gt;0,1,0)+IF(LEN(AK22)&gt;0,1,0)+IF(LEN(AM22)&gt;0,1,0)+IF(LEN(AN22)&gt;0,1,0)+IF(LEN(AO22)&gt;0,1,0)+IF(LEN(AP22)&gt;0,1,0)+IF(LEN(AY22)&gt;0,1,0)+IF(LEN(BJ22)&gt;0,1,0)+IF(LEN(BW22)&gt;0,1,0))/24,2))</f>
        <v/>
      </c>
      <c r="CC22" s="10" t="str">
        <f aca="false">IF(D22="","",IF(AND(AN22="Approved",ISERROR(SEARCH("FAIL",BG22))),"Y","N"))</f>
        <v/>
      </c>
      <c r="CD22" s="10" t="str">
        <f aca="false">IF(D22="","",D22&amp;"|"&amp;J22&amp;"|"&amp;G22&amp;"|"&amp;CC22)</f>
        <v/>
      </c>
    </row>
    <row r="23" customFormat="false" ht="15" hidden="false" customHeight="false" outlineLevel="0" collapsed="false">
      <c r="A23" s="10" t="str">
        <f aca="false">IF(D23="","","MH-"&amp;IFERROR(VLOOKUP(D23,Lists!$AB$4:$AC$20,2,0),"??")&amp;"-"&amp;TEXT(G23,"0000")&amp;IF(F23="Circular","D","x"&amp;TEXT(H23,"0000"))&amp;"-D"&amp;TEXT(J23*1000,"0000")&amp;"-"&amp;IFERROR(VLOOKUP(E23,Lists!$AE$4:$AF$16,2,0),"??")&amp;"-"&amp;AM23)</f>
        <v/>
      </c>
      <c r="B23" s="10" t="str">
        <f aca="false">IF(D23="","",D23&amp;", "&amp;E23&amp;", "&amp;IF(F23="Circular",G23&amp;" dia",G23&amp;" x "&amp;H23)&amp;", depth "&amp;TEXT(I23,"0.0")&amp;"-"&amp;TEXT(J23,"0.0")&amp;" m, pipe up to "&amp;K23&amp;" dia")</f>
        <v/>
      </c>
      <c r="C23" s="9"/>
      <c r="D23" s="9"/>
      <c r="E23" s="9"/>
      <c r="F23" s="9"/>
      <c r="G23" s="38"/>
      <c r="H23" s="38"/>
      <c r="I23" s="42"/>
      <c r="J23" s="42"/>
      <c r="K23" s="38"/>
      <c r="L23" s="38"/>
      <c r="M23" s="38"/>
      <c r="N23" s="38"/>
      <c r="O23" s="9"/>
      <c r="P23" s="9"/>
      <c r="Q23" s="9"/>
      <c r="R23" s="9"/>
      <c r="S23" s="9"/>
      <c r="T23" s="9"/>
      <c r="U23" s="9"/>
      <c r="V23" s="42"/>
      <c r="W23" s="9"/>
      <c r="X23" s="9"/>
      <c r="Y23" s="39"/>
      <c r="Z23" s="9"/>
      <c r="AA23" s="38"/>
      <c r="AB23" s="9"/>
      <c r="AC23" s="9"/>
      <c r="AD23" s="9"/>
      <c r="AE23" s="9"/>
      <c r="AF23" s="9"/>
      <c r="AG23" s="9"/>
      <c r="AH23" s="38"/>
      <c r="AI23" s="9"/>
      <c r="AJ23" s="39"/>
      <c r="AK23" s="9"/>
      <c r="AL23" s="9"/>
      <c r="AM23" s="9"/>
      <c r="AN23" s="9"/>
      <c r="AO23" s="9"/>
      <c r="AP23" s="9"/>
      <c r="AQ23" s="9"/>
      <c r="AR23" s="10" t="str">
        <f aca="false">IF(A23="","",SG_Criteria!$B$6&amp;SG_Criteria!$B$10&amp;"\"&amp;A23&amp;"\")</f>
        <v/>
      </c>
      <c r="AS23" s="10" t="str">
        <f aca="false">IF(A23="","",A23&amp;"_CAD.dwg")</f>
        <v/>
      </c>
      <c r="AT23" s="10" t="str">
        <f aca="false">IF(A23="","",A23&amp;"_DWG.pdf")</f>
        <v/>
      </c>
      <c r="AU23" s="10" t="str">
        <f aca="false">IF(A23="","",IF(AQ23="Y",A23&amp;"_STAAD.std","n/a"))</f>
        <v/>
      </c>
      <c r="AV23" s="10" t="str">
        <f aca="false">IF(A23="","",A23&amp;"_CALC.xlsx")</f>
        <v/>
      </c>
      <c r="AW23" s="10" t="str">
        <f aca="false">IF(A23="","",A23&amp;"_CALC.pdf")</f>
        <v/>
      </c>
      <c r="AX23" s="9"/>
      <c r="AY23" s="9"/>
      <c r="AZ23" s="39"/>
      <c r="BA23" s="39"/>
      <c r="BB23" s="39"/>
      <c r="BC23" s="39"/>
      <c r="BD23" s="39"/>
      <c r="BE23" s="12" t="str">
        <f aca="false">IF(A23="","",IF(COUNTIF(Rebar_Schedule!$A$5:$A$2004,A23)=0,"",ROUND(SUMIF(Rebar_Schedule!$A$5:$A$2004,A23,Rebar_Schedule!$K$5:$K$2004),1)))</f>
        <v/>
      </c>
      <c r="BF23" s="33" t="str">
        <f aca="false">IF(A23="","",IF(BE23="","No rebar schedule yet",IF(ABS(BE23-N(BA23))/MAX(N(BA23),1)&gt;SG_Criteria!$B$55,"NOTE: register rebar differs from schedule by "&amp;TEXT(ABS(BE23-N(BA23))/MAX(N(BA23),1),"0%"),"OK")))</f>
        <v/>
      </c>
      <c r="BG23" s="33" t="str">
        <f aca="false">IF(D23="","",IF(LEN(IF(AND(Z23&lt;&gt;"",IFERROR(VALUE(MID(Z23,2,2)),0)&lt;SG_Criteria!$B$19),"FAIL: grade below C"&amp;SG_Criteria!$B$19&amp;". ","")&amp;IF(AND(AA23&lt;&gt;"",AA23&lt;SG_Criteria!$B$20),"FAIL: cover &lt; "&amp;SG_Criteria!$B$20&amp;" mm. ","")&amp;IF(AND(I23&lt;&gt;"",I23&lt;SG_Criteria!$B$39),"NOTE: min depth below PUB "&amp;SG_Criteria!$B$39&amp;" m. ","")&amp;IF(AND(LEFT(D23,8)="Standard",J23&gt;SG_Criteria!$B$42),"FAIL: PUB 001C covers manholes up to "&amp;SG_Criteria!$B$42&amp;" m deep only. ","")&amp;IF(AND(LEFT(D23,11)="Rectangular",K23&lt;SG_Criteria!$B$43),"NOTE: 004C is for sewers &gt;= "&amp;SG_Criteria!$B$43&amp;" dia. ","")&amp;IF(AND(LEFT(D23,7)="Precast",J23&lt;=SG_Criteria!$B$42),"NOTE: 006C is for manholes &gt; "&amp;SG_Criteria!$B$42&amp;" m deep. ","")&amp;IF(AND(K23&lt;&gt;"",K23&lt;SG_Criteria!$B$40,D23&lt;&gt;"Inspection Chamber"),"NOTE: public sewer min dia "&amp;SG_Criteria!$B$40&amp;" mm. ","")&amp;IF(AND(Y23&lt;&gt;"",Y23&lt;SG_Criteria!$B$44),"FAIL: uplift FOS below "&amp;SG_Criteria!$B$44&amp;". ",""))=0,"OK",IF(AND(Z23&lt;&gt;"",IFERROR(VALUE(MID(Z23,2,2)),0)&lt;SG_Criteria!$B$19),"FAIL: grade below C"&amp;SG_Criteria!$B$19&amp;". ","")&amp;IF(AND(AA23&lt;&gt;"",AA23&lt;SG_Criteria!$B$20),"FAIL: cover &lt; "&amp;SG_Criteria!$B$20&amp;" mm. ","")&amp;IF(AND(I23&lt;&gt;"",I23&lt;SG_Criteria!$B$39),"NOTE: min depth below PUB "&amp;SG_Criteria!$B$39&amp;" m. ","")&amp;IF(AND(LEFT(D23,8)="Standard",J23&gt;SG_Criteria!$B$42),"FAIL: PUB 001C covers manholes up to "&amp;SG_Criteria!$B$42&amp;" m deep only. ","")&amp;IF(AND(LEFT(D23,11)="Rectangular",K23&lt;SG_Criteria!$B$43),"NOTE: 004C is for sewers &gt;= "&amp;SG_Criteria!$B$43&amp;" dia. ","")&amp;IF(AND(LEFT(D23,7)="Precast",J23&lt;=SG_Criteria!$B$42),"NOTE: 006C is for manholes &gt; "&amp;SG_Criteria!$B$42&amp;" m deep. ","")&amp;IF(AND(K23&lt;&gt;"",K23&lt;SG_Criteria!$B$40,D23&lt;&gt;"Inspection Chamber"),"NOTE: public sewer min dia "&amp;SG_Criteria!$B$40&amp;" mm. ","")&amp;IF(AND(Y23&lt;&gt;"",Y23&lt;SG_Criteria!$B$44),"FAIL: uplift FOS below "&amp;SG_Criteria!$B$44&amp;". ","")))</f>
        <v/>
      </c>
      <c r="BH23" s="9"/>
      <c r="BI23" s="9"/>
      <c r="BJ23" s="9"/>
      <c r="BK23" s="10" t="str">
        <f aca="false">IF(BJ23="","",IFERROR(VLOOKUP(BJ23,Projects!$A$5:$D$504,2,0),"Ref not in Projects"))</f>
        <v/>
      </c>
      <c r="BL23" s="10" t="str">
        <f aca="false">IF(BJ23="","",IFERROR(VLOOKUP(BJ23,Projects!$A$5:$D$504,4,0),"Ref not in Projects"))</f>
        <v/>
      </c>
      <c r="BM23" s="9"/>
      <c r="BN23" s="9"/>
      <c r="BO23" s="9"/>
      <c r="BP23" s="40"/>
      <c r="BQ23" s="9"/>
      <c r="BR23" s="40"/>
      <c r="BS23" s="9"/>
      <c r="BT23" s="40"/>
      <c r="BU23" s="9"/>
      <c r="BV23" s="9"/>
      <c r="BW23" s="9"/>
      <c r="BX23" s="40"/>
      <c r="BY23" s="40"/>
      <c r="BZ23" s="36" t="str">
        <f aca="false">IF(BY23="","",EDATE(BY23,SG_Criteria!$B$54*12))</f>
        <v/>
      </c>
      <c r="CA23" s="33" t="str">
        <f aca="true">IF(A23="","",IF(BY23="","NOTE: not reviewed yet",IF(TODAY()&gt;BZ23,"NOTE: review overdue","OK")))</f>
        <v/>
      </c>
      <c r="CB23" s="37" t="str">
        <f aca="false">IF(A23="","",ROUND((IF(LEN(D23)&gt;0,1,0)+IF(LEN(E23)&gt;0,1,0)+IF(LEN(F23)&gt;0,1,0)+IF(LEN(G23)&gt;0,1,0)+IF(LEN(I23)&gt;0,1,0)+IF(LEN(J23)&gt;0,1,0)+IF(LEN(K23)&gt;0,1,0)+IF(LEN(L23)&gt;0,1,0)+IF(LEN(M23)&gt;0,1,0)+IF(LEN(N23)&gt;0,1,0)+IF(LEN(Z23)&gt;0,1,0)+IF(LEN(AA23)&gt;0,1,0)+IF(LEN(Y23)&gt;0,1,0)+IF(LEN(AE23)&gt;0,1,0)+IF(LEN(AG23)&gt;0,1,0)+IF(LEN(AZ23)&gt;0,1,0)+IF(LEN(AK23)&gt;0,1,0)+IF(LEN(AM23)&gt;0,1,0)+IF(LEN(AN23)&gt;0,1,0)+IF(LEN(AO23)&gt;0,1,0)+IF(LEN(AP23)&gt;0,1,0)+IF(LEN(AY23)&gt;0,1,0)+IF(LEN(BJ23)&gt;0,1,0)+IF(LEN(BW23)&gt;0,1,0))/24,2))</f>
        <v/>
      </c>
      <c r="CC23" s="10" t="str">
        <f aca="false">IF(D23="","",IF(AND(AN23="Approved",ISERROR(SEARCH("FAIL",BG23))),"Y","N"))</f>
        <v/>
      </c>
      <c r="CD23" s="10" t="str">
        <f aca="false">IF(D23="","",D23&amp;"|"&amp;J23&amp;"|"&amp;G23&amp;"|"&amp;CC23)</f>
        <v/>
      </c>
    </row>
    <row r="24" customFormat="false" ht="15" hidden="false" customHeight="false" outlineLevel="0" collapsed="false">
      <c r="A24" s="10" t="str">
        <f aca="false">IF(D24="","","MH-"&amp;IFERROR(VLOOKUP(D24,Lists!$AB$4:$AC$20,2,0),"??")&amp;"-"&amp;TEXT(G24,"0000")&amp;IF(F24="Circular","D","x"&amp;TEXT(H24,"0000"))&amp;"-D"&amp;TEXT(J24*1000,"0000")&amp;"-"&amp;IFERROR(VLOOKUP(E24,Lists!$AE$4:$AF$16,2,0),"??")&amp;"-"&amp;AM24)</f>
        <v/>
      </c>
      <c r="B24" s="10" t="str">
        <f aca="false">IF(D24="","",D24&amp;", "&amp;E24&amp;", "&amp;IF(F24="Circular",G24&amp;" dia",G24&amp;" x "&amp;H24)&amp;", depth "&amp;TEXT(I24,"0.0")&amp;"-"&amp;TEXT(J24,"0.0")&amp;" m, pipe up to "&amp;K24&amp;" dia")</f>
        <v/>
      </c>
      <c r="C24" s="9"/>
      <c r="D24" s="9"/>
      <c r="E24" s="9"/>
      <c r="F24" s="9"/>
      <c r="G24" s="38"/>
      <c r="H24" s="38"/>
      <c r="I24" s="42"/>
      <c r="J24" s="42"/>
      <c r="K24" s="38"/>
      <c r="L24" s="38"/>
      <c r="M24" s="38"/>
      <c r="N24" s="38"/>
      <c r="O24" s="9"/>
      <c r="P24" s="9"/>
      <c r="Q24" s="9"/>
      <c r="R24" s="9"/>
      <c r="S24" s="9"/>
      <c r="T24" s="9"/>
      <c r="U24" s="9"/>
      <c r="V24" s="42"/>
      <c r="W24" s="9"/>
      <c r="X24" s="9"/>
      <c r="Y24" s="39"/>
      <c r="Z24" s="9"/>
      <c r="AA24" s="38"/>
      <c r="AB24" s="9"/>
      <c r="AC24" s="9"/>
      <c r="AD24" s="9"/>
      <c r="AE24" s="9"/>
      <c r="AF24" s="9"/>
      <c r="AG24" s="9"/>
      <c r="AH24" s="38"/>
      <c r="AI24" s="9"/>
      <c r="AJ24" s="39"/>
      <c r="AK24" s="9"/>
      <c r="AL24" s="9"/>
      <c r="AM24" s="9"/>
      <c r="AN24" s="9"/>
      <c r="AO24" s="9"/>
      <c r="AP24" s="9"/>
      <c r="AQ24" s="9"/>
      <c r="AR24" s="10" t="str">
        <f aca="false">IF(A24="","",SG_Criteria!$B$6&amp;SG_Criteria!$B$10&amp;"\"&amp;A24&amp;"\")</f>
        <v/>
      </c>
      <c r="AS24" s="10" t="str">
        <f aca="false">IF(A24="","",A24&amp;"_CAD.dwg")</f>
        <v/>
      </c>
      <c r="AT24" s="10" t="str">
        <f aca="false">IF(A24="","",A24&amp;"_DWG.pdf")</f>
        <v/>
      </c>
      <c r="AU24" s="10" t="str">
        <f aca="false">IF(A24="","",IF(AQ24="Y",A24&amp;"_STAAD.std","n/a"))</f>
        <v/>
      </c>
      <c r="AV24" s="10" t="str">
        <f aca="false">IF(A24="","",A24&amp;"_CALC.xlsx")</f>
        <v/>
      </c>
      <c r="AW24" s="10" t="str">
        <f aca="false">IF(A24="","",A24&amp;"_CALC.pdf")</f>
        <v/>
      </c>
      <c r="AX24" s="9"/>
      <c r="AY24" s="9"/>
      <c r="AZ24" s="39"/>
      <c r="BA24" s="39"/>
      <c r="BB24" s="39"/>
      <c r="BC24" s="39"/>
      <c r="BD24" s="39"/>
      <c r="BE24" s="12" t="str">
        <f aca="false">IF(A24="","",IF(COUNTIF(Rebar_Schedule!$A$5:$A$2004,A24)=0,"",ROUND(SUMIF(Rebar_Schedule!$A$5:$A$2004,A24,Rebar_Schedule!$K$5:$K$2004),1)))</f>
        <v/>
      </c>
      <c r="BF24" s="33" t="str">
        <f aca="false">IF(A24="","",IF(BE24="","No rebar schedule yet",IF(ABS(BE24-N(BA24))/MAX(N(BA24),1)&gt;SG_Criteria!$B$55,"NOTE: register rebar differs from schedule by "&amp;TEXT(ABS(BE24-N(BA24))/MAX(N(BA24),1),"0%"),"OK")))</f>
        <v/>
      </c>
      <c r="BG24" s="33" t="str">
        <f aca="false">IF(D24="","",IF(LEN(IF(AND(Z24&lt;&gt;"",IFERROR(VALUE(MID(Z24,2,2)),0)&lt;SG_Criteria!$B$19),"FAIL: grade below C"&amp;SG_Criteria!$B$19&amp;". ","")&amp;IF(AND(AA24&lt;&gt;"",AA24&lt;SG_Criteria!$B$20),"FAIL: cover &lt; "&amp;SG_Criteria!$B$20&amp;" mm. ","")&amp;IF(AND(I24&lt;&gt;"",I24&lt;SG_Criteria!$B$39),"NOTE: min depth below PUB "&amp;SG_Criteria!$B$39&amp;" m. ","")&amp;IF(AND(LEFT(D24,8)="Standard",J24&gt;SG_Criteria!$B$42),"FAIL: PUB 001C covers manholes up to "&amp;SG_Criteria!$B$42&amp;" m deep only. ","")&amp;IF(AND(LEFT(D24,11)="Rectangular",K24&lt;SG_Criteria!$B$43),"NOTE: 004C is for sewers &gt;= "&amp;SG_Criteria!$B$43&amp;" dia. ","")&amp;IF(AND(LEFT(D24,7)="Precast",J24&lt;=SG_Criteria!$B$42),"NOTE: 006C is for manholes &gt; "&amp;SG_Criteria!$B$42&amp;" m deep. ","")&amp;IF(AND(K24&lt;&gt;"",K24&lt;SG_Criteria!$B$40,D24&lt;&gt;"Inspection Chamber"),"NOTE: public sewer min dia "&amp;SG_Criteria!$B$40&amp;" mm. ","")&amp;IF(AND(Y24&lt;&gt;"",Y24&lt;SG_Criteria!$B$44),"FAIL: uplift FOS below "&amp;SG_Criteria!$B$44&amp;". ",""))=0,"OK",IF(AND(Z24&lt;&gt;"",IFERROR(VALUE(MID(Z24,2,2)),0)&lt;SG_Criteria!$B$19),"FAIL: grade below C"&amp;SG_Criteria!$B$19&amp;". ","")&amp;IF(AND(AA24&lt;&gt;"",AA24&lt;SG_Criteria!$B$20),"FAIL: cover &lt; "&amp;SG_Criteria!$B$20&amp;" mm. ","")&amp;IF(AND(I24&lt;&gt;"",I24&lt;SG_Criteria!$B$39),"NOTE: min depth below PUB "&amp;SG_Criteria!$B$39&amp;" m. ","")&amp;IF(AND(LEFT(D24,8)="Standard",J24&gt;SG_Criteria!$B$42),"FAIL: PUB 001C covers manholes up to "&amp;SG_Criteria!$B$42&amp;" m deep only. ","")&amp;IF(AND(LEFT(D24,11)="Rectangular",K24&lt;SG_Criteria!$B$43),"NOTE: 004C is for sewers &gt;= "&amp;SG_Criteria!$B$43&amp;" dia. ","")&amp;IF(AND(LEFT(D24,7)="Precast",J24&lt;=SG_Criteria!$B$42),"NOTE: 006C is for manholes &gt; "&amp;SG_Criteria!$B$42&amp;" m deep. ","")&amp;IF(AND(K24&lt;&gt;"",K24&lt;SG_Criteria!$B$40,D24&lt;&gt;"Inspection Chamber"),"NOTE: public sewer min dia "&amp;SG_Criteria!$B$40&amp;" mm. ","")&amp;IF(AND(Y24&lt;&gt;"",Y24&lt;SG_Criteria!$B$44),"FAIL: uplift FOS below "&amp;SG_Criteria!$B$44&amp;". ","")))</f>
        <v/>
      </c>
      <c r="BH24" s="9"/>
      <c r="BI24" s="9"/>
      <c r="BJ24" s="9"/>
      <c r="BK24" s="10" t="str">
        <f aca="false">IF(BJ24="","",IFERROR(VLOOKUP(BJ24,Projects!$A$5:$D$504,2,0),"Ref not in Projects"))</f>
        <v/>
      </c>
      <c r="BL24" s="10" t="str">
        <f aca="false">IF(BJ24="","",IFERROR(VLOOKUP(BJ24,Projects!$A$5:$D$504,4,0),"Ref not in Projects"))</f>
        <v/>
      </c>
      <c r="BM24" s="9"/>
      <c r="BN24" s="9"/>
      <c r="BO24" s="9"/>
      <c r="BP24" s="40"/>
      <c r="BQ24" s="9"/>
      <c r="BR24" s="40"/>
      <c r="BS24" s="9"/>
      <c r="BT24" s="40"/>
      <c r="BU24" s="9"/>
      <c r="BV24" s="9"/>
      <c r="BW24" s="9"/>
      <c r="BX24" s="40"/>
      <c r="BY24" s="40"/>
      <c r="BZ24" s="36" t="str">
        <f aca="false">IF(BY24="","",EDATE(BY24,SG_Criteria!$B$54*12))</f>
        <v/>
      </c>
      <c r="CA24" s="33" t="str">
        <f aca="true">IF(A24="","",IF(BY24="","NOTE: not reviewed yet",IF(TODAY()&gt;BZ24,"NOTE: review overdue","OK")))</f>
        <v/>
      </c>
      <c r="CB24" s="37" t="str">
        <f aca="false">IF(A24="","",ROUND((IF(LEN(D24)&gt;0,1,0)+IF(LEN(E24)&gt;0,1,0)+IF(LEN(F24)&gt;0,1,0)+IF(LEN(G24)&gt;0,1,0)+IF(LEN(I24)&gt;0,1,0)+IF(LEN(J24)&gt;0,1,0)+IF(LEN(K24)&gt;0,1,0)+IF(LEN(L24)&gt;0,1,0)+IF(LEN(M24)&gt;0,1,0)+IF(LEN(N24)&gt;0,1,0)+IF(LEN(Z24)&gt;0,1,0)+IF(LEN(AA24)&gt;0,1,0)+IF(LEN(Y24)&gt;0,1,0)+IF(LEN(AE24)&gt;0,1,0)+IF(LEN(AG24)&gt;0,1,0)+IF(LEN(AZ24)&gt;0,1,0)+IF(LEN(AK24)&gt;0,1,0)+IF(LEN(AM24)&gt;0,1,0)+IF(LEN(AN24)&gt;0,1,0)+IF(LEN(AO24)&gt;0,1,0)+IF(LEN(AP24)&gt;0,1,0)+IF(LEN(AY24)&gt;0,1,0)+IF(LEN(BJ24)&gt;0,1,0)+IF(LEN(BW24)&gt;0,1,0))/24,2))</f>
        <v/>
      </c>
      <c r="CC24" s="10" t="str">
        <f aca="false">IF(D24="","",IF(AND(AN24="Approved",ISERROR(SEARCH("FAIL",BG24))),"Y","N"))</f>
        <v/>
      </c>
      <c r="CD24" s="10" t="str">
        <f aca="false">IF(D24="","",D24&amp;"|"&amp;J24&amp;"|"&amp;G24&amp;"|"&amp;CC24)</f>
        <v/>
      </c>
    </row>
    <row r="25" customFormat="false" ht="15" hidden="false" customHeight="false" outlineLevel="0" collapsed="false">
      <c r="A25" s="10" t="str">
        <f aca="false">IF(D25="","","MH-"&amp;IFERROR(VLOOKUP(D25,Lists!$AB$4:$AC$20,2,0),"??")&amp;"-"&amp;TEXT(G25,"0000")&amp;IF(F25="Circular","D","x"&amp;TEXT(H25,"0000"))&amp;"-D"&amp;TEXT(J25*1000,"0000")&amp;"-"&amp;IFERROR(VLOOKUP(E25,Lists!$AE$4:$AF$16,2,0),"??")&amp;"-"&amp;AM25)</f>
        <v/>
      </c>
      <c r="B25" s="10" t="str">
        <f aca="false">IF(D25="","",D25&amp;", "&amp;E25&amp;", "&amp;IF(F25="Circular",G25&amp;" dia",G25&amp;" x "&amp;H25)&amp;", depth "&amp;TEXT(I25,"0.0")&amp;"-"&amp;TEXT(J25,"0.0")&amp;" m, pipe up to "&amp;K25&amp;" dia")</f>
        <v/>
      </c>
      <c r="C25" s="9"/>
      <c r="D25" s="9"/>
      <c r="E25" s="9"/>
      <c r="F25" s="9"/>
      <c r="G25" s="38"/>
      <c r="H25" s="38"/>
      <c r="I25" s="42"/>
      <c r="J25" s="42"/>
      <c r="K25" s="38"/>
      <c r="L25" s="38"/>
      <c r="M25" s="38"/>
      <c r="N25" s="38"/>
      <c r="O25" s="9"/>
      <c r="P25" s="9"/>
      <c r="Q25" s="9"/>
      <c r="R25" s="9"/>
      <c r="S25" s="9"/>
      <c r="T25" s="9"/>
      <c r="U25" s="9"/>
      <c r="V25" s="42"/>
      <c r="W25" s="9"/>
      <c r="X25" s="9"/>
      <c r="Y25" s="39"/>
      <c r="Z25" s="9"/>
      <c r="AA25" s="38"/>
      <c r="AB25" s="9"/>
      <c r="AC25" s="9"/>
      <c r="AD25" s="9"/>
      <c r="AE25" s="9"/>
      <c r="AF25" s="9"/>
      <c r="AG25" s="9"/>
      <c r="AH25" s="38"/>
      <c r="AI25" s="9"/>
      <c r="AJ25" s="39"/>
      <c r="AK25" s="9"/>
      <c r="AL25" s="9"/>
      <c r="AM25" s="9"/>
      <c r="AN25" s="9"/>
      <c r="AO25" s="9"/>
      <c r="AP25" s="9"/>
      <c r="AQ25" s="9"/>
      <c r="AR25" s="10" t="str">
        <f aca="false">IF(A25="","",SG_Criteria!$B$6&amp;SG_Criteria!$B$10&amp;"\"&amp;A25&amp;"\")</f>
        <v/>
      </c>
      <c r="AS25" s="10" t="str">
        <f aca="false">IF(A25="","",A25&amp;"_CAD.dwg")</f>
        <v/>
      </c>
      <c r="AT25" s="10" t="str">
        <f aca="false">IF(A25="","",A25&amp;"_DWG.pdf")</f>
        <v/>
      </c>
      <c r="AU25" s="10" t="str">
        <f aca="false">IF(A25="","",IF(AQ25="Y",A25&amp;"_STAAD.std","n/a"))</f>
        <v/>
      </c>
      <c r="AV25" s="10" t="str">
        <f aca="false">IF(A25="","",A25&amp;"_CALC.xlsx")</f>
        <v/>
      </c>
      <c r="AW25" s="10" t="str">
        <f aca="false">IF(A25="","",A25&amp;"_CALC.pdf")</f>
        <v/>
      </c>
      <c r="AX25" s="9"/>
      <c r="AY25" s="9"/>
      <c r="AZ25" s="39"/>
      <c r="BA25" s="39"/>
      <c r="BB25" s="39"/>
      <c r="BC25" s="39"/>
      <c r="BD25" s="39"/>
      <c r="BE25" s="12" t="str">
        <f aca="false">IF(A25="","",IF(COUNTIF(Rebar_Schedule!$A$5:$A$2004,A25)=0,"",ROUND(SUMIF(Rebar_Schedule!$A$5:$A$2004,A25,Rebar_Schedule!$K$5:$K$2004),1)))</f>
        <v/>
      </c>
      <c r="BF25" s="33" t="str">
        <f aca="false">IF(A25="","",IF(BE25="","No rebar schedule yet",IF(ABS(BE25-N(BA25))/MAX(N(BA25),1)&gt;SG_Criteria!$B$55,"NOTE: register rebar differs from schedule by "&amp;TEXT(ABS(BE25-N(BA25))/MAX(N(BA25),1),"0%"),"OK")))</f>
        <v/>
      </c>
      <c r="BG25" s="33" t="str">
        <f aca="false">IF(D25="","",IF(LEN(IF(AND(Z25&lt;&gt;"",IFERROR(VALUE(MID(Z25,2,2)),0)&lt;SG_Criteria!$B$19),"FAIL: grade below C"&amp;SG_Criteria!$B$19&amp;". ","")&amp;IF(AND(AA25&lt;&gt;"",AA25&lt;SG_Criteria!$B$20),"FAIL: cover &lt; "&amp;SG_Criteria!$B$20&amp;" mm. ","")&amp;IF(AND(I25&lt;&gt;"",I25&lt;SG_Criteria!$B$39),"NOTE: min depth below PUB "&amp;SG_Criteria!$B$39&amp;" m. ","")&amp;IF(AND(LEFT(D25,8)="Standard",J25&gt;SG_Criteria!$B$42),"FAIL: PUB 001C covers manholes up to "&amp;SG_Criteria!$B$42&amp;" m deep only. ","")&amp;IF(AND(LEFT(D25,11)="Rectangular",K25&lt;SG_Criteria!$B$43),"NOTE: 004C is for sewers &gt;= "&amp;SG_Criteria!$B$43&amp;" dia. ","")&amp;IF(AND(LEFT(D25,7)="Precast",J25&lt;=SG_Criteria!$B$42),"NOTE: 006C is for manholes &gt; "&amp;SG_Criteria!$B$42&amp;" m deep. ","")&amp;IF(AND(K25&lt;&gt;"",K25&lt;SG_Criteria!$B$40,D25&lt;&gt;"Inspection Chamber"),"NOTE: public sewer min dia "&amp;SG_Criteria!$B$40&amp;" mm. ","")&amp;IF(AND(Y25&lt;&gt;"",Y25&lt;SG_Criteria!$B$44),"FAIL: uplift FOS below "&amp;SG_Criteria!$B$44&amp;". ",""))=0,"OK",IF(AND(Z25&lt;&gt;"",IFERROR(VALUE(MID(Z25,2,2)),0)&lt;SG_Criteria!$B$19),"FAIL: grade below C"&amp;SG_Criteria!$B$19&amp;". ","")&amp;IF(AND(AA25&lt;&gt;"",AA25&lt;SG_Criteria!$B$20),"FAIL: cover &lt; "&amp;SG_Criteria!$B$20&amp;" mm. ","")&amp;IF(AND(I25&lt;&gt;"",I25&lt;SG_Criteria!$B$39),"NOTE: min depth below PUB "&amp;SG_Criteria!$B$39&amp;" m. ","")&amp;IF(AND(LEFT(D25,8)="Standard",J25&gt;SG_Criteria!$B$42),"FAIL: PUB 001C covers manholes up to "&amp;SG_Criteria!$B$42&amp;" m deep only. ","")&amp;IF(AND(LEFT(D25,11)="Rectangular",K25&lt;SG_Criteria!$B$43),"NOTE: 004C is for sewers &gt;= "&amp;SG_Criteria!$B$43&amp;" dia. ","")&amp;IF(AND(LEFT(D25,7)="Precast",J25&lt;=SG_Criteria!$B$42),"NOTE: 006C is for manholes &gt; "&amp;SG_Criteria!$B$42&amp;" m deep. ","")&amp;IF(AND(K25&lt;&gt;"",K25&lt;SG_Criteria!$B$40,D25&lt;&gt;"Inspection Chamber"),"NOTE: public sewer min dia "&amp;SG_Criteria!$B$40&amp;" mm. ","")&amp;IF(AND(Y25&lt;&gt;"",Y25&lt;SG_Criteria!$B$44),"FAIL: uplift FOS below "&amp;SG_Criteria!$B$44&amp;". ","")))</f>
        <v/>
      </c>
      <c r="BH25" s="9"/>
      <c r="BI25" s="9"/>
      <c r="BJ25" s="9"/>
      <c r="BK25" s="10" t="str">
        <f aca="false">IF(BJ25="","",IFERROR(VLOOKUP(BJ25,Projects!$A$5:$D$504,2,0),"Ref not in Projects"))</f>
        <v/>
      </c>
      <c r="BL25" s="10" t="str">
        <f aca="false">IF(BJ25="","",IFERROR(VLOOKUP(BJ25,Projects!$A$5:$D$504,4,0),"Ref not in Projects"))</f>
        <v/>
      </c>
      <c r="BM25" s="9"/>
      <c r="BN25" s="9"/>
      <c r="BO25" s="9"/>
      <c r="BP25" s="40"/>
      <c r="BQ25" s="9"/>
      <c r="BR25" s="40"/>
      <c r="BS25" s="9"/>
      <c r="BT25" s="40"/>
      <c r="BU25" s="9"/>
      <c r="BV25" s="9"/>
      <c r="BW25" s="9"/>
      <c r="BX25" s="40"/>
      <c r="BY25" s="40"/>
      <c r="BZ25" s="36" t="str">
        <f aca="false">IF(BY25="","",EDATE(BY25,SG_Criteria!$B$54*12))</f>
        <v/>
      </c>
      <c r="CA25" s="33" t="str">
        <f aca="true">IF(A25="","",IF(BY25="","NOTE: not reviewed yet",IF(TODAY()&gt;BZ25,"NOTE: review overdue","OK")))</f>
        <v/>
      </c>
      <c r="CB25" s="37" t="str">
        <f aca="false">IF(A25="","",ROUND((IF(LEN(D25)&gt;0,1,0)+IF(LEN(E25)&gt;0,1,0)+IF(LEN(F25)&gt;0,1,0)+IF(LEN(G25)&gt;0,1,0)+IF(LEN(I25)&gt;0,1,0)+IF(LEN(J25)&gt;0,1,0)+IF(LEN(K25)&gt;0,1,0)+IF(LEN(L25)&gt;0,1,0)+IF(LEN(M25)&gt;0,1,0)+IF(LEN(N25)&gt;0,1,0)+IF(LEN(Z25)&gt;0,1,0)+IF(LEN(AA25)&gt;0,1,0)+IF(LEN(Y25)&gt;0,1,0)+IF(LEN(AE25)&gt;0,1,0)+IF(LEN(AG25)&gt;0,1,0)+IF(LEN(AZ25)&gt;0,1,0)+IF(LEN(AK25)&gt;0,1,0)+IF(LEN(AM25)&gt;0,1,0)+IF(LEN(AN25)&gt;0,1,0)+IF(LEN(AO25)&gt;0,1,0)+IF(LEN(AP25)&gt;0,1,0)+IF(LEN(AY25)&gt;0,1,0)+IF(LEN(BJ25)&gt;0,1,0)+IF(LEN(BW25)&gt;0,1,0))/24,2))</f>
        <v/>
      </c>
      <c r="CC25" s="10" t="str">
        <f aca="false">IF(D25="","",IF(AND(AN25="Approved",ISERROR(SEARCH("FAIL",BG25))),"Y","N"))</f>
        <v/>
      </c>
      <c r="CD25" s="10" t="str">
        <f aca="false">IF(D25="","",D25&amp;"|"&amp;J25&amp;"|"&amp;G25&amp;"|"&amp;CC25)</f>
        <v/>
      </c>
    </row>
    <row r="26" customFormat="false" ht="15" hidden="false" customHeight="false" outlineLevel="0" collapsed="false">
      <c r="A26" s="10" t="str">
        <f aca="false">IF(D26="","","MH-"&amp;IFERROR(VLOOKUP(D26,Lists!$AB$4:$AC$20,2,0),"??")&amp;"-"&amp;TEXT(G26,"0000")&amp;IF(F26="Circular","D","x"&amp;TEXT(H26,"0000"))&amp;"-D"&amp;TEXT(J26*1000,"0000")&amp;"-"&amp;IFERROR(VLOOKUP(E26,Lists!$AE$4:$AF$16,2,0),"??")&amp;"-"&amp;AM26)</f>
        <v/>
      </c>
      <c r="B26" s="10" t="str">
        <f aca="false">IF(D26="","",D26&amp;", "&amp;E26&amp;", "&amp;IF(F26="Circular",G26&amp;" dia",G26&amp;" x "&amp;H26)&amp;", depth "&amp;TEXT(I26,"0.0")&amp;"-"&amp;TEXT(J26,"0.0")&amp;" m, pipe up to "&amp;K26&amp;" dia")</f>
        <v/>
      </c>
      <c r="C26" s="9"/>
      <c r="D26" s="9"/>
      <c r="E26" s="9"/>
      <c r="F26" s="9"/>
      <c r="G26" s="38"/>
      <c r="H26" s="38"/>
      <c r="I26" s="42"/>
      <c r="J26" s="42"/>
      <c r="K26" s="38"/>
      <c r="L26" s="38"/>
      <c r="M26" s="38"/>
      <c r="N26" s="38"/>
      <c r="O26" s="9"/>
      <c r="P26" s="9"/>
      <c r="Q26" s="9"/>
      <c r="R26" s="9"/>
      <c r="S26" s="9"/>
      <c r="T26" s="9"/>
      <c r="U26" s="9"/>
      <c r="V26" s="42"/>
      <c r="W26" s="9"/>
      <c r="X26" s="9"/>
      <c r="Y26" s="39"/>
      <c r="Z26" s="9"/>
      <c r="AA26" s="38"/>
      <c r="AB26" s="9"/>
      <c r="AC26" s="9"/>
      <c r="AD26" s="9"/>
      <c r="AE26" s="9"/>
      <c r="AF26" s="9"/>
      <c r="AG26" s="9"/>
      <c r="AH26" s="38"/>
      <c r="AI26" s="9"/>
      <c r="AJ26" s="39"/>
      <c r="AK26" s="9"/>
      <c r="AL26" s="9"/>
      <c r="AM26" s="9"/>
      <c r="AN26" s="9"/>
      <c r="AO26" s="9"/>
      <c r="AP26" s="9"/>
      <c r="AQ26" s="9"/>
      <c r="AR26" s="10" t="str">
        <f aca="false">IF(A26="","",SG_Criteria!$B$6&amp;SG_Criteria!$B$10&amp;"\"&amp;A26&amp;"\")</f>
        <v/>
      </c>
      <c r="AS26" s="10" t="str">
        <f aca="false">IF(A26="","",A26&amp;"_CAD.dwg")</f>
        <v/>
      </c>
      <c r="AT26" s="10" t="str">
        <f aca="false">IF(A26="","",A26&amp;"_DWG.pdf")</f>
        <v/>
      </c>
      <c r="AU26" s="10" t="str">
        <f aca="false">IF(A26="","",IF(AQ26="Y",A26&amp;"_STAAD.std","n/a"))</f>
        <v/>
      </c>
      <c r="AV26" s="10" t="str">
        <f aca="false">IF(A26="","",A26&amp;"_CALC.xlsx")</f>
        <v/>
      </c>
      <c r="AW26" s="10" t="str">
        <f aca="false">IF(A26="","",A26&amp;"_CALC.pdf")</f>
        <v/>
      </c>
      <c r="AX26" s="9"/>
      <c r="AY26" s="9"/>
      <c r="AZ26" s="39"/>
      <c r="BA26" s="39"/>
      <c r="BB26" s="39"/>
      <c r="BC26" s="39"/>
      <c r="BD26" s="39"/>
      <c r="BE26" s="12" t="str">
        <f aca="false">IF(A26="","",IF(COUNTIF(Rebar_Schedule!$A$5:$A$2004,A26)=0,"",ROUND(SUMIF(Rebar_Schedule!$A$5:$A$2004,A26,Rebar_Schedule!$K$5:$K$2004),1)))</f>
        <v/>
      </c>
      <c r="BF26" s="33" t="str">
        <f aca="false">IF(A26="","",IF(BE26="","No rebar schedule yet",IF(ABS(BE26-N(BA26))/MAX(N(BA26),1)&gt;SG_Criteria!$B$55,"NOTE: register rebar differs from schedule by "&amp;TEXT(ABS(BE26-N(BA26))/MAX(N(BA26),1),"0%"),"OK")))</f>
        <v/>
      </c>
      <c r="BG26" s="33" t="str">
        <f aca="false">IF(D26="","",IF(LEN(IF(AND(Z26&lt;&gt;"",IFERROR(VALUE(MID(Z26,2,2)),0)&lt;SG_Criteria!$B$19),"FAIL: grade below C"&amp;SG_Criteria!$B$19&amp;". ","")&amp;IF(AND(AA26&lt;&gt;"",AA26&lt;SG_Criteria!$B$20),"FAIL: cover &lt; "&amp;SG_Criteria!$B$20&amp;" mm. ","")&amp;IF(AND(I26&lt;&gt;"",I26&lt;SG_Criteria!$B$39),"NOTE: min depth below PUB "&amp;SG_Criteria!$B$39&amp;" m. ","")&amp;IF(AND(LEFT(D26,8)="Standard",J26&gt;SG_Criteria!$B$42),"FAIL: PUB 001C covers manholes up to "&amp;SG_Criteria!$B$42&amp;" m deep only. ","")&amp;IF(AND(LEFT(D26,11)="Rectangular",K26&lt;SG_Criteria!$B$43),"NOTE: 004C is for sewers &gt;= "&amp;SG_Criteria!$B$43&amp;" dia. ","")&amp;IF(AND(LEFT(D26,7)="Precast",J26&lt;=SG_Criteria!$B$42),"NOTE: 006C is for manholes &gt; "&amp;SG_Criteria!$B$42&amp;" m deep. ","")&amp;IF(AND(K26&lt;&gt;"",K26&lt;SG_Criteria!$B$40,D26&lt;&gt;"Inspection Chamber"),"NOTE: public sewer min dia "&amp;SG_Criteria!$B$40&amp;" mm. ","")&amp;IF(AND(Y26&lt;&gt;"",Y26&lt;SG_Criteria!$B$44),"FAIL: uplift FOS below "&amp;SG_Criteria!$B$44&amp;". ",""))=0,"OK",IF(AND(Z26&lt;&gt;"",IFERROR(VALUE(MID(Z26,2,2)),0)&lt;SG_Criteria!$B$19),"FAIL: grade below C"&amp;SG_Criteria!$B$19&amp;". ","")&amp;IF(AND(AA26&lt;&gt;"",AA26&lt;SG_Criteria!$B$20),"FAIL: cover &lt; "&amp;SG_Criteria!$B$20&amp;" mm. ","")&amp;IF(AND(I26&lt;&gt;"",I26&lt;SG_Criteria!$B$39),"NOTE: min depth below PUB "&amp;SG_Criteria!$B$39&amp;" m. ","")&amp;IF(AND(LEFT(D26,8)="Standard",J26&gt;SG_Criteria!$B$42),"FAIL: PUB 001C covers manholes up to "&amp;SG_Criteria!$B$42&amp;" m deep only. ","")&amp;IF(AND(LEFT(D26,11)="Rectangular",K26&lt;SG_Criteria!$B$43),"NOTE: 004C is for sewers &gt;= "&amp;SG_Criteria!$B$43&amp;" dia. ","")&amp;IF(AND(LEFT(D26,7)="Precast",J26&lt;=SG_Criteria!$B$42),"NOTE: 006C is for manholes &gt; "&amp;SG_Criteria!$B$42&amp;" m deep. ","")&amp;IF(AND(K26&lt;&gt;"",K26&lt;SG_Criteria!$B$40,D26&lt;&gt;"Inspection Chamber"),"NOTE: public sewer min dia "&amp;SG_Criteria!$B$40&amp;" mm. ","")&amp;IF(AND(Y26&lt;&gt;"",Y26&lt;SG_Criteria!$B$44),"FAIL: uplift FOS below "&amp;SG_Criteria!$B$44&amp;". ","")))</f>
        <v/>
      </c>
      <c r="BH26" s="9"/>
      <c r="BI26" s="9"/>
      <c r="BJ26" s="9"/>
      <c r="BK26" s="10" t="str">
        <f aca="false">IF(BJ26="","",IFERROR(VLOOKUP(BJ26,Projects!$A$5:$D$504,2,0),"Ref not in Projects"))</f>
        <v/>
      </c>
      <c r="BL26" s="10" t="str">
        <f aca="false">IF(BJ26="","",IFERROR(VLOOKUP(BJ26,Projects!$A$5:$D$504,4,0),"Ref not in Projects"))</f>
        <v/>
      </c>
      <c r="BM26" s="9"/>
      <c r="BN26" s="9"/>
      <c r="BO26" s="9"/>
      <c r="BP26" s="40"/>
      <c r="BQ26" s="9"/>
      <c r="BR26" s="40"/>
      <c r="BS26" s="9"/>
      <c r="BT26" s="40"/>
      <c r="BU26" s="9"/>
      <c r="BV26" s="9"/>
      <c r="BW26" s="9"/>
      <c r="BX26" s="40"/>
      <c r="BY26" s="40"/>
      <c r="BZ26" s="36" t="str">
        <f aca="false">IF(BY26="","",EDATE(BY26,SG_Criteria!$B$54*12))</f>
        <v/>
      </c>
      <c r="CA26" s="33" t="str">
        <f aca="true">IF(A26="","",IF(BY26="","NOTE: not reviewed yet",IF(TODAY()&gt;BZ26,"NOTE: review overdue","OK")))</f>
        <v/>
      </c>
      <c r="CB26" s="37" t="str">
        <f aca="false">IF(A26="","",ROUND((IF(LEN(D26)&gt;0,1,0)+IF(LEN(E26)&gt;0,1,0)+IF(LEN(F26)&gt;0,1,0)+IF(LEN(G26)&gt;0,1,0)+IF(LEN(I26)&gt;0,1,0)+IF(LEN(J26)&gt;0,1,0)+IF(LEN(K26)&gt;0,1,0)+IF(LEN(L26)&gt;0,1,0)+IF(LEN(M26)&gt;0,1,0)+IF(LEN(N26)&gt;0,1,0)+IF(LEN(Z26)&gt;0,1,0)+IF(LEN(AA26)&gt;0,1,0)+IF(LEN(Y26)&gt;0,1,0)+IF(LEN(AE26)&gt;0,1,0)+IF(LEN(AG26)&gt;0,1,0)+IF(LEN(AZ26)&gt;0,1,0)+IF(LEN(AK26)&gt;0,1,0)+IF(LEN(AM26)&gt;0,1,0)+IF(LEN(AN26)&gt;0,1,0)+IF(LEN(AO26)&gt;0,1,0)+IF(LEN(AP26)&gt;0,1,0)+IF(LEN(AY26)&gt;0,1,0)+IF(LEN(BJ26)&gt;0,1,0)+IF(LEN(BW26)&gt;0,1,0))/24,2))</f>
        <v/>
      </c>
      <c r="CC26" s="10" t="str">
        <f aca="false">IF(D26="","",IF(AND(AN26="Approved",ISERROR(SEARCH("FAIL",BG26))),"Y","N"))</f>
        <v/>
      </c>
      <c r="CD26" s="10" t="str">
        <f aca="false">IF(D26="","",D26&amp;"|"&amp;J26&amp;"|"&amp;G26&amp;"|"&amp;CC26)</f>
        <v/>
      </c>
    </row>
    <row r="27" customFormat="false" ht="15" hidden="false" customHeight="false" outlineLevel="0" collapsed="false">
      <c r="A27" s="10" t="str">
        <f aca="false">IF(D27="","","MH-"&amp;IFERROR(VLOOKUP(D27,Lists!$AB$4:$AC$20,2,0),"??")&amp;"-"&amp;TEXT(G27,"0000")&amp;IF(F27="Circular","D","x"&amp;TEXT(H27,"0000"))&amp;"-D"&amp;TEXT(J27*1000,"0000")&amp;"-"&amp;IFERROR(VLOOKUP(E27,Lists!$AE$4:$AF$16,2,0),"??")&amp;"-"&amp;AM27)</f>
        <v/>
      </c>
      <c r="B27" s="10" t="str">
        <f aca="false">IF(D27="","",D27&amp;", "&amp;E27&amp;", "&amp;IF(F27="Circular",G27&amp;" dia",G27&amp;" x "&amp;H27)&amp;", depth "&amp;TEXT(I27,"0.0")&amp;"-"&amp;TEXT(J27,"0.0")&amp;" m, pipe up to "&amp;K27&amp;" dia")</f>
        <v/>
      </c>
      <c r="C27" s="9"/>
      <c r="D27" s="9"/>
      <c r="E27" s="9"/>
      <c r="F27" s="9"/>
      <c r="G27" s="38"/>
      <c r="H27" s="38"/>
      <c r="I27" s="42"/>
      <c r="J27" s="42"/>
      <c r="K27" s="38"/>
      <c r="L27" s="38"/>
      <c r="M27" s="38"/>
      <c r="N27" s="38"/>
      <c r="O27" s="9"/>
      <c r="P27" s="9"/>
      <c r="Q27" s="9"/>
      <c r="R27" s="9"/>
      <c r="S27" s="9"/>
      <c r="T27" s="9"/>
      <c r="U27" s="9"/>
      <c r="V27" s="42"/>
      <c r="W27" s="9"/>
      <c r="X27" s="9"/>
      <c r="Y27" s="39"/>
      <c r="Z27" s="9"/>
      <c r="AA27" s="38"/>
      <c r="AB27" s="9"/>
      <c r="AC27" s="9"/>
      <c r="AD27" s="9"/>
      <c r="AE27" s="9"/>
      <c r="AF27" s="9"/>
      <c r="AG27" s="9"/>
      <c r="AH27" s="38"/>
      <c r="AI27" s="9"/>
      <c r="AJ27" s="39"/>
      <c r="AK27" s="9"/>
      <c r="AL27" s="9"/>
      <c r="AM27" s="9"/>
      <c r="AN27" s="9"/>
      <c r="AO27" s="9"/>
      <c r="AP27" s="9"/>
      <c r="AQ27" s="9"/>
      <c r="AR27" s="10" t="str">
        <f aca="false">IF(A27="","",SG_Criteria!$B$6&amp;SG_Criteria!$B$10&amp;"\"&amp;A27&amp;"\")</f>
        <v/>
      </c>
      <c r="AS27" s="10" t="str">
        <f aca="false">IF(A27="","",A27&amp;"_CAD.dwg")</f>
        <v/>
      </c>
      <c r="AT27" s="10" t="str">
        <f aca="false">IF(A27="","",A27&amp;"_DWG.pdf")</f>
        <v/>
      </c>
      <c r="AU27" s="10" t="str">
        <f aca="false">IF(A27="","",IF(AQ27="Y",A27&amp;"_STAAD.std","n/a"))</f>
        <v/>
      </c>
      <c r="AV27" s="10" t="str">
        <f aca="false">IF(A27="","",A27&amp;"_CALC.xlsx")</f>
        <v/>
      </c>
      <c r="AW27" s="10" t="str">
        <f aca="false">IF(A27="","",A27&amp;"_CALC.pdf")</f>
        <v/>
      </c>
      <c r="AX27" s="9"/>
      <c r="AY27" s="9"/>
      <c r="AZ27" s="39"/>
      <c r="BA27" s="39"/>
      <c r="BB27" s="39"/>
      <c r="BC27" s="39"/>
      <c r="BD27" s="39"/>
      <c r="BE27" s="12" t="str">
        <f aca="false">IF(A27="","",IF(COUNTIF(Rebar_Schedule!$A$5:$A$2004,A27)=0,"",ROUND(SUMIF(Rebar_Schedule!$A$5:$A$2004,A27,Rebar_Schedule!$K$5:$K$2004),1)))</f>
        <v/>
      </c>
      <c r="BF27" s="33" t="str">
        <f aca="false">IF(A27="","",IF(BE27="","No rebar schedule yet",IF(ABS(BE27-N(BA27))/MAX(N(BA27),1)&gt;SG_Criteria!$B$55,"NOTE: register rebar differs from schedule by "&amp;TEXT(ABS(BE27-N(BA27))/MAX(N(BA27),1),"0%"),"OK")))</f>
        <v/>
      </c>
      <c r="BG27" s="33" t="str">
        <f aca="false">IF(D27="","",IF(LEN(IF(AND(Z27&lt;&gt;"",IFERROR(VALUE(MID(Z27,2,2)),0)&lt;SG_Criteria!$B$19),"FAIL: grade below C"&amp;SG_Criteria!$B$19&amp;". ","")&amp;IF(AND(AA27&lt;&gt;"",AA27&lt;SG_Criteria!$B$20),"FAIL: cover &lt; "&amp;SG_Criteria!$B$20&amp;" mm. ","")&amp;IF(AND(I27&lt;&gt;"",I27&lt;SG_Criteria!$B$39),"NOTE: min depth below PUB "&amp;SG_Criteria!$B$39&amp;" m. ","")&amp;IF(AND(LEFT(D27,8)="Standard",J27&gt;SG_Criteria!$B$42),"FAIL: PUB 001C covers manholes up to "&amp;SG_Criteria!$B$42&amp;" m deep only. ","")&amp;IF(AND(LEFT(D27,11)="Rectangular",K27&lt;SG_Criteria!$B$43),"NOTE: 004C is for sewers &gt;= "&amp;SG_Criteria!$B$43&amp;" dia. ","")&amp;IF(AND(LEFT(D27,7)="Precast",J27&lt;=SG_Criteria!$B$42),"NOTE: 006C is for manholes &gt; "&amp;SG_Criteria!$B$42&amp;" m deep. ","")&amp;IF(AND(K27&lt;&gt;"",K27&lt;SG_Criteria!$B$40,D27&lt;&gt;"Inspection Chamber"),"NOTE: public sewer min dia "&amp;SG_Criteria!$B$40&amp;" mm. ","")&amp;IF(AND(Y27&lt;&gt;"",Y27&lt;SG_Criteria!$B$44),"FAIL: uplift FOS below "&amp;SG_Criteria!$B$44&amp;". ",""))=0,"OK",IF(AND(Z27&lt;&gt;"",IFERROR(VALUE(MID(Z27,2,2)),0)&lt;SG_Criteria!$B$19),"FAIL: grade below C"&amp;SG_Criteria!$B$19&amp;". ","")&amp;IF(AND(AA27&lt;&gt;"",AA27&lt;SG_Criteria!$B$20),"FAIL: cover &lt; "&amp;SG_Criteria!$B$20&amp;" mm. ","")&amp;IF(AND(I27&lt;&gt;"",I27&lt;SG_Criteria!$B$39),"NOTE: min depth below PUB "&amp;SG_Criteria!$B$39&amp;" m. ","")&amp;IF(AND(LEFT(D27,8)="Standard",J27&gt;SG_Criteria!$B$42),"FAIL: PUB 001C covers manholes up to "&amp;SG_Criteria!$B$42&amp;" m deep only. ","")&amp;IF(AND(LEFT(D27,11)="Rectangular",K27&lt;SG_Criteria!$B$43),"NOTE: 004C is for sewers &gt;= "&amp;SG_Criteria!$B$43&amp;" dia. ","")&amp;IF(AND(LEFT(D27,7)="Precast",J27&lt;=SG_Criteria!$B$42),"NOTE: 006C is for manholes &gt; "&amp;SG_Criteria!$B$42&amp;" m deep. ","")&amp;IF(AND(K27&lt;&gt;"",K27&lt;SG_Criteria!$B$40,D27&lt;&gt;"Inspection Chamber"),"NOTE: public sewer min dia "&amp;SG_Criteria!$B$40&amp;" mm. ","")&amp;IF(AND(Y27&lt;&gt;"",Y27&lt;SG_Criteria!$B$44),"FAIL: uplift FOS below "&amp;SG_Criteria!$B$44&amp;". ","")))</f>
        <v/>
      </c>
      <c r="BH27" s="9"/>
      <c r="BI27" s="9"/>
      <c r="BJ27" s="9"/>
      <c r="BK27" s="10" t="str">
        <f aca="false">IF(BJ27="","",IFERROR(VLOOKUP(BJ27,Projects!$A$5:$D$504,2,0),"Ref not in Projects"))</f>
        <v/>
      </c>
      <c r="BL27" s="10" t="str">
        <f aca="false">IF(BJ27="","",IFERROR(VLOOKUP(BJ27,Projects!$A$5:$D$504,4,0),"Ref not in Projects"))</f>
        <v/>
      </c>
      <c r="BM27" s="9"/>
      <c r="BN27" s="9"/>
      <c r="BO27" s="9"/>
      <c r="BP27" s="40"/>
      <c r="BQ27" s="9"/>
      <c r="BR27" s="40"/>
      <c r="BS27" s="9"/>
      <c r="BT27" s="40"/>
      <c r="BU27" s="9"/>
      <c r="BV27" s="9"/>
      <c r="BW27" s="9"/>
      <c r="BX27" s="40"/>
      <c r="BY27" s="40"/>
      <c r="BZ27" s="36" t="str">
        <f aca="false">IF(BY27="","",EDATE(BY27,SG_Criteria!$B$54*12))</f>
        <v/>
      </c>
      <c r="CA27" s="33" t="str">
        <f aca="true">IF(A27="","",IF(BY27="","NOTE: not reviewed yet",IF(TODAY()&gt;BZ27,"NOTE: review overdue","OK")))</f>
        <v/>
      </c>
      <c r="CB27" s="37" t="str">
        <f aca="false">IF(A27="","",ROUND((IF(LEN(D27)&gt;0,1,0)+IF(LEN(E27)&gt;0,1,0)+IF(LEN(F27)&gt;0,1,0)+IF(LEN(G27)&gt;0,1,0)+IF(LEN(I27)&gt;0,1,0)+IF(LEN(J27)&gt;0,1,0)+IF(LEN(K27)&gt;0,1,0)+IF(LEN(L27)&gt;0,1,0)+IF(LEN(M27)&gt;0,1,0)+IF(LEN(N27)&gt;0,1,0)+IF(LEN(Z27)&gt;0,1,0)+IF(LEN(AA27)&gt;0,1,0)+IF(LEN(Y27)&gt;0,1,0)+IF(LEN(AE27)&gt;0,1,0)+IF(LEN(AG27)&gt;0,1,0)+IF(LEN(AZ27)&gt;0,1,0)+IF(LEN(AK27)&gt;0,1,0)+IF(LEN(AM27)&gt;0,1,0)+IF(LEN(AN27)&gt;0,1,0)+IF(LEN(AO27)&gt;0,1,0)+IF(LEN(AP27)&gt;0,1,0)+IF(LEN(AY27)&gt;0,1,0)+IF(LEN(BJ27)&gt;0,1,0)+IF(LEN(BW27)&gt;0,1,0))/24,2))</f>
        <v/>
      </c>
      <c r="CC27" s="10" t="str">
        <f aca="false">IF(D27="","",IF(AND(AN27="Approved",ISERROR(SEARCH("FAIL",BG27))),"Y","N"))</f>
        <v/>
      </c>
      <c r="CD27" s="10" t="str">
        <f aca="false">IF(D27="","",D27&amp;"|"&amp;J27&amp;"|"&amp;G27&amp;"|"&amp;CC27)</f>
        <v/>
      </c>
    </row>
    <row r="28" customFormat="false" ht="15" hidden="false" customHeight="false" outlineLevel="0" collapsed="false">
      <c r="A28" s="10" t="str">
        <f aca="false">IF(D28="","","MH-"&amp;IFERROR(VLOOKUP(D28,Lists!$AB$4:$AC$20,2,0),"??")&amp;"-"&amp;TEXT(G28,"0000")&amp;IF(F28="Circular","D","x"&amp;TEXT(H28,"0000"))&amp;"-D"&amp;TEXT(J28*1000,"0000")&amp;"-"&amp;IFERROR(VLOOKUP(E28,Lists!$AE$4:$AF$16,2,0),"??")&amp;"-"&amp;AM28)</f>
        <v/>
      </c>
      <c r="B28" s="10" t="str">
        <f aca="false">IF(D28="","",D28&amp;", "&amp;E28&amp;", "&amp;IF(F28="Circular",G28&amp;" dia",G28&amp;" x "&amp;H28)&amp;", depth "&amp;TEXT(I28,"0.0")&amp;"-"&amp;TEXT(J28,"0.0")&amp;" m, pipe up to "&amp;K28&amp;" dia")</f>
        <v/>
      </c>
      <c r="C28" s="9"/>
      <c r="D28" s="9"/>
      <c r="E28" s="9"/>
      <c r="F28" s="9"/>
      <c r="G28" s="38"/>
      <c r="H28" s="38"/>
      <c r="I28" s="42"/>
      <c r="J28" s="42"/>
      <c r="K28" s="38"/>
      <c r="L28" s="38"/>
      <c r="M28" s="38"/>
      <c r="N28" s="38"/>
      <c r="O28" s="9"/>
      <c r="P28" s="9"/>
      <c r="Q28" s="9"/>
      <c r="R28" s="9"/>
      <c r="S28" s="9"/>
      <c r="T28" s="9"/>
      <c r="U28" s="9"/>
      <c r="V28" s="42"/>
      <c r="W28" s="9"/>
      <c r="X28" s="9"/>
      <c r="Y28" s="39"/>
      <c r="Z28" s="9"/>
      <c r="AA28" s="38"/>
      <c r="AB28" s="9"/>
      <c r="AC28" s="9"/>
      <c r="AD28" s="9"/>
      <c r="AE28" s="9"/>
      <c r="AF28" s="9"/>
      <c r="AG28" s="9"/>
      <c r="AH28" s="38"/>
      <c r="AI28" s="9"/>
      <c r="AJ28" s="39"/>
      <c r="AK28" s="9"/>
      <c r="AL28" s="9"/>
      <c r="AM28" s="9"/>
      <c r="AN28" s="9"/>
      <c r="AO28" s="9"/>
      <c r="AP28" s="9"/>
      <c r="AQ28" s="9"/>
      <c r="AR28" s="10" t="str">
        <f aca="false">IF(A28="","",SG_Criteria!$B$6&amp;SG_Criteria!$B$10&amp;"\"&amp;A28&amp;"\")</f>
        <v/>
      </c>
      <c r="AS28" s="10" t="str">
        <f aca="false">IF(A28="","",A28&amp;"_CAD.dwg")</f>
        <v/>
      </c>
      <c r="AT28" s="10" t="str">
        <f aca="false">IF(A28="","",A28&amp;"_DWG.pdf")</f>
        <v/>
      </c>
      <c r="AU28" s="10" t="str">
        <f aca="false">IF(A28="","",IF(AQ28="Y",A28&amp;"_STAAD.std","n/a"))</f>
        <v/>
      </c>
      <c r="AV28" s="10" t="str">
        <f aca="false">IF(A28="","",A28&amp;"_CALC.xlsx")</f>
        <v/>
      </c>
      <c r="AW28" s="10" t="str">
        <f aca="false">IF(A28="","",A28&amp;"_CALC.pdf")</f>
        <v/>
      </c>
      <c r="AX28" s="9"/>
      <c r="AY28" s="9"/>
      <c r="AZ28" s="39"/>
      <c r="BA28" s="39"/>
      <c r="BB28" s="39"/>
      <c r="BC28" s="39"/>
      <c r="BD28" s="39"/>
      <c r="BE28" s="12" t="str">
        <f aca="false">IF(A28="","",IF(COUNTIF(Rebar_Schedule!$A$5:$A$2004,A28)=0,"",ROUND(SUMIF(Rebar_Schedule!$A$5:$A$2004,A28,Rebar_Schedule!$K$5:$K$2004),1)))</f>
        <v/>
      </c>
      <c r="BF28" s="33" t="str">
        <f aca="false">IF(A28="","",IF(BE28="","No rebar schedule yet",IF(ABS(BE28-N(BA28))/MAX(N(BA28),1)&gt;SG_Criteria!$B$55,"NOTE: register rebar differs from schedule by "&amp;TEXT(ABS(BE28-N(BA28))/MAX(N(BA28),1),"0%"),"OK")))</f>
        <v/>
      </c>
      <c r="BG28" s="33" t="str">
        <f aca="false">IF(D28="","",IF(LEN(IF(AND(Z28&lt;&gt;"",IFERROR(VALUE(MID(Z28,2,2)),0)&lt;SG_Criteria!$B$19),"FAIL: grade below C"&amp;SG_Criteria!$B$19&amp;". ","")&amp;IF(AND(AA28&lt;&gt;"",AA28&lt;SG_Criteria!$B$20),"FAIL: cover &lt; "&amp;SG_Criteria!$B$20&amp;" mm. ","")&amp;IF(AND(I28&lt;&gt;"",I28&lt;SG_Criteria!$B$39),"NOTE: min depth below PUB "&amp;SG_Criteria!$B$39&amp;" m. ","")&amp;IF(AND(LEFT(D28,8)="Standard",J28&gt;SG_Criteria!$B$42),"FAIL: PUB 001C covers manholes up to "&amp;SG_Criteria!$B$42&amp;" m deep only. ","")&amp;IF(AND(LEFT(D28,11)="Rectangular",K28&lt;SG_Criteria!$B$43),"NOTE: 004C is for sewers &gt;= "&amp;SG_Criteria!$B$43&amp;" dia. ","")&amp;IF(AND(LEFT(D28,7)="Precast",J28&lt;=SG_Criteria!$B$42),"NOTE: 006C is for manholes &gt; "&amp;SG_Criteria!$B$42&amp;" m deep. ","")&amp;IF(AND(K28&lt;&gt;"",K28&lt;SG_Criteria!$B$40,D28&lt;&gt;"Inspection Chamber"),"NOTE: public sewer min dia "&amp;SG_Criteria!$B$40&amp;" mm. ","")&amp;IF(AND(Y28&lt;&gt;"",Y28&lt;SG_Criteria!$B$44),"FAIL: uplift FOS below "&amp;SG_Criteria!$B$44&amp;". ",""))=0,"OK",IF(AND(Z28&lt;&gt;"",IFERROR(VALUE(MID(Z28,2,2)),0)&lt;SG_Criteria!$B$19),"FAIL: grade below C"&amp;SG_Criteria!$B$19&amp;". ","")&amp;IF(AND(AA28&lt;&gt;"",AA28&lt;SG_Criteria!$B$20),"FAIL: cover &lt; "&amp;SG_Criteria!$B$20&amp;" mm. ","")&amp;IF(AND(I28&lt;&gt;"",I28&lt;SG_Criteria!$B$39),"NOTE: min depth below PUB "&amp;SG_Criteria!$B$39&amp;" m. ","")&amp;IF(AND(LEFT(D28,8)="Standard",J28&gt;SG_Criteria!$B$42),"FAIL: PUB 001C covers manholes up to "&amp;SG_Criteria!$B$42&amp;" m deep only. ","")&amp;IF(AND(LEFT(D28,11)="Rectangular",K28&lt;SG_Criteria!$B$43),"NOTE: 004C is for sewers &gt;= "&amp;SG_Criteria!$B$43&amp;" dia. ","")&amp;IF(AND(LEFT(D28,7)="Precast",J28&lt;=SG_Criteria!$B$42),"NOTE: 006C is for manholes &gt; "&amp;SG_Criteria!$B$42&amp;" m deep. ","")&amp;IF(AND(K28&lt;&gt;"",K28&lt;SG_Criteria!$B$40,D28&lt;&gt;"Inspection Chamber"),"NOTE: public sewer min dia "&amp;SG_Criteria!$B$40&amp;" mm. ","")&amp;IF(AND(Y28&lt;&gt;"",Y28&lt;SG_Criteria!$B$44),"FAIL: uplift FOS below "&amp;SG_Criteria!$B$44&amp;". ","")))</f>
        <v/>
      </c>
      <c r="BH28" s="9"/>
      <c r="BI28" s="9"/>
      <c r="BJ28" s="9"/>
      <c r="BK28" s="10" t="str">
        <f aca="false">IF(BJ28="","",IFERROR(VLOOKUP(BJ28,Projects!$A$5:$D$504,2,0),"Ref not in Projects"))</f>
        <v/>
      </c>
      <c r="BL28" s="10" t="str">
        <f aca="false">IF(BJ28="","",IFERROR(VLOOKUP(BJ28,Projects!$A$5:$D$504,4,0),"Ref not in Projects"))</f>
        <v/>
      </c>
      <c r="BM28" s="9"/>
      <c r="BN28" s="9"/>
      <c r="BO28" s="9"/>
      <c r="BP28" s="40"/>
      <c r="BQ28" s="9"/>
      <c r="BR28" s="40"/>
      <c r="BS28" s="9"/>
      <c r="BT28" s="40"/>
      <c r="BU28" s="9"/>
      <c r="BV28" s="9"/>
      <c r="BW28" s="9"/>
      <c r="BX28" s="40"/>
      <c r="BY28" s="40"/>
      <c r="BZ28" s="36" t="str">
        <f aca="false">IF(BY28="","",EDATE(BY28,SG_Criteria!$B$54*12))</f>
        <v/>
      </c>
      <c r="CA28" s="33" t="str">
        <f aca="true">IF(A28="","",IF(BY28="","NOTE: not reviewed yet",IF(TODAY()&gt;BZ28,"NOTE: review overdue","OK")))</f>
        <v/>
      </c>
      <c r="CB28" s="37" t="str">
        <f aca="false">IF(A28="","",ROUND((IF(LEN(D28)&gt;0,1,0)+IF(LEN(E28)&gt;0,1,0)+IF(LEN(F28)&gt;0,1,0)+IF(LEN(G28)&gt;0,1,0)+IF(LEN(I28)&gt;0,1,0)+IF(LEN(J28)&gt;0,1,0)+IF(LEN(K28)&gt;0,1,0)+IF(LEN(L28)&gt;0,1,0)+IF(LEN(M28)&gt;0,1,0)+IF(LEN(N28)&gt;0,1,0)+IF(LEN(Z28)&gt;0,1,0)+IF(LEN(AA28)&gt;0,1,0)+IF(LEN(Y28)&gt;0,1,0)+IF(LEN(AE28)&gt;0,1,0)+IF(LEN(AG28)&gt;0,1,0)+IF(LEN(AZ28)&gt;0,1,0)+IF(LEN(AK28)&gt;0,1,0)+IF(LEN(AM28)&gt;0,1,0)+IF(LEN(AN28)&gt;0,1,0)+IF(LEN(AO28)&gt;0,1,0)+IF(LEN(AP28)&gt;0,1,0)+IF(LEN(AY28)&gt;0,1,0)+IF(LEN(BJ28)&gt;0,1,0)+IF(LEN(BW28)&gt;0,1,0))/24,2))</f>
        <v/>
      </c>
      <c r="CC28" s="10" t="str">
        <f aca="false">IF(D28="","",IF(AND(AN28="Approved",ISERROR(SEARCH("FAIL",BG28))),"Y","N"))</f>
        <v/>
      </c>
      <c r="CD28" s="10" t="str">
        <f aca="false">IF(D28="","",D28&amp;"|"&amp;J28&amp;"|"&amp;G28&amp;"|"&amp;CC28)</f>
        <v/>
      </c>
    </row>
    <row r="29" customFormat="false" ht="15" hidden="false" customHeight="false" outlineLevel="0" collapsed="false">
      <c r="A29" s="10" t="str">
        <f aca="false">IF(D29="","","MH-"&amp;IFERROR(VLOOKUP(D29,Lists!$AB$4:$AC$20,2,0),"??")&amp;"-"&amp;TEXT(G29,"0000")&amp;IF(F29="Circular","D","x"&amp;TEXT(H29,"0000"))&amp;"-D"&amp;TEXT(J29*1000,"0000")&amp;"-"&amp;IFERROR(VLOOKUP(E29,Lists!$AE$4:$AF$16,2,0),"??")&amp;"-"&amp;AM29)</f>
        <v/>
      </c>
      <c r="B29" s="10" t="str">
        <f aca="false">IF(D29="","",D29&amp;", "&amp;E29&amp;", "&amp;IF(F29="Circular",G29&amp;" dia",G29&amp;" x "&amp;H29)&amp;", depth "&amp;TEXT(I29,"0.0")&amp;"-"&amp;TEXT(J29,"0.0")&amp;" m, pipe up to "&amp;K29&amp;" dia")</f>
        <v/>
      </c>
      <c r="C29" s="9"/>
      <c r="D29" s="9"/>
      <c r="E29" s="9"/>
      <c r="F29" s="9"/>
      <c r="G29" s="38"/>
      <c r="H29" s="38"/>
      <c r="I29" s="42"/>
      <c r="J29" s="42"/>
      <c r="K29" s="38"/>
      <c r="L29" s="38"/>
      <c r="M29" s="38"/>
      <c r="N29" s="38"/>
      <c r="O29" s="9"/>
      <c r="P29" s="9"/>
      <c r="Q29" s="9"/>
      <c r="R29" s="9"/>
      <c r="S29" s="9"/>
      <c r="T29" s="9"/>
      <c r="U29" s="9"/>
      <c r="V29" s="42"/>
      <c r="W29" s="9"/>
      <c r="X29" s="9"/>
      <c r="Y29" s="39"/>
      <c r="Z29" s="9"/>
      <c r="AA29" s="38"/>
      <c r="AB29" s="9"/>
      <c r="AC29" s="9"/>
      <c r="AD29" s="9"/>
      <c r="AE29" s="9"/>
      <c r="AF29" s="9"/>
      <c r="AG29" s="9"/>
      <c r="AH29" s="38"/>
      <c r="AI29" s="9"/>
      <c r="AJ29" s="39"/>
      <c r="AK29" s="9"/>
      <c r="AL29" s="9"/>
      <c r="AM29" s="9"/>
      <c r="AN29" s="9"/>
      <c r="AO29" s="9"/>
      <c r="AP29" s="9"/>
      <c r="AQ29" s="9"/>
      <c r="AR29" s="10" t="str">
        <f aca="false">IF(A29="","",SG_Criteria!$B$6&amp;SG_Criteria!$B$10&amp;"\"&amp;A29&amp;"\")</f>
        <v/>
      </c>
      <c r="AS29" s="10" t="str">
        <f aca="false">IF(A29="","",A29&amp;"_CAD.dwg")</f>
        <v/>
      </c>
      <c r="AT29" s="10" t="str">
        <f aca="false">IF(A29="","",A29&amp;"_DWG.pdf")</f>
        <v/>
      </c>
      <c r="AU29" s="10" t="str">
        <f aca="false">IF(A29="","",IF(AQ29="Y",A29&amp;"_STAAD.std","n/a"))</f>
        <v/>
      </c>
      <c r="AV29" s="10" t="str">
        <f aca="false">IF(A29="","",A29&amp;"_CALC.xlsx")</f>
        <v/>
      </c>
      <c r="AW29" s="10" t="str">
        <f aca="false">IF(A29="","",A29&amp;"_CALC.pdf")</f>
        <v/>
      </c>
      <c r="AX29" s="9"/>
      <c r="AY29" s="9"/>
      <c r="AZ29" s="39"/>
      <c r="BA29" s="39"/>
      <c r="BB29" s="39"/>
      <c r="BC29" s="39"/>
      <c r="BD29" s="39"/>
      <c r="BE29" s="12" t="str">
        <f aca="false">IF(A29="","",IF(COUNTIF(Rebar_Schedule!$A$5:$A$2004,A29)=0,"",ROUND(SUMIF(Rebar_Schedule!$A$5:$A$2004,A29,Rebar_Schedule!$K$5:$K$2004),1)))</f>
        <v/>
      </c>
      <c r="BF29" s="33" t="str">
        <f aca="false">IF(A29="","",IF(BE29="","No rebar schedule yet",IF(ABS(BE29-N(BA29))/MAX(N(BA29),1)&gt;SG_Criteria!$B$55,"NOTE: register rebar differs from schedule by "&amp;TEXT(ABS(BE29-N(BA29))/MAX(N(BA29),1),"0%"),"OK")))</f>
        <v/>
      </c>
      <c r="BG29" s="33" t="str">
        <f aca="false">IF(D29="","",IF(LEN(IF(AND(Z29&lt;&gt;"",IFERROR(VALUE(MID(Z29,2,2)),0)&lt;SG_Criteria!$B$19),"FAIL: grade below C"&amp;SG_Criteria!$B$19&amp;". ","")&amp;IF(AND(AA29&lt;&gt;"",AA29&lt;SG_Criteria!$B$20),"FAIL: cover &lt; "&amp;SG_Criteria!$B$20&amp;" mm. ","")&amp;IF(AND(I29&lt;&gt;"",I29&lt;SG_Criteria!$B$39),"NOTE: min depth below PUB "&amp;SG_Criteria!$B$39&amp;" m. ","")&amp;IF(AND(LEFT(D29,8)="Standard",J29&gt;SG_Criteria!$B$42),"FAIL: PUB 001C covers manholes up to "&amp;SG_Criteria!$B$42&amp;" m deep only. ","")&amp;IF(AND(LEFT(D29,11)="Rectangular",K29&lt;SG_Criteria!$B$43),"NOTE: 004C is for sewers &gt;= "&amp;SG_Criteria!$B$43&amp;" dia. ","")&amp;IF(AND(LEFT(D29,7)="Precast",J29&lt;=SG_Criteria!$B$42),"NOTE: 006C is for manholes &gt; "&amp;SG_Criteria!$B$42&amp;" m deep. ","")&amp;IF(AND(K29&lt;&gt;"",K29&lt;SG_Criteria!$B$40,D29&lt;&gt;"Inspection Chamber"),"NOTE: public sewer min dia "&amp;SG_Criteria!$B$40&amp;" mm. ","")&amp;IF(AND(Y29&lt;&gt;"",Y29&lt;SG_Criteria!$B$44),"FAIL: uplift FOS below "&amp;SG_Criteria!$B$44&amp;". ",""))=0,"OK",IF(AND(Z29&lt;&gt;"",IFERROR(VALUE(MID(Z29,2,2)),0)&lt;SG_Criteria!$B$19),"FAIL: grade below C"&amp;SG_Criteria!$B$19&amp;". ","")&amp;IF(AND(AA29&lt;&gt;"",AA29&lt;SG_Criteria!$B$20),"FAIL: cover &lt; "&amp;SG_Criteria!$B$20&amp;" mm. ","")&amp;IF(AND(I29&lt;&gt;"",I29&lt;SG_Criteria!$B$39),"NOTE: min depth below PUB "&amp;SG_Criteria!$B$39&amp;" m. ","")&amp;IF(AND(LEFT(D29,8)="Standard",J29&gt;SG_Criteria!$B$42),"FAIL: PUB 001C covers manholes up to "&amp;SG_Criteria!$B$42&amp;" m deep only. ","")&amp;IF(AND(LEFT(D29,11)="Rectangular",K29&lt;SG_Criteria!$B$43),"NOTE: 004C is for sewers &gt;= "&amp;SG_Criteria!$B$43&amp;" dia. ","")&amp;IF(AND(LEFT(D29,7)="Precast",J29&lt;=SG_Criteria!$B$42),"NOTE: 006C is for manholes &gt; "&amp;SG_Criteria!$B$42&amp;" m deep. ","")&amp;IF(AND(K29&lt;&gt;"",K29&lt;SG_Criteria!$B$40,D29&lt;&gt;"Inspection Chamber"),"NOTE: public sewer min dia "&amp;SG_Criteria!$B$40&amp;" mm. ","")&amp;IF(AND(Y29&lt;&gt;"",Y29&lt;SG_Criteria!$B$44),"FAIL: uplift FOS below "&amp;SG_Criteria!$B$44&amp;". ","")))</f>
        <v/>
      </c>
      <c r="BH29" s="9"/>
      <c r="BI29" s="9"/>
      <c r="BJ29" s="9"/>
      <c r="BK29" s="10" t="str">
        <f aca="false">IF(BJ29="","",IFERROR(VLOOKUP(BJ29,Projects!$A$5:$D$504,2,0),"Ref not in Projects"))</f>
        <v/>
      </c>
      <c r="BL29" s="10" t="str">
        <f aca="false">IF(BJ29="","",IFERROR(VLOOKUP(BJ29,Projects!$A$5:$D$504,4,0),"Ref not in Projects"))</f>
        <v/>
      </c>
      <c r="BM29" s="9"/>
      <c r="BN29" s="9"/>
      <c r="BO29" s="9"/>
      <c r="BP29" s="40"/>
      <c r="BQ29" s="9"/>
      <c r="BR29" s="40"/>
      <c r="BS29" s="9"/>
      <c r="BT29" s="40"/>
      <c r="BU29" s="9"/>
      <c r="BV29" s="9"/>
      <c r="BW29" s="9"/>
      <c r="BX29" s="40"/>
      <c r="BY29" s="40"/>
      <c r="BZ29" s="36" t="str">
        <f aca="false">IF(BY29="","",EDATE(BY29,SG_Criteria!$B$54*12))</f>
        <v/>
      </c>
      <c r="CA29" s="33" t="str">
        <f aca="true">IF(A29="","",IF(BY29="","NOTE: not reviewed yet",IF(TODAY()&gt;BZ29,"NOTE: review overdue","OK")))</f>
        <v/>
      </c>
      <c r="CB29" s="37" t="str">
        <f aca="false">IF(A29="","",ROUND((IF(LEN(D29)&gt;0,1,0)+IF(LEN(E29)&gt;0,1,0)+IF(LEN(F29)&gt;0,1,0)+IF(LEN(G29)&gt;0,1,0)+IF(LEN(I29)&gt;0,1,0)+IF(LEN(J29)&gt;0,1,0)+IF(LEN(K29)&gt;0,1,0)+IF(LEN(L29)&gt;0,1,0)+IF(LEN(M29)&gt;0,1,0)+IF(LEN(N29)&gt;0,1,0)+IF(LEN(Z29)&gt;0,1,0)+IF(LEN(AA29)&gt;0,1,0)+IF(LEN(Y29)&gt;0,1,0)+IF(LEN(AE29)&gt;0,1,0)+IF(LEN(AG29)&gt;0,1,0)+IF(LEN(AZ29)&gt;0,1,0)+IF(LEN(AK29)&gt;0,1,0)+IF(LEN(AM29)&gt;0,1,0)+IF(LEN(AN29)&gt;0,1,0)+IF(LEN(AO29)&gt;0,1,0)+IF(LEN(AP29)&gt;0,1,0)+IF(LEN(AY29)&gt;0,1,0)+IF(LEN(BJ29)&gt;0,1,0)+IF(LEN(BW29)&gt;0,1,0))/24,2))</f>
        <v/>
      </c>
      <c r="CC29" s="10" t="str">
        <f aca="false">IF(D29="","",IF(AND(AN29="Approved",ISERROR(SEARCH("FAIL",BG29))),"Y","N"))</f>
        <v/>
      </c>
      <c r="CD29" s="10" t="str">
        <f aca="false">IF(D29="","",D29&amp;"|"&amp;J29&amp;"|"&amp;G29&amp;"|"&amp;CC29)</f>
        <v/>
      </c>
    </row>
    <row r="30" customFormat="false" ht="15" hidden="false" customHeight="false" outlineLevel="0" collapsed="false">
      <c r="A30" s="10" t="str">
        <f aca="false">IF(D30="","","MH-"&amp;IFERROR(VLOOKUP(D30,Lists!$AB$4:$AC$20,2,0),"??")&amp;"-"&amp;TEXT(G30,"0000")&amp;IF(F30="Circular","D","x"&amp;TEXT(H30,"0000"))&amp;"-D"&amp;TEXT(J30*1000,"0000")&amp;"-"&amp;IFERROR(VLOOKUP(E30,Lists!$AE$4:$AF$16,2,0),"??")&amp;"-"&amp;AM30)</f>
        <v/>
      </c>
      <c r="B30" s="10" t="str">
        <f aca="false">IF(D30="","",D30&amp;", "&amp;E30&amp;", "&amp;IF(F30="Circular",G30&amp;" dia",G30&amp;" x "&amp;H30)&amp;", depth "&amp;TEXT(I30,"0.0")&amp;"-"&amp;TEXT(J30,"0.0")&amp;" m, pipe up to "&amp;K30&amp;" dia")</f>
        <v/>
      </c>
      <c r="C30" s="9"/>
      <c r="D30" s="9"/>
      <c r="E30" s="9"/>
      <c r="F30" s="9"/>
      <c r="G30" s="38"/>
      <c r="H30" s="38"/>
      <c r="I30" s="42"/>
      <c r="J30" s="42"/>
      <c r="K30" s="38"/>
      <c r="L30" s="38"/>
      <c r="M30" s="38"/>
      <c r="N30" s="38"/>
      <c r="O30" s="9"/>
      <c r="P30" s="9"/>
      <c r="Q30" s="9"/>
      <c r="R30" s="9"/>
      <c r="S30" s="9"/>
      <c r="T30" s="9"/>
      <c r="U30" s="9"/>
      <c r="V30" s="42"/>
      <c r="W30" s="9"/>
      <c r="X30" s="9"/>
      <c r="Y30" s="39"/>
      <c r="Z30" s="9"/>
      <c r="AA30" s="38"/>
      <c r="AB30" s="9"/>
      <c r="AC30" s="9"/>
      <c r="AD30" s="9"/>
      <c r="AE30" s="9"/>
      <c r="AF30" s="9"/>
      <c r="AG30" s="9"/>
      <c r="AH30" s="38"/>
      <c r="AI30" s="9"/>
      <c r="AJ30" s="39"/>
      <c r="AK30" s="9"/>
      <c r="AL30" s="9"/>
      <c r="AM30" s="9"/>
      <c r="AN30" s="9"/>
      <c r="AO30" s="9"/>
      <c r="AP30" s="9"/>
      <c r="AQ30" s="9"/>
      <c r="AR30" s="10" t="str">
        <f aca="false">IF(A30="","",SG_Criteria!$B$6&amp;SG_Criteria!$B$10&amp;"\"&amp;A30&amp;"\")</f>
        <v/>
      </c>
      <c r="AS30" s="10" t="str">
        <f aca="false">IF(A30="","",A30&amp;"_CAD.dwg")</f>
        <v/>
      </c>
      <c r="AT30" s="10" t="str">
        <f aca="false">IF(A30="","",A30&amp;"_DWG.pdf")</f>
        <v/>
      </c>
      <c r="AU30" s="10" t="str">
        <f aca="false">IF(A30="","",IF(AQ30="Y",A30&amp;"_STAAD.std","n/a"))</f>
        <v/>
      </c>
      <c r="AV30" s="10" t="str">
        <f aca="false">IF(A30="","",A30&amp;"_CALC.xlsx")</f>
        <v/>
      </c>
      <c r="AW30" s="10" t="str">
        <f aca="false">IF(A30="","",A30&amp;"_CALC.pdf")</f>
        <v/>
      </c>
      <c r="AX30" s="9"/>
      <c r="AY30" s="9"/>
      <c r="AZ30" s="39"/>
      <c r="BA30" s="39"/>
      <c r="BB30" s="39"/>
      <c r="BC30" s="39"/>
      <c r="BD30" s="39"/>
      <c r="BE30" s="12" t="str">
        <f aca="false">IF(A30="","",IF(COUNTIF(Rebar_Schedule!$A$5:$A$2004,A30)=0,"",ROUND(SUMIF(Rebar_Schedule!$A$5:$A$2004,A30,Rebar_Schedule!$K$5:$K$2004),1)))</f>
        <v/>
      </c>
      <c r="BF30" s="33" t="str">
        <f aca="false">IF(A30="","",IF(BE30="","No rebar schedule yet",IF(ABS(BE30-N(BA30))/MAX(N(BA30),1)&gt;SG_Criteria!$B$55,"NOTE: register rebar differs from schedule by "&amp;TEXT(ABS(BE30-N(BA30))/MAX(N(BA30),1),"0%"),"OK")))</f>
        <v/>
      </c>
      <c r="BG30" s="33" t="str">
        <f aca="false">IF(D30="","",IF(LEN(IF(AND(Z30&lt;&gt;"",IFERROR(VALUE(MID(Z30,2,2)),0)&lt;SG_Criteria!$B$19),"FAIL: grade below C"&amp;SG_Criteria!$B$19&amp;". ","")&amp;IF(AND(AA30&lt;&gt;"",AA30&lt;SG_Criteria!$B$20),"FAIL: cover &lt; "&amp;SG_Criteria!$B$20&amp;" mm. ","")&amp;IF(AND(I30&lt;&gt;"",I30&lt;SG_Criteria!$B$39),"NOTE: min depth below PUB "&amp;SG_Criteria!$B$39&amp;" m. ","")&amp;IF(AND(LEFT(D30,8)="Standard",J30&gt;SG_Criteria!$B$42),"FAIL: PUB 001C covers manholes up to "&amp;SG_Criteria!$B$42&amp;" m deep only. ","")&amp;IF(AND(LEFT(D30,11)="Rectangular",K30&lt;SG_Criteria!$B$43),"NOTE: 004C is for sewers &gt;= "&amp;SG_Criteria!$B$43&amp;" dia. ","")&amp;IF(AND(LEFT(D30,7)="Precast",J30&lt;=SG_Criteria!$B$42),"NOTE: 006C is for manholes &gt; "&amp;SG_Criteria!$B$42&amp;" m deep. ","")&amp;IF(AND(K30&lt;&gt;"",K30&lt;SG_Criteria!$B$40,D30&lt;&gt;"Inspection Chamber"),"NOTE: public sewer min dia "&amp;SG_Criteria!$B$40&amp;" mm. ","")&amp;IF(AND(Y30&lt;&gt;"",Y30&lt;SG_Criteria!$B$44),"FAIL: uplift FOS below "&amp;SG_Criteria!$B$44&amp;". ",""))=0,"OK",IF(AND(Z30&lt;&gt;"",IFERROR(VALUE(MID(Z30,2,2)),0)&lt;SG_Criteria!$B$19),"FAIL: grade below C"&amp;SG_Criteria!$B$19&amp;". ","")&amp;IF(AND(AA30&lt;&gt;"",AA30&lt;SG_Criteria!$B$20),"FAIL: cover &lt; "&amp;SG_Criteria!$B$20&amp;" mm. ","")&amp;IF(AND(I30&lt;&gt;"",I30&lt;SG_Criteria!$B$39),"NOTE: min depth below PUB "&amp;SG_Criteria!$B$39&amp;" m. ","")&amp;IF(AND(LEFT(D30,8)="Standard",J30&gt;SG_Criteria!$B$42),"FAIL: PUB 001C covers manholes up to "&amp;SG_Criteria!$B$42&amp;" m deep only. ","")&amp;IF(AND(LEFT(D30,11)="Rectangular",K30&lt;SG_Criteria!$B$43),"NOTE: 004C is for sewers &gt;= "&amp;SG_Criteria!$B$43&amp;" dia. ","")&amp;IF(AND(LEFT(D30,7)="Precast",J30&lt;=SG_Criteria!$B$42),"NOTE: 006C is for manholes &gt; "&amp;SG_Criteria!$B$42&amp;" m deep. ","")&amp;IF(AND(K30&lt;&gt;"",K30&lt;SG_Criteria!$B$40,D30&lt;&gt;"Inspection Chamber"),"NOTE: public sewer min dia "&amp;SG_Criteria!$B$40&amp;" mm. ","")&amp;IF(AND(Y30&lt;&gt;"",Y30&lt;SG_Criteria!$B$44),"FAIL: uplift FOS below "&amp;SG_Criteria!$B$44&amp;". ","")))</f>
        <v/>
      </c>
      <c r="BH30" s="9"/>
      <c r="BI30" s="9"/>
      <c r="BJ30" s="9"/>
      <c r="BK30" s="10" t="str">
        <f aca="false">IF(BJ30="","",IFERROR(VLOOKUP(BJ30,Projects!$A$5:$D$504,2,0),"Ref not in Projects"))</f>
        <v/>
      </c>
      <c r="BL30" s="10" t="str">
        <f aca="false">IF(BJ30="","",IFERROR(VLOOKUP(BJ30,Projects!$A$5:$D$504,4,0),"Ref not in Projects"))</f>
        <v/>
      </c>
      <c r="BM30" s="9"/>
      <c r="BN30" s="9"/>
      <c r="BO30" s="9"/>
      <c r="BP30" s="40"/>
      <c r="BQ30" s="9"/>
      <c r="BR30" s="40"/>
      <c r="BS30" s="9"/>
      <c r="BT30" s="40"/>
      <c r="BU30" s="9"/>
      <c r="BV30" s="9"/>
      <c r="BW30" s="9"/>
      <c r="BX30" s="40"/>
      <c r="BY30" s="40"/>
      <c r="BZ30" s="36" t="str">
        <f aca="false">IF(BY30="","",EDATE(BY30,SG_Criteria!$B$54*12))</f>
        <v/>
      </c>
      <c r="CA30" s="33" t="str">
        <f aca="true">IF(A30="","",IF(BY30="","NOTE: not reviewed yet",IF(TODAY()&gt;BZ30,"NOTE: review overdue","OK")))</f>
        <v/>
      </c>
      <c r="CB30" s="37" t="str">
        <f aca="false">IF(A30="","",ROUND((IF(LEN(D30)&gt;0,1,0)+IF(LEN(E30)&gt;0,1,0)+IF(LEN(F30)&gt;0,1,0)+IF(LEN(G30)&gt;0,1,0)+IF(LEN(I30)&gt;0,1,0)+IF(LEN(J30)&gt;0,1,0)+IF(LEN(K30)&gt;0,1,0)+IF(LEN(L30)&gt;0,1,0)+IF(LEN(M30)&gt;0,1,0)+IF(LEN(N30)&gt;0,1,0)+IF(LEN(Z30)&gt;0,1,0)+IF(LEN(AA30)&gt;0,1,0)+IF(LEN(Y30)&gt;0,1,0)+IF(LEN(AE30)&gt;0,1,0)+IF(LEN(AG30)&gt;0,1,0)+IF(LEN(AZ30)&gt;0,1,0)+IF(LEN(AK30)&gt;0,1,0)+IF(LEN(AM30)&gt;0,1,0)+IF(LEN(AN30)&gt;0,1,0)+IF(LEN(AO30)&gt;0,1,0)+IF(LEN(AP30)&gt;0,1,0)+IF(LEN(AY30)&gt;0,1,0)+IF(LEN(BJ30)&gt;0,1,0)+IF(LEN(BW30)&gt;0,1,0))/24,2))</f>
        <v/>
      </c>
      <c r="CC30" s="10" t="str">
        <f aca="false">IF(D30="","",IF(AND(AN30="Approved",ISERROR(SEARCH("FAIL",BG30))),"Y","N"))</f>
        <v/>
      </c>
      <c r="CD30" s="10" t="str">
        <f aca="false">IF(D30="","",D30&amp;"|"&amp;J30&amp;"|"&amp;G30&amp;"|"&amp;CC30)</f>
        <v/>
      </c>
    </row>
    <row r="31" customFormat="false" ht="15" hidden="false" customHeight="false" outlineLevel="0" collapsed="false">
      <c r="A31" s="10" t="str">
        <f aca="false">IF(D31="","","MH-"&amp;IFERROR(VLOOKUP(D31,Lists!$AB$4:$AC$20,2,0),"??")&amp;"-"&amp;TEXT(G31,"0000")&amp;IF(F31="Circular","D","x"&amp;TEXT(H31,"0000"))&amp;"-D"&amp;TEXT(J31*1000,"0000")&amp;"-"&amp;IFERROR(VLOOKUP(E31,Lists!$AE$4:$AF$16,2,0),"??")&amp;"-"&amp;AM31)</f>
        <v/>
      </c>
      <c r="B31" s="10" t="str">
        <f aca="false">IF(D31="","",D31&amp;", "&amp;E31&amp;", "&amp;IF(F31="Circular",G31&amp;" dia",G31&amp;" x "&amp;H31)&amp;", depth "&amp;TEXT(I31,"0.0")&amp;"-"&amp;TEXT(J31,"0.0")&amp;" m, pipe up to "&amp;K31&amp;" dia")</f>
        <v/>
      </c>
      <c r="C31" s="9"/>
      <c r="D31" s="9"/>
      <c r="E31" s="9"/>
      <c r="F31" s="9"/>
      <c r="G31" s="38"/>
      <c r="H31" s="38"/>
      <c r="I31" s="42"/>
      <c r="J31" s="42"/>
      <c r="K31" s="38"/>
      <c r="L31" s="38"/>
      <c r="M31" s="38"/>
      <c r="N31" s="38"/>
      <c r="O31" s="9"/>
      <c r="P31" s="9"/>
      <c r="Q31" s="9"/>
      <c r="R31" s="9"/>
      <c r="S31" s="9"/>
      <c r="T31" s="9"/>
      <c r="U31" s="9"/>
      <c r="V31" s="42"/>
      <c r="W31" s="9"/>
      <c r="X31" s="9"/>
      <c r="Y31" s="39"/>
      <c r="Z31" s="9"/>
      <c r="AA31" s="38"/>
      <c r="AB31" s="9"/>
      <c r="AC31" s="9"/>
      <c r="AD31" s="9"/>
      <c r="AE31" s="9"/>
      <c r="AF31" s="9"/>
      <c r="AG31" s="9"/>
      <c r="AH31" s="38"/>
      <c r="AI31" s="9"/>
      <c r="AJ31" s="39"/>
      <c r="AK31" s="9"/>
      <c r="AL31" s="9"/>
      <c r="AM31" s="9"/>
      <c r="AN31" s="9"/>
      <c r="AO31" s="9"/>
      <c r="AP31" s="9"/>
      <c r="AQ31" s="9"/>
      <c r="AR31" s="10" t="str">
        <f aca="false">IF(A31="","",SG_Criteria!$B$6&amp;SG_Criteria!$B$10&amp;"\"&amp;A31&amp;"\")</f>
        <v/>
      </c>
      <c r="AS31" s="10" t="str">
        <f aca="false">IF(A31="","",A31&amp;"_CAD.dwg")</f>
        <v/>
      </c>
      <c r="AT31" s="10" t="str">
        <f aca="false">IF(A31="","",A31&amp;"_DWG.pdf")</f>
        <v/>
      </c>
      <c r="AU31" s="10" t="str">
        <f aca="false">IF(A31="","",IF(AQ31="Y",A31&amp;"_STAAD.std","n/a"))</f>
        <v/>
      </c>
      <c r="AV31" s="10" t="str">
        <f aca="false">IF(A31="","",A31&amp;"_CALC.xlsx")</f>
        <v/>
      </c>
      <c r="AW31" s="10" t="str">
        <f aca="false">IF(A31="","",A31&amp;"_CALC.pdf")</f>
        <v/>
      </c>
      <c r="AX31" s="9"/>
      <c r="AY31" s="9"/>
      <c r="AZ31" s="39"/>
      <c r="BA31" s="39"/>
      <c r="BB31" s="39"/>
      <c r="BC31" s="39"/>
      <c r="BD31" s="39"/>
      <c r="BE31" s="12" t="str">
        <f aca="false">IF(A31="","",IF(COUNTIF(Rebar_Schedule!$A$5:$A$2004,A31)=0,"",ROUND(SUMIF(Rebar_Schedule!$A$5:$A$2004,A31,Rebar_Schedule!$K$5:$K$2004),1)))</f>
        <v/>
      </c>
      <c r="BF31" s="33" t="str">
        <f aca="false">IF(A31="","",IF(BE31="","No rebar schedule yet",IF(ABS(BE31-N(BA31))/MAX(N(BA31),1)&gt;SG_Criteria!$B$55,"NOTE: register rebar differs from schedule by "&amp;TEXT(ABS(BE31-N(BA31))/MAX(N(BA31),1),"0%"),"OK")))</f>
        <v/>
      </c>
      <c r="BG31" s="33" t="str">
        <f aca="false">IF(D31="","",IF(LEN(IF(AND(Z31&lt;&gt;"",IFERROR(VALUE(MID(Z31,2,2)),0)&lt;SG_Criteria!$B$19),"FAIL: grade below C"&amp;SG_Criteria!$B$19&amp;". ","")&amp;IF(AND(AA31&lt;&gt;"",AA31&lt;SG_Criteria!$B$20),"FAIL: cover &lt; "&amp;SG_Criteria!$B$20&amp;" mm. ","")&amp;IF(AND(I31&lt;&gt;"",I31&lt;SG_Criteria!$B$39),"NOTE: min depth below PUB "&amp;SG_Criteria!$B$39&amp;" m. ","")&amp;IF(AND(LEFT(D31,8)="Standard",J31&gt;SG_Criteria!$B$42),"FAIL: PUB 001C covers manholes up to "&amp;SG_Criteria!$B$42&amp;" m deep only. ","")&amp;IF(AND(LEFT(D31,11)="Rectangular",K31&lt;SG_Criteria!$B$43),"NOTE: 004C is for sewers &gt;= "&amp;SG_Criteria!$B$43&amp;" dia. ","")&amp;IF(AND(LEFT(D31,7)="Precast",J31&lt;=SG_Criteria!$B$42),"NOTE: 006C is for manholes &gt; "&amp;SG_Criteria!$B$42&amp;" m deep. ","")&amp;IF(AND(K31&lt;&gt;"",K31&lt;SG_Criteria!$B$40,D31&lt;&gt;"Inspection Chamber"),"NOTE: public sewer min dia "&amp;SG_Criteria!$B$40&amp;" mm. ","")&amp;IF(AND(Y31&lt;&gt;"",Y31&lt;SG_Criteria!$B$44),"FAIL: uplift FOS below "&amp;SG_Criteria!$B$44&amp;". ",""))=0,"OK",IF(AND(Z31&lt;&gt;"",IFERROR(VALUE(MID(Z31,2,2)),0)&lt;SG_Criteria!$B$19),"FAIL: grade below C"&amp;SG_Criteria!$B$19&amp;". ","")&amp;IF(AND(AA31&lt;&gt;"",AA31&lt;SG_Criteria!$B$20),"FAIL: cover &lt; "&amp;SG_Criteria!$B$20&amp;" mm. ","")&amp;IF(AND(I31&lt;&gt;"",I31&lt;SG_Criteria!$B$39),"NOTE: min depth below PUB "&amp;SG_Criteria!$B$39&amp;" m. ","")&amp;IF(AND(LEFT(D31,8)="Standard",J31&gt;SG_Criteria!$B$42),"FAIL: PUB 001C covers manholes up to "&amp;SG_Criteria!$B$42&amp;" m deep only. ","")&amp;IF(AND(LEFT(D31,11)="Rectangular",K31&lt;SG_Criteria!$B$43),"NOTE: 004C is for sewers &gt;= "&amp;SG_Criteria!$B$43&amp;" dia. ","")&amp;IF(AND(LEFT(D31,7)="Precast",J31&lt;=SG_Criteria!$B$42),"NOTE: 006C is for manholes &gt; "&amp;SG_Criteria!$B$42&amp;" m deep. ","")&amp;IF(AND(K31&lt;&gt;"",K31&lt;SG_Criteria!$B$40,D31&lt;&gt;"Inspection Chamber"),"NOTE: public sewer min dia "&amp;SG_Criteria!$B$40&amp;" mm. ","")&amp;IF(AND(Y31&lt;&gt;"",Y31&lt;SG_Criteria!$B$44),"FAIL: uplift FOS below "&amp;SG_Criteria!$B$44&amp;". ","")))</f>
        <v/>
      </c>
      <c r="BH31" s="9"/>
      <c r="BI31" s="9"/>
      <c r="BJ31" s="9"/>
      <c r="BK31" s="10" t="str">
        <f aca="false">IF(BJ31="","",IFERROR(VLOOKUP(BJ31,Projects!$A$5:$D$504,2,0),"Ref not in Projects"))</f>
        <v/>
      </c>
      <c r="BL31" s="10" t="str">
        <f aca="false">IF(BJ31="","",IFERROR(VLOOKUP(BJ31,Projects!$A$5:$D$504,4,0),"Ref not in Projects"))</f>
        <v/>
      </c>
      <c r="BM31" s="9"/>
      <c r="BN31" s="9"/>
      <c r="BO31" s="9"/>
      <c r="BP31" s="40"/>
      <c r="BQ31" s="9"/>
      <c r="BR31" s="40"/>
      <c r="BS31" s="9"/>
      <c r="BT31" s="40"/>
      <c r="BU31" s="9"/>
      <c r="BV31" s="9"/>
      <c r="BW31" s="9"/>
      <c r="BX31" s="40"/>
      <c r="BY31" s="40"/>
      <c r="BZ31" s="36" t="str">
        <f aca="false">IF(BY31="","",EDATE(BY31,SG_Criteria!$B$54*12))</f>
        <v/>
      </c>
      <c r="CA31" s="33" t="str">
        <f aca="true">IF(A31="","",IF(BY31="","NOTE: not reviewed yet",IF(TODAY()&gt;BZ31,"NOTE: review overdue","OK")))</f>
        <v/>
      </c>
      <c r="CB31" s="37" t="str">
        <f aca="false">IF(A31="","",ROUND((IF(LEN(D31)&gt;0,1,0)+IF(LEN(E31)&gt;0,1,0)+IF(LEN(F31)&gt;0,1,0)+IF(LEN(G31)&gt;0,1,0)+IF(LEN(I31)&gt;0,1,0)+IF(LEN(J31)&gt;0,1,0)+IF(LEN(K31)&gt;0,1,0)+IF(LEN(L31)&gt;0,1,0)+IF(LEN(M31)&gt;0,1,0)+IF(LEN(N31)&gt;0,1,0)+IF(LEN(Z31)&gt;0,1,0)+IF(LEN(AA31)&gt;0,1,0)+IF(LEN(Y31)&gt;0,1,0)+IF(LEN(AE31)&gt;0,1,0)+IF(LEN(AG31)&gt;0,1,0)+IF(LEN(AZ31)&gt;0,1,0)+IF(LEN(AK31)&gt;0,1,0)+IF(LEN(AM31)&gt;0,1,0)+IF(LEN(AN31)&gt;0,1,0)+IF(LEN(AO31)&gt;0,1,0)+IF(LEN(AP31)&gt;0,1,0)+IF(LEN(AY31)&gt;0,1,0)+IF(LEN(BJ31)&gt;0,1,0)+IF(LEN(BW31)&gt;0,1,0))/24,2))</f>
        <v/>
      </c>
      <c r="CC31" s="10" t="str">
        <f aca="false">IF(D31="","",IF(AND(AN31="Approved",ISERROR(SEARCH("FAIL",BG31))),"Y","N"))</f>
        <v/>
      </c>
      <c r="CD31" s="10" t="str">
        <f aca="false">IF(D31="","",D31&amp;"|"&amp;J31&amp;"|"&amp;G31&amp;"|"&amp;CC31)</f>
        <v/>
      </c>
    </row>
    <row r="32" customFormat="false" ht="15" hidden="false" customHeight="false" outlineLevel="0" collapsed="false">
      <c r="A32" s="10" t="str">
        <f aca="false">IF(D32="","","MH-"&amp;IFERROR(VLOOKUP(D32,Lists!$AB$4:$AC$20,2,0),"??")&amp;"-"&amp;TEXT(G32,"0000")&amp;IF(F32="Circular","D","x"&amp;TEXT(H32,"0000"))&amp;"-D"&amp;TEXT(J32*1000,"0000")&amp;"-"&amp;IFERROR(VLOOKUP(E32,Lists!$AE$4:$AF$16,2,0),"??")&amp;"-"&amp;AM32)</f>
        <v/>
      </c>
      <c r="B32" s="10" t="str">
        <f aca="false">IF(D32="","",D32&amp;", "&amp;E32&amp;", "&amp;IF(F32="Circular",G32&amp;" dia",G32&amp;" x "&amp;H32)&amp;", depth "&amp;TEXT(I32,"0.0")&amp;"-"&amp;TEXT(J32,"0.0")&amp;" m, pipe up to "&amp;K32&amp;" dia")</f>
        <v/>
      </c>
      <c r="C32" s="9"/>
      <c r="D32" s="9"/>
      <c r="E32" s="9"/>
      <c r="F32" s="9"/>
      <c r="G32" s="38"/>
      <c r="H32" s="38"/>
      <c r="I32" s="42"/>
      <c r="J32" s="42"/>
      <c r="K32" s="38"/>
      <c r="L32" s="38"/>
      <c r="M32" s="38"/>
      <c r="N32" s="38"/>
      <c r="O32" s="9"/>
      <c r="P32" s="9"/>
      <c r="Q32" s="9"/>
      <c r="R32" s="9"/>
      <c r="S32" s="9"/>
      <c r="T32" s="9"/>
      <c r="U32" s="9"/>
      <c r="V32" s="42"/>
      <c r="W32" s="9"/>
      <c r="X32" s="9"/>
      <c r="Y32" s="39"/>
      <c r="Z32" s="9"/>
      <c r="AA32" s="38"/>
      <c r="AB32" s="9"/>
      <c r="AC32" s="9"/>
      <c r="AD32" s="9"/>
      <c r="AE32" s="9"/>
      <c r="AF32" s="9"/>
      <c r="AG32" s="9"/>
      <c r="AH32" s="38"/>
      <c r="AI32" s="9"/>
      <c r="AJ32" s="39"/>
      <c r="AK32" s="9"/>
      <c r="AL32" s="9"/>
      <c r="AM32" s="9"/>
      <c r="AN32" s="9"/>
      <c r="AO32" s="9"/>
      <c r="AP32" s="9"/>
      <c r="AQ32" s="9"/>
      <c r="AR32" s="10" t="str">
        <f aca="false">IF(A32="","",SG_Criteria!$B$6&amp;SG_Criteria!$B$10&amp;"\"&amp;A32&amp;"\")</f>
        <v/>
      </c>
      <c r="AS32" s="10" t="str">
        <f aca="false">IF(A32="","",A32&amp;"_CAD.dwg")</f>
        <v/>
      </c>
      <c r="AT32" s="10" t="str">
        <f aca="false">IF(A32="","",A32&amp;"_DWG.pdf")</f>
        <v/>
      </c>
      <c r="AU32" s="10" t="str">
        <f aca="false">IF(A32="","",IF(AQ32="Y",A32&amp;"_STAAD.std","n/a"))</f>
        <v/>
      </c>
      <c r="AV32" s="10" t="str">
        <f aca="false">IF(A32="","",A32&amp;"_CALC.xlsx")</f>
        <v/>
      </c>
      <c r="AW32" s="10" t="str">
        <f aca="false">IF(A32="","",A32&amp;"_CALC.pdf")</f>
        <v/>
      </c>
      <c r="AX32" s="9"/>
      <c r="AY32" s="9"/>
      <c r="AZ32" s="39"/>
      <c r="BA32" s="39"/>
      <c r="BB32" s="39"/>
      <c r="BC32" s="39"/>
      <c r="BD32" s="39"/>
      <c r="BE32" s="12" t="str">
        <f aca="false">IF(A32="","",IF(COUNTIF(Rebar_Schedule!$A$5:$A$2004,A32)=0,"",ROUND(SUMIF(Rebar_Schedule!$A$5:$A$2004,A32,Rebar_Schedule!$K$5:$K$2004),1)))</f>
        <v/>
      </c>
      <c r="BF32" s="33" t="str">
        <f aca="false">IF(A32="","",IF(BE32="","No rebar schedule yet",IF(ABS(BE32-N(BA32))/MAX(N(BA32),1)&gt;SG_Criteria!$B$55,"NOTE: register rebar differs from schedule by "&amp;TEXT(ABS(BE32-N(BA32))/MAX(N(BA32),1),"0%"),"OK")))</f>
        <v/>
      </c>
      <c r="BG32" s="33" t="str">
        <f aca="false">IF(D32="","",IF(LEN(IF(AND(Z32&lt;&gt;"",IFERROR(VALUE(MID(Z32,2,2)),0)&lt;SG_Criteria!$B$19),"FAIL: grade below C"&amp;SG_Criteria!$B$19&amp;". ","")&amp;IF(AND(AA32&lt;&gt;"",AA32&lt;SG_Criteria!$B$20),"FAIL: cover &lt; "&amp;SG_Criteria!$B$20&amp;" mm. ","")&amp;IF(AND(I32&lt;&gt;"",I32&lt;SG_Criteria!$B$39),"NOTE: min depth below PUB "&amp;SG_Criteria!$B$39&amp;" m. ","")&amp;IF(AND(LEFT(D32,8)="Standard",J32&gt;SG_Criteria!$B$42),"FAIL: PUB 001C covers manholes up to "&amp;SG_Criteria!$B$42&amp;" m deep only. ","")&amp;IF(AND(LEFT(D32,11)="Rectangular",K32&lt;SG_Criteria!$B$43),"NOTE: 004C is for sewers &gt;= "&amp;SG_Criteria!$B$43&amp;" dia. ","")&amp;IF(AND(LEFT(D32,7)="Precast",J32&lt;=SG_Criteria!$B$42),"NOTE: 006C is for manholes &gt; "&amp;SG_Criteria!$B$42&amp;" m deep. ","")&amp;IF(AND(K32&lt;&gt;"",K32&lt;SG_Criteria!$B$40,D32&lt;&gt;"Inspection Chamber"),"NOTE: public sewer min dia "&amp;SG_Criteria!$B$40&amp;" mm. ","")&amp;IF(AND(Y32&lt;&gt;"",Y32&lt;SG_Criteria!$B$44),"FAIL: uplift FOS below "&amp;SG_Criteria!$B$44&amp;". ",""))=0,"OK",IF(AND(Z32&lt;&gt;"",IFERROR(VALUE(MID(Z32,2,2)),0)&lt;SG_Criteria!$B$19),"FAIL: grade below C"&amp;SG_Criteria!$B$19&amp;". ","")&amp;IF(AND(AA32&lt;&gt;"",AA32&lt;SG_Criteria!$B$20),"FAIL: cover &lt; "&amp;SG_Criteria!$B$20&amp;" mm. ","")&amp;IF(AND(I32&lt;&gt;"",I32&lt;SG_Criteria!$B$39),"NOTE: min depth below PUB "&amp;SG_Criteria!$B$39&amp;" m. ","")&amp;IF(AND(LEFT(D32,8)="Standard",J32&gt;SG_Criteria!$B$42),"FAIL: PUB 001C covers manholes up to "&amp;SG_Criteria!$B$42&amp;" m deep only. ","")&amp;IF(AND(LEFT(D32,11)="Rectangular",K32&lt;SG_Criteria!$B$43),"NOTE: 004C is for sewers &gt;= "&amp;SG_Criteria!$B$43&amp;" dia. ","")&amp;IF(AND(LEFT(D32,7)="Precast",J32&lt;=SG_Criteria!$B$42),"NOTE: 006C is for manholes &gt; "&amp;SG_Criteria!$B$42&amp;" m deep. ","")&amp;IF(AND(K32&lt;&gt;"",K32&lt;SG_Criteria!$B$40,D32&lt;&gt;"Inspection Chamber"),"NOTE: public sewer min dia "&amp;SG_Criteria!$B$40&amp;" mm. ","")&amp;IF(AND(Y32&lt;&gt;"",Y32&lt;SG_Criteria!$B$44),"FAIL: uplift FOS below "&amp;SG_Criteria!$B$44&amp;". ","")))</f>
        <v/>
      </c>
      <c r="BH32" s="9"/>
      <c r="BI32" s="9"/>
      <c r="BJ32" s="9"/>
      <c r="BK32" s="10" t="str">
        <f aca="false">IF(BJ32="","",IFERROR(VLOOKUP(BJ32,Projects!$A$5:$D$504,2,0),"Ref not in Projects"))</f>
        <v/>
      </c>
      <c r="BL32" s="10" t="str">
        <f aca="false">IF(BJ32="","",IFERROR(VLOOKUP(BJ32,Projects!$A$5:$D$504,4,0),"Ref not in Projects"))</f>
        <v/>
      </c>
      <c r="BM32" s="9"/>
      <c r="BN32" s="9"/>
      <c r="BO32" s="9"/>
      <c r="BP32" s="40"/>
      <c r="BQ32" s="9"/>
      <c r="BR32" s="40"/>
      <c r="BS32" s="9"/>
      <c r="BT32" s="40"/>
      <c r="BU32" s="9"/>
      <c r="BV32" s="9"/>
      <c r="BW32" s="9"/>
      <c r="BX32" s="40"/>
      <c r="BY32" s="40"/>
      <c r="BZ32" s="36" t="str">
        <f aca="false">IF(BY32="","",EDATE(BY32,SG_Criteria!$B$54*12))</f>
        <v/>
      </c>
      <c r="CA32" s="33" t="str">
        <f aca="true">IF(A32="","",IF(BY32="","NOTE: not reviewed yet",IF(TODAY()&gt;BZ32,"NOTE: review overdue","OK")))</f>
        <v/>
      </c>
      <c r="CB32" s="37" t="str">
        <f aca="false">IF(A32="","",ROUND((IF(LEN(D32)&gt;0,1,0)+IF(LEN(E32)&gt;0,1,0)+IF(LEN(F32)&gt;0,1,0)+IF(LEN(G32)&gt;0,1,0)+IF(LEN(I32)&gt;0,1,0)+IF(LEN(J32)&gt;0,1,0)+IF(LEN(K32)&gt;0,1,0)+IF(LEN(L32)&gt;0,1,0)+IF(LEN(M32)&gt;0,1,0)+IF(LEN(N32)&gt;0,1,0)+IF(LEN(Z32)&gt;0,1,0)+IF(LEN(AA32)&gt;0,1,0)+IF(LEN(Y32)&gt;0,1,0)+IF(LEN(AE32)&gt;0,1,0)+IF(LEN(AG32)&gt;0,1,0)+IF(LEN(AZ32)&gt;0,1,0)+IF(LEN(AK32)&gt;0,1,0)+IF(LEN(AM32)&gt;0,1,0)+IF(LEN(AN32)&gt;0,1,0)+IF(LEN(AO32)&gt;0,1,0)+IF(LEN(AP32)&gt;0,1,0)+IF(LEN(AY32)&gt;0,1,0)+IF(LEN(BJ32)&gt;0,1,0)+IF(LEN(BW32)&gt;0,1,0))/24,2))</f>
        <v/>
      </c>
      <c r="CC32" s="10" t="str">
        <f aca="false">IF(D32="","",IF(AND(AN32="Approved",ISERROR(SEARCH("FAIL",BG32))),"Y","N"))</f>
        <v/>
      </c>
      <c r="CD32" s="10" t="str">
        <f aca="false">IF(D32="","",D32&amp;"|"&amp;J32&amp;"|"&amp;G32&amp;"|"&amp;CC32)</f>
        <v/>
      </c>
    </row>
    <row r="33" customFormat="false" ht="15" hidden="false" customHeight="false" outlineLevel="0" collapsed="false">
      <c r="A33" s="10" t="str">
        <f aca="false">IF(D33="","","MH-"&amp;IFERROR(VLOOKUP(D33,Lists!$AB$4:$AC$20,2,0),"??")&amp;"-"&amp;TEXT(G33,"0000")&amp;IF(F33="Circular","D","x"&amp;TEXT(H33,"0000"))&amp;"-D"&amp;TEXT(J33*1000,"0000")&amp;"-"&amp;IFERROR(VLOOKUP(E33,Lists!$AE$4:$AF$16,2,0),"??")&amp;"-"&amp;AM33)</f>
        <v/>
      </c>
      <c r="B33" s="10" t="str">
        <f aca="false">IF(D33="","",D33&amp;", "&amp;E33&amp;", "&amp;IF(F33="Circular",G33&amp;" dia",G33&amp;" x "&amp;H33)&amp;", depth "&amp;TEXT(I33,"0.0")&amp;"-"&amp;TEXT(J33,"0.0")&amp;" m, pipe up to "&amp;K33&amp;" dia")</f>
        <v/>
      </c>
      <c r="C33" s="9"/>
      <c r="D33" s="9"/>
      <c r="E33" s="9"/>
      <c r="F33" s="9"/>
      <c r="G33" s="38"/>
      <c r="H33" s="38"/>
      <c r="I33" s="42"/>
      <c r="J33" s="42"/>
      <c r="K33" s="38"/>
      <c r="L33" s="38"/>
      <c r="M33" s="38"/>
      <c r="N33" s="38"/>
      <c r="O33" s="9"/>
      <c r="P33" s="9"/>
      <c r="Q33" s="9"/>
      <c r="R33" s="9"/>
      <c r="S33" s="9"/>
      <c r="T33" s="9"/>
      <c r="U33" s="9"/>
      <c r="V33" s="42"/>
      <c r="W33" s="9"/>
      <c r="X33" s="9"/>
      <c r="Y33" s="39"/>
      <c r="Z33" s="9"/>
      <c r="AA33" s="38"/>
      <c r="AB33" s="9"/>
      <c r="AC33" s="9"/>
      <c r="AD33" s="9"/>
      <c r="AE33" s="9"/>
      <c r="AF33" s="9"/>
      <c r="AG33" s="9"/>
      <c r="AH33" s="38"/>
      <c r="AI33" s="9"/>
      <c r="AJ33" s="39"/>
      <c r="AK33" s="9"/>
      <c r="AL33" s="9"/>
      <c r="AM33" s="9"/>
      <c r="AN33" s="9"/>
      <c r="AO33" s="9"/>
      <c r="AP33" s="9"/>
      <c r="AQ33" s="9"/>
      <c r="AR33" s="10" t="str">
        <f aca="false">IF(A33="","",SG_Criteria!$B$6&amp;SG_Criteria!$B$10&amp;"\"&amp;A33&amp;"\")</f>
        <v/>
      </c>
      <c r="AS33" s="10" t="str">
        <f aca="false">IF(A33="","",A33&amp;"_CAD.dwg")</f>
        <v/>
      </c>
      <c r="AT33" s="10" t="str">
        <f aca="false">IF(A33="","",A33&amp;"_DWG.pdf")</f>
        <v/>
      </c>
      <c r="AU33" s="10" t="str">
        <f aca="false">IF(A33="","",IF(AQ33="Y",A33&amp;"_STAAD.std","n/a"))</f>
        <v/>
      </c>
      <c r="AV33" s="10" t="str">
        <f aca="false">IF(A33="","",A33&amp;"_CALC.xlsx")</f>
        <v/>
      </c>
      <c r="AW33" s="10" t="str">
        <f aca="false">IF(A33="","",A33&amp;"_CALC.pdf")</f>
        <v/>
      </c>
      <c r="AX33" s="9"/>
      <c r="AY33" s="9"/>
      <c r="AZ33" s="39"/>
      <c r="BA33" s="39"/>
      <c r="BB33" s="39"/>
      <c r="BC33" s="39"/>
      <c r="BD33" s="39"/>
      <c r="BE33" s="12" t="str">
        <f aca="false">IF(A33="","",IF(COUNTIF(Rebar_Schedule!$A$5:$A$2004,A33)=0,"",ROUND(SUMIF(Rebar_Schedule!$A$5:$A$2004,A33,Rebar_Schedule!$K$5:$K$2004),1)))</f>
        <v/>
      </c>
      <c r="BF33" s="33" t="str">
        <f aca="false">IF(A33="","",IF(BE33="","No rebar schedule yet",IF(ABS(BE33-N(BA33))/MAX(N(BA33),1)&gt;SG_Criteria!$B$55,"NOTE: register rebar differs from schedule by "&amp;TEXT(ABS(BE33-N(BA33))/MAX(N(BA33),1),"0%"),"OK")))</f>
        <v/>
      </c>
      <c r="BG33" s="33" t="str">
        <f aca="false">IF(D33="","",IF(LEN(IF(AND(Z33&lt;&gt;"",IFERROR(VALUE(MID(Z33,2,2)),0)&lt;SG_Criteria!$B$19),"FAIL: grade below C"&amp;SG_Criteria!$B$19&amp;". ","")&amp;IF(AND(AA33&lt;&gt;"",AA33&lt;SG_Criteria!$B$20),"FAIL: cover &lt; "&amp;SG_Criteria!$B$20&amp;" mm. ","")&amp;IF(AND(I33&lt;&gt;"",I33&lt;SG_Criteria!$B$39),"NOTE: min depth below PUB "&amp;SG_Criteria!$B$39&amp;" m. ","")&amp;IF(AND(LEFT(D33,8)="Standard",J33&gt;SG_Criteria!$B$42),"FAIL: PUB 001C covers manholes up to "&amp;SG_Criteria!$B$42&amp;" m deep only. ","")&amp;IF(AND(LEFT(D33,11)="Rectangular",K33&lt;SG_Criteria!$B$43),"NOTE: 004C is for sewers &gt;= "&amp;SG_Criteria!$B$43&amp;" dia. ","")&amp;IF(AND(LEFT(D33,7)="Precast",J33&lt;=SG_Criteria!$B$42),"NOTE: 006C is for manholes &gt; "&amp;SG_Criteria!$B$42&amp;" m deep. ","")&amp;IF(AND(K33&lt;&gt;"",K33&lt;SG_Criteria!$B$40,D33&lt;&gt;"Inspection Chamber"),"NOTE: public sewer min dia "&amp;SG_Criteria!$B$40&amp;" mm. ","")&amp;IF(AND(Y33&lt;&gt;"",Y33&lt;SG_Criteria!$B$44),"FAIL: uplift FOS below "&amp;SG_Criteria!$B$44&amp;". ",""))=0,"OK",IF(AND(Z33&lt;&gt;"",IFERROR(VALUE(MID(Z33,2,2)),0)&lt;SG_Criteria!$B$19),"FAIL: grade below C"&amp;SG_Criteria!$B$19&amp;". ","")&amp;IF(AND(AA33&lt;&gt;"",AA33&lt;SG_Criteria!$B$20),"FAIL: cover &lt; "&amp;SG_Criteria!$B$20&amp;" mm. ","")&amp;IF(AND(I33&lt;&gt;"",I33&lt;SG_Criteria!$B$39),"NOTE: min depth below PUB "&amp;SG_Criteria!$B$39&amp;" m. ","")&amp;IF(AND(LEFT(D33,8)="Standard",J33&gt;SG_Criteria!$B$42),"FAIL: PUB 001C covers manholes up to "&amp;SG_Criteria!$B$42&amp;" m deep only. ","")&amp;IF(AND(LEFT(D33,11)="Rectangular",K33&lt;SG_Criteria!$B$43),"NOTE: 004C is for sewers &gt;= "&amp;SG_Criteria!$B$43&amp;" dia. ","")&amp;IF(AND(LEFT(D33,7)="Precast",J33&lt;=SG_Criteria!$B$42),"NOTE: 006C is for manholes &gt; "&amp;SG_Criteria!$B$42&amp;" m deep. ","")&amp;IF(AND(K33&lt;&gt;"",K33&lt;SG_Criteria!$B$40,D33&lt;&gt;"Inspection Chamber"),"NOTE: public sewer min dia "&amp;SG_Criteria!$B$40&amp;" mm. ","")&amp;IF(AND(Y33&lt;&gt;"",Y33&lt;SG_Criteria!$B$44),"FAIL: uplift FOS below "&amp;SG_Criteria!$B$44&amp;". ","")))</f>
        <v/>
      </c>
      <c r="BH33" s="9"/>
      <c r="BI33" s="9"/>
      <c r="BJ33" s="9"/>
      <c r="BK33" s="10" t="str">
        <f aca="false">IF(BJ33="","",IFERROR(VLOOKUP(BJ33,Projects!$A$5:$D$504,2,0),"Ref not in Projects"))</f>
        <v/>
      </c>
      <c r="BL33" s="10" t="str">
        <f aca="false">IF(BJ33="","",IFERROR(VLOOKUP(BJ33,Projects!$A$5:$D$504,4,0),"Ref not in Projects"))</f>
        <v/>
      </c>
      <c r="BM33" s="9"/>
      <c r="BN33" s="9"/>
      <c r="BO33" s="9"/>
      <c r="BP33" s="40"/>
      <c r="BQ33" s="9"/>
      <c r="BR33" s="40"/>
      <c r="BS33" s="9"/>
      <c r="BT33" s="40"/>
      <c r="BU33" s="9"/>
      <c r="BV33" s="9"/>
      <c r="BW33" s="9"/>
      <c r="BX33" s="40"/>
      <c r="BY33" s="40"/>
      <c r="BZ33" s="36" t="str">
        <f aca="false">IF(BY33="","",EDATE(BY33,SG_Criteria!$B$54*12))</f>
        <v/>
      </c>
      <c r="CA33" s="33" t="str">
        <f aca="true">IF(A33="","",IF(BY33="","NOTE: not reviewed yet",IF(TODAY()&gt;BZ33,"NOTE: review overdue","OK")))</f>
        <v/>
      </c>
      <c r="CB33" s="37" t="str">
        <f aca="false">IF(A33="","",ROUND((IF(LEN(D33)&gt;0,1,0)+IF(LEN(E33)&gt;0,1,0)+IF(LEN(F33)&gt;0,1,0)+IF(LEN(G33)&gt;0,1,0)+IF(LEN(I33)&gt;0,1,0)+IF(LEN(J33)&gt;0,1,0)+IF(LEN(K33)&gt;0,1,0)+IF(LEN(L33)&gt;0,1,0)+IF(LEN(M33)&gt;0,1,0)+IF(LEN(N33)&gt;0,1,0)+IF(LEN(Z33)&gt;0,1,0)+IF(LEN(AA33)&gt;0,1,0)+IF(LEN(Y33)&gt;0,1,0)+IF(LEN(AE33)&gt;0,1,0)+IF(LEN(AG33)&gt;0,1,0)+IF(LEN(AZ33)&gt;0,1,0)+IF(LEN(AK33)&gt;0,1,0)+IF(LEN(AM33)&gt;0,1,0)+IF(LEN(AN33)&gt;0,1,0)+IF(LEN(AO33)&gt;0,1,0)+IF(LEN(AP33)&gt;0,1,0)+IF(LEN(AY33)&gt;0,1,0)+IF(LEN(BJ33)&gt;0,1,0)+IF(LEN(BW33)&gt;0,1,0))/24,2))</f>
        <v/>
      </c>
      <c r="CC33" s="10" t="str">
        <f aca="false">IF(D33="","",IF(AND(AN33="Approved",ISERROR(SEARCH("FAIL",BG33))),"Y","N"))</f>
        <v/>
      </c>
      <c r="CD33" s="10" t="str">
        <f aca="false">IF(D33="","",D33&amp;"|"&amp;J33&amp;"|"&amp;G33&amp;"|"&amp;CC33)</f>
        <v/>
      </c>
    </row>
    <row r="34" customFormat="false" ht="15" hidden="false" customHeight="false" outlineLevel="0" collapsed="false">
      <c r="A34" s="10" t="str">
        <f aca="false">IF(D34="","","MH-"&amp;IFERROR(VLOOKUP(D34,Lists!$AB$4:$AC$20,2,0),"??")&amp;"-"&amp;TEXT(G34,"0000")&amp;IF(F34="Circular","D","x"&amp;TEXT(H34,"0000"))&amp;"-D"&amp;TEXT(J34*1000,"0000")&amp;"-"&amp;IFERROR(VLOOKUP(E34,Lists!$AE$4:$AF$16,2,0),"??")&amp;"-"&amp;AM34)</f>
        <v/>
      </c>
      <c r="B34" s="10" t="str">
        <f aca="false">IF(D34="","",D34&amp;", "&amp;E34&amp;", "&amp;IF(F34="Circular",G34&amp;" dia",G34&amp;" x "&amp;H34)&amp;", depth "&amp;TEXT(I34,"0.0")&amp;"-"&amp;TEXT(J34,"0.0")&amp;" m, pipe up to "&amp;K34&amp;" dia")</f>
        <v/>
      </c>
      <c r="C34" s="9"/>
      <c r="D34" s="9"/>
      <c r="E34" s="9"/>
      <c r="F34" s="9"/>
      <c r="G34" s="38"/>
      <c r="H34" s="38"/>
      <c r="I34" s="42"/>
      <c r="J34" s="42"/>
      <c r="K34" s="38"/>
      <c r="L34" s="38"/>
      <c r="M34" s="38"/>
      <c r="N34" s="38"/>
      <c r="O34" s="9"/>
      <c r="P34" s="9"/>
      <c r="Q34" s="9"/>
      <c r="R34" s="9"/>
      <c r="S34" s="9"/>
      <c r="T34" s="9"/>
      <c r="U34" s="9"/>
      <c r="V34" s="42"/>
      <c r="W34" s="9"/>
      <c r="X34" s="9"/>
      <c r="Y34" s="39"/>
      <c r="Z34" s="9"/>
      <c r="AA34" s="38"/>
      <c r="AB34" s="9"/>
      <c r="AC34" s="9"/>
      <c r="AD34" s="9"/>
      <c r="AE34" s="9"/>
      <c r="AF34" s="9"/>
      <c r="AG34" s="9"/>
      <c r="AH34" s="38"/>
      <c r="AI34" s="9"/>
      <c r="AJ34" s="39"/>
      <c r="AK34" s="9"/>
      <c r="AL34" s="9"/>
      <c r="AM34" s="9"/>
      <c r="AN34" s="9"/>
      <c r="AO34" s="9"/>
      <c r="AP34" s="9"/>
      <c r="AQ34" s="9"/>
      <c r="AR34" s="10" t="str">
        <f aca="false">IF(A34="","",SG_Criteria!$B$6&amp;SG_Criteria!$B$10&amp;"\"&amp;A34&amp;"\")</f>
        <v/>
      </c>
      <c r="AS34" s="10" t="str">
        <f aca="false">IF(A34="","",A34&amp;"_CAD.dwg")</f>
        <v/>
      </c>
      <c r="AT34" s="10" t="str">
        <f aca="false">IF(A34="","",A34&amp;"_DWG.pdf")</f>
        <v/>
      </c>
      <c r="AU34" s="10" t="str">
        <f aca="false">IF(A34="","",IF(AQ34="Y",A34&amp;"_STAAD.std","n/a"))</f>
        <v/>
      </c>
      <c r="AV34" s="10" t="str">
        <f aca="false">IF(A34="","",A34&amp;"_CALC.xlsx")</f>
        <v/>
      </c>
      <c r="AW34" s="10" t="str">
        <f aca="false">IF(A34="","",A34&amp;"_CALC.pdf")</f>
        <v/>
      </c>
      <c r="AX34" s="9"/>
      <c r="AY34" s="9"/>
      <c r="AZ34" s="39"/>
      <c r="BA34" s="39"/>
      <c r="BB34" s="39"/>
      <c r="BC34" s="39"/>
      <c r="BD34" s="39"/>
      <c r="BE34" s="12" t="str">
        <f aca="false">IF(A34="","",IF(COUNTIF(Rebar_Schedule!$A$5:$A$2004,A34)=0,"",ROUND(SUMIF(Rebar_Schedule!$A$5:$A$2004,A34,Rebar_Schedule!$K$5:$K$2004),1)))</f>
        <v/>
      </c>
      <c r="BF34" s="33" t="str">
        <f aca="false">IF(A34="","",IF(BE34="","No rebar schedule yet",IF(ABS(BE34-N(BA34))/MAX(N(BA34),1)&gt;SG_Criteria!$B$55,"NOTE: register rebar differs from schedule by "&amp;TEXT(ABS(BE34-N(BA34))/MAX(N(BA34),1),"0%"),"OK")))</f>
        <v/>
      </c>
      <c r="BG34" s="33" t="str">
        <f aca="false">IF(D34="","",IF(LEN(IF(AND(Z34&lt;&gt;"",IFERROR(VALUE(MID(Z34,2,2)),0)&lt;SG_Criteria!$B$19),"FAIL: grade below C"&amp;SG_Criteria!$B$19&amp;". ","")&amp;IF(AND(AA34&lt;&gt;"",AA34&lt;SG_Criteria!$B$20),"FAIL: cover &lt; "&amp;SG_Criteria!$B$20&amp;" mm. ","")&amp;IF(AND(I34&lt;&gt;"",I34&lt;SG_Criteria!$B$39),"NOTE: min depth below PUB "&amp;SG_Criteria!$B$39&amp;" m. ","")&amp;IF(AND(LEFT(D34,8)="Standard",J34&gt;SG_Criteria!$B$42),"FAIL: PUB 001C covers manholes up to "&amp;SG_Criteria!$B$42&amp;" m deep only. ","")&amp;IF(AND(LEFT(D34,11)="Rectangular",K34&lt;SG_Criteria!$B$43),"NOTE: 004C is for sewers &gt;= "&amp;SG_Criteria!$B$43&amp;" dia. ","")&amp;IF(AND(LEFT(D34,7)="Precast",J34&lt;=SG_Criteria!$B$42),"NOTE: 006C is for manholes &gt; "&amp;SG_Criteria!$B$42&amp;" m deep. ","")&amp;IF(AND(K34&lt;&gt;"",K34&lt;SG_Criteria!$B$40,D34&lt;&gt;"Inspection Chamber"),"NOTE: public sewer min dia "&amp;SG_Criteria!$B$40&amp;" mm. ","")&amp;IF(AND(Y34&lt;&gt;"",Y34&lt;SG_Criteria!$B$44),"FAIL: uplift FOS below "&amp;SG_Criteria!$B$44&amp;". ",""))=0,"OK",IF(AND(Z34&lt;&gt;"",IFERROR(VALUE(MID(Z34,2,2)),0)&lt;SG_Criteria!$B$19),"FAIL: grade below C"&amp;SG_Criteria!$B$19&amp;". ","")&amp;IF(AND(AA34&lt;&gt;"",AA34&lt;SG_Criteria!$B$20),"FAIL: cover &lt; "&amp;SG_Criteria!$B$20&amp;" mm. ","")&amp;IF(AND(I34&lt;&gt;"",I34&lt;SG_Criteria!$B$39),"NOTE: min depth below PUB "&amp;SG_Criteria!$B$39&amp;" m. ","")&amp;IF(AND(LEFT(D34,8)="Standard",J34&gt;SG_Criteria!$B$42),"FAIL: PUB 001C covers manholes up to "&amp;SG_Criteria!$B$42&amp;" m deep only. ","")&amp;IF(AND(LEFT(D34,11)="Rectangular",K34&lt;SG_Criteria!$B$43),"NOTE: 004C is for sewers &gt;= "&amp;SG_Criteria!$B$43&amp;" dia. ","")&amp;IF(AND(LEFT(D34,7)="Precast",J34&lt;=SG_Criteria!$B$42),"NOTE: 006C is for manholes &gt; "&amp;SG_Criteria!$B$42&amp;" m deep. ","")&amp;IF(AND(K34&lt;&gt;"",K34&lt;SG_Criteria!$B$40,D34&lt;&gt;"Inspection Chamber"),"NOTE: public sewer min dia "&amp;SG_Criteria!$B$40&amp;" mm. ","")&amp;IF(AND(Y34&lt;&gt;"",Y34&lt;SG_Criteria!$B$44),"FAIL: uplift FOS below "&amp;SG_Criteria!$B$44&amp;". ","")))</f>
        <v/>
      </c>
      <c r="BH34" s="9"/>
      <c r="BI34" s="9"/>
      <c r="BJ34" s="9"/>
      <c r="BK34" s="10" t="str">
        <f aca="false">IF(BJ34="","",IFERROR(VLOOKUP(BJ34,Projects!$A$5:$D$504,2,0),"Ref not in Projects"))</f>
        <v/>
      </c>
      <c r="BL34" s="10" t="str">
        <f aca="false">IF(BJ34="","",IFERROR(VLOOKUP(BJ34,Projects!$A$5:$D$504,4,0),"Ref not in Projects"))</f>
        <v/>
      </c>
      <c r="BM34" s="9"/>
      <c r="BN34" s="9"/>
      <c r="BO34" s="9"/>
      <c r="BP34" s="40"/>
      <c r="BQ34" s="9"/>
      <c r="BR34" s="40"/>
      <c r="BS34" s="9"/>
      <c r="BT34" s="40"/>
      <c r="BU34" s="9"/>
      <c r="BV34" s="9"/>
      <c r="BW34" s="9"/>
      <c r="BX34" s="40"/>
      <c r="BY34" s="40"/>
      <c r="BZ34" s="36" t="str">
        <f aca="false">IF(BY34="","",EDATE(BY34,SG_Criteria!$B$54*12))</f>
        <v/>
      </c>
      <c r="CA34" s="33" t="str">
        <f aca="true">IF(A34="","",IF(BY34="","NOTE: not reviewed yet",IF(TODAY()&gt;BZ34,"NOTE: review overdue","OK")))</f>
        <v/>
      </c>
      <c r="CB34" s="37" t="str">
        <f aca="false">IF(A34="","",ROUND((IF(LEN(D34)&gt;0,1,0)+IF(LEN(E34)&gt;0,1,0)+IF(LEN(F34)&gt;0,1,0)+IF(LEN(G34)&gt;0,1,0)+IF(LEN(I34)&gt;0,1,0)+IF(LEN(J34)&gt;0,1,0)+IF(LEN(K34)&gt;0,1,0)+IF(LEN(L34)&gt;0,1,0)+IF(LEN(M34)&gt;0,1,0)+IF(LEN(N34)&gt;0,1,0)+IF(LEN(Z34)&gt;0,1,0)+IF(LEN(AA34)&gt;0,1,0)+IF(LEN(Y34)&gt;0,1,0)+IF(LEN(AE34)&gt;0,1,0)+IF(LEN(AG34)&gt;0,1,0)+IF(LEN(AZ34)&gt;0,1,0)+IF(LEN(AK34)&gt;0,1,0)+IF(LEN(AM34)&gt;0,1,0)+IF(LEN(AN34)&gt;0,1,0)+IF(LEN(AO34)&gt;0,1,0)+IF(LEN(AP34)&gt;0,1,0)+IF(LEN(AY34)&gt;0,1,0)+IF(LEN(BJ34)&gt;0,1,0)+IF(LEN(BW34)&gt;0,1,0))/24,2))</f>
        <v/>
      </c>
      <c r="CC34" s="10" t="str">
        <f aca="false">IF(D34="","",IF(AND(AN34="Approved",ISERROR(SEARCH("FAIL",BG34))),"Y","N"))</f>
        <v/>
      </c>
      <c r="CD34" s="10" t="str">
        <f aca="false">IF(D34="","",D34&amp;"|"&amp;J34&amp;"|"&amp;G34&amp;"|"&amp;CC34)</f>
        <v/>
      </c>
    </row>
    <row r="35" customFormat="false" ht="15" hidden="false" customHeight="false" outlineLevel="0" collapsed="false">
      <c r="A35" s="10" t="str">
        <f aca="false">IF(D35="","","MH-"&amp;IFERROR(VLOOKUP(D35,Lists!$AB$4:$AC$20,2,0),"??")&amp;"-"&amp;TEXT(G35,"0000")&amp;IF(F35="Circular","D","x"&amp;TEXT(H35,"0000"))&amp;"-D"&amp;TEXT(J35*1000,"0000")&amp;"-"&amp;IFERROR(VLOOKUP(E35,Lists!$AE$4:$AF$16,2,0),"??")&amp;"-"&amp;AM35)</f>
        <v/>
      </c>
      <c r="B35" s="10" t="str">
        <f aca="false">IF(D35="","",D35&amp;", "&amp;E35&amp;", "&amp;IF(F35="Circular",G35&amp;" dia",G35&amp;" x "&amp;H35)&amp;", depth "&amp;TEXT(I35,"0.0")&amp;"-"&amp;TEXT(J35,"0.0")&amp;" m, pipe up to "&amp;K35&amp;" dia")</f>
        <v/>
      </c>
      <c r="C35" s="9"/>
      <c r="D35" s="9"/>
      <c r="E35" s="9"/>
      <c r="F35" s="9"/>
      <c r="G35" s="38"/>
      <c r="H35" s="38"/>
      <c r="I35" s="42"/>
      <c r="J35" s="42"/>
      <c r="K35" s="38"/>
      <c r="L35" s="38"/>
      <c r="M35" s="38"/>
      <c r="N35" s="38"/>
      <c r="O35" s="9"/>
      <c r="P35" s="9"/>
      <c r="Q35" s="9"/>
      <c r="R35" s="9"/>
      <c r="S35" s="9"/>
      <c r="T35" s="9"/>
      <c r="U35" s="9"/>
      <c r="V35" s="42"/>
      <c r="W35" s="9"/>
      <c r="X35" s="9"/>
      <c r="Y35" s="39"/>
      <c r="Z35" s="9"/>
      <c r="AA35" s="38"/>
      <c r="AB35" s="9"/>
      <c r="AC35" s="9"/>
      <c r="AD35" s="9"/>
      <c r="AE35" s="9"/>
      <c r="AF35" s="9"/>
      <c r="AG35" s="9"/>
      <c r="AH35" s="38"/>
      <c r="AI35" s="9"/>
      <c r="AJ35" s="39"/>
      <c r="AK35" s="9"/>
      <c r="AL35" s="9"/>
      <c r="AM35" s="9"/>
      <c r="AN35" s="9"/>
      <c r="AO35" s="9"/>
      <c r="AP35" s="9"/>
      <c r="AQ35" s="9"/>
      <c r="AR35" s="10" t="str">
        <f aca="false">IF(A35="","",SG_Criteria!$B$6&amp;SG_Criteria!$B$10&amp;"\"&amp;A35&amp;"\")</f>
        <v/>
      </c>
      <c r="AS35" s="10" t="str">
        <f aca="false">IF(A35="","",A35&amp;"_CAD.dwg")</f>
        <v/>
      </c>
      <c r="AT35" s="10" t="str">
        <f aca="false">IF(A35="","",A35&amp;"_DWG.pdf")</f>
        <v/>
      </c>
      <c r="AU35" s="10" t="str">
        <f aca="false">IF(A35="","",IF(AQ35="Y",A35&amp;"_STAAD.std","n/a"))</f>
        <v/>
      </c>
      <c r="AV35" s="10" t="str">
        <f aca="false">IF(A35="","",A35&amp;"_CALC.xlsx")</f>
        <v/>
      </c>
      <c r="AW35" s="10" t="str">
        <f aca="false">IF(A35="","",A35&amp;"_CALC.pdf")</f>
        <v/>
      </c>
      <c r="AX35" s="9"/>
      <c r="AY35" s="9"/>
      <c r="AZ35" s="39"/>
      <c r="BA35" s="39"/>
      <c r="BB35" s="39"/>
      <c r="BC35" s="39"/>
      <c r="BD35" s="39"/>
      <c r="BE35" s="12" t="str">
        <f aca="false">IF(A35="","",IF(COUNTIF(Rebar_Schedule!$A$5:$A$2004,A35)=0,"",ROUND(SUMIF(Rebar_Schedule!$A$5:$A$2004,A35,Rebar_Schedule!$K$5:$K$2004),1)))</f>
        <v/>
      </c>
      <c r="BF35" s="33" t="str">
        <f aca="false">IF(A35="","",IF(BE35="","No rebar schedule yet",IF(ABS(BE35-N(BA35))/MAX(N(BA35),1)&gt;SG_Criteria!$B$55,"NOTE: register rebar differs from schedule by "&amp;TEXT(ABS(BE35-N(BA35))/MAX(N(BA35),1),"0%"),"OK")))</f>
        <v/>
      </c>
      <c r="BG35" s="33" t="str">
        <f aca="false">IF(D35="","",IF(LEN(IF(AND(Z35&lt;&gt;"",IFERROR(VALUE(MID(Z35,2,2)),0)&lt;SG_Criteria!$B$19),"FAIL: grade below C"&amp;SG_Criteria!$B$19&amp;". ","")&amp;IF(AND(AA35&lt;&gt;"",AA35&lt;SG_Criteria!$B$20),"FAIL: cover &lt; "&amp;SG_Criteria!$B$20&amp;" mm. ","")&amp;IF(AND(I35&lt;&gt;"",I35&lt;SG_Criteria!$B$39),"NOTE: min depth below PUB "&amp;SG_Criteria!$B$39&amp;" m. ","")&amp;IF(AND(LEFT(D35,8)="Standard",J35&gt;SG_Criteria!$B$42),"FAIL: PUB 001C covers manholes up to "&amp;SG_Criteria!$B$42&amp;" m deep only. ","")&amp;IF(AND(LEFT(D35,11)="Rectangular",K35&lt;SG_Criteria!$B$43),"NOTE: 004C is for sewers &gt;= "&amp;SG_Criteria!$B$43&amp;" dia. ","")&amp;IF(AND(LEFT(D35,7)="Precast",J35&lt;=SG_Criteria!$B$42),"NOTE: 006C is for manholes &gt; "&amp;SG_Criteria!$B$42&amp;" m deep. ","")&amp;IF(AND(K35&lt;&gt;"",K35&lt;SG_Criteria!$B$40,D35&lt;&gt;"Inspection Chamber"),"NOTE: public sewer min dia "&amp;SG_Criteria!$B$40&amp;" mm. ","")&amp;IF(AND(Y35&lt;&gt;"",Y35&lt;SG_Criteria!$B$44),"FAIL: uplift FOS below "&amp;SG_Criteria!$B$44&amp;". ",""))=0,"OK",IF(AND(Z35&lt;&gt;"",IFERROR(VALUE(MID(Z35,2,2)),0)&lt;SG_Criteria!$B$19),"FAIL: grade below C"&amp;SG_Criteria!$B$19&amp;". ","")&amp;IF(AND(AA35&lt;&gt;"",AA35&lt;SG_Criteria!$B$20),"FAIL: cover &lt; "&amp;SG_Criteria!$B$20&amp;" mm. ","")&amp;IF(AND(I35&lt;&gt;"",I35&lt;SG_Criteria!$B$39),"NOTE: min depth below PUB "&amp;SG_Criteria!$B$39&amp;" m. ","")&amp;IF(AND(LEFT(D35,8)="Standard",J35&gt;SG_Criteria!$B$42),"FAIL: PUB 001C covers manholes up to "&amp;SG_Criteria!$B$42&amp;" m deep only. ","")&amp;IF(AND(LEFT(D35,11)="Rectangular",K35&lt;SG_Criteria!$B$43),"NOTE: 004C is for sewers &gt;= "&amp;SG_Criteria!$B$43&amp;" dia. ","")&amp;IF(AND(LEFT(D35,7)="Precast",J35&lt;=SG_Criteria!$B$42),"NOTE: 006C is for manholes &gt; "&amp;SG_Criteria!$B$42&amp;" m deep. ","")&amp;IF(AND(K35&lt;&gt;"",K35&lt;SG_Criteria!$B$40,D35&lt;&gt;"Inspection Chamber"),"NOTE: public sewer min dia "&amp;SG_Criteria!$B$40&amp;" mm. ","")&amp;IF(AND(Y35&lt;&gt;"",Y35&lt;SG_Criteria!$B$44),"FAIL: uplift FOS below "&amp;SG_Criteria!$B$44&amp;". ","")))</f>
        <v/>
      </c>
      <c r="BH35" s="9"/>
      <c r="BI35" s="9"/>
      <c r="BJ35" s="9"/>
      <c r="BK35" s="10" t="str">
        <f aca="false">IF(BJ35="","",IFERROR(VLOOKUP(BJ35,Projects!$A$5:$D$504,2,0),"Ref not in Projects"))</f>
        <v/>
      </c>
      <c r="BL35" s="10" t="str">
        <f aca="false">IF(BJ35="","",IFERROR(VLOOKUP(BJ35,Projects!$A$5:$D$504,4,0),"Ref not in Projects"))</f>
        <v/>
      </c>
      <c r="BM35" s="9"/>
      <c r="BN35" s="9"/>
      <c r="BO35" s="9"/>
      <c r="BP35" s="40"/>
      <c r="BQ35" s="9"/>
      <c r="BR35" s="40"/>
      <c r="BS35" s="9"/>
      <c r="BT35" s="40"/>
      <c r="BU35" s="9"/>
      <c r="BV35" s="9"/>
      <c r="BW35" s="9"/>
      <c r="BX35" s="40"/>
      <c r="BY35" s="40"/>
      <c r="BZ35" s="36" t="str">
        <f aca="false">IF(BY35="","",EDATE(BY35,SG_Criteria!$B$54*12))</f>
        <v/>
      </c>
      <c r="CA35" s="33" t="str">
        <f aca="true">IF(A35="","",IF(BY35="","NOTE: not reviewed yet",IF(TODAY()&gt;BZ35,"NOTE: review overdue","OK")))</f>
        <v/>
      </c>
      <c r="CB35" s="37" t="str">
        <f aca="false">IF(A35="","",ROUND((IF(LEN(D35)&gt;0,1,0)+IF(LEN(E35)&gt;0,1,0)+IF(LEN(F35)&gt;0,1,0)+IF(LEN(G35)&gt;0,1,0)+IF(LEN(I35)&gt;0,1,0)+IF(LEN(J35)&gt;0,1,0)+IF(LEN(K35)&gt;0,1,0)+IF(LEN(L35)&gt;0,1,0)+IF(LEN(M35)&gt;0,1,0)+IF(LEN(N35)&gt;0,1,0)+IF(LEN(Z35)&gt;0,1,0)+IF(LEN(AA35)&gt;0,1,0)+IF(LEN(Y35)&gt;0,1,0)+IF(LEN(AE35)&gt;0,1,0)+IF(LEN(AG35)&gt;0,1,0)+IF(LEN(AZ35)&gt;0,1,0)+IF(LEN(AK35)&gt;0,1,0)+IF(LEN(AM35)&gt;0,1,0)+IF(LEN(AN35)&gt;0,1,0)+IF(LEN(AO35)&gt;0,1,0)+IF(LEN(AP35)&gt;0,1,0)+IF(LEN(AY35)&gt;0,1,0)+IF(LEN(BJ35)&gt;0,1,0)+IF(LEN(BW35)&gt;0,1,0))/24,2))</f>
        <v/>
      </c>
      <c r="CC35" s="10" t="str">
        <f aca="false">IF(D35="","",IF(AND(AN35="Approved",ISERROR(SEARCH("FAIL",BG35))),"Y","N"))</f>
        <v/>
      </c>
      <c r="CD35" s="10" t="str">
        <f aca="false">IF(D35="","",D35&amp;"|"&amp;J35&amp;"|"&amp;G35&amp;"|"&amp;CC35)</f>
        <v/>
      </c>
    </row>
    <row r="36" customFormat="false" ht="15" hidden="false" customHeight="false" outlineLevel="0" collapsed="false">
      <c r="A36" s="10" t="str">
        <f aca="false">IF(D36="","","MH-"&amp;IFERROR(VLOOKUP(D36,Lists!$AB$4:$AC$20,2,0),"??")&amp;"-"&amp;TEXT(G36,"0000")&amp;IF(F36="Circular","D","x"&amp;TEXT(H36,"0000"))&amp;"-D"&amp;TEXT(J36*1000,"0000")&amp;"-"&amp;IFERROR(VLOOKUP(E36,Lists!$AE$4:$AF$16,2,0),"??")&amp;"-"&amp;AM36)</f>
        <v/>
      </c>
      <c r="B36" s="10" t="str">
        <f aca="false">IF(D36="","",D36&amp;", "&amp;E36&amp;", "&amp;IF(F36="Circular",G36&amp;" dia",G36&amp;" x "&amp;H36)&amp;", depth "&amp;TEXT(I36,"0.0")&amp;"-"&amp;TEXT(J36,"0.0")&amp;" m, pipe up to "&amp;K36&amp;" dia")</f>
        <v/>
      </c>
      <c r="C36" s="9"/>
      <c r="D36" s="9"/>
      <c r="E36" s="9"/>
      <c r="F36" s="9"/>
      <c r="G36" s="38"/>
      <c r="H36" s="38"/>
      <c r="I36" s="42"/>
      <c r="J36" s="42"/>
      <c r="K36" s="38"/>
      <c r="L36" s="38"/>
      <c r="M36" s="38"/>
      <c r="N36" s="38"/>
      <c r="O36" s="9"/>
      <c r="P36" s="9"/>
      <c r="Q36" s="9"/>
      <c r="R36" s="9"/>
      <c r="S36" s="9"/>
      <c r="T36" s="9"/>
      <c r="U36" s="9"/>
      <c r="V36" s="42"/>
      <c r="W36" s="9"/>
      <c r="X36" s="9"/>
      <c r="Y36" s="39"/>
      <c r="Z36" s="9"/>
      <c r="AA36" s="38"/>
      <c r="AB36" s="9"/>
      <c r="AC36" s="9"/>
      <c r="AD36" s="9"/>
      <c r="AE36" s="9"/>
      <c r="AF36" s="9"/>
      <c r="AG36" s="9"/>
      <c r="AH36" s="38"/>
      <c r="AI36" s="9"/>
      <c r="AJ36" s="39"/>
      <c r="AK36" s="9"/>
      <c r="AL36" s="9"/>
      <c r="AM36" s="9"/>
      <c r="AN36" s="9"/>
      <c r="AO36" s="9"/>
      <c r="AP36" s="9"/>
      <c r="AQ36" s="9"/>
      <c r="AR36" s="10" t="str">
        <f aca="false">IF(A36="","",SG_Criteria!$B$6&amp;SG_Criteria!$B$10&amp;"\"&amp;A36&amp;"\")</f>
        <v/>
      </c>
      <c r="AS36" s="10" t="str">
        <f aca="false">IF(A36="","",A36&amp;"_CAD.dwg")</f>
        <v/>
      </c>
      <c r="AT36" s="10" t="str">
        <f aca="false">IF(A36="","",A36&amp;"_DWG.pdf")</f>
        <v/>
      </c>
      <c r="AU36" s="10" t="str">
        <f aca="false">IF(A36="","",IF(AQ36="Y",A36&amp;"_STAAD.std","n/a"))</f>
        <v/>
      </c>
      <c r="AV36" s="10" t="str">
        <f aca="false">IF(A36="","",A36&amp;"_CALC.xlsx")</f>
        <v/>
      </c>
      <c r="AW36" s="10" t="str">
        <f aca="false">IF(A36="","",A36&amp;"_CALC.pdf")</f>
        <v/>
      </c>
      <c r="AX36" s="9"/>
      <c r="AY36" s="9"/>
      <c r="AZ36" s="39"/>
      <c r="BA36" s="39"/>
      <c r="BB36" s="39"/>
      <c r="BC36" s="39"/>
      <c r="BD36" s="39"/>
      <c r="BE36" s="12" t="str">
        <f aca="false">IF(A36="","",IF(COUNTIF(Rebar_Schedule!$A$5:$A$2004,A36)=0,"",ROUND(SUMIF(Rebar_Schedule!$A$5:$A$2004,A36,Rebar_Schedule!$K$5:$K$2004),1)))</f>
        <v/>
      </c>
      <c r="BF36" s="33" t="str">
        <f aca="false">IF(A36="","",IF(BE36="","No rebar schedule yet",IF(ABS(BE36-N(BA36))/MAX(N(BA36),1)&gt;SG_Criteria!$B$55,"NOTE: register rebar differs from schedule by "&amp;TEXT(ABS(BE36-N(BA36))/MAX(N(BA36),1),"0%"),"OK")))</f>
        <v/>
      </c>
      <c r="BG36" s="33" t="str">
        <f aca="false">IF(D36="","",IF(LEN(IF(AND(Z36&lt;&gt;"",IFERROR(VALUE(MID(Z36,2,2)),0)&lt;SG_Criteria!$B$19),"FAIL: grade below C"&amp;SG_Criteria!$B$19&amp;". ","")&amp;IF(AND(AA36&lt;&gt;"",AA36&lt;SG_Criteria!$B$20),"FAIL: cover &lt; "&amp;SG_Criteria!$B$20&amp;" mm. ","")&amp;IF(AND(I36&lt;&gt;"",I36&lt;SG_Criteria!$B$39),"NOTE: min depth below PUB "&amp;SG_Criteria!$B$39&amp;" m. ","")&amp;IF(AND(LEFT(D36,8)="Standard",J36&gt;SG_Criteria!$B$42),"FAIL: PUB 001C covers manholes up to "&amp;SG_Criteria!$B$42&amp;" m deep only. ","")&amp;IF(AND(LEFT(D36,11)="Rectangular",K36&lt;SG_Criteria!$B$43),"NOTE: 004C is for sewers &gt;= "&amp;SG_Criteria!$B$43&amp;" dia. ","")&amp;IF(AND(LEFT(D36,7)="Precast",J36&lt;=SG_Criteria!$B$42),"NOTE: 006C is for manholes &gt; "&amp;SG_Criteria!$B$42&amp;" m deep. ","")&amp;IF(AND(K36&lt;&gt;"",K36&lt;SG_Criteria!$B$40,D36&lt;&gt;"Inspection Chamber"),"NOTE: public sewer min dia "&amp;SG_Criteria!$B$40&amp;" mm. ","")&amp;IF(AND(Y36&lt;&gt;"",Y36&lt;SG_Criteria!$B$44),"FAIL: uplift FOS below "&amp;SG_Criteria!$B$44&amp;". ",""))=0,"OK",IF(AND(Z36&lt;&gt;"",IFERROR(VALUE(MID(Z36,2,2)),0)&lt;SG_Criteria!$B$19),"FAIL: grade below C"&amp;SG_Criteria!$B$19&amp;". ","")&amp;IF(AND(AA36&lt;&gt;"",AA36&lt;SG_Criteria!$B$20),"FAIL: cover &lt; "&amp;SG_Criteria!$B$20&amp;" mm. ","")&amp;IF(AND(I36&lt;&gt;"",I36&lt;SG_Criteria!$B$39),"NOTE: min depth below PUB "&amp;SG_Criteria!$B$39&amp;" m. ","")&amp;IF(AND(LEFT(D36,8)="Standard",J36&gt;SG_Criteria!$B$42),"FAIL: PUB 001C covers manholes up to "&amp;SG_Criteria!$B$42&amp;" m deep only. ","")&amp;IF(AND(LEFT(D36,11)="Rectangular",K36&lt;SG_Criteria!$B$43),"NOTE: 004C is for sewers &gt;= "&amp;SG_Criteria!$B$43&amp;" dia. ","")&amp;IF(AND(LEFT(D36,7)="Precast",J36&lt;=SG_Criteria!$B$42),"NOTE: 006C is for manholes &gt; "&amp;SG_Criteria!$B$42&amp;" m deep. ","")&amp;IF(AND(K36&lt;&gt;"",K36&lt;SG_Criteria!$B$40,D36&lt;&gt;"Inspection Chamber"),"NOTE: public sewer min dia "&amp;SG_Criteria!$B$40&amp;" mm. ","")&amp;IF(AND(Y36&lt;&gt;"",Y36&lt;SG_Criteria!$B$44),"FAIL: uplift FOS below "&amp;SG_Criteria!$B$44&amp;". ","")))</f>
        <v/>
      </c>
      <c r="BH36" s="9"/>
      <c r="BI36" s="9"/>
      <c r="BJ36" s="9"/>
      <c r="BK36" s="10" t="str">
        <f aca="false">IF(BJ36="","",IFERROR(VLOOKUP(BJ36,Projects!$A$5:$D$504,2,0),"Ref not in Projects"))</f>
        <v/>
      </c>
      <c r="BL36" s="10" t="str">
        <f aca="false">IF(BJ36="","",IFERROR(VLOOKUP(BJ36,Projects!$A$5:$D$504,4,0),"Ref not in Projects"))</f>
        <v/>
      </c>
      <c r="BM36" s="9"/>
      <c r="BN36" s="9"/>
      <c r="BO36" s="9"/>
      <c r="BP36" s="40"/>
      <c r="BQ36" s="9"/>
      <c r="BR36" s="40"/>
      <c r="BS36" s="9"/>
      <c r="BT36" s="40"/>
      <c r="BU36" s="9"/>
      <c r="BV36" s="9"/>
      <c r="BW36" s="9"/>
      <c r="BX36" s="40"/>
      <c r="BY36" s="40"/>
      <c r="BZ36" s="36" t="str">
        <f aca="false">IF(BY36="","",EDATE(BY36,SG_Criteria!$B$54*12))</f>
        <v/>
      </c>
      <c r="CA36" s="33" t="str">
        <f aca="true">IF(A36="","",IF(BY36="","NOTE: not reviewed yet",IF(TODAY()&gt;BZ36,"NOTE: review overdue","OK")))</f>
        <v/>
      </c>
      <c r="CB36" s="37" t="str">
        <f aca="false">IF(A36="","",ROUND((IF(LEN(D36)&gt;0,1,0)+IF(LEN(E36)&gt;0,1,0)+IF(LEN(F36)&gt;0,1,0)+IF(LEN(G36)&gt;0,1,0)+IF(LEN(I36)&gt;0,1,0)+IF(LEN(J36)&gt;0,1,0)+IF(LEN(K36)&gt;0,1,0)+IF(LEN(L36)&gt;0,1,0)+IF(LEN(M36)&gt;0,1,0)+IF(LEN(N36)&gt;0,1,0)+IF(LEN(Z36)&gt;0,1,0)+IF(LEN(AA36)&gt;0,1,0)+IF(LEN(Y36)&gt;0,1,0)+IF(LEN(AE36)&gt;0,1,0)+IF(LEN(AG36)&gt;0,1,0)+IF(LEN(AZ36)&gt;0,1,0)+IF(LEN(AK36)&gt;0,1,0)+IF(LEN(AM36)&gt;0,1,0)+IF(LEN(AN36)&gt;0,1,0)+IF(LEN(AO36)&gt;0,1,0)+IF(LEN(AP36)&gt;0,1,0)+IF(LEN(AY36)&gt;0,1,0)+IF(LEN(BJ36)&gt;0,1,0)+IF(LEN(BW36)&gt;0,1,0))/24,2))</f>
        <v/>
      </c>
      <c r="CC36" s="10" t="str">
        <f aca="false">IF(D36="","",IF(AND(AN36="Approved",ISERROR(SEARCH("FAIL",BG36))),"Y","N"))</f>
        <v/>
      </c>
      <c r="CD36" s="10" t="str">
        <f aca="false">IF(D36="","",D36&amp;"|"&amp;J36&amp;"|"&amp;G36&amp;"|"&amp;CC36)</f>
        <v/>
      </c>
    </row>
    <row r="37" customFormat="false" ht="15" hidden="false" customHeight="false" outlineLevel="0" collapsed="false">
      <c r="A37" s="10" t="str">
        <f aca="false">IF(D37="","","MH-"&amp;IFERROR(VLOOKUP(D37,Lists!$AB$4:$AC$20,2,0),"??")&amp;"-"&amp;TEXT(G37,"0000")&amp;IF(F37="Circular","D","x"&amp;TEXT(H37,"0000"))&amp;"-D"&amp;TEXT(J37*1000,"0000")&amp;"-"&amp;IFERROR(VLOOKUP(E37,Lists!$AE$4:$AF$16,2,0),"??")&amp;"-"&amp;AM37)</f>
        <v/>
      </c>
      <c r="B37" s="10" t="str">
        <f aca="false">IF(D37="","",D37&amp;", "&amp;E37&amp;", "&amp;IF(F37="Circular",G37&amp;" dia",G37&amp;" x "&amp;H37)&amp;", depth "&amp;TEXT(I37,"0.0")&amp;"-"&amp;TEXT(J37,"0.0")&amp;" m, pipe up to "&amp;K37&amp;" dia")</f>
        <v/>
      </c>
      <c r="C37" s="9"/>
      <c r="D37" s="9"/>
      <c r="E37" s="9"/>
      <c r="F37" s="9"/>
      <c r="G37" s="38"/>
      <c r="H37" s="38"/>
      <c r="I37" s="42"/>
      <c r="J37" s="42"/>
      <c r="K37" s="38"/>
      <c r="L37" s="38"/>
      <c r="M37" s="38"/>
      <c r="N37" s="38"/>
      <c r="O37" s="9"/>
      <c r="P37" s="9"/>
      <c r="Q37" s="9"/>
      <c r="R37" s="9"/>
      <c r="S37" s="9"/>
      <c r="T37" s="9"/>
      <c r="U37" s="9"/>
      <c r="V37" s="42"/>
      <c r="W37" s="9"/>
      <c r="X37" s="9"/>
      <c r="Y37" s="39"/>
      <c r="Z37" s="9"/>
      <c r="AA37" s="38"/>
      <c r="AB37" s="9"/>
      <c r="AC37" s="9"/>
      <c r="AD37" s="9"/>
      <c r="AE37" s="9"/>
      <c r="AF37" s="9"/>
      <c r="AG37" s="9"/>
      <c r="AH37" s="38"/>
      <c r="AI37" s="9"/>
      <c r="AJ37" s="39"/>
      <c r="AK37" s="9"/>
      <c r="AL37" s="9"/>
      <c r="AM37" s="9"/>
      <c r="AN37" s="9"/>
      <c r="AO37" s="9"/>
      <c r="AP37" s="9"/>
      <c r="AQ37" s="9"/>
      <c r="AR37" s="10" t="str">
        <f aca="false">IF(A37="","",SG_Criteria!$B$6&amp;SG_Criteria!$B$10&amp;"\"&amp;A37&amp;"\")</f>
        <v/>
      </c>
      <c r="AS37" s="10" t="str">
        <f aca="false">IF(A37="","",A37&amp;"_CAD.dwg")</f>
        <v/>
      </c>
      <c r="AT37" s="10" t="str">
        <f aca="false">IF(A37="","",A37&amp;"_DWG.pdf")</f>
        <v/>
      </c>
      <c r="AU37" s="10" t="str">
        <f aca="false">IF(A37="","",IF(AQ37="Y",A37&amp;"_STAAD.std","n/a"))</f>
        <v/>
      </c>
      <c r="AV37" s="10" t="str">
        <f aca="false">IF(A37="","",A37&amp;"_CALC.xlsx")</f>
        <v/>
      </c>
      <c r="AW37" s="10" t="str">
        <f aca="false">IF(A37="","",A37&amp;"_CALC.pdf")</f>
        <v/>
      </c>
      <c r="AX37" s="9"/>
      <c r="AY37" s="9"/>
      <c r="AZ37" s="39"/>
      <c r="BA37" s="39"/>
      <c r="BB37" s="39"/>
      <c r="BC37" s="39"/>
      <c r="BD37" s="39"/>
      <c r="BE37" s="12" t="str">
        <f aca="false">IF(A37="","",IF(COUNTIF(Rebar_Schedule!$A$5:$A$2004,A37)=0,"",ROUND(SUMIF(Rebar_Schedule!$A$5:$A$2004,A37,Rebar_Schedule!$K$5:$K$2004),1)))</f>
        <v/>
      </c>
      <c r="BF37" s="33" t="str">
        <f aca="false">IF(A37="","",IF(BE37="","No rebar schedule yet",IF(ABS(BE37-N(BA37))/MAX(N(BA37),1)&gt;SG_Criteria!$B$55,"NOTE: register rebar differs from schedule by "&amp;TEXT(ABS(BE37-N(BA37))/MAX(N(BA37),1),"0%"),"OK")))</f>
        <v/>
      </c>
      <c r="BG37" s="33" t="str">
        <f aca="false">IF(D37="","",IF(LEN(IF(AND(Z37&lt;&gt;"",IFERROR(VALUE(MID(Z37,2,2)),0)&lt;SG_Criteria!$B$19),"FAIL: grade below C"&amp;SG_Criteria!$B$19&amp;". ","")&amp;IF(AND(AA37&lt;&gt;"",AA37&lt;SG_Criteria!$B$20),"FAIL: cover &lt; "&amp;SG_Criteria!$B$20&amp;" mm. ","")&amp;IF(AND(I37&lt;&gt;"",I37&lt;SG_Criteria!$B$39),"NOTE: min depth below PUB "&amp;SG_Criteria!$B$39&amp;" m. ","")&amp;IF(AND(LEFT(D37,8)="Standard",J37&gt;SG_Criteria!$B$42),"FAIL: PUB 001C covers manholes up to "&amp;SG_Criteria!$B$42&amp;" m deep only. ","")&amp;IF(AND(LEFT(D37,11)="Rectangular",K37&lt;SG_Criteria!$B$43),"NOTE: 004C is for sewers &gt;= "&amp;SG_Criteria!$B$43&amp;" dia. ","")&amp;IF(AND(LEFT(D37,7)="Precast",J37&lt;=SG_Criteria!$B$42),"NOTE: 006C is for manholes &gt; "&amp;SG_Criteria!$B$42&amp;" m deep. ","")&amp;IF(AND(K37&lt;&gt;"",K37&lt;SG_Criteria!$B$40,D37&lt;&gt;"Inspection Chamber"),"NOTE: public sewer min dia "&amp;SG_Criteria!$B$40&amp;" mm. ","")&amp;IF(AND(Y37&lt;&gt;"",Y37&lt;SG_Criteria!$B$44),"FAIL: uplift FOS below "&amp;SG_Criteria!$B$44&amp;". ",""))=0,"OK",IF(AND(Z37&lt;&gt;"",IFERROR(VALUE(MID(Z37,2,2)),0)&lt;SG_Criteria!$B$19),"FAIL: grade below C"&amp;SG_Criteria!$B$19&amp;". ","")&amp;IF(AND(AA37&lt;&gt;"",AA37&lt;SG_Criteria!$B$20),"FAIL: cover &lt; "&amp;SG_Criteria!$B$20&amp;" mm. ","")&amp;IF(AND(I37&lt;&gt;"",I37&lt;SG_Criteria!$B$39),"NOTE: min depth below PUB "&amp;SG_Criteria!$B$39&amp;" m. ","")&amp;IF(AND(LEFT(D37,8)="Standard",J37&gt;SG_Criteria!$B$42),"FAIL: PUB 001C covers manholes up to "&amp;SG_Criteria!$B$42&amp;" m deep only. ","")&amp;IF(AND(LEFT(D37,11)="Rectangular",K37&lt;SG_Criteria!$B$43),"NOTE: 004C is for sewers &gt;= "&amp;SG_Criteria!$B$43&amp;" dia. ","")&amp;IF(AND(LEFT(D37,7)="Precast",J37&lt;=SG_Criteria!$B$42),"NOTE: 006C is for manholes &gt; "&amp;SG_Criteria!$B$42&amp;" m deep. ","")&amp;IF(AND(K37&lt;&gt;"",K37&lt;SG_Criteria!$B$40,D37&lt;&gt;"Inspection Chamber"),"NOTE: public sewer min dia "&amp;SG_Criteria!$B$40&amp;" mm. ","")&amp;IF(AND(Y37&lt;&gt;"",Y37&lt;SG_Criteria!$B$44),"FAIL: uplift FOS below "&amp;SG_Criteria!$B$44&amp;". ","")))</f>
        <v/>
      </c>
      <c r="BH37" s="9"/>
      <c r="BI37" s="9"/>
      <c r="BJ37" s="9"/>
      <c r="BK37" s="10" t="str">
        <f aca="false">IF(BJ37="","",IFERROR(VLOOKUP(BJ37,Projects!$A$5:$D$504,2,0),"Ref not in Projects"))</f>
        <v/>
      </c>
      <c r="BL37" s="10" t="str">
        <f aca="false">IF(BJ37="","",IFERROR(VLOOKUP(BJ37,Projects!$A$5:$D$504,4,0),"Ref not in Projects"))</f>
        <v/>
      </c>
      <c r="BM37" s="9"/>
      <c r="BN37" s="9"/>
      <c r="BO37" s="9"/>
      <c r="BP37" s="40"/>
      <c r="BQ37" s="9"/>
      <c r="BR37" s="40"/>
      <c r="BS37" s="9"/>
      <c r="BT37" s="40"/>
      <c r="BU37" s="9"/>
      <c r="BV37" s="9"/>
      <c r="BW37" s="9"/>
      <c r="BX37" s="40"/>
      <c r="BY37" s="40"/>
      <c r="BZ37" s="36" t="str">
        <f aca="false">IF(BY37="","",EDATE(BY37,SG_Criteria!$B$54*12))</f>
        <v/>
      </c>
      <c r="CA37" s="33" t="str">
        <f aca="true">IF(A37="","",IF(BY37="","NOTE: not reviewed yet",IF(TODAY()&gt;BZ37,"NOTE: review overdue","OK")))</f>
        <v/>
      </c>
      <c r="CB37" s="37" t="str">
        <f aca="false">IF(A37="","",ROUND((IF(LEN(D37)&gt;0,1,0)+IF(LEN(E37)&gt;0,1,0)+IF(LEN(F37)&gt;0,1,0)+IF(LEN(G37)&gt;0,1,0)+IF(LEN(I37)&gt;0,1,0)+IF(LEN(J37)&gt;0,1,0)+IF(LEN(K37)&gt;0,1,0)+IF(LEN(L37)&gt;0,1,0)+IF(LEN(M37)&gt;0,1,0)+IF(LEN(N37)&gt;0,1,0)+IF(LEN(Z37)&gt;0,1,0)+IF(LEN(AA37)&gt;0,1,0)+IF(LEN(Y37)&gt;0,1,0)+IF(LEN(AE37)&gt;0,1,0)+IF(LEN(AG37)&gt;0,1,0)+IF(LEN(AZ37)&gt;0,1,0)+IF(LEN(AK37)&gt;0,1,0)+IF(LEN(AM37)&gt;0,1,0)+IF(LEN(AN37)&gt;0,1,0)+IF(LEN(AO37)&gt;0,1,0)+IF(LEN(AP37)&gt;0,1,0)+IF(LEN(AY37)&gt;0,1,0)+IF(LEN(BJ37)&gt;0,1,0)+IF(LEN(BW37)&gt;0,1,0))/24,2))</f>
        <v/>
      </c>
      <c r="CC37" s="10" t="str">
        <f aca="false">IF(D37="","",IF(AND(AN37="Approved",ISERROR(SEARCH("FAIL",BG37))),"Y","N"))</f>
        <v/>
      </c>
      <c r="CD37" s="10" t="str">
        <f aca="false">IF(D37="","",D37&amp;"|"&amp;J37&amp;"|"&amp;G37&amp;"|"&amp;CC37)</f>
        <v/>
      </c>
    </row>
    <row r="38" customFormat="false" ht="15" hidden="false" customHeight="false" outlineLevel="0" collapsed="false">
      <c r="A38" s="10" t="str">
        <f aca="false">IF(D38="","","MH-"&amp;IFERROR(VLOOKUP(D38,Lists!$AB$4:$AC$20,2,0),"??")&amp;"-"&amp;TEXT(G38,"0000")&amp;IF(F38="Circular","D","x"&amp;TEXT(H38,"0000"))&amp;"-D"&amp;TEXT(J38*1000,"0000")&amp;"-"&amp;IFERROR(VLOOKUP(E38,Lists!$AE$4:$AF$16,2,0),"??")&amp;"-"&amp;AM38)</f>
        <v/>
      </c>
      <c r="B38" s="10" t="str">
        <f aca="false">IF(D38="","",D38&amp;", "&amp;E38&amp;", "&amp;IF(F38="Circular",G38&amp;" dia",G38&amp;" x "&amp;H38)&amp;", depth "&amp;TEXT(I38,"0.0")&amp;"-"&amp;TEXT(J38,"0.0")&amp;" m, pipe up to "&amp;K38&amp;" dia")</f>
        <v/>
      </c>
      <c r="C38" s="9"/>
      <c r="D38" s="9"/>
      <c r="E38" s="9"/>
      <c r="F38" s="9"/>
      <c r="G38" s="38"/>
      <c r="H38" s="38"/>
      <c r="I38" s="42"/>
      <c r="J38" s="42"/>
      <c r="K38" s="38"/>
      <c r="L38" s="38"/>
      <c r="M38" s="38"/>
      <c r="N38" s="38"/>
      <c r="O38" s="9"/>
      <c r="P38" s="9"/>
      <c r="Q38" s="9"/>
      <c r="R38" s="9"/>
      <c r="S38" s="9"/>
      <c r="T38" s="9"/>
      <c r="U38" s="9"/>
      <c r="V38" s="42"/>
      <c r="W38" s="9"/>
      <c r="X38" s="9"/>
      <c r="Y38" s="39"/>
      <c r="Z38" s="9"/>
      <c r="AA38" s="38"/>
      <c r="AB38" s="9"/>
      <c r="AC38" s="9"/>
      <c r="AD38" s="9"/>
      <c r="AE38" s="9"/>
      <c r="AF38" s="9"/>
      <c r="AG38" s="9"/>
      <c r="AH38" s="38"/>
      <c r="AI38" s="9"/>
      <c r="AJ38" s="39"/>
      <c r="AK38" s="9"/>
      <c r="AL38" s="9"/>
      <c r="AM38" s="9"/>
      <c r="AN38" s="9"/>
      <c r="AO38" s="9"/>
      <c r="AP38" s="9"/>
      <c r="AQ38" s="9"/>
      <c r="AR38" s="10" t="str">
        <f aca="false">IF(A38="","",SG_Criteria!$B$6&amp;SG_Criteria!$B$10&amp;"\"&amp;A38&amp;"\")</f>
        <v/>
      </c>
      <c r="AS38" s="10" t="str">
        <f aca="false">IF(A38="","",A38&amp;"_CAD.dwg")</f>
        <v/>
      </c>
      <c r="AT38" s="10" t="str">
        <f aca="false">IF(A38="","",A38&amp;"_DWG.pdf")</f>
        <v/>
      </c>
      <c r="AU38" s="10" t="str">
        <f aca="false">IF(A38="","",IF(AQ38="Y",A38&amp;"_STAAD.std","n/a"))</f>
        <v/>
      </c>
      <c r="AV38" s="10" t="str">
        <f aca="false">IF(A38="","",A38&amp;"_CALC.xlsx")</f>
        <v/>
      </c>
      <c r="AW38" s="10" t="str">
        <f aca="false">IF(A38="","",A38&amp;"_CALC.pdf")</f>
        <v/>
      </c>
      <c r="AX38" s="9"/>
      <c r="AY38" s="9"/>
      <c r="AZ38" s="39"/>
      <c r="BA38" s="39"/>
      <c r="BB38" s="39"/>
      <c r="BC38" s="39"/>
      <c r="BD38" s="39"/>
      <c r="BE38" s="12" t="str">
        <f aca="false">IF(A38="","",IF(COUNTIF(Rebar_Schedule!$A$5:$A$2004,A38)=0,"",ROUND(SUMIF(Rebar_Schedule!$A$5:$A$2004,A38,Rebar_Schedule!$K$5:$K$2004),1)))</f>
        <v/>
      </c>
      <c r="BF38" s="33" t="str">
        <f aca="false">IF(A38="","",IF(BE38="","No rebar schedule yet",IF(ABS(BE38-N(BA38))/MAX(N(BA38),1)&gt;SG_Criteria!$B$55,"NOTE: register rebar differs from schedule by "&amp;TEXT(ABS(BE38-N(BA38))/MAX(N(BA38),1),"0%"),"OK")))</f>
        <v/>
      </c>
      <c r="BG38" s="33" t="str">
        <f aca="false">IF(D38="","",IF(LEN(IF(AND(Z38&lt;&gt;"",IFERROR(VALUE(MID(Z38,2,2)),0)&lt;SG_Criteria!$B$19),"FAIL: grade below C"&amp;SG_Criteria!$B$19&amp;". ","")&amp;IF(AND(AA38&lt;&gt;"",AA38&lt;SG_Criteria!$B$20),"FAIL: cover &lt; "&amp;SG_Criteria!$B$20&amp;" mm. ","")&amp;IF(AND(I38&lt;&gt;"",I38&lt;SG_Criteria!$B$39),"NOTE: min depth below PUB "&amp;SG_Criteria!$B$39&amp;" m. ","")&amp;IF(AND(LEFT(D38,8)="Standard",J38&gt;SG_Criteria!$B$42),"FAIL: PUB 001C covers manholes up to "&amp;SG_Criteria!$B$42&amp;" m deep only. ","")&amp;IF(AND(LEFT(D38,11)="Rectangular",K38&lt;SG_Criteria!$B$43),"NOTE: 004C is for sewers &gt;= "&amp;SG_Criteria!$B$43&amp;" dia. ","")&amp;IF(AND(LEFT(D38,7)="Precast",J38&lt;=SG_Criteria!$B$42),"NOTE: 006C is for manholes &gt; "&amp;SG_Criteria!$B$42&amp;" m deep. ","")&amp;IF(AND(K38&lt;&gt;"",K38&lt;SG_Criteria!$B$40,D38&lt;&gt;"Inspection Chamber"),"NOTE: public sewer min dia "&amp;SG_Criteria!$B$40&amp;" mm. ","")&amp;IF(AND(Y38&lt;&gt;"",Y38&lt;SG_Criteria!$B$44),"FAIL: uplift FOS below "&amp;SG_Criteria!$B$44&amp;". ",""))=0,"OK",IF(AND(Z38&lt;&gt;"",IFERROR(VALUE(MID(Z38,2,2)),0)&lt;SG_Criteria!$B$19),"FAIL: grade below C"&amp;SG_Criteria!$B$19&amp;". ","")&amp;IF(AND(AA38&lt;&gt;"",AA38&lt;SG_Criteria!$B$20),"FAIL: cover &lt; "&amp;SG_Criteria!$B$20&amp;" mm. ","")&amp;IF(AND(I38&lt;&gt;"",I38&lt;SG_Criteria!$B$39),"NOTE: min depth below PUB "&amp;SG_Criteria!$B$39&amp;" m. ","")&amp;IF(AND(LEFT(D38,8)="Standard",J38&gt;SG_Criteria!$B$42),"FAIL: PUB 001C covers manholes up to "&amp;SG_Criteria!$B$42&amp;" m deep only. ","")&amp;IF(AND(LEFT(D38,11)="Rectangular",K38&lt;SG_Criteria!$B$43),"NOTE: 004C is for sewers &gt;= "&amp;SG_Criteria!$B$43&amp;" dia. ","")&amp;IF(AND(LEFT(D38,7)="Precast",J38&lt;=SG_Criteria!$B$42),"NOTE: 006C is for manholes &gt; "&amp;SG_Criteria!$B$42&amp;" m deep. ","")&amp;IF(AND(K38&lt;&gt;"",K38&lt;SG_Criteria!$B$40,D38&lt;&gt;"Inspection Chamber"),"NOTE: public sewer min dia "&amp;SG_Criteria!$B$40&amp;" mm. ","")&amp;IF(AND(Y38&lt;&gt;"",Y38&lt;SG_Criteria!$B$44),"FAIL: uplift FOS below "&amp;SG_Criteria!$B$44&amp;". ","")))</f>
        <v/>
      </c>
      <c r="BH38" s="9"/>
      <c r="BI38" s="9"/>
      <c r="BJ38" s="9"/>
      <c r="BK38" s="10" t="str">
        <f aca="false">IF(BJ38="","",IFERROR(VLOOKUP(BJ38,Projects!$A$5:$D$504,2,0),"Ref not in Projects"))</f>
        <v/>
      </c>
      <c r="BL38" s="10" t="str">
        <f aca="false">IF(BJ38="","",IFERROR(VLOOKUP(BJ38,Projects!$A$5:$D$504,4,0),"Ref not in Projects"))</f>
        <v/>
      </c>
      <c r="BM38" s="9"/>
      <c r="BN38" s="9"/>
      <c r="BO38" s="9"/>
      <c r="BP38" s="40"/>
      <c r="BQ38" s="9"/>
      <c r="BR38" s="40"/>
      <c r="BS38" s="9"/>
      <c r="BT38" s="40"/>
      <c r="BU38" s="9"/>
      <c r="BV38" s="9"/>
      <c r="BW38" s="9"/>
      <c r="BX38" s="40"/>
      <c r="BY38" s="40"/>
      <c r="BZ38" s="36" t="str">
        <f aca="false">IF(BY38="","",EDATE(BY38,SG_Criteria!$B$54*12))</f>
        <v/>
      </c>
      <c r="CA38" s="33" t="str">
        <f aca="true">IF(A38="","",IF(BY38="","NOTE: not reviewed yet",IF(TODAY()&gt;BZ38,"NOTE: review overdue","OK")))</f>
        <v/>
      </c>
      <c r="CB38" s="37" t="str">
        <f aca="false">IF(A38="","",ROUND((IF(LEN(D38)&gt;0,1,0)+IF(LEN(E38)&gt;0,1,0)+IF(LEN(F38)&gt;0,1,0)+IF(LEN(G38)&gt;0,1,0)+IF(LEN(I38)&gt;0,1,0)+IF(LEN(J38)&gt;0,1,0)+IF(LEN(K38)&gt;0,1,0)+IF(LEN(L38)&gt;0,1,0)+IF(LEN(M38)&gt;0,1,0)+IF(LEN(N38)&gt;0,1,0)+IF(LEN(Z38)&gt;0,1,0)+IF(LEN(AA38)&gt;0,1,0)+IF(LEN(Y38)&gt;0,1,0)+IF(LEN(AE38)&gt;0,1,0)+IF(LEN(AG38)&gt;0,1,0)+IF(LEN(AZ38)&gt;0,1,0)+IF(LEN(AK38)&gt;0,1,0)+IF(LEN(AM38)&gt;0,1,0)+IF(LEN(AN38)&gt;0,1,0)+IF(LEN(AO38)&gt;0,1,0)+IF(LEN(AP38)&gt;0,1,0)+IF(LEN(AY38)&gt;0,1,0)+IF(LEN(BJ38)&gt;0,1,0)+IF(LEN(BW38)&gt;0,1,0))/24,2))</f>
        <v/>
      </c>
      <c r="CC38" s="10" t="str">
        <f aca="false">IF(D38="","",IF(AND(AN38="Approved",ISERROR(SEARCH("FAIL",BG38))),"Y","N"))</f>
        <v/>
      </c>
      <c r="CD38" s="10" t="str">
        <f aca="false">IF(D38="","",D38&amp;"|"&amp;J38&amp;"|"&amp;G38&amp;"|"&amp;CC38)</f>
        <v/>
      </c>
    </row>
    <row r="39" customFormat="false" ht="15" hidden="false" customHeight="false" outlineLevel="0" collapsed="false">
      <c r="A39" s="10" t="str">
        <f aca="false">IF(D39="","","MH-"&amp;IFERROR(VLOOKUP(D39,Lists!$AB$4:$AC$20,2,0),"??")&amp;"-"&amp;TEXT(G39,"0000")&amp;IF(F39="Circular","D","x"&amp;TEXT(H39,"0000"))&amp;"-D"&amp;TEXT(J39*1000,"0000")&amp;"-"&amp;IFERROR(VLOOKUP(E39,Lists!$AE$4:$AF$16,2,0),"??")&amp;"-"&amp;AM39)</f>
        <v/>
      </c>
      <c r="B39" s="10" t="str">
        <f aca="false">IF(D39="","",D39&amp;", "&amp;E39&amp;", "&amp;IF(F39="Circular",G39&amp;" dia",G39&amp;" x "&amp;H39)&amp;", depth "&amp;TEXT(I39,"0.0")&amp;"-"&amp;TEXT(J39,"0.0")&amp;" m, pipe up to "&amp;K39&amp;" dia")</f>
        <v/>
      </c>
      <c r="C39" s="9"/>
      <c r="D39" s="9"/>
      <c r="E39" s="9"/>
      <c r="F39" s="9"/>
      <c r="G39" s="38"/>
      <c r="H39" s="38"/>
      <c r="I39" s="42"/>
      <c r="J39" s="42"/>
      <c r="K39" s="38"/>
      <c r="L39" s="38"/>
      <c r="M39" s="38"/>
      <c r="N39" s="38"/>
      <c r="O39" s="9"/>
      <c r="P39" s="9"/>
      <c r="Q39" s="9"/>
      <c r="R39" s="9"/>
      <c r="S39" s="9"/>
      <c r="T39" s="9"/>
      <c r="U39" s="9"/>
      <c r="V39" s="42"/>
      <c r="W39" s="9"/>
      <c r="X39" s="9"/>
      <c r="Y39" s="39"/>
      <c r="Z39" s="9"/>
      <c r="AA39" s="38"/>
      <c r="AB39" s="9"/>
      <c r="AC39" s="9"/>
      <c r="AD39" s="9"/>
      <c r="AE39" s="9"/>
      <c r="AF39" s="9"/>
      <c r="AG39" s="9"/>
      <c r="AH39" s="38"/>
      <c r="AI39" s="9"/>
      <c r="AJ39" s="39"/>
      <c r="AK39" s="9"/>
      <c r="AL39" s="9"/>
      <c r="AM39" s="9"/>
      <c r="AN39" s="9"/>
      <c r="AO39" s="9"/>
      <c r="AP39" s="9"/>
      <c r="AQ39" s="9"/>
      <c r="AR39" s="10" t="str">
        <f aca="false">IF(A39="","",SG_Criteria!$B$6&amp;SG_Criteria!$B$10&amp;"\"&amp;A39&amp;"\")</f>
        <v/>
      </c>
      <c r="AS39" s="10" t="str">
        <f aca="false">IF(A39="","",A39&amp;"_CAD.dwg")</f>
        <v/>
      </c>
      <c r="AT39" s="10" t="str">
        <f aca="false">IF(A39="","",A39&amp;"_DWG.pdf")</f>
        <v/>
      </c>
      <c r="AU39" s="10" t="str">
        <f aca="false">IF(A39="","",IF(AQ39="Y",A39&amp;"_STAAD.std","n/a"))</f>
        <v/>
      </c>
      <c r="AV39" s="10" t="str">
        <f aca="false">IF(A39="","",A39&amp;"_CALC.xlsx")</f>
        <v/>
      </c>
      <c r="AW39" s="10" t="str">
        <f aca="false">IF(A39="","",A39&amp;"_CALC.pdf")</f>
        <v/>
      </c>
      <c r="AX39" s="9"/>
      <c r="AY39" s="9"/>
      <c r="AZ39" s="39"/>
      <c r="BA39" s="39"/>
      <c r="BB39" s="39"/>
      <c r="BC39" s="39"/>
      <c r="BD39" s="39"/>
      <c r="BE39" s="12" t="str">
        <f aca="false">IF(A39="","",IF(COUNTIF(Rebar_Schedule!$A$5:$A$2004,A39)=0,"",ROUND(SUMIF(Rebar_Schedule!$A$5:$A$2004,A39,Rebar_Schedule!$K$5:$K$2004),1)))</f>
        <v/>
      </c>
      <c r="BF39" s="33" t="str">
        <f aca="false">IF(A39="","",IF(BE39="","No rebar schedule yet",IF(ABS(BE39-N(BA39))/MAX(N(BA39),1)&gt;SG_Criteria!$B$55,"NOTE: register rebar differs from schedule by "&amp;TEXT(ABS(BE39-N(BA39))/MAX(N(BA39),1),"0%"),"OK")))</f>
        <v/>
      </c>
      <c r="BG39" s="33" t="str">
        <f aca="false">IF(D39="","",IF(LEN(IF(AND(Z39&lt;&gt;"",IFERROR(VALUE(MID(Z39,2,2)),0)&lt;SG_Criteria!$B$19),"FAIL: grade below C"&amp;SG_Criteria!$B$19&amp;". ","")&amp;IF(AND(AA39&lt;&gt;"",AA39&lt;SG_Criteria!$B$20),"FAIL: cover &lt; "&amp;SG_Criteria!$B$20&amp;" mm. ","")&amp;IF(AND(I39&lt;&gt;"",I39&lt;SG_Criteria!$B$39),"NOTE: min depth below PUB "&amp;SG_Criteria!$B$39&amp;" m. ","")&amp;IF(AND(LEFT(D39,8)="Standard",J39&gt;SG_Criteria!$B$42),"FAIL: PUB 001C covers manholes up to "&amp;SG_Criteria!$B$42&amp;" m deep only. ","")&amp;IF(AND(LEFT(D39,11)="Rectangular",K39&lt;SG_Criteria!$B$43),"NOTE: 004C is for sewers &gt;= "&amp;SG_Criteria!$B$43&amp;" dia. ","")&amp;IF(AND(LEFT(D39,7)="Precast",J39&lt;=SG_Criteria!$B$42),"NOTE: 006C is for manholes &gt; "&amp;SG_Criteria!$B$42&amp;" m deep. ","")&amp;IF(AND(K39&lt;&gt;"",K39&lt;SG_Criteria!$B$40,D39&lt;&gt;"Inspection Chamber"),"NOTE: public sewer min dia "&amp;SG_Criteria!$B$40&amp;" mm. ","")&amp;IF(AND(Y39&lt;&gt;"",Y39&lt;SG_Criteria!$B$44),"FAIL: uplift FOS below "&amp;SG_Criteria!$B$44&amp;". ",""))=0,"OK",IF(AND(Z39&lt;&gt;"",IFERROR(VALUE(MID(Z39,2,2)),0)&lt;SG_Criteria!$B$19),"FAIL: grade below C"&amp;SG_Criteria!$B$19&amp;". ","")&amp;IF(AND(AA39&lt;&gt;"",AA39&lt;SG_Criteria!$B$20),"FAIL: cover &lt; "&amp;SG_Criteria!$B$20&amp;" mm. ","")&amp;IF(AND(I39&lt;&gt;"",I39&lt;SG_Criteria!$B$39),"NOTE: min depth below PUB "&amp;SG_Criteria!$B$39&amp;" m. ","")&amp;IF(AND(LEFT(D39,8)="Standard",J39&gt;SG_Criteria!$B$42),"FAIL: PUB 001C covers manholes up to "&amp;SG_Criteria!$B$42&amp;" m deep only. ","")&amp;IF(AND(LEFT(D39,11)="Rectangular",K39&lt;SG_Criteria!$B$43),"NOTE: 004C is for sewers &gt;= "&amp;SG_Criteria!$B$43&amp;" dia. ","")&amp;IF(AND(LEFT(D39,7)="Precast",J39&lt;=SG_Criteria!$B$42),"NOTE: 006C is for manholes &gt; "&amp;SG_Criteria!$B$42&amp;" m deep. ","")&amp;IF(AND(K39&lt;&gt;"",K39&lt;SG_Criteria!$B$40,D39&lt;&gt;"Inspection Chamber"),"NOTE: public sewer min dia "&amp;SG_Criteria!$B$40&amp;" mm. ","")&amp;IF(AND(Y39&lt;&gt;"",Y39&lt;SG_Criteria!$B$44),"FAIL: uplift FOS below "&amp;SG_Criteria!$B$44&amp;". ","")))</f>
        <v/>
      </c>
      <c r="BH39" s="9"/>
      <c r="BI39" s="9"/>
      <c r="BJ39" s="9"/>
      <c r="BK39" s="10" t="str">
        <f aca="false">IF(BJ39="","",IFERROR(VLOOKUP(BJ39,Projects!$A$5:$D$504,2,0),"Ref not in Projects"))</f>
        <v/>
      </c>
      <c r="BL39" s="10" t="str">
        <f aca="false">IF(BJ39="","",IFERROR(VLOOKUP(BJ39,Projects!$A$5:$D$504,4,0),"Ref not in Projects"))</f>
        <v/>
      </c>
      <c r="BM39" s="9"/>
      <c r="BN39" s="9"/>
      <c r="BO39" s="9"/>
      <c r="BP39" s="40"/>
      <c r="BQ39" s="9"/>
      <c r="BR39" s="40"/>
      <c r="BS39" s="9"/>
      <c r="BT39" s="40"/>
      <c r="BU39" s="9"/>
      <c r="BV39" s="9"/>
      <c r="BW39" s="9"/>
      <c r="BX39" s="40"/>
      <c r="BY39" s="40"/>
      <c r="BZ39" s="36" t="str">
        <f aca="false">IF(BY39="","",EDATE(BY39,SG_Criteria!$B$54*12))</f>
        <v/>
      </c>
      <c r="CA39" s="33" t="str">
        <f aca="true">IF(A39="","",IF(BY39="","NOTE: not reviewed yet",IF(TODAY()&gt;BZ39,"NOTE: review overdue","OK")))</f>
        <v/>
      </c>
      <c r="CB39" s="37" t="str">
        <f aca="false">IF(A39="","",ROUND((IF(LEN(D39)&gt;0,1,0)+IF(LEN(E39)&gt;0,1,0)+IF(LEN(F39)&gt;0,1,0)+IF(LEN(G39)&gt;0,1,0)+IF(LEN(I39)&gt;0,1,0)+IF(LEN(J39)&gt;0,1,0)+IF(LEN(K39)&gt;0,1,0)+IF(LEN(L39)&gt;0,1,0)+IF(LEN(M39)&gt;0,1,0)+IF(LEN(N39)&gt;0,1,0)+IF(LEN(Z39)&gt;0,1,0)+IF(LEN(AA39)&gt;0,1,0)+IF(LEN(Y39)&gt;0,1,0)+IF(LEN(AE39)&gt;0,1,0)+IF(LEN(AG39)&gt;0,1,0)+IF(LEN(AZ39)&gt;0,1,0)+IF(LEN(AK39)&gt;0,1,0)+IF(LEN(AM39)&gt;0,1,0)+IF(LEN(AN39)&gt;0,1,0)+IF(LEN(AO39)&gt;0,1,0)+IF(LEN(AP39)&gt;0,1,0)+IF(LEN(AY39)&gt;0,1,0)+IF(LEN(BJ39)&gt;0,1,0)+IF(LEN(BW39)&gt;0,1,0))/24,2))</f>
        <v/>
      </c>
      <c r="CC39" s="10" t="str">
        <f aca="false">IF(D39="","",IF(AND(AN39="Approved",ISERROR(SEARCH("FAIL",BG39))),"Y","N"))</f>
        <v/>
      </c>
      <c r="CD39" s="10" t="str">
        <f aca="false">IF(D39="","",D39&amp;"|"&amp;J39&amp;"|"&amp;G39&amp;"|"&amp;CC39)</f>
        <v/>
      </c>
    </row>
    <row r="40" customFormat="false" ht="15" hidden="false" customHeight="false" outlineLevel="0" collapsed="false">
      <c r="A40" s="10" t="str">
        <f aca="false">IF(D40="","","MH-"&amp;IFERROR(VLOOKUP(D40,Lists!$AB$4:$AC$20,2,0),"??")&amp;"-"&amp;TEXT(G40,"0000")&amp;IF(F40="Circular","D","x"&amp;TEXT(H40,"0000"))&amp;"-D"&amp;TEXT(J40*1000,"0000")&amp;"-"&amp;IFERROR(VLOOKUP(E40,Lists!$AE$4:$AF$16,2,0),"??")&amp;"-"&amp;AM40)</f>
        <v/>
      </c>
      <c r="B40" s="10" t="str">
        <f aca="false">IF(D40="","",D40&amp;", "&amp;E40&amp;", "&amp;IF(F40="Circular",G40&amp;" dia",G40&amp;" x "&amp;H40)&amp;", depth "&amp;TEXT(I40,"0.0")&amp;"-"&amp;TEXT(J40,"0.0")&amp;" m, pipe up to "&amp;K40&amp;" dia")</f>
        <v/>
      </c>
      <c r="C40" s="9"/>
      <c r="D40" s="9"/>
      <c r="E40" s="9"/>
      <c r="F40" s="9"/>
      <c r="G40" s="38"/>
      <c r="H40" s="38"/>
      <c r="I40" s="42"/>
      <c r="J40" s="42"/>
      <c r="K40" s="38"/>
      <c r="L40" s="38"/>
      <c r="M40" s="38"/>
      <c r="N40" s="38"/>
      <c r="O40" s="9"/>
      <c r="P40" s="9"/>
      <c r="Q40" s="9"/>
      <c r="R40" s="9"/>
      <c r="S40" s="9"/>
      <c r="T40" s="9"/>
      <c r="U40" s="9"/>
      <c r="V40" s="42"/>
      <c r="W40" s="9"/>
      <c r="X40" s="9"/>
      <c r="Y40" s="39"/>
      <c r="Z40" s="9"/>
      <c r="AA40" s="38"/>
      <c r="AB40" s="9"/>
      <c r="AC40" s="9"/>
      <c r="AD40" s="9"/>
      <c r="AE40" s="9"/>
      <c r="AF40" s="9"/>
      <c r="AG40" s="9"/>
      <c r="AH40" s="38"/>
      <c r="AI40" s="9"/>
      <c r="AJ40" s="39"/>
      <c r="AK40" s="9"/>
      <c r="AL40" s="9"/>
      <c r="AM40" s="9"/>
      <c r="AN40" s="9"/>
      <c r="AO40" s="9"/>
      <c r="AP40" s="9"/>
      <c r="AQ40" s="9"/>
      <c r="AR40" s="10" t="str">
        <f aca="false">IF(A40="","",SG_Criteria!$B$6&amp;SG_Criteria!$B$10&amp;"\"&amp;A40&amp;"\")</f>
        <v/>
      </c>
      <c r="AS40" s="10" t="str">
        <f aca="false">IF(A40="","",A40&amp;"_CAD.dwg")</f>
        <v/>
      </c>
      <c r="AT40" s="10" t="str">
        <f aca="false">IF(A40="","",A40&amp;"_DWG.pdf")</f>
        <v/>
      </c>
      <c r="AU40" s="10" t="str">
        <f aca="false">IF(A40="","",IF(AQ40="Y",A40&amp;"_STAAD.std","n/a"))</f>
        <v/>
      </c>
      <c r="AV40" s="10" t="str">
        <f aca="false">IF(A40="","",A40&amp;"_CALC.xlsx")</f>
        <v/>
      </c>
      <c r="AW40" s="10" t="str">
        <f aca="false">IF(A40="","",A40&amp;"_CALC.pdf")</f>
        <v/>
      </c>
      <c r="AX40" s="9"/>
      <c r="AY40" s="9"/>
      <c r="AZ40" s="39"/>
      <c r="BA40" s="39"/>
      <c r="BB40" s="39"/>
      <c r="BC40" s="39"/>
      <c r="BD40" s="39"/>
      <c r="BE40" s="12" t="str">
        <f aca="false">IF(A40="","",IF(COUNTIF(Rebar_Schedule!$A$5:$A$2004,A40)=0,"",ROUND(SUMIF(Rebar_Schedule!$A$5:$A$2004,A40,Rebar_Schedule!$K$5:$K$2004),1)))</f>
        <v/>
      </c>
      <c r="BF40" s="33" t="str">
        <f aca="false">IF(A40="","",IF(BE40="","No rebar schedule yet",IF(ABS(BE40-N(BA40))/MAX(N(BA40),1)&gt;SG_Criteria!$B$55,"NOTE: register rebar differs from schedule by "&amp;TEXT(ABS(BE40-N(BA40))/MAX(N(BA40),1),"0%"),"OK")))</f>
        <v/>
      </c>
      <c r="BG40" s="33" t="str">
        <f aca="false">IF(D40="","",IF(LEN(IF(AND(Z40&lt;&gt;"",IFERROR(VALUE(MID(Z40,2,2)),0)&lt;SG_Criteria!$B$19),"FAIL: grade below C"&amp;SG_Criteria!$B$19&amp;". ","")&amp;IF(AND(AA40&lt;&gt;"",AA40&lt;SG_Criteria!$B$20),"FAIL: cover &lt; "&amp;SG_Criteria!$B$20&amp;" mm. ","")&amp;IF(AND(I40&lt;&gt;"",I40&lt;SG_Criteria!$B$39),"NOTE: min depth below PUB "&amp;SG_Criteria!$B$39&amp;" m. ","")&amp;IF(AND(LEFT(D40,8)="Standard",J40&gt;SG_Criteria!$B$42),"FAIL: PUB 001C covers manholes up to "&amp;SG_Criteria!$B$42&amp;" m deep only. ","")&amp;IF(AND(LEFT(D40,11)="Rectangular",K40&lt;SG_Criteria!$B$43),"NOTE: 004C is for sewers &gt;= "&amp;SG_Criteria!$B$43&amp;" dia. ","")&amp;IF(AND(LEFT(D40,7)="Precast",J40&lt;=SG_Criteria!$B$42),"NOTE: 006C is for manholes &gt; "&amp;SG_Criteria!$B$42&amp;" m deep. ","")&amp;IF(AND(K40&lt;&gt;"",K40&lt;SG_Criteria!$B$40,D40&lt;&gt;"Inspection Chamber"),"NOTE: public sewer min dia "&amp;SG_Criteria!$B$40&amp;" mm. ","")&amp;IF(AND(Y40&lt;&gt;"",Y40&lt;SG_Criteria!$B$44),"FAIL: uplift FOS below "&amp;SG_Criteria!$B$44&amp;". ",""))=0,"OK",IF(AND(Z40&lt;&gt;"",IFERROR(VALUE(MID(Z40,2,2)),0)&lt;SG_Criteria!$B$19),"FAIL: grade below C"&amp;SG_Criteria!$B$19&amp;". ","")&amp;IF(AND(AA40&lt;&gt;"",AA40&lt;SG_Criteria!$B$20),"FAIL: cover &lt; "&amp;SG_Criteria!$B$20&amp;" mm. ","")&amp;IF(AND(I40&lt;&gt;"",I40&lt;SG_Criteria!$B$39),"NOTE: min depth below PUB "&amp;SG_Criteria!$B$39&amp;" m. ","")&amp;IF(AND(LEFT(D40,8)="Standard",J40&gt;SG_Criteria!$B$42),"FAIL: PUB 001C covers manholes up to "&amp;SG_Criteria!$B$42&amp;" m deep only. ","")&amp;IF(AND(LEFT(D40,11)="Rectangular",K40&lt;SG_Criteria!$B$43),"NOTE: 004C is for sewers &gt;= "&amp;SG_Criteria!$B$43&amp;" dia. ","")&amp;IF(AND(LEFT(D40,7)="Precast",J40&lt;=SG_Criteria!$B$42),"NOTE: 006C is for manholes &gt; "&amp;SG_Criteria!$B$42&amp;" m deep. ","")&amp;IF(AND(K40&lt;&gt;"",K40&lt;SG_Criteria!$B$40,D40&lt;&gt;"Inspection Chamber"),"NOTE: public sewer min dia "&amp;SG_Criteria!$B$40&amp;" mm. ","")&amp;IF(AND(Y40&lt;&gt;"",Y40&lt;SG_Criteria!$B$44),"FAIL: uplift FOS below "&amp;SG_Criteria!$B$44&amp;". ","")))</f>
        <v/>
      </c>
      <c r="BH40" s="9"/>
      <c r="BI40" s="9"/>
      <c r="BJ40" s="9"/>
      <c r="BK40" s="10" t="str">
        <f aca="false">IF(BJ40="","",IFERROR(VLOOKUP(BJ40,Projects!$A$5:$D$504,2,0),"Ref not in Projects"))</f>
        <v/>
      </c>
      <c r="BL40" s="10" t="str">
        <f aca="false">IF(BJ40="","",IFERROR(VLOOKUP(BJ40,Projects!$A$5:$D$504,4,0),"Ref not in Projects"))</f>
        <v/>
      </c>
      <c r="BM40" s="9"/>
      <c r="BN40" s="9"/>
      <c r="BO40" s="9"/>
      <c r="BP40" s="40"/>
      <c r="BQ40" s="9"/>
      <c r="BR40" s="40"/>
      <c r="BS40" s="9"/>
      <c r="BT40" s="40"/>
      <c r="BU40" s="9"/>
      <c r="BV40" s="9"/>
      <c r="BW40" s="9"/>
      <c r="BX40" s="40"/>
      <c r="BY40" s="40"/>
      <c r="BZ40" s="36" t="str">
        <f aca="false">IF(BY40="","",EDATE(BY40,SG_Criteria!$B$54*12))</f>
        <v/>
      </c>
      <c r="CA40" s="33" t="str">
        <f aca="true">IF(A40="","",IF(BY40="","NOTE: not reviewed yet",IF(TODAY()&gt;BZ40,"NOTE: review overdue","OK")))</f>
        <v/>
      </c>
      <c r="CB40" s="37" t="str">
        <f aca="false">IF(A40="","",ROUND((IF(LEN(D40)&gt;0,1,0)+IF(LEN(E40)&gt;0,1,0)+IF(LEN(F40)&gt;0,1,0)+IF(LEN(G40)&gt;0,1,0)+IF(LEN(I40)&gt;0,1,0)+IF(LEN(J40)&gt;0,1,0)+IF(LEN(K40)&gt;0,1,0)+IF(LEN(L40)&gt;0,1,0)+IF(LEN(M40)&gt;0,1,0)+IF(LEN(N40)&gt;0,1,0)+IF(LEN(Z40)&gt;0,1,0)+IF(LEN(AA40)&gt;0,1,0)+IF(LEN(Y40)&gt;0,1,0)+IF(LEN(AE40)&gt;0,1,0)+IF(LEN(AG40)&gt;0,1,0)+IF(LEN(AZ40)&gt;0,1,0)+IF(LEN(AK40)&gt;0,1,0)+IF(LEN(AM40)&gt;0,1,0)+IF(LEN(AN40)&gt;0,1,0)+IF(LEN(AO40)&gt;0,1,0)+IF(LEN(AP40)&gt;0,1,0)+IF(LEN(AY40)&gt;0,1,0)+IF(LEN(BJ40)&gt;0,1,0)+IF(LEN(BW40)&gt;0,1,0))/24,2))</f>
        <v/>
      </c>
      <c r="CC40" s="10" t="str">
        <f aca="false">IF(D40="","",IF(AND(AN40="Approved",ISERROR(SEARCH("FAIL",BG40))),"Y","N"))</f>
        <v/>
      </c>
      <c r="CD40" s="10" t="str">
        <f aca="false">IF(D40="","",D40&amp;"|"&amp;J40&amp;"|"&amp;G40&amp;"|"&amp;CC40)</f>
        <v/>
      </c>
    </row>
    <row r="41" customFormat="false" ht="15" hidden="false" customHeight="false" outlineLevel="0" collapsed="false">
      <c r="A41" s="10" t="str">
        <f aca="false">IF(D41="","","MH-"&amp;IFERROR(VLOOKUP(D41,Lists!$AB$4:$AC$20,2,0),"??")&amp;"-"&amp;TEXT(G41,"0000")&amp;IF(F41="Circular","D","x"&amp;TEXT(H41,"0000"))&amp;"-D"&amp;TEXT(J41*1000,"0000")&amp;"-"&amp;IFERROR(VLOOKUP(E41,Lists!$AE$4:$AF$16,2,0),"??")&amp;"-"&amp;AM41)</f>
        <v/>
      </c>
      <c r="B41" s="10" t="str">
        <f aca="false">IF(D41="","",D41&amp;", "&amp;E41&amp;", "&amp;IF(F41="Circular",G41&amp;" dia",G41&amp;" x "&amp;H41)&amp;", depth "&amp;TEXT(I41,"0.0")&amp;"-"&amp;TEXT(J41,"0.0")&amp;" m, pipe up to "&amp;K41&amp;" dia")</f>
        <v/>
      </c>
      <c r="C41" s="9"/>
      <c r="D41" s="9"/>
      <c r="E41" s="9"/>
      <c r="F41" s="9"/>
      <c r="G41" s="38"/>
      <c r="H41" s="38"/>
      <c r="I41" s="42"/>
      <c r="J41" s="42"/>
      <c r="K41" s="38"/>
      <c r="L41" s="38"/>
      <c r="M41" s="38"/>
      <c r="N41" s="38"/>
      <c r="O41" s="9"/>
      <c r="P41" s="9"/>
      <c r="Q41" s="9"/>
      <c r="R41" s="9"/>
      <c r="S41" s="9"/>
      <c r="T41" s="9"/>
      <c r="U41" s="9"/>
      <c r="V41" s="42"/>
      <c r="W41" s="9"/>
      <c r="X41" s="9"/>
      <c r="Y41" s="39"/>
      <c r="Z41" s="9"/>
      <c r="AA41" s="38"/>
      <c r="AB41" s="9"/>
      <c r="AC41" s="9"/>
      <c r="AD41" s="9"/>
      <c r="AE41" s="9"/>
      <c r="AF41" s="9"/>
      <c r="AG41" s="9"/>
      <c r="AH41" s="38"/>
      <c r="AI41" s="9"/>
      <c r="AJ41" s="39"/>
      <c r="AK41" s="9"/>
      <c r="AL41" s="9"/>
      <c r="AM41" s="9"/>
      <c r="AN41" s="9"/>
      <c r="AO41" s="9"/>
      <c r="AP41" s="9"/>
      <c r="AQ41" s="9"/>
      <c r="AR41" s="10" t="str">
        <f aca="false">IF(A41="","",SG_Criteria!$B$6&amp;SG_Criteria!$B$10&amp;"\"&amp;A41&amp;"\")</f>
        <v/>
      </c>
      <c r="AS41" s="10" t="str">
        <f aca="false">IF(A41="","",A41&amp;"_CAD.dwg")</f>
        <v/>
      </c>
      <c r="AT41" s="10" t="str">
        <f aca="false">IF(A41="","",A41&amp;"_DWG.pdf")</f>
        <v/>
      </c>
      <c r="AU41" s="10" t="str">
        <f aca="false">IF(A41="","",IF(AQ41="Y",A41&amp;"_STAAD.std","n/a"))</f>
        <v/>
      </c>
      <c r="AV41" s="10" t="str">
        <f aca="false">IF(A41="","",A41&amp;"_CALC.xlsx")</f>
        <v/>
      </c>
      <c r="AW41" s="10" t="str">
        <f aca="false">IF(A41="","",A41&amp;"_CALC.pdf")</f>
        <v/>
      </c>
      <c r="AX41" s="9"/>
      <c r="AY41" s="9"/>
      <c r="AZ41" s="39"/>
      <c r="BA41" s="39"/>
      <c r="BB41" s="39"/>
      <c r="BC41" s="39"/>
      <c r="BD41" s="39"/>
      <c r="BE41" s="12" t="str">
        <f aca="false">IF(A41="","",IF(COUNTIF(Rebar_Schedule!$A$5:$A$2004,A41)=0,"",ROUND(SUMIF(Rebar_Schedule!$A$5:$A$2004,A41,Rebar_Schedule!$K$5:$K$2004),1)))</f>
        <v/>
      </c>
      <c r="BF41" s="33" t="str">
        <f aca="false">IF(A41="","",IF(BE41="","No rebar schedule yet",IF(ABS(BE41-N(BA41))/MAX(N(BA41),1)&gt;SG_Criteria!$B$55,"NOTE: register rebar differs from schedule by "&amp;TEXT(ABS(BE41-N(BA41))/MAX(N(BA41),1),"0%"),"OK")))</f>
        <v/>
      </c>
      <c r="BG41" s="33" t="str">
        <f aca="false">IF(D41="","",IF(LEN(IF(AND(Z41&lt;&gt;"",IFERROR(VALUE(MID(Z41,2,2)),0)&lt;SG_Criteria!$B$19),"FAIL: grade below C"&amp;SG_Criteria!$B$19&amp;". ","")&amp;IF(AND(AA41&lt;&gt;"",AA41&lt;SG_Criteria!$B$20),"FAIL: cover &lt; "&amp;SG_Criteria!$B$20&amp;" mm. ","")&amp;IF(AND(I41&lt;&gt;"",I41&lt;SG_Criteria!$B$39),"NOTE: min depth below PUB "&amp;SG_Criteria!$B$39&amp;" m. ","")&amp;IF(AND(LEFT(D41,8)="Standard",J41&gt;SG_Criteria!$B$42),"FAIL: PUB 001C covers manholes up to "&amp;SG_Criteria!$B$42&amp;" m deep only. ","")&amp;IF(AND(LEFT(D41,11)="Rectangular",K41&lt;SG_Criteria!$B$43),"NOTE: 004C is for sewers &gt;= "&amp;SG_Criteria!$B$43&amp;" dia. ","")&amp;IF(AND(LEFT(D41,7)="Precast",J41&lt;=SG_Criteria!$B$42),"NOTE: 006C is for manholes &gt; "&amp;SG_Criteria!$B$42&amp;" m deep. ","")&amp;IF(AND(K41&lt;&gt;"",K41&lt;SG_Criteria!$B$40,D41&lt;&gt;"Inspection Chamber"),"NOTE: public sewer min dia "&amp;SG_Criteria!$B$40&amp;" mm. ","")&amp;IF(AND(Y41&lt;&gt;"",Y41&lt;SG_Criteria!$B$44),"FAIL: uplift FOS below "&amp;SG_Criteria!$B$44&amp;". ",""))=0,"OK",IF(AND(Z41&lt;&gt;"",IFERROR(VALUE(MID(Z41,2,2)),0)&lt;SG_Criteria!$B$19),"FAIL: grade below C"&amp;SG_Criteria!$B$19&amp;". ","")&amp;IF(AND(AA41&lt;&gt;"",AA41&lt;SG_Criteria!$B$20),"FAIL: cover &lt; "&amp;SG_Criteria!$B$20&amp;" mm. ","")&amp;IF(AND(I41&lt;&gt;"",I41&lt;SG_Criteria!$B$39),"NOTE: min depth below PUB "&amp;SG_Criteria!$B$39&amp;" m. ","")&amp;IF(AND(LEFT(D41,8)="Standard",J41&gt;SG_Criteria!$B$42),"FAIL: PUB 001C covers manholes up to "&amp;SG_Criteria!$B$42&amp;" m deep only. ","")&amp;IF(AND(LEFT(D41,11)="Rectangular",K41&lt;SG_Criteria!$B$43),"NOTE: 004C is for sewers &gt;= "&amp;SG_Criteria!$B$43&amp;" dia. ","")&amp;IF(AND(LEFT(D41,7)="Precast",J41&lt;=SG_Criteria!$B$42),"NOTE: 006C is for manholes &gt; "&amp;SG_Criteria!$B$42&amp;" m deep. ","")&amp;IF(AND(K41&lt;&gt;"",K41&lt;SG_Criteria!$B$40,D41&lt;&gt;"Inspection Chamber"),"NOTE: public sewer min dia "&amp;SG_Criteria!$B$40&amp;" mm. ","")&amp;IF(AND(Y41&lt;&gt;"",Y41&lt;SG_Criteria!$B$44),"FAIL: uplift FOS below "&amp;SG_Criteria!$B$44&amp;". ","")))</f>
        <v/>
      </c>
      <c r="BH41" s="9"/>
      <c r="BI41" s="9"/>
      <c r="BJ41" s="9"/>
      <c r="BK41" s="10" t="str">
        <f aca="false">IF(BJ41="","",IFERROR(VLOOKUP(BJ41,Projects!$A$5:$D$504,2,0),"Ref not in Projects"))</f>
        <v/>
      </c>
      <c r="BL41" s="10" t="str">
        <f aca="false">IF(BJ41="","",IFERROR(VLOOKUP(BJ41,Projects!$A$5:$D$504,4,0),"Ref not in Projects"))</f>
        <v/>
      </c>
      <c r="BM41" s="9"/>
      <c r="BN41" s="9"/>
      <c r="BO41" s="9"/>
      <c r="BP41" s="40"/>
      <c r="BQ41" s="9"/>
      <c r="BR41" s="40"/>
      <c r="BS41" s="9"/>
      <c r="BT41" s="40"/>
      <c r="BU41" s="9"/>
      <c r="BV41" s="9"/>
      <c r="BW41" s="9"/>
      <c r="BX41" s="40"/>
      <c r="BY41" s="40"/>
      <c r="BZ41" s="36" t="str">
        <f aca="false">IF(BY41="","",EDATE(BY41,SG_Criteria!$B$54*12))</f>
        <v/>
      </c>
      <c r="CA41" s="33" t="str">
        <f aca="true">IF(A41="","",IF(BY41="","NOTE: not reviewed yet",IF(TODAY()&gt;BZ41,"NOTE: review overdue","OK")))</f>
        <v/>
      </c>
      <c r="CB41" s="37" t="str">
        <f aca="false">IF(A41="","",ROUND((IF(LEN(D41)&gt;0,1,0)+IF(LEN(E41)&gt;0,1,0)+IF(LEN(F41)&gt;0,1,0)+IF(LEN(G41)&gt;0,1,0)+IF(LEN(I41)&gt;0,1,0)+IF(LEN(J41)&gt;0,1,0)+IF(LEN(K41)&gt;0,1,0)+IF(LEN(L41)&gt;0,1,0)+IF(LEN(M41)&gt;0,1,0)+IF(LEN(N41)&gt;0,1,0)+IF(LEN(Z41)&gt;0,1,0)+IF(LEN(AA41)&gt;0,1,0)+IF(LEN(Y41)&gt;0,1,0)+IF(LEN(AE41)&gt;0,1,0)+IF(LEN(AG41)&gt;0,1,0)+IF(LEN(AZ41)&gt;0,1,0)+IF(LEN(AK41)&gt;0,1,0)+IF(LEN(AM41)&gt;0,1,0)+IF(LEN(AN41)&gt;0,1,0)+IF(LEN(AO41)&gt;0,1,0)+IF(LEN(AP41)&gt;0,1,0)+IF(LEN(AY41)&gt;0,1,0)+IF(LEN(BJ41)&gt;0,1,0)+IF(LEN(BW41)&gt;0,1,0))/24,2))</f>
        <v/>
      </c>
      <c r="CC41" s="10" t="str">
        <f aca="false">IF(D41="","",IF(AND(AN41="Approved",ISERROR(SEARCH("FAIL",BG41))),"Y","N"))</f>
        <v/>
      </c>
      <c r="CD41" s="10" t="str">
        <f aca="false">IF(D41="","",D41&amp;"|"&amp;J41&amp;"|"&amp;G41&amp;"|"&amp;CC41)</f>
        <v/>
      </c>
    </row>
    <row r="42" customFormat="false" ht="15" hidden="false" customHeight="false" outlineLevel="0" collapsed="false">
      <c r="A42" s="10" t="str">
        <f aca="false">IF(D42="","","MH-"&amp;IFERROR(VLOOKUP(D42,Lists!$AB$4:$AC$20,2,0),"??")&amp;"-"&amp;TEXT(G42,"0000")&amp;IF(F42="Circular","D","x"&amp;TEXT(H42,"0000"))&amp;"-D"&amp;TEXT(J42*1000,"0000")&amp;"-"&amp;IFERROR(VLOOKUP(E42,Lists!$AE$4:$AF$16,2,0),"??")&amp;"-"&amp;AM42)</f>
        <v/>
      </c>
      <c r="B42" s="10" t="str">
        <f aca="false">IF(D42="","",D42&amp;", "&amp;E42&amp;", "&amp;IF(F42="Circular",G42&amp;" dia",G42&amp;" x "&amp;H42)&amp;", depth "&amp;TEXT(I42,"0.0")&amp;"-"&amp;TEXT(J42,"0.0")&amp;" m, pipe up to "&amp;K42&amp;" dia")</f>
        <v/>
      </c>
      <c r="C42" s="9"/>
      <c r="D42" s="9"/>
      <c r="E42" s="9"/>
      <c r="F42" s="9"/>
      <c r="G42" s="38"/>
      <c r="H42" s="38"/>
      <c r="I42" s="42"/>
      <c r="J42" s="42"/>
      <c r="K42" s="38"/>
      <c r="L42" s="38"/>
      <c r="M42" s="38"/>
      <c r="N42" s="38"/>
      <c r="O42" s="9"/>
      <c r="P42" s="9"/>
      <c r="Q42" s="9"/>
      <c r="R42" s="9"/>
      <c r="S42" s="9"/>
      <c r="T42" s="9"/>
      <c r="U42" s="9"/>
      <c r="V42" s="42"/>
      <c r="W42" s="9"/>
      <c r="X42" s="9"/>
      <c r="Y42" s="39"/>
      <c r="Z42" s="9"/>
      <c r="AA42" s="38"/>
      <c r="AB42" s="9"/>
      <c r="AC42" s="9"/>
      <c r="AD42" s="9"/>
      <c r="AE42" s="9"/>
      <c r="AF42" s="9"/>
      <c r="AG42" s="9"/>
      <c r="AH42" s="38"/>
      <c r="AI42" s="9"/>
      <c r="AJ42" s="39"/>
      <c r="AK42" s="9"/>
      <c r="AL42" s="9"/>
      <c r="AM42" s="9"/>
      <c r="AN42" s="9"/>
      <c r="AO42" s="9"/>
      <c r="AP42" s="9"/>
      <c r="AQ42" s="9"/>
      <c r="AR42" s="10" t="str">
        <f aca="false">IF(A42="","",SG_Criteria!$B$6&amp;SG_Criteria!$B$10&amp;"\"&amp;A42&amp;"\")</f>
        <v/>
      </c>
      <c r="AS42" s="10" t="str">
        <f aca="false">IF(A42="","",A42&amp;"_CAD.dwg")</f>
        <v/>
      </c>
      <c r="AT42" s="10" t="str">
        <f aca="false">IF(A42="","",A42&amp;"_DWG.pdf")</f>
        <v/>
      </c>
      <c r="AU42" s="10" t="str">
        <f aca="false">IF(A42="","",IF(AQ42="Y",A42&amp;"_STAAD.std","n/a"))</f>
        <v/>
      </c>
      <c r="AV42" s="10" t="str">
        <f aca="false">IF(A42="","",A42&amp;"_CALC.xlsx")</f>
        <v/>
      </c>
      <c r="AW42" s="10" t="str">
        <f aca="false">IF(A42="","",A42&amp;"_CALC.pdf")</f>
        <v/>
      </c>
      <c r="AX42" s="9"/>
      <c r="AY42" s="9"/>
      <c r="AZ42" s="39"/>
      <c r="BA42" s="39"/>
      <c r="BB42" s="39"/>
      <c r="BC42" s="39"/>
      <c r="BD42" s="39"/>
      <c r="BE42" s="12" t="str">
        <f aca="false">IF(A42="","",IF(COUNTIF(Rebar_Schedule!$A$5:$A$2004,A42)=0,"",ROUND(SUMIF(Rebar_Schedule!$A$5:$A$2004,A42,Rebar_Schedule!$K$5:$K$2004),1)))</f>
        <v/>
      </c>
      <c r="BF42" s="33" t="str">
        <f aca="false">IF(A42="","",IF(BE42="","No rebar schedule yet",IF(ABS(BE42-N(BA42))/MAX(N(BA42),1)&gt;SG_Criteria!$B$55,"NOTE: register rebar differs from schedule by "&amp;TEXT(ABS(BE42-N(BA42))/MAX(N(BA42),1),"0%"),"OK")))</f>
        <v/>
      </c>
      <c r="BG42" s="33" t="str">
        <f aca="false">IF(D42="","",IF(LEN(IF(AND(Z42&lt;&gt;"",IFERROR(VALUE(MID(Z42,2,2)),0)&lt;SG_Criteria!$B$19),"FAIL: grade below C"&amp;SG_Criteria!$B$19&amp;". ","")&amp;IF(AND(AA42&lt;&gt;"",AA42&lt;SG_Criteria!$B$20),"FAIL: cover &lt; "&amp;SG_Criteria!$B$20&amp;" mm. ","")&amp;IF(AND(I42&lt;&gt;"",I42&lt;SG_Criteria!$B$39),"NOTE: min depth below PUB "&amp;SG_Criteria!$B$39&amp;" m. ","")&amp;IF(AND(LEFT(D42,8)="Standard",J42&gt;SG_Criteria!$B$42),"FAIL: PUB 001C covers manholes up to "&amp;SG_Criteria!$B$42&amp;" m deep only. ","")&amp;IF(AND(LEFT(D42,11)="Rectangular",K42&lt;SG_Criteria!$B$43),"NOTE: 004C is for sewers &gt;= "&amp;SG_Criteria!$B$43&amp;" dia. ","")&amp;IF(AND(LEFT(D42,7)="Precast",J42&lt;=SG_Criteria!$B$42),"NOTE: 006C is for manholes &gt; "&amp;SG_Criteria!$B$42&amp;" m deep. ","")&amp;IF(AND(K42&lt;&gt;"",K42&lt;SG_Criteria!$B$40,D42&lt;&gt;"Inspection Chamber"),"NOTE: public sewer min dia "&amp;SG_Criteria!$B$40&amp;" mm. ","")&amp;IF(AND(Y42&lt;&gt;"",Y42&lt;SG_Criteria!$B$44),"FAIL: uplift FOS below "&amp;SG_Criteria!$B$44&amp;". ",""))=0,"OK",IF(AND(Z42&lt;&gt;"",IFERROR(VALUE(MID(Z42,2,2)),0)&lt;SG_Criteria!$B$19),"FAIL: grade below C"&amp;SG_Criteria!$B$19&amp;". ","")&amp;IF(AND(AA42&lt;&gt;"",AA42&lt;SG_Criteria!$B$20),"FAIL: cover &lt; "&amp;SG_Criteria!$B$20&amp;" mm. ","")&amp;IF(AND(I42&lt;&gt;"",I42&lt;SG_Criteria!$B$39),"NOTE: min depth below PUB "&amp;SG_Criteria!$B$39&amp;" m. ","")&amp;IF(AND(LEFT(D42,8)="Standard",J42&gt;SG_Criteria!$B$42),"FAIL: PUB 001C covers manholes up to "&amp;SG_Criteria!$B$42&amp;" m deep only. ","")&amp;IF(AND(LEFT(D42,11)="Rectangular",K42&lt;SG_Criteria!$B$43),"NOTE: 004C is for sewers &gt;= "&amp;SG_Criteria!$B$43&amp;" dia. ","")&amp;IF(AND(LEFT(D42,7)="Precast",J42&lt;=SG_Criteria!$B$42),"NOTE: 006C is for manholes &gt; "&amp;SG_Criteria!$B$42&amp;" m deep. ","")&amp;IF(AND(K42&lt;&gt;"",K42&lt;SG_Criteria!$B$40,D42&lt;&gt;"Inspection Chamber"),"NOTE: public sewer min dia "&amp;SG_Criteria!$B$40&amp;" mm. ","")&amp;IF(AND(Y42&lt;&gt;"",Y42&lt;SG_Criteria!$B$44),"FAIL: uplift FOS below "&amp;SG_Criteria!$B$44&amp;". ","")))</f>
        <v/>
      </c>
      <c r="BH42" s="9"/>
      <c r="BI42" s="9"/>
      <c r="BJ42" s="9"/>
      <c r="BK42" s="10" t="str">
        <f aca="false">IF(BJ42="","",IFERROR(VLOOKUP(BJ42,Projects!$A$5:$D$504,2,0),"Ref not in Projects"))</f>
        <v/>
      </c>
      <c r="BL42" s="10" t="str">
        <f aca="false">IF(BJ42="","",IFERROR(VLOOKUP(BJ42,Projects!$A$5:$D$504,4,0),"Ref not in Projects"))</f>
        <v/>
      </c>
      <c r="BM42" s="9"/>
      <c r="BN42" s="9"/>
      <c r="BO42" s="9"/>
      <c r="BP42" s="40"/>
      <c r="BQ42" s="9"/>
      <c r="BR42" s="40"/>
      <c r="BS42" s="9"/>
      <c r="BT42" s="40"/>
      <c r="BU42" s="9"/>
      <c r="BV42" s="9"/>
      <c r="BW42" s="9"/>
      <c r="BX42" s="40"/>
      <c r="BY42" s="40"/>
      <c r="BZ42" s="36" t="str">
        <f aca="false">IF(BY42="","",EDATE(BY42,SG_Criteria!$B$54*12))</f>
        <v/>
      </c>
      <c r="CA42" s="33" t="str">
        <f aca="true">IF(A42="","",IF(BY42="","NOTE: not reviewed yet",IF(TODAY()&gt;BZ42,"NOTE: review overdue","OK")))</f>
        <v/>
      </c>
      <c r="CB42" s="37" t="str">
        <f aca="false">IF(A42="","",ROUND((IF(LEN(D42)&gt;0,1,0)+IF(LEN(E42)&gt;0,1,0)+IF(LEN(F42)&gt;0,1,0)+IF(LEN(G42)&gt;0,1,0)+IF(LEN(I42)&gt;0,1,0)+IF(LEN(J42)&gt;0,1,0)+IF(LEN(K42)&gt;0,1,0)+IF(LEN(L42)&gt;0,1,0)+IF(LEN(M42)&gt;0,1,0)+IF(LEN(N42)&gt;0,1,0)+IF(LEN(Z42)&gt;0,1,0)+IF(LEN(AA42)&gt;0,1,0)+IF(LEN(Y42)&gt;0,1,0)+IF(LEN(AE42)&gt;0,1,0)+IF(LEN(AG42)&gt;0,1,0)+IF(LEN(AZ42)&gt;0,1,0)+IF(LEN(AK42)&gt;0,1,0)+IF(LEN(AM42)&gt;0,1,0)+IF(LEN(AN42)&gt;0,1,0)+IF(LEN(AO42)&gt;0,1,0)+IF(LEN(AP42)&gt;0,1,0)+IF(LEN(AY42)&gt;0,1,0)+IF(LEN(BJ42)&gt;0,1,0)+IF(LEN(BW42)&gt;0,1,0))/24,2))</f>
        <v/>
      </c>
      <c r="CC42" s="10" t="str">
        <f aca="false">IF(D42="","",IF(AND(AN42="Approved",ISERROR(SEARCH("FAIL",BG42))),"Y","N"))</f>
        <v/>
      </c>
      <c r="CD42" s="10" t="str">
        <f aca="false">IF(D42="","",D42&amp;"|"&amp;J42&amp;"|"&amp;G42&amp;"|"&amp;CC42)</f>
        <v/>
      </c>
    </row>
    <row r="43" customFormat="false" ht="15" hidden="false" customHeight="false" outlineLevel="0" collapsed="false">
      <c r="A43" s="10" t="str">
        <f aca="false">IF(D43="","","MH-"&amp;IFERROR(VLOOKUP(D43,Lists!$AB$4:$AC$20,2,0),"??")&amp;"-"&amp;TEXT(G43,"0000")&amp;IF(F43="Circular","D","x"&amp;TEXT(H43,"0000"))&amp;"-D"&amp;TEXT(J43*1000,"0000")&amp;"-"&amp;IFERROR(VLOOKUP(E43,Lists!$AE$4:$AF$16,2,0),"??")&amp;"-"&amp;AM43)</f>
        <v/>
      </c>
      <c r="B43" s="10" t="str">
        <f aca="false">IF(D43="","",D43&amp;", "&amp;E43&amp;", "&amp;IF(F43="Circular",G43&amp;" dia",G43&amp;" x "&amp;H43)&amp;", depth "&amp;TEXT(I43,"0.0")&amp;"-"&amp;TEXT(J43,"0.0")&amp;" m, pipe up to "&amp;K43&amp;" dia")</f>
        <v/>
      </c>
      <c r="C43" s="9"/>
      <c r="D43" s="9"/>
      <c r="E43" s="9"/>
      <c r="F43" s="9"/>
      <c r="G43" s="38"/>
      <c r="H43" s="38"/>
      <c r="I43" s="42"/>
      <c r="J43" s="42"/>
      <c r="K43" s="38"/>
      <c r="L43" s="38"/>
      <c r="M43" s="38"/>
      <c r="N43" s="38"/>
      <c r="O43" s="9"/>
      <c r="P43" s="9"/>
      <c r="Q43" s="9"/>
      <c r="R43" s="9"/>
      <c r="S43" s="9"/>
      <c r="T43" s="9"/>
      <c r="U43" s="9"/>
      <c r="V43" s="42"/>
      <c r="W43" s="9"/>
      <c r="X43" s="9"/>
      <c r="Y43" s="39"/>
      <c r="Z43" s="9"/>
      <c r="AA43" s="38"/>
      <c r="AB43" s="9"/>
      <c r="AC43" s="9"/>
      <c r="AD43" s="9"/>
      <c r="AE43" s="9"/>
      <c r="AF43" s="9"/>
      <c r="AG43" s="9"/>
      <c r="AH43" s="38"/>
      <c r="AI43" s="9"/>
      <c r="AJ43" s="39"/>
      <c r="AK43" s="9"/>
      <c r="AL43" s="9"/>
      <c r="AM43" s="9"/>
      <c r="AN43" s="9"/>
      <c r="AO43" s="9"/>
      <c r="AP43" s="9"/>
      <c r="AQ43" s="9"/>
      <c r="AR43" s="10" t="str">
        <f aca="false">IF(A43="","",SG_Criteria!$B$6&amp;SG_Criteria!$B$10&amp;"\"&amp;A43&amp;"\")</f>
        <v/>
      </c>
      <c r="AS43" s="10" t="str">
        <f aca="false">IF(A43="","",A43&amp;"_CAD.dwg")</f>
        <v/>
      </c>
      <c r="AT43" s="10" t="str">
        <f aca="false">IF(A43="","",A43&amp;"_DWG.pdf")</f>
        <v/>
      </c>
      <c r="AU43" s="10" t="str">
        <f aca="false">IF(A43="","",IF(AQ43="Y",A43&amp;"_STAAD.std","n/a"))</f>
        <v/>
      </c>
      <c r="AV43" s="10" t="str">
        <f aca="false">IF(A43="","",A43&amp;"_CALC.xlsx")</f>
        <v/>
      </c>
      <c r="AW43" s="10" t="str">
        <f aca="false">IF(A43="","",A43&amp;"_CALC.pdf")</f>
        <v/>
      </c>
      <c r="AX43" s="9"/>
      <c r="AY43" s="9"/>
      <c r="AZ43" s="39"/>
      <c r="BA43" s="39"/>
      <c r="BB43" s="39"/>
      <c r="BC43" s="39"/>
      <c r="BD43" s="39"/>
      <c r="BE43" s="12" t="str">
        <f aca="false">IF(A43="","",IF(COUNTIF(Rebar_Schedule!$A$5:$A$2004,A43)=0,"",ROUND(SUMIF(Rebar_Schedule!$A$5:$A$2004,A43,Rebar_Schedule!$K$5:$K$2004),1)))</f>
        <v/>
      </c>
      <c r="BF43" s="33" t="str">
        <f aca="false">IF(A43="","",IF(BE43="","No rebar schedule yet",IF(ABS(BE43-N(BA43))/MAX(N(BA43),1)&gt;SG_Criteria!$B$55,"NOTE: register rebar differs from schedule by "&amp;TEXT(ABS(BE43-N(BA43))/MAX(N(BA43),1),"0%"),"OK")))</f>
        <v/>
      </c>
      <c r="BG43" s="33" t="str">
        <f aca="false">IF(D43="","",IF(LEN(IF(AND(Z43&lt;&gt;"",IFERROR(VALUE(MID(Z43,2,2)),0)&lt;SG_Criteria!$B$19),"FAIL: grade below C"&amp;SG_Criteria!$B$19&amp;". ","")&amp;IF(AND(AA43&lt;&gt;"",AA43&lt;SG_Criteria!$B$20),"FAIL: cover &lt; "&amp;SG_Criteria!$B$20&amp;" mm. ","")&amp;IF(AND(I43&lt;&gt;"",I43&lt;SG_Criteria!$B$39),"NOTE: min depth below PUB "&amp;SG_Criteria!$B$39&amp;" m. ","")&amp;IF(AND(LEFT(D43,8)="Standard",J43&gt;SG_Criteria!$B$42),"FAIL: PUB 001C covers manholes up to "&amp;SG_Criteria!$B$42&amp;" m deep only. ","")&amp;IF(AND(LEFT(D43,11)="Rectangular",K43&lt;SG_Criteria!$B$43),"NOTE: 004C is for sewers &gt;= "&amp;SG_Criteria!$B$43&amp;" dia. ","")&amp;IF(AND(LEFT(D43,7)="Precast",J43&lt;=SG_Criteria!$B$42),"NOTE: 006C is for manholes &gt; "&amp;SG_Criteria!$B$42&amp;" m deep. ","")&amp;IF(AND(K43&lt;&gt;"",K43&lt;SG_Criteria!$B$40,D43&lt;&gt;"Inspection Chamber"),"NOTE: public sewer min dia "&amp;SG_Criteria!$B$40&amp;" mm. ","")&amp;IF(AND(Y43&lt;&gt;"",Y43&lt;SG_Criteria!$B$44),"FAIL: uplift FOS below "&amp;SG_Criteria!$B$44&amp;". ",""))=0,"OK",IF(AND(Z43&lt;&gt;"",IFERROR(VALUE(MID(Z43,2,2)),0)&lt;SG_Criteria!$B$19),"FAIL: grade below C"&amp;SG_Criteria!$B$19&amp;". ","")&amp;IF(AND(AA43&lt;&gt;"",AA43&lt;SG_Criteria!$B$20),"FAIL: cover &lt; "&amp;SG_Criteria!$B$20&amp;" mm. ","")&amp;IF(AND(I43&lt;&gt;"",I43&lt;SG_Criteria!$B$39),"NOTE: min depth below PUB "&amp;SG_Criteria!$B$39&amp;" m. ","")&amp;IF(AND(LEFT(D43,8)="Standard",J43&gt;SG_Criteria!$B$42),"FAIL: PUB 001C covers manholes up to "&amp;SG_Criteria!$B$42&amp;" m deep only. ","")&amp;IF(AND(LEFT(D43,11)="Rectangular",K43&lt;SG_Criteria!$B$43),"NOTE: 004C is for sewers &gt;= "&amp;SG_Criteria!$B$43&amp;" dia. ","")&amp;IF(AND(LEFT(D43,7)="Precast",J43&lt;=SG_Criteria!$B$42),"NOTE: 006C is for manholes &gt; "&amp;SG_Criteria!$B$42&amp;" m deep. ","")&amp;IF(AND(K43&lt;&gt;"",K43&lt;SG_Criteria!$B$40,D43&lt;&gt;"Inspection Chamber"),"NOTE: public sewer min dia "&amp;SG_Criteria!$B$40&amp;" mm. ","")&amp;IF(AND(Y43&lt;&gt;"",Y43&lt;SG_Criteria!$B$44),"FAIL: uplift FOS below "&amp;SG_Criteria!$B$44&amp;". ","")))</f>
        <v/>
      </c>
      <c r="BH43" s="9"/>
      <c r="BI43" s="9"/>
      <c r="BJ43" s="9"/>
      <c r="BK43" s="10" t="str">
        <f aca="false">IF(BJ43="","",IFERROR(VLOOKUP(BJ43,Projects!$A$5:$D$504,2,0),"Ref not in Projects"))</f>
        <v/>
      </c>
      <c r="BL43" s="10" t="str">
        <f aca="false">IF(BJ43="","",IFERROR(VLOOKUP(BJ43,Projects!$A$5:$D$504,4,0),"Ref not in Projects"))</f>
        <v/>
      </c>
      <c r="BM43" s="9"/>
      <c r="BN43" s="9"/>
      <c r="BO43" s="9"/>
      <c r="BP43" s="40"/>
      <c r="BQ43" s="9"/>
      <c r="BR43" s="40"/>
      <c r="BS43" s="9"/>
      <c r="BT43" s="40"/>
      <c r="BU43" s="9"/>
      <c r="BV43" s="9"/>
      <c r="BW43" s="9"/>
      <c r="BX43" s="40"/>
      <c r="BY43" s="40"/>
      <c r="BZ43" s="36" t="str">
        <f aca="false">IF(BY43="","",EDATE(BY43,SG_Criteria!$B$54*12))</f>
        <v/>
      </c>
      <c r="CA43" s="33" t="str">
        <f aca="true">IF(A43="","",IF(BY43="","NOTE: not reviewed yet",IF(TODAY()&gt;BZ43,"NOTE: review overdue","OK")))</f>
        <v/>
      </c>
      <c r="CB43" s="37" t="str">
        <f aca="false">IF(A43="","",ROUND((IF(LEN(D43)&gt;0,1,0)+IF(LEN(E43)&gt;0,1,0)+IF(LEN(F43)&gt;0,1,0)+IF(LEN(G43)&gt;0,1,0)+IF(LEN(I43)&gt;0,1,0)+IF(LEN(J43)&gt;0,1,0)+IF(LEN(K43)&gt;0,1,0)+IF(LEN(L43)&gt;0,1,0)+IF(LEN(M43)&gt;0,1,0)+IF(LEN(N43)&gt;0,1,0)+IF(LEN(Z43)&gt;0,1,0)+IF(LEN(AA43)&gt;0,1,0)+IF(LEN(Y43)&gt;0,1,0)+IF(LEN(AE43)&gt;0,1,0)+IF(LEN(AG43)&gt;0,1,0)+IF(LEN(AZ43)&gt;0,1,0)+IF(LEN(AK43)&gt;0,1,0)+IF(LEN(AM43)&gt;0,1,0)+IF(LEN(AN43)&gt;0,1,0)+IF(LEN(AO43)&gt;0,1,0)+IF(LEN(AP43)&gt;0,1,0)+IF(LEN(AY43)&gt;0,1,0)+IF(LEN(BJ43)&gt;0,1,0)+IF(LEN(BW43)&gt;0,1,0))/24,2))</f>
        <v/>
      </c>
      <c r="CC43" s="10" t="str">
        <f aca="false">IF(D43="","",IF(AND(AN43="Approved",ISERROR(SEARCH("FAIL",BG43))),"Y","N"))</f>
        <v/>
      </c>
      <c r="CD43" s="10" t="str">
        <f aca="false">IF(D43="","",D43&amp;"|"&amp;J43&amp;"|"&amp;G43&amp;"|"&amp;CC43)</f>
        <v/>
      </c>
    </row>
    <row r="44" customFormat="false" ht="15" hidden="false" customHeight="false" outlineLevel="0" collapsed="false">
      <c r="A44" s="10" t="str">
        <f aca="false">IF(D44="","","MH-"&amp;IFERROR(VLOOKUP(D44,Lists!$AB$4:$AC$20,2,0),"??")&amp;"-"&amp;TEXT(G44,"0000")&amp;IF(F44="Circular","D","x"&amp;TEXT(H44,"0000"))&amp;"-D"&amp;TEXT(J44*1000,"0000")&amp;"-"&amp;IFERROR(VLOOKUP(E44,Lists!$AE$4:$AF$16,2,0),"??")&amp;"-"&amp;AM44)</f>
        <v/>
      </c>
      <c r="B44" s="10" t="str">
        <f aca="false">IF(D44="","",D44&amp;", "&amp;E44&amp;", "&amp;IF(F44="Circular",G44&amp;" dia",G44&amp;" x "&amp;H44)&amp;", depth "&amp;TEXT(I44,"0.0")&amp;"-"&amp;TEXT(J44,"0.0")&amp;" m, pipe up to "&amp;K44&amp;" dia")</f>
        <v/>
      </c>
      <c r="C44" s="9"/>
      <c r="D44" s="9"/>
      <c r="E44" s="9"/>
      <c r="F44" s="9"/>
      <c r="G44" s="38"/>
      <c r="H44" s="38"/>
      <c r="I44" s="42"/>
      <c r="J44" s="42"/>
      <c r="K44" s="38"/>
      <c r="L44" s="38"/>
      <c r="M44" s="38"/>
      <c r="N44" s="38"/>
      <c r="O44" s="9"/>
      <c r="P44" s="9"/>
      <c r="Q44" s="9"/>
      <c r="R44" s="9"/>
      <c r="S44" s="9"/>
      <c r="T44" s="9"/>
      <c r="U44" s="9"/>
      <c r="V44" s="42"/>
      <c r="W44" s="9"/>
      <c r="X44" s="9"/>
      <c r="Y44" s="39"/>
      <c r="Z44" s="9"/>
      <c r="AA44" s="38"/>
      <c r="AB44" s="9"/>
      <c r="AC44" s="9"/>
      <c r="AD44" s="9"/>
      <c r="AE44" s="9"/>
      <c r="AF44" s="9"/>
      <c r="AG44" s="9"/>
      <c r="AH44" s="38"/>
      <c r="AI44" s="9"/>
      <c r="AJ44" s="39"/>
      <c r="AK44" s="9"/>
      <c r="AL44" s="9"/>
      <c r="AM44" s="9"/>
      <c r="AN44" s="9"/>
      <c r="AO44" s="9"/>
      <c r="AP44" s="9"/>
      <c r="AQ44" s="9"/>
      <c r="AR44" s="10" t="str">
        <f aca="false">IF(A44="","",SG_Criteria!$B$6&amp;SG_Criteria!$B$10&amp;"\"&amp;A44&amp;"\")</f>
        <v/>
      </c>
      <c r="AS44" s="10" t="str">
        <f aca="false">IF(A44="","",A44&amp;"_CAD.dwg")</f>
        <v/>
      </c>
      <c r="AT44" s="10" t="str">
        <f aca="false">IF(A44="","",A44&amp;"_DWG.pdf")</f>
        <v/>
      </c>
      <c r="AU44" s="10" t="str">
        <f aca="false">IF(A44="","",IF(AQ44="Y",A44&amp;"_STAAD.std","n/a"))</f>
        <v/>
      </c>
      <c r="AV44" s="10" t="str">
        <f aca="false">IF(A44="","",A44&amp;"_CALC.xlsx")</f>
        <v/>
      </c>
      <c r="AW44" s="10" t="str">
        <f aca="false">IF(A44="","",A44&amp;"_CALC.pdf")</f>
        <v/>
      </c>
      <c r="AX44" s="9"/>
      <c r="AY44" s="9"/>
      <c r="AZ44" s="39"/>
      <c r="BA44" s="39"/>
      <c r="BB44" s="39"/>
      <c r="BC44" s="39"/>
      <c r="BD44" s="39"/>
      <c r="BE44" s="12" t="str">
        <f aca="false">IF(A44="","",IF(COUNTIF(Rebar_Schedule!$A$5:$A$2004,A44)=0,"",ROUND(SUMIF(Rebar_Schedule!$A$5:$A$2004,A44,Rebar_Schedule!$K$5:$K$2004),1)))</f>
        <v/>
      </c>
      <c r="BF44" s="33" t="str">
        <f aca="false">IF(A44="","",IF(BE44="","No rebar schedule yet",IF(ABS(BE44-N(BA44))/MAX(N(BA44),1)&gt;SG_Criteria!$B$55,"NOTE: register rebar differs from schedule by "&amp;TEXT(ABS(BE44-N(BA44))/MAX(N(BA44),1),"0%"),"OK")))</f>
        <v/>
      </c>
      <c r="BG44" s="33" t="str">
        <f aca="false">IF(D44="","",IF(LEN(IF(AND(Z44&lt;&gt;"",IFERROR(VALUE(MID(Z44,2,2)),0)&lt;SG_Criteria!$B$19),"FAIL: grade below C"&amp;SG_Criteria!$B$19&amp;". ","")&amp;IF(AND(AA44&lt;&gt;"",AA44&lt;SG_Criteria!$B$20),"FAIL: cover &lt; "&amp;SG_Criteria!$B$20&amp;" mm. ","")&amp;IF(AND(I44&lt;&gt;"",I44&lt;SG_Criteria!$B$39),"NOTE: min depth below PUB "&amp;SG_Criteria!$B$39&amp;" m. ","")&amp;IF(AND(LEFT(D44,8)="Standard",J44&gt;SG_Criteria!$B$42),"FAIL: PUB 001C covers manholes up to "&amp;SG_Criteria!$B$42&amp;" m deep only. ","")&amp;IF(AND(LEFT(D44,11)="Rectangular",K44&lt;SG_Criteria!$B$43),"NOTE: 004C is for sewers &gt;= "&amp;SG_Criteria!$B$43&amp;" dia. ","")&amp;IF(AND(LEFT(D44,7)="Precast",J44&lt;=SG_Criteria!$B$42),"NOTE: 006C is for manholes &gt; "&amp;SG_Criteria!$B$42&amp;" m deep. ","")&amp;IF(AND(K44&lt;&gt;"",K44&lt;SG_Criteria!$B$40,D44&lt;&gt;"Inspection Chamber"),"NOTE: public sewer min dia "&amp;SG_Criteria!$B$40&amp;" mm. ","")&amp;IF(AND(Y44&lt;&gt;"",Y44&lt;SG_Criteria!$B$44),"FAIL: uplift FOS below "&amp;SG_Criteria!$B$44&amp;". ",""))=0,"OK",IF(AND(Z44&lt;&gt;"",IFERROR(VALUE(MID(Z44,2,2)),0)&lt;SG_Criteria!$B$19),"FAIL: grade below C"&amp;SG_Criteria!$B$19&amp;". ","")&amp;IF(AND(AA44&lt;&gt;"",AA44&lt;SG_Criteria!$B$20),"FAIL: cover &lt; "&amp;SG_Criteria!$B$20&amp;" mm. ","")&amp;IF(AND(I44&lt;&gt;"",I44&lt;SG_Criteria!$B$39),"NOTE: min depth below PUB "&amp;SG_Criteria!$B$39&amp;" m. ","")&amp;IF(AND(LEFT(D44,8)="Standard",J44&gt;SG_Criteria!$B$42),"FAIL: PUB 001C covers manholes up to "&amp;SG_Criteria!$B$42&amp;" m deep only. ","")&amp;IF(AND(LEFT(D44,11)="Rectangular",K44&lt;SG_Criteria!$B$43),"NOTE: 004C is for sewers &gt;= "&amp;SG_Criteria!$B$43&amp;" dia. ","")&amp;IF(AND(LEFT(D44,7)="Precast",J44&lt;=SG_Criteria!$B$42),"NOTE: 006C is for manholes &gt; "&amp;SG_Criteria!$B$42&amp;" m deep. ","")&amp;IF(AND(K44&lt;&gt;"",K44&lt;SG_Criteria!$B$40,D44&lt;&gt;"Inspection Chamber"),"NOTE: public sewer min dia "&amp;SG_Criteria!$B$40&amp;" mm. ","")&amp;IF(AND(Y44&lt;&gt;"",Y44&lt;SG_Criteria!$B$44),"FAIL: uplift FOS below "&amp;SG_Criteria!$B$44&amp;". ","")))</f>
        <v/>
      </c>
      <c r="BH44" s="9"/>
      <c r="BI44" s="9"/>
      <c r="BJ44" s="9"/>
      <c r="BK44" s="10" t="str">
        <f aca="false">IF(BJ44="","",IFERROR(VLOOKUP(BJ44,Projects!$A$5:$D$504,2,0),"Ref not in Projects"))</f>
        <v/>
      </c>
      <c r="BL44" s="10" t="str">
        <f aca="false">IF(BJ44="","",IFERROR(VLOOKUP(BJ44,Projects!$A$5:$D$504,4,0),"Ref not in Projects"))</f>
        <v/>
      </c>
      <c r="BM44" s="9"/>
      <c r="BN44" s="9"/>
      <c r="BO44" s="9"/>
      <c r="BP44" s="40"/>
      <c r="BQ44" s="9"/>
      <c r="BR44" s="40"/>
      <c r="BS44" s="9"/>
      <c r="BT44" s="40"/>
      <c r="BU44" s="9"/>
      <c r="BV44" s="9"/>
      <c r="BW44" s="9"/>
      <c r="BX44" s="40"/>
      <c r="BY44" s="40"/>
      <c r="BZ44" s="36" t="str">
        <f aca="false">IF(BY44="","",EDATE(BY44,SG_Criteria!$B$54*12))</f>
        <v/>
      </c>
      <c r="CA44" s="33" t="str">
        <f aca="true">IF(A44="","",IF(BY44="","NOTE: not reviewed yet",IF(TODAY()&gt;BZ44,"NOTE: review overdue","OK")))</f>
        <v/>
      </c>
      <c r="CB44" s="37" t="str">
        <f aca="false">IF(A44="","",ROUND((IF(LEN(D44)&gt;0,1,0)+IF(LEN(E44)&gt;0,1,0)+IF(LEN(F44)&gt;0,1,0)+IF(LEN(G44)&gt;0,1,0)+IF(LEN(I44)&gt;0,1,0)+IF(LEN(J44)&gt;0,1,0)+IF(LEN(K44)&gt;0,1,0)+IF(LEN(L44)&gt;0,1,0)+IF(LEN(M44)&gt;0,1,0)+IF(LEN(N44)&gt;0,1,0)+IF(LEN(Z44)&gt;0,1,0)+IF(LEN(AA44)&gt;0,1,0)+IF(LEN(Y44)&gt;0,1,0)+IF(LEN(AE44)&gt;0,1,0)+IF(LEN(AG44)&gt;0,1,0)+IF(LEN(AZ44)&gt;0,1,0)+IF(LEN(AK44)&gt;0,1,0)+IF(LEN(AM44)&gt;0,1,0)+IF(LEN(AN44)&gt;0,1,0)+IF(LEN(AO44)&gt;0,1,0)+IF(LEN(AP44)&gt;0,1,0)+IF(LEN(AY44)&gt;0,1,0)+IF(LEN(BJ44)&gt;0,1,0)+IF(LEN(BW44)&gt;0,1,0))/24,2))</f>
        <v/>
      </c>
      <c r="CC44" s="10" t="str">
        <f aca="false">IF(D44="","",IF(AND(AN44="Approved",ISERROR(SEARCH("FAIL",BG44))),"Y","N"))</f>
        <v/>
      </c>
      <c r="CD44" s="10" t="str">
        <f aca="false">IF(D44="","",D44&amp;"|"&amp;J44&amp;"|"&amp;G44&amp;"|"&amp;CC44)</f>
        <v/>
      </c>
    </row>
    <row r="45" customFormat="false" ht="15" hidden="false" customHeight="false" outlineLevel="0" collapsed="false">
      <c r="A45" s="10" t="str">
        <f aca="false">IF(D45="","","MH-"&amp;IFERROR(VLOOKUP(D45,Lists!$AB$4:$AC$20,2,0),"??")&amp;"-"&amp;TEXT(G45,"0000")&amp;IF(F45="Circular","D","x"&amp;TEXT(H45,"0000"))&amp;"-D"&amp;TEXT(J45*1000,"0000")&amp;"-"&amp;IFERROR(VLOOKUP(E45,Lists!$AE$4:$AF$16,2,0),"??")&amp;"-"&amp;AM45)</f>
        <v/>
      </c>
      <c r="B45" s="10" t="str">
        <f aca="false">IF(D45="","",D45&amp;", "&amp;E45&amp;", "&amp;IF(F45="Circular",G45&amp;" dia",G45&amp;" x "&amp;H45)&amp;", depth "&amp;TEXT(I45,"0.0")&amp;"-"&amp;TEXT(J45,"0.0")&amp;" m, pipe up to "&amp;K45&amp;" dia")</f>
        <v/>
      </c>
      <c r="C45" s="9"/>
      <c r="D45" s="9"/>
      <c r="E45" s="9"/>
      <c r="F45" s="9"/>
      <c r="G45" s="38"/>
      <c r="H45" s="38"/>
      <c r="I45" s="42"/>
      <c r="J45" s="42"/>
      <c r="K45" s="38"/>
      <c r="L45" s="38"/>
      <c r="M45" s="38"/>
      <c r="N45" s="38"/>
      <c r="O45" s="9"/>
      <c r="P45" s="9"/>
      <c r="Q45" s="9"/>
      <c r="R45" s="9"/>
      <c r="S45" s="9"/>
      <c r="T45" s="9"/>
      <c r="U45" s="9"/>
      <c r="V45" s="42"/>
      <c r="W45" s="9"/>
      <c r="X45" s="9"/>
      <c r="Y45" s="39"/>
      <c r="Z45" s="9"/>
      <c r="AA45" s="38"/>
      <c r="AB45" s="9"/>
      <c r="AC45" s="9"/>
      <c r="AD45" s="9"/>
      <c r="AE45" s="9"/>
      <c r="AF45" s="9"/>
      <c r="AG45" s="9"/>
      <c r="AH45" s="38"/>
      <c r="AI45" s="9"/>
      <c r="AJ45" s="39"/>
      <c r="AK45" s="9"/>
      <c r="AL45" s="9"/>
      <c r="AM45" s="9"/>
      <c r="AN45" s="9"/>
      <c r="AO45" s="9"/>
      <c r="AP45" s="9"/>
      <c r="AQ45" s="9"/>
      <c r="AR45" s="10" t="str">
        <f aca="false">IF(A45="","",SG_Criteria!$B$6&amp;SG_Criteria!$B$10&amp;"\"&amp;A45&amp;"\")</f>
        <v/>
      </c>
      <c r="AS45" s="10" t="str">
        <f aca="false">IF(A45="","",A45&amp;"_CAD.dwg")</f>
        <v/>
      </c>
      <c r="AT45" s="10" t="str">
        <f aca="false">IF(A45="","",A45&amp;"_DWG.pdf")</f>
        <v/>
      </c>
      <c r="AU45" s="10" t="str">
        <f aca="false">IF(A45="","",IF(AQ45="Y",A45&amp;"_STAAD.std","n/a"))</f>
        <v/>
      </c>
      <c r="AV45" s="10" t="str">
        <f aca="false">IF(A45="","",A45&amp;"_CALC.xlsx")</f>
        <v/>
      </c>
      <c r="AW45" s="10" t="str">
        <f aca="false">IF(A45="","",A45&amp;"_CALC.pdf")</f>
        <v/>
      </c>
      <c r="AX45" s="9"/>
      <c r="AY45" s="9"/>
      <c r="AZ45" s="39"/>
      <c r="BA45" s="39"/>
      <c r="BB45" s="39"/>
      <c r="BC45" s="39"/>
      <c r="BD45" s="39"/>
      <c r="BE45" s="12" t="str">
        <f aca="false">IF(A45="","",IF(COUNTIF(Rebar_Schedule!$A$5:$A$2004,A45)=0,"",ROUND(SUMIF(Rebar_Schedule!$A$5:$A$2004,A45,Rebar_Schedule!$K$5:$K$2004),1)))</f>
        <v/>
      </c>
      <c r="BF45" s="33" t="str">
        <f aca="false">IF(A45="","",IF(BE45="","No rebar schedule yet",IF(ABS(BE45-N(BA45))/MAX(N(BA45),1)&gt;SG_Criteria!$B$55,"NOTE: register rebar differs from schedule by "&amp;TEXT(ABS(BE45-N(BA45))/MAX(N(BA45),1),"0%"),"OK")))</f>
        <v/>
      </c>
      <c r="BG45" s="33" t="str">
        <f aca="false">IF(D45="","",IF(LEN(IF(AND(Z45&lt;&gt;"",IFERROR(VALUE(MID(Z45,2,2)),0)&lt;SG_Criteria!$B$19),"FAIL: grade below C"&amp;SG_Criteria!$B$19&amp;". ","")&amp;IF(AND(AA45&lt;&gt;"",AA45&lt;SG_Criteria!$B$20),"FAIL: cover &lt; "&amp;SG_Criteria!$B$20&amp;" mm. ","")&amp;IF(AND(I45&lt;&gt;"",I45&lt;SG_Criteria!$B$39),"NOTE: min depth below PUB "&amp;SG_Criteria!$B$39&amp;" m. ","")&amp;IF(AND(LEFT(D45,8)="Standard",J45&gt;SG_Criteria!$B$42),"FAIL: PUB 001C covers manholes up to "&amp;SG_Criteria!$B$42&amp;" m deep only. ","")&amp;IF(AND(LEFT(D45,11)="Rectangular",K45&lt;SG_Criteria!$B$43),"NOTE: 004C is for sewers &gt;= "&amp;SG_Criteria!$B$43&amp;" dia. ","")&amp;IF(AND(LEFT(D45,7)="Precast",J45&lt;=SG_Criteria!$B$42),"NOTE: 006C is for manholes &gt; "&amp;SG_Criteria!$B$42&amp;" m deep. ","")&amp;IF(AND(K45&lt;&gt;"",K45&lt;SG_Criteria!$B$40,D45&lt;&gt;"Inspection Chamber"),"NOTE: public sewer min dia "&amp;SG_Criteria!$B$40&amp;" mm. ","")&amp;IF(AND(Y45&lt;&gt;"",Y45&lt;SG_Criteria!$B$44),"FAIL: uplift FOS below "&amp;SG_Criteria!$B$44&amp;". ",""))=0,"OK",IF(AND(Z45&lt;&gt;"",IFERROR(VALUE(MID(Z45,2,2)),0)&lt;SG_Criteria!$B$19),"FAIL: grade below C"&amp;SG_Criteria!$B$19&amp;". ","")&amp;IF(AND(AA45&lt;&gt;"",AA45&lt;SG_Criteria!$B$20),"FAIL: cover &lt; "&amp;SG_Criteria!$B$20&amp;" mm. ","")&amp;IF(AND(I45&lt;&gt;"",I45&lt;SG_Criteria!$B$39),"NOTE: min depth below PUB "&amp;SG_Criteria!$B$39&amp;" m. ","")&amp;IF(AND(LEFT(D45,8)="Standard",J45&gt;SG_Criteria!$B$42),"FAIL: PUB 001C covers manholes up to "&amp;SG_Criteria!$B$42&amp;" m deep only. ","")&amp;IF(AND(LEFT(D45,11)="Rectangular",K45&lt;SG_Criteria!$B$43),"NOTE: 004C is for sewers &gt;= "&amp;SG_Criteria!$B$43&amp;" dia. ","")&amp;IF(AND(LEFT(D45,7)="Precast",J45&lt;=SG_Criteria!$B$42),"NOTE: 006C is for manholes &gt; "&amp;SG_Criteria!$B$42&amp;" m deep. ","")&amp;IF(AND(K45&lt;&gt;"",K45&lt;SG_Criteria!$B$40,D45&lt;&gt;"Inspection Chamber"),"NOTE: public sewer min dia "&amp;SG_Criteria!$B$40&amp;" mm. ","")&amp;IF(AND(Y45&lt;&gt;"",Y45&lt;SG_Criteria!$B$44),"FAIL: uplift FOS below "&amp;SG_Criteria!$B$44&amp;". ","")))</f>
        <v/>
      </c>
      <c r="BH45" s="9"/>
      <c r="BI45" s="9"/>
      <c r="BJ45" s="9"/>
      <c r="BK45" s="10" t="str">
        <f aca="false">IF(BJ45="","",IFERROR(VLOOKUP(BJ45,Projects!$A$5:$D$504,2,0),"Ref not in Projects"))</f>
        <v/>
      </c>
      <c r="BL45" s="10" t="str">
        <f aca="false">IF(BJ45="","",IFERROR(VLOOKUP(BJ45,Projects!$A$5:$D$504,4,0),"Ref not in Projects"))</f>
        <v/>
      </c>
      <c r="BM45" s="9"/>
      <c r="BN45" s="9"/>
      <c r="BO45" s="9"/>
      <c r="BP45" s="40"/>
      <c r="BQ45" s="9"/>
      <c r="BR45" s="40"/>
      <c r="BS45" s="9"/>
      <c r="BT45" s="40"/>
      <c r="BU45" s="9"/>
      <c r="BV45" s="9"/>
      <c r="BW45" s="9"/>
      <c r="BX45" s="40"/>
      <c r="BY45" s="40"/>
      <c r="BZ45" s="36" t="str">
        <f aca="false">IF(BY45="","",EDATE(BY45,SG_Criteria!$B$54*12))</f>
        <v/>
      </c>
      <c r="CA45" s="33" t="str">
        <f aca="true">IF(A45="","",IF(BY45="","NOTE: not reviewed yet",IF(TODAY()&gt;BZ45,"NOTE: review overdue","OK")))</f>
        <v/>
      </c>
      <c r="CB45" s="37" t="str">
        <f aca="false">IF(A45="","",ROUND((IF(LEN(D45)&gt;0,1,0)+IF(LEN(E45)&gt;0,1,0)+IF(LEN(F45)&gt;0,1,0)+IF(LEN(G45)&gt;0,1,0)+IF(LEN(I45)&gt;0,1,0)+IF(LEN(J45)&gt;0,1,0)+IF(LEN(K45)&gt;0,1,0)+IF(LEN(L45)&gt;0,1,0)+IF(LEN(M45)&gt;0,1,0)+IF(LEN(N45)&gt;0,1,0)+IF(LEN(Z45)&gt;0,1,0)+IF(LEN(AA45)&gt;0,1,0)+IF(LEN(Y45)&gt;0,1,0)+IF(LEN(AE45)&gt;0,1,0)+IF(LEN(AG45)&gt;0,1,0)+IF(LEN(AZ45)&gt;0,1,0)+IF(LEN(AK45)&gt;0,1,0)+IF(LEN(AM45)&gt;0,1,0)+IF(LEN(AN45)&gt;0,1,0)+IF(LEN(AO45)&gt;0,1,0)+IF(LEN(AP45)&gt;0,1,0)+IF(LEN(AY45)&gt;0,1,0)+IF(LEN(BJ45)&gt;0,1,0)+IF(LEN(BW45)&gt;0,1,0))/24,2))</f>
        <v/>
      </c>
      <c r="CC45" s="10" t="str">
        <f aca="false">IF(D45="","",IF(AND(AN45="Approved",ISERROR(SEARCH("FAIL",BG45))),"Y","N"))</f>
        <v/>
      </c>
      <c r="CD45" s="10" t="str">
        <f aca="false">IF(D45="","",D45&amp;"|"&amp;J45&amp;"|"&amp;G45&amp;"|"&amp;CC45)</f>
        <v/>
      </c>
    </row>
    <row r="46" customFormat="false" ht="15" hidden="false" customHeight="false" outlineLevel="0" collapsed="false">
      <c r="A46" s="10" t="str">
        <f aca="false">IF(D46="","","MH-"&amp;IFERROR(VLOOKUP(D46,Lists!$AB$4:$AC$20,2,0),"??")&amp;"-"&amp;TEXT(G46,"0000")&amp;IF(F46="Circular","D","x"&amp;TEXT(H46,"0000"))&amp;"-D"&amp;TEXT(J46*1000,"0000")&amp;"-"&amp;IFERROR(VLOOKUP(E46,Lists!$AE$4:$AF$16,2,0),"??")&amp;"-"&amp;AM46)</f>
        <v/>
      </c>
      <c r="B46" s="10" t="str">
        <f aca="false">IF(D46="","",D46&amp;", "&amp;E46&amp;", "&amp;IF(F46="Circular",G46&amp;" dia",G46&amp;" x "&amp;H46)&amp;", depth "&amp;TEXT(I46,"0.0")&amp;"-"&amp;TEXT(J46,"0.0")&amp;" m, pipe up to "&amp;K46&amp;" dia")</f>
        <v/>
      </c>
      <c r="C46" s="9"/>
      <c r="D46" s="9"/>
      <c r="E46" s="9"/>
      <c r="F46" s="9"/>
      <c r="G46" s="38"/>
      <c r="H46" s="38"/>
      <c r="I46" s="42"/>
      <c r="J46" s="42"/>
      <c r="K46" s="38"/>
      <c r="L46" s="38"/>
      <c r="M46" s="38"/>
      <c r="N46" s="38"/>
      <c r="O46" s="9"/>
      <c r="P46" s="9"/>
      <c r="Q46" s="9"/>
      <c r="R46" s="9"/>
      <c r="S46" s="9"/>
      <c r="T46" s="9"/>
      <c r="U46" s="9"/>
      <c r="V46" s="42"/>
      <c r="W46" s="9"/>
      <c r="X46" s="9"/>
      <c r="Y46" s="39"/>
      <c r="Z46" s="9"/>
      <c r="AA46" s="38"/>
      <c r="AB46" s="9"/>
      <c r="AC46" s="9"/>
      <c r="AD46" s="9"/>
      <c r="AE46" s="9"/>
      <c r="AF46" s="9"/>
      <c r="AG46" s="9"/>
      <c r="AH46" s="38"/>
      <c r="AI46" s="9"/>
      <c r="AJ46" s="39"/>
      <c r="AK46" s="9"/>
      <c r="AL46" s="9"/>
      <c r="AM46" s="9"/>
      <c r="AN46" s="9"/>
      <c r="AO46" s="9"/>
      <c r="AP46" s="9"/>
      <c r="AQ46" s="9"/>
      <c r="AR46" s="10" t="str">
        <f aca="false">IF(A46="","",SG_Criteria!$B$6&amp;SG_Criteria!$B$10&amp;"\"&amp;A46&amp;"\")</f>
        <v/>
      </c>
      <c r="AS46" s="10" t="str">
        <f aca="false">IF(A46="","",A46&amp;"_CAD.dwg")</f>
        <v/>
      </c>
      <c r="AT46" s="10" t="str">
        <f aca="false">IF(A46="","",A46&amp;"_DWG.pdf")</f>
        <v/>
      </c>
      <c r="AU46" s="10" t="str">
        <f aca="false">IF(A46="","",IF(AQ46="Y",A46&amp;"_STAAD.std","n/a"))</f>
        <v/>
      </c>
      <c r="AV46" s="10" t="str">
        <f aca="false">IF(A46="","",A46&amp;"_CALC.xlsx")</f>
        <v/>
      </c>
      <c r="AW46" s="10" t="str">
        <f aca="false">IF(A46="","",A46&amp;"_CALC.pdf")</f>
        <v/>
      </c>
      <c r="AX46" s="9"/>
      <c r="AY46" s="9"/>
      <c r="AZ46" s="39"/>
      <c r="BA46" s="39"/>
      <c r="BB46" s="39"/>
      <c r="BC46" s="39"/>
      <c r="BD46" s="39"/>
      <c r="BE46" s="12" t="str">
        <f aca="false">IF(A46="","",IF(COUNTIF(Rebar_Schedule!$A$5:$A$2004,A46)=0,"",ROUND(SUMIF(Rebar_Schedule!$A$5:$A$2004,A46,Rebar_Schedule!$K$5:$K$2004),1)))</f>
        <v/>
      </c>
      <c r="BF46" s="33" t="str">
        <f aca="false">IF(A46="","",IF(BE46="","No rebar schedule yet",IF(ABS(BE46-N(BA46))/MAX(N(BA46),1)&gt;SG_Criteria!$B$55,"NOTE: register rebar differs from schedule by "&amp;TEXT(ABS(BE46-N(BA46))/MAX(N(BA46),1),"0%"),"OK")))</f>
        <v/>
      </c>
      <c r="BG46" s="33" t="str">
        <f aca="false">IF(D46="","",IF(LEN(IF(AND(Z46&lt;&gt;"",IFERROR(VALUE(MID(Z46,2,2)),0)&lt;SG_Criteria!$B$19),"FAIL: grade below C"&amp;SG_Criteria!$B$19&amp;". ","")&amp;IF(AND(AA46&lt;&gt;"",AA46&lt;SG_Criteria!$B$20),"FAIL: cover &lt; "&amp;SG_Criteria!$B$20&amp;" mm. ","")&amp;IF(AND(I46&lt;&gt;"",I46&lt;SG_Criteria!$B$39),"NOTE: min depth below PUB "&amp;SG_Criteria!$B$39&amp;" m. ","")&amp;IF(AND(LEFT(D46,8)="Standard",J46&gt;SG_Criteria!$B$42),"FAIL: PUB 001C covers manholes up to "&amp;SG_Criteria!$B$42&amp;" m deep only. ","")&amp;IF(AND(LEFT(D46,11)="Rectangular",K46&lt;SG_Criteria!$B$43),"NOTE: 004C is for sewers &gt;= "&amp;SG_Criteria!$B$43&amp;" dia. ","")&amp;IF(AND(LEFT(D46,7)="Precast",J46&lt;=SG_Criteria!$B$42),"NOTE: 006C is for manholes &gt; "&amp;SG_Criteria!$B$42&amp;" m deep. ","")&amp;IF(AND(K46&lt;&gt;"",K46&lt;SG_Criteria!$B$40,D46&lt;&gt;"Inspection Chamber"),"NOTE: public sewer min dia "&amp;SG_Criteria!$B$40&amp;" mm. ","")&amp;IF(AND(Y46&lt;&gt;"",Y46&lt;SG_Criteria!$B$44),"FAIL: uplift FOS below "&amp;SG_Criteria!$B$44&amp;". ",""))=0,"OK",IF(AND(Z46&lt;&gt;"",IFERROR(VALUE(MID(Z46,2,2)),0)&lt;SG_Criteria!$B$19),"FAIL: grade below C"&amp;SG_Criteria!$B$19&amp;". ","")&amp;IF(AND(AA46&lt;&gt;"",AA46&lt;SG_Criteria!$B$20),"FAIL: cover &lt; "&amp;SG_Criteria!$B$20&amp;" mm. ","")&amp;IF(AND(I46&lt;&gt;"",I46&lt;SG_Criteria!$B$39),"NOTE: min depth below PUB "&amp;SG_Criteria!$B$39&amp;" m. ","")&amp;IF(AND(LEFT(D46,8)="Standard",J46&gt;SG_Criteria!$B$42),"FAIL: PUB 001C covers manholes up to "&amp;SG_Criteria!$B$42&amp;" m deep only. ","")&amp;IF(AND(LEFT(D46,11)="Rectangular",K46&lt;SG_Criteria!$B$43),"NOTE: 004C is for sewers &gt;= "&amp;SG_Criteria!$B$43&amp;" dia. ","")&amp;IF(AND(LEFT(D46,7)="Precast",J46&lt;=SG_Criteria!$B$42),"NOTE: 006C is for manholes &gt; "&amp;SG_Criteria!$B$42&amp;" m deep. ","")&amp;IF(AND(K46&lt;&gt;"",K46&lt;SG_Criteria!$B$40,D46&lt;&gt;"Inspection Chamber"),"NOTE: public sewer min dia "&amp;SG_Criteria!$B$40&amp;" mm. ","")&amp;IF(AND(Y46&lt;&gt;"",Y46&lt;SG_Criteria!$B$44),"FAIL: uplift FOS below "&amp;SG_Criteria!$B$44&amp;". ","")))</f>
        <v/>
      </c>
      <c r="BH46" s="9"/>
      <c r="BI46" s="9"/>
      <c r="BJ46" s="9"/>
      <c r="BK46" s="10" t="str">
        <f aca="false">IF(BJ46="","",IFERROR(VLOOKUP(BJ46,Projects!$A$5:$D$504,2,0),"Ref not in Projects"))</f>
        <v/>
      </c>
      <c r="BL46" s="10" t="str">
        <f aca="false">IF(BJ46="","",IFERROR(VLOOKUP(BJ46,Projects!$A$5:$D$504,4,0),"Ref not in Projects"))</f>
        <v/>
      </c>
      <c r="BM46" s="9"/>
      <c r="BN46" s="9"/>
      <c r="BO46" s="9"/>
      <c r="BP46" s="40"/>
      <c r="BQ46" s="9"/>
      <c r="BR46" s="40"/>
      <c r="BS46" s="9"/>
      <c r="BT46" s="40"/>
      <c r="BU46" s="9"/>
      <c r="BV46" s="9"/>
      <c r="BW46" s="9"/>
      <c r="BX46" s="40"/>
      <c r="BY46" s="40"/>
      <c r="BZ46" s="36" t="str">
        <f aca="false">IF(BY46="","",EDATE(BY46,SG_Criteria!$B$54*12))</f>
        <v/>
      </c>
      <c r="CA46" s="33" t="str">
        <f aca="true">IF(A46="","",IF(BY46="","NOTE: not reviewed yet",IF(TODAY()&gt;BZ46,"NOTE: review overdue","OK")))</f>
        <v/>
      </c>
      <c r="CB46" s="37" t="str">
        <f aca="false">IF(A46="","",ROUND((IF(LEN(D46)&gt;0,1,0)+IF(LEN(E46)&gt;0,1,0)+IF(LEN(F46)&gt;0,1,0)+IF(LEN(G46)&gt;0,1,0)+IF(LEN(I46)&gt;0,1,0)+IF(LEN(J46)&gt;0,1,0)+IF(LEN(K46)&gt;0,1,0)+IF(LEN(L46)&gt;0,1,0)+IF(LEN(M46)&gt;0,1,0)+IF(LEN(N46)&gt;0,1,0)+IF(LEN(Z46)&gt;0,1,0)+IF(LEN(AA46)&gt;0,1,0)+IF(LEN(Y46)&gt;0,1,0)+IF(LEN(AE46)&gt;0,1,0)+IF(LEN(AG46)&gt;0,1,0)+IF(LEN(AZ46)&gt;0,1,0)+IF(LEN(AK46)&gt;0,1,0)+IF(LEN(AM46)&gt;0,1,0)+IF(LEN(AN46)&gt;0,1,0)+IF(LEN(AO46)&gt;0,1,0)+IF(LEN(AP46)&gt;0,1,0)+IF(LEN(AY46)&gt;0,1,0)+IF(LEN(BJ46)&gt;0,1,0)+IF(LEN(BW46)&gt;0,1,0))/24,2))</f>
        <v/>
      </c>
      <c r="CC46" s="10" t="str">
        <f aca="false">IF(D46="","",IF(AND(AN46="Approved",ISERROR(SEARCH("FAIL",BG46))),"Y","N"))</f>
        <v/>
      </c>
      <c r="CD46" s="10" t="str">
        <f aca="false">IF(D46="","",D46&amp;"|"&amp;J46&amp;"|"&amp;G46&amp;"|"&amp;CC46)</f>
        <v/>
      </c>
    </row>
    <row r="47" customFormat="false" ht="15" hidden="false" customHeight="false" outlineLevel="0" collapsed="false">
      <c r="A47" s="10" t="str">
        <f aca="false">IF(D47="","","MH-"&amp;IFERROR(VLOOKUP(D47,Lists!$AB$4:$AC$20,2,0),"??")&amp;"-"&amp;TEXT(G47,"0000")&amp;IF(F47="Circular","D","x"&amp;TEXT(H47,"0000"))&amp;"-D"&amp;TEXT(J47*1000,"0000")&amp;"-"&amp;IFERROR(VLOOKUP(E47,Lists!$AE$4:$AF$16,2,0),"??")&amp;"-"&amp;AM47)</f>
        <v/>
      </c>
      <c r="B47" s="10" t="str">
        <f aca="false">IF(D47="","",D47&amp;", "&amp;E47&amp;", "&amp;IF(F47="Circular",G47&amp;" dia",G47&amp;" x "&amp;H47)&amp;", depth "&amp;TEXT(I47,"0.0")&amp;"-"&amp;TEXT(J47,"0.0")&amp;" m, pipe up to "&amp;K47&amp;" dia")</f>
        <v/>
      </c>
      <c r="C47" s="9"/>
      <c r="D47" s="9"/>
      <c r="E47" s="9"/>
      <c r="F47" s="9"/>
      <c r="G47" s="38"/>
      <c r="H47" s="38"/>
      <c r="I47" s="42"/>
      <c r="J47" s="42"/>
      <c r="K47" s="38"/>
      <c r="L47" s="38"/>
      <c r="M47" s="38"/>
      <c r="N47" s="38"/>
      <c r="O47" s="9"/>
      <c r="P47" s="9"/>
      <c r="Q47" s="9"/>
      <c r="R47" s="9"/>
      <c r="S47" s="9"/>
      <c r="T47" s="9"/>
      <c r="U47" s="9"/>
      <c r="V47" s="42"/>
      <c r="W47" s="9"/>
      <c r="X47" s="9"/>
      <c r="Y47" s="39"/>
      <c r="Z47" s="9"/>
      <c r="AA47" s="38"/>
      <c r="AB47" s="9"/>
      <c r="AC47" s="9"/>
      <c r="AD47" s="9"/>
      <c r="AE47" s="9"/>
      <c r="AF47" s="9"/>
      <c r="AG47" s="9"/>
      <c r="AH47" s="38"/>
      <c r="AI47" s="9"/>
      <c r="AJ47" s="39"/>
      <c r="AK47" s="9"/>
      <c r="AL47" s="9"/>
      <c r="AM47" s="9"/>
      <c r="AN47" s="9"/>
      <c r="AO47" s="9"/>
      <c r="AP47" s="9"/>
      <c r="AQ47" s="9"/>
      <c r="AR47" s="10" t="str">
        <f aca="false">IF(A47="","",SG_Criteria!$B$6&amp;SG_Criteria!$B$10&amp;"\"&amp;A47&amp;"\")</f>
        <v/>
      </c>
      <c r="AS47" s="10" t="str">
        <f aca="false">IF(A47="","",A47&amp;"_CAD.dwg")</f>
        <v/>
      </c>
      <c r="AT47" s="10" t="str">
        <f aca="false">IF(A47="","",A47&amp;"_DWG.pdf")</f>
        <v/>
      </c>
      <c r="AU47" s="10" t="str">
        <f aca="false">IF(A47="","",IF(AQ47="Y",A47&amp;"_STAAD.std","n/a"))</f>
        <v/>
      </c>
      <c r="AV47" s="10" t="str">
        <f aca="false">IF(A47="","",A47&amp;"_CALC.xlsx")</f>
        <v/>
      </c>
      <c r="AW47" s="10" t="str">
        <f aca="false">IF(A47="","",A47&amp;"_CALC.pdf")</f>
        <v/>
      </c>
      <c r="AX47" s="9"/>
      <c r="AY47" s="9"/>
      <c r="AZ47" s="39"/>
      <c r="BA47" s="39"/>
      <c r="BB47" s="39"/>
      <c r="BC47" s="39"/>
      <c r="BD47" s="39"/>
      <c r="BE47" s="12" t="str">
        <f aca="false">IF(A47="","",IF(COUNTIF(Rebar_Schedule!$A$5:$A$2004,A47)=0,"",ROUND(SUMIF(Rebar_Schedule!$A$5:$A$2004,A47,Rebar_Schedule!$K$5:$K$2004),1)))</f>
        <v/>
      </c>
      <c r="BF47" s="33" t="str">
        <f aca="false">IF(A47="","",IF(BE47="","No rebar schedule yet",IF(ABS(BE47-N(BA47))/MAX(N(BA47),1)&gt;SG_Criteria!$B$55,"NOTE: register rebar differs from schedule by "&amp;TEXT(ABS(BE47-N(BA47))/MAX(N(BA47),1),"0%"),"OK")))</f>
        <v/>
      </c>
      <c r="BG47" s="33" t="str">
        <f aca="false">IF(D47="","",IF(LEN(IF(AND(Z47&lt;&gt;"",IFERROR(VALUE(MID(Z47,2,2)),0)&lt;SG_Criteria!$B$19),"FAIL: grade below C"&amp;SG_Criteria!$B$19&amp;". ","")&amp;IF(AND(AA47&lt;&gt;"",AA47&lt;SG_Criteria!$B$20),"FAIL: cover &lt; "&amp;SG_Criteria!$B$20&amp;" mm. ","")&amp;IF(AND(I47&lt;&gt;"",I47&lt;SG_Criteria!$B$39),"NOTE: min depth below PUB "&amp;SG_Criteria!$B$39&amp;" m. ","")&amp;IF(AND(LEFT(D47,8)="Standard",J47&gt;SG_Criteria!$B$42),"FAIL: PUB 001C covers manholes up to "&amp;SG_Criteria!$B$42&amp;" m deep only. ","")&amp;IF(AND(LEFT(D47,11)="Rectangular",K47&lt;SG_Criteria!$B$43),"NOTE: 004C is for sewers &gt;= "&amp;SG_Criteria!$B$43&amp;" dia. ","")&amp;IF(AND(LEFT(D47,7)="Precast",J47&lt;=SG_Criteria!$B$42),"NOTE: 006C is for manholes &gt; "&amp;SG_Criteria!$B$42&amp;" m deep. ","")&amp;IF(AND(K47&lt;&gt;"",K47&lt;SG_Criteria!$B$40,D47&lt;&gt;"Inspection Chamber"),"NOTE: public sewer min dia "&amp;SG_Criteria!$B$40&amp;" mm. ","")&amp;IF(AND(Y47&lt;&gt;"",Y47&lt;SG_Criteria!$B$44),"FAIL: uplift FOS below "&amp;SG_Criteria!$B$44&amp;". ",""))=0,"OK",IF(AND(Z47&lt;&gt;"",IFERROR(VALUE(MID(Z47,2,2)),0)&lt;SG_Criteria!$B$19),"FAIL: grade below C"&amp;SG_Criteria!$B$19&amp;". ","")&amp;IF(AND(AA47&lt;&gt;"",AA47&lt;SG_Criteria!$B$20),"FAIL: cover &lt; "&amp;SG_Criteria!$B$20&amp;" mm. ","")&amp;IF(AND(I47&lt;&gt;"",I47&lt;SG_Criteria!$B$39),"NOTE: min depth below PUB "&amp;SG_Criteria!$B$39&amp;" m. ","")&amp;IF(AND(LEFT(D47,8)="Standard",J47&gt;SG_Criteria!$B$42),"FAIL: PUB 001C covers manholes up to "&amp;SG_Criteria!$B$42&amp;" m deep only. ","")&amp;IF(AND(LEFT(D47,11)="Rectangular",K47&lt;SG_Criteria!$B$43),"NOTE: 004C is for sewers &gt;= "&amp;SG_Criteria!$B$43&amp;" dia. ","")&amp;IF(AND(LEFT(D47,7)="Precast",J47&lt;=SG_Criteria!$B$42),"NOTE: 006C is for manholes &gt; "&amp;SG_Criteria!$B$42&amp;" m deep. ","")&amp;IF(AND(K47&lt;&gt;"",K47&lt;SG_Criteria!$B$40,D47&lt;&gt;"Inspection Chamber"),"NOTE: public sewer min dia "&amp;SG_Criteria!$B$40&amp;" mm. ","")&amp;IF(AND(Y47&lt;&gt;"",Y47&lt;SG_Criteria!$B$44),"FAIL: uplift FOS below "&amp;SG_Criteria!$B$44&amp;". ","")))</f>
        <v/>
      </c>
      <c r="BH47" s="9"/>
      <c r="BI47" s="9"/>
      <c r="BJ47" s="9"/>
      <c r="BK47" s="10" t="str">
        <f aca="false">IF(BJ47="","",IFERROR(VLOOKUP(BJ47,Projects!$A$5:$D$504,2,0),"Ref not in Projects"))</f>
        <v/>
      </c>
      <c r="BL47" s="10" t="str">
        <f aca="false">IF(BJ47="","",IFERROR(VLOOKUP(BJ47,Projects!$A$5:$D$504,4,0),"Ref not in Projects"))</f>
        <v/>
      </c>
      <c r="BM47" s="9"/>
      <c r="BN47" s="9"/>
      <c r="BO47" s="9"/>
      <c r="BP47" s="40"/>
      <c r="BQ47" s="9"/>
      <c r="BR47" s="40"/>
      <c r="BS47" s="9"/>
      <c r="BT47" s="40"/>
      <c r="BU47" s="9"/>
      <c r="BV47" s="9"/>
      <c r="BW47" s="9"/>
      <c r="BX47" s="40"/>
      <c r="BY47" s="40"/>
      <c r="BZ47" s="36" t="str">
        <f aca="false">IF(BY47="","",EDATE(BY47,SG_Criteria!$B$54*12))</f>
        <v/>
      </c>
      <c r="CA47" s="33" t="str">
        <f aca="true">IF(A47="","",IF(BY47="","NOTE: not reviewed yet",IF(TODAY()&gt;BZ47,"NOTE: review overdue","OK")))</f>
        <v/>
      </c>
      <c r="CB47" s="37" t="str">
        <f aca="false">IF(A47="","",ROUND((IF(LEN(D47)&gt;0,1,0)+IF(LEN(E47)&gt;0,1,0)+IF(LEN(F47)&gt;0,1,0)+IF(LEN(G47)&gt;0,1,0)+IF(LEN(I47)&gt;0,1,0)+IF(LEN(J47)&gt;0,1,0)+IF(LEN(K47)&gt;0,1,0)+IF(LEN(L47)&gt;0,1,0)+IF(LEN(M47)&gt;0,1,0)+IF(LEN(N47)&gt;0,1,0)+IF(LEN(Z47)&gt;0,1,0)+IF(LEN(AA47)&gt;0,1,0)+IF(LEN(Y47)&gt;0,1,0)+IF(LEN(AE47)&gt;0,1,0)+IF(LEN(AG47)&gt;0,1,0)+IF(LEN(AZ47)&gt;0,1,0)+IF(LEN(AK47)&gt;0,1,0)+IF(LEN(AM47)&gt;0,1,0)+IF(LEN(AN47)&gt;0,1,0)+IF(LEN(AO47)&gt;0,1,0)+IF(LEN(AP47)&gt;0,1,0)+IF(LEN(AY47)&gt;0,1,0)+IF(LEN(BJ47)&gt;0,1,0)+IF(LEN(BW47)&gt;0,1,0))/24,2))</f>
        <v/>
      </c>
      <c r="CC47" s="10" t="str">
        <f aca="false">IF(D47="","",IF(AND(AN47="Approved",ISERROR(SEARCH("FAIL",BG47))),"Y","N"))</f>
        <v/>
      </c>
      <c r="CD47" s="10" t="str">
        <f aca="false">IF(D47="","",D47&amp;"|"&amp;J47&amp;"|"&amp;G47&amp;"|"&amp;CC47)</f>
        <v/>
      </c>
    </row>
    <row r="48" customFormat="false" ht="15" hidden="false" customHeight="false" outlineLevel="0" collapsed="false">
      <c r="A48" s="10" t="str">
        <f aca="false">IF(D48="","","MH-"&amp;IFERROR(VLOOKUP(D48,Lists!$AB$4:$AC$20,2,0),"??")&amp;"-"&amp;TEXT(G48,"0000")&amp;IF(F48="Circular","D","x"&amp;TEXT(H48,"0000"))&amp;"-D"&amp;TEXT(J48*1000,"0000")&amp;"-"&amp;IFERROR(VLOOKUP(E48,Lists!$AE$4:$AF$16,2,0),"??")&amp;"-"&amp;AM48)</f>
        <v/>
      </c>
      <c r="B48" s="10" t="str">
        <f aca="false">IF(D48="","",D48&amp;", "&amp;E48&amp;", "&amp;IF(F48="Circular",G48&amp;" dia",G48&amp;" x "&amp;H48)&amp;", depth "&amp;TEXT(I48,"0.0")&amp;"-"&amp;TEXT(J48,"0.0")&amp;" m, pipe up to "&amp;K48&amp;" dia")</f>
        <v/>
      </c>
      <c r="C48" s="9"/>
      <c r="D48" s="9"/>
      <c r="E48" s="9"/>
      <c r="F48" s="9"/>
      <c r="G48" s="38"/>
      <c r="H48" s="38"/>
      <c r="I48" s="42"/>
      <c r="J48" s="42"/>
      <c r="K48" s="38"/>
      <c r="L48" s="38"/>
      <c r="M48" s="38"/>
      <c r="N48" s="38"/>
      <c r="O48" s="9"/>
      <c r="P48" s="9"/>
      <c r="Q48" s="9"/>
      <c r="R48" s="9"/>
      <c r="S48" s="9"/>
      <c r="T48" s="9"/>
      <c r="U48" s="9"/>
      <c r="V48" s="42"/>
      <c r="W48" s="9"/>
      <c r="X48" s="9"/>
      <c r="Y48" s="39"/>
      <c r="Z48" s="9"/>
      <c r="AA48" s="38"/>
      <c r="AB48" s="9"/>
      <c r="AC48" s="9"/>
      <c r="AD48" s="9"/>
      <c r="AE48" s="9"/>
      <c r="AF48" s="9"/>
      <c r="AG48" s="9"/>
      <c r="AH48" s="38"/>
      <c r="AI48" s="9"/>
      <c r="AJ48" s="39"/>
      <c r="AK48" s="9"/>
      <c r="AL48" s="9"/>
      <c r="AM48" s="9"/>
      <c r="AN48" s="9"/>
      <c r="AO48" s="9"/>
      <c r="AP48" s="9"/>
      <c r="AQ48" s="9"/>
      <c r="AR48" s="10" t="str">
        <f aca="false">IF(A48="","",SG_Criteria!$B$6&amp;SG_Criteria!$B$10&amp;"\"&amp;A48&amp;"\")</f>
        <v/>
      </c>
      <c r="AS48" s="10" t="str">
        <f aca="false">IF(A48="","",A48&amp;"_CAD.dwg")</f>
        <v/>
      </c>
      <c r="AT48" s="10" t="str">
        <f aca="false">IF(A48="","",A48&amp;"_DWG.pdf")</f>
        <v/>
      </c>
      <c r="AU48" s="10" t="str">
        <f aca="false">IF(A48="","",IF(AQ48="Y",A48&amp;"_STAAD.std","n/a"))</f>
        <v/>
      </c>
      <c r="AV48" s="10" t="str">
        <f aca="false">IF(A48="","",A48&amp;"_CALC.xlsx")</f>
        <v/>
      </c>
      <c r="AW48" s="10" t="str">
        <f aca="false">IF(A48="","",A48&amp;"_CALC.pdf")</f>
        <v/>
      </c>
      <c r="AX48" s="9"/>
      <c r="AY48" s="9"/>
      <c r="AZ48" s="39"/>
      <c r="BA48" s="39"/>
      <c r="BB48" s="39"/>
      <c r="BC48" s="39"/>
      <c r="BD48" s="39"/>
      <c r="BE48" s="12" t="str">
        <f aca="false">IF(A48="","",IF(COUNTIF(Rebar_Schedule!$A$5:$A$2004,A48)=0,"",ROUND(SUMIF(Rebar_Schedule!$A$5:$A$2004,A48,Rebar_Schedule!$K$5:$K$2004),1)))</f>
        <v/>
      </c>
      <c r="BF48" s="33" t="str">
        <f aca="false">IF(A48="","",IF(BE48="","No rebar schedule yet",IF(ABS(BE48-N(BA48))/MAX(N(BA48),1)&gt;SG_Criteria!$B$55,"NOTE: register rebar differs from schedule by "&amp;TEXT(ABS(BE48-N(BA48))/MAX(N(BA48),1),"0%"),"OK")))</f>
        <v/>
      </c>
      <c r="BG48" s="33" t="str">
        <f aca="false">IF(D48="","",IF(LEN(IF(AND(Z48&lt;&gt;"",IFERROR(VALUE(MID(Z48,2,2)),0)&lt;SG_Criteria!$B$19),"FAIL: grade below C"&amp;SG_Criteria!$B$19&amp;". ","")&amp;IF(AND(AA48&lt;&gt;"",AA48&lt;SG_Criteria!$B$20),"FAIL: cover &lt; "&amp;SG_Criteria!$B$20&amp;" mm. ","")&amp;IF(AND(I48&lt;&gt;"",I48&lt;SG_Criteria!$B$39),"NOTE: min depth below PUB "&amp;SG_Criteria!$B$39&amp;" m. ","")&amp;IF(AND(LEFT(D48,8)="Standard",J48&gt;SG_Criteria!$B$42),"FAIL: PUB 001C covers manholes up to "&amp;SG_Criteria!$B$42&amp;" m deep only. ","")&amp;IF(AND(LEFT(D48,11)="Rectangular",K48&lt;SG_Criteria!$B$43),"NOTE: 004C is for sewers &gt;= "&amp;SG_Criteria!$B$43&amp;" dia. ","")&amp;IF(AND(LEFT(D48,7)="Precast",J48&lt;=SG_Criteria!$B$42),"NOTE: 006C is for manholes &gt; "&amp;SG_Criteria!$B$42&amp;" m deep. ","")&amp;IF(AND(K48&lt;&gt;"",K48&lt;SG_Criteria!$B$40,D48&lt;&gt;"Inspection Chamber"),"NOTE: public sewer min dia "&amp;SG_Criteria!$B$40&amp;" mm. ","")&amp;IF(AND(Y48&lt;&gt;"",Y48&lt;SG_Criteria!$B$44),"FAIL: uplift FOS below "&amp;SG_Criteria!$B$44&amp;". ",""))=0,"OK",IF(AND(Z48&lt;&gt;"",IFERROR(VALUE(MID(Z48,2,2)),0)&lt;SG_Criteria!$B$19),"FAIL: grade below C"&amp;SG_Criteria!$B$19&amp;". ","")&amp;IF(AND(AA48&lt;&gt;"",AA48&lt;SG_Criteria!$B$20),"FAIL: cover &lt; "&amp;SG_Criteria!$B$20&amp;" mm. ","")&amp;IF(AND(I48&lt;&gt;"",I48&lt;SG_Criteria!$B$39),"NOTE: min depth below PUB "&amp;SG_Criteria!$B$39&amp;" m. ","")&amp;IF(AND(LEFT(D48,8)="Standard",J48&gt;SG_Criteria!$B$42),"FAIL: PUB 001C covers manholes up to "&amp;SG_Criteria!$B$42&amp;" m deep only. ","")&amp;IF(AND(LEFT(D48,11)="Rectangular",K48&lt;SG_Criteria!$B$43),"NOTE: 004C is for sewers &gt;= "&amp;SG_Criteria!$B$43&amp;" dia. ","")&amp;IF(AND(LEFT(D48,7)="Precast",J48&lt;=SG_Criteria!$B$42),"NOTE: 006C is for manholes &gt; "&amp;SG_Criteria!$B$42&amp;" m deep. ","")&amp;IF(AND(K48&lt;&gt;"",K48&lt;SG_Criteria!$B$40,D48&lt;&gt;"Inspection Chamber"),"NOTE: public sewer min dia "&amp;SG_Criteria!$B$40&amp;" mm. ","")&amp;IF(AND(Y48&lt;&gt;"",Y48&lt;SG_Criteria!$B$44),"FAIL: uplift FOS below "&amp;SG_Criteria!$B$44&amp;". ","")))</f>
        <v/>
      </c>
      <c r="BH48" s="9"/>
      <c r="BI48" s="9"/>
      <c r="BJ48" s="9"/>
      <c r="BK48" s="10" t="str">
        <f aca="false">IF(BJ48="","",IFERROR(VLOOKUP(BJ48,Projects!$A$5:$D$504,2,0),"Ref not in Projects"))</f>
        <v/>
      </c>
      <c r="BL48" s="10" t="str">
        <f aca="false">IF(BJ48="","",IFERROR(VLOOKUP(BJ48,Projects!$A$5:$D$504,4,0),"Ref not in Projects"))</f>
        <v/>
      </c>
      <c r="BM48" s="9"/>
      <c r="BN48" s="9"/>
      <c r="BO48" s="9"/>
      <c r="BP48" s="40"/>
      <c r="BQ48" s="9"/>
      <c r="BR48" s="40"/>
      <c r="BS48" s="9"/>
      <c r="BT48" s="40"/>
      <c r="BU48" s="9"/>
      <c r="BV48" s="9"/>
      <c r="BW48" s="9"/>
      <c r="BX48" s="40"/>
      <c r="BY48" s="40"/>
      <c r="BZ48" s="36" t="str">
        <f aca="false">IF(BY48="","",EDATE(BY48,SG_Criteria!$B$54*12))</f>
        <v/>
      </c>
      <c r="CA48" s="33" t="str">
        <f aca="true">IF(A48="","",IF(BY48="","NOTE: not reviewed yet",IF(TODAY()&gt;BZ48,"NOTE: review overdue","OK")))</f>
        <v/>
      </c>
      <c r="CB48" s="37" t="str">
        <f aca="false">IF(A48="","",ROUND((IF(LEN(D48)&gt;0,1,0)+IF(LEN(E48)&gt;0,1,0)+IF(LEN(F48)&gt;0,1,0)+IF(LEN(G48)&gt;0,1,0)+IF(LEN(I48)&gt;0,1,0)+IF(LEN(J48)&gt;0,1,0)+IF(LEN(K48)&gt;0,1,0)+IF(LEN(L48)&gt;0,1,0)+IF(LEN(M48)&gt;0,1,0)+IF(LEN(N48)&gt;0,1,0)+IF(LEN(Z48)&gt;0,1,0)+IF(LEN(AA48)&gt;0,1,0)+IF(LEN(Y48)&gt;0,1,0)+IF(LEN(AE48)&gt;0,1,0)+IF(LEN(AG48)&gt;0,1,0)+IF(LEN(AZ48)&gt;0,1,0)+IF(LEN(AK48)&gt;0,1,0)+IF(LEN(AM48)&gt;0,1,0)+IF(LEN(AN48)&gt;0,1,0)+IF(LEN(AO48)&gt;0,1,0)+IF(LEN(AP48)&gt;0,1,0)+IF(LEN(AY48)&gt;0,1,0)+IF(LEN(BJ48)&gt;0,1,0)+IF(LEN(BW48)&gt;0,1,0))/24,2))</f>
        <v/>
      </c>
      <c r="CC48" s="10" t="str">
        <f aca="false">IF(D48="","",IF(AND(AN48="Approved",ISERROR(SEARCH("FAIL",BG48))),"Y","N"))</f>
        <v/>
      </c>
      <c r="CD48" s="10" t="str">
        <f aca="false">IF(D48="","",D48&amp;"|"&amp;J48&amp;"|"&amp;G48&amp;"|"&amp;CC48)</f>
        <v/>
      </c>
    </row>
    <row r="49" customFormat="false" ht="15" hidden="false" customHeight="false" outlineLevel="0" collapsed="false">
      <c r="A49" s="10" t="str">
        <f aca="false">IF(D49="","","MH-"&amp;IFERROR(VLOOKUP(D49,Lists!$AB$4:$AC$20,2,0),"??")&amp;"-"&amp;TEXT(G49,"0000")&amp;IF(F49="Circular","D","x"&amp;TEXT(H49,"0000"))&amp;"-D"&amp;TEXT(J49*1000,"0000")&amp;"-"&amp;IFERROR(VLOOKUP(E49,Lists!$AE$4:$AF$16,2,0),"??")&amp;"-"&amp;AM49)</f>
        <v/>
      </c>
      <c r="B49" s="10" t="str">
        <f aca="false">IF(D49="","",D49&amp;", "&amp;E49&amp;", "&amp;IF(F49="Circular",G49&amp;" dia",G49&amp;" x "&amp;H49)&amp;", depth "&amp;TEXT(I49,"0.0")&amp;"-"&amp;TEXT(J49,"0.0")&amp;" m, pipe up to "&amp;K49&amp;" dia")</f>
        <v/>
      </c>
      <c r="C49" s="9"/>
      <c r="D49" s="9"/>
      <c r="E49" s="9"/>
      <c r="F49" s="9"/>
      <c r="G49" s="38"/>
      <c r="H49" s="38"/>
      <c r="I49" s="42"/>
      <c r="J49" s="42"/>
      <c r="K49" s="38"/>
      <c r="L49" s="38"/>
      <c r="M49" s="38"/>
      <c r="N49" s="38"/>
      <c r="O49" s="9"/>
      <c r="P49" s="9"/>
      <c r="Q49" s="9"/>
      <c r="R49" s="9"/>
      <c r="S49" s="9"/>
      <c r="T49" s="9"/>
      <c r="U49" s="9"/>
      <c r="V49" s="42"/>
      <c r="W49" s="9"/>
      <c r="X49" s="9"/>
      <c r="Y49" s="39"/>
      <c r="Z49" s="9"/>
      <c r="AA49" s="38"/>
      <c r="AB49" s="9"/>
      <c r="AC49" s="9"/>
      <c r="AD49" s="9"/>
      <c r="AE49" s="9"/>
      <c r="AF49" s="9"/>
      <c r="AG49" s="9"/>
      <c r="AH49" s="38"/>
      <c r="AI49" s="9"/>
      <c r="AJ49" s="39"/>
      <c r="AK49" s="9"/>
      <c r="AL49" s="9"/>
      <c r="AM49" s="9"/>
      <c r="AN49" s="9"/>
      <c r="AO49" s="9"/>
      <c r="AP49" s="9"/>
      <c r="AQ49" s="9"/>
      <c r="AR49" s="10" t="str">
        <f aca="false">IF(A49="","",SG_Criteria!$B$6&amp;SG_Criteria!$B$10&amp;"\"&amp;A49&amp;"\")</f>
        <v/>
      </c>
      <c r="AS49" s="10" t="str">
        <f aca="false">IF(A49="","",A49&amp;"_CAD.dwg")</f>
        <v/>
      </c>
      <c r="AT49" s="10" t="str">
        <f aca="false">IF(A49="","",A49&amp;"_DWG.pdf")</f>
        <v/>
      </c>
      <c r="AU49" s="10" t="str">
        <f aca="false">IF(A49="","",IF(AQ49="Y",A49&amp;"_STAAD.std","n/a"))</f>
        <v/>
      </c>
      <c r="AV49" s="10" t="str">
        <f aca="false">IF(A49="","",A49&amp;"_CALC.xlsx")</f>
        <v/>
      </c>
      <c r="AW49" s="10" t="str">
        <f aca="false">IF(A49="","",A49&amp;"_CALC.pdf")</f>
        <v/>
      </c>
      <c r="AX49" s="9"/>
      <c r="AY49" s="9"/>
      <c r="AZ49" s="39"/>
      <c r="BA49" s="39"/>
      <c r="BB49" s="39"/>
      <c r="BC49" s="39"/>
      <c r="BD49" s="39"/>
      <c r="BE49" s="12" t="str">
        <f aca="false">IF(A49="","",IF(COUNTIF(Rebar_Schedule!$A$5:$A$2004,A49)=0,"",ROUND(SUMIF(Rebar_Schedule!$A$5:$A$2004,A49,Rebar_Schedule!$K$5:$K$2004),1)))</f>
        <v/>
      </c>
      <c r="BF49" s="33" t="str">
        <f aca="false">IF(A49="","",IF(BE49="","No rebar schedule yet",IF(ABS(BE49-N(BA49))/MAX(N(BA49),1)&gt;SG_Criteria!$B$55,"NOTE: register rebar differs from schedule by "&amp;TEXT(ABS(BE49-N(BA49))/MAX(N(BA49),1),"0%"),"OK")))</f>
        <v/>
      </c>
      <c r="BG49" s="33" t="str">
        <f aca="false">IF(D49="","",IF(LEN(IF(AND(Z49&lt;&gt;"",IFERROR(VALUE(MID(Z49,2,2)),0)&lt;SG_Criteria!$B$19),"FAIL: grade below C"&amp;SG_Criteria!$B$19&amp;". ","")&amp;IF(AND(AA49&lt;&gt;"",AA49&lt;SG_Criteria!$B$20),"FAIL: cover &lt; "&amp;SG_Criteria!$B$20&amp;" mm. ","")&amp;IF(AND(I49&lt;&gt;"",I49&lt;SG_Criteria!$B$39),"NOTE: min depth below PUB "&amp;SG_Criteria!$B$39&amp;" m. ","")&amp;IF(AND(LEFT(D49,8)="Standard",J49&gt;SG_Criteria!$B$42),"FAIL: PUB 001C covers manholes up to "&amp;SG_Criteria!$B$42&amp;" m deep only. ","")&amp;IF(AND(LEFT(D49,11)="Rectangular",K49&lt;SG_Criteria!$B$43),"NOTE: 004C is for sewers &gt;= "&amp;SG_Criteria!$B$43&amp;" dia. ","")&amp;IF(AND(LEFT(D49,7)="Precast",J49&lt;=SG_Criteria!$B$42),"NOTE: 006C is for manholes &gt; "&amp;SG_Criteria!$B$42&amp;" m deep. ","")&amp;IF(AND(K49&lt;&gt;"",K49&lt;SG_Criteria!$B$40,D49&lt;&gt;"Inspection Chamber"),"NOTE: public sewer min dia "&amp;SG_Criteria!$B$40&amp;" mm. ","")&amp;IF(AND(Y49&lt;&gt;"",Y49&lt;SG_Criteria!$B$44),"FAIL: uplift FOS below "&amp;SG_Criteria!$B$44&amp;". ",""))=0,"OK",IF(AND(Z49&lt;&gt;"",IFERROR(VALUE(MID(Z49,2,2)),0)&lt;SG_Criteria!$B$19),"FAIL: grade below C"&amp;SG_Criteria!$B$19&amp;". ","")&amp;IF(AND(AA49&lt;&gt;"",AA49&lt;SG_Criteria!$B$20),"FAIL: cover &lt; "&amp;SG_Criteria!$B$20&amp;" mm. ","")&amp;IF(AND(I49&lt;&gt;"",I49&lt;SG_Criteria!$B$39),"NOTE: min depth below PUB "&amp;SG_Criteria!$B$39&amp;" m. ","")&amp;IF(AND(LEFT(D49,8)="Standard",J49&gt;SG_Criteria!$B$42),"FAIL: PUB 001C covers manholes up to "&amp;SG_Criteria!$B$42&amp;" m deep only. ","")&amp;IF(AND(LEFT(D49,11)="Rectangular",K49&lt;SG_Criteria!$B$43),"NOTE: 004C is for sewers &gt;= "&amp;SG_Criteria!$B$43&amp;" dia. ","")&amp;IF(AND(LEFT(D49,7)="Precast",J49&lt;=SG_Criteria!$B$42),"NOTE: 006C is for manholes &gt; "&amp;SG_Criteria!$B$42&amp;" m deep. ","")&amp;IF(AND(K49&lt;&gt;"",K49&lt;SG_Criteria!$B$40,D49&lt;&gt;"Inspection Chamber"),"NOTE: public sewer min dia "&amp;SG_Criteria!$B$40&amp;" mm. ","")&amp;IF(AND(Y49&lt;&gt;"",Y49&lt;SG_Criteria!$B$44),"FAIL: uplift FOS below "&amp;SG_Criteria!$B$44&amp;". ","")))</f>
        <v/>
      </c>
      <c r="BH49" s="9"/>
      <c r="BI49" s="9"/>
      <c r="BJ49" s="9"/>
      <c r="BK49" s="10" t="str">
        <f aca="false">IF(BJ49="","",IFERROR(VLOOKUP(BJ49,Projects!$A$5:$D$504,2,0),"Ref not in Projects"))</f>
        <v/>
      </c>
      <c r="BL49" s="10" t="str">
        <f aca="false">IF(BJ49="","",IFERROR(VLOOKUP(BJ49,Projects!$A$5:$D$504,4,0),"Ref not in Projects"))</f>
        <v/>
      </c>
      <c r="BM49" s="9"/>
      <c r="BN49" s="9"/>
      <c r="BO49" s="9"/>
      <c r="BP49" s="40"/>
      <c r="BQ49" s="9"/>
      <c r="BR49" s="40"/>
      <c r="BS49" s="9"/>
      <c r="BT49" s="40"/>
      <c r="BU49" s="9"/>
      <c r="BV49" s="9"/>
      <c r="BW49" s="9"/>
      <c r="BX49" s="40"/>
      <c r="BY49" s="40"/>
      <c r="BZ49" s="36" t="str">
        <f aca="false">IF(BY49="","",EDATE(BY49,SG_Criteria!$B$54*12))</f>
        <v/>
      </c>
      <c r="CA49" s="33" t="str">
        <f aca="true">IF(A49="","",IF(BY49="","NOTE: not reviewed yet",IF(TODAY()&gt;BZ49,"NOTE: review overdue","OK")))</f>
        <v/>
      </c>
      <c r="CB49" s="37" t="str">
        <f aca="false">IF(A49="","",ROUND((IF(LEN(D49)&gt;0,1,0)+IF(LEN(E49)&gt;0,1,0)+IF(LEN(F49)&gt;0,1,0)+IF(LEN(G49)&gt;0,1,0)+IF(LEN(I49)&gt;0,1,0)+IF(LEN(J49)&gt;0,1,0)+IF(LEN(K49)&gt;0,1,0)+IF(LEN(L49)&gt;0,1,0)+IF(LEN(M49)&gt;0,1,0)+IF(LEN(N49)&gt;0,1,0)+IF(LEN(Z49)&gt;0,1,0)+IF(LEN(AA49)&gt;0,1,0)+IF(LEN(Y49)&gt;0,1,0)+IF(LEN(AE49)&gt;0,1,0)+IF(LEN(AG49)&gt;0,1,0)+IF(LEN(AZ49)&gt;0,1,0)+IF(LEN(AK49)&gt;0,1,0)+IF(LEN(AM49)&gt;0,1,0)+IF(LEN(AN49)&gt;0,1,0)+IF(LEN(AO49)&gt;0,1,0)+IF(LEN(AP49)&gt;0,1,0)+IF(LEN(AY49)&gt;0,1,0)+IF(LEN(BJ49)&gt;0,1,0)+IF(LEN(BW49)&gt;0,1,0))/24,2))</f>
        <v/>
      </c>
      <c r="CC49" s="10" t="str">
        <f aca="false">IF(D49="","",IF(AND(AN49="Approved",ISERROR(SEARCH("FAIL",BG49))),"Y","N"))</f>
        <v/>
      </c>
      <c r="CD49" s="10" t="str">
        <f aca="false">IF(D49="","",D49&amp;"|"&amp;J49&amp;"|"&amp;G49&amp;"|"&amp;CC49)</f>
        <v/>
      </c>
    </row>
    <row r="50" customFormat="false" ht="15" hidden="false" customHeight="false" outlineLevel="0" collapsed="false">
      <c r="A50" s="10" t="str">
        <f aca="false">IF(D50="","","MH-"&amp;IFERROR(VLOOKUP(D50,Lists!$AB$4:$AC$20,2,0),"??")&amp;"-"&amp;TEXT(G50,"0000")&amp;IF(F50="Circular","D","x"&amp;TEXT(H50,"0000"))&amp;"-D"&amp;TEXT(J50*1000,"0000")&amp;"-"&amp;IFERROR(VLOOKUP(E50,Lists!$AE$4:$AF$16,2,0),"??")&amp;"-"&amp;AM50)</f>
        <v/>
      </c>
      <c r="B50" s="10" t="str">
        <f aca="false">IF(D50="","",D50&amp;", "&amp;E50&amp;", "&amp;IF(F50="Circular",G50&amp;" dia",G50&amp;" x "&amp;H50)&amp;", depth "&amp;TEXT(I50,"0.0")&amp;"-"&amp;TEXT(J50,"0.0")&amp;" m, pipe up to "&amp;K50&amp;" dia")</f>
        <v/>
      </c>
      <c r="C50" s="9"/>
      <c r="D50" s="9"/>
      <c r="E50" s="9"/>
      <c r="F50" s="9"/>
      <c r="G50" s="38"/>
      <c r="H50" s="38"/>
      <c r="I50" s="42"/>
      <c r="J50" s="42"/>
      <c r="K50" s="38"/>
      <c r="L50" s="38"/>
      <c r="M50" s="38"/>
      <c r="N50" s="38"/>
      <c r="O50" s="9"/>
      <c r="P50" s="9"/>
      <c r="Q50" s="9"/>
      <c r="R50" s="9"/>
      <c r="S50" s="9"/>
      <c r="T50" s="9"/>
      <c r="U50" s="9"/>
      <c r="V50" s="42"/>
      <c r="W50" s="9"/>
      <c r="X50" s="9"/>
      <c r="Y50" s="39"/>
      <c r="Z50" s="9"/>
      <c r="AA50" s="38"/>
      <c r="AB50" s="9"/>
      <c r="AC50" s="9"/>
      <c r="AD50" s="9"/>
      <c r="AE50" s="9"/>
      <c r="AF50" s="9"/>
      <c r="AG50" s="9"/>
      <c r="AH50" s="38"/>
      <c r="AI50" s="9"/>
      <c r="AJ50" s="39"/>
      <c r="AK50" s="9"/>
      <c r="AL50" s="9"/>
      <c r="AM50" s="9"/>
      <c r="AN50" s="9"/>
      <c r="AO50" s="9"/>
      <c r="AP50" s="9"/>
      <c r="AQ50" s="9"/>
      <c r="AR50" s="10" t="str">
        <f aca="false">IF(A50="","",SG_Criteria!$B$6&amp;SG_Criteria!$B$10&amp;"\"&amp;A50&amp;"\")</f>
        <v/>
      </c>
      <c r="AS50" s="10" t="str">
        <f aca="false">IF(A50="","",A50&amp;"_CAD.dwg")</f>
        <v/>
      </c>
      <c r="AT50" s="10" t="str">
        <f aca="false">IF(A50="","",A50&amp;"_DWG.pdf")</f>
        <v/>
      </c>
      <c r="AU50" s="10" t="str">
        <f aca="false">IF(A50="","",IF(AQ50="Y",A50&amp;"_STAAD.std","n/a"))</f>
        <v/>
      </c>
      <c r="AV50" s="10" t="str">
        <f aca="false">IF(A50="","",A50&amp;"_CALC.xlsx")</f>
        <v/>
      </c>
      <c r="AW50" s="10" t="str">
        <f aca="false">IF(A50="","",A50&amp;"_CALC.pdf")</f>
        <v/>
      </c>
      <c r="AX50" s="9"/>
      <c r="AY50" s="9"/>
      <c r="AZ50" s="39"/>
      <c r="BA50" s="39"/>
      <c r="BB50" s="39"/>
      <c r="BC50" s="39"/>
      <c r="BD50" s="39"/>
      <c r="BE50" s="12" t="str">
        <f aca="false">IF(A50="","",IF(COUNTIF(Rebar_Schedule!$A$5:$A$2004,A50)=0,"",ROUND(SUMIF(Rebar_Schedule!$A$5:$A$2004,A50,Rebar_Schedule!$K$5:$K$2004),1)))</f>
        <v/>
      </c>
      <c r="BF50" s="33" t="str">
        <f aca="false">IF(A50="","",IF(BE50="","No rebar schedule yet",IF(ABS(BE50-N(BA50))/MAX(N(BA50),1)&gt;SG_Criteria!$B$55,"NOTE: register rebar differs from schedule by "&amp;TEXT(ABS(BE50-N(BA50))/MAX(N(BA50),1),"0%"),"OK")))</f>
        <v/>
      </c>
      <c r="BG50" s="33" t="str">
        <f aca="false">IF(D50="","",IF(LEN(IF(AND(Z50&lt;&gt;"",IFERROR(VALUE(MID(Z50,2,2)),0)&lt;SG_Criteria!$B$19),"FAIL: grade below C"&amp;SG_Criteria!$B$19&amp;". ","")&amp;IF(AND(AA50&lt;&gt;"",AA50&lt;SG_Criteria!$B$20),"FAIL: cover &lt; "&amp;SG_Criteria!$B$20&amp;" mm. ","")&amp;IF(AND(I50&lt;&gt;"",I50&lt;SG_Criteria!$B$39),"NOTE: min depth below PUB "&amp;SG_Criteria!$B$39&amp;" m. ","")&amp;IF(AND(LEFT(D50,8)="Standard",J50&gt;SG_Criteria!$B$42),"FAIL: PUB 001C covers manholes up to "&amp;SG_Criteria!$B$42&amp;" m deep only. ","")&amp;IF(AND(LEFT(D50,11)="Rectangular",K50&lt;SG_Criteria!$B$43),"NOTE: 004C is for sewers &gt;= "&amp;SG_Criteria!$B$43&amp;" dia. ","")&amp;IF(AND(LEFT(D50,7)="Precast",J50&lt;=SG_Criteria!$B$42),"NOTE: 006C is for manholes &gt; "&amp;SG_Criteria!$B$42&amp;" m deep. ","")&amp;IF(AND(K50&lt;&gt;"",K50&lt;SG_Criteria!$B$40,D50&lt;&gt;"Inspection Chamber"),"NOTE: public sewer min dia "&amp;SG_Criteria!$B$40&amp;" mm. ","")&amp;IF(AND(Y50&lt;&gt;"",Y50&lt;SG_Criteria!$B$44),"FAIL: uplift FOS below "&amp;SG_Criteria!$B$44&amp;". ",""))=0,"OK",IF(AND(Z50&lt;&gt;"",IFERROR(VALUE(MID(Z50,2,2)),0)&lt;SG_Criteria!$B$19),"FAIL: grade below C"&amp;SG_Criteria!$B$19&amp;". ","")&amp;IF(AND(AA50&lt;&gt;"",AA50&lt;SG_Criteria!$B$20),"FAIL: cover &lt; "&amp;SG_Criteria!$B$20&amp;" mm. ","")&amp;IF(AND(I50&lt;&gt;"",I50&lt;SG_Criteria!$B$39),"NOTE: min depth below PUB "&amp;SG_Criteria!$B$39&amp;" m. ","")&amp;IF(AND(LEFT(D50,8)="Standard",J50&gt;SG_Criteria!$B$42),"FAIL: PUB 001C covers manholes up to "&amp;SG_Criteria!$B$42&amp;" m deep only. ","")&amp;IF(AND(LEFT(D50,11)="Rectangular",K50&lt;SG_Criteria!$B$43),"NOTE: 004C is for sewers &gt;= "&amp;SG_Criteria!$B$43&amp;" dia. ","")&amp;IF(AND(LEFT(D50,7)="Precast",J50&lt;=SG_Criteria!$B$42),"NOTE: 006C is for manholes &gt; "&amp;SG_Criteria!$B$42&amp;" m deep. ","")&amp;IF(AND(K50&lt;&gt;"",K50&lt;SG_Criteria!$B$40,D50&lt;&gt;"Inspection Chamber"),"NOTE: public sewer min dia "&amp;SG_Criteria!$B$40&amp;" mm. ","")&amp;IF(AND(Y50&lt;&gt;"",Y50&lt;SG_Criteria!$B$44),"FAIL: uplift FOS below "&amp;SG_Criteria!$B$44&amp;". ","")))</f>
        <v/>
      </c>
      <c r="BH50" s="9"/>
      <c r="BI50" s="9"/>
      <c r="BJ50" s="9"/>
      <c r="BK50" s="10" t="str">
        <f aca="false">IF(BJ50="","",IFERROR(VLOOKUP(BJ50,Projects!$A$5:$D$504,2,0),"Ref not in Projects"))</f>
        <v/>
      </c>
      <c r="BL50" s="10" t="str">
        <f aca="false">IF(BJ50="","",IFERROR(VLOOKUP(BJ50,Projects!$A$5:$D$504,4,0),"Ref not in Projects"))</f>
        <v/>
      </c>
      <c r="BM50" s="9"/>
      <c r="BN50" s="9"/>
      <c r="BO50" s="9"/>
      <c r="BP50" s="40"/>
      <c r="BQ50" s="9"/>
      <c r="BR50" s="40"/>
      <c r="BS50" s="9"/>
      <c r="BT50" s="40"/>
      <c r="BU50" s="9"/>
      <c r="BV50" s="9"/>
      <c r="BW50" s="9"/>
      <c r="BX50" s="40"/>
      <c r="BY50" s="40"/>
      <c r="BZ50" s="36" t="str">
        <f aca="false">IF(BY50="","",EDATE(BY50,SG_Criteria!$B$54*12))</f>
        <v/>
      </c>
      <c r="CA50" s="33" t="str">
        <f aca="true">IF(A50="","",IF(BY50="","NOTE: not reviewed yet",IF(TODAY()&gt;BZ50,"NOTE: review overdue","OK")))</f>
        <v/>
      </c>
      <c r="CB50" s="37" t="str">
        <f aca="false">IF(A50="","",ROUND((IF(LEN(D50)&gt;0,1,0)+IF(LEN(E50)&gt;0,1,0)+IF(LEN(F50)&gt;0,1,0)+IF(LEN(G50)&gt;0,1,0)+IF(LEN(I50)&gt;0,1,0)+IF(LEN(J50)&gt;0,1,0)+IF(LEN(K50)&gt;0,1,0)+IF(LEN(L50)&gt;0,1,0)+IF(LEN(M50)&gt;0,1,0)+IF(LEN(N50)&gt;0,1,0)+IF(LEN(Z50)&gt;0,1,0)+IF(LEN(AA50)&gt;0,1,0)+IF(LEN(Y50)&gt;0,1,0)+IF(LEN(AE50)&gt;0,1,0)+IF(LEN(AG50)&gt;0,1,0)+IF(LEN(AZ50)&gt;0,1,0)+IF(LEN(AK50)&gt;0,1,0)+IF(LEN(AM50)&gt;0,1,0)+IF(LEN(AN50)&gt;0,1,0)+IF(LEN(AO50)&gt;0,1,0)+IF(LEN(AP50)&gt;0,1,0)+IF(LEN(AY50)&gt;0,1,0)+IF(LEN(BJ50)&gt;0,1,0)+IF(LEN(BW50)&gt;0,1,0))/24,2))</f>
        <v/>
      </c>
      <c r="CC50" s="10" t="str">
        <f aca="false">IF(D50="","",IF(AND(AN50="Approved",ISERROR(SEARCH("FAIL",BG50))),"Y","N"))</f>
        <v/>
      </c>
      <c r="CD50" s="10" t="str">
        <f aca="false">IF(D50="","",D50&amp;"|"&amp;J50&amp;"|"&amp;G50&amp;"|"&amp;CC50)</f>
        <v/>
      </c>
    </row>
    <row r="51" customFormat="false" ht="15" hidden="false" customHeight="false" outlineLevel="0" collapsed="false">
      <c r="A51" s="10" t="str">
        <f aca="false">IF(D51="","","MH-"&amp;IFERROR(VLOOKUP(D51,Lists!$AB$4:$AC$20,2,0),"??")&amp;"-"&amp;TEXT(G51,"0000")&amp;IF(F51="Circular","D","x"&amp;TEXT(H51,"0000"))&amp;"-D"&amp;TEXT(J51*1000,"0000")&amp;"-"&amp;IFERROR(VLOOKUP(E51,Lists!$AE$4:$AF$16,2,0),"??")&amp;"-"&amp;AM51)</f>
        <v/>
      </c>
      <c r="B51" s="10" t="str">
        <f aca="false">IF(D51="","",D51&amp;", "&amp;E51&amp;", "&amp;IF(F51="Circular",G51&amp;" dia",G51&amp;" x "&amp;H51)&amp;", depth "&amp;TEXT(I51,"0.0")&amp;"-"&amp;TEXT(J51,"0.0")&amp;" m, pipe up to "&amp;K51&amp;" dia")</f>
        <v/>
      </c>
      <c r="C51" s="9"/>
      <c r="D51" s="9"/>
      <c r="E51" s="9"/>
      <c r="F51" s="9"/>
      <c r="G51" s="38"/>
      <c r="H51" s="38"/>
      <c r="I51" s="42"/>
      <c r="J51" s="42"/>
      <c r="K51" s="38"/>
      <c r="L51" s="38"/>
      <c r="M51" s="38"/>
      <c r="N51" s="38"/>
      <c r="O51" s="9"/>
      <c r="P51" s="9"/>
      <c r="Q51" s="9"/>
      <c r="R51" s="9"/>
      <c r="S51" s="9"/>
      <c r="T51" s="9"/>
      <c r="U51" s="9"/>
      <c r="V51" s="42"/>
      <c r="W51" s="9"/>
      <c r="X51" s="9"/>
      <c r="Y51" s="39"/>
      <c r="Z51" s="9"/>
      <c r="AA51" s="38"/>
      <c r="AB51" s="9"/>
      <c r="AC51" s="9"/>
      <c r="AD51" s="9"/>
      <c r="AE51" s="9"/>
      <c r="AF51" s="9"/>
      <c r="AG51" s="9"/>
      <c r="AH51" s="38"/>
      <c r="AI51" s="9"/>
      <c r="AJ51" s="39"/>
      <c r="AK51" s="9"/>
      <c r="AL51" s="9"/>
      <c r="AM51" s="9"/>
      <c r="AN51" s="9"/>
      <c r="AO51" s="9"/>
      <c r="AP51" s="9"/>
      <c r="AQ51" s="9"/>
      <c r="AR51" s="10" t="str">
        <f aca="false">IF(A51="","",SG_Criteria!$B$6&amp;SG_Criteria!$B$10&amp;"\"&amp;A51&amp;"\")</f>
        <v/>
      </c>
      <c r="AS51" s="10" t="str">
        <f aca="false">IF(A51="","",A51&amp;"_CAD.dwg")</f>
        <v/>
      </c>
      <c r="AT51" s="10" t="str">
        <f aca="false">IF(A51="","",A51&amp;"_DWG.pdf")</f>
        <v/>
      </c>
      <c r="AU51" s="10" t="str">
        <f aca="false">IF(A51="","",IF(AQ51="Y",A51&amp;"_STAAD.std","n/a"))</f>
        <v/>
      </c>
      <c r="AV51" s="10" t="str">
        <f aca="false">IF(A51="","",A51&amp;"_CALC.xlsx")</f>
        <v/>
      </c>
      <c r="AW51" s="10" t="str">
        <f aca="false">IF(A51="","",A51&amp;"_CALC.pdf")</f>
        <v/>
      </c>
      <c r="AX51" s="9"/>
      <c r="AY51" s="9"/>
      <c r="AZ51" s="39"/>
      <c r="BA51" s="39"/>
      <c r="BB51" s="39"/>
      <c r="BC51" s="39"/>
      <c r="BD51" s="39"/>
      <c r="BE51" s="12" t="str">
        <f aca="false">IF(A51="","",IF(COUNTIF(Rebar_Schedule!$A$5:$A$2004,A51)=0,"",ROUND(SUMIF(Rebar_Schedule!$A$5:$A$2004,A51,Rebar_Schedule!$K$5:$K$2004),1)))</f>
        <v/>
      </c>
      <c r="BF51" s="33" t="str">
        <f aca="false">IF(A51="","",IF(BE51="","No rebar schedule yet",IF(ABS(BE51-N(BA51))/MAX(N(BA51),1)&gt;SG_Criteria!$B$55,"NOTE: register rebar differs from schedule by "&amp;TEXT(ABS(BE51-N(BA51))/MAX(N(BA51),1),"0%"),"OK")))</f>
        <v/>
      </c>
      <c r="BG51" s="33" t="str">
        <f aca="false">IF(D51="","",IF(LEN(IF(AND(Z51&lt;&gt;"",IFERROR(VALUE(MID(Z51,2,2)),0)&lt;SG_Criteria!$B$19),"FAIL: grade below C"&amp;SG_Criteria!$B$19&amp;". ","")&amp;IF(AND(AA51&lt;&gt;"",AA51&lt;SG_Criteria!$B$20),"FAIL: cover &lt; "&amp;SG_Criteria!$B$20&amp;" mm. ","")&amp;IF(AND(I51&lt;&gt;"",I51&lt;SG_Criteria!$B$39),"NOTE: min depth below PUB "&amp;SG_Criteria!$B$39&amp;" m. ","")&amp;IF(AND(LEFT(D51,8)="Standard",J51&gt;SG_Criteria!$B$42),"FAIL: PUB 001C covers manholes up to "&amp;SG_Criteria!$B$42&amp;" m deep only. ","")&amp;IF(AND(LEFT(D51,11)="Rectangular",K51&lt;SG_Criteria!$B$43),"NOTE: 004C is for sewers &gt;= "&amp;SG_Criteria!$B$43&amp;" dia. ","")&amp;IF(AND(LEFT(D51,7)="Precast",J51&lt;=SG_Criteria!$B$42),"NOTE: 006C is for manholes &gt; "&amp;SG_Criteria!$B$42&amp;" m deep. ","")&amp;IF(AND(K51&lt;&gt;"",K51&lt;SG_Criteria!$B$40,D51&lt;&gt;"Inspection Chamber"),"NOTE: public sewer min dia "&amp;SG_Criteria!$B$40&amp;" mm. ","")&amp;IF(AND(Y51&lt;&gt;"",Y51&lt;SG_Criteria!$B$44),"FAIL: uplift FOS below "&amp;SG_Criteria!$B$44&amp;". ",""))=0,"OK",IF(AND(Z51&lt;&gt;"",IFERROR(VALUE(MID(Z51,2,2)),0)&lt;SG_Criteria!$B$19),"FAIL: grade below C"&amp;SG_Criteria!$B$19&amp;". ","")&amp;IF(AND(AA51&lt;&gt;"",AA51&lt;SG_Criteria!$B$20),"FAIL: cover &lt; "&amp;SG_Criteria!$B$20&amp;" mm. ","")&amp;IF(AND(I51&lt;&gt;"",I51&lt;SG_Criteria!$B$39),"NOTE: min depth below PUB "&amp;SG_Criteria!$B$39&amp;" m. ","")&amp;IF(AND(LEFT(D51,8)="Standard",J51&gt;SG_Criteria!$B$42),"FAIL: PUB 001C covers manholes up to "&amp;SG_Criteria!$B$42&amp;" m deep only. ","")&amp;IF(AND(LEFT(D51,11)="Rectangular",K51&lt;SG_Criteria!$B$43),"NOTE: 004C is for sewers &gt;= "&amp;SG_Criteria!$B$43&amp;" dia. ","")&amp;IF(AND(LEFT(D51,7)="Precast",J51&lt;=SG_Criteria!$B$42),"NOTE: 006C is for manholes &gt; "&amp;SG_Criteria!$B$42&amp;" m deep. ","")&amp;IF(AND(K51&lt;&gt;"",K51&lt;SG_Criteria!$B$40,D51&lt;&gt;"Inspection Chamber"),"NOTE: public sewer min dia "&amp;SG_Criteria!$B$40&amp;" mm. ","")&amp;IF(AND(Y51&lt;&gt;"",Y51&lt;SG_Criteria!$B$44),"FAIL: uplift FOS below "&amp;SG_Criteria!$B$44&amp;". ","")))</f>
        <v/>
      </c>
      <c r="BH51" s="9"/>
      <c r="BI51" s="9"/>
      <c r="BJ51" s="9"/>
      <c r="BK51" s="10" t="str">
        <f aca="false">IF(BJ51="","",IFERROR(VLOOKUP(BJ51,Projects!$A$5:$D$504,2,0),"Ref not in Projects"))</f>
        <v/>
      </c>
      <c r="BL51" s="10" t="str">
        <f aca="false">IF(BJ51="","",IFERROR(VLOOKUP(BJ51,Projects!$A$5:$D$504,4,0),"Ref not in Projects"))</f>
        <v/>
      </c>
      <c r="BM51" s="9"/>
      <c r="BN51" s="9"/>
      <c r="BO51" s="9"/>
      <c r="BP51" s="40"/>
      <c r="BQ51" s="9"/>
      <c r="BR51" s="40"/>
      <c r="BS51" s="9"/>
      <c r="BT51" s="40"/>
      <c r="BU51" s="9"/>
      <c r="BV51" s="9"/>
      <c r="BW51" s="9"/>
      <c r="BX51" s="40"/>
      <c r="BY51" s="40"/>
      <c r="BZ51" s="36" t="str">
        <f aca="false">IF(BY51="","",EDATE(BY51,SG_Criteria!$B$54*12))</f>
        <v/>
      </c>
      <c r="CA51" s="33" t="str">
        <f aca="true">IF(A51="","",IF(BY51="","NOTE: not reviewed yet",IF(TODAY()&gt;BZ51,"NOTE: review overdue","OK")))</f>
        <v/>
      </c>
      <c r="CB51" s="37" t="str">
        <f aca="false">IF(A51="","",ROUND((IF(LEN(D51)&gt;0,1,0)+IF(LEN(E51)&gt;0,1,0)+IF(LEN(F51)&gt;0,1,0)+IF(LEN(G51)&gt;0,1,0)+IF(LEN(I51)&gt;0,1,0)+IF(LEN(J51)&gt;0,1,0)+IF(LEN(K51)&gt;0,1,0)+IF(LEN(L51)&gt;0,1,0)+IF(LEN(M51)&gt;0,1,0)+IF(LEN(N51)&gt;0,1,0)+IF(LEN(Z51)&gt;0,1,0)+IF(LEN(AA51)&gt;0,1,0)+IF(LEN(Y51)&gt;0,1,0)+IF(LEN(AE51)&gt;0,1,0)+IF(LEN(AG51)&gt;0,1,0)+IF(LEN(AZ51)&gt;0,1,0)+IF(LEN(AK51)&gt;0,1,0)+IF(LEN(AM51)&gt;0,1,0)+IF(LEN(AN51)&gt;0,1,0)+IF(LEN(AO51)&gt;0,1,0)+IF(LEN(AP51)&gt;0,1,0)+IF(LEN(AY51)&gt;0,1,0)+IF(LEN(BJ51)&gt;0,1,0)+IF(LEN(BW51)&gt;0,1,0))/24,2))</f>
        <v/>
      </c>
      <c r="CC51" s="10" t="str">
        <f aca="false">IF(D51="","",IF(AND(AN51="Approved",ISERROR(SEARCH("FAIL",BG51))),"Y","N"))</f>
        <v/>
      </c>
      <c r="CD51" s="10" t="str">
        <f aca="false">IF(D51="","",D51&amp;"|"&amp;J51&amp;"|"&amp;G51&amp;"|"&amp;CC51)</f>
        <v/>
      </c>
    </row>
    <row r="52" customFormat="false" ht="15" hidden="false" customHeight="false" outlineLevel="0" collapsed="false">
      <c r="A52" s="10" t="str">
        <f aca="false">IF(D52="","","MH-"&amp;IFERROR(VLOOKUP(D52,Lists!$AB$4:$AC$20,2,0),"??")&amp;"-"&amp;TEXT(G52,"0000")&amp;IF(F52="Circular","D","x"&amp;TEXT(H52,"0000"))&amp;"-D"&amp;TEXT(J52*1000,"0000")&amp;"-"&amp;IFERROR(VLOOKUP(E52,Lists!$AE$4:$AF$16,2,0),"??")&amp;"-"&amp;AM52)</f>
        <v/>
      </c>
      <c r="B52" s="10" t="str">
        <f aca="false">IF(D52="","",D52&amp;", "&amp;E52&amp;", "&amp;IF(F52="Circular",G52&amp;" dia",G52&amp;" x "&amp;H52)&amp;", depth "&amp;TEXT(I52,"0.0")&amp;"-"&amp;TEXT(J52,"0.0")&amp;" m, pipe up to "&amp;K52&amp;" dia")</f>
        <v/>
      </c>
      <c r="C52" s="9"/>
      <c r="D52" s="9"/>
      <c r="E52" s="9"/>
      <c r="F52" s="9"/>
      <c r="G52" s="38"/>
      <c r="H52" s="38"/>
      <c r="I52" s="42"/>
      <c r="J52" s="42"/>
      <c r="K52" s="38"/>
      <c r="L52" s="38"/>
      <c r="M52" s="38"/>
      <c r="N52" s="38"/>
      <c r="O52" s="9"/>
      <c r="P52" s="9"/>
      <c r="Q52" s="9"/>
      <c r="R52" s="9"/>
      <c r="S52" s="9"/>
      <c r="T52" s="9"/>
      <c r="U52" s="9"/>
      <c r="V52" s="42"/>
      <c r="W52" s="9"/>
      <c r="X52" s="9"/>
      <c r="Y52" s="39"/>
      <c r="Z52" s="9"/>
      <c r="AA52" s="38"/>
      <c r="AB52" s="9"/>
      <c r="AC52" s="9"/>
      <c r="AD52" s="9"/>
      <c r="AE52" s="9"/>
      <c r="AF52" s="9"/>
      <c r="AG52" s="9"/>
      <c r="AH52" s="38"/>
      <c r="AI52" s="9"/>
      <c r="AJ52" s="39"/>
      <c r="AK52" s="9"/>
      <c r="AL52" s="9"/>
      <c r="AM52" s="9"/>
      <c r="AN52" s="9"/>
      <c r="AO52" s="9"/>
      <c r="AP52" s="9"/>
      <c r="AQ52" s="9"/>
      <c r="AR52" s="10" t="str">
        <f aca="false">IF(A52="","",SG_Criteria!$B$6&amp;SG_Criteria!$B$10&amp;"\"&amp;A52&amp;"\")</f>
        <v/>
      </c>
      <c r="AS52" s="10" t="str">
        <f aca="false">IF(A52="","",A52&amp;"_CAD.dwg")</f>
        <v/>
      </c>
      <c r="AT52" s="10" t="str">
        <f aca="false">IF(A52="","",A52&amp;"_DWG.pdf")</f>
        <v/>
      </c>
      <c r="AU52" s="10" t="str">
        <f aca="false">IF(A52="","",IF(AQ52="Y",A52&amp;"_STAAD.std","n/a"))</f>
        <v/>
      </c>
      <c r="AV52" s="10" t="str">
        <f aca="false">IF(A52="","",A52&amp;"_CALC.xlsx")</f>
        <v/>
      </c>
      <c r="AW52" s="10" t="str">
        <f aca="false">IF(A52="","",A52&amp;"_CALC.pdf")</f>
        <v/>
      </c>
      <c r="AX52" s="9"/>
      <c r="AY52" s="9"/>
      <c r="AZ52" s="39"/>
      <c r="BA52" s="39"/>
      <c r="BB52" s="39"/>
      <c r="BC52" s="39"/>
      <c r="BD52" s="39"/>
      <c r="BE52" s="12" t="str">
        <f aca="false">IF(A52="","",IF(COUNTIF(Rebar_Schedule!$A$5:$A$2004,A52)=0,"",ROUND(SUMIF(Rebar_Schedule!$A$5:$A$2004,A52,Rebar_Schedule!$K$5:$K$2004),1)))</f>
        <v/>
      </c>
      <c r="BF52" s="33" t="str">
        <f aca="false">IF(A52="","",IF(BE52="","No rebar schedule yet",IF(ABS(BE52-N(BA52))/MAX(N(BA52),1)&gt;SG_Criteria!$B$55,"NOTE: register rebar differs from schedule by "&amp;TEXT(ABS(BE52-N(BA52))/MAX(N(BA52),1),"0%"),"OK")))</f>
        <v/>
      </c>
      <c r="BG52" s="33" t="str">
        <f aca="false">IF(D52="","",IF(LEN(IF(AND(Z52&lt;&gt;"",IFERROR(VALUE(MID(Z52,2,2)),0)&lt;SG_Criteria!$B$19),"FAIL: grade below C"&amp;SG_Criteria!$B$19&amp;". ","")&amp;IF(AND(AA52&lt;&gt;"",AA52&lt;SG_Criteria!$B$20),"FAIL: cover &lt; "&amp;SG_Criteria!$B$20&amp;" mm. ","")&amp;IF(AND(I52&lt;&gt;"",I52&lt;SG_Criteria!$B$39),"NOTE: min depth below PUB "&amp;SG_Criteria!$B$39&amp;" m. ","")&amp;IF(AND(LEFT(D52,8)="Standard",J52&gt;SG_Criteria!$B$42),"FAIL: PUB 001C covers manholes up to "&amp;SG_Criteria!$B$42&amp;" m deep only. ","")&amp;IF(AND(LEFT(D52,11)="Rectangular",K52&lt;SG_Criteria!$B$43),"NOTE: 004C is for sewers &gt;= "&amp;SG_Criteria!$B$43&amp;" dia. ","")&amp;IF(AND(LEFT(D52,7)="Precast",J52&lt;=SG_Criteria!$B$42),"NOTE: 006C is for manholes &gt; "&amp;SG_Criteria!$B$42&amp;" m deep. ","")&amp;IF(AND(K52&lt;&gt;"",K52&lt;SG_Criteria!$B$40,D52&lt;&gt;"Inspection Chamber"),"NOTE: public sewer min dia "&amp;SG_Criteria!$B$40&amp;" mm. ","")&amp;IF(AND(Y52&lt;&gt;"",Y52&lt;SG_Criteria!$B$44),"FAIL: uplift FOS below "&amp;SG_Criteria!$B$44&amp;". ",""))=0,"OK",IF(AND(Z52&lt;&gt;"",IFERROR(VALUE(MID(Z52,2,2)),0)&lt;SG_Criteria!$B$19),"FAIL: grade below C"&amp;SG_Criteria!$B$19&amp;". ","")&amp;IF(AND(AA52&lt;&gt;"",AA52&lt;SG_Criteria!$B$20),"FAIL: cover &lt; "&amp;SG_Criteria!$B$20&amp;" mm. ","")&amp;IF(AND(I52&lt;&gt;"",I52&lt;SG_Criteria!$B$39),"NOTE: min depth below PUB "&amp;SG_Criteria!$B$39&amp;" m. ","")&amp;IF(AND(LEFT(D52,8)="Standard",J52&gt;SG_Criteria!$B$42),"FAIL: PUB 001C covers manholes up to "&amp;SG_Criteria!$B$42&amp;" m deep only. ","")&amp;IF(AND(LEFT(D52,11)="Rectangular",K52&lt;SG_Criteria!$B$43),"NOTE: 004C is for sewers &gt;= "&amp;SG_Criteria!$B$43&amp;" dia. ","")&amp;IF(AND(LEFT(D52,7)="Precast",J52&lt;=SG_Criteria!$B$42),"NOTE: 006C is for manholes &gt; "&amp;SG_Criteria!$B$42&amp;" m deep. ","")&amp;IF(AND(K52&lt;&gt;"",K52&lt;SG_Criteria!$B$40,D52&lt;&gt;"Inspection Chamber"),"NOTE: public sewer min dia "&amp;SG_Criteria!$B$40&amp;" mm. ","")&amp;IF(AND(Y52&lt;&gt;"",Y52&lt;SG_Criteria!$B$44),"FAIL: uplift FOS below "&amp;SG_Criteria!$B$44&amp;". ","")))</f>
        <v/>
      </c>
      <c r="BH52" s="9"/>
      <c r="BI52" s="9"/>
      <c r="BJ52" s="9"/>
      <c r="BK52" s="10" t="str">
        <f aca="false">IF(BJ52="","",IFERROR(VLOOKUP(BJ52,Projects!$A$5:$D$504,2,0),"Ref not in Projects"))</f>
        <v/>
      </c>
      <c r="BL52" s="10" t="str">
        <f aca="false">IF(BJ52="","",IFERROR(VLOOKUP(BJ52,Projects!$A$5:$D$504,4,0),"Ref not in Projects"))</f>
        <v/>
      </c>
      <c r="BM52" s="9"/>
      <c r="BN52" s="9"/>
      <c r="BO52" s="9"/>
      <c r="BP52" s="40"/>
      <c r="BQ52" s="9"/>
      <c r="BR52" s="40"/>
      <c r="BS52" s="9"/>
      <c r="BT52" s="40"/>
      <c r="BU52" s="9"/>
      <c r="BV52" s="9"/>
      <c r="BW52" s="9"/>
      <c r="BX52" s="40"/>
      <c r="BY52" s="40"/>
      <c r="BZ52" s="36" t="str">
        <f aca="false">IF(BY52="","",EDATE(BY52,SG_Criteria!$B$54*12))</f>
        <v/>
      </c>
      <c r="CA52" s="33" t="str">
        <f aca="true">IF(A52="","",IF(BY52="","NOTE: not reviewed yet",IF(TODAY()&gt;BZ52,"NOTE: review overdue","OK")))</f>
        <v/>
      </c>
      <c r="CB52" s="37" t="str">
        <f aca="false">IF(A52="","",ROUND((IF(LEN(D52)&gt;0,1,0)+IF(LEN(E52)&gt;0,1,0)+IF(LEN(F52)&gt;0,1,0)+IF(LEN(G52)&gt;0,1,0)+IF(LEN(I52)&gt;0,1,0)+IF(LEN(J52)&gt;0,1,0)+IF(LEN(K52)&gt;0,1,0)+IF(LEN(L52)&gt;0,1,0)+IF(LEN(M52)&gt;0,1,0)+IF(LEN(N52)&gt;0,1,0)+IF(LEN(Z52)&gt;0,1,0)+IF(LEN(AA52)&gt;0,1,0)+IF(LEN(Y52)&gt;0,1,0)+IF(LEN(AE52)&gt;0,1,0)+IF(LEN(AG52)&gt;0,1,0)+IF(LEN(AZ52)&gt;0,1,0)+IF(LEN(AK52)&gt;0,1,0)+IF(LEN(AM52)&gt;0,1,0)+IF(LEN(AN52)&gt;0,1,0)+IF(LEN(AO52)&gt;0,1,0)+IF(LEN(AP52)&gt;0,1,0)+IF(LEN(AY52)&gt;0,1,0)+IF(LEN(BJ52)&gt;0,1,0)+IF(LEN(BW52)&gt;0,1,0))/24,2))</f>
        <v/>
      </c>
      <c r="CC52" s="10" t="str">
        <f aca="false">IF(D52="","",IF(AND(AN52="Approved",ISERROR(SEARCH("FAIL",BG52))),"Y","N"))</f>
        <v/>
      </c>
      <c r="CD52" s="10" t="str">
        <f aca="false">IF(D52="","",D52&amp;"|"&amp;J52&amp;"|"&amp;G52&amp;"|"&amp;CC52)</f>
        <v/>
      </c>
    </row>
    <row r="53" customFormat="false" ht="15" hidden="false" customHeight="false" outlineLevel="0" collapsed="false">
      <c r="A53" s="10" t="str">
        <f aca="false">IF(D53="","","MH-"&amp;IFERROR(VLOOKUP(D53,Lists!$AB$4:$AC$20,2,0),"??")&amp;"-"&amp;TEXT(G53,"0000")&amp;IF(F53="Circular","D","x"&amp;TEXT(H53,"0000"))&amp;"-D"&amp;TEXT(J53*1000,"0000")&amp;"-"&amp;IFERROR(VLOOKUP(E53,Lists!$AE$4:$AF$16,2,0),"??")&amp;"-"&amp;AM53)</f>
        <v/>
      </c>
      <c r="B53" s="10" t="str">
        <f aca="false">IF(D53="","",D53&amp;", "&amp;E53&amp;", "&amp;IF(F53="Circular",G53&amp;" dia",G53&amp;" x "&amp;H53)&amp;", depth "&amp;TEXT(I53,"0.0")&amp;"-"&amp;TEXT(J53,"0.0")&amp;" m, pipe up to "&amp;K53&amp;" dia")</f>
        <v/>
      </c>
      <c r="C53" s="9"/>
      <c r="D53" s="9"/>
      <c r="E53" s="9"/>
      <c r="F53" s="9"/>
      <c r="G53" s="38"/>
      <c r="H53" s="38"/>
      <c r="I53" s="42"/>
      <c r="J53" s="42"/>
      <c r="K53" s="38"/>
      <c r="L53" s="38"/>
      <c r="M53" s="38"/>
      <c r="N53" s="38"/>
      <c r="O53" s="9"/>
      <c r="P53" s="9"/>
      <c r="Q53" s="9"/>
      <c r="R53" s="9"/>
      <c r="S53" s="9"/>
      <c r="T53" s="9"/>
      <c r="U53" s="9"/>
      <c r="V53" s="42"/>
      <c r="W53" s="9"/>
      <c r="X53" s="9"/>
      <c r="Y53" s="39"/>
      <c r="Z53" s="9"/>
      <c r="AA53" s="38"/>
      <c r="AB53" s="9"/>
      <c r="AC53" s="9"/>
      <c r="AD53" s="9"/>
      <c r="AE53" s="9"/>
      <c r="AF53" s="9"/>
      <c r="AG53" s="9"/>
      <c r="AH53" s="38"/>
      <c r="AI53" s="9"/>
      <c r="AJ53" s="39"/>
      <c r="AK53" s="9"/>
      <c r="AL53" s="9"/>
      <c r="AM53" s="9"/>
      <c r="AN53" s="9"/>
      <c r="AO53" s="9"/>
      <c r="AP53" s="9"/>
      <c r="AQ53" s="9"/>
      <c r="AR53" s="10" t="str">
        <f aca="false">IF(A53="","",SG_Criteria!$B$6&amp;SG_Criteria!$B$10&amp;"\"&amp;A53&amp;"\")</f>
        <v/>
      </c>
      <c r="AS53" s="10" t="str">
        <f aca="false">IF(A53="","",A53&amp;"_CAD.dwg")</f>
        <v/>
      </c>
      <c r="AT53" s="10" t="str">
        <f aca="false">IF(A53="","",A53&amp;"_DWG.pdf")</f>
        <v/>
      </c>
      <c r="AU53" s="10" t="str">
        <f aca="false">IF(A53="","",IF(AQ53="Y",A53&amp;"_STAAD.std","n/a"))</f>
        <v/>
      </c>
      <c r="AV53" s="10" t="str">
        <f aca="false">IF(A53="","",A53&amp;"_CALC.xlsx")</f>
        <v/>
      </c>
      <c r="AW53" s="10" t="str">
        <f aca="false">IF(A53="","",A53&amp;"_CALC.pdf")</f>
        <v/>
      </c>
      <c r="AX53" s="9"/>
      <c r="AY53" s="9"/>
      <c r="AZ53" s="39"/>
      <c r="BA53" s="39"/>
      <c r="BB53" s="39"/>
      <c r="BC53" s="39"/>
      <c r="BD53" s="39"/>
      <c r="BE53" s="12" t="str">
        <f aca="false">IF(A53="","",IF(COUNTIF(Rebar_Schedule!$A$5:$A$2004,A53)=0,"",ROUND(SUMIF(Rebar_Schedule!$A$5:$A$2004,A53,Rebar_Schedule!$K$5:$K$2004),1)))</f>
        <v/>
      </c>
      <c r="BF53" s="33" t="str">
        <f aca="false">IF(A53="","",IF(BE53="","No rebar schedule yet",IF(ABS(BE53-N(BA53))/MAX(N(BA53),1)&gt;SG_Criteria!$B$55,"NOTE: register rebar differs from schedule by "&amp;TEXT(ABS(BE53-N(BA53))/MAX(N(BA53),1),"0%"),"OK")))</f>
        <v/>
      </c>
      <c r="BG53" s="33" t="str">
        <f aca="false">IF(D53="","",IF(LEN(IF(AND(Z53&lt;&gt;"",IFERROR(VALUE(MID(Z53,2,2)),0)&lt;SG_Criteria!$B$19),"FAIL: grade below C"&amp;SG_Criteria!$B$19&amp;". ","")&amp;IF(AND(AA53&lt;&gt;"",AA53&lt;SG_Criteria!$B$20),"FAIL: cover &lt; "&amp;SG_Criteria!$B$20&amp;" mm. ","")&amp;IF(AND(I53&lt;&gt;"",I53&lt;SG_Criteria!$B$39),"NOTE: min depth below PUB "&amp;SG_Criteria!$B$39&amp;" m. ","")&amp;IF(AND(LEFT(D53,8)="Standard",J53&gt;SG_Criteria!$B$42),"FAIL: PUB 001C covers manholes up to "&amp;SG_Criteria!$B$42&amp;" m deep only. ","")&amp;IF(AND(LEFT(D53,11)="Rectangular",K53&lt;SG_Criteria!$B$43),"NOTE: 004C is for sewers &gt;= "&amp;SG_Criteria!$B$43&amp;" dia. ","")&amp;IF(AND(LEFT(D53,7)="Precast",J53&lt;=SG_Criteria!$B$42),"NOTE: 006C is for manholes &gt; "&amp;SG_Criteria!$B$42&amp;" m deep. ","")&amp;IF(AND(K53&lt;&gt;"",K53&lt;SG_Criteria!$B$40,D53&lt;&gt;"Inspection Chamber"),"NOTE: public sewer min dia "&amp;SG_Criteria!$B$40&amp;" mm. ","")&amp;IF(AND(Y53&lt;&gt;"",Y53&lt;SG_Criteria!$B$44),"FAIL: uplift FOS below "&amp;SG_Criteria!$B$44&amp;". ",""))=0,"OK",IF(AND(Z53&lt;&gt;"",IFERROR(VALUE(MID(Z53,2,2)),0)&lt;SG_Criteria!$B$19),"FAIL: grade below C"&amp;SG_Criteria!$B$19&amp;". ","")&amp;IF(AND(AA53&lt;&gt;"",AA53&lt;SG_Criteria!$B$20),"FAIL: cover &lt; "&amp;SG_Criteria!$B$20&amp;" mm. ","")&amp;IF(AND(I53&lt;&gt;"",I53&lt;SG_Criteria!$B$39),"NOTE: min depth below PUB "&amp;SG_Criteria!$B$39&amp;" m. ","")&amp;IF(AND(LEFT(D53,8)="Standard",J53&gt;SG_Criteria!$B$42),"FAIL: PUB 001C covers manholes up to "&amp;SG_Criteria!$B$42&amp;" m deep only. ","")&amp;IF(AND(LEFT(D53,11)="Rectangular",K53&lt;SG_Criteria!$B$43),"NOTE: 004C is for sewers &gt;= "&amp;SG_Criteria!$B$43&amp;" dia. ","")&amp;IF(AND(LEFT(D53,7)="Precast",J53&lt;=SG_Criteria!$B$42),"NOTE: 006C is for manholes &gt; "&amp;SG_Criteria!$B$42&amp;" m deep. ","")&amp;IF(AND(K53&lt;&gt;"",K53&lt;SG_Criteria!$B$40,D53&lt;&gt;"Inspection Chamber"),"NOTE: public sewer min dia "&amp;SG_Criteria!$B$40&amp;" mm. ","")&amp;IF(AND(Y53&lt;&gt;"",Y53&lt;SG_Criteria!$B$44),"FAIL: uplift FOS below "&amp;SG_Criteria!$B$44&amp;". ","")))</f>
        <v/>
      </c>
      <c r="BH53" s="9"/>
      <c r="BI53" s="9"/>
      <c r="BJ53" s="9"/>
      <c r="BK53" s="10" t="str">
        <f aca="false">IF(BJ53="","",IFERROR(VLOOKUP(BJ53,Projects!$A$5:$D$504,2,0),"Ref not in Projects"))</f>
        <v/>
      </c>
      <c r="BL53" s="10" t="str">
        <f aca="false">IF(BJ53="","",IFERROR(VLOOKUP(BJ53,Projects!$A$5:$D$504,4,0),"Ref not in Projects"))</f>
        <v/>
      </c>
      <c r="BM53" s="9"/>
      <c r="BN53" s="9"/>
      <c r="BO53" s="9"/>
      <c r="BP53" s="40"/>
      <c r="BQ53" s="9"/>
      <c r="BR53" s="40"/>
      <c r="BS53" s="9"/>
      <c r="BT53" s="40"/>
      <c r="BU53" s="9"/>
      <c r="BV53" s="9"/>
      <c r="BW53" s="9"/>
      <c r="BX53" s="40"/>
      <c r="BY53" s="40"/>
      <c r="BZ53" s="36" t="str">
        <f aca="false">IF(BY53="","",EDATE(BY53,SG_Criteria!$B$54*12))</f>
        <v/>
      </c>
      <c r="CA53" s="33" t="str">
        <f aca="true">IF(A53="","",IF(BY53="","NOTE: not reviewed yet",IF(TODAY()&gt;BZ53,"NOTE: review overdue","OK")))</f>
        <v/>
      </c>
      <c r="CB53" s="37" t="str">
        <f aca="false">IF(A53="","",ROUND((IF(LEN(D53)&gt;0,1,0)+IF(LEN(E53)&gt;0,1,0)+IF(LEN(F53)&gt;0,1,0)+IF(LEN(G53)&gt;0,1,0)+IF(LEN(I53)&gt;0,1,0)+IF(LEN(J53)&gt;0,1,0)+IF(LEN(K53)&gt;0,1,0)+IF(LEN(L53)&gt;0,1,0)+IF(LEN(M53)&gt;0,1,0)+IF(LEN(N53)&gt;0,1,0)+IF(LEN(Z53)&gt;0,1,0)+IF(LEN(AA53)&gt;0,1,0)+IF(LEN(Y53)&gt;0,1,0)+IF(LEN(AE53)&gt;0,1,0)+IF(LEN(AG53)&gt;0,1,0)+IF(LEN(AZ53)&gt;0,1,0)+IF(LEN(AK53)&gt;0,1,0)+IF(LEN(AM53)&gt;0,1,0)+IF(LEN(AN53)&gt;0,1,0)+IF(LEN(AO53)&gt;0,1,0)+IF(LEN(AP53)&gt;0,1,0)+IF(LEN(AY53)&gt;0,1,0)+IF(LEN(BJ53)&gt;0,1,0)+IF(LEN(BW53)&gt;0,1,0))/24,2))</f>
        <v/>
      </c>
      <c r="CC53" s="10" t="str">
        <f aca="false">IF(D53="","",IF(AND(AN53="Approved",ISERROR(SEARCH("FAIL",BG53))),"Y","N"))</f>
        <v/>
      </c>
      <c r="CD53" s="10" t="str">
        <f aca="false">IF(D53="","",D53&amp;"|"&amp;J53&amp;"|"&amp;G53&amp;"|"&amp;CC53)</f>
        <v/>
      </c>
    </row>
    <row r="54" customFormat="false" ht="15" hidden="false" customHeight="false" outlineLevel="0" collapsed="false">
      <c r="A54" s="10" t="str">
        <f aca="false">IF(D54="","","MH-"&amp;IFERROR(VLOOKUP(D54,Lists!$AB$4:$AC$20,2,0),"??")&amp;"-"&amp;TEXT(G54,"0000")&amp;IF(F54="Circular","D","x"&amp;TEXT(H54,"0000"))&amp;"-D"&amp;TEXT(J54*1000,"0000")&amp;"-"&amp;IFERROR(VLOOKUP(E54,Lists!$AE$4:$AF$16,2,0),"??")&amp;"-"&amp;AM54)</f>
        <v/>
      </c>
      <c r="B54" s="10" t="str">
        <f aca="false">IF(D54="","",D54&amp;", "&amp;E54&amp;", "&amp;IF(F54="Circular",G54&amp;" dia",G54&amp;" x "&amp;H54)&amp;", depth "&amp;TEXT(I54,"0.0")&amp;"-"&amp;TEXT(J54,"0.0")&amp;" m, pipe up to "&amp;K54&amp;" dia")</f>
        <v/>
      </c>
      <c r="C54" s="9"/>
      <c r="D54" s="9"/>
      <c r="E54" s="9"/>
      <c r="F54" s="9"/>
      <c r="G54" s="38"/>
      <c r="H54" s="38"/>
      <c r="I54" s="42"/>
      <c r="J54" s="42"/>
      <c r="K54" s="38"/>
      <c r="L54" s="38"/>
      <c r="M54" s="38"/>
      <c r="N54" s="38"/>
      <c r="O54" s="9"/>
      <c r="P54" s="9"/>
      <c r="Q54" s="9"/>
      <c r="R54" s="9"/>
      <c r="S54" s="9"/>
      <c r="T54" s="9"/>
      <c r="U54" s="9"/>
      <c r="V54" s="42"/>
      <c r="W54" s="9"/>
      <c r="X54" s="9"/>
      <c r="Y54" s="39"/>
      <c r="Z54" s="9"/>
      <c r="AA54" s="38"/>
      <c r="AB54" s="9"/>
      <c r="AC54" s="9"/>
      <c r="AD54" s="9"/>
      <c r="AE54" s="9"/>
      <c r="AF54" s="9"/>
      <c r="AG54" s="9"/>
      <c r="AH54" s="38"/>
      <c r="AI54" s="9"/>
      <c r="AJ54" s="39"/>
      <c r="AK54" s="9"/>
      <c r="AL54" s="9"/>
      <c r="AM54" s="9"/>
      <c r="AN54" s="9"/>
      <c r="AO54" s="9"/>
      <c r="AP54" s="9"/>
      <c r="AQ54" s="9"/>
      <c r="AR54" s="10" t="str">
        <f aca="false">IF(A54="","",SG_Criteria!$B$6&amp;SG_Criteria!$B$10&amp;"\"&amp;A54&amp;"\")</f>
        <v/>
      </c>
      <c r="AS54" s="10" t="str">
        <f aca="false">IF(A54="","",A54&amp;"_CAD.dwg")</f>
        <v/>
      </c>
      <c r="AT54" s="10" t="str">
        <f aca="false">IF(A54="","",A54&amp;"_DWG.pdf")</f>
        <v/>
      </c>
      <c r="AU54" s="10" t="str">
        <f aca="false">IF(A54="","",IF(AQ54="Y",A54&amp;"_STAAD.std","n/a"))</f>
        <v/>
      </c>
      <c r="AV54" s="10" t="str">
        <f aca="false">IF(A54="","",A54&amp;"_CALC.xlsx")</f>
        <v/>
      </c>
      <c r="AW54" s="10" t="str">
        <f aca="false">IF(A54="","",A54&amp;"_CALC.pdf")</f>
        <v/>
      </c>
      <c r="AX54" s="9"/>
      <c r="AY54" s="9"/>
      <c r="AZ54" s="39"/>
      <c r="BA54" s="39"/>
      <c r="BB54" s="39"/>
      <c r="BC54" s="39"/>
      <c r="BD54" s="39"/>
      <c r="BE54" s="12" t="str">
        <f aca="false">IF(A54="","",IF(COUNTIF(Rebar_Schedule!$A$5:$A$2004,A54)=0,"",ROUND(SUMIF(Rebar_Schedule!$A$5:$A$2004,A54,Rebar_Schedule!$K$5:$K$2004),1)))</f>
        <v/>
      </c>
      <c r="BF54" s="33" t="str">
        <f aca="false">IF(A54="","",IF(BE54="","No rebar schedule yet",IF(ABS(BE54-N(BA54))/MAX(N(BA54),1)&gt;SG_Criteria!$B$55,"NOTE: register rebar differs from schedule by "&amp;TEXT(ABS(BE54-N(BA54))/MAX(N(BA54),1),"0%"),"OK")))</f>
        <v/>
      </c>
      <c r="BG54" s="33" t="str">
        <f aca="false">IF(D54="","",IF(LEN(IF(AND(Z54&lt;&gt;"",IFERROR(VALUE(MID(Z54,2,2)),0)&lt;SG_Criteria!$B$19),"FAIL: grade below C"&amp;SG_Criteria!$B$19&amp;". ","")&amp;IF(AND(AA54&lt;&gt;"",AA54&lt;SG_Criteria!$B$20),"FAIL: cover &lt; "&amp;SG_Criteria!$B$20&amp;" mm. ","")&amp;IF(AND(I54&lt;&gt;"",I54&lt;SG_Criteria!$B$39),"NOTE: min depth below PUB "&amp;SG_Criteria!$B$39&amp;" m. ","")&amp;IF(AND(LEFT(D54,8)="Standard",J54&gt;SG_Criteria!$B$42),"FAIL: PUB 001C covers manholes up to "&amp;SG_Criteria!$B$42&amp;" m deep only. ","")&amp;IF(AND(LEFT(D54,11)="Rectangular",K54&lt;SG_Criteria!$B$43),"NOTE: 004C is for sewers &gt;= "&amp;SG_Criteria!$B$43&amp;" dia. ","")&amp;IF(AND(LEFT(D54,7)="Precast",J54&lt;=SG_Criteria!$B$42),"NOTE: 006C is for manholes &gt; "&amp;SG_Criteria!$B$42&amp;" m deep. ","")&amp;IF(AND(K54&lt;&gt;"",K54&lt;SG_Criteria!$B$40,D54&lt;&gt;"Inspection Chamber"),"NOTE: public sewer min dia "&amp;SG_Criteria!$B$40&amp;" mm. ","")&amp;IF(AND(Y54&lt;&gt;"",Y54&lt;SG_Criteria!$B$44),"FAIL: uplift FOS below "&amp;SG_Criteria!$B$44&amp;". ",""))=0,"OK",IF(AND(Z54&lt;&gt;"",IFERROR(VALUE(MID(Z54,2,2)),0)&lt;SG_Criteria!$B$19),"FAIL: grade below C"&amp;SG_Criteria!$B$19&amp;". ","")&amp;IF(AND(AA54&lt;&gt;"",AA54&lt;SG_Criteria!$B$20),"FAIL: cover &lt; "&amp;SG_Criteria!$B$20&amp;" mm. ","")&amp;IF(AND(I54&lt;&gt;"",I54&lt;SG_Criteria!$B$39),"NOTE: min depth below PUB "&amp;SG_Criteria!$B$39&amp;" m. ","")&amp;IF(AND(LEFT(D54,8)="Standard",J54&gt;SG_Criteria!$B$42),"FAIL: PUB 001C covers manholes up to "&amp;SG_Criteria!$B$42&amp;" m deep only. ","")&amp;IF(AND(LEFT(D54,11)="Rectangular",K54&lt;SG_Criteria!$B$43),"NOTE: 004C is for sewers &gt;= "&amp;SG_Criteria!$B$43&amp;" dia. ","")&amp;IF(AND(LEFT(D54,7)="Precast",J54&lt;=SG_Criteria!$B$42),"NOTE: 006C is for manholes &gt; "&amp;SG_Criteria!$B$42&amp;" m deep. ","")&amp;IF(AND(K54&lt;&gt;"",K54&lt;SG_Criteria!$B$40,D54&lt;&gt;"Inspection Chamber"),"NOTE: public sewer min dia "&amp;SG_Criteria!$B$40&amp;" mm. ","")&amp;IF(AND(Y54&lt;&gt;"",Y54&lt;SG_Criteria!$B$44),"FAIL: uplift FOS below "&amp;SG_Criteria!$B$44&amp;". ","")))</f>
        <v/>
      </c>
      <c r="BH54" s="9"/>
      <c r="BI54" s="9"/>
      <c r="BJ54" s="9"/>
      <c r="BK54" s="10" t="str">
        <f aca="false">IF(BJ54="","",IFERROR(VLOOKUP(BJ54,Projects!$A$5:$D$504,2,0),"Ref not in Projects"))</f>
        <v/>
      </c>
      <c r="BL54" s="10" t="str">
        <f aca="false">IF(BJ54="","",IFERROR(VLOOKUP(BJ54,Projects!$A$5:$D$504,4,0),"Ref not in Projects"))</f>
        <v/>
      </c>
      <c r="BM54" s="9"/>
      <c r="BN54" s="9"/>
      <c r="BO54" s="9"/>
      <c r="BP54" s="40"/>
      <c r="BQ54" s="9"/>
      <c r="BR54" s="40"/>
      <c r="BS54" s="9"/>
      <c r="BT54" s="40"/>
      <c r="BU54" s="9"/>
      <c r="BV54" s="9"/>
      <c r="BW54" s="9"/>
      <c r="BX54" s="40"/>
      <c r="BY54" s="40"/>
      <c r="BZ54" s="36" t="str">
        <f aca="false">IF(BY54="","",EDATE(BY54,SG_Criteria!$B$54*12))</f>
        <v/>
      </c>
      <c r="CA54" s="33" t="str">
        <f aca="true">IF(A54="","",IF(BY54="","NOTE: not reviewed yet",IF(TODAY()&gt;BZ54,"NOTE: review overdue","OK")))</f>
        <v/>
      </c>
      <c r="CB54" s="37" t="str">
        <f aca="false">IF(A54="","",ROUND((IF(LEN(D54)&gt;0,1,0)+IF(LEN(E54)&gt;0,1,0)+IF(LEN(F54)&gt;0,1,0)+IF(LEN(G54)&gt;0,1,0)+IF(LEN(I54)&gt;0,1,0)+IF(LEN(J54)&gt;0,1,0)+IF(LEN(K54)&gt;0,1,0)+IF(LEN(L54)&gt;0,1,0)+IF(LEN(M54)&gt;0,1,0)+IF(LEN(N54)&gt;0,1,0)+IF(LEN(Z54)&gt;0,1,0)+IF(LEN(AA54)&gt;0,1,0)+IF(LEN(Y54)&gt;0,1,0)+IF(LEN(AE54)&gt;0,1,0)+IF(LEN(AG54)&gt;0,1,0)+IF(LEN(AZ54)&gt;0,1,0)+IF(LEN(AK54)&gt;0,1,0)+IF(LEN(AM54)&gt;0,1,0)+IF(LEN(AN54)&gt;0,1,0)+IF(LEN(AO54)&gt;0,1,0)+IF(LEN(AP54)&gt;0,1,0)+IF(LEN(AY54)&gt;0,1,0)+IF(LEN(BJ54)&gt;0,1,0)+IF(LEN(BW54)&gt;0,1,0))/24,2))</f>
        <v/>
      </c>
      <c r="CC54" s="10" t="str">
        <f aca="false">IF(D54="","",IF(AND(AN54="Approved",ISERROR(SEARCH("FAIL",BG54))),"Y","N"))</f>
        <v/>
      </c>
      <c r="CD54" s="10" t="str">
        <f aca="false">IF(D54="","",D54&amp;"|"&amp;J54&amp;"|"&amp;G54&amp;"|"&amp;CC54)</f>
        <v/>
      </c>
    </row>
    <row r="55" customFormat="false" ht="15" hidden="false" customHeight="false" outlineLevel="0" collapsed="false">
      <c r="A55" s="10" t="str">
        <f aca="false">IF(D55="","","MH-"&amp;IFERROR(VLOOKUP(D55,Lists!$AB$4:$AC$20,2,0),"??")&amp;"-"&amp;TEXT(G55,"0000")&amp;IF(F55="Circular","D","x"&amp;TEXT(H55,"0000"))&amp;"-D"&amp;TEXT(J55*1000,"0000")&amp;"-"&amp;IFERROR(VLOOKUP(E55,Lists!$AE$4:$AF$16,2,0),"??")&amp;"-"&amp;AM55)</f>
        <v/>
      </c>
      <c r="B55" s="10" t="str">
        <f aca="false">IF(D55="","",D55&amp;", "&amp;E55&amp;", "&amp;IF(F55="Circular",G55&amp;" dia",G55&amp;" x "&amp;H55)&amp;", depth "&amp;TEXT(I55,"0.0")&amp;"-"&amp;TEXT(J55,"0.0")&amp;" m, pipe up to "&amp;K55&amp;" dia")</f>
        <v/>
      </c>
      <c r="C55" s="9"/>
      <c r="D55" s="9"/>
      <c r="E55" s="9"/>
      <c r="F55" s="9"/>
      <c r="G55" s="38"/>
      <c r="H55" s="38"/>
      <c r="I55" s="42"/>
      <c r="J55" s="42"/>
      <c r="K55" s="38"/>
      <c r="L55" s="38"/>
      <c r="M55" s="38"/>
      <c r="N55" s="38"/>
      <c r="O55" s="9"/>
      <c r="P55" s="9"/>
      <c r="Q55" s="9"/>
      <c r="R55" s="9"/>
      <c r="S55" s="9"/>
      <c r="T55" s="9"/>
      <c r="U55" s="9"/>
      <c r="V55" s="42"/>
      <c r="W55" s="9"/>
      <c r="X55" s="9"/>
      <c r="Y55" s="39"/>
      <c r="Z55" s="9"/>
      <c r="AA55" s="38"/>
      <c r="AB55" s="9"/>
      <c r="AC55" s="9"/>
      <c r="AD55" s="9"/>
      <c r="AE55" s="9"/>
      <c r="AF55" s="9"/>
      <c r="AG55" s="9"/>
      <c r="AH55" s="38"/>
      <c r="AI55" s="9"/>
      <c r="AJ55" s="39"/>
      <c r="AK55" s="9"/>
      <c r="AL55" s="9"/>
      <c r="AM55" s="9"/>
      <c r="AN55" s="9"/>
      <c r="AO55" s="9"/>
      <c r="AP55" s="9"/>
      <c r="AQ55" s="9"/>
      <c r="AR55" s="10" t="str">
        <f aca="false">IF(A55="","",SG_Criteria!$B$6&amp;SG_Criteria!$B$10&amp;"\"&amp;A55&amp;"\")</f>
        <v/>
      </c>
      <c r="AS55" s="10" t="str">
        <f aca="false">IF(A55="","",A55&amp;"_CAD.dwg")</f>
        <v/>
      </c>
      <c r="AT55" s="10" t="str">
        <f aca="false">IF(A55="","",A55&amp;"_DWG.pdf")</f>
        <v/>
      </c>
      <c r="AU55" s="10" t="str">
        <f aca="false">IF(A55="","",IF(AQ55="Y",A55&amp;"_STAAD.std","n/a"))</f>
        <v/>
      </c>
      <c r="AV55" s="10" t="str">
        <f aca="false">IF(A55="","",A55&amp;"_CALC.xlsx")</f>
        <v/>
      </c>
      <c r="AW55" s="10" t="str">
        <f aca="false">IF(A55="","",A55&amp;"_CALC.pdf")</f>
        <v/>
      </c>
      <c r="AX55" s="9"/>
      <c r="AY55" s="9"/>
      <c r="AZ55" s="39"/>
      <c r="BA55" s="39"/>
      <c r="BB55" s="39"/>
      <c r="BC55" s="39"/>
      <c r="BD55" s="39"/>
      <c r="BE55" s="12" t="str">
        <f aca="false">IF(A55="","",IF(COUNTIF(Rebar_Schedule!$A$5:$A$2004,A55)=0,"",ROUND(SUMIF(Rebar_Schedule!$A$5:$A$2004,A55,Rebar_Schedule!$K$5:$K$2004),1)))</f>
        <v/>
      </c>
      <c r="BF55" s="33" t="str">
        <f aca="false">IF(A55="","",IF(BE55="","No rebar schedule yet",IF(ABS(BE55-N(BA55))/MAX(N(BA55),1)&gt;SG_Criteria!$B$55,"NOTE: register rebar differs from schedule by "&amp;TEXT(ABS(BE55-N(BA55))/MAX(N(BA55),1),"0%"),"OK")))</f>
        <v/>
      </c>
      <c r="BG55" s="33" t="str">
        <f aca="false">IF(D55="","",IF(LEN(IF(AND(Z55&lt;&gt;"",IFERROR(VALUE(MID(Z55,2,2)),0)&lt;SG_Criteria!$B$19),"FAIL: grade below C"&amp;SG_Criteria!$B$19&amp;". ","")&amp;IF(AND(AA55&lt;&gt;"",AA55&lt;SG_Criteria!$B$20),"FAIL: cover &lt; "&amp;SG_Criteria!$B$20&amp;" mm. ","")&amp;IF(AND(I55&lt;&gt;"",I55&lt;SG_Criteria!$B$39),"NOTE: min depth below PUB "&amp;SG_Criteria!$B$39&amp;" m. ","")&amp;IF(AND(LEFT(D55,8)="Standard",J55&gt;SG_Criteria!$B$42),"FAIL: PUB 001C covers manholes up to "&amp;SG_Criteria!$B$42&amp;" m deep only. ","")&amp;IF(AND(LEFT(D55,11)="Rectangular",K55&lt;SG_Criteria!$B$43),"NOTE: 004C is for sewers &gt;= "&amp;SG_Criteria!$B$43&amp;" dia. ","")&amp;IF(AND(LEFT(D55,7)="Precast",J55&lt;=SG_Criteria!$B$42),"NOTE: 006C is for manholes &gt; "&amp;SG_Criteria!$B$42&amp;" m deep. ","")&amp;IF(AND(K55&lt;&gt;"",K55&lt;SG_Criteria!$B$40,D55&lt;&gt;"Inspection Chamber"),"NOTE: public sewer min dia "&amp;SG_Criteria!$B$40&amp;" mm. ","")&amp;IF(AND(Y55&lt;&gt;"",Y55&lt;SG_Criteria!$B$44),"FAIL: uplift FOS below "&amp;SG_Criteria!$B$44&amp;". ",""))=0,"OK",IF(AND(Z55&lt;&gt;"",IFERROR(VALUE(MID(Z55,2,2)),0)&lt;SG_Criteria!$B$19),"FAIL: grade below C"&amp;SG_Criteria!$B$19&amp;". ","")&amp;IF(AND(AA55&lt;&gt;"",AA55&lt;SG_Criteria!$B$20),"FAIL: cover &lt; "&amp;SG_Criteria!$B$20&amp;" mm. ","")&amp;IF(AND(I55&lt;&gt;"",I55&lt;SG_Criteria!$B$39),"NOTE: min depth below PUB "&amp;SG_Criteria!$B$39&amp;" m. ","")&amp;IF(AND(LEFT(D55,8)="Standard",J55&gt;SG_Criteria!$B$42),"FAIL: PUB 001C covers manholes up to "&amp;SG_Criteria!$B$42&amp;" m deep only. ","")&amp;IF(AND(LEFT(D55,11)="Rectangular",K55&lt;SG_Criteria!$B$43),"NOTE: 004C is for sewers &gt;= "&amp;SG_Criteria!$B$43&amp;" dia. ","")&amp;IF(AND(LEFT(D55,7)="Precast",J55&lt;=SG_Criteria!$B$42),"NOTE: 006C is for manholes &gt; "&amp;SG_Criteria!$B$42&amp;" m deep. ","")&amp;IF(AND(K55&lt;&gt;"",K55&lt;SG_Criteria!$B$40,D55&lt;&gt;"Inspection Chamber"),"NOTE: public sewer min dia "&amp;SG_Criteria!$B$40&amp;" mm. ","")&amp;IF(AND(Y55&lt;&gt;"",Y55&lt;SG_Criteria!$B$44),"FAIL: uplift FOS below "&amp;SG_Criteria!$B$44&amp;". ","")))</f>
        <v/>
      </c>
      <c r="BH55" s="9"/>
      <c r="BI55" s="9"/>
      <c r="BJ55" s="9"/>
      <c r="BK55" s="10" t="str">
        <f aca="false">IF(BJ55="","",IFERROR(VLOOKUP(BJ55,Projects!$A$5:$D$504,2,0),"Ref not in Projects"))</f>
        <v/>
      </c>
      <c r="BL55" s="10" t="str">
        <f aca="false">IF(BJ55="","",IFERROR(VLOOKUP(BJ55,Projects!$A$5:$D$504,4,0),"Ref not in Projects"))</f>
        <v/>
      </c>
      <c r="BM55" s="9"/>
      <c r="BN55" s="9"/>
      <c r="BO55" s="9"/>
      <c r="BP55" s="40"/>
      <c r="BQ55" s="9"/>
      <c r="BR55" s="40"/>
      <c r="BS55" s="9"/>
      <c r="BT55" s="40"/>
      <c r="BU55" s="9"/>
      <c r="BV55" s="9"/>
      <c r="BW55" s="9"/>
      <c r="BX55" s="40"/>
      <c r="BY55" s="40"/>
      <c r="BZ55" s="36" t="str">
        <f aca="false">IF(BY55="","",EDATE(BY55,SG_Criteria!$B$54*12))</f>
        <v/>
      </c>
      <c r="CA55" s="33" t="str">
        <f aca="true">IF(A55="","",IF(BY55="","NOTE: not reviewed yet",IF(TODAY()&gt;BZ55,"NOTE: review overdue","OK")))</f>
        <v/>
      </c>
      <c r="CB55" s="37" t="str">
        <f aca="false">IF(A55="","",ROUND((IF(LEN(D55)&gt;0,1,0)+IF(LEN(E55)&gt;0,1,0)+IF(LEN(F55)&gt;0,1,0)+IF(LEN(G55)&gt;0,1,0)+IF(LEN(I55)&gt;0,1,0)+IF(LEN(J55)&gt;0,1,0)+IF(LEN(K55)&gt;0,1,0)+IF(LEN(L55)&gt;0,1,0)+IF(LEN(M55)&gt;0,1,0)+IF(LEN(N55)&gt;0,1,0)+IF(LEN(Z55)&gt;0,1,0)+IF(LEN(AA55)&gt;0,1,0)+IF(LEN(Y55)&gt;0,1,0)+IF(LEN(AE55)&gt;0,1,0)+IF(LEN(AG55)&gt;0,1,0)+IF(LEN(AZ55)&gt;0,1,0)+IF(LEN(AK55)&gt;0,1,0)+IF(LEN(AM55)&gt;0,1,0)+IF(LEN(AN55)&gt;0,1,0)+IF(LEN(AO55)&gt;0,1,0)+IF(LEN(AP55)&gt;0,1,0)+IF(LEN(AY55)&gt;0,1,0)+IF(LEN(BJ55)&gt;0,1,0)+IF(LEN(BW55)&gt;0,1,0))/24,2))</f>
        <v/>
      </c>
      <c r="CC55" s="10" t="str">
        <f aca="false">IF(D55="","",IF(AND(AN55="Approved",ISERROR(SEARCH("FAIL",BG55))),"Y","N"))</f>
        <v/>
      </c>
      <c r="CD55" s="10" t="str">
        <f aca="false">IF(D55="","",D55&amp;"|"&amp;J55&amp;"|"&amp;G55&amp;"|"&amp;CC55)</f>
        <v/>
      </c>
    </row>
    <row r="56" customFormat="false" ht="15" hidden="false" customHeight="false" outlineLevel="0" collapsed="false">
      <c r="A56" s="10" t="str">
        <f aca="false">IF(D56="","","MH-"&amp;IFERROR(VLOOKUP(D56,Lists!$AB$4:$AC$20,2,0),"??")&amp;"-"&amp;TEXT(G56,"0000")&amp;IF(F56="Circular","D","x"&amp;TEXT(H56,"0000"))&amp;"-D"&amp;TEXT(J56*1000,"0000")&amp;"-"&amp;IFERROR(VLOOKUP(E56,Lists!$AE$4:$AF$16,2,0),"??")&amp;"-"&amp;AM56)</f>
        <v/>
      </c>
      <c r="B56" s="10" t="str">
        <f aca="false">IF(D56="","",D56&amp;", "&amp;E56&amp;", "&amp;IF(F56="Circular",G56&amp;" dia",G56&amp;" x "&amp;H56)&amp;", depth "&amp;TEXT(I56,"0.0")&amp;"-"&amp;TEXT(J56,"0.0")&amp;" m, pipe up to "&amp;K56&amp;" dia")</f>
        <v/>
      </c>
      <c r="C56" s="9"/>
      <c r="D56" s="9"/>
      <c r="E56" s="9"/>
      <c r="F56" s="9"/>
      <c r="G56" s="38"/>
      <c r="H56" s="38"/>
      <c r="I56" s="42"/>
      <c r="J56" s="42"/>
      <c r="K56" s="38"/>
      <c r="L56" s="38"/>
      <c r="M56" s="38"/>
      <c r="N56" s="38"/>
      <c r="O56" s="9"/>
      <c r="P56" s="9"/>
      <c r="Q56" s="9"/>
      <c r="R56" s="9"/>
      <c r="S56" s="9"/>
      <c r="T56" s="9"/>
      <c r="U56" s="9"/>
      <c r="V56" s="42"/>
      <c r="W56" s="9"/>
      <c r="X56" s="9"/>
      <c r="Y56" s="39"/>
      <c r="Z56" s="9"/>
      <c r="AA56" s="38"/>
      <c r="AB56" s="9"/>
      <c r="AC56" s="9"/>
      <c r="AD56" s="9"/>
      <c r="AE56" s="9"/>
      <c r="AF56" s="9"/>
      <c r="AG56" s="9"/>
      <c r="AH56" s="38"/>
      <c r="AI56" s="9"/>
      <c r="AJ56" s="39"/>
      <c r="AK56" s="9"/>
      <c r="AL56" s="9"/>
      <c r="AM56" s="9"/>
      <c r="AN56" s="9"/>
      <c r="AO56" s="9"/>
      <c r="AP56" s="9"/>
      <c r="AQ56" s="9"/>
      <c r="AR56" s="10" t="str">
        <f aca="false">IF(A56="","",SG_Criteria!$B$6&amp;SG_Criteria!$B$10&amp;"\"&amp;A56&amp;"\")</f>
        <v/>
      </c>
      <c r="AS56" s="10" t="str">
        <f aca="false">IF(A56="","",A56&amp;"_CAD.dwg")</f>
        <v/>
      </c>
      <c r="AT56" s="10" t="str">
        <f aca="false">IF(A56="","",A56&amp;"_DWG.pdf")</f>
        <v/>
      </c>
      <c r="AU56" s="10" t="str">
        <f aca="false">IF(A56="","",IF(AQ56="Y",A56&amp;"_STAAD.std","n/a"))</f>
        <v/>
      </c>
      <c r="AV56" s="10" t="str">
        <f aca="false">IF(A56="","",A56&amp;"_CALC.xlsx")</f>
        <v/>
      </c>
      <c r="AW56" s="10" t="str">
        <f aca="false">IF(A56="","",A56&amp;"_CALC.pdf")</f>
        <v/>
      </c>
      <c r="AX56" s="9"/>
      <c r="AY56" s="9"/>
      <c r="AZ56" s="39"/>
      <c r="BA56" s="39"/>
      <c r="BB56" s="39"/>
      <c r="BC56" s="39"/>
      <c r="BD56" s="39"/>
      <c r="BE56" s="12" t="str">
        <f aca="false">IF(A56="","",IF(COUNTIF(Rebar_Schedule!$A$5:$A$2004,A56)=0,"",ROUND(SUMIF(Rebar_Schedule!$A$5:$A$2004,A56,Rebar_Schedule!$K$5:$K$2004),1)))</f>
        <v/>
      </c>
      <c r="BF56" s="33" t="str">
        <f aca="false">IF(A56="","",IF(BE56="","No rebar schedule yet",IF(ABS(BE56-N(BA56))/MAX(N(BA56),1)&gt;SG_Criteria!$B$55,"NOTE: register rebar differs from schedule by "&amp;TEXT(ABS(BE56-N(BA56))/MAX(N(BA56),1),"0%"),"OK")))</f>
        <v/>
      </c>
      <c r="BG56" s="33" t="str">
        <f aca="false">IF(D56="","",IF(LEN(IF(AND(Z56&lt;&gt;"",IFERROR(VALUE(MID(Z56,2,2)),0)&lt;SG_Criteria!$B$19),"FAIL: grade below C"&amp;SG_Criteria!$B$19&amp;". ","")&amp;IF(AND(AA56&lt;&gt;"",AA56&lt;SG_Criteria!$B$20),"FAIL: cover &lt; "&amp;SG_Criteria!$B$20&amp;" mm. ","")&amp;IF(AND(I56&lt;&gt;"",I56&lt;SG_Criteria!$B$39),"NOTE: min depth below PUB "&amp;SG_Criteria!$B$39&amp;" m. ","")&amp;IF(AND(LEFT(D56,8)="Standard",J56&gt;SG_Criteria!$B$42),"FAIL: PUB 001C covers manholes up to "&amp;SG_Criteria!$B$42&amp;" m deep only. ","")&amp;IF(AND(LEFT(D56,11)="Rectangular",K56&lt;SG_Criteria!$B$43),"NOTE: 004C is for sewers &gt;= "&amp;SG_Criteria!$B$43&amp;" dia. ","")&amp;IF(AND(LEFT(D56,7)="Precast",J56&lt;=SG_Criteria!$B$42),"NOTE: 006C is for manholes &gt; "&amp;SG_Criteria!$B$42&amp;" m deep. ","")&amp;IF(AND(K56&lt;&gt;"",K56&lt;SG_Criteria!$B$40,D56&lt;&gt;"Inspection Chamber"),"NOTE: public sewer min dia "&amp;SG_Criteria!$B$40&amp;" mm. ","")&amp;IF(AND(Y56&lt;&gt;"",Y56&lt;SG_Criteria!$B$44),"FAIL: uplift FOS below "&amp;SG_Criteria!$B$44&amp;". ",""))=0,"OK",IF(AND(Z56&lt;&gt;"",IFERROR(VALUE(MID(Z56,2,2)),0)&lt;SG_Criteria!$B$19),"FAIL: grade below C"&amp;SG_Criteria!$B$19&amp;". ","")&amp;IF(AND(AA56&lt;&gt;"",AA56&lt;SG_Criteria!$B$20),"FAIL: cover &lt; "&amp;SG_Criteria!$B$20&amp;" mm. ","")&amp;IF(AND(I56&lt;&gt;"",I56&lt;SG_Criteria!$B$39),"NOTE: min depth below PUB "&amp;SG_Criteria!$B$39&amp;" m. ","")&amp;IF(AND(LEFT(D56,8)="Standard",J56&gt;SG_Criteria!$B$42),"FAIL: PUB 001C covers manholes up to "&amp;SG_Criteria!$B$42&amp;" m deep only. ","")&amp;IF(AND(LEFT(D56,11)="Rectangular",K56&lt;SG_Criteria!$B$43),"NOTE: 004C is for sewers &gt;= "&amp;SG_Criteria!$B$43&amp;" dia. ","")&amp;IF(AND(LEFT(D56,7)="Precast",J56&lt;=SG_Criteria!$B$42),"NOTE: 006C is for manholes &gt; "&amp;SG_Criteria!$B$42&amp;" m deep. ","")&amp;IF(AND(K56&lt;&gt;"",K56&lt;SG_Criteria!$B$40,D56&lt;&gt;"Inspection Chamber"),"NOTE: public sewer min dia "&amp;SG_Criteria!$B$40&amp;" mm. ","")&amp;IF(AND(Y56&lt;&gt;"",Y56&lt;SG_Criteria!$B$44),"FAIL: uplift FOS below "&amp;SG_Criteria!$B$44&amp;". ","")))</f>
        <v/>
      </c>
      <c r="BH56" s="9"/>
      <c r="BI56" s="9"/>
      <c r="BJ56" s="9"/>
      <c r="BK56" s="10" t="str">
        <f aca="false">IF(BJ56="","",IFERROR(VLOOKUP(BJ56,Projects!$A$5:$D$504,2,0),"Ref not in Projects"))</f>
        <v/>
      </c>
      <c r="BL56" s="10" t="str">
        <f aca="false">IF(BJ56="","",IFERROR(VLOOKUP(BJ56,Projects!$A$5:$D$504,4,0),"Ref not in Projects"))</f>
        <v/>
      </c>
      <c r="BM56" s="9"/>
      <c r="BN56" s="9"/>
      <c r="BO56" s="9"/>
      <c r="BP56" s="40"/>
      <c r="BQ56" s="9"/>
      <c r="BR56" s="40"/>
      <c r="BS56" s="9"/>
      <c r="BT56" s="40"/>
      <c r="BU56" s="9"/>
      <c r="BV56" s="9"/>
      <c r="BW56" s="9"/>
      <c r="BX56" s="40"/>
      <c r="BY56" s="40"/>
      <c r="BZ56" s="36" t="str">
        <f aca="false">IF(BY56="","",EDATE(BY56,SG_Criteria!$B$54*12))</f>
        <v/>
      </c>
      <c r="CA56" s="33" t="str">
        <f aca="true">IF(A56="","",IF(BY56="","NOTE: not reviewed yet",IF(TODAY()&gt;BZ56,"NOTE: review overdue","OK")))</f>
        <v/>
      </c>
      <c r="CB56" s="37" t="str">
        <f aca="false">IF(A56="","",ROUND((IF(LEN(D56)&gt;0,1,0)+IF(LEN(E56)&gt;0,1,0)+IF(LEN(F56)&gt;0,1,0)+IF(LEN(G56)&gt;0,1,0)+IF(LEN(I56)&gt;0,1,0)+IF(LEN(J56)&gt;0,1,0)+IF(LEN(K56)&gt;0,1,0)+IF(LEN(L56)&gt;0,1,0)+IF(LEN(M56)&gt;0,1,0)+IF(LEN(N56)&gt;0,1,0)+IF(LEN(Z56)&gt;0,1,0)+IF(LEN(AA56)&gt;0,1,0)+IF(LEN(Y56)&gt;0,1,0)+IF(LEN(AE56)&gt;0,1,0)+IF(LEN(AG56)&gt;0,1,0)+IF(LEN(AZ56)&gt;0,1,0)+IF(LEN(AK56)&gt;0,1,0)+IF(LEN(AM56)&gt;0,1,0)+IF(LEN(AN56)&gt;0,1,0)+IF(LEN(AO56)&gt;0,1,0)+IF(LEN(AP56)&gt;0,1,0)+IF(LEN(AY56)&gt;0,1,0)+IF(LEN(BJ56)&gt;0,1,0)+IF(LEN(BW56)&gt;0,1,0))/24,2))</f>
        <v/>
      </c>
      <c r="CC56" s="10" t="str">
        <f aca="false">IF(D56="","",IF(AND(AN56="Approved",ISERROR(SEARCH("FAIL",BG56))),"Y","N"))</f>
        <v/>
      </c>
      <c r="CD56" s="10" t="str">
        <f aca="false">IF(D56="","",D56&amp;"|"&amp;J56&amp;"|"&amp;G56&amp;"|"&amp;CC56)</f>
        <v/>
      </c>
    </row>
    <row r="57" customFormat="false" ht="15" hidden="false" customHeight="false" outlineLevel="0" collapsed="false">
      <c r="A57" s="10" t="str">
        <f aca="false">IF(D57="","","MH-"&amp;IFERROR(VLOOKUP(D57,Lists!$AB$4:$AC$20,2,0),"??")&amp;"-"&amp;TEXT(G57,"0000")&amp;IF(F57="Circular","D","x"&amp;TEXT(H57,"0000"))&amp;"-D"&amp;TEXT(J57*1000,"0000")&amp;"-"&amp;IFERROR(VLOOKUP(E57,Lists!$AE$4:$AF$16,2,0),"??")&amp;"-"&amp;AM57)</f>
        <v/>
      </c>
      <c r="B57" s="10" t="str">
        <f aca="false">IF(D57="","",D57&amp;", "&amp;E57&amp;", "&amp;IF(F57="Circular",G57&amp;" dia",G57&amp;" x "&amp;H57)&amp;", depth "&amp;TEXT(I57,"0.0")&amp;"-"&amp;TEXT(J57,"0.0")&amp;" m, pipe up to "&amp;K57&amp;" dia")</f>
        <v/>
      </c>
      <c r="C57" s="9"/>
      <c r="D57" s="9"/>
      <c r="E57" s="9"/>
      <c r="F57" s="9"/>
      <c r="G57" s="38"/>
      <c r="H57" s="38"/>
      <c r="I57" s="42"/>
      <c r="J57" s="42"/>
      <c r="K57" s="38"/>
      <c r="L57" s="38"/>
      <c r="M57" s="38"/>
      <c r="N57" s="38"/>
      <c r="O57" s="9"/>
      <c r="P57" s="9"/>
      <c r="Q57" s="9"/>
      <c r="R57" s="9"/>
      <c r="S57" s="9"/>
      <c r="T57" s="9"/>
      <c r="U57" s="9"/>
      <c r="V57" s="42"/>
      <c r="W57" s="9"/>
      <c r="X57" s="9"/>
      <c r="Y57" s="39"/>
      <c r="Z57" s="9"/>
      <c r="AA57" s="38"/>
      <c r="AB57" s="9"/>
      <c r="AC57" s="9"/>
      <c r="AD57" s="9"/>
      <c r="AE57" s="9"/>
      <c r="AF57" s="9"/>
      <c r="AG57" s="9"/>
      <c r="AH57" s="38"/>
      <c r="AI57" s="9"/>
      <c r="AJ57" s="39"/>
      <c r="AK57" s="9"/>
      <c r="AL57" s="9"/>
      <c r="AM57" s="9"/>
      <c r="AN57" s="9"/>
      <c r="AO57" s="9"/>
      <c r="AP57" s="9"/>
      <c r="AQ57" s="9"/>
      <c r="AR57" s="10" t="str">
        <f aca="false">IF(A57="","",SG_Criteria!$B$6&amp;SG_Criteria!$B$10&amp;"\"&amp;A57&amp;"\")</f>
        <v/>
      </c>
      <c r="AS57" s="10" t="str">
        <f aca="false">IF(A57="","",A57&amp;"_CAD.dwg")</f>
        <v/>
      </c>
      <c r="AT57" s="10" t="str">
        <f aca="false">IF(A57="","",A57&amp;"_DWG.pdf")</f>
        <v/>
      </c>
      <c r="AU57" s="10" t="str">
        <f aca="false">IF(A57="","",IF(AQ57="Y",A57&amp;"_STAAD.std","n/a"))</f>
        <v/>
      </c>
      <c r="AV57" s="10" t="str">
        <f aca="false">IF(A57="","",A57&amp;"_CALC.xlsx")</f>
        <v/>
      </c>
      <c r="AW57" s="10" t="str">
        <f aca="false">IF(A57="","",A57&amp;"_CALC.pdf")</f>
        <v/>
      </c>
      <c r="AX57" s="9"/>
      <c r="AY57" s="9"/>
      <c r="AZ57" s="39"/>
      <c r="BA57" s="39"/>
      <c r="BB57" s="39"/>
      <c r="BC57" s="39"/>
      <c r="BD57" s="39"/>
      <c r="BE57" s="12" t="str">
        <f aca="false">IF(A57="","",IF(COUNTIF(Rebar_Schedule!$A$5:$A$2004,A57)=0,"",ROUND(SUMIF(Rebar_Schedule!$A$5:$A$2004,A57,Rebar_Schedule!$K$5:$K$2004),1)))</f>
        <v/>
      </c>
      <c r="BF57" s="33" t="str">
        <f aca="false">IF(A57="","",IF(BE57="","No rebar schedule yet",IF(ABS(BE57-N(BA57))/MAX(N(BA57),1)&gt;SG_Criteria!$B$55,"NOTE: register rebar differs from schedule by "&amp;TEXT(ABS(BE57-N(BA57))/MAX(N(BA57),1),"0%"),"OK")))</f>
        <v/>
      </c>
      <c r="BG57" s="33" t="str">
        <f aca="false">IF(D57="","",IF(LEN(IF(AND(Z57&lt;&gt;"",IFERROR(VALUE(MID(Z57,2,2)),0)&lt;SG_Criteria!$B$19),"FAIL: grade below C"&amp;SG_Criteria!$B$19&amp;". ","")&amp;IF(AND(AA57&lt;&gt;"",AA57&lt;SG_Criteria!$B$20),"FAIL: cover &lt; "&amp;SG_Criteria!$B$20&amp;" mm. ","")&amp;IF(AND(I57&lt;&gt;"",I57&lt;SG_Criteria!$B$39),"NOTE: min depth below PUB "&amp;SG_Criteria!$B$39&amp;" m. ","")&amp;IF(AND(LEFT(D57,8)="Standard",J57&gt;SG_Criteria!$B$42),"FAIL: PUB 001C covers manholes up to "&amp;SG_Criteria!$B$42&amp;" m deep only. ","")&amp;IF(AND(LEFT(D57,11)="Rectangular",K57&lt;SG_Criteria!$B$43),"NOTE: 004C is for sewers &gt;= "&amp;SG_Criteria!$B$43&amp;" dia. ","")&amp;IF(AND(LEFT(D57,7)="Precast",J57&lt;=SG_Criteria!$B$42),"NOTE: 006C is for manholes &gt; "&amp;SG_Criteria!$B$42&amp;" m deep. ","")&amp;IF(AND(K57&lt;&gt;"",K57&lt;SG_Criteria!$B$40,D57&lt;&gt;"Inspection Chamber"),"NOTE: public sewer min dia "&amp;SG_Criteria!$B$40&amp;" mm. ","")&amp;IF(AND(Y57&lt;&gt;"",Y57&lt;SG_Criteria!$B$44),"FAIL: uplift FOS below "&amp;SG_Criteria!$B$44&amp;". ",""))=0,"OK",IF(AND(Z57&lt;&gt;"",IFERROR(VALUE(MID(Z57,2,2)),0)&lt;SG_Criteria!$B$19),"FAIL: grade below C"&amp;SG_Criteria!$B$19&amp;". ","")&amp;IF(AND(AA57&lt;&gt;"",AA57&lt;SG_Criteria!$B$20),"FAIL: cover &lt; "&amp;SG_Criteria!$B$20&amp;" mm. ","")&amp;IF(AND(I57&lt;&gt;"",I57&lt;SG_Criteria!$B$39),"NOTE: min depth below PUB "&amp;SG_Criteria!$B$39&amp;" m. ","")&amp;IF(AND(LEFT(D57,8)="Standard",J57&gt;SG_Criteria!$B$42),"FAIL: PUB 001C covers manholes up to "&amp;SG_Criteria!$B$42&amp;" m deep only. ","")&amp;IF(AND(LEFT(D57,11)="Rectangular",K57&lt;SG_Criteria!$B$43),"NOTE: 004C is for sewers &gt;= "&amp;SG_Criteria!$B$43&amp;" dia. ","")&amp;IF(AND(LEFT(D57,7)="Precast",J57&lt;=SG_Criteria!$B$42),"NOTE: 006C is for manholes &gt; "&amp;SG_Criteria!$B$42&amp;" m deep. ","")&amp;IF(AND(K57&lt;&gt;"",K57&lt;SG_Criteria!$B$40,D57&lt;&gt;"Inspection Chamber"),"NOTE: public sewer min dia "&amp;SG_Criteria!$B$40&amp;" mm. ","")&amp;IF(AND(Y57&lt;&gt;"",Y57&lt;SG_Criteria!$B$44),"FAIL: uplift FOS below "&amp;SG_Criteria!$B$44&amp;". ","")))</f>
        <v/>
      </c>
      <c r="BH57" s="9"/>
      <c r="BI57" s="9"/>
      <c r="BJ57" s="9"/>
      <c r="BK57" s="10" t="str">
        <f aca="false">IF(BJ57="","",IFERROR(VLOOKUP(BJ57,Projects!$A$5:$D$504,2,0),"Ref not in Projects"))</f>
        <v/>
      </c>
      <c r="BL57" s="10" t="str">
        <f aca="false">IF(BJ57="","",IFERROR(VLOOKUP(BJ57,Projects!$A$5:$D$504,4,0),"Ref not in Projects"))</f>
        <v/>
      </c>
      <c r="BM57" s="9"/>
      <c r="BN57" s="9"/>
      <c r="BO57" s="9"/>
      <c r="BP57" s="40"/>
      <c r="BQ57" s="9"/>
      <c r="BR57" s="40"/>
      <c r="BS57" s="9"/>
      <c r="BT57" s="40"/>
      <c r="BU57" s="9"/>
      <c r="BV57" s="9"/>
      <c r="BW57" s="9"/>
      <c r="BX57" s="40"/>
      <c r="BY57" s="40"/>
      <c r="BZ57" s="36" t="str">
        <f aca="false">IF(BY57="","",EDATE(BY57,SG_Criteria!$B$54*12))</f>
        <v/>
      </c>
      <c r="CA57" s="33" t="str">
        <f aca="true">IF(A57="","",IF(BY57="","NOTE: not reviewed yet",IF(TODAY()&gt;BZ57,"NOTE: review overdue","OK")))</f>
        <v/>
      </c>
      <c r="CB57" s="37" t="str">
        <f aca="false">IF(A57="","",ROUND((IF(LEN(D57)&gt;0,1,0)+IF(LEN(E57)&gt;0,1,0)+IF(LEN(F57)&gt;0,1,0)+IF(LEN(G57)&gt;0,1,0)+IF(LEN(I57)&gt;0,1,0)+IF(LEN(J57)&gt;0,1,0)+IF(LEN(K57)&gt;0,1,0)+IF(LEN(L57)&gt;0,1,0)+IF(LEN(M57)&gt;0,1,0)+IF(LEN(N57)&gt;0,1,0)+IF(LEN(Z57)&gt;0,1,0)+IF(LEN(AA57)&gt;0,1,0)+IF(LEN(Y57)&gt;0,1,0)+IF(LEN(AE57)&gt;0,1,0)+IF(LEN(AG57)&gt;0,1,0)+IF(LEN(AZ57)&gt;0,1,0)+IF(LEN(AK57)&gt;0,1,0)+IF(LEN(AM57)&gt;0,1,0)+IF(LEN(AN57)&gt;0,1,0)+IF(LEN(AO57)&gt;0,1,0)+IF(LEN(AP57)&gt;0,1,0)+IF(LEN(AY57)&gt;0,1,0)+IF(LEN(BJ57)&gt;0,1,0)+IF(LEN(BW57)&gt;0,1,0))/24,2))</f>
        <v/>
      </c>
      <c r="CC57" s="10" t="str">
        <f aca="false">IF(D57="","",IF(AND(AN57="Approved",ISERROR(SEARCH("FAIL",BG57))),"Y","N"))</f>
        <v/>
      </c>
      <c r="CD57" s="10" t="str">
        <f aca="false">IF(D57="","",D57&amp;"|"&amp;J57&amp;"|"&amp;G57&amp;"|"&amp;CC57)</f>
        <v/>
      </c>
    </row>
    <row r="58" customFormat="false" ht="15" hidden="false" customHeight="false" outlineLevel="0" collapsed="false">
      <c r="A58" s="10" t="str">
        <f aca="false">IF(D58="","","MH-"&amp;IFERROR(VLOOKUP(D58,Lists!$AB$4:$AC$20,2,0),"??")&amp;"-"&amp;TEXT(G58,"0000")&amp;IF(F58="Circular","D","x"&amp;TEXT(H58,"0000"))&amp;"-D"&amp;TEXT(J58*1000,"0000")&amp;"-"&amp;IFERROR(VLOOKUP(E58,Lists!$AE$4:$AF$16,2,0),"??")&amp;"-"&amp;AM58)</f>
        <v/>
      </c>
      <c r="B58" s="10" t="str">
        <f aca="false">IF(D58="","",D58&amp;", "&amp;E58&amp;", "&amp;IF(F58="Circular",G58&amp;" dia",G58&amp;" x "&amp;H58)&amp;", depth "&amp;TEXT(I58,"0.0")&amp;"-"&amp;TEXT(J58,"0.0")&amp;" m, pipe up to "&amp;K58&amp;" dia")</f>
        <v/>
      </c>
      <c r="C58" s="9"/>
      <c r="D58" s="9"/>
      <c r="E58" s="9"/>
      <c r="F58" s="9"/>
      <c r="G58" s="38"/>
      <c r="H58" s="38"/>
      <c r="I58" s="42"/>
      <c r="J58" s="42"/>
      <c r="K58" s="38"/>
      <c r="L58" s="38"/>
      <c r="M58" s="38"/>
      <c r="N58" s="38"/>
      <c r="O58" s="9"/>
      <c r="P58" s="9"/>
      <c r="Q58" s="9"/>
      <c r="R58" s="9"/>
      <c r="S58" s="9"/>
      <c r="T58" s="9"/>
      <c r="U58" s="9"/>
      <c r="V58" s="42"/>
      <c r="W58" s="9"/>
      <c r="X58" s="9"/>
      <c r="Y58" s="39"/>
      <c r="Z58" s="9"/>
      <c r="AA58" s="38"/>
      <c r="AB58" s="9"/>
      <c r="AC58" s="9"/>
      <c r="AD58" s="9"/>
      <c r="AE58" s="9"/>
      <c r="AF58" s="9"/>
      <c r="AG58" s="9"/>
      <c r="AH58" s="38"/>
      <c r="AI58" s="9"/>
      <c r="AJ58" s="39"/>
      <c r="AK58" s="9"/>
      <c r="AL58" s="9"/>
      <c r="AM58" s="9"/>
      <c r="AN58" s="9"/>
      <c r="AO58" s="9"/>
      <c r="AP58" s="9"/>
      <c r="AQ58" s="9"/>
      <c r="AR58" s="10" t="str">
        <f aca="false">IF(A58="","",SG_Criteria!$B$6&amp;SG_Criteria!$B$10&amp;"\"&amp;A58&amp;"\")</f>
        <v/>
      </c>
      <c r="AS58" s="10" t="str">
        <f aca="false">IF(A58="","",A58&amp;"_CAD.dwg")</f>
        <v/>
      </c>
      <c r="AT58" s="10" t="str">
        <f aca="false">IF(A58="","",A58&amp;"_DWG.pdf")</f>
        <v/>
      </c>
      <c r="AU58" s="10" t="str">
        <f aca="false">IF(A58="","",IF(AQ58="Y",A58&amp;"_STAAD.std","n/a"))</f>
        <v/>
      </c>
      <c r="AV58" s="10" t="str">
        <f aca="false">IF(A58="","",A58&amp;"_CALC.xlsx")</f>
        <v/>
      </c>
      <c r="AW58" s="10" t="str">
        <f aca="false">IF(A58="","",A58&amp;"_CALC.pdf")</f>
        <v/>
      </c>
      <c r="AX58" s="9"/>
      <c r="AY58" s="9"/>
      <c r="AZ58" s="39"/>
      <c r="BA58" s="39"/>
      <c r="BB58" s="39"/>
      <c r="BC58" s="39"/>
      <c r="BD58" s="39"/>
      <c r="BE58" s="12" t="str">
        <f aca="false">IF(A58="","",IF(COUNTIF(Rebar_Schedule!$A$5:$A$2004,A58)=0,"",ROUND(SUMIF(Rebar_Schedule!$A$5:$A$2004,A58,Rebar_Schedule!$K$5:$K$2004),1)))</f>
        <v/>
      </c>
      <c r="BF58" s="33" t="str">
        <f aca="false">IF(A58="","",IF(BE58="","No rebar schedule yet",IF(ABS(BE58-N(BA58))/MAX(N(BA58),1)&gt;SG_Criteria!$B$55,"NOTE: register rebar differs from schedule by "&amp;TEXT(ABS(BE58-N(BA58))/MAX(N(BA58),1),"0%"),"OK")))</f>
        <v/>
      </c>
      <c r="BG58" s="33" t="str">
        <f aca="false">IF(D58="","",IF(LEN(IF(AND(Z58&lt;&gt;"",IFERROR(VALUE(MID(Z58,2,2)),0)&lt;SG_Criteria!$B$19),"FAIL: grade below C"&amp;SG_Criteria!$B$19&amp;". ","")&amp;IF(AND(AA58&lt;&gt;"",AA58&lt;SG_Criteria!$B$20),"FAIL: cover &lt; "&amp;SG_Criteria!$B$20&amp;" mm. ","")&amp;IF(AND(I58&lt;&gt;"",I58&lt;SG_Criteria!$B$39),"NOTE: min depth below PUB "&amp;SG_Criteria!$B$39&amp;" m. ","")&amp;IF(AND(LEFT(D58,8)="Standard",J58&gt;SG_Criteria!$B$42),"FAIL: PUB 001C covers manholes up to "&amp;SG_Criteria!$B$42&amp;" m deep only. ","")&amp;IF(AND(LEFT(D58,11)="Rectangular",K58&lt;SG_Criteria!$B$43),"NOTE: 004C is for sewers &gt;= "&amp;SG_Criteria!$B$43&amp;" dia. ","")&amp;IF(AND(LEFT(D58,7)="Precast",J58&lt;=SG_Criteria!$B$42),"NOTE: 006C is for manholes &gt; "&amp;SG_Criteria!$B$42&amp;" m deep. ","")&amp;IF(AND(K58&lt;&gt;"",K58&lt;SG_Criteria!$B$40,D58&lt;&gt;"Inspection Chamber"),"NOTE: public sewer min dia "&amp;SG_Criteria!$B$40&amp;" mm. ","")&amp;IF(AND(Y58&lt;&gt;"",Y58&lt;SG_Criteria!$B$44),"FAIL: uplift FOS below "&amp;SG_Criteria!$B$44&amp;". ",""))=0,"OK",IF(AND(Z58&lt;&gt;"",IFERROR(VALUE(MID(Z58,2,2)),0)&lt;SG_Criteria!$B$19),"FAIL: grade below C"&amp;SG_Criteria!$B$19&amp;". ","")&amp;IF(AND(AA58&lt;&gt;"",AA58&lt;SG_Criteria!$B$20),"FAIL: cover &lt; "&amp;SG_Criteria!$B$20&amp;" mm. ","")&amp;IF(AND(I58&lt;&gt;"",I58&lt;SG_Criteria!$B$39),"NOTE: min depth below PUB "&amp;SG_Criteria!$B$39&amp;" m. ","")&amp;IF(AND(LEFT(D58,8)="Standard",J58&gt;SG_Criteria!$B$42),"FAIL: PUB 001C covers manholes up to "&amp;SG_Criteria!$B$42&amp;" m deep only. ","")&amp;IF(AND(LEFT(D58,11)="Rectangular",K58&lt;SG_Criteria!$B$43),"NOTE: 004C is for sewers &gt;= "&amp;SG_Criteria!$B$43&amp;" dia. ","")&amp;IF(AND(LEFT(D58,7)="Precast",J58&lt;=SG_Criteria!$B$42),"NOTE: 006C is for manholes &gt; "&amp;SG_Criteria!$B$42&amp;" m deep. ","")&amp;IF(AND(K58&lt;&gt;"",K58&lt;SG_Criteria!$B$40,D58&lt;&gt;"Inspection Chamber"),"NOTE: public sewer min dia "&amp;SG_Criteria!$B$40&amp;" mm. ","")&amp;IF(AND(Y58&lt;&gt;"",Y58&lt;SG_Criteria!$B$44),"FAIL: uplift FOS below "&amp;SG_Criteria!$B$44&amp;". ","")))</f>
        <v/>
      </c>
      <c r="BH58" s="9"/>
      <c r="BI58" s="9"/>
      <c r="BJ58" s="9"/>
      <c r="BK58" s="10" t="str">
        <f aca="false">IF(BJ58="","",IFERROR(VLOOKUP(BJ58,Projects!$A$5:$D$504,2,0),"Ref not in Projects"))</f>
        <v/>
      </c>
      <c r="BL58" s="10" t="str">
        <f aca="false">IF(BJ58="","",IFERROR(VLOOKUP(BJ58,Projects!$A$5:$D$504,4,0),"Ref not in Projects"))</f>
        <v/>
      </c>
      <c r="BM58" s="9"/>
      <c r="BN58" s="9"/>
      <c r="BO58" s="9"/>
      <c r="BP58" s="40"/>
      <c r="BQ58" s="9"/>
      <c r="BR58" s="40"/>
      <c r="BS58" s="9"/>
      <c r="BT58" s="40"/>
      <c r="BU58" s="9"/>
      <c r="BV58" s="9"/>
      <c r="BW58" s="9"/>
      <c r="BX58" s="40"/>
      <c r="BY58" s="40"/>
      <c r="BZ58" s="36" t="str">
        <f aca="false">IF(BY58="","",EDATE(BY58,SG_Criteria!$B$54*12))</f>
        <v/>
      </c>
      <c r="CA58" s="33" t="str">
        <f aca="true">IF(A58="","",IF(BY58="","NOTE: not reviewed yet",IF(TODAY()&gt;BZ58,"NOTE: review overdue","OK")))</f>
        <v/>
      </c>
      <c r="CB58" s="37" t="str">
        <f aca="false">IF(A58="","",ROUND((IF(LEN(D58)&gt;0,1,0)+IF(LEN(E58)&gt;0,1,0)+IF(LEN(F58)&gt;0,1,0)+IF(LEN(G58)&gt;0,1,0)+IF(LEN(I58)&gt;0,1,0)+IF(LEN(J58)&gt;0,1,0)+IF(LEN(K58)&gt;0,1,0)+IF(LEN(L58)&gt;0,1,0)+IF(LEN(M58)&gt;0,1,0)+IF(LEN(N58)&gt;0,1,0)+IF(LEN(Z58)&gt;0,1,0)+IF(LEN(AA58)&gt;0,1,0)+IF(LEN(Y58)&gt;0,1,0)+IF(LEN(AE58)&gt;0,1,0)+IF(LEN(AG58)&gt;0,1,0)+IF(LEN(AZ58)&gt;0,1,0)+IF(LEN(AK58)&gt;0,1,0)+IF(LEN(AM58)&gt;0,1,0)+IF(LEN(AN58)&gt;0,1,0)+IF(LEN(AO58)&gt;0,1,0)+IF(LEN(AP58)&gt;0,1,0)+IF(LEN(AY58)&gt;0,1,0)+IF(LEN(BJ58)&gt;0,1,0)+IF(LEN(BW58)&gt;0,1,0))/24,2))</f>
        <v/>
      </c>
      <c r="CC58" s="10" t="str">
        <f aca="false">IF(D58="","",IF(AND(AN58="Approved",ISERROR(SEARCH("FAIL",BG58))),"Y","N"))</f>
        <v/>
      </c>
      <c r="CD58" s="10" t="str">
        <f aca="false">IF(D58="","",D58&amp;"|"&amp;J58&amp;"|"&amp;G58&amp;"|"&amp;CC58)</f>
        <v/>
      </c>
    </row>
    <row r="59" customFormat="false" ht="15" hidden="false" customHeight="false" outlineLevel="0" collapsed="false">
      <c r="A59" s="10" t="str">
        <f aca="false">IF(D59="","","MH-"&amp;IFERROR(VLOOKUP(D59,Lists!$AB$4:$AC$20,2,0),"??")&amp;"-"&amp;TEXT(G59,"0000")&amp;IF(F59="Circular","D","x"&amp;TEXT(H59,"0000"))&amp;"-D"&amp;TEXT(J59*1000,"0000")&amp;"-"&amp;IFERROR(VLOOKUP(E59,Lists!$AE$4:$AF$16,2,0),"??")&amp;"-"&amp;AM59)</f>
        <v/>
      </c>
      <c r="B59" s="10" t="str">
        <f aca="false">IF(D59="","",D59&amp;", "&amp;E59&amp;", "&amp;IF(F59="Circular",G59&amp;" dia",G59&amp;" x "&amp;H59)&amp;", depth "&amp;TEXT(I59,"0.0")&amp;"-"&amp;TEXT(J59,"0.0")&amp;" m, pipe up to "&amp;K59&amp;" dia")</f>
        <v/>
      </c>
      <c r="C59" s="9"/>
      <c r="D59" s="9"/>
      <c r="E59" s="9"/>
      <c r="F59" s="9"/>
      <c r="G59" s="38"/>
      <c r="H59" s="38"/>
      <c r="I59" s="42"/>
      <c r="J59" s="42"/>
      <c r="K59" s="38"/>
      <c r="L59" s="38"/>
      <c r="M59" s="38"/>
      <c r="N59" s="38"/>
      <c r="O59" s="9"/>
      <c r="P59" s="9"/>
      <c r="Q59" s="9"/>
      <c r="R59" s="9"/>
      <c r="S59" s="9"/>
      <c r="T59" s="9"/>
      <c r="U59" s="9"/>
      <c r="V59" s="42"/>
      <c r="W59" s="9"/>
      <c r="X59" s="9"/>
      <c r="Y59" s="39"/>
      <c r="Z59" s="9"/>
      <c r="AA59" s="38"/>
      <c r="AB59" s="9"/>
      <c r="AC59" s="9"/>
      <c r="AD59" s="9"/>
      <c r="AE59" s="9"/>
      <c r="AF59" s="9"/>
      <c r="AG59" s="9"/>
      <c r="AH59" s="38"/>
      <c r="AI59" s="9"/>
      <c r="AJ59" s="39"/>
      <c r="AK59" s="9"/>
      <c r="AL59" s="9"/>
      <c r="AM59" s="9"/>
      <c r="AN59" s="9"/>
      <c r="AO59" s="9"/>
      <c r="AP59" s="9"/>
      <c r="AQ59" s="9"/>
      <c r="AR59" s="10" t="str">
        <f aca="false">IF(A59="","",SG_Criteria!$B$6&amp;SG_Criteria!$B$10&amp;"\"&amp;A59&amp;"\")</f>
        <v/>
      </c>
      <c r="AS59" s="10" t="str">
        <f aca="false">IF(A59="","",A59&amp;"_CAD.dwg")</f>
        <v/>
      </c>
      <c r="AT59" s="10" t="str">
        <f aca="false">IF(A59="","",A59&amp;"_DWG.pdf")</f>
        <v/>
      </c>
      <c r="AU59" s="10" t="str">
        <f aca="false">IF(A59="","",IF(AQ59="Y",A59&amp;"_STAAD.std","n/a"))</f>
        <v/>
      </c>
      <c r="AV59" s="10" t="str">
        <f aca="false">IF(A59="","",A59&amp;"_CALC.xlsx")</f>
        <v/>
      </c>
      <c r="AW59" s="10" t="str">
        <f aca="false">IF(A59="","",A59&amp;"_CALC.pdf")</f>
        <v/>
      </c>
      <c r="AX59" s="9"/>
      <c r="AY59" s="9"/>
      <c r="AZ59" s="39"/>
      <c r="BA59" s="39"/>
      <c r="BB59" s="39"/>
      <c r="BC59" s="39"/>
      <c r="BD59" s="39"/>
      <c r="BE59" s="12" t="str">
        <f aca="false">IF(A59="","",IF(COUNTIF(Rebar_Schedule!$A$5:$A$2004,A59)=0,"",ROUND(SUMIF(Rebar_Schedule!$A$5:$A$2004,A59,Rebar_Schedule!$K$5:$K$2004),1)))</f>
        <v/>
      </c>
      <c r="BF59" s="33" t="str">
        <f aca="false">IF(A59="","",IF(BE59="","No rebar schedule yet",IF(ABS(BE59-N(BA59))/MAX(N(BA59),1)&gt;SG_Criteria!$B$55,"NOTE: register rebar differs from schedule by "&amp;TEXT(ABS(BE59-N(BA59))/MAX(N(BA59),1),"0%"),"OK")))</f>
        <v/>
      </c>
      <c r="BG59" s="33" t="str">
        <f aca="false">IF(D59="","",IF(LEN(IF(AND(Z59&lt;&gt;"",IFERROR(VALUE(MID(Z59,2,2)),0)&lt;SG_Criteria!$B$19),"FAIL: grade below C"&amp;SG_Criteria!$B$19&amp;". ","")&amp;IF(AND(AA59&lt;&gt;"",AA59&lt;SG_Criteria!$B$20),"FAIL: cover &lt; "&amp;SG_Criteria!$B$20&amp;" mm. ","")&amp;IF(AND(I59&lt;&gt;"",I59&lt;SG_Criteria!$B$39),"NOTE: min depth below PUB "&amp;SG_Criteria!$B$39&amp;" m. ","")&amp;IF(AND(LEFT(D59,8)="Standard",J59&gt;SG_Criteria!$B$42),"FAIL: PUB 001C covers manholes up to "&amp;SG_Criteria!$B$42&amp;" m deep only. ","")&amp;IF(AND(LEFT(D59,11)="Rectangular",K59&lt;SG_Criteria!$B$43),"NOTE: 004C is for sewers &gt;= "&amp;SG_Criteria!$B$43&amp;" dia. ","")&amp;IF(AND(LEFT(D59,7)="Precast",J59&lt;=SG_Criteria!$B$42),"NOTE: 006C is for manholes &gt; "&amp;SG_Criteria!$B$42&amp;" m deep. ","")&amp;IF(AND(K59&lt;&gt;"",K59&lt;SG_Criteria!$B$40,D59&lt;&gt;"Inspection Chamber"),"NOTE: public sewer min dia "&amp;SG_Criteria!$B$40&amp;" mm. ","")&amp;IF(AND(Y59&lt;&gt;"",Y59&lt;SG_Criteria!$B$44),"FAIL: uplift FOS below "&amp;SG_Criteria!$B$44&amp;". ",""))=0,"OK",IF(AND(Z59&lt;&gt;"",IFERROR(VALUE(MID(Z59,2,2)),0)&lt;SG_Criteria!$B$19),"FAIL: grade below C"&amp;SG_Criteria!$B$19&amp;". ","")&amp;IF(AND(AA59&lt;&gt;"",AA59&lt;SG_Criteria!$B$20),"FAIL: cover &lt; "&amp;SG_Criteria!$B$20&amp;" mm. ","")&amp;IF(AND(I59&lt;&gt;"",I59&lt;SG_Criteria!$B$39),"NOTE: min depth below PUB "&amp;SG_Criteria!$B$39&amp;" m. ","")&amp;IF(AND(LEFT(D59,8)="Standard",J59&gt;SG_Criteria!$B$42),"FAIL: PUB 001C covers manholes up to "&amp;SG_Criteria!$B$42&amp;" m deep only. ","")&amp;IF(AND(LEFT(D59,11)="Rectangular",K59&lt;SG_Criteria!$B$43),"NOTE: 004C is for sewers &gt;= "&amp;SG_Criteria!$B$43&amp;" dia. ","")&amp;IF(AND(LEFT(D59,7)="Precast",J59&lt;=SG_Criteria!$B$42),"NOTE: 006C is for manholes &gt; "&amp;SG_Criteria!$B$42&amp;" m deep. ","")&amp;IF(AND(K59&lt;&gt;"",K59&lt;SG_Criteria!$B$40,D59&lt;&gt;"Inspection Chamber"),"NOTE: public sewer min dia "&amp;SG_Criteria!$B$40&amp;" mm. ","")&amp;IF(AND(Y59&lt;&gt;"",Y59&lt;SG_Criteria!$B$44),"FAIL: uplift FOS below "&amp;SG_Criteria!$B$44&amp;". ","")))</f>
        <v/>
      </c>
      <c r="BH59" s="9"/>
      <c r="BI59" s="9"/>
      <c r="BJ59" s="9"/>
      <c r="BK59" s="10" t="str">
        <f aca="false">IF(BJ59="","",IFERROR(VLOOKUP(BJ59,Projects!$A$5:$D$504,2,0),"Ref not in Projects"))</f>
        <v/>
      </c>
      <c r="BL59" s="10" t="str">
        <f aca="false">IF(BJ59="","",IFERROR(VLOOKUP(BJ59,Projects!$A$5:$D$504,4,0),"Ref not in Projects"))</f>
        <v/>
      </c>
      <c r="BM59" s="9"/>
      <c r="BN59" s="9"/>
      <c r="BO59" s="9"/>
      <c r="BP59" s="40"/>
      <c r="BQ59" s="9"/>
      <c r="BR59" s="40"/>
      <c r="BS59" s="9"/>
      <c r="BT59" s="40"/>
      <c r="BU59" s="9"/>
      <c r="BV59" s="9"/>
      <c r="BW59" s="9"/>
      <c r="BX59" s="40"/>
      <c r="BY59" s="40"/>
      <c r="BZ59" s="36" t="str">
        <f aca="false">IF(BY59="","",EDATE(BY59,SG_Criteria!$B$54*12))</f>
        <v/>
      </c>
      <c r="CA59" s="33" t="str">
        <f aca="true">IF(A59="","",IF(BY59="","NOTE: not reviewed yet",IF(TODAY()&gt;BZ59,"NOTE: review overdue","OK")))</f>
        <v/>
      </c>
      <c r="CB59" s="37" t="str">
        <f aca="false">IF(A59="","",ROUND((IF(LEN(D59)&gt;0,1,0)+IF(LEN(E59)&gt;0,1,0)+IF(LEN(F59)&gt;0,1,0)+IF(LEN(G59)&gt;0,1,0)+IF(LEN(I59)&gt;0,1,0)+IF(LEN(J59)&gt;0,1,0)+IF(LEN(K59)&gt;0,1,0)+IF(LEN(L59)&gt;0,1,0)+IF(LEN(M59)&gt;0,1,0)+IF(LEN(N59)&gt;0,1,0)+IF(LEN(Z59)&gt;0,1,0)+IF(LEN(AA59)&gt;0,1,0)+IF(LEN(Y59)&gt;0,1,0)+IF(LEN(AE59)&gt;0,1,0)+IF(LEN(AG59)&gt;0,1,0)+IF(LEN(AZ59)&gt;0,1,0)+IF(LEN(AK59)&gt;0,1,0)+IF(LEN(AM59)&gt;0,1,0)+IF(LEN(AN59)&gt;0,1,0)+IF(LEN(AO59)&gt;0,1,0)+IF(LEN(AP59)&gt;0,1,0)+IF(LEN(AY59)&gt;0,1,0)+IF(LEN(BJ59)&gt;0,1,0)+IF(LEN(BW59)&gt;0,1,0))/24,2))</f>
        <v/>
      </c>
      <c r="CC59" s="10" t="str">
        <f aca="false">IF(D59="","",IF(AND(AN59="Approved",ISERROR(SEARCH("FAIL",BG59))),"Y","N"))</f>
        <v/>
      </c>
      <c r="CD59" s="10" t="str">
        <f aca="false">IF(D59="","",D59&amp;"|"&amp;J59&amp;"|"&amp;G59&amp;"|"&amp;CC59)</f>
        <v/>
      </c>
    </row>
    <row r="60" customFormat="false" ht="15" hidden="false" customHeight="false" outlineLevel="0" collapsed="false">
      <c r="A60" s="10" t="str">
        <f aca="false">IF(D60="","","MH-"&amp;IFERROR(VLOOKUP(D60,Lists!$AB$4:$AC$20,2,0),"??")&amp;"-"&amp;TEXT(G60,"0000")&amp;IF(F60="Circular","D","x"&amp;TEXT(H60,"0000"))&amp;"-D"&amp;TEXT(J60*1000,"0000")&amp;"-"&amp;IFERROR(VLOOKUP(E60,Lists!$AE$4:$AF$16,2,0),"??")&amp;"-"&amp;AM60)</f>
        <v/>
      </c>
      <c r="B60" s="10" t="str">
        <f aca="false">IF(D60="","",D60&amp;", "&amp;E60&amp;", "&amp;IF(F60="Circular",G60&amp;" dia",G60&amp;" x "&amp;H60)&amp;", depth "&amp;TEXT(I60,"0.0")&amp;"-"&amp;TEXT(J60,"0.0")&amp;" m, pipe up to "&amp;K60&amp;" dia")</f>
        <v/>
      </c>
      <c r="C60" s="9"/>
      <c r="D60" s="9"/>
      <c r="E60" s="9"/>
      <c r="F60" s="9"/>
      <c r="G60" s="38"/>
      <c r="H60" s="38"/>
      <c r="I60" s="42"/>
      <c r="J60" s="42"/>
      <c r="K60" s="38"/>
      <c r="L60" s="38"/>
      <c r="M60" s="38"/>
      <c r="N60" s="38"/>
      <c r="O60" s="9"/>
      <c r="P60" s="9"/>
      <c r="Q60" s="9"/>
      <c r="R60" s="9"/>
      <c r="S60" s="9"/>
      <c r="T60" s="9"/>
      <c r="U60" s="9"/>
      <c r="V60" s="42"/>
      <c r="W60" s="9"/>
      <c r="X60" s="9"/>
      <c r="Y60" s="39"/>
      <c r="Z60" s="9"/>
      <c r="AA60" s="38"/>
      <c r="AB60" s="9"/>
      <c r="AC60" s="9"/>
      <c r="AD60" s="9"/>
      <c r="AE60" s="9"/>
      <c r="AF60" s="9"/>
      <c r="AG60" s="9"/>
      <c r="AH60" s="38"/>
      <c r="AI60" s="9"/>
      <c r="AJ60" s="39"/>
      <c r="AK60" s="9"/>
      <c r="AL60" s="9"/>
      <c r="AM60" s="9"/>
      <c r="AN60" s="9"/>
      <c r="AO60" s="9"/>
      <c r="AP60" s="9"/>
      <c r="AQ60" s="9"/>
      <c r="AR60" s="10" t="str">
        <f aca="false">IF(A60="","",SG_Criteria!$B$6&amp;SG_Criteria!$B$10&amp;"\"&amp;A60&amp;"\")</f>
        <v/>
      </c>
      <c r="AS60" s="10" t="str">
        <f aca="false">IF(A60="","",A60&amp;"_CAD.dwg")</f>
        <v/>
      </c>
      <c r="AT60" s="10" t="str">
        <f aca="false">IF(A60="","",A60&amp;"_DWG.pdf")</f>
        <v/>
      </c>
      <c r="AU60" s="10" t="str">
        <f aca="false">IF(A60="","",IF(AQ60="Y",A60&amp;"_STAAD.std","n/a"))</f>
        <v/>
      </c>
      <c r="AV60" s="10" t="str">
        <f aca="false">IF(A60="","",A60&amp;"_CALC.xlsx")</f>
        <v/>
      </c>
      <c r="AW60" s="10" t="str">
        <f aca="false">IF(A60="","",A60&amp;"_CALC.pdf")</f>
        <v/>
      </c>
      <c r="AX60" s="9"/>
      <c r="AY60" s="9"/>
      <c r="AZ60" s="39"/>
      <c r="BA60" s="39"/>
      <c r="BB60" s="39"/>
      <c r="BC60" s="39"/>
      <c r="BD60" s="39"/>
      <c r="BE60" s="12" t="str">
        <f aca="false">IF(A60="","",IF(COUNTIF(Rebar_Schedule!$A$5:$A$2004,A60)=0,"",ROUND(SUMIF(Rebar_Schedule!$A$5:$A$2004,A60,Rebar_Schedule!$K$5:$K$2004),1)))</f>
        <v/>
      </c>
      <c r="BF60" s="33" t="str">
        <f aca="false">IF(A60="","",IF(BE60="","No rebar schedule yet",IF(ABS(BE60-N(BA60))/MAX(N(BA60),1)&gt;SG_Criteria!$B$55,"NOTE: register rebar differs from schedule by "&amp;TEXT(ABS(BE60-N(BA60))/MAX(N(BA60),1),"0%"),"OK")))</f>
        <v/>
      </c>
      <c r="BG60" s="33" t="str">
        <f aca="false">IF(D60="","",IF(LEN(IF(AND(Z60&lt;&gt;"",IFERROR(VALUE(MID(Z60,2,2)),0)&lt;SG_Criteria!$B$19),"FAIL: grade below C"&amp;SG_Criteria!$B$19&amp;". ","")&amp;IF(AND(AA60&lt;&gt;"",AA60&lt;SG_Criteria!$B$20),"FAIL: cover &lt; "&amp;SG_Criteria!$B$20&amp;" mm. ","")&amp;IF(AND(I60&lt;&gt;"",I60&lt;SG_Criteria!$B$39),"NOTE: min depth below PUB "&amp;SG_Criteria!$B$39&amp;" m. ","")&amp;IF(AND(LEFT(D60,8)="Standard",J60&gt;SG_Criteria!$B$42),"FAIL: PUB 001C covers manholes up to "&amp;SG_Criteria!$B$42&amp;" m deep only. ","")&amp;IF(AND(LEFT(D60,11)="Rectangular",K60&lt;SG_Criteria!$B$43),"NOTE: 004C is for sewers &gt;= "&amp;SG_Criteria!$B$43&amp;" dia. ","")&amp;IF(AND(LEFT(D60,7)="Precast",J60&lt;=SG_Criteria!$B$42),"NOTE: 006C is for manholes &gt; "&amp;SG_Criteria!$B$42&amp;" m deep. ","")&amp;IF(AND(K60&lt;&gt;"",K60&lt;SG_Criteria!$B$40,D60&lt;&gt;"Inspection Chamber"),"NOTE: public sewer min dia "&amp;SG_Criteria!$B$40&amp;" mm. ","")&amp;IF(AND(Y60&lt;&gt;"",Y60&lt;SG_Criteria!$B$44),"FAIL: uplift FOS below "&amp;SG_Criteria!$B$44&amp;". ",""))=0,"OK",IF(AND(Z60&lt;&gt;"",IFERROR(VALUE(MID(Z60,2,2)),0)&lt;SG_Criteria!$B$19),"FAIL: grade below C"&amp;SG_Criteria!$B$19&amp;". ","")&amp;IF(AND(AA60&lt;&gt;"",AA60&lt;SG_Criteria!$B$20),"FAIL: cover &lt; "&amp;SG_Criteria!$B$20&amp;" mm. ","")&amp;IF(AND(I60&lt;&gt;"",I60&lt;SG_Criteria!$B$39),"NOTE: min depth below PUB "&amp;SG_Criteria!$B$39&amp;" m. ","")&amp;IF(AND(LEFT(D60,8)="Standard",J60&gt;SG_Criteria!$B$42),"FAIL: PUB 001C covers manholes up to "&amp;SG_Criteria!$B$42&amp;" m deep only. ","")&amp;IF(AND(LEFT(D60,11)="Rectangular",K60&lt;SG_Criteria!$B$43),"NOTE: 004C is for sewers &gt;= "&amp;SG_Criteria!$B$43&amp;" dia. ","")&amp;IF(AND(LEFT(D60,7)="Precast",J60&lt;=SG_Criteria!$B$42),"NOTE: 006C is for manholes &gt; "&amp;SG_Criteria!$B$42&amp;" m deep. ","")&amp;IF(AND(K60&lt;&gt;"",K60&lt;SG_Criteria!$B$40,D60&lt;&gt;"Inspection Chamber"),"NOTE: public sewer min dia "&amp;SG_Criteria!$B$40&amp;" mm. ","")&amp;IF(AND(Y60&lt;&gt;"",Y60&lt;SG_Criteria!$B$44),"FAIL: uplift FOS below "&amp;SG_Criteria!$B$44&amp;". ","")))</f>
        <v/>
      </c>
      <c r="BH60" s="9"/>
      <c r="BI60" s="9"/>
      <c r="BJ60" s="9"/>
      <c r="BK60" s="10" t="str">
        <f aca="false">IF(BJ60="","",IFERROR(VLOOKUP(BJ60,Projects!$A$5:$D$504,2,0),"Ref not in Projects"))</f>
        <v/>
      </c>
      <c r="BL60" s="10" t="str">
        <f aca="false">IF(BJ60="","",IFERROR(VLOOKUP(BJ60,Projects!$A$5:$D$504,4,0),"Ref not in Projects"))</f>
        <v/>
      </c>
      <c r="BM60" s="9"/>
      <c r="BN60" s="9"/>
      <c r="BO60" s="9"/>
      <c r="BP60" s="40"/>
      <c r="BQ60" s="9"/>
      <c r="BR60" s="40"/>
      <c r="BS60" s="9"/>
      <c r="BT60" s="40"/>
      <c r="BU60" s="9"/>
      <c r="BV60" s="9"/>
      <c r="BW60" s="9"/>
      <c r="BX60" s="40"/>
      <c r="BY60" s="40"/>
      <c r="BZ60" s="36" t="str">
        <f aca="false">IF(BY60="","",EDATE(BY60,SG_Criteria!$B$54*12))</f>
        <v/>
      </c>
      <c r="CA60" s="33" t="str">
        <f aca="true">IF(A60="","",IF(BY60="","NOTE: not reviewed yet",IF(TODAY()&gt;BZ60,"NOTE: review overdue","OK")))</f>
        <v/>
      </c>
      <c r="CB60" s="37" t="str">
        <f aca="false">IF(A60="","",ROUND((IF(LEN(D60)&gt;0,1,0)+IF(LEN(E60)&gt;0,1,0)+IF(LEN(F60)&gt;0,1,0)+IF(LEN(G60)&gt;0,1,0)+IF(LEN(I60)&gt;0,1,0)+IF(LEN(J60)&gt;0,1,0)+IF(LEN(K60)&gt;0,1,0)+IF(LEN(L60)&gt;0,1,0)+IF(LEN(M60)&gt;0,1,0)+IF(LEN(N60)&gt;0,1,0)+IF(LEN(Z60)&gt;0,1,0)+IF(LEN(AA60)&gt;0,1,0)+IF(LEN(Y60)&gt;0,1,0)+IF(LEN(AE60)&gt;0,1,0)+IF(LEN(AG60)&gt;0,1,0)+IF(LEN(AZ60)&gt;0,1,0)+IF(LEN(AK60)&gt;0,1,0)+IF(LEN(AM60)&gt;0,1,0)+IF(LEN(AN60)&gt;0,1,0)+IF(LEN(AO60)&gt;0,1,0)+IF(LEN(AP60)&gt;0,1,0)+IF(LEN(AY60)&gt;0,1,0)+IF(LEN(BJ60)&gt;0,1,0)+IF(LEN(BW60)&gt;0,1,0))/24,2))</f>
        <v/>
      </c>
      <c r="CC60" s="10" t="str">
        <f aca="false">IF(D60="","",IF(AND(AN60="Approved",ISERROR(SEARCH("FAIL",BG60))),"Y","N"))</f>
        <v/>
      </c>
      <c r="CD60" s="10" t="str">
        <f aca="false">IF(D60="","",D60&amp;"|"&amp;J60&amp;"|"&amp;G60&amp;"|"&amp;CC60)</f>
        <v/>
      </c>
    </row>
    <row r="61" customFormat="false" ht="15" hidden="false" customHeight="false" outlineLevel="0" collapsed="false">
      <c r="A61" s="10" t="str">
        <f aca="false">IF(D61="","","MH-"&amp;IFERROR(VLOOKUP(D61,Lists!$AB$4:$AC$20,2,0),"??")&amp;"-"&amp;TEXT(G61,"0000")&amp;IF(F61="Circular","D","x"&amp;TEXT(H61,"0000"))&amp;"-D"&amp;TEXT(J61*1000,"0000")&amp;"-"&amp;IFERROR(VLOOKUP(E61,Lists!$AE$4:$AF$16,2,0),"??")&amp;"-"&amp;AM61)</f>
        <v/>
      </c>
      <c r="B61" s="10" t="str">
        <f aca="false">IF(D61="","",D61&amp;", "&amp;E61&amp;", "&amp;IF(F61="Circular",G61&amp;" dia",G61&amp;" x "&amp;H61)&amp;", depth "&amp;TEXT(I61,"0.0")&amp;"-"&amp;TEXT(J61,"0.0")&amp;" m, pipe up to "&amp;K61&amp;" dia")</f>
        <v/>
      </c>
      <c r="C61" s="9"/>
      <c r="D61" s="9"/>
      <c r="E61" s="9"/>
      <c r="F61" s="9"/>
      <c r="G61" s="38"/>
      <c r="H61" s="38"/>
      <c r="I61" s="42"/>
      <c r="J61" s="42"/>
      <c r="K61" s="38"/>
      <c r="L61" s="38"/>
      <c r="M61" s="38"/>
      <c r="N61" s="38"/>
      <c r="O61" s="9"/>
      <c r="P61" s="9"/>
      <c r="Q61" s="9"/>
      <c r="R61" s="9"/>
      <c r="S61" s="9"/>
      <c r="T61" s="9"/>
      <c r="U61" s="9"/>
      <c r="V61" s="42"/>
      <c r="W61" s="9"/>
      <c r="X61" s="9"/>
      <c r="Y61" s="39"/>
      <c r="Z61" s="9"/>
      <c r="AA61" s="38"/>
      <c r="AB61" s="9"/>
      <c r="AC61" s="9"/>
      <c r="AD61" s="9"/>
      <c r="AE61" s="9"/>
      <c r="AF61" s="9"/>
      <c r="AG61" s="9"/>
      <c r="AH61" s="38"/>
      <c r="AI61" s="9"/>
      <c r="AJ61" s="39"/>
      <c r="AK61" s="9"/>
      <c r="AL61" s="9"/>
      <c r="AM61" s="9"/>
      <c r="AN61" s="9"/>
      <c r="AO61" s="9"/>
      <c r="AP61" s="9"/>
      <c r="AQ61" s="9"/>
      <c r="AR61" s="10" t="str">
        <f aca="false">IF(A61="","",SG_Criteria!$B$6&amp;SG_Criteria!$B$10&amp;"\"&amp;A61&amp;"\")</f>
        <v/>
      </c>
      <c r="AS61" s="10" t="str">
        <f aca="false">IF(A61="","",A61&amp;"_CAD.dwg")</f>
        <v/>
      </c>
      <c r="AT61" s="10" t="str">
        <f aca="false">IF(A61="","",A61&amp;"_DWG.pdf")</f>
        <v/>
      </c>
      <c r="AU61" s="10" t="str">
        <f aca="false">IF(A61="","",IF(AQ61="Y",A61&amp;"_STAAD.std","n/a"))</f>
        <v/>
      </c>
      <c r="AV61" s="10" t="str">
        <f aca="false">IF(A61="","",A61&amp;"_CALC.xlsx")</f>
        <v/>
      </c>
      <c r="AW61" s="10" t="str">
        <f aca="false">IF(A61="","",A61&amp;"_CALC.pdf")</f>
        <v/>
      </c>
      <c r="AX61" s="9"/>
      <c r="AY61" s="9"/>
      <c r="AZ61" s="39"/>
      <c r="BA61" s="39"/>
      <c r="BB61" s="39"/>
      <c r="BC61" s="39"/>
      <c r="BD61" s="39"/>
      <c r="BE61" s="12" t="str">
        <f aca="false">IF(A61="","",IF(COUNTIF(Rebar_Schedule!$A$5:$A$2004,A61)=0,"",ROUND(SUMIF(Rebar_Schedule!$A$5:$A$2004,A61,Rebar_Schedule!$K$5:$K$2004),1)))</f>
        <v/>
      </c>
      <c r="BF61" s="33" t="str">
        <f aca="false">IF(A61="","",IF(BE61="","No rebar schedule yet",IF(ABS(BE61-N(BA61))/MAX(N(BA61),1)&gt;SG_Criteria!$B$55,"NOTE: register rebar differs from schedule by "&amp;TEXT(ABS(BE61-N(BA61))/MAX(N(BA61),1),"0%"),"OK")))</f>
        <v/>
      </c>
      <c r="BG61" s="33" t="str">
        <f aca="false">IF(D61="","",IF(LEN(IF(AND(Z61&lt;&gt;"",IFERROR(VALUE(MID(Z61,2,2)),0)&lt;SG_Criteria!$B$19),"FAIL: grade below C"&amp;SG_Criteria!$B$19&amp;". ","")&amp;IF(AND(AA61&lt;&gt;"",AA61&lt;SG_Criteria!$B$20),"FAIL: cover &lt; "&amp;SG_Criteria!$B$20&amp;" mm. ","")&amp;IF(AND(I61&lt;&gt;"",I61&lt;SG_Criteria!$B$39),"NOTE: min depth below PUB "&amp;SG_Criteria!$B$39&amp;" m. ","")&amp;IF(AND(LEFT(D61,8)="Standard",J61&gt;SG_Criteria!$B$42),"FAIL: PUB 001C covers manholes up to "&amp;SG_Criteria!$B$42&amp;" m deep only. ","")&amp;IF(AND(LEFT(D61,11)="Rectangular",K61&lt;SG_Criteria!$B$43),"NOTE: 004C is for sewers &gt;= "&amp;SG_Criteria!$B$43&amp;" dia. ","")&amp;IF(AND(LEFT(D61,7)="Precast",J61&lt;=SG_Criteria!$B$42),"NOTE: 006C is for manholes &gt; "&amp;SG_Criteria!$B$42&amp;" m deep. ","")&amp;IF(AND(K61&lt;&gt;"",K61&lt;SG_Criteria!$B$40,D61&lt;&gt;"Inspection Chamber"),"NOTE: public sewer min dia "&amp;SG_Criteria!$B$40&amp;" mm. ","")&amp;IF(AND(Y61&lt;&gt;"",Y61&lt;SG_Criteria!$B$44),"FAIL: uplift FOS below "&amp;SG_Criteria!$B$44&amp;". ",""))=0,"OK",IF(AND(Z61&lt;&gt;"",IFERROR(VALUE(MID(Z61,2,2)),0)&lt;SG_Criteria!$B$19),"FAIL: grade below C"&amp;SG_Criteria!$B$19&amp;". ","")&amp;IF(AND(AA61&lt;&gt;"",AA61&lt;SG_Criteria!$B$20),"FAIL: cover &lt; "&amp;SG_Criteria!$B$20&amp;" mm. ","")&amp;IF(AND(I61&lt;&gt;"",I61&lt;SG_Criteria!$B$39),"NOTE: min depth below PUB "&amp;SG_Criteria!$B$39&amp;" m. ","")&amp;IF(AND(LEFT(D61,8)="Standard",J61&gt;SG_Criteria!$B$42),"FAIL: PUB 001C covers manholes up to "&amp;SG_Criteria!$B$42&amp;" m deep only. ","")&amp;IF(AND(LEFT(D61,11)="Rectangular",K61&lt;SG_Criteria!$B$43),"NOTE: 004C is for sewers &gt;= "&amp;SG_Criteria!$B$43&amp;" dia. ","")&amp;IF(AND(LEFT(D61,7)="Precast",J61&lt;=SG_Criteria!$B$42),"NOTE: 006C is for manholes &gt; "&amp;SG_Criteria!$B$42&amp;" m deep. ","")&amp;IF(AND(K61&lt;&gt;"",K61&lt;SG_Criteria!$B$40,D61&lt;&gt;"Inspection Chamber"),"NOTE: public sewer min dia "&amp;SG_Criteria!$B$40&amp;" mm. ","")&amp;IF(AND(Y61&lt;&gt;"",Y61&lt;SG_Criteria!$B$44),"FAIL: uplift FOS below "&amp;SG_Criteria!$B$44&amp;". ","")))</f>
        <v/>
      </c>
      <c r="BH61" s="9"/>
      <c r="BI61" s="9"/>
      <c r="BJ61" s="9"/>
      <c r="BK61" s="10" t="str">
        <f aca="false">IF(BJ61="","",IFERROR(VLOOKUP(BJ61,Projects!$A$5:$D$504,2,0),"Ref not in Projects"))</f>
        <v/>
      </c>
      <c r="BL61" s="10" t="str">
        <f aca="false">IF(BJ61="","",IFERROR(VLOOKUP(BJ61,Projects!$A$5:$D$504,4,0),"Ref not in Projects"))</f>
        <v/>
      </c>
      <c r="BM61" s="9"/>
      <c r="BN61" s="9"/>
      <c r="BO61" s="9"/>
      <c r="BP61" s="40"/>
      <c r="BQ61" s="9"/>
      <c r="BR61" s="40"/>
      <c r="BS61" s="9"/>
      <c r="BT61" s="40"/>
      <c r="BU61" s="9"/>
      <c r="BV61" s="9"/>
      <c r="BW61" s="9"/>
      <c r="BX61" s="40"/>
      <c r="BY61" s="40"/>
      <c r="BZ61" s="36" t="str">
        <f aca="false">IF(BY61="","",EDATE(BY61,SG_Criteria!$B$54*12))</f>
        <v/>
      </c>
      <c r="CA61" s="33" t="str">
        <f aca="true">IF(A61="","",IF(BY61="","NOTE: not reviewed yet",IF(TODAY()&gt;BZ61,"NOTE: review overdue","OK")))</f>
        <v/>
      </c>
      <c r="CB61" s="37" t="str">
        <f aca="false">IF(A61="","",ROUND((IF(LEN(D61)&gt;0,1,0)+IF(LEN(E61)&gt;0,1,0)+IF(LEN(F61)&gt;0,1,0)+IF(LEN(G61)&gt;0,1,0)+IF(LEN(I61)&gt;0,1,0)+IF(LEN(J61)&gt;0,1,0)+IF(LEN(K61)&gt;0,1,0)+IF(LEN(L61)&gt;0,1,0)+IF(LEN(M61)&gt;0,1,0)+IF(LEN(N61)&gt;0,1,0)+IF(LEN(Z61)&gt;0,1,0)+IF(LEN(AA61)&gt;0,1,0)+IF(LEN(Y61)&gt;0,1,0)+IF(LEN(AE61)&gt;0,1,0)+IF(LEN(AG61)&gt;0,1,0)+IF(LEN(AZ61)&gt;0,1,0)+IF(LEN(AK61)&gt;0,1,0)+IF(LEN(AM61)&gt;0,1,0)+IF(LEN(AN61)&gt;0,1,0)+IF(LEN(AO61)&gt;0,1,0)+IF(LEN(AP61)&gt;0,1,0)+IF(LEN(AY61)&gt;0,1,0)+IF(LEN(BJ61)&gt;0,1,0)+IF(LEN(BW61)&gt;0,1,0))/24,2))</f>
        <v/>
      </c>
      <c r="CC61" s="10" t="str">
        <f aca="false">IF(D61="","",IF(AND(AN61="Approved",ISERROR(SEARCH("FAIL",BG61))),"Y","N"))</f>
        <v/>
      </c>
      <c r="CD61" s="10" t="str">
        <f aca="false">IF(D61="","",D61&amp;"|"&amp;J61&amp;"|"&amp;G61&amp;"|"&amp;CC61)</f>
        <v/>
      </c>
    </row>
    <row r="62" customFormat="false" ht="15" hidden="false" customHeight="false" outlineLevel="0" collapsed="false">
      <c r="A62" s="10" t="str">
        <f aca="false">IF(D62="","","MH-"&amp;IFERROR(VLOOKUP(D62,Lists!$AB$4:$AC$20,2,0),"??")&amp;"-"&amp;TEXT(G62,"0000")&amp;IF(F62="Circular","D","x"&amp;TEXT(H62,"0000"))&amp;"-D"&amp;TEXT(J62*1000,"0000")&amp;"-"&amp;IFERROR(VLOOKUP(E62,Lists!$AE$4:$AF$16,2,0),"??")&amp;"-"&amp;AM62)</f>
        <v/>
      </c>
      <c r="B62" s="10" t="str">
        <f aca="false">IF(D62="","",D62&amp;", "&amp;E62&amp;", "&amp;IF(F62="Circular",G62&amp;" dia",G62&amp;" x "&amp;H62)&amp;", depth "&amp;TEXT(I62,"0.0")&amp;"-"&amp;TEXT(J62,"0.0")&amp;" m, pipe up to "&amp;K62&amp;" dia")</f>
        <v/>
      </c>
      <c r="C62" s="9"/>
      <c r="D62" s="9"/>
      <c r="E62" s="9"/>
      <c r="F62" s="9"/>
      <c r="G62" s="38"/>
      <c r="H62" s="38"/>
      <c r="I62" s="42"/>
      <c r="J62" s="42"/>
      <c r="K62" s="38"/>
      <c r="L62" s="38"/>
      <c r="M62" s="38"/>
      <c r="N62" s="38"/>
      <c r="O62" s="9"/>
      <c r="P62" s="9"/>
      <c r="Q62" s="9"/>
      <c r="R62" s="9"/>
      <c r="S62" s="9"/>
      <c r="T62" s="9"/>
      <c r="U62" s="9"/>
      <c r="V62" s="42"/>
      <c r="W62" s="9"/>
      <c r="X62" s="9"/>
      <c r="Y62" s="39"/>
      <c r="Z62" s="9"/>
      <c r="AA62" s="38"/>
      <c r="AB62" s="9"/>
      <c r="AC62" s="9"/>
      <c r="AD62" s="9"/>
      <c r="AE62" s="9"/>
      <c r="AF62" s="9"/>
      <c r="AG62" s="9"/>
      <c r="AH62" s="38"/>
      <c r="AI62" s="9"/>
      <c r="AJ62" s="39"/>
      <c r="AK62" s="9"/>
      <c r="AL62" s="9"/>
      <c r="AM62" s="9"/>
      <c r="AN62" s="9"/>
      <c r="AO62" s="9"/>
      <c r="AP62" s="9"/>
      <c r="AQ62" s="9"/>
      <c r="AR62" s="10" t="str">
        <f aca="false">IF(A62="","",SG_Criteria!$B$6&amp;SG_Criteria!$B$10&amp;"\"&amp;A62&amp;"\")</f>
        <v/>
      </c>
      <c r="AS62" s="10" t="str">
        <f aca="false">IF(A62="","",A62&amp;"_CAD.dwg")</f>
        <v/>
      </c>
      <c r="AT62" s="10" t="str">
        <f aca="false">IF(A62="","",A62&amp;"_DWG.pdf")</f>
        <v/>
      </c>
      <c r="AU62" s="10" t="str">
        <f aca="false">IF(A62="","",IF(AQ62="Y",A62&amp;"_STAAD.std","n/a"))</f>
        <v/>
      </c>
      <c r="AV62" s="10" t="str">
        <f aca="false">IF(A62="","",A62&amp;"_CALC.xlsx")</f>
        <v/>
      </c>
      <c r="AW62" s="10" t="str">
        <f aca="false">IF(A62="","",A62&amp;"_CALC.pdf")</f>
        <v/>
      </c>
      <c r="AX62" s="9"/>
      <c r="AY62" s="9"/>
      <c r="AZ62" s="39"/>
      <c r="BA62" s="39"/>
      <c r="BB62" s="39"/>
      <c r="BC62" s="39"/>
      <c r="BD62" s="39"/>
      <c r="BE62" s="12" t="str">
        <f aca="false">IF(A62="","",IF(COUNTIF(Rebar_Schedule!$A$5:$A$2004,A62)=0,"",ROUND(SUMIF(Rebar_Schedule!$A$5:$A$2004,A62,Rebar_Schedule!$K$5:$K$2004),1)))</f>
        <v/>
      </c>
      <c r="BF62" s="33" t="str">
        <f aca="false">IF(A62="","",IF(BE62="","No rebar schedule yet",IF(ABS(BE62-N(BA62))/MAX(N(BA62),1)&gt;SG_Criteria!$B$55,"NOTE: register rebar differs from schedule by "&amp;TEXT(ABS(BE62-N(BA62))/MAX(N(BA62),1),"0%"),"OK")))</f>
        <v/>
      </c>
      <c r="BG62" s="33" t="str">
        <f aca="false">IF(D62="","",IF(LEN(IF(AND(Z62&lt;&gt;"",IFERROR(VALUE(MID(Z62,2,2)),0)&lt;SG_Criteria!$B$19),"FAIL: grade below C"&amp;SG_Criteria!$B$19&amp;". ","")&amp;IF(AND(AA62&lt;&gt;"",AA62&lt;SG_Criteria!$B$20),"FAIL: cover &lt; "&amp;SG_Criteria!$B$20&amp;" mm. ","")&amp;IF(AND(I62&lt;&gt;"",I62&lt;SG_Criteria!$B$39),"NOTE: min depth below PUB "&amp;SG_Criteria!$B$39&amp;" m. ","")&amp;IF(AND(LEFT(D62,8)="Standard",J62&gt;SG_Criteria!$B$42),"FAIL: PUB 001C covers manholes up to "&amp;SG_Criteria!$B$42&amp;" m deep only. ","")&amp;IF(AND(LEFT(D62,11)="Rectangular",K62&lt;SG_Criteria!$B$43),"NOTE: 004C is for sewers &gt;= "&amp;SG_Criteria!$B$43&amp;" dia. ","")&amp;IF(AND(LEFT(D62,7)="Precast",J62&lt;=SG_Criteria!$B$42),"NOTE: 006C is for manholes &gt; "&amp;SG_Criteria!$B$42&amp;" m deep. ","")&amp;IF(AND(K62&lt;&gt;"",K62&lt;SG_Criteria!$B$40,D62&lt;&gt;"Inspection Chamber"),"NOTE: public sewer min dia "&amp;SG_Criteria!$B$40&amp;" mm. ","")&amp;IF(AND(Y62&lt;&gt;"",Y62&lt;SG_Criteria!$B$44),"FAIL: uplift FOS below "&amp;SG_Criteria!$B$44&amp;". ",""))=0,"OK",IF(AND(Z62&lt;&gt;"",IFERROR(VALUE(MID(Z62,2,2)),0)&lt;SG_Criteria!$B$19),"FAIL: grade below C"&amp;SG_Criteria!$B$19&amp;". ","")&amp;IF(AND(AA62&lt;&gt;"",AA62&lt;SG_Criteria!$B$20),"FAIL: cover &lt; "&amp;SG_Criteria!$B$20&amp;" mm. ","")&amp;IF(AND(I62&lt;&gt;"",I62&lt;SG_Criteria!$B$39),"NOTE: min depth below PUB "&amp;SG_Criteria!$B$39&amp;" m. ","")&amp;IF(AND(LEFT(D62,8)="Standard",J62&gt;SG_Criteria!$B$42),"FAIL: PUB 001C covers manholes up to "&amp;SG_Criteria!$B$42&amp;" m deep only. ","")&amp;IF(AND(LEFT(D62,11)="Rectangular",K62&lt;SG_Criteria!$B$43),"NOTE: 004C is for sewers &gt;= "&amp;SG_Criteria!$B$43&amp;" dia. ","")&amp;IF(AND(LEFT(D62,7)="Precast",J62&lt;=SG_Criteria!$B$42),"NOTE: 006C is for manholes &gt; "&amp;SG_Criteria!$B$42&amp;" m deep. ","")&amp;IF(AND(K62&lt;&gt;"",K62&lt;SG_Criteria!$B$40,D62&lt;&gt;"Inspection Chamber"),"NOTE: public sewer min dia "&amp;SG_Criteria!$B$40&amp;" mm. ","")&amp;IF(AND(Y62&lt;&gt;"",Y62&lt;SG_Criteria!$B$44),"FAIL: uplift FOS below "&amp;SG_Criteria!$B$44&amp;". ","")))</f>
        <v/>
      </c>
      <c r="BH62" s="9"/>
      <c r="BI62" s="9"/>
      <c r="BJ62" s="9"/>
      <c r="BK62" s="10" t="str">
        <f aca="false">IF(BJ62="","",IFERROR(VLOOKUP(BJ62,Projects!$A$5:$D$504,2,0),"Ref not in Projects"))</f>
        <v/>
      </c>
      <c r="BL62" s="10" t="str">
        <f aca="false">IF(BJ62="","",IFERROR(VLOOKUP(BJ62,Projects!$A$5:$D$504,4,0),"Ref not in Projects"))</f>
        <v/>
      </c>
      <c r="BM62" s="9"/>
      <c r="BN62" s="9"/>
      <c r="BO62" s="9"/>
      <c r="BP62" s="40"/>
      <c r="BQ62" s="9"/>
      <c r="BR62" s="40"/>
      <c r="BS62" s="9"/>
      <c r="BT62" s="40"/>
      <c r="BU62" s="9"/>
      <c r="BV62" s="9"/>
      <c r="BW62" s="9"/>
      <c r="BX62" s="40"/>
      <c r="BY62" s="40"/>
      <c r="BZ62" s="36" t="str">
        <f aca="false">IF(BY62="","",EDATE(BY62,SG_Criteria!$B$54*12))</f>
        <v/>
      </c>
      <c r="CA62" s="33" t="str">
        <f aca="true">IF(A62="","",IF(BY62="","NOTE: not reviewed yet",IF(TODAY()&gt;BZ62,"NOTE: review overdue","OK")))</f>
        <v/>
      </c>
      <c r="CB62" s="37" t="str">
        <f aca="false">IF(A62="","",ROUND((IF(LEN(D62)&gt;0,1,0)+IF(LEN(E62)&gt;0,1,0)+IF(LEN(F62)&gt;0,1,0)+IF(LEN(G62)&gt;0,1,0)+IF(LEN(I62)&gt;0,1,0)+IF(LEN(J62)&gt;0,1,0)+IF(LEN(K62)&gt;0,1,0)+IF(LEN(L62)&gt;0,1,0)+IF(LEN(M62)&gt;0,1,0)+IF(LEN(N62)&gt;0,1,0)+IF(LEN(Z62)&gt;0,1,0)+IF(LEN(AA62)&gt;0,1,0)+IF(LEN(Y62)&gt;0,1,0)+IF(LEN(AE62)&gt;0,1,0)+IF(LEN(AG62)&gt;0,1,0)+IF(LEN(AZ62)&gt;0,1,0)+IF(LEN(AK62)&gt;0,1,0)+IF(LEN(AM62)&gt;0,1,0)+IF(LEN(AN62)&gt;0,1,0)+IF(LEN(AO62)&gt;0,1,0)+IF(LEN(AP62)&gt;0,1,0)+IF(LEN(AY62)&gt;0,1,0)+IF(LEN(BJ62)&gt;0,1,0)+IF(LEN(BW62)&gt;0,1,0))/24,2))</f>
        <v/>
      </c>
      <c r="CC62" s="10" t="str">
        <f aca="false">IF(D62="","",IF(AND(AN62="Approved",ISERROR(SEARCH("FAIL",BG62))),"Y","N"))</f>
        <v/>
      </c>
      <c r="CD62" s="10" t="str">
        <f aca="false">IF(D62="","",D62&amp;"|"&amp;J62&amp;"|"&amp;G62&amp;"|"&amp;CC62)</f>
        <v/>
      </c>
    </row>
    <row r="63" customFormat="false" ht="15" hidden="false" customHeight="false" outlineLevel="0" collapsed="false">
      <c r="A63" s="10" t="str">
        <f aca="false">IF(D63="","","MH-"&amp;IFERROR(VLOOKUP(D63,Lists!$AB$4:$AC$20,2,0),"??")&amp;"-"&amp;TEXT(G63,"0000")&amp;IF(F63="Circular","D","x"&amp;TEXT(H63,"0000"))&amp;"-D"&amp;TEXT(J63*1000,"0000")&amp;"-"&amp;IFERROR(VLOOKUP(E63,Lists!$AE$4:$AF$16,2,0),"??")&amp;"-"&amp;AM63)</f>
        <v/>
      </c>
      <c r="B63" s="10" t="str">
        <f aca="false">IF(D63="","",D63&amp;", "&amp;E63&amp;", "&amp;IF(F63="Circular",G63&amp;" dia",G63&amp;" x "&amp;H63)&amp;", depth "&amp;TEXT(I63,"0.0")&amp;"-"&amp;TEXT(J63,"0.0")&amp;" m, pipe up to "&amp;K63&amp;" dia")</f>
        <v/>
      </c>
      <c r="C63" s="9"/>
      <c r="D63" s="9"/>
      <c r="E63" s="9"/>
      <c r="F63" s="9"/>
      <c r="G63" s="38"/>
      <c r="H63" s="38"/>
      <c r="I63" s="42"/>
      <c r="J63" s="42"/>
      <c r="K63" s="38"/>
      <c r="L63" s="38"/>
      <c r="M63" s="38"/>
      <c r="N63" s="38"/>
      <c r="O63" s="9"/>
      <c r="P63" s="9"/>
      <c r="Q63" s="9"/>
      <c r="R63" s="9"/>
      <c r="S63" s="9"/>
      <c r="T63" s="9"/>
      <c r="U63" s="9"/>
      <c r="V63" s="42"/>
      <c r="W63" s="9"/>
      <c r="X63" s="9"/>
      <c r="Y63" s="39"/>
      <c r="Z63" s="9"/>
      <c r="AA63" s="38"/>
      <c r="AB63" s="9"/>
      <c r="AC63" s="9"/>
      <c r="AD63" s="9"/>
      <c r="AE63" s="9"/>
      <c r="AF63" s="9"/>
      <c r="AG63" s="9"/>
      <c r="AH63" s="38"/>
      <c r="AI63" s="9"/>
      <c r="AJ63" s="39"/>
      <c r="AK63" s="9"/>
      <c r="AL63" s="9"/>
      <c r="AM63" s="9"/>
      <c r="AN63" s="9"/>
      <c r="AO63" s="9"/>
      <c r="AP63" s="9"/>
      <c r="AQ63" s="9"/>
      <c r="AR63" s="10" t="str">
        <f aca="false">IF(A63="","",SG_Criteria!$B$6&amp;SG_Criteria!$B$10&amp;"\"&amp;A63&amp;"\")</f>
        <v/>
      </c>
      <c r="AS63" s="10" t="str">
        <f aca="false">IF(A63="","",A63&amp;"_CAD.dwg")</f>
        <v/>
      </c>
      <c r="AT63" s="10" t="str">
        <f aca="false">IF(A63="","",A63&amp;"_DWG.pdf")</f>
        <v/>
      </c>
      <c r="AU63" s="10" t="str">
        <f aca="false">IF(A63="","",IF(AQ63="Y",A63&amp;"_STAAD.std","n/a"))</f>
        <v/>
      </c>
      <c r="AV63" s="10" t="str">
        <f aca="false">IF(A63="","",A63&amp;"_CALC.xlsx")</f>
        <v/>
      </c>
      <c r="AW63" s="10" t="str">
        <f aca="false">IF(A63="","",A63&amp;"_CALC.pdf")</f>
        <v/>
      </c>
      <c r="AX63" s="9"/>
      <c r="AY63" s="9"/>
      <c r="AZ63" s="39"/>
      <c r="BA63" s="39"/>
      <c r="BB63" s="39"/>
      <c r="BC63" s="39"/>
      <c r="BD63" s="39"/>
      <c r="BE63" s="12" t="str">
        <f aca="false">IF(A63="","",IF(COUNTIF(Rebar_Schedule!$A$5:$A$2004,A63)=0,"",ROUND(SUMIF(Rebar_Schedule!$A$5:$A$2004,A63,Rebar_Schedule!$K$5:$K$2004),1)))</f>
        <v/>
      </c>
      <c r="BF63" s="33" t="str">
        <f aca="false">IF(A63="","",IF(BE63="","No rebar schedule yet",IF(ABS(BE63-N(BA63))/MAX(N(BA63),1)&gt;SG_Criteria!$B$55,"NOTE: register rebar differs from schedule by "&amp;TEXT(ABS(BE63-N(BA63))/MAX(N(BA63),1),"0%"),"OK")))</f>
        <v/>
      </c>
      <c r="BG63" s="33" t="str">
        <f aca="false">IF(D63="","",IF(LEN(IF(AND(Z63&lt;&gt;"",IFERROR(VALUE(MID(Z63,2,2)),0)&lt;SG_Criteria!$B$19),"FAIL: grade below C"&amp;SG_Criteria!$B$19&amp;". ","")&amp;IF(AND(AA63&lt;&gt;"",AA63&lt;SG_Criteria!$B$20),"FAIL: cover &lt; "&amp;SG_Criteria!$B$20&amp;" mm. ","")&amp;IF(AND(I63&lt;&gt;"",I63&lt;SG_Criteria!$B$39),"NOTE: min depth below PUB "&amp;SG_Criteria!$B$39&amp;" m. ","")&amp;IF(AND(LEFT(D63,8)="Standard",J63&gt;SG_Criteria!$B$42),"FAIL: PUB 001C covers manholes up to "&amp;SG_Criteria!$B$42&amp;" m deep only. ","")&amp;IF(AND(LEFT(D63,11)="Rectangular",K63&lt;SG_Criteria!$B$43),"NOTE: 004C is for sewers &gt;= "&amp;SG_Criteria!$B$43&amp;" dia. ","")&amp;IF(AND(LEFT(D63,7)="Precast",J63&lt;=SG_Criteria!$B$42),"NOTE: 006C is for manholes &gt; "&amp;SG_Criteria!$B$42&amp;" m deep. ","")&amp;IF(AND(K63&lt;&gt;"",K63&lt;SG_Criteria!$B$40,D63&lt;&gt;"Inspection Chamber"),"NOTE: public sewer min dia "&amp;SG_Criteria!$B$40&amp;" mm. ","")&amp;IF(AND(Y63&lt;&gt;"",Y63&lt;SG_Criteria!$B$44),"FAIL: uplift FOS below "&amp;SG_Criteria!$B$44&amp;". ",""))=0,"OK",IF(AND(Z63&lt;&gt;"",IFERROR(VALUE(MID(Z63,2,2)),0)&lt;SG_Criteria!$B$19),"FAIL: grade below C"&amp;SG_Criteria!$B$19&amp;". ","")&amp;IF(AND(AA63&lt;&gt;"",AA63&lt;SG_Criteria!$B$20),"FAIL: cover &lt; "&amp;SG_Criteria!$B$20&amp;" mm. ","")&amp;IF(AND(I63&lt;&gt;"",I63&lt;SG_Criteria!$B$39),"NOTE: min depth below PUB "&amp;SG_Criteria!$B$39&amp;" m. ","")&amp;IF(AND(LEFT(D63,8)="Standard",J63&gt;SG_Criteria!$B$42),"FAIL: PUB 001C covers manholes up to "&amp;SG_Criteria!$B$42&amp;" m deep only. ","")&amp;IF(AND(LEFT(D63,11)="Rectangular",K63&lt;SG_Criteria!$B$43),"NOTE: 004C is for sewers &gt;= "&amp;SG_Criteria!$B$43&amp;" dia. ","")&amp;IF(AND(LEFT(D63,7)="Precast",J63&lt;=SG_Criteria!$B$42),"NOTE: 006C is for manholes &gt; "&amp;SG_Criteria!$B$42&amp;" m deep. ","")&amp;IF(AND(K63&lt;&gt;"",K63&lt;SG_Criteria!$B$40,D63&lt;&gt;"Inspection Chamber"),"NOTE: public sewer min dia "&amp;SG_Criteria!$B$40&amp;" mm. ","")&amp;IF(AND(Y63&lt;&gt;"",Y63&lt;SG_Criteria!$B$44),"FAIL: uplift FOS below "&amp;SG_Criteria!$B$44&amp;". ","")))</f>
        <v/>
      </c>
      <c r="BH63" s="9"/>
      <c r="BI63" s="9"/>
      <c r="BJ63" s="9"/>
      <c r="BK63" s="10" t="str">
        <f aca="false">IF(BJ63="","",IFERROR(VLOOKUP(BJ63,Projects!$A$5:$D$504,2,0),"Ref not in Projects"))</f>
        <v/>
      </c>
      <c r="BL63" s="10" t="str">
        <f aca="false">IF(BJ63="","",IFERROR(VLOOKUP(BJ63,Projects!$A$5:$D$504,4,0),"Ref not in Projects"))</f>
        <v/>
      </c>
      <c r="BM63" s="9"/>
      <c r="BN63" s="9"/>
      <c r="BO63" s="9"/>
      <c r="BP63" s="40"/>
      <c r="BQ63" s="9"/>
      <c r="BR63" s="40"/>
      <c r="BS63" s="9"/>
      <c r="BT63" s="40"/>
      <c r="BU63" s="9"/>
      <c r="BV63" s="9"/>
      <c r="BW63" s="9"/>
      <c r="BX63" s="40"/>
      <c r="BY63" s="40"/>
      <c r="BZ63" s="36" t="str">
        <f aca="false">IF(BY63="","",EDATE(BY63,SG_Criteria!$B$54*12))</f>
        <v/>
      </c>
      <c r="CA63" s="33" t="str">
        <f aca="true">IF(A63="","",IF(BY63="","NOTE: not reviewed yet",IF(TODAY()&gt;BZ63,"NOTE: review overdue","OK")))</f>
        <v/>
      </c>
      <c r="CB63" s="37" t="str">
        <f aca="false">IF(A63="","",ROUND((IF(LEN(D63)&gt;0,1,0)+IF(LEN(E63)&gt;0,1,0)+IF(LEN(F63)&gt;0,1,0)+IF(LEN(G63)&gt;0,1,0)+IF(LEN(I63)&gt;0,1,0)+IF(LEN(J63)&gt;0,1,0)+IF(LEN(K63)&gt;0,1,0)+IF(LEN(L63)&gt;0,1,0)+IF(LEN(M63)&gt;0,1,0)+IF(LEN(N63)&gt;0,1,0)+IF(LEN(Z63)&gt;0,1,0)+IF(LEN(AA63)&gt;0,1,0)+IF(LEN(Y63)&gt;0,1,0)+IF(LEN(AE63)&gt;0,1,0)+IF(LEN(AG63)&gt;0,1,0)+IF(LEN(AZ63)&gt;0,1,0)+IF(LEN(AK63)&gt;0,1,0)+IF(LEN(AM63)&gt;0,1,0)+IF(LEN(AN63)&gt;0,1,0)+IF(LEN(AO63)&gt;0,1,0)+IF(LEN(AP63)&gt;0,1,0)+IF(LEN(AY63)&gt;0,1,0)+IF(LEN(BJ63)&gt;0,1,0)+IF(LEN(BW63)&gt;0,1,0))/24,2))</f>
        <v/>
      </c>
      <c r="CC63" s="10" t="str">
        <f aca="false">IF(D63="","",IF(AND(AN63="Approved",ISERROR(SEARCH("FAIL",BG63))),"Y","N"))</f>
        <v/>
      </c>
      <c r="CD63" s="10" t="str">
        <f aca="false">IF(D63="","",D63&amp;"|"&amp;J63&amp;"|"&amp;G63&amp;"|"&amp;CC63)</f>
        <v/>
      </c>
    </row>
    <row r="64" customFormat="false" ht="15" hidden="false" customHeight="false" outlineLevel="0" collapsed="false">
      <c r="A64" s="10" t="str">
        <f aca="false">IF(D64="","","MH-"&amp;IFERROR(VLOOKUP(D64,Lists!$AB$4:$AC$20,2,0),"??")&amp;"-"&amp;TEXT(G64,"0000")&amp;IF(F64="Circular","D","x"&amp;TEXT(H64,"0000"))&amp;"-D"&amp;TEXT(J64*1000,"0000")&amp;"-"&amp;IFERROR(VLOOKUP(E64,Lists!$AE$4:$AF$16,2,0),"??")&amp;"-"&amp;AM64)</f>
        <v/>
      </c>
      <c r="B64" s="10" t="str">
        <f aca="false">IF(D64="","",D64&amp;", "&amp;E64&amp;", "&amp;IF(F64="Circular",G64&amp;" dia",G64&amp;" x "&amp;H64)&amp;", depth "&amp;TEXT(I64,"0.0")&amp;"-"&amp;TEXT(J64,"0.0")&amp;" m, pipe up to "&amp;K64&amp;" dia")</f>
        <v/>
      </c>
      <c r="C64" s="9"/>
      <c r="D64" s="9"/>
      <c r="E64" s="9"/>
      <c r="F64" s="9"/>
      <c r="G64" s="38"/>
      <c r="H64" s="38"/>
      <c r="I64" s="42"/>
      <c r="J64" s="42"/>
      <c r="K64" s="38"/>
      <c r="L64" s="38"/>
      <c r="M64" s="38"/>
      <c r="N64" s="38"/>
      <c r="O64" s="9"/>
      <c r="P64" s="9"/>
      <c r="Q64" s="9"/>
      <c r="R64" s="9"/>
      <c r="S64" s="9"/>
      <c r="T64" s="9"/>
      <c r="U64" s="9"/>
      <c r="V64" s="42"/>
      <c r="W64" s="9"/>
      <c r="X64" s="9"/>
      <c r="Y64" s="39"/>
      <c r="Z64" s="9"/>
      <c r="AA64" s="38"/>
      <c r="AB64" s="9"/>
      <c r="AC64" s="9"/>
      <c r="AD64" s="9"/>
      <c r="AE64" s="9"/>
      <c r="AF64" s="9"/>
      <c r="AG64" s="9"/>
      <c r="AH64" s="38"/>
      <c r="AI64" s="9"/>
      <c r="AJ64" s="39"/>
      <c r="AK64" s="9"/>
      <c r="AL64" s="9"/>
      <c r="AM64" s="9"/>
      <c r="AN64" s="9"/>
      <c r="AO64" s="9"/>
      <c r="AP64" s="9"/>
      <c r="AQ64" s="9"/>
      <c r="AR64" s="10" t="str">
        <f aca="false">IF(A64="","",SG_Criteria!$B$6&amp;SG_Criteria!$B$10&amp;"\"&amp;A64&amp;"\")</f>
        <v/>
      </c>
      <c r="AS64" s="10" t="str">
        <f aca="false">IF(A64="","",A64&amp;"_CAD.dwg")</f>
        <v/>
      </c>
      <c r="AT64" s="10" t="str">
        <f aca="false">IF(A64="","",A64&amp;"_DWG.pdf")</f>
        <v/>
      </c>
      <c r="AU64" s="10" t="str">
        <f aca="false">IF(A64="","",IF(AQ64="Y",A64&amp;"_STAAD.std","n/a"))</f>
        <v/>
      </c>
      <c r="AV64" s="10" t="str">
        <f aca="false">IF(A64="","",A64&amp;"_CALC.xlsx")</f>
        <v/>
      </c>
      <c r="AW64" s="10" t="str">
        <f aca="false">IF(A64="","",A64&amp;"_CALC.pdf")</f>
        <v/>
      </c>
      <c r="AX64" s="9"/>
      <c r="AY64" s="9"/>
      <c r="AZ64" s="39"/>
      <c r="BA64" s="39"/>
      <c r="BB64" s="39"/>
      <c r="BC64" s="39"/>
      <c r="BD64" s="39"/>
      <c r="BE64" s="12" t="str">
        <f aca="false">IF(A64="","",IF(COUNTIF(Rebar_Schedule!$A$5:$A$2004,A64)=0,"",ROUND(SUMIF(Rebar_Schedule!$A$5:$A$2004,A64,Rebar_Schedule!$K$5:$K$2004),1)))</f>
        <v/>
      </c>
      <c r="BF64" s="33" t="str">
        <f aca="false">IF(A64="","",IF(BE64="","No rebar schedule yet",IF(ABS(BE64-N(BA64))/MAX(N(BA64),1)&gt;SG_Criteria!$B$55,"NOTE: register rebar differs from schedule by "&amp;TEXT(ABS(BE64-N(BA64))/MAX(N(BA64),1),"0%"),"OK")))</f>
        <v/>
      </c>
      <c r="BG64" s="33" t="str">
        <f aca="false">IF(D64="","",IF(LEN(IF(AND(Z64&lt;&gt;"",IFERROR(VALUE(MID(Z64,2,2)),0)&lt;SG_Criteria!$B$19),"FAIL: grade below C"&amp;SG_Criteria!$B$19&amp;". ","")&amp;IF(AND(AA64&lt;&gt;"",AA64&lt;SG_Criteria!$B$20),"FAIL: cover &lt; "&amp;SG_Criteria!$B$20&amp;" mm. ","")&amp;IF(AND(I64&lt;&gt;"",I64&lt;SG_Criteria!$B$39),"NOTE: min depth below PUB "&amp;SG_Criteria!$B$39&amp;" m. ","")&amp;IF(AND(LEFT(D64,8)="Standard",J64&gt;SG_Criteria!$B$42),"FAIL: PUB 001C covers manholes up to "&amp;SG_Criteria!$B$42&amp;" m deep only. ","")&amp;IF(AND(LEFT(D64,11)="Rectangular",K64&lt;SG_Criteria!$B$43),"NOTE: 004C is for sewers &gt;= "&amp;SG_Criteria!$B$43&amp;" dia. ","")&amp;IF(AND(LEFT(D64,7)="Precast",J64&lt;=SG_Criteria!$B$42),"NOTE: 006C is for manholes &gt; "&amp;SG_Criteria!$B$42&amp;" m deep. ","")&amp;IF(AND(K64&lt;&gt;"",K64&lt;SG_Criteria!$B$40,D64&lt;&gt;"Inspection Chamber"),"NOTE: public sewer min dia "&amp;SG_Criteria!$B$40&amp;" mm. ","")&amp;IF(AND(Y64&lt;&gt;"",Y64&lt;SG_Criteria!$B$44),"FAIL: uplift FOS below "&amp;SG_Criteria!$B$44&amp;". ",""))=0,"OK",IF(AND(Z64&lt;&gt;"",IFERROR(VALUE(MID(Z64,2,2)),0)&lt;SG_Criteria!$B$19),"FAIL: grade below C"&amp;SG_Criteria!$B$19&amp;". ","")&amp;IF(AND(AA64&lt;&gt;"",AA64&lt;SG_Criteria!$B$20),"FAIL: cover &lt; "&amp;SG_Criteria!$B$20&amp;" mm. ","")&amp;IF(AND(I64&lt;&gt;"",I64&lt;SG_Criteria!$B$39),"NOTE: min depth below PUB "&amp;SG_Criteria!$B$39&amp;" m. ","")&amp;IF(AND(LEFT(D64,8)="Standard",J64&gt;SG_Criteria!$B$42),"FAIL: PUB 001C covers manholes up to "&amp;SG_Criteria!$B$42&amp;" m deep only. ","")&amp;IF(AND(LEFT(D64,11)="Rectangular",K64&lt;SG_Criteria!$B$43),"NOTE: 004C is for sewers &gt;= "&amp;SG_Criteria!$B$43&amp;" dia. ","")&amp;IF(AND(LEFT(D64,7)="Precast",J64&lt;=SG_Criteria!$B$42),"NOTE: 006C is for manholes &gt; "&amp;SG_Criteria!$B$42&amp;" m deep. ","")&amp;IF(AND(K64&lt;&gt;"",K64&lt;SG_Criteria!$B$40,D64&lt;&gt;"Inspection Chamber"),"NOTE: public sewer min dia "&amp;SG_Criteria!$B$40&amp;" mm. ","")&amp;IF(AND(Y64&lt;&gt;"",Y64&lt;SG_Criteria!$B$44),"FAIL: uplift FOS below "&amp;SG_Criteria!$B$44&amp;". ","")))</f>
        <v/>
      </c>
      <c r="BH64" s="9"/>
      <c r="BI64" s="9"/>
      <c r="BJ64" s="9"/>
      <c r="BK64" s="10" t="str">
        <f aca="false">IF(BJ64="","",IFERROR(VLOOKUP(BJ64,Projects!$A$5:$D$504,2,0),"Ref not in Projects"))</f>
        <v/>
      </c>
      <c r="BL64" s="10" t="str">
        <f aca="false">IF(BJ64="","",IFERROR(VLOOKUP(BJ64,Projects!$A$5:$D$504,4,0),"Ref not in Projects"))</f>
        <v/>
      </c>
      <c r="BM64" s="9"/>
      <c r="BN64" s="9"/>
      <c r="BO64" s="9"/>
      <c r="BP64" s="40"/>
      <c r="BQ64" s="9"/>
      <c r="BR64" s="40"/>
      <c r="BS64" s="9"/>
      <c r="BT64" s="40"/>
      <c r="BU64" s="9"/>
      <c r="BV64" s="9"/>
      <c r="BW64" s="9"/>
      <c r="BX64" s="40"/>
      <c r="BY64" s="40"/>
      <c r="BZ64" s="36" t="str">
        <f aca="false">IF(BY64="","",EDATE(BY64,SG_Criteria!$B$54*12))</f>
        <v/>
      </c>
      <c r="CA64" s="33" t="str">
        <f aca="true">IF(A64="","",IF(BY64="","NOTE: not reviewed yet",IF(TODAY()&gt;BZ64,"NOTE: review overdue","OK")))</f>
        <v/>
      </c>
      <c r="CB64" s="37" t="str">
        <f aca="false">IF(A64="","",ROUND((IF(LEN(D64)&gt;0,1,0)+IF(LEN(E64)&gt;0,1,0)+IF(LEN(F64)&gt;0,1,0)+IF(LEN(G64)&gt;0,1,0)+IF(LEN(I64)&gt;0,1,0)+IF(LEN(J64)&gt;0,1,0)+IF(LEN(K64)&gt;0,1,0)+IF(LEN(L64)&gt;0,1,0)+IF(LEN(M64)&gt;0,1,0)+IF(LEN(N64)&gt;0,1,0)+IF(LEN(Z64)&gt;0,1,0)+IF(LEN(AA64)&gt;0,1,0)+IF(LEN(Y64)&gt;0,1,0)+IF(LEN(AE64)&gt;0,1,0)+IF(LEN(AG64)&gt;0,1,0)+IF(LEN(AZ64)&gt;0,1,0)+IF(LEN(AK64)&gt;0,1,0)+IF(LEN(AM64)&gt;0,1,0)+IF(LEN(AN64)&gt;0,1,0)+IF(LEN(AO64)&gt;0,1,0)+IF(LEN(AP64)&gt;0,1,0)+IF(LEN(AY64)&gt;0,1,0)+IF(LEN(BJ64)&gt;0,1,0)+IF(LEN(BW64)&gt;0,1,0))/24,2))</f>
        <v/>
      </c>
      <c r="CC64" s="10" t="str">
        <f aca="false">IF(D64="","",IF(AND(AN64="Approved",ISERROR(SEARCH("FAIL",BG64))),"Y","N"))</f>
        <v/>
      </c>
      <c r="CD64" s="10" t="str">
        <f aca="false">IF(D64="","",D64&amp;"|"&amp;J64&amp;"|"&amp;G64&amp;"|"&amp;CC64)</f>
        <v/>
      </c>
    </row>
    <row r="65" customFormat="false" ht="15" hidden="false" customHeight="false" outlineLevel="0" collapsed="false">
      <c r="A65" s="10" t="str">
        <f aca="false">IF(D65="","","MH-"&amp;IFERROR(VLOOKUP(D65,Lists!$AB$4:$AC$20,2,0),"??")&amp;"-"&amp;TEXT(G65,"0000")&amp;IF(F65="Circular","D","x"&amp;TEXT(H65,"0000"))&amp;"-D"&amp;TEXT(J65*1000,"0000")&amp;"-"&amp;IFERROR(VLOOKUP(E65,Lists!$AE$4:$AF$16,2,0),"??")&amp;"-"&amp;AM65)</f>
        <v/>
      </c>
      <c r="B65" s="10" t="str">
        <f aca="false">IF(D65="","",D65&amp;", "&amp;E65&amp;", "&amp;IF(F65="Circular",G65&amp;" dia",G65&amp;" x "&amp;H65)&amp;", depth "&amp;TEXT(I65,"0.0")&amp;"-"&amp;TEXT(J65,"0.0")&amp;" m, pipe up to "&amp;K65&amp;" dia")</f>
        <v/>
      </c>
      <c r="C65" s="9"/>
      <c r="D65" s="9"/>
      <c r="E65" s="9"/>
      <c r="F65" s="9"/>
      <c r="G65" s="38"/>
      <c r="H65" s="38"/>
      <c r="I65" s="42"/>
      <c r="J65" s="42"/>
      <c r="K65" s="38"/>
      <c r="L65" s="38"/>
      <c r="M65" s="38"/>
      <c r="N65" s="38"/>
      <c r="O65" s="9"/>
      <c r="P65" s="9"/>
      <c r="Q65" s="9"/>
      <c r="R65" s="9"/>
      <c r="S65" s="9"/>
      <c r="T65" s="9"/>
      <c r="U65" s="9"/>
      <c r="V65" s="42"/>
      <c r="W65" s="9"/>
      <c r="X65" s="9"/>
      <c r="Y65" s="39"/>
      <c r="Z65" s="9"/>
      <c r="AA65" s="38"/>
      <c r="AB65" s="9"/>
      <c r="AC65" s="9"/>
      <c r="AD65" s="9"/>
      <c r="AE65" s="9"/>
      <c r="AF65" s="9"/>
      <c r="AG65" s="9"/>
      <c r="AH65" s="38"/>
      <c r="AI65" s="9"/>
      <c r="AJ65" s="39"/>
      <c r="AK65" s="9"/>
      <c r="AL65" s="9"/>
      <c r="AM65" s="9"/>
      <c r="AN65" s="9"/>
      <c r="AO65" s="9"/>
      <c r="AP65" s="9"/>
      <c r="AQ65" s="9"/>
      <c r="AR65" s="10" t="str">
        <f aca="false">IF(A65="","",SG_Criteria!$B$6&amp;SG_Criteria!$B$10&amp;"\"&amp;A65&amp;"\")</f>
        <v/>
      </c>
      <c r="AS65" s="10" t="str">
        <f aca="false">IF(A65="","",A65&amp;"_CAD.dwg")</f>
        <v/>
      </c>
      <c r="AT65" s="10" t="str">
        <f aca="false">IF(A65="","",A65&amp;"_DWG.pdf")</f>
        <v/>
      </c>
      <c r="AU65" s="10" t="str">
        <f aca="false">IF(A65="","",IF(AQ65="Y",A65&amp;"_STAAD.std","n/a"))</f>
        <v/>
      </c>
      <c r="AV65" s="10" t="str">
        <f aca="false">IF(A65="","",A65&amp;"_CALC.xlsx")</f>
        <v/>
      </c>
      <c r="AW65" s="10" t="str">
        <f aca="false">IF(A65="","",A65&amp;"_CALC.pdf")</f>
        <v/>
      </c>
      <c r="AX65" s="9"/>
      <c r="AY65" s="9"/>
      <c r="AZ65" s="39"/>
      <c r="BA65" s="39"/>
      <c r="BB65" s="39"/>
      <c r="BC65" s="39"/>
      <c r="BD65" s="39"/>
      <c r="BE65" s="12" t="str">
        <f aca="false">IF(A65="","",IF(COUNTIF(Rebar_Schedule!$A$5:$A$2004,A65)=0,"",ROUND(SUMIF(Rebar_Schedule!$A$5:$A$2004,A65,Rebar_Schedule!$K$5:$K$2004),1)))</f>
        <v/>
      </c>
      <c r="BF65" s="33" t="str">
        <f aca="false">IF(A65="","",IF(BE65="","No rebar schedule yet",IF(ABS(BE65-N(BA65))/MAX(N(BA65),1)&gt;SG_Criteria!$B$55,"NOTE: register rebar differs from schedule by "&amp;TEXT(ABS(BE65-N(BA65))/MAX(N(BA65),1),"0%"),"OK")))</f>
        <v/>
      </c>
      <c r="BG65" s="33" t="str">
        <f aca="false">IF(D65="","",IF(LEN(IF(AND(Z65&lt;&gt;"",IFERROR(VALUE(MID(Z65,2,2)),0)&lt;SG_Criteria!$B$19),"FAIL: grade below C"&amp;SG_Criteria!$B$19&amp;". ","")&amp;IF(AND(AA65&lt;&gt;"",AA65&lt;SG_Criteria!$B$20),"FAIL: cover &lt; "&amp;SG_Criteria!$B$20&amp;" mm. ","")&amp;IF(AND(I65&lt;&gt;"",I65&lt;SG_Criteria!$B$39),"NOTE: min depth below PUB "&amp;SG_Criteria!$B$39&amp;" m. ","")&amp;IF(AND(LEFT(D65,8)="Standard",J65&gt;SG_Criteria!$B$42),"FAIL: PUB 001C covers manholes up to "&amp;SG_Criteria!$B$42&amp;" m deep only. ","")&amp;IF(AND(LEFT(D65,11)="Rectangular",K65&lt;SG_Criteria!$B$43),"NOTE: 004C is for sewers &gt;= "&amp;SG_Criteria!$B$43&amp;" dia. ","")&amp;IF(AND(LEFT(D65,7)="Precast",J65&lt;=SG_Criteria!$B$42),"NOTE: 006C is for manholes &gt; "&amp;SG_Criteria!$B$42&amp;" m deep. ","")&amp;IF(AND(K65&lt;&gt;"",K65&lt;SG_Criteria!$B$40,D65&lt;&gt;"Inspection Chamber"),"NOTE: public sewer min dia "&amp;SG_Criteria!$B$40&amp;" mm. ","")&amp;IF(AND(Y65&lt;&gt;"",Y65&lt;SG_Criteria!$B$44),"FAIL: uplift FOS below "&amp;SG_Criteria!$B$44&amp;". ",""))=0,"OK",IF(AND(Z65&lt;&gt;"",IFERROR(VALUE(MID(Z65,2,2)),0)&lt;SG_Criteria!$B$19),"FAIL: grade below C"&amp;SG_Criteria!$B$19&amp;". ","")&amp;IF(AND(AA65&lt;&gt;"",AA65&lt;SG_Criteria!$B$20),"FAIL: cover &lt; "&amp;SG_Criteria!$B$20&amp;" mm. ","")&amp;IF(AND(I65&lt;&gt;"",I65&lt;SG_Criteria!$B$39),"NOTE: min depth below PUB "&amp;SG_Criteria!$B$39&amp;" m. ","")&amp;IF(AND(LEFT(D65,8)="Standard",J65&gt;SG_Criteria!$B$42),"FAIL: PUB 001C covers manholes up to "&amp;SG_Criteria!$B$42&amp;" m deep only. ","")&amp;IF(AND(LEFT(D65,11)="Rectangular",K65&lt;SG_Criteria!$B$43),"NOTE: 004C is for sewers &gt;= "&amp;SG_Criteria!$B$43&amp;" dia. ","")&amp;IF(AND(LEFT(D65,7)="Precast",J65&lt;=SG_Criteria!$B$42),"NOTE: 006C is for manholes &gt; "&amp;SG_Criteria!$B$42&amp;" m deep. ","")&amp;IF(AND(K65&lt;&gt;"",K65&lt;SG_Criteria!$B$40,D65&lt;&gt;"Inspection Chamber"),"NOTE: public sewer min dia "&amp;SG_Criteria!$B$40&amp;" mm. ","")&amp;IF(AND(Y65&lt;&gt;"",Y65&lt;SG_Criteria!$B$44),"FAIL: uplift FOS below "&amp;SG_Criteria!$B$44&amp;". ","")))</f>
        <v/>
      </c>
      <c r="BH65" s="9"/>
      <c r="BI65" s="9"/>
      <c r="BJ65" s="9"/>
      <c r="BK65" s="10" t="str">
        <f aca="false">IF(BJ65="","",IFERROR(VLOOKUP(BJ65,Projects!$A$5:$D$504,2,0),"Ref not in Projects"))</f>
        <v/>
      </c>
      <c r="BL65" s="10" t="str">
        <f aca="false">IF(BJ65="","",IFERROR(VLOOKUP(BJ65,Projects!$A$5:$D$504,4,0),"Ref not in Projects"))</f>
        <v/>
      </c>
      <c r="BM65" s="9"/>
      <c r="BN65" s="9"/>
      <c r="BO65" s="9"/>
      <c r="BP65" s="40"/>
      <c r="BQ65" s="9"/>
      <c r="BR65" s="40"/>
      <c r="BS65" s="9"/>
      <c r="BT65" s="40"/>
      <c r="BU65" s="9"/>
      <c r="BV65" s="9"/>
      <c r="BW65" s="9"/>
      <c r="BX65" s="40"/>
      <c r="BY65" s="40"/>
      <c r="BZ65" s="36" t="str">
        <f aca="false">IF(BY65="","",EDATE(BY65,SG_Criteria!$B$54*12))</f>
        <v/>
      </c>
      <c r="CA65" s="33" t="str">
        <f aca="true">IF(A65="","",IF(BY65="","NOTE: not reviewed yet",IF(TODAY()&gt;BZ65,"NOTE: review overdue","OK")))</f>
        <v/>
      </c>
      <c r="CB65" s="37" t="str">
        <f aca="false">IF(A65="","",ROUND((IF(LEN(D65)&gt;0,1,0)+IF(LEN(E65)&gt;0,1,0)+IF(LEN(F65)&gt;0,1,0)+IF(LEN(G65)&gt;0,1,0)+IF(LEN(I65)&gt;0,1,0)+IF(LEN(J65)&gt;0,1,0)+IF(LEN(K65)&gt;0,1,0)+IF(LEN(L65)&gt;0,1,0)+IF(LEN(M65)&gt;0,1,0)+IF(LEN(N65)&gt;0,1,0)+IF(LEN(Z65)&gt;0,1,0)+IF(LEN(AA65)&gt;0,1,0)+IF(LEN(Y65)&gt;0,1,0)+IF(LEN(AE65)&gt;0,1,0)+IF(LEN(AG65)&gt;0,1,0)+IF(LEN(AZ65)&gt;0,1,0)+IF(LEN(AK65)&gt;0,1,0)+IF(LEN(AM65)&gt;0,1,0)+IF(LEN(AN65)&gt;0,1,0)+IF(LEN(AO65)&gt;0,1,0)+IF(LEN(AP65)&gt;0,1,0)+IF(LEN(AY65)&gt;0,1,0)+IF(LEN(BJ65)&gt;0,1,0)+IF(LEN(BW65)&gt;0,1,0))/24,2))</f>
        <v/>
      </c>
      <c r="CC65" s="10" t="str">
        <f aca="false">IF(D65="","",IF(AND(AN65="Approved",ISERROR(SEARCH("FAIL",BG65))),"Y","N"))</f>
        <v/>
      </c>
      <c r="CD65" s="10" t="str">
        <f aca="false">IF(D65="","",D65&amp;"|"&amp;J65&amp;"|"&amp;G65&amp;"|"&amp;CC65)</f>
        <v/>
      </c>
    </row>
    <row r="66" customFormat="false" ht="15" hidden="false" customHeight="false" outlineLevel="0" collapsed="false">
      <c r="A66" s="10" t="str">
        <f aca="false">IF(D66="","","MH-"&amp;IFERROR(VLOOKUP(D66,Lists!$AB$4:$AC$20,2,0),"??")&amp;"-"&amp;TEXT(G66,"0000")&amp;IF(F66="Circular","D","x"&amp;TEXT(H66,"0000"))&amp;"-D"&amp;TEXT(J66*1000,"0000")&amp;"-"&amp;IFERROR(VLOOKUP(E66,Lists!$AE$4:$AF$16,2,0),"??")&amp;"-"&amp;AM66)</f>
        <v/>
      </c>
      <c r="B66" s="10" t="str">
        <f aca="false">IF(D66="","",D66&amp;", "&amp;E66&amp;", "&amp;IF(F66="Circular",G66&amp;" dia",G66&amp;" x "&amp;H66)&amp;", depth "&amp;TEXT(I66,"0.0")&amp;"-"&amp;TEXT(J66,"0.0")&amp;" m, pipe up to "&amp;K66&amp;" dia")</f>
        <v/>
      </c>
      <c r="C66" s="9"/>
      <c r="D66" s="9"/>
      <c r="E66" s="9"/>
      <c r="F66" s="9"/>
      <c r="G66" s="38"/>
      <c r="H66" s="38"/>
      <c r="I66" s="42"/>
      <c r="J66" s="42"/>
      <c r="K66" s="38"/>
      <c r="L66" s="38"/>
      <c r="M66" s="38"/>
      <c r="N66" s="38"/>
      <c r="O66" s="9"/>
      <c r="P66" s="9"/>
      <c r="Q66" s="9"/>
      <c r="R66" s="9"/>
      <c r="S66" s="9"/>
      <c r="T66" s="9"/>
      <c r="U66" s="9"/>
      <c r="V66" s="42"/>
      <c r="W66" s="9"/>
      <c r="X66" s="9"/>
      <c r="Y66" s="39"/>
      <c r="Z66" s="9"/>
      <c r="AA66" s="38"/>
      <c r="AB66" s="9"/>
      <c r="AC66" s="9"/>
      <c r="AD66" s="9"/>
      <c r="AE66" s="9"/>
      <c r="AF66" s="9"/>
      <c r="AG66" s="9"/>
      <c r="AH66" s="38"/>
      <c r="AI66" s="9"/>
      <c r="AJ66" s="39"/>
      <c r="AK66" s="9"/>
      <c r="AL66" s="9"/>
      <c r="AM66" s="9"/>
      <c r="AN66" s="9"/>
      <c r="AO66" s="9"/>
      <c r="AP66" s="9"/>
      <c r="AQ66" s="9"/>
      <c r="AR66" s="10" t="str">
        <f aca="false">IF(A66="","",SG_Criteria!$B$6&amp;SG_Criteria!$B$10&amp;"\"&amp;A66&amp;"\")</f>
        <v/>
      </c>
      <c r="AS66" s="10" t="str">
        <f aca="false">IF(A66="","",A66&amp;"_CAD.dwg")</f>
        <v/>
      </c>
      <c r="AT66" s="10" t="str">
        <f aca="false">IF(A66="","",A66&amp;"_DWG.pdf")</f>
        <v/>
      </c>
      <c r="AU66" s="10" t="str">
        <f aca="false">IF(A66="","",IF(AQ66="Y",A66&amp;"_STAAD.std","n/a"))</f>
        <v/>
      </c>
      <c r="AV66" s="10" t="str">
        <f aca="false">IF(A66="","",A66&amp;"_CALC.xlsx")</f>
        <v/>
      </c>
      <c r="AW66" s="10" t="str">
        <f aca="false">IF(A66="","",A66&amp;"_CALC.pdf")</f>
        <v/>
      </c>
      <c r="AX66" s="9"/>
      <c r="AY66" s="9"/>
      <c r="AZ66" s="39"/>
      <c r="BA66" s="39"/>
      <c r="BB66" s="39"/>
      <c r="BC66" s="39"/>
      <c r="BD66" s="39"/>
      <c r="BE66" s="12" t="str">
        <f aca="false">IF(A66="","",IF(COUNTIF(Rebar_Schedule!$A$5:$A$2004,A66)=0,"",ROUND(SUMIF(Rebar_Schedule!$A$5:$A$2004,A66,Rebar_Schedule!$K$5:$K$2004),1)))</f>
        <v/>
      </c>
      <c r="BF66" s="33" t="str">
        <f aca="false">IF(A66="","",IF(BE66="","No rebar schedule yet",IF(ABS(BE66-N(BA66))/MAX(N(BA66),1)&gt;SG_Criteria!$B$55,"NOTE: register rebar differs from schedule by "&amp;TEXT(ABS(BE66-N(BA66))/MAX(N(BA66),1),"0%"),"OK")))</f>
        <v/>
      </c>
      <c r="BG66" s="33" t="str">
        <f aca="false">IF(D66="","",IF(LEN(IF(AND(Z66&lt;&gt;"",IFERROR(VALUE(MID(Z66,2,2)),0)&lt;SG_Criteria!$B$19),"FAIL: grade below C"&amp;SG_Criteria!$B$19&amp;". ","")&amp;IF(AND(AA66&lt;&gt;"",AA66&lt;SG_Criteria!$B$20),"FAIL: cover &lt; "&amp;SG_Criteria!$B$20&amp;" mm. ","")&amp;IF(AND(I66&lt;&gt;"",I66&lt;SG_Criteria!$B$39),"NOTE: min depth below PUB "&amp;SG_Criteria!$B$39&amp;" m. ","")&amp;IF(AND(LEFT(D66,8)="Standard",J66&gt;SG_Criteria!$B$42),"FAIL: PUB 001C covers manholes up to "&amp;SG_Criteria!$B$42&amp;" m deep only. ","")&amp;IF(AND(LEFT(D66,11)="Rectangular",K66&lt;SG_Criteria!$B$43),"NOTE: 004C is for sewers &gt;= "&amp;SG_Criteria!$B$43&amp;" dia. ","")&amp;IF(AND(LEFT(D66,7)="Precast",J66&lt;=SG_Criteria!$B$42),"NOTE: 006C is for manholes &gt; "&amp;SG_Criteria!$B$42&amp;" m deep. ","")&amp;IF(AND(K66&lt;&gt;"",K66&lt;SG_Criteria!$B$40,D66&lt;&gt;"Inspection Chamber"),"NOTE: public sewer min dia "&amp;SG_Criteria!$B$40&amp;" mm. ","")&amp;IF(AND(Y66&lt;&gt;"",Y66&lt;SG_Criteria!$B$44),"FAIL: uplift FOS below "&amp;SG_Criteria!$B$44&amp;". ",""))=0,"OK",IF(AND(Z66&lt;&gt;"",IFERROR(VALUE(MID(Z66,2,2)),0)&lt;SG_Criteria!$B$19),"FAIL: grade below C"&amp;SG_Criteria!$B$19&amp;". ","")&amp;IF(AND(AA66&lt;&gt;"",AA66&lt;SG_Criteria!$B$20),"FAIL: cover &lt; "&amp;SG_Criteria!$B$20&amp;" mm. ","")&amp;IF(AND(I66&lt;&gt;"",I66&lt;SG_Criteria!$B$39),"NOTE: min depth below PUB "&amp;SG_Criteria!$B$39&amp;" m. ","")&amp;IF(AND(LEFT(D66,8)="Standard",J66&gt;SG_Criteria!$B$42),"FAIL: PUB 001C covers manholes up to "&amp;SG_Criteria!$B$42&amp;" m deep only. ","")&amp;IF(AND(LEFT(D66,11)="Rectangular",K66&lt;SG_Criteria!$B$43),"NOTE: 004C is for sewers &gt;= "&amp;SG_Criteria!$B$43&amp;" dia. ","")&amp;IF(AND(LEFT(D66,7)="Precast",J66&lt;=SG_Criteria!$B$42),"NOTE: 006C is for manholes &gt; "&amp;SG_Criteria!$B$42&amp;" m deep. ","")&amp;IF(AND(K66&lt;&gt;"",K66&lt;SG_Criteria!$B$40,D66&lt;&gt;"Inspection Chamber"),"NOTE: public sewer min dia "&amp;SG_Criteria!$B$40&amp;" mm. ","")&amp;IF(AND(Y66&lt;&gt;"",Y66&lt;SG_Criteria!$B$44),"FAIL: uplift FOS below "&amp;SG_Criteria!$B$44&amp;". ","")))</f>
        <v/>
      </c>
      <c r="BH66" s="9"/>
      <c r="BI66" s="9"/>
      <c r="BJ66" s="9"/>
      <c r="BK66" s="10" t="str">
        <f aca="false">IF(BJ66="","",IFERROR(VLOOKUP(BJ66,Projects!$A$5:$D$504,2,0),"Ref not in Projects"))</f>
        <v/>
      </c>
      <c r="BL66" s="10" t="str">
        <f aca="false">IF(BJ66="","",IFERROR(VLOOKUP(BJ66,Projects!$A$5:$D$504,4,0),"Ref not in Projects"))</f>
        <v/>
      </c>
      <c r="BM66" s="9"/>
      <c r="BN66" s="9"/>
      <c r="BO66" s="9"/>
      <c r="BP66" s="40"/>
      <c r="BQ66" s="9"/>
      <c r="BR66" s="40"/>
      <c r="BS66" s="9"/>
      <c r="BT66" s="40"/>
      <c r="BU66" s="9"/>
      <c r="BV66" s="9"/>
      <c r="BW66" s="9"/>
      <c r="BX66" s="40"/>
      <c r="BY66" s="40"/>
      <c r="BZ66" s="36" t="str">
        <f aca="false">IF(BY66="","",EDATE(BY66,SG_Criteria!$B$54*12))</f>
        <v/>
      </c>
      <c r="CA66" s="33" t="str">
        <f aca="true">IF(A66="","",IF(BY66="","NOTE: not reviewed yet",IF(TODAY()&gt;BZ66,"NOTE: review overdue","OK")))</f>
        <v/>
      </c>
      <c r="CB66" s="37" t="str">
        <f aca="false">IF(A66="","",ROUND((IF(LEN(D66)&gt;0,1,0)+IF(LEN(E66)&gt;0,1,0)+IF(LEN(F66)&gt;0,1,0)+IF(LEN(G66)&gt;0,1,0)+IF(LEN(I66)&gt;0,1,0)+IF(LEN(J66)&gt;0,1,0)+IF(LEN(K66)&gt;0,1,0)+IF(LEN(L66)&gt;0,1,0)+IF(LEN(M66)&gt;0,1,0)+IF(LEN(N66)&gt;0,1,0)+IF(LEN(Z66)&gt;0,1,0)+IF(LEN(AA66)&gt;0,1,0)+IF(LEN(Y66)&gt;0,1,0)+IF(LEN(AE66)&gt;0,1,0)+IF(LEN(AG66)&gt;0,1,0)+IF(LEN(AZ66)&gt;0,1,0)+IF(LEN(AK66)&gt;0,1,0)+IF(LEN(AM66)&gt;0,1,0)+IF(LEN(AN66)&gt;0,1,0)+IF(LEN(AO66)&gt;0,1,0)+IF(LEN(AP66)&gt;0,1,0)+IF(LEN(AY66)&gt;0,1,0)+IF(LEN(BJ66)&gt;0,1,0)+IF(LEN(BW66)&gt;0,1,0))/24,2))</f>
        <v/>
      </c>
      <c r="CC66" s="10" t="str">
        <f aca="false">IF(D66="","",IF(AND(AN66="Approved",ISERROR(SEARCH("FAIL",BG66))),"Y","N"))</f>
        <v/>
      </c>
      <c r="CD66" s="10" t="str">
        <f aca="false">IF(D66="","",D66&amp;"|"&amp;J66&amp;"|"&amp;G66&amp;"|"&amp;CC66)</f>
        <v/>
      </c>
    </row>
    <row r="67" customFormat="false" ht="15" hidden="false" customHeight="false" outlineLevel="0" collapsed="false">
      <c r="A67" s="10" t="str">
        <f aca="false">IF(D67="","","MH-"&amp;IFERROR(VLOOKUP(D67,Lists!$AB$4:$AC$20,2,0),"??")&amp;"-"&amp;TEXT(G67,"0000")&amp;IF(F67="Circular","D","x"&amp;TEXT(H67,"0000"))&amp;"-D"&amp;TEXT(J67*1000,"0000")&amp;"-"&amp;IFERROR(VLOOKUP(E67,Lists!$AE$4:$AF$16,2,0),"??")&amp;"-"&amp;AM67)</f>
        <v/>
      </c>
      <c r="B67" s="10" t="str">
        <f aca="false">IF(D67="","",D67&amp;", "&amp;E67&amp;", "&amp;IF(F67="Circular",G67&amp;" dia",G67&amp;" x "&amp;H67)&amp;", depth "&amp;TEXT(I67,"0.0")&amp;"-"&amp;TEXT(J67,"0.0")&amp;" m, pipe up to "&amp;K67&amp;" dia")</f>
        <v/>
      </c>
      <c r="C67" s="9"/>
      <c r="D67" s="9"/>
      <c r="E67" s="9"/>
      <c r="F67" s="9"/>
      <c r="G67" s="38"/>
      <c r="H67" s="38"/>
      <c r="I67" s="42"/>
      <c r="J67" s="42"/>
      <c r="K67" s="38"/>
      <c r="L67" s="38"/>
      <c r="M67" s="38"/>
      <c r="N67" s="38"/>
      <c r="O67" s="9"/>
      <c r="P67" s="9"/>
      <c r="Q67" s="9"/>
      <c r="R67" s="9"/>
      <c r="S67" s="9"/>
      <c r="T67" s="9"/>
      <c r="U67" s="9"/>
      <c r="V67" s="42"/>
      <c r="W67" s="9"/>
      <c r="X67" s="9"/>
      <c r="Y67" s="39"/>
      <c r="Z67" s="9"/>
      <c r="AA67" s="38"/>
      <c r="AB67" s="9"/>
      <c r="AC67" s="9"/>
      <c r="AD67" s="9"/>
      <c r="AE67" s="9"/>
      <c r="AF67" s="9"/>
      <c r="AG67" s="9"/>
      <c r="AH67" s="38"/>
      <c r="AI67" s="9"/>
      <c r="AJ67" s="39"/>
      <c r="AK67" s="9"/>
      <c r="AL67" s="9"/>
      <c r="AM67" s="9"/>
      <c r="AN67" s="9"/>
      <c r="AO67" s="9"/>
      <c r="AP67" s="9"/>
      <c r="AQ67" s="9"/>
      <c r="AR67" s="10" t="str">
        <f aca="false">IF(A67="","",SG_Criteria!$B$6&amp;SG_Criteria!$B$10&amp;"\"&amp;A67&amp;"\")</f>
        <v/>
      </c>
      <c r="AS67" s="10" t="str">
        <f aca="false">IF(A67="","",A67&amp;"_CAD.dwg")</f>
        <v/>
      </c>
      <c r="AT67" s="10" t="str">
        <f aca="false">IF(A67="","",A67&amp;"_DWG.pdf")</f>
        <v/>
      </c>
      <c r="AU67" s="10" t="str">
        <f aca="false">IF(A67="","",IF(AQ67="Y",A67&amp;"_STAAD.std","n/a"))</f>
        <v/>
      </c>
      <c r="AV67" s="10" t="str">
        <f aca="false">IF(A67="","",A67&amp;"_CALC.xlsx")</f>
        <v/>
      </c>
      <c r="AW67" s="10" t="str">
        <f aca="false">IF(A67="","",A67&amp;"_CALC.pdf")</f>
        <v/>
      </c>
      <c r="AX67" s="9"/>
      <c r="AY67" s="9"/>
      <c r="AZ67" s="39"/>
      <c r="BA67" s="39"/>
      <c r="BB67" s="39"/>
      <c r="BC67" s="39"/>
      <c r="BD67" s="39"/>
      <c r="BE67" s="12" t="str">
        <f aca="false">IF(A67="","",IF(COUNTIF(Rebar_Schedule!$A$5:$A$2004,A67)=0,"",ROUND(SUMIF(Rebar_Schedule!$A$5:$A$2004,A67,Rebar_Schedule!$K$5:$K$2004),1)))</f>
        <v/>
      </c>
      <c r="BF67" s="33" t="str">
        <f aca="false">IF(A67="","",IF(BE67="","No rebar schedule yet",IF(ABS(BE67-N(BA67))/MAX(N(BA67),1)&gt;SG_Criteria!$B$55,"NOTE: register rebar differs from schedule by "&amp;TEXT(ABS(BE67-N(BA67))/MAX(N(BA67),1),"0%"),"OK")))</f>
        <v/>
      </c>
      <c r="BG67" s="33" t="str">
        <f aca="false">IF(D67="","",IF(LEN(IF(AND(Z67&lt;&gt;"",IFERROR(VALUE(MID(Z67,2,2)),0)&lt;SG_Criteria!$B$19),"FAIL: grade below C"&amp;SG_Criteria!$B$19&amp;". ","")&amp;IF(AND(AA67&lt;&gt;"",AA67&lt;SG_Criteria!$B$20),"FAIL: cover &lt; "&amp;SG_Criteria!$B$20&amp;" mm. ","")&amp;IF(AND(I67&lt;&gt;"",I67&lt;SG_Criteria!$B$39),"NOTE: min depth below PUB "&amp;SG_Criteria!$B$39&amp;" m. ","")&amp;IF(AND(LEFT(D67,8)="Standard",J67&gt;SG_Criteria!$B$42),"FAIL: PUB 001C covers manholes up to "&amp;SG_Criteria!$B$42&amp;" m deep only. ","")&amp;IF(AND(LEFT(D67,11)="Rectangular",K67&lt;SG_Criteria!$B$43),"NOTE: 004C is for sewers &gt;= "&amp;SG_Criteria!$B$43&amp;" dia. ","")&amp;IF(AND(LEFT(D67,7)="Precast",J67&lt;=SG_Criteria!$B$42),"NOTE: 006C is for manholes &gt; "&amp;SG_Criteria!$B$42&amp;" m deep. ","")&amp;IF(AND(K67&lt;&gt;"",K67&lt;SG_Criteria!$B$40,D67&lt;&gt;"Inspection Chamber"),"NOTE: public sewer min dia "&amp;SG_Criteria!$B$40&amp;" mm. ","")&amp;IF(AND(Y67&lt;&gt;"",Y67&lt;SG_Criteria!$B$44),"FAIL: uplift FOS below "&amp;SG_Criteria!$B$44&amp;". ",""))=0,"OK",IF(AND(Z67&lt;&gt;"",IFERROR(VALUE(MID(Z67,2,2)),0)&lt;SG_Criteria!$B$19),"FAIL: grade below C"&amp;SG_Criteria!$B$19&amp;". ","")&amp;IF(AND(AA67&lt;&gt;"",AA67&lt;SG_Criteria!$B$20),"FAIL: cover &lt; "&amp;SG_Criteria!$B$20&amp;" mm. ","")&amp;IF(AND(I67&lt;&gt;"",I67&lt;SG_Criteria!$B$39),"NOTE: min depth below PUB "&amp;SG_Criteria!$B$39&amp;" m. ","")&amp;IF(AND(LEFT(D67,8)="Standard",J67&gt;SG_Criteria!$B$42),"FAIL: PUB 001C covers manholes up to "&amp;SG_Criteria!$B$42&amp;" m deep only. ","")&amp;IF(AND(LEFT(D67,11)="Rectangular",K67&lt;SG_Criteria!$B$43),"NOTE: 004C is for sewers &gt;= "&amp;SG_Criteria!$B$43&amp;" dia. ","")&amp;IF(AND(LEFT(D67,7)="Precast",J67&lt;=SG_Criteria!$B$42),"NOTE: 006C is for manholes &gt; "&amp;SG_Criteria!$B$42&amp;" m deep. ","")&amp;IF(AND(K67&lt;&gt;"",K67&lt;SG_Criteria!$B$40,D67&lt;&gt;"Inspection Chamber"),"NOTE: public sewer min dia "&amp;SG_Criteria!$B$40&amp;" mm. ","")&amp;IF(AND(Y67&lt;&gt;"",Y67&lt;SG_Criteria!$B$44),"FAIL: uplift FOS below "&amp;SG_Criteria!$B$44&amp;". ","")))</f>
        <v/>
      </c>
      <c r="BH67" s="9"/>
      <c r="BI67" s="9"/>
      <c r="BJ67" s="9"/>
      <c r="BK67" s="10" t="str">
        <f aca="false">IF(BJ67="","",IFERROR(VLOOKUP(BJ67,Projects!$A$5:$D$504,2,0),"Ref not in Projects"))</f>
        <v/>
      </c>
      <c r="BL67" s="10" t="str">
        <f aca="false">IF(BJ67="","",IFERROR(VLOOKUP(BJ67,Projects!$A$5:$D$504,4,0),"Ref not in Projects"))</f>
        <v/>
      </c>
      <c r="BM67" s="9"/>
      <c r="BN67" s="9"/>
      <c r="BO67" s="9"/>
      <c r="BP67" s="40"/>
      <c r="BQ67" s="9"/>
      <c r="BR67" s="40"/>
      <c r="BS67" s="9"/>
      <c r="BT67" s="40"/>
      <c r="BU67" s="9"/>
      <c r="BV67" s="9"/>
      <c r="BW67" s="9"/>
      <c r="BX67" s="40"/>
      <c r="BY67" s="40"/>
      <c r="BZ67" s="36" t="str">
        <f aca="false">IF(BY67="","",EDATE(BY67,SG_Criteria!$B$54*12))</f>
        <v/>
      </c>
      <c r="CA67" s="33" t="str">
        <f aca="true">IF(A67="","",IF(BY67="","NOTE: not reviewed yet",IF(TODAY()&gt;BZ67,"NOTE: review overdue","OK")))</f>
        <v/>
      </c>
      <c r="CB67" s="37" t="str">
        <f aca="false">IF(A67="","",ROUND((IF(LEN(D67)&gt;0,1,0)+IF(LEN(E67)&gt;0,1,0)+IF(LEN(F67)&gt;0,1,0)+IF(LEN(G67)&gt;0,1,0)+IF(LEN(I67)&gt;0,1,0)+IF(LEN(J67)&gt;0,1,0)+IF(LEN(K67)&gt;0,1,0)+IF(LEN(L67)&gt;0,1,0)+IF(LEN(M67)&gt;0,1,0)+IF(LEN(N67)&gt;0,1,0)+IF(LEN(Z67)&gt;0,1,0)+IF(LEN(AA67)&gt;0,1,0)+IF(LEN(Y67)&gt;0,1,0)+IF(LEN(AE67)&gt;0,1,0)+IF(LEN(AG67)&gt;0,1,0)+IF(LEN(AZ67)&gt;0,1,0)+IF(LEN(AK67)&gt;0,1,0)+IF(LEN(AM67)&gt;0,1,0)+IF(LEN(AN67)&gt;0,1,0)+IF(LEN(AO67)&gt;0,1,0)+IF(LEN(AP67)&gt;0,1,0)+IF(LEN(AY67)&gt;0,1,0)+IF(LEN(BJ67)&gt;0,1,0)+IF(LEN(BW67)&gt;0,1,0))/24,2))</f>
        <v/>
      </c>
      <c r="CC67" s="10" t="str">
        <f aca="false">IF(D67="","",IF(AND(AN67="Approved",ISERROR(SEARCH("FAIL",BG67))),"Y","N"))</f>
        <v/>
      </c>
      <c r="CD67" s="10" t="str">
        <f aca="false">IF(D67="","",D67&amp;"|"&amp;J67&amp;"|"&amp;G67&amp;"|"&amp;CC67)</f>
        <v/>
      </c>
    </row>
    <row r="68" customFormat="false" ht="15" hidden="false" customHeight="false" outlineLevel="0" collapsed="false">
      <c r="A68" s="10" t="str">
        <f aca="false">IF(D68="","","MH-"&amp;IFERROR(VLOOKUP(D68,Lists!$AB$4:$AC$20,2,0),"??")&amp;"-"&amp;TEXT(G68,"0000")&amp;IF(F68="Circular","D","x"&amp;TEXT(H68,"0000"))&amp;"-D"&amp;TEXT(J68*1000,"0000")&amp;"-"&amp;IFERROR(VLOOKUP(E68,Lists!$AE$4:$AF$16,2,0),"??")&amp;"-"&amp;AM68)</f>
        <v/>
      </c>
      <c r="B68" s="10" t="str">
        <f aca="false">IF(D68="","",D68&amp;", "&amp;E68&amp;", "&amp;IF(F68="Circular",G68&amp;" dia",G68&amp;" x "&amp;H68)&amp;", depth "&amp;TEXT(I68,"0.0")&amp;"-"&amp;TEXT(J68,"0.0")&amp;" m, pipe up to "&amp;K68&amp;" dia")</f>
        <v/>
      </c>
      <c r="C68" s="9"/>
      <c r="D68" s="9"/>
      <c r="E68" s="9"/>
      <c r="F68" s="9"/>
      <c r="G68" s="38"/>
      <c r="H68" s="38"/>
      <c r="I68" s="42"/>
      <c r="J68" s="42"/>
      <c r="K68" s="38"/>
      <c r="L68" s="38"/>
      <c r="M68" s="38"/>
      <c r="N68" s="38"/>
      <c r="O68" s="9"/>
      <c r="P68" s="9"/>
      <c r="Q68" s="9"/>
      <c r="R68" s="9"/>
      <c r="S68" s="9"/>
      <c r="T68" s="9"/>
      <c r="U68" s="9"/>
      <c r="V68" s="42"/>
      <c r="W68" s="9"/>
      <c r="X68" s="9"/>
      <c r="Y68" s="39"/>
      <c r="Z68" s="9"/>
      <c r="AA68" s="38"/>
      <c r="AB68" s="9"/>
      <c r="AC68" s="9"/>
      <c r="AD68" s="9"/>
      <c r="AE68" s="9"/>
      <c r="AF68" s="9"/>
      <c r="AG68" s="9"/>
      <c r="AH68" s="38"/>
      <c r="AI68" s="9"/>
      <c r="AJ68" s="39"/>
      <c r="AK68" s="9"/>
      <c r="AL68" s="9"/>
      <c r="AM68" s="9"/>
      <c r="AN68" s="9"/>
      <c r="AO68" s="9"/>
      <c r="AP68" s="9"/>
      <c r="AQ68" s="9"/>
      <c r="AR68" s="10" t="str">
        <f aca="false">IF(A68="","",SG_Criteria!$B$6&amp;SG_Criteria!$B$10&amp;"\"&amp;A68&amp;"\")</f>
        <v/>
      </c>
      <c r="AS68" s="10" t="str">
        <f aca="false">IF(A68="","",A68&amp;"_CAD.dwg")</f>
        <v/>
      </c>
      <c r="AT68" s="10" t="str">
        <f aca="false">IF(A68="","",A68&amp;"_DWG.pdf")</f>
        <v/>
      </c>
      <c r="AU68" s="10" t="str">
        <f aca="false">IF(A68="","",IF(AQ68="Y",A68&amp;"_STAAD.std","n/a"))</f>
        <v/>
      </c>
      <c r="AV68" s="10" t="str">
        <f aca="false">IF(A68="","",A68&amp;"_CALC.xlsx")</f>
        <v/>
      </c>
      <c r="AW68" s="10" t="str">
        <f aca="false">IF(A68="","",A68&amp;"_CALC.pdf")</f>
        <v/>
      </c>
      <c r="AX68" s="9"/>
      <c r="AY68" s="9"/>
      <c r="AZ68" s="39"/>
      <c r="BA68" s="39"/>
      <c r="BB68" s="39"/>
      <c r="BC68" s="39"/>
      <c r="BD68" s="39"/>
      <c r="BE68" s="12" t="str">
        <f aca="false">IF(A68="","",IF(COUNTIF(Rebar_Schedule!$A$5:$A$2004,A68)=0,"",ROUND(SUMIF(Rebar_Schedule!$A$5:$A$2004,A68,Rebar_Schedule!$K$5:$K$2004),1)))</f>
        <v/>
      </c>
      <c r="BF68" s="33" t="str">
        <f aca="false">IF(A68="","",IF(BE68="","No rebar schedule yet",IF(ABS(BE68-N(BA68))/MAX(N(BA68),1)&gt;SG_Criteria!$B$55,"NOTE: register rebar differs from schedule by "&amp;TEXT(ABS(BE68-N(BA68))/MAX(N(BA68),1),"0%"),"OK")))</f>
        <v/>
      </c>
      <c r="BG68" s="33" t="str">
        <f aca="false">IF(D68="","",IF(LEN(IF(AND(Z68&lt;&gt;"",IFERROR(VALUE(MID(Z68,2,2)),0)&lt;SG_Criteria!$B$19),"FAIL: grade below C"&amp;SG_Criteria!$B$19&amp;". ","")&amp;IF(AND(AA68&lt;&gt;"",AA68&lt;SG_Criteria!$B$20),"FAIL: cover &lt; "&amp;SG_Criteria!$B$20&amp;" mm. ","")&amp;IF(AND(I68&lt;&gt;"",I68&lt;SG_Criteria!$B$39),"NOTE: min depth below PUB "&amp;SG_Criteria!$B$39&amp;" m. ","")&amp;IF(AND(LEFT(D68,8)="Standard",J68&gt;SG_Criteria!$B$42),"FAIL: PUB 001C covers manholes up to "&amp;SG_Criteria!$B$42&amp;" m deep only. ","")&amp;IF(AND(LEFT(D68,11)="Rectangular",K68&lt;SG_Criteria!$B$43),"NOTE: 004C is for sewers &gt;= "&amp;SG_Criteria!$B$43&amp;" dia. ","")&amp;IF(AND(LEFT(D68,7)="Precast",J68&lt;=SG_Criteria!$B$42),"NOTE: 006C is for manholes &gt; "&amp;SG_Criteria!$B$42&amp;" m deep. ","")&amp;IF(AND(K68&lt;&gt;"",K68&lt;SG_Criteria!$B$40,D68&lt;&gt;"Inspection Chamber"),"NOTE: public sewer min dia "&amp;SG_Criteria!$B$40&amp;" mm. ","")&amp;IF(AND(Y68&lt;&gt;"",Y68&lt;SG_Criteria!$B$44),"FAIL: uplift FOS below "&amp;SG_Criteria!$B$44&amp;". ",""))=0,"OK",IF(AND(Z68&lt;&gt;"",IFERROR(VALUE(MID(Z68,2,2)),0)&lt;SG_Criteria!$B$19),"FAIL: grade below C"&amp;SG_Criteria!$B$19&amp;". ","")&amp;IF(AND(AA68&lt;&gt;"",AA68&lt;SG_Criteria!$B$20),"FAIL: cover &lt; "&amp;SG_Criteria!$B$20&amp;" mm. ","")&amp;IF(AND(I68&lt;&gt;"",I68&lt;SG_Criteria!$B$39),"NOTE: min depth below PUB "&amp;SG_Criteria!$B$39&amp;" m. ","")&amp;IF(AND(LEFT(D68,8)="Standard",J68&gt;SG_Criteria!$B$42),"FAIL: PUB 001C covers manholes up to "&amp;SG_Criteria!$B$42&amp;" m deep only. ","")&amp;IF(AND(LEFT(D68,11)="Rectangular",K68&lt;SG_Criteria!$B$43),"NOTE: 004C is for sewers &gt;= "&amp;SG_Criteria!$B$43&amp;" dia. ","")&amp;IF(AND(LEFT(D68,7)="Precast",J68&lt;=SG_Criteria!$B$42),"NOTE: 006C is for manholes &gt; "&amp;SG_Criteria!$B$42&amp;" m deep. ","")&amp;IF(AND(K68&lt;&gt;"",K68&lt;SG_Criteria!$B$40,D68&lt;&gt;"Inspection Chamber"),"NOTE: public sewer min dia "&amp;SG_Criteria!$B$40&amp;" mm. ","")&amp;IF(AND(Y68&lt;&gt;"",Y68&lt;SG_Criteria!$B$44),"FAIL: uplift FOS below "&amp;SG_Criteria!$B$44&amp;". ","")))</f>
        <v/>
      </c>
      <c r="BH68" s="9"/>
      <c r="BI68" s="9"/>
      <c r="BJ68" s="9"/>
      <c r="BK68" s="10" t="str">
        <f aca="false">IF(BJ68="","",IFERROR(VLOOKUP(BJ68,Projects!$A$5:$D$504,2,0),"Ref not in Projects"))</f>
        <v/>
      </c>
      <c r="BL68" s="10" t="str">
        <f aca="false">IF(BJ68="","",IFERROR(VLOOKUP(BJ68,Projects!$A$5:$D$504,4,0),"Ref not in Projects"))</f>
        <v/>
      </c>
      <c r="BM68" s="9"/>
      <c r="BN68" s="9"/>
      <c r="BO68" s="9"/>
      <c r="BP68" s="40"/>
      <c r="BQ68" s="9"/>
      <c r="BR68" s="40"/>
      <c r="BS68" s="9"/>
      <c r="BT68" s="40"/>
      <c r="BU68" s="9"/>
      <c r="BV68" s="9"/>
      <c r="BW68" s="9"/>
      <c r="BX68" s="40"/>
      <c r="BY68" s="40"/>
      <c r="BZ68" s="36" t="str">
        <f aca="false">IF(BY68="","",EDATE(BY68,SG_Criteria!$B$54*12))</f>
        <v/>
      </c>
      <c r="CA68" s="33" t="str">
        <f aca="true">IF(A68="","",IF(BY68="","NOTE: not reviewed yet",IF(TODAY()&gt;BZ68,"NOTE: review overdue","OK")))</f>
        <v/>
      </c>
      <c r="CB68" s="37" t="str">
        <f aca="false">IF(A68="","",ROUND((IF(LEN(D68)&gt;0,1,0)+IF(LEN(E68)&gt;0,1,0)+IF(LEN(F68)&gt;0,1,0)+IF(LEN(G68)&gt;0,1,0)+IF(LEN(I68)&gt;0,1,0)+IF(LEN(J68)&gt;0,1,0)+IF(LEN(K68)&gt;0,1,0)+IF(LEN(L68)&gt;0,1,0)+IF(LEN(M68)&gt;0,1,0)+IF(LEN(N68)&gt;0,1,0)+IF(LEN(Z68)&gt;0,1,0)+IF(LEN(AA68)&gt;0,1,0)+IF(LEN(Y68)&gt;0,1,0)+IF(LEN(AE68)&gt;0,1,0)+IF(LEN(AG68)&gt;0,1,0)+IF(LEN(AZ68)&gt;0,1,0)+IF(LEN(AK68)&gt;0,1,0)+IF(LEN(AM68)&gt;0,1,0)+IF(LEN(AN68)&gt;0,1,0)+IF(LEN(AO68)&gt;0,1,0)+IF(LEN(AP68)&gt;0,1,0)+IF(LEN(AY68)&gt;0,1,0)+IF(LEN(BJ68)&gt;0,1,0)+IF(LEN(BW68)&gt;0,1,0))/24,2))</f>
        <v/>
      </c>
      <c r="CC68" s="10" t="str">
        <f aca="false">IF(D68="","",IF(AND(AN68="Approved",ISERROR(SEARCH("FAIL",BG68))),"Y","N"))</f>
        <v/>
      </c>
      <c r="CD68" s="10" t="str">
        <f aca="false">IF(D68="","",D68&amp;"|"&amp;J68&amp;"|"&amp;G68&amp;"|"&amp;CC68)</f>
        <v/>
      </c>
    </row>
    <row r="69" customFormat="false" ht="15" hidden="false" customHeight="false" outlineLevel="0" collapsed="false">
      <c r="A69" s="10" t="str">
        <f aca="false">IF(D69="","","MH-"&amp;IFERROR(VLOOKUP(D69,Lists!$AB$4:$AC$20,2,0),"??")&amp;"-"&amp;TEXT(G69,"0000")&amp;IF(F69="Circular","D","x"&amp;TEXT(H69,"0000"))&amp;"-D"&amp;TEXT(J69*1000,"0000")&amp;"-"&amp;IFERROR(VLOOKUP(E69,Lists!$AE$4:$AF$16,2,0),"??")&amp;"-"&amp;AM69)</f>
        <v/>
      </c>
      <c r="B69" s="10" t="str">
        <f aca="false">IF(D69="","",D69&amp;", "&amp;E69&amp;", "&amp;IF(F69="Circular",G69&amp;" dia",G69&amp;" x "&amp;H69)&amp;", depth "&amp;TEXT(I69,"0.0")&amp;"-"&amp;TEXT(J69,"0.0")&amp;" m, pipe up to "&amp;K69&amp;" dia")</f>
        <v/>
      </c>
      <c r="C69" s="9"/>
      <c r="D69" s="9"/>
      <c r="E69" s="9"/>
      <c r="F69" s="9"/>
      <c r="G69" s="38"/>
      <c r="H69" s="38"/>
      <c r="I69" s="42"/>
      <c r="J69" s="42"/>
      <c r="K69" s="38"/>
      <c r="L69" s="38"/>
      <c r="M69" s="38"/>
      <c r="N69" s="38"/>
      <c r="O69" s="9"/>
      <c r="P69" s="9"/>
      <c r="Q69" s="9"/>
      <c r="R69" s="9"/>
      <c r="S69" s="9"/>
      <c r="T69" s="9"/>
      <c r="U69" s="9"/>
      <c r="V69" s="42"/>
      <c r="W69" s="9"/>
      <c r="X69" s="9"/>
      <c r="Y69" s="39"/>
      <c r="Z69" s="9"/>
      <c r="AA69" s="38"/>
      <c r="AB69" s="9"/>
      <c r="AC69" s="9"/>
      <c r="AD69" s="9"/>
      <c r="AE69" s="9"/>
      <c r="AF69" s="9"/>
      <c r="AG69" s="9"/>
      <c r="AH69" s="38"/>
      <c r="AI69" s="9"/>
      <c r="AJ69" s="39"/>
      <c r="AK69" s="9"/>
      <c r="AL69" s="9"/>
      <c r="AM69" s="9"/>
      <c r="AN69" s="9"/>
      <c r="AO69" s="9"/>
      <c r="AP69" s="9"/>
      <c r="AQ69" s="9"/>
      <c r="AR69" s="10" t="str">
        <f aca="false">IF(A69="","",SG_Criteria!$B$6&amp;SG_Criteria!$B$10&amp;"\"&amp;A69&amp;"\")</f>
        <v/>
      </c>
      <c r="AS69" s="10" t="str">
        <f aca="false">IF(A69="","",A69&amp;"_CAD.dwg")</f>
        <v/>
      </c>
      <c r="AT69" s="10" t="str">
        <f aca="false">IF(A69="","",A69&amp;"_DWG.pdf")</f>
        <v/>
      </c>
      <c r="AU69" s="10" t="str">
        <f aca="false">IF(A69="","",IF(AQ69="Y",A69&amp;"_STAAD.std","n/a"))</f>
        <v/>
      </c>
      <c r="AV69" s="10" t="str">
        <f aca="false">IF(A69="","",A69&amp;"_CALC.xlsx")</f>
        <v/>
      </c>
      <c r="AW69" s="10" t="str">
        <f aca="false">IF(A69="","",A69&amp;"_CALC.pdf")</f>
        <v/>
      </c>
      <c r="AX69" s="9"/>
      <c r="AY69" s="9"/>
      <c r="AZ69" s="39"/>
      <c r="BA69" s="39"/>
      <c r="BB69" s="39"/>
      <c r="BC69" s="39"/>
      <c r="BD69" s="39"/>
      <c r="BE69" s="12" t="str">
        <f aca="false">IF(A69="","",IF(COUNTIF(Rebar_Schedule!$A$5:$A$2004,A69)=0,"",ROUND(SUMIF(Rebar_Schedule!$A$5:$A$2004,A69,Rebar_Schedule!$K$5:$K$2004),1)))</f>
        <v/>
      </c>
      <c r="BF69" s="33" t="str">
        <f aca="false">IF(A69="","",IF(BE69="","No rebar schedule yet",IF(ABS(BE69-N(BA69))/MAX(N(BA69),1)&gt;SG_Criteria!$B$55,"NOTE: register rebar differs from schedule by "&amp;TEXT(ABS(BE69-N(BA69))/MAX(N(BA69),1),"0%"),"OK")))</f>
        <v/>
      </c>
      <c r="BG69" s="33" t="str">
        <f aca="false">IF(D69="","",IF(LEN(IF(AND(Z69&lt;&gt;"",IFERROR(VALUE(MID(Z69,2,2)),0)&lt;SG_Criteria!$B$19),"FAIL: grade below C"&amp;SG_Criteria!$B$19&amp;". ","")&amp;IF(AND(AA69&lt;&gt;"",AA69&lt;SG_Criteria!$B$20),"FAIL: cover &lt; "&amp;SG_Criteria!$B$20&amp;" mm. ","")&amp;IF(AND(I69&lt;&gt;"",I69&lt;SG_Criteria!$B$39),"NOTE: min depth below PUB "&amp;SG_Criteria!$B$39&amp;" m. ","")&amp;IF(AND(LEFT(D69,8)="Standard",J69&gt;SG_Criteria!$B$42),"FAIL: PUB 001C covers manholes up to "&amp;SG_Criteria!$B$42&amp;" m deep only. ","")&amp;IF(AND(LEFT(D69,11)="Rectangular",K69&lt;SG_Criteria!$B$43),"NOTE: 004C is for sewers &gt;= "&amp;SG_Criteria!$B$43&amp;" dia. ","")&amp;IF(AND(LEFT(D69,7)="Precast",J69&lt;=SG_Criteria!$B$42),"NOTE: 006C is for manholes &gt; "&amp;SG_Criteria!$B$42&amp;" m deep. ","")&amp;IF(AND(K69&lt;&gt;"",K69&lt;SG_Criteria!$B$40,D69&lt;&gt;"Inspection Chamber"),"NOTE: public sewer min dia "&amp;SG_Criteria!$B$40&amp;" mm. ","")&amp;IF(AND(Y69&lt;&gt;"",Y69&lt;SG_Criteria!$B$44),"FAIL: uplift FOS below "&amp;SG_Criteria!$B$44&amp;". ",""))=0,"OK",IF(AND(Z69&lt;&gt;"",IFERROR(VALUE(MID(Z69,2,2)),0)&lt;SG_Criteria!$B$19),"FAIL: grade below C"&amp;SG_Criteria!$B$19&amp;". ","")&amp;IF(AND(AA69&lt;&gt;"",AA69&lt;SG_Criteria!$B$20),"FAIL: cover &lt; "&amp;SG_Criteria!$B$20&amp;" mm. ","")&amp;IF(AND(I69&lt;&gt;"",I69&lt;SG_Criteria!$B$39),"NOTE: min depth below PUB "&amp;SG_Criteria!$B$39&amp;" m. ","")&amp;IF(AND(LEFT(D69,8)="Standard",J69&gt;SG_Criteria!$B$42),"FAIL: PUB 001C covers manholes up to "&amp;SG_Criteria!$B$42&amp;" m deep only. ","")&amp;IF(AND(LEFT(D69,11)="Rectangular",K69&lt;SG_Criteria!$B$43),"NOTE: 004C is for sewers &gt;= "&amp;SG_Criteria!$B$43&amp;" dia. ","")&amp;IF(AND(LEFT(D69,7)="Precast",J69&lt;=SG_Criteria!$B$42),"NOTE: 006C is for manholes &gt; "&amp;SG_Criteria!$B$42&amp;" m deep. ","")&amp;IF(AND(K69&lt;&gt;"",K69&lt;SG_Criteria!$B$40,D69&lt;&gt;"Inspection Chamber"),"NOTE: public sewer min dia "&amp;SG_Criteria!$B$40&amp;" mm. ","")&amp;IF(AND(Y69&lt;&gt;"",Y69&lt;SG_Criteria!$B$44),"FAIL: uplift FOS below "&amp;SG_Criteria!$B$44&amp;". ","")))</f>
        <v/>
      </c>
      <c r="BH69" s="9"/>
      <c r="BI69" s="9"/>
      <c r="BJ69" s="9"/>
      <c r="BK69" s="10" t="str">
        <f aca="false">IF(BJ69="","",IFERROR(VLOOKUP(BJ69,Projects!$A$5:$D$504,2,0),"Ref not in Projects"))</f>
        <v/>
      </c>
      <c r="BL69" s="10" t="str">
        <f aca="false">IF(BJ69="","",IFERROR(VLOOKUP(BJ69,Projects!$A$5:$D$504,4,0),"Ref not in Projects"))</f>
        <v/>
      </c>
      <c r="BM69" s="9"/>
      <c r="BN69" s="9"/>
      <c r="BO69" s="9"/>
      <c r="BP69" s="40"/>
      <c r="BQ69" s="9"/>
      <c r="BR69" s="40"/>
      <c r="BS69" s="9"/>
      <c r="BT69" s="40"/>
      <c r="BU69" s="9"/>
      <c r="BV69" s="9"/>
      <c r="BW69" s="9"/>
      <c r="BX69" s="40"/>
      <c r="BY69" s="40"/>
      <c r="BZ69" s="36" t="str">
        <f aca="false">IF(BY69="","",EDATE(BY69,SG_Criteria!$B$54*12))</f>
        <v/>
      </c>
      <c r="CA69" s="33" t="str">
        <f aca="true">IF(A69="","",IF(BY69="","NOTE: not reviewed yet",IF(TODAY()&gt;BZ69,"NOTE: review overdue","OK")))</f>
        <v/>
      </c>
      <c r="CB69" s="37" t="str">
        <f aca="false">IF(A69="","",ROUND((IF(LEN(D69)&gt;0,1,0)+IF(LEN(E69)&gt;0,1,0)+IF(LEN(F69)&gt;0,1,0)+IF(LEN(G69)&gt;0,1,0)+IF(LEN(I69)&gt;0,1,0)+IF(LEN(J69)&gt;0,1,0)+IF(LEN(K69)&gt;0,1,0)+IF(LEN(L69)&gt;0,1,0)+IF(LEN(M69)&gt;0,1,0)+IF(LEN(N69)&gt;0,1,0)+IF(LEN(Z69)&gt;0,1,0)+IF(LEN(AA69)&gt;0,1,0)+IF(LEN(Y69)&gt;0,1,0)+IF(LEN(AE69)&gt;0,1,0)+IF(LEN(AG69)&gt;0,1,0)+IF(LEN(AZ69)&gt;0,1,0)+IF(LEN(AK69)&gt;0,1,0)+IF(LEN(AM69)&gt;0,1,0)+IF(LEN(AN69)&gt;0,1,0)+IF(LEN(AO69)&gt;0,1,0)+IF(LEN(AP69)&gt;0,1,0)+IF(LEN(AY69)&gt;0,1,0)+IF(LEN(BJ69)&gt;0,1,0)+IF(LEN(BW69)&gt;0,1,0))/24,2))</f>
        <v/>
      </c>
      <c r="CC69" s="10" t="str">
        <f aca="false">IF(D69="","",IF(AND(AN69="Approved",ISERROR(SEARCH("FAIL",BG69))),"Y","N"))</f>
        <v/>
      </c>
      <c r="CD69" s="10" t="str">
        <f aca="false">IF(D69="","",D69&amp;"|"&amp;J69&amp;"|"&amp;G69&amp;"|"&amp;CC69)</f>
        <v/>
      </c>
    </row>
    <row r="70" customFormat="false" ht="15" hidden="false" customHeight="false" outlineLevel="0" collapsed="false">
      <c r="A70" s="10" t="str">
        <f aca="false">IF(D70="","","MH-"&amp;IFERROR(VLOOKUP(D70,Lists!$AB$4:$AC$20,2,0),"??")&amp;"-"&amp;TEXT(G70,"0000")&amp;IF(F70="Circular","D","x"&amp;TEXT(H70,"0000"))&amp;"-D"&amp;TEXT(J70*1000,"0000")&amp;"-"&amp;IFERROR(VLOOKUP(E70,Lists!$AE$4:$AF$16,2,0),"??")&amp;"-"&amp;AM70)</f>
        <v/>
      </c>
      <c r="B70" s="10" t="str">
        <f aca="false">IF(D70="","",D70&amp;", "&amp;E70&amp;", "&amp;IF(F70="Circular",G70&amp;" dia",G70&amp;" x "&amp;H70)&amp;", depth "&amp;TEXT(I70,"0.0")&amp;"-"&amp;TEXT(J70,"0.0")&amp;" m, pipe up to "&amp;K70&amp;" dia")</f>
        <v/>
      </c>
      <c r="C70" s="9"/>
      <c r="D70" s="9"/>
      <c r="E70" s="9"/>
      <c r="F70" s="9"/>
      <c r="G70" s="38"/>
      <c r="H70" s="38"/>
      <c r="I70" s="42"/>
      <c r="J70" s="42"/>
      <c r="K70" s="38"/>
      <c r="L70" s="38"/>
      <c r="M70" s="38"/>
      <c r="N70" s="38"/>
      <c r="O70" s="9"/>
      <c r="P70" s="9"/>
      <c r="Q70" s="9"/>
      <c r="R70" s="9"/>
      <c r="S70" s="9"/>
      <c r="T70" s="9"/>
      <c r="U70" s="9"/>
      <c r="V70" s="42"/>
      <c r="W70" s="9"/>
      <c r="X70" s="9"/>
      <c r="Y70" s="39"/>
      <c r="Z70" s="9"/>
      <c r="AA70" s="38"/>
      <c r="AB70" s="9"/>
      <c r="AC70" s="9"/>
      <c r="AD70" s="9"/>
      <c r="AE70" s="9"/>
      <c r="AF70" s="9"/>
      <c r="AG70" s="9"/>
      <c r="AH70" s="38"/>
      <c r="AI70" s="9"/>
      <c r="AJ70" s="39"/>
      <c r="AK70" s="9"/>
      <c r="AL70" s="9"/>
      <c r="AM70" s="9"/>
      <c r="AN70" s="9"/>
      <c r="AO70" s="9"/>
      <c r="AP70" s="9"/>
      <c r="AQ70" s="9"/>
      <c r="AR70" s="10" t="str">
        <f aca="false">IF(A70="","",SG_Criteria!$B$6&amp;SG_Criteria!$B$10&amp;"\"&amp;A70&amp;"\")</f>
        <v/>
      </c>
      <c r="AS70" s="10" t="str">
        <f aca="false">IF(A70="","",A70&amp;"_CAD.dwg")</f>
        <v/>
      </c>
      <c r="AT70" s="10" t="str">
        <f aca="false">IF(A70="","",A70&amp;"_DWG.pdf")</f>
        <v/>
      </c>
      <c r="AU70" s="10" t="str">
        <f aca="false">IF(A70="","",IF(AQ70="Y",A70&amp;"_STAAD.std","n/a"))</f>
        <v/>
      </c>
      <c r="AV70" s="10" t="str">
        <f aca="false">IF(A70="","",A70&amp;"_CALC.xlsx")</f>
        <v/>
      </c>
      <c r="AW70" s="10" t="str">
        <f aca="false">IF(A70="","",A70&amp;"_CALC.pdf")</f>
        <v/>
      </c>
      <c r="AX70" s="9"/>
      <c r="AY70" s="9"/>
      <c r="AZ70" s="39"/>
      <c r="BA70" s="39"/>
      <c r="BB70" s="39"/>
      <c r="BC70" s="39"/>
      <c r="BD70" s="39"/>
      <c r="BE70" s="12" t="str">
        <f aca="false">IF(A70="","",IF(COUNTIF(Rebar_Schedule!$A$5:$A$2004,A70)=0,"",ROUND(SUMIF(Rebar_Schedule!$A$5:$A$2004,A70,Rebar_Schedule!$K$5:$K$2004),1)))</f>
        <v/>
      </c>
      <c r="BF70" s="33" t="str">
        <f aca="false">IF(A70="","",IF(BE70="","No rebar schedule yet",IF(ABS(BE70-N(BA70))/MAX(N(BA70),1)&gt;SG_Criteria!$B$55,"NOTE: register rebar differs from schedule by "&amp;TEXT(ABS(BE70-N(BA70))/MAX(N(BA70),1),"0%"),"OK")))</f>
        <v/>
      </c>
      <c r="BG70" s="33" t="str">
        <f aca="false">IF(D70="","",IF(LEN(IF(AND(Z70&lt;&gt;"",IFERROR(VALUE(MID(Z70,2,2)),0)&lt;SG_Criteria!$B$19),"FAIL: grade below C"&amp;SG_Criteria!$B$19&amp;". ","")&amp;IF(AND(AA70&lt;&gt;"",AA70&lt;SG_Criteria!$B$20),"FAIL: cover &lt; "&amp;SG_Criteria!$B$20&amp;" mm. ","")&amp;IF(AND(I70&lt;&gt;"",I70&lt;SG_Criteria!$B$39),"NOTE: min depth below PUB "&amp;SG_Criteria!$B$39&amp;" m. ","")&amp;IF(AND(LEFT(D70,8)="Standard",J70&gt;SG_Criteria!$B$42),"FAIL: PUB 001C covers manholes up to "&amp;SG_Criteria!$B$42&amp;" m deep only. ","")&amp;IF(AND(LEFT(D70,11)="Rectangular",K70&lt;SG_Criteria!$B$43),"NOTE: 004C is for sewers &gt;= "&amp;SG_Criteria!$B$43&amp;" dia. ","")&amp;IF(AND(LEFT(D70,7)="Precast",J70&lt;=SG_Criteria!$B$42),"NOTE: 006C is for manholes &gt; "&amp;SG_Criteria!$B$42&amp;" m deep. ","")&amp;IF(AND(K70&lt;&gt;"",K70&lt;SG_Criteria!$B$40,D70&lt;&gt;"Inspection Chamber"),"NOTE: public sewer min dia "&amp;SG_Criteria!$B$40&amp;" mm. ","")&amp;IF(AND(Y70&lt;&gt;"",Y70&lt;SG_Criteria!$B$44),"FAIL: uplift FOS below "&amp;SG_Criteria!$B$44&amp;". ",""))=0,"OK",IF(AND(Z70&lt;&gt;"",IFERROR(VALUE(MID(Z70,2,2)),0)&lt;SG_Criteria!$B$19),"FAIL: grade below C"&amp;SG_Criteria!$B$19&amp;". ","")&amp;IF(AND(AA70&lt;&gt;"",AA70&lt;SG_Criteria!$B$20),"FAIL: cover &lt; "&amp;SG_Criteria!$B$20&amp;" mm. ","")&amp;IF(AND(I70&lt;&gt;"",I70&lt;SG_Criteria!$B$39),"NOTE: min depth below PUB "&amp;SG_Criteria!$B$39&amp;" m. ","")&amp;IF(AND(LEFT(D70,8)="Standard",J70&gt;SG_Criteria!$B$42),"FAIL: PUB 001C covers manholes up to "&amp;SG_Criteria!$B$42&amp;" m deep only. ","")&amp;IF(AND(LEFT(D70,11)="Rectangular",K70&lt;SG_Criteria!$B$43),"NOTE: 004C is for sewers &gt;= "&amp;SG_Criteria!$B$43&amp;" dia. ","")&amp;IF(AND(LEFT(D70,7)="Precast",J70&lt;=SG_Criteria!$B$42),"NOTE: 006C is for manholes &gt; "&amp;SG_Criteria!$B$42&amp;" m deep. ","")&amp;IF(AND(K70&lt;&gt;"",K70&lt;SG_Criteria!$B$40,D70&lt;&gt;"Inspection Chamber"),"NOTE: public sewer min dia "&amp;SG_Criteria!$B$40&amp;" mm. ","")&amp;IF(AND(Y70&lt;&gt;"",Y70&lt;SG_Criteria!$B$44),"FAIL: uplift FOS below "&amp;SG_Criteria!$B$44&amp;". ","")))</f>
        <v/>
      </c>
      <c r="BH70" s="9"/>
      <c r="BI70" s="9"/>
      <c r="BJ70" s="9"/>
      <c r="BK70" s="10" t="str">
        <f aca="false">IF(BJ70="","",IFERROR(VLOOKUP(BJ70,Projects!$A$5:$D$504,2,0),"Ref not in Projects"))</f>
        <v/>
      </c>
      <c r="BL70" s="10" t="str">
        <f aca="false">IF(BJ70="","",IFERROR(VLOOKUP(BJ70,Projects!$A$5:$D$504,4,0),"Ref not in Projects"))</f>
        <v/>
      </c>
      <c r="BM70" s="9"/>
      <c r="BN70" s="9"/>
      <c r="BO70" s="9"/>
      <c r="BP70" s="40"/>
      <c r="BQ70" s="9"/>
      <c r="BR70" s="40"/>
      <c r="BS70" s="9"/>
      <c r="BT70" s="40"/>
      <c r="BU70" s="9"/>
      <c r="BV70" s="9"/>
      <c r="BW70" s="9"/>
      <c r="BX70" s="40"/>
      <c r="BY70" s="40"/>
      <c r="BZ70" s="36" t="str">
        <f aca="false">IF(BY70="","",EDATE(BY70,SG_Criteria!$B$54*12))</f>
        <v/>
      </c>
      <c r="CA70" s="33" t="str">
        <f aca="true">IF(A70="","",IF(BY70="","NOTE: not reviewed yet",IF(TODAY()&gt;BZ70,"NOTE: review overdue","OK")))</f>
        <v/>
      </c>
      <c r="CB70" s="37" t="str">
        <f aca="false">IF(A70="","",ROUND((IF(LEN(D70)&gt;0,1,0)+IF(LEN(E70)&gt;0,1,0)+IF(LEN(F70)&gt;0,1,0)+IF(LEN(G70)&gt;0,1,0)+IF(LEN(I70)&gt;0,1,0)+IF(LEN(J70)&gt;0,1,0)+IF(LEN(K70)&gt;0,1,0)+IF(LEN(L70)&gt;0,1,0)+IF(LEN(M70)&gt;0,1,0)+IF(LEN(N70)&gt;0,1,0)+IF(LEN(Z70)&gt;0,1,0)+IF(LEN(AA70)&gt;0,1,0)+IF(LEN(Y70)&gt;0,1,0)+IF(LEN(AE70)&gt;0,1,0)+IF(LEN(AG70)&gt;0,1,0)+IF(LEN(AZ70)&gt;0,1,0)+IF(LEN(AK70)&gt;0,1,0)+IF(LEN(AM70)&gt;0,1,0)+IF(LEN(AN70)&gt;0,1,0)+IF(LEN(AO70)&gt;0,1,0)+IF(LEN(AP70)&gt;0,1,0)+IF(LEN(AY70)&gt;0,1,0)+IF(LEN(BJ70)&gt;0,1,0)+IF(LEN(BW70)&gt;0,1,0))/24,2))</f>
        <v/>
      </c>
      <c r="CC70" s="10" t="str">
        <f aca="false">IF(D70="","",IF(AND(AN70="Approved",ISERROR(SEARCH("FAIL",BG70))),"Y","N"))</f>
        <v/>
      </c>
      <c r="CD70" s="10" t="str">
        <f aca="false">IF(D70="","",D70&amp;"|"&amp;J70&amp;"|"&amp;G70&amp;"|"&amp;CC70)</f>
        <v/>
      </c>
    </row>
    <row r="71" customFormat="false" ht="15" hidden="false" customHeight="false" outlineLevel="0" collapsed="false">
      <c r="A71" s="10" t="str">
        <f aca="false">IF(D71="","","MH-"&amp;IFERROR(VLOOKUP(D71,Lists!$AB$4:$AC$20,2,0),"??")&amp;"-"&amp;TEXT(G71,"0000")&amp;IF(F71="Circular","D","x"&amp;TEXT(H71,"0000"))&amp;"-D"&amp;TEXT(J71*1000,"0000")&amp;"-"&amp;IFERROR(VLOOKUP(E71,Lists!$AE$4:$AF$16,2,0),"??")&amp;"-"&amp;AM71)</f>
        <v/>
      </c>
      <c r="B71" s="10" t="str">
        <f aca="false">IF(D71="","",D71&amp;", "&amp;E71&amp;", "&amp;IF(F71="Circular",G71&amp;" dia",G71&amp;" x "&amp;H71)&amp;", depth "&amp;TEXT(I71,"0.0")&amp;"-"&amp;TEXT(J71,"0.0")&amp;" m, pipe up to "&amp;K71&amp;" dia")</f>
        <v/>
      </c>
      <c r="C71" s="9"/>
      <c r="D71" s="9"/>
      <c r="E71" s="9"/>
      <c r="F71" s="9"/>
      <c r="G71" s="38"/>
      <c r="H71" s="38"/>
      <c r="I71" s="42"/>
      <c r="J71" s="42"/>
      <c r="K71" s="38"/>
      <c r="L71" s="38"/>
      <c r="M71" s="38"/>
      <c r="N71" s="38"/>
      <c r="O71" s="9"/>
      <c r="P71" s="9"/>
      <c r="Q71" s="9"/>
      <c r="R71" s="9"/>
      <c r="S71" s="9"/>
      <c r="T71" s="9"/>
      <c r="U71" s="9"/>
      <c r="V71" s="42"/>
      <c r="W71" s="9"/>
      <c r="X71" s="9"/>
      <c r="Y71" s="39"/>
      <c r="Z71" s="9"/>
      <c r="AA71" s="38"/>
      <c r="AB71" s="9"/>
      <c r="AC71" s="9"/>
      <c r="AD71" s="9"/>
      <c r="AE71" s="9"/>
      <c r="AF71" s="9"/>
      <c r="AG71" s="9"/>
      <c r="AH71" s="38"/>
      <c r="AI71" s="9"/>
      <c r="AJ71" s="39"/>
      <c r="AK71" s="9"/>
      <c r="AL71" s="9"/>
      <c r="AM71" s="9"/>
      <c r="AN71" s="9"/>
      <c r="AO71" s="9"/>
      <c r="AP71" s="9"/>
      <c r="AQ71" s="9"/>
      <c r="AR71" s="10" t="str">
        <f aca="false">IF(A71="","",SG_Criteria!$B$6&amp;SG_Criteria!$B$10&amp;"\"&amp;A71&amp;"\")</f>
        <v/>
      </c>
      <c r="AS71" s="10" t="str">
        <f aca="false">IF(A71="","",A71&amp;"_CAD.dwg")</f>
        <v/>
      </c>
      <c r="AT71" s="10" t="str">
        <f aca="false">IF(A71="","",A71&amp;"_DWG.pdf")</f>
        <v/>
      </c>
      <c r="AU71" s="10" t="str">
        <f aca="false">IF(A71="","",IF(AQ71="Y",A71&amp;"_STAAD.std","n/a"))</f>
        <v/>
      </c>
      <c r="AV71" s="10" t="str">
        <f aca="false">IF(A71="","",A71&amp;"_CALC.xlsx")</f>
        <v/>
      </c>
      <c r="AW71" s="10" t="str">
        <f aca="false">IF(A71="","",A71&amp;"_CALC.pdf")</f>
        <v/>
      </c>
      <c r="AX71" s="9"/>
      <c r="AY71" s="9"/>
      <c r="AZ71" s="39"/>
      <c r="BA71" s="39"/>
      <c r="BB71" s="39"/>
      <c r="BC71" s="39"/>
      <c r="BD71" s="39"/>
      <c r="BE71" s="12" t="str">
        <f aca="false">IF(A71="","",IF(COUNTIF(Rebar_Schedule!$A$5:$A$2004,A71)=0,"",ROUND(SUMIF(Rebar_Schedule!$A$5:$A$2004,A71,Rebar_Schedule!$K$5:$K$2004),1)))</f>
        <v/>
      </c>
      <c r="BF71" s="33" t="str">
        <f aca="false">IF(A71="","",IF(BE71="","No rebar schedule yet",IF(ABS(BE71-N(BA71))/MAX(N(BA71),1)&gt;SG_Criteria!$B$55,"NOTE: register rebar differs from schedule by "&amp;TEXT(ABS(BE71-N(BA71))/MAX(N(BA71),1),"0%"),"OK")))</f>
        <v/>
      </c>
      <c r="BG71" s="33" t="str">
        <f aca="false">IF(D71="","",IF(LEN(IF(AND(Z71&lt;&gt;"",IFERROR(VALUE(MID(Z71,2,2)),0)&lt;SG_Criteria!$B$19),"FAIL: grade below C"&amp;SG_Criteria!$B$19&amp;". ","")&amp;IF(AND(AA71&lt;&gt;"",AA71&lt;SG_Criteria!$B$20),"FAIL: cover &lt; "&amp;SG_Criteria!$B$20&amp;" mm. ","")&amp;IF(AND(I71&lt;&gt;"",I71&lt;SG_Criteria!$B$39),"NOTE: min depth below PUB "&amp;SG_Criteria!$B$39&amp;" m. ","")&amp;IF(AND(LEFT(D71,8)="Standard",J71&gt;SG_Criteria!$B$42),"FAIL: PUB 001C covers manholes up to "&amp;SG_Criteria!$B$42&amp;" m deep only. ","")&amp;IF(AND(LEFT(D71,11)="Rectangular",K71&lt;SG_Criteria!$B$43),"NOTE: 004C is for sewers &gt;= "&amp;SG_Criteria!$B$43&amp;" dia. ","")&amp;IF(AND(LEFT(D71,7)="Precast",J71&lt;=SG_Criteria!$B$42),"NOTE: 006C is for manholes &gt; "&amp;SG_Criteria!$B$42&amp;" m deep. ","")&amp;IF(AND(K71&lt;&gt;"",K71&lt;SG_Criteria!$B$40,D71&lt;&gt;"Inspection Chamber"),"NOTE: public sewer min dia "&amp;SG_Criteria!$B$40&amp;" mm. ","")&amp;IF(AND(Y71&lt;&gt;"",Y71&lt;SG_Criteria!$B$44),"FAIL: uplift FOS below "&amp;SG_Criteria!$B$44&amp;". ",""))=0,"OK",IF(AND(Z71&lt;&gt;"",IFERROR(VALUE(MID(Z71,2,2)),0)&lt;SG_Criteria!$B$19),"FAIL: grade below C"&amp;SG_Criteria!$B$19&amp;". ","")&amp;IF(AND(AA71&lt;&gt;"",AA71&lt;SG_Criteria!$B$20),"FAIL: cover &lt; "&amp;SG_Criteria!$B$20&amp;" mm. ","")&amp;IF(AND(I71&lt;&gt;"",I71&lt;SG_Criteria!$B$39),"NOTE: min depth below PUB "&amp;SG_Criteria!$B$39&amp;" m. ","")&amp;IF(AND(LEFT(D71,8)="Standard",J71&gt;SG_Criteria!$B$42),"FAIL: PUB 001C covers manholes up to "&amp;SG_Criteria!$B$42&amp;" m deep only. ","")&amp;IF(AND(LEFT(D71,11)="Rectangular",K71&lt;SG_Criteria!$B$43),"NOTE: 004C is for sewers &gt;= "&amp;SG_Criteria!$B$43&amp;" dia. ","")&amp;IF(AND(LEFT(D71,7)="Precast",J71&lt;=SG_Criteria!$B$42),"NOTE: 006C is for manholes &gt; "&amp;SG_Criteria!$B$42&amp;" m deep. ","")&amp;IF(AND(K71&lt;&gt;"",K71&lt;SG_Criteria!$B$40,D71&lt;&gt;"Inspection Chamber"),"NOTE: public sewer min dia "&amp;SG_Criteria!$B$40&amp;" mm. ","")&amp;IF(AND(Y71&lt;&gt;"",Y71&lt;SG_Criteria!$B$44),"FAIL: uplift FOS below "&amp;SG_Criteria!$B$44&amp;". ","")))</f>
        <v/>
      </c>
      <c r="BH71" s="9"/>
      <c r="BI71" s="9"/>
      <c r="BJ71" s="9"/>
      <c r="BK71" s="10" t="str">
        <f aca="false">IF(BJ71="","",IFERROR(VLOOKUP(BJ71,Projects!$A$5:$D$504,2,0),"Ref not in Projects"))</f>
        <v/>
      </c>
      <c r="BL71" s="10" t="str">
        <f aca="false">IF(BJ71="","",IFERROR(VLOOKUP(BJ71,Projects!$A$5:$D$504,4,0),"Ref not in Projects"))</f>
        <v/>
      </c>
      <c r="BM71" s="9"/>
      <c r="BN71" s="9"/>
      <c r="BO71" s="9"/>
      <c r="BP71" s="40"/>
      <c r="BQ71" s="9"/>
      <c r="BR71" s="40"/>
      <c r="BS71" s="9"/>
      <c r="BT71" s="40"/>
      <c r="BU71" s="9"/>
      <c r="BV71" s="9"/>
      <c r="BW71" s="9"/>
      <c r="BX71" s="40"/>
      <c r="BY71" s="40"/>
      <c r="BZ71" s="36" t="str">
        <f aca="false">IF(BY71="","",EDATE(BY71,SG_Criteria!$B$54*12))</f>
        <v/>
      </c>
      <c r="CA71" s="33" t="str">
        <f aca="true">IF(A71="","",IF(BY71="","NOTE: not reviewed yet",IF(TODAY()&gt;BZ71,"NOTE: review overdue","OK")))</f>
        <v/>
      </c>
      <c r="CB71" s="37" t="str">
        <f aca="false">IF(A71="","",ROUND((IF(LEN(D71)&gt;0,1,0)+IF(LEN(E71)&gt;0,1,0)+IF(LEN(F71)&gt;0,1,0)+IF(LEN(G71)&gt;0,1,0)+IF(LEN(I71)&gt;0,1,0)+IF(LEN(J71)&gt;0,1,0)+IF(LEN(K71)&gt;0,1,0)+IF(LEN(L71)&gt;0,1,0)+IF(LEN(M71)&gt;0,1,0)+IF(LEN(N71)&gt;0,1,0)+IF(LEN(Z71)&gt;0,1,0)+IF(LEN(AA71)&gt;0,1,0)+IF(LEN(Y71)&gt;0,1,0)+IF(LEN(AE71)&gt;0,1,0)+IF(LEN(AG71)&gt;0,1,0)+IF(LEN(AZ71)&gt;0,1,0)+IF(LEN(AK71)&gt;0,1,0)+IF(LEN(AM71)&gt;0,1,0)+IF(LEN(AN71)&gt;0,1,0)+IF(LEN(AO71)&gt;0,1,0)+IF(LEN(AP71)&gt;0,1,0)+IF(LEN(AY71)&gt;0,1,0)+IF(LEN(BJ71)&gt;0,1,0)+IF(LEN(BW71)&gt;0,1,0))/24,2))</f>
        <v/>
      </c>
      <c r="CC71" s="10" t="str">
        <f aca="false">IF(D71="","",IF(AND(AN71="Approved",ISERROR(SEARCH("FAIL",BG71))),"Y","N"))</f>
        <v/>
      </c>
      <c r="CD71" s="10" t="str">
        <f aca="false">IF(D71="","",D71&amp;"|"&amp;J71&amp;"|"&amp;G71&amp;"|"&amp;CC71)</f>
        <v/>
      </c>
    </row>
    <row r="72" customFormat="false" ht="15" hidden="false" customHeight="false" outlineLevel="0" collapsed="false">
      <c r="A72" s="10" t="str">
        <f aca="false">IF(D72="","","MH-"&amp;IFERROR(VLOOKUP(D72,Lists!$AB$4:$AC$20,2,0),"??")&amp;"-"&amp;TEXT(G72,"0000")&amp;IF(F72="Circular","D","x"&amp;TEXT(H72,"0000"))&amp;"-D"&amp;TEXT(J72*1000,"0000")&amp;"-"&amp;IFERROR(VLOOKUP(E72,Lists!$AE$4:$AF$16,2,0),"??")&amp;"-"&amp;AM72)</f>
        <v/>
      </c>
      <c r="B72" s="10" t="str">
        <f aca="false">IF(D72="","",D72&amp;", "&amp;E72&amp;", "&amp;IF(F72="Circular",G72&amp;" dia",G72&amp;" x "&amp;H72)&amp;", depth "&amp;TEXT(I72,"0.0")&amp;"-"&amp;TEXT(J72,"0.0")&amp;" m, pipe up to "&amp;K72&amp;" dia")</f>
        <v/>
      </c>
      <c r="C72" s="9"/>
      <c r="D72" s="9"/>
      <c r="E72" s="9"/>
      <c r="F72" s="9"/>
      <c r="G72" s="38"/>
      <c r="H72" s="38"/>
      <c r="I72" s="42"/>
      <c r="J72" s="42"/>
      <c r="K72" s="38"/>
      <c r="L72" s="38"/>
      <c r="M72" s="38"/>
      <c r="N72" s="38"/>
      <c r="O72" s="9"/>
      <c r="P72" s="9"/>
      <c r="Q72" s="9"/>
      <c r="R72" s="9"/>
      <c r="S72" s="9"/>
      <c r="T72" s="9"/>
      <c r="U72" s="9"/>
      <c r="V72" s="42"/>
      <c r="W72" s="9"/>
      <c r="X72" s="9"/>
      <c r="Y72" s="39"/>
      <c r="Z72" s="9"/>
      <c r="AA72" s="38"/>
      <c r="AB72" s="9"/>
      <c r="AC72" s="9"/>
      <c r="AD72" s="9"/>
      <c r="AE72" s="9"/>
      <c r="AF72" s="9"/>
      <c r="AG72" s="9"/>
      <c r="AH72" s="38"/>
      <c r="AI72" s="9"/>
      <c r="AJ72" s="39"/>
      <c r="AK72" s="9"/>
      <c r="AL72" s="9"/>
      <c r="AM72" s="9"/>
      <c r="AN72" s="9"/>
      <c r="AO72" s="9"/>
      <c r="AP72" s="9"/>
      <c r="AQ72" s="9"/>
      <c r="AR72" s="10" t="str">
        <f aca="false">IF(A72="","",SG_Criteria!$B$6&amp;SG_Criteria!$B$10&amp;"\"&amp;A72&amp;"\")</f>
        <v/>
      </c>
      <c r="AS72" s="10" t="str">
        <f aca="false">IF(A72="","",A72&amp;"_CAD.dwg")</f>
        <v/>
      </c>
      <c r="AT72" s="10" t="str">
        <f aca="false">IF(A72="","",A72&amp;"_DWG.pdf")</f>
        <v/>
      </c>
      <c r="AU72" s="10" t="str">
        <f aca="false">IF(A72="","",IF(AQ72="Y",A72&amp;"_STAAD.std","n/a"))</f>
        <v/>
      </c>
      <c r="AV72" s="10" t="str">
        <f aca="false">IF(A72="","",A72&amp;"_CALC.xlsx")</f>
        <v/>
      </c>
      <c r="AW72" s="10" t="str">
        <f aca="false">IF(A72="","",A72&amp;"_CALC.pdf")</f>
        <v/>
      </c>
      <c r="AX72" s="9"/>
      <c r="AY72" s="9"/>
      <c r="AZ72" s="39"/>
      <c r="BA72" s="39"/>
      <c r="BB72" s="39"/>
      <c r="BC72" s="39"/>
      <c r="BD72" s="39"/>
      <c r="BE72" s="12" t="str">
        <f aca="false">IF(A72="","",IF(COUNTIF(Rebar_Schedule!$A$5:$A$2004,A72)=0,"",ROUND(SUMIF(Rebar_Schedule!$A$5:$A$2004,A72,Rebar_Schedule!$K$5:$K$2004),1)))</f>
        <v/>
      </c>
      <c r="BF72" s="33" t="str">
        <f aca="false">IF(A72="","",IF(BE72="","No rebar schedule yet",IF(ABS(BE72-N(BA72))/MAX(N(BA72),1)&gt;SG_Criteria!$B$55,"NOTE: register rebar differs from schedule by "&amp;TEXT(ABS(BE72-N(BA72))/MAX(N(BA72),1),"0%"),"OK")))</f>
        <v/>
      </c>
      <c r="BG72" s="33" t="str">
        <f aca="false">IF(D72="","",IF(LEN(IF(AND(Z72&lt;&gt;"",IFERROR(VALUE(MID(Z72,2,2)),0)&lt;SG_Criteria!$B$19),"FAIL: grade below C"&amp;SG_Criteria!$B$19&amp;". ","")&amp;IF(AND(AA72&lt;&gt;"",AA72&lt;SG_Criteria!$B$20),"FAIL: cover &lt; "&amp;SG_Criteria!$B$20&amp;" mm. ","")&amp;IF(AND(I72&lt;&gt;"",I72&lt;SG_Criteria!$B$39),"NOTE: min depth below PUB "&amp;SG_Criteria!$B$39&amp;" m. ","")&amp;IF(AND(LEFT(D72,8)="Standard",J72&gt;SG_Criteria!$B$42),"FAIL: PUB 001C covers manholes up to "&amp;SG_Criteria!$B$42&amp;" m deep only. ","")&amp;IF(AND(LEFT(D72,11)="Rectangular",K72&lt;SG_Criteria!$B$43),"NOTE: 004C is for sewers &gt;= "&amp;SG_Criteria!$B$43&amp;" dia. ","")&amp;IF(AND(LEFT(D72,7)="Precast",J72&lt;=SG_Criteria!$B$42),"NOTE: 006C is for manholes &gt; "&amp;SG_Criteria!$B$42&amp;" m deep. ","")&amp;IF(AND(K72&lt;&gt;"",K72&lt;SG_Criteria!$B$40,D72&lt;&gt;"Inspection Chamber"),"NOTE: public sewer min dia "&amp;SG_Criteria!$B$40&amp;" mm. ","")&amp;IF(AND(Y72&lt;&gt;"",Y72&lt;SG_Criteria!$B$44),"FAIL: uplift FOS below "&amp;SG_Criteria!$B$44&amp;". ",""))=0,"OK",IF(AND(Z72&lt;&gt;"",IFERROR(VALUE(MID(Z72,2,2)),0)&lt;SG_Criteria!$B$19),"FAIL: grade below C"&amp;SG_Criteria!$B$19&amp;". ","")&amp;IF(AND(AA72&lt;&gt;"",AA72&lt;SG_Criteria!$B$20),"FAIL: cover &lt; "&amp;SG_Criteria!$B$20&amp;" mm. ","")&amp;IF(AND(I72&lt;&gt;"",I72&lt;SG_Criteria!$B$39),"NOTE: min depth below PUB "&amp;SG_Criteria!$B$39&amp;" m. ","")&amp;IF(AND(LEFT(D72,8)="Standard",J72&gt;SG_Criteria!$B$42),"FAIL: PUB 001C covers manholes up to "&amp;SG_Criteria!$B$42&amp;" m deep only. ","")&amp;IF(AND(LEFT(D72,11)="Rectangular",K72&lt;SG_Criteria!$B$43),"NOTE: 004C is for sewers &gt;= "&amp;SG_Criteria!$B$43&amp;" dia. ","")&amp;IF(AND(LEFT(D72,7)="Precast",J72&lt;=SG_Criteria!$B$42),"NOTE: 006C is for manholes &gt; "&amp;SG_Criteria!$B$42&amp;" m deep. ","")&amp;IF(AND(K72&lt;&gt;"",K72&lt;SG_Criteria!$B$40,D72&lt;&gt;"Inspection Chamber"),"NOTE: public sewer min dia "&amp;SG_Criteria!$B$40&amp;" mm. ","")&amp;IF(AND(Y72&lt;&gt;"",Y72&lt;SG_Criteria!$B$44),"FAIL: uplift FOS below "&amp;SG_Criteria!$B$44&amp;". ","")))</f>
        <v/>
      </c>
      <c r="BH72" s="9"/>
      <c r="BI72" s="9"/>
      <c r="BJ72" s="9"/>
      <c r="BK72" s="10" t="str">
        <f aca="false">IF(BJ72="","",IFERROR(VLOOKUP(BJ72,Projects!$A$5:$D$504,2,0),"Ref not in Projects"))</f>
        <v/>
      </c>
      <c r="BL72" s="10" t="str">
        <f aca="false">IF(BJ72="","",IFERROR(VLOOKUP(BJ72,Projects!$A$5:$D$504,4,0),"Ref not in Projects"))</f>
        <v/>
      </c>
      <c r="BM72" s="9"/>
      <c r="BN72" s="9"/>
      <c r="BO72" s="9"/>
      <c r="BP72" s="40"/>
      <c r="BQ72" s="9"/>
      <c r="BR72" s="40"/>
      <c r="BS72" s="9"/>
      <c r="BT72" s="40"/>
      <c r="BU72" s="9"/>
      <c r="BV72" s="9"/>
      <c r="BW72" s="9"/>
      <c r="BX72" s="40"/>
      <c r="BY72" s="40"/>
      <c r="BZ72" s="36" t="str">
        <f aca="false">IF(BY72="","",EDATE(BY72,SG_Criteria!$B$54*12))</f>
        <v/>
      </c>
      <c r="CA72" s="33" t="str">
        <f aca="true">IF(A72="","",IF(BY72="","NOTE: not reviewed yet",IF(TODAY()&gt;BZ72,"NOTE: review overdue","OK")))</f>
        <v/>
      </c>
      <c r="CB72" s="37" t="str">
        <f aca="false">IF(A72="","",ROUND((IF(LEN(D72)&gt;0,1,0)+IF(LEN(E72)&gt;0,1,0)+IF(LEN(F72)&gt;0,1,0)+IF(LEN(G72)&gt;0,1,0)+IF(LEN(I72)&gt;0,1,0)+IF(LEN(J72)&gt;0,1,0)+IF(LEN(K72)&gt;0,1,0)+IF(LEN(L72)&gt;0,1,0)+IF(LEN(M72)&gt;0,1,0)+IF(LEN(N72)&gt;0,1,0)+IF(LEN(Z72)&gt;0,1,0)+IF(LEN(AA72)&gt;0,1,0)+IF(LEN(Y72)&gt;0,1,0)+IF(LEN(AE72)&gt;0,1,0)+IF(LEN(AG72)&gt;0,1,0)+IF(LEN(AZ72)&gt;0,1,0)+IF(LEN(AK72)&gt;0,1,0)+IF(LEN(AM72)&gt;0,1,0)+IF(LEN(AN72)&gt;0,1,0)+IF(LEN(AO72)&gt;0,1,0)+IF(LEN(AP72)&gt;0,1,0)+IF(LEN(AY72)&gt;0,1,0)+IF(LEN(BJ72)&gt;0,1,0)+IF(LEN(BW72)&gt;0,1,0))/24,2))</f>
        <v/>
      </c>
      <c r="CC72" s="10" t="str">
        <f aca="false">IF(D72="","",IF(AND(AN72="Approved",ISERROR(SEARCH("FAIL",BG72))),"Y","N"))</f>
        <v/>
      </c>
      <c r="CD72" s="10" t="str">
        <f aca="false">IF(D72="","",D72&amp;"|"&amp;J72&amp;"|"&amp;G72&amp;"|"&amp;CC72)</f>
        <v/>
      </c>
    </row>
    <row r="73" customFormat="false" ht="15" hidden="false" customHeight="false" outlineLevel="0" collapsed="false">
      <c r="A73" s="10" t="str">
        <f aca="false">IF(D73="","","MH-"&amp;IFERROR(VLOOKUP(D73,Lists!$AB$4:$AC$20,2,0),"??")&amp;"-"&amp;TEXT(G73,"0000")&amp;IF(F73="Circular","D","x"&amp;TEXT(H73,"0000"))&amp;"-D"&amp;TEXT(J73*1000,"0000")&amp;"-"&amp;IFERROR(VLOOKUP(E73,Lists!$AE$4:$AF$16,2,0),"??")&amp;"-"&amp;AM73)</f>
        <v/>
      </c>
      <c r="B73" s="10" t="str">
        <f aca="false">IF(D73="","",D73&amp;", "&amp;E73&amp;", "&amp;IF(F73="Circular",G73&amp;" dia",G73&amp;" x "&amp;H73)&amp;", depth "&amp;TEXT(I73,"0.0")&amp;"-"&amp;TEXT(J73,"0.0")&amp;" m, pipe up to "&amp;K73&amp;" dia")</f>
        <v/>
      </c>
      <c r="C73" s="9"/>
      <c r="D73" s="9"/>
      <c r="E73" s="9"/>
      <c r="F73" s="9"/>
      <c r="G73" s="38"/>
      <c r="H73" s="38"/>
      <c r="I73" s="42"/>
      <c r="J73" s="42"/>
      <c r="K73" s="38"/>
      <c r="L73" s="38"/>
      <c r="M73" s="38"/>
      <c r="N73" s="38"/>
      <c r="O73" s="9"/>
      <c r="P73" s="9"/>
      <c r="Q73" s="9"/>
      <c r="R73" s="9"/>
      <c r="S73" s="9"/>
      <c r="T73" s="9"/>
      <c r="U73" s="9"/>
      <c r="V73" s="42"/>
      <c r="W73" s="9"/>
      <c r="X73" s="9"/>
      <c r="Y73" s="39"/>
      <c r="Z73" s="9"/>
      <c r="AA73" s="38"/>
      <c r="AB73" s="9"/>
      <c r="AC73" s="9"/>
      <c r="AD73" s="9"/>
      <c r="AE73" s="9"/>
      <c r="AF73" s="9"/>
      <c r="AG73" s="9"/>
      <c r="AH73" s="38"/>
      <c r="AI73" s="9"/>
      <c r="AJ73" s="39"/>
      <c r="AK73" s="9"/>
      <c r="AL73" s="9"/>
      <c r="AM73" s="9"/>
      <c r="AN73" s="9"/>
      <c r="AO73" s="9"/>
      <c r="AP73" s="9"/>
      <c r="AQ73" s="9"/>
      <c r="AR73" s="10" t="str">
        <f aca="false">IF(A73="","",SG_Criteria!$B$6&amp;SG_Criteria!$B$10&amp;"\"&amp;A73&amp;"\")</f>
        <v/>
      </c>
      <c r="AS73" s="10" t="str">
        <f aca="false">IF(A73="","",A73&amp;"_CAD.dwg")</f>
        <v/>
      </c>
      <c r="AT73" s="10" t="str">
        <f aca="false">IF(A73="","",A73&amp;"_DWG.pdf")</f>
        <v/>
      </c>
      <c r="AU73" s="10" t="str">
        <f aca="false">IF(A73="","",IF(AQ73="Y",A73&amp;"_STAAD.std","n/a"))</f>
        <v/>
      </c>
      <c r="AV73" s="10" t="str">
        <f aca="false">IF(A73="","",A73&amp;"_CALC.xlsx")</f>
        <v/>
      </c>
      <c r="AW73" s="10" t="str">
        <f aca="false">IF(A73="","",A73&amp;"_CALC.pdf")</f>
        <v/>
      </c>
      <c r="AX73" s="9"/>
      <c r="AY73" s="9"/>
      <c r="AZ73" s="39"/>
      <c r="BA73" s="39"/>
      <c r="BB73" s="39"/>
      <c r="BC73" s="39"/>
      <c r="BD73" s="39"/>
      <c r="BE73" s="12" t="str">
        <f aca="false">IF(A73="","",IF(COUNTIF(Rebar_Schedule!$A$5:$A$2004,A73)=0,"",ROUND(SUMIF(Rebar_Schedule!$A$5:$A$2004,A73,Rebar_Schedule!$K$5:$K$2004),1)))</f>
        <v/>
      </c>
      <c r="BF73" s="33" t="str">
        <f aca="false">IF(A73="","",IF(BE73="","No rebar schedule yet",IF(ABS(BE73-N(BA73))/MAX(N(BA73),1)&gt;SG_Criteria!$B$55,"NOTE: register rebar differs from schedule by "&amp;TEXT(ABS(BE73-N(BA73))/MAX(N(BA73),1),"0%"),"OK")))</f>
        <v/>
      </c>
      <c r="BG73" s="33" t="str">
        <f aca="false">IF(D73="","",IF(LEN(IF(AND(Z73&lt;&gt;"",IFERROR(VALUE(MID(Z73,2,2)),0)&lt;SG_Criteria!$B$19),"FAIL: grade below C"&amp;SG_Criteria!$B$19&amp;". ","")&amp;IF(AND(AA73&lt;&gt;"",AA73&lt;SG_Criteria!$B$20),"FAIL: cover &lt; "&amp;SG_Criteria!$B$20&amp;" mm. ","")&amp;IF(AND(I73&lt;&gt;"",I73&lt;SG_Criteria!$B$39),"NOTE: min depth below PUB "&amp;SG_Criteria!$B$39&amp;" m. ","")&amp;IF(AND(LEFT(D73,8)="Standard",J73&gt;SG_Criteria!$B$42),"FAIL: PUB 001C covers manholes up to "&amp;SG_Criteria!$B$42&amp;" m deep only. ","")&amp;IF(AND(LEFT(D73,11)="Rectangular",K73&lt;SG_Criteria!$B$43),"NOTE: 004C is for sewers &gt;= "&amp;SG_Criteria!$B$43&amp;" dia. ","")&amp;IF(AND(LEFT(D73,7)="Precast",J73&lt;=SG_Criteria!$B$42),"NOTE: 006C is for manholes &gt; "&amp;SG_Criteria!$B$42&amp;" m deep. ","")&amp;IF(AND(K73&lt;&gt;"",K73&lt;SG_Criteria!$B$40,D73&lt;&gt;"Inspection Chamber"),"NOTE: public sewer min dia "&amp;SG_Criteria!$B$40&amp;" mm. ","")&amp;IF(AND(Y73&lt;&gt;"",Y73&lt;SG_Criteria!$B$44),"FAIL: uplift FOS below "&amp;SG_Criteria!$B$44&amp;". ",""))=0,"OK",IF(AND(Z73&lt;&gt;"",IFERROR(VALUE(MID(Z73,2,2)),0)&lt;SG_Criteria!$B$19),"FAIL: grade below C"&amp;SG_Criteria!$B$19&amp;". ","")&amp;IF(AND(AA73&lt;&gt;"",AA73&lt;SG_Criteria!$B$20),"FAIL: cover &lt; "&amp;SG_Criteria!$B$20&amp;" mm. ","")&amp;IF(AND(I73&lt;&gt;"",I73&lt;SG_Criteria!$B$39),"NOTE: min depth below PUB "&amp;SG_Criteria!$B$39&amp;" m. ","")&amp;IF(AND(LEFT(D73,8)="Standard",J73&gt;SG_Criteria!$B$42),"FAIL: PUB 001C covers manholes up to "&amp;SG_Criteria!$B$42&amp;" m deep only. ","")&amp;IF(AND(LEFT(D73,11)="Rectangular",K73&lt;SG_Criteria!$B$43),"NOTE: 004C is for sewers &gt;= "&amp;SG_Criteria!$B$43&amp;" dia. ","")&amp;IF(AND(LEFT(D73,7)="Precast",J73&lt;=SG_Criteria!$B$42),"NOTE: 006C is for manholes &gt; "&amp;SG_Criteria!$B$42&amp;" m deep. ","")&amp;IF(AND(K73&lt;&gt;"",K73&lt;SG_Criteria!$B$40,D73&lt;&gt;"Inspection Chamber"),"NOTE: public sewer min dia "&amp;SG_Criteria!$B$40&amp;" mm. ","")&amp;IF(AND(Y73&lt;&gt;"",Y73&lt;SG_Criteria!$B$44),"FAIL: uplift FOS below "&amp;SG_Criteria!$B$44&amp;". ","")))</f>
        <v/>
      </c>
      <c r="BH73" s="9"/>
      <c r="BI73" s="9"/>
      <c r="BJ73" s="9"/>
      <c r="BK73" s="10" t="str">
        <f aca="false">IF(BJ73="","",IFERROR(VLOOKUP(BJ73,Projects!$A$5:$D$504,2,0),"Ref not in Projects"))</f>
        <v/>
      </c>
      <c r="BL73" s="10" t="str">
        <f aca="false">IF(BJ73="","",IFERROR(VLOOKUP(BJ73,Projects!$A$5:$D$504,4,0),"Ref not in Projects"))</f>
        <v/>
      </c>
      <c r="BM73" s="9"/>
      <c r="BN73" s="9"/>
      <c r="BO73" s="9"/>
      <c r="BP73" s="40"/>
      <c r="BQ73" s="9"/>
      <c r="BR73" s="40"/>
      <c r="BS73" s="9"/>
      <c r="BT73" s="40"/>
      <c r="BU73" s="9"/>
      <c r="BV73" s="9"/>
      <c r="BW73" s="9"/>
      <c r="BX73" s="40"/>
      <c r="BY73" s="40"/>
      <c r="BZ73" s="36" t="str">
        <f aca="false">IF(BY73="","",EDATE(BY73,SG_Criteria!$B$54*12))</f>
        <v/>
      </c>
      <c r="CA73" s="33" t="str">
        <f aca="true">IF(A73="","",IF(BY73="","NOTE: not reviewed yet",IF(TODAY()&gt;BZ73,"NOTE: review overdue","OK")))</f>
        <v/>
      </c>
      <c r="CB73" s="37" t="str">
        <f aca="false">IF(A73="","",ROUND((IF(LEN(D73)&gt;0,1,0)+IF(LEN(E73)&gt;0,1,0)+IF(LEN(F73)&gt;0,1,0)+IF(LEN(G73)&gt;0,1,0)+IF(LEN(I73)&gt;0,1,0)+IF(LEN(J73)&gt;0,1,0)+IF(LEN(K73)&gt;0,1,0)+IF(LEN(L73)&gt;0,1,0)+IF(LEN(M73)&gt;0,1,0)+IF(LEN(N73)&gt;0,1,0)+IF(LEN(Z73)&gt;0,1,0)+IF(LEN(AA73)&gt;0,1,0)+IF(LEN(Y73)&gt;0,1,0)+IF(LEN(AE73)&gt;0,1,0)+IF(LEN(AG73)&gt;0,1,0)+IF(LEN(AZ73)&gt;0,1,0)+IF(LEN(AK73)&gt;0,1,0)+IF(LEN(AM73)&gt;0,1,0)+IF(LEN(AN73)&gt;0,1,0)+IF(LEN(AO73)&gt;0,1,0)+IF(LEN(AP73)&gt;0,1,0)+IF(LEN(AY73)&gt;0,1,0)+IF(LEN(BJ73)&gt;0,1,0)+IF(LEN(BW73)&gt;0,1,0))/24,2))</f>
        <v/>
      </c>
      <c r="CC73" s="10" t="str">
        <f aca="false">IF(D73="","",IF(AND(AN73="Approved",ISERROR(SEARCH("FAIL",BG73))),"Y","N"))</f>
        <v/>
      </c>
      <c r="CD73" s="10" t="str">
        <f aca="false">IF(D73="","",D73&amp;"|"&amp;J73&amp;"|"&amp;G73&amp;"|"&amp;CC73)</f>
        <v/>
      </c>
    </row>
    <row r="74" customFormat="false" ht="15" hidden="false" customHeight="false" outlineLevel="0" collapsed="false">
      <c r="A74" s="10" t="str">
        <f aca="false">IF(D74="","","MH-"&amp;IFERROR(VLOOKUP(D74,Lists!$AB$4:$AC$20,2,0),"??")&amp;"-"&amp;TEXT(G74,"0000")&amp;IF(F74="Circular","D","x"&amp;TEXT(H74,"0000"))&amp;"-D"&amp;TEXT(J74*1000,"0000")&amp;"-"&amp;IFERROR(VLOOKUP(E74,Lists!$AE$4:$AF$16,2,0),"??")&amp;"-"&amp;AM74)</f>
        <v/>
      </c>
      <c r="B74" s="10" t="str">
        <f aca="false">IF(D74="","",D74&amp;", "&amp;E74&amp;", "&amp;IF(F74="Circular",G74&amp;" dia",G74&amp;" x "&amp;H74)&amp;", depth "&amp;TEXT(I74,"0.0")&amp;"-"&amp;TEXT(J74,"0.0")&amp;" m, pipe up to "&amp;K74&amp;" dia")</f>
        <v/>
      </c>
      <c r="C74" s="9"/>
      <c r="D74" s="9"/>
      <c r="E74" s="9"/>
      <c r="F74" s="9"/>
      <c r="G74" s="38"/>
      <c r="H74" s="38"/>
      <c r="I74" s="42"/>
      <c r="J74" s="42"/>
      <c r="K74" s="38"/>
      <c r="L74" s="38"/>
      <c r="M74" s="38"/>
      <c r="N74" s="38"/>
      <c r="O74" s="9"/>
      <c r="P74" s="9"/>
      <c r="Q74" s="9"/>
      <c r="R74" s="9"/>
      <c r="S74" s="9"/>
      <c r="T74" s="9"/>
      <c r="U74" s="9"/>
      <c r="V74" s="42"/>
      <c r="W74" s="9"/>
      <c r="X74" s="9"/>
      <c r="Y74" s="39"/>
      <c r="Z74" s="9"/>
      <c r="AA74" s="38"/>
      <c r="AB74" s="9"/>
      <c r="AC74" s="9"/>
      <c r="AD74" s="9"/>
      <c r="AE74" s="9"/>
      <c r="AF74" s="9"/>
      <c r="AG74" s="9"/>
      <c r="AH74" s="38"/>
      <c r="AI74" s="9"/>
      <c r="AJ74" s="39"/>
      <c r="AK74" s="9"/>
      <c r="AL74" s="9"/>
      <c r="AM74" s="9"/>
      <c r="AN74" s="9"/>
      <c r="AO74" s="9"/>
      <c r="AP74" s="9"/>
      <c r="AQ74" s="9"/>
      <c r="AR74" s="10" t="str">
        <f aca="false">IF(A74="","",SG_Criteria!$B$6&amp;SG_Criteria!$B$10&amp;"\"&amp;A74&amp;"\")</f>
        <v/>
      </c>
      <c r="AS74" s="10" t="str">
        <f aca="false">IF(A74="","",A74&amp;"_CAD.dwg")</f>
        <v/>
      </c>
      <c r="AT74" s="10" t="str">
        <f aca="false">IF(A74="","",A74&amp;"_DWG.pdf")</f>
        <v/>
      </c>
      <c r="AU74" s="10" t="str">
        <f aca="false">IF(A74="","",IF(AQ74="Y",A74&amp;"_STAAD.std","n/a"))</f>
        <v/>
      </c>
      <c r="AV74" s="10" t="str">
        <f aca="false">IF(A74="","",A74&amp;"_CALC.xlsx")</f>
        <v/>
      </c>
      <c r="AW74" s="10" t="str">
        <f aca="false">IF(A74="","",A74&amp;"_CALC.pdf")</f>
        <v/>
      </c>
      <c r="AX74" s="9"/>
      <c r="AY74" s="9"/>
      <c r="AZ74" s="39"/>
      <c r="BA74" s="39"/>
      <c r="BB74" s="39"/>
      <c r="BC74" s="39"/>
      <c r="BD74" s="39"/>
      <c r="BE74" s="12" t="str">
        <f aca="false">IF(A74="","",IF(COUNTIF(Rebar_Schedule!$A$5:$A$2004,A74)=0,"",ROUND(SUMIF(Rebar_Schedule!$A$5:$A$2004,A74,Rebar_Schedule!$K$5:$K$2004),1)))</f>
        <v/>
      </c>
      <c r="BF74" s="33" t="str">
        <f aca="false">IF(A74="","",IF(BE74="","No rebar schedule yet",IF(ABS(BE74-N(BA74))/MAX(N(BA74),1)&gt;SG_Criteria!$B$55,"NOTE: register rebar differs from schedule by "&amp;TEXT(ABS(BE74-N(BA74))/MAX(N(BA74),1),"0%"),"OK")))</f>
        <v/>
      </c>
      <c r="BG74" s="33" t="str">
        <f aca="false">IF(D74="","",IF(LEN(IF(AND(Z74&lt;&gt;"",IFERROR(VALUE(MID(Z74,2,2)),0)&lt;SG_Criteria!$B$19),"FAIL: grade below C"&amp;SG_Criteria!$B$19&amp;". ","")&amp;IF(AND(AA74&lt;&gt;"",AA74&lt;SG_Criteria!$B$20),"FAIL: cover &lt; "&amp;SG_Criteria!$B$20&amp;" mm. ","")&amp;IF(AND(I74&lt;&gt;"",I74&lt;SG_Criteria!$B$39),"NOTE: min depth below PUB "&amp;SG_Criteria!$B$39&amp;" m. ","")&amp;IF(AND(LEFT(D74,8)="Standard",J74&gt;SG_Criteria!$B$42),"FAIL: PUB 001C covers manholes up to "&amp;SG_Criteria!$B$42&amp;" m deep only. ","")&amp;IF(AND(LEFT(D74,11)="Rectangular",K74&lt;SG_Criteria!$B$43),"NOTE: 004C is for sewers &gt;= "&amp;SG_Criteria!$B$43&amp;" dia. ","")&amp;IF(AND(LEFT(D74,7)="Precast",J74&lt;=SG_Criteria!$B$42),"NOTE: 006C is for manholes &gt; "&amp;SG_Criteria!$B$42&amp;" m deep. ","")&amp;IF(AND(K74&lt;&gt;"",K74&lt;SG_Criteria!$B$40,D74&lt;&gt;"Inspection Chamber"),"NOTE: public sewer min dia "&amp;SG_Criteria!$B$40&amp;" mm. ","")&amp;IF(AND(Y74&lt;&gt;"",Y74&lt;SG_Criteria!$B$44),"FAIL: uplift FOS below "&amp;SG_Criteria!$B$44&amp;". ",""))=0,"OK",IF(AND(Z74&lt;&gt;"",IFERROR(VALUE(MID(Z74,2,2)),0)&lt;SG_Criteria!$B$19),"FAIL: grade below C"&amp;SG_Criteria!$B$19&amp;". ","")&amp;IF(AND(AA74&lt;&gt;"",AA74&lt;SG_Criteria!$B$20),"FAIL: cover &lt; "&amp;SG_Criteria!$B$20&amp;" mm. ","")&amp;IF(AND(I74&lt;&gt;"",I74&lt;SG_Criteria!$B$39),"NOTE: min depth below PUB "&amp;SG_Criteria!$B$39&amp;" m. ","")&amp;IF(AND(LEFT(D74,8)="Standard",J74&gt;SG_Criteria!$B$42),"FAIL: PUB 001C covers manholes up to "&amp;SG_Criteria!$B$42&amp;" m deep only. ","")&amp;IF(AND(LEFT(D74,11)="Rectangular",K74&lt;SG_Criteria!$B$43),"NOTE: 004C is for sewers &gt;= "&amp;SG_Criteria!$B$43&amp;" dia. ","")&amp;IF(AND(LEFT(D74,7)="Precast",J74&lt;=SG_Criteria!$B$42),"NOTE: 006C is for manholes &gt; "&amp;SG_Criteria!$B$42&amp;" m deep. ","")&amp;IF(AND(K74&lt;&gt;"",K74&lt;SG_Criteria!$B$40,D74&lt;&gt;"Inspection Chamber"),"NOTE: public sewer min dia "&amp;SG_Criteria!$B$40&amp;" mm. ","")&amp;IF(AND(Y74&lt;&gt;"",Y74&lt;SG_Criteria!$B$44),"FAIL: uplift FOS below "&amp;SG_Criteria!$B$44&amp;". ","")))</f>
        <v/>
      </c>
      <c r="BH74" s="9"/>
      <c r="BI74" s="9"/>
      <c r="BJ74" s="9"/>
      <c r="BK74" s="10" t="str">
        <f aca="false">IF(BJ74="","",IFERROR(VLOOKUP(BJ74,Projects!$A$5:$D$504,2,0),"Ref not in Projects"))</f>
        <v/>
      </c>
      <c r="BL74" s="10" t="str">
        <f aca="false">IF(BJ74="","",IFERROR(VLOOKUP(BJ74,Projects!$A$5:$D$504,4,0),"Ref not in Projects"))</f>
        <v/>
      </c>
      <c r="BM74" s="9"/>
      <c r="BN74" s="9"/>
      <c r="BO74" s="9"/>
      <c r="BP74" s="40"/>
      <c r="BQ74" s="9"/>
      <c r="BR74" s="40"/>
      <c r="BS74" s="9"/>
      <c r="BT74" s="40"/>
      <c r="BU74" s="9"/>
      <c r="BV74" s="9"/>
      <c r="BW74" s="9"/>
      <c r="BX74" s="40"/>
      <c r="BY74" s="40"/>
      <c r="BZ74" s="36" t="str">
        <f aca="false">IF(BY74="","",EDATE(BY74,SG_Criteria!$B$54*12))</f>
        <v/>
      </c>
      <c r="CA74" s="33" t="str">
        <f aca="true">IF(A74="","",IF(BY74="","NOTE: not reviewed yet",IF(TODAY()&gt;BZ74,"NOTE: review overdue","OK")))</f>
        <v/>
      </c>
      <c r="CB74" s="37" t="str">
        <f aca="false">IF(A74="","",ROUND((IF(LEN(D74)&gt;0,1,0)+IF(LEN(E74)&gt;0,1,0)+IF(LEN(F74)&gt;0,1,0)+IF(LEN(G74)&gt;0,1,0)+IF(LEN(I74)&gt;0,1,0)+IF(LEN(J74)&gt;0,1,0)+IF(LEN(K74)&gt;0,1,0)+IF(LEN(L74)&gt;0,1,0)+IF(LEN(M74)&gt;0,1,0)+IF(LEN(N74)&gt;0,1,0)+IF(LEN(Z74)&gt;0,1,0)+IF(LEN(AA74)&gt;0,1,0)+IF(LEN(Y74)&gt;0,1,0)+IF(LEN(AE74)&gt;0,1,0)+IF(LEN(AG74)&gt;0,1,0)+IF(LEN(AZ74)&gt;0,1,0)+IF(LEN(AK74)&gt;0,1,0)+IF(LEN(AM74)&gt;0,1,0)+IF(LEN(AN74)&gt;0,1,0)+IF(LEN(AO74)&gt;0,1,0)+IF(LEN(AP74)&gt;0,1,0)+IF(LEN(AY74)&gt;0,1,0)+IF(LEN(BJ74)&gt;0,1,0)+IF(LEN(BW74)&gt;0,1,0))/24,2))</f>
        <v/>
      </c>
      <c r="CC74" s="10" t="str">
        <f aca="false">IF(D74="","",IF(AND(AN74="Approved",ISERROR(SEARCH("FAIL",BG74))),"Y","N"))</f>
        <v/>
      </c>
      <c r="CD74" s="10" t="str">
        <f aca="false">IF(D74="","",D74&amp;"|"&amp;J74&amp;"|"&amp;G74&amp;"|"&amp;CC74)</f>
        <v/>
      </c>
    </row>
    <row r="75" customFormat="false" ht="15" hidden="false" customHeight="false" outlineLevel="0" collapsed="false">
      <c r="A75" s="10" t="str">
        <f aca="false">IF(D75="","","MH-"&amp;IFERROR(VLOOKUP(D75,Lists!$AB$4:$AC$20,2,0),"??")&amp;"-"&amp;TEXT(G75,"0000")&amp;IF(F75="Circular","D","x"&amp;TEXT(H75,"0000"))&amp;"-D"&amp;TEXT(J75*1000,"0000")&amp;"-"&amp;IFERROR(VLOOKUP(E75,Lists!$AE$4:$AF$16,2,0),"??")&amp;"-"&amp;AM75)</f>
        <v/>
      </c>
      <c r="B75" s="10" t="str">
        <f aca="false">IF(D75="","",D75&amp;", "&amp;E75&amp;", "&amp;IF(F75="Circular",G75&amp;" dia",G75&amp;" x "&amp;H75)&amp;", depth "&amp;TEXT(I75,"0.0")&amp;"-"&amp;TEXT(J75,"0.0")&amp;" m, pipe up to "&amp;K75&amp;" dia")</f>
        <v/>
      </c>
      <c r="C75" s="9"/>
      <c r="D75" s="9"/>
      <c r="E75" s="9"/>
      <c r="F75" s="9"/>
      <c r="G75" s="38"/>
      <c r="H75" s="38"/>
      <c r="I75" s="42"/>
      <c r="J75" s="42"/>
      <c r="K75" s="38"/>
      <c r="L75" s="38"/>
      <c r="M75" s="38"/>
      <c r="N75" s="38"/>
      <c r="O75" s="9"/>
      <c r="P75" s="9"/>
      <c r="Q75" s="9"/>
      <c r="R75" s="9"/>
      <c r="S75" s="9"/>
      <c r="T75" s="9"/>
      <c r="U75" s="9"/>
      <c r="V75" s="42"/>
      <c r="W75" s="9"/>
      <c r="X75" s="9"/>
      <c r="Y75" s="39"/>
      <c r="Z75" s="9"/>
      <c r="AA75" s="38"/>
      <c r="AB75" s="9"/>
      <c r="AC75" s="9"/>
      <c r="AD75" s="9"/>
      <c r="AE75" s="9"/>
      <c r="AF75" s="9"/>
      <c r="AG75" s="9"/>
      <c r="AH75" s="38"/>
      <c r="AI75" s="9"/>
      <c r="AJ75" s="39"/>
      <c r="AK75" s="9"/>
      <c r="AL75" s="9"/>
      <c r="AM75" s="9"/>
      <c r="AN75" s="9"/>
      <c r="AO75" s="9"/>
      <c r="AP75" s="9"/>
      <c r="AQ75" s="9"/>
      <c r="AR75" s="10" t="str">
        <f aca="false">IF(A75="","",SG_Criteria!$B$6&amp;SG_Criteria!$B$10&amp;"\"&amp;A75&amp;"\")</f>
        <v/>
      </c>
      <c r="AS75" s="10" t="str">
        <f aca="false">IF(A75="","",A75&amp;"_CAD.dwg")</f>
        <v/>
      </c>
      <c r="AT75" s="10" t="str">
        <f aca="false">IF(A75="","",A75&amp;"_DWG.pdf")</f>
        <v/>
      </c>
      <c r="AU75" s="10" t="str">
        <f aca="false">IF(A75="","",IF(AQ75="Y",A75&amp;"_STAAD.std","n/a"))</f>
        <v/>
      </c>
      <c r="AV75" s="10" t="str">
        <f aca="false">IF(A75="","",A75&amp;"_CALC.xlsx")</f>
        <v/>
      </c>
      <c r="AW75" s="10" t="str">
        <f aca="false">IF(A75="","",A75&amp;"_CALC.pdf")</f>
        <v/>
      </c>
      <c r="AX75" s="9"/>
      <c r="AY75" s="9"/>
      <c r="AZ75" s="39"/>
      <c r="BA75" s="39"/>
      <c r="BB75" s="39"/>
      <c r="BC75" s="39"/>
      <c r="BD75" s="39"/>
      <c r="BE75" s="12" t="str">
        <f aca="false">IF(A75="","",IF(COUNTIF(Rebar_Schedule!$A$5:$A$2004,A75)=0,"",ROUND(SUMIF(Rebar_Schedule!$A$5:$A$2004,A75,Rebar_Schedule!$K$5:$K$2004),1)))</f>
        <v/>
      </c>
      <c r="BF75" s="33" t="str">
        <f aca="false">IF(A75="","",IF(BE75="","No rebar schedule yet",IF(ABS(BE75-N(BA75))/MAX(N(BA75),1)&gt;SG_Criteria!$B$55,"NOTE: register rebar differs from schedule by "&amp;TEXT(ABS(BE75-N(BA75))/MAX(N(BA75),1),"0%"),"OK")))</f>
        <v/>
      </c>
      <c r="BG75" s="33" t="str">
        <f aca="false">IF(D75="","",IF(LEN(IF(AND(Z75&lt;&gt;"",IFERROR(VALUE(MID(Z75,2,2)),0)&lt;SG_Criteria!$B$19),"FAIL: grade below C"&amp;SG_Criteria!$B$19&amp;". ","")&amp;IF(AND(AA75&lt;&gt;"",AA75&lt;SG_Criteria!$B$20),"FAIL: cover &lt; "&amp;SG_Criteria!$B$20&amp;" mm. ","")&amp;IF(AND(I75&lt;&gt;"",I75&lt;SG_Criteria!$B$39),"NOTE: min depth below PUB "&amp;SG_Criteria!$B$39&amp;" m. ","")&amp;IF(AND(LEFT(D75,8)="Standard",J75&gt;SG_Criteria!$B$42),"FAIL: PUB 001C covers manholes up to "&amp;SG_Criteria!$B$42&amp;" m deep only. ","")&amp;IF(AND(LEFT(D75,11)="Rectangular",K75&lt;SG_Criteria!$B$43),"NOTE: 004C is for sewers &gt;= "&amp;SG_Criteria!$B$43&amp;" dia. ","")&amp;IF(AND(LEFT(D75,7)="Precast",J75&lt;=SG_Criteria!$B$42),"NOTE: 006C is for manholes &gt; "&amp;SG_Criteria!$B$42&amp;" m deep. ","")&amp;IF(AND(K75&lt;&gt;"",K75&lt;SG_Criteria!$B$40,D75&lt;&gt;"Inspection Chamber"),"NOTE: public sewer min dia "&amp;SG_Criteria!$B$40&amp;" mm. ","")&amp;IF(AND(Y75&lt;&gt;"",Y75&lt;SG_Criteria!$B$44),"FAIL: uplift FOS below "&amp;SG_Criteria!$B$44&amp;". ",""))=0,"OK",IF(AND(Z75&lt;&gt;"",IFERROR(VALUE(MID(Z75,2,2)),0)&lt;SG_Criteria!$B$19),"FAIL: grade below C"&amp;SG_Criteria!$B$19&amp;". ","")&amp;IF(AND(AA75&lt;&gt;"",AA75&lt;SG_Criteria!$B$20),"FAIL: cover &lt; "&amp;SG_Criteria!$B$20&amp;" mm. ","")&amp;IF(AND(I75&lt;&gt;"",I75&lt;SG_Criteria!$B$39),"NOTE: min depth below PUB "&amp;SG_Criteria!$B$39&amp;" m. ","")&amp;IF(AND(LEFT(D75,8)="Standard",J75&gt;SG_Criteria!$B$42),"FAIL: PUB 001C covers manholes up to "&amp;SG_Criteria!$B$42&amp;" m deep only. ","")&amp;IF(AND(LEFT(D75,11)="Rectangular",K75&lt;SG_Criteria!$B$43),"NOTE: 004C is for sewers &gt;= "&amp;SG_Criteria!$B$43&amp;" dia. ","")&amp;IF(AND(LEFT(D75,7)="Precast",J75&lt;=SG_Criteria!$B$42),"NOTE: 006C is for manholes &gt; "&amp;SG_Criteria!$B$42&amp;" m deep. ","")&amp;IF(AND(K75&lt;&gt;"",K75&lt;SG_Criteria!$B$40,D75&lt;&gt;"Inspection Chamber"),"NOTE: public sewer min dia "&amp;SG_Criteria!$B$40&amp;" mm. ","")&amp;IF(AND(Y75&lt;&gt;"",Y75&lt;SG_Criteria!$B$44),"FAIL: uplift FOS below "&amp;SG_Criteria!$B$44&amp;". ","")))</f>
        <v/>
      </c>
      <c r="BH75" s="9"/>
      <c r="BI75" s="9"/>
      <c r="BJ75" s="9"/>
      <c r="BK75" s="10" t="str">
        <f aca="false">IF(BJ75="","",IFERROR(VLOOKUP(BJ75,Projects!$A$5:$D$504,2,0),"Ref not in Projects"))</f>
        <v/>
      </c>
      <c r="BL75" s="10" t="str">
        <f aca="false">IF(BJ75="","",IFERROR(VLOOKUP(BJ75,Projects!$A$5:$D$504,4,0),"Ref not in Projects"))</f>
        <v/>
      </c>
      <c r="BM75" s="9"/>
      <c r="BN75" s="9"/>
      <c r="BO75" s="9"/>
      <c r="BP75" s="40"/>
      <c r="BQ75" s="9"/>
      <c r="BR75" s="40"/>
      <c r="BS75" s="9"/>
      <c r="BT75" s="40"/>
      <c r="BU75" s="9"/>
      <c r="BV75" s="9"/>
      <c r="BW75" s="9"/>
      <c r="BX75" s="40"/>
      <c r="BY75" s="40"/>
      <c r="BZ75" s="36" t="str">
        <f aca="false">IF(BY75="","",EDATE(BY75,SG_Criteria!$B$54*12))</f>
        <v/>
      </c>
      <c r="CA75" s="33" t="str">
        <f aca="true">IF(A75="","",IF(BY75="","NOTE: not reviewed yet",IF(TODAY()&gt;BZ75,"NOTE: review overdue","OK")))</f>
        <v/>
      </c>
      <c r="CB75" s="37" t="str">
        <f aca="false">IF(A75="","",ROUND((IF(LEN(D75)&gt;0,1,0)+IF(LEN(E75)&gt;0,1,0)+IF(LEN(F75)&gt;0,1,0)+IF(LEN(G75)&gt;0,1,0)+IF(LEN(I75)&gt;0,1,0)+IF(LEN(J75)&gt;0,1,0)+IF(LEN(K75)&gt;0,1,0)+IF(LEN(L75)&gt;0,1,0)+IF(LEN(M75)&gt;0,1,0)+IF(LEN(N75)&gt;0,1,0)+IF(LEN(Z75)&gt;0,1,0)+IF(LEN(AA75)&gt;0,1,0)+IF(LEN(Y75)&gt;0,1,0)+IF(LEN(AE75)&gt;0,1,0)+IF(LEN(AG75)&gt;0,1,0)+IF(LEN(AZ75)&gt;0,1,0)+IF(LEN(AK75)&gt;0,1,0)+IF(LEN(AM75)&gt;0,1,0)+IF(LEN(AN75)&gt;0,1,0)+IF(LEN(AO75)&gt;0,1,0)+IF(LEN(AP75)&gt;0,1,0)+IF(LEN(AY75)&gt;0,1,0)+IF(LEN(BJ75)&gt;0,1,0)+IF(LEN(BW75)&gt;0,1,0))/24,2))</f>
        <v/>
      </c>
      <c r="CC75" s="10" t="str">
        <f aca="false">IF(D75="","",IF(AND(AN75="Approved",ISERROR(SEARCH("FAIL",BG75))),"Y","N"))</f>
        <v/>
      </c>
      <c r="CD75" s="10" t="str">
        <f aca="false">IF(D75="","",D75&amp;"|"&amp;J75&amp;"|"&amp;G75&amp;"|"&amp;CC75)</f>
        <v/>
      </c>
    </row>
    <row r="76" customFormat="false" ht="15" hidden="false" customHeight="false" outlineLevel="0" collapsed="false">
      <c r="A76" s="10" t="str">
        <f aca="false">IF(D76="","","MH-"&amp;IFERROR(VLOOKUP(D76,Lists!$AB$4:$AC$20,2,0),"??")&amp;"-"&amp;TEXT(G76,"0000")&amp;IF(F76="Circular","D","x"&amp;TEXT(H76,"0000"))&amp;"-D"&amp;TEXT(J76*1000,"0000")&amp;"-"&amp;IFERROR(VLOOKUP(E76,Lists!$AE$4:$AF$16,2,0),"??")&amp;"-"&amp;AM76)</f>
        <v/>
      </c>
      <c r="B76" s="10" t="str">
        <f aca="false">IF(D76="","",D76&amp;", "&amp;E76&amp;", "&amp;IF(F76="Circular",G76&amp;" dia",G76&amp;" x "&amp;H76)&amp;", depth "&amp;TEXT(I76,"0.0")&amp;"-"&amp;TEXT(J76,"0.0")&amp;" m, pipe up to "&amp;K76&amp;" dia")</f>
        <v/>
      </c>
      <c r="C76" s="9"/>
      <c r="D76" s="9"/>
      <c r="E76" s="9"/>
      <c r="F76" s="9"/>
      <c r="G76" s="38"/>
      <c r="H76" s="38"/>
      <c r="I76" s="42"/>
      <c r="J76" s="42"/>
      <c r="K76" s="38"/>
      <c r="L76" s="38"/>
      <c r="M76" s="38"/>
      <c r="N76" s="38"/>
      <c r="O76" s="9"/>
      <c r="P76" s="9"/>
      <c r="Q76" s="9"/>
      <c r="R76" s="9"/>
      <c r="S76" s="9"/>
      <c r="T76" s="9"/>
      <c r="U76" s="9"/>
      <c r="V76" s="42"/>
      <c r="W76" s="9"/>
      <c r="X76" s="9"/>
      <c r="Y76" s="39"/>
      <c r="Z76" s="9"/>
      <c r="AA76" s="38"/>
      <c r="AB76" s="9"/>
      <c r="AC76" s="9"/>
      <c r="AD76" s="9"/>
      <c r="AE76" s="9"/>
      <c r="AF76" s="9"/>
      <c r="AG76" s="9"/>
      <c r="AH76" s="38"/>
      <c r="AI76" s="9"/>
      <c r="AJ76" s="39"/>
      <c r="AK76" s="9"/>
      <c r="AL76" s="9"/>
      <c r="AM76" s="9"/>
      <c r="AN76" s="9"/>
      <c r="AO76" s="9"/>
      <c r="AP76" s="9"/>
      <c r="AQ76" s="9"/>
      <c r="AR76" s="10" t="str">
        <f aca="false">IF(A76="","",SG_Criteria!$B$6&amp;SG_Criteria!$B$10&amp;"\"&amp;A76&amp;"\")</f>
        <v/>
      </c>
      <c r="AS76" s="10" t="str">
        <f aca="false">IF(A76="","",A76&amp;"_CAD.dwg")</f>
        <v/>
      </c>
      <c r="AT76" s="10" t="str">
        <f aca="false">IF(A76="","",A76&amp;"_DWG.pdf")</f>
        <v/>
      </c>
      <c r="AU76" s="10" t="str">
        <f aca="false">IF(A76="","",IF(AQ76="Y",A76&amp;"_STAAD.std","n/a"))</f>
        <v/>
      </c>
      <c r="AV76" s="10" t="str">
        <f aca="false">IF(A76="","",A76&amp;"_CALC.xlsx")</f>
        <v/>
      </c>
      <c r="AW76" s="10" t="str">
        <f aca="false">IF(A76="","",A76&amp;"_CALC.pdf")</f>
        <v/>
      </c>
      <c r="AX76" s="9"/>
      <c r="AY76" s="9"/>
      <c r="AZ76" s="39"/>
      <c r="BA76" s="39"/>
      <c r="BB76" s="39"/>
      <c r="BC76" s="39"/>
      <c r="BD76" s="39"/>
      <c r="BE76" s="12" t="str">
        <f aca="false">IF(A76="","",IF(COUNTIF(Rebar_Schedule!$A$5:$A$2004,A76)=0,"",ROUND(SUMIF(Rebar_Schedule!$A$5:$A$2004,A76,Rebar_Schedule!$K$5:$K$2004),1)))</f>
        <v/>
      </c>
      <c r="BF76" s="33" t="str">
        <f aca="false">IF(A76="","",IF(BE76="","No rebar schedule yet",IF(ABS(BE76-N(BA76))/MAX(N(BA76),1)&gt;SG_Criteria!$B$55,"NOTE: register rebar differs from schedule by "&amp;TEXT(ABS(BE76-N(BA76))/MAX(N(BA76),1),"0%"),"OK")))</f>
        <v/>
      </c>
      <c r="BG76" s="33" t="str">
        <f aca="false">IF(D76="","",IF(LEN(IF(AND(Z76&lt;&gt;"",IFERROR(VALUE(MID(Z76,2,2)),0)&lt;SG_Criteria!$B$19),"FAIL: grade below C"&amp;SG_Criteria!$B$19&amp;". ","")&amp;IF(AND(AA76&lt;&gt;"",AA76&lt;SG_Criteria!$B$20),"FAIL: cover &lt; "&amp;SG_Criteria!$B$20&amp;" mm. ","")&amp;IF(AND(I76&lt;&gt;"",I76&lt;SG_Criteria!$B$39),"NOTE: min depth below PUB "&amp;SG_Criteria!$B$39&amp;" m. ","")&amp;IF(AND(LEFT(D76,8)="Standard",J76&gt;SG_Criteria!$B$42),"FAIL: PUB 001C covers manholes up to "&amp;SG_Criteria!$B$42&amp;" m deep only. ","")&amp;IF(AND(LEFT(D76,11)="Rectangular",K76&lt;SG_Criteria!$B$43),"NOTE: 004C is for sewers &gt;= "&amp;SG_Criteria!$B$43&amp;" dia. ","")&amp;IF(AND(LEFT(D76,7)="Precast",J76&lt;=SG_Criteria!$B$42),"NOTE: 006C is for manholes &gt; "&amp;SG_Criteria!$B$42&amp;" m deep. ","")&amp;IF(AND(K76&lt;&gt;"",K76&lt;SG_Criteria!$B$40,D76&lt;&gt;"Inspection Chamber"),"NOTE: public sewer min dia "&amp;SG_Criteria!$B$40&amp;" mm. ","")&amp;IF(AND(Y76&lt;&gt;"",Y76&lt;SG_Criteria!$B$44),"FAIL: uplift FOS below "&amp;SG_Criteria!$B$44&amp;". ",""))=0,"OK",IF(AND(Z76&lt;&gt;"",IFERROR(VALUE(MID(Z76,2,2)),0)&lt;SG_Criteria!$B$19),"FAIL: grade below C"&amp;SG_Criteria!$B$19&amp;". ","")&amp;IF(AND(AA76&lt;&gt;"",AA76&lt;SG_Criteria!$B$20),"FAIL: cover &lt; "&amp;SG_Criteria!$B$20&amp;" mm. ","")&amp;IF(AND(I76&lt;&gt;"",I76&lt;SG_Criteria!$B$39),"NOTE: min depth below PUB "&amp;SG_Criteria!$B$39&amp;" m. ","")&amp;IF(AND(LEFT(D76,8)="Standard",J76&gt;SG_Criteria!$B$42),"FAIL: PUB 001C covers manholes up to "&amp;SG_Criteria!$B$42&amp;" m deep only. ","")&amp;IF(AND(LEFT(D76,11)="Rectangular",K76&lt;SG_Criteria!$B$43),"NOTE: 004C is for sewers &gt;= "&amp;SG_Criteria!$B$43&amp;" dia. ","")&amp;IF(AND(LEFT(D76,7)="Precast",J76&lt;=SG_Criteria!$B$42),"NOTE: 006C is for manholes &gt; "&amp;SG_Criteria!$B$42&amp;" m deep. ","")&amp;IF(AND(K76&lt;&gt;"",K76&lt;SG_Criteria!$B$40,D76&lt;&gt;"Inspection Chamber"),"NOTE: public sewer min dia "&amp;SG_Criteria!$B$40&amp;" mm. ","")&amp;IF(AND(Y76&lt;&gt;"",Y76&lt;SG_Criteria!$B$44),"FAIL: uplift FOS below "&amp;SG_Criteria!$B$44&amp;". ","")))</f>
        <v/>
      </c>
      <c r="BH76" s="9"/>
      <c r="BI76" s="9"/>
      <c r="BJ76" s="9"/>
      <c r="BK76" s="10" t="str">
        <f aca="false">IF(BJ76="","",IFERROR(VLOOKUP(BJ76,Projects!$A$5:$D$504,2,0),"Ref not in Projects"))</f>
        <v/>
      </c>
      <c r="BL76" s="10" t="str">
        <f aca="false">IF(BJ76="","",IFERROR(VLOOKUP(BJ76,Projects!$A$5:$D$504,4,0),"Ref not in Projects"))</f>
        <v/>
      </c>
      <c r="BM76" s="9"/>
      <c r="BN76" s="9"/>
      <c r="BO76" s="9"/>
      <c r="BP76" s="40"/>
      <c r="BQ76" s="9"/>
      <c r="BR76" s="40"/>
      <c r="BS76" s="9"/>
      <c r="BT76" s="40"/>
      <c r="BU76" s="9"/>
      <c r="BV76" s="9"/>
      <c r="BW76" s="9"/>
      <c r="BX76" s="40"/>
      <c r="BY76" s="40"/>
      <c r="BZ76" s="36" t="str">
        <f aca="false">IF(BY76="","",EDATE(BY76,SG_Criteria!$B$54*12))</f>
        <v/>
      </c>
      <c r="CA76" s="33" t="str">
        <f aca="true">IF(A76="","",IF(BY76="","NOTE: not reviewed yet",IF(TODAY()&gt;BZ76,"NOTE: review overdue","OK")))</f>
        <v/>
      </c>
      <c r="CB76" s="37" t="str">
        <f aca="false">IF(A76="","",ROUND((IF(LEN(D76)&gt;0,1,0)+IF(LEN(E76)&gt;0,1,0)+IF(LEN(F76)&gt;0,1,0)+IF(LEN(G76)&gt;0,1,0)+IF(LEN(I76)&gt;0,1,0)+IF(LEN(J76)&gt;0,1,0)+IF(LEN(K76)&gt;0,1,0)+IF(LEN(L76)&gt;0,1,0)+IF(LEN(M76)&gt;0,1,0)+IF(LEN(N76)&gt;0,1,0)+IF(LEN(Z76)&gt;0,1,0)+IF(LEN(AA76)&gt;0,1,0)+IF(LEN(Y76)&gt;0,1,0)+IF(LEN(AE76)&gt;0,1,0)+IF(LEN(AG76)&gt;0,1,0)+IF(LEN(AZ76)&gt;0,1,0)+IF(LEN(AK76)&gt;0,1,0)+IF(LEN(AM76)&gt;0,1,0)+IF(LEN(AN76)&gt;0,1,0)+IF(LEN(AO76)&gt;0,1,0)+IF(LEN(AP76)&gt;0,1,0)+IF(LEN(AY76)&gt;0,1,0)+IF(LEN(BJ76)&gt;0,1,0)+IF(LEN(BW76)&gt;0,1,0))/24,2))</f>
        <v/>
      </c>
      <c r="CC76" s="10" t="str">
        <f aca="false">IF(D76="","",IF(AND(AN76="Approved",ISERROR(SEARCH("FAIL",BG76))),"Y","N"))</f>
        <v/>
      </c>
      <c r="CD76" s="10" t="str">
        <f aca="false">IF(D76="","",D76&amp;"|"&amp;J76&amp;"|"&amp;G76&amp;"|"&amp;CC76)</f>
        <v/>
      </c>
    </row>
    <row r="77" customFormat="false" ht="15" hidden="false" customHeight="false" outlineLevel="0" collapsed="false">
      <c r="A77" s="10" t="str">
        <f aca="false">IF(D77="","","MH-"&amp;IFERROR(VLOOKUP(D77,Lists!$AB$4:$AC$20,2,0),"??")&amp;"-"&amp;TEXT(G77,"0000")&amp;IF(F77="Circular","D","x"&amp;TEXT(H77,"0000"))&amp;"-D"&amp;TEXT(J77*1000,"0000")&amp;"-"&amp;IFERROR(VLOOKUP(E77,Lists!$AE$4:$AF$16,2,0),"??")&amp;"-"&amp;AM77)</f>
        <v/>
      </c>
      <c r="B77" s="10" t="str">
        <f aca="false">IF(D77="","",D77&amp;", "&amp;E77&amp;", "&amp;IF(F77="Circular",G77&amp;" dia",G77&amp;" x "&amp;H77)&amp;", depth "&amp;TEXT(I77,"0.0")&amp;"-"&amp;TEXT(J77,"0.0")&amp;" m, pipe up to "&amp;K77&amp;" dia")</f>
        <v/>
      </c>
      <c r="C77" s="9"/>
      <c r="D77" s="9"/>
      <c r="E77" s="9"/>
      <c r="F77" s="9"/>
      <c r="G77" s="38"/>
      <c r="H77" s="38"/>
      <c r="I77" s="42"/>
      <c r="J77" s="42"/>
      <c r="K77" s="38"/>
      <c r="L77" s="38"/>
      <c r="M77" s="38"/>
      <c r="N77" s="38"/>
      <c r="O77" s="9"/>
      <c r="P77" s="9"/>
      <c r="Q77" s="9"/>
      <c r="R77" s="9"/>
      <c r="S77" s="9"/>
      <c r="T77" s="9"/>
      <c r="U77" s="9"/>
      <c r="V77" s="42"/>
      <c r="W77" s="9"/>
      <c r="X77" s="9"/>
      <c r="Y77" s="39"/>
      <c r="Z77" s="9"/>
      <c r="AA77" s="38"/>
      <c r="AB77" s="9"/>
      <c r="AC77" s="9"/>
      <c r="AD77" s="9"/>
      <c r="AE77" s="9"/>
      <c r="AF77" s="9"/>
      <c r="AG77" s="9"/>
      <c r="AH77" s="38"/>
      <c r="AI77" s="9"/>
      <c r="AJ77" s="39"/>
      <c r="AK77" s="9"/>
      <c r="AL77" s="9"/>
      <c r="AM77" s="9"/>
      <c r="AN77" s="9"/>
      <c r="AO77" s="9"/>
      <c r="AP77" s="9"/>
      <c r="AQ77" s="9"/>
      <c r="AR77" s="10" t="str">
        <f aca="false">IF(A77="","",SG_Criteria!$B$6&amp;SG_Criteria!$B$10&amp;"\"&amp;A77&amp;"\")</f>
        <v/>
      </c>
      <c r="AS77" s="10" t="str">
        <f aca="false">IF(A77="","",A77&amp;"_CAD.dwg")</f>
        <v/>
      </c>
      <c r="AT77" s="10" t="str">
        <f aca="false">IF(A77="","",A77&amp;"_DWG.pdf")</f>
        <v/>
      </c>
      <c r="AU77" s="10" t="str">
        <f aca="false">IF(A77="","",IF(AQ77="Y",A77&amp;"_STAAD.std","n/a"))</f>
        <v/>
      </c>
      <c r="AV77" s="10" t="str">
        <f aca="false">IF(A77="","",A77&amp;"_CALC.xlsx")</f>
        <v/>
      </c>
      <c r="AW77" s="10" t="str">
        <f aca="false">IF(A77="","",A77&amp;"_CALC.pdf")</f>
        <v/>
      </c>
      <c r="AX77" s="9"/>
      <c r="AY77" s="9"/>
      <c r="AZ77" s="39"/>
      <c r="BA77" s="39"/>
      <c r="BB77" s="39"/>
      <c r="BC77" s="39"/>
      <c r="BD77" s="39"/>
      <c r="BE77" s="12" t="str">
        <f aca="false">IF(A77="","",IF(COUNTIF(Rebar_Schedule!$A$5:$A$2004,A77)=0,"",ROUND(SUMIF(Rebar_Schedule!$A$5:$A$2004,A77,Rebar_Schedule!$K$5:$K$2004),1)))</f>
        <v/>
      </c>
      <c r="BF77" s="33" t="str">
        <f aca="false">IF(A77="","",IF(BE77="","No rebar schedule yet",IF(ABS(BE77-N(BA77))/MAX(N(BA77),1)&gt;SG_Criteria!$B$55,"NOTE: register rebar differs from schedule by "&amp;TEXT(ABS(BE77-N(BA77))/MAX(N(BA77),1),"0%"),"OK")))</f>
        <v/>
      </c>
      <c r="BG77" s="33" t="str">
        <f aca="false">IF(D77="","",IF(LEN(IF(AND(Z77&lt;&gt;"",IFERROR(VALUE(MID(Z77,2,2)),0)&lt;SG_Criteria!$B$19),"FAIL: grade below C"&amp;SG_Criteria!$B$19&amp;". ","")&amp;IF(AND(AA77&lt;&gt;"",AA77&lt;SG_Criteria!$B$20),"FAIL: cover &lt; "&amp;SG_Criteria!$B$20&amp;" mm. ","")&amp;IF(AND(I77&lt;&gt;"",I77&lt;SG_Criteria!$B$39),"NOTE: min depth below PUB "&amp;SG_Criteria!$B$39&amp;" m. ","")&amp;IF(AND(LEFT(D77,8)="Standard",J77&gt;SG_Criteria!$B$42),"FAIL: PUB 001C covers manholes up to "&amp;SG_Criteria!$B$42&amp;" m deep only. ","")&amp;IF(AND(LEFT(D77,11)="Rectangular",K77&lt;SG_Criteria!$B$43),"NOTE: 004C is for sewers &gt;= "&amp;SG_Criteria!$B$43&amp;" dia. ","")&amp;IF(AND(LEFT(D77,7)="Precast",J77&lt;=SG_Criteria!$B$42),"NOTE: 006C is for manholes &gt; "&amp;SG_Criteria!$B$42&amp;" m deep. ","")&amp;IF(AND(K77&lt;&gt;"",K77&lt;SG_Criteria!$B$40,D77&lt;&gt;"Inspection Chamber"),"NOTE: public sewer min dia "&amp;SG_Criteria!$B$40&amp;" mm. ","")&amp;IF(AND(Y77&lt;&gt;"",Y77&lt;SG_Criteria!$B$44),"FAIL: uplift FOS below "&amp;SG_Criteria!$B$44&amp;". ",""))=0,"OK",IF(AND(Z77&lt;&gt;"",IFERROR(VALUE(MID(Z77,2,2)),0)&lt;SG_Criteria!$B$19),"FAIL: grade below C"&amp;SG_Criteria!$B$19&amp;". ","")&amp;IF(AND(AA77&lt;&gt;"",AA77&lt;SG_Criteria!$B$20),"FAIL: cover &lt; "&amp;SG_Criteria!$B$20&amp;" mm. ","")&amp;IF(AND(I77&lt;&gt;"",I77&lt;SG_Criteria!$B$39),"NOTE: min depth below PUB "&amp;SG_Criteria!$B$39&amp;" m. ","")&amp;IF(AND(LEFT(D77,8)="Standard",J77&gt;SG_Criteria!$B$42),"FAIL: PUB 001C covers manholes up to "&amp;SG_Criteria!$B$42&amp;" m deep only. ","")&amp;IF(AND(LEFT(D77,11)="Rectangular",K77&lt;SG_Criteria!$B$43),"NOTE: 004C is for sewers &gt;= "&amp;SG_Criteria!$B$43&amp;" dia. ","")&amp;IF(AND(LEFT(D77,7)="Precast",J77&lt;=SG_Criteria!$B$42),"NOTE: 006C is for manholes &gt; "&amp;SG_Criteria!$B$42&amp;" m deep. ","")&amp;IF(AND(K77&lt;&gt;"",K77&lt;SG_Criteria!$B$40,D77&lt;&gt;"Inspection Chamber"),"NOTE: public sewer min dia "&amp;SG_Criteria!$B$40&amp;" mm. ","")&amp;IF(AND(Y77&lt;&gt;"",Y77&lt;SG_Criteria!$B$44),"FAIL: uplift FOS below "&amp;SG_Criteria!$B$44&amp;". ","")))</f>
        <v/>
      </c>
      <c r="BH77" s="9"/>
      <c r="BI77" s="9"/>
      <c r="BJ77" s="9"/>
      <c r="BK77" s="10" t="str">
        <f aca="false">IF(BJ77="","",IFERROR(VLOOKUP(BJ77,Projects!$A$5:$D$504,2,0),"Ref not in Projects"))</f>
        <v/>
      </c>
      <c r="BL77" s="10" t="str">
        <f aca="false">IF(BJ77="","",IFERROR(VLOOKUP(BJ77,Projects!$A$5:$D$504,4,0),"Ref not in Projects"))</f>
        <v/>
      </c>
      <c r="BM77" s="9"/>
      <c r="BN77" s="9"/>
      <c r="BO77" s="9"/>
      <c r="BP77" s="40"/>
      <c r="BQ77" s="9"/>
      <c r="BR77" s="40"/>
      <c r="BS77" s="9"/>
      <c r="BT77" s="40"/>
      <c r="BU77" s="9"/>
      <c r="BV77" s="9"/>
      <c r="BW77" s="9"/>
      <c r="BX77" s="40"/>
      <c r="BY77" s="40"/>
      <c r="BZ77" s="36" t="str">
        <f aca="false">IF(BY77="","",EDATE(BY77,SG_Criteria!$B$54*12))</f>
        <v/>
      </c>
      <c r="CA77" s="33" t="str">
        <f aca="true">IF(A77="","",IF(BY77="","NOTE: not reviewed yet",IF(TODAY()&gt;BZ77,"NOTE: review overdue","OK")))</f>
        <v/>
      </c>
      <c r="CB77" s="37" t="str">
        <f aca="false">IF(A77="","",ROUND((IF(LEN(D77)&gt;0,1,0)+IF(LEN(E77)&gt;0,1,0)+IF(LEN(F77)&gt;0,1,0)+IF(LEN(G77)&gt;0,1,0)+IF(LEN(I77)&gt;0,1,0)+IF(LEN(J77)&gt;0,1,0)+IF(LEN(K77)&gt;0,1,0)+IF(LEN(L77)&gt;0,1,0)+IF(LEN(M77)&gt;0,1,0)+IF(LEN(N77)&gt;0,1,0)+IF(LEN(Z77)&gt;0,1,0)+IF(LEN(AA77)&gt;0,1,0)+IF(LEN(Y77)&gt;0,1,0)+IF(LEN(AE77)&gt;0,1,0)+IF(LEN(AG77)&gt;0,1,0)+IF(LEN(AZ77)&gt;0,1,0)+IF(LEN(AK77)&gt;0,1,0)+IF(LEN(AM77)&gt;0,1,0)+IF(LEN(AN77)&gt;0,1,0)+IF(LEN(AO77)&gt;0,1,0)+IF(LEN(AP77)&gt;0,1,0)+IF(LEN(AY77)&gt;0,1,0)+IF(LEN(BJ77)&gt;0,1,0)+IF(LEN(BW77)&gt;0,1,0))/24,2))</f>
        <v/>
      </c>
      <c r="CC77" s="10" t="str">
        <f aca="false">IF(D77="","",IF(AND(AN77="Approved",ISERROR(SEARCH("FAIL",BG77))),"Y","N"))</f>
        <v/>
      </c>
      <c r="CD77" s="10" t="str">
        <f aca="false">IF(D77="","",D77&amp;"|"&amp;J77&amp;"|"&amp;G77&amp;"|"&amp;CC77)</f>
        <v/>
      </c>
    </row>
    <row r="78" customFormat="false" ht="15" hidden="false" customHeight="false" outlineLevel="0" collapsed="false">
      <c r="A78" s="10" t="str">
        <f aca="false">IF(D78="","","MH-"&amp;IFERROR(VLOOKUP(D78,Lists!$AB$4:$AC$20,2,0),"??")&amp;"-"&amp;TEXT(G78,"0000")&amp;IF(F78="Circular","D","x"&amp;TEXT(H78,"0000"))&amp;"-D"&amp;TEXT(J78*1000,"0000")&amp;"-"&amp;IFERROR(VLOOKUP(E78,Lists!$AE$4:$AF$16,2,0),"??")&amp;"-"&amp;AM78)</f>
        <v/>
      </c>
      <c r="B78" s="10" t="str">
        <f aca="false">IF(D78="","",D78&amp;", "&amp;E78&amp;", "&amp;IF(F78="Circular",G78&amp;" dia",G78&amp;" x "&amp;H78)&amp;", depth "&amp;TEXT(I78,"0.0")&amp;"-"&amp;TEXT(J78,"0.0")&amp;" m, pipe up to "&amp;K78&amp;" dia")</f>
        <v/>
      </c>
      <c r="C78" s="9"/>
      <c r="D78" s="9"/>
      <c r="E78" s="9"/>
      <c r="F78" s="9"/>
      <c r="G78" s="38"/>
      <c r="H78" s="38"/>
      <c r="I78" s="42"/>
      <c r="J78" s="42"/>
      <c r="K78" s="38"/>
      <c r="L78" s="38"/>
      <c r="M78" s="38"/>
      <c r="N78" s="38"/>
      <c r="O78" s="9"/>
      <c r="P78" s="9"/>
      <c r="Q78" s="9"/>
      <c r="R78" s="9"/>
      <c r="S78" s="9"/>
      <c r="T78" s="9"/>
      <c r="U78" s="9"/>
      <c r="V78" s="42"/>
      <c r="W78" s="9"/>
      <c r="X78" s="9"/>
      <c r="Y78" s="39"/>
      <c r="Z78" s="9"/>
      <c r="AA78" s="38"/>
      <c r="AB78" s="9"/>
      <c r="AC78" s="9"/>
      <c r="AD78" s="9"/>
      <c r="AE78" s="9"/>
      <c r="AF78" s="9"/>
      <c r="AG78" s="9"/>
      <c r="AH78" s="38"/>
      <c r="AI78" s="9"/>
      <c r="AJ78" s="39"/>
      <c r="AK78" s="9"/>
      <c r="AL78" s="9"/>
      <c r="AM78" s="9"/>
      <c r="AN78" s="9"/>
      <c r="AO78" s="9"/>
      <c r="AP78" s="9"/>
      <c r="AQ78" s="9"/>
      <c r="AR78" s="10" t="str">
        <f aca="false">IF(A78="","",SG_Criteria!$B$6&amp;SG_Criteria!$B$10&amp;"\"&amp;A78&amp;"\")</f>
        <v/>
      </c>
      <c r="AS78" s="10" t="str">
        <f aca="false">IF(A78="","",A78&amp;"_CAD.dwg")</f>
        <v/>
      </c>
      <c r="AT78" s="10" t="str">
        <f aca="false">IF(A78="","",A78&amp;"_DWG.pdf")</f>
        <v/>
      </c>
      <c r="AU78" s="10" t="str">
        <f aca="false">IF(A78="","",IF(AQ78="Y",A78&amp;"_STAAD.std","n/a"))</f>
        <v/>
      </c>
      <c r="AV78" s="10" t="str">
        <f aca="false">IF(A78="","",A78&amp;"_CALC.xlsx")</f>
        <v/>
      </c>
      <c r="AW78" s="10" t="str">
        <f aca="false">IF(A78="","",A78&amp;"_CALC.pdf")</f>
        <v/>
      </c>
      <c r="AX78" s="9"/>
      <c r="AY78" s="9"/>
      <c r="AZ78" s="39"/>
      <c r="BA78" s="39"/>
      <c r="BB78" s="39"/>
      <c r="BC78" s="39"/>
      <c r="BD78" s="39"/>
      <c r="BE78" s="12" t="str">
        <f aca="false">IF(A78="","",IF(COUNTIF(Rebar_Schedule!$A$5:$A$2004,A78)=0,"",ROUND(SUMIF(Rebar_Schedule!$A$5:$A$2004,A78,Rebar_Schedule!$K$5:$K$2004),1)))</f>
        <v/>
      </c>
      <c r="BF78" s="33" t="str">
        <f aca="false">IF(A78="","",IF(BE78="","No rebar schedule yet",IF(ABS(BE78-N(BA78))/MAX(N(BA78),1)&gt;SG_Criteria!$B$55,"NOTE: register rebar differs from schedule by "&amp;TEXT(ABS(BE78-N(BA78))/MAX(N(BA78),1),"0%"),"OK")))</f>
        <v/>
      </c>
      <c r="BG78" s="33" t="str">
        <f aca="false">IF(D78="","",IF(LEN(IF(AND(Z78&lt;&gt;"",IFERROR(VALUE(MID(Z78,2,2)),0)&lt;SG_Criteria!$B$19),"FAIL: grade below C"&amp;SG_Criteria!$B$19&amp;". ","")&amp;IF(AND(AA78&lt;&gt;"",AA78&lt;SG_Criteria!$B$20),"FAIL: cover &lt; "&amp;SG_Criteria!$B$20&amp;" mm. ","")&amp;IF(AND(I78&lt;&gt;"",I78&lt;SG_Criteria!$B$39),"NOTE: min depth below PUB "&amp;SG_Criteria!$B$39&amp;" m. ","")&amp;IF(AND(LEFT(D78,8)="Standard",J78&gt;SG_Criteria!$B$42),"FAIL: PUB 001C covers manholes up to "&amp;SG_Criteria!$B$42&amp;" m deep only. ","")&amp;IF(AND(LEFT(D78,11)="Rectangular",K78&lt;SG_Criteria!$B$43),"NOTE: 004C is for sewers &gt;= "&amp;SG_Criteria!$B$43&amp;" dia. ","")&amp;IF(AND(LEFT(D78,7)="Precast",J78&lt;=SG_Criteria!$B$42),"NOTE: 006C is for manholes &gt; "&amp;SG_Criteria!$B$42&amp;" m deep. ","")&amp;IF(AND(K78&lt;&gt;"",K78&lt;SG_Criteria!$B$40,D78&lt;&gt;"Inspection Chamber"),"NOTE: public sewer min dia "&amp;SG_Criteria!$B$40&amp;" mm. ","")&amp;IF(AND(Y78&lt;&gt;"",Y78&lt;SG_Criteria!$B$44),"FAIL: uplift FOS below "&amp;SG_Criteria!$B$44&amp;". ",""))=0,"OK",IF(AND(Z78&lt;&gt;"",IFERROR(VALUE(MID(Z78,2,2)),0)&lt;SG_Criteria!$B$19),"FAIL: grade below C"&amp;SG_Criteria!$B$19&amp;". ","")&amp;IF(AND(AA78&lt;&gt;"",AA78&lt;SG_Criteria!$B$20),"FAIL: cover &lt; "&amp;SG_Criteria!$B$20&amp;" mm. ","")&amp;IF(AND(I78&lt;&gt;"",I78&lt;SG_Criteria!$B$39),"NOTE: min depth below PUB "&amp;SG_Criteria!$B$39&amp;" m. ","")&amp;IF(AND(LEFT(D78,8)="Standard",J78&gt;SG_Criteria!$B$42),"FAIL: PUB 001C covers manholes up to "&amp;SG_Criteria!$B$42&amp;" m deep only. ","")&amp;IF(AND(LEFT(D78,11)="Rectangular",K78&lt;SG_Criteria!$B$43),"NOTE: 004C is for sewers &gt;= "&amp;SG_Criteria!$B$43&amp;" dia. ","")&amp;IF(AND(LEFT(D78,7)="Precast",J78&lt;=SG_Criteria!$B$42),"NOTE: 006C is for manholes &gt; "&amp;SG_Criteria!$B$42&amp;" m deep. ","")&amp;IF(AND(K78&lt;&gt;"",K78&lt;SG_Criteria!$B$40,D78&lt;&gt;"Inspection Chamber"),"NOTE: public sewer min dia "&amp;SG_Criteria!$B$40&amp;" mm. ","")&amp;IF(AND(Y78&lt;&gt;"",Y78&lt;SG_Criteria!$B$44),"FAIL: uplift FOS below "&amp;SG_Criteria!$B$44&amp;". ","")))</f>
        <v/>
      </c>
      <c r="BH78" s="9"/>
      <c r="BI78" s="9"/>
      <c r="BJ78" s="9"/>
      <c r="BK78" s="10" t="str">
        <f aca="false">IF(BJ78="","",IFERROR(VLOOKUP(BJ78,Projects!$A$5:$D$504,2,0),"Ref not in Projects"))</f>
        <v/>
      </c>
      <c r="BL78" s="10" t="str">
        <f aca="false">IF(BJ78="","",IFERROR(VLOOKUP(BJ78,Projects!$A$5:$D$504,4,0),"Ref not in Projects"))</f>
        <v/>
      </c>
      <c r="BM78" s="9"/>
      <c r="BN78" s="9"/>
      <c r="BO78" s="9"/>
      <c r="BP78" s="40"/>
      <c r="BQ78" s="9"/>
      <c r="BR78" s="40"/>
      <c r="BS78" s="9"/>
      <c r="BT78" s="40"/>
      <c r="BU78" s="9"/>
      <c r="BV78" s="9"/>
      <c r="BW78" s="9"/>
      <c r="BX78" s="40"/>
      <c r="BY78" s="40"/>
      <c r="BZ78" s="36" t="str">
        <f aca="false">IF(BY78="","",EDATE(BY78,SG_Criteria!$B$54*12))</f>
        <v/>
      </c>
      <c r="CA78" s="33" t="str">
        <f aca="true">IF(A78="","",IF(BY78="","NOTE: not reviewed yet",IF(TODAY()&gt;BZ78,"NOTE: review overdue","OK")))</f>
        <v/>
      </c>
      <c r="CB78" s="37" t="str">
        <f aca="false">IF(A78="","",ROUND((IF(LEN(D78)&gt;0,1,0)+IF(LEN(E78)&gt;0,1,0)+IF(LEN(F78)&gt;0,1,0)+IF(LEN(G78)&gt;0,1,0)+IF(LEN(I78)&gt;0,1,0)+IF(LEN(J78)&gt;0,1,0)+IF(LEN(K78)&gt;0,1,0)+IF(LEN(L78)&gt;0,1,0)+IF(LEN(M78)&gt;0,1,0)+IF(LEN(N78)&gt;0,1,0)+IF(LEN(Z78)&gt;0,1,0)+IF(LEN(AA78)&gt;0,1,0)+IF(LEN(Y78)&gt;0,1,0)+IF(LEN(AE78)&gt;0,1,0)+IF(LEN(AG78)&gt;0,1,0)+IF(LEN(AZ78)&gt;0,1,0)+IF(LEN(AK78)&gt;0,1,0)+IF(LEN(AM78)&gt;0,1,0)+IF(LEN(AN78)&gt;0,1,0)+IF(LEN(AO78)&gt;0,1,0)+IF(LEN(AP78)&gt;0,1,0)+IF(LEN(AY78)&gt;0,1,0)+IF(LEN(BJ78)&gt;0,1,0)+IF(LEN(BW78)&gt;0,1,0))/24,2))</f>
        <v/>
      </c>
      <c r="CC78" s="10" t="str">
        <f aca="false">IF(D78="","",IF(AND(AN78="Approved",ISERROR(SEARCH("FAIL",BG78))),"Y","N"))</f>
        <v/>
      </c>
      <c r="CD78" s="10" t="str">
        <f aca="false">IF(D78="","",D78&amp;"|"&amp;J78&amp;"|"&amp;G78&amp;"|"&amp;CC78)</f>
        <v/>
      </c>
    </row>
    <row r="79" customFormat="false" ht="15" hidden="false" customHeight="false" outlineLevel="0" collapsed="false">
      <c r="A79" s="10" t="str">
        <f aca="false">IF(D79="","","MH-"&amp;IFERROR(VLOOKUP(D79,Lists!$AB$4:$AC$20,2,0),"??")&amp;"-"&amp;TEXT(G79,"0000")&amp;IF(F79="Circular","D","x"&amp;TEXT(H79,"0000"))&amp;"-D"&amp;TEXT(J79*1000,"0000")&amp;"-"&amp;IFERROR(VLOOKUP(E79,Lists!$AE$4:$AF$16,2,0),"??")&amp;"-"&amp;AM79)</f>
        <v/>
      </c>
      <c r="B79" s="10" t="str">
        <f aca="false">IF(D79="","",D79&amp;", "&amp;E79&amp;", "&amp;IF(F79="Circular",G79&amp;" dia",G79&amp;" x "&amp;H79)&amp;", depth "&amp;TEXT(I79,"0.0")&amp;"-"&amp;TEXT(J79,"0.0")&amp;" m, pipe up to "&amp;K79&amp;" dia")</f>
        <v/>
      </c>
      <c r="C79" s="9"/>
      <c r="D79" s="9"/>
      <c r="E79" s="9"/>
      <c r="F79" s="9"/>
      <c r="G79" s="38"/>
      <c r="H79" s="38"/>
      <c r="I79" s="42"/>
      <c r="J79" s="42"/>
      <c r="K79" s="38"/>
      <c r="L79" s="38"/>
      <c r="M79" s="38"/>
      <c r="N79" s="38"/>
      <c r="O79" s="9"/>
      <c r="P79" s="9"/>
      <c r="Q79" s="9"/>
      <c r="R79" s="9"/>
      <c r="S79" s="9"/>
      <c r="T79" s="9"/>
      <c r="U79" s="9"/>
      <c r="V79" s="42"/>
      <c r="W79" s="9"/>
      <c r="X79" s="9"/>
      <c r="Y79" s="39"/>
      <c r="Z79" s="9"/>
      <c r="AA79" s="38"/>
      <c r="AB79" s="9"/>
      <c r="AC79" s="9"/>
      <c r="AD79" s="9"/>
      <c r="AE79" s="9"/>
      <c r="AF79" s="9"/>
      <c r="AG79" s="9"/>
      <c r="AH79" s="38"/>
      <c r="AI79" s="9"/>
      <c r="AJ79" s="39"/>
      <c r="AK79" s="9"/>
      <c r="AL79" s="9"/>
      <c r="AM79" s="9"/>
      <c r="AN79" s="9"/>
      <c r="AO79" s="9"/>
      <c r="AP79" s="9"/>
      <c r="AQ79" s="9"/>
      <c r="AR79" s="10" t="str">
        <f aca="false">IF(A79="","",SG_Criteria!$B$6&amp;SG_Criteria!$B$10&amp;"\"&amp;A79&amp;"\")</f>
        <v/>
      </c>
      <c r="AS79" s="10" t="str">
        <f aca="false">IF(A79="","",A79&amp;"_CAD.dwg")</f>
        <v/>
      </c>
      <c r="AT79" s="10" t="str">
        <f aca="false">IF(A79="","",A79&amp;"_DWG.pdf")</f>
        <v/>
      </c>
      <c r="AU79" s="10" t="str">
        <f aca="false">IF(A79="","",IF(AQ79="Y",A79&amp;"_STAAD.std","n/a"))</f>
        <v/>
      </c>
      <c r="AV79" s="10" t="str">
        <f aca="false">IF(A79="","",A79&amp;"_CALC.xlsx")</f>
        <v/>
      </c>
      <c r="AW79" s="10" t="str">
        <f aca="false">IF(A79="","",A79&amp;"_CALC.pdf")</f>
        <v/>
      </c>
      <c r="AX79" s="9"/>
      <c r="AY79" s="9"/>
      <c r="AZ79" s="39"/>
      <c r="BA79" s="39"/>
      <c r="BB79" s="39"/>
      <c r="BC79" s="39"/>
      <c r="BD79" s="39"/>
      <c r="BE79" s="12" t="str">
        <f aca="false">IF(A79="","",IF(COUNTIF(Rebar_Schedule!$A$5:$A$2004,A79)=0,"",ROUND(SUMIF(Rebar_Schedule!$A$5:$A$2004,A79,Rebar_Schedule!$K$5:$K$2004),1)))</f>
        <v/>
      </c>
      <c r="BF79" s="33" t="str">
        <f aca="false">IF(A79="","",IF(BE79="","No rebar schedule yet",IF(ABS(BE79-N(BA79))/MAX(N(BA79),1)&gt;SG_Criteria!$B$55,"NOTE: register rebar differs from schedule by "&amp;TEXT(ABS(BE79-N(BA79))/MAX(N(BA79),1),"0%"),"OK")))</f>
        <v/>
      </c>
      <c r="BG79" s="33" t="str">
        <f aca="false">IF(D79="","",IF(LEN(IF(AND(Z79&lt;&gt;"",IFERROR(VALUE(MID(Z79,2,2)),0)&lt;SG_Criteria!$B$19),"FAIL: grade below C"&amp;SG_Criteria!$B$19&amp;". ","")&amp;IF(AND(AA79&lt;&gt;"",AA79&lt;SG_Criteria!$B$20),"FAIL: cover &lt; "&amp;SG_Criteria!$B$20&amp;" mm. ","")&amp;IF(AND(I79&lt;&gt;"",I79&lt;SG_Criteria!$B$39),"NOTE: min depth below PUB "&amp;SG_Criteria!$B$39&amp;" m. ","")&amp;IF(AND(LEFT(D79,8)="Standard",J79&gt;SG_Criteria!$B$42),"FAIL: PUB 001C covers manholes up to "&amp;SG_Criteria!$B$42&amp;" m deep only. ","")&amp;IF(AND(LEFT(D79,11)="Rectangular",K79&lt;SG_Criteria!$B$43),"NOTE: 004C is for sewers &gt;= "&amp;SG_Criteria!$B$43&amp;" dia. ","")&amp;IF(AND(LEFT(D79,7)="Precast",J79&lt;=SG_Criteria!$B$42),"NOTE: 006C is for manholes &gt; "&amp;SG_Criteria!$B$42&amp;" m deep. ","")&amp;IF(AND(K79&lt;&gt;"",K79&lt;SG_Criteria!$B$40,D79&lt;&gt;"Inspection Chamber"),"NOTE: public sewer min dia "&amp;SG_Criteria!$B$40&amp;" mm. ","")&amp;IF(AND(Y79&lt;&gt;"",Y79&lt;SG_Criteria!$B$44),"FAIL: uplift FOS below "&amp;SG_Criteria!$B$44&amp;". ",""))=0,"OK",IF(AND(Z79&lt;&gt;"",IFERROR(VALUE(MID(Z79,2,2)),0)&lt;SG_Criteria!$B$19),"FAIL: grade below C"&amp;SG_Criteria!$B$19&amp;". ","")&amp;IF(AND(AA79&lt;&gt;"",AA79&lt;SG_Criteria!$B$20),"FAIL: cover &lt; "&amp;SG_Criteria!$B$20&amp;" mm. ","")&amp;IF(AND(I79&lt;&gt;"",I79&lt;SG_Criteria!$B$39),"NOTE: min depth below PUB "&amp;SG_Criteria!$B$39&amp;" m. ","")&amp;IF(AND(LEFT(D79,8)="Standard",J79&gt;SG_Criteria!$B$42),"FAIL: PUB 001C covers manholes up to "&amp;SG_Criteria!$B$42&amp;" m deep only. ","")&amp;IF(AND(LEFT(D79,11)="Rectangular",K79&lt;SG_Criteria!$B$43),"NOTE: 004C is for sewers &gt;= "&amp;SG_Criteria!$B$43&amp;" dia. ","")&amp;IF(AND(LEFT(D79,7)="Precast",J79&lt;=SG_Criteria!$B$42),"NOTE: 006C is for manholes &gt; "&amp;SG_Criteria!$B$42&amp;" m deep. ","")&amp;IF(AND(K79&lt;&gt;"",K79&lt;SG_Criteria!$B$40,D79&lt;&gt;"Inspection Chamber"),"NOTE: public sewer min dia "&amp;SG_Criteria!$B$40&amp;" mm. ","")&amp;IF(AND(Y79&lt;&gt;"",Y79&lt;SG_Criteria!$B$44),"FAIL: uplift FOS below "&amp;SG_Criteria!$B$44&amp;". ","")))</f>
        <v/>
      </c>
      <c r="BH79" s="9"/>
      <c r="BI79" s="9"/>
      <c r="BJ79" s="9"/>
      <c r="BK79" s="10" t="str">
        <f aca="false">IF(BJ79="","",IFERROR(VLOOKUP(BJ79,Projects!$A$5:$D$504,2,0),"Ref not in Projects"))</f>
        <v/>
      </c>
      <c r="BL79" s="10" t="str">
        <f aca="false">IF(BJ79="","",IFERROR(VLOOKUP(BJ79,Projects!$A$5:$D$504,4,0),"Ref not in Projects"))</f>
        <v/>
      </c>
      <c r="BM79" s="9"/>
      <c r="BN79" s="9"/>
      <c r="BO79" s="9"/>
      <c r="BP79" s="40"/>
      <c r="BQ79" s="9"/>
      <c r="BR79" s="40"/>
      <c r="BS79" s="9"/>
      <c r="BT79" s="40"/>
      <c r="BU79" s="9"/>
      <c r="BV79" s="9"/>
      <c r="BW79" s="9"/>
      <c r="BX79" s="40"/>
      <c r="BY79" s="40"/>
      <c r="BZ79" s="36" t="str">
        <f aca="false">IF(BY79="","",EDATE(BY79,SG_Criteria!$B$54*12))</f>
        <v/>
      </c>
      <c r="CA79" s="33" t="str">
        <f aca="true">IF(A79="","",IF(BY79="","NOTE: not reviewed yet",IF(TODAY()&gt;BZ79,"NOTE: review overdue","OK")))</f>
        <v/>
      </c>
      <c r="CB79" s="37" t="str">
        <f aca="false">IF(A79="","",ROUND((IF(LEN(D79)&gt;0,1,0)+IF(LEN(E79)&gt;0,1,0)+IF(LEN(F79)&gt;0,1,0)+IF(LEN(G79)&gt;0,1,0)+IF(LEN(I79)&gt;0,1,0)+IF(LEN(J79)&gt;0,1,0)+IF(LEN(K79)&gt;0,1,0)+IF(LEN(L79)&gt;0,1,0)+IF(LEN(M79)&gt;0,1,0)+IF(LEN(N79)&gt;0,1,0)+IF(LEN(Z79)&gt;0,1,0)+IF(LEN(AA79)&gt;0,1,0)+IF(LEN(Y79)&gt;0,1,0)+IF(LEN(AE79)&gt;0,1,0)+IF(LEN(AG79)&gt;0,1,0)+IF(LEN(AZ79)&gt;0,1,0)+IF(LEN(AK79)&gt;0,1,0)+IF(LEN(AM79)&gt;0,1,0)+IF(LEN(AN79)&gt;0,1,0)+IF(LEN(AO79)&gt;0,1,0)+IF(LEN(AP79)&gt;0,1,0)+IF(LEN(AY79)&gt;0,1,0)+IF(LEN(BJ79)&gt;0,1,0)+IF(LEN(BW79)&gt;0,1,0))/24,2))</f>
        <v/>
      </c>
      <c r="CC79" s="10" t="str">
        <f aca="false">IF(D79="","",IF(AND(AN79="Approved",ISERROR(SEARCH("FAIL",BG79))),"Y","N"))</f>
        <v/>
      </c>
      <c r="CD79" s="10" t="str">
        <f aca="false">IF(D79="","",D79&amp;"|"&amp;J79&amp;"|"&amp;G79&amp;"|"&amp;CC79)</f>
        <v/>
      </c>
    </row>
    <row r="80" customFormat="false" ht="15" hidden="false" customHeight="false" outlineLevel="0" collapsed="false">
      <c r="A80" s="10" t="str">
        <f aca="false">IF(D80="","","MH-"&amp;IFERROR(VLOOKUP(D80,Lists!$AB$4:$AC$20,2,0),"??")&amp;"-"&amp;TEXT(G80,"0000")&amp;IF(F80="Circular","D","x"&amp;TEXT(H80,"0000"))&amp;"-D"&amp;TEXT(J80*1000,"0000")&amp;"-"&amp;IFERROR(VLOOKUP(E80,Lists!$AE$4:$AF$16,2,0),"??")&amp;"-"&amp;AM80)</f>
        <v/>
      </c>
      <c r="B80" s="10" t="str">
        <f aca="false">IF(D80="","",D80&amp;", "&amp;E80&amp;", "&amp;IF(F80="Circular",G80&amp;" dia",G80&amp;" x "&amp;H80)&amp;", depth "&amp;TEXT(I80,"0.0")&amp;"-"&amp;TEXT(J80,"0.0")&amp;" m, pipe up to "&amp;K80&amp;" dia")</f>
        <v/>
      </c>
      <c r="C80" s="9"/>
      <c r="D80" s="9"/>
      <c r="E80" s="9"/>
      <c r="F80" s="9"/>
      <c r="G80" s="38"/>
      <c r="H80" s="38"/>
      <c r="I80" s="42"/>
      <c r="J80" s="42"/>
      <c r="K80" s="38"/>
      <c r="L80" s="38"/>
      <c r="M80" s="38"/>
      <c r="N80" s="38"/>
      <c r="O80" s="9"/>
      <c r="P80" s="9"/>
      <c r="Q80" s="9"/>
      <c r="R80" s="9"/>
      <c r="S80" s="9"/>
      <c r="T80" s="9"/>
      <c r="U80" s="9"/>
      <c r="V80" s="42"/>
      <c r="W80" s="9"/>
      <c r="X80" s="9"/>
      <c r="Y80" s="39"/>
      <c r="Z80" s="9"/>
      <c r="AA80" s="38"/>
      <c r="AB80" s="9"/>
      <c r="AC80" s="9"/>
      <c r="AD80" s="9"/>
      <c r="AE80" s="9"/>
      <c r="AF80" s="9"/>
      <c r="AG80" s="9"/>
      <c r="AH80" s="38"/>
      <c r="AI80" s="9"/>
      <c r="AJ80" s="39"/>
      <c r="AK80" s="9"/>
      <c r="AL80" s="9"/>
      <c r="AM80" s="9"/>
      <c r="AN80" s="9"/>
      <c r="AO80" s="9"/>
      <c r="AP80" s="9"/>
      <c r="AQ80" s="9"/>
      <c r="AR80" s="10" t="str">
        <f aca="false">IF(A80="","",SG_Criteria!$B$6&amp;SG_Criteria!$B$10&amp;"\"&amp;A80&amp;"\")</f>
        <v/>
      </c>
      <c r="AS80" s="10" t="str">
        <f aca="false">IF(A80="","",A80&amp;"_CAD.dwg")</f>
        <v/>
      </c>
      <c r="AT80" s="10" t="str">
        <f aca="false">IF(A80="","",A80&amp;"_DWG.pdf")</f>
        <v/>
      </c>
      <c r="AU80" s="10" t="str">
        <f aca="false">IF(A80="","",IF(AQ80="Y",A80&amp;"_STAAD.std","n/a"))</f>
        <v/>
      </c>
      <c r="AV80" s="10" t="str">
        <f aca="false">IF(A80="","",A80&amp;"_CALC.xlsx")</f>
        <v/>
      </c>
      <c r="AW80" s="10" t="str">
        <f aca="false">IF(A80="","",A80&amp;"_CALC.pdf")</f>
        <v/>
      </c>
      <c r="AX80" s="9"/>
      <c r="AY80" s="9"/>
      <c r="AZ80" s="39"/>
      <c r="BA80" s="39"/>
      <c r="BB80" s="39"/>
      <c r="BC80" s="39"/>
      <c r="BD80" s="39"/>
      <c r="BE80" s="12" t="str">
        <f aca="false">IF(A80="","",IF(COUNTIF(Rebar_Schedule!$A$5:$A$2004,A80)=0,"",ROUND(SUMIF(Rebar_Schedule!$A$5:$A$2004,A80,Rebar_Schedule!$K$5:$K$2004),1)))</f>
        <v/>
      </c>
      <c r="BF80" s="33" t="str">
        <f aca="false">IF(A80="","",IF(BE80="","No rebar schedule yet",IF(ABS(BE80-N(BA80))/MAX(N(BA80),1)&gt;SG_Criteria!$B$55,"NOTE: register rebar differs from schedule by "&amp;TEXT(ABS(BE80-N(BA80))/MAX(N(BA80),1),"0%"),"OK")))</f>
        <v/>
      </c>
      <c r="BG80" s="33" t="str">
        <f aca="false">IF(D80="","",IF(LEN(IF(AND(Z80&lt;&gt;"",IFERROR(VALUE(MID(Z80,2,2)),0)&lt;SG_Criteria!$B$19),"FAIL: grade below C"&amp;SG_Criteria!$B$19&amp;". ","")&amp;IF(AND(AA80&lt;&gt;"",AA80&lt;SG_Criteria!$B$20),"FAIL: cover &lt; "&amp;SG_Criteria!$B$20&amp;" mm. ","")&amp;IF(AND(I80&lt;&gt;"",I80&lt;SG_Criteria!$B$39),"NOTE: min depth below PUB "&amp;SG_Criteria!$B$39&amp;" m. ","")&amp;IF(AND(LEFT(D80,8)="Standard",J80&gt;SG_Criteria!$B$42),"FAIL: PUB 001C covers manholes up to "&amp;SG_Criteria!$B$42&amp;" m deep only. ","")&amp;IF(AND(LEFT(D80,11)="Rectangular",K80&lt;SG_Criteria!$B$43),"NOTE: 004C is for sewers &gt;= "&amp;SG_Criteria!$B$43&amp;" dia. ","")&amp;IF(AND(LEFT(D80,7)="Precast",J80&lt;=SG_Criteria!$B$42),"NOTE: 006C is for manholes &gt; "&amp;SG_Criteria!$B$42&amp;" m deep. ","")&amp;IF(AND(K80&lt;&gt;"",K80&lt;SG_Criteria!$B$40,D80&lt;&gt;"Inspection Chamber"),"NOTE: public sewer min dia "&amp;SG_Criteria!$B$40&amp;" mm. ","")&amp;IF(AND(Y80&lt;&gt;"",Y80&lt;SG_Criteria!$B$44),"FAIL: uplift FOS below "&amp;SG_Criteria!$B$44&amp;". ",""))=0,"OK",IF(AND(Z80&lt;&gt;"",IFERROR(VALUE(MID(Z80,2,2)),0)&lt;SG_Criteria!$B$19),"FAIL: grade below C"&amp;SG_Criteria!$B$19&amp;". ","")&amp;IF(AND(AA80&lt;&gt;"",AA80&lt;SG_Criteria!$B$20),"FAIL: cover &lt; "&amp;SG_Criteria!$B$20&amp;" mm. ","")&amp;IF(AND(I80&lt;&gt;"",I80&lt;SG_Criteria!$B$39),"NOTE: min depth below PUB "&amp;SG_Criteria!$B$39&amp;" m. ","")&amp;IF(AND(LEFT(D80,8)="Standard",J80&gt;SG_Criteria!$B$42),"FAIL: PUB 001C covers manholes up to "&amp;SG_Criteria!$B$42&amp;" m deep only. ","")&amp;IF(AND(LEFT(D80,11)="Rectangular",K80&lt;SG_Criteria!$B$43),"NOTE: 004C is for sewers &gt;= "&amp;SG_Criteria!$B$43&amp;" dia. ","")&amp;IF(AND(LEFT(D80,7)="Precast",J80&lt;=SG_Criteria!$B$42),"NOTE: 006C is for manholes &gt; "&amp;SG_Criteria!$B$42&amp;" m deep. ","")&amp;IF(AND(K80&lt;&gt;"",K80&lt;SG_Criteria!$B$40,D80&lt;&gt;"Inspection Chamber"),"NOTE: public sewer min dia "&amp;SG_Criteria!$B$40&amp;" mm. ","")&amp;IF(AND(Y80&lt;&gt;"",Y80&lt;SG_Criteria!$B$44),"FAIL: uplift FOS below "&amp;SG_Criteria!$B$44&amp;". ","")))</f>
        <v/>
      </c>
      <c r="BH80" s="9"/>
      <c r="BI80" s="9"/>
      <c r="BJ80" s="9"/>
      <c r="BK80" s="10" t="str">
        <f aca="false">IF(BJ80="","",IFERROR(VLOOKUP(BJ80,Projects!$A$5:$D$504,2,0),"Ref not in Projects"))</f>
        <v/>
      </c>
      <c r="BL80" s="10" t="str">
        <f aca="false">IF(BJ80="","",IFERROR(VLOOKUP(BJ80,Projects!$A$5:$D$504,4,0),"Ref not in Projects"))</f>
        <v/>
      </c>
      <c r="BM80" s="9"/>
      <c r="BN80" s="9"/>
      <c r="BO80" s="9"/>
      <c r="BP80" s="40"/>
      <c r="BQ80" s="9"/>
      <c r="BR80" s="40"/>
      <c r="BS80" s="9"/>
      <c r="BT80" s="40"/>
      <c r="BU80" s="9"/>
      <c r="BV80" s="9"/>
      <c r="BW80" s="9"/>
      <c r="BX80" s="40"/>
      <c r="BY80" s="40"/>
      <c r="BZ80" s="36" t="str">
        <f aca="false">IF(BY80="","",EDATE(BY80,SG_Criteria!$B$54*12))</f>
        <v/>
      </c>
      <c r="CA80" s="33" t="str">
        <f aca="true">IF(A80="","",IF(BY80="","NOTE: not reviewed yet",IF(TODAY()&gt;BZ80,"NOTE: review overdue","OK")))</f>
        <v/>
      </c>
      <c r="CB80" s="37" t="str">
        <f aca="false">IF(A80="","",ROUND((IF(LEN(D80)&gt;0,1,0)+IF(LEN(E80)&gt;0,1,0)+IF(LEN(F80)&gt;0,1,0)+IF(LEN(G80)&gt;0,1,0)+IF(LEN(I80)&gt;0,1,0)+IF(LEN(J80)&gt;0,1,0)+IF(LEN(K80)&gt;0,1,0)+IF(LEN(L80)&gt;0,1,0)+IF(LEN(M80)&gt;0,1,0)+IF(LEN(N80)&gt;0,1,0)+IF(LEN(Z80)&gt;0,1,0)+IF(LEN(AA80)&gt;0,1,0)+IF(LEN(Y80)&gt;0,1,0)+IF(LEN(AE80)&gt;0,1,0)+IF(LEN(AG80)&gt;0,1,0)+IF(LEN(AZ80)&gt;0,1,0)+IF(LEN(AK80)&gt;0,1,0)+IF(LEN(AM80)&gt;0,1,0)+IF(LEN(AN80)&gt;0,1,0)+IF(LEN(AO80)&gt;0,1,0)+IF(LEN(AP80)&gt;0,1,0)+IF(LEN(AY80)&gt;0,1,0)+IF(LEN(BJ80)&gt;0,1,0)+IF(LEN(BW80)&gt;0,1,0))/24,2))</f>
        <v/>
      </c>
      <c r="CC80" s="10" t="str">
        <f aca="false">IF(D80="","",IF(AND(AN80="Approved",ISERROR(SEARCH("FAIL",BG80))),"Y","N"))</f>
        <v/>
      </c>
      <c r="CD80" s="10" t="str">
        <f aca="false">IF(D80="","",D80&amp;"|"&amp;J80&amp;"|"&amp;G80&amp;"|"&amp;CC80)</f>
        <v/>
      </c>
    </row>
    <row r="81" customFormat="false" ht="15" hidden="false" customHeight="false" outlineLevel="0" collapsed="false">
      <c r="A81" s="10" t="str">
        <f aca="false">IF(D81="","","MH-"&amp;IFERROR(VLOOKUP(D81,Lists!$AB$4:$AC$20,2,0),"??")&amp;"-"&amp;TEXT(G81,"0000")&amp;IF(F81="Circular","D","x"&amp;TEXT(H81,"0000"))&amp;"-D"&amp;TEXT(J81*1000,"0000")&amp;"-"&amp;IFERROR(VLOOKUP(E81,Lists!$AE$4:$AF$16,2,0),"??")&amp;"-"&amp;AM81)</f>
        <v/>
      </c>
      <c r="B81" s="10" t="str">
        <f aca="false">IF(D81="","",D81&amp;", "&amp;E81&amp;", "&amp;IF(F81="Circular",G81&amp;" dia",G81&amp;" x "&amp;H81)&amp;", depth "&amp;TEXT(I81,"0.0")&amp;"-"&amp;TEXT(J81,"0.0")&amp;" m, pipe up to "&amp;K81&amp;" dia")</f>
        <v/>
      </c>
      <c r="C81" s="9"/>
      <c r="D81" s="9"/>
      <c r="E81" s="9"/>
      <c r="F81" s="9"/>
      <c r="G81" s="38"/>
      <c r="H81" s="38"/>
      <c r="I81" s="42"/>
      <c r="J81" s="42"/>
      <c r="K81" s="38"/>
      <c r="L81" s="38"/>
      <c r="M81" s="38"/>
      <c r="N81" s="38"/>
      <c r="O81" s="9"/>
      <c r="P81" s="9"/>
      <c r="Q81" s="9"/>
      <c r="R81" s="9"/>
      <c r="S81" s="9"/>
      <c r="T81" s="9"/>
      <c r="U81" s="9"/>
      <c r="V81" s="42"/>
      <c r="W81" s="9"/>
      <c r="X81" s="9"/>
      <c r="Y81" s="39"/>
      <c r="Z81" s="9"/>
      <c r="AA81" s="38"/>
      <c r="AB81" s="9"/>
      <c r="AC81" s="9"/>
      <c r="AD81" s="9"/>
      <c r="AE81" s="9"/>
      <c r="AF81" s="9"/>
      <c r="AG81" s="9"/>
      <c r="AH81" s="38"/>
      <c r="AI81" s="9"/>
      <c r="AJ81" s="39"/>
      <c r="AK81" s="9"/>
      <c r="AL81" s="9"/>
      <c r="AM81" s="9"/>
      <c r="AN81" s="9"/>
      <c r="AO81" s="9"/>
      <c r="AP81" s="9"/>
      <c r="AQ81" s="9"/>
      <c r="AR81" s="10" t="str">
        <f aca="false">IF(A81="","",SG_Criteria!$B$6&amp;SG_Criteria!$B$10&amp;"\"&amp;A81&amp;"\")</f>
        <v/>
      </c>
      <c r="AS81" s="10" t="str">
        <f aca="false">IF(A81="","",A81&amp;"_CAD.dwg")</f>
        <v/>
      </c>
      <c r="AT81" s="10" t="str">
        <f aca="false">IF(A81="","",A81&amp;"_DWG.pdf")</f>
        <v/>
      </c>
      <c r="AU81" s="10" t="str">
        <f aca="false">IF(A81="","",IF(AQ81="Y",A81&amp;"_STAAD.std","n/a"))</f>
        <v/>
      </c>
      <c r="AV81" s="10" t="str">
        <f aca="false">IF(A81="","",A81&amp;"_CALC.xlsx")</f>
        <v/>
      </c>
      <c r="AW81" s="10" t="str">
        <f aca="false">IF(A81="","",A81&amp;"_CALC.pdf")</f>
        <v/>
      </c>
      <c r="AX81" s="9"/>
      <c r="AY81" s="9"/>
      <c r="AZ81" s="39"/>
      <c r="BA81" s="39"/>
      <c r="BB81" s="39"/>
      <c r="BC81" s="39"/>
      <c r="BD81" s="39"/>
      <c r="BE81" s="12" t="str">
        <f aca="false">IF(A81="","",IF(COUNTIF(Rebar_Schedule!$A$5:$A$2004,A81)=0,"",ROUND(SUMIF(Rebar_Schedule!$A$5:$A$2004,A81,Rebar_Schedule!$K$5:$K$2004),1)))</f>
        <v/>
      </c>
      <c r="BF81" s="33" t="str">
        <f aca="false">IF(A81="","",IF(BE81="","No rebar schedule yet",IF(ABS(BE81-N(BA81))/MAX(N(BA81),1)&gt;SG_Criteria!$B$55,"NOTE: register rebar differs from schedule by "&amp;TEXT(ABS(BE81-N(BA81))/MAX(N(BA81),1),"0%"),"OK")))</f>
        <v/>
      </c>
      <c r="BG81" s="33" t="str">
        <f aca="false">IF(D81="","",IF(LEN(IF(AND(Z81&lt;&gt;"",IFERROR(VALUE(MID(Z81,2,2)),0)&lt;SG_Criteria!$B$19),"FAIL: grade below C"&amp;SG_Criteria!$B$19&amp;". ","")&amp;IF(AND(AA81&lt;&gt;"",AA81&lt;SG_Criteria!$B$20),"FAIL: cover &lt; "&amp;SG_Criteria!$B$20&amp;" mm. ","")&amp;IF(AND(I81&lt;&gt;"",I81&lt;SG_Criteria!$B$39),"NOTE: min depth below PUB "&amp;SG_Criteria!$B$39&amp;" m. ","")&amp;IF(AND(LEFT(D81,8)="Standard",J81&gt;SG_Criteria!$B$42),"FAIL: PUB 001C covers manholes up to "&amp;SG_Criteria!$B$42&amp;" m deep only. ","")&amp;IF(AND(LEFT(D81,11)="Rectangular",K81&lt;SG_Criteria!$B$43),"NOTE: 004C is for sewers &gt;= "&amp;SG_Criteria!$B$43&amp;" dia. ","")&amp;IF(AND(LEFT(D81,7)="Precast",J81&lt;=SG_Criteria!$B$42),"NOTE: 006C is for manholes &gt; "&amp;SG_Criteria!$B$42&amp;" m deep. ","")&amp;IF(AND(K81&lt;&gt;"",K81&lt;SG_Criteria!$B$40,D81&lt;&gt;"Inspection Chamber"),"NOTE: public sewer min dia "&amp;SG_Criteria!$B$40&amp;" mm. ","")&amp;IF(AND(Y81&lt;&gt;"",Y81&lt;SG_Criteria!$B$44),"FAIL: uplift FOS below "&amp;SG_Criteria!$B$44&amp;". ",""))=0,"OK",IF(AND(Z81&lt;&gt;"",IFERROR(VALUE(MID(Z81,2,2)),0)&lt;SG_Criteria!$B$19),"FAIL: grade below C"&amp;SG_Criteria!$B$19&amp;". ","")&amp;IF(AND(AA81&lt;&gt;"",AA81&lt;SG_Criteria!$B$20),"FAIL: cover &lt; "&amp;SG_Criteria!$B$20&amp;" mm. ","")&amp;IF(AND(I81&lt;&gt;"",I81&lt;SG_Criteria!$B$39),"NOTE: min depth below PUB "&amp;SG_Criteria!$B$39&amp;" m. ","")&amp;IF(AND(LEFT(D81,8)="Standard",J81&gt;SG_Criteria!$B$42),"FAIL: PUB 001C covers manholes up to "&amp;SG_Criteria!$B$42&amp;" m deep only. ","")&amp;IF(AND(LEFT(D81,11)="Rectangular",K81&lt;SG_Criteria!$B$43),"NOTE: 004C is for sewers &gt;= "&amp;SG_Criteria!$B$43&amp;" dia. ","")&amp;IF(AND(LEFT(D81,7)="Precast",J81&lt;=SG_Criteria!$B$42),"NOTE: 006C is for manholes &gt; "&amp;SG_Criteria!$B$42&amp;" m deep. ","")&amp;IF(AND(K81&lt;&gt;"",K81&lt;SG_Criteria!$B$40,D81&lt;&gt;"Inspection Chamber"),"NOTE: public sewer min dia "&amp;SG_Criteria!$B$40&amp;" mm. ","")&amp;IF(AND(Y81&lt;&gt;"",Y81&lt;SG_Criteria!$B$44),"FAIL: uplift FOS below "&amp;SG_Criteria!$B$44&amp;". ","")))</f>
        <v/>
      </c>
      <c r="BH81" s="9"/>
      <c r="BI81" s="9"/>
      <c r="BJ81" s="9"/>
      <c r="BK81" s="10" t="str">
        <f aca="false">IF(BJ81="","",IFERROR(VLOOKUP(BJ81,Projects!$A$5:$D$504,2,0),"Ref not in Projects"))</f>
        <v/>
      </c>
      <c r="BL81" s="10" t="str">
        <f aca="false">IF(BJ81="","",IFERROR(VLOOKUP(BJ81,Projects!$A$5:$D$504,4,0),"Ref not in Projects"))</f>
        <v/>
      </c>
      <c r="BM81" s="9"/>
      <c r="BN81" s="9"/>
      <c r="BO81" s="9"/>
      <c r="BP81" s="40"/>
      <c r="BQ81" s="9"/>
      <c r="BR81" s="40"/>
      <c r="BS81" s="9"/>
      <c r="BT81" s="40"/>
      <c r="BU81" s="9"/>
      <c r="BV81" s="9"/>
      <c r="BW81" s="9"/>
      <c r="BX81" s="40"/>
      <c r="BY81" s="40"/>
      <c r="BZ81" s="36" t="str">
        <f aca="false">IF(BY81="","",EDATE(BY81,SG_Criteria!$B$54*12))</f>
        <v/>
      </c>
      <c r="CA81" s="33" t="str">
        <f aca="true">IF(A81="","",IF(BY81="","NOTE: not reviewed yet",IF(TODAY()&gt;BZ81,"NOTE: review overdue","OK")))</f>
        <v/>
      </c>
      <c r="CB81" s="37" t="str">
        <f aca="false">IF(A81="","",ROUND((IF(LEN(D81)&gt;0,1,0)+IF(LEN(E81)&gt;0,1,0)+IF(LEN(F81)&gt;0,1,0)+IF(LEN(G81)&gt;0,1,0)+IF(LEN(I81)&gt;0,1,0)+IF(LEN(J81)&gt;0,1,0)+IF(LEN(K81)&gt;0,1,0)+IF(LEN(L81)&gt;0,1,0)+IF(LEN(M81)&gt;0,1,0)+IF(LEN(N81)&gt;0,1,0)+IF(LEN(Z81)&gt;0,1,0)+IF(LEN(AA81)&gt;0,1,0)+IF(LEN(Y81)&gt;0,1,0)+IF(LEN(AE81)&gt;0,1,0)+IF(LEN(AG81)&gt;0,1,0)+IF(LEN(AZ81)&gt;0,1,0)+IF(LEN(AK81)&gt;0,1,0)+IF(LEN(AM81)&gt;0,1,0)+IF(LEN(AN81)&gt;0,1,0)+IF(LEN(AO81)&gt;0,1,0)+IF(LEN(AP81)&gt;0,1,0)+IF(LEN(AY81)&gt;0,1,0)+IF(LEN(BJ81)&gt;0,1,0)+IF(LEN(BW81)&gt;0,1,0))/24,2))</f>
        <v/>
      </c>
      <c r="CC81" s="10" t="str">
        <f aca="false">IF(D81="","",IF(AND(AN81="Approved",ISERROR(SEARCH("FAIL",BG81))),"Y","N"))</f>
        <v/>
      </c>
      <c r="CD81" s="10" t="str">
        <f aca="false">IF(D81="","",D81&amp;"|"&amp;J81&amp;"|"&amp;G81&amp;"|"&amp;CC81)</f>
        <v/>
      </c>
    </row>
    <row r="82" customFormat="false" ht="15" hidden="false" customHeight="false" outlineLevel="0" collapsed="false">
      <c r="A82" s="10" t="str">
        <f aca="false">IF(D82="","","MH-"&amp;IFERROR(VLOOKUP(D82,Lists!$AB$4:$AC$20,2,0),"??")&amp;"-"&amp;TEXT(G82,"0000")&amp;IF(F82="Circular","D","x"&amp;TEXT(H82,"0000"))&amp;"-D"&amp;TEXT(J82*1000,"0000")&amp;"-"&amp;IFERROR(VLOOKUP(E82,Lists!$AE$4:$AF$16,2,0),"??")&amp;"-"&amp;AM82)</f>
        <v/>
      </c>
      <c r="B82" s="10" t="str">
        <f aca="false">IF(D82="","",D82&amp;", "&amp;E82&amp;", "&amp;IF(F82="Circular",G82&amp;" dia",G82&amp;" x "&amp;H82)&amp;", depth "&amp;TEXT(I82,"0.0")&amp;"-"&amp;TEXT(J82,"0.0")&amp;" m, pipe up to "&amp;K82&amp;" dia")</f>
        <v/>
      </c>
      <c r="C82" s="9"/>
      <c r="D82" s="9"/>
      <c r="E82" s="9"/>
      <c r="F82" s="9"/>
      <c r="G82" s="38"/>
      <c r="H82" s="38"/>
      <c r="I82" s="42"/>
      <c r="J82" s="42"/>
      <c r="K82" s="38"/>
      <c r="L82" s="38"/>
      <c r="M82" s="38"/>
      <c r="N82" s="38"/>
      <c r="O82" s="9"/>
      <c r="P82" s="9"/>
      <c r="Q82" s="9"/>
      <c r="R82" s="9"/>
      <c r="S82" s="9"/>
      <c r="T82" s="9"/>
      <c r="U82" s="9"/>
      <c r="V82" s="42"/>
      <c r="W82" s="9"/>
      <c r="X82" s="9"/>
      <c r="Y82" s="39"/>
      <c r="Z82" s="9"/>
      <c r="AA82" s="38"/>
      <c r="AB82" s="9"/>
      <c r="AC82" s="9"/>
      <c r="AD82" s="9"/>
      <c r="AE82" s="9"/>
      <c r="AF82" s="9"/>
      <c r="AG82" s="9"/>
      <c r="AH82" s="38"/>
      <c r="AI82" s="9"/>
      <c r="AJ82" s="39"/>
      <c r="AK82" s="9"/>
      <c r="AL82" s="9"/>
      <c r="AM82" s="9"/>
      <c r="AN82" s="9"/>
      <c r="AO82" s="9"/>
      <c r="AP82" s="9"/>
      <c r="AQ82" s="9"/>
      <c r="AR82" s="10" t="str">
        <f aca="false">IF(A82="","",SG_Criteria!$B$6&amp;SG_Criteria!$B$10&amp;"\"&amp;A82&amp;"\")</f>
        <v/>
      </c>
      <c r="AS82" s="10" t="str">
        <f aca="false">IF(A82="","",A82&amp;"_CAD.dwg")</f>
        <v/>
      </c>
      <c r="AT82" s="10" t="str">
        <f aca="false">IF(A82="","",A82&amp;"_DWG.pdf")</f>
        <v/>
      </c>
      <c r="AU82" s="10" t="str">
        <f aca="false">IF(A82="","",IF(AQ82="Y",A82&amp;"_STAAD.std","n/a"))</f>
        <v/>
      </c>
      <c r="AV82" s="10" t="str">
        <f aca="false">IF(A82="","",A82&amp;"_CALC.xlsx")</f>
        <v/>
      </c>
      <c r="AW82" s="10" t="str">
        <f aca="false">IF(A82="","",A82&amp;"_CALC.pdf")</f>
        <v/>
      </c>
      <c r="AX82" s="9"/>
      <c r="AY82" s="9"/>
      <c r="AZ82" s="39"/>
      <c r="BA82" s="39"/>
      <c r="BB82" s="39"/>
      <c r="BC82" s="39"/>
      <c r="BD82" s="39"/>
      <c r="BE82" s="12" t="str">
        <f aca="false">IF(A82="","",IF(COUNTIF(Rebar_Schedule!$A$5:$A$2004,A82)=0,"",ROUND(SUMIF(Rebar_Schedule!$A$5:$A$2004,A82,Rebar_Schedule!$K$5:$K$2004),1)))</f>
        <v/>
      </c>
      <c r="BF82" s="33" t="str">
        <f aca="false">IF(A82="","",IF(BE82="","No rebar schedule yet",IF(ABS(BE82-N(BA82))/MAX(N(BA82),1)&gt;SG_Criteria!$B$55,"NOTE: register rebar differs from schedule by "&amp;TEXT(ABS(BE82-N(BA82))/MAX(N(BA82),1),"0%"),"OK")))</f>
        <v/>
      </c>
      <c r="BG82" s="33" t="str">
        <f aca="false">IF(D82="","",IF(LEN(IF(AND(Z82&lt;&gt;"",IFERROR(VALUE(MID(Z82,2,2)),0)&lt;SG_Criteria!$B$19),"FAIL: grade below C"&amp;SG_Criteria!$B$19&amp;". ","")&amp;IF(AND(AA82&lt;&gt;"",AA82&lt;SG_Criteria!$B$20),"FAIL: cover &lt; "&amp;SG_Criteria!$B$20&amp;" mm. ","")&amp;IF(AND(I82&lt;&gt;"",I82&lt;SG_Criteria!$B$39),"NOTE: min depth below PUB "&amp;SG_Criteria!$B$39&amp;" m. ","")&amp;IF(AND(LEFT(D82,8)="Standard",J82&gt;SG_Criteria!$B$42),"FAIL: PUB 001C covers manholes up to "&amp;SG_Criteria!$B$42&amp;" m deep only. ","")&amp;IF(AND(LEFT(D82,11)="Rectangular",K82&lt;SG_Criteria!$B$43),"NOTE: 004C is for sewers &gt;= "&amp;SG_Criteria!$B$43&amp;" dia. ","")&amp;IF(AND(LEFT(D82,7)="Precast",J82&lt;=SG_Criteria!$B$42),"NOTE: 006C is for manholes &gt; "&amp;SG_Criteria!$B$42&amp;" m deep. ","")&amp;IF(AND(K82&lt;&gt;"",K82&lt;SG_Criteria!$B$40,D82&lt;&gt;"Inspection Chamber"),"NOTE: public sewer min dia "&amp;SG_Criteria!$B$40&amp;" mm. ","")&amp;IF(AND(Y82&lt;&gt;"",Y82&lt;SG_Criteria!$B$44),"FAIL: uplift FOS below "&amp;SG_Criteria!$B$44&amp;". ",""))=0,"OK",IF(AND(Z82&lt;&gt;"",IFERROR(VALUE(MID(Z82,2,2)),0)&lt;SG_Criteria!$B$19),"FAIL: grade below C"&amp;SG_Criteria!$B$19&amp;". ","")&amp;IF(AND(AA82&lt;&gt;"",AA82&lt;SG_Criteria!$B$20),"FAIL: cover &lt; "&amp;SG_Criteria!$B$20&amp;" mm. ","")&amp;IF(AND(I82&lt;&gt;"",I82&lt;SG_Criteria!$B$39),"NOTE: min depth below PUB "&amp;SG_Criteria!$B$39&amp;" m. ","")&amp;IF(AND(LEFT(D82,8)="Standard",J82&gt;SG_Criteria!$B$42),"FAIL: PUB 001C covers manholes up to "&amp;SG_Criteria!$B$42&amp;" m deep only. ","")&amp;IF(AND(LEFT(D82,11)="Rectangular",K82&lt;SG_Criteria!$B$43),"NOTE: 004C is for sewers &gt;= "&amp;SG_Criteria!$B$43&amp;" dia. ","")&amp;IF(AND(LEFT(D82,7)="Precast",J82&lt;=SG_Criteria!$B$42),"NOTE: 006C is for manholes &gt; "&amp;SG_Criteria!$B$42&amp;" m deep. ","")&amp;IF(AND(K82&lt;&gt;"",K82&lt;SG_Criteria!$B$40,D82&lt;&gt;"Inspection Chamber"),"NOTE: public sewer min dia "&amp;SG_Criteria!$B$40&amp;" mm. ","")&amp;IF(AND(Y82&lt;&gt;"",Y82&lt;SG_Criteria!$B$44),"FAIL: uplift FOS below "&amp;SG_Criteria!$B$44&amp;". ","")))</f>
        <v/>
      </c>
      <c r="BH82" s="9"/>
      <c r="BI82" s="9"/>
      <c r="BJ82" s="9"/>
      <c r="BK82" s="10" t="str">
        <f aca="false">IF(BJ82="","",IFERROR(VLOOKUP(BJ82,Projects!$A$5:$D$504,2,0),"Ref not in Projects"))</f>
        <v/>
      </c>
      <c r="BL82" s="10" t="str">
        <f aca="false">IF(BJ82="","",IFERROR(VLOOKUP(BJ82,Projects!$A$5:$D$504,4,0),"Ref not in Projects"))</f>
        <v/>
      </c>
      <c r="BM82" s="9"/>
      <c r="BN82" s="9"/>
      <c r="BO82" s="9"/>
      <c r="BP82" s="40"/>
      <c r="BQ82" s="9"/>
      <c r="BR82" s="40"/>
      <c r="BS82" s="9"/>
      <c r="BT82" s="40"/>
      <c r="BU82" s="9"/>
      <c r="BV82" s="9"/>
      <c r="BW82" s="9"/>
      <c r="BX82" s="40"/>
      <c r="BY82" s="40"/>
      <c r="BZ82" s="36" t="str">
        <f aca="false">IF(BY82="","",EDATE(BY82,SG_Criteria!$B$54*12))</f>
        <v/>
      </c>
      <c r="CA82" s="33" t="str">
        <f aca="true">IF(A82="","",IF(BY82="","NOTE: not reviewed yet",IF(TODAY()&gt;BZ82,"NOTE: review overdue","OK")))</f>
        <v/>
      </c>
      <c r="CB82" s="37" t="str">
        <f aca="false">IF(A82="","",ROUND((IF(LEN(D82)&gt;0,1,0)+IF(LEN(E82)&gt;0,1,0)+IF(LEN(F82)&gt;0,1,0)+IF(LEN(G82)&gt;0,1,0)+IF(LEN(I82)&gt;0,1,0)+IF(LEN(J82)&gt;0,1,0)+IF(LEN(K82)&gt;0,1,0)+IF(LEN(L82)&gt;0,1,0)+IF(LEN(M82)&gt;0,1,0)+IF(LEN(N82)&gt;0,1,0)+IF(LEN(Z82)&gt;0,1,0)+IF(LEN(AA82)&gt;0,1,0)+IF(LEN(Y82)&gt;0,1,0)+IF(LEN(AE82)&gt;0,1,0)+IF(LEN(AG82)&gt;0,1,0)+IF(LEN(AZ82)&gt;0,1,0)+IF(LEN(AK82)&gt;0,1,0)+IF(LEN(AM82)&gt;0,1,0)+IF(LEN(AN82)&gt;0,1,0)+IF(LEN(AO82)&gt;0,1,0)+IF(LEN(AP82)&gt;0,1,0)+IF(LEN(AY82)&gt;0,1,0)+IF(LEN(BJ82)&gt;0,1,0)+IF(LEN(BW82)&gt;0,1,0))/24,2))</f>
        <v/>
      </c>
      <c r="CC82" s="10" t="str">
        <f aca="false">IF(D82="","",IF(AND(AN82="Approved",ISERROR(SEARCH("FAIL",BG82))),"Y","N"))</f>
        <v/>
      </c>
      <c r="CD82" s="10" t="str">
        <f aca="false">IF(D82="","",D82&amp;"|"&amp;J82&amp;"|"&amp;G82&amp;"|"&amp;CC82)</f>
        <v/>
      </c>
    </row>
    <row r="83" customFormat="false" ht="15" hidden="false" customHeight="false" outlineLevel="0" collapsed="false">
      <c r="A83" s="10" t="str">
        <f aca="false">IF(D83="","","MH-"&amp;IFERROR(VLOOKUP(D83,Lists!$AB$4:$AC$20,2,0),"??")&amp;"-"&amp;TEXT(G83,"0000")&amp;IF(F83="Circular","D","x"&amp;TEXT(H83,"0000"))&amp;"-D"&amp;TEXT(J83*1000,"0000")&amp;"-"&amp;IFERROR(VLOOKUP(E83,Lists!$AE$4:$AF$16,2,0),"??")&amp;"-"&amp;AM83)</f>
        <v/>
      </c>
      <c r="B83" s="10" t="str">
        <f aca="false">IF(D83="","",D83&amp;", "&amp;E83&amp;", "&amp;IF(F83="Circular",G83&amp;" dia",G83&amp;" x "&amp;H83)&amp;", depth "&amp;TEXT(I83,"0.0")&amp;"-"&amp;TEXT(J83,"0.0")&amp;" m, pipe up to "&amp;K83&amp;" dia")</f>
        <v/>
      </c>
      <c r="C83" s="9"/>
      <c r="D83" s="9"/>
      <c r="E83" s="9"/>
      <c r="F83" s="9"/>
      <c r="G83" s="38"/>
      <c r="H83" s="38"/>
      <c r="I83" s="42"/>
      <c r="J83" s="42"/>
      <c r="K83" s="38"/>
      <c r="L83" s="38"/>
      <c r="M83" s="38"/>
      <c r="N83" s="38"/>
      <c r="O83" s="9"/>
      <c r="P83" s="9"/>
      <c r="Q83" s="9"/>
      <c r="R83" s="9"/>
      <c r="S83" s="9"/>
      <c r="T83" s="9"/>
      <c r="U83" s="9"/>
      <c r="V83" s="42"/>
      <c r="W83" s="9"/>
      <c r="X83" s="9"/>
      <c r="Y83" s="39"/>
      <c r="Z83" s="9"/>
      <c r="AA83" s="38"/>
      <c r="AB83" s="9"/>
      <c r="AC83" s="9"/>
      <c r="AD83" s="9"/>
      <c r="AE83" s="9"/>
      <c r="AF83" s="9"/>
      <c r="AG83" s="9"/>
      <c r="AH83" s="38"/>
      <c r="AI83" s="9"/>
      <c r="AJ83" s="39"/>
      <c r="AK83" s="9"/>
      <c r="AL83" s="9"/>
      <c r="AM83" s="9"/>
      <c r="AN83" s="9"/>
      <c r="AO83" s="9"/>
      <c r="AP83" s="9"/>
      <c r="AQ83" s="9"/>
      <c r="AR83" s="10" t="str">
        <f aca="false">IF(A83="","",SG_Criteria!$B$6&amp;SG_Criteria!$B$10&amp;"\"&amp;A83&amp;"\")</f>
        <v/>
      </c>
      <c r="AS83" s="10" t="str">
        <f aca="false">IF(A83="","",A83&amp;"_CAD.dwg")</f>
        <v/>
      </c>
      <c r="AT83" s="10" t="str">
        <f aca="false">IF(A83="","",A83&amp;"_DWG.pdf")</f>
        <v/>
      </c>
      <c r="AU83" s="10" t="str">
        <f aca="false">IF(A83="","",IF(AQ83="Y",A83&amp;"_STAAD.std","n/a"))</f>
        <v/>
      </c>
      <c r="AV83" s="10" t="str">
        <f aca="false">IF(A83="","",A83&amp;"_CALC.xlsx")</f>
        <v/>
      </c>
      <c r="AW83" s="10" t="str">
        <f aca="false">IF(A83="","",A83&amp;"_CALC.pdf")</f>
        <v/>
      </c>
      <c r="AX83" s="9"/>
      <c r="AY83" s="9"/>
      <c r="AZ83" s="39"/>
      <c r="BA83" s="39"/>
      <c r="BB83" s="39"/>
      <c r="BC83" s="39"/>
      <c r="BD83" s="39"/>
      <c r="BE83" s="12" t="str">
        <f aca="false">IF(A83="","",IF(COUNTIF(Rebar_Schedule!$A$5:$A$2004,A83)=0,"",ROUND(SUMIF(Rebar_Schedule!$A$5:$A$2004,A83,Rebar_Schedule!$K$5:$K$2004),1)))</f>
        <v/>
      </c>
      <c r="BF83" s="33" t="str">
        <f aca="false">IF(A83="","",IF(BE83="","No rebar schedule yet",IF(ABS(BE83-N(BA83))/MAX(N(BA83),1)&gt;SG_Criteria!$B$55,"NOTE: register rebar differs from schedule by "&amp;TEXT(ABS(BE83-N(BA83))/MAX(N(BA83),1),"0%"),"OK")))</f>
        <v/>
      </c>
      <c r="BG83" s="33" t="str">
        <f aca="false">IF(D83="","",IF(LEN(IF(AND(Z83&lt;&gt;"",IFERROR(VALUE(MID(Z83,2,2)),0)&lt;SG_Criteria!$B$19),"FAIL: grade below C"&amp;SG_Criteria!$B$19&amp;". ","")&amp;IF(AND(AA83&lt;&gt;"",AA83&lt;SG_Criteria!$B$20),"FAIL: cover &lt; "&amp;SG_Criteria!$B$20&amp;" mm. ","")&amp;IF(AND(I83&lt;&gt;"",I83&lt;SG_Criteria!$B$39),"NOTE: min depth below PUB "&amp;SG_Criteria!$B$39&amp;" m. ","")&amp;IF(AND(LEFT(D83,8)="Standard",J83&gt;SG_Criteria!$B$42),"FAIL: PUB 001C covers manholes up to "&amp;SG_Criteria!$B$42&amp;" m deep only. ","")&amp;IF(AND(LEFT(D83,11)="Rectangular",K83&lt;SG_Criteria!$B$43),"NOTE: 004C is for sewers &gt;= "&amp;SG_Criteria!$B$43&amp;" dia. ","")&amp;IF(AND(LEFT(D83,7)="Precast",J83&lt;=SG_Criteria!$B$42),"NOTE: 006C is for manholes &gt; "&amp;SG_Criteria!$B$42&amp;" m deep. ","")&amp;IF(AND(K83&lt;&gt;"",K83&lt;SG_Criteria!$B$40,D83&lt;&gt;"Inspection Chamber"),"NOTE: public sewer min dia "&amp;SG_Criteria!$B$40&amp;" mm. ","")&amp;IF(AND(Y83&lt;&gt;"",Y83&lt;SG_Criteria!$B$44),"FAIL: uplift FOS below "&amp;SG_Criteria!$B$44&amp;". ",""))=0,"OK",IF(AND(Z83&lt;&gt;"",IFERROR(VALUE(MID(Z83,2,2)),0)&lt;SG_Criteria!$B$19),"FAIL: grade below C"&amp;SG_Criteria!$B$19&amp;". ","")&amp;IF(AND(AA83&lt;&gt;"",AA83&lt;SG_Criteria!$B$20),"FAIL: cover &lt; "&amp;SG_Criteria!$B$20&amp;" mm. ","")&amp;IF(AND(I83&lt;&gt;"",I83&lt;SG_Criteria!$B$39),"NOTE: min depth below PUB "&amp;SG_Criteria!$B$39&amp;" m. ","")&amp;IF(AND(LEFT(D83,8)="Standard",J83&gt;SG_Criteria!$B$42),"FAIL: PUB 001C covers manholes up to "&amp;SG_Criteria!$B$42&amp;" m deep only. ","")&amp;IF(AND(LEFT(D83,11)="Rectangular",K83&lt;SG_Criteria!$B$43),"NOTE: 004C is for sewers &gt;= "&amp;SG_Criteria!$B$43&amp;" dia. ","")&amp;IF(AND(LEFT(D83,7)="Precast",J83&lt;=SG_Criteria!$B$42),"NOTE: 006C is for manholes &gt; "&amp;SG_Criteria!$B$42&amp;" m deep. ","")&amp;IF(AND(K83&lt;&gt;"",K83&lt;SG_Criteria!$B$40,D83&lt;&gt;"Inspection Chamber"),"NOTE: public sewer min dia "&amp;SG_Criteria!$B$40&amp;" mm. ","")&amp;IF(AND(Y83&lt;&gt;"",Y83&lt;SG_Criteria!$B$44),"FAIL: uplift FOS below "&amp;SG_Criteria!$B$44&amp;". ","")))</f>
        <v/>
      </c>
      <c r="BH83" s="9"/>
      <c r="BI83" s="9"/>
      <c r="BJ83" s="9"/>
      <c r="BK83" s="10" t="str">
        <f aca="false">IF(BJ83="","",IFERROR(VLOOKUP(BJ83,Projects!$A$5:$D$504,2,0),"Ref not in Projects"))</f>
        <v/>
      </c>
      <c r="BL83" s="10" t="str">
        <f aca="false">IF(BJ83="","",IFERROR(VLOOKUP(BJ83,Projects!$A$5:$D$504,4,0),"Ref not in Projects"))</f>
        <v/>
      </c>
      <c r="BM83" s="9"/>
      <c r="BN83" s="9"/>
      <c r="BO83" s="9"/>
      <c r="BP83" s="40"/>
      <c r="BQ83" s="9"/>
      <c r="BR83" s="40"/>
      <c r="BS83" s="9"/>
      <c r="BT83" s="40"/>
      <c r="BU83" s="9"/>
      <c r="BV83" s="9"/>
      <c r="BW83" s="9"/>
      <c r="BX83" s="40"/>
      <c r="BY83" s="40"/>
      <c r="BZ83" s="36" t="str">
        <f aca="false">IF(BY83="","",EDATE(BY83,SG_Criteria!$B$54*12))</f>
        <v/>
      </c>
      <c r="CA83" s="33" t="str">
        <f aca="true">IF(A83="","",IF(BY83="","NOTE: not reviewed yet",IF(TODAY()&gt;BZ83,"NOTE: review overdue","OK")))</f>
        <v/>
      </c>
      <c r="CB83" s="37" t="str">
        <f aca="false">IF(A83="","",ROUND((IF(LEN(D83)&gt;0,1,0)+IF(LEN(E83)&gt;0,1,0)+IF(LEN(F83)&gt;0,1,0)+IF(LEN(G83)&gt;0,1,0)+IF(LEN(I83)&gt;0,1,0)+IF(LEN(J83)&gt;0,1,0)+IF(LEN(K83)&gt;0,1,0)+IF(LEN(L83)&gt;0,1,0)+IF(LEN(M83)&gt;0,1,0)+IF(LEN(N83)&gt;0,1,0)+IF(LEN(Z83)&gt;0,1,0)+IF(LEN(AA83)&gt;0,1,0)+IF(LEN(Y83)&gt;0,1,0)+IF(LEN(AE83)&gt;0,1,0)+IF(LEN(AG83)&gt;0,1,0)+IF(LEN(AZ83)&gt;0,1,0)+IF(LEN(AK83)&gt;0,1,0)+IF(LEN(AM83)&gt;0,1,0)+IF(LEN(AN83)&gt;0,1,0)+IF(LEN(AO83)&gt;0,1,0)+IF(LEN(AP83)&gt;0,1,0)+IF(LEN(AY83)&gt;0,1,0)+IF(LEN(BJ83)&gt;0,1,0)+IF(LEN(BW83)&gt;0,1,0))/24,2))</f>
        <v/>
      </c>
      <c r="CC83" s="10" t="str">
        <f aca="false">IF(D83="","",IF(AND(AN83="Approved",ISERROR(SEARCH("FAIL",BG83))),"Y","N"))</f>
        <v/>
      </c>
      <c r="CD83" s="10" t="str">
        <f aca="false">IF(D83="","",D83&amp;"|"&amp;J83&amp;"|"&amp;G83&amp;"|"&amp;CC83)</f>
        <v/>
      </c>
    </row>
    <row r="84" customFormat="false" ht="15" hidden="false" customHeight="false" outlineLevel="0" collapsed="false">
      <c r="A84" s="10" t="str">
        <f aca="false">IF(D84="","","MH-"&amp;IFERROR(VLOOKUP(D84,Lists!$AB$4:$AC$20,2,0),"??")&amp;"-"&amp;TEXT(G84,"0000")&amp;IF(F84="Circular","D","x"&amp;TEXT(H84,"0000"))&amp;"-D"&amp;TEXT(J84*1000,"0000")&amp;"-"&amp;IFERROR(VLOOKUP(E84,Lists!$AE$4:$AF$16,2,0),"??")&amp;"-"&amp;AM84)</f>
        <v/>
      </c>
      <c r="B84" s="10" t="str">
        <f aca="false">IF(D84="","",D84&amp;", "&amp;E84&amp;", "&amp;IF(F84="Circular",G84&amp;" dia",G84&amp;" x "&amp;H84)&amp;", depth "&amp;TEXT(I84,"0.0")&amp;"-"&amp;TEXT(J84,"0.0")&amp;" m, pipe up to "&amp;K84&amp;" dia")</f>
        <v/>
      </c>
      <c r="C84" s="9"/>
      <c r="D84" s="9"/>
      <c r="E84" s="9"/>
      <c r="F84" s="9"/>
      <c r="G84" s="38"/>
      <c r="H84" s="38"/>
      <c r="I84" s="42"/>
      <c r="J84" s="42"/>
      <c r="K84" s="38"/>
      <c r="L84" s="38"/>
      <c r="M84" s="38"/>
      <c r="N84" s="38"/>
      <c r="O84" s="9"/>
      <c r="P84" s="9"/>
      <c r="Q84" s="9"/>
      <c r="R84" s="9"/>
      <c r="S84" s="9"/>
      <c r="T84" s="9"/>
      <c r="U84" s="9"/>
      <c r="V84" s="42"/>
      <c r="W84" s="9"/>
      <c r="X84" s="9"/>
      <c r="Y84" s="39"/>
      <c r="Z84" s="9"/>
      <c r="AA84" s="38"/>
      <c r="AB84" s="9"/>
      <c r="AC84" s="9"/>
      <c r="AD84" s="9"/>
      <c r="AE84" s="9"/>
      <c r="AF84" s="9"/>
      <c r="AG84" s="9"/>
      <c r="AH84" s="38"/>
      <c r="AI84" s="9"/>
      <c r="AJ84" s="39"/>
      <c r="AK84" s="9"/>
      <c r="AL84" s="9"/>
      <c r="AM84" s="9"/>
      <c r="AN84" s="9"/>
      <c r="AO84" s="9"/>
      <c r="AP84" s="9"/>
      <c r="AQ84" s="9"/>
      <c r="AR84" s="10" t="str">
        <f aca="false">IF(A84="","",SG_Criteria!$B$6&amp;SG_Criteria!$B$10&amp;"\"&amp;A84&amp;"\")</f>
        <v/>
      </c>
      <c r="AS84" s="10" t="str">
        <f aca="false">IF(A84="","",A84&amp;"_CAD.dwg")</f>
        <v/>
      </c>
      <c r="AT84" s="10" t="str">
        <f aca="false">IF(A84="","",A84&amp;"_DWG.pdf")</f>
        <v/>
      </c>
      <c r="AU84" s="10" t="str">
        <f aca="false">IF(A84="","",IF(AQ84="Y",A84&amp;"_STAAD.std","n/a"))</f>
        <v/>
      </c>
      <c r="AV84" s="10" t="str">
        <f aca="false">IF(A84="","",A84&amp;"_CALC.xlsx")</f>
        <v/>
      </c>
      <c r="AW84" s="10" t="str">
        <f aca="false">IF(A84="","",A84&amp;"_CALC.pdf")</f>
        <v/>
      </c>
      <c r="AX84" s="9"/>
      <c r="AY84" s="9"/>
      <c r="AZ84" s="39"/>
      <c r="BA84" s="39"/>
      <c r="BB84" s="39"/>
      <c r="BC84" s="39"/>
      <c r="BD84" s="39"/>
      <c r="BE84" s="12" t="str">
        <f aca="false">IF(A84="","",IF(COUNTIF(Rebar_Schedule!$A$5:$A$2004,A84)=0,"",ROUND(SUMIF(Rebar_Schedule!$A$5:$A$2004,A84,Rebar_Schedule!$K$5:$K$2004),1)))</f>
        <v/>
      </c>
      <c r="BF84" s="33" t="str">
        <f aca="false">IF(A84="","",IF(BE84="","No rebar schedule yet",IF(ABS(BE84-N(BA84))/MAX(N(BA84),1)&gt;SG_Criteria!$B$55,"NOTE: register rebar differs from schedule by "&amp;TEXT(ABS(BE84-N(BA84))/MAX(N(BA84),1),"0%"),"OK")))</f>
        <v/>
      </c>
      <c r="BG84" s="33" t="str">
        <f aca="false">IF(D84="","",IF(LEN(IF(AND(Z84&lt;&gt;"",IFERROR(VALUE(MID(Z84,2,2)),0)&lt;SG_Criteria!$B$19),"FAIL: grade below C"&amp;SG_Criteria!$B$19&amp;". ","")&amp;IF(AND(AA84&lt;&gt;"",AA84&lt;SG_Criteria!$B$20),"FAIL: cover &lt; "&amp;SG_Criteria!$B$20&amp;" mm. ","")&amp;IF(AND(I84&lt;&gt;"",I84&lt;SG_Criteria!$B$39),"NOTE: min depth below PUB "&amp;SG_Criteria!$B$39&amp;" m. ","")&amp;IF(AND(LEFT(D84,8)="Standard",J84&gt;SG_Criteria!$B$42),"FAIL: PUB 001C covers manholes up to "&amp;SG_Criteria!$B$42&amp;" m deep only. ","")&amp;IF(AND(LEFT(D84,11)="Rectangular",K84&lt;SG_Criteria!$B$43),"NOTE: 004C is for sewers &gt;= "&amp;SG_Criteria!$B$43&amp;" dia. ","")&amp;IF(AND(LEFT(D84,7)="Precast",J84&lt;=SG_Criteria!$B$42),"NOTE: 006C is for manholes &gt; "&amp;SG_Criteria!$B$42&amp;" m deep. ","")&amp;IF(AND(K84&lt;&gt;"",K84&lt;SG_Criteria!$B$40,D84&lt;&gt;"Inspection Chamber"),"NOTE: public sewer min dia "&amp;SG_Criteria!$B$40&amp;" mm. ","")&amp;IF(AND(Y84&lt;&gt;"",Y84&lt;SG_Criteria!$B$44),"FAIL: uplift FOS below "&amp;SG_Criteria!$B$44&amp;". ",""))=0,"OK",IF(AND(Z84&lt;&gt;"",IFERROR(VALUE(MID(Z84,2,2)),0)&lt;SG_Criteria!$B$19),"FAIL: grade below C"&amp;SG_Criteria!$B$19&amp;". ","")&amp;IF(AND(AA84&lt;&gt;"",AA84&lt;SG_Criteria!$B$20),"FAIL: cover &lt; "&amp;SG_Criteria!$B$20&amp;" mm. ","")&amp;IF(AND(I84&lt;&gt;"",I84&lt;SG_Criteria!$B$39),"NOTE: min depth below PUB "&amp;SG_Criteria!$B$39&amp;" m. ","")&amp;IF(AND(LEFT(D84,8)="Standard",J84&gt;SG_Criteria!$B$42),"FAIL: PUB 001C covers manholes up to "&amp;SG_Criteria!$B$42&amp;" m deep only. ","")&amp;IF(AND(LEFT(D84,11)="Rectangular",K84&lt;SG_Criteria!$B$43),"NOTE: 004C is for sewers &gt;= "&amp;SG_Criteria!$B$43&amp;" dia. ","")&amp;IF(AND(LEFT(D84,7)="Precast",J84&lt;=SG_Criteria!$B$42),"NOTE: 006C is for manholes &gt; "&amp;SG_Criteria!$B$42&amp;" m deep. ","")&amp;IF(AND(K84&lt;&gt;"",K84&lt;SG_Criteria!$B$40,D84&lt;&gt;"Inspection Chamber"),"NOTE: public sewer min dia "&amp;SG_Criteria!$B$40&amp;" mm. ","")&amp;IF(AND(Y84&lt;&gt;"",Y84&lt;SG_Criteria!$B$44),"FAIL: uplift FOS below "&amp;SG_Criteria!$B$44&amp;". ","")))</f>
        <v/>
      </c>
      <c r="BH84" s="9"/>
      <c r="BI84" s="9"/>
      <c r="BJ84" s="9"/>
      <c r="BK84" s="10" t="str">
        <f aca="false">IF(BJ84="","",IFERROR(VLOOKUP(BJ84,Projects!$A$5:$D$504,2,0),"Ref not in Projects"))</f>
        <v/>
      </c>
      <c r="BL84" s="10" t="str">
        <f aca="false">IF(BJ84="","",IFERROR(VLOOKUP(BJ84,Projects!$A$5:$D$504,4,0),"Ref not in Projects"))</f>
        <v/>
      </c>
      <c r="BM84" s="9"/>
      <c r="BN84" s="9"/>
      <c r="BO84" s="9"/>
      <c r="BP84" s="40"/>
      <c r="BQ84" s="9"/>
      <c r="BR84" s="40"/>
      <c r="BS84" s="9"/>
      <c r="BT84" s="40"/>
      <c r="BU84" s="9"/>
      <c r="BV84" s="9"/>
      <c r="BW84" s="9"/>
      <c r="BX84" s="40"/>
      <c r="BY84" s="40"/>
      <c r="BZ84" s="36" t="str">
        <f aca="false">IF(BY84="","",EDATE(BY84,SG_Criteria!$B$54*12))</f>
        <v/>
      </c>
      <c r="CA84" s="33" t="str">
        <f aca="true">IF(A84="","",IF(BY84="","NOTE: not reviewed yet",IF(TODAY()&gt;BZ84,"NOTE: review overdue","OK")))</f>
        <v/>
      </c>
      <c r="CB84" s="37" t="str">
        <f aca="false">IF(A84="","",ROUND((IF(LEN(D84)&gt;0,1,0)+IF(LEN(E84)&gt;0,1,0)+IF(LEN(F84)&gt;0,1,0)+IF(LEN(G84)&gt;0,1,0)+IF(LEN(I84)&gt;0,1,0)+IF(LEN(J84)&gt;0,1,0)+IF(LEN(K84)&gt;0,1,0)+IF(LEN(L84)&gt;0,1,0)+IF(LEN(M84)&gt;0,1,0)+IF(LEN(N84)&gt;0,1,0)+IF(LEN(Z84)&gt;0,1,0)+IF(LEN(AA84)&gt;0,1,0)+IF(LEN(Y84)&gt;0,1,0)+IF(LEN(AE84)&gt;0,1,0)+IF(LEN(AG84)&gt;0,1,0)+IF(LEN(AZ84)&gt;0,1,0)+IF(LEN(AK84)&gt;0,1,0)+IF(LEN(AM84)&gt;0,1,0)+IF(LEN(AN84)&gt;0,1,0)+IF(LEN(AO84)&gt;0,1,0)+IF(LEN(AP84)&gt;0,1,0)+IF(LEN(AY84)&gt;0,1,0)+IF(LEN(BJ84)&gt;0,1,0)+IF(LEN(BW84)&gt;0,1,0))/24,2))</f>
        <v/>
      </c>
      <c r="CC84" s="10" t="str">
        <f aca="false">IF(D84="","",IF(AND(AN84="Approved",ISERROR(SEARCH("FAIL",BG84))),"Y","N"))</f>
        <v/>
      </c>
      <c r="CD84" s="10" t="str">
        <f aca="false">IF(D84="","",D84&amp;"|"&amp;J84&amp;"|"&amp;G84&amp;"|"&amp;CC84)</f>
        <v/>
      </c>
    </row>
    <row r="85" customFormat="false" ht="15" hidden="false" customHeight="false" outlineLevel="0" collapsed="false">
      <c r="A85" s="10" t="str">
        <f aca="false">IF(D85="","","MH-"&amp;IFERROR(VLOOKUP(D85,Lists!$AB$4:$AC$20,2,0),"??")&amp;"-"&amp;TEXT(G85,"0000")&amp;IF(F85="Circular","D","x"&amp;TEXT(H85,"0000"))&amp;"-D"&amp;TEXT(J85*1000,"0000")&amp;"-"&amp;IFERROR(VLOOKUP(E85,Lists!$AE$4:$AF$16,2,0),"??")&amp;"-"&amp;AM85)</f>
        <v/>
      </c>
      <c r="B85" s="10" t="str">
        <f aca="false">IF(D85="","",D85&amp;", "&amp;E85&amp;", "&amp;IF(F85="Circular",G85&amp;" dia",G85&amp;" x "&amp;H85)&amp;", depth "&amp;TEXT(I85,"0.0")&amp;"-"&amp;TEXT(J85,"0.0")&amp;" m, pipe up to "&amp;K85&amp;" dia")</f>
        <v/>
      </c>
      <c r="C85" s="9"/>
      <c r="D85" s="9"/>
      <c r="E85" s="9"/>
      <c r="F85" s="9"/>
      <c r="G85" s="38"/>
      <c r="H85" s="38"/>
      <c r="I85" s="42"/>
      <c r="J85" s="42"/>
      <c r="K85" s="38"/>
      <c r="L85" s="38"/>
      <c r="M85" s="38"/>
      <c r="N85" s="38"/>
      <c r="O85" s="9"/>
      <c r="P85" s="9"/>
      <c r="Q85" s="9"/>
      <c r="R85" s="9"/>
      <c r="S85" s="9"/>
      <c r="T85" s="9"/>
      <c r="U85" s="9"/>
      <c r="V85" s="42"/>
      <c r="W85" s="9"/>
      <c r="X85" s="9"/>
      <c r="Y85" s="39"/>
      <c r="Z85" s="9"/>
      <c r="AA85" s="38"/>
      <c r="AB85" s="9"/>
      <c r="AC85" s="9"/>
      <c r="AD85" s="9"/>
      <c r="AE85" s="9"/>
      <c r="AF85" s="9"/>
      <c r="AG85" s="9"/>
      <c r="AH85" s="38"/>
      <c r="AI85" s="9"/>
      <c r="AJ85" s="39"/>
      <c r="AK85" s="9"/>
      <c r="AL85" s="9"/>
      <c r="AM85" s="9"/>
      <c r="AN85" s="9"/>
      <c r="AO85" s="9"/>
      <c r="AP85" s="9"/>
      <c r="AQ85" s="9"/>
      <c r="AR85" s="10" t="str">
        <f aca="false">IF(A85="","",SG_Criteria!$B$6&amp;SG_Criteria!$B$10&amp;"\"&amp;A85&amp;"\")</f>
        <v/>
      </c>
      <c r="AS85" s="10" t="str">
        <f aca="false">IF(A85="","",A85&amp;"_CAD.dwg")</f>
        <v/>
      </c>
      <c r="AT85" s="10" t="str">
        <f aca="false">IF(A85="","",A85&amp;"_DWG.pdf")</f>
        <v/>
      </c>
      <c r="AU85" s="10" t="str">
        <f aca="false">IF(A85="","",IF(AQ85="Y",A85&amp;"_STAAD.std","n/a"))</f>
        <v/>
      </c>
      <c r="AV85" s="10" t="str">
        <f aca="false">IF(A85="","",A85&amp;"_CALC.xlsx")</f>
        <v/>
      </c>
      <c r="AW85" s="10" t="str">
        <f aca="false">IF(A85="","",A85&amp;"_CALC.pdf")</f>
        <v/>
      </c>
      <c r="AX85" s="9"/>
      <c r="AY85" s="9"/>
      <c r="AZ85" s="39"/>
      <c r="BA85" s="39"/>
      <c r="BB85" s="39"/>
      <c r="BC85" s="39"/>
      <c r="BD85" s="39"/>
      <c r="BE85" s="12" t="str">
        <f aca="false">IF(A85="","",IF(COUNTIF(Rebar_Schedule!$A$5:$A$2004,A85)=0,"",ROUND(SUMIF(Rebar_Schedule!$A$5:$A$2004,A85,Rebar_Schedule!$K$5:$K$2004),1)))</f>
        <v/>
      </c>
      <c r="BF85" s="33" t="str">
        <f aca="false">IF(A85="","",IF(BE85="","No rebar schedule yet",IF(ABS(BE85-N(BA85))/MAX(N(BA85),1)&gt;SG_Criteria!$B$55,"NOTE: register rebar differs from schedule by "&amp;TEXT(ABS(BE85-N(BA85))/MAX(N(BA85),1),"0%"),"OK")))</f>
        <v/>
      </c>
      <c r="BG85" s="33" t="str">
        <f aca="false">IF(D85="","",IF(LEN(IF(AND(Z85&lt;&gt;"",IFERROR(VALUE(MID(Z85,2,2)),0)&lt;SG_Criteria!$B$19),"FAIL: grade below C"&amp;SG_Criteria!$B$19&amp;". ","")&amp;IF(AND(AA85&lt;&gt;"",AA85&lt;SG_Criteria!$B$20),"FAIL: cover &lt; "&amp;SG_Criteria!$B$20&amp;" mm. ","")&amp;IF(AND(I85&lt;&gt;"",I85&lt;SG_Criteria!$B$39),"NOTE: min depth below PUB "&amp;SG_Criteria!$B$39&amp;" m. ","")&amp;IF(AND(LEFT(D85,8)="Standard",J85&gt;SG_Criteria!$B$42),"FAIL: PUB 001C covers manholes up to "&amp;SG_Criteria!$B$42&amp;" m deep only. ","")&amp;IF(AND(LEFT(D85,11)="Rectangular",K85&lt;SG_Criteria!$B$43),"NOTE: 004C is for sewers &gt;= "&amp;SG_Criteria!$B$43&amp;" dia. ","")&amp;IF(AND(LEFT(D85,7)="Precast",J85&lt;=SG_Criteria!$B$42),"NOTE: 006C is for manholes &gt; "&amp;SG_Criteria!$B$42&amp;" m deep. ","")&amp;IF(AND(K85&lt;&gt;"",K85&lt;SG_Criteria!$B$40,D85&lt;&gt;"Inspection Chamber"),"NOTE: public sewer min dia "&amp;SG_Criteria!$B$40&amp;" mm. ","")&amp;IF(AND(Y85&lt;&gt;"",Y85&lt;SG_Criteria!$B$44),"FAIL: uplift FOS below "&amp;SG_Criteria!$B$44&amp;". ",""))=0,"OK",IF(AND(Z85&lt;&gt;"",IFERROR(VALUE(MID(Z85,2,2)),0)&lt;SG_Criteria!$B$19),"FAIL: grade below C"&amp;SG_Criteria!$B$19&amp;". ","")&amp;IF(AND(AA85&lt;&gt;"",AA85&lt;SG_Criteria!$B$20),"FAIL: cover &lt; "&amp;SG_Criteria!$B$20&amp;" mm. ","")&amp;IF(AND(I85&lt;&gt;"",I85&lt;SG_Criteria!$B$39),"NOTE: min depth below PUB "&amp;SG_Criteria!$B$39&amp;" m. ","")&amp;IF(AND(LEFT(D85,8)="Standard",J85&gt;SG_Criteria!$B$42),"FAIL: PUB 001C covers manholes up to "&amp;SG_Criteria!$B$42&amp;" m deep only. ","")&amp;IF(AND(LEFT(D85,11)="Rectangular",K85&lt;SG_Criteria!$B$43),"NOTE: 004C is for sewers &gt;= "&amp;SG_Criteria!$B$43&amp;" dia. ","")&amp;IF(AND(LEFT(D85,7)="Precast",J85&lt;=SG_Criteria!$B$42),"NOTE: 006C is for manholes &gt; "&amp;SG_Criteria!$B$42&amp;" m deep. ","")&amp;IF(AND(K85&lt;&gt;"",K85&lt;SG_Criteria!$B$40,D85&lt;&gt;"Inspection Chamber"),"NOTE: public sewer min dia "&amp;SG_Criteria!$B$40&amp;" mm. ","")&amp;IF(AND(Y85&lt;&gt;"",Y85&lt;SG_Criteria!$B$44),"FAIL: uplift FOS below "&amp;SG_Criteria!$B$44&amp;". ","")))</f>
        <v/>
      </c>
      <c r="BH85" s="9"/>
      <c r="BI85" s="9"/>
      <c r="BJ85" s="9"/>
      <c r="BK85" s="10" t="str">
        <f aca="false">IF(BJ85="","",IFERROR(VLOOKUP(BJ85,Projects!$A$5:$D$504,2,0),"Ref not in Projects"))</f>
        <v/>
      </c>
      <c r="BL85" s="10" t="str">
        <f aca="false">IF(BJ85="","",IFERROR(VLOOKUP(BJ85,Projects!$A$5:$D$504,4,0),"Ref not in Projects"))</f>
        <v/>
      </c>
      <c r="BM85" s="9"/>
      <c r="BN85" s="9"/>
      <c r="BO85" s="9"/>
      <c r="BP85" s="40"/>
      <c r="BQ85" s="9"/>
      <c r="BR85" s="40"/>
      <c r="BS85" s="9"/>
      <c r="BT85" s="40"/>
      <c r="BU85" s="9"/>
      <c r="BV85" s="9"/>
      <c r="BW85" s="9"/>
      <c r="BX85" s="40"/>
      <c r="BY85" s="40"/>
      <c r="BZ85" s="36" t="str">
        <f aca="false">IF(BY85="","",EDATE(BY85,SG_Criteria!$B$54*12))</f>
        <v/>
      </c>
      <c r="CA85" s="33" t="str">
        <f aca="true">IF(A85="","",IF(BY85="","NOTE: not reviewed yet",IF(TODAY()&gt;BZ85,"NOTE: review overdue","OK")))</f>
        <v/>
      </c>
      <c r="CB85" s="37" t="str">
        <f aca="false">IF(A85="","",ROUND((IF(LEN(D85)&gt;0,1,0)+IF(LEN(E85)&gt;0,1,0)+IF(LEN(F85)&gt;0,1,0)+IF(LEN(G85)&gt;0,1,0)+IF(LEN(I85)&gt;0,1,0)+IF(LEN(J85)&gt;0,1,0)+IF(LEN(K85)&gt;0,1,0)+IF(LEN(L85)&gt;0,1,0)+IF(LEN(M85)&gt;0,1,0)+IF(LEN(N85)&gt;0,1,0)+IF(LEN(Z85)&gt;0,1,0)+IF(LEN(AA85)&gt;0,1,0)+IF(LEN(Y85)&gt;0,1,0)+IF(LEN(AE85)&gt;0,1,0)+IF(LEN(AG85)&gt;0,1,0)+IF(LEN(AZ85)&gt;0,1,0)+IF(LEN(AK85)&gt;0,1,0)+IF(LEN(AM85)&gt;0,1,0)+IF(LEN(AN85)&gt;0,1,0)+IF(LEN(AO85)&gt;0,1,0)+IF(LEN(AP85)&gt;0,1,0)+IF(LEN(AY85)&gt;0,1,0)+IF(LEN(BJ85)&gt;0,1,0)+IF(LEN(BW85)&gt;0,1,0))/24,2))</f>
        <v/>
      </c>
      <c r="CC85" s="10" t="str">
        <f aca="false">IF(D85="","",IF(AND(AN85="Approved",ISERROR(SEARCH("FAIL",BG85))),"Y","N"))</f>
        <v/>
      </c>
      <c r="CD85" s="10" t="str">
        <f aca="false">IF(D85="","",D85&amp;"|"&amp;J85&amp;"|"&amp;G85&amp;"|"&amp;CC85)</f>
        <v/>
      </c>
    </row>
    <row r="86" customFormat="false" ht="15" hidden="false" customHeight="false" outlineLevel="0" collapsed="false">
      <c r="A86" s="10" t="str">
        <f aca="false">IF(D86="","","MH-"&amp;IFERROR(VLOOKUP(D86,Lists!$AB$4:$AC$20,2,0),"??")&amp;"-"&amp;TEXT(G86,"0000")&amp;IF(F86="Circular","D","x"&amp;TEXT(H86,"0000"))&amp;"-D"&amp;TEXT(J86*1000,"0000")&amp;"-"&amp;IFERROR(VLOOKUP(E86,Lists!$AE$4:$AF$16,2,0),"??")&amp;"-"&amp;AM86)</f>
        <v/>
      </c>
      <c r="B86" s="10" t="str">
        <f aca="false">IF(D86="","",D86&amp;", "&amp;E86&amp;", "&amp;IF(F86="Circular",G86&amp;" dia",G86&amp;" x "&amp;H86)&amp;", depth "&amp;TEXT(I86,"0.0")&amp;"-"&amp;TEXT(J86,"0.0")&amp;" m, pipe up to "&amp;K86&amp;" dia")</f>
        <v/>
      </c>
      <c r="C86" s="9"/>
      <c r="D86" s="9"/>
      <c r="E86" s="9"/>
      <c r="F86" s="9"/>
      <c r="G86" s="38"/>
      <c r="H86" s="38"/>
      <c r="I86" s="42"/>
      <c r="J86" s="42"/>
      <c r="K86" s="38"/>
      <c r="L86" s="38"/>
      <c r="M86" s="38"/>
      <c r="N86" s="38"/>
      <c r="O86" s="9"/>
      <c r="P86" s="9"/>
      <c r="Q86" s="9"/>
      <c r="R86" s="9"/>
      <c r="S86" s="9"/>
      <c r="T86" s="9"/>
      <c r="U86" s="9"/>
      <c r="V86" s="42"/>
      <c r="W86" s="9"/>
      <c r="X86" s="9"/>
      <c r="Y86" s="39"/>
      <c r="Z86" s="9"/>
      <c r="AA86" s="38"/>
      <c r="AB86" s="9"/>
      <c r="AC86" s="9"/>
      <c r="AD86" s="9"/>
      <c r="AE86" s="9"/>
      <c r="AF86" s="9"/>
      <c r="AG86" s="9"/>
      <c r="AH86" s="38"/>
      <c r="AI86" s="9"/>
      <c r="AJ86" s="39"/>
      <c r="AK86" s="9"/>
      <c r="AL86" s="9"/>
      <c r="AM86" s="9"/>
      <c r="AN86" s="9"/>
      <c r="AO86" s="9"/>
      <c r="AP86" s="9"/>
      <c r="AQ86" s="9"/>
      <c r="AR86" s="10" t="str">
        <f aca="false">IF(A86="","",SG_Criteria!$B$6&amp;SG_Criteria!$B$10&amp;"\"&amp;A86&amp;"\")</f>
        <v/>
      </c>
      <c r="AS86" s="10" t="str">
        <f aca="false">IF(A86="","",A86&amp;"_CAD.dwg")</f>
        <v/>
      </c>
      <c r="AT86" s="10" t="str">
        <f aca="false">IF(A86="","",A86&amp;"_DWG.pdf")</f>
        <v/>
      </c>
      <c r="AU86" s="10" t="str">
        <f aca="false">IF(A86="","",IF(AQ86="Y",A86&amp;"_STAAD.std","n/a"))</f>
        <v/>
      </c>
      <c r="AV86" s="10" t="str">
        <f aca="false">IF(A86="","",A86&amp;"_CALC.xlsx")</f>
        <v/>
      </c>
      <c r="AW86" s="10" t="str">
        <f aca="false">IF(A86="","",A86&amp;"_CALC.pdf")</f>
        <v/>
      </c>
      <c r="AX86" s="9"/>
      <c r="AY86" s="9"/>
      <c r="AZ86" s="39"/>
      <c r="BA86" s="39"/>
      <c r="BB86" s="39"/>
      <c r="BC86" s="39"/>
      <c r="BD86" s="39"/>
      <c r="BE86" s="12" t="str">
        <f aca="false">IF(A86="","",IF(COUNTIF(Rebar_Schedule!$A$5:$A$2004,A86)=0,"",ROUND(SUMIF(Rebar_Schedule!$A$5:$A$2004,A86,Rebar_Schedule!$K$5:$K$2004),1)))</f>
        <v/>
      </c>
      <c r="BF86" s="33" t="str">
        <f aca="false">IF(A86="","",IF(BE86="","No rebar schedule yet",IF(ABS(BE86-N(BA86))/MAX(N(BA86),1)&gt;SG_Criteria!$B$55,"NOTE: register rebar differs from schedule by "&amp;TEXT(ABS(BE86-N(BA86))/MAX(N(BA86),1),"0%"),"OK")))</f>
        <v/>
      </c>
      <c r="BG86" s="33" t="str">
        <f aca="false">IF(D86="","",IF(LEN(IF(AND(Z86&lt;&gt;"",IFERROR(VALUE(MID(Z86,2,2)),0)&lt;SG_Criteria!$B$19),"FAIL: grade below C"&amp;SG_Criteria!$B$19&amp;". ","")&amp;IF(AND(AA86&lt;&gt;"",AA86&lt;SG_Criteria!$B$20),"FAIL: cover &lt; "&amp;SG_Criteria!$B$20&amp;" mm. ","")&amp;IF(AND(I86&lt;&gt;"",I86&lt;SG_Criteria!$B$39),"NOTE: min depth below PUB "&amp;SG_Criteria!$B$39&amp;" m. ","")&amp;IF(AND(LEFT(D86,8)="Standard",J86&gt;SG_Criteria!$B$42),"FAIL: PUB 001C covers manholes up to "&amp;SG_Criteria!$B$42&amp;" m deep only. ","")&amp;IF(AND(LEFT(D86,11)="Rectangular",K86&lt;SG_Criteria!$B$43),"NOTE: 004C is for sewers &gt;= "&amp;SG_Criteria!$B$43&amp;" dia. ","")&amp;IF(AND(LEFT(D86,7)="Precast",J86&lt;=SG_Criteria!$B$42),"NOTE: 006C is for manholes &gt; "&amp;SG_Criteria!$B$42&amp;" m deep. ","")&amp;IF(AND(K86&lt;&gt;"",K86&lt;SG_Criteria!$B$40,D86&lt;&gt;"Inspection Chamber"),"NOTE: public sewer min dia "&amp;SG_Criteria!$B$40&amp;" mm. ","")&amp;IF(AND(Y86&lt;&gt;"",Y86&lt;SG_Criteria!$B$44),"FAIL: uplift FOS below "&amp;SG_Criteria!$B$44&amp;". ",""))=0,"OK",IF(AND(Z86&lt;&gt;"",IFERROR(VALUE(MID(Z86,2,2)),0)&lt;SG_Criteria!$B$19),"FAIL: grade below C"&amp;SG_Criteria!$B$19&amp;". ","")&amp;IF(AND(AA86&lt;&gt;"",AA86&lt;SG_Criteria!$B$20),"FAIL: cover &lt; "&amp;SG_Criteria!$B$20&amp;" mm. ","")&amp;IF(AND(I86&lt;&gt;"",I86&lt;SG_Criteria!$B$39),"NOTE: min depth below PUB "&amp;SG_Criteria!$B$39&amp;" m. ","")&amp;IF(AND(LEFT(D86,8)="Standard",J86&gt;SG_Criteria!$B$42),"FAIL: PUB 001C covers manholes up to "&amp;SG_Criteria!$B$42&amp;" m deep only. ","")&amp;IF(AND(LEFT(D86,11)="Rectangular",K86&lt;SG_Criteria!$B$43),"NOTE: 004C is for sewers &gt;= "&amp;SG_Criteria!$B$43&amp;" dia. ","")&amp;IF(AND(LEFT(D86,7)="Precast",J86&lt;=SG_Criteria!$B$42),"NOTE: 006C is for manholes &gt; "&amp;SG_Criteria!$B$42&amp;" m deep. ","")&amp;IF(AND(K86&lt;&gt;"",K86&lt;SG_Criteria!$B$40,D86&lt;&gt;"Inspection Chamber"),"NOTE: public sewer min dia "&amp;SG_Criteria!$B$40&amp;" mm. ","")&amp;IF(AND(Y86&lt;&gt;"",Y86&lt;SG_Criteria!$B$44),"FAIL: uplift FOS below "&amp;SG_Criteria!$B$44&amp;". ","")))</f>
        <v/>
      </c>
      <c r="BH86" s="9"/>
      <c r="BI86" s="9"/>
      <c r="BJ86" s="9"/>
      <c r="BK86" s="10" t="str">
        <f aca="false">IF(BJ86="","",IFERROR(VLOOKUP(BJ86,Projects!$A$5:$D$504,2,0),"Ref not in Projects"))</f>
        <v/>
      </c>
      <c r="BL86" s="10" t="str">
        <f aca="false">IF(BJ86="","",IFERROR(VLOOKUP(BJ86,Projects!$A$5:$D$504,4,0),"Ref not in Projects"))</f>
        <v/>
      </c>
      <c r="BM86" s="9"/>
      <c r="BN86" s="9"/>
      <c r="BO86" s="9"/>
      <c r="BP86" s="40"/>
      <c r="BQ86" s="9"/>
      <c r="BR86" s="40"/>
      <c r="BS86" s="9"/>
      <c r="BT86" s="40"/>
      <c r="BU86" s="9"/>
      <c r="BV86" s="9"/>
      <c r="BW86" s="9"/>
      <c r="BX86" s="40"/>
      <c r="BY86" s="40"/>
      <c r="BZ86" s="36" t="str">
        <f aca="false">IF(BY86="","",EDATE(BY86,SG_Criteria!$B$54*12))</f>
        <v/>
      </c>
      <c r="CA86" s="33" t="str">
        <f aca="true">IF(A86="","",IF(BY86="","NOTE: not reviewed yet",IF(TODAY()&gt;BZ86,"NOTE: review overdue","OK")))</f>
        <v/>
      </c>
      <c r="CB86" s="37" t="str">
        <f aca="false">IF(A86="","",ROUND((IF(LEN(D86)&gt;0,1,0)+IF(LEN(E86)&gt;0,1,0)+IF(LEN(F86)&gt;0,1,0)+IF(LEN(G86)&gt;0,1,0)+IF(LEN(I86)&gt;0,1,0)+IF(LEN(J86)&gt;0,1,0)+IF(LEN(K86)&gt;0,1,0)+IF(LEN(L86)&gt;0,1,0)+IF(LEN(M86)&gt;0,1,0)+IF(LEN(N86)&gt;0,1,0)+IF(LEN(Z86)&gt;0,1,0)+IF(LEN(AA86)&gt;0,1,0)+IF(LEN(Y86)&gt;0,1,0)+IF(LEN(AE86)&gt;0,1,0)+IF(LEN(AG86)&gt;0,1,0)+IF(LEN(AZ86)&gt;0,1,0)+IF(LEN(AK86)&gt;0,1,0)+IF(LEN(AM86)&gt;0,1,0)+IF(LEN(AN86)&gt;0,1,0)+IF(LEN(AO86)&gt;0,1,0)+IF(LEN(AP86)&gt;0,1,0)+IF(LEN(AY86)&gt;0,1,0)+IF(LEN(BJ86)&gt;0,1,0)+IF(LEN(BW86)&gt;0,1,0))/24,2))</f>
        <v/>
      </c>
      <c r="CC86" s="10" t="str">
        <f aca="false">IF(D86="","",IF(AND(AN86="Approved",ISERROR(SEARCH("FAIL",BG86))),"Y","N"))</f>
        <v/>
      </c>
      <c r="CD86" s="10" t="str">
        <f aca="false">IF(D86="","",D86&amp;"|"&amp;J86&amp;"|"&amp;G86&amp;"|"&amp;CC86)</f>
        <v/>
      </c>
    </row>
    <row r="87" customFormat="false" ht="15" hidden="false" customHeight="false" outlineLevel="0" collapsed="false">
      <c r="A87" s="10" t="str">
        <f aca="false">IF(D87="","","MH-"&amp;IFERROR(VLOOKUP(D87,Lists!$AB$4:$AC$20,2,0),"??")&amp;"-"&amp;TEXT(G87,"0000")&amp;IF(F87="Circular","D","x"&amp;TEXT(H87,"0000"))&amp;"-D"&amp;TEXT(J87*1000,"0000")&amp;"-"&amp;IFERROR(VLOOKUP(E87,Lists!$AE$4:$AF$16,2,0),"??")&amp;"-"&amp;AM87)</f>
        <v/>
      </c>
      <c r="B87" s="10" t="str">
        <f aca="false">IF(D87="","",D87&amp;", "&amp;E87&amp;", "&amp;IF(F87="Circular",G87&amp;" dia",G87&amp;" x "&amp;H87)&amp;", depth "&amp;TEXT(I87,"0.0")&amp;"-"&amp;TEXT(J87,"0.0")&amp;" m, pipe up to "&amp;K87&amp;" dia")</f>
        <v/>
      </c>
      <c r="C87" s="9"/>
      <c r="D87" s="9"/>
      <c r="E87" s="9"/>
      <c r="F87" s="9"/>
      <c r="G87" s="38"/>
      <c r="H87" s="38"/>
      <c r="I87" s="42"/>
      <c r="J87" s="42"/>
      <c r="K87" s="38"/>
      <c r="L87" s="38"/>
      <c r="M87" s="38"/>
      <c r="N87" s="38"/>
      <c r="O87" s="9"/>
      <c r="P87" s="9"/>
      <c r="Q87" s="9"/>
      <c r="R87" s="9"/>
      <c r="S87" s="9"/>
      <c r="T87" s="9"/>
      <c r="U87" s="9"/>
      <c r="V87" s="42"/>
      <c r="W87" s="9"/>
      <c r="X87" s="9"/>
      <c r="Y87" s="39"/>
      <c r="Z87" s="9"/>
      <c r="AA87" s="38"/>
      <c r="AB87" s="9"/>
      <c r="AC87" s="9"/>
      <c r="AD87" s="9"/>
      <c r="AE87" s="9"/>
      <c r="AF87" s="9"/>
      <c r="AG87" s="9"/>
      <c r="AH87" s="38"/>
      <c r="AI87" s="9"/>
      <c r="AJ87" s="39"/>
      <c r="AK87" s="9"/>
      <c r="AL87" s="9"/>
      <c r="AM87" s="9"/>
      <c r="AN87" s="9"/>
      <c r="AO87" s="9"/>
      <c r="AP87" s="9"/>
      <c r="AQ87" s="9"/>
      <c r="AR87" s="10" t="str">
        <f aca="false">IF(A87="","",SG_Criteria!$B$6&amp;SG_Criteria!$B$10&amp;"\"&amp;A87&amp;"\")</f>
        <v/>
      </c>
      <c r="AS87" s="10" t="str">
        <f aca="false">IF(A87="","",A87&amp;"_CAD.dwg")</f>
        <v/>
      </c>
      <c r="AT87" s="10" t="str">
        <f aca="false">IF(A87="","",A87&amp;"_DWG.pdf")</f>
        <v/>
      </c>
      <c r="AU87" s="10" t="str">
        <f aca="false">IF(A87="","",IF(AQ87="Y",A87&amp;"_STAAD.std","n/a"))</f>
        <v/>
      </c>
      <c r="AV87" s="10" t="str">
        <f aca="false">IF(A87="","",A87&amp;"_CALC.xlsx")</f>
        <v/>
      </c>
      <c r="AW87" s="10" t="str">
        <f aca="false">IF(A87="","",A87&amp;"_CALC.pdf")</f>
        <v/>
      </c>
      <c r="AX87" s="9"/>
      <c r="AY87" s="9"/>
      <c r="AZ87" s="39"/>
      <c r="BA87" s="39"/>
      <c r="BB87" s="39"/>
      <c r="BC87" s="39"/>
      <c r="BD87" s="39"/>
      <c r="BE87" s="12" t="str">
        <f aca="false">IF(A87="","",IF(COUNTIF(Rebar_Schedule!$A$5:$A$2004,A87)=0,"",ROUND(SUMIF(Rebar_Schedule!$A$5:$A$2004,A87,Rebar_Schedule!$K$5:$K$2004),1)))</f>
        <v/>
      </c>
      <c r="BF87" s="33" t="str">
        <f aca="false">IF(A87="","",IF(BE87="","No rebar schedule yet",IF(ABS(BE87-N(BA87))/MAX(N(BA87),1)&gt;SG_Criteria!$B$55,"NOTE: register rebar differs from schedule by "&amp;TEXT(ABS(BE87-N(BA87))/MAX(N(BA87),1),"0%"),"OK")))</f>
        <v/>
      </c>
      <c r="BG87" s="33" t="str">
        <f aca="false">IF(D87="","",IF(LEN(IF(AND(Z87&lt;&gt;"",IFERROR(VALUE(MID(Z87,2,2)),0)&lt;SG_Criteria!$B$19),"FAIL: grade below C"&amp;SG_Criteria!$B$19&amp;". ","")&amp;IF(AND(AA87&lt;&gt;"",AA87&lt;SG_Criteria!$B$20),"FAIL: cover &lt; "&amp;SG_Criteria!$B$20&amp;" mm. ","")&amp;IF(AND(I87&lt;&gt;"",I87&lt;SG_Criteria!$B$39),"NOTE: min depth below PUB "&amp;SG_Criteria!$B$39&amp;" m. ","")&amp;IF(AND(LEFT(D87,8)="Standard",J87&gt;SG_Criteria!$B$42),"FAIL: PUB 001C covers manholes up to "&amp;SG_Criteria!$B$42&amp;" m deep only. ","")&amp;IF(AND(LEFT(D87,11)="Rectangular",K87&lt;SG_Criteria!$B$43),"NOTE: 004C is for sewers &gt;= "&amp;SG_Criteria!$B$43&amp;" dia. ","")&amp;IF(AND(LEFT(D87,7)="Precast",J87&lt;=SG_Criteria!$B$42),"NOTE: 006C is for manholes &gt; "&amp;SG_Criteria!$B$42&amp;" m deep. ","")&amp;IF(AND(K87&lt;&gt;"",K87&lt;SG_Criteria!$B$40,D87&lt;&gt;"Inspection Chamber"),"NOTE: public sewer min dia "&amp;SG_Criteria!$B$40&amp;" mm. ","")&amp;IF(AND(Y87&lt;&gt;"",Y87&lt;SG_Criteria!$B$44),"FAIL: uplift FOS below "&amp;SG_Criteria!$B$44&amp;". ",""))=0,"OK",IF(AND(Z87&lt;&gt;"",IFERROR(VALUE(MID(Z87,2,2)),0)&lt;SG_Criteria!$B$19),"FAIL: grade below C"&amp;SG_Criteria!$B$19&amp;". ","")&amp;IF(AND(AA87&lt;&gt;"",AA87&lt;SG_Criteria!$B$20),"FAIL: cover &lt; "&amp;SG_Criteria!$B$20&amp;" mm. ","")&amp;IF(AND(I87&lt;&gt;"",I87&lt;SG_Criteria!$B$39),"NOTE: min depth below PUB "&amp;SG_Criteria!$B$39&amp;" m. ","")&amp;IF(AND(LEFT(D87,8)="Standard",J87&gt;SG_Criteria!$B$42),"FAIL: PUB 001C covers manholes up to "&amp;SG_Criteria!$B$42&amp;" m deep only. ","")&amp;IF(AND(LEFT(D87,11)="Rectangular",K87&lt;SG_Criteria!$B$43),"NOTE: 004C is for sewers &gt;= "&amp;SG_Criteria!$B$43&amp;" dia. ","")&amp;IF(AND(LEFT(D87,7)="Precast",J87&lt;=SG_Criteria!$B$42),"NOTE: 006C is for manholes &gt; "&amp;SG_Criteria!$B$42&amp;" m deep. ","")&amp;IF(AND(K87&lt;&gt;"",K87&lt;SG_Criteria!$B$40,D87&lt;&gt;"Inspection Chamber"),"NOTE: public sewer min dia "&amp;SG_Criteria!$B$40&amp;" mm. ","")&amp;IF(AND(Y87&lt;&gt;"",Y87&lt;SG_Criteria!$B$44),"FAIL: uplift FOS below "&amp;SG_Criteria!$B$44&amp;". ","")))</f>
        <v/>
      </c>
      <c r="BH87" s="9"/>
      <c r="BI87" s="9"/>
      <c r="BJ87" s="9"/>
      <c r="BK87" s="10" t="str">
        <f aca="false">IF(BJ87="","",IFERROR(VLOOKUP(BJ87,Projects!$A$5:$D$504,2,0),"Ref not in Projects"))</f>
        <v/>
      </c>
      <c r="BL87" s="10" t="str">
        <f aca="false">IF(BJ87="","",IFERROR(VLOOKUP(BJ87,Projects!$A$5:$D$504,4,0),"Ref not in Projects"))</f>
        <v/>
      </c>
      <c r="BM87" s="9"/>
      <c r="BN87" s="9"/>
      <c r="BO87" s="9"/>
      <c r="BP87" s="40"/>
      <c r="BQ87" s="9"/>
      <c r="BR87" s="40"/>
      <c r="BS87" s="9"/>
      <c r="BT87" s="40"/>
      <c r="BU87" s="9"/>
      <c r="BV87" s="9"/>
      <c r="BW87" s="9"/>
      <c r="BX87" s="40"/>
      <c r="BY87" s="40"/>
      <c r="BZ87" s="36" t="str">
        <f aca="false">IF(BY87="","",EDATE(BY87,SG_Criteria!$B$54*12))</f>
        <v/>
      </c>
      <c r="CA87" s="33" t="str">
        <f aca="true">IF(A87="","",IF(BY87="","NOTE: not reviewed yet",IF(TODAY()&gt;BZ87,"NOTE: review overdue","OK")))</f>
        <v/>
      </c>
      <c r="CB87" s="37" t="str">
        <f aca="false">IF(A87="","",ROUND((IF(LEN(D87)&gt;0,1,0)+IF(LEN(E87)&gt;0,1,0)+IF(LEN(F87)&gt;0,1,0)+IF(LEN(G87)&gt;0,1,0)+IF(LEN(I87)&gt;0,1,0)+IF(LEN(J87)&gt;0,1,0)+IF(LEN(K87)&gt;0,1,0)+IF(LEN(L87)&gt;0,1,0)+IF(LEN(M87)&gt;0,1,0)+IF(LEN(N87)&gt;0,1,0)+IF(LEN(Z87)&gt;0,1,0)+IF(LEN(AA87)&gt;0,1,0)+IF(LEN(Y87)&gt;0,1,0)+IF(LEN(AE87)&gt;0,1,0)+IF(LEN(AG87)&gt;0,1,0)+IF(LEN(AZ87)&gt;0,1,0)+IF(LEN(AK87)&gt;0,1,0)+IF(LEN(AM87)&gt;0,1,0)+IF(LEN(AN87)&gt;0,1,0)+IF(LEN(AO87)&gt;0,1,0)+IF(LEN(AP87)&gt;0,1,0)+IF(LEN(AY87)&gt;0,1,0)+IF(LEN(BJ87)&gt;0,1,0)+IF(LEN(BW87)&gt;0,1,0))/24,2))</f>
        <v/>
      </c>
      <c r="CC87" s="10" t="str">
        <f aca="false">IF(D87="","",IF(AND(AN87="Approved",ISERROR(SEARCH("FAIL",BG87))),"Y","N"))</f>
        <v/>
      </c>
      <c r="CD87" s="10" t="str">
        <f aca="false">IF(D87="","",D87&amp;"|"&amp;J87&amp;"|"&amp;G87&amp;"|"&amp;CC87)</f>
        <v/>
      </c>
    </row>
    <row r="88" customFormat="false" ht="15" hidden="false" customHeight="false" outlineLevel="0" collapsed="false">
      <c r="A88" s="10" t="str">
        <f aca="false">IF(D88="","","MH-"&amp;IFERROR(VLOOKUP(D88,Lists!$AB$4:$AC$20,2,0),"??")&amp;"-"&amp;TEXT(G88,"0000")&amp;IF(F88="Circular","D","x"&amp;TEXT(H88,"0000"))&amp;"-D"&amp;TEXT(J88*1000,"0000")&amp;"-"&amp;IFERROR(VLOOKUP(E88,Lists!$AE$4:$AF$16,2,0),"??")&amp;"-"&amp;AM88)</f>
        <v/>
      </c>
      <c r="B88" s="10" t="str">
        <f aca="false">IF(D88="","",D88&amp;", "&amp;E88&amp;", "&amp;IF(F88="Circular",G88&amp;" dia",G88&amp;" x "&amp;H88)&amp;", depth "&amp;TEXT(I88,"0.0")&amp;"-"&amp;TEXT(J88,"0.0")&amp;" m, pipe up to "&amp;K88&amp;" dia")</f>
        <v/>
      </c>
      <c r="C88" s="9"/>
      <c r="D88" s="9"/>
      <c r="E88" s="9"/>
      <c r="F88" s="9"/>
      <c r="G88" s="38"/>
      <c r="H88" s="38"/>
      <c r="I88" s="42"/>
      <c r="J88" s="42"/>
      <c r="K88" s="38"/>
      <c r="L88" s="38"/>
      <c r="M88" s="38"/>
      <c r="N88" s="38"/>
      <c r="O88" s="9"/>
      <c r="P88" s="9"/>
      <c r="Q88" s="9"/>
      <c r="R88" s="9"/>
      <c r="S88" s="9"/>
      <c r="T88" s="9"/>
      <c r="U88" s="9"/>
      <c r="V88" s="42"/>
      <c r="W88" s="9"/>
      <c r="X88" s="9"/>
      <c r="Y88" s="39"/>
      <c r="Z88" s="9"/>
      <c r="AA88" s="38"/>
      <c r="AB88" s="9"/>
      <c r="AC88" s="9"/>
      <c r="AD88" s="9"/>
      <c r="AE88" s="9"/>
      <c r="AF88" s="9"/>
      <c r="AG88" s="9"/>
      <c r="AH88" s="38"/>
      <c r="AI88" s="9"/>
      <c r="AJ88" s="39"/>
      <c r="AK88" s="9"/>
      <c r="AL88" s="9"/>
      <c r="AM88" s="9"/>
      <c r="AN88" s="9"/>
      <c r="AO88" s="9"/>
      <c r="AP88" s="9"/>
      <c r="AQ88" s="9"/>
      <c r="AR88" s="10" t="str">
        <f aca="false">IF(A88="","",SG_Criteria!$B$6&amp;SG_Criteria!$B$10&amp;"\"&amp;A88&amp;"\")</f>
        <v/>
      </c>
      <c r="AS88" s="10" t="str">
        <f aca="false">IF(A88="","",A88&amp;"_CAD.dwg")</f>
        <v/>
      </c>
      <c r="AT88" s="10" t="str">
        <f aca="false">IF(A88="","",A88&amp;"_DWG.pdf")</f>
        <v/>
      </c>
      <c r="AU88" s="10" t="str">
        <f aca="false">IF(A88="","",IF(AQ88="Y",A88&amp;"_STAAD.std","n/a"))</f>
        <v/>
      </c>
      <c r="AV88" s="10" t="str">
        <f aca="false">IF(A88="","",A88&amp;"_CALC.xlsx")</f>
        <v/>
      </c>
      <c r="AW88" s="10" t="str">
        <f aca="false">IF(A88="","",A88&amp;"_CALC.pdf")</f>
        <v/>
      </c>
      <c r="AX88" s="9"/>
      <c r="AY88" s="9"/>
      <c r="AZ88" s="39"/>
      <c r="BA88" s="39"/>
      <c r="BB88" s="39"/>
      <c r="BC88" s="39"/>
      <c r="BD88" s="39"/>
      <c r="BE88" s="12" t="str">
        <f aca="false">IF(A88="","",IF(COUNTIF(Rebar_Schedule!$A$5:$A$2004,A88)=0,"",ROUND(SUMIF(Rebar_Schedule!$A$5:$A$2004,A88,Rebar_Schedule!$K$5:$K$2004),1)))</f>
        <v/>
      </c>
      <c r="BF88" s="33" t="str">
        <f aca="false">IF(A88="","",IF(BE88="","No rebar schedule yet",IF(ABS(BE88-N(BA88))/MAX(N(BA88),1)&gt;SG_Criteria!$B$55,"NOTE: register rebar differs from schedule by "&amp;TEXT(ABS(BE88-N(BA88))/MAX(N(BA88),1),"0%"),"OK")))</f>
        <v/>
      </c>
      <c r="BG88" s="33" t="str">
        <f aca="false">IF(D88="","",IF(LEN(IF(AND(Z88&lt;&gt;"",IFERROR(VALUE(MID(Z88,2,2)),0)&lt;SG_Criteria!$B$19),"FAIL: grade below C"&amp;SG_Criteria!$B$19&amp;". ","")&amp;IF(AND(AA88&lt;&gt;"",AA88&lt;SG_Criteria!$B$20),"FAIL: cover &lt; "&amp;SG_Criteria!$B$20&amp;" mm. ","")&amp;IF(AND(I88&lt;&gt;"",I88&lt;SG_Criteria!$B$39),"NOTE: min depth below PUB "&amp;SG_Criteria!$B$39&amp;" m. ","")&amp;IF(AND(LEFT(D88,8)="Standard",J88&gt;SG_Criteria!$B$42),"FAIL: PUB 001C covers manholes up to "&amp;SG_Criteria!$B$42&amp;" m deep only. ","")&amp;IF(AND(LEFT(D88,11)="Rectangular",K88&lt;SG_Criteria!$B$43),"NOTE: 004C is for sewers &gt;= "&amp;SG_Criteria!$B$43&amp;" dia. ","")&amp;IF(AND(LEFT(D88,7)="Precast",J88&lt;=SG_Criteria!$B$42),"NOTE: 006C is for manholes &gt; "&amp;SG_Criteria!$B$42&amp;" m deep. ","")&amp;IF(AND(K88&lt;&gt;"",K88&lt;SG_Criteria!$B$40,D88&lt;&gt;"Inspection Chamber"),"NOTE: public sewer min dia "&amp;SG_Criteria!$B$40&amp;" mm. ","")&amp;IF(AND(Y88&lt;&gt;"",Y88&lt;SG_Criteria!$B$44),"FAIL: uplift FOS below "&amp;SG_Criteria!$B$44&amp;". ",""))=0,"OK",IF(AND(Z88&lt;&gt;"",IFERROR(VALUE(MID(Z88,2,2)),0)&lt;SG_Criteria!$B$19),"FAIL: grade below C"&amp;SG_Criteria!$B$19&amp;". ","")&amp;IF(AND(AA88&lt;&gt;"",AA88&lt;SG_Criteria!$B$20),"FAIL: cover &lt; "&amp;SG_Criteria!$B$20&amp;" mm. ","")&amp;IF(AND(I88&lt;&gt;"",I88&lt;SG_Criteria!$B$39),"NOTE: min depth below PUB "&amp;SG_Criteria!$B$39&amp;" m. ","")&amp;IF(AND(LEFT(D88,8)="Standard",J88&gt;SG_Criteria!$B$42),"FAIL: PUB 001C covers manholes up to "&amp;SG_Criteria!$B$42&amp;" m deep only. ","")&amp;IF(AND(LEFT(D88,11)="Rectangular",K88&lt;SG_Criteria!$B$43),"NOTE: 004C is for sewers &gt;= "&amp;SG_Criteria!$B$43&amp;" dia. ","")&amp;IF(AND(LEFT(D88,7)="Precast",J88&lt;=SG_Criteria!$B$42),"NOTE: 006C is for manholes &gt; "&amp;SG_Criteria!$B$42&amp;" m deep. ","")&amp;IF(AND(K88&lt;&gt;"",K88&lt;SG_Criteria!$B$40,D88&lt;&gt;"Inspection Chamber"),"NOTE: public sewer min dia "&amp;SG_Criteria!$B$40&amp;" mm. ","")&amp;IF(AND(Y88&lt;&gt;"",Y88&lt;SG_Criteria!$B$44),"FAIL: uplift FOS below "&amp;SG_Criteria!$B$44&amp;". ","")))</f>
        <v/>
      </c>
      <c r="BH88" s="9"/>
      <c r="BI88" s="9"/>
      <c r="BJ88" s="9"/>
      <c r="BK88" s="10" t="str">
        <f aca="false">IF(BJ88="","",IFERROR(VLOOKUP(BJ88,Projects!$A$5:$D$504,2,0),"Ref not in Projects"))</f>
        <v/>
      </c>
      <c r="BL88" s="10" t="str">
        <f aca="false">IF(BJ88="","",IFERROR(VLOOKUP(BJ88,Projects!$A$5:$D$504,4,0),"Ref not in Projects"))</f>
        <v/>
      </c>
      <c r="BM88" s="9"/>
      <c r="BN88" s="9"/>
      <c r="BO88" s="9"/>
      <c r="BP88" s="40"/>
      <c r="BQ88" s="9"/>
      <c r="BR88" s="40"/>
      <c r="BS88" s="9"/>
      <c r="BT88" s="40"/>
      <c r="BU88" s="9"/>
      <c r="BV88" s="9"/>
      <c r="BW88" s="9"/>
      <c r="BX88" s="40"/>
      <c r="BY88" s="40"/>
      <c r="BZ88" s="36" t="str">
        <f aca="false">IF(BY88="","",EDATE(BY88,SG_Criteria!$B$54*12))</f>
        <v/>
      </c>
      <c r="CA88" s="33" t="str">
        <f aca="true">IF(A88="","",IF(BY88="","NOTE: not reviewed yet",IF(TODAY()&gt;BZ88,"NOTE: review overdue","OK")))</f>
        <v/>
      </c>
      <c r="CB88" s="37" t="str">
        <f aca="false">IF(A88="","",ROUND((IF(LEN(D88)&gt;0,1,0)+IF(LEN(E88)&gt;0,1,0)+IF(LEN(F88)&gt;0,1,0)+IF(LEN(G88)&gt;0,1,0)+IF(LEN(I88)&gt;0,1,0)+IF(LEN(J88)&gt;0,1,0)+IF(LEN(K88)&gt;0,1,0)+IF(LEN(L88)&gt;0,1,0)+IF(LEN(M88)&gt;0,1,0)+IF(LEN(N88)&gt;0,1,0)+IF(LEN(Z88)&gt;0,1,0)+IF(LEN(AA88)&gt;0,1,0)+IF(LEN(Y88)&gt;0,1,0)+IF(LEN(AE88)&gt;0,1,0)+IF(LEN(AG88)&gt;0,1,0)+IF(LEN(AZ88)&gt;0,1,0)+IF(LEN(AK88)&gt;0,1,0)+IF(LEN(AM88)&gt;0,1,0)+IF(LEN(AN88)&gt;0,1,0)+IF(LEN(AO88)&gt;0,1,0)+IF(LEN(AP88)&gt;0,1,0)+IF(LEN(AY88)&gt;0,1,0)+IF(LEN(BJ88)&gt;0,1,0)+IF(LEN(BW88)&gt;0,1,0))/24,2))</f>
        <v/>
      </c>
      <c r="CC88" s="10" t="str">
        <f aca="false">IF(D88="","",IF(AND(AN88="Approved",ISERROR(SEARCH("FAIL",BG88))),"Y","N"))</f>
        <v/>
      </c>
      <c r="CD88" s="10" t="str">
        <f aca="false">IF(D88="","",D88&amp;"|"&amp;J88&amp;"|"&amp;G88&amp;"|"&amp;CC88)</f>
        <v/>
      </c>
    </row>
    <row r="89" customFormat="false" ht="15" hidden="false" customHeight="false" outlineLevel="0" collapsed="false">
      <c r="A89" s="10" t="str">
        <f aca="false">IF(D89="","","MH-"&amp;IFERROR(VLOOKUP(D89,Lists!$AB$4:$AC$20,2,0),"??")&amp;"-"&amp;TEXT(G89,"0000")&amp;IF(F89="Circular","D","x"&amp;TEXT(H89,"0000"))&amp;"-D"&amp;TEXT(J89*1000,"0000")&amp;"-"&amp;IFERROR(VLOOKUP(E89,Lists!$AE$4:$AF$16,2,0),"??")&amp;"-"&amp;AM89)</f>
        <v/>
      </c>
      <c r="B89" s="10" t="str">
        <f aca="false">IF(D89="","",D89&amp;", "&amp;E89&amp;", "&amp;IF(F89="Circular",G89&amp;" dia",G89&amp;" x "&amp;H89)&amp;", depth "&amp;TEXT(I89,"0.0")&amp;"-"&amp;TEXT(J89,"0.0")&amp;" m, pipe up to "&amp;K89&amp;" dia")</f>
        <v/>
      </c>
      <c r="C89" s="9"/>
      <c r="D89" s="9"/>
      <c r="E89" s="9"/>
      <c r="F89" s="9"/>
      <c r="G89" s="38"/>
      <c r="H89" s="38"/>
      <c r="I89" s="42"/>
      <c r="J89" s="42"/>
      <c r="K89" s="38"/>
      <c r="L89" s="38"/>
      <c r="M89" s="38"/>
      <c r="N89" s="38"/>
      <c r="O89" s="9"/>
      <c r="P89" s="9"/>
      <c r="Q89" s="9"/>
      <c r="R89" s="9"/>
      <c r="S89" s="9"/>
      <c r="T89" s="9"/>
      <c r="U89" s="9"/>
      <c r="V89" s="42"/>
      <c r="W89" s="9"/>
      <c r="X89" s="9"/>
      <c r="Y89" s="39"/>
      <c r="Z89" s="9"/>
      <c r="AA89" s="38"/>
      <c r="AB89" s="9"/>
      <c r="AC89" s="9"/>
      <c r="AD89" s="9"/>
      <c r="AE89" s="9"/>
      <c r="AF89" s="9"/>
      <c r="AG89" s="9"/>
      <c r="AH89" s="38"/>
      <c r="AI89" s="9"/>
      <c r="AJ89" s="39"/>
      <c r="AK89" s="9"/>
      <c r="AL89" s="9"/>
      <c r="AM89" s="9"/>
      <c r="AN89" s="9"/>
      <c r="AO89" s="9"/>
      <c r="AP89" s="9"/>
      <c r="AQ89" s="9"/>
      <c r="AR89" s="10" t="str">
        <f aca="false">IF(A89="","",SG_Criteria!$B$6&amp;SG_Criteria!$B$10&amp;"\"&amp;A89&amp;"\")</f>
        <v/>
      </c>
      <c r="AS89" s="10" t="str">
        <f aca="false">IF(A89="","",A89&amp;"_CAD.dwg")</f>
        <v/>
      </c>
      <c r="AT89" s="10" t="str">
        <f aca="false">IF(A89="","",A89&amp;"_DWG.pdf")</f>
        <v/>
      </c>
      <c r="AU89" s="10" t="str">
        <f aca="false">IF(A89="","",IF(AQ89="Y",A89&amp;"_STAAD.std","n/a"))</f>
        <v/>
      </c>
      <c r="AV89" s="10" t="str">
        <f aca="false">IF(A89="","",A89&amp;"_CALC.xlsx")</f>
        <v/>
      </c>
      <c r="AW89" s="10" t="str">
        <f aca="false">IF(A89="","",A89&amp;"_CALC.pdf")</f>
        <v/>
      </c>
      <c r="AX89" s="9"/>
      <c r="AY89" s="9"/>
      <c r="AZ89" s="39"/>
      <c r="BA89" s="39"/>
      <c r="BB89" s="39"/>
      <c r="BC89" s="39"/>
      <c r="BD89" s="39"/>
      <c r="BE89" s="12" t="str">
        <f aca="false">IF(A89="","",IF(COUNTIF(Rebar_Schedule!$A$5:$A$2004,A89)=0,"",ROUND(SUMIF(Rebar_Schedule!$A$5:$A$2004,A89,Rebar_Schedule!$K$5:$K$2004),1)))</f>
        <v/>
      </c>
      <c r="BF89" s="33" t="str">
        <f aca="false">IF(A89="","",IF(BE89="","No rebar schedule yet",IF(ABS(BE89-N(BA89))/MAX(N(BA89),1)&gt;SG_Criteria!$B$55,"NOTE: register rebar differs from schedule by "&amp;TEXT(ABS(BE89-N(BA89))/MAX(N(BA89),1),"0%"),"OK")))</f>
        <v/>
      </c>
      <c r="BG89" s="33" t="str">
        <f aca="false">IF(D89="","",IF(LEN(IF(AND(Z89&lt;&gt;"",IFERROR(VALUE(MID(Z89,2,2)),0)&lt;SG_Criteria!$B$19),"FAIL: grade below C"&amp;SG_Criteria!$B$19&amp;". ","")&amp;IF(AND(AA89&lt;&gt;"",AA89&lt;SG_Criteria!$B$20),"FAIL: cover &lt; "&amp;SG_Criteria!$B$20&amp;" mm. ","")&amp;IF(AND(I89&lt;&gt;"",I89&lt;SG_Criteria!$B$39),"NOTE: min depth below PUB "&amp;SG_Criteria!$B$39&amp;" m. ","")&amp;IF(AND(LEFT(D89,8)="Standard",J89&gt;SG_Criteria!$B$42),"FAIL: PUB 001C covers manholes up to "&amp;SG_Criteria!$B$42&amp;" m deep only. ","")&amp;IF(AND(LEFT(D89,11)="Rectangular",K89&lt;SG_Criteria!$B$43),"NOTE: 004C is for sewers &gt;= "&amp;SG_Criteria!$B$43&amp;" dia. ","")&amp;IF(AND(LEFT(D89,7)="Precast",J89&lt;=SG_Criteria!$B$42),"NOTE: 006C is for manholes &gt; "&amp;SG_Criteria!$B$42&amp;" m deep. ","")&amp;IF(AND(K89&lt;&gt;"",K89&lt;SG_Criteria!$B$40,D89&lt;&gt;"Inspection Chamber"),"NOTE: public sewer min dia "&amp;SG_Criteria!$B$40&amp;" mm. ","")&amp;IF(AND(Y89&lt;&gt;"",Y89&lt;SG_Criteria!$B$44),"FAIL: uplift FOS below "&amp;SG_Criteria!$B$44&amp;". ",""))=0,"OK",IF(AND(Z89&lt;&gt;"",IFERROR(VALUE(MID(Z89,2,2)),0)&lt;SG_Criteria!$B$19),"FAIL: grade below C"&amp;SG_Criteria!$B$19&amp;". ","")&amp;IF(AND(AA89&lt;&gt;"",AA89&lt;SG_Criteria!$B$20),"FAIL: cover &lt; "&amp;SG_Criteria!$B$20&amp;" mm. ","")&amp;IF(AND(I89&lt;&gt;"",I89&lt;SG_Criteria!$B$39),"NOTE: min depth below PUB "&amp;SG_Criteria!$B$39&amp;" m. ","")&amp;IF(AND(LEFT(D89,8)="Standard",J89&gt;SG_Criteria!$B$42),"FAIL: PUB 001C covers manholes up to "&amp;SG_Criteria!$B$42&amp;" m deep only. ","")&amp;IF(AND(LEFT(D89,11)="Rectangular",K89&lt;SG_Criteria!$B$43),"NOTE: 004C is for sewers &gt;= "&amp;SG_Criteria!$B$43&amp;" dia. ","")&amp;IF(AND(LEFT(D89,7)="Precast",J89&lt;=SG_Criteria!$B$42),"NOTE: 006C is for manholes &gt; "&amp;SG_Criteria!$B$42&amp;" m deep. ","")&amp;IF(AND(K89&lt;&gt;"",K89&lt;SG_Criteria!$B$40,D89&lt;&gt;"Inspection Chamber"),"NOTE: public sewer min dia "&amp;SG_Criteria!$B$40&amp;" mm. ","")&amp;IF(AND(Y89&lt;&gt;"",Y89&lt;SG_Criteria!$B$44),"FAIL: uplift FOS below "&amp;SG_Criteria!$B$44&amp;". ","")))</f>
        <v/>
      </c>
      <c r="BH89" s="9"/>
      <c r="BI89" s="9"/>
      <c r="BJ89" s="9"/>
      <c r="BK89" s="10" t="str">
        <f aca="false">IF(BJ89="","",IFERROR(VLOOKUP(BJ89,Projects!$A$5:$D$504,2,0),"Ref not in Projects"))</f>
        <v/>
      </c>
      <c r="BL89" s="10" t="str">
        <f aca="false">IF(BJ89="","",IFERROR(VLOOKUP(BJ89,Projects!$A$5:$D$504,4,0),"Ref not in Projects"))</f>
        <v/>
      </c>
      <c r="BM89" s="9"/>
      <c r="BN89" s="9"/>
      <c r="BO89" s="9"/>
      <c r="BP89" s="40"/>
      <c r="BQ89" s="9"/>
      <c r="BR89" s="40"/>
      <c r="BS89" s="9"/>
      <c r="BT89" s="40"/>
      <c r="BU89" s="9"/>
      <c r="BV89" s="9"/>
      <c r="BW89" s="9"/>
      <c r="BX89" s="40"/>
      <c r="BY89" s="40"/>
      <c r="BZ89" s="36" t="str">
        <f aca="false">IF(BY89="","",EDATE(BY89,SG_Criteria!$B$54*12))</f>
        <v/>
      </c>
      <c r="CA89" s="33" t="str">
        <f aca="true">IF(A89="","",IF(BY89="","NOTE: not reviewed yet",IF(TODAY()&gt;BZ89,"NOTE: review overdue","OK")))</f>
        <v/>
      </c>
      <c r="CB89" s="37" t="str">
        <f aca="false">IF(A89="","",ROUND((IF(LEN(D89)&gt;0,1,0)+IF(LEN(E89)&gt;0,1,0)+IF(LEN(F89)&gt;0,1,0)+IF(LEN(G89)&gt;0,1,0)+IF(LEN(I89)&gt;0,1,0)+IF(LEN(J89)&gt;0,1,0)+IF(LEN(K89)&gt;0,1,0)+IF(LEN(L89)&gt;0,1,0)+IF(LEN(M89)&gt;0,1,0)+IF(LEN(N89)&gt;0,1,0)+IF(LEN(Z89)&gt;0,1,0)+IF(LEN(AA89)&gt;0,1,0)+IF(LEN(Y89)&gt;0,1,0)+IF(LEN(AE89)&gt;0,1,0)+IF(LEN(AG89)&gt;0,1,0)+IF(LEN(AZ89)&gt;0,1,0)+IF(LEN(AK89)&gt;0,1,0)+IF(LEN(AM89)&gt;0,1,0)+IF(LEN(AN89)&gt;0,1,0)+IF(LEN(AO89)&gt;0,1,0)+IF(LEN(AP89)&gt;0,1,0)+IF(LEN(AY89)&gt;0,1,0)+IF(LEN(BJ89)&gt;0,1,0)+IF(LEN(BW89)&gt;0,1,0))/24,2))</f>
        <v/>
      </c>
      <c r="CC89" s="10" t="str">
        <f aca="false">IF(D89="","",IF(AND(AN89="Approved",ISERROR(SEARCH("FAIL",BG89))),"Y","N"))</f>
        <v/>
      </c>
      <c r="CD89" s="10" t="str">
        <f aca="false">IF(D89="","",D89&amp;"|"&amp;J89&amp;"|"&amp;G89&amp;"|"&amp;CC89)</f>
        <v/>
      </c>
    </row>
    <row r="90" customFormat="false" ht="15" hidden="false" customHeight="false" outlineLevel="0" collapsed="false">
      <c r="A90" s="10" t="str">
        <f aca="false">IF(D90="","","MH-"&amp;IFERROR(VLOOKUP(D90,Lists!$AB$4:$AC$20,2,0),"??")&amp;"-"&amp;TEXT(G90,"0000")&amp;IF(F90="Circular","D","x"&amp;TEXT(H90,"0000"))&amp;"-D"&amp;TEXT(J90*1000,"0000")&amp;"-"&amp;IFERROR(VLOOKUP(E90,Lists!$AE$4:$AF$16,2,0),"??")&amp;"-"&amp;AM90)</f>
        <v/>
      </c>
      <c r="B90" s="10" t="str">
        <f aca="false">IF(D90="","",D90&amp;", "&amp;E90&amp;", "&amp;IF(F90="Circular",G90&amp;" dia",G90&amp;" x "&amp;H90)&amp;", depth "&amp;TEXT(I90,"0.0")&amp;"-"&amp;TEXT(J90,"0.0")&amp;" m, pipe up to "&amp;K90&amp;" dia")</f>
        <v/>
      </c>
      <c r="C90" s="9"/>
      <c r="D90" s="9"/>
      <c r="E90" s="9"/>
      <c r="F90" s="9"/>
      <c r="G90" s="38"/>
      <c r="H90" s="38"/>
      <c r="I90" s="42"/>
      <c r="J90" s="42"/>
      <c r="K90" s="38"/>
      <c r="L90" s="38"/>
      <c r="M90" s="38"/>
      <c r="N90" s="38"/>
      <c r="O90" s="9"/>
      <c r="P90" s="9"/>
      <c r="Q90" s="9"/>
      <c r="R90" s="9"/>
      <c r="S90" s="9"/>
      <c r="T90" s="9"/>
      <c r="U90" s="9"/>
      <c r="V90" s="42"/>
      <c r="W90" s="9"/>
      <c r="X90" s="9"/>
      <c r="Y90" s="39"/>
      <c r="Z90" s="9"/>
      <c r="AA90" s="38"/>
      <c r="AB90" s="9"/>
      <c r="AC90" s="9"/>
      <c r="AD90" s="9"/>
      <c r="AE90" s="9"/>
      <c r="AF90" s="9"/>
      <c r="AG90" s="9"/>
      <c r="AH90" s="38"/>
      <c r="AI90" s="9"/>
      <c r="AJ90" s="39"/>
      <c r="AK90" s="9"/>
      <c r="AL90" s="9"/>
      <c r="AM90" s="9"/>
      <c r="AN90" s="9"/>
      <c r="AO90" s="9"/>
      <c r="AP90" s="9"/>
      <c r="AQ90" s="9"/>
      <c r="AR90" s="10" t="str">
        <f aca="false">IF(A90="","",SG_Criteria!$B$6&amp;SG_Criteria!$B$10&amp;"\"&amp;A90&amp;"\")</f>
        <v/>
      </c>
      <c r="AS90" s="10" t="str">
        <f aca="false">IF(A90="","",A90&amp;"_CAD.dwg")</f>
        <v/>
      </c>
      <c r="AT90" s="10" t="str">
        <f aca="false">IF(A90="","",A90&amp;"_DWG.pdf")</f>
        <v/>
      </c>
      <c r="AU90" s="10" t="str">
        <f aca="false">IF(A90="","",IF(AQ90="Y",A90&amp;"_STAAD.std","n/a"))</f>
        <v/>
      </c>
      <c r="AV90" s="10" t="str">
        <f aca="false">IF(A90="","",A90&amp;"_CALC.xlsx")</f>
        <v/>
      </c>
      <c r="AW90" s="10" t="str">
        <f aca="false">IF(A90="","",A90&amp;"_CALC.pdf")</f>
        <v/>
      </c>
      <c r="AX90" s="9"/>
      <c r="AY90" s="9"/>
      <c r="AZ90" s="39"/>
      <c r="BA90" s="39"/>
      <c r="BB90" s="39"/>
      <c r="BC90" s="39"/>
      <c r="BD90" s="39"/>
      <c r="BE90" s="12" t="str">
        <f aca="false">IF(A90="","",IF(COUNTIF(Rebar_Schedule!$A$5:$A$2004,A90)=0,"",ROUND(SUMIF(Rebar_Schedule!$A$5:$A$2004,A90,Rebar_Schedule!$K$5:$K$2004),1)))</f>
        <v/>
      </c>
      <c r="BF90" s="33" t="str">
        <f aca="false">IF(A90="","",IF(BE90="","No rebar schedule yet",IF(ABS(BE90-N(BA90))/MAX(N(BA90),1)&gt;SG_Criteria!$B$55,"NOTE: register rebar differs from schedule by "&amp;TEXT(ABS(BE90-N(BA90))/MAX(N(BA90),1),"0%"),"OK")))</f>
        <v/>
      </c>
      <c r="BG90" s="33" t="str">
        <f aca="false">IF(D90="","",IF(LEN(IF(AND(Z90&lt;&gt;"",IFERROR(VALUE(MID(Z90,2,2)),0)&lt;SG_Criteria!$B$19),"FAIL: grade below C"&amp;SG_Criteria!$B$19&amp;". ","")&amp;IF(AND(AA90&lt;&gt;"",AA90&lt;SG_Criteria!$B$20),"FAIL: cover &lt; "&amp;SG_Criteria!$B$20&amp;" mm. ","")&amp;IF(AND(I90&lt;&gt;"",I90&lt;SG_Criteria!$B$39),"NOTE: min depth below PUB "&amp;SG_Criteria!$B$39&amp;" m. ","")&amp;IF(AND(LEFT(D90,8)="Standard",J90&gt;SG_Criteria!$B$42),"FAIL: PUB 001C covers manholes up to "&amp;SG_Criteria!$B$42&amp;" m deep only. ","")&amp;IF(AND(LEFT(D90,11)="Rectangular",K90&lt;SG_Criteria!$B$43),"NOTE: 004C is for sewers &gt;= "&amp;SG_Criteria!$B$43&amp;" dia. ","")&amp;IF(AND(LEFT(D90,7)="Precast",J90&lt;=SG_Criteria!$B$42),"NOTE: 006C is for manholes &gt; "&amp;SG_Criteria!$B$42&amp;" m deep. ","")&amp;IF(AND(K90&lt;&gt;"",K90&lt;SG_Criteria!$B$40,D90&lt;&gt;"Inspection Chamber"),"NOTE: public sewer min dia "&amp;SG_Criteria!$B$40&amp;" mm. ","")&amp;IF(AND(Y90&lt;&gt;"",Y90&lt;SG_Criteria!$B$44),"FAIL: uplift FOS below "&amp;SG_Criteria!$B$44&amp;". ",""))=0,"OK",IF(AND(Z90&lt;&gt;"",IFERROR(VALUE(MID(Z90,2,2)),0)&lt;SG_Criteria!$B$19),"FAIL: grade below C"&amp;SG_Criteria!$B$19&amp;". ","")&amp;IF(AND(AA90&lt;&gt;"",AA90&lt;SG_Criteria!$B$20),"FAIL: cover &lt; "&amp;SG_Criteria!$B$20&amp;" mm. ","")&amp;IF(AND(I90&lt;&gt;"",I90&lt;SG_Criteria!$B$39),"NOTE: min depth below PUB "&amp;SG_Criteria!$B$39&amp;" m. ","")&amp;IF(AND(LEFT(D90,8)="Standard",J90&gt;SG_Criteria!$B$42),"FAIL: PUB 001C covers manholes up to "&amp;SG_Criteria!$B$42&amp;" m deep only. ","")&amp;IF(AND(LEFT(D90,11)="Rectangular",K90&lt;SG_Criteria!$B$43),"NOTE: 004C is for sewers &gt;= "&amp;SG_Criteria!$B$43&amp;" dia. ","")&amp;IF(AND(LEFT(D90,7)="Precast",J90&lt;=SG_Criteria!$B$42),"NOTE: 006C is for manholes &gt; "&amp;SG_Criteria!$B$42&amp;" m deep. ","")&amp;IF(AND(K90&lt;&gt;"",K90&lt;SG_Criteria!$B$40,D90&lt;&gt;"Inspection Chamber"),"NOTE: public sewer min dia "&amp;SG_Criteria!$B$40&amp;" mm. ","")&amp;IF(AND(Y90&lt;&gt;"",Y90&lt;SG_Criteria!$B$44),"FAIL: uplift FOS below "&amp;SG_Criteria!$B$44&amp;". ","")))</f>
        <v/>
      </c>
      <c r="BH90" s="9"/>
      <c r="BI90" s="9"/>
      <c r="BJ90" s="9"/>
      <c r="BK90" s="10" t="str">
        <f aca="false">IF(BJ90="","",IFERROR(VLOOKUP(BJ90,Projects!$A$5:$D$504,2,0),"Ref not in Projects"))</f>
        <v/>
      </c>
      <c r="BL90" s="10" t="str">
        <f aca="false">IF(BJ90="","",IFERROR(VLOOKUP(BJ90,Projects!$A$5:$D$504,4,0),"Ref not in Projects"))</f>
        <v/>
      </c>
      <c r="BM90" s="9"/>
      <c r="BN90" s="9"/>
      <c r="BO90" s="9"/>
      <c r="BP90" s="40"/>
      <c r="BQ90" s="9"/>
      <c r="BR90" s="40"/>
      <c r="BS90" s="9"/>
      <c r="BT90" s="40"/>
      <c r="BU90" s="9"/>
      <c r="BV90" s="9"/>
      <c r="BW90" s="9"/>
      <c r="BX90" s="40"/>
      <c r="BY90" s="40"/>
      <c r="BZ90" s="36" t="str">
        <f aca="false">IF(BY90="","",EDATE(BY90,SG_Criteria!$B$54*12))</f>
        <v/>
      </c>
      <c r="CA90" s="33" t="str">
        <f aca="true">IF(A90="","",IF(BY90="","NOTE: not reviewed yet",IF(TODAY()&gt;BZ90,"NOTE: review overdue","OK")))</f>
        <v/>
      </c>
      <c r="CB90" s="37" t="str">
        <f aca="false">IF(A90="","",ROUND((IF(LEN(D90)&gt;0,1,0)+IF(LEN(E90)&gt;0,1,0)+IF(LEN(F90)&gt;0,1,0)+IF(LEN(G90)&gt;0,1,0)+IF(LEN(I90)&gt;0,1,0)+IF(LEN(J90)&gt;0,1,0)+IF(LEN(K90)&gt;0,1,0)+IF(LEN(L90)&gt;0,1,0)+IF(LEN(M90)&gt;0,1,0)+IF(LEN(N90)&gt;0,1,0)+IF(LEN(Z90)&gt;0,1,0)+IF(LEN(AA90)&gt;0,1,0)+IF(LEN(Y90)&gt;0,1,0)+IF(LEN(AE90)&gt;0,1,0)+IF(LEN(AG90)&gt;0,1,0)+IF(LEN(AZ90)&gt;0,1,0)+IF(LEN(AK90)&gt;0,1,0)+IF(LEN(AM90)&gt;0,1,0)+IF(LEN(AN90)&gt;0,1,0)+IF(LEN(AO90)&gt;0,1,0)+IF(LEN(AP90)&gt;0,1,0)+IF(LEN(AY90)&gt;0,1,0)+IF(LEN(BJ90)&gt;0,1,0)+IF(LEN(BW90)&gt;0,1,0))/24,2))</f>
        <v/>
      </c>
      <c r="CC90" s="10" t="str">
        <f aca="false">IF(D90="","",IF(AND(AN90="Approved",ISERROR(SEARCH("FAIL",BG90))),"Y","N"))</f>
        <v/>
      </c>
      <c r="CD90" s="10" t="str">
        <f aca="false">IF(D90="","",D90&amp;"|"&amp;J90&amp;"|"&amp;G90&amp;"|"&amp;CC90)</f>
        <v/>
      </c>
    </row>
    <row r="91" customFormat="false" ht="15" hidden="false" customHeight="false" outlineLevel="0" collapsed="false">
      <c r="A91" s="10" t="str">
        <f aca="false">IF(D91="","","MH-"&amp;IFERROR(VLOOKUP(D91,Lists!$AB$4:$AC$20,2,0),"??")&amp;"-"&amp;TEXT(G91,"0000")&amp;IF(F91="Circular","D","x"&amp;TEXT(H91,"0000"))&amp;"-D"&amp;TEXT(J91*1000,"0000")&amp;"-"&amp;IFERROR(VLOOKUP(E91,Lists!$AE$4:$AF$16,2,0),"??")&amp;"-"&amp;AM91)</f>
        <v/>
      </c>
      <c r="B91" s="10" t="str">
        <f aca="false">IF(D91="","",D91&amp;", "&amp;E91&amp;", "&amp;IF(F91="Circular",G91&amp;" dia",G91&amp;" x "&amp;H91)&amp;", depth "&amp;TEXT(I91,"0.0")&amp;"-"&amp;TEXT(J91,"0.0")&amp;" m, pipe up to "&amp;K91&amp;" dia")</f>
        <v/>
      </c>
      <c r="C91" s="9"/>
      <c r="D91" s="9"/>
      <c r="E91" s="9"/>
      <c r="F91" s="9"/>
      <c r="G91" s="38"/>
      <c r="H91" s="38"/>
      <c r="I91" s="42"/>
      <c r="J91" s="42"/>
      <c r="K91" s="38"/>
      <c r="L91" s="38"/>
      <c r="M91" s="38"/>
      <c r="N91" s="38"/>
      <c r="O91" s="9"/>
      <c r="P91" s="9"/>
      <c r="Q91" s="9"/>
      <c r="R91" s="9"/>
      <c r="S91" s="9"/>
      <c r="T91" s="9"/>
      <c r="U91" s="9"/>
      <c r="V91" s="42"/>
      <c r="W91" s="9"/>
      <c r="X91" s="9"/>
      <c r="Y91" s="39"/>
      <c r="Z91" s="9"/>
      <c r="AA91" s="38"/>
      <c r="AB91" s="9"/>
      <c r="AC91" s="9"/>
      <c r="AD91" s="9"/>
      <c r="AE91" s="9"/>
      <c r="AF91" s="9"/>
      <c r="AG91" s="9"/>
      <c r="AH91" s="38"/>
      <c r="AI91" s="9"/>
      <c r="AJ91" s="39"/>
      <c r="AK91" s="9"/>
      <c r="AL91" s="9"/>
      <c r="AM91" s="9"/>
      <c r="AN91" s="9"/>
      <c r="AO91" s="9"/>
      <c r="AP91" s="9"/>
      <c r="AQ91" s="9"/>
      <c r="AR91" s="10" t="str">
        <f aca="false">IF(A91="","",SG_Criteria!$B$6&amp;SG_Criteria!$B$10&amp;"\"&amp;A91&amp;"\")</f>
        <v/>
      </c>
      <c r="AS91" s="10" t="str">
        <f aca="false">IF(A91="","",A91&amp;"_CAD.dwg")</f>
        <v/>
      </c>
      <c r="AT91" s="10" t="str">
        <f aca="false">IF(A91="","",A91&amp;"_DWG.pdf")</f>
        <v/>
      </c>
      <c r="AU91" s="10" t="str">
        <f aca="false">IF(A91="","",IF(AQ91="Y",A91&amp;"_STAAD.std","n/a"))</f>
        <v/>
      </c>
      <c r="AV91" s="10" t="str">
        <f aca="false">IF(A91="","",A91&amp;"_CALC.xlsx")</f>
        <v/>
      </c>
      <c r="AW91" s="10" t="str">
        <f aca="false">IF(A91="","",A91&amp;"_CALC.pdf")</f>
        <v/>
      </c>
      <c r="AX91" s="9"/>
      <c r="AY91" s="9"/>
      <c r="AZ91" s="39"/>
      <c r="BA91" s="39"/>
      <c r="BB91" s="39"/>
      <c r="BC91" s="39"/>
      <c r="BD91" s="39"/>
      <c r="BE91" s="12" t="str">
        <f aca="false">IF(A91="","",IF(COUNTIF(Rebar_Schedule!$A$5:$A$2004,A91)=0,"",ROUND(SUMIF(Rebar_Schedule!$A$5:$A$2004,A91,Rebar_Schedule!$K$5:$K$2004),1)))</f>
        <v/>
      </c>
      <c r="BF91" s="33" t="str">
        <f aca="false">IF(A91="","",IF(BE91="","No rebar schedule yet",IF(ABS(BE91-N(BA91))/MAX(N(BA91),1)&gt;SG_Criteria!$B$55,"NOTE: register rebar differs from schedule by "&amp;TEXT(ABS(BE91-N(BA91))/MAX(N(BA91),1),"0%"),"OK")))</f>
        <v/>
      </c>
      <c r="BG91" s="33" t="str">
        <f aca="false">IF(D91="","",IF(LEN(IF(AND(Z91&lt;&gt;"",IFERROR(VALUE(MID(Z91,2,2)),0)&lt;SG_Criteria!$B$19),"FAIL: grade below C"&amp;SG_Criteria!$B$19&amp;". ","")&amp;IF(AND(AA91&lt;&gt;"",AA91&lt;SG_Criteria!$B$20),"FAIL: cover &lt; "&amp;SG_Criteria!$B$20&amp;" mm. ","")&amp;IF(AND(I91&lt;&gt;"",I91&lt;SG_Criteria!$B$39),"NOTE: min depth below PUB "&amp;SG_Criteria!$B$39&amp;" m. ","")&amp;IF(AND(LEFT(D91,8)="Standard",J91&gt;SG_Criteria!$B$42),"FAIL: PUB 001C covers manholes up to "&amp;SG_Criteria!$B$42&amp;" m deep only. ","")&amp;IF(AND(LEFT(D91,11)="Rectangular",K91&lt;SG_Criteria!$B$43),"NOTE: 004C is for sewers &gt;= "&amp;SG_Criteria!$B$43&amp;" dia. ","")&amp;IF(AND(LEFT(D91,7)="Precast",J91&lt;=SG_Criteria!$B$42),"NOTE: 006C is for manholes &gt; "&amp;SG_Criteria!$B$42&amp;" m deep. ","")&amp;IF(AND(K91&lt;&gt;"",K91&lt;SG_Criteria!$B$40,D91&lt;&gt;"Inspection Chamber"),"NOTE: public sewer min dia "&amp;SG_Criteria!$B$40&amp;" mm. ","")&amp;IF(AND(Y91&lt;&gt;"",Y91&lt;SG_Criteria!$B$44),"FAIL: uplift FOS below "&amp;SG_Criteria!$B$44&amp;". ",""))=0,"OK",IF(AND(Z91&lt;&gt;"",IFERROR(VALUE(MID(Z91,2,2)),0)&lt;SG_Criteria!$B$19),"FAIL: grade below C"&amp;SG_Criteria!$B$19&amp;". ","")&amp;IF(AND(AA91&lt;&gt;"",AA91&lt;SG_Criteria!$B$20),"FAIL: cover &lt; "&amp;SG_Criteria!$B$20&amp;" mm. ","")&amp;IF(AND(I91&lt;&gt;"",I91&lt;SG_Criteria!$B$39),"NOTE: min depth below PUB "&amp;SG_Criteria!$B$39&amp;" m. ","")&amp;IF(AND(LEFT(D91,8)="Standard",J91&gt;SG_Criteria!$B$42),"FAIL: PUB 001C covers manholes up to "&amp;SG_Criteria!$B$42&amp;" m deep only. ","")&amp;IF(AND(LEFT(D91,11)="Rectangular",K91&lt;SG_Criteria!$B$43),"NOTE: 004C is for sewers &gt;= "&amp;SG_Criteria!$B$43&amp;" dia. ","")&amp;IF(AND(LEFT(D91,7)="Precast",J91&lt;=SG_Criteria!$B$42),"NOTE: 006C is for manholes &gt; "&amp;SG_Criteria!$B$42&amp;" m deep. ","")&amp;IF(AND(K91&lt;&gt;"",K91&lt;SG_Criteria!$B$40,D91&lt;&gt;"Inspection Chamber"),"NOTE: public sewer min dia "&amp;SG_Criteria!$B$40&amp;" mm. ","")&amp;IF(AND(Y91&lt;&gt;"",Y91&lt;SG_Criteria!$B$44),"FAIL: uplift FOS below "&amp;SG_Criteria!$B$44&amp;". ","")))</f>
        <v/>
      </c>
      <c r="BH91" s="9"/>
      <c r="BI91" s="9"/>
      <c r="BJ91" s="9"/>
      <c r="BK91" s="10" t="str">
        <f aca="false">IF(BJ91="","",IFERROR(VLOOKUP(BJ91,Projects!$A$5:$D$504,2,0),"Ref not in Projects"))</f>
        <v/>
      </c>
      <c r="BL91" s="10" t="str">
        <f aca="false">IF(BJ91="","",IFERROR(VLOOKUP(BJ91,Projects!$A$5:$D$504,4,0),"Ref not in Projects"))</f>
        <v/>
      </c>
      <c r="BM91" s="9"/>
      <c r="BN91" s="9"/>
      <c r="BO91" s="9"/>
      <c r="BP91" s="40"/>
      <c r="BQ91" s="9"/>
      <c r="BR91" s="40"/>
      <c r="BS91" s="9"/>
      <c r="BT91" s="40"/>
      <c r="BU91" s="9"/>
      <c r="BV91" s="9"/>
      <c r="BW91" s="9"/>
      <c r="BX91" s="40"/>
      <c r="BY91" s="40"/>
      <c r="BZ91" s="36" t="str">
        <f aca="false">IF(BY91="","",EDATE(BY91,SG_Criteria!$B$54*12))</f>
        <v/>
      </c>
      <c r="CA91" s="33" t="str">
        <f aca="true">IF(A91="","",IF(BY91="","NOTE: not reviewed yet",IF(TODAY()&gt;BZ91,"NOTE: review overdue","OK")))</f>
        <v/>
      </c>
      <c r="CB91" s="37" t="str">
        <f aca="false">IF(A91="","",ROUND((IF(LEN(D91)&gt;0,1,0)+IF(LEN(E91)&gt;0,1,0)+IF(LEN(F91)&gt;0,1,0)+IF(LEN(G91)&gt;0,1,0)+IF(LEN(I91)&gt;0,1,0)+IF(LEN(J91)&gt;0,1,0)+IF(LEN(K91)&gt;0,1,0)+IF(LEN(L91)&gt;0,1,0)+IF(LEN(M91)&gt;0,1,0)+IF(LEN(N91)&gt;0,1,0)+IF(LEN(Z91)&gt;0,1,0)+IF(LEN(AA91)&gt;0,1,0)+IF(LEN(Y91)&gt;0,1,0)+IF(LEN(AE91)&gt;0,1,0)+IF(LEN(AG91)&gt;0,1,0)+IF(LEN(AZ91)&gt;0,1,0)+IF(LEN(AK91)&gt;0,1,0)+IF(LEN(AM91)&gt;0,1,0)+IF(LEN(AN91)&gt;0,1,0)+IF(LEN(AO91)&gt;0,1,0)+IF(LEN(AP91)&gt;0,1,0)+IF(LEN(AY91)&gt;0,1,0)+IF(LEN(BJ91)&gt;0,1,0)+IF(LEN(BW91)&gt;0,1,0))/24,2))</f>
        <v/>
      </c>
      <c r="CC91" s="10" t="str">
        <f aca="false">IF(D91="","",IF(AND(AN91="Approved",ISERROR(SEARCH("FAIL",BG91))),"Y","N"))</f>
        <v/>
      </c>
      <c r="CD91" s="10" t="str">
        <f aca="false">IF(D91="","",D91&amp;"|"&amp;J91&amp;"|"&amp;G91&amp;"|"&amp;CC91)</f>
        <v/>
      </c>
    </row>
    <row r="92" customFormat="false" ht="15" hidden="false" customHeight="false" outlineLevel="0" collapsed="false">
      <c r="A92" s="10" t="str">
        <f aca="false">IF(D92="","","MH-"&amp;IFERROR(VLOOKUP(D92,Lists!$AB$4:$AC$20,2,0),"??")&amp;"-"&amp;TEXT(G92,"0000")&amp;IF(F92="Circular","D","x"&amp;TEXT(H92,"0000"))&amp;"-D"&amp;TEXT(J92*1000,"0000")&amp;"-"&amp;IFERROR(VLOOKUP(E92,Lists!$AE$4:$AF$16,2,0),"??")&amp;"-"&amp;AM92)</f>
        <v/>
      </c>
      <c r="B92" s="10" t="str">
        <f aca="false">IF(D92="","",D92&amp;", "&amp;E92&amp;", "&amp;IF(F92="Circular",G92&amp;" dia",G92&amp;" x "&amp;H92)&amp;", depth "&amp;TEXT(I92,"0.0")&amp;"-"&amp;TEXT(J92,"0.0")&amp;" m, pipe up to "&amp;K92&amp;" dia")</f>
        <v/>
      </c>
      <c r="C92" s="9"/>
      <c r="D92" s="9"/>
      <c r="E92" s="9"/>
      <c r="F92" s="9"/>
      <c r="G92" s="38"/>
      <c r="H92" s="38"/>
      <c r="I92" s="42"/>
      <c r="J92" s="42"/>
      <c r="K92" s="38"/>
      <c r="L92" s="38"/>
      <c r="M92" s="38"/>
      <c r="N92" s="38"/>
      <c r="O92" s="9"/>
      <c r="P92" s="9"/>
      <c r="Q92" s="9"/>
      <c r="R92" s="9"/>
      <c r="S92" s="9"/>
      <c r="T92" s="9"/>
      <c r="U92" s="9"/>
      <c r="V92" s="42"/>
      <c r="W92" s="9"/>
      <c r="X92" s="9"/>
      <c r="Y92" s="39"/>
      <c r="Z92" s="9"/>
      <c r="AA92" s="38"/>
      <c r="AB92" s="9"/>
      <c r="AC92" s="9"/>
      <c r="AD92" s="9"/>
      <c r="AE92" s="9"/>
      <c r="AF92" s="9"/>
      <c r="AG92" s="9"/>
      <c r="AH92" s="38"/>
      <c r="AI92" s="9"/>
      <c r="AJ92" s="39"/>
      <c r="AK92" s="9"/>
      <c r="AL92" s="9"/>
      <c r="AM92" s="9"/>
      <c r="AN92" s="9"/>
      <c r="AO92" s="9"/>
      <c r="AP92" s="9"/>
      <c r="AQ92" s="9"/>
      <c r="AR92" s="10" t="str">
        <f aca="false">IF(A92="","",SG_Criteria!$B$6&amp;SG_Criteria!$B$10&amp;"\"&amp;A92&amp;"\")</f>
        <v/>
      </c>
      <c r="AS92" s="10" t="str">
        <f aca="false">IF(A92="","",A92&amp;"_CAD.dwg")</f>
        <v/>
      </c>
      <c r="AT92" s="10" t="str">
        <f aca="false">IF(A92="","",A92&amp;"_DWG.pdf")</f>
        <v/>
      </c>
      <c r="AU92" s="10" t="str">
        <f aca="false">IF(A92="","",IF(AQ92="Y",A92&amp;"_STAAD.std","n/a"))</f>
        <v/>
      </c>
      <c r="AV92" s="10" t="str">
        <f aca="false">IF(A92="","",A92&amp;"_CALC.xlsx")</f>
        <v/>
      </c>
      <c r="AW92" s="10" t="str">
        <f aca="false">IF(A92="","",A92&amp;"_CALC.pdf")</f>
        <v/>
      </c>
      <c r="AX92" s="9"/>
      <c r="AY92" s="9"/>
      <c r="AZ92" s="39"/>
      <c r="BA92" s="39"/>
      <c r="BB92" s="39"/>
      <c r="BC92" s="39"/>
      <c r="BD92" s="39"/>
      <c r="BE92" s="12" t="str">
        <f aca="false">IF(A92="","",IF(COUNTIF(Rebar_Schedule!$A$5:$A$2004,A92)=0,"",ROUND(SUMIF(Rebar_Schedule!$A$5:$A$2004,A92,Rebar_Schedule!$K$5:$K$2004),1)))</f>
        <v/>
      </c>
      <c r="BF92" s="33" t="str">
        <f aca="false">IF(A92="","",IF(BE92="","No rebar schedule yet",IF(ABS(BE92-N(BA92))/MAX(N(BA92),1)&gt;SG_Criteria!$B$55,"NOTE: register rebar differs from schedule by "&amp;TEXT(ABS(BE92-N(BA92))/MAX(N(BA92),1),"0%"),"OK")))</f>
        <v/>
      </c>
      <c r="BG92" s="33" t="str">
        <f aca="false">IF(D92="","",IF(LEN(IF(AND(Z92&lt;&gt;"",IFERROR(VALUE(MID(Z92,2,2)),0)&lt;SG_Criteria!$B$19),"FAIL: grade below C"&amp;SG_Criteria!$B$19&amp;". ","")&amp;IF(AND(AA92&lt;&gt;"",AA92&lt;SG_Criteria!$B$20),"FAIL: cover &lt; "&amp;SG_Criteria!$B$20&amp;" mm. ","")&amp;IF(AND(I92&lt;&gt;"",I92&lt;SG_Criteria!$B$39),"NOTE: min depth below PUB "&amp;SG_Criteria!$B$39&amp;" m. ","")&amp;IF(AND(LEFT(D92,8)="Standard",J92&gt;SG_Criteria!$B$42),"FAIL: PUB 001C covers manholes up to "&amp;SG_Criteria!$B$42&amp;" m deep only. ","")&amp;IF(AND(LEFT(D92,11)="Rectangular",K92&lt;SG_Criteria!$B$43),"NOTE: 004C is for sewers &gt;= "&amp;SG_Criteria!$B$43&amp;" dia. ","")&amp;IF(AND(LEFT(D92,7)="Precast",J92&lt;=SG_Criteria!$B$42),"NOTE: 006C is for manholes &gt; "&amp;SG_Criteria!$B$42&amp;" m deep. ","")&amp;IF(AND(K92&lt;&gt;"",K92&lt;SG_Criteria!$B$40,D92&lt;&gt;"Inspection Chamber"),"NOTE: public sewer min dia "&amp;SG_Criteria!$B$40&amp;" mm. ","")&amp;IF(AND(Y92&lt;&gt;"",Y92&lt;SG_Criteria!$B$44),"FAIL: uplift FOS below "&amp;SG_Criteria!$B$44&amp;". ",""))=0,"OK",IF(AND(Z92&lt;&gt;"",IFERROR(VALUE(MID(Z92,2,2)),0)&lt;SG_Criteria!$B$19),"FAIL: grade below C"&amp;SG_Criteria!$B$19&amp;". ","")&amp;IF(AND(AA92&lt;&gt;"",AA92&lt;SG_Criteria!$B$20),"FAIL: cover &lt; "&amp;SG_Criteria!$B$20&amp;" mm. ","")&amp;IF(AND(I92&lt;&gt;"",I92&lt;SG_Criteria!$B$39),"NOTE: min depth below PUB "&amp;SG_Criteria!$B$39&amp;" m. ","")&amp;IF(AND(LEFT(D92,8)="Standard",J92&gt;SG_Criteria!$B$42),"FAIL: PUB 001C covers manholes up to "&amp;SG_Criteria!$B$42&amp;" m deep only. ","")&amp;IF(AND(LEFT(D92,11)="Rectangular",K92&lt;SG_Criteria!$B$43),"NOTE: 004C is for sewers &gt;= "&amp;SG_Criteria!$B$43&amp;" dia. ","")&amp;IF(AND(LEFT(D92,7)="Precast",J92&lt;=SG_Criteria!$B$42),"NOTE: 006C is for manholes &gt; "&amp;SG_Criteria!$B$42&amp;" m deep. ","")&amp;IF(AND(K92&lt;&gt;"",K92&lt;SG_Criteria!$B$40,D92&lt;&gt;"Inspection Chamber"),"NOTE: public sewer min dia "&amp;SG_Criteria!$B$40&amp;" mm. ","")&amp;IF(AND(Y92&lt;&gt;"",Y92&lt;SG_Criteria!$B$44),"FAIL: uplift FOS below "&amp;SG_Criteria!$B$44&amp;". ","")))</f>
        <v/>
      </c>
      <c r="BH92" s="9"/>
      <c r="BI92" s="9"/>
      <c r="BJ92" s="9"/>
      <c r="BK92" s="10" t="str">
        <f aca="false">IF(BJ92="","",IFERROR(VLOOKUP(BJ92,Projects!$A$5:$D$504,2,0),"Ref not in Projects"))</f>
        <v/>
      </c>
      <c r="BL92" s="10" t="str">
        <f aca="false">IF(BJ92="","",IFERROR(VLOOKUP(BJ92,Projects!$A$5:$D$504,4,0),"Ref not in Projects"))</f>
        <v/>
      </c>
      <c r="BM92" s="9"/>
      <c r="BN92" s="9"/>
      <c r="BO92" s="9"/>
      <c r="BP92" s="40"/>
      <c r="BQ92" s="9"/>
      <c r="BR92" s="40"/>
      <c r="BS92" s="9"/>
      <c r="BT92" s="40"/>
      <c r="BU92" s="9"/>
      <c r="BV92" s="9"/>
      <c r="BW92" s="9"/>
      <c r="BX92" s="40"/>
      <c r="BY92" s="40"/>
      <c r="BZ92" s="36" t="str">
        <f aca="false">IF(BY92="","",EDATE(BY92,SG_Criteria!$B$54*12))</f>
        <v/>
      </c>
      <c r="CA92" s="33" t="str">
        <f aca="true">IF(A92="","",IF(BY92="","NOTE: not reviewed yet",IF(TODAY()&gt;BZ92,"NOTE: review overdue","OK")))</f>
        <v/>
      </c>
      <c r="CB92" s="37" t="str">
        <f aca="false">IF(A92="","",ROUND((IF(LEN(D92)&gt;0,1,0)+IF(LEN(E92)&gt;0,1,0)+IF(LEN(F92)&gt;0,1,0)+IF(LEN(G92)&gt;0,1,0)+IF(LEN(I92)&gt;0,1,0)+IF(LEN(J92)&gt;0,1,0)+IF(LEN(K92)&gt;0,1,0)+IF(LEN(L92)&gt;0,1,0)+IF(LEN(M92)&gt;0,1,0)+IF(LEN(N92)&gt;0,1,0)+IF(LEN(Z92)&gt;0,1,0)+IF(LEN(AA92)&gt;0,1,0)+IF(LEN(Y92)&gt;0,1,0)+IF(LEN(AE92)&gt;0,1,0)+IF(LEN(AG92)&gt;0,1,0)+IF(LEN(AZ92)&gt;0,1,0)+IF(LEN(AK92)&gt;0,1,0)+IF(LEN(AM92)&gt;0,1,0)+IF(LEN(AN92)&gt;0,1,0)+IF(LEN(AO92)&gt;0,1,0)+IF(LEN(AP92)&gt;0,1,0)+IF(LEN(AY92)&gt;0,1,0)+IF(LEN(BJ92)&gt;0,1,0)+IF(LEN(BW92)&gt;0,1,0))/24,2))</f>
        <v/>
      </c>
      <c r="CC92" s="10" t="str">
        <f aca="false">IF(D92="","",IF(AND(AN92="Approved",ISERROR(SEARCH("FAIL",BG92))),"Y","N"))</f>
        <v/>
      </c>
      <c r="CD92" s="10" t="str">
        <f aca="false">IF(D92="","",D92&amp;"|"&amp;J92&amp;"|"&amp;G92&amp;"|"&amp;CC92)</f>
        <v/>
      </c>
    </row>
    <row r="93" customFormat="false" ht="15" hidden="false" customHeight="false" outlineLevel="0" collapsed="false">
      <c r="A93" s="10" t="str">
        <f aca="false">IF(D93="","","MH-"&amp;IFERROR(VLOOKUP(D93,Lists!$AB$4:$AC$20,2,0),"??")&amp;"-"&amp;TEXT(G93,"0000")&amp;IF(F93="Circular","D","x"&amp;TEXT(H93,"0000"))&amp;"-D"&amp;TEXT(J93*1000,"0000")&amp;"-"&amp;IFERROR(VLOOKUP(E93,Lists!$AE$4:$AF$16,2,0),"??")&amp;"-"&amp;AM93)</f>
        <v/>
      </c>
      <c r="B93" s="10" t="str">
        <f aca="false">IF(D93="","",D93&amp;", "&amp;E93&amp;", "&amp;IF(F93="Circular",G93&amp;" dia",G93&amp;" x "&amp;H93)&amp;", depth "&amp;TEXT(I93,"0.0")&amp;"-"&amp;TEXT(J93,"0.0")&amp;" m, pipe up to "&amp;K93&amp;" dia")</f>
        <v/>
      </c>
      <c r="C93" s="9"/>
      <c r="D93" s="9"/>
      <c r="E93" s="9"/>
      <c r="F93" s="9"/>
      <c r="G93" s="38"/>
      <c r="H93" s="38"/>
      <c r="I93" s="42"/>
      <c r="J93" s="42"/>
      <c r="K93" s="38"/>
      <c r="L93" s="38"/>
      <c r="M93" s="38"/>
      <c r="N93" s="38"/>
      <c r="O93" s="9"/>
      <c r="P93" s="9"/>
      <c r="Q93" s="9"/>
      <c r="R93" s="9"/>
      <c r="S93" s="9"/>
      <c r="T93" s="9"/>
      <c r="U93" s="9"/>
      <c r="V93" s="42"/>
      <c r="W93" s="9"/>
      <c r="X93" s="9"/>
      <c r="Y93" s="39"/>
      <c r="Z93" s="9"/>
      <c r="AA93" s="38"/>
      <c r="AB93" s="9"/>
      <c r="AC93" s="9"/>
      <c r="AD93" s="9"/>
      <c r="AE93" s="9"/>
      <c r="AF93" s="9"/>
      <c r="AG93" s="9"/>
      <c r="AH93" s="38"/>
      <c r="AI93" s="9"/>
      <c r="AJ93" s="39"/>
      <c r="AK93" s="9"/>
      <c r="AL93" s="9"/>
      <c r="AM93" s="9"/>
      <c r="AN93" s="9"/>
      <c r="AO93" s="9"/>
      <c r="AP93" s="9"/>
      <c r="AQ93" s="9"/>
      <c r="AR93" s="10" t="str">
        <f aca="false">IF(A93="","",SG_Criteria!$B$6&amp;SG_Criteria!$B$10&amp;"\"&amp;A93&amp;"\")</f>
        <v/>
      </c>
      <c r="AS93" s="10" t="str">
        <f aca="false">IF(A93="","",A93&amp;"_CAD.dwg")</f>
        <v/>
      </c>
      <c r="AT93" s="10" t="str">
        <f aca="false">IF(A93="","",A93&amp;"_DWG.pdf")</f>
        <v/>
      </c>
      <c r="AU93" s="10" t="str">
        <f aca="false">IF(A93="","",IF(AQ93="Y",A93&amp;"_STAAD.std","n/a"))</f>
        <v/>
      </c>
      <c r="AV93" s="10" t="str">
        <f aca="false">IF(A93="","",A93&amp;"_CALC.xlsx")</f>
        <v/>
      </c>
      <c r="AW93" s="10" t="str">
        <f aca="false">IF(A93="","",A93&amp;"_CALC.pdf")</f>
        <v/>
      </c>
      <c r="AX93" s="9"/>
      <c r="AY93" s="9"/>
      <c r="AZ93" s="39"/>
      <c r="BA93" s="39"/>
      <c r="BB93" s="39"/>
      <c r="BC93" s="39"/>
      <c r="BD93" s="39"/>
      <c r="BE93" s="12" t="str">
        <f aca="false">IF(A93="","",IF(COUNTIF(Rebar_Schedule!$A$5:$A$2004,A93)=0,"",ROUND(SUMIF(Rebar_Schedule!$A$5:$A$2004,A93,Rebar_Schedule!$K$5:$K$2004),1)))</f>
        <v/>
      </c>
      <c r="BF93" s="33" t="str">
        <f aca="false">IF(A93="","",IF(BE93="","No rebar schedule yet",IF(ABS(BE93-N(BA93))/MAX(N(BA93),1)&gt;SG_Criteria!$B$55,"NOTE: register rebar differs from schedule by "&amp;TEXT(ABS(BE93-N(BA93))/MAX(N(BA93),1),"0%"),"OK")))</f>
        <v/>
      </c>
      <c r="BG93" s="33" t="str">
        <f aca="false">IF(D93="","",IF(LEN(IF(AND(Z93&lt;&gt;"",IFERROR(VALUE(MID(Z93,2,2)),0)&lt;SG_Criteria!$B$19),"FAIL: grade below C"&amp;SG_Criteria!$B$19&amp;". ","")&amp;IF(AND(AA93&lt;&gt;"",AA93&lt;SG_Criteria!$B$20),"FAIL: cover &lt; "&amp;SG_Criteria!$B$20&amp;" mm. ","")&amp;IF(AND(I93&lt;&gt;"",I93&lt;SG_Criteria!$B$39),"NOTE: min depth below PUB "&amp;SG_Criteria!$B$39&amp;" m. ","")&amp;IF(AND(LEFT(D93,8)="Standard",J93&gt;SG_Criteria!$B$42),"FAIL: PUB 001C covers manholes up to "&amp;SG_Criteria!$B$42&amp;" m deep only. ","")&amp;IF(AND(LEFT(D93,11)="Rectangular",K93&lt;SG_Criteria!$B$43),"NOTE: 004C is for sewers &gt;= "&amp;SG_Criteria!$B$43&amp;" dia. ","")&amp;IF(AND(LEFT(D93,7)="Precast",J93&lt;=SG_Criteria!$B$42),"NOTE: 006C is for manholes &gt; "&amp;SG_Criteria!$B$42&amp;" m deep. ","")&amp;IF(AND(K93&lt;&gt;"",K93&lt;SG_Criteria!$B$40,D93&lt;&gt;"Inspection Chamber"),"NOTE: public sewer min dia "&amp;SG_Criteria!$B$40&amp;" mm. ","")&amp;IF(AND(Y93&lt;&gt;"",Y93&lt;SG_Criteria!$B$44),"FAIL: uplift FOS below "&amp;SG_Criteria!$B$44&amp;". ",""))=0,"OK",IF(AND(Z93&lt;&gt;"",IFERROR(VALUE(MID(Z93,2,2)),0)&lt;SG_Criteria!$B$19),"FAIL: grade below C"&amp;SG_Criteria!$B$19&amp;". ","")&amp;IF(AND(AA93&lt;&gt;"",AA93&lt;SG_Criteria!$B$20),"FAIL: cover &lt; "&amp;SG_Criteria!$B$20&amp;" mm. ","")&amp;IF(AND(I93&lt;&gt;"",I93&lt;SG_Criteria!$B$39),"NOTE: min depth below PUB "&amp;SG_Criteria!$B$39&amp;" m. ","")&amp;IF(AND(LEFT(D93,8)="Standard",J93&gt;SG_Criteria!$B$42),"FAIL: PUB 001C covers manholes up to "&amp;SG_Criteria!$B$42&amp;" m deep only. ","")&amp;IF(AND(LEFT(D93,11)="Rectangular",K93&lt;SG_Criteria!$B$43),"NOTE: 004C is for sewers &gt;= "&amp;SG_Criteria!$B$43&amp;" dia. ","")&amp;IF(AND(LEFT(D93,7)="Precast",J93&lt;=SG_Criteria!$B$42),"NOTE: 006C is for manholes &gt; "&amp;SG_Criteria!$B$42&amp;" m deep. ","")&amp;IF(AND(K93&lt;&gt;"",K93&lt;SG_Criteria!$B$40,D93&lt;&gt;"Inspection Chamber"),"NOTE: public sewer min dia "&amp;SG_Criteria!$B$40&amp;" mm. ","")&amp;IF(AND(Y93&lt;&gt;"",Y93&lt;SG_Criteria!$B$44),"FAIL: uplift FOS below "&amp;SG_Criteria!$B$44&amp;". ","")))</f>
        <v/>
      </c>
      <c r="BH93" s="9"/>
      <c r="BI93" s="9"/>
      <c r="BJ93" s="9"/>
      <c r="BK93" s="10" t="str">
        <f aca="false">IF(BJ93="","",IFERROR(VLOOKUP(BJ93,Projects!$A$5:$D$504,2,0),"Ref not in Projects"))</f>
        <v/>
      </c>
      <c r="BL93" s="10" t="str">
        <f aca="false">IF(BJ93="","",IFERROR(VLOOKUP(BJ93,Projects!$A$5:$D$504,4,0),"Ref not in Projects"))</f>
        <v/>
      </c>
      <c r="BM93" s="9"/>
      <c r="BN93" s="9"/>
      <c r="BO93" s="9"/>
      <c r="BP93" s="40"/>
      <c r="BQ93" s="9"/>
      <c r="BR93" s="40"/>
      <c r="BS93" s="9"/>
      <c r="BT93" s="40"/>
      <c r="BU93" s="9"/>
      <c r="BV93" s="9"/>
      <c r="BW93" s="9"/>
      <c r="BX93" s="40"/>
      <c r="BY93" s="40"/>
      <c r="BZ93" s="36" t="str">
        <f aca="false">IF(BY93="","",EDATE(BY93,SG_Criteria!$B$54*12))</f>
        <v/>
      </c>
      <c r="CA93" s="33" t="str">
        <f aca="true">IF(A93="","",IF(BY93="","NOTE: not reviewed yet",IF(TODAY()&gt;BZ93,"NOTE: review overdue","OK")))</f>
        <v/>
      </c>
      <c r="CB93" s="37" t="str">
        <f aca="false">IF(A93="","",ROUND((IF(LEN(D93)&gt;0,1,0)+IF(LEN(E93)&gt;0,1,0)+IF(LEN(F93)&gt;0,1,0)+IF(LEN(G93)&gt;0,1,0)+IF(LEN(I93)&gt;0,1,0)+IF(LEN(J93)&gt;0,1,0)+IF(LEN(K93)&gt;0,1,0)+IF(LEN(L93)&gt;0,1,0)+IF(LEN(M93)&gt;0,1,0)+IF(LEN(N93)&gt;0,1,0)+IF(LEN(Z93)&gt;0,1,0)+IF(LEN(AA93)&gt;0,1,0)+IF(LEN(Y93)&gt;0,1,0)+IF(LEN(AE93)&gt;0,1,0)+IF(LEN(AG93)&gt;0,1,0)+IF(LEN(AZ93)&gt;0,1,0)+IF(LEN(AK93)&gt;0,1,0)+IF(LEN(AM93)&gt;0,1,0)+IF(LEN(AN93)&gt;0,1,0)+IF(LEN(AO93)&gt;0,1,0)+IF(LEN(AP93)&gt;0,1,0)+IF(LEN(AY93)&gt;0,1,0)+IF(LEN(BJ93)&gt;0,1,0)+IF(LEN(BW93)&gt;0,1,0))/24,2))</f>
        <v/>
      </c>
      <c r="CC93" s="10" t="str">
        <f aca="false">IF(D93="","",IF(AND(AN93="Approved",ISERROR(SEARCH("FAIL",BG93))),"Y","N"))</f>
        <v/>
      </c>
      <c r="CD93" s="10" t="str">
        <f aca="false">IF(D93="","",D93&amp;"|"&amp;J93&amp;"|"&amp;G93&amp;"|"&amp;CC93)</f>
        <v/>
      </c>
    </row>
    <row r="94" customFormat="false" ht="15" hidden="false" customHeight="false" outlineLevel="0" collapsed="false">
      <c r="A94" s="10" t="str">
        <f aca="false">IF(D94="","","MH-"&amp;IFERROR(VLOOKUP(D94,Lists!$AB$4:$AC$20,2,0),"??")&amp;"-"&amp;TEXT(G94,"0000")&amp;IF(F94="Circular","D","x"&amp;TEXT(H94,"0000"))&amp;"-D"&amp;TEXT(J94*1000,"0000")&amp;"-"&amp;IFERROR(VLOOKUP(E94,Lists!$AE$4:$AF$16,2,0),"??")&amp;"-"&amp;AM94)</f>
        <v/>
      </c>
      <c r="B94" s="10" t="str">
        <f aca="false">IF(D94="","",D94&amp;", "&amp;E94&amp;", "&amp;IF(F94="Circular",G94&amp;" dia",G94&amp;" x "&amp;H94)&amp;", depth "&amp;TEXT(I94,"0.0")&amp;"-"&amp;TEXT(J94,"0.0")&amp;" m, pipe up to "&amp;K94&amp;" dia")</f>
        <v/>
      </c>
      <c r="C94" s="9"/>
      <c r="D94" s="9"/>
      <c r="E94" s="9"/>
      <c r="F94" s="9"/>
      <c r="G94" s="38"/>
      <c r="H94" s="38"/>
      <c r="I94" s="42"/>
      <c r="J94" s="42"/>
      <c r="K94" s="38"/>
      <c r="L94" s="38"/>
      <c r="M94" s="38"/>
      <c r="N94" s="38"/>
      <c r="O94" s="9"/>
      <c r="P94" s="9"/>
      <c r="Q94" s="9"/>
      <c r="R94" s="9"/>
      <c r="S94" s="9"/>
      <c r="T94" s="9"/>
      <c r="U94" s="9"/>
      <c r="V94" s="42"/>
      <c r="W94" s="9"/>
      <c r="X94" s="9"/>
      <c r="Y94" s="39"/>
      <c r="Z94" s="9"/>
      <c r="AA94" s="38"/>
      <c r="AB94" s="9"/>
      <c r="AC94" s="9"/>
      <c r="AD94" s="9"/>
      <c r="AE94" s="9"/>
      <c r="AF94" s="9"/>
      <c r="AG94" s="9"/>
      <c r="AH94" s="38"/>
      <c r="AI94" s="9"/>
      <c r="AJ94" s="39"/>
      <c r="AK94" s="9"/>
      <c r="AL94" s="9"/>
      <c r="AM94" s="9"/>
      <c r="AN94" s="9"/>
      <c r="AO94" s="9"/>
      <c r="AP94" s="9"/>
      <c r="AQ94" s="9"/>
      <c r="AR94" s="10" t="str">
        <f aca="false">IF(A94="","",SG_Criteria!$B$6&amp;SG_Criteria!$B$10&amp;"\"&amp;A94&amp;"\")</f>
        <v/>
      </c>
      <c r="AS94" s="10" t="str">
        <f aca="false">IF(A94="","",A94&amp;"_CAD.dwg")</f>
        <v/>
      </c>
      <c r="AT94" s="10" t="str">
        <f aca="false">IF(A94="","",A94&amp;"_DWG.pdf")</f>
        <v/>
      </c>
      <c r="AU94" s="10" t="str">
        <f aca="false">IF(A94="","",IF(AQ94="Y",A94&amp;"_STAAD.std","n/a"))</f>
        <v/>
      </c>
      <c r="AV94" s="10" t="str">
        <f aca="false">IF(A94="","",A94&amp;"_CALC.xlsx")</f>
        <v/>
      </c>
      <c r="AW94" s="10" t="str">
        <f aca="false">IF(A94="","",A94&amp;"_CALC.pdf")</f>
        <v/>
      </c>
      <c r="AX94" s="9"/>
      <c r="AY94" s="9"/>
      <c r="AZ94" s="39"/>
      <c r="BA94" s="39"/>
      <c r="BB94" s="39"/>
      <c r="BC94" s="39"/>
      <c r="BD94" s="39"/>
      <c r="BE94" s="12" t="str">
        <f aca="false">IF(A94="","",IF(COUNTIF(Rebar_Schedule!$A$5:$A$2004,A94)=0,"",ROUND(SUMIF(Rebar_Schedule!$A$5:$A$2004,A94,Rebar_Schedule!$K$5:$K$2004),1)))</f>
        <v/>
      </c>
      <c r="BF94" s="33" t="str">
        <f aca="false">IF(A94="","",IF(BE94="","No rebar schedule yet",IF(ABS(BE94-N(BA94))/MAX(N(BA94),1)&gt;SG_Criteria!$B$55,"NOTE: register rebar differs from schedule by "&amp;TEXT(ABS(BE94-N(BA94))/MAX(N(BA94),1),"0%"),"OK")))</f>
        <v/>
      </c>
      <c r="BG94" s="33" t="str">
        <f aca="false">IF(D94="","",IF(LEN(IF(AND(Z94&lt;&gt;"",IFERROR(VALUE(MID(Z94,2,2)),0)&lt;SG_Criteria!$B$19),"FAIL: grade below C"&amp;SG_Criteria!$B$19&amp;". ","")&amp;IF(AND(AA94&lt;&gt;"",AA94&lt;SG_Criteria!$B$20),"FAIL: cover &lt; "&amp;SG_Criteria!$B$20&amp;" mm. ","")&amp;IF(AND(I94&lt;&gt;"",I94&lt;SG_Criteria!$B$39),"NOTE: min depth below PUB "&amp;SG_Criteria!$B$39&amp;" m. ","")&amp;IF(AND(LEFT(D94,8)="Standard",J94&gt;SG_Criteria!$B$42),"FAIL: PUB 001C covers manholes up to "&amp;SG_Criteria!$B$42&amp;" m deep only. ","")&amp;IF(AND(LEFT(D94,11)="Rectangular",K94&lt;SG_Criteria!$B$43),"NOTE: 004C is for sewers &gt;= "&amp;SG_Criteria!$B$43&amp;" dia. ","")&amp;IF(AND(LEFT(D94,7)="Precast",J94&lt;=SG_Criteria!$B$42),"NOTE: 006C is for manholes &gt; "&amp;SG_Criteria!$B$42&amp;" m deep. ","")&amp;IF(AND(K94&lt;&gt;"",K94&lt;SG_Criteria!$B$40,D94&lt;&gt;"Inspection Chamber"),"NOTE: public sewer min dia "&amp;SG_Criteria!$B$40&amp;" mm. ","")&amp;IF(AND(Y94&lt;&gt;"",Y94&lt;SG_Criteria!$B$44),"FAIL: uplift FOS below "&amp;SG_Criteria!$B$44&amp;". ",""))=0,"OK",IF(AND(Z94&lt;&gt;"",IFERROR(VALUE(MID(Z94,2,2)),0)&lt;SG_Criteria!$B$19),"FAIL: grade below C"&amp;SG_Criteria!$B$19&amp;". ","")&amp;IF(AND(AA94&lt;&gt;"",AA94&lt;SG_Criteria!$B$20),"FAIL: cover &lt; "&amp;SG_Criteria!$B$20&amp;" mm. ","")&amp;IF(AND(I94&lt;&gt;"",I94&lt;SG_Criteria!$B$39),"NOTE: min depth below PUB "&amp;SG_Criteria!$B$39&amp;" m. ","")&amp;IF(AND(LEFT(D94,8)="Standard",J94&gt;SG_Criteria!$B$42),"FAIL: PUB 001C covers manholes up to "&amp;SG_Criteria!$B$42&amp;" m deep only. ","")&amp;IF(AND(LEFT(D94,11)="Rectangular",K94&lt;SG_Criteria!$B$43),"NOTE: 004C is for sewers &gt;= "&amp;SG_Criteria!$B$43&amp;" dia. ","")&amp;IF(AND(LEFT(D94,7)="Precast",J94&lt;=SG_Criteria!$B$42),"NOTE: 006C is for manholes &gt; "&amp;SG_Criteria!$B$42&amp;" m deep. ","")&amp;IF(AND(K94&lt;&gt;"",K94&lt;SG_Criteria!$B$40,D94&lt;&gt;"Inspection Chamber"),"NOTE: public sewer min dia "&amp;SG_Criteria!$B$40&amp;" mm. ","")&amp;IF(AND(Y94&lt;&gt;"",Y94&lt;SG_Criteria!$B$44),"FAIL: uplift FOS below "&amp;SG_Criteria!$B$44&amp;". ","")))</f>
        <v/>
      </c>
      <c r="BH94" s="9"/>
      <c r="BI94" s="9"/>
      <c r="BJ94" s="9"/>
      <c r="BK94" s="10" t="str">
        <f aca="false">IF(BJ94="","",IFERROR(VLOOKUP(BJ94,Projects!$A$5:$D$504,2,0),"Ref not in Projects"))</f>
        <v/>
      </c>
      <c r="BL94" s="10" t="str">
        <f aca="false">IF(BJ94="","",IFERROR(VLOOKUP(BJ94,Projects!$A$5:$D$504,4,0),"Ref not in Projects"))</f>
        <v/>
      </c>
      <c r="BM94" s="9"/>
      <c r="BN94" s="9"/>
      <c r="BO94" s="9"/>
      <c r="BP94" s="40"/>
      <c r="BQ94" s="9"/>
      <c r="BR94" s="40"/>
      <c r="BS94" s="9"/>
      <c r="BT94" s="40"/>
      <c r="BU94" s="9"/>
      <c r="BV94" s="9"/>
      <c r="BW94" s="9"/>
      <c r="BX94" s="40"/>
      <c r="BY94" s="40"/>
      <c r="BZ94" s="36" t="str">
        <f aca="false">IF(BY94="","",EDATE(BY94,SG_Criteria!$B$54*12))</f>
        <v/>
      </c>
      <c r="CA94" s="33" t="str">
        <f aca="true">IF(A94="","",IF(BY94="","NOTE: not reviewed yet",IF(TODAY()&gt;BZ94,"NOTE: review overdue","OK")))</f>
        <v/>
      </c>
      <c r="CB94" s="37" t="str">
        <f aca="false">IF(A94="","",ROUND((IF(LEN(D94)&gt;0,1,0)+IF(LEN(E94)&gt;0,1,0)+IF(LEN(F94)&gt;0,1,0)+IF(LEN(G94)&gt;0,1,0)+IF(LEN(I94)&gt;0,1,0)+IF(LEN(J94)&gt;0,1,0)+IF(LEN(K94)&gt;0,1,0)+IF(LEN(L94)&gt;0,1,0)+IF(LEN(M94)&gt;0,1,0)+IF(LEN(N94)&gt;0,1,0)+IF(LEN(Z94)&gt;0,1,0)+IF(LEN(AA94)&gt;0,1,0)+IF(LEN(Y94)&gt;0,1,0)+IF(LEN(AE94)&gt;0,1,0)+IF(LEN(AG94)&gt;0,1,0)+IF(LEN(AZ94)&gt;0,1,0)+IF(LEN(AK94)&gt;0,1,0)+IF(LEN(AM94)&gt;0,1,0)+IF(LEN(AN94)&gt;0,1,0)+IF(LEN(AO94)&gt;0,1,0)+IF(LEN(AP94)&gt;0,1,0)+IF(LEN(AY94)&gt;0,1,0)+IF(LEN(BJ94)&gt;0,1,0)+IF(LEN(BW94)&gt;0,1,0))/24,2))</f>
        <v/>
      </c>
      <c r="CC94" s="10" t="str">
        <f aca="false">IF(D94="","",IF(AND(AN94="Approved",ISERROR(SEARCH("FAIL",BG94))),"Y","N"))</f>
        <v/>
      </c>
      <c r="CD94" s="10" t="str">
        <f aca="false">IF(D94="","",D94&amp;"|"&amp;J94&amp;"|"&amp;G94&amp;"|"&amp;CC94)</f>
        <v/>
      </c>
    </row>
    <row r="95" customFormat="false" ht="15" hidden="false" customHeight="false" outlineLevel="0" collapsed="false">
      <c r="A95" s="10" t="str">
        <f aca="false">IF(D95="","","MH-"&amp;IFERROR(VLOOKUP(D95,Lists!$AB$4:$AC$20,2,0),"??")&amp;"-"&amp;TEXT(G95,"0000")&amp;IF(F95="Circular","D","x"&amp;TEXT(H95,"0000"))&amp;"-D"&amp;TEXT(J95*1000,"0000")&amp;"-"&amp;IFERROR(VLOOKUP(E95,Lists!$AE$4:$AF$16,2,0),"??")&amp;"-"&amp;AM95)</f>
        <v/>
      </c>
      <c r="B95" s="10" t="str">
        <f aca="false">IF(D95="","",D95&amp;", "&amp;E95&amp;", "&amp;IF(F95="Circular",G95&amp;" dia",G95&amp;" x "&amp;H95)&amp;", depth "&amp;TEXT(I95,"0.0")&amp;"-"&amp;TEXT(J95,"0.0")&amp;" m, pipe up to "&amp;K95&amp;" dia")</f>
        <v/>
      </c>
      <c r="C95" s="9"/>
      <c r="D95" s="9"/>
      <c r="E95" s="9"/>
      <c r="F95" s="9"/>
      <c r="G95" s="38"/>
      <c r="H95" s="38"/>
      <c r="I95" s="42"/>
      <c r="J95" s="42"/>
      <c r="K95" s="38"/>
      <c r="L95" s="38"/>
      <c r="M95" s="38"/>
      <c r="N95" s="38"/>
      <c r="O95" s="9"/>
      <c r="P95" s="9"/>
      <c r="Q95" s="9"/>
      <c r="R95" s="9"/>
      <c r="S95" s="9"/>
      <c r="T95" s="9"/>
      <c r="U95" s="9"/>
      <c r="V95" s="42"/>
      <c r="W95" s="9"/>
      <c r="X95" s="9"/>
      <c r="Y95" s="39"/>
      <c r="Z95" s="9"/>
      <c r="AA95" s="38"/>
      <c r="AB95" s="9"/>
      <c r="AC95" s="9"/>
      <c r="AD95" s="9"/>
      <c r="AE95" s="9"/>
      <c r="AF95" s="9"/>
      <c r="AG95" s="9"/>
      <c r="AH95" s="38"/>
      <c r="AI95" s="9"/>
      <c r="AJ95" s="39"/>
      <c r="AK95" s="9"/>
      <c r="AL95" s="9"/>
      <c r="AM95" s="9"/>
      <c r="AN95" s="9"/>
      <c r="AO95" s="9"/>
      <c r="AP95" s="9"/>
      <c r="AQ95" s="9"/>
      <c r="AR95" s="10" t="str">
        <f aca="false">IF(A95="","",SG_Criteria!$B$6&amp;SG_Criteria!$B$10&amp;"\"&amp;A95&amp;"\")</f>
        <v/>
      </c>
      <c r="AS95" s="10" t="str">
        <f aca="false">IF(A95="","",A95&amp;"_CAD.dwg")</f>
        <v/>
      </c>
      <c r="AT95" s="10" t="str">
        <f aca="false">IF(A95="","",A95&amp;"_DWG.pdf")</f>
        <v/>
      </c>
      <c r="AU95" s="10" t="str">
        <f aca="false">IF(A95="","",IF(AQ95="Y",A95&amp;"_STAAD.std","n/a"))</f>
        <v/>
      </c>
      <c r="AV95" s="10" t="str">
        <f aca="false">IF(A95="","",A95&amp;"_CALC.xlsx")</f>
        <v/>
      </c>
      <c r="AW95" s="10" t="str">
        <f aca="false">IF(A95="","",A95&amp;"_CALC.pdf")</f>
        <v/>
      </c>
      <c r="AX95" s="9"/>
      <c r="AY95" s="9"/>
      <c r="AZ95" s="39"/>
      <c r="BA95" s="39"/>
      <c r="BB95" s="39"/>
      <c r="BC95" s="39"/>
      <c r="BD95" s="39"/>
      <c r="BE95" s="12" t="str">
        <f aca="false">IF(A95="","",IF(COUNTIF(Rebar_Schedule!$A$5:$A$2004,A95)=0,"",ROUND(SUMIF(Rebar_Schedule!$A$5:$A$2004,A95,Rebar_Schedule!$K$5:$K$2004),1)))</f>
        <v/>
      </c>
      <c r="BF95" s="33" t="str">
        <f aca="false">IF(A95="","",IF(BE95="","No rebar schedule yet",IF(ABS(BE95-N(BA95))/MAX(N(BA95),1)&gt;SG_Criteria!$B$55,"NOTE: register rebar differs from schedule by "&amp;TEXT(ABS(BE95-N(BA95))/MAX(N(BA95),1),"0%"),"OK")))</f>
        <v/>
      </c>
      <c r="BG95" s="33" t="str">
        <f aca="false">IF(D95="","",IF(LEN(IF(AND(Z95&lt;&gt;"",IFERROR(VALUE(MID(Z95,2,2)),0)&lt;SG_Criteria!$B$19),"FAIL: grade below C"&amp;SG_Criteria!$B$19&amp;". ","")&amp;IF(AND(AA95&lt;&gt;"",AA95&lt;SG_Criteria!$B$20),"FAIL: cover &lt; "&amp;SG_Criteria!$B$20&amp;" mm. ","")&amp;IF(AND(I95&lt;&gt;"",I95&lt;SG_Criteria!$B$39),"NOTE: min depth below PUB "&amp;SG_Criteria!$B$39&amp;" m. ","")&amp;IF(AND(LEFT(D95,8)="Standard",J95&gt;SG_Criteria!$B$42),"FAIL: PUB 001C covers manholes up to "&amp;SG_Criteria!$B$42&amp;" m deep only. ","")&amp;IF(AND(LEFT(D95,11)="Rectangular",K95&lt;SG_Criteria!$B$43),"NOTE: 004C is for sewers &gt;= "&amp;SG_Criteria!$B$43&amp;" dia. ","")&amp;IF(AND(LEFT(D95,7)="Precast",J95&lt;=SG_Criteria!$B$42),"NOTE: 006C is for manholes &gt; "&amp;SG_Criteria!$B$42&amp;" m deep. ","")&amp;IF(AND(K95&lt;&gt;"",K95&lt;SG_Criteria!$B$40,D95&lt;&gt;"Inspection Chamber"),"NOTE: public sewer min dia "&amp;SG_Criteria!$B$40&amp;" mm. ","")&amp;IF(AND(Y95&lt;&gt;"",Y95&lt;SG_Criteria!$B$44),"FAIL: uplift FOS below "&amp;SG_Criteria!$B$44&amp;". ",""))=0,"OK",IF(AND(Z95&lt;&gt;"",IFERROR(VALUE(MID(Z95,2,2)),0)&lt;SG_Criteria!$B$19),"FAIL: grade below C"&amp;SG_Criteria!$B$19&amp;". ","")&amp;IF(AND(AA95&lt;&gt;"",AA95&lt;SG_Criteria!$B$20),"FAIL: cover &lt; "&amp;SG_Criteria!$B$20&amp;" mm. ","")&amp;IF(AND(I95&lt;&gt;"",I95&lt;SG_Criteria!$B$39),"NOTE: min depth below PUB "&amp;SG_Criteria!$B$39&amp;" m. ","")&amp;IF(AND(LEFT(D95,8)="Standard",J95&gt;SG_Criteria!$B$42),"FAIL: PUB 001C covers manholes up to "&amp;SG_Criteria!$B$42&amp;" m deep only. ","")&amp;IF(AND(LEFT(D95,11)="Rectangular",K95&lt;SG_Criteria!$B$43),"NOTE: 004C is for sewers &gt;= "&amp;SG_Criteria!$B$43&amp;" dia. ","")&amp;IF(AND(LEFT(D95,7)="Precast",J95&lt;=SG_Criteria!$B$42),"NOTE: 006C is for manholes &gt; "&amp;SG_Criteria!$B$42&amp;" m deep. ","")&amp;IF(AND(K95&lt;&gt;"",K95&lt;SG_Criteria!$B$40,D95&lt;&gt;"Inspection Chamber"),"NOTE: public sewer min dia "&amp;SG_Criteria!$B$40&amp;" mm. ","")&amp;IF(AND(Y95&lt;&gt;"",Y95&lt;SG_Criteria!$B$44),"FAIL: uplift FOS below "&amp;SG_Criteria!$B$44&amp;". ","")))</f>
        <v/>
      </c>
      <c r="BH95" s="9"/>
      <c r="BI95" s="9"/>
      <c r="BJ95" s="9"/>
      <c r="BK95" s="10" t="str">
        <f aca="false">IF(BJ95="","",IFERROR(VLOOKUP(BJ95,Projects!$A$5:$D$504,2,0),"Ref not in Projects"))</f>
        <v/>
      </c>
      <c r="BL95" s="10" t="str">
        <f aca="false">IF(BJ95="","",IFERROR(VLOOKUP(BJ95,Projects!$A$5:$D$504,4,0),"Ref not in Projects"))</f>
        <v/>
      </c>
      <c r="BM95" s="9"/>
      <c r="BN95" s="9"/>
      <c r="BO95" s="9"/>
      <c r="BP95" s="40"/>
      <c r="BQ95" s="9"/>
      <c r="BR95" s="40"/>
      <c r="BS95" s="9"/>
      <c r="BT95" s="40"/>
      <c r="BU95" s="9"/>
      <c r="BV95" s="9"/>
      <c r="BW95" s="9"/>
      <c r="BX95" s="40"/>
      <c r="BY95" s="40"/>
      <c r="BZ95" s="36" t="str">
        <f aca="false">IF(BY95="","",EDATE(BY95,SG_Criteria!$B$54*12))</f>
        <v/>
      </c>
      <c r="CA95" s="33" t="str">
        <f aca="true">IF(A95="","",IF(BY95="","NOTE: not reviewed yet",IF(TODAY()&gt;BZ95,"NOTE: review overdue","OK")))</f>
        <v/>
      </c>
      <c r="CB95" s="37" t="str">
        <f aca="false">IF(A95="","",ROUND((IF(LEN(D95)&gt;0,1,0)+IF(LEN(E95)&gt;0,1,0)+IF(LEN(F95)&gt;0,1,0)+IF(LEN(G95)&gt;0,1,0)+IF(LEN(I95)&gt;0,1,0)+IF(LEN(J95)&gt;0,1,0)+IF(LEN(K95)&gt;0,1,0)+IF(LEN(L95)&gt;0,1,0)+IF(LEN(M95)&gt;0,1,0)+IF(LEN(N95)&gt;0,1,0)+IF(LEN(Z95)&gt;0,1,0)+IF(LEN(AA95)&gt;0,1,0)+IF(LEN(Y95)&gt;0,1,0)+IF(LEN(AE95)&gt;0,1,0)+IF(LEN(AG95)&gt;0,1,0)+IF(LEN(AZ95)&gt;0,1,0)+IF(LEN(AK95)&gt;0,1,0)+IF(LEN(AM95)&gt;0,1,0)+IF(LEN(AN95)&gt;0,1,0)+IF(LEN(AO95)&gt;0,1,0)+IF(LEN(AP95)&gt;0,1,0)+IF(LEN(AY95)&gt;0,1,0)+IF(LEN(BJ95)&gt;0,1,0)+IF(LEN(BW95)&gt;0,1,0))/24,2))</f>
        <v/>
      </c>
      <c r="CC95" s="10" t="str">
        <f aca="false">IF(D95="","",IF(AND(AN95="Approved",ISERROR(SEARCH("FAIL",BG95))),"Y","N"))</f>
        <v/>
      </c>
      <c r="CD95" s="10" t="str">
        <f aca="false">IF(D95="","",D95&amp;"|"&amp;J95&amp;"|"&amp;G95&amp;"|"&amp;CC95)</f>
        <v/>
      </c>
    </row>
    <row r="96" customFormat="false" ht="15" hidden="false" customHeight="false" outlineLevel="0" collapsed="false">
      <c r="A96" s="10" t="str">
        <f aca="false">IF(D96="","","MH-"&amp;IFERROR(VLOOKUP(D96,Lists!$AB$4:$AC$20,2,0),"??")&amp;"-"&amp;TEXT(G96,"0000")&amp;IF(F96="Circular","D","x"&amp;TEXT(H96,"0000"))&amp;"-D"&amp;TEXT(J96*1000,"0000")&amp;"-"&amp;IFERROR(VLOOKUP(E96,Lists!$AE$4:$AF$16,2,0),"??")&amp;"-"&amp;AM96)</f>
        <v/>
      </c>
      <c r="B96" s="10" t="str">
        <f aca="false">IF(D96="","",D96&amp;", "&amp;E96&amp;", "&amp;IF(F96="Circular",G96&amp;" dia",G96&amp;" x "&amp;H96)&amp;", depth "&amp;TEXT(I96,"0.0")&amp;"-"&amp;TEXT(J96,"0.0")&amp;" m, pipe up to "&amp;K96&amp;" dia")</f>
        <v/>
      </c>
      <c r="C96" s="9"/>
      <c r="D96" s="9"/>
      <c r="E96" s="9"/>
      <c r="F96" s="9"/>
      <c r="G96" s="38"/>
      <c r="H96" s="38"/>
      <c r="I96" s="42"/>
      <c r="J96" s="42"/>
      <c r="K96" s="38"/>
      <c r="L96" s="38"/>
      <c r="M96" s="38"/>
      <c r="N96" s="38"/>
      <c r="O96" s="9"/>
      <c r="P96" s="9"/>
      <c r="Q96" s="9"/>
      <c r="R96" s="9"/>
      <c r="S96" s="9"/>
      <c r="T96" s="9"/>
      <c r="U96" s="9"/>
      <c r="V96" s="42"/>
      <c r="W96" s="9"/>
      <c r="X96" s="9"/>
      <c r="Y96" s="39"/>
      <c r="Z96" s="9"/>
      <c r="AA96" s="38"/>
      <c r="AB96" s="9"/>
      <c r="AC96" s="9"/>
      <c r="AD96" s="9"/>
      <c r="AE96" s="9"/>
      <c r="AF96" s="9"/>
      <c r="AG96" s="9"/>
      <c r="AH96" s="38"/>
      <c r="AI96" s="9"/>
      <c r="AJ96" s="39"/>
      <c r="AK96" s="9"/>
      <c r="AL96" s="9"/>
      <c r="AM96" s="9"/>
      <c r="AN96" s="9"/>
      <c r="AO96" s="9"/>
      <c r="AP96" s="9"/>
      <c r="AQ96" s="9"/>
      <c r="AR96" s="10" t="str">
        <f aca="false">IF(A96="","",SG_Criteria!$B$6&amp;SG_Criteria!$B$10&amp;"\"&amp;A96&amp;"\")</f>
        <v/>
      </c>
      <c r="AS96" s="10" t="str">
        <f aca="false">IF(A96="","",A96&amp;"_CAD.dwg")</f>
        <v/>
      </c>
      <c r="AT96" s="10" t="str">
        <f aca="false">IF(A96="","",A96&amp;"_DWG.pdf")</f>
        <v/>
      </c>
      <c r="AU96" s="10" t="str">
        <f aca="false">IF(A96="","",IF(AQ96="Y",A96&amp;"_STAAD.std","n/a"))</f>
        <v/>
      </c>
      <c r="AV96" s="10" t="str">
        <f aca="false">IF(A96="","",A96&amp;"_CALC.xlsx")</f>
        <v/>
      </c>
      <c r="AW96" s="10" t="str">
        <f aca="false">IF(A96="","",A96&amp;"_CALC.pdf")</f>
        <v/>
      </c>
      <c r="AX96" s="9"/>
      <c r="AY96" s="9"/>
      <c r="AZ96" s="39"/>
      <c r="BA96" s="39"/>
      <c r="BB96" s="39"/>
      <c r="BC96" s="39"/>
      <c r="BD96" s="39"/>
      <c r="BE96" s="12" t="str">
        <f aca="false">IF(A96="","",IF(COUNTIF(Rebar_Schedule!$A$5:$A$2004,A96)=0,"",ROUND(SUMIF(Rebar_Schedule!$A$5:$A$2004,A96,Rebar_Schedule!$K$5:$K$2004),1)))</f>
        <v/>
      </c>
      <c r="BF96" s="33" t="str">
        <f aca="false">IF(A96="","",IF(BE96="","No rebar schedule yet",IF(ABS(BE96-N(BA96))/MAX(N(BA96),1)&gt;SG_Criteria!$B$55,"NOTE: register rebar differs from schedule by "&amp;TEXT(ABS(BE96-N(BA96))/MAX(N(BA96),1),"0%"),"OK")))</f>
        <v/>
      </c>
      <c r="BG96" s="33" t="str">
        <f aca="false">IF(D96="","",IF(LEN(IF(AND(Z96&lt;&gt;"",IFERROR(VALUE(MID(Z96,2,2)),0)&lt;SG_Criteria!$B$19),"FAIL: grade below C"&amp;SG_Criteria!$B$19&amp;". ","")&amp;IF(AND(AA96&lt;&gt;"",AA96&lt;SG_Criteria!$B$20),"FAIL: cover &lt; "&amp;SG_Criteria!$B$20&amp;" mm. ","")&amp;IF(AND(I96&lt;&gt;"",I96&lt;SG_Criteria!$B$39),"NOTE: min depth below PUB "&amp;SG_Criteria!$B$39&amp;" m. ","")&amp;IF(AND(LEFT(D96,8)="Standard",J96&gt;SG_Criteria!$B$42),"FAIL: PUB 001C covers manholes up to "&amp;SG_Criteria!$B$42&amp;" m deep only. ","")&amp;IF(AND(LEFT(D96,11)="Rectangular",K96&lt;SG_Criteria!$B$43),"NOTE: 004C is for sewers &gt;= "&amp;SG_Criteria!$B$43&amp;" dia. ","")&amp;IF(AND(LEFT(D96,7)="Precast",J96&lt;=SG_Criteria!$B$42),"NOTE: 006C is for manholes &gt; "&amp;SG_Criteria!$B$42&amp;" m deep. ","")&amp;IF(AND(K96&lt;&gt;"",K96&lt;SG_Criteria!$B$40,D96&lt;&gt;"Inspection Chamber"),"NOTE: public sewer min dia "&amp;SG_Criteria!$B$40&amp;" mm. ","")&amp;IF(AND(Y96&lt;&gt;"",Y96&lt;SG_Criteria!$B$44),"FAIL: uplift FOS below "&amp;SG_Criteria!$B$44&amp;". ",""))=0,"OK",IF(AND(Z96&lt;&gt;"",IFERROR(VALUE(MID(Z96,2,2)),0)&lt;SG_Criteria!$B$19),"FAIL: grade below C"&amp;SG_Criteria!$B$19&amp;". ","")&amp;IF(AND(AA96&lt;&gt;"",AA96&lt;SG_Criteria!$B$20),"FAIL: cover &lt; "&amp;SG_Criteria!$B$20&amp;" mm. ","")&amp;IF(AND(I96&lt;&gt;"",I96&lt;SG_Criteria!$B$39),"NOTE: min depth below PUB "&amp;SG_Criteria!$B$39&amp;" m. ","")&amp;IF(AND(LEFT(D96,8)="Standard",J96&gt;SG_Criteria!$B$42),"FAIL: PUB 001C covers manholes up to "&amp;SG_Criteria!$B$42&amp;" m deep only. ","")&amp;IF(AND(LEFT(D96,11)="Rectangular",K96&lt;SG_Criteria!$B$43),"NOTE: 004C is for sewers &gt;= "&amp;SG_Criteria!$B$43&amp;" dia. ","")&amp;IF(AND(LEFT(D96,7)="Precast",J96&lt;=SG_Criteria!$B$42),"NOTE: 006C is for manholes &gt; "&amp;SG_Criteria!$B$42&amp;" m deep. ","")&amp;IF(AND(K96&lt;&gt;"",K96&lt;SG_Criteria!$B$40,D96&lt;&gt;"Inspection Chamber"),"NOTE: public sewer min dia "&amp;SG_Criteria!$B$40&amp;" mm. ","")&amp;IF(AND(Y96&lt;&gt;"",Y96&lt;SG_Criteria!$B$44),"FAIL: uplift FOS below "&amp;SG_Criteria!$B$44&amp;". ","")))</f>
        <v/>
      </c>
      <c r="BH96" s="9"/>
      <c r="BI96" s="9"/>
      <c r="BJ96" s="9"/>
      <c r="BK96" s="10" t="str">
        <f aca="false">IF(BJ96="","",IFERROR(VLOOKUP(BJ96,Projects!$A$5:$D$504,2,0),"Ref not in Projects"))</f>
        <v/>
      </c>
      <c r="BL96" s="10" t="str">
        <f aca="false">IF(BJ96="","",IFERROR(VLOOKUP(BJ96,Projects!$A$5:$D$504,4,0),"Ref not in Projects"))</f>
        <v/>
      </c>
      <c r="BM96" s="9"/>
      <c r="BN96" s="9"/>
      <c r="BO96" s="9"/>
      <c r="BP96" s="40"/>
      <c r="BQ96" s="9"/>
      <c r="BR96" s="40"/>
      <c r="BS96" s="9"/>
      <c r="BT96" s="40"/>
      <c r="BU96" s="9"/>
      <c r="BV96" s="9"/>
      <c r="BW96" s="9"/>
      <c r="BX96" s="40"/>
      <c r="BY96" s="40"/>
      <c r="BZ96" s="36" t="str">
        <f aca="false">IF(BY96="","",EDATE(BY96,SG_Criteria!$B$54*12))</f>
        <v/>
      </c>
      <c r="CA96" s="33" t="str">
        <f aca="true">IF(A96="","",IF(BY96="","NOTE: not reviewed yet",IF(TODAY()&gt;BZ96,"NOTE: review overdue","OK")))</f>
        <v/>
      </c>
      <c r="CB96" s="37" t="str">
        <f aca="false">IF(A96="","",ROUND((IF(LEN(D96)&gt;0,1,0)+IF(LEN(E96)&gt;0,1,0)+IF(LEN(F96)&gt;0,1,0)+IF(LEN(G96)&gt;0,1,0)+IF(LEN(I96)&gt;0,1,0)+IF(LEN(J96)&gt;0,1,0)+IF(LEN(K96)&gt;0,1,0)+IF(LEN(L96)&gt;0,1,0)+IF(LEN(M96)&gt;0,1,0)+IF(LEN(N96)&gt;0,1,0)+IF(LEN(Z96)&gt;0,1,0)+IF(LEN(AA96)&gt;0,1,0)+IF(LEN(Y96)&gt;0,1,0)+IF(LEN(AE96)&gt;0,1,0)+IF(LEN(AG96)&gt;0,1,0)+IF(LEN(AZ96)&gt;0,1,0)+IF(LEN(AK96)&gt;0,1,0)+IF(LEN(AM96)&gt;0,1,0)+IF(LEN(AN96)&gt;0,1,0)+IF(LEN(AO96)&gt;0,1,0)+IF(LEN(AP96)&gt;0,1,0)+IF(LEN(AY96)&gt;0,1,0)+IF(LEN(BJ96)&gt;0,1,0)+IF(LEN(BW96)&gt;0,1,0))/24,2))</f>
        <v/>
      </c>
      <c r="CC96" s="10" t="str">
        <f aca="false">IF(D96="","",IF(AND(AN96="Approved",ISERROR(SEARCH("FAIL",BG96))),"Y","N"))</f>
        <v/>
      </c>
      <c r="CD96" s="10" t="str">
        <f aca="false">IF(D96="","",D96&amp;"|"&amp;J96&amp;"|"&amp;G96&amp;"|"&amp;CC96)</f>
        <v/>
      </c>
    </row>
    <row r="97" customFormat="false" ht="15" hidden="false" customHeight="false" outlineLevel="0" collapsed="false">
      <c r="A97" s="10" t="str">
        <f aca="false">IF(D97="","","MH-"&amp;IFERROR(VLOOKUP(D97,Lists!$AB$4:$AC$20,2,0),"??")&amp;"-"&amp;TEXT(G97,"0000")&amp;IF(F97="Circular","D","x"&amp;TEXT(H97,"0000"))&amp;"-D"&amp;TEXT(J97*1000,"0000")&amp;"-"&amp;IFERROR(VLOOKUP(E97,Lists!$AE$4:$AF$16,2,0),"??")&amp;"-"&amp;AM97)</f>
        <v/>
      </c>
      <c r="B97" s="10" t="str">
        <f aca="false">IF(D97="","",D97&amp;", "&amp;E97&amp;", "&amp;IF(F97="Circular",G97&amp;" dia",G97&amp;" x "&amp;H97)&amp;", depth "&amp;TEXT(I97,"0.0")&amp;"-"&amp;TEXT(J97,"0.0")&amp;" m, pipe up to "&amp;K97&amp;" dia")</f>
        <v/>
      </c>
      <c r="C97" s="9"/>
      <c r="D97" s="9"/>
      <c r="E97" s="9"/>
      <c r="F97" s="9"/>
      <c r="G97" s="38"/>
      <c r="H97" s="38"/>
      <c r="I97" s="42"/>
      <c r="J97" s="42"/>
      <c r="K97" s="38"/>
      <c r="L97" s="38"/>
      <c r="M97" s="38"/>
      <c r="N97" s="38"/>
      <c r="O97" s="9"/>
      <c r="P97" s="9"/>
      <c r="Q97" s="9"/>
      <c r="R97" s="9"/>
      <c r="S97" s="9"/>
      <c r="T97" s="9"/>
      <c r="U97" s="9"/>
      <c r="V97" s="42"/>
      <c r="W97" s="9"/>
      <c r="X97" s="9"/>
      <c r="Y97" s="39"/>
      <c r="Z97" s="9"/>
      <c r="AA97" s="38"/>
      <c r="AB97" s="9"/>
      <c r="AC97" s="9"/>
      <c r="AD97" s="9"/>
      <c r="AE97" s="9"/>
      <c r="AF97" s="9"/>
      <c r="AG97" s="9"/>
      <c r="AH97" s="38"/>
      <c r="AI97" s="9"/>
      <c r="AJ97" s="39"/>
      <c r="AK97" s="9"/>
      <c r="AL97" s="9"/>
      <c r="AM97" s="9"/>
      <c r="AN97" s="9"/>
      <c r="AO97" s="9"/>
      <c r="AP97" s="9"/>
      <c r="AQ97" s="9"/>
      <c r="AR97" s="10" t="str">
        <f aca="false">IF(A97="","",SG_Criteria!$B$6&amp;SG_Criteria!$B$10&amp;"\"&amp;A97&amp;"\")</f>
        <v/>
      </c>
      <c r="AS97" s="10" t="str">
        <f aca="false">IF(A97="","",A97&amp;"_CAD.dwg")</f>
        <v/>
      </c>
      <c r="AT97" s="10" t="str">
        <f aca="false">IF(A97="","",A97&amp;"_DWG.pdf")</f>
        <v/>
      </c>
      <c r="AU97" s="10" t="str">
        <f aca="false">IF(A97="","",IF(AQ97="Y",A97&amp;"_STAAD.std","n/a"))</f>
        <v/>
      </c>
      <c r="AV97" s="10" t="str">
        <f aca="false">IF(A97="","",A97&amp;"_CALC.xlsx")</f>
        <v/>
      </c>
      <c r="AW97" s="10" t="str">
        <f aca="false">IF(A97="","",A97&amp;"_CALC.pdf")</f>
        <v/>
      </c>
      <c r="AX97" s="9"/>
      <c r="AY97" s="9"/>
      <c r="AZ97" s="39"/>
      <c r="BA97" s="39"/>
      <c r="BB97" s="39"/>
      <c r="BC97" s="39"/>
      <c r="BD97" s="39"/>
      <c r="BE97" s="12" t="str">
        <f aca="false">IF(A97="","",IF(COUNTIF(Rebar_Schedule!$A$5:$A$2004,A97)=0,"",ROUND(SUMIF(Rebar_Schedule!$A$5:$A$2004,A97,Rebar_Schedule!$K$5:$K$2004),1)))</f>
        <v/>
      </c>
      <c r="BF97" s="33" t="str">
        <f aca="false">IF(A97="","",IF(BE97="","No rebar schedule yet",IF(ABS(BE97-N(BA97))/MAX(N(BA97),1)&gt;SG_Criteria!$B$55,"NOTE: register rebar differs from schedule by "&amp;TEXT(ABS(BE97-N(BA97))/MAX(N(BA97),1),"0%"),"OK")))</f>
        <v/>
      </c>
      <c r="BG97" s="33" t="str">
        <f aca="false">IF(D97="","",IF(LEN(IF(AND(Z97&lt;&gt;"",IFERROR(VALUE(MID(Z97,2,2)),0)&lt;SG_Criteria!$B$19),"FAIL: grade below C"&amp;SG_Criteria!$B$19&amp;". ","")&amp;IF(AND(AA97&lt;&gt;"",AA97&lt;SG_Criteria!$B$20),"FAIL: cover &lt; "&amp;SG_Criteria!$B$20&amp;" mm. ","")&amp;IF(AND(I97&lt;&gt;"",I97&lt;SG_Criteria!$B$39),"NOTE: min depth below PUB "&amp;SG_Criteria!$B$39&amp;" m. ","")&amp;IF(AND(LEFT(D97,8)="Standard",J97&gt;SG_Criteria!$B$42),"FAIL: PUB 001C covers manholes up to "&amp;SG_Criteria!$B$42&amp;" m deep only. ","")&amp;IF(AND(LEFT(D97,11)="Rectangular",K97&lt;SG_Criteria!$B$43),"NOTE: 004C is for sewers &gt;= "&amp;SG_Criteria!$B$43&amp;" dia. ","")&amp;IF(AND(LEFT(D97,7)="Precast",J97&lt;=SG_Criteria!$B$42),"NOTE: 006C is for manholes &gt; "&amp;SG_Criteria!$B$42&amp;" m deep. ","")&amp;IF(AND(K97&lt;&gt;"",K97&lt;SG_Criteria!$B$40,D97&lt;&gt;"Inspection Chamber"),"NOTE: public sewer min dia "&amp;SG_Criteria!$B$40&amp;" mm. ","")&amp;IF(AND(Y97&lt;&gt;"",Y97&lt;SG_Criteria!$B$44),"FAIL: uplift FOS below "&amp;SG_Criteria!$B$44&amp;". ",""))=0,"OK",IF(AND(Z97&lt;&gt;"",IFERROR(VALUE(MID(Z97,2,2)),0)&lt;SG_Criteria!$B$19),"FAIL: grade below C"&amp;SG_Criteria!$B$19&amp;". ","")&amp;IF(AND(AA97&lt;&gt;"",AA97&lt;SG_Criteria!$B$20),"FAIL: cover &lt; "&amp;SG_Criteria!$B$20&amp;" mm. ","")&amp;IF(AND(I97&lt;&gt;"",I97&lt;SG_Criteria!$B$39),"NOTE: min depth below PUB "&amp;SG_Criteria!$B$39&amp;" m. ","")&amp;IF(AND(LEFT(D97,8)="Standard",J97&gt;SG_Criteria!$B$42),"FAIL: PUB 001C covers manholes up to "&amp;SG_Criteria!$B$42&amp;" m deep only. ","")&amp;IF(AND(LEFT(D97,11)="Rectangular",K97&lt;SG_Criteria!$B$43),"NOTE: 004C is for sewers &gt;= "&amp;SG_Criteria!$B$43&amp;" dia. ","")&amp;IF(AND(LEFT(D97,7)="Precast",J97&lt;=SG_Criteria!$B$42),"NOTE: 006C is for manholes &gt; "&amp;SG_Criteria!$B$42&amp;" m deep. ","")&amp;IF(AND(K97&lt;&gt;"",K97&lt;SG_Criteria!$B$40,D97&lt;&gt;"Inspection Chamber"),"NOTE: public sewer min dia "&amp;SG_Criteria!$B$40&amp;" mm. ","")&amp;IF(AND(Y97&lt;&gt;"",Y97&lt;SG_Criteria!$B$44),"FAIL: uplift FOS below "&amp;SG_Criteria!$B$44&amp;". ","")))</f>
        <v/>
      </c>
      <c r="BH97" s="9"/>
      <c r="BI97" s="9"/>
      <c r="BJ97" s="9"/>
      <c r="BK97" s="10" t="str">
        <f aca="false">IF(BJ97="","",IFERROR(VLOOKUP(BJ97,Projects!$A$5:$D$504,2,0),"Ref not in Projects"))</f>
        <v/>
      </c>
      <c r="BL97" s="10" t="str">
        <f aca="false">IF(BJ97="","",IFERROR(VLOOKUP(BJ97,Projects!$A$5:$D$504,4,0),"Ref not in Projects"))</f>
        <v/>
      </c>
      <c r="BM97" s="9"/>
      <c r="BN97" s="9"/>
      <c r="BO97" s="9"/>
      <c r="BP97" s="40"/>
      <c r="BQ97" s="9"/>
      <c r="BR97" s="40"/>
      <c r="BS97" s="9"/>
      <c r="BT97" s="40"/>
      <c r="BU97" s="9"/>
      <c r="BV97" s="9"/>
      <c r="BW97" s="9"/>
      <c r="BX97" s="40"/>
      <c r="BY97" s="40"/>
      <c r="BZ97" s="36" t="str">
        <f aca="false">IF(BY97="","",EDATE(BY97,SG_Criteria!$B$54*12))</f>
        <v/>
      </c>
      <c r="CA97" s="33" t="str">
        <f aca="true">IF(A97="","",IF(BY97="","NOTE: not reviewed yet",IF(TODAY()&gt;BZ97,"NOTE: review overdue","OK")))</f>
        <v/>
      </c>
      <c r="CB97" s="37" t="str">
        <f aca="false">IF(A97="","",ROUND((IF(LEN(D97)&gt;0,1,0)+IF(LEN(E97)&gt;0,1,0)+IF(LEN(F97)&gt;0,1,0)+IF(LEN(G97)&gt;0,1,0)+IF(LEN(I97)&gt;0,1,0)+IF(LEN(J97)&gt;0,1,0)+IF(LEN(K97)&gt;0,1,0)+IF(LEN(L97)&gt;0,1,0)+IF(LEN(M97)&gt;0,1,0)+IF(LEN(N97)&gt;0,1,0)+IF(LEN(Z97)&gt;0,1,0)+IF(LEN(AA97)&gt;0,1,0)+IF(LEN(Y97)&gt;0,1,0)+IF(LEN(AE97)&gt;0,1,0)+IF(LEN(AG97)&gt;0,1,0)+IF(LEN(AZ97)&gt;0,1,0)+IF(LEN(AK97)&gt;0,1,0)+IF(LEN(AM97)&gt;0,1,0)+IF(LEN(AN97)&gt;0,1,0)+IF(LEN(AO97)&gt;0,1,0)+IF(LEN(AP97)&gt;0,1,0)+IF(LEN(AY97)&gt;0,1,0)+IF(LEN(BJ97)&gt;0,1,0)+IF(LEN(BW97)&gt;0,1,0))/24,2))</f>
        <v/>
      </c>
      <c r="CC97" s="10" t="str">
        <f aca="false">IF(D97="","",IF(AND(AN97="Approved",ISERROR(SEARCH("FAIL",BG97))),"Y","N"))</f>
        <v/>
      </c>
      <c r="CD97" s="10" t="str">
        <f aca="false">IF(D97="","",D97&amp;"|"&amp;J97&amp;"|"&amp;G97&amp;"|"&amp;CC97)</f>
        <v/>
      </c>
    </row>
    <row r="98" customFormat="false" ht="15" hidden="false" customHeight="false" outlineLevel="0" collapsed="false">
      <c r="A98" s="10" t="str">
        <f aca="false">IF(D98="","","MH-"&amp;IFERROR(VLOOKUP(D98,Lists!$AB$4:$AC$20,2,0),"??")&amp;"-"&amp;TEXT(G98,"0000")&amp;IF(F98="Circular","D","x"&amp;TEXT(H98,"0000"))&amp;"-D"&amp;TEXT(J98*1000,"0000")&amp;"-"&amp;IFERROR(VLOOKUP(E98,Lists!$AE$4:$AF$16,2,0),"??")&amp;"-"&amp;AM98)</f>
        <v/>
      </c>
      <c r="B98" s="10" t="str">
        <f aca="false">IF(D98="","",D98&amp;", "&amp;E98&amp;", "&amp;IF(F98="Circular",G98&amp;" dia",G98&amp;" x "&amp;H98)&amp;", depth "&amp;TEXT(I98,"0.0")&amp;"-"&amp;TEXT(J98,"0.0")&amp;" m, pipe up to "&amp;K98&amp;" dia")</f>
        <v/>
      </c>
      <c r="C98" s="9"/>
      <c r="D98" s="9"/>
      <c r="E98" s="9"/>
      <c r="F98" s="9"/>
      <c r="G98" s="38"/>
      <c r="H98" s="38"/>
      <c r="I98" s="42"/>
      <c r="J98" s="42"/>
      <c r="K98" s="38"/>
      <c r="L98" s="38"/>
      <c r="M98" s="38"/>
      <c r="N98" s="38"/>
      <c r="O98" s="9"/>
      <c r="P98" s="9"/>
      <c r="Q98" s="9"/>
      <c r="R98" s="9"/>
      <c r="S98" s="9"/>
      <c r="T98" s="9"/>
      <c r="U98" s="9"/>
      <c r="V98" s="42"/>
      <c r="W98" s="9"/>
      <c r="X98" s="9"/>
      <c r="Y98" s="39"/>
      <c r="Z98" s="9"/>
      <c r="AA98" s="38"/>
      <c r="AB98" s="9"/>
      <c r="AC98" s="9"/>
      <c r="AD98" s="9"/>
      <c r="AE98" s="9"/>
      <c r="AF98" s="9"/>
      <c r="AG98" s="9"/>
      <c r="AH98" s="38"/>
      <c r="AI98" s="9"/>
      <c r="AJ98" s="39"/>
      <c r="AK98" s="9"/>
      <c r="AL98" s="9"/>
      <c r="AM98" s="9"/>
      <c r="AN98" s="9"/>
      <c r="AO98" s="9"/>
      <c r="AP98" s="9"/>
      <c r="AQ98" s="9"/>
      <c r="AR98" s="10" t="str">
        <f aca="false">IF(A98="","",SG_Criteria!$B$6&amp;SG_Criteria!$B$10&amp;"\"&amp;A98&amp;"\")</f>
        <v/>
      </c>
      <c r="AS98" s="10" t="str">
        <f aca="false">IF(A98="","",A98&amp;"_CAD.dwg")</f>
        <v/>
      </c>
      <c r="AT98" s="10" t="str">
        <f aca="false">IF(A98="","",A98&amp;"_DWG.pdf")</f>
        <v/>
      </c>
      <c r="AU98" s="10" t="str">
        <f aca="false">IF(A98="","",IF(AQ98="Y",A98&amp;"_STAAD.std","n/a"))</f>
        <v/>
      </c>
      <c r="AV98" s="10" t="str">
        <f aca="false">IF(A98="","",A98&amp;"_CALC.xlsx")</f>
        <v/>
      </c>
      <c r="AW98" s="10" t="str">
        <f aca="false">IF(A98="","",A98&amp;"_CALC.pdf")</f>
        <v/>
      </c>
      <c r="AX98" s="9"/>
      <c r="AY98" s="9"/>
      <c r="AZ98" s="39"/>
      <c r="BA98" s="39"/>
      <c r="BB98" s="39"/>
      <c r="BC98" s="39"/>
      <c r="BD98" s="39"/>
      <c r="BE98" s="12" t="str">
        <f aca="false">IF(A98="","",IF(COUNTIF(Rebar_Schedule!$A$5:$A$2004,A98)=0,"",ROUND(SUMIF(Rebar_Schedule!$A$5:$A$2004,A98,Rebar_Schedule!$K$5:$K$2004),1)))</f>
        <v/>
      </c>
      <c r="BF98" s="33" t="str">
        <f aca="false">IF(A98="","",IF(BE98="","No rebar schedule yet",IF(ABS(BE98-N(BA98))/MAX(N(BA98),1)&gt;SG_Criteria!$B$55,"NOTE: register rebar differs from schedule by "&amp;TEXT(ABS(BE98-N(BA98))/MAX(N(BA98),1),"0%"),"OK")))</f>
        <v/>
      </c>
      <c r="BG98" s="33" t="str">
        <f aca="false">IF(D98="","",IF(LEN(IF(AND(Z98&lt;&gt;"",IFERROR(VALUE(MID(Z98,2,2)),0)&lt;SG_Criteria!$B$19),"FAIL: grade below C"&amp;SG_Criteria!$B$19&amp;". ","")&amp;IF(AND(AA98&lt;&gt;"",AA98&lt;SG_Criteria!$B$20),"FAIL: cover &lt; "&amp;SG_Criteria!$B$20&amp;" mm. ","")&amp;IF(AND(I98&lt;&gt;"",I98&lt;SG_Criteria!$B$39),"NOTE: min depth below PUB "&amp;SG_Criteria!$B$39&amp;" m. ","")&amp;IF(AND(LEFT(D98,8)="Standard",J98&gt;SG_Criteria!$B$42),"FAIL: PUB 001C covers manholes up to "&amp;SG_Criteria!$B$42&amp;" m deep only. ","")&amp;IF(AND(LEFT(D98,11)="Rectangular",K98&lt;SG_Criteria!$B$43),"NOTE: 004C is for sewers &gt;= "&amp;SG_Criteria!$B$43&amp;" dia. ","")&amp;IF(AND(LEFT(D98,7)="Precast",J98&lt;=SG_Criteria!$B$42),"NOTE: 006C is for manholes &gt; "&amp;SG_Criteria!$B$42&amp;" m deep. ","")&amp;IF(AND(K98&lt;&gt;"",K98&lt;SG_Criteria!$B$40,D98&lt;&gt;"Inspection Chamber"),"NOTE: public sewer min dia "&amp;SG_Criteria!$B$40&amp;" mm. ","")&amp;IF(AND(Y98&lt;&gt;"",Y98&lt;SG_Criteria!$B$44),"FAIL: uplift FOS below "&amp;SG_Criteria!$B$44&amp;". ",""))=0,"OK",IF(AND(Z98&lt;&gt;"",IFERROR(VALUE(MID(Z98,2,2)),0)&lt;SG_Criteria!$B$19),"FAIL: grade below C"&amp;SG_Criteria!$B$19&amp;". ","")&amp;IF(AND(AA98&lt;&gt;"",AA98&lt;SG_Criteria!$B$20),"FAIL: cover &lt; "&amp;SG_Criteria!$B$20&amp;" mm. ","")&amp;IF(AND(I98&lt;&gt;"",I98&lt;SG_Criteria!$B$39),"NOTE: min depth below PUB "&amp;SG_Criteria!$B$39&amp;" m. ","")&amp;IF(AND(LEFT(D98,8)="Standard",J98&gt;SG_Criteria!$B$42),"FAIL: PUB 001C covers manholes up to "&amp;SG_Criteria!$B$42&amp;" m deep only. ","")&amp;IF(AND(LEFT(D98,11)="Rectangular",K98&lt;SG_Criteria!$B$43),"NOTE: 004C is for sewers &gt;= "&amp;SG_Criteria!$B$43&amp;" dia. ","")&amp;IF(AND(LEFT(D98,7)="Precast",J98&lt;=SG_Criteria!$B$42),"NOTE: 006C is for manholes &gt; "&amp;SG_Criteria!$B$42&amp;" m deep. ","")&amp;IF(AND(K98&lt;&gt;"",K98&lt;SG_Criteria!$B$40,D98&lt;&gt;"Inspection Chamber"),"NOTE: public sewer min dia "&amp;SG_Criteria!$B$40&amp;" mm. ","")&amp;IF(AND(Y98&lt;&gt;"",Y98&lt;SG_Criteria!$B$44),"FAIL: uplift FOS below "&amp;SG_Criteria!$B$44&amp;". ","")))</f>
        <v/>
      </c>
      <c r="BH98" s="9"/>
      <c r="BI98" s="9"/>
      <c r="BJ98" s="9"/>
      <c r="BK98" s="10" t="str">
        <f aca="false">IF(BJ98="","",IFERROR(VLOOKUP(BJ98,Projects!$A$5:$D$504,2,0),"Ref not in Projects"))</f>
        <v/>
      </c>
      <c r="BL98" s="10" t="str">
        <f aca="false">IF(BJ98="","",IFERROR(VLOOKUP(BJ98,Projects!$A$5:$D$504,4,0),"Ref not in Projects"))</f>
        <v/>
      </c>
      <c r="BM98" s="9"/>
      <c r="BN98" s="9"/>
      <c r="BO98" s="9"/>
      <c r="BP98" s="40"/>
      <c r="BQ98" s="9"/>
      <c r="BR98" s="40"/>
      <c r="BS98" s="9"/>
      <c r="BT98" s="40"/>
      <c r="BU98" s="9"/>
      <c r="BV98" s="9"/>
      <c r="BW98" s="9"/>
      <c r="BX98" s="40"/>
      <c r="BY98" s="40"/>
      <c r="BZ98" s="36" t="str">
        <f aca="false">IF(BY98="","",EDATE(BY98,SG_Criteria!$B$54*12))</f>
        <v/>
      </c>
      <c r="CA98" s="33" t="str">
        <f aca="true">IF(A98="","",IF(BY98="","NOTE: not reviewed yet",IF(TODAY()&gt;BZ98,"NOTE: review overdue","OK")))</f>
        <v/>
      </c>
      <c r="CB98" s="37" t="str">
        <f aca="false">IF(A98="","",ROUND((IF(LEN(D98)&gt;0,1,0)+IF(LEN(E98)&gt;0,1,0)+IF(LEN(F98)&gt;0,1,0)+IF(LEN(G98)&gt;0,1,0)+IF(LEN(I98)&gt;0,1,0)+IF(LEN(J98)&gt;0,1,0)+IF(LEN(K98)&gt;0,1,0)+IF(LEN(L98)&gt;0,1,0)+IF(LEN(M98)&gt;0,1,0)+IF(LEN(N98)&gt;0,1,0)+IF(LEN(Z98)&gt;0,1,0)+IF(LEN(AA98)&gt;0,1,0)+IF(LEN(Y98)&gt;0,1,0)+IF(LEN(AE98)&gt;0,1,0)+IF(LEN(AG98)&gt;0,1,0)+IF(LEN(AZ98)&gt;0,1,0)+IF(LEN(AK98)&gt;0,1,0)+IF(LEN(AM98)&gt;0,1,0)+IF(LEN(AN98)&gt;0,1,0)+IF(LEN(AO98)&gt;0,1,0)+IF(LEN(AP98)&gt;0,1,0)+IF(LEN(AY98)&gt;0,1,0)+IF(LEN(BJ98)&gt;0,1,0)+IF(LEN(BW98)&gt;0,1,0))/24,2))</f>
        <v/>
      </c>
      <c r="CC98" s="10" t="str">
        <f aca="false">IF(D98="","",IF(AND(AN98="Approved",ISERROR(SEARCH("FAIL",BG98))),"Y","N"))</f>
        <v/>
      </c>
      <c r="CD98" s="10" t="str">
        <f aca="false">IF(D98="","",D98&amp;"|"&amp;J98&amp;"|"&amp;G98&amp;"|"&amp;CC98)</f>
        <v/>
      </c>
    </row>
    <row r="99" customFormat="false" ht="15" hidden="false" customHeight="false" outlineLevel="0" collapsed="false">
      <c r="A99" s="10" t="str">
        <f aca="false">IF(D99="","","MH-"&amp;IFERROR(VLOOKUP(D99,Lists!$AB$4:$AC$20,2,0),"??")&amp;"-"&amp;TEXT(G99,"0000")&amp;IF(F99="Circular","D","x"&amp;TEXT(H99,"0000"))&amp;"-D"&amp;TEXT(J99*1000,"0000")&amp;"-"&amp;IFERROR(VLOOKUP(E99,Lists!$AE$4:$AF$16,2,0),"??")&amp;"-"&amp;AM99)</f>
        <v/>
      </c>
      <c r="B99" s="10" t="str">
        <f aca="false">IF(D99="","",D99&amp;", "&amp;E99&amp;", "&amp;IF(F99="Circular",G99&amp;" dia",G99&amp;" x "&amp;H99)&amp;", depth "&amp;TEXT(I99,"0.0")&amp;"-"&amp;TEXT(J99,"0.0")&amp;" m, pipe up to "&amp;K99&amp;" dia")</f>
        <v/>
      </c>
      <c r="C99" s="9"/>
      <c r="D99" s="9"/>
      <c r="E99" s="9"/>
      <c r="F99" s="9"/>
      <c r="G99" s="38"/>
      <c r="H99" s="38"/>
      <c r="I99" s="42"/>
      <c r="J99" s="42"/>
      <c r="K99" s="38"/>
      <c r="L99" s="38"/>
      <c r="M99" s="38"/>
      <c r="N99" s="38"/>
      <c r="O99" s="9"/>
      <c r="P99" s="9"/>
      <c r="Q99" s="9"/>
      <c r="R99" s="9"/>
      <c r="S99" s="9"/>
      <c r="T99" s="9"/>
      <c r="U99" s="9"/>
      <c r="V99" s="42"/>
      <c r="W99" s="9"/>
      <c r="X99" s="9"/>
      <c r="Y99" s="39"/>
      <c r="Z99" s="9"/>
      <c r="AA99" s="38"/>
      <c r="AB99" s="9"/>
      <c r="AC99" s="9"/>
      <c r="AD99" s="9"/>
      <c r="AE99" s="9"/>
      <c r="AF99" s="9"/>
      <c r="AG99" s="9"/>
      <c r="AH99" s="38"/>
      <c r="AI99" s="9"/>
      <c r="AJ99" s="39"/>
      <c r="AK99" s="9"/>
      <c r="AL99" s="9"/>
      <c r="AM99" s="9"/>
      <c r="AN99" s="9"/>
      <c r="AO99" s="9"/>
      <c r="AP99" s="9"/>
      <c r="AQ99" s="9"/>
      <c r="AR99" s="10" t="str">
        <f aca="false">IF(A99="","",SG_Criteria!$B$6&amp;SG_Criteria!$B$10&amp;"\"&amp;A99&amp;"\")</f>
        <v/>
      </c>
      <c r="AS99" s="10" t="str">
        <f aca="false">IF(A99="","",A99&amp;"_CAD.dwg")</f>
        <v/>
      </c>
      <c r="AT99" s="10" t="str">
        <f aca="false">IF(A99="","",A99&amp;"_DWG.pdf")</f>
        <v/>
      </c>
      <c r="AU99" s="10" t="str">
        <f aca="false">IF(A99="","",IF(AQ99="Y",A99&amp;"_STAAD.std","n/a"))</f>
        <v/>
      </c>
      <c r="AV99" s="10" t="str">
        <f aca="false">IF(A99="","",A99&amp;"_CALC.xlsx")</f>
        <v/>
      </c>
      <c r="AW99" s="10" t="str">
        <f aca="false">IF(A99="","",A99&amp;"_CALC.pdf")</f>
        <v/>
      </c>
      <c r="AX99" s="9"/>
      <c r="AY99" s="9"/>
      <c r="AZ99" s="39"/>
      <c r="BA99" s="39"/>
      <c r="BB99" s="39"/>
      <c r="BC99" s="39"/>
      <c r="BD99" s="39"/>
      <c r="BE99" s="12" t="str">
        <f aca="false">IF(A99="","",IF(COUNTIF(Rebar_Schedule!$A$5:$A$2004,A99)=0,"",ROUND(SUMIF(Rebar_Schedule!$A$5:$A$2004,A99,Rebar_Schedule!$K$5:$K$2004),1)))</f>
        <v/>
      </c>
      <c r="BF99" s="33" t="str">
        <f aca="false">IF(A99="","",IF(BE99="","No rebar schedule yet",IF(ABS(BE99-N(BA99))/MAX(N(BA99),1)&gt;SG_Criteria!$B$55,"NOTE: register rebar differs from schedule by "&amp;TEXT(ABS(BE99-N(BA99))/MAX(N(BA99),1),"0%"),"OK")))</f>
        <v/>
      </c>
      <c r="BG99" s="33" t="str">
        <f aca="false">IF(D99="","",IF(LEN(IF(AND(Z99&lt;&gt;"",IFERROR(VALUE(MID(Z99,2,2)),0)&lt;SG_Criteria!$B$19),"FAIL: grade below C"&amp;SG_Criteria!$B$19&amp;". ","")&amp;IF(AND(AA99&lt;&gt;"",AA99&lt;SG_Criteria!$B$20),"FAIL: cover &lt; "&amp;SG_Criteria!$B$20&amp;" mm. ","")&amp;IF(AND(I99&lt;&gt;"",I99&lt;SG_Criteria!$B$39),"NOTE: min depth below PUB "&amp;SG_Criteria!$B$39&amp;" m. ","")&amp;IF(AND(LEFT(D99,8)="Standard",J99&gt;SG_Criteria!$B$42),"FAIL: PUB 001C covers manholes up to "&amp;SG_Criteria!$B$42&amp;" m deep only. ","")&amp;IF(AND(LEFT(D99,11)="Rectangular",K99&lt;SG_Criteria!$B$43),"NOTE: 004C is for sewers &gt;= "&amp;SG_Criteria!$B$43&amp;" dia. ","")&amp;IF(AND(LEFT(D99,7)="Precast",J99&lt;=SG_Criteria!$B$42),"NOTE: 006C is for manholes &gt; "&amp;SG_Criteria!$B$42&amp;" m deep. ","")&amp;IF(AND(K99&lt;&gt;"",K99&lt;SG_Criteria!$B$40,D99&lt;&gt;"Inspection Chamber"),"NOTE: public sewer min dia "&amp;SG_Criteria!$B$40&amp;" mm. ","")&amp;IF(AND(Y99&lt;&gt;"",Y99&lt;SG_Criteria!$B$44),"FAIL: uplift FOS below "&amp;SG_Criteria!$B$44&amp;". ",""))=0,"OK",IF(AND(Z99&lt;&gt;"",IFERROR(VALUE(MID(Z99,2,2)),0)&lt;SG_Criteria!$B$19),"FAIL: grade below C"&amp;SG_Criteria!$B$19&amp;". ","")&amp;IF(AND(AA99&lt;&gt;"",AA99&lt;SG_Criteria!$B$20),"FAIL: cover &lt; "&amp;SG_Criteria!$B$20&amp;" mm. ","")&amp;IF(AND(I99&lt;&gt;"",I99&lt;SG_Criteria!$B$39),"NOTE: min depth below PUB "&amp;SG_Criteria!$B$39&amp;" m. ","")&amp;IF(AND(LEFT(D99,8)="Standard",J99&gt;SG_Criteria!$B$42),"FAIL: PUB 001C covers manholes up to "&amp;SG_Criteria!$B$42&amp;" m deep only. ","")&amp;IF(AND(LEFT(D99,11)="Rectangular",K99&lt;SG_Criteria!$B$43),"NOTE: 004C is for sewers &gt;= "&amp;SG_Criteria!$B$43&amp;" dia. ","")&amp;IF(AND(LEFT(D99,7)="Precast",J99&lt;=SG_Criteria!$B$42),"NOTE: 006C is for manholes &gt; "&amp;SG_Criteria!$B$42&amp;" m deep. ","")&amp;IF(AND(K99&lt;&gt;"",K99&lt;SG_Criteria!$B$40,D99&lt;&gt;"Inspection Chamber"),"NOTE: public sewer min dia "&amp;SG_Criteria!$B$40&amp;" mm. ","")&amp;IF(AND(Y99&lt;&gt;"",Y99&lt;SG_Criteria!$B$44),"FAIL: uplift FOS below "&amp;SG_Criteria!$B$44&amp;". ","")))</f>
        <v/>
      </c>
      <c r="BH99" s="9"/>
      <c r="BI99" s="9"/>
      <c r="BJ99" s="9"/>
      <c r="BK99" s="10" t="str">
        <f aca="false">IF(BJ99="","",IFERROR(VLOOKUP(BJ99,Projects!$A$5:$D$504,2,0),"Ref not in Projects"))</f>
        <v/>
      </c>
      <c r="BL99" s="10" t="str">
        <f aca="false">IF(BJ99="","",IFERROR(VLOOKUP(BJ99,Projects!$A$5:$D$504,4,0),"Ref not in Projects"))</f>
        <v/>
      </c>
      <c r="BM99" s="9"/>
      <c r="BN99" s="9"/>
      <c r="BO99" s="9"/>
      <c r="BP99" s="40"/>
      <c r="BQ99" s="9"/>
      <c r="BR99" s="40"/>
      <c r="BS99" s="9"/>
      <c r="BT99" s="40"/>
      <c r="BU99" s="9"/>
      <c r="BV99" s="9"/>
      <c r="BW99" s="9"/>
      <c r="BX99" s="40"/>
      <c r="BY99" s="40"/>
      <c r="BZ99" s="36" t="str">
        <f aca="false">IF(BY99="","",EDATE(BY99,SG_Criteria!$B$54*12))</f>
        <v/>
      </c>
      <c r="CA99" s="33" t="str">
        <f aca="true">IF(A99="","",IF(BY99="","NOTE: not reviewed yet",IF(TODAY()&gt;BZ99,"NOTE: review overdue","OK")))</f>
        <v/>
      </c>
      <c r="CB99" s="37" t="str">
        <f aca="false">IF(A99="","",ROUND((IF(LEN(D99)&gt;0,1,0)+IF(LEN(E99)&gt;0,1,0)+IF(LEN(F99)&gt;0,1,0)+IF(LEN(G99)&gt;0,1,0)+IF(LEN(I99)&gt;0,1,0)+IF(LEN(J99)&gt;0,1,0)+IF(LEN(K99)&gt;0,1,0)+IF(LEN(L99)&gt;0,1,0)+IF(LEN(M99)&gt;0,1,0)+IF(LEN(N99)&gt;0,1,0)+IF(LEN(Z99)&gt;0,1,0)+IF(LEN(AA99)&gt;0,1,0)+IF(LEN(Y99)&gt;0,1,0)+IF(LEN(AE99)&gt;0,1,0)+IF(LEN(AG99)&gt;0,1,0)+IF(LEN(AZ99)&gt;0,1,0)+IF(LEN(AK99)&gt;0,1,0)+IF(LEN(AM99)&gt;0,1,0)+IF(LEN(AN99)&gt;0,1,0)+IF(LEN(AO99)&gt;0,1,0)+IF(LEN(AP99)&gt;0,1,0)+IF(LEN(AY99)&gt;0,1,0)+IF(LEN(BJ99)&gt;0,1,0)+IF(LEN(BW99)&gt;0,1,0))/24,2))</f>
        <v/>
      </c>
      <c r="CC99" s="10" t="str">
        <f aca="false">IF(D99="","",IF(AND(AN99="Approved",ISERROR(SEARCH("FAIL",BG99))),"Y","N"))</f>
        <v/>
      </c>
      <c r="CD99" s="10" t="str">
        <f aca="false">IF(D99="","",D99&amp;"|"&amp;J99&amp;"|"&amp;G99&amp;"|"&amp;CC99)</f>
        <v/>
      </c>
    </row>
    <row r="100" customFormat="false" ht="15" hidden="false" customHeight="false" outlineLevel="0" collapsed="false">
      <c r="A100" s="10" t="str">
        <f aca="false">IF(D100="","","MH-"&amp;IFERROR(VLOOKUP(D100,Lists!$AB$4:$AC$20,2,0),"??")&amp;"-"&amp;TEXT(G100,"0000")&amp;IF(F100="Circular","D","x"&amp;TEXT(H100,"0000"))&amp;"-D"&amp;TEXT(J100*1000,"0000")&amp;"-"&amp;IFERROR(VLOOKUP(E100,Lists!$AE$4:$AF$16,2,0),"??")&amp;"-"&amp;AM100)</f>
        <v/>
      </c>
      <c r="B100" s="10" t="str">
        <f aca="false">IF(D100="","",D100&amp;", "&amp;E100&amp;", "&amp;IF(F100="Circular",G100&amp;" dia",G100&amp;" x "&amp;H100)&amp;", depth "&amp;TEXT(I100,"0.0")&amp;"-"&amp;TEXT(J100,"0.0")&amp;" m, pipe up to "&amp;K100&amp;" dia")</f>
        <v/>
      </c>
      <c r="C100" s="9"/>
      <c r="D100" s="9"/>
      <c r="E100" s="9"/>
      <c r="F100" s="9"/>
      <c r="G100" s="38"/>
      <c r="H100" s="38"/>
      <c r="I100" s="42"/>
      <c r="J100" s="42"/>
      <c r="K100" s="38"/>
      <c r="L100" s="38"/>
      <c r="M100" s="38"/>
      <c r="N100" s="38"/>
      <c r="O100" s="9"/>
      <c r="P100" s="9"/>
      <c r="Q100" s="9"/>
      <c r="R100" s="9"/>
      <c r="S100" s="9"/>
      <c r="T100" s="9"/>
      <c r="U100" s="9"/>
      <c r="V100" s="42"/>
      <c r="W100" s="9"/>
      <c r="X100" s="9"/>
      <c r="Y100" s="39"/>
      <c r="Z100" s="9"/>
      <c r="AA100" s="38"/>
      <c r="AB100" s="9"/>
      <c r="AC100" s="9"/>
      <c r="AD100" s="9"/>
      <c r="AE100" s="9"/>
      <c r="AF100" s="9"/>
      <c r="AG100" s="9"/>
      <c r="AH100" s="38"/>
      <c r="AI100" s="9"/>
      <c r="AJ100" s="39"/>
      <c r="AK100" s="9"/>
      <c r="AL100" s="9"/>
      <c r="AM100" s="9"/>
      <c r="AN100" s="9"/>
      <c r="AO100" s="9"/>
      <c r="AP100" s="9"/>
      <c r="AQ100" s="9"/>
      <c r="AR100" s="10" t="str">
        <f aca="false">IF(A100="","",SG_Criteria!$B$6&amp;SG_Criteria!$B$10&amp;"\"&amp;A100&amp;"\")</f>
        <v/>
      </c>
      <c r="AS100" s="10" t="str">
        <f aca="false">IF(A100="","",A100&amp;"_CAD.dwg")</f>
        <v/>
      </c>
      <c r="AT100" s="10" t="str">
        <f aca="false">IF(A100="","",A100&amp;"_DWG.pdf")</f>
        <v/>
      </c>
      <c r="AU100" s="10" t="str">
        <f aca="false">IF(A100="","",IF(AQ100="Y",A100&amp;"_STAAD.std","n/a"))</f>
        <v/>
      </c>
      <c r="AV100" s="10" t="str">
        <f aca="false">IF(A100="","",A100&amp;"_CALC.xlsx")</f>
        <v/>
      </c>
      <c r="AW100" s="10" t="str">
        <f aca="false">IF(A100="","",A100&amp;"_CALC.pdf")</f>
        <v/>
      </c>
      <c r="AX100" s="9"/>
      <c r="AY100" s="9"/>
      <c r="AZ100" s="39"/>
      <c r="BA100" s="39"/>
      <c r="BB100" s="39"/>
      <c r="BC100" s="39"/>
      <c r="BD100" s="39"/>
      <c r="BE100" s="12" t="str">
        <f aca="false">IF(A100="","",IF(COUNTIF(Rebar_Schedule!$A$5:$A$2004,A100)=0,"",ROUND(SUMIF(Rebar_Schedule!$A$5:$A$2004,A100,Rebar_Schedule!$K$5:$K$2004),1)))</f>
        <v/>
      </c>
      <c r="BF100" s="33" t="str">
        <f aca="false">IF(A100="","",IF(BE100="","No rebar schedule yet",IF(ABS(BE100-N(BA100))/MAX(N(BA100),1)&gt;SG_Criteria!$B$55,"NOTE: register rebar differs from schedule by "&amp;TEXT(ABS(BE100-N(BA100))/MAX(N(BA100),1),"0%"),"OK")))</f>
        <v/>
      </c>
      <c r="BG100" s="33" t="str">
        <f aca="false">IF(D100="","",IF(LEN(IF(AND(Z100&lt;&gt;"",IFERROR(VALUE(MID(Z100,2,2)),0)&lt;SG_Criteria!$B$19),"FAIL: grade below C"&amp;SG_Criteria!$B$19&amp;". ","")&amp;IF(AND(AA100&lt;&gt;"",AA100&lt;SG_Criteria!$B$20),"FAIL: cover &lt; "&amp;SG_Criteria!$B$20&amp;" mm. ","")&amp;IF(AND(I100&lt;&gt;"",I100&lt;SG_Criteria!$B$39),"NOTE: min depth below PUB "&amp;SG_Criteria!$B$39&amp;" m. ","")&amp;IF(AND(LEFT(D100,8)="Standard",J100&gt;SG_Criteria!$B$42),"FAIL: PUB 001C covers manholes up to "&amp;SG_Criteria!$B$42&amp;" m deep only. ","")&amp;IF(AND(LEFT(D100,11)="Rectangular",K100&lt;SG_Criteria!$B$43),"NOTE: 004C is for sewers &gt;= "&amp;SG_Criteria!$B$43&amp;" dia. ","")&amp;IF(AND(LEFT(D100,7)="Precast",J100&lt;=SG_Criteria!$B$42),"NOTE: 006C is for manholes &gt; "&amp;SG_Criteria!$B$42&amp;" m deep. ","")&amp;IF(AND(K100&lt;&gt;"",K100&lt;SG_Criteria!$B$40,D100&lt;&gt;"Inspection Chamber"),"NOTE: public sewer min dia "&amp;SG_Criteria!$B$40&amp;" mm. ","")&amp;IF(AND(Y100&lt;&gt;"",Y100&lt;SG_Criteria!$B$44),"FAIL: uplift FOS below "&amp;SG_Criteria!$B$44&amp;". ",""))=0,"OK",IF(AND(Z100&lt;&gt;"",IFERROR(VALUE(MID(Z100,2,2)),0)&lt;SG_Criteria!$B$19),"FAIL: grade below C"&amp;SG_Criteria!$B$19&amp;". ","")&amp;IF(AND(AA100&lt;&gt;"",AA100&lt;SG_Criteria!$B$20),"FAIL: cover &lt; "&amp;SG_Criteria!$B$20&amp;" mm. ","")&amp;IF(AND(I100&lt;&gt;"",I100&lt;SG_Criteria!$B$39),"NOTE: min depth below PUB "&amp;SG_Criteria!$B$39&amp;" m. ","")&amp;IF(AND(LEFT(D100,8)="Standard",J100&gt;SG_Criteria!$B$42),"FAIL: PUB 001C covers manholes up to "&amp;SG_Criteria!$B$42&amp;" m deep only. ","")&amp;IF(AND(LEFT(D100,11)="Rectangular",K100&lt;SG_Criteria!$B$43),"NOTE: 004C is for sewers &gt;= "&amp;SG_Criteria!$B$43&amp;" dia. ","")&amp;IF(AND(LEFT(D100,7)="Precast",J100&lt;=SG_Criteria!$B$42),"NOTE: 006C is for manholes &gt; "&amp;SG_Criteria!$B$42&amp;" m deep. ","")&amp;IF(AND(K100&lt;&gt;"",K100&lt;SG_Criteria!$B$40,D100&lt;&gt;"Inspection Chamber"),"NOTE: public sewer min dia "&amp;SG_Criteria!$B$40&amp;" mm. ","")&amp;IF(AND(Y100&lt;&gt;"",Y100&lt;SG_Criteria!$B$44),"FAIL: uplift FOS below "&amp;SG_Criteria!$B$44&amp;". ","")))</f>
        <v/>
      </c>
      <c r="BH100" s="9"/>
      <c r="BI100" s="9"/>
      <c r="BJ100" s="9"/>
      <c r="BK100" s="10" t="str">
        <f aca="false">IF(BJ100="","",IFERROR(VLOOKUP(BJ100,Projects!$A$5:$D$504,2,0),"Ref not in Projects"))</f>
        <v/>
      </c>
      <c r="BL100" s="10" t="str">
        <f aca="false">IF(BJ100="","",IFERROR(VLOOKUP(BJ100,Projects!$A$5:$D$504,4,0),"Ref not in Projects"))</f>
        <v/>
      </c>
      <c r="BM100" s="9"/>
      <c r="BN100" s="9"/>
      <c r="BO100" s="9"/>
      <c r="BP100" s="40"/>
      <c r="BQ100" s="9"/>
      <c r="BR100" s="40"/>
      <c r="BS100" s="9"/>
      <c r="BT100" s="40"/>
      <c r="BU100" s="9"/>
      <c r="BV100" s="9"/>
      <c r="BW100" s="9"/>
      <c r="BX100" s="40"/>
      <c r="BY100" s="40"/>
      <c r="BZ100" s="36" t="str">
        <f aca="false">IF(BY100="","",EDATE(BY100,SG_Criteria!$B$54*12))</f>
        <v/>
      </c>
      <c r="CA100" s="33" t="str">
        <f aca="true">IF(A100="","",IF(BY100="","NOTE: not reviewed yet",IF(TODAY()&gt;BZ100,"NOTE: review overdue","OK")))</f>
        <v/>
      </c>
      <c r="CB100" s="37" t="str">
        <f aca="false">IF(A100="","",ROUND((IF(LEN(D100)&gt;0,1,0)+IF(LEN(E100)&gt;0,1,0)+IF(LEN(F100)&gt;0,1,0)+IF(LEN(G100)&gt;0,1,0)+IF(LEN(I100)&gt;0,1,0)+IF(LEN(J100)&gt;0,1,0)+IF(LEN(K100)&gt;0,1,0)+IF(LEN(L100)&gt;0,1,0)+IF(LEN(M100)&gt;0,1,0)+IF(LEN(N100)&gt;0,1,0)+IF(LEN(Z100)&gt;0,1,0)+IF(LEN(AA100)&gt;0,1,0)+IF(LEN(Y100)&gt;0,1,0)+IF(LEN(AE100)&gt;0,1,0)+IF(LEN(AG100)&gt;0,1,0)+IF(LEN(AZ100)&gt;0,1,0)+IF(LEN(AK100)&gt;0,1,0)+IF(LEN(AM100)&gt;0,1,0)+IF(LEN(AN100)&gt;0,1,0)+IF(LEN(AO100)&gt;0,1,0)+IF(LEN(AP100)&gt;0,1,0)+IF(LEN(AY100)&gt;0,1,0)+IF(LEN(BJ100)&gt;0,1,0)+IF(LEN(BW100)&gt;0,1,0))/24,2))</f>
        <v/>
      </c>
      <c r="CC100" s="10" t="str">
        <f aca="false">IF(D100="","",IF(AND(AN100="Approved",ISERROR(SEARCH("FAIL",BG100))),"Y","N"))</f>
        <v/>
      </c>
      <c r="CD100" s="10" t="str">
        <f aca="false">IF(D100="","",D100&amp;"|"&amp;J100&amp;"|"&amp;G100&amp;"|"&amp;CC100)</f>
        <v/>
      </c>
    </row>
    <row r="101" customFormat="false" ht="15" hidden="false" customHeight="false" outlineLevel="0" collapsed="false">
      <c r="A101" s="10" t="str">
        <f aca="false">IF(D101="","","MH-"&amp;IFERROR(VLOOKUP(D101,Lists!$AB$4:$AC$20,2,0),"??")&amp;"-"&amp;TEXT(G101,"0000")&amp;IF(F101="Circular","D","x"&amp;TEXT(H101,"0000"))&amp;"-D"&amp;TEXT(J101*1000,"0000")&amp;"-"&amp;IFERROR(VLOOKUP(E101,Lists!$AE$4:$AF$16,2,0),"??")&amp;"-"&amp;AM101)</f>
        <v/>
      </c>
      <c r="B101" s="10" t="str">
        <f aca="false">IF(D101="","",D101&amp;", "&amp;E101&amp;", "&amp;IF(F101="Circular",G101&amp;" dia",G101&amp;" x "&amp;H101)&amp;", depth "&amp;TEXT(I101,"0.0")&amp;"-"&amp;TEXT(J101,"0.0")&amp;" m, pipe up to "&amp;K101&amp;" dia")</f>
        <v/>
      </c>
      <c r="C101" s="9"/>
      <c r="D101" s="9"/>
      <c r="E101" s="9"/>
      <c r="F101" s="9"/>
      <c r="G101" s="38"/>
      <c r="H101" s="38"/>
      <c r="I101" s="42"/>
      <c r="J101" s="42"/>
      <c r="K101" s="38"/>
      <c r="L101" s="38"/>
      <c r="M101" s="38"/>
      <c r="N101" s="38"/>
      <c r="O101" s="9"/>
      <c r="P101" s="9"/>
      <c r="Q101" s="9"/>
      <c r="R101" s="9"/>
      <c r="S101" s="9"/>
      <c r="T101" s="9"/>
      <c r="U101" s="9"/>
      <c r="V101" s="42"/>
      <c r="W101" s="9"/>
      <c r="X101" s="9"/>
      <c r="Y101" s="39"/>
      <c r="Z101" s="9"/>
      <c r="AA101" s="38"/>
      <c r="AB101" s="9"/>
      <c r="AC101" s="9"/>
      <c r="AD101" s="9"/>
      <c r="AE101" s="9"/>
      <c r="AF101" s="9"/>
      <c r="AG101" s="9"/>
      <c r="AH101" s="38"/>
      <c r="AI101" s="9"/>
      <c r="AJ101" s="39"/>
      <c r="AK101" s="9"/>
      <c r="AL101" s="9"/>
      <c r="AM101" s="9"/>
      <c r="AN101" s="9"/>
      <c r="AO101" s="9"/>
      <c r="AP101" s="9"/>
      <c r="AQ101" s="9"/>
      <c r="AR101" s="10" t="str">
        <f aca="false">IF(A101="","",SG_Criteria!$B$6&amp;SG_Criteria!$B$10&amp;"\"&amp;A101&amp;"\")</f>
        <v/>
      </c>
      <c r="AS101" s="10" t="str">
        <f aca="false">IF(A101="","",A101&amp;"_CAD.dwg")</f>
        <v/>
      </c>
      <c r="AT101" s="10" t="str">
        <f aca="false">IF(A101="","",A101&amp;"_DWG.pdf")</f>
        <v/>
      </c>
      <c r="AU101" s="10" t="str">
        <f aca="false">IF(A101="","",IF(AQ101="Y",A101&amp;"_STAAD.std","n/a"))</f>
        <v/>
      </c>
      <c r="AV101" s="10" t="str">
        <f aca="false">IF(A101="","",A101&amp;"_CALC.xlsx")</f>
        <v/>
      </c>
      <c r="AW101" s="10" t="str">
        <f aca="false">IF(A101="","",A101&amp;"_CALC.pdf")</f>
        <v/>
      </c>
      <c r="AX101" s="9"/>
      <c r="AY101" s="9"/>
      <c r="AZ101" s="39"/>
      <c r="BA101" s="39"/>
      <c r="BB101" s="39"/>
      <c r="BC101" s="39"/>
      <c r="BD101" s="39"/>
      <c r="BE101" s="12" t="str">
        <f aca="false">IF(A101="","",IF(COUNTIF(Rebar_Schedule!$A$5:$A$2004,A101)=0,"",ROUND(SUMIF(Rebar_Schedule!$A$5:$A$2004,A101,Rebar_Schedule!$K$5:$K$2004),1)))</f>
        <v/>
      </c>
      <c r="BF101" s="33" t="str">
        <f aca="false">IF(A101="","",IF(BE101="","No rebar schedule yet",IF(ABS(BE101-N(BA101))/MAX(N(BA101),1)&gt;SG_Criteria!$B$55,"NOTE: register rebar differs from schedule by "&amp;TEXT(ABS(BE101-N(BA101))/MAX(N(BA101),1),"0%"),"OK")))</f>
        <v/>
      </c>
      <c r="BG101" s="33" t="str">
        <f aca="false">IF(D101="","",IF(LEN(IF(AND(Z101&lt;&gt;"",IFERROR(VALUE(MID(Z101,2,2)),0)&lt;SG_Criteria!$B$19),"FAIL: grade below C"&amp;SG_Criteria!$B$19&amp;". ","")&amp;IF(AND(AA101&lt;&gt;"",AA101&lt;SG_Criteria!$B$20),"FAIL: cover &lt; "&amp;SG_Criteria!$B$20&amp;" mm. ","")&amp;IF(AND(I101&lt;&gt;"",I101&lt;SG_Criteria!$B$39),"NOTE: min depth below PUB "&amp;SG_Criteria!$B$39&amp;" m. ","")&amp;IF(AND(LEFT(D101,8)="Standard",J101&gt;SG_Criteria!$B$42),"FAIL: PUB 001C covers manholes up to "&amp;SG_Criteria!$B$42&amp;" m deep only. ","")&amp;IF(AND(LEFT(D101,11)="Rectangular",K101&lt;SG_Criteria!$B$43),"NOTE: 004C is for sewers &gt;= "&amp;SG_Criteria!$B$43&amp;" dia. ","")&amp;IF(AND(LEFT(D101,7)="Precast",J101&lt;=SG_Criteria!$B$42),"NOTE: 006C is for manholes &gt; "&amp;SG_Criteria!$B$42&amp;" m deep. ","")&amp;IF(AND(K101&lt;&gt;"",K101&lt;SG_Criteria!$B$40,D101&lt;&gt;"Inspection Chamber"),"NOTE: public sewer min dia "&amp;SG_Criteria!$B$40&amp;" mm. ","")&amp;IF(AND(Y101&lt;&gt;"",Y101&lt;SG_Criteria!$B$44),"FAIL: uplift FOS below "&amp;SG_Criteria!$B$44&amp;". ",""))=0,"OK",IF(AND(Z101&lt;&gt;"",IFERROR(VALUE(MID(Z101,2,2)),0)&lt;SG_Criteria!$B$19),"FAIL: grade below C"&amp;SG_Criteria!$B$19&amp;". ","")&amp;IF(AND(AA101&lt;&gt;"",AA101&lt;SG_Criteria!$B$20),"FAIL: cover &lt; "&amp;SG_Criteria!$B$20&amp;" mm. ","")&amp;IF(AND(I101&lt;&gt;"",I101&lt;SG_Criteria!$B$39),"NOTE: min depth below PUB "&amp;SG_Criteria!$B$39&amp;" m. ","")&amp;IF(AND(LEFT(D101,8)="Standard",J101&gt;SG_Criteria!$B$42),"FAIL: PUB 001C covers manholes up to "&amp;SG_Criteria!$B$42&amp;" m deep only. ","")&amp;IF(AND(LEFT(D101,11)="Rectangular",K101&lt;SG_Criteria!$B$43),"NOTE: 004C is for sewers &gt;= "&amp;SG_Criteria!$B$43&amp;" dia. ","")&amp;IF(AND(LEFT(D101,7)="Precast",J101&lt;=SG_Criteria!$B$42),"NOTE: 006C is for manholes &gt; "&amp;SG_Criteria!$B$42&amp;" m deep. ","")&amp;IF(AND(K101&lt;&gt;"",K101&lt;SG_Criteria!$B$40,D101&lt;&gt;"Inspection Chamber"),"NOTE: public sewer min dia "&amp;SG_Criteria!$B$40&amp;" mm. ","")&amp;IF(AND(Y101&lt;&gt;"",Y101&lt;SG_Criteria!$B$44),"FAIL: uplift FOS below "&amp;SG_Criteria!$B$44&amp;". ","")))</f>
        <v/>
      </c>
      <c r="BH101" s="9"/>
      <c r="BI101" s="9"/>
      <c r="BJ101" s="9"/>
      <c r="BK101" s="10" t="str">
        <f aca="false">IF(BJ101="","",IFERROR(VLOOKUP(BJ101,Projects!$A$5:$D$504,2,0),"Ref not in Projects"))</f>
        <v/>
      </c>
      <c r="BL101" s="10" t="str">
        <f aca="false">IF(BJ101="","",IFERROR(VLOOKUP(BJ101,Projects!$A$5:$D$504,4,0),"Ref not in Projects"))</f>
        <v/>
      </c>
      <c r="BM101" s="9"/>
      <c r="BN101" s="9"/>
      <c r="BO101" s="9"/>
      <c r="BP101" s="40"/>
      <c r="BQ101" s="9"/>
      <c r="BR101" s="40"/>
      <c r="BS101" s="9"/>
      <c r="BT101" s="40"/>
      <c r="BU101" s="9"/>
      <c r="BV101" s="9"/>
      <c r="BW101" s="9"/>
      <c r="BX101" s="40"/>
      <c r="BY101" s="40"/>
      <c r="BZ101" s="36" t="str">
        <f aca="false">IF(BY101="","",EDATE(BY101,SG_Criteria!$B$54*12))</f>
        <v/>
      </c>
      <c r="CA101" s="33" t="str">
        <f aca="true">IF(A101="","",IF(BY101="","NOTE: not reviewed yet",IF(TODAY()&gt;BZ101,"NOTE: review overdue","OK")))</f>
        <v/>
      </c>
      <c r="CB101" s="37" t="str">
        <f aca="false">IF(A101="","",ROUND((IF(LEN(D101)&gt;0,1,0)+IF(LEN(E101)&gt;0,1,0)+IF(LEN(F101)&gt;0,1,0)+IF(LEN(G101)&gt;0,1,0)+IF(LEN(I101)&gt;0,1,0)+IF(LEN(J101)&gt;0,1,0)+IF(LEN(K101)&gt;0,1,0)+IF(LEN(L101)&gt;0,1,0)+IF(LEN(M101)&gt;0,1,0)+IF(LEN(N101)&gt;0,1,0)+IF(LEN(Z101)&gt;0,1,0)+IF(LEN(AA101)&gt;0,1,0)+IF(LEN(Y101)&gt;0,1,0)+IF(LEN(AE101)&gt;0,1,0)+IF(LEN(AG101)&gt;0,1,0)+IF(LEN(AZ101)&gt;0,1,0)+IF(LEN(AK101)&gt;0,1,0)+IF(LEN(AM101)&gt;0,1,0)+IF(LEN(AN101)&gt;0,1,0)+IF(LEN(AO101)&gt;0,1,0)+IF(LEN(AP101)&gt;0,1,0)+IF(LEN(AY101)&gt;0,1,0)+IF(LEN(BJ101)&gt;0,1,0)+IF(LEN(BW101)&gt;0,1,0))/24,2))</f>
        <v/>
      </c>
      <c r="CC101" s="10" t="str">
        <f aca="false">IF(D101="","",IF(AND(AN101="Approved",ISERROR(SEARCH("FAIL",BG101))),"Y","N"))</f>
        <v/>
      </c>
      <c r="CD101" s="10" t="str">
        <f aca="false">IF(D101="","",D101&amp;"|"&amp;J101&amp;"|"&amp;G101&amp;"|"&amp;CC101)</f>
        <v/>
      </c>
    </row>
    <row r="102" customFormat="false" ht="15" hidden="false" customHeight="false" outlineLevel="0" collapsed="false">
      <c r="A102" s="10" t="str">
        <f aca="false">IF(D102="","","MH-"&amp;IFERROR(VLOOKUP(D102,Lists!$AB$4:$AC$20,2,0),"??")&amp;"-"&amp;TEXT(G102,"0000")&amp;IF(F102="Circular","D","x"&amp;TEXT(H102,"0000"))&amp;"-D"&amp;TEXT(J102*1000,"0000")&amp;"-"&amp;IFERROR(VLOOKUP(E102,Lists!$AE$4:$AF$16,2,0),"??")&amp;"-"&amp;AM102)</f>
        <v/>
      </c>
      <c r="B102" s="10" t="str">
        <f aca="false">IF(D102="","",D102&amp;", "&amp;E102&amp;", "&amp;IF(F102="Circular",G102&amp;" dia",G102&amp;" x "&amp;H102)&amp;", depth "&amp;TEXT(I102,"0.0")&amp;"-"&amp;TEXT(J102,"0.0")&amp;" m, pipe up to "&amp;K102&amp;" dia")</f>
        <v/>
      </c>
      <c r="C102" s="9"/>
      <c r="D102" s="9"/>
      <c r="E102" s="9"/>
      <c r="F102" s="9"/>
      <c r="G102" s="38"/>
      <c r="H102" s="38"/>
      <c r="I102" s="42"/>
      <c r="J102" s="42"/>
      <c r="K102" s="38"/>
      <c r="L102" s="38"/>
      <c r="M102" s="38"/>
      <c r="N102" s="38"/>
      <c r="O102" s="9"/>
      <c r="P102" s="9"/>
      <c r="Q102" s="9"/>
      <c r="R102" s="9"/>
      <c r="S102" s="9"/>
      <c r="T102" s="9"/>
      <c r="U102" s="9"/>
      <c r="V102" s="42"/>
      <c r="W102" s="9"/>
      <c r="X102" s="9"/>
      <c r="Y102" s="39"/>
      <c r="Z102" s="9"/>
      <c r="AA102" s="38"/>
      <c r="AB102" s="9"/>
      <c r="AC102" s="9"/>
      <c r="AD102" s="9"/>
      <c r="AE102" s="9"/>
      <c r="AF102" s="9"/>
      <c r="AG102" s="9"/>
      <c r="AH102" s="38"/>
      <c r="AI102" s="9"/>
      <c r="AJ102" s="39"/>
      <c r="AK102" s="9"/>
      <c r="AL102" s="9"/>
      <c r="AM102" s="9"/>
      <c r="AN102" s="9"/>
      <c r="AO102" s="9"/>
      <c r="AP102" s="9"/>
      <c r="AQ102" s="9"/>
      <c r="AR102" s="10" t="str">
        <f aca="false">IF(A102="","",SG_Criteria!$B$6&amp;SG_Criteria!$B$10&amp;"\"&amp;A102&amp;"\")</f>
        <v/>
      </c>
      <c r="AS102" s="10" t="str">
        <f aca="false">IF(A102="","",A102&amp;"_CAD.dwg")</f>
        <v/>
      </c>
      <c r="AT102" s="10" t="str">
        <f aca="false">IF(A102="","",A102&amp;"_DWG.pdf")</f>
        <v/>
      </c>
      <c r="AU102" s="10" t="str">
        <f aca="false">IF(A102="","",IF(AQ102="Y",A102&amp;"_STAAD.std","n/a"))</f>
        <v/>
      </c>
      <c r="AV102" s="10" t="str">
        <f aca="false">IF(A102="","",A102&amp;"_CALC.xlsx")</f>
        <v/>
      </c>
      <c r="AW102" s="10" t="str">
        <f aca="false">IF(A102="","",A102&amp;"_CALC.pdf")</f>
        <v/>
      </c>
      <c r="AX102" s="9"/>
      <c r="AY102" s="9"/>
      <c r="AZ102" s="39"/>
      <c r="BA102" s="39"/>
      <c r="BB102" s="39"/>
      <c r="BC102" s="39"/>
      <c r="BD102" s="39"/>
      <c r="BE102" s="12" t="str">
        <f aca="false">IF(A102="","",IF(COUNTIF(Rebar_Schedule!$A$5:$A$2004,A102)=0,"",ROUND(SUMIF(Rebar_Schedule!$A$5:$A$2004,A102,Rebar_Schedule!$K$5:$K$2004),1)))</f>
        <v/>
      </c>
      <c r="BF102" s="33" t="str">
        <f aca="false">IF(A102="","",IF(BE102="","No rebar schedule yet",IF(ABS(BE102-N(BA102))/MAX(N(BA102),1)&gt;SG_Criteria!$B$55,"NOTE: register rebar differs from schedule by "&amp;TEXT(ABS(BE102-N(BA102))/MAX(N(BA102),1),"0%"),"OK")))</f>
        <v/>
      </c>
      <c r="BG102" s="33" t="str">
        <f aca="false">IF(D102="","",IF(LEN(IF(AND(Z102&lt;&gt;"",IFERROR(VALUE(MID(Z102,2,2)),0)&lt;SG_Criteria!$B$19),"FAIL: grade below C"&amp;SG_Criteria!$B$19&amp;". ","")&amp;IF(AND(AA102&lt;&gt;"",AA102&lt;SG_Criteria!$B$20),"FAIL: cover &lt; "&amp;SG_Criteria!$B$20&amp;" mm. ","")&amp;IF(AND(I102&lt;&gt;"",I102&lt;SG_Criteria!$B$39),"NOTE: min depth below PUB "&amp;SG_Criteria!$B$39&amp;" m. ","")&amp;IF(AND(LEFT(D102,8)="Standard",J102&gt;SG_Criteria!$B$42),"FAIL: PUB 001C covers manholes up to "&amp;SG_Criteria!$B$42&amp;" m deep only. ","")&amp;IF(AND(LEFT(D102,11)="Rectangular",K102&lt;SG_Criteria!$B$43),"NOTE: 004C is for sewers &gt;= "&amp;SG_Criteria!$B$43&amp;" dia. ","")&amp;IF(AND(LEFT(D102,7)="Precast",J102&lt;=SG_Criteria!$B$42),"NOTE: 006C is for manholes &gt; "&amp;SG_Criteria!$B$42&amp;" m deep. ","")&amp;IF(AND(K102&lt;&gt;"",K102&lt;SG_Criteria!$B$40,D102&lt;&gt;"Inspection Chamber"),"NOTE: public sewer min dia "&amp;SG_Criteria!$B$40&amp;" mm. ","")&amp;IF(AND(Y102&lt;&gt;"",Y102&lt;SG_Criteria!$B$44),"FAIL: uplift FOS below "&amp;SG_Criteria!$B$44&amp;". ",""))=0,"OK",IF(AND(Z102&lt;&gt;"",IFERROR(VALUE(MID(Z102,2,2)),0)&lt;SG_Criteria!$B$19),"FAIL: grade below C"&amp;SG_Criteria!$B$19&amp;". ","")&amp;IF(AND(AA102&lt;&gt;"",AA102&lt;SG_Criteria!$B$20),"FAIL: cover &lt; "&amp;SG_Criteria!$B$20&amp;" mm. ","")&amp;IF(AND(I102&lt;&gt;"",I102&lt;SG_Criteria!$B$39),"NOTE: min depth below PUB "&amp;SG_Criteria!$B$39&amp;" m. ","")&amp;IF(AND(LEFT(D102,8)="Standard",J102&gt;SG_Criteria!$B$42),"FAIL: PUB 001C covers manholes up to "&amp;SG_Criteria!$B$42&amp;" m deep only. ","")&amp;IF(AND(LEFT(D102,11)="Rectangular",K102&lt;SG_Criteria!$B$43),"NOTE: 004C is for sewers &gt;= "&amp;SG_Criteria!$B$43&amp;" dia. ","")&amp;IF(AND(LEFT(D102,7)="Precast",J102&lt;=SG_Criteria!$B$42),"NOTE: 006C is for manholes &gt; "&amp;SG_Criteria!$B$42&amp;" m deep. ","")&amp;IF(AND(K102&lt;&gt;"",K102&lt;SG_Criteria!$B$40,D102&lt;&gt;"Inspection Chamber"),"NOTE: public sewer min dia "&amp;SG_Criteria!$B$40&amp;" mm. ","")&amp;IF(AND(Y102&lt;&gt;"",Y102&lt;SG_Criteria!$B$44),"FAIL: uplift FOS below "&amp;SG_Criteria!$B$44&amp;". ","")))</f>
        <v/>
      </c>
      <c r="BH102" s="9"/>
      <c r="BI102" s="9"/>
      <c r="BJ102" s="9"/>
      <c r="BK102" s="10" t="str">
        <f aca="false">IF(BJ102="","",IFERROR(VLOOKUP(BJ102,Projects!$A$5:$D$504,2,0),"Ref not in Projects"))</f>
        <v/>
      </c>
      <c r="BL102" s="10" t="str">
        <f aca="false">IF(BJ102="","",IFERROR(VLOOKUP(BJ102,Projects!$A$5:$D$504,4,0),"Ref not in Projects"))</f>
        <v/>
      </c>
      <c r="BM102" s="9"/>
      <c r="BN102" s="9"/>
      <c r="BO102" s="9"/>
      <c r="BP102" s="40"/>
      <c r="BQ102" s="9"/>
      <c r="BR102" s="40"/>
      <c r="BS102" s="9"/>
      <c r="BT102" s="40"/>
      <c r="BU102" s="9"/>
      <c r="BV102" s="9"/>
      <c r="BW102" s="9"/>
      <c r="BX102" s="40"/>
      <c r="BY102" s="40"/>
      <c r="BZ102" s="36" t="str">
        <f aca="false">IF(BY102="","",EDATE(BY102,SG_Criteria!$B$54*12))</f>
        <v/>
      </c>
      <c r="CA102" s="33" t="str">
        <f aca="true">IF(A102="","",IF(BY102="","NOTE: not reviewed yet",IF(TODAY()&gt;BZ102,"NOTE: review overdue","OK")))</f>
        <v/>
      </c>
      <c r="CB102" s="37" t="str">
        <f aca="false">IF(A102="","",ROUND((IF(LEN(D102)&gt;0,1,0)+IF(LEN(E102)&gt;0,1,0)+IF(LEN(F102)&gt;0,1,0)+IF(LEN(G102)&gt;0,1,0)+IF(LEN(I102)&gt;0,1,0)+IF(LEN(J102)&gt;0,1,0)+IF(LEN(K102)&gt;0,1,0)+IF(LEN(L102)&gt;0,1,0)+IF(LEN(M102)&gt;0,1,0)+IF(LEN(N102)&gt;0,1,0)+IF(LEN(Z102)&gt;0,1,0)+IF(LEN(AA102)&gt;0,1,0)+IF(LEN(Y102)&gt;0,1,0)+IF(LEN(AE102)&gt;0,1,0)+IF(LEN(AG102)&gt;0,1,0)+IF(LEN(AZ102)&gt;0,1,0)+IF(LEN(AK102)&gt;0,1,0)+IF(LEN(AM102)&gt;0,1,0)+IF(LEN(AN102)&gt;0,1,0)+IF(LEN(AO102)&gt;0,1,0)+IF(LEN(AP102)&gt;0,1,0)+IF(LEN(AY102)&gt;0,1,0)+IF(LEN(BJ102)&gt;0,1,0)+IF(LEN(BW102)&gt;0,1,0))/24,2))</f>
        <v/>
      </c>
      <c r="CC102" s="10" t="str">
        <f aca="false">IF(D102="","",IF(AND(AN102="Approved",ISERROR(SEARCH("FAIL",BG102))),"Y","N"))</f>
        <v/>
      </c>
      <c r="CD102" s="10" t="str">
        <f aca="false">IF(D102="","",D102&amp;"|"&amp;J102&amp;"|"&amp;G102&amp;"|"&amp;CC102)</f>
        <v/>
      </c>
    </row>
    <row r="103" customFormat="false" ht="15" hidden="false" customHeight="false" outlineLevel="0" collapsed="false">
      <c r="A103" s="10" t="str">
        <f aca="false">IF(D103="","","MH-"&amp;IFERROR(VLOOKUP(D103,Lists!$AB$4:$AC$20,2,0),"??")&amp;"-"&amp;TEXT(G103,"0000")&amp;IF(F103="Circular","D","x"&amp;TEXT(H103,"0000"))&amp;"-D"&amp;TEXT(J103*1000,"0000")&amp;"-"&amp;IFERROR(VLOOKUP(E103,Lists!$AE$4:$AF$16,2,0),"??")&amp;"-"&amp;AM103)</f>
        <v/>
      </c>
      <c r="B103" s="10" t="str">
        <f aca="false">IF(D103="","",D103&amp;", "&amp;E103&amp;", "&amp;IF(F103="Circular",G103&amp;" dia",G103&amp;" x "&amp;H103)&amp;", depth "&amp;TEXT(I103,"0.0")&amp;"-"&amp;TEXT(J103,"0.0")&amp;" m, pipe up to "&amp;K103&amp;" dia")</f>
        <v/>
      </c>
      <c r="C103" s="9"/>
      <c r="D103" s="9"/>
      <c r="E103" s="9"/>
      <c r="F103" s="9"/>
      <c r="G103" s="38"/>
      <c r="H103" s="38"/>
      <c r="I103" s="42"/>
      <c r="J103" s="42"/>
      <c r="K103" s="38"/>
      <c r="L103" s="38"/>
      <c r="M103" s="38"/>
      <c r="N103" s="38"/>
      <c r="O103" s="9"/>
      <c r="P103" s="9"/>
      <c r="Q103" s="9"/>
      <c r="R103" s="9"/>
      <c r="S103" s="9"/>
      <c r="T103" s="9"/>
      <c r="U103" s="9"/>
      <c r="V103" s="42"/>
      <c r="W103" s="9"/>
      <c r="X103" s="9"/>
      <c r="Y103" s="39"/>
      <c r="Z103" s="9"/>
      <c r="AA103" s="38"/>
      <c r="AB103" s="9"/>
      <c r="AC103" s="9"/>
      <c r="AD103" s="9"/>
      <c r="AE103" s="9"/>
      <c r="AF103" s="9"/>
      <c r="AG103" s="9"/>
      <c r="AH103" s="38"/>
      <c r="AI103" s="9"/>
      <c r="AJ103" s="39"/>
      <c r="AK103" s="9"/>
      <c r="AL103" s="9"/>
      <c r="AM103" s="9"/>
      <c r="AN103" s="9"/>
      <c r="AO103" s="9"/>
      <c r="AP103" s="9"/>
      <c r="AQ103" s="9"/>
      <c r="AR103" s="10" t="str">
        <f aca="false">IF(A103="","",SG_Criteria!$B$6&amp;SG_Criteria!$B$10&amp;"\"&amp;A103&amp;"\")</f>
        <v/>
      </c>
      <c r="AS103" s="10" t="str">
        <f aca="false">IF(A103="","",A103&amp;"_CAD.dwg")</f>
        <v/>
      </c>
      <c r="AT103" s="10" t="str">
        <f aca="false">IF(A103="","",A103&amp;"_DWG.pdf")</f>
        <v/>
      </c>
      <c r="AU103" s="10" t="str">
        <f aca="false">IF(A103="","",IF(AQ103="Y",A103&amp;"_STAAD.std","n/a"))</f>
        <v/>
      </c>
      <c r="AV103" s="10" t="str">
        <f aca="false">IF(A103="","",A103&amp;"_CALC.xlsx")</f>
        <v/>
      </c>
      <c r="AW103" s="10" t="str">
        <f aca="false">IF(A103="","",A103&amp;"_CALC.pdf")</f>
        <v/>
      </c>
      <c r="AX103" s="9"/>
      <c r="AY103" s="9"/>
      <c r="AZ103" s="39"/>
      <c r="BA103" s="39"/>
      <c r="BB103" s="39"/>
      <c r="BC103" s="39"/>
      <c r="BD103" s="39"/>
      <c r="BE103" s="12" t="str">
        <f aca="false">IF(A103="","",IF(COUNTIF(Rebar_Schedule!$A$5:$A$2004,A103)=0,"",ROUND(SUMIF(Rebar_Schedule!$A$5:$A$2004,A103,Rebar_Schedule!$K$5:$K$2004),1)))</f>
        <v/>
      </c>
      <c r="BF103" s="33" t="str">
        <f aca="false">IF(A103="","",IF(BE103="","No rebar schedule yet",IF(ABS(BE103-N(BA103))/MAX(N(BA103),1)&gt;SG_Criteria!$B$55,"NOTE: register rebar differs from schedule by "&amp;TEXT(ABS(BE103-N(BA103))/MAX(N(BA103),1),"0%"),"OK")))</f>
        <v/>
      </c>
      <c r="BG103" s="33" t="str">
        <f aca="false">IF(D103="","",IF(LEN(IF(AND(Z103&lt;&gt;"",IFERROR(VALUE(MID(Z103,2,2)),0)&lt;SG_Criteria!$B$19),"FAIL: grade below C"&amp;SG_Criteria!$B$19&amp;". ","")&amp;IF(AND(AA103&lt;&gt;"",AA103&lt;SG_Criteria!$B$20),"FAIL: cover &lt; "&amp;SG_Criteria!$B$20&amp;" mm. ","")&amp;IF(AND(I103&lt;&gt;"",I103&lt;SG_Criteria!$B$39),"NOTE: min depth below PUB "&amp;SG_Criteria!$B$39&amp;" m. ","")&amp;IF(AND(LEFT(D103,8)="Standard",J103&gt;SG_Criteria!$B$42),"FAIL: PUB 001C covers manholes up to "&amp;SG_Criteria!$B$42&amp;" m deep only. ","")&amp;IF(AND(LEFT(D103,11)="Rectangular",K103&lt;SG_Criteria!$B$43),"NOTE: 004C is for sewers &gt;= "&amp;SG_Criteria!$B$43&amp;" dia. ","")&amp;IF(AND(LEFT(D103,7)="Precast",J103&lt;=SG_Criteria!$B$42),"NOTE: 006C is for manholes &gt; "&amp;SG_Criteria!$B$42&amp;" m deep. ","")&amp;IF(AND(K103&lt;&gt;"",K103&lt;SG_Criteria!$B$40,D103&lt;&gt;"Inspection Chamber"),"NOTE: public sewer min dia "&amp;SG_Criteria!$B$40&amp;" mm. ","")&amp;IF(AND(Y103&lt;&gt;"",Y103&lt;SG_Criteria!$B$44),"FAIL: uplift FOS below "&amp;SG_Criteria!$B$44&amp;". ",""))=0,"OK",IF(AND(Z103&lt;&gt;"",IFERROR(VALUE(MID(Z103,2,2)),0)&lt;SG_Criteria!$B$19),"FAIL: grade below C"&amp;SG_Criteria!$B$19&amp;". ","")&amp;IF(AND(AA103&lt;&gt;"",AA103&lt;SG_Criteria!$B$20),"FAIL: cover &lt; "&amp;SG_Criteria!$B$20&amp;" mm. ","")&amp;IF(AND(I103&lt;&gt;"",I103&lt;SG_Criteria!$B$39),"NOTE: min depth below PUB "&amp;SG_Criteria!$B$39&amp;" m. ","")&amp;IF(AND(LEFT(D103,8)="Standard",J103&gt;SG_Criteria!$B$42),"FAIL: PUB 001C covers manholes up to "&amp;SG_Criteria!$B$42&amp;" m deep only. ","")&amp;IF(AND(LEFT(D103,11)="Rectangular",K103&lt;SG_Criteria!$B$43),"NOTE: 004C is for sewers &gt;= "&amp;SG_Criteria!$B$43&amp;" dia. ","")&amp;IF(AND(LEFT(D103,7)="Precast",J103&lt;=SG_Criteria!$B$42),"NOTE: 006C is for manholes &gt; "&amp;SG_Criteria!$B$42&amp;" m deep. ","")&amp;IF(AND(K103&lt;&gt;"",K103&lt;SG_Criteria!$B$40,D103&lt;&gt;"Inspection Chamber"),"NOTE: public sewer min dia "&amp;SG_Criteria!$B$40&amp;" mm. ","")&amp;IF(AND(Y103&lt;&gt;"",Y103&lt;SG_Criteria!$B$44),"FAIL: uplift FOS below "&amp;SG_Criteria!$B$44&amp;". ","")))</f>
        <v/>
      </c>
      <c r="BH103" s="9"/>
      <c r="BI103" s="9"/>
      <c r="BJ103" s="9"/>
      <c r="BK103" s="10" t="str">
        <f aca="false">IF(BJ103="","",IFERROR(VLOOKUP(BJ103,Projects!$A$5:$D$504,2,0),"Ref not in Projects"))</f>
        <v/>
      </c>
      <c r="BL103" s="10" t="str">
        <f aca="false">IF(BJ103="","",IFERROR(VLOOKUP(BJ103,Projects!$A$5:$D$504,4,0),"Ref not in Projects"))</f>
        <v/>
      </c>
      <c r="BM103" s="9"/>
      <c r="BN103" s="9"/>
      <c r="BO103" s="9"/>
      <c r="BP103" s="40"/>
      <c r="BQ103" s="9"/>
      <c r="BR103" s="40"/>
      <c r="BS103" s="9"/>
      <c r="BT103" s="40"/>
      <c r="BU103" s="9"/>
      <c r="BV103" s="9"/>
      <c r="BW103" s="9"/>
      <c r="BX103" s="40"/>
      <c r="BY103" s="40"/>
      <c r="BZ103" s="36" t="str">
        <f aca="false">IF(BY103="","",EDATE(BY103,SG_Criteria!$B$54*12))</f>
        <v/>
      </c>
      <c r="CA103" s="33" t="str">
        <f aca="true">IF(A103="","",IF(BY103="","NOTE: not reviewed yet",IF(TODAY()&gt;BZ103,"NOTE: review overdue","OK")))</f>
        <v/>
      </c>
      <c r="CB103" s="37" t="str">
        <f aca="false">IF(A103="","",ROUND((IF(LEN(D103)&gt;0,1,0)+IF(LEN(E103)&gt;0,1,0)+IF(LEN(F103)&gt;0,1,0)+IF(LEN(G103)&gt;0,1,0)+IF(LEN(I103)&gt;0,1,0)+IF(LEN(J103)&gt;0,1,0)+IF(LEN(K103)&gt;0,1,0)+IF(LEN(L103)&gt;0,1,0)+IF(LEN(M103)&gt;0,1,0)+IF(LEN(N103)&gt;0,1,0)+IF(LEN(Z103)&gt;0,1,0)+IF(LEN(AA103)&gt;0,1,0)+IF(LEN(Y103)&gt;0,1,0)+IF(LEN(AE103)&gt;0,1,0)+IF(LEN(AG103)&gt;0,1,0)+IF(LEN(AZ103)&gt;0,1,0)+IF(LEN(AK103)&gt;0,1,0)+IF(LEN(AM103)&gt;0,1,0)+IF(LEN(AN103)&gt;0,1,0)+IF(LEN(AO103)&gt;0,1,0)+IF(LEN(AP103)&gt;0,1,0)+IF(LEN(AY103)&gt;0,1,0)+IF(LEN(BJ103)&gt;0,1,0)+IF(LEN(BW103)&gt;0,1,0))/24,2))</f>
        <v/>
      </c>
      <c r="CC103" s="10" t="str">
        <f aca="false">IF(D103="","",IF(AND(AN103="Approved",ISERROR(SEARCH("FAIL",BG103))),"Y","N"))</f>
        <v/>
      </c>
      <c r="CD103" s="10" t="str">
        <f aca="false">IF(D103="","",D103&amp;"|"&amp;J103&amp;"|"&amp;G103&amp;"|"&amp;CC103)</f>
        <v/>
      </c>
    </row>
    <row r="104" customFormat="false" ht="15" hidden="false" customHeight="false" outlineLevel="0" collapsed="false">
      <c r="A104" s="10" t="str">
        <f aca="false">IF(D104="","","MH-"&amp;IFERROR(VLOOKUP(D104,Lists!$AB$4:$AC$20,2,0),"??")&amp;"-"&amp;TEXT(G104,"0000")&amp;IF(F104="Circular","D","x"&amp;TEXT(H104,"0000"))&amp;"-D"&amp;TEXT(J104*1000,"0000")&amp;"-"&amp;IFERROR(VLOOKUP(E104,Lists!$AE$4:$AF$16,2,0),"??")&amp;"-"&amp;AM104)</f>
        <v/>
      </c>
      <c r="B104" s="10" t="str">
        <f aca="false">IF(D104="","",D104&amp;", "&amp;E104&amp;", "&amp;IF(F104="Circular",G104&amp;" dia",G104&amp;" x "&amp;H104)&amp;", depth "&amp;TEXT(I104,"0.0")&amp;"-"&amp;TEXT(J104,"0.0")&amp;" m, pipe up to "&amp;K104&amp;" dia")</f>
        <v/>
      </c>
      <c r="C104" s="9"/>
      <c r="D104" s="9"/>
      <c r="E104" s="9"/>
      <c r="F104" s="9"/>
      <c r="G104" s="38"/>
      <c r="H104" s="38"/>
      <c r="I104" s="42"/>
      <c r="J104" s="42"/>
      <c r="K104" s="38"/>
      <c r="L104" s="38"/>
      <c r="M104" s="38"/>
      <c r="N104" s="38"/>
      <c r="O104" s="9"/>
      <c r="P104" s="9"/>
      <c r="Q104" s="9"/>
      <c r="R104" s="9"/>
      <c r="S104" s="9"/>
      <c r="T104" s="9"/>
      <c r="U104" s="9"/>
      <c r="V104" s="42"/>
      <c r="W104" s="9"/>
      <c r="X104" s="9"/>
      <c r="Y104" s="39"/>
      <c r="Z104" s="9"/>
      <c r="AA104" s="38"/>
      <c r="AB104" s="9"/>
      <c r="AC104" s="9"/>
      <c r="AD104" s="9"/>
      <c r="AE104" s="9"/>
      <c r="AF104" s="9"/>
      <c r="AG104" s="9"/>
      <c r="AH104" s="38"/>
      <c r="AI104" s="9"/>
      <c r="AJ104" s="39"/>
      <c r="AK104" s="9"/>
      <c r="AL104" s="9"/>
      <c r="AM104" s="9"/>
      <c r="AN104" s="9"/>
      <c r="AO104" s="9"/>
      <c r="AP104" s="9"/>
      <c r="AQ104" s="9"/>
      <c r="AR104" s="10" t="str">
        <f aca="false">IF(A104="","",SG_Criteria!$B$6&amp;SG_Criteria!$B$10&amp;"\"&amp;A104&amp;"\")</f>
        <v/>
      </c>
      <c r="AS104" s="10" t="str">
        <f aca="false">IF(A104="","",A104&amp;"_CAD.dwg")</f>
        <v/>
      </c>
      <c r="AT104" s="10" t="str">
        <f aca="false">IF(A104="","",A104&amp;"_DWG.pdf")</f>
        <v/>
      </c>
      <c r="AU104" s="10" t="str">
        <f aca="false">IF(A104="","",IF(AQ104="Y",A104&amp;"_STAAD.std","n/a"))</f>
        <v/>
      </c>
      <c r="AV104" s="10" t="str">
        <f aca="false">IF(A104="","",A104&amp;"_CALC.xlsx")</f>
        <v/>
      </c>
      <c r="AW104" s="10" t="str">
        <f aca="false">IF(A104="","",A104&amp;"_CALC.pdf")</f>
        <v/>
      </c>
      <c r="AX104" s="9"/>
      <c r="AY104" s="9"/>
      <c r="AZ104" s="39"/>
      <c r="BA104" s="39"/>
      <c r="BB104" s="39"/>
      <c r="BC104" s="39"/>
      <c r="BD104" s="39"/>
      <c r="BE104" s="12" t="str">
        <f aca="false">IF(A104="","",IF(COUNTIF(Rebar_Schedule!$A$5:$A$2004,A104)=0,"",ROUND(SUMIF(Rebar_Schedule!$A$5:$A$2004,A104,Rebar_Schedule!$K$5:$K$2004),1)))</f>
        <v/>
      </c>
      <c r="BF104" s="33" t="str">
        <f aca="false">IF(A104="","",IF(BE104="","No rebar schedule yet",IF(ABS(BE104-N(BA104))/MAX(N(BA104),1)&gt;SG_Criteria!$B$55,"NOTE: register rebar differs from schedule by "&amp;TEXT(ABS(BE104-N(BA104))/MAX(N(BA104),1),"0%"),"OK")))</f>
        <v/>
      </c>
      <c r="BG104" s="33" t="str">
        <f aca="false">IF(D104="","",IF(LEN(IF(AND(Z104&lt;&gt;"",IFERROR(VALUE(MID(Z104,2,2)),0)&lt;SG_Criteria!$B$19),"FAIL: grade below C"&amp;SG_Criteria!$B$19&amp;". ","")&amp;IF(AND(AA104&lt;&gt;"",AA104&lt;SG_Criteria!$B$20),"FAIL: cover &lt; "&amp;SG_Criteria!$B$20&amp;" mm. ","")&amp;IF(AND(I104&lt;&gt;"",I104&lt;SG_Criteria!$B$39),"NOTE: min depth below PUB "&amp;SG_Criteria!$B$39&amp;" m. ","")&amp;IF(AND(LEFT(D104,8)="Standard",J104&gt;SG_Criteria!$B$42),"FAIL: PUB 001C covers manholes up to "&amp;SG_Criteria!$B$42&amp;" m deep only. ","")&amp;IF(AND(LEFT(D104,11)="Rectangular",K104&lt;SG_Criteria!$B$43),"NOTE: 004C is for sewers &gt;= "&amp;SG_Criteria!$B$43&amp;" dia. ","")&amp;IF(AND(LEFT(D104,7)="Precast",J104&lt;=SG_Criteria!$B$42),"NOTE: 006C is for manholes &gt; "&amp;SG_Criteria!$B$42&amp;" m deep. ","")&amp;IF(AND(K104&lt;&gt;"",K104&lt;SG_Criteria!$B$40,D104&lt;&gt;"Inspection Chamber"),"NOTE: public sewer min dia "&amp;SG_Criteria!$B$40&amp;" mm. ","")&amp;IF(AND(Y104&lt;&gt;"",Y104&lt;SG_Criteria!$B$44),"FAIL: uplift FOS below "&amp;SG_Criteria!$B$44&amp;". ",""))=0,"OK",IF(AND(Z104&lt;&gt;"",IFERROR(VALUE(MID(Z104,2,2)),0)&lt;SG_Criteria!$B$19),"FAIL: grade below C"&amp;SG_Criteria!$B$19&amp;". ","")&amp;IF(AND(AA104&lt;&gt;"",AA104&lt;SG_Criteria!$B$20),"FAIL: cover &lt; "&amp;SG_Criteria!$B$20&amp;" mm. ","")&amp;IF(AND(I104&lt;&gt;"",I104&lt;SG_Criteria!$B$39),"NOTE: min depth below PUB "&amp;SG_Criteria!$B$39&amp;" m. ","")&amp;IF(AND(LEFT(D104,8)="Standard",J104&gt;SG_Criteria!$B$42),"FAIL: PUB 001C covers manholes up to "&amp;SG_Criteria!$B$42&amp;" m deep only. ","")&amp;IF(AND(LEFT(D104,11)="Rectangular",K104&lt;SG_Criteria!$B$43),"NOTE: 004C is for sewers &gt;= "&amp;SG_Criteria!$B$43&amp;" dia. ","")&amp;IF(AND(LEFT(D104,7)="Precast",J104&lt;=SG_Criteria!$B$42),"NOTE: 006C is for manholes &gt; "&amp;SG_Criteria!$B$42&amp;" m deep. ","")&amp;IF(AND(K104&lt;&gt;"",K104&lt;SG_Criteria!$B$40,D104&lt;&gt;"Inspection Chamber"),"NOTE: public sewer min dia "&amp;SG_Criteria!$B$40&amp;" mm. ","")&amp;IF(AND(Y104&lt;&gt;"",Y104&lt;SG_Criteria!$B$44),"FAIL: uplift FOS below "&amp;SG_Criteria!$B$44&amp;". ","")))</f>
        <v/>
      </c>
      <c r="BH104" s="9"/>
      <c r="BI104" s="9"/>
      <c r="BJ104" s="9"/>
      <c r="BK104" s="10" t="str">
        <f aca="false">IF(BJ104="","",IFERROR(VLOOKUP(BJ104,Projects!$A$5:$D$504,2,0),"Ref not in Projects"))</f>
        <v/>
      </c>
      <c r="BL104" s="10" t="str">
        <f aca="false">IF(BJ104="","",IFERROR(VLOOKUP(BJ104,Projects!$A$5:$D$504,4,0),"Ref not in Projects"))</f>
        <v/>
      </c>
      <c r="BM104" s="9"/>
      <c r="BN104" s="9"/>
      <c r="BO104" s="9"/>
      <c r="BP104" s="40"/>
      <c r="BQ104" s="9"/>
      <c r="BR104" s="40"/>
      <c r="BS104" s="9"/>
      <c r="BT104" s="40"/>
      <c r="BU104" s="9"/>
      <c r="BV104" s="9"/>
      <c r="BW104" s="9"/>
      <c r="BX104" s="40"/>
      <c r="BY104" s="40"/>
      <c r="BZ104" s="36" t="str">
        <f aca="false">IF(BY104="","",EDATE(BY104,SG_Criteria!$B$54*12))</f>
        <v/>
      </c>
      <c r="CA104" s="33" t="str">
        <f aca="true">IF(A104="","",IF(BY104="","NOTE: not reviewed yet",IF(TODAY()&gt;BZ104,"NOTE: review overdue","OK")))</f>
        <v/>
      </c>
      <c r="CB104" s="37" t="str">
        <f aca="false">IF(A104="","",ROUND((IF(LEN(D104)&gt;0,1,0)+IF(LEN(E104)&gt;0,1,0)+IF(LEN(F104)&gt;0,1,0)+IF(LEN(G104)&gt;0,1,0)+IF(LEN(I104)&gt;0,1,0)+IF(LEN(J104)&gt;0,1,0)+IF(LEN(K104)&gt;0,1,0)+IF(LEN(L104)&gt;0,1,0)+IF(LEN(M104)&gt;0,1,0)+IF(LEN(N104)&gt;0,1,0)+IF(LEN(Z104)&gt;0,1,0)+IF(LEN(AA104)&gt;0,1,0)+IF(LEN(Y104)&gt;0,1,0)+IF(LEN(AE104)&gt;0,1,0)+IF(LEN(AG104)&gt;0,1,0)+IF(LEN(AZ104)&gt;0,1,0)+IF(LEN(AK104)&gt;0,1,0)+IF(LEN(AM104)&gt;0,1,0)+IF(LEN(AN104)&gt;0,1,0)+IF(LEN(AO104)&gt;0,1,0)+IF(LEN(AP104)&gt;0,1,0)+IF(LEN(AY104)&gt;0,1,0)+IF(LEN(BJ104)&gt;0,1,0)+IF(LEN(BW104)&gt;0,1,0))/24,2))</f>
        <v/>
      </c>
      <c r="CC104" s="10" t="str">
        <f aca="false">IF(D104="","",IF(AND(AN104="Approved",ISERROR(SEARCH("FAIL",BG104))),"Y","N"))</f>
        <v/>
      </c>
      <c r="CD104" s="10" t="str">
        <f aca="false">IF(D104="","",D104&amp;"|"&amp;J104&amp;"|"&amp;G104&amp;"|"&amp;CC104)</f>
        <v/>
      </c>
    </row>
    <row r="105" customFormat="false" ht="15" hidden="false" customHeight="false" outlineLevel="0" collapsed="false">
      <c r="A105" s="10" t="str">
        <f aca="false">IF(D105="","","MH-"&amp;IFERROR(VLOOKUP(D105,Lists!$AB$4:$AC$20,2,0),"??")&amp;"-"&amp;TEXT(G105,"0000")&amp;IF(F105="Circular","D","x"&amp;TEXT(H105,"0000"))&amp;"-D"&amp;TEXT(J105*1000,"0000")&amp;"-"&amp;IFERROR(VLOOKUP(E105,Lists!$AE$4:$AF$16,2,0),"??")&amp;"-"&amp;AM105)</f>
        <v/>
      </c>
      <c r="B105" s="10" t="str">
        <f aca="false">IF(D105="","",D105&amp;", "&amp;E105&amp;", "&amp;IF(F105="Circular",G105&amp;" dia",G105&amp;" x "&amp;H105)&amp;", depth "&amp;TEXT(I105,"0.0")&amp;"-"&amp;TEXT(J105,"0.0")&amp;" m, pipe up to "&amp;K105&amp;" dia")</f>
        <v/>
      </c>
      <c r="C105" s="9"/>
      <c r="D105" s="9"/>
      <c r="E105" s="9"/>
      <c r="F105" s="9"/>
      <c r="G105" s="38"/>
      <c r="H105" s="38"/>
      <c r="I105" s="42"/>
      <c r="J105" s="42"/>
      <c r="K105" s="38"/>
      <c r="L105" s="38"/>
      <c r="M105" s="38"/>
      <c r="N105" s="38"/>
      <c r="O105" s="9"/>
      <c r="P105" s="9"/>
      <c r="Q105" s="9"/>
      <c r="R105" s="9"/>
      <c r="S105" s="9"/>
      <c r="T105" s="9"/>
      <c r="U105" s="9"/>
      <c r="V105" s="42"/>
      <c r="W105" s="9"/>
      <c r="X105" s="9"/>
      <c r="Y105" s="39"/>
      <c r="Z105" s="9"/>
      <c r="AA105" s="38"/>
      <c r="AB105" s="9"/>
      <c r="AC105" s="9"/>
      <c r="AD105" s="9"/>
      <c r="AE105" s="9"/>
      <c r="AF105" s="9"/>
      <c r="AG105" s="9"/>
      <c r="AH105" s="38"/>
      <c r="AI105" s="9"/>
      <c r="AJ105" s="39"/>
      <c r="AK105" s="9"/>
      <c r="AL105" s="9"/>
      <c r="AM105" s="9"/>
      <c r="AN105" s="9"/>
      <c r="AO105" s="9"/>
      <c r="AP105" s="9"/>
      <c r="AQ105" s="9"/>
      <c r="AR105" s="10" t="str">
        <f aca="false">IF(A105="","",SG_Criteria!$B$6&amp;SG_Criteria!$B$10&amp;"\"&amp;A105&amp;"\")</f>
        <v/>
      </c>
      <c r="AS105" s="10" t="str">
        <f aca="false">IF(A105="","",A105&amp;"_CAD.dwg")</f>
        <v/>
      </c>
      <c r="AT105" s="10" t="str">
        <f aca="false">IF(A105="","",A105&amp;"_DWG.pdf")</f>
        <v/>
      </c>
      <c r="AU105" s="10" t="str">
        <f aca="false">IF(A105="","",IF(AQ105="Y",A105&amp;"_STAAD.std","n/a"))</f>
        <v/>
      </c>
      <c r="AV105" s="10" t="str">
        <f aca="false">IF(A105="","",A105&amp;"_CALC.xlsx")</f>
        <v/>
      </c>
      <c r="AW105" s="10" t="str">
        <f aca="false">IF(A105="","",A105&amp;"_CALC.pdf")</f>
        <v/>
      </c>
      <c r="AX105" s="9"/>
      <c r="AY105" s="9"/>
      <c r="AZ105" s="39"/>
      <c r="BA105" s="39"/>
      <c r="BB105" s="39"/>
      <c r="BC105" s="39"/>
      <c r="BD105" s="39"/>
      <c r="BE105" s="12" t="str">
        <f aca="false">IF(A105="","",IF(COUNTIF(Rebar_Schedule!$A$5:$A$2004,A105)=0,"",ROUND(SUMIF(Rebar_Schedule!$A$5:$A$2004,A105,Rebar_Schedule!$K$5:$K$2004),1)))</f>
        <v/>
      </c>
      <c r="BF105" s="33" t="str">
        <f aca="false">IF(A105="","",IF(BE105="","No rebar schedule yet",IF(ABS(BE105-N(BA105))/MAX(N(BA105),1)&gt;SG_Criteria!$B$55,"NOTE: register rebar differs from schedule by "&amp;TEXT(ABS(BE105-N(BA105))/MAX(N(BA105),1),"0%"),"OK")))</f>
        <v/>
      </c>
      <c r="BG105" s="33" t="str">
        <f aca="false">IF(D105="","",IF(LEN(IF(AND(Z105&lt;&gt;"",IFERROR(VALUE(MID(Z105,2,2)),0)&lt;SG_Criteria!$B$19),"FAIL: grade below C"&amp;SG_Criteria!$B$19&amp;". ","")&amp;IF(AND(AA105&lt;&gt;"",AA105&lt;SG_Criteria!$B$20),"FAIL: cover &lt; "&amp;SG_Criteria!$B$20&amp;" mm. ","")&amp;IF(AND(I105&lt;&gt;"",I105&lt;SG_Criteria!$B$39),"NOTE: min depth below PUB "&amp;SG_Criteria!$B$39&amp;" m. ","")&amp;IF(AND(LEFT(D105,8)="Standard",J105&gt;SG_Criteria!$B$42),"FAIL: PUB 001C covers manholes up to "&amp;SG_Criteria!$B$42&amp;" m deep only. ","")&amp;IF(AND(LEFT(D105,11)="Rectangular",K105&lt;SG_Criteria!$B$43),"NOTE: 004C is for sewers &gt;= "&amp;SG_Criteria!$B$43&amp;" dia. ","")&amp;IF(AND(LEFT(D105,7)="Precast",J105&lt;=SG_Criteria!$B$42),"NOTE: 006C is for manholes &gt; "&amp;SG_Criteria!$B$42&amp;" m deep. ","")&amp;IF(AND(K105&lt;&gt;"",K105&lt;SG_Criteria!$B$40,D105&lt;&gt;"Inspection Chamber"),"NOTE: public sewer min dia "&amp;SG_Criteria!$B$40&amp;" mm. ","")&amp;IF(AND(Y105&lt;&gt;"",Y105&lt;SG_Criteria!$B$44),"FAIL: uplift FOS below "&amp;SG_Criteria!$B$44&amp;". ",""))=0,"OK",IF(AND(Z105&lt;&gt;"",IFERROR(VALUE(MID(Z105,2,2)),0)&lt;SG_Criteria!$B$19),"FAIL: grade below C"&amp;SG_Criteria!$B$19&amp;". ","")&amp;IF(AND(AA105&lt;&gt;"",AA105&lt;SG_Criteria!$B$20),"FAIL: cover &lt; "&amp;SG_Criteria!$B$20&amp;" mm. ","")&amp;IF(AND(I105&lt;&gt;"",I105&lt;SG_Criteria!$B$39),"NOTE: min depth below PUB "&amp;SG_Criteria!$B$39&amp;" m. ","")&amp;IF(AND(LEFT(D105,8)="Standard",J105&gt;SG_Criteria!$B$42),"FAIL: PUB 001C covers manholes up to "&amp;SG_Criteria!$B$42&amp;" m deep only. ","")&amp;IF(AND(LEFT(D105,11)="Rectangular",K105&lt;SG_Criteria!$B$43),"NOTE: 004C is for sewers &gt;= "&amp;SG_Criteria!$B$43&amp;" dia. ","")&amp;IF(AND(LEFT(D105,7)="Precast",J105&lt;=SG_Criteria!$B$42),"NOTE: 006C is for manholes &gt; "&amp;SG_Criteria!$B$42&amp;" m deep. ","")&amp;IF(AND(K105&lt;&gt;"",K105&lt;SG_Criteria!$B$40,D105&lt;&gt;"Inspection Chamber"),"NOTE: public sewer min dia "&amp;SG_Criteria!$B$40&amp;" mm. ","")&amp;IF(AND(Y105&lt;&gt;"",Y105&lt;SG_Criteria!$B$44),"FAIL: uplift FOS below "&amp;SG_Criteria!$B$44&amp;". ","")))</f>
        <v/>
      </c>
      <c r="BH105" s="9"/>
      <c r="BI105" s="9"/>
      <c r="BJ105" s="9"/>
      <c r="BK105" s="10" t="str">
        <f aca="false">IF(BJ105="","",IFERROR(VLOOKUP(BJ105,Projects!$A$5:$D$504,2,0),"Ref not in Projects"))</f>
        <v/>
      </c>
      <c r="BL105" s="10" t="str">
        <f aca="false">IF(BJ105="","",IFERROR(VLOOKUP(BJ105,Projects!$A$5:$D$504,4,0),"Ref not in Projects"))</f>
        <v/>
      </c>
      <c r="BM105" s="9"/>
      <c r="BN105" s="9"/>
      <c r="BO105" s="9"/>
      <c r="BP105" s="40"/>
      <c r="BQ105" s="9"/>
      <c r="BR105" s="40"/>
      <c r="BS105" s="9"/>
      <c r="BT105" s="40"/>
      <c r="BU105" s="9"/>
      <c r="BV105" s="9"/>
      <c r="BW105" s="9"/>
      <c r="BX105" s="40"/>
      <c r="BY105" s="40"/>
      <c r="BZ105" s="36" t="str">
        <f aca="false">IF(BY105="","",EDATE(BY105,SG_Criteria!$B$54*12))</f>
        <v/>
      </c>
      <c r="CA105" s="33" t="str">
        <f aca="true">IF(A105="","",IF(BY105="","NOTE: not reviewed yet",IF(TODAY()&gt;BZ105,"NOTE: review overdue","OK")))</f>
        <v/>
      </c>
      <c r="CB105" s="37" t="str">
        <f aca="false">IF(A105="","",ROUND((IF(LEN(D105)&gt;0,1,0)+IF(LEN(E105)&gt;0,1,0)+IF(LEN(F105)&gt;0,1,0)+IF(LEN(G105)&gt;0,1,0)+IF(LEN(I105)&gt;0,1,0)+IF(LEN(J105)&gt;0,1,0)+IF(LEN(K105)&gt;0,1,0)+IF(LEN(L105)&gt;0,1,0)+IF(LEN(M105)&gt;0,1,0)+IF(LEN(N105)&gt;0,1,0)+IF(LEN(Z105)&gt;0,1,0)+IF(LEN(AA105)&gt;0,1,0)+IF(LEN(Y105)&gt;0,1,0)+IF(LEN(AE105)&gt;0,1,0)+IF(LEN(AG105)&gt;0,1,0)+IF(LEN(AZ105)&gt;0,1,0)+IF(LEN(AK105)&gt;0,1,0)+IF(LEN(AM105)&gt;0,1,0)+IF(LEN(AN105)&gt;0,1,0)+IF(LEN(AO105)&gt;0,1,0)+IF(LEN(AP105)&gt;0,1,0)+IF(LEN(AY105)&gt;0,1,0)+IF(LEN(BJ105)&gt;0,1,0)+IF(LEN(BW105)&gt;0,1,0))/24,2))</f>
        <v/>
      </c>
      <c r="CC105" s="10" t="str">
        <f aca="false">IF(D105="","",IF(AND(AN105="Approved",ISERROR(SEARCH("FAIL",BG105))),"Y","N"))</f>
        <v/>
      </c>
      <c r="CD105" s="10" t="str">
        <f aca="false">IF(D105="","",D105&amp;"|"&amp;J105&amp;"|"&amp;G105&amp;"|"&amp;CC105)</f>
        <v/>
      </c>
    </row>
    <row r="106" customFormat="false" ht="15" hidden="false" customHeight="false" outlineLevel="0" collapsed="false">
      <c r="A106" s="10" t="str">
        <f aca="false">IF(D106="","","MH-"&amp;IFERROR(VLOOKUP(D106,Lists!$AB$4:$AC$20,2,0),"??")&amp;"-"&amp;TEXT(G106,"0000")&amp;IF(F106="Circular","D","x"&amp;TEXT(H106,"0000"))&amp;"-D"&amp;TEXT(J106*1000,"0000")&amp;"-"&amp;IFERROR(VLOOKUP(E106,Lists!$AE$4:$AF$16,2,0),"??")&amp;"-"&amp;AM106)</f>
        <v/>
      </c>
      <c r="B106" s="10" t="str">
        <f aca="false">IF(D106="","",D106&amp;", "&amp;E106&amp;", "&amp;IF(F106="Circular",G106&amp;" dia",G106&amp;" x "&amp;H106)&amp;", depth "&amp;TEXT(I106,"0.0")&amp;"-"&amp;TEXT(J106,"0.0")&amp;" m, pipe up to "&amp;K106&amp;" dia")</f>
        <v/>
      </c>
      <c r="C106" s="9"/>
      <c r="D106" s="9"/>
      <c r="E106" s="9"/>
      <c r="F106" s="9"/>
      <c r="G106" s="38"/>
      <c r="H106" s="38"/>
      <c r="I106" s="42"/>
      <c r="J106" s="42"/>
      <c r="K106" s="38"/>
      <c r="L106" s="38"/>
      <c r="M106" s="38"/>
      <c r="N106" s="38"/>
      <c r="O106" s="9"/>
      <c r="P106" s="9"/>
      <c r="Q106" s="9"/>
      <c r="R106" s="9"/>
      <c r="S106" s="9"/>
      <c r="T106" s="9"/>
      <c r="U106" s="9"/>
      <c r="V106" s="42"/>
      <c r="W106" s="9"/>
      <c r="X106" s="9"/>
      <c r="Y106" s="39"/>
      <c r="Z106" s="9"/>
      <c r="AA106" s="38"/>
      <c r="AB106" s="9"/>
      <c r="AC106" s="9"/>
      <c r="AD106" s="9"/>
      <c r="AE106" s="9"/>
      <c r="AF106" s="9"/>
      <c r="AG106" s="9"/>
      <c r="AH106" s="38"/>
      <c r="AI106" s="9"/>
      <c r="AJ106" s="39"/>
      <c r="AK106" s="9"/>
      <c r="AL106" s="9"/>
      <c r="AM106" s="9"/>
      <c r="AN106" s="9"/>
      <c r="AO106" s="9"/>
      <c r="AP106" s="9"/>
      <c r="AQ106" s="9"/>
      <c r="AR106" s="10" t="str">
        <f aca="false">IF(A106="","",SG_Criteria!$B$6&amp;SG_Criteria!$B$10&amp;"\"&amp;A106&amp;"\")</f>
        <v/>
      </c>
      <c r="AS106" s="10" t="str">
        <f aca="false">IF(A106="","",A106&amp;"_CAD.dwg")</f>
        <v/>
      </c>
      <c r="AT106" s="10" t="str">
        <f aca="false">IF(A106="","",A106&amp;"_DWG.pdf")</f>
        <v/>
      </c>
      <c r="AU106" s="10" t="str">
        <f aca="false">IF(A106="","",IF(AQ106="Y",A106&amp;"_STAAD.std","n/a"))</f>
        <v/>
      </c>
      <c r="AV106" s="10" t="str">
        <f aca="false">IF(A106="","",A106&amp;"_CALC.xlsx")</f>
        <v/>
      </c>
      <c r="AW106" s="10" t="str">
        <f aca="false">IF(A106="","",A106&amp;"_CALC.pdf")</f>
        <v/>
      </c>
      <c r="AX106" s="9"/>
      <c r="AY106" s="9"/>
      <c r="AZ106" s="39"/>
      <c r="BA106" s="39"/>
      <c r="BB106" s="39"/>
      <c r="BC106" s="39"/>
      <c r="BD106" s="39"/>
      <c r="BE106" s="12" t="str">
        <f aca="false">IF(A106="","",IF(COUNTIF(Rebar_Schedule!$A$5:$A$2004,A106)=0,"",ROUND(SUMIF(Rebar_Schedule!$A$5:$A$2004,A106,Rebar_Schedule!$K$5:$K$2004),1)))</f>
        <v/>
      </c>
      <c r="BF106" s="33" t="str">
        <f aca="false">IF(A106="","",IF(BE106="","No rebar schedule yet",IF(ABS(BE106-N(BA106))/MAX(N(BA106),1)&gt;SG_Criteria!$B$55,"NOTE: register rebar differs from schedule by "&amp;TEXT(ABS(BE106-N(BA106))/MAX(N(BA106),1),"0%"),"OK")))</f>
        <v/>
      </c>
      <c r="BG106" s="33" t="str">
        <f aca="false">IF(D106="","",IF(LEN(IF(AND(Z106&lt;&gt;"",IFERROR(VALUE(MID(Z106,2,2)),0)&lt;SG_Criteria!$B$19),"FAIL: grade below C"&amp;SG_Criteria!$B$19&amp;". ","")&amp;IF(AND(AA106&lt;&gt;"",AA106&lt;SG_Criteria!$B$20),"FAIL: cover &lt; "&amp;SG_Criteria!$B$20&amp;" mm. ","")&amp;IF(AND(I106&lt;&gt;"",I106&lt;SG_Criteria!$B$39),"NOTE: min depth below PUB "&amp;SG_Criteria!$B$39&amp;" m. ","")&amp;IF(AND(LEFT(D106,8)="Standard",J106&gt;SG_Criteria!$B$42),"FAIL: PUB 001C covers manholes up to "&amp;SG_Criteria!$B$42&amp;" m deep only. ","")&amp;IF(AND(LEFT(D106,11)="Rectangular",K106&lt;SG_Criteria!$B$43),"NOTE: 004C is for sewers &gt;= "&amp;SG_Criteria!$B$43&amp;" dia. ","")&amp;IF(AND(LEFT(D106,7)="Precast",J106&lt;=SG_Criteria!$B$42),"NOTE: 006C is for manholes &gt; "&amp;SG_Criteria!$B$42&amp;" m deep. ","")&amp;IF(AND(K106&lt;&gt;"",K106&lt;SG_Criteria!$B$40,D106&lt;&gt;"Inspection Chamber"),"NOTE: public sewer min dia "&amp;SG_Criteria!$B$40&amp;" mm. ","")&amp;IF(AND(Y106&lt;&gt;"",Y106&lt;SG_Criteria!$B$44),"FAIL: uplift FOS below "&amp;SG_Criteria!$B$44&amp;". ",""))=0,"OK",IF(AND(Z106&lt;&gt;"",IFERROR(VALUE(MID(Z106,2,2)),0)&lt;SG_Criteria!$B$19),"FAIL: grade below C"&amp;SG_Criteria!$B$19&amp;". ","")&amp;IF(AND(AA106&lt;&gt;"",AA106&lt;SG_Criteria!$B$20),"FAIL: cover &lt; "&amp;SG_Criteria!$B$20&amp;" mm. ","")&amp;IF(AND(I106&lt;&gt;"",I106&lt;SG_Criteria!$B$39),"NOTE: min depth below PUB "&amp;SG_Criteria!$B$39&amp;" m. ","")&amp;IF(AND(LEFT(D106,8)="Standard",J106&gt;SG_Criteria!$B$42),"FAIL: PUB 001C covers manholes up to "&amp;SG_Criteria!$B$42&amp;" m deep only. ","")&amp;IF(AND(LEFT(D106,11)="Rectangular",K106&lt;SG_Criteria!$B$43),"NOTE: 004C is for sewers &gt;= "&amp;SG_Criteria!$B$43&amp;" dia. ","")&amp;IF(AND(LEFT(D106,7)="Precast",J106&lt;=SG_Criteria!$B$42),"NOTE: 006C is for manholes &gt; "&amp;SG_Criteria!$B$42&amp;" m deep. ","")&amp;IF(AND(K106&lt;&gt;"",K106&lt;SG_Criteria!$B$40,D106&lt;&gt;"Inspection Chamber"),"NOTE: public sewer min dia "&amp;SG_Criteria!$B$40&amp;" mm. ","")&amp;IF(AND(Y106&lt;&gt;"",Y106&lt;SG_Criteria!$B$44),"FAIL: uplift FOS below "&amp;SG_Criteria!$B$44&amp;". ","")))</f>
        <v/>
      </c>
      <c r="BH106" s="9"/>
      <c r="BI106" s="9"/>
      <c r="BJ106" s="9"/>
      <c r="BK106" s="10" t="str">
        <f aca="false">IF(BJ106="","",IFERROR(VLOOKUP(BJ106,Projects!$A$5:$D$504,2,0),"Ref not in Projects"))</f>
        <v/>
      </c>
      <c r="BL106" s="10" t="str">
        <f aca="false">IF(BJ106="","",IFERROR(VLOOKUP(BJ106,Projects!$A$5:$D$504,4,0),"Ref not in Projects"))</f>
        <v/>
      </c>
      <c r="BM106" s="9"/>
      <c r="BN106" s="9"/>
      <c r="BO106" s="9"/>
      <c r="BP106" s="40"/>
      <c r="BQ106" s="9"/>
      <c r="BR106" s="40"/>
      <c r="BS106" s="9"/>
      <c r="BT106" s="40"/>
      <c r="BU106" s="9"/>
      <c r="BV106" s="9"/>
      <c r="BW106" s="9"/>
      <c r="BX106" s="40"/>
      <c r="BY106" s="40"/>
      <c r="BZ106" s="36" t="str">
        <f aca="false">IF(BY106="","",EDATE(BY106,SG_Criteria!$B$54*12))</f>
        <v/>
      </c>
      <c r="CA106" s="33" t="str">
        <f aca="true">IF(A106="","",IF(BY106="","NOTE: not reviewed yet",IF(TODAY()&gt;BZ106,"NOTE: review overdue","OK")))</f>
        <v/>
      </c>
      <c r="CB106" s="37" t="str">
        <f aca="false">IF(A106="","",ROUND((IF(LEN(D106)&gt;0,1,0)+IF(LEN(E106)&gt;0,1,0)+IF(LEN(F106)&gt;0,1,0)+IF(LEN(G106)&gt;0,1,0)+IF(LEN(I106)&gt;0,1,0)+IF(LEN(J106)&gt;0,1,0)+IF(LEN(K106)&gt;0,1,0)+IF(LEN(L106)&gt;0,1,0)+IF(LEN(M106)&gt;0,1,0)+IF(LEN(N106)&gt;0,1,0)+IF(LEN(Z106)&gt;0,1,0)+IF(LEN(AA106)&gt;0,1,0)+IF(LEN(Y106)&gt;0,1,0)+IF(LEN(AE106)&gt;0,1,0)+IF(LEN(AG106)&gt;0,1,0)+IF(LEN(AZ106)&gt;0,1,0)+IF(LEN(AK106)&gt;0,1,0)+IF(LEN(AM106)&gt;0,1,0)+IF(LEN(AN106)&gt;0,1,0)+IF(LEN(AO106)&gt;0,1,0)+IF(LEN(AP106)&gt;0,1,0)+IF(LEN(AY106)&gt;0,1,0)+IF(LEN(BJ106)&gt;0,1,0)+IF(LEN(BW106)&gt;0,1,0))/24,2))</f>
        <v/>
      </c>
      <c r="CC106" s="10" t="str">
        <f aca="false">IF(D106="","",IF(AND(AN106="Approved",ISERROR(SEARCH("FAIL",BG106))),"Y","N"))</f>
        <v/>
      </c>
      <c r="CD106" s="10" t="str">
        <f aca="false">IF(D106="","",D106&amp;"|"&amp;J106&amp;"|"&amp;G106&amp;"|"&amp;CC106)</f>
        <v/>
      </c>
    </row>
    <row r="107" customFormat="false" ht="15" hidden="false" customHeight="false" outlineLevel="0" collapsed="false">
      <c r="A107" s="10" t="str">
        <f aca="false">IF(D107="","","MH-"&amp;IFERROR(VLOOKUP(D107,Lists!$AB$4:$AC$20,2,0),"??")&amp;"-"&amp;TEXT(G107,"0000")&amp;IF(F107="Circular","D","x"&amp;TEXT(H107,"0000"))&amp;"-D"&amp;TEXT(J107*1000,"0000")&amp;"-"&amp;IFERROR(VLOOKUP(E107,Lists!$AE$4:$AF$16,2,0),"??")&amp;"-"&amp;AM107)</f>
        <v/>
      </c>
      <c r="B107" s="10" t="str">
        <f aca="false">IF(D107="","",D107&amp;", "&amp;E107&amp;", "&amp;IF(F107="Circular",G107&amp;" dia",G107&amp;" x "&amp;H107)&amp;", depth "&amp;TEXT(I107,"0.0")&amp;"-"&amp;TEXT(J107,"0.0")&amp;" m, pipe up to "&amp;K107&amp;" dia")</f>
        <v/>
      </c>
      <c r="C107" s="9"/>
      <c r="D107" s="9"/>
      <c r="E107" s="9"/>
      <c r="F107" s="9"/>
      <c r="G107" s="38"/>
      <c r="H107" s="38"/>
      <c r="I107" s="42"/>
      <c r="J107" s="42"/>
      <c r="K107" s="38"/>
      <c r="L107" s="38"/>
      <c r="M107" s="38"/>
      <c r="N107" s="38"/>
      <c r="O107" s="9"/>
      <c r="P107" s="9"/>
      <c r="Q107" s="9"/>
      <c r="R107" s="9"/>
      <c r="S107" s="9"/>
      <c r="T107" s="9"/>
      <c r="U107" s="9"/>
      <c r="V107" s="42"/>
      <c r="W107" s="9"/>
      <c r="X107" s="9"/>
      <c r="Y107" s="39"/>
      <c r="Z107" s="9"/>
      <c r="AA107" s="38"/>
      <c r="AB107" s="9"/>
      <c r="AC107" s="9"/>
      <c r="AD107" s="9"/>
      <c r="AE107" s="9"/>
      <c r="AF107" s="9"/>
      <c r="AG107" s="9"/>
      <c r="AH107" s="38"/>
      <c r="AI107" s="9"/>
      <c r="AJ107" s="39"/>
      <c r="AK107" s="9"/>
      <c r="AL107" s="9"/>
      <c r="AM107" s="9"/>
      <c r="AN107" s="9"/>
      <c r="AO107" s="9"/>
      <c r="AP107" s="9"/>
      <c r="AQ107" s="9"/>
      <c r="AR107" s="10" t="str">
        <f aca="false">IF(A107="","",SG_Criteria!$B$6&amp;SG_Criteria!$B$10&amp;"\"&amp;A107&amp;"\")</f>
        <v/>
      </c>
      <c r="AS107" s="10" t="str">
        <f aca="false">IF(A107="","",A107&amp;"_CAD.dwg")</f>
        <v/>
      </c>
      <c r="AT107" s="10" t="str">
        <f aca="false">IF(A107="","",A107&amp;"_DWG.pdf")</f>
        <v/>
      </c>
      <c r="AU107" s="10" t="str">
        <f aca="false">IF(A107="","",IF(AQ107="Y",A107&amp;"_STAAD.std","n/a"))</f>
        <v/>
      </c>
      <c r="AV107" s="10" t="str">
        <f aca="false">IF(A107="","",A107&amp;"_CALC.xlsx")</f>
        <v/>
      </c>
      <c r="AW107" s="10" t="str">
        <f aca="false">IF(A107="","",A107&amp;"_CALC.pdf")</f>
        <v/>
      </c>
      <c r="AX107" s="9"/>
      <c r="AY107" s="9"/>
      <c r="AZ107" s="39"/>
      <c r="BA107" s="39"/>
      <c r="BB107" s="39"/>
      <c r="BC107" s="39"/>
      <c r="BD107" s="39"/>
      <c r="BE107" s="12" t="str">
        <f aca="false">IF(A107="","",IF(COUNTIF(Rebar_Schedule!$A$5:$A$2004,A107)=0,"",ROUND(SUMIF(Rebar_Schedule!$A$5:$A$2004,A107,Rebar_Schedule!$K$5:$K$2004),1)))</f>
        <v/>
      </c>
      <c r="BF107" s="33" t="str">
        <f aca="false">IF(A107="","",IF(BE107="","No rebar schedule yet",IF(ABS(BE107-N(BA107))/MAX(N(BA107),1)&gt;SG_Criteria!$B$55,"NOTE: register rebar differs from schedule by "&amp;TEXT(ABS(BE107-N(BA107))/MAX(N(BA107),1),"0%"),"OK")))</f>
        <v/>
      </c>
      <c r="BG107" s="33" t="str">
        <f aca="false">IF(D107="","",IF(LEN(IF(AND(Z107&lt;&gt;"",IFERROR(VALUE(MID(Z107,2,2)),0)&lt;SG_Criteria!$B$19),"FAIL: grade below C"&amp;SG_Criteria!$B$19&amp;". ","")&amp;IF(AND(AA107&lt;&gt;"",AA107&lt;SG_Criteria!$B$20),"FAIL: cover &lt; "&amp;SG_Criteria!$B$20&amp;" mm. ","")&amp;IF(AND(I107&lt;&gt;"",I107&lt;SG_Criteria!$B$39),"NOTE: min depth below PUB "&amp;SG_Criteria!$B$39&amp;" m. ","")&amp;IF(AND(LEFT(D107,8)="Standard",J107&gt;SG_Criteria!$B$42),"FAIL: PUB 001C covers manholes up to "&amp;SG_Criteria!$B$42&amp;" m deep only. ","")&amp;IF(AND(LEFT(D107,11)="Rectangular",K107&lt;SG_Criteria!$B$43),"NOTE: 004C is for sewers &gt;= "&amp;SG_Criteria!$B$43&amp;" dia. ","")&amp;IF(AND(LEFT(D107,7)="Precast",J107&lt;=SG_Criteria!$B$42),"NOTE: 006C is for manholes &gt; "&amp;SG_Criteria!$B$42&amp;" m deep. ","")&amp;IF(AND(K107&lt;&gt;"",K107&lt;SG_Criteria!$B$40,D107&lt;&gt;"Inspection Chamber"),"NOTE: public sewer min dia "&amp;SG_Criteria!$B$40&amp;" mm. ","")&amp;IF(AND(Y107&lt;&gt;"",Y107&lt;SG_Criteria!$B$44),"FAIL: uplift FOS below "&amp;SG_Criteria!$B$44&amp;". ",""))=0,"OK",IF(AND(Z107&lt;&gt;"",IFERROR(VALUE(MID(Z107,2,2)),0)&lt;SG_Criteria!$B$19),"FAIL: grade below C"&amp;SG_Criteria!$B$19&amp;". ","")&amp;IF(AND(AA107&lt;&gt;"",AA107&lt;SG_Criteria!$B$20),"FAIL: cover &lt; "&amp;SG_Criteria!$B$20&amp;" mm. ","")&amp;IF(AND(I107&lt;&gt;"",I107&lt;SG_Criteria!$B$39),"NOTE: min depth below PUB "&amp;SG_Criteria!$B$39&amp;" m. ","")&amp;IF(AND(LEFT(D107,8)="Standard",J107&gt;SG_Criteria!$B$42),"FAIL: PUB 001C covers manholes up to "&amp;SG_Criteria!$B$42&amp;" m deep only. ","")&amp;IF(AND(LEFT(D107,11)="Rectangular",K107&lt;SG_Criteria!$B$43),"NOTE: 004C is for sewers &gt;= "&amp;SG_Criteria!$B$43&amp;" dia. ","")&amp;IF(AND(LEFT(D107,7)="Precast",J107&lt;=SG_Criteria!$B$42),"NOTE: 006C is for manholes &gt; "&amp;SG_Criteria!$B$42&amp;" m deep. ","")&amp;IF(AND(K107&lt;&gt;"",K107&lt;SG_Criteria!$B$40,D107&lt;&gt;"Inspection Chamber"),"NOTE: public sewer min dia "&amp;SG_Criteria!$B$40&amp;" mm. ","")&amp;IF(AND(Y107&lt;&gt;"",Y107&lt;SG_Criteria!$B$44),"FAIL: uplift FOS below "&amp;SG_Criteria!$B$44&amp;". ","")))</f>
        <v/>
      </c>
      <c r="BH107" s="9"/>
      <c r="BI107" s="9"/>
      <c r="BJ107" s="9"/>
      <c r="BK107" s="10" t="str">
        <f aca="false">IF(BJ107="","",IFERROR(VLOOKUP(BJ107,Projects!$A$5:$D$504,2,0),"Ref not in Projects"))</f>
        <v/>
      </c>
      <c r="BL107" s="10" t="str">
        <f aca="false">IF(BJ107="","",IFERROR(VLOOKUP(BJ107,Projects!$A$5:$D$504,4,0),"Ref not in Projects"))</f>
        <v/>
      </c>
      <c r="BM107" s="9"/>
      <c r="BN107" s="9"/>
      <c r="BO107" s="9"/>
      <c r="BP107" s="40"/>
      <c r="BQ107" s="9"/>
      <c r="BR107" s="40"/>
      <c r="BS107" s="9"/>
      <c r="BT107" s="40"/>
      <c r="BU107" s="9"/>
      <c r="BV107" s="9"/>
      <c r="BW107" s="9"/>
      <c r="BX107" s="40"/>
      <c r="BY107" s="40"/>
      <c r="BZ107" s="36" t="str">
        <f aca="false">IF(BY107="","",EDATE(BY107,SG_Criteria!$B$54*12))</f>
        <v/>
      </c>
      <c r="CA107" s="33" t="str">
        <f aca="true">IF(A107="","",IF(BY107="","NOTE: not reviewed yet",IF(TODAY()&gt;BZ107,"NOTE: review overdue","OK")))</f>
        <v/>
      </c>
      <c r="CB107" s="37" t="str">
        <f aca="false">IF(A107="","",ROUND((IF(LEN(D107)&gt;0,1,0)+IF(LEN(E107)&gt;0,1,0)+IF(LEN(F107)&gt;0,1,0)+IF(LEN(G107)&gt;0,1,0)+IF(LEN(I107)&gt;0,1,0)+IF(LEN(J107)&gt;0,1,0)+IF(LEN(K107)&gt;0,1,0)+IF(LEN(L107)&gt;0,1,0)+IF(LEN(M107)&gt;0,1,0)+IF(LEN(N107)&gt;0,1,0)+IF(LEN(Z107)&gt;0,1,0)+IF(LEN(AA107)&gt;0,1,0)+IF(LEN(Y107)&gt;0,1,0)+IF(LEN(AE107)&gt;0,1,0)+IF(LEN(AG107)&gt;0,1,0)+IF(LEN(AZ107)&gt;0,1,0)+IF(LEN(AK107)&gt;0,1,0)+IF(LEN(AM107)&gt;0,1,0)+IF(LEN(AN107)&gt;0,1,0)+IF(LEN(AO107)&gt;0,1,0)+IF(LEN(AP107)&gt;0,1,0)+IF(LEN(AY107)&gt;0,1,0)+IF(LEN(BJ107)&gt;0,1,0)+IF(LEN(BW107)&gt;0,1,0))/24,2))</f>
        <v/>
      </c>
      <c r="CC107" s="10" t="str">
        <f aca="false">IF(D107="","",IF(AND(AN107="Approved",ISERROR(SEARCH("FAIL",BG107))),"Y","N"))</f>
        <v/>
      </c>
      <c r="CD107" s="10" t="str">
        <f aca="false">IF(D107="","",D107&amp;"|"&amp;J107&amp;"|"&amp;G107&amp;"|"&amp;CC107)</f>
        <v/>
      </c>
    </row>
    <row r="108" customFormat="false" ht="15" hidden="false" customHeight="false" outlineLevel="0" collapsed="false">
      <c r="A108" s="10" t="str">
        <f aca="false">IF(D108="","","MH-"&amp;IFERROR(VLOOKUP(D108,Lists!$AB$4:$AC$20,2,0),"??")&amp;"-"&amp;TEXT(G108,"0000")&amp;IF(F108="Circular","D","x"&amp;TEXT(H108,"0000"))&amp;"-D"&amp;TEXT(J108*1000,"0000")&amp;"-"&amp;IFERROR(VLOOKUP(E108,Lists!$AE$4:$AF$16,2,0),"??")&amp;"-"&amp;AM108)</f>
        <v/>
      </c>
      <c r="B108" s="10" t="str">
        <f aca="false">IF(D108="","",D108&amp;", "&amp;E108&amp;", "&amp;IF(F108="Circular",G108&amp;" dia",G108&amp;" x "&amp;H108)&amp;", depth "&amp;TEXT(I108,"0.0")&amp;"-"&amp;TEXT(J108,"0.0")&amp;" m, pipe up to "&amp;K108&amp;" dia")</f>
        <v/>
      </c>
      <c r="C108" s="9"/>
      <c r="D108" s="9"/>
      <c r="E108" s="9"/>
      <c r="F108" s="9"/>
      <c r="G108" s="38"/>
      <c r="H108" s="38"/>
      <c r="I108" s="42"/>
      <c r="J108" s="42"/>
      <c r="K108" s="38"/>
      <c r="L108" s="38"/>
      <c r="M108" s="38"/>
      <c r="N108" s="38"/>
      <c r="O108" s="9"/>
      <c r="P108" s="9"/>
      <c r="Q108" s="9"/>
      <c r="R108" s="9"/>
      <c r="S108" s="9"/>
      <c r="T108" s="9"/>
      <c r="U108" s="9"/>
      <c r="V108" s="42"/>
      <c r="W108" s="9"/>
      <c r="X108" s="9"/>
      <c r="Y108" s="39"/>
      <c r="Z108" s="9"/>
      <c r="AA108" s="38"/>
      <c r="AB108" s="9"/>
      <c r="AC108" s="9"/>
      <c r="AD108" s="9"/>
      <c r="AE108" s="9"/>
      <c r="AF108" s="9"/>
      <c r="AG108" s="9"/>
      <c r="AH108" s="38"/>
      <c r="AI108" s="9"/>
      <c r="AJ108" s="39"/>
      <c r="AK108" s="9"/>
      <c r="AL108" s="9"/>
      <c r="AM108" s="9"/>
      <c r="AN108" s="9"/>
      <c r="AO108" s="9"/>
      <c r="AP108" s="9"/>
      <c r="AQ108" s="9"/>
      <c r="AR108" s="10" t="str">
        <f aca="false">IF(A108="","",SG_Criteria!$B$6&amp;SG_Criteria!$B$10&amp;"\"&amp;A108&amp;"\")</f>
        <v/>
      </c>
      <c r="AS108" s="10" t="str">
        <f aca="false">IF(A108="","",A108&amp;"_CAD.dwg")</f>
        <v/>
      </c>
      <c r="AT108" s="10" t="str">
        <f aca="false">IF(A108="","",A108&amp;"_DWG.pdf")</f>
        <v/>
      </c>
      <c r="AU108" s="10" t="str">
        <f aca="false">IF(A108="","",IF(AQ108="Y",A108&amp;"_STAAD.std","n/a"))</f>
        <v/>
      </c>
      <c r="AV108" s="10" t="str">
        <f aca="false">IF(A108="","",A108&amp;"_CALC.xlsx")</f>
        <v/>
      </c>
      <c r="AW108" s="10" t="str">
        <f aca="false">IF(A108="","",A108&amp;"_CALC.pdf")</f>
        <v/>
      </c>
      <c r="AX108" s="9"/>
      <c r="AY108" s="9"/>
      <c r="AZ108" s="39"/>
      <c r="BA108" s="39"/>
      <c r="BB108" s="39"/>
      <c r="BC108" s="39"/>
      <c r="BD108" s="39"/>
      <c r="BE108" s="12" t="str">
        <f aca="false">IF(A108="","",IF(COUNTIF(Rebar_Schedule!$A$5:$A$2004,A108)=0,"",ROUND(SUMIF(Rebar_Schedule!$A$5:$A$2004,A108,Rebar_Schedule!$K$5:$K$2004),1)))</f>
        <v/>
      </c>
      <c r="BF108" s="33" t="str">
        <f aca="false">IF(A108="","",IF(BE108="","No rebar schedule yet",IF(ABS(BE108-N(BA108))/MAX(N(BA108),1)&gt;SG_Criteria!$B$55,"NOTE: register rebar differs from schedule by "&amp;TEXT(ABS(BE108-N(BA108))/MAX(N(BA108),1),"0%"),"OK")))</f>
        <v/>
      </c>
      <c r="BG108" s="33" t="str">
        <f aca="false">IF(D108="","",IF(LEN(IF(AND(Z108&lt;&gt;"",IFERROR(VALUE(MID(Z108,2,2)),0)&lt;SG_Criteria!$B$19),"FAIL: grade below C"&amp;SG_Criteria!$B$19&amp;". ","")&amp;IF(AND(AA108&lt;&gt;"",AA108&lt;SG_Criteria!$B$20),"FAIL: cover &lt; "&amp;SG_Criteria!$B$20&amp;" mm. ","")&amp;IF(AND(I108&lt;&gt;"",I108&lt;SG_Criteria!$B$39),"NOTE: min depth below PUB "&amp;SG_Criteria!$B$39&amp;" m. ","")&amp;IF(AND(LEFT(D108,8)="Standard",J108&gt;SG_Criteria!$B$42),"FAIL: PUB 001C covers manholes up to "&amp;SG_Criteria!$B$42&amp;" m deep only. ","")&amp;IF(AND(LEFT(D108,11)="Rectangular",K108&lt;SG_Criteria!$B$43),"NOTE: 004C is for sewers &gt;= "&amp;SG_Criteria!$B$43&amp;" dia. ","")&amp;IF(AND(LEFT(D108,7)="Precast",J108&lt;=SG_Criteria!$B$42),"NOTE: 006C is for manholes &gt; "&amp;SG_Criteria!$B$42&amp;" m deep. ","")&amp;IF(AND(K108&lt;&gt;"",K108&lt;SG_Criteria!$B$40,D108&lt;&gt;"Inspection Chamber"),"NOTE: public sewer min dia "&amp;SG_Criteria!$B$40&amp;" mm. ","")&amp;IF(AND(Y108&lt;&gt;"",Y108&lt;SG_Criteria!$B$44),"FAIL: uplift FOS below "&amp;SG_Criteria!$B$44&amp;". ",""))=0,"OK",IF(AND(Z108&lt;&gt;"",IFERROR(VALUE(MID(Z108,2,2)),0)&lt;SG_Criteria!$B$19),"FAIL: grade below C"&amp;SG_Criteria!$B$19&amp;". ","")&amp;IF(AND(AA108&lt;&gt;"",AA108&lt;SG_Criteria!$B$20),"FAIL: cover &lt; "&amp;SG_Criteria!$B$20&amp;" mm. ","")&amp;IF(AND(I108&lt;&gt;"",I108&lt;SG_Criteria!$B$39),"NOTE: min depth below PUB "&amp;SG_Criteria!$B$39&amp;" m. ","")&amp;IF(AND(LEFT(D108,8)="Standard",J108&gt;SG_Criteria!$B$42),"FAIL: PUB 001C covers manholes up to "&amp;SG_Criteria!$B$42&amp;" m deep only. ","")&amp;IF(AND(LEFT(D108,11)="Rectangular",K108&lt;SG_Criteria!$B$43),"NOTE: 004C is for sewers &gt;= "&amp;SG_Criteria!$B$43&amp;" dia. ","")&amp;IF(AND(LEFT(D108,7)="Precast",J108&lt;=SG_Criteria!$B$42),"NOTE: 006C is for manholes &gt; "&amp;SG_Criteria!$B$42&amp;" m deep. ","")&amp;IF(AND(K108&lt;&gt;"",K108&lt;SG_Criteria!$B$40,D108&lt;&gt;"Inspection Chamber"),"NOTE: public sewer min dia "&amp;SG_Criteria!$B$40&amp;" mm. ","")&amp;IF(AND(Y108&lt;&gt;"",Y108&lt;SG_Criteria!$B$44),"FAIL: uplift FOS below "&amp;SG_Criteria!$B$44&amp;". ","")))</f>
        <v/>
      </c>
      <c r="BH108" s="9"/>
      <c r="BI108" s="9"/>
      <c r="BJ108" s="9"/>
      <c r="BK108" s="10" t="str">
        <f aca="false">IF(BJ108="","",IFERROR(VLOOKUP(BJ108,Projects!$A$5:$D$504,2,0),"Ref not in Projects"))</f>
        <v/>
      </c>
      <c r="BL108" s="10" t="str">
        <f aca="false">IF(BJ108="","",IFERROR(VLOOKUP(BJ108,Projects!$A$5:$D$504,4,0),"Ref not in Projects"))</f>
        <v/>
      </c>
      <c r="BM108" s="9"/>
      <c r="BN108" s="9"/>
      <c r="BO108" s="9"/>
      <c r="BP108" s="40"/>
      <c r="BQ108" s="9"/>
      <c r="BR108" s="40"/>
      <c r="BS108" s="9"/>
      <c r="BT108" s="40"/>
      <c r="BU108" s="9"/>
      <c r="BV108" s="9"/>
      <c r="BW108" s="9"/>
      <c r="BX108" s="40"/>
      <c r="BY108" s="40"/>
      <c r="BZ108" s="36" t="str">
        <f aca="false">IF(BY108="","",EDATE(BY108,SG_Criteria!$B$54*12))</f>
        <v/>
      </c>
      <c r="CA108" s="33" t="str">
        <f aca="true">IF(A108="","",IF(BY108="","NOTE: not reviewed yet",IF(TODAY()&gt;BZ108,"NOTE: review overdue","OK")))</f>
        <v/>
      </c>
      <c r="CB108" s="37" t="str">
        <f aca="false">IF(A108="","",ROUND((IF(LEN(D108)&gt;0,1,0)+IF(LEN(E108)&gt;0,1,0)+IF(LEN(F108)&gt;0,1,0)+IF(LEN(G108)&gt;0,1,0)+IF(LEN(I108)&gt;0,1,0)+IF(LEN(J108)&gt;0,1,0)+IF(LEN(K108)&gt;0,1,0)+IF(LEN(L108)&gt;0,1,0)+IF(LEN(M108)&gt;0,1,0)+IF(LEN(N108)&gt;0,1,0)+IF(LEN(Z108)&gt;0,1,0)+IF(LEN(AA108)&gt;0,1,0)+IF(LEN(Y108)&gt;0,1,0)+IF(LEN(AE108)&gt;0,1,0)+IF(LEN(AG108)&gt;0,1,0)+IF(LEN(AZ108)&gt;0,1,0)+IF(LEN(AK108)&gt;0,1,0)+IF(LEN(AM108)&gt;0,1,0)+IF(LEN(AN108)&gt;0,1,0)+IF(LEN(AO108)&gt;0,1,0)+IF(LEN(AP108)&gt;0,1,0)+IF(LEN(AY108)&gt;0,1,0)+IF(LEN(BJ108)&gt;0,1,0)+IF(LEN(BW108)&gt;0,1,0))/24,2))</f>
        <v/>
      </c>
      <c r="CC108" s="10" t="str">
        <f aca="false">IF(D108="","",IF(AND(AN108="Approved",ISERROR(SEARCH("FAIL",BG108))),"Y","N"))</f>
        <v/>
      </c>
      <c r="CD108" s="10" t="str">
        <f aca="false">IF(D108="","",D108&amp;"|"&amp;J108&amp;"|"&amp;G108&amp;"|"&amp;CC108)</f>
        <v/>
      </c>
    </row>
    <row r="109" customFormat="false" ht="15" hidden="false" customHeight="false" outlineLevel="0" collapsed="false">
      <c r="A109" s="10" t="str">
        <f aca="false">IF(D109="","","MH-"&amp;IFERROR(VLOOKUP(D109,Lists!$AB$4:$AC$20,2,0),"??")&amp;"-"&amp;TEXT(G109,"0000")&amp;IF(F109="Circular","D","x"&amp;TEXT(H109,"0000"))&amp;"-D"&amp;TEXT(J109*1000,"0000")&amp;"-"&amp;IFERROR(VLOOKUP(E109,Lists!$AE$4:$AF$16,2,0),"??")&amp;"-"&amp;AM109)</f>
        <v/>
      </c>
      <c r="B109" s="10" t="str">
        <f aca="false">IF(D109="","",D109&amp;", "&amp;E109&amp;", "&amp;IF(F109="Circular",G109&amp;" dia",G109&amp;" x "&amp;H109)&amp;", depth "&amp;TEXT(I109,"0.0")&amp;"-"&amp;TEXT(J109,"0.0")&amp;" m, pipe up to "&amp;K109&amp;" dia")</f>
        <v/>
      </c>
      <c r="C109" s="9"/>
      <c r="D109" s="9"/>
      <c r="E109" s="9"/>
      <c r="F109" s="9"/>
      <c r="G109" s="38"/>
      <c r="H109" s="38"/>
      <c r="I109" s="42"/>
      <c r="J109" s="42"/>
      <c r="K109" s="38"/>
      <c r="L109" s="38"/>
      <c r="M109" s="38"/>
      <c r="N109" s="38"/>
      <c r="O109" s="9"/>
      <c r="P109" s="9"/>
      <c r="Q109" s="9"/>
      <c r="R109" s="9"/>
      <c r="S109" s="9"/>
      <c r="T109" s="9"/>
      <c r="U109" s="9"/>
      <c r="V109" s="42"/>
      <c r="W109" s="9"/>
      <c r="X109" s="9"/>
      <c r="Y109" s="39"/>
      <c r="Z109" s="9"/>
      <c r="AA109" s="38"/>
      <c r="AB109" s="9"/>
      <c r="AC109" s="9"/>
      <c r="AD109" s="9"/>
      <c r="AE109" s="9"/>
      <c r="AF109" s="9"/>
      <c r="AG109" s="9"/>
      <c r="AH109" s="38"/>
      <c r="AI109" s="9"/>
      <c r="AJ109" s="39"/>
      <c r="AK109" s="9"/>
      <c r="AL109" s="9"/>
      <c r="AM109" s="9"/>
      <c r="AN109" s="9"/>
      <c r="AO109" s="9"/>
      <c r="AP109" s="9"/>
      <c r="AQ109" s="9"/>
      <c r="AR109" s="10" t="str">
        <f aca="false">IF(A109="","",SG_Criteria!$B$6&amp;SG_Criteria!$B$10&amp;"\"&amp;A109&amp;"\")</f>
        <v/>
      </c>
      <c r="AS109" s="10" t="str">
        <f aca="false">IF(A109="","",A109&amp;"_CAD.dwg")</f>
        <v/>
      </c>
      <c r="AT109" s="10" t="str">
        <f aca="false">IF(A109="","",A109&amp;"_DWG.pdf")</f>
        <v/>
      </c>
      <c r="AU109" s="10" t="str">
        <f aca="false">IF(A109="","",IF(AQ109="Y",A109&amp;"_STAAD.std","n/a"))</f>
        <v/>
      </c>
      <c r="AV109" s="10" t="str">
        <f aca="false">IF(A109="","",A109&amp;"_CALC.xlsx")</f>
        <v/>
      </c>
      <c r="AW109" s="10" t="str">
        <f aca="false">IF(A109="","",A109&amp;"_CALC.pdf")</f>
        <v/>
      </c>
      <c r="AX109" s="9"/>
      <c r="AY109" s="9"/>
      <c r="AZ109" s="39"/>
      <c r="BA109" s="39"/>
      <c r="BB109" s="39"/>
      <c r="BC109" s="39"/>
      <c r="BD109" s="39"/>
      <c r="BE109" s="12" t="str">
        <f aca="false">IF(A109="","",IF(COUNTIF(Rebar_Schedule!$A$5:$A$2004,A109)=0,"",ROUND(SUMIF(Rebar_Schedule!$A$5:$A$2004,A109,Rebar_Schedule!$K$5:$K$2004),1)))</f>
        <v/>
      </c>
      <c r="BF109" s="33" t="str">
        <f aca="false">IF(A109="","",IF(BE109="","No rebar schedule yet",IF(ABS(BE109-N(BA109))/MAX(N(BA109),1)&gt;SG_Criteria!$B$55,"NOTE: register rebar differs from schedule by "&amp;TEXT(ABS(BE109-N(BA109))/MAX(N(BA109),1),"0%"),"OK")))</f>
        <v/>
      </c>
      <c r="BG109" s="33" t="str">
        <f aca="false">IF(D109="","",IF(LEN(IF(AND(Z109&lt;&gt;"",IFERROR(VALUE(MID(Z109,2,2)),0)&lt;SG_Criteria!$B$19),"FAIL: grade below C"&amp;SG_Criteria!$B$19&amp;". ","")&amp;IF(AND(AA109&lt;&gt;"",AA109&lt;SG_Criteria!$B$20),"FAIL: cover &lt; "&amp;SG_Criteria!$B$20&amp;" mm. ","")&amp;IF(AND(I109&lt;&gt;"",I109&lt;SG_Criteria!$B$39),"NOTE: min depth below PUB "&amp;SG_Criteria!$B$39&amp;" m. ","")&amp;IF(AND(LEFT(D109,8)="Standard",J109&gt;SG_Criteria!$B$42),"FAIL: PUB 001C covers manholes up to "&amp;SG_Criteria!$B$42&amp;" m deep only. ","")&amp;IF(AND(LEFT(D109,11)="Rectangular",K109&lt;SG_Criteria!$B$43),"NOTE: 004C is for sewers &gt;= "&amp;SG_Criteria!$B$43&amp;" dia. ","")&amp;IF(AND(LEFT(D109,7)="Precast",J109&lt;=SG_Criteria!$B$42),"NOTE: 006C is for manholes &gt; "&amp;SG_Criteria!$B$42&amp;" m deep. ","")&amp;IF(AND(K109&lt;&gt;"",K109&lt;SG_Criteria!$B$40,D109&lt;&gt;"Inspection Chamber"),"NOTE: public sewer min dia "&amp;SG_Criteria!$B$40&amp;" mm. ","")&amp;IF(AND(Y109&lt;&gt;"",Y109&lt;SG_Criteria!$B$44),"FAIL: uplift FOS below "&amp;SG_Criteria!$B$44&amp;". ",""))=0,"OK",IF(AND(Z109&lt;&gt;"",IFERROR(VALUE(MID(Z109,2,2)),0)&lt;SG_Criteria!$B$19),"FAIL: grade below C"&amp;SG_Criteria!$B$19&amp;". ","")&amp;IF(AND(AA109&lt;&gt;"",AA109&lt;SG_Criteria!$B$20),"FAIL: cover &lt; "&amp;SG_Criteria!$B$20&amp;" mm. ","")&amp;IF(AND(I109&lt;&gt;"",I109&lt;SG_Criteria!$B$39),"NOTE: min depth below PUB "&amp;SG_Criteria!$B$39&amp;" m. ","")&amp;IF(AND(LEFT(D109,8)="Standard",J109&gt;SG_Criteria!$B$42),"FAIL: PUB 001C covers manholes up to "&amp;SG_Criteria!$B$42&amp;" m deep only. ","")&amp;IF(AND(LEFT(D109,11)="Rectangular",K109&lt;SG_Criteria!$B$43),"NOTE: 004C is for sewers &gt;= "&amp;SG_Criteria!$B$43&amp;" dia. ","")&amp;IF(AND(LEFT(D109,7)="Precast",J109&lt;=SG_Criteria!$B$42),"NOTE: 006C is for manholes &gt; "&amp;SG_Criteria!$B$42&amp;" m deep. ","")&amp;IF(AND(K109&lt;&gt;"",K109&lt;SG_Criteria!$B$40,D109&lt;&gt;"Inspection Chamber"),"NOTE: public sewer min dia "&amp;SG_Criteria!$B$40&amp;" mm. ","")&amp;IF(AND(Y109&lt;&gt;"",Y109&lt;SG_Criteria!$B$44),"FAIL: uplift FOS below "&amp;SG_Criteria!$B$44&amp;". ","")))</f>
        <v/>
      </c>
      <c r="BH109" s="9"/>
      <c r="BI109" s="9"/>
      <c r="BJ109" s="9"/>
      <c r="BK109" s="10" t="str">
        <f aca="false">IF(BJ109="","",IFERROR(VLOOKUP(BJ109,Projects!$A$5:$D$504,2,0),"Ref not in Projects"))</f>
        <v/>
      </c>
      <c r="BL109" s="10" t="str">
        <f aca="false">IF(BJ109="","",IFERROR(VLOOKUP(BJ109,Projects!$A$5:$D$504,4,0),"Ref not in Projects"))</f>
        <v/>
      </c>
      <c r="BM109" s="9"/>
      <c r="BN109" s="9"/>
      <c r="BO109" s="9"/>
      <c r="BP109" s="40"/>
      <c r="BQ109" s="9"/>
      <c r="BR109" s="40"/>
      <c r="BS109" s="9"/>
      <c r="BT109" s="40"/>
      <c r="BU109" s="9"/>
      <c r="BV109" s="9"/>
      <c r="BW109" s="9"/>
      <c r="BX109" s="40"/>
      <c r="BY109" s="40"/>
      <c r="BZ109" s="36" t="str">
        <f aca="false">IF(BY109="","",EDATE(BY109,SG_Criteria!$B$54*12))</f>
        <v/>
      </c>
      <c r="CA109" s="33" t="str">
        <f aca="true">IF(A109="","",IF(BY109="","NOTE: not reviewed yet",IF(TODAY()&gt;BZ109,"NOTE: review overdue","OK")))</f>
        <v/>
      </c>
      <c r="CB109" s="37" t="str">
        <f aca="false">IF(A109="","",ROUND((IF(LEN(D109)&gt;0,1,0)+IF(LEN(E109)&gt;0,1,0)+IF(LEN(F109)&gt;0,1,0)+IF(LEN(G109)&gt;0,1,0)+IF(LEN(I109)&gt;0,1,0)+IF(LEN(J109)&gt;0,1,0)+IF(LEN(K109)&gt;0,1,0)+IF(LEN(L109)&gt;0,1,0)+IF(LEN(M109)&gt;0,1,0)+IF(LEN(N109)&gt;0,1,0)+IF(LEN(Z109)&gt;0,1,0)+IF(LEN(AA109)&gt;0,1,0)+IF(LEN(Y109)&gt;0,1,0)+IF(LEN(AE109)&gt;0,1,0)+IF(LEN(AG109)&gt;0,1,0)+IF(LEN(AZ109)&gt;0,1,0)+IF(LEN(AK109)&gt;0,1,0)+IF(LEN(AM109)&gt;0,1,0)+IF(LEN(AN109)&gt;0,1,0)+IF(LEN(AO109)&gt;0,1,0)+IF(LEN(AP109)&gt;0,1,0)+IF(LEN(AY109)&gt;0,1,0)+IF(LEN(BJ109)&gt;0,1,0)+IF(LEN(BW109)&gt;0,1,0))/24,2))</f>
        <v/>
      </c>
      <c r="CC109" s="10" t="str">
        <f aca="false">IF(D109="","",IF(AND(AN109="Approved",ISERROR(SEARCH("FAIL",BG109))),"Y","N"))</f>
        <v/>
      </c>
      <c r="CD109" s="10" t="str">
        <f aca="false">IF(D109="","",D109&amp;"|"&amp;J109&amp;"|"&amp;G109&amp;"|"&amp;CC109)</f>
        <v/>
      </c>
    </row>
    <row r="110" customFormat="false" ht="15" hidden="false" customHeight="false" outlineLevel="0" collapsed="false">
      <c r="A110" s="10" t="str">
        <f aca="false">IF(D110="","","MH-"&amp;IFERROR(VLOOKUP(D110,Lists!$AB$4:$AC$20,2,0),"??")&amp;"-"&amp;TEXT(G110,"0000")&amp;IF(F110="Circular","D","x"&amp;TEXT(H110,"0000"))&amp;"-D"&amp;TEXT(J110*1000,"0000")&amp;"-"&amp;IFERROR(VLOOKUP(E110,Lists!$AE$4:$AF$16,2,0),"??")&amp;"-"&amp;AM110)</f>
        <v/>
      </c>
      <c r="B110" s="10" t="str">
        <f aca="false">IF(D110="","",D110&amp;", "&amp;E110&amp;", "&amp;IF(F110="Circular",G110&amp;" dia",G110&amp;" x "&amp;H110)&amp;", depth "&amp;TEXT(I110,"0.0")&amp;"-"&amp;TEXT(J110,"0.0")&amp;" m, pipe up to "&amp;K110&amp;" dia")</f>
        <v/>
      </c>
      <c r="C110" s="9"/>
      <c r="D110" s="9"/>
      <c r="E110" s="9"/>
      <c r="F110" s="9"/>
      <c r="G110" s="38"/>
      <c r="H110" s="38"/>
      <c r="I110" s="42"/>
      <c r="J110" s="42"/>
      <c r="K110" s="38"/>
      <c r="L110" s="38"/>
      <c r="M110" s="38"/>
      <c r="N110" s="38"/>
      <c r="O110" s="9"/>
      <c r="P110" s="9"/>
      <c r="Q110" s="9"/>
      <c r="R110" s="9"/>
      <c r="S110" s="9"/>
      <c r="T110" s="9"/>
      <c r="U110" s="9"/>
      <c r="V110" s="42"/>
      <c r="W110" s="9"/>
      <c r="X110" s="9"/>
      <c r="Y110" s="39"/>
      <c r="Z110" s="9"/>
      <c r="AA110" s="38"/>
      <c r="AB110" s="9"/>
      <c r="AC110" s="9"/>
      <c r="AD110" s="9"/>
      <c r="AE110" s="9"/>
      <c r="AF110" s="9"/>
      <c r="AG110" s="9"/>
      <c r="AH110" s="38"/>
      <c r="AI110" s="9"/>
      <c r="AJ110" s="39"/>
      <c r="AK110" s="9"/>
      <c r="AL110" s="9"/>
      <c r="AM110" s="9"/>
      <c r="AN110" s="9"/>
      <c r="AO110" s="9"/>
      <c r="AP110" s="9"/>
      <c r="AQ110" s="9"/>
      <c r="AR110" s="10" t="str">
        <f aca="false">IF(A110="","",SG_Criteria!$B$6&amp;SG_Criteria!$B$10&amp;"\"&amp;A110&amp;"\")</f>
        <v/>
      </c>
      <c r="AS110" s="10" t="str">
        <f aca="false">IF(A110="","",A110&amp;"_CAD.dwg")</f>
        <v/>
      </c>
      <c r="AT110" s="10" t="str">
        <f aca="false">IF(A110="","",A110&amp;"_DWG.pdf")</f>
        <v/>
      </c>
      <c r="AU110" s="10" t="str">
        <f aca="false">IF(A110="","",IF(AQ110="Y",A110&amp;"_STAAD.std","n/a"))</f>
        <v/>
      </c>
      <c r="AV110" s="10" t="str">
        <f aca="false">IF(A110="","",A110&amp;"_CALC.xlsx")</f>
        <v/>
      </c>
      <c r="AW110" s="10" t="str">
        <f aca="false">IF(A110="","",A110&amp;"_CALC.pdf")</f>
        <v/>
      </c>
      <c r="AX110" s="9"/>
      <c r="AY110" s="9"/>
      <c r="AZ110" s="39"/>
      <c r="BA110" s="39"/>
      <c r="BB110" s="39"/>
      <c r="BC110" s="39"/>
      <c r="BD110" s="39"/>
      <c r="BE110" s="12" t="str">
        <f aca="false">IF(A110="","",IF(COUNTIF(Rebar_Schedule!$A$5:$A$2004,A110)=0,"",ROUND(SUMIF(Rebar_Schedule!$A$5:$A$2004,A110,Rebar_Schedule!$K$5:$K$2004),1)))</f>
        <v/>
      </c>
      <c r="BF110" s="33" t="str">
        <f aca="false">IF(A110="","",IF(BE110="","No rebar schedule yet",IF(ABS(BE110-N(BA110))/MAX(N(BA110),1)&gt;SG_Criteria!$B$55,"NOTE: register rebar differs from schedule by "&amp;TEXT(ABS(BE110-N(BA110))/MAX(N(BA110),1),"0%"),"OK")))</f>
        <v/>
      </c>
      <c r="BG110" s="33" t="str">
        <f aca="false">IF(D110="","",IF(LEN(IF(AND(Z110&lt;&gt;"",IFERROR(VALUE(MID(Z110,2,2)),0)&lt;SG_Criteria!$B$19),"FAIL: grade below C"&amp;SG_Criteria!$B$19&amp;". ","")&amp;IF(AND(AA110&lt;&gt;"",AA110&lt;SG_Criteria!$B$20),"FAIL: cover &lt; "&amp;SG_Criteria!$B$20&amp;" mm. ","")&amp;IF(AND(I110&lt;&gt;"",I110&lt;SG_Criteria!$B$39),"NOTE: min depth below PUB "&amp;SG_Criteria!$B$39&amp;" m. ","")&amp;IF(AND(LEFT(D110,8)="Standard",J110&gt;SG_Criteria!$B$42),"FAIL: PUB 001C covers manholes up to "&amp;SG_Criteria!$B$42&amp;" m deep only. ","")&amp;IF(AND(LEFT(D110,11)="Rectangular",K110&lt;SG_Criteria!$B$43),"NOTE: 004C is for sewers &gt;= "&amp;SG_Criteria!$B$43&amp;" dia. ","")&amp;IF(AND(LEFT(D110,7)="Precast",J110&lt;=SG_Criteria!$B$42),"NOTE: 006C is for manholes &gt; "&amp;SG_Criteria!$B$42&amp;" m deep. ","")&amp;IF(AND(K110&lt;&gt;"",K110&lt;SG_Criteria!$B$40,D110&lt;&gt;"Inspection Chamber"),"NOTE: public sewer min dia "&amp;SG_Criteria!$B$40&amp;" mm. ","")&amp;IF(AND(Y110&lt;&gt;"",Y110&lt;SG_Criteria!$B$44),"FAIL: uplift FOS below "&amp;SG_Criteria!$B$44&amp;". ",""))=0,"OK",IF(AND(Z110&lt;&gt;"",IFERROR(VALUE(MID(Z110,2,2)),0)&lt;SG_Criteria!$B$19),"FAIL: grade below C"&amp;SG_Criteria!$B$19&amp;". ","")&amp;IF(AND(AA110&lt;&gt;"",AA110&lt;SG_Criteria!$B$20),"FAIL: cover &lt; "&amp;SG_Criteria!$B$20&amp;" mm. ","")&amp;IF(AND(I110&lt;&gt;"",I110&lt;SG_Criteria!$B$39),"NOTE: min depth below PUB "&amp;SG_Criteria!$B$39&amp;" m. ","")&amp;IF(AND(LEFT(D110,8)="Standard",J110&gt;SG_Criteria!$B$42),"FAIL: PUB 001C covers manholes up to "&amp;SG_Criteria!$B$42&amp;" m deep only. ","")&amp;IF(AND(LEFT(D110,11)="Rectangular",K110&lt;SG_Criteria!$B$43),"NOTE: 004C is for sewers &gt;= "&amp;SG_Criteria!$B$43&amp;" dia. ","")&amp;IF(AND(LEFT(D110,7)="Precast",J110&lt;=SG_Criteria!$B$42),"NOTE: 006C is for manholes &gt; "&amp;SG_Criteria!$B$42&amp;" m deep. ","")&amp;IF(AND(K110&lt;&gt;"",K110&lt;SG_Criteria!$B$40,D110&lt;&gt;"Inspection Chamber"),"NOTE: public sewer min dia "&amp;SG_Criteria!$B$40&amp;" mm. ","")&amp;IF(AND(Y110&lt;&gt;"",Y110&lt;SG_Criteria!$B$44),"FAIL: uplift FOS below "&amp;SG_Criteria!$B$44&amp;". ","")))</f>
        <v/>
      </c>
      <c r="BH110" s="9"/>
      <c r="BI110" s="9"/>
      <c r="BJ110" s="9"/>
      <c r="BK110" s="10" t="str">
        <f aca="false">IF(BJ110="","",IFERROR(VLOOKUP(BJ110,Projects!$A$5:$D$504,2,0),"Ref not in Projects"))</f>
        <v/>
      </c>
      <c r="BL110" s="10" t="str">
        <f aca="false">IF(BJ110="","",IFERROR(VLOOKUP(BJ110,Projects!$A$5:$D$504,4,0),"Ref not in Projects"))</f>
        <v/>
      </c>
      <c r="BM110" s="9"/>
      <c r="BN110" s="9"/>
      <c r="BO110" s="9"/>
      <c r="BP110" s="40"/>
      <c r="BQ110" s="9"/>
      <c r="BR110" s="40"/>
      <c r="BS110" s="9"/>
      <c r="BT110" s="40"/>
      <c r="BU110" s="9"/>
      <c r="BV110" s="9"/>
      <c r="BW110" s="9"/>
      <c r="BX110" s="40"/>
      <c r="BY110" s="40"/>
      <c r="BZ110" s="36" t="str">
        <f aca="false">IF(BY110="","",EDATE(BY110,SG_Criteria!$B$54*12))</f>
        <v/>
      </c>
      <c r="CA110" s="33" t="str">
        <f aca="true">IF(A110="","",IF(BY110="","NOTE: not reviewed yet",IF(TODAY()&gt;BZ110,"NOTE: review overdue","OK")))</f>
        <v/>
      </c>
      <c r="CB110" s="37" t="str">
        <f aca="false">IF(A110="","",ROUND((IF(LEN(D110)&gt;0,1,0)+IF(LEN(E110)&gt;0,1,0)+IF(LEN(F110)&gt;0,1,0)+IF(LEN(G110)&gt;0,1,0)+IF(LEN(I110)&gt;0,1,0)+IF(LEN(J110)&gt;0,1,0)+IF(LEN(K110)&gt;0,1,0)+IF(LEN(L110)&gt;0,1,0)+IF(LEN(M110)&gt;0,1,0)+IF(LEN(N110)&gt;0,1,0)+IF(LEN(Z110)&gt;0,1,0)+IF(LEN(AA110)&gt;0,1,0)+IF(LEN(Y110)&gt;0,1,0)+IF(LEN(AE110)&gt;0,1,0)+IF(LEN(AG110)&gt;0,1,0)+IF(LEN(AZ110)&gt;0,1,0)+IF(LEN(AK110)&gt;0,1,0)+IF(LEN(AM110)&gt;0,1,0)+IF(LEN(AN110)&gt;0,1,0)+IF(LEN(AO110)&gt;0,1,0)+IF(LEN(AP110)&gt;0,1,0)+IF(LEN(AY110)&gt;0,1,0)+IF(LEN(BJ110)&gt;0,1,0)+IF(LEN(BW110)&gt;0,1,0))/24,2))</f>
        <v/>
      </c>
      <c r="CC110" s="10" t="str">
        <f aca="false">IF(D110="","",IF(AND(AN110="Approved",ISERROR(SEARCH("FAIL",BG110))),"Y","N"))</f>
        <v/>
      </c>
      <c r="CD110" s="10" t="str">
        <f aca="false">IF(D110="","",D110&amp;"|"&amp;J110&amp;"|"&amp;G110&amp;"|"&amp;CC110)</f>
        <v/>
      </c>
    </row>
    <row r="111" customFormat="false" ht="15" hidden="false" customHeight="false" outlineLevel="0" collapsed="false">
      <c r="A111" s="10" t="str">
        <f aca="false">IF(D111="","","MH-"&amp;IFERROR(VLOOKUP(D111,Lists!$AB$4:$AC$20,2,0),"??")&amp;"-"&amp;TEXT(G111,"0000")&amp;IF(F111="Circular","D","x"&amp;TEXT(H111,"0000"))&amp;"-D"&amp;TEXT(J111*1000,"0000")&amp;"-"&amp;IFERROR(VLOOKUP(E111,Lists!$AE$4:$AF$16,2,0),"??")&amp;"-"&amp;AM111)</f>
        <v/>
      </c>
      <c r="B111" s="10" t="str">
        <f aca="false">IF(D111="","",D111&amp;", "&amp;E111&amp;", "&amp;IF(F111="Circular",G111&amp;" dia",G111&amp;" x "&amp;H111)&amp;", depth "&amp;TEXT(I111,"0.0")&amp;"-"&amp;TEXT(J111,"0.0")&amp;" m, pipe up to "&amp;K111&amp;" dia")</f>
        <v/>
      </c>
      <c r="C111" s="9"/>
      <c r="D111" s="9"/>
      <c r="E111" s="9"/>
      <c r="F111" s="9"/>
      <c r="G111" s="38"/>
      <c r="H111" s="38"/>
      <c r="I111" s="42"/>
      <c r="J111" s="42"/>
      <c r="K111" s="38"/>
      <c r="L111" s="38"/>
      <c r="M111" s="38"/>
      <c r="N111" s="38"/>
      <c r="O111" s="9"/>
      <c r="P111" s="9"/>
      <c r="Q111" s="9"/>
      <c r="R111" s="9"/>
      <c r="S111" s="9"/>
      <c r="T111" s="9"/>
      <c r="U111" s="9"/>
      <c r="V111" s="42"/>
      <c r="W111" s="9"/>
      <c r="X111" s="9"/>
      <c r="Y111" s="39"/>
      <c r="Z111" s="9"/>
      <c r="AA111" s="38"/>
      <c r="AB111" s="9"/>
      <c r="AC111" s="9"/>
      <c r="AD111" s="9"/>
      <c r="AE111" s="9"/>
      <c r="AF111" s="9"/>
      <c r="AG111" s="9"/>
      <c r="AH111" s="38"/>
      <c r="AI111" s="9"/>
      <c r="AJ111" s="39"/>
      <c r="AK111" s="9"/>
      <c r="AL111" s="9"/>
      <c r="AM111" s="9"/>
      <c r="AN111" s="9"/>
      <c r="AO111" s="9"/>
      <c r="AP111" s="9"/>
      <c r="AQ111" s="9"/>
      <c r="AR111" s="10" t="str">
        <f aca="false">IF(A111="","",SG_Criteria!$B$6&amp;SG_Criteria!$B$10&amp;"\"&amp;A111&amp;"\")</f>
        <v/>
      </c>
      <c r="AS111" s="10" t="str">
        <f aca="false">IF(A111="","",A111&amp;"_CAD.dwg")</f>
        <v/>
      </c>
      <c r="AT111" s="10" t="str">
        <f aca="false">IF(A111="","",A111&amp;"_DWG.pdf")</f>
        <v/>
      </c>
      <c r="AU111" s="10" t="str">
        <f aca="false">IF(A111="","",IF(AQ111="Y",A111&amp;"_STAAD.std","n/a"))</f>
        <v/>
      </c>
      <c r="AV111" s="10" t="str">
        <f aca="false">IF(A111="","",A111&amp;"_CALC.xlsx")</f>
        <v/>
      </c>
      <c r="AW111" s="10" t="str">
        <f aca="false">IF(A111="","",A111&amp;"_CALC.pdf")</f>
        <v/>
      </c>
      <c r="AX111" s="9"/>
      <c r="AY111" s="9"/>
      <c r="AZ111" s="39"/>
      <c r="BA111" s="39"/>
      <c r="BB111" s="39"/>
      <c r="BC111" s="39"/>
      <c r="BD111" s="39"/>
      <c r="BE111" s="12" t="str">
        <f aca="false">IF(A111="","",IF(COUNTIF(Rebar_Schedule!$A$5:$A$2004,A111)=0,"",ROUND(SUMIF(Rebar_Schedule!$A$5:$A$2004,A111,Rebar_Schedule!$K$5:$K$2004),1)))</f>
        <v/>
      </c>
      <c r="BF111" s="33" t="str">
        <f aca="false">IF(A111="","",IF(BE111="","No rebar schedule yet",IF(ABS(BE111-N(BA111))/MAX(N(BA111),1)&gt;SG_Criteria!$B$55,"NOTE: register rebar differs from schedule by "&amp;TEXT(ABS(BE111-N(BA111))/MAX(N(BA111),1),"0%"),"OK")))</f>
        <v/>
      </c>
      <c r="BG111" s="33" t="str">
        <f aca="false">IF(D111="","",IF(LEN(IF(AND(Z111&lt;&gt;"",IFERROR(VALUE(MID(Z111,2,2)),0)&lt;SG_Criteria!$B$19),"FAIL: grade below C"&amp;SG_Criteria!$B$19&amp;". ","")&amp;IF(AND(AA111&lt;&gt;"",AA111&lt;SG_Criteria!$B$20),"FAIL: cover &lt; "&amp;SG_Criteria!$B$20&amp;" mm. ","")&amp;IF(AND(I111&lt;&gt;"",I111&lt;SG_Criteria!$B$39),"NOTE: min depth below PUB "&amp;SG_Criteria!$B$39&amp;" m. ","")&amp;IF(AND(LEFT(D111,8)="Standard",J111&gt;SG_Criteria!$B$42),"FAIL: PUB 001C covers manholes up to "&amp;SG_Criteria!$B$42&amp;" m deep only. ","")&amp;IF(AND(LEFT(D111,11)="Rectangular",K111&lt;SG_Criteria!$B$43),"NOTE: 004C is for sewers &gt;= "&amp;SG_Criteria!$B$43&amp;" dia. ","")&amp;IF(AND(LEFT(D111,7)="Precast",J111&lt;=SG_Criteria!$B$42),"NOTE: 006C is for manholes &gt; "&amp;SG_Criteria!$B$42&amp;" m deep. ","")&amp;IF(AND(K111&lt;&gt;"",K111&lt;SG_Criteria!$B$40,D111&lt;&gt;"Inspection Chamber"),"NOTE: public sewer min dia "&amp;SG_Criteria!$B$40&amp;" mm. ","")&amp;IF(AND(Y111&lt;&gt;"",Y111&lt;SG_Criteria!$B$44),"FAIL: uplift FOS below "&amp;SG_Criteria!$B$44&amp;". ",""))=0,"OK",IF(AND(Z111&lt;&gt;"",IFERROR(VALUE(MID(Z111,2,2)),0)&lt;SG_Criteria!$B$19),"FAIL: grade below C"&amp;SG_Criteria!$B$19&amp;". ","")&amp;IF(AND(AA111&lt;&gt;"",AA111&lt;SG_Criteria!$B$20),"FAIL: cover &lt; "&amp;SG_Criteria!$B$20&amp;" mm. ","")&amp;IF(AND(I111&lt;&gt;"",I111&lt;SG_Criteria!$B$39),"NOTE: min depth below PUB "&amp;SG_Criteria!$B$39&amp;" m. ","")&amp;IF(AND(LEFT(D111,8)="Standard",J111&gt;SG_Criteria!$B$42),"FAIL: PUB 001C covers manholes up to "&amp;SG_Criteria!$B$42&amp;" m deep only. ","")&amp;IF(AND(LEFT(D111,11)="Rectangular",K111&lt;SG_Criteria!$B$43),"NOTE: 004C is for sewers &gt;= "&amp;SG_Criteria!$B$43&amp;" dia. ","")&amp;IF(AND(LEFT(D111,7)="Precast",J111&lt;=SG_Criteria!$B$42),"NOTE: 006C is for manholes &gt; "&amp;SG_Criteria!$B$42&amp;" m deep. ","")&amp;IF(AND(K111&lt;&gt;"",K111&lt;SG_Criteria!$B$40,D111&lt;&gt;"Inspection Chamber"),"NOTE: public sewer min dia "&amp;SG_Criteria!$B$40&amp;" mm. ","")&amp;IF(AND(Y111&lt;&gt;"",Y111&lt;SG_Criteria!$B$44),"FAIL: uplift FOS below "&amp;SG_Criteria!$B$44&amp;". ","")))</f>
        <v/>
      </c>
      <c r="BH111" s="9"/>
      <c r="BI111" s="9"/>
      <c r="BJ111" s="9"/>
      <c r="BK111" s="10" t="str">
        <f aca="false">IF(BJ111="","",IFERROR(VLOOKUP(BJ111,Projects!$A$5:$D$504,2,0),"Ref not in Projects"))</f>
        <v/>
      </c>
      <c r="BL111" s="10" t="str">
        <f aca="false">IF(BJ111="","",IFERROR(VLOOKUP(BJ111,Projects!$A$5:$D$504,4,0),"Ref not in Projects"))</f>
        <v/>
      </c>
      <c r="BM111" s="9"/>
      <c r="BN111" s="9"/>
      <c r="BO111" s="9"/>
      <c r="BP111" s="40"/>
      <c r="BQ111" s="9"/>
      <c r="BR111" s="40"/>
      <c r="BS111" s="9"/>
      <c r="BT111" s="40"/>
      <c r="BU111" s="9"/>
      <c r="BV111" s="9"/>
      <c r="BW111" s="9"/>
      <c r="BX111" s="40"/>
      <c r="BY111" s="40"/>
      <c r="BZ111" s="36" t="str">
        <f aca="false">IF(BY111="","",EDATE(BY111,SG_Criteria!$B$54*12))</f>
        <v/>
      </c>
      <c r="CA111" s="33" t="str">
        <f aca="true">IF(A111="","",IF(BY111="","NOTE: not reviewed yet",IF(TODAY()&gt;BZ111,"NOTE: review overdue","OK")))</f>
        <v/>
      </c>
      <c r="CB111" s="37" t="str">
        <f aca="false">IF(A111="","",ROUND((IF(LEN(D111)&gt;0,1,0)+IF(LEN(E111)&gt;0,1,0)+IF(LEN(F111)&gt;0,1,0)+IF(LEN(G111)&gt;0,1,0)+IF(LEN(I111)&gt;0,1,0)+IF(LEN(J111)&gt;0,1,0)+IF(LEN(K111)&gt;0,1,0)+IF(LEN(L111)&gt;0,1,0)+IF(LEN(M111)&gt;0,1,0)+IF(LEN(N111)&gt;0,1,0)+IF(LEN(Z111)&gt;0,1,0)+IF(LEN(AA111)&gt;0,1,0)+IF(LEN(Y111)&gt;0,1,0)+IF(LEN(AE111)&gt;0,1,0)+IF(LEN(AG111)&gt;0,1,0)+IF(LEN(AZ111)&gt;0,1,0)+IF(LEN(AK111)&gt;0,1,0)+IF(LEN(AM111)&gt;0,1,0)+IF(LEN(AN111)&gt;0,1,0)+IF(LEN(AO111)&gt;0,1,0)+IF(LEN(AP111)&gt;0,1,0)+IF(LEN(AY111)&gt;0,1,0)+IF(LEN(BJ111)&gt;0,1,0)+IF(LEN(BW111)&gt;0,1,0))/24,2))</f>
        <v/>
      </c>
      <c r="CC111" s="10" t="str">
        <f aca="false">IF(D111="","",IF(AND(AN111="Approved",ISERROR(SEARCH("FAIL",BG111))),"Y","N"))</f>
        <v/>
      </c>
      <c r="CD111" s="10" t="str">
        <f aca="false">IF(D111="","",D111&amp;"|"&amp;J111&amp;"|"&amp;G111&amp;"|"&amp;CC111)</f>
        <v/>
      </c>
    </row>
    <row r="112" customFormat="false" ht="15" hidden="false" customHeight="false" outlineLevel="0" collapsed="false">
      <c r="A112" s="10" t="str">
        <f aca="false">IF(D112="","","MH-"&amp;IFERROR(VLOOKUP(D112,Lists!$AB$4:$AC$20,2,0),"??")&amp;"-"&amp;TEXT(G112,"0000")&amp;IF(F112="Circular","D","x"&amp;TEXT(H112,"0000"))&amp;"-D"&amp;TEXT(J112*1000,"0000")&amp;"-"&amp;IFERROR(VLOOKUP(E112,Lists!$AE$4:$AF$16,2,0),"??")&amp;"-"&amp;AM112)</f>
        <v/>
      </c>
      <c r="B112" s="10" t="str">
        <f aca="false">IF(D112="","",D112&amp;", "&amp;E112&amp;", "&amp;IF(F112="Circular",G112&amp;" dia",G112&amp;" x "&amp;H112)&amp;", depth "&amp;TEXT(I112,"0.0")&amp;"-"&amp;TEXT(J112,"0.0")&amp;" m, pipe up to "&amp;K112&amp;" dia")</f>
        <v/>
      </c>
      <c r="C112" s="9"/>
      <c r="D112" s="9"/>
      <c r="E112" s="9"/>
      <c r="F112" s="9"/>
      <c r="G112" s="38"/>
      <c r="H112" s="38"/>
      <c r="I112" s="42"/>
      <c r="J112" s="42"/>
      <c r="K112" s="38"/>
      <c r="L112" s="38"/>
      <c r="M112" s="38"/>
      <c r="N112" s="38"/>
      <c r="O112" s="9"/>
      <c r="P112" s="9"/>
      <c r="Q112" s="9"/>
      <c r="R112" s="9"/>
      <c r="S112" s="9"/>
      <c r="T112" s="9"/>
      <c r="U112" s="9"/>
      <c r="V112" s="42"/>
      <c r="W112" s="9"/>
      <c r="X112" s="9"/>
      <c r="Y112" s="39"/>
      <c r="Z112" s="9"/>
      <c r="AA112" s="38"/>
      <c r="AB112" s="9"/>
      <c r="AC112" s="9"/>
      <c r="AD112" s="9"/>
      <c r="AE112" s="9"/>
      <c r="AF112" s="9"/>
      <c r="AG112" s="9"/>
      <c r="AH112" s="38"/>
      <c r="AI112" s="9"/>
      <c r="AJ112" s="39"/>
      <c r="AK112" s="9"/>
      <c r="AL112" s="9"/>
      <c r="AM112" s="9"/>
      <c r="AN112" s="9"/>
      <c r="AO112" s="9"/>
      <c r="AP112" s="9"/>
      <c r="AQ112" s="9"/>
      <c r="AR112" s="10" t="str">
        <f aca="false">IF(A112="","",SG_Criteria!$B$6&amp;SG_Criteria!$B$10&amp;"\"&amp;A112&amp;"\")</f>
        <v/>
      </c>
      <c r="AS112" s="10" t="str">
        <f aca="false">IF(A112="","",A112&amp;"_CAD.dwg")</f>
        <v/>
      </c>
      <c r="AT112" s="10" t="str">
        <f aca="false">IF(A112="","",A112&amp;"_DWG.pdf")</f>
        <v/>
      </c>
      <c r="AU112" s="10" t="str">
        <f aca="false">IF(A112="","",IF(AQ112="Y",A112&amp;"_STAAD.std","n/a"))</f>
        <v/>
      </c>
      <c r="AV112" s="10" t="str">
        <f aca="false">IF(A112="","",A112&amp;"_CALC.xlsx")</f>
        <v/>
      </c>
      <c r="AW112" s="10" t="str">
        <f aca="false">IF(A112="","",A112&amp;"_CALC.pdf")</f>
        <v/>
      </c>
      <c r="AX112" s="9"/>
      <c r="AY112" s="9"/>
      <c r="AZ112" s="39"/>
      <c r="BA112" s="39"/>
      <c r="BB112" s="39"/>
      <c r="BC112" s="39"/>
      <c r="BD112" s="39"/>
      <c r="BE112" s="12" t="str">
        <f aca="false">IF(A112="","",IF(COUNTIF(Rebar_Schedule!$A$5:$A$2004,A112)=0,"",ROUND(SUMIF(Rebar_Schedule!$A$5:$A$2004,A112,Rebar_Schedule!$K$5:$K$2004),1)))</f>
        <v/>
      </c>
      <c r="BF112" s="33" t="str">
        <f aca="false">IF(A112="","",IF(BE112="","No rebar schedule yet",IF(ABS(BE112-N(BA112))/MAX(N(BA112),1)&gt;SG_Criteria!$B$55,"NOTE: register rebar differs from schedule by "&amp;TEXT(ABS(BE112-N(BA112))/MAX(N(BA112),1),"0%"),"OK")))</f>
        <v/>
      </c>
      <c r="BG112" s="33" t="str">
        <f aca="false">IF(D112="","",IF(LEN(IF(AND(Z112&lt;&gt;"",IFERROR(VALUE(MID(Z112,2,2)),0)&lt;SG_Criteria!$B$19),"FAIL: grade below C"&amp;SG_Criteria!$B$19&amp;". ","")&amp;IF(AND(AA112&lt;&gt;"",AA112&lt;SG_Criteria!$B$20),"FAIL: cover &lt; "&amp;SG_Criteria!$B$20&amp;" mm. ","")&amp;IF(AND(I112&lt;&gt;"",I112&lt;SG_Criteria!$B$39),"NOTE: min depth below PUB "&amp;SG_Criteria!$B$39&amp;" m. ","")&amp;IF(AND(LEFT(D112,8)="Standard",J112&gt;SG_Criteria!$B$42),"FAIL: PUB 001C covers manholes up to "&amp;SG_Criteria!$B$42&amp;" m deep only. ","")&amp;IF(AND(LEFT(D112,11)="Rectangular",K112&lt;SG_Criteria!$B$43),"NOTE: 004C is for sewers &gt;= "&amp;SG_Criteria!$B$43&amp;" dia. ","")&amp;IF(AND(LEFT(D112,7)="Precast",J112&lt;=SG_Criteria!$B$42),"NOTE: 006C is for manholes &gt; "&amp;SG_Criteria!$B$42&amp;" m deep. ","")&amp;IF(AND(K112&lt;&gt;"",K112&lt;SG_Criteria!$B$40,D112&lt;&gt;"Inspection Chamber"),"NOTE: public sewer min dia "&amp;SG_Criteria!$B$40&amp;" mm. ","")&amp;IF(AND(Y112&lt;&gt;"",Y112&lt;SG_Criteria!$B$44),"FAIL: uplift FOS below "&amp;SG_Criteria!$B$44&amp;". ",""))=0,"OK",IF(AND(Z112&lt;&gt;"",IFERROR(VALUE(MID(Z112,2,2)),0)&lt;SG_Criteria!$B$19),"FAIL: grade below C"&amp;SG_Criteria!$B$19&amp;". ","")&amp;IF(AND(AA112&lt;&gt;"",AA112&lt;SG_Criteria!$B$20),"FAIL: cover &lt; "&amp;SG_Criteria!$B$20&amp;" mm. ","")&amp;IF(AND(I112&lt;&gt;"",I112&lt;SG_Criteria!$B$39),"NOTE: min depth below PUB "&amp;SG_Criteria!$B$39&amp;" m. ","")&amp;IF(AND(LEFT(D112,8)="Standard",J112&gt;SG_Criteria!$B$42),"FAIL: PUB 001C covers manholes up to "&amp;SG_Criteria!$B$42&amp;" m deep only. ","")&amp;IF(AND(LEFT(D112,11)="Rectangular",K112&lt;SG_Criteria!$B$43),"NOTE: 004C is for sewers &gt;= "&amp;SG_Criteria!$B$43&amp;" dia. ","")&amp;IF(AND(LEFT(D112,7)="Precast",J112&lt;=SG_Criteria!$B$42),"NOTE: 006C is for manholes &gt; "&amp;SG_Criteria!$B$42&amp;" m deep. ","")&amp;IF(AND(K112&lt;&gt;"",K112&lt;SG_Criteria!$B$40,D112&lt;&gt;"Inspection Chamber"),"NOTE: public sewer min dia "&amp;SG_Criteria!$B$40&amp;" mm. ","")&amp;IF(AND(Y112&lt;&gt;"",Y112&lt;SG_Criteria!$B$44),"FAIL: uplift FOS below "&amp;SG_Criteria!$B$44&amp;". ","")))</f>
        <v/>
      </c>
      <c r="BH112" s="9"/>
      <c r="BI112" s="9"/>
      <c r="BJ112" s="9"/>
      <c r="BK112" s="10" t="str">
        <f aca="false">IF(BJ112="","",IFERROR(VLOOKUP(BJ112,Projects!$A$5:$D$504,2,0),"Ref not in Projects"))</f>
        <v/>
      </c>
      <c r="BL112" s="10" t="str">
        <f aca="false">IF(BJ112="","",IFERROR(VLOOKUP(BJ112,Projects!$A$5:$D$504,4,0),"Ref not in Projects"))</f>
        <v/>
      </c>
      <c r="BM112" s="9"/>
      <c r="BN112" s="9"/>
      <c r="BO112" s="9"/>
      <c r="BP112" s="40"/>
      <c r="BQ112" s="9"/>
      <c r="BR112" s="40"/>
      <c r="BS112" s="9"/>
      <c r="BT112" s="40"/>
      <c r="BU112" s="9"/>
      <c r="BV112" s="9"/>
      <c r="BW112" s="9"/>
      <c r="BX112" s="40"/>
      <c r="BY112" s="40"/>
      <c r="BZ112" s="36" t="str">
        <f aca="false">IF(BY112="","",EDATE(BY112,SG_Criteria!$B$54*12))</f>
        <v/>
      </c>
      <c r="CA112" s="33" t="str">
        <f aca="true">IF(A112="","",IF(BY112="","NOTE: not reviewed yet",IF(TODAY()&gt;BZ112,"NOTE: review overdue","OK")))</f>
        <v/>
      </c>
      <c r="CB112" s="37" t="str">
        <f aca="false">IF(A112="","",ROUND((IF(LEN(D112)&gt;0,1,0)+IF(LEN(E112)&gt;0,1,0)+IF(LEN(F112)&gt;0,1,0)+IF(LEN(G112)&gt;0,1,0)+IF(LEN(I112)&gt;0,1,0)+IF(LEN(J112)&gt;0,1,0)+IF(LEN(K112)&gt;0,1,0)+IF(LEN(L112)&gt;0,1,0)+IF(LEN(M112)&gt;0,1,0)+IF(LEN(N112)&gt;0,1,0)+IF(LEN(Z112)&gt;0,1,0)+IF(LEN(AA112)&gt;0,1,0)+IF(LEN(Y112)&gt;0,1,0)+IF(LEN(AE112)&gt;0,1,0)+IF(LEN(AG112)&gt;0,1,0)+IF(LEN(AZ112)&gt;0,1,0)+IF(LEN(AK112)&gt;0,1,0)+IF(LEN(AM112)&gt;0,1,0)+IF(LEN(AN112)&gt;0,1,0)+IF(LEN(AO112)&gt;0,1,0)+IF(LEN(AP112)&gt;0,1,0)+IF(LEN(AY112)&gt;0,1,0)+IF(LEN(BJ112)&gt;0,1,0)+IF(LEN(BW112)&gt;0,1,0))/24,2))</f>
        <v/>
      </c>
      <c r="CC112" s="10" t="str">
        <f aca="false">IF(D112="","",IF(AND(AN112="Approved",ISERROR(SEARCH("FAIL",BG112))),"Y","N"))</f>
        <v/>
      </c>
      <c r="CD112" s="10" t="str">
        <f aca="false">IF(D112="","",D112&amp;"|"&amp;J112&amp;"|"&amp;G112&amp;"|"&amp;CC112)</f>
        <v/>
      </c>
    </row>
    <row r="113" customFormat="false" ht="15" hidden="false" customHeight="false" outlineLevel="0" collapsed="false">
      <c r="A113" s="10" t="str">
        <f aca="false">IF(D113="","","MH-"&amp;IFERROR(VLOOKUP(D113,Lists!$AB$4:$AC$20,2,0),"??")&amp;"-"&amp;TEXT(G113,"0000")&amp;IF(F113="Circular","D","x"&amp;TEXT(H113,"0000"))&amp;"-D"&amp;TEXT(J113*1000,"0000")&amp;"-"&amp;IFERROR(VLOOKUP(E113,Lists!$AE$4:$AF$16,2,0),"??")&amp;"-"&amp;AM113)</f>
        <v/>
      </c>
      <c r="B113" s="10" t="str">
        <f aca="false">IF(D113="","",D113&amp;", "&amp;E113&amp;", "&amp;IF(F113="Circular",G113&amp;" dia",G113&amp;" x "&amp;H113)&amp;", depth "&amp;TEXT(I113,"0.0")&amp;"-"&amp;TEXT(J113,"0.0")&amp;" m, pipe up to "&amp;K113&amp;" dia")</f>
        <v/>
      </c>
      <c r="C113" s="9"/>
      <c r="D113" s="9"/>
      <c r="E113" s="9"/>
      <c r="F113" s="9"/>
      <c r="G113" s="38"/>
      <c r="H113" s="38"/>
      <c r="I113" s="42"/>
      <c r="J113" s="42"/>
      <c r="K113" s="38"/>
      <c r="L113" s="38"/>
      <c r="M113" s="38"/>
      <c r="N113" s="38"/>
      <c r="O113" s="9"/>
      <c r="P113" s="9"/>
      <c r="Q113" s="9"/>
      <c r="R113" s="9"/>
      <c r="S113" s="9"/>
      <c r="T113" s="9"/>
      <c r="U113" s="9"/>
      <c r="V113" s="42"/>
      <c r="W113" s="9"/>
      <c r="X113" s="9"/>
      <c r="Y113" s="39"/>
      <c r="Z113" s="9"/>
      <c r="AA113" s="38"/>
      <c r="AB113" s="9"/>
      <c r="AC113" s="9"/>
      <c r="AD113" s="9"/>
      <c r="AE113" s="9"/>
      <c r="AF113" s="9"/>
      <c r="AG113" s="9"/>
      <c r="AH113" s="38"/>
      <c r="AI113" s="9"/>
      <c r="AJ113" s="39"/>
      <c r="AK113" s="9"/>
      <c r="AL113" s="9"/>
      <c r="AM113" s="9"/>
      <c r="AN113" s="9"/>
      <c r="AO113" s="9"/>
      <c r="AP113" s="9"/>
      <c r="AQ113" s="9"/>
      <c r="AR113" s="10" t="str">
        <f aca="false">IF(A113="","",SG_Criteria!$B$6&amp;SG_Criteria!$B$10&amp;"\"&amp;A113&amp;"\")</f>
        <v/>
      </c>
      <c r="AS113" s="10" t="str">
        <f aca="false">IF(A113="","",A113&amp;"_CAD.dwg")</f>
        <v/>
      </c>
      <c r="AT113" s="10" t="str">
        <f aca="false">IF(A113="","",A113&amp;"_DWG.pdf")</f>
        <v/>
      </c>
      <c r="AU113" s="10" t="str">
        <f aca="false">IF(A113="","",IF(AQ113="Y",A113&amp;"_STAAD.std","n/a"))</f>
        <v/>
      </c>
      <c r="AV113" s="10" t="str">
        <f aca="false">IF(A113="","",A113&amp;"_CALC.xlsx")</f>
        <v/>
      </c>
      <c r="AW113" s="10" t="str">
        <f aca="false">IF(A113="","",A113&amp;"_CALC.pdf")</f>
        <v/>
      </c>
      <c r="AX113" s="9"/>
      <c r="AY113" s="9"/>
      <c r="AZ113" s="39"/>
      <c r="BA113" s="39"/>
      <c r="BB113" s="39"/>
      <c r="BC113" s="39"/>
      <c r="BD113" s="39"/>
      <c r="BE113" s="12" t="str">
        <f aca="false">IF(A113="","",IF(COUNTIF(Rebar_Schedule!$A$5:$A$2004,A113)=0,"",ROUND(SUMIF(Rebar_Schedule!$A$5:$A$2004,A113,Rebar_Schedule!$K$5:$K$2004),1)))</f>
        <v/>
      </c>
      <c r="BF113" s="33" t="str">
        <f aca="false">IF(A113="","",IF(BE113="","No rebar schedule yet",IF(ABS(BE113-N(BA113))/MAX(N(BA113),1)&gt;SG_Criteria!$B$55,"NOTE: register rebar differs from schedule by "&amp;TEXT(ABS(BE113-N(BA113))/MAX(N(BA113),1),"0%"),"OK")))</f>
        <v/>
      </c>
      <c r="BG113" s="33" t="str">
        <f aca="false">IF(D113="","",IF(LEN(IF(AND(Z113&lt;&gt;"",IFERROR(VALUE(MID(Z113,2,2)),0)&lt;SG_Criteria!$B$19),"FAIL: grade below C"&amp;SG_Criteria!$B$19&amp;". ","")&amp;IF(AND(AA113&lt;&gt;"",AA113&lt;SG_Criteria!$B$20),"FAIL: cover &lt; "&amp;SG_Criteria!$B$20&amp;" mm. ","")&amp;IF(AND(I113&lt;&gt;"",I113&lt;SG_Criteria!$B$39),"NOTE: min depth below PUB "&amp;SG_Criteria!$B$39&amp;" m. ","")&amp;IF(AND(LEFT(D113,8)="Standard",J113&gt;SG_Criteria!$B$42),"FAIL: PUB 001C covers manholes up to "&amp;SG_Criteria!$B$42&amp;" m deep only. ","")&amp;IF(AND(LEFT(D113,11)="Rectangular",K113&lt;SG_Criteria!$B$43),"NOTE: 004C is for sewers &gt;= "&amp;SG_Criteria!$B$43&amp;" dia. ","")&amp;IF(AND(LEFT(D113,7)="Precast",J113&lt;=SG_Criteria!$B$42),"NOTE: 006C is for manholes &gt; "&amp;SG_Criteria!$B$42&amp;" m deep. ","")&amp;IF(AND(K113&lt;&gt;"",K113&lt;SG_Criteria!$B$40,D113&lt;&gt;"Inspection Chamber"),"NOTE: public sewer min dia "&amp;SG_Criteria!$B$40&amp;" mm. ","")&amp;IF(AND(Y113&lt;&gt;"",Y113&lt;SG_Criteria!$B$44),"FAIL: uplift FOS below "&amp;SG_Criteria!$B$44&amp;". ",""))=0,"OK",IF(AND(Z113&lt;&gt;"",IFERROR(VALUE(MID(Z113,2,2)),0)&lt;SG_Criteria!$B$19),"FAIL: grade below C"&amp;SG_Criteria!$B$19&amp;". ","")&amp;IF(AND(AA113&lt;&gt;"",AA113&lt;SG_Criteria!$B$20),"FAIL: cover &lt; "&amp;SG_Criteria!$B$20&amp;" mm. ","")&amp;IF(AND(I113&lt;&gt;"",I113&lt;SG_Criteria!$B$39),"NOTE: min depth below PUB "&amp;SG_Criteria!$B$39&amp;" m. ","")&amp;IF(AND(LEFT(D113,8)="Standard",J113&gt;SG_Criteria!$B$42),"FAIL: PUB 001C covers manholes up to "&amp;SG_Criteria!$B$42&amp;" m deep only. ","")&amp;IF(AND(LEFT(D113,11)="Rectangular",K113&lt;SG_Criteria!$B$43),"NOTE: 004C is for sewers &gt;= "&amp;SG_Criteria!$B$43&amp;" dia. ","")&amp;IF(AND(LEFT(D113,7)="Precast",J113&lt;=SG_Criteria!$B$42),"NOTE: 006C is for manholes &gt; "&amp;SG_Criteria!$B$42&amp;" m deep. ","")&amp;IF(AND(K113&lt;&gt;"",K113&lt;SG_Criteria!$B$40,D113&lt;&gt;"Inspection Chamber"),"NOTE: public sewer min dia "&amp;SG_Criteria!$B$40&amp;" mm. ","")&amp;IF(AND(Y113&lt;&gt;"",Y113&lt;SG_Criteria!$B$44),"FAIL: uplift FOS below "&amp;SG_Criteria!$B$44&amp;". ","")))</f>
        <v/>
      </c>
      <c r="BH113" s="9"/>
      <c r="BI113" s="9"/>
      <c r="BJ113" s="9"/>
      <c r="BK113" s="10" t="str">
        <f aca="false">IF(BJ113="","",IFERROR(VLOOKUP(BJ113,Projects!$A$5:$D$504,2,0),"Ref not in Projects"))</f>
        <v/>
      </c>
      <c r="BL113" s="10" t="str">
        <f aca="false">IF(BJ113="","",IFERROR(VLOOKUP(BJ113,Projects!$A$5:$D$504,4,0),"Ref not in Projects"))</f>
        <v/>
      </c>
      <c r="BM113" s="9"/>
      <c r="BN113" s="9"/>
      <c r="BO113" s="9"/>
      <c r="BP113" s="40"/>
      <c r="BQ113" s="9"/>
      <c r="BR113" s="40"/>
      <c r="BS113" s="9"/>
      <c r="BT113" s="40"/>
      <c r="BU113" s="9"/>
      <c r="BV113" s="9"/>
      <c r="BW113" s="9"/>
      <c r="BX113" s="40"/>
      <c r="BY113" s="40"/>
      <c r="BZ113" s="36" t="str">
        <f aca="false">IF(BY113="","",EDATE(BY113,SG_Criteria!$B$54*12))</f>
        <v/>
      </c>
      <c r="CA113" s="33" t="str">
        <f aca="true">IF(A113="","",IF(BY113="","NOTE: not reviewed yet",IF(TODAY()&gt;BZ113,"NOTE: review overdue","OK")))</f>
        <v/>
      </c>
      <c r="CB113" s="37" t="str">
        <f aca="false">IF(A113="","",ROUND((IF(LEN(D113)&gt;0,1,0)+IF(LEN(E113)&gt;0,1,0)+IF(LEN(F113)&gt;0,1,0)+IF(LEN(G113)&gt;0,1,0)+IF(LEN(I113)&gt;0,1,0)+IF(LEN(J113)&gt;0,1,0)+IF(LEN(K113)&gt;0,1,0)+IF(LEN(L113)&gt;0,1,0)+IF(LEN(M113)&gt;0,1,0)+IF(LEN(N113)&gt;0,1,0)+IF(LEN(Z113)&gt;0,1,0)+IF(LEN(AA113)&gt;0,1,0)+IF(LEN(Y113)&gt;0,1,0)+IF(LEN(AE113)&gt;0,1,0)+IF(LEN(AG113)&gt;0,1,0)+IF(LEN(AZ113)&gt;0,1,0)+IF(LEN(AK113)&gt;0,1,0)+IF(LEN(AM113)&gt;0,1,0)+IF(LEN(AN113)&gt;0,1,0)+IF(LEN(AO113)&gt;0,1,0)+IF(LEN(AP113)&gt;0,1,0)+IF(LEN(AY113)&gt;0,1,0)+IF(LEN(BJ113)&gt;0,1,0)+IF(LEN(BW113)&gt;0,1,0))/24,2))</f>
        <v/>
      </c>
      <c r="CC113" s="10" t="str">
        <f aca="false">IF(D113="","",IF(AND(AN113="Approved",ISERROR(SEARCH("FAIL",BG113))),"Y","N"))</f>
        <v/>
      </c>
      <c r="CD113" s="10" t="str">
        <f aca="false">IF(D113="","",D113&amp;"|"&amp;J113&amp;"|"&amp;G113&amp;"|"&amp;CC113)</f>
        <v/>
      </c>
    </row>
    <row r="114" customFormat="false" ht="15" hidden="false" customHeight="false" outlineLevel="0" collapsed="false">
      <c r="A114" s="10" t="str">
        <f aca="false">IF(D114="","","MH-"&amp;IFERROR(VLOOKUP(D114,Lists!$AB$4:$AC$20,2,0),"??")&amp;"-"&amp;TEXT(G114,"0000")&amp;IF(F114="Circular","D","x"&amp;TEXT(H114,"0000"))&amp;"-D"&amp;TEXT(J114*1000,"0000")&amp;"-"&amp;IFERROR(VLOOKUP(E114,Lists!$AE$4:$AF$16,2,0),"??")&amp;"-"&amp;AM114)</f>
        <v/>
      </c>
      <c r="B114" s="10" t="str">
        <f aca="false">IF(D114="","",D114&amp;", "&amp;E114&amp;", "&amp;IF(F114="Circular",G114&amp;" dia",G114&amp;" x "&amp;H114)&amp;", depth "&amp;TEXT(I114,"0.0")&amp;"-"&amp;TEXT(J114,"0.0")&amp;" m, pipe up to "&amp;K114&amp;" dia")</f>
        <v/>
      </c>
      <c r="C114" s="9"/>
      <c r="D114" s="9"/>
      <c r="E114" s="9"/>
      <c r="F114" s="9"/>
      <c r="G114" s="38"/>
      <c r="H114" s="38"/>
      <c r="I114" s="42"/>
      <c r="J114" s="42"/>
      <c r="K114" s="38"/>
      <c r="L114" s="38"/>
      <c r="M114" s="38"/>
      <c r="N114" s="38"/>
      <c r="O114" s="9"/>
      <c r="P114" s="9"/>
      <c r="Q114" s="9"/>
      <c r="R114" s="9"/>
      <c r="S114" s="9"/>
      <c r="T114" s="9"/>
      <c r="U114" s="9"/>
      <c r="V114" s="42"/>
      <c r="W114" s="9"/>
      <c r="X114" s="9"/>
      <c r="Y114" s="39"/>
      <c r="Z114" s="9"/>
      <c r="AA114" s="38"/>
      <c r="AB114" s="9"/>
      <c r="AC114" s="9"/>
      <c r="AD114" s="9"/>
      <c r="AE114" s="9"/>
      <c r="AF114" s="9"/>
      <c r="AG114" s="9"/>
      <c r="AH114" s="38"/>
      <c r="AI114" s="9"/>
      <c r="AJ114" s="39"/>
      <c r="AK114" s="9"/>
      <c r="AL114" s="9"/>
      <c r="AM114" s="9"/>
      <c r="AN114" s="9"/>
      <c r="AO114" s="9"/>
      <c r="AP114" s="9"/>
      <c r="AQ114" s="9"/>
      <c r="AR114" s="10" t="str">
        <f aca="false">IF(A114="","",SG_Criteria!$B$6&amp;SG_Criteria!$B$10&amp;"\"&amp;A114&amp;"\")</f>
        <v/>
      </c>
      <c r="AS114" s="10" t="str">
        <f aca="false">IF(A114="","",A114&amp;"_CAD.dwg")</f>
        <v/>
      </c>
      <c r="AT114" s="10" t="str">
        <f aca="false">IF(A114="","",A114&amp;"_DWG.pdf")</f>
        <v/>
      </c>
      <c r="AU114" s="10" t="str">
        <f aca="false">IF(A114="","",IF(AQ114="Y",A114&amp;"_STAAD.std","n/a"))</f>
        <v/>
      </c>
      <c r="AV114" s="10" t="str">
        <f aca="false">IF(A114="","",A114&amp;"_CALC.xlsx")</f>
        <v/>
      </c>
      <c r="AW114" s="10" t="str">
        <f aca="false">IF(A114="","",A114&amp;"_CALC.pdf")</f>
        <v/>
      </c>
      <c r="AX114" s="9"/>
      <c r="AY114" s="9"/>
      <c r="AZ114" s="39"/>
      <c r="BA114" s="39"/>
      <c r="BB114" s="39"/>
      <c r="BC114" s="39"/>
      <c r="BD114" s="39"/>
      <c r="BE114" s="12" t="str">
        <f aca="false">IF(A114="","",IF(COUNTIF(Rebar_Schedule!$A$5:$A$2004,A114)=0,"",ROUND(SUMIF(Rebar_Schedule!$A$5:$A$2004,A114,Rebar_Schedule!$K$5:$K$2004),1)))</f>
        <v/>
      </c>
      <c r="BF114" s="33" t="str">
        <f aca="false">IF(A114="","",IF(BE114="","No rebar schedule yet",IF(ABS(BE114-N(BA114))/MAX(N(BA114),1)&gt;SG_Criteria!$B$55,"NOTE: register rebar differs from schedule by "&amp;TEXT(ABS(BE114-N(BA114))/MAX(N(BA114),1),"0%"),"OK")))</f>
        <v/>
      </c>
      <c r="BG114" s="33" t="str">
        <f aca="false">IF(D114="","",IF(LEN(IF(AND(Z114&lt;&gt;"",IFERROR(VALUE(MID(Z114,2,2)),0)&lt;SG_Criteria!$B$19),"FAIL: grade below C"&amp;SG_Criteria!$B$19&amp;". ","")&amp;IF(AND(AA114&lt;&gt;"",AA114&lt;SG_Criteria!$B$20),"FAIL: cover &lt; "&amp;SG_Criteria!$B$20&amp;" mm. ","")&amp;IF(AND(I114&lt;&gt;"",I114&lt;SG_Criteria!$B$39),"NOTE: min depth below PUB "&amp;SG_Criteria!$B$39&amp;" m. ","")&amp;IF(AND(LEFT(D114,8)="Standard",J114&gt;SG_Criteria!$B$42),"FAIL: PUB 001C covers manholes up to "&amp;SG_Criteria!$B$42&amp;" m deep only. ","")&amp;IF(AND(LEFT(D114,11)="Rectangular",K114&lt;SG_Criteria!$B$43),"NOTE: 004C is for sewers &gt;= "&amp;SG_Criteria!$B$43&amp;" dia. ","")&amp;IF(AND(LEFT(D114,7)="Precast",J114&lt;=SG_Criteria!$B$42),"NOTE: 006C is for manholes &gt; "&amp;SG_Criteria!$B$42&amp;" m deep. ","")&amp;IF(AND(K114&lt;&gt;"",K114&lt;SG_Criteria!$B$40,D114&lt;&gt;"Inspection Chamber"),"NOTE: public sewer min dia "&amp;SG_Criteria!$B$40&amp;" mm. ","")&amp;IF(AND(Y114&lt;&gt;"",Y114&lt;SG_Criteria!$B$44),"FAIL: uplift FOS below "&amp;SG_Criteria!$B$44&amp;". ",""))=0,"OK",IF(AND(Z114&lt;&gt;"",IFERROR(VALUE(MID(Z114,2,2)),0)&lt;SG_Criteria!$B$19),"FAIL: grade below C"&amp;SG_Criteria!$B$19&amp;". ","")&amp;IF(AND(AA114&lt;&gt;"",AA114&lt;SG_Criteria!$B$20),"FAIL: cover &lt; "&amp;SG_Criteria!$B$20&amp;" mm. ","")&amp;IF(AND(I114&lt;&gt;"",I114&lt;SG_Criteria!$B$39),"NOTE: min depth below PUB "&amp;SG_Criteria!$B$39&amp;" m. ","")&amp;IF(AND(LEFT(D114,8)="Standard",J114&gt;SG_Criteria!$B$42),"FAIL: PUB 001C covers manholes up to "&amp;SG_Criteria!$B$42&amp;" m deep only. ","")&amp;IF(AND(LEFT(D114,11)="Rectangular",K114&lt;SG_Criteria!$B$43),"NOTE: 004C is for sewers &gt;= "&amp;SG_Criteria!$B$43&amp;" dia. ","")&amp;IF(AND(LEFT(D114,7)="Precast",J114&lt;=SG_Criteria!$B$42),"NOTE: 006C is for manholes &gt; "&amp;SG_Criteria!$B$42&amp;" m deep. ","")&amp;IF(AND(K114&lt;&gt;"",K114&lt;SG_Criteria!$B$40,D114&lt;&gt;"Inspection Chamber"),"NOTE: public sewer min dia "&amp;SG_Criteria!$B$40&amp;" mm. ","")&amp;IF(AND(Y114&lt;&gt;"",Y114&lt;SG_Criteria!$B$44),"FAIL: uplift FOS below "&amp;SG_Criteria!$B$44&amp;". ","")))</f>
        <v/>
      </c>
      <c r="BH114" s="9"/>
      <c r="BI114" s="9"/>
      <c r="BJ114" s="9"/>
      <c r="BK114" s="10" t="str">
        <f aca="false">IF(BJ114="","",IFERROR(VLOOKUP(BJ114,Projects!$A$5:$D$504,2,0),"Ref not in Projects"))</f>
        <v/>
      </c>
      <c r="BL114" s="10" t="str">
        <f aca="false">IF(BJ114="","",IFERROR(VLOOKUP(BJ114,Projects!$A$5:$D$504,4,0),"Ref not in Projects"))</f>
        <v/>
      </c>
      <c r="BM114" s="9"/>
      <c r="BN114" s="9"/>
      <c r="BO114" s="9"/>
      <c r="BP114" s="40"/>
      <c r="BQ114" s="9"/>
      <c r="BR114" s="40"/>
      <c r="BS114" s="9"/>
      <c r="BT114" s="40"/>
      <c r="BU114" s="9"/>
      <c r="BV114" s="9"/>
      <c r="BW114" s="9"/>
      <c r="BX114" s="40"/>
      <c r="BY114" s="40"/>
      <c r="BZ114" s="36" t="str">
        <f aca="false">IF(BY114="","",EDATE(BY114,SG_Criteria!$B$54*12))</f>
        <v/>
      </c>
      <c r="CA114" s="33" t="str">
        <f aca="true">IF(A114="","",IF(BY114="","NOTE: not reviewed yet",IF(TODAY()&gt;BZ114,"NOTE: review overdue","OK")))</f>
        <v/>
      </c>
      <c r="CB114" s="37" t="str">
        <f aca="false">IF(A114="","",ROUND((IF(LEN(D114)&gt;0,1,0)+IF(LEN(E114)&gt;0,1,0)+IF(LEN(F114)&gt;0,1,0)+IF(LEN(G114)&gt;0,1,0)+IF(LEN(I114)&gt;0,1,0)+IF(LEN(J114)&gt;0,1,0)+IF(LEN(K114)&gt;0,1,0)+IF(LEN(L114)&gt;0,1,0)+IF(LEN(M114)&gt;0,1,0)+IF(LEN(N114)&gt;0,1,0)+IF(LEN(Z114)&gt;0,1,0)+IF(LEN(AA114)&gt;0,1,0)+IF(LEN(Y114)&gt;0,1,0)+IF(LEN(AE114)&gt;0,1,0)+IF(LEN(AG114)&gt;0,1,0)+IF(LEN(AZ114)&gt;0,1,0)+IF(LEN(AK114)&gt;0,1,0)+IF(LEN(AM114)&gt;0,1,0)+IF(LEN(AN114)&gt;0,1,0)+IF(LEN(AO114)&gt;0,1,0)+IF(LEN(AP114)&gt;0,1,0)+IF(LEN(AY114)&gt;0,1,0)+IF(LEN(BJ114)&gt;0,1,0)+IF(LEN(BW114)&gt;0,1,0))/24,2))</f>
        <v/>
      </c>
      <c r="CC114" s="10" t="str">
        <f aca="false">IF(D114="","",IF(AND(AN114="Approved",ISERROR(SEARCH("FAIL",BG114))),"Y","N"))</f>
        <v/>
      </c>
      <c r="CD114" s="10" t="str">
        <f aca="false">IF(D114="","",D114&amp;"|"&amp;J114&amp;"|"&amp;G114&amp;"|"&amp;CC114)</f>
        <v/>
      </c>
    </row>
    <row r="115" customFormat="false" ht="15" hidden="false" customHeight="false" outlineLevel="0" collapsed="false">
      <c r="A115" s="10" t="str">
        <f aca="false">IF(D115="","","MH-"&amp;IFERROR(VLOOKUP(D115,Lists!$AB$4:$AC$20,2,0),"??")&amp;"-"&amp;TEXT(G115,"0000")&amp;IF(F115="Circular","D","x"&amp;TEXT(H115,"0000"))&amp;"-D"&amp;TEXT(J115*1000,"0000")&amp;"-"&amp;IFERROR(VLOOKUP(E115,Lists!$AE$4:$AF$16,2,0),"??")&amp;"-"&amp;AM115)</f>
        <v/>
      </c>
      <c r="B115" s="10" t="str">
        <f aca="false">IF(D115="","",D115&amp;", "&amp;E115&amp;", "&amp;IF(F115="Circular",G115&amp;" dia",G115&amp;" x "&amp;H115)&amp;", depth "&amp;TEXT(I115,"0.0")&amp;"-"&amp;TEXT(J115,"0.0")&amp;" m, pipe up to "&amp;K115&amp;" dia")</f>
        <v/>
      </c>
      <c r="C115" s="9"/>
      <c r="D115" s="9"/>
      <c r="E115" s="9"/>
      <c r="F115" s="9"/>
      <c r="G115" s="38"/>
      <c r="H115" s="38"/>
      <c r="I115" s="42"/>
      <c r="J115" s="42"/>
      <c r="K115" s="38"/>
      <c r="L115" s="38"/>
      <c r="M115" s="38"/>
      <c r="N115" s="38"/>
      <c r="O115" s="9"/>
      <c r="P115" s="9"/>
      <c r="Q115" s="9"/>
      <c r="R115" s="9"/>
      <c r="S115" s="9"/>
      <c r="T115" s="9"/>
      <c r="U115" s="9"/>
      <c r="V115" s="42"/>
      <c r="W115" s="9"/>
      <c r="X115" s="9"/>
      <c r="Y115" s="39"/>
      <c r="Z115" s="9"/>
      <c r="AA115" s="38"/>
      <c r="AB115" s="9"/>
      <c r="AC115" s="9"/>
      <c r="AD115" s="9"/>
      <c r="AE115" s="9"/>
      <c r="AF115" s="9"/>
      <c r="AG115" s="9"/>
      <c r="AH115" s="38"/>
      <c r="AI115" s="9"/>
      <c r="AJ115" s="39"/>
      <c r="AK115" s="9"/>
      <c r="AL115" s="9"/>
      <c r="AM115" s="9"/>
      <c r="AN115" s="9"/>
      <c r="AO115" s="9"/>
      <c r="AP115" s="9"/>
      <c r="AQ115" s="9"/>
      <c r="AR115" s="10" t="str">
        <f aca="false">IF(A115="","",SG_Criteria!$B$6&amp;SG_Criteria!$B$10&amp;"\"&amp;A115&amp;"\")</f>
        <v/>
      </c>
      <c r="AS115" s="10" t="str">
        <f aca="false">IF(A115="","",A115&amp;"_CAD.dwg")</f>
        <v/>
      </c>
      <c r="AT115" s="10" t="str">
        <f aca="false">IF(A115="","",A115&amp;"_DWG.pdf")</f>
        <v/>
      </c>
      <c r="AU115" s="10" t="str">
        <f aca="false">IF(A115="","",IF(AQ115="Y",A115&amp;"_STAAD.std","n/a"))</f>
        <v/>
      </c>
      <c r="AV115" s="10" t="str">
        <f aca="false">IF(A115="","",A115&amp;"_CALC.xlsx")</f>
        <v/>
      </c>
      <c r="AW115" s="10" t="str">
        <f aca="false">IF(A115="","",A115&amp;"_CALC.pdf")</f>
        <v/>
      </c>
      <c r="AX115" s="9"/>
      <c r="AY115" s="9"/>
      <c r="AZ115" s="39"/>
      <c r="BA115" s="39"/>
      <c r="BB115" s="39"/>
      <c r="BC115" s="39"/>
      <c r="BD115" s="39"/>
      <c r="BE115" s="12" t="str">
        <f aca="false">IF(A115="","",IF(COUNTIF(Rebar_Schedule!$A$5:$A$2004,A115)=0,"",ROUND(SUMIF(Rebar_Schedule!$A$5:$A$2004,A115,Rebar_Schedule!$K$5:$K$2004),1)))</f>
        <v/>
      </c>
      <c r="BF115" s="33" t="str">
        <f aca="false">IF(A115="","",IF(BE115="","No rebar schedule yet",IF(ABS(BE115-N(BA115))/MAX(N(BA115),1)&gt;SG_Criteria!$B$55,"NOTE: register rebar differs from schedule by "&amp;TEXT(ABS(BE115-N(BA115))/MAX(N(BA115),1),"0%"),"OK")))</f>
        <v/>
      </c>
      <c r="BG115" s="33" t="str">
        <f aca="false">IF(D115="","",IF(LEN(IF(AND(Z115&lt;&gt;"",IFERROR(VALUE(MID(Z115,2,2)),0)&lt;SG_Criteria!$B$19),"FAIL: grade below C"&amp;SG_Criteria!$B$19&amp;". ","")&amp;IF(AND(AA115&lt;&gt;"",AA115&lt;SG_Criteria!$B$20),"FAIL: cover &lt; "&amp;SG_Criteria!$B$20&amp;" mm. ","")&amp;IF(AND(I115&lt;&gt;"",I115&lt;SG_Criteria!$B$39),"NOTE: min depth below PUB "&amp;SG_Criteria!$B$39&amp;" m. ","")&amp;IF(AND(LEFT(D115,8)="Standard",J115&gt;SG_Criteria!$B$42),"FAIL: PUB 001C covers manholes up to "&amp;SG_Criteria!$B$42&amp;" m deep only. ","")&amp;IF(AND(LEFT(D115,11)="Rectangular",K115&lt;SG_Criteria!$B$43),"NOTE: 004C is for sewers &gt;= "&amp;SG_Criteria!$B$43&amp;" dia. ","")&amp;IF(AND(LEFT(D115,7)="Precast",J115&lt;=SG_Criteria!$B$42),"NOTE: 006C is for manholes &gt; "&amp;SG_Criteria!$B$42&amp;" m deep. ","")&amp;IF(AND(K115&lt;&gt;"",K115&lt;SG_Criteria!$B$40,D115&lt;&gt;"Inspection Chamber"),"NOTE: public sewer min dia "&amp;SG_Criteria!$B$40&amp;" mm. ","")&amp;IF(AND(Y115&lt;&gt;"",Y115&lt;SG_Criteria!$B$44),"FAIL: uplift FOS below "&amp;SG_Criteria!$B$44&amp;". ",""))=0,"OK",IF(AND(Z115&lt;&gt;"",IFERROR(VALUE(MID(Z115,2,2)),0)&lt;SG_Criteria!$B$19),"FAIL: grade below C"&amp;SG_Criteria!$B$19&amp;". ","")&amp;IF(AND(AA115&lt;&gt;"",AA115&lt;SG_Criteria!$B$20),"FAIL: cover &lt; "&amp;SG_Criteria!$B$20&amp;" mm. ","")&amp;IF(AND(I115&lt;&gt;"",I115&lt;SG_Criteria!$B$39),"NOTE: min depth below PUB "&amp;SG_Criteria!$B$39&amp;" m. ","")&amp;IF(AND(LEFT(D115,8)="Standard",J115&gt;SG_Criteria!$B$42),"FAIL: PUB 001C covers manholes up to "&amp;SG_Criteria!$B$42&amp;" m deep only. ","")&amp;IF(AND(LEFT(D115,11)="Rectangular",K115&lt;SG_Criteria!$B$43),"NOTE: 004C is for sewers &gt;= "&amp;SG_Criteria!$B$43&amp;" dia. ","")&amp;IF(AND(LEFT(D115,7)="Precast",J115&lt;=SG_Criteria!$B$42),"NOTE: 006C is for manholes &gt; "&amp;SG_Criteria!$B$42&amp;" m deep. ","")&amp;IF(AND(K115&lt;&gt;"",K115&lt;SG_Criteria!$B$40,D115&lt;&gt;"Inspection Chamber"),"NOTE: public sewer min dia "&amp;SG_Criteria!$B$40&amp;" mm. ","")&amp;IF(AND(Y115&lt;&gt;"",Y115&lt;SG_Criteria!$B$44),"FAIL: uplift FOS below "&amp;SG_Criteria!$B$44&amp;". ","")))</f>
        <v/>
      </c>
      <c r="BH115" s="9"/>
      <c r="BI115" s="9"/>
      <c r="BJ115" s="9"/>
      <c r="BK115" s="10" t="str">
        <f aca="false">IF(BJ115="","",IFERROR(VLOOKUP(BJ115,Projects!$A$5:$D$504,2,0),"Ref not in Projects"))</f>
        <v/>
      </c>
      <c r="BL115" s="10" t="str">
        <f aca="false">IF(BJ115="","",IFERROR(VLOOKUP(BJ115,Projects!$A$5:$D$504,4,0),"Ref not in Projects"))</f>
        <v/>
      </c>
      <c r="BM115" s="9"/>
      <c r="BN115" s="9"/>
      <c r="BO115" s="9"/>
      <c r="BP115" s="40"/>
      <c r="BQ115" s="9"/>
      <c r="BR115" s="40"/>
      <c r="BS115" s="9"/>
      <c r="BT115" s="40"/>
      <c r="BU115" s="9"/>
      <c r="BV115" s="9"/>
      <c r="BW115" s="9"/>
      <c r="BX115" s="40"/>
      <c r="BY115" s="40"/>
      <c r="BZ115" s="36" t="str">
        <f aca="false">IF(BY115="","",EDATE(BY115,SG_Criteria!$B$54*12))</f>
        <v/>
      </c>
      <c r="CA115" s="33" t="str">
        <f aca="true">IF(A115="","",IF(BY115="","NOTE: not reviewed yet",IF(TODAY()&gt;BZ115,"NOTE: review overdue","OK")))</f>
        <v/>
      </c>
      <c r="CB115" s="37" t="str">
        <f aca="false">IF(A115="","",ROUND((IF(LEN(D115)&gt;0,1,0)+IF(LEN(E115)&gt;0,1,0)+IF(LEN(F115)&gt;0,1,0)+IF(LEN(G115)&gt;0,1,0)+IF(LEN(I115)&gt;0,1,0)+IF(LEN(J115)&gt;0,1,0)+IF(LEN(K115)&gt;0,1,0)+IF(LEN(L115)&gt;0,1,0)+IF(LEN(M115)&gt;0,1,0)+IF(LEN(N115)&gt;0,1,0)+IF(LEN(Z115)&gt;0,1,0)+IF(LEN(AA115)&gt;0,1,0)+IF(LEN(Y115)&gt;0,1,0)+IF(LEN(AE115)&gt;0,1,0)+IF(LEN(AG115)&gt;0,1,0)+IF(LEN(AZ115)&gt;0,1,0)+IF(LEN(AK115)&gt;0,1,0)+IF(LEN(AM115)&gt;0,1,0)+IF(LEN(AN115)&gt;0,1,0)+IF(LEN(AO115)&gt;0,1,0)+IF(LEN(AP115)&gt;0,1,0)+IF(LEN(AY115)&gt;0,1,0)+IF(LEN(BJ115)&gt;0,1,0)+IF(LEN(BW115)&gt;0,1,0))/24,2))</f>
        <v/>
      </c>
      <c r="CC115" s="10" t="str">
        <f aca="false">IF(D115="","",IF(AND(AN115="Approved",ISERROR(SEARCH("FAIL",BG115))),"Y","N"))</f>
        <v/>
      </c>
      <c r="CD115" s="10" t="str">
        <f aca="false">IF(D115="","",D115&amp;"|"&amp;J115&amp;"|"&amp;G115&amp;"|"&amp;CC115)</f>
        <v/>
      </c>
    </row>
    <row r="116" customFormat="false" ht="15" hidden="false" customHeight="false" outlineLevel="0" collapsed="false">
      <c r="A116" s="10" t="str">
        <f aca="false">IF(D116="","","MH-"&amp;IFERROR(VLOOKUP(D116,Lists!$AB$4:$AC$20,2,0),"??")&amp;"-"&amp;TEXT(G116,"0000")&amp;IF(F116="Circular","D","x"&amp;TEXT(H116,"0000"))&amp;"-D"&amp;TEXT(J116*1000,"0000")&amp;"-"&amp;IFERROR(VLOOKUP(E116,Lists!$AE$4:$AF$16,2,0),"??")&amp;"-"&amp;AM116)</f>
        <v/>
      </c>
      <c r="B116" s="10" t="str">
        <f aca="false">IF(D116="","",D116&amp;", "&amp;E116&amp;", "&amp;IF(F116="Circular",G116&amp;" dia",G116&amp;" x "&amp;H116)&amp;", depth "&amp;TEXT(I116,"0.0")&amp;"-"&amp;TEXT(J116,"0.0")&amp;" m, pipe up to "&amp;K116&amp;" dia")</f>
        <v/>
      </c>
      <c r="C116" s="9"/>
      <c r="D116" s="9"/>
      <c r="E116" s="9"/>
      <c r="F116" s="9"/>
      <c r="G116" s="38"/>
      <c r="H116" s="38"/>
      <c r="I116" s="42"/>
      <c r="J116" s="42"/>
      <c r="K116" s="38"/>
      <c r="L116" s="38"/>
      <c r="M116" s="38"/>
      <c r="N116" s="38"/>
      <c r="O116" s="9"/>
      <c r="P116" s="9"/>
      <c r="Q116" s="9"/>
      <c r="R116" s="9"/>
      <c r="S116" s="9"/>
      <c r="T116" s="9"/>
      <c r="U116" s="9"/>
      <c r="V116" s="42"/>
      <c r="W116" s="9"/>
      <c r="X116" s="9"/>
      <c r="Y116" s="39"/>
      <c r="Z116" s="9"/>
      <c r="AA116" s="38"/>
      <c r="AB116" s="9"/>
      <c r="AC116" s="9"/>
      <c r="AD116" s="9"/>
      <c r="AE116" s="9"/>
      <c r="AF116" s="9"/>
      <c r="AG116" s="9"/>
      <c r="AH116" s="38"/>
      <c r="AI116" s="9"/>
      <c r="AJ116" s="39"/>
      <c r="AK116" s="9"/>
      <c r="AL116" s="9"/>
      <c r="AM116" s="9"/>
      <c r="AN116" s="9"/>
      <c r="AO116" s="9"/>
      <c r="AP116" s="9"/>
      <c r="AQ116" s="9"/>
      <c r="AR116" s="10" t="str">
        <f aca="false">IF(A116="","",SG_Criteria!$B$6&amp;SG_Criteria!$B$10&amp;"\"&amp;A116&amp;"\")</f>
        <v/>
      </c>
      <c r="AS116" s="10" t="str">
        <f aca="false">IF(A116="","",A116&amp;"_CAD.dwg")</f>
        <v/>
      </c>
      <c r="AT116" s="10" t="str">
        <f aca="false">IF(A116="","",A116&amp;"_DWG.pdf")</f>
        <v/>
      </c>
      <c r="AU116" s="10" t="str">
        <f aca="false">IF(A116="","",IF(AQ116="Y",A116&amp;"_STAAD.std","n/a"))</f>
        <v/>
      </c>
      <c r="AV116" s="10" t="str">
        <f aca="false">IF(A116="","",A116&amp;"_CALC.xlsx")</f>
        <v/>
      </c>
      <c r="AW116" s="10" t="str">
        <f aca="false">IF(A116="","",A116&amp;"_CALC.pdf")</f>
        <v/>
      </c>
      <c r="AX116" s="9"/>
      <c r="AY116" s="9"/>
      <c r="AZ116" s="39"/>
      <c r="BA116" s="39"/>
      <c r="BB116" s="39"/>
      <c r="BC116" s="39"/>
      <c r="BD116" s="39"/>
      <c r="BE116" s="12" t="str">
        <f aca="false">IF(A116="","",IF(COUNTIF(Rebar_Schedule!$A$5:$A$2004,A116)=0,"",ROUND(SUMIF(Rebar_Schedule!$A$5:$A$2004,A116,Rebar_Schedule!$K$5:$K$2004),1)))</f>
        <v/>
      </c>
      <c r="BF116" s="33" t="str">
        <f aca="false">IF(A116="","",IF(BE116="","No rebar schedule yet",IF(ABS(BE116-N(BA116))/MAX(N(BA116),1)&gt;SG_Criteria!$B$55,"NOTE: register rebar differs from schedule by "&amp;TEXT(ABS(BE116-N(BA116))/MAX(N(BA116),1),"0%"),"OK")))</f>
        <v/>
      </c>
      <c r="BG116" s="33" t="str">
        <f aca="false">IF(D116="","",IF(LEN(IF(AND(Z116&lt;&gt;"",IFERROR(VALUE(MID(Z116,2,2)),0)&lt;SG_Criteria!$B$19),"FAIL: grade below C"&amp;SG_Criteria!$B$19&amp;". ","")&amp;IF(AND(AA116&lt;&gt;"",AA116&lt;SG_Criteria!$B$20),"FAIL: cover &lt; "&amp;SG_Criteria!$B$20&amp;" mm. ","")&amp;IF(AND(I116&lt;&gt;"",I116&lt;SG_Criteria!$B$39),"NOTE: min depth below PUB "&amp;SG_Criteria!$B$39&amp;" m. ","")&amp;IF(AND(LEFT(D116,8)="Standard",J116&gt;SG_Criteria!$B$42),"FAIL: PUB 001C covers manholes up to "&amp;SG_Criteria!$B$42&amp;" m deep only. ","")&amp;IF(AND(LEFT(D116,11)="Rectangular",K116&lt;SG_Criteria!$B$43),"NOTE: 004C is for sewers &gt;= "&amp;SG_Criteria!$B$43&amp;" dia. ","")&amp;IF(AND(LEFT(D116,7)="Precast",J116&lt;=SG_Criteria!$B$42),"NOTE: 006C is for manholes &gt; "&amp;SG_Criteria!$B$42&amp;" m deep. ","")&amp;IF(AND(K116&lt;&gt;"",K116&lt;SG_Criteria!$B$40,D116&lt;&gt;"Inspection Chamber"),"NOTE: public sewer min dia "&amp;SG_Criteria!$B$40&amp;" mm. ","")&amp;IF(AND(Y116&lt;&gt;"",Y116&lt;SG_Criteria!$B$44),"FAIL: uplift FOS below "&amp;SG_Criteria!$B$44&amp;". ",""))=0,"OK",IF(AND(Z116&lt;&gt;"",IFERROR(VALUE(MID(Z116,2,2)),0)&lt;SG_Criteria!$B$19),"FAIL: grade below C"&amp;SG_Criteria!$B$19&amp;". ","")&amp;IF(AND(AA116&lt;&gt;"",AA116&lt;SG_Criteria!$B$20),"FAIL: cover &lt; "&amp;SG_Criteria!$B$20&amp;" mm. ","")&amp;IF(AND(I116&lt;&gt;"",I116&lt;SG_Criteria!$B$39),"NOTE: min depth below PUB "&amp;SG_Criteria!$B$39&amp;" m. ","")&amp;IF(AND(LEFT(D116,8)="Standard",J116&gt;SG_Criteria!$B$42),"FAIL: PUB 001C covers manholes up to "&amp;SG_Criteria!$B$42&amp;" m deep only. ","")&amp;IF(AND(LEFT(D116,11)="Rectangular",K116&lt;SG_Criteria!$B$43),"NOTE: 004C is for sewers &gt;= "&amp;SG_Criteria!$B$43&amp;" dia. ","")&amp;IF(AND(LEFT(D116,7)="Precast",J116&lt;=SG_Criteria!$B$42),"NOTE: 006C is for manholes &gt; "&amp;SG_Criteria!$B$42&amp;" m deep. ","")&amp;IF(AND(K116&lt;&gt;"",K116&lt;SG_Criteria!$B$40,D116&lt;&gt;"Inspection Chamber"),"NOTE: public sewer min dia "&amp;SG_Criteria!$B$40&amp;" mm. ","")&amp;IF(AND(Y116&lt;&gt;"",Y116&lt;SG_Criteria!$B$44),"FAIL: uplift FOS below "&amp;SG_Criteria!$B$44&amp;". ","")))</f>
        <v/>
      </c>
      <c r="BH116" s="9"/>
      <c r="BI116" s="9"/>
      <c r="BJ116" s="9"/>
      <c r="BK116" s="10" t="str">
        <f aca="false">IF(BJ116="","",IFERROR(VLOOKUP(BJ116,Projects!$A$5:$D$504,2,0),"Ref not in Projects"))</f>
        <v/>
      </c>
      <c r="BL116" s="10" t="str">
        <f aca="false">IF(BJ116="","",IFERROR(VLOOKUP(BJ116,Projects!$A$5:$D$504,4,0),"Ref not in Projects"))</f>
        <v/>
      </c>
      <c r="BM116" s="9"/>
      <c r="BN116" s="9"/>
      <c r="BO116" s="9"/>
      <c r="BP116" s="40"/>
      <c r="BQ116" s="9"/>
      <c r="BR116" s="40"/>
      <c r="BS116" s="9"/>
      <c r="BT116" s="40"/>
      <c r="BU116" s="9"/>
      <c r="BV116" s="9"/>
      <c r="BW116" s="9"/>
      <c r="BX116" s="40"/>
      <c r="BY116" s="40"/>
      <c r="BZ116" s="36" t="str">
        <f aca="false">IF(BY116="","",EDATE(BY116,SG_Criteria!$B$54*12))</f>
        <v/>
      </c>
      <c r="CA116" s="33" t="str">
        <f aca="true">IF(A116="","",IF(BY116="","NOTE: not reviewed yet",IF(TODAY()&gt;BZ116,"NOTE: review overdue","OK")))</f>
        <v/>
      </c>
      <c r="CB116" s="37" t="str">
        <f aca="false">IF(A116="","",ROUND((IF(LEN(D116)&gt;0,1,0)+IF(LEN(E116)&gt;0,1,0)+IF(LEN(F116)&gt;0,1,0)+IF(LEN(G116)&gt;0,1,0)+IF(LEN(I116)&gt;0,1,0)+IF(LEN(J116)&gt;0,1,0)+IF(LEN(K116)&gt;0,1,0)+IF(LEN(L116)&gt;0,1,0)+IF(LEN(M116)&gt;0,1,0)+IF(LEN(N116)&gt;0,1,0)+IF(LEN(Z116)&gt;0,1,0)+IF(LEN(AA116)&gt;0,1,0)+IF(LEN(Y116)&gt;0,1,0)+IF(LEN(AE116)&gt;0,1,0)+IF(LEN(AG116)&gt;0,1,0)+IF(LEN(AZ116)&gt;0,1,0)+IF(LEN(AK116)&gt;0,1,0)+IF(LEN(AM116)&gt;0,1,0)+IF(LEN(AN116)&gt;0,1,0)+IF(LEN(AO116)&gt;0,1,0)+IF(LEN(AP116)&gt;0,1,0)+IF(LEN(AY116)&gt;0,1,0)+IF(LEN(BJ116)&gt;0,1,0)+IF(LEN(BW116)&gt;0,1,0))/24,2))</f>
        <v/>
      </c>
      <c r="CC116" s="10" t="str">
        <f aca="false">IF(D116="","",IF(AND(AN116="Approved",ISERROR(SEARCH("FAIL",BG116))),"Y","N"))</f>
        <v/>
      </c>
      <c r="CD116" s="10" t="str">
        <f aca="false">IF(D116="","",D116&amp;"|"&amp;J116&amp;"|"&amp;G116&amp;"|"&amp;CC116)</f>
        <v/>
      </c>
    </row>
    <row r="117" customFormat="false" ht="15" hidden="false" customHeight="false" outlineLevel="0" collapsed="false">
      <c r="A117" s="10" t="str">
        <f aca="false">IF(D117="","","MH-"&amp;IFERROR(VLOOKUP(D117,Lists!$AB$4:$AC$20,2,0),"??")&amp;"-"&amp;TEXT(G117,"0000")&amp;IF(F117="Circular","D","x"&amp;TEXT(H117,"0000"))&amp;"-D"&amp;TEXT(J117*1000,"0000")&amp;"-"&amp;IFERROR(VLOOKUP(E117,Lists!$AE$4:$AF$16,2,0),"??")&amp;"-"&amp;AM117)</f>
        <v/>
      </c>
      <c r="B117" s="10" t="str">
        <f aca="false">IF(D117="","",D117&amp;", "&amp;E117&amp;", "&amp;IF(F117="Circular",G117&amp;" dia",G117&amp;" x "&amp;H117)&amp;", depth "&amp;TEXT(I117,"0.0")&amp;"-"&amp;TEXT(J117,"0.0")&amp;" m, pipe up to "&amp;K117&amp;" dia")</f>
        <v/>
      </c>
      <c r="C117" s="9"/>
      <c r="D117" s="9"/>
      <c r="E117" s="9"/>
      <c r="F117" s="9"/>
      <c r="G117" s="38"/>
      <c r="H117" s="38"/>
      <c r="I117" s="42"/>
      <c r="J117" s="42"/>
      <c r="K117" s="38"/>
      <c r="L117" s="38"/>
      <c r="M117" s="38"/>
      <c r="N117" s="38"/>
      <c r="O117" s="9"/>
      <c r="P117" s="9"/>
      <c r="Q117" s="9"/>
      <c r="R117" s="9"/>
      <c r="S117" s="9"/>
      <c r="T117" s="9"/>
      <c r="U117" s="9"/>
      <c r="V117" s="42"/>
      <c r="W117" s="9"/>
      <c r="X117" s="9"/>
      <c r="Y117" s="39"/>
      <c r="Z117" s="9"/>
      <c r="AA117" s="38"/>
      <c r="AB117" s="9"/>
      <c r="AC117" s="9"/>
      <c r="AD117" s="9"/>
      <c r="AE117" s="9"/>
      <c r="AF117" s="9"/>
      <c r="AG117" s="9"/>
      <c r="AH117" s="38"/>
      <c r="AI117" s="9"/>
      <c r="AJ117" s="39"/>
      <c r="AK117" s="9"/>
      <c r="AL117" s="9"/>
      <c r="AM117" s="9"/>
      <c r="AN117" s="9"/>
      <c r="AO117" s="9"/>
      <c r="AP117" s="9"/>
      <c r="AQ117" s="9"/>
      <c r="AR117" s="10" t="str">
        <f aca="false">IF(A117="","",SG_Criteria!$B$6&amp;SG_Criteria!$B$10&amp;"\"&amp;A117&amp;"\")</f>
        <v/>
      </c>
      <c r="AS117" s="10" t="str">
        <f aca="false">IF(A117="","",A117&amp;"_CAD.dwg")</f>
        <v/>
      </c>
      <c r="AT117" s="10" t="str">
        <f aca="false">IF(A117="","",A117&amp;"_DWG.pdf")</f>
        <v/>
      </c>
      <c r="AU117" s="10" t="str">
        <f aca="false">IF(A117="","",IF(AQ117="Y",A117&amp;"_STAAD.std","n/a"))</f>
        <v/>
      </c>
      <c r="AV117" s="10" t="str">
        <f aca="false">IF(A117="","",A117&amp;"_CALC.xlsx")</f>
        <v/>
      </c>
      <c r="AW117" s="10" t="str">
        <f aca="false">IF(A117="","",A117&amp;"_CALC.pdf")</f>
        <v/>
      </c>
      <c r="AX117" s="9"/>
      <c r="AY117" s="9"/>
      <c r="AZ117" s="39"/>
      <c r="BA117" s="39"/>
      <c r="BB117" s="39"/>
      <c r="BC117" s="39"/>
      <c r="BD117" s="39"/>
      <c r="BE117" s="12" t="str">
        <f aca="false">IF(A117="","",IF(COUNTIF(Rebar_Schedule!$A$5:$A$2004,A117)=0,"",ROUND(SUMIF(Rebar_Schedule!$A$5:$A$2004,A117,Rebar_Schedule!$K$5:$K$2004),1)))</f>
        <v/>
      </c>
      <c r="BF117" s="33" t="str">
        <f aca="false">IF(A117="","",IF(BE117="","No rebar schedule yet",IF(ABS(BE117-N(BA117))/MAX(N(BA117),1)&gt;SG_Criteria!$B$55,"NOTE: register rebar differs from schedule by "&amp;TEXT(ABS(BE117-N(BA117))/MAX(N(BA117),1),"0%"),"OK")))</f>
        <v/>
      </c>
      <c r="BG117" s="33" t="str">
        <f aca="false">IF(D117="","",IF(LEN(IF(AND(Z117&lt;&gt;"",IFERROR(VALUE(MID(Z117,2,2)),0)&lt;SG_Criteria!$B$19),"FAIL: grade below C"&amp;SG_Criteria!$B$19&amp;". ","")&amp;IF(AND(AA117&lt;&gt;"",AA117&lt;SG_Criteria!$B$20),"FAIL: cover &lt; "&amp;SG_Criteria!$B$20&amp;" mm. ","")&amp;IF(AND(I117&lt;&gt;"",I117&lt;SG_Criteria!$B$39),"NOTE: min depth below PUB "&amp;SG_Criteria!$B$39&amp;" m. ","")&amp;IF(AND(LEFT(D117,8)="Standard",J117&gt;SG_Criteria!$B$42),"FAIL: PUB 001C covers manholes up to "&amp;SG_Criteria!$B$42&amp;" m deep only. ","")&amp;IF(AND(LEFT(D117,11)="Rectangular",K117&lt;SG_Criteria!$B$43),"NOTE: 004C is for sewers &gt;= "&amp;SG_Criteria!$B$43&amp;" dia. ","")&amp;IF(AND(LEFT(D117,7)="Precast",J117&lt;=SG_Criteria!$B$42),"NOTE: 006C is for manholes &gt; "&amp;SG_Criteria!$B$42&amp;" m deep. ","")&amp;IF(AND(K117&lt;&gt;"",K117&lt;SG_Criteria!$B$40,D117&lt;&gt;"Inspection Chamber"),"NOTE: public sewer min dia "&amp;SG_Criteria!$B$40&amp;" mm. ","")&amp;IF(AND(Y117&lt;&gt;"",Y117&lt;SG_Criteria!$B$44),"FAIL: uplift FOS below "&amp;SG_Criteria!$B$44&amp;". ",""))=0,"OK",IF(AND(Z117&lt;&gt;"",IFERROR(VALUE(MID(Z117,2,2)),0)&lt;SG_Criteria!$B$19),"FAIL: grade below C"&amp;SG_Criteria!$B$19&amp;". ","")&amp;IF(AND(AA117&lt;&gt;"",AA117&lt;SG_Criteria!$B$20),"FAIL: cover &lt; "&amp;SG_Criteria!$B$20&amp;" mm. ","")&amp;IF(AND(I117&lt;&gt;"",I117&lt;SG_Criteria!$B$39),"NOTE: min depth below PUB "&amp;SG_Criteria!$B$39&amp;" m. ","")&amp;IF(AND(LEFT(D117,8)="Standard",J117&gt;SG_Criteria!$B$42),"FAIL: PUB 001C covers manholes up to "&amp;SG_Criteria!$B$42&amp;" m deep only. ","")&amp;IF(AND(LEFT(D117,11)="Rectangular",K117&lt;SG_Criteria!$B$43),"NOTE: 004C is for sewers &gt;= "&amp;SG_Criteria!$B$43&amp;" dia. ","")&amp;IF(AND(LEFT(D117,7)="Precast",J117&lt;=SG_Criteria!$B$42),"NOTE: 006C is for manholes &gt; "&amp;SG_Criteria!$B$42&amp;" m deep. ","")&amp;IF(AND(K117&lt;&gt;"",K117&lt;SG_Criteria!$B$40,D117&lt;&gt;"Inspection Chamber"),"NOTE: public sewer min dia "&amp;SG_Criteria!$B$40&amp;" mm. ","")&amp;IF(AND(Y117&lt;&gt;"",Y117&lt;SG_Criteria!$B$44),"FAIL: uplift FOS below "&amp;SG_Criteria!$B$44&amp;". ","")))</f>
        <v/>
      </c>
      <c r="BH117" s="9"/>
      <c r="BI117" s="9"/>
      <c r="BJ117" s="9"/>
      <c r="BK117" s="10" t="str">
        <f aca="false">IF(BJ117="","",IFERROR(VLOOKUP(BJ117,Projects!$A$5:$D$504,2,0),"Ref not in Projects"))</f>
        <v/>
      </c>
      <c r="BL117" s="10" t="str">
        <f aca="false">IF(BJ117="","",IFERROR(VLOOKUP(BJ117,Projects!$A$5:$D$504,4,0),"Ref not in Projects"))</f>
        <v/>
      </c>
      <c r="BM117" s="9"/>
      <c r="BN117" s="9"/>
      <c r="BO117" s="9"/>
      <c r="BP117" s="40"/>
      <c r="BQ117" s="9"/>
      <c r="BR117" s="40"/>
      <c r="BS117" s="9"/>
      <c r="BT117" s="40"/>
      <c r="BU117" s="9"/>
      <c r="BV117" s="9"/>
      <c r="BW117" s="9"/>
      <c r="BX117" s="40"/>
      <c r="BY117" s="40"/>
      <c r="BZ117" s="36" t="str">
        <f aca="false">IF(BY117="","",EDATE(BY117,SG_Criteria!$B$54*12))</f>
        <v/>
      </c>
      <c r="CA117" s="33" t="str">
        <f aca="true">IF(A117="","",IF(BY117="","NOTE: not reviewed yet",IF(TODAY()&gt;BZ117,"NOTE: review overdue","OK")))</f>
        <v/>
      </c>
      <c r="CB117" s="37" t="str">
        <f aca="false">IF(A117="","",ROUND((IF(LEN(D117)&gt;0,1,0)+IF(LEN(E117)&gt;0,1,0)+IF(LEN(F117)&gt;0,1,0)+IF(LEN(G117)&gt;0,1,0)+IF(LEN(I117)&gt;0,1,0)+IF(LEN(J117)&gt;0,1,0)+IF(LEN(K117)&gt;0,1,0)+IF(LEN(L117)&gt;0,1,0)+IF(LEN(M117)&gt;0,1,0)+IF(LEN(N117)&gt;0,1,0)+IF(LEN(Z117)&gt;0,1,0)+IF(LEN(AA117)&gt;0,1,0)+IF(LEN(Y117)&gt;0,1,0)+IF(LEN(AE117)&gt;0,1,0)+IF(LEN(AG117)&gt;0,1,0)+IF(LEN(AZ117)&gt;0,1,0)+IF(LEN(AK117)&gt;0,1,0)+IF(LEN(AM117)&gt;0,1,0)+IF(LEN(AN117)&gt;0,1,0)+IF(LEN(AO117)&gt;0,1,0)+IF(LEN(AP117)&gt;0,1,0)+IF(LEN(AY117)&gt;0,1,0)+IF(LEN(BJ117)&gt;0,1,0)+IF(LEN(BW117)&gt;0,1,0))/24,2))</f>
        <v/>
      </c>
      <c r="CC117" s="10" t="str">
        <f aca="false">IF(D117="","",IF(AND(AN117="Approved",ISERROR(SEARCH("FAIL",BG117))),"Y","N"))</f>
        <v/>
      </c>
      <c r="CD117" s="10" t="str">
        <f aca="false">IF(D117="","",D117&amp;"|"&amp;J117&amp;"|"&amp;G117&amp;"|"&amp;CC117)</f>
        <v/>
      </c>
    </row>
    <row r="118" customFormat="false" ht="15" hidden="false" customHeight="false" outlineLevel="0" collapsed="false">
      <c r="A118" s="10" t="str">
        <f aca="false">IF(D118="","","MH-"&amp;IFERROR(VLOOKUP(D118,Lists!$AB$4:$AC$20,2,0),"??")&amp;"-"&amp;TEXT(G118,"0000")&amp;IF(F118="Circular","D","x"&amp;TEXT(H118,"0000"))&amp;"-D"&amp;TEXT(J118*1000,"0000")&amp;"-"&amp;IFERROR(VLOOKUP(E118,Lists!$AE$4:$AF$16,2,0),"??")&amp;"-"&amp;AM118)</f>
        <v/>
      </c>
      <c r="B118" s="10" t="str">
        <f aca="false">IF(D118="","",D118&amp;", "&amp;E118&amp;", "&amp;IF(F118="Circular",G118&amp;" dia",G118&amp;" x "&amp;H118)&amp;", depth "&amp;TEXT(I118,"0.0")&amp;"-"&amp;TEXT(J118,"0.0")&amp;" m, pipe up to "&amp;K118&amp;" dia")</f>
        <v/>
      </c>
      <c r="C118" s="9"/>
      <c r="D118" s="9"/>
      <c r="E118" s="9"/>
      <c r="F118" s="9"/>
      <c r="G118" s="38"/>
      <c r="H118" s="38"/>
      <c r="I118" s="42"/>
      <c r="J118" s="42"/>
      <c r="K118" s="38"/>
      <c r="L118" s="38"/>
      <c r="M118" s="38"/>
      <c r="N118" s="38"/>
      <c r="O118" s="9"/>
      <c r="P118" s="9"/>
      <c r="Q118" s="9"/>
      <c r="R118" s="9"/>
      <c r="S118" s="9"/>
      <c r="T118" s="9"/>
      <c r="U118" s="9"/>
      <c r="V118" s="42"/>
      <c r="W118" s="9"/>
      <c r="X118" s="9"/>
      <c r="Y118" s="39"/>
      <c r="Z118" s="9"/>
      <c r="AA118" s="38"/>
      <c r="AB118" s="9"/>
      <c r="AC118" s="9"/>
      <c r="AD118" s="9"/>
      <c r="AE118" s="9"/>
      <c r="AF118" s="9"/>
      <c r="AG118" s="9"/>
      <c r="AH118" s="38"/>
      <c r="AI118" s="9"/>
      <c r="AJ118" s="39"/>
      <c r="AK118" s="9"/>
      <c r="AL118" s="9"/>
      <c r="AM118" s="9"/>
      <c r="AN118" s="9"/>
      <c r="AO118" s="9"/>
      <c r="AP118" s="9"/>
      <c r="AQ118" s="9"/>
      <c r="AR118" s="10" t="str">
        <f aca="false">IF(A118="","",SG_Criteria!$B$6&amp;SG_Criteria!$B$10&amp;"\"&amp;A118&amp;"\")</f>
        <v/>
      </c>
      <c r="AS118" s="10" t="str">
        <f aca="false">IF(A118="","",A118&amp;"_CAD.dwg")</f>
        <v/>
      </c>
      <c r="AT118" s="10" t="str">
        <f aca="false">IF(A118="","",A118&amp;"_DWG.pdf")</f>
        <v/>
      </c>
      <c r="AU118" s="10" t="str">
        <f aca="false">IF(A118="","",IF(AQ118="Y",A118&amp;"_STAAD.std","n/a"))</f>
        <v/>
      </c>
      <c r="AV118" s="10" t="str">
        <f aca="false">IF(A118="","",A118&amp;"_CALC.xlsx")</f>
        <v/>
      </c>
      <c r="AW118" s="10" t="str">
        <f aca="false">IF(A118="","",A118&amp;"_CALC.pdf")</f>
        <v/>
      </c>
      <c r="AX118" s="9"/>
      <c r="AY118" s="9"/>
      <c r="AZ118" s="39"/>
      <c r="BA118" s="39"/>
      <c r="BB118" s="39"/>
      <c r="BC118" s="39"/>
      <c r="BD118" s="39"/>
      <c r="BE118" s="12" t="str">
        <f aca="false">IF(A118="","",IF(COUNTIF(Rebar_Schedule!$A$5:$A$2004,A118)=0,"",ROUND(SUMIF(Rebar_Schedule!$A$5:$A$2004,A118,Rebar_Schedule!$K$5:$K$2004),1)))</f>
        <v/>
      </c>
      <c r="BF118" s="33" t="str">
        <f aca="false">IF(A118="","",IF(BE118="","No rebar schedule yet",IF(ABS(BE118-N(BA118))/MAX(N(BA118),1)&gt;SG_Criteria!$B$55,"NOTE: register rebar differs from schedule by "&amp;TEXT(ABS(BE118-N(BA118))/MAX(N(BA118),1),"0%"),"OK")))</f>
        <v/>
      </c>
      <c r="BG118" s="33" t="str">
        <f aca="false">IF(D118="","",IF(LEN(IF(AND(Z118&lt;&gt;"",IFERROR(VALUE(MID(Z118,2,2)),0)&lt;SG_Criteria!$B$19),"FAIL: grade below C"&amp;SG_Criteria!$B$19&amp;". ","")&amp;IF(AND(AA118&lt;&gt;"",AA118&lt;SG_Criteria!$B$20),"FAIL: cover &lt; "&amp;SG_Criteria!$B$20&amp;" mm. ","")&amp;IF(AND(I118&lt;&gt;"",I118&lt;SG_Criteria!$B$39),"NOTE: min depth below PUB "&amp;SG_Criteria!$B$39&amp;" m. ","")&amp;IF(AND(LEFT(D118,8)="Standard",J118&gt;SG_Criteria!$B$42),"FAIL: PUB 001C covers manholes up to "&amp;SG_Criteria!$B$42&amp;" m deep only. ","")&amp;IF(AND(LEFT(D118,11)="Rectangular",K118&lt;SG_Criteria!$B$43),"NOTE: 004C is for sewers &gt;= "&amp;SG_Criteria!$B$43&amp;" dia. ","")&amp;IF(AND(LEFT(D118,7)="Precast",J118&lt;=SG_Criteria!$B$42),"NOTE: 006C is for manholes &gt; "&amp;SG_Criteria!$B$42&amp;" m deep. ","")&amp;IF(AND(K118&lt;&gt;"",K118&lt;SG_Criteria!$B$40,D118&lt;&gt;"Inspection Chamber"),"NOTE: public sewer min dia "&amp;SG_Criteria!$B$40&amp;" mm. ","")&amp;IF(AND(Y118&lt;&gt;"",Y118&lt;SG_Criteria!$B$44),"FAIL: uplift FOS below "&amp;SG_Criteria!$B$44&amp;". ",""))=0,"OK",IF(AND(Z118&lt;&gt;"",IFERROR(VALUE(MID(Z118,2,2)),0)&lt;SG_Criteria!$B$19),"FAIL: grade below C"&amp;SG_Criteria!$B$19&amp;". ","")&amp;IF(AND(AA118&lt;&gt;"",AA118&lt;SG_Criteria!$B$20),"FAIL: cover &lt; "&amp;SG_Criteria!$B$20&amp;" mm. ","")&amp;IF(AND(I118&lt;&gt;"",I118&lt;SG_Criteria!$B$39),"NOTE: min depth below PUB "&amp;SG_Criteria!$B$39&amp;" m. ","")&amp;IF(AND(LEFT(D118,8)="Standard",J118&gt;SG_Criteria!$B$42),"FAIL: PUB 001C covers manholes up to "&amp;SG_Criteria!$B$42&amp;" m deep only. ","")&amp;IF(AND(LEFT(D118,11)="Rectangular",K118&lt;SG_Criteria!$B$43),"NOTE: 004C is for sewers &gt;= "&amp;SG_Criteria!$B$43&amp;" dia. ","")&amp;IF(AND(LEFT(D118,7)="Precast",J118&lt;=SG_Criteria!$B$42),"NOTE: 006C is for manholes &gt; "&amp;SG_Criteria!$B$42&amp;" m deep. ","")&amp;IF(AND(K118&lt;&gt;"",K118&lt;SG_Criteria!$B$40,D118&lt;&gt;"Inspection Chamber"),"NOTE: public sewer min dia "&amp;SG_Criteria!$B$40&amp;" mm. ","")&amp;IF(AND(Y118&lt;&gt;"",Y118&lt;SG_Criteria!$B$44),"FAIL: uplift FOS below "&amp;SG_Criteria!$B$44&amp;". ","")))</f>
        <v/>
      </c>
      <c r="BH118" s="9"/>
      <c r="BI118" s="9"/>
      <c r="BJ118" s="9"/>
      <c r="BK118" s="10" t="str">
        <f aca="false">IF(BJ118="","",IFERROR(VLOOKUP(BJ118,Projects!$A$5:$D$504,2,0),"Ref not in Projects"))</f>
        <v/>
      </c>
      <c r="BL118" s="10" t="str">
        <f aca="false">IF(BJ118="","",IFERROR(VLOOKUP(BJ118,Projects!$A$5:$D$504,4,0),"Ref not in Projects"))</f>
        <v/>
      </c>
      <c r="BM118" s="9"/>
      <c r="BN118" s="9"/>
      <c r="BO118" s="9"/>
      <c r="BP118" s="40"/>
      <c r="BQ118" s="9"/>
      <c r="BR118" s="40"/>
      <c r="BS118" s="9"/>
      <c r="BT118" s="40"/>
      <c r="BU118" s="9"/>
      <c r="BV118" s="9"/>
      <c r="BW118" s="9"/>
      <c r="BX118" s="40"/>
      <c r="BY118" s="40"/>
      <c r="BZ118" s="36" t="str">
        <f aca="false">IF(BY118="","",EDATE(BY118,SG_Criteria!$B$54*12))</f>
        <v/>
      </c>
      <c r="CA118" s="33" t="str">
        <f aca="true">IF(A118="","",IF(BY118="","NOTE: not reviewed yet",IF(TODAY()&gt;BZ118,"NOTE: review overdue","OK")))</f>
        <v/>
      </c>
      <c r="CB118" s="37" t="str">
        <f aca="false">IF(A118="","",ROUND((IF(LEN(D118)&gt;0,1,0)+IF(LEN(E118)&gt;0,1,0)+IF(LEN(F118)&gt;0,1,0)+IF(LEN(G118)&gt;0,1,0)+IF(LEN(I118)&gt;0,1,0)+IF(LEN(J118)&gt;0,1,0)+IF(LEN(K118)&gt;0,1,0)+IF(LEN(L118)&gt;0,1,0)+IF(LEN(M118)&gt;0,1,0)+IF(LEN(N118)&gt;0,1,0)+IF(LEN(Z118)&gt;0,1,0)+IF(LEN(AA118)&gt;0,1,0)+IF(LEN(Y118)&gt;0,1,0)+IF(LEN(AE118)&gt;0,1,0)+IF(LEN(AG118)&gt;0,1,0)+IF(LEN(AZ118)&gt;0,1,0)+IF(LEN(AK118)&gt;0,1,0)+IF(LEN(AM118)&gt;0,1,0)+IF(LEN(AN118)&gt;0,1,0)+IF(LEN(AO118)&gt;0,1,0)+IF(LEN(AP118)&gt;0,1,0)+IF(LEN(AY118)&gt;0,1,0)+IF(LEN(BJ118)&gt;0,1,0)+IF(LEN(BW118)&gt;0,1,0))/24,2))</f>
        <v/>
      </c>
      <c r="CC118" s="10" t="str">
        <f aca="false">IF(D118="","",IF(AND(AN118="Approved",ISERROR(SEARCH("FAIL",BG118))),"Y","N"))</f>
        <v/>
      </c>
      <c r="CD118" s="10" t="str">
        <f aca="false">IF(D118="","",D118&amp;"|"&amp;J118&amp;"|"&amp;G118&amp;"|"&amp;CC118)</f>
        <v/>
      </c>
    </row>
    <row r="119" customFormat="false" ht="15" hidden="false" customHeight="false" outlineLevel="0" collapsed="false">
      <c r="A119" s="10" t="str">
        <f aca="false">IF(D119="","","MH-"&amp;IFERROR(VLOOKUP(D119,Lists!$AB$4:$AC$20,2,0),"??")&amp;"-"&amp;TEXT(G119,"0000")&amp;IF(F119="Circular","D","x"&amp;TEXT(H119,"0000"))&amp;"-D"&amp;TEXT(J119*1000,"0000")&amp;"-"&amp;IFERROR(VLOOKUP(E119,Lists!$AE$4:$AF$16,2,0),"??")&amp;"-"&amp;AM119)</f>
        <v/>
      </c>
      <c r="B119" s="10" t="str">
        <f aca="false">IF(D119="","",D119&amp;", "&amp;E119&amp;", "&amp;IF(F119="Circular",G119&amp;" dia",G119&amp;" x "&amp;H119)&amp;", depth "&amp;TEXT(I119,"0.0")&amp;"-"&amp;TEXT(J119,"0.0")&amp;" m, pipe up to "&amp;K119&amp;" dia")</f>
        <v/>
      </c>
      <c r="C119" s="9"/>
      <c r="D119" s="9"/>
      <c r="E119" s="9"/>
      <c r="F119" s="9"/>
      <c r="G119" s="38"/>
      <c r="H119" s="38"/>
      <c r="I119" s="42"/>
      <c r="J119" s="42"/>
      <c r="K119" s="38"/>
      <c r="L119" s="38"/>
      <c r="M119" s="38"/>
      <c r="N119" s="38"/>
      <c r="O119" s="9"/>
      <c r="P119" s="9"/>
      <c r="Q119" s="9"/>
      <c r="R119" s="9"/>
      <c r="S119" s="9"/>
      <c r="T119" s="9"/>
      <c r="U119" s="9"/>
      <c r="V119" s="42"/>
      <c r="W119" s="9"/>
      <c r="X119" s="9"/>
      <c r="Y119" s="39"/>
      <c r="Z119" s="9"/>
      <c r="AA119" s="38"/>
      <c r="AB119" s="9"/>
      <c r="AC119" s="9"/>
      <c r="AD119" s="9"/>
      <c r="AE119" s="9"/>
      <c r="AF119" s="9"/>
      <c r="AG119" s="9"/>
      <c r="AH119" s="38"/>
      <c r="AI119" s="9"/>
      <c r="AJ119" s="39"/>
      <c r="AK119" s="9"/>
      <c r="AL119" s="9"/>
      <c r="AM119" s="9"/>
      <c r="AN119" s="9"/>
      <c r="AO119" s="9"/>
      <c r="AP119" s="9"/>
      <c r="AQ119" s="9"/>
      <c r="AR119" s="10" t="str">
        <f aca="false">IF(A119="","",SG_Criteria!$B$6&amp;SG_Criteria!$B$10&amp;"\"&amp;A119&amp;"\")</f>
        <v/>
      </c>
      <c r="AS119" s="10" t="str">
        <f aca="false">IF(A119="","",A119&amp;"_CAD.dwg")</f>
        <v/>
      </c>
      <c r="AT119" s="10" t="str">
        <f aca="false">IF(A119="","",A119&amp;"_DWG.pdf")</f>
        <v/>
      </c>
      <c r="AU119" s="10" t="str">
        <f aca="false">IF(A119="","",IF(AQ119="Y",A119&amp;"_STAAD.std","n/a"))</f>
        <v/>
      </c>
      <c r="AV119" s="10" t="str">
        <f aca="false">IF(A119="","",A119&amp;"_CALC.xlsx")</f>
        <v/>
      </c>
      <c r="AW119" s="10" t="str">
        <f aca="false">IF(A119="","",A119&amp;"_CALC.pdf")</f>
        <v/>
      </c>
      <c r="AX119" s="9"/>
      <c r="AY119" s="9"/>
      <c r="AZ119" s="39"/>
      <c r="BA119" s="39"/>
      <c r="BB119" s="39"/>
      <c r="BC119" s="39"/>
      <c r="BD119" s="39"/>
      <c r="BE119" s="12" t="str">
        <f aca="false">IF(A119="","",IF(COUNTIF(Rebar_Schedule!$A$5:$A$2004,A119)=0,"",ROUND(SUMIF(Rebar_Schedule!$A$5:$A$2004,A119,Rebar_Schedule!$K$5:$K$2004),1)))</f>
        <v/>
      </c>
      <c r="BF119" s="33" t="str">
        <f aca="false">IF(A119="","",IF(BE119="","No rebar schedule yet",IF(ABS(BE119-N(BA119))/MAX(N(BA119),1)&gt;SG_Criteria!$B$55,"NOTE: register rebar differs from schedule by "&amp;TEXT(ABS(BE119-N(BA119))/MAX(N(BA119),1),"0%"),"OK")))</f>
        <v/>
      </c>
      <c r="BG119" s="33" t="str">
        <f aca="false">IF(D119="","",IF(LEN(IF(AND(Z119&lt;&gt;"",IFERROR(VALUE(MID(Z119,2,2)),0)&lt;SG_Criteria!$B$19),"FAIL: grade below C"&amp;SG_Criteria!$B$19&amp;". ","")&amp;IF(AND(AA119&lt;&gt;"",AA119&lt;SG_Criteria!$B$20),"FAIL: cover &lt; "&amp;SG_Criteria!$B$20&amp;" mm. ","")&amp;IF(AND(I119&lt;&gt;"",I119&lt;SG_Criteria!$B$39),"NOTE: min depth below PUB "&amp;SG_Criteria!$B$39&amp;" m. ","")&amp;IF(AND(LEFT(D119,8)="Standard",J119&gt;SG_Criteria!$B$42),"FAIL: PUB 001C covers manholes up to "&amp;SG_Criteria!$B$42&amp;" m deep only. ","")&amp;IF(AND(LEFT(D119,11)="Rectangular",K119&lt;SG_Criteria!$B$43),"NOTE: 004C is for sewers &gt;= "&amp;SG_Criteria!$B$43&amp;" dia. ","")&amp;IF(AND(LEFT(D119,7)="Precast",J119&lt;=SG_Criteria!$B$42),"NOTE: 006C is for manholes &gt; "&amp;SG_Criteria!$B$42&amp;" m deep. ","")&amp;IF(AND(K119&lt;&gt;"",K119&lt;SG_Criteria!$B$40,D119&lt;&gt;"Inspection Chamber"),"NOTE: public sewer min dia "&amp;SG_Criteria!$B$40&amp;" mm. ","")&amp;IF(AND(Y119&lt;&gt;"",Y119&lt;SG_Criteria!$B$44),"FAIL: uplift FOS below "&amp;SG_Criteria!$B$44&amp;". ",""))=0,"OK",IF(AND(Z119&lt;&gt;"",IFERROR(VALUE(MID(Z119,2,2)),0)&lt;SG_Criteria!$B$19),"FAIL: grade below C"&amp;SG_Criteria!$B$19&amp;". ","")&amp;IF(AND(AA119&lt;&gt;"",AA119&lt;SG_Criteria!$B$20),"FAIL: cover &lt; "&amp;SG_Criteria!$B$20&amp;" mm. ","")&amp;IF(AND(I119&lt;&gt;"",I119&lt;SG_Criteria!$B$39),"NOTE: min depth below PUB "&amp;SG_Criteria!$B$39&amp;" m. ","")&amp;IF(AND(LEFT(D119,8)="Standard",J119&gt;SG_Criteria!$B$42),"FAIL: PUB 001C covers manholes up to "&amp;SG_Criteria!$B$42&amp;" m deep only. ","")&amp;IF(AND(LEFT(D119,11)="Rectangular",K119&lt;SG_Criteria!$B$43),"NOTE: 004C is for sewers &gt;= "&amp;SG_Criteria!$B$43&amp;" dia. ","")&amp;IF(AND(LEFT(D119,7)="Precast",J119&lt;=SG_Criteria!$B$42),"NOTE: 006C is for manholes &gt; "&amp;SG_Criteria!$B$42&amp;" m deep. ","")&amp;IF(AND(K119&lt;&gt;"",K119&lt;SG_Criteria!$B$40,D119&lt;&gt;"Inspection Chamber"),"NOTE: public sewer min dia "&amp;SG_Criteria!$B$40&amp;" mm. ","")&amp;IF(AND(Y119&lt;&gt;"",Y119&lt;SG_Criteria!$B$44),"FAIL: uplift FOS below "&amp;SG_Criteria!$B$44&amp;". ","")))</f>
        <v/>
      </c>
      <c r="BH119" s="9"/>
      <c r="BI119" s="9"/>
      <c r="BJ119" s="9"/>
      <c r="BK119" s="10" t="str">
        <f aca="false">IF(BJ119="","",IFERROR(VLOOKUP(BJ119,Projects!$A$5:$D$504,2,0),"Ref not in Projects"))</f>
        <v/>
      </c>
      <c r="BL119" s="10" t="str">
        <f aca="false">IF(BJ119="","",IFERROR(VLOOKUP(BJ119,Projects!$A$5:$D$504,4,0),"Ref not in Projects"))</f>
        <v/>
      </c>
      <c r="BM119" s="9"/>
      <c r="BN119" s="9"/>
      <c r="BO119" s="9"/>
      <c r="BP119" s="40"/>
      <c r="BQ119" s="9"/>
      <c r="BR119" s="40"/>
      <c r="BS119" s="9"/>
      <c r="BT119" s="40"/>
      <c r="BU119" s="9"/>
      <c r="BV119" s="9"/>
      <c r="BW119" s="9"/>
      <c r="BX119" s="40"/>
      <c r="BY119" s="40"/>
      <c r="BZ119" s="36" t="str">
        <f aca="false">IF(BY119="","",EDATE(BY119,SG_Criteria!$B$54*12))</f>
        <v/>
      </c>
      <c r="CA119" s="33" t="str">
        <f aca="true">IF(A119="","",IF(BY119="","NOTE: not reviewed yet",IF(TODAY()&gt;BZ119,"NOTE: review overdue","OK")))</f>
        <v/>
      </c>
      <c r="CB119" s="37" t="str">
        <f aca="false">IF(A119="","",ROUND((IF(LEN(D119)&gt;0,1,0)+IF(LEN(E119)&gt;0,1,0)+IF(LEN(F119)&gt;0,1,0)+IF(LEN(G119)&gt;0,1,0)+IF(LEN(I119)&gt;0,1,0)+IF(LEN(J119)&gt;0,1,0)+IF(LEN(K119)&gt;0,1,0)+IF(LEN(L119)&gt;0,1,0)+IF(LEN(M119)&gt;0,1,0)+IF(LEN(N119)&gt;0,1,0)+IF(LEN(Z119)&gt;0,1,0)+IF(LEN(AA119)&gt;0,1,0)+IF(LEN(Y119)&gt;0,1,0)+IF(LEN(AE119)&gt;0,1,0)+IF(LEN(AG119)&gt;0,1,0)+IF(LEN(AZ119)&gt;0,1,0)+IF(LEN(AK119)&gt;0,1,0)+IF(LEN(AM119)&gt;0,1,0)+IF(LEN(AN119)&gt;0,1,0)+IF(LEN(AO119)&gt;0,1,0)+IF(LEN(AP119)&gt;0,1,0)+IF(LEN(AY119)&gt;0,1,0)+IF(LEN(BJ119)&gt;0,1,0)+IF(LEN(BW119)&gt;0,1,0))/24,2))</f>
        <v/>
      </c>
      <c r="CC119" s="10" t="str">
        <f aca="false">IF(D119="","",IF(AND(AN119="Approved",ISERROR(SEARCH("FAIL",BG119))),"Y","N"))</f>
        <v/>
      </c>
      <c r="CD119" s="10" t="str">
        <f aca="false">IF(D119="","",D119&amp;"|"&amp;J119&amp;"|"&amp;G119&amp;"|"&amp;CC119)</f>
        <v/>
      </c>
    </row>
    <row r="120" customFormat="false" ht="15" hidden="false" customHeight="false" outlineLevel="0" collapsed="false">
      <c r="A120" s="10" t="str">
        <f aca="false">IF(D120="","","MH-"&amp;IFERROR(VLOOKUP(D120,Lists!$AB$4:$AC$20,2,0),"??")&amp;"-"&amp;TEXT(G120,"0000")&amp;IF(F120="Circular","D","x"&amp;TEXT(H120,"0000"))&amp;"-D"&amp;TEXT(J120*1000,"0000")&amp;"-"&amp;IFERROR(VLOOKUP(E120,Lists!$AE$4:$AF$16,2,0),"??")&amp;"-"&amp;AM120)</f>
        <v/>
      </c>
      <c r="B120" s="10" t="str">
        <f aca="false">IF(D120="","",D120&amp;", "&amp;E120&amp;", "&amp;IF(F120="Circular",G120&amp;" dia",G120&amp;" x "&amp;H120)&amp;", depth "&amp;TEXT(I120,"0.0")&amp;"-"&amp;TEXT(J120,"0.0")&amp;" m, pipe up to "&amp;K120&amp;" dia")</f>
        <v/>
      </c>
      <c r="C120" s="9"/>
      <c r="D120" s="9"/>
      <c r="E120" s="9"/>
      <c r="F120" s="9"/>
      <c r="G120" s="38"/>
      <c r="H120" s="38"/>
      <c r="I120" s="42"/>
      <c r="J120" s="42"/>
      <c r="K120" s="38"/>
      <c r="L120" s="38"/>
      <c r="M120" s="38"/>
      <c r="N120" s="38"/>
      <c r="O120" s="9"/>
      <c r="P120" s="9"/>
      <c r="Q120" s="9"/>
      <c r="R120" s="9"/>
      <c r="S120" s="9"/>
      <c r="T120" s="9"/>
      <c r="U120" s="9"/>
      <c r="V120" s="42"/>
      <c r="W120" s="9"/>
      <c r="X120" s="9"/>
      <c r="Y120" s="39"/>
      <c r="Z120" s="9"/>
      <c r="AA120" s="38"/>
      <c r="AB120" s="9"/>
      <c r="AC120" s="9"/>
      <c r="AD120" s="9"/>
      <c r="AE120" s="9"/>
      <c r="AF120" s="9"/>
      <c r="AG120" s="9"/>
      <c r="AH120" s="38"/>
      <c r="AI120" s="9"/>
      <c r="AJ120" s="39"/>
      <c r="AK120" s="9"/>
      <c r="AL120" s="9"/>
      <c r="AM120" s="9"/>
      <c r="AN120" s="9"/>
      <c r="AO120" s="9"/>
      <c r="AP120" s="9"/>
      <c r="AQ120" s="9"/>
      <c r="AR120" s="10" t="str">
        <f aca="false">IF(A120="","",SG_Criteria!$B$6&amp;SG_Criteria!$B$10&amp;"\"&amp;A120&amp;"\")</f>
        <v/>
      </c>
      <c r="AS120" s="10" t="str">
        <f aca="false">IF(A120="","",A120&amp;"_CAD.dwg")</f>
        <v/>
      </c>
      <c r="AT120" s="10" t="str">
        <f aca="false">IF(A120="","",A120&amp;"_DWG.pdf")</f>
        <v/>
      </c>
      <c r="AU120" s="10" t="str">
        <f aca="false">IF(A120="","",IF(AQ120="Y",A120&amp;"_STAAD.std","n/a"))</f>
        <v/>
      </c>
      <c r="AV120" s="10" t="str">
        <f aca="false">IF(A120="","",A120&amp;"_CALC.xlsx")</f>
        <v/>
      </c>
      <c r="AW120" s="10" t="str">
        <f aca="false">IF(A120="","",A120&amp;"_CALC.pdf")</f>
        <v/>
      </c>
      <c r="AX120" s="9"/>
      <c r="AY120" s="9"/>
      <c r="AZ120" s="39"/>
      <c r="BA120" s="39"/>
      <c r="BB120" s="39"/>
      <c r="BC120" s="39"/>
      <c r="BD120" s="39"/>
      <c r="BE120" s="12" t="str">
        <f aca="false">IF(A120="","",IF(COUNTIF(Rebar_Schedule!$A$5:$A$2004,A120)=0,"",ROUND(SUMIF(Rebar_Schedule!$A$5:$A$2004,A120,Rebar_Schedule!$K$5:$K$2004),1)))</f>
        <v/>
      </c>
      <c r="BF120" s="33" t="str">
        <f aca="false">IF(A120="","",IF(BE120="","No rebar schedule yet",IF(ABS(BE120-N(BA120))/MAX(N(BA120),1)&gt;SG_Criteria!$B$55,"NOTE: register rebar differs from schedule by "&amp;TEXT(ABS(BE120-N(BA120))/MAX(N(BA120),1),"0%"),"OK")))</f>
        <v/>
      </c>
      <c r="BG120" s="33" t="str">
        <f aca="false">IF(D120="","",IF(LEN(IF(AND(Z120&lt;&gt;"",IFERROR(VALUE(MID(Z120,2,2)),0)&lt;SG_Criteria!$B$19),"FAIL: grade below C"&amp;SG_Criteria!$B$19&amp;". ","")&amp;IF(AND(AA120&lt;&gt;"",AA120&lt;SG_Criteria!$B$20),"FAIL: cover &lt; "&amp;SG_Criteria!$B$20&amp;" mm. ","")&amp;IF(AND(I120&lt;&gt;"",I120&lt;SG_Criteria!$B$39),"NOTE: min depth below PUB "&amp;SG_Criteria!$B$39&amp;" m. ","")&amp;IF(AND(LEFT(D120,8)="Standard",J120&gt;SG_Criteria!$B$42),"FAIL: PUB 001C covers manholes up to "&amp;SG_Criteria!$B$42&amp;" m deep only. ","")&amp;IF(AND(LEFT(D120,11)="Rectangular",K120&lt;SG_Criteria!$B$43),"NOTE: 004C is for sewers &gt;= "&amp;SG_Criteria!$B$43&amp;" dia. ","")&amp;IF(AND(LEFT(D120,7)="Precast",J120&lt;=SG_Criteria!$B$42),"NOTE: 006C is for manholes &gt; "&amp;SG_Criteria!$B$42&amp;" m deep. ","")&amp;IF(AND(K120&lt;&gt;"",K120&lt;SG_Criteria!$B$40,D120&lt;&gt;"Inspection Chamber"),"NOTE: public sewer min dia "&amp;SG_Criteria!$B$40&amp;" mm. ","")&amp;IF(AND(Y120&lt;&gt;"",Y120&lt;SG_Criteria!$B$44),"FAIL: uplift FOS below "&amp;SG_Criteria!$B$44&amp;". ",""))=0,"OK",IF(AND(Z120&lt;&gt;"",IFERROR(VALUE(MID(Z120,2,2)),0)&lt;SG_Criteria!$B$19),"FAIL: grade below C"&amp;SG_Criteria!$B$19&amp;". ","")&amp;IF(AND(AA120&lt;&gt;"",AA120&lt;SG_Criteria!$B$20),"FAIL: cover &lt; "&amp;SG_Criteria!$B$20&amp;" mm. ","")&amp;IF(AND(I120&lt;&gt;"",I120&lt;SG_Criteria!$B$39),"NOTE: min depth below PUB "&amp;SG_Criteria!$B$39&amp;" m. ","")&amp;IF(AND(LEFT(D120,8)="Standard",J120&gt;SG_Criteria!$B$42),"FAIL: PUB 001C covers manholes up to "&amp;SG_Criteria!$B$42&amp;" m deep only. ","")&amp;IF(AND(LEFT(D120,11)="Rectangular",K120&lt;SG_Criteria!$B$43),"NOTE: 004C is for sewers &gt;= "&amp;SG_Criteria!$B$43&amp;" dia. ","")&amp;IF(AND(LEFT(D120,7)="Precast",J120&lt;=SG_Criteria!$B$42),"NOTE: 006C is for manholes &gt; "&amp;SG_Criteria!$B$42&amp;" m deep. ","")&amp;IF(AND(K120&lt;&gt;"",K120&lt;SG_Criteria!$B$40,D120&lt;&gt;"Inspection Chamber"),"NOTE: public sewer min dia "&amp;SG_Criteria!$B$40&amp;" mm. ","")&amp;IF(AND(Y120&lt;&gt;"",Y120&lt;SG_Criteria!$B$44),"FAIL: uplift FOS below "&amp;SG_Criteria!$B$44&amp;". ","")))</f>
        <v/>
      </c>
      <c r="BH120" s="9"/>
      <c r="BI120" s="9"/>
      <c r="BJ120" s="9"/>
      <c r="BK120" s="10" t="str">
        <f aca="false">IF(BJ120="","",IFERROR(VLOOKUP(BJ120,Projects!$A$5:$D$504,2,0),"Ref not in Projects"))</f>
        <v/>
      </c>
      <c r="BL120" s="10" t="str">
        <f aca="false">IF(BJ120="","",IFERROR(VLOOKUP(BJ120,Projects!$A$5:$D$504,4,0),"Ref not in Projects"))</f>
        <v/>
      </c>
      <c r="BM120" s="9"/>
      <c r="BN120" s="9"/>
      <c r="BO120" s="9"/>
      <c r="BP120" s="40"/>
      <c r="BQ120" s="9"/>
      <c r="BR120" s="40"/>
      <c r="BS120" s="9"/>
      <c r="BT120" s="40"/>
      <c r="BU120" s="9"/>
      <c r="BV120" s="9"/>
      <c r="BW120" s="9"/>
      <c r="BX120" s="40"/>
      <c r="BY120" s="40"/>
      <c r="BZ120" s="36" t="str">
        <f aca="false">IF(BY120="","",EDATE(BY120,SG_Criteria!$B$54*12))</f>
        <v/>
      </c>
      <c r="CA120" s="33" t="str">
        <f aca="true">IF(A120="","",IF(BY120="","NOTE: not reviewed yet",IF(TODAY()&gt;BZ120,"NOTE: review overdue","OK")))</f>
        <v/>
      </c>
      <c r="CB120" s="37" t="str">
        <f aca="false">IF(A120="","",ROUND((IF(LEN(D120)&gt;0,1,0)+IF(LEN(E120)&gt;0,1,0)+IF(LEN(F120)&gt;0,1,0)+IF(LEN(G120)&gt;0,1,0)+IF(LEN(I120)&gt;0,1,0)+IF(LEN(J120)&gt;0,1,0)+IF(LEN(K120)&gt;0,1,0)+IF(LEN(L120)&gt;0,1,0)+IF(LEN(M120)&gt;0,1,0)+IF(LEN(N120)&gt;0,1,0)+IF(LEN(Z120)&gt;0,1,0)+IF(LEN(AA120)&gt;0,1,0)+IF(LEN(Y120)&gt;0,1,0)+IF(LEN(AE120)&gt;0,1,0)+IF(LEN(AG120)&gt;0,1,0)+IF(LEN(AZ120)&gt;0,1,0)+IF(LEN(AK120)&gt;0,1,0)+IF(LEN(AM120)&gt;0,1,0)+IF(LEN(AN120)&gt;0,1,0)+IF(LEN(AO120)&gt;0,1,0)+IF(LEN(AP120)&gt;0,1,0)+IF(LEN(AY120)&gt;0,1,0)+IF(LEN(BJ120)&gt;0,1,0)+IF(LEN(BW120)&gt;0,1,0))/24,2))</f>
        <v/>
      </c>
      <c r="CC120" s="10" t="str">
        <f aca="false">IF(D120="","",IF(AND(AN120="Approved",ISERROR(SEARCH("FAIL",BG120))),"Y","N"))</f>
        <v/>
      </c>
      <c r="CD120" s="10" t="str">
        <f aca="false">IF(D120="","",D120&amp;"|"&amp;J120&amp;"|"&amp;G120&amp;"|"&amp;CC120)</f>
        <v/>
      </c>
    </row>
    <row r="121" customFormat="false" ht="15" hidden="false" customHeight="false" outlineLevel="0" collapsed="false">
      <c r="A121" s="10" t="str">
        <f aca="false">IF(D121="","","MH-"&amp;IFERROR(VLOOKUP(D121,Lists!$AB$4:$AC$20,2,0),"??")&amp;"-"&amp;TEXT(G121,"0000")&amp;IF(F121="Circular","D","x"&amp;TEXT(H121,"0000"))&amp;"-D"&amp;TEXT(J121*1000,"0000")&amp;"-"&amp;IFERROR(VLOOKUP(E121,Lists!$AE$4:$AF$16,2,0),"??")&amp;"-"&amp;AM121)</f>
        <v/>
      </c>
      <c r="B121" s="10" t="str">
        <f aca="false">IF(D121="","",D121&amp;", "&amp;E121&amp;", "&amp;IF(F121="Circular",G121&amp;" dia",G121&amp;" x "&amp;H121)&amp;", depth "&amp;TEXT(I121,"0.0")&amp;"-"&amp;TEXT(J121,"0.0")&amp;" m, pipe up to "&amp;K121&amp;" dia")</f>
        <v/>
      </c>
      <c r="C121" s="9"/>
      <c r="D121" s="9"/>
      <c r="E121" s="9"/>
      <c r="F121" s="9"/>
      <c r="G121" s="38"/>
      <c r="H121" s="38"/>
      <c r="I121" s="42"/>
      <c r="J121" s="42"/>
      <c r="K121" s="38"/>
      <c r="L121" s="38"/>
      <c r="M121" s="38"/>
      <c r="N121" s="38"/>
      <c r="O121" s="9"/>
      <c r="P121" s="9"/>
      <c r="Q121" s="9"/>
      <c r="R121" s="9"/>
      <c r="S121" s="9"/>
      <c r="T121" s="9"/>
      <c r="U121" s="9"/>
      <c r="V121" s="42"/>
      <c r="W121" s="9"/>
      <c r="X121" s="9"/>
      <c r="Y121" s="39"/>
      <c r="Z121" s="9"/>
      <c r="AA121" s="38"/>
      <c r="AB121" s="9"/>
      <c r="AC121" s="9"/>
      <c r="AD121" s="9"/>
      <c r="AE121" s="9"/>
      <c r="AF121" s="9"/>
      <c r="AG121" s="9"/>
      <c r="AH121" s="38"/>
      <c r="AI121" s="9"/>
      <c r="AJ121" s="39"/>
      <c r="AK121" s="9"/>
      <c r="AL121" s="9"/>
      <c r="AM121" s="9"/>
      <c r="AN121" s="9"/>
      <c r="AO121" s="9"/>
      <c r="AP121" s="9"/>
      <c r="AQ121" s="9"/>
      <c r="AR121" s="10" t="str">
        <f aca="false">IF(A121="","",SG_Criteria!$B$6&amp;SG_Criteria!$B$10&amp;"\"&amp;A121&amp;"\")</f>
        <v/>
      </c>
      <c r="AS121" s="10" t="str">
        <f aca="false">IF(A121="","",A121&amp;"_CAD.dwg")</f>
        <v/>
      </c>
      <c r="AT121" s="10" t="str">
        <f aca="false">IF(A121="","",A121&amp;"_DWG.pdf")</f>
        <v/>
      </c>
      <c r="AU121" s="10" t="str">
        <f aca="false">IF(A121="","",IF(AQ121="Y",A121&amp;"_STAAD.std","n/a"))</f>
        <v/>
      </c>
      <c r="AV121" s="10" t="str">
        <f aca="false">IF(A121="","",A121&amp;"_CALC.xlsx")</f>
        <v/>
      </c>
      <c r="AW121" s="10" t="str">
        <f aca="false">IF(A121="","",A121&amp;"_CALC.pdf")</f>
        <v/>
      </c>
      <c r="AX121" s="9"/>
      <c r="AY121" s="9"/>
      <c r="AZ121" s="39"/>
      <c r="BA121" s="39"/>
      <c r="BB121" s="39"/>
      <c r="BC121" s="39"/>
      <c r="BD121" s="39"/>
      <c r="BE121" s="12" t="str">
        <f aca="false">IF(A121="","",IF(COUNTIF(Rebar_Schedule!$A$5:$A$2004,A121)=0,"",ROUND(SUMIF(Rebar_Schedule!$A$5:$A$2004,A121,Rebar_Schedule!$K$5:$K$2004),1)))</f>
        <v/>
      </c>
      <c r="BF121" s="33" t="str">
        <f aca="false">IF(A121="","",IF(BE121="","No rebar schedule yet",IF(ABS(BE121-N(BA121))/MAX(N(BA121),1)&gt;SG_Criteria!$B$55,"NOTE: register rebar differs from schedule by "&amp;TEXT(ABS(BE121-N(BA121))/MAX(N(BA121),1),"0%"),"OK")))</f>
        <v/>
      </c>
      <c r="BG121" s="33" t="str">
        <f aca="false">IF(D121="","",IF(LEN(IF(AND(Z121&lt;&gt;"",IFERROR(VALUE(MID(Z121,2,2)),0)&lt;SG_Criteria!$B$19),"FAIL: grade below C"&amp;SG_Criteria!$B$19&amp;". ","")&amp;IF(AND(AA121&lt;&gt;"",AA121&lt;SG_Criteria!$B$20),"FAIL: cover &lt; "&amp;SG_Criteria!$B$20&amp;" mm. ","")&amp;IF(AND(I121&lt;&gt;"",I121&lt;SG_Criteria!$B$39),"NOTE: min depth below PUB "&amp;SG_Criteria!$B$39&amp;" m. ","")&amp;IF(AND(LEFT(D121,8)="Standard",J121&gt;SG_Criteria!$B$42),"FAIL: PUB 001C covers manholes up to "&amp;SG_Criteria!$B$42&amp;" m deep only. ","")&amp;IF(AND(LEFT(D121,11)="Rectangular",K121&lt;SG_Criteria!$B$43),"NOTE: 004C is for sewers &gt;= "&amp;SG_Criteria!$B$43&amp;" dia. ","")&amp;IF(AND(LEFT(D121,7)="Precast",J121&lt;=SG_Criteria!$B$42),"NOTE: 006C is for manholes &gt; "&amp;SG_Criteria!$B$42&amp;" m deep. ","")&amp;IF(AND(K121&lt;&gt;"",K121&lt;SG_Criteria!$B$40,D121&lt;&gt;"Inspection Chamber"),"NOTE: public sewer min dia "&amp;SG_Criteria!$B$40&amp;" mm. ","")&amp;IF(AND(Y121&lt;&gt;"",Y121&lt;SG_Criteria!$B$44),"FAIL: uplift FOS below "&amp;SG_Criteria!$B$44&amp;". ",""))=0,"OK",IF(AND(Z121&lt;&gt;"",IFERROR(VALUE(MID(Z121,2,2)),0)&lt;SG_Criteria!$B$19),"FAIL: grade below C"&amp;SG_Criteria!$B$19&amp;". ","")&amp;IF(AND(AA121&lt;&gt;"",AA121&lt;SG_Criteria!$B$20),"FAIL: cover &lt; "&amp;SG_Criteria!$B$20&amp;" mm. ","")&amp;IF(AND(I121&lt;&gt;"",I121&lt;SG_Criteria!$B$39),"NOTE: min depth below PUB "&amp;SG_Criteria!$B$39&amp;" m. ","")&amp;IF(AND(LEFT(D121,8)="Standard",J121&gt;SG_Criteria!$B$42),"FAIL: PUB 001C covers manholes up to "&amp;SG_Criteria!$B$42&amp;" m deep only. ","")&amp;IF(AND(LEFT(D121,11)="Rectangular",K121&lt;SG_Criteria!$B$43),"NOTE: 004C is for sewers &gt;= "&amp;SG_Criteria!$B$43&amp;" dia. ","")&amp;IF(AND(LEFT(D121,7)="Precast",J121&lt;=SG_Criteria!$B$42),"NOTE: 006C is for manholes &gt; "&amp;SG_Criteria!$B$42&amp;" m deep. ","")&amp;IF(AND(K121&lt;&gt;"",K121&lt;SG_Criteria!$B$40,D121&lt;&gt;"Inspection Chamber"),"NOTE: public sewer min dia "&amp;SG_Criteria!$B$40&amp;" mm. ","")&amp;IF(AND(Y121&lt;&gt;"",Y121&lt;SG_Criteria!$B$44),"FAIL: uplift FOS below "&amp;SG_Criteria!$B$44&amp;". ","")))</f>
        <v/>
      </c>
      <c r="BH121" s="9"/>
      <c r="BI121" s="9"/>
      <c r="BJ121" s="9"/>
      <c r="BK121" s="10" t="str">
        <f aca="false">IF(BJ121="","",IFERROR(VLOOKUP(BJ121,Projects!$A$5:$D$504,2,0),"Ref not in Projects"))</f>
        <v/>
      </c>
      <c r="BL121" s="10" t="str">
        <f aca="false">IF(BJ121="","",IFERROR(VLOOKUP(BJ121,Projects!$A$5:$D$504,4,0),"Ref not in Projects"))</f>
        <v/>
      </c>
      <c r="BM121" s="9"/>
      <c r="BN121" s="9"/>
      <c r="BO121" s="9"/>
      <c r="BP121" s="40"/>
      <c r="BQ121" s="9"/>
      <c r="BR121" s="40"/>
      <c r="BS121" s="9"/>
      <c r="BT121" s="40"/>
      <c r="BU121" s="9"/>
      <c r="BV121" s="9"/>
      <c r="BW121" s="9"/>
      <c r="BX121" s="40"/>
      <c r="BY121" s="40"/>
      <c r="BZ121" s="36" t="str">
        <f aca="false">IF(BY121="","",EDATE(BY121,SG_Criteria!$B$54*12))</f>
        <v/>
      </c>
      <c r="CA121" s="33" t="str">
        <f aca="true">IF(A121="","",IF(BY121="","NOTE: not reviewed yet",IF(TODAY()&gt;BZ121,"NOTE: review overdue","OK")))</f>
        <v/>
      </c>
      <c r="CB121" s="37" t="str">
        <f aca="false">IF(A121="","",ROUND((IF(LEN(D121)&gt;0,1,0)+IF(LEN(E121)&gt;0,1,0)+IF(LEN(F121)&gt;0,1,0)+IF(LEN(G121)&gt;0,1,0)+IF(LEN(I121)&gt;0,1,0)+IF(LEN(J121)&gt;0,1,0)+IF(LEN(K121)&gt;0,1,0)+IF(LEN(L121)&gt;0,1,0)+IF(LEN(M121)&gt;0,1,0)+IF(LEN(N121)&gt;0,1,0)+IF(LEN(Z121)&gt;0,1,0)+IF(LEN(AA121)&gt;0,1,0)+IF(LEN(Y121)&gt;0,1,0)+IF(LEN(AE121)&gt;0,1,0)+IF(LEN(AG121)&gt;0,1,0)+IF(LEN(AZ121)&gt;0,1,0)+IF(LEN(AK121)&gt;0,1,0)+IF(LEN(AM121)&gt;0,1,0)+IF(LEN(AN121)&gt;0,1,0)+IF(LEN(AO121)&gt;0,1,0)+IF(LEN(AP121)&gt;0,1,0)+IF(LEN(AY121)&gt;0,1,0)+IF(LEN(BJ121)&gt;0,1,0)+IF(LEN(BW121)&gt;0,1,0))/24,2))</f>
        <v/>
      </c>
      <c r="CC121" s="10" t="str">
        <f aca="false">IF(D121="","",IF(AND(AN121="Approved",ISERROR(SEARCH("FAIL",BG121))),"Y","N"))</f>
        <v/>
      </c>
      <c r="CD121" s="10" t="str">
        <f aca="false">IF(D121="","",D121&amp;"|"&amp;J121&amp;"|"&amp;G121&amp;"|"&amp;CC121)</f>
        <v/>
      </c>
    </row>
    <row r="122" customFormat="false" ht="15" hidden="false" customHeight="false" outlineLevel="0" collapsed="false">
      <c r="A122" s="10" t="str">
        <f aca="false">IF(D122="","","MH-"&amp;IFERROR(VLOOKUP(D122,Lists!$AB$4:$AC$20,2,0),"??")&amp;"-"&amp;TEXT(G122,"0000")&amp;IF(F122="Circular","D","x"&amp;TEXT(H122,"0000"))&amp;"-D"&amp;TEXT(J122*1000,"0000")&amp;"-"&amp;IFERROR(VLOOKUP(E122,Lists!$AE$4:$AF$16,2,0),"??")&amp;"-"&amp;AM122)</f>
        <v/>
      </c>
      <c r="B122" s="10" t="str">
        <f aca="false">IF(D122="","",D122&amp;", "&amp;E122&amp;", "&amp;IF(F122="Circular",G122&amp;" dia",G122&amp;" x "&amp;H122)&amp;", depth "&amp;TEXT(I122,"0.0")&amp;"-"&amp;TEXT(J122,"0.0")&amp;" m, pipe up to "&amp;K122&amp;" dia")</f>
        <v/>
      </c>
      <c r="C122" s="9"/>
      <c r="D122" s="9"/>
      <c r="E122" s="9"/>
      <c r="F122" s="9"/>
      <c r="G122" s="38"/>
      <c r="H122" s="38"/>
      <c r="I122" s="42"/>
      <c r="J122" s="42"/>
      <c r="K122" s="38"/>
      <c r="L122" s="38"/>
      <c r="M122" s="38"/>
      <c r="N122" s="38"/>
      <c r="O122" s="9"/>
      <c r="P122" s="9"/>
      <c r="Q122" s="9"/>
      <c r="R122" s="9"/>
      <c r="S122" s="9"/>
      <c r="T122" s="9"/>
      <c r="U122" s="9"/>
      <c r="V122" s="42"/>
      <c r="W122" s="9"/>
      <c r="X122" s="9"/>
      <c r="Y122" s="39"/>
      <c r="Z122" s="9"/>
      <c r="AA122" s="38"/>
      <c r="AB122" s="9"/>
      <c r="AC122" s="9"/>
      <c r="AD122" s="9"/>
      <c r="AE122" s="9"/>
      <c r="AF122" s="9"/>
      <c r="AG122" s="9"/>
      <c r="AH122" s="38"/>
      <c r="AI122" s="9"/>
      <c r="AJ122" s="39"/>
      <c r="AK122" s="9"/>
      <c r="AL122" s="9"/>
      <c r="AM122" s="9"/>
      <c r="AN122" s="9"/>
      <c r="AO122" s="9"/>
      <c r="AP122" s="9"/>
      <c r="AQ122" s="9"/>
      <c r="AR122" s="10" t="str">
        <f aca="false">IF(A122="","",SG_Criteria!$B$6&amp;SG_Criteria!$B$10&amp;"\"&amp;A122&amp;"\")</f>
        <v/>
      </c>
      <c r="AS122" s="10" t="str">
        <f aca="false">IF(A122="","",A122&amp;"_CAD.dwg")</f>
        <v/>
      </c>
      <c r="AT122" s="10" t="str">
        <f aca="false">IF(A122="","",A122&amp;"_DWG.pdf")</f>
        <v/>
      </c>
      <c r="AU122" s="10" t="str">
        <f aca="false">IF(A122="","",IF(AQ122="Y",A122&amp;"_STAAD.std","n/a"))</f>
        <v/>
      </c>
      <c r="AV122" s="10" t="str">
        <f aca="false">IF(A122="","",A122&amp;"_CALC.xlsx")</f>
        <v/>
      </c>
      <c r="AW122" s="10" t="str">
        <f aca="false">IF(A122="","",A122&amp;"_CALC.pdf")</f>
        <v/>
      </c>
      <c r="AX122" s="9"/>
      <c r="AY122" s="9"/>
      <c r="AZ122" s="39"/>
      <c r="BA122" s="39"/>
      <c r="BB122" s="39"/>
      <c r="BC122" s="39"/>
      <c r="BD122" s="39"/>
      <c r="BE122" s="12" t="str">
        <f aca="false">IF(A122="","",IF(COUNTIF(Rebar_Schedule!$A$5:$A$2004,A122)=0,"",ROUND(SUMIF(Rebar_Schedule!$A$5:$A$2004,A122,Rebar_Schedule!$K$5:$K$2004),1)))</f>
        <v/>
      </c>
      <c r="BF122" s="33" t="str">
        <f aca="false">IF(A122="","",IF(BE122="","No rebar schedule yet",IF(ABS(BE122-N(BA122))/MAX(N(BA122),1)&gt;SG_Criteria!$B$55,"NOTE: register rebar differs from schedule by "&amp;TEXT(ABS(BE122-N(BA122))/MAX(N(BA122),1),"0%"),"OK")))</f>
        <v/>
      </c>
      <c r="BG122" s="33" t="str">
        <f aca="false">IF(D122="","",IF(LEN(IF(AND(Z122&lt;&gt;"",IFERROR(VALUE(MID(Z122,2,2)),0)&lt;SG_Criteria!$B$19),"FAIL: grade below C"&amp;SG_Criteria!$B$19&amp;". ","")&amp;IF(AND(AA122&lt;&gt;"",AA122&lt;SG_Criteria!$B$20),"FAIL: cover &lt; "&amp;SG_Criteria!$B$20&amp;" mm. ","")&amp;IF(AND(I122&lt;&gt;"",I122&lt;SG_Criteria!$B$39),"NOTE: min depth below PUB "&amp;SG_Criteria!$B$39&amp;" m. ","")&amp;IF(AND(LEFT(D122,8)="Standard",J122&gt;SG_Criteria!$B$42),"FAIL: PUB 001C covers manholes up to "&amp;SG_Criteria!$B$42&amp;" m deep only. ","")&amp;IF(AND(LEFT(D122,11)="Rectangular",K122&lt;SG_Criteria!$B$43),"NOTE: 004C is for sewers &gt;= "&amp;SG_Criteria!$B$43&amp;" dia. ","")&amp;IF(AND(LEFT(D122,7)="Precast",J122&lt;=SG_Criteria!$B$42),"NOTE: 006C is for manholes &gt; "&amp;SG_Criteria!$B$42&amp;" m deep. ","")&amp;IF(AND(K122&lt;&gt;"",K122&lt;SG_Criteria!$B$40,D122&lt;&gt;"Inspection Chamber"),"NOTE: public sewer min dia "&amp;SG_Criteria!$B$40&amp;" mm. ","")&amp;IF(AND(Y122&lt;&gt;"",Y122&lt;SG_Criteria!$B$44),"FAIL: uplift FOS below "&amp;SG_Criteria!$B$44&amp;". ",""))=0,"OK",IF(AND(Z122&lt;&gt;"",IFERROR(VALUE(MID(Z122,2,2)),0)&lt;SG_Criteria!$B$19),"FAIL: grade below C"&amp;SG_Criteria!$B$19&amp;". ","")&amp;IF(AND(AA122&lt;&gt;"",AA122&lt;SG_Criteria!$B$20),"FAIL: cover &lt; "&amp;SG_Criteria!$B$20&amp;" mm. ","")&amp;IF(AND(I122&lt;&gt;"",I122&lt;SG_Criteria!$B$39),"NOTE: min depth below PUB "&amp;SG_Criteria!$B$39&amp;" m. ","")&amp;IF(AND(LEFT(D122,8)="Standard",J122&gt;SG_Criteria!$B$42),"FAIL: PUB 001C covers manholes up to "&amp;SG_Criteria!$B$42&amp;" m deep only. ","")&amp;IF(AND(LEFT(D122,11)="Rectangular",K122&lt;SG_Criteria!$B$43),"NOTE: 004C is for sewers &gt;= "&amp;SG_Criteria!$B$43&amp;" dia. ","")&amp;IF(AND(LEFT(D122,7)="Precast",J122&lt;=SG_Criteria!$B$42),"NOTE: 006C is for manholes &gt; "&amp;SG_Criteria!$B$42&amp;" m deep. ","")&amp;IF(AND(K122&lt;&gt;"",K122&lt;SG_Criteria!$B$40,D122&lt;&gt;"Inspection Chamber"),"NOTE: public sewer min dia "&amp;SG_Criteria!$B$40&amp;" mm. ","")&amp;IF(AND(Y122&lt;&gt;"",Y122&lt;SG_Criteria!$B$44),"FAIL: uplift FOS below "&amp;SG_Criteria!$B$44&amp;". ","")))</f>
        <v/>
      </c>
      <c r="BH122" s="9"/>
      <c r="BI122" s="9"/>
      <c r="BJ122" s="9"/>
      <c r="BK122" s="10" t="str">
        <f aca="false">IF(BJ122="","",IFERROR(VLOOKUP(BJ122,Projects!$A$5:$D$504,2,0),"Ref not in Projects"))</f>
        <v/>
      </c>
      <c r="BL122" s="10" t="str">
        <f aca="false">IF(BJ122="","",IFERROR(VLOOKUP(BJ122,Projects!$A$5:$D$504,4,0),"Ref not in Projects"))</f>
        <v/>
      </c>
      <c r="BM122" s="9"/>
      <c r="BN122" s="9"/>
      <c r="BO122" s="9"/>
      <c r="BP122" s="40"/>
      <c r="BQ122" s="9"/>
      <c r="BR122" s="40"/>
      <c r="BS122" s="9"/>
      <c r="BT122" s="40"/>
      <c r="BU122" s="9"/>
      <c r="BV122" s="9"/>
      <c r="BW122" s="9"/>
      <c r="BX122" s="40"/>
      <c r="BY122" s="40"/>
      <c r="BZ122" s="36" t="str">
        <f aca="false">IF(BY122="","",EDATE(BY122,SG_Criteria!$B$54*12))</f>
        <v/>
      </c>
      <c r="CA122" s="33" t="str">
        <f aca="true">IF(A122="","",IF(BY122="","NOTE: not reviewed yet",IF(TODAY()&gt;BZ122,"NOTE: review overdue","OK")))</f>
        <v/>
      </c>
      <c r="CB122" s="37" t="str">
        <f aca="false">IF(A122="","",ROUND((IF(LEN(D122)&gt;0,1,0)+IF(LEN(E122)&gt;0,1,0)+IF(LEN(F122)&gt;0,1,0)+IF(LEN(G122)&gt;0,1,0)+IF(LEN(I122)&gt;0,1,0)+IF(LEN(J122)&gt;0,1,0)+IF(LEN(K122)&gt;0,1,0)+IF(LEN(L122)&gt;0,1,0)+IF(LEN(M122)&gt;0,1,0)+IF(LEN(N122)&gt;0,1,0)+IF(LEN(Z122)&gt;0,1,0)+IF(LEN(AA122)&gt;0,1,0)+IF(LEN(Y122)&gt;0,1,0)+IF(LEN(AE122)&gt;0,1,0)+IF(LEN(AG122)&gt;0,1,0)+IF(LEN(AZ122)&gt;0,1,0)+IF(LEN(AK122)&gt;0,1,0)+IF(LEN(AM122)&gt;0,1,0)+IF(LEN(AN122)&gt;0,1,0)+IF(LEN(AO122)&gt;0,1,0)+IF(LEN(AP122)&gt;0,1,0)+IF(LEN(AY122)&gt;0,1,0)+IF(LEN(BJ122)&gt;0,1,0)+IF(LEN(BW122)&gt;0,1,0))/24,2))</f>
        <v/>
      </c>
      <c r="CC122" s="10" t="str">
        <f aca="false">IF(D122="","",IF(AND(AN122="Approved",ISERROR(SEARCH("FAIL",BG122))),"Y","N"))</f>
        <v/>
      </c>
      <c r="CD122" s="10" t="str">
        <f aca="false">IF(D122="","",D122&amp;"|"&amp;J122&amp;"|"&amp;G122&amp;"|"&amp;CC122)</f>
        <v/>
      </c>
    </row>
    <row r="123" customFormat="false" ht="15" hidden="false" customHeight="false" outlineLevel="0" collapsed="false">
      <c r="A123" s="10" t="str">
        <f aca="false">IF(D123="","","MH-"&amp;IFERROR(VLOOKUP(D123,Lists!$AB$4:$AC$20,2,0),"??")&amp;"-"&amp;TEXT(G123,"0000")&amp;IF(F123="Circular","D","x"&amp;TEXT(H123,"0000"))&amp;"-D"&amp;TEXT(J123*1000,"0000")&amp;"-"&amp;IFERROR(VLOOKUP(E123,Lists!$AE$4:$AF$16,2,0),"??")&amp;"-"&amp;AM123)</f>
        <v/>
      </c>
      <c r="B123" s="10" t="str">
        <f aca="false">IF(D123="","",D123&amp;", "&amp;E123&amp;", "&amp;IF(F123="Circular",G123&amp;" dia",G123&amp;" x "&amp;H123)&amp;", depth "&amp;TEXT(I123,"0.0")&amp;"-"&amp;TEXT(J123,"0.0")&amp;" m, pipe up to "&amp;K123&amp;" dia")</f>
        <v/>
      </c>
      <c r="C123" s="9"/>
      <c r="D123" s="9"/>
      <c r="E123" s="9"/>
      <c r="F123" s="9"/>
      <c r="G123" s="38"/>
      <c r="H123" s="38"/>
      <c r="I123" s="42"/>
      <c r="J123" s="42"/>
      <c r="K123" s="38"/>
      <c r="L123" s="38"/>
      <c r="M123" s="38"/>
      <c r="N123" s="38"/>
      <c r="O123" s="9"/>
      <c r="P123" s="9"/>
      <c r="Q123" s="9"/>
      <c r="R123" s="9"/>
      <c r="S123" s="9"/>
      <c r="T123" s="9"/>
      <c r="U123" s="9"/>
      <c r="V123" s="42"/>
      <c r="W123" s="9"/>
      <c r="X123" s="9"/>
      <c r="Y123" s="39"/>
      <c r="Z123" s="9"/>
      <c r="AA123" s="38"/>
      <c r="AB123" s="9"/>
      <c r="AC123" s="9"/>
      <c r="AD123" s="9"/>
      <c r="AE123" s="9"/>
      <c r="AF123" s="9"/>
      <c r="AG123" s="9"/>
      <c r="AH123" s="38"/>
      <c r="AI123" s="9"/>
      <c r="AJ123" s="39"/>
      <c r="AK123" s="9"/>
      <c r="AL123" s="9"/>
      <c r="AM123" s="9"/>
      <c r="AN123" s="9"/>
      <c r="AO123" s="9"/>
      <c r="AP123" s="9"/>
      <c r="AQ123" s="9"/>
      <c r="AR123" s="10" t="str">
        <f aca="false">IF(A123="","",SG_Criteria!$B$6&amp;SG_Criteria!$B$10&amp;"\"&amp;A123&amp;"\")</f>
        <v/>
      </c>
      <c r="AS123" s="10" t="str">
        <f aca="false">IF(A123="","",A123&amp;"_CAD.dwg")</f>
        <v/>
      </c>
      <c r="AT123" s="10" t="str">
        <f aca="false">IF(A123="","",A123&amp;"_DWG.pdf")</f>
        <v/>
      </c>
      <c r="AU123" s="10" t="str">
        <f aca="false">IF(A123="","",IF(AQ123="Y",A123&amp;"_STAAD.std","n/a"))</f>
        <v/>
      </c>
      <c r="AV123" s="10" t="str">
        <f aca="false">IF(A123="","",A123&amp;"_CALC.xlsx")</f>
        <v/>
      </c>
      <c r="AW123" s="10" t="str">
        <f aca="false">IF(A123="","",A123&amp;"_CALC.pdf")</f>
        <v/>
      </c>
      <c r="AX123" s="9"/>
      <c r="AY123" s="9"/>
      <c r="AZ123" s="39"/>
      <c r="BA123" s="39"/>
      <c r="BB123" s="39"/>
      <c r="BC123" s="39"/>
      <c r="BD123" s="39"/>
      <c r="BE123" s="12" t="str">
        <f aca="false">IF(A123="","",IF(COUNTIF(Rebar_Schedule!$A$5:$A$2004,A123)=0,"",ROUND(SUMIF(Rebar_Schedule!$A$5:$A$2004,A123,Rebar_Schedule!$K$5:$K$2004),1)))</f>
        <v/>
      </c>
      <c r="BF123" s="33" t="str">
        <f aca="false">IF(A123="","",IF(BE123="","No rebar schedule yet",IF(ABS(BE123-N(BA123))/MAX(N(BA123),1)&gt;SG_Criteria!$B$55,"NOTE: register rebar differs from schedule by "&amp;TEXT(ABS(BE123-N(BA123))/MAX(N(BA123),1),"0%"),"OK")))</f>
        <v/>
      </c>
      <c r="BG123" s="33" t="str">
        <f aca="false">IF(D123="","",IF(LEN(IF(AND(Z123&lt;&gt;"",IFERROR(VALUE(MID(Z123,2,2)),0)&lt;SG_Criteria!$B$19),"FAIL: grade below C"&amp;SG_Criteria!$B$19&amp;". ","")&amp;IF(AND(AA123&lt;&gt;"",AA123&lt;SG_Criteria!$B$20),"FAIL: cover &lt; "&amp;SG_Criteria!$B$20&amp;" mm. ","")&amp;IF(AND(I123&lt;&gt;"",I123&lt;SG_Criteria!$B$39),"NOTE: min depth below PUB "&amp;SG_Criteria!$B$39&amp;" m. ","")&amp;IF(AND(LEFT(D123,8)="Standard",J123&gt;SG_Criteria!$B$42),"FAIL: PUB 001C covers manholes up to "&amp;SG_Criteria!$B$42&amp;" m deep only. ","")&amp;IF(AND(LEFT(D123,11)="Rectangular",K123&lt;SG_Criteria!$B$43),"NOTE: 004C is for sewers &gt;= "&amp;SG_Criteria!$B$43&amp;" dia. ","")&amp;IF(AND(LEFT(D123,7)="Precast",J123&lt;=SG_Criteria!$B$42),"NOTE: 006C is for manholes &gt; "&amp;SG_Criteria!$B$42&amp;" m deep. ","")&amp;IF(AND(K123&lt;&gt;"",K123&lt;SG_Criteria!$B$40,D123&lt;&gt;"Inspection Chamber"),"NOTE: public sewer min dia "&amp;SG_Criteria!$B$40&amp;" mm. ","")&amp;IF(AND(Y123&lt;&gt;"",Y123&lt;SG_Criteria!$B$44),"FAIL: uplift FOS below "&amp;SG_Criteria!$B$44&amp;". ",""))=0,"OK",IF(AND(Z123&lt;&gt;"",IFERROR(VALUE(MID(Z123,2,2)),0)&lt;SG_Criteria!$B$19),"FAIL: grade below C"&amp;SG_Criteria!$B$19&amp;". ","")&amp;IF(AND(AA123&lt;&gt;"",AA123&lt;SG_Criteria!$B$20),"FAIL: cover &lt; "&amp;SG_Criteria!$B$20&amp;" mm. ","")&amp;IF(AND(I123&lt;&gt;"",I123&lt;SG_Criteria!$B$39),"NOTE: min depth below PUB "&amp;SG_Criteria!$B$39&amp;" m. ","")&amp;IF(AND(LEFT(D123,8)="Standard",J123&gt;SG_Criteria!$B$42),"FAIL: PUB 001C covers manholes up to "&amp;SG_Criteria!$B$42&amp;" m deep only. ","")&amp;IF(AND(LEFT(D123,11)="Rectangular",K123&lt;SG_Criteria!$B$43),"NOTE: 004C is for sewers &gt;= "&amp;SG_Criteria!$B$43&amp;" dia. ","")&amp;IF(AND(LEFT(D123,7)="Precast",J123&lt;=SG_Criteria!$B$42),"NOTE: 006C is for manholes &gt; "&amp;SG_Criteria!$B$42&amp;" m deep. ","")&amp;IF(AND(K123&lt;&gt;"",K123&lt;SG_Criteria!$B$40,D123&lt;&gt;"Inspection Chamber"),"NOTE: public sewer min dia "&amp;SG_Criteria!$B$40&amp;" mm. ","")&amp;IF(AND(Y123&lt;&gt;"",Y123&lt;SG_Criteria!$B$44),"FAIL: uplift FOS below "&amp;SG_Criteria!$B$44&amp;". ","")))</f>
        <v/>
      </c>
      <c r="BH123" s="9"/>
      <c r="BI123" s="9"/>
      <c r="BJ123" s="9"/>
      <c r="BK123" s="10" t="str">
        <f aca="false">IF(BJ123="","",IFERROR(VLOOKUP(BJ123,Projects!$A$5:$D$504,2,0),"Ref not in Projects"))</f>
        <v/>
      </c>
      <c r="BL123" s="10" t="str">
        <f aca="false">IF(BJ123="","",IFERROR(VLOOKUP(BJ123,Projects!$A$5:$D$504,4,0),"Ref not in Projects"))</f>
        <v/>
      </c>
      <c r="BM123" s="9"/>
      <c r="BN123" s="9"/>
      <c r="BO123" s="9"/>
      <c r="BP123" s="40"/>
      <c r="BQ123" s="9"/>
      <c r="BR123" s="40"/>
      <c r="BS123" s="9"/>
      <c r="BT123" s="40"/>
      <c r="BU123" s="9"/>
      <c r="BV123" s="9"/>
      <c r="BW123" s="9"/>
      <c r="BX123" s="40"/>
      <c r="BY123" s="40"/>
      <c r="BZ123" s="36" t="str">
        <f aca="false">IF(BY123="","",EDATE(BY123,SG_Criteria!$B$54*12))</f>
        <v/>
      </c>
      <c r="CA123" s="33" t="str">
        <f aca="true">IF(A123="","",IF(BY123="","NOTE: not reviewed yet",IF(TODAY()&gt;BZ123,"NOTE: review overdue","OK")))</f>
        <v/>
      </c>
      <c r="CB123" s="37" t="str">
        <f aca="false">IF(A123="","",ROUND((IF(LEN(D123)&gt;0,1,0)+IF(LEN(E123)&gt;0,1,0)+IF(LEN(F123)&gt;0,1,0)+IF(LEN(G123)&gt;0,1,0)+IF(LEN(I123)&gt;0,1,0)+IF(LEN(J123)&gt;0,1,0)+IF(LEN(K123)&gt;0,1,0)+IF(LEN(L123)&gt;0,1,0)+IF(LEN(M123)&gt;0,1,0)+IF(LEN(N123)&gt;0,1,0)+IF(LEN(Z123)&gt;0,1,0)+IF(LEN(AA123)&gt;0,1,0)+IF(LEN(Y123)&gt;0,1,0)+IF(LEN(AE123)&gt;0,1,0)+IF(LEN(AG123)&gt;0,1,0)+IF(LEN(AZ123)&gt;0,1,0)+IF(LEN(AK123)&gt;0,1,0)+IF(LEN(AM123)&gt;0,1,0)+IF(LEN(AN123)&gt;0,1,0)+IF(LEN(AO123)&gt;0,1,0)+IF(LEN(AP123)&gt;0,1,0)+IF(LEN(AY123)&gt;0,1,0)+IF(LEN(BJ123)&gt;0,1,0)+IF(LEN(BW123)&gt;0,1,0))/24,2))</f>
        <v/>
      </c>
      <c r="CC123" s="10" t="str">
        <f aca="false">IF(D123="","",IF(AND(AN123="Approved",ISERROR(SEARCH("FAIL",BG123))),"Y","N"))</f>
        <v/>
      </c>
      <c r="CD123" s="10" t="str">
        <f aca="false">IF(D123="","",D123&amp;"|"&amp;J123&amp;"|"&amp;G123&amp;"|"&amp;CC123)</f>
        <v/>
      </c>
    </row>
    <row r="124" customFormat="false" ht="15" hidden="false" customHeight="false" outlineLevel="0" collapsed="false">
      <c r="A124" s="10" t="str">
        <f aca="false">IF(D124="","","MH-"&amp;IFERROR(VLOOKUP(D124,Lists!$AB$4:$AC$20,2,0),"??")&amp;"-"&amp;TEXT(G124,"0000")&amp;IF(F124="Circular","D","x"&amp;TEXT(H124,"0000"))&amp;"-D"&amp;TEXT(J124*1000,"0000")&amp;"-"&amp;IFERROR(VLOOKUP(E124,Lists!$AE$4:$AF$16,2,0),"??")&amp;"-"&amp;AM124)</f>
        <v/>
      </c>
      <c r="B124" s="10" t="str">
        <f aca="false">IF(D124="","",D124&amp;", "&amp;E124&amp;", "&amp;IF(F124="Circular",G124&amp;" dia",G124&amp;" x "&amp;H124)&amp;", depth "&amp;TEXT(I124,"0.0")&amp;"-"&amp;TEXT(J124,"0.0")&amp;" m, pipe up to "&amp;K124&amp;" dia")</f>
        <v/>
      </c>
      <c r="C124" s="9"/>
      <c r="D124" s="9"/>
      <c r="E124" s="9"/>
      <c r="F124" s="9"/>
      <c r="G124" s="38"/>
      <c r="H124" s="38"/>
      <c r="I124" s="42"/>
      <c r="J124" s="42"/>
      <c r="K124" s="38"/>
      <c r="L124" s="38"/>
      <c r="M124" s="38"/>
      <c r="N124" s="38"/>
      <c r="O124" s="9"/>
      <c r="P124" s="9"/>
      <c r="Q124" s="9"/>
      <c r="R124" s="9"/>
      <c r="S124" s="9"/>
      <c r="T124" s="9"/>
      <c r="U124" s="9"/>
      <c r="V124" s="42"/>
      <c r="W124" s="9"/>
      <c r="X124" s="9"/>
      <c r="Y124" s="39"/>
      <c r="Z124" s="9"/>
      <c r="AA124" s="38"/>
      <c r="AB124" s="9"/>
      <c r="AC124" s="9"/>
      <c r="AD124" s="9"/>
      <c r="AE124" s="9"/>
      <c r="AF124" s="9"/>
      <c r="AG124" s="9"/>
      <c r="AH124" s="38"/>
      <c r="AI124" s="9"/>
      <c r="AJ124" s="39"/>
      <c r="AK124" s="9"/>
      <c r="AL124" s="9"/>
      <c r="AM124" s="9"/>
      <c r="AN124" s="9"/>
      <c r="AO124" s="9"/>
      <c r="AP124" s="9"/>
      <c r="AQ124" s="9"/>
      <c r="AR124" s="10" t="str">
        <f aca="false">IF(A124="","",SG_Criteria!$B$6&amp;SG_Criteria!$B$10&amp;"\"&amp;A124&amp;"\")</f>
        <v/>
      </c>
      <c r="AS124" s="10" t="str">
        <f aca="false">IF(A124="","",A124&amp;"_CAD.dwg")</f>
        <v/>
      </c>
      <c r="AT124" s="10" t="str">
        <f aca="false">IF(A124="","",A124&amp;"_DWG.pdf")</f>
        <v/>
      </c>
      <c r="AU124" s="10" t="str">
        <f aca="false">IF(A124="","",IF(AQ124="Y",A124&amp;"_STAAD.std","n/a"))</f>
        <v/>
      </c>
      <c r="AV124" s="10" t="str">
        <f aca="false">IF(A124="","",A124&amp;"_CALC.xlsx")</f>
        <v/>
      </c>
      <c r="AW124" s="10" t="str">
        <f aca="false">IF(A124="","",A124&amp;"_CALC.pdf")</f>
        <v/>
      </c>
      <c r="AX124" s="9"/>
      <c r="AY124" s="9"/>
      <c r="AZ124" s="39"/>
      <c r="BA124" s="39"/>
      <c r="BB124" s="39"/>
      <c r="BC124" s="39"/>
      <c r="BD124" s="39"/>
      <c r="BE124" s="12" t="str">
        <f aca="false">IF(A124="","",IF(COUNTIF(Rebar_Schedule!$A$5:$A$2004,A124)=0,"",ROUND(SUMIF(Rebar_Schedule!$A$5:$A$2004,A124,Rebar_Schedule!$K$5:$K$2004),1)))</f>
        <v/>
      </c>
      <c r="BF124" s="33" t="str">
        <f aca="false">IF(A124="","",IF(BE124="","No rebar schedule yet",IF(ABS(BE124-N(BA124))/MAX(N(BA124),1)&gt;SG_Criteria!$B$55,"NOTE: register rebar differs from schedule by "&amp;TEXT(ABS(BE124-N(BA124))/MAX(N(BA124),1),"0%"),"OK")))</f>
        <v/>
      </c>
      <c r="BG124" s="33" t="str">
        <f aca="false">IF(D124="","",IF(LEN(IF(AND(Z124&lt;&gt;"",IFERROR(VALUE(MID(Z124,2,2)),0)&lt;SG_Criteria!$B$19),"FAIL: grade below C"&amp;SG_Criteria!$B$19&amp;". ","")&amp;IF(AND(AA124&lt;&gt;"",AA124&lt;SG_Criteria!$B$20),"FAIL: cover &lt; "&amp;SG_Criteria!$B$20&amp;" mm. ","")&amp;IF(AND(I124&lt;&gt;"",I124&lt;SG_Criteria!$B$39),"NOTE: min depth below PUB "&amp;SG_Criteria!$B$39&amp;" m. ","")&amp;IF(AND(LEFT(D124,8)="Standard",J124&gt;SG_Criteria!$B$42),"FAIL: PUB 001C covers manholes up to "&amp;SG_Criteria!$B$42&amp;" m deep only. ","")&amp;IF(AND(LEFT(D124,11)="Rectangular",K124&lt;SG_Criteria!$B$43),"NOTE: 004C is for sewers &gt;= "&amp;SG_Criteria!$B$43&amp;" dia. ","")&amp;IF(AND(LEFT(D124,7)="Precast",J124&lt;=SG_Criteria!$B$42),"NOTE: 006C is for manholes &gt; "&amp;SG_Criteria!$B$42&amp;" m deep. ","")&amp;IF(AND(K124&lt;&gt;"",K124&lt;SG_Criteria!$B$40,D124&lt;&gt;"Inspection Chamber"),"NOTE: public sewer min dia "&amp;SG_Criteria!$B$40&amp;" mm. ","")&amp;IF(AND(Y124&lt;&gt;"",Y124&lt;SG_Criteria!$B$44),"FAIL: uplift FOS below "&amp;SG_Criteria!$B$44&amp;". ",""))=0,"OK",IF(AND(Z124&lt;&gt;"",IFERROR(VALUE(MID(Z124,2,2)),0)&lt;SG_Criteria!$B$19),"FAIL: grade below C"&amp;SG_Criteria!$B$19&amp;". ","")&amp;IF(AND(AA124&lt;&gt;"",AA124&lt;SG_Criteria!$B$20),"FAIL: cover &lt; "&amp;SG_Criteria!$B$20&amp;" mm. ","")&amp;IF(AND(I124&lt;&gt;"",I124&lt;SG_Criteria!$B$39),"NOTE: min depth below PUB "&amp;SG_Criteria!$B$39&amp;" m. ","")&amp;IF(AND(LEFT(D124,8)="Standard",J124&gt;SG_Criteria!$B$42),"FAIL: PUB 001C covers manholes up to "&amp;SG_Criteria!$B$42&amp;" m deep only. ","")&amp;IF(AND(LEFT(D124,11)="Rectangular",K124&lt;SG_Criteria!$B$43),"NOTE: 004C is for sewers &gt;= "&amp;SG_Criteria!$B$43&amp;" dia. ","")&amp;IF(AND(LEFT(D124,7)="Precast",J124&lt;=SG_Criteria!$B$42),"NOTE: 006C is for manholes &gt; "&amp;SG_Criteria!$B$42&amp;" m deep. ","")&amp;IF(AND(K124&lt;&gt;"",K124&lt;SG_Criteria!$B$40,D124&lt;&gt;"Inspection Chamber"),"NOTE: public sewer min dia "&amp;SG_Criteria!$B$40&amp;" mm. ","")&amp;IF(AND(Y124&lt;&gt;"",Y124&lt;SG_Criteria!$B$44),"FAIL: uplift FOS below "&amp;SG_Criteria!$B$44&amp;". ","")))</f>
        <v/>
      </c>
      <c r="BH124" s="9"/>
      <c r="BI124" s="9"/>
      <c r="BJ124" s="9"/>
      <c r="BK124" s="10" t="str">
        <f aca="false">IF(BJ124="","",IFERROR(VLOOKUP(BJ124,Projects!$A$5:$D$504,2,0),"Ref not in Projects"))</f>
        <v/>
      </c>
      <c r="BL124" s="10" t="str">
        <f aca="false">IF(BJ124="","",IFERROR(VLOOKUP(BJ124,Projects!$A$5:$D$504,4,0),"Ref not in Projects"))</f>
        <v/>
      </c>
      <c r="BM124" s="9"/>
      <c r="BN124" s="9"/>
      <c r="BO124" s="9"/>
      <c r="BP124" s="40"/>
      <c r="BQ124" s="9"/>
      <c r="BR124" s="40"/>
      <c r="BS124" s="9"/>
      <c r="BT124" s="40"/>
      <c r="BU124" s="9"/>
      <c r="BV124" s="9"/>
      <c r="BW124" s="9"/>
      <c r="BX124" s="40"/>
      <c r="BY124" s="40"/>
      <c r="BZ124" s="36" t="str">
        <f aca="false">IF(BY124="","",EDATE(BY124,SG_Criteria!$B$54*12))</f>
        <v/>
      </c>
      <c r="CA124" s="33" t="str">
        <f aca="true">IF(A124="","",IF(BY124="","NOTE: not reviewed yet",IF(TODAY()&gt;BZ124,"NOTE: review overdue","OK")))</f>
        <v/>
      </c>
      <c r="CB124" s="37" t="str">
        <f aca="false">IF(A124="","",ROUND((IF(LEN(D124)&gt;0,1,0)+IF(LEN(E124)&gt;0,1,0)+IF(LEN(F124)&gt;0,1,0)+IF(LEN(G124)&gt;0,1,0)+IF(LEN(I124)&gt;0,1,0)+IF(LEN(J124)&gt;0,1,0)+IF(LEN(K124)&gt;0,1,0)+IF(LEN(L124)&gt;0,1,0)+IF(LEN(M124)&gt;0,1,0)+IF(LEN(N124)&gt;0,1,0)+IF(LEN(Z124)&gt;0,1,0)+IF(LEN(AA124)&gt;0,1,0)+IF(LEN(Y124)&gt;0,1,0)+IF(LEN(AE124)&gt;0,1,0)+IF(LEN(AG124)&gt;0,1,0)+IF(LEN(AZ124)&gt;0,1,0)+IF(LEN(AK124)&gt;0,1,0)+IF(LEN(AM124)&gt;0,1,0)+IF(LEN(AN124)&gt;0,1,0)+IF(LEN(AO124)&gt;0,1,0)+IF(LEN(AP124)&gt;0,1,0)+IF(LEN(AY124)&gt;0,1,0)+IF(LEN(BJ124)&gt;0,1,0)+IF(LEN(BW124)&gt;0,1,0))/24,2))</f>
        <v/>
      </c>
      <c r="CC124" s="10" t="str">
        <f aca="false">IF(D124="","",IF(AND(AN124="Approved",ISERROR(SEARCH("FAIL",BG124))),"Y","N"))</f>
        <v/>
      </c>
      <c r="CD124" s="10" t="str">
        <f aca="false">IF(D124="","",D124&amp;"|"&amp;J124&amp;"|"&amp;G124&amp;"|"&amp;CC124)</f>
        <v/>
      </c>
    </row>
    <row r="125" customFormat="false" ht="15" hidden="false" customHeight="false" outlineLevel="0" collapsed="false">
      <c r="A125" s="10" t="str">
        <f aca="false">IF(D125="","","MH-"&amp;IFERROR(VLOOKUP(D125,Lists!$AB$4:$AC$20,2,0),"??")&amp;"-"&amp;TEXT(G125,"0000")&amp;IF(F125="Circular","D","x"&amp;TEXT(H125,"0000"))&amp;"-D"&amp;TEXT(J125*1000,"0000")&amp;"-"&amp;IFERROR(VLOOKUP(E125,Lists!$AE$4:$AF$16,2,0),"??")&amp;"-"&amp;AM125)</f>
        <v/>
      </c>
      <c r="B125" s="10" t="str">
        <f aca="false">IF(D125="","",D125&amp;", "&amp;E125&amp;", "&amp;IF(F125="Circular",G125&amp;" dia",G125&amp;" x "&amp;H125)&amp;", depth "&amp;TEXT(I125,"0.0")&amp;"-"&amp;TEXT(J125,"0.0")&amp;" m, pipe up to "&amp;K125&amp;" dia")</f>
        <v/>
      </c>
      <c r="C125" s="9"/>
      <c r="D125" s="9"/>
      <c r="E125" s="9"/>
      <c r="F125" s="9"/>
      <c r="G125" s="38"/>
      <c r="H125" s="38"/>
      <c r="I125" s="42"/>
      <c r="J125" s="42"/>
      <c r="K125" s="38"/>
      <c r="L125" s="38"/>
      <c r="M125" s="38"/>
      <c r="N125" s="38"/>
      <c r="O125" s="9"/>
      <c r="P125" s="9"/>
      <c r="Q125" s="9"/>
      <c r="R125" s="9"/>
      <c r="S125" s="9"/>
      <c r="T125" s="9"/>
      <c r="U125" s="9"/>
      <c r="V125" s="42"/>
      <c r="W125" s="9"/>
      <c r="X125" s="9"/>
      <c r="Y125" s="39"/>
      <c r="Z125" s="9"/>
      <c r="AA125" s="38"/>
      <c r="AB125" s="9"/>
      <c r="AC125" s="9"/>
      <c r="AD125" s="9"/>
      <c r="AE125" s="9"/>
      <c r="AF125" s="9"/>
      <c r="AG125" s="9"/>
      <c r="AH125" s="38"/>
      <c r="AI125" s="9"/>
      <c r="AJ125" s="39"/>
      <c r="AK125" s="9"/>
      <c r="AL125" s="9"/>
      <c r="AM125" s="9"/>
      <c r="AN125" s="9"/>
      <c r="AO125" s="9"/>
      <c r="AP125" s="9"/>
      <c r="AQ125" s="9"/>
      <c r="AR125" s="10" t="str">
        <f aca="false">IF(A125="","",SG_Criteria!$B$6&amp;SG_Criteria!$B$10&amp;"\"&amp;A125&amp;"\")</f>
        <v/>
      </c>
      <c r="AS125" s="10" t="str">
        <f aca="false">IF(A125="","",A125&amp;"_CAD.dwg")</f>
        <v/>
      </c>
      <c r="AT125" s="10" t="str">
        <f aca="false">IF(A125="","",A125&amp;"_DWG.pdf")</f>
        <v/>
      </c>
      <c r="AU125" s="10" t="str">
        <f aca="false">IF(A125="","",IF(AQ125="Y",A125&amp;"_STAAD.std","n/a"))</f>
        <v/>
      </c>
      <c r="AV125" s="10" t="str">
        <f aca="false">IF(A125="","",A125&amp;"_CALC.xlsx")</f>
        <v/>
      </c>
      <c r="AW125" s="10" t="str">
        <f aca="false">IF(A125="","",A125&amp;"_CALC.pdf")</f>
        <v/>
      </c>
      <c r="AX125" s="9"/>
      <c r="AY125" s="9"/>
      <c r="AZ125" s="39"/>
      <c r="BA125" s="39"/>
      <c r="BB125" s="39"/>
      <c r="BC125" s="39"/>
      <c r="BD125" s="39"/>
      <c r="BE125" s="12" t="str">
        <f aca="false">IF(A125="","",IF(COUNTIF(Rebar_Schedule!$A$5:$A$2004,A125)=0,"",ROUND(SUMIF(Rebar_Schedule!$A$5:$A$2004,A125,Rebar_Schedule!$K$5:$K$2004),1)))</f>
        <v/>
      </c>
      <c r="BF125" s="33" t="str">
        <f aca="false">IF(A125="","",IF(BE125="","No rebar schedule yet",IF(ABS(BE125-N(BA125))/MAX(N(BA125),1)&gt;SG_Criteria!$B$55,"NOTE: register rebar differs from schedule by "&amp;TEXT(ABS(BE125-N(BA125))/MAX(N(BA125),1),"0%"),"OK")))</f>
        <v/>
      </c>
      <c r="BG125" s="33" t="str">
        <f aca="false">IF(D125="","",IF(LEN(IF(AND(Z125&lt;&gt;"",IFERROR(VALUE(MID(Z125,2,2)),0)&lt;SG_Criteria!$B$19),"FAIL: grade below C"&amp;SG_Criteria!$B$19&amp;". ","")&amp;IF(AND(AA125&lt;&gt;"",AA125&lt;SG_Criteria!$B$20),"FAIL: cover &lt; "&amp;SG_Criteria!$B$20&amp;" mm. ","")&amp;IF(AND(I125&lt;&gt;"",I125&lt;SG_Criteria!$B$39),"NOTE: min depth below PUB "&amp;SG_Criteria!$B$39&amp;" m. ","")&amp;IF(AND(LEFT(D125,8)="Standard",J125&gt;SG_Criteria!$B$42),"FAIL: PUB 001C covers manholes up to "&amp;SG_Criteria!$B$42&amp;" m deep only. ","")&amp;IF(AND(LEFT(D125,11)="Rectangular",K125&lt;SG_Criteria!$B$43),"NOTE: 004C is for sewers &gt;= "&amp;SG_Criteria!$B$43&amp;" dia. ","")&amp;IF(AND(LEFT(D125,7)="Precast",J125&lt;=SG_Criteria!$B$42),"NOTE: 006C is for manholes &gt; "&amp;SG_Criteria!$B$42&amp;" m deep. ","")&amp;IF(AND(K125&lt;&gt;"",K125&lt;SG_Criteria!$B$40,D125&lt;&gt;"Inspection Chamber"),"NOTE: public sewer min dia "&amp;SG_Criteria!$B$40&amp;" mm. ","")&amp;IF(AND(Y125&lt;&gt;"",Y125&lt;SG_Criteria!$B$44),"FAIL: uplift FOS below "&amp;SG_Criteria!$B$44&amp;". ",""))=0,"OK",IF(AND(Z125&lt;&gt;"",IFERROR(VALUE(MID(Z125,2,2)),0)&lt;SG_Criteria!$B$19),"FAIL: grade below C"&amp;SG_Criteria!$B$19&amp;". ","")&amp;IF(AND(AA125&lt;&gt;"",AA125&lt;SG_Criteria!$B$20),"FAIL: cover &lt; "&amp;SG_Criteria!$B$20&amp;" mm. ","")&amp;IF(AND(I125&lt;&gt;"",I125&lt;SG_Criteria!$B$39),"NOTE: min depth below PUB "&amp;SG_Criteria!$B$39&amp;" m. ","")&amp;IF(AND(LEFT(D125,8)="Standard",J125&gt;SG_Criteria!$B$42),"FAIL: PUB 001C covers manholes up to "&amp;SG_Criteria!$B$42&amp;" m deep only. ","")&amp;IF(AND(LEFT(D125,11)="Rectangular",K125&lt;SG_Criteria!$B$43),"NOTE: 004C is for sewers &gt;= "&amp;SG_Criteria!$B$43&amp;" dia. ","")&amp;IF(AND(LEFT(D125,7)="Precast",J125&lt;=SG_Criteria!$B$42),"NOTE: 006C is for manholes &gt; "&amp;SG_Criteria!$B$42&amp;" m deep. ","")&amp;IF(AND(K125&lt;&gt;"",K125&lt;SG_Criteria!$B$40,D125&lt;&gt;"Inspection Chamber"),"NOTE: public sewer min dia "&amp;SG_Criteria!$B$40&amp;" mm. ","")&amp;IF(AND(Y125&lt;&gt;"",Y125&lt;SG_Criteria!$B$44),"FAIL: uplift FOS below "&amp;SG_Criteria!$B$44&amp;". ","")))</f>
        <v/>
      </c>
      <c r="BH125" s="9"/>
      <c r="BI125" s="9"/>
      <c r="BJ125" s="9"/>
      <c r="BK125" s="10" t="str">
        <f aca="false">IF(BJ125="","",IFERROR(VLOOKUP(BJ125,Projects!$A$5:$D$504,2,0),"Ref not in Projects"))</f>
        <v/>
      </c>
      <c r="BL125" s="10" t="str">
        <f aca="false">IF(BJ125="","",IFERROR(VLOOKUP(BJ125,Projects!$A$5:$D$504,4,0),"Ref not in Projects"))</f>
        <v/>
      </c>
      <c r="BM125" s="9"/>
      <c r="BN125" s="9"/>
      <c r="BO125" s="9"/>
      <c r="BP125" s="40"/>
      <c r="BQ125" s="9"/>
      <c r="BR125" s="40"/>
      <c r="BS125" s="9"/>
      <c r="BT125" s="40"/>
      <c r="BU125" s="9"/>
      <c r="BV125" s="9"/>
      <c r="BW125" s="9"/>
      <c r="BX125" s="40"/>
      <c r="BY125" s="40"/>
      <c r="BZ125" s="36" t="str">
        <f aca="false">IF(BY125="","",EDATE(BY125,SG_Criteria!$B$54*12))</f>
        <v/>
      </c>
      <c r="CA125" s="33" t="str">
        <f aca="true">IF(A125="","",IF(BY125="","NOTE: not reviewed yet",IF(TODAY()&gt;BZ125,"NOTE: review overdue","OK")))</f>
        <v/>
      </c>
      <c r="CB125" s="37" t="str">
        <f aca="false">IF(A125="","",ROUND((IF(LEN(D125)&gt;0,1,0)+IF(LEN(E125)&gt;0,1,0)+IF(LEN(F125)&gt;0,1,0)+IF(LEN(G125)&gt;0,1,0)+IF(LEN(I125)&gt;0,1,0)+IF(LEN(J125)&gt;0,1,0)+IF(LEN(K125)&gt;0,1,0)+IF(LEN(L125)&gt;0,1,0)+IF(LEN(M125)&gt;0,1,0)+IF(LEN(N125)&gt;0,1,0)+IF(LEN(Z125)&gt;0,1,0)+IF(LEN(AA125)&gt;0,1,0)+IF(LEN(Y125)&gt;0,1,0)+IF(LEN(AE125)&gt;0,1,0)+IF(LEN(AG125)&gt;0,1,0)+IF(LEN(AZ125)&gt;0,1,0)+IF(LEN(AK125)&gt;0,1,0)+IF(LEN(AM125)&gt;0,1,0)+IF(LEN(AN125)&gt;0,1,0)+IF(LEN(AO125)&gt;0,1,0)+IF(LEN(AP125)&gt;0,1,0)+IF(LEN(AY125)&gt;0,1,0)+IF(LEN(BJ125)&gt;0,1,0)+IF(LEN(BW125)&gt;0,1,0))/24,2))</f>
        <v/>
      </c>
      <c r="CC125" s="10" t="str">
        <f aca="false">IF(D125="","",IF(AND(AN125="Approved",ISERROR(SEARCH("FAIL",BG125))),"Y","N"))</f>
        <v/>
      </c>
      <c r="CD125" s="10" t="str">
        <f aca="false">IF(D125="","",D125&amp;"|"&amp;J125&amp;"|"&amp;G125&amp;"|"&amp;CC125)</f>
        <v/>
      </c>
    </row>
    <row r="126" customFormat="false" ht="15" hidden="false" customHeight="false" outlineLevel="0" collapsed="false">
      <c r="A126" s="10" t="str">
        <f aca="false">IF(D126="","","MH-"&amp;IFERROR(VLOOKUP(D126,Lists!$AB$4:$AC$20,2,0),"??")&amp;"-"&amp;TEXT(G126,"0000")&amp;IF(F126="Circular","D","x"&amp;TEXT(H126,"0000"))&amp;"-D"&amp;TEXT(J126*1000,"0000")&amp;"-"&amp;IFERROR(VLOOKUP(E126,Lists!$AE$4:$AF$16,2,0),"??")&amp;"-"&amp;AM126)</f>
        <v/>
      </c>
      <c r="B126" s="10" t="str">
        <f aca="false">IF(D126="","",D126&amp;", "&amp;E126&amp;", "&amp;IF(F126="Circular",G126&amp;" dia",G126&amp;" x "&amp;H126)&amp;", depth "&amp;TEXT(I126,"0.0")&amp;"-"&amp;TEXT(J126,"0.0")&amp;" m, pipe up to "&amp;K126&amp;" dia")</f>
        <v/>
      </c>
      <c r="C126" s="9"/>
      <c r="D126" s="9"/>
      <c r="E126" s="9"/>
      <c r="F126" s="9"/>
      <c r="G126" s="38"/>
      <c r="H126" s="38"/>
      <c r="I126" s="42"/>
      <c r="J126" s="42"/>
      <c r="K126" s="38"/>
      <c r="L126" s="38"/>
      <c r="M126" s="38"/>
      <c r="N126" s="38"/>
      <c r="O126" s="9"/>
      <c r="P126" s="9"/>
      <c r="Q126" s="9"/>
      <c r="R126" s="9"/>
      <c r="S126" s="9"/>
      <c r="T126" s="9"/>
      <c r="U126" s="9"/>
      <c r="V126" s="42"/>
      <c r="W126" s="9"/>
      <c r="X126" s="9"/>
      <c r="Y126" s="39"/>
      <c r="Z126" s="9"/>
      <c r="AA126" s="38"/>
      <c r="AB126" s="9"/>
      <c r="AC126" s="9"/>
      <c r="AD126" s="9"/>
      <c r="AE126" s="9"/>
      <c r="AF126" s="9"/>
      <c r="AG126" s="9"/>
      <c r="AH126" s="38"/>
      <c r="AI126" s="9"/>
      <c r="AJ126" s="39"/>
      <c r="AK126" s="9"/>
      <c r="AL126" s="9"/>
      <c r="AM126" s="9"/>
      <c r="AN126" s="9"/>
      <c r="AO126" s="9"/>
      <c r="AP126" s="9"/>
      <c r="AQ126" s="9"/>
      <c r="AR126" s="10" t="str">
        <f aca="false">IF(A126="","",SG_Criteria!$B$6&amp;SG_Criteria!$B$10&amp;"\"&amp;A126&amp;"\")</f>
        <v/>
      </c>
      <c r="AS126" s="10" t="str">
        <f aca="false">IF(A126="","",A126&amp;"_CAD.dwg")</f>
        <v/>
      </c>
      <c r="AT126" s="10" t="str">
        <f aca="false">IF(A126="","",A126&amp;"_DWG.pdf")</f>
        <v/>
      </c>
      <c r="AU126" s="10" t="str">
        <f aca="false">IF(A126="","",IF(AQ126="Y",A126&amp;"_STAAD.std","n/a"))</f>
        <v/>
      </c>
      <c r="AV126" s="10" t="str">
        <f aca="false">IF(A126="","",A126&amp;"_CALC.xlsx")</f>
        <v/>
      </c>
      <c r="AW126" s="10" t="str">
        <f aca="false">IF(A126="","",A126&amp;"_CALC.pdf")</f>
        <v/>
      </c>
      <c r="AX126" s="9"/>
      <c r="AY126" s="9"/>
      <c r="AZ126" s="39"/>
      <c r="BA126" s="39"/>
      <c r="BB126" s="39"/>
      <c r="BC126" s="39"/>
      <c r="BD126" s="39"/>
      <c r="BE126" s="12" t="str">
        <f aca="false">IF(A126="","",IF(COUNTIF(Rebar_Schedule!$A$5:$A$2004,A126)=0,"",ROUND(SUMIF(Rebar_Schedule!$A$5:$A$2004,A126,Rebar_Schedule!$K$5:$K$2004),1)))</f>
        <v/>
      </c>
      <c r="BF126" s="33" t="str">
        <f aca="false">IF(A126="","",IF(BE126="","No rebar schedule yet",IF(ABS(BE126-N(BA126))/MAX(N(BA126),1)&gt;SG_Criteria!$B$55,"NOTE: register rebar differs from schedule by "&amp;TEXT(ABS(BE126-N(BA126))/MAX(N(BA126),1),"0%"),"OK")))</f>
        <v/>
      </c>
      <c r="BG126" s="33" t="str">
        <f aca="false">IF(D126="","",IF(LEN(IF(AND(Z126&lt;&gt;"",IFERROR(VALUE(MID(Z126,2,2)),0)&lt;SG_Criteria!$B$19),"FAIL: grade below C"&amp;SG_Criteria!$B$19&amp;". ","")&amp;IF(AND(AA126&lt;&gt;"",AA126&lt;SG_Criteria!$B$20),"FAIL: cover &lt; "&amp;SG_Criteria!$B$20&amp;" mm. ","")&amp;IF(AND(I126&lt;&gt;"",I126&lt;SG_Criteria!$B$39),"NOTE: min depth below PUB "&amp;SG_Criteria!$B$39&amp;" m. ","")&amp;IF(AND(LEFT(D126,8)="Standard",J126&gt;SG_Criteria!$B$42),"FAIL: PUB 001C covers manholes up to "&amp;SG_Criteria!$B$42&amp;" m deep only. ","")&amp;IF(AND(LEFT(D126,11)="Rectangular",K126&lt;SG_Criteria!$B$43),"NOTE: 004C is for sewers &gt;= "&amp;SG_Criteria!$B$43&amp;" dia. ","")&amp;IF(AND(LEFT(D126,7)="Precast",J126&lt;=SG_Criteria!$B$42),"NOTE: 006C is for manholes &gt; "&amp;SG_Criteria!$B$42&amp;" m deep. ","")&amp;IF(AND(K126&lt;&gt;"",K126&lt;SG_Criteria!$B$40,D126&lt;&gt;"Inspection Chamber"),"NOTE: public sewer min dia "&amp;SG_Criteria!$B$40&amp;" mm. ","")&amp;IF(AND(Y126&lt;&gt;"",Y126&lt;SG_Criteria!$B$44),"FAIL: uplift FOS below "&amp;SG_Criteria!$B$44&amp;". ",""))=0,"OK",IF(AND(Z126&lt;&gt;"",IFERROR(VALUE(MID(Z126,2,2)),0)&lt;SG_Criteria!$B$19),"FAIL: grade below C"&amp;SG_Criteria!$B$19&amp;". ","")&amp;IF(AND(AA126&lt;&gt;"",AA126&lt;SG_Criteria!$B$20),"FAIL: cover &lt; "&amp;SG_Criteria!$B$20&amp;" mm. ","")&amp;IF(AND(I126&lt;&gt;"",I126&lt;SG_Criteria!$B$39),"NOTE: min depth below PUB "&amp;SG_Criteria!$B$39&amp;" m. ","")&amp;IF(AND(LEFT(D126,8)="Standard",J126&gt;SG_Criteria!$B$42),"FAIL: PUB 001C covers manholes up to "&amp;SG_Criteria!$B$42&amp;" m deep only. ","")&amp;IF(AND(LEFT(D126,11)="Rectangular",K126&lt;SG_Criteria!$B$43),"NOTE: 004C is for sewers &gt;= "&amp;SG_Criteria!$B$43&amp;" dia. ","")&amp;IF(AND(LEFT(D126,7)="Precast",J126&lt;=SG_Criteria!$B$42),"NOTE: 006C is for manholes &gt; "&amp;SG_Criteria!$B$42&amp;" m deep. ","")&amp;IF(AND(K126&lt;&gt;"",K126&lt;SG_Criteria!$B$40,D126&lt;&gt;"Inspection Chamber"),"NOTE: public sewer min dia "&amp;SG_Criteria!$B$40&amp;" mm. ","")&amp;IF(AND(Y126&lt;&gt;"",Y126&lt;SG_Criteria!$B$44),"FAIL: uplift FOS below "&amp;SG_Criteria!$B$44&amp;". ","")))</f>
        <v/>
      </c>
      <c r="BH126" s="9"/>
      <c r="BI126" s="9"/>
      <c r="BJ126" s="9"/>
      <c r="BK126" s="10" t="str">
        <f aca="false">IF(BJ126="","",IFERROR(VLOOKUP(BJ126,Projects!$A$5:$D$504,2,0),"Ref not in Projects"))</f>
        <v/>
      </c>
      <c r="BL126" s="10" t="str">
        <f aca="false">IF(BJ126="","",IFERROR(VLOOKUP(BJ126,Projects!$A$5:$D$504,4,0),"Ref not in Projects"))</f>
        <v/>
      </c>
      <c r="BM126" s="9"/>
      <c r="BN126" s="9"/>
      <c r="BO126" s="9"/>
      <c r="BP126" s="40"/>
      <c r="BQ126" s="9"/>
      <c r="BR126" s="40"/>
      <c r="BS126" s="9"/>
      <c r="BT126" s="40"/>
      <c r="BU126" s="9"/>
      <c r="BV126" s="9"/>
      <c r="BW126" s="9"/>
      <c r="BX126" s="40"/>
      <c r="BY126" s="40"/>
      <c r="BZ126" s="36" t="str">
        <f aca="false">IF(BY126="","",EDATE(BY126,SG_Criteria!$B$54*12))</f>
        <v/>
      </c>
      <c r="CA126" s="33" t="str">
        <f aca="true">IF(A126="","",IF(BY126="","NOTE: not reviewed yet",IF(TODAY()&gt;BZ126,"NOTE: review overdue","OK")))</f>
        <v/>
      </c>
      <c r="CB126" s="37" t="str">
        <f aca="false">IF(A126="","",ROUND((IF(LEN(D126)&gt;0,1,0)+IF(LEN(E126)&gt;0,1,0)+IF(LEN(F126)&gt;0,1,0)+IF(LEN(G126)&gt;0,1,0)+IF(LEN(I126)&gt;0,1,0)+IF(LEN(J126)&gt;0,1,0)+IF(LEN(K126)&gt;0,1,0)+IF(LEN(L126)&gt;0,1,0)+IF(LEN(M126)&gt;0,1,0)+IF(LEN(N126)&gt;0,1,0)+IF(LEN(Z126)&gt;0,1,0)+IF(LEN(AA126)&gt;0,1,0)+IF(LEN(Y126)&gt;0,1,0)+IF(LEN(AE126)&gt;0,1,0)+IF(LEN(AG126)&gt;0,1,0)+IF(LEN(AZ126)&gt;0,1,0)+IF(LEN(AK126)&gt;0,1,0)+IF(LEN(AM126)&gt;0,1,0)+IF(LEN(AN126)&gt;0,1,0)+IF(LEN(AO126)&gt;0,1,0)+IF(LEN(AP126)&gt;0,1,0)+IF(LEN(AY126)&gt;0,1,0)+IF(LEN(BJ126)&gt;0,1,0)+IF(LEN(BW126)&gt;0,1,0))/24,2))</f>
        <v/>
      </c>
      <c r="CC126" s="10" t="str">
        <f aca="false">IF(D126="","",IF(AND(AN126="Approved",ISERROR(SEARCH("FAIL",BG126))),"Y","N"))</f>
        <v/>
      </c>
      <c r="CD126" s="10" t="str">
        <f aca="false">IF(D126="","",D126&amp;"|"&amp;J126&amp;"|"&amp;G126&amp;"|"&amp;CC126)</f>
        <v/>
      </c>
    </row>
    <row r="127" customFormat="false" ht="15" hidden="false" customHeight="false" outlineLevel="0" collapsed="false">
      <c r="A127" s="10" t="str">
        <f aca="false">IF(D127="","","MH-"&amp;IFERROR(VLOOKUP(D127,Lists!$AB$4:$AC$20,2,0),"??")&amp;"-"&amp;TEXT(G127,"0000")&amp;IF(F127="Circular","D","x"&amp;TEXT(H127,"0000"))&amp;"-D"&amp;TEXT(J127*1000,"0000")&amp;"-"&amp;IFERROR(VLOOKUP(E127,Lists!$AE$4:$AF$16,2,0),"??")&amp;"-"&amp;AM127)</f>
        <v/>
      </c>
      <c r="B127" s="10" t="str">
        <f aca="false">IF(D127="","",D127&amp;", "&amp;E127&amp;", "&amp;IF(F127="Circular",G127&amp;" dia",G127&amp;" x "&amp;H127)&amp;", depth "&amp;TEXT(I127,"0.0")&amp;"-"&amp;TEXT(J127,"0.0")&amp;" m, pipe up to "&amp;K127&amp;" dia")</f>
        <v/>
      </c>
      <c r="C127" s="9"/>
      <c r="D127" s="9"/>
      <c r="E127" s="9"/>
      <c r="F127" s="9"/>
      <c r="G127" s="38"/>
      <c r="H127" s="38"/>
      <c r="I127" s="42"/>
      <c r="J127" s="42"/>
      <c r="K127" s="38"/>
      <c r="L127" s="38"/>
      <c r="M127" s="38"/>
      <c r="N127" s="38"/>
      <c r="O127" s="9"/>
      <c r="P127" s="9"/>
      <c r="Q127" s="9"/>
      <c r="R127" s="9"/>
      <c r="S127" s="9"/>
      <c r="T127" s="9"/>
      <c r="U127" s="9"/>
      <c r="V127" s="42"/>
      <c r="W127" s="9"/>
      <c r="X127" s="9"/>
      <c r="Y127" s="39"/>
      <c r="Z127" s="9"/>
      <c r="AA127" s="38"/>
      <c r="AB127" s="9"/>
      <c r="AC127" s="9"/>
      <c r="AD127" s="9"/>
      <c r="AE127" s="9"/>
      <c r="AF127" s="9"/>
      <c r="AG127" s="9"/>
      <c r="AH127" s="38"/>
      <c r="AI127" s="9"/>
      <c r="AJ127" s="39"/>
      <c r="AK127" s="9"/>
      <c r="AL127" s="9"/>
      <c r="AM127" s="9"/>
      <c r="AN127" s="9"/>
      <c r="AO127" s="9"/>
      <c r="AP127" s="9"/>
      <c r="AQ127" s="9"/>
      <c r="AR127" s="10" t="str">
        <f aca="false">IF(A127="","",SG_Criteria!$B$6&amp;SG_Criteria!$B$10&amp;"\"&amp;A127&amp;"\")</f>
        <v/>
      </c>
      <c r="AS127" s="10" t="str">
        <f aca="false">IF(A127="","",A127&amp;"_CAD.dwg")</f>
        <v/>
      </c>
      <c r="AT127" s="10" t="str">
        <f aca="false">IF(A127="","",A127&amp;"_DWG.pdf")</f>
        <v/>
      </c>
      <c r="AU127" s="10" t="str">
        <f aca="false">IF(A127="","",IF(AQ127="Y",A127&amp;"_STAAD.std","n/a"))</f>
        <v/>
      </c>
      <c r="AV127" s="10" t="str">
        <f aca="false">IF(A127="","",A127&amp;"_CALC.xlsx")</f>
        <v/>
      </c>
      <c r="AW127" s="10" t="str">
        <f aca="false">IF(A127="","",A127&amp;"_CALC.pdf")</f>
        <v/>
      </c>
      <c r="AX127" s="9"/>
      <c r="AY127" s="9"/>
      <c r="AZ127" s="39"/>
      <c r="BA127" s="39"/>
      <c r="BB127" s="39"/>
      <c r="BC127" s="39"/>
      <c r="BD127" s="39"/>
      <c r="BE127" s="12" t="str">
        <f aca="false">IF(A127="","",IF(COUNTIF(Rebar_Schedule!$A$5:$A$2004,A127)=0,"",ROUND(SUMIF(Rebar_Schedule!$A$5:$A$2004,A127,Rebar_Schedule!$K$5:$K$2004),1)))</f>
        <v/>
      </c>
      <c r="BF127" s="33" t="str">
        <f aca="false">IF(A127="","",IF(BE127="","No rebar schedule yet",IF(ABS(BE127-N(BA127))/MAX(N(BA127),1)&gt;SG_Criteria!$B$55,"NOTE: register rebar differs from schedule by "&amp;TEXT(ABS(BE127-N(BA127))/MAX(N(BA127),1),"0%"),"OK")))</f>
        <v/>
      </c>
      <c r="BG127" s="33" t="str">
        <f aca="false">IF(D127="","",IF(LEN(IF(AND(Z127&lt;&gt;"",IFERROR(VALUE(MID(Z127,2,2)),0)&lt;SG_Criteria!$B$19),"FAIL: grade below C"&amp;SG_Criteria!$B$19&amp;". ","")&amp;IF(AND(AA127&lt;&gt;"",AA127&lt;SG_Criteria!$B$20),"FAIL: cover &lt; "&amp;SG_Criteria!$B$20&amp;" mm. ","")&amp;IF(AND(I127&lt;&gt;"",I127&lt;SG_Criteria!$B$39),"NOTE: min depth below PUB "&amp;SG_Criteria!$B$39&amp;" m. ","")&amp;IF(AND(LEFT(D127,8)="Standard",J127&gt;SG_Criteria!$B$42),"FAIL: PUB 001C covers manholes up to "&amp;SG_Criteria!$B$42&amp;" m deep only. ","")&amp;IF(AND(LEFT(D127,11)="Rectangular",K127&lt;SG_Criteria!$B$43),"NOTE: 004C is for sewers &gt;= "&amp;SG_Criteria!$B$43&amp;" dia. ","")&amp;IF(AND(LEFT(D127,7)="Precast",J127&lt;=SG_Criteria!$B$42),"NOTE: 006C is for manholes &gt; "&amp;SG_Criteria!$B$42&amp;" m deep. ","")&amp;IF(AND(K127&lt;&gt;"",K127&lt;SG_Criteria!$B$40,D127&lt;&gt;"Inspection Chamber"),"NOTE: public sewer min dia "&amp;SG_Criteria!$B$40&amp;" mm. ","")&amp;IF(AND(Y127&lt;&gt;"",Y127&lt;SG_Criteria!$B$44),"FAIL: uplift FOS below "&amp;SG_Criteria!$B$44&amp;". ",""))=0,"OK",IF(AND(Z127&lt;&gt;"",IFERROR(VALUE(MID(Z127,2,2)),0)&lt;SG_Criteria!$B$19),"FAIL: grade below C"&amp;SG_Criteria!$B$19&amp;". ","")&amp;IF(AND(AA127&lt;&gt;"",AA127&lt;SG_Criteria!$B$20),"FAIL: cover &lt; "&amp;SG_Criteria!$B$20&amp;" mm. ","")&amp;IF(AND(I127&lt;&gt;"",I127&lt;SG_Criteria!$B$39),"NOTE: min depth below PUB "&amp;SG_Criteria!$B$39&amp;" m. ","")&amp;IF(AND(LEFT(D127,8)="Standard",J127&gt;SG_Criteria!$B$42),"FAIL: PUB 001C covers manholes up to "&amp;SG_Criteria!$B$42&amp;" m deep only. ","")&amp;IF(AND(LEFT(D127,11)="Rectangular",K127&lt;SG_Criteria!$B$43),"NOTE: 004C is for sewers &gt;= "&amp;SG_Criteria!$B$43&amp;" dia. ","")&amp;IF(AND(LEFT(D127,7)="Precast",J127&lt;=SG_Criteria!$B$42),"NOTE: 006C is for manholes &gt; "&amp;SG_Criteria!$B$42&amp;" m deep. ","")&amp;IF(AND(K127&lt;&gt;"",K127&lt;SG_Criteria!$B$40,D127&lt;&gt;"Inspection Chamber"),"NOTE: public sewer min dia "&amp;SG_Criteria!$B$40&amp;" mm. ","")&amp;IF(AND(Y127&lt;&gt;"",Y127&lt;SG_Criteria!$B$44),"FAIL: uplift FOS below "&amp;SG_Criteria!$B$44&amp;". ","")))</f>
        <v/>
      </c>
      <c r="BH127" s="9"/>
      <c r="BI127" s="9"/>
      <c r="BJ127" s="9"/>
      <c r="BK127" s="10" t="str">
        <f aca="false">IF(BJ127="","",IFERROR(VLOOKUP(BJ127,Projects!$A$5:$D$504,2,0),"Ref not in Projects"))</f>
        <v/>
      </c>
      <c r="BL127" s="10" t="str">
        <f aca="false">IF(BJ127="","",IFERROR(VLOOKUP(BJ127,Projects!$A$5:$D$504,4,0),"Ref not in Projects"))</f>
        <v/>
      </c>
      <c r="BM127" s="9"/>
      <c r="BN127" s="9"/>
      <c r="BO127" s="9"/>
      <c r="BP127" s="40"/>
      <c r="BQ127" s="9"/>
      <c r="BR127" s="40"/>
      <c r="BS127" s="9"/>
      <c r="BT127" s="40"/>
      <c r="BU127" s="9"/>
      <c r="BV127" s="9"/>
      <c r="BW127" s="9"/>
      <c r="BX127" s="40"/>
      <c r="BY127" s="40"/>
      <c r="BZ127" s="36" t="str">
        <f aca="false">IF(BY127="","",EDATE(BY127,SG_Criteria!$B$54*12))</f>
        <v/>
      </c>
      <c r="CA127" s="33" t="str">
        <f aca="true">IF(A127="","",IF(BY127="","NOTE: not reviewed yet",IF(TODAY()&gt;BZ127,"NOTE: review overdue","OK")))</f>
        <v/>
      </c>
      <c r="CB127" s="37" t="str">
        <f aca="false">IF(A127="","",ROUND((IF(LEN(D127)&gt;0,1,0)+IF(LEN(E127)&gt;0,1,0)+IF(LEN(F127)&gt;0,1,0)+IF(LEN(G127)&gt;0,1,0)+IF(LEN(I127)&gt;0,1,0)+IF(LEN(J127)&gt;0,1,0)+IF(LEN(K127)&gt;0,1,0)+IF(LEN(L127)&gt;0,1,0)+IF(LEN(M127)&gt;0,1,0)+IF(LEN(N127)&gt;0,1,0)+IF(LEN(Z127)&gt;0,1,0)+IF(LEN(AA127)&gt;0,1,0)+IF(LEN(Y127)&gt;0,1,0)+IF(LEN(AE127)&gt;0,1,0)+IF(LEN(AG127)&gt;0,1,0)+IF(LEN(AZ127)&gt;0,1,0)+IF(LEN(AK127)&gt;0,1,0)+IF(LEN(AM127)&gt;0,1,0)+IF(LEN(AN127)&gt;0,1,0)+IF(LEN(AO127)&gt;0,1,0)+IF(LEN(AP127)&gt;0,1,0)+IF(LEN(AY127)&gt;0,1,0)+IF(LEN(BJ127)&gt;0,1,0)+IF(LEN(BW127)&gt;0,1,0))/24,2))</f>
        <v/>
      </c>
      <c r="CC127" s="10" t="str">
        <f aca="false">IF(D127="","",IF(AND(AN127="Approved",ISERROR(SEARCH("FAIL",BG127))),"Y","N"))</f>
        <v/>
      </c>
      <c r="CD127" s="10" t="str">
        <f aca="false">IF(D127="","",D127&amp;"|"&amp;J127&amp;"|"&amp;G127&amp;"|"&amp;CC127)</f>
        <v/>
      </c>
    </row>
    <row r="128" customFormat="false" ht="15" hidden="false" customHeight="false" outlineLevel="0" collapsed="false">
      <c r="A128" s="10" t="str">
        <f aca="false">IF(D128="","","MH-"&amp;IFERROR(VLOOKUP(D128,Lists!$AB$4:$AC$20,2,0),"??")&amp;"-"&amp;TEXT(G128,"0000")&amp;IF(F128="Circular","D","x"&amp;TEXT(H128,"0000"))&amp;"-D"&amp;TEXT(J128*1000,"0000")&amp;"-"&amp;IFERROR(VLOOKUP(E128,Lists!$AE$4:$AF$16,2,0),"??")&amp;"-"&amp;AM128)</f>
        <v/>
      </c>
      <c r="B128" s="10" t="str">
        <f aca="false">IF(D128="","",D128&amp;", "&amp;E128&amp;", "&amp;IF(F128="Circular",G128&amp;" dia",G128&amp;" x "&amp;H128)&amp;", depth "&amp;TEXT(I128,"0.0")&amp;"-"&amp;TEXT(J128,"0.0")&amp;" m, pipe up to "&amp;K128&amp;" dia")</f>
        <v/>
      </c>
      <c r="C128" s="9"/>
      <c r="D128" s="9"/>
      <c r="E128" s="9"/>
      <c r="F128" s="9"/>
      <c r="G128" s="38"/>
      <c r="H128" s="38"/>
      <c r="I128" s="42"/>
      <c r="J128" s="42"/>
      <c r="K128" s="38"/>
      <c r="L128" s="38"/>
      <c r="M128" s="38"/>
      <c r="N128" s="38"/>
      <c r="O128" s="9"/>
      <c r="P128" s="9"/>
      <c r="Q128" s="9"/>
      <c r="R128" s="9"/>
      <c r="S128" s="9"/>
      <c r="T128" s="9"/>
      <c r="U128" s="9"/>
      <c r="V128" s="42"/>
      <c r="W128" s="9"/>
      <c r="X128" s="9"/>
      <c r="Y128" s="39"/>
      <c r="Z128" s="9"/>
      <c r="AA128" s="38"/>
      <c r="AB128" s="9"/>
      <c r="AC128" s="9"/>
      <c r="AD128" s="9"/>
      <c r="AE128" s="9"/>
      <c r="AF128" s="9"/>
      <c r="AG128" s="9"/>
      <c r="AH128" s="38"/>
      <c r="AI128" s="9"/>
      <c r="AJ128" s="39"/>
      <c r="AK128" s="9"/>
      <c r="AL128" s="9"/>
      <c r="AM128" s="9"/>
      <c r="AN128" s="9"/>
      <c r="AO128" s="9"/>
      <c r="AP128" s="9"/>
      <c r="AQ128" s="9"/>
      <c r="AR128" s="10" t="str">
        <f aca="false">IF(A128="","",SG_Criteria!$B$6&amp;SG_Criteria!$B$10&amp;"\"&amp;A128&amp;"\")</f>
        <v/>
      </c>
      <c r="AS128" s="10" t="str">
        <f aca="false">IF(A128="","",A128&amp;"_CAD.dwg")</f>
        <v/>
      </c>
      <c r="AT128" s="10" t="str">
        <f aca="false">IF(A128="","",A128&amp;"_DWG.pdf")</f>
        <v/>
      </c>
      <c r="AU128" s="10" t="str">
        <f aca="false">IF(A128="","",IF(AQ128="Y",A128&amp;"_STAAD.std","n/a"))</f>
        <v/>
      </c>
      <c r="AV128" s="10" t="str">
        <f aca="false">IF(A128="","",A128&amp;"_CALC.xlsx")</f>
        <v/>
      </c>
      <c r="AW128" s="10" t="str">
        <f aca="false">IF(A128="","",A128&amp;"_CALC.pdf")</f>
        <v/>
      </c>
      <c r="AX128" s="9"/>
      <c r="AY128" s="9"/>
      <c r="AZ128" s="39"/>
      <c r="BA128" s="39"/>
      <c r="BB128" s="39"/>
      <c r="BC128" s="39"/>
      <c r="BD128" s="39"/>
      <c r="BE128" s="12" t="str">
        <f aca="false">IF(A128="","",IF(COUNTIF(Rebar_Schedule!$A$5:$A$2004,A128)=0,"",ROUND(SUMIF(Rebar_Schedule!$A$5:$A$2004,A128,Rebar_Schedule!$K$5:$K$2004),1)))</f>
        <v/>
      </c>
      <c r="BF128" s="33" t="str">
        <f aca="false">IF(A128="","",IF(BE128="","No rebar schedule yet",IF(ABS(BE128-N(BA128))/MAX(N(BA128),1)&gt;SG_Criteria!$B$55,"NOTE: register rebar differs from schedule by "&amp;TEXT(ABS(BE128-N(BA128))/MAX(N(BA128),1),"0%"),"OK")))</f>
        <v/>
      </c>
      <c r="BG128" s="33" t="str">
        <f aca="false">IF(D128="","",IF(LEN(IF(AND(Z128&lt;&gt;"",IFERROR(VALUE(MID(Z128,2,2)),0)&lt;SG_Criteria!$B$19),"FAIL: grade below C"&amp;SG_Criteria!$B$19&amp;". ","")&amp;IF(AND(AA128&lt;&gt;"",AA128&lt;SG_Criteria!$B$20),"FAIL: cover &lt; "&amp;SG_Criteria!$B$20&amp;" mm. ","")&amp;IF(AND(I128&lt;&gt;"",I128&lt;SG_Criteria!$B$39),"NOTE: min depth below PUB "&amp;SG_Criteria!$B$39&amp;" m. ","")&amp;IF(AND(LEFT(D128,8)="Standard",J128&gt;SG_Criteria!$B$42),"FAIL: PUB 001C covers manholes up to "&amp;SG_Criteria!$B$42&amp;" m deep only. ","")&amp;IF(AND(LEFT(D128,11)="Rectangular",K128&lt;SG_Criteria!$B$43),"NOTE: 004C is for sewers &gt;= "&amp;SG_Criteria!$B$43&amp;" dia. ","")&amp;IF(AND(LEFT(D128,7)="Precast",J128&lt;=SG_Criteria!$B$42),"NOTE: 006C is for manholes &gt; "&amp;SG_Criteria!$B$42&amp;" m deep. ","")&amp;IF(AND(K128&lt;&gt;"",K128&lt;SG_Criteria!$B$40,D128&lt;&gt;"Inspection Chamber"),"NOTE: public sewer min dia "&amp;SG_Criteria!$B$40&amp;" mm. ","")&amp;IF(AND(Y128&lt;&gt;"",Y128&lt;SG_Criteria!$B$44),"FAIL: uplift FOS below "&amp;SG_Criteria!$B$44&amp;". ",""))=0,"OK",IF(AND(Z128&lt;&gt;"",IFERROR(VALUE(MID(Z128,2,2)),0)&lt;SG_Criteria!$B$19),"FAIL: grade below C"&amp;SG_Criteria!$B$19&amp;". ","")&amp;IF(AND(AA128&lt;&gt;"",AA128&lt;SG_Criteria!$B$20),"FAIL: cover &lt; "&amp;SG_Criteria!$B$20&amp;" mm. ","")&amp;IF(AND(I128&lt;&gt;"",I128&lt;SG_Criteria!$B$39),"NOTE: min depth below PUB "&amp;SG_Criteria!$B$39&amp;" m. ","")&amp;IF(AND(LEFT(D128,8)="Standard",J128&gt;SG_Criteria!$B$42),"FAIL: PUB 001C covers manholes up to "&amp;SG_Criteria!$B$42&amp;" m deep only. ","")&amp;IF(AND(LEFT(D128,11)="Rectangular",K128&lt;SG_Criteria!$B$43),"NOTE: 004C is for sewers &gt;= "&amp;SG_Criteria!$B$43&amp;" dia. ","")&amp;IF(AND(LEFT(D128,7)="Precast",J128&lt;=SG_Criteria!$B$42),"NOTE: 006C is for manholes &gt; "&amp;SG_Criteria!$B$42&amp;" m deep. ","")&amp;IF(AND(K128&lt;&gt;"",K128&lt;SG_Criteria!$B$40,D128&lt;&gt;"Inspection Chamber"),"NOTE: public sewer min dia "&amp;SG_Criteria!$B$40&amp;" mm. ","")&amp;IF(AND(Y128&lt;&gt;"",Y128&lt;SG_Criteria!$B$44),"FAIL: uplift FOS below "&amp;SG_Criteria!$B$44&amp;". ","")))</f>
        <v/>
      </c>
      <c r="BH128" s="9"/>
      <c r="BI128" s="9"/>
      <c r="BJ128" s="9"/>
      <c r="BK128" s="10" t="str">
        <f aca="false">IF(BJ128="","",IFERROR(VLOOKUP(BJ128,Projects!$A$5:$D$504,2,0),"Ref not in Projects"))</f>
        <v/>
      </c>
      <c r="BL128" s="10" t="str">
        <f aca="false">IF(BJ128="","",IFERROR(VLOOKUP(BJ128,Projects!$A$5:$D$504,4,0),"Ref not in Projects"))</f>
        <v/>
      </c>
      <c r="BM128" s="9"/>
      <c r="BN128" s="9"/>
      <c r="BO128" s="9"/>
      <c r="BP128" s="40"/>
      <c r="BQ128" s="9"/>
      <c r="BR128" s="40"/>
      <c r="BS128" s="9"/>
      <c r="BT128" s="40"/>
      <c r="BU128" s="9"/>
      <c r="BV128" s="9"/>
      <c r="BW128" s="9"/>
      <c r="BX128" s="40"/>
      <c r="BY128" s="40"/>
      <c r="BZ128" s="36" t="str">
        <f aca="false">IF(BY128="","",EDATE(BY128,SG_Criteria!$B$54*12))</f>
        <v/>
      </c>
      <c r="CA128" s="33" t="str">
        <f aca="true">IF(A128="","",IF(BY128="","NOTE: not reviewed yet",IF(TODAY()&gt;BZ128,"NOTE: review overdue","OK")))</f>
        <v/>
      </c>
      <c r="CB128" s="37" t="str">
        <f aca="false">IF(A128="","",ROUND((IF(LEN(D128)&gt;0,1,0)+IF(LEN(E128)&gt;0,1,0)+IF(LEN(F128)&gt;0,1,0)+IF(LEN(G128)&gt;0,1,0)+IF(LEN(I128)&gt;0,1,0)+IF(LEN(J128)&gt;0,1,0)+IF(LEN(K128)&gt;0,1,0)+IF(LEN(L128)&gt;0,1,0)+IF(LEN(M128)&gt;0,1,0)+IF(LEN(N128)&gt;0,1,0)+IF(LEN(Z128)&gt;0,1,0)+IF(LEN(AA128)&gt;0,1,0)+IF(LEN(Y128)&gt;0,1,0)+IF(LEN(AE128)&gt;0,1,0)+IF(LEN(AG128)&gt;0,1,0)+IF(LEN(AZ128)&gt;0,1,0)+IF(LEN(AK128)&gt;0,1,0)+IF(LEN(AM128)&gt;0,1,0)+IF(LEN(AN128)&gt;0,1,0)+IF(LEN(AO128)&gt;0,1,0)+IF(LEN(AP128)&gt;0,1,0)+IF(LEN(AY128)&gt;0,1,0)+IF(LEN(BJ128)&gt;0,1,0)+IF(LEN(BW128)&gt;0,1,0))/24,2))</f>
        <v/>
      </c>
      <c r="CC128" s="10" t="str">
        <f aca="false">IF(D128="","",IF(AND(AN128="Approved",ISERROR(SEARCH("FAIL",BG128))),"Y","N"))</f>
        <v/>
      </c>
      <c r="CD128" s="10" t="str">
        <f aca="false">IF(D128="","",D128&amp;"|"&amp;J128&amp;"|"&amp;G128&amp;"|"&amp;CC128)</f>
        <v/>
      </c>
    </row>
    <row r="129" customFormat="false" ht="15" hidden="false" customHeight="false" outlineLevel="0" collapsed="false">
      <c r="A129" s="10" t="str">
        <f aca="false">IF(D129="","","MH-"&amp;IFERROR(VLOOKUP(D129,Lists!$AB$4:$AC$20,2,0),"??")&amp;"-"&amp;TEXT(G129,"0000")&amp;IF(F129="Circular","D","x"&amp;TEXT(H129,"0000"))&amp;"-D"&amp;TEXT(J129*1000,"0000")&amp;"-"&amp;IFERROR(VLOOKUP(E129,Lists!$AE$4:$AF$16,2,0),"??")&amp;"-"&amp;AM129)</f>
        <v/>
      </c>
      <c r="B129" s="10" t="str">
        <f aca="false">IF(D129="","",D129&amp;", "&amp;E129&amp;", "&amp;IF(F129="Circular",G129&amp;" dia",G129&amp;" x "&amp;H129)&amp;", depth "&amp;TEXT(I129,"0.0")&amp;"-"&amp;TEXT(J129,"0.0")&amp;" m, pipe up to "&amp;K129&amp;" dia")</f>
        <v/>
      </c>
      <c r="C129" s="9"/>
      <c r="D129" s="9"/>
      <c r="E129" s="9"/>
      <c r="F129" s="9"/>
      <c r="G129" s="38"/>
      <c r="H129" s="38"/>
      <c r="I129" s="42"/>
      <c r="J129" s="42"/>
      <c r="K129" s="38"/>
      <c r="L129" s="38"/>
      <c r="M129" s="38"/>
      <c r="N129" s="38"/>
      <c r="O129" s="9"/>
      <c r="P129" s="9"/>
      <c r="Q129" s="9"/>
      <c r="R129" s="9"/>
      <c r="S129" s="9"/>
      <c r="T129" s="9"/>
      <c r="U129" s="9"/>
      <c r="V129" s="42"/>
      <c r="W129" s="9"/>
      <c r="X129" s="9"/>
      <c r="Y129" s="39"/>
      <c r="Z129" s="9"/>
      <c r="AA129" s="38"/>
      <c r="AB129" s="9"/>
      <c r="AC129" s="9"/>
      <c r="AD129" s="9"/>
      <c r="AE129" s="9"/>
      <c r="AF129" s="9"/>
      <c r="AG129" s="9"/>
      <c r="AH129" s="38"/>
      <c r="AI129" s="9"/>
      <c r="AJ129" s="39"/>
      <c r="AK129" s="9"/>
      <c r="AL129" s="9"/>
      <c r="AM129" s="9"/>
      <c r="AN129" s="9"/>
      <c r="AO129" s="9"/>
      <c r="AP129" s="9"/>
      <c r="AQ129" s="9"/>
      <c r="AR129" s="10" t="str">
        <f aca="false">IF(A129="","",SG_Criteria!$B$6&amp;SG_Criteria!$B$10&amp;"\"&amp;A129&amp;"\")</f>
        <v/>
      </c>
      <c r="AS129" s="10" t="str">
        <f aca="false">IF(A129="","",A129&amp;"_CAD.dwg")</f>
        <v/>
      </c>
      <c r="AT129" s="10" t="str">
        <f aca="false">IF(A129="","",A129&amp;"_DWG.pdf")</f>
        <v/>
      </c>
      <c r="AU129" s="10" t="str">
        <f aca="false">IF(A129="","",IF(AQ129="Y",A129&amp;"_STAAD.std","n/a"))</f>
        <v/>
      </c>
      <c r="AV129" s="10" t="str">
        <f aca="false">IF(A129="","",A129&amp;"_CALC.xlsx")</f>
        <v/>
      </c>
      <c r="AW129" s="10" t="str">
        <f aca="false">IF(A129="","",A129&amp;"_CALC.pdf")</f>
        <v/>
      </c>
      <c r="AX129" s="9"/>
      <c r="AY129" s="9"/>
      <c r="AZ129" s="39"/>
      <c r="BA129" s="39"/>
      <c r="BB129" s="39"/>
      <c r="BC129" s="39"/>
      <c r="BD129" s="39"/>
      <c r="BE129" s="12" t="str">
        <f aca="false">IF(A129="","",IF(COUNTIF(Rebar_Schedule!$A$5:$A$2004,A129)=0,"",ROUND(SUMIF(Rebar_Schedule!$A$5:$A$2004,A129,Rebar_Schedule!$K$5:$K$2004),1)))</f>
        <v/>
      </c>
      <c r="BF129" s="33" t="str">
        <f aca="false">IF(A129="","",IF(BE129="","No rebar schedule yet",IF(ABS(BE129-N(BA129))/MAX(N(BA129),1)&gt;SG_Criteria!$B$55,"NOTE: register rebar differs from schedule by "&amp;TEXT(ABS(BE129-N(BA129))/MAX(N(BA129),1),"0%"),"OK")))</f>
        <v/>
      </c>
      <c r="BG129" s="33" t="str">
        <f aca="false">IF(D129="","",IF(LEN(IF(AND(Z129&lt;&gt;"",IFERROR(VALUE(MID(Z129,2,2)),0)&lt;SG_Criteria!$B$19),"FAIL: grade below C"&amp;SG_Criteria!$B$19&amp;". ","")&amp;IF(AND(AA129&lt;&gt;"",AA129&lt;SG_Criteria!$B$20),"FAIL: cover &lt; "&amp;SG_Criteria!$B$20&amp;" mm. ","")&amp;IF(AND(I129&lt;&gt;"",I129&lt;SG_Criteria!$B$39),"NOTE: min depth below PUB "&amp;SG_Criteria!$B$39&amp;" m. ","")&amp;IF(AND(LEFT(D129,8)="Standard",J129&gt;SG_Criteria!$B$42),"FAIL: PUB 001C covers manholes up to "&amp;SG_Criteria!$B$42&amp;" m deep only. ","")&amp;IF(AND(LEFT(D129,11)="Rectangular",K129&lt;SG_Criteria!$B$43),"NOTE: 004C is for sewers &gt;= "&amp;SG_Criteria!$B$43&amp;" dia. ","")&amp;IF(AND(LEFT(D129,7)="Precast",J129&lt;=SG_Criteria!$B$42),"NOTE: 006C is for manholes &gt; "&amp;SG_Criteria!$B$42&amp;" m deep. ","")&amp;IF(AND(K129&lt;&gt;"",K129&lt;SG_Criteria!$B$40,D129&lt;&gt;"Inspection Chamber"),"NOTE: public sewer min dia "&amp;SG_Criteria!$B$40&amp;" mm. ","")&amp;IF(AND(Y129&lt;&gt;"",Y129&lt;SG_Criteria!$B$44),"FAIL: uplift FOS below "&amp;SG_Criteria!$B$44&amp;". ",""))=0,"OK",IF(AND(Z129&lt;&gt;"",IFERROR(VALUE(MID(Z129,2,2)),0)&lt;SG_Criteria!$B$19),"FAIL: grade below C"&amp;SG_Criteria!$B$19&amp;". ","")&amp;IF(AND(AA129&lt;&gt;"",AA129&lt;SG_Criteria!$B$20),"FAIL: cover &lt; "&amp;SG_Criteria!$B$20&amp;" mm. ","")&amp;IF(AND(I129&lt;&gt;"",I129&lt;SG_Criteria!$B$39),"NOTE: min depth below PUB "&amp;SG_Criteria!$B$39&amp;" m. ","")&amp;IF(AND(LEFT(D129,8)="Standard",J129&gt;SG_Criteria!$B$42),"FAIL: PUB 001C covers manholes up to "&amp;SG_Criteria!$B$42&amp;" m deep only. ","")&amp;IF(AND(LEFT(D129,11)="Rectangular",K129&lt;SG_Criteria!$B$43),"NOTE: 004C is for sewers &gt;= "&amp;SG_Criteria!$B$43&amp;" dia. ","")&amp;IF(AND(LEFT(D129,7)="Precast",J129&lt;=SG_Criteria!$B$42),"NOTE: 006C is for manholes &gt; "&amp;SG_Criteria!$B$42&amp;" m deep. ","")&amp;IF(AND(K129&lt;&gt;"",K129&lt;SG_Criteria!$B$40,D129&lt;&gt;"Inspection Chamber"),"NOTE: public sewer min dia "&amp;SG_Criteria!$B$40&amp;" mm. ","")&amp;IF(AND(Y129&lt;&gt;"",Y129&lt;SG_Criteria!$B$44),"FAIL: uplift FOS below "&amp;SG_Criteria!$B$44&amp;". ","")))</f>
        <v/>
      </c>
      <c r="BH129" s="9"/>
      <c r="BI129" s="9"/>
      <c r="BJ129" s="9"/>
      <c r="BK129" s="10" t="str">
        <f aca="false">IF(BJ129="","",IFERROR(VLOOKUP(BJ129,Projects!$A$5:$D$504,2,0),"Ref not in Projects"))</f>
        <v/>
      </c>
      <c r="BL129" s="10" t="str">
        <f aca="false">IF(BJ129="","",IFERROR(VLOOKUP(BJ129,Projects!$A$5:$D$504,4,0),"Ref not in Projects"))</f>
        <v/>
      </c>
      <c r="BM129" s="9"/>
      <c r="BN129" s="9"/>
      <c r="BO129" s="9"/>
      <c r="BP129" s="40"/>
      <c r="BQ129" s="9"/>
      <c r="BR129" s="40"/>
      <c r="BS129" s="9"/>
      <c r="BT129" s="40"/>
      <c r="BU129" s="9"/>
      <c r="BV129" s="9"/>
      <c r="BW129" s="9"/>
      <c r="BX129" s="40"/>
      <c r="BY129" s="40"/>
      <c r="BZ129" s="36" t="str">
        <f aca="false">IF(BY129="","",EDATE(BY129,SG_Criteria!$B$54*12))</f>
        <v/>
      </c>
      <c r="CA129" s="33" t="str">
        <f aca="true">IF(A129="","",IF(BY129="","NOTE: not reviewed yet",IF(TODAY()&gt;BZ129,"NOTE: review overdue","OK")))</f>
        <v/>
      </c>
      <c r="CB129" s="37" t="str">
        <f aca="false">IF(A129="","",ROUND((IF(LEN(D129)&gt;0,1,0)+IF(LEN(E129)&gt;0,1,0)+IF(LEN(F129)&gt;0,1,0)+IF(LEN(G129)&gt;0,1,0)+IF(LEN(I129)&gt;0,1,0)+IF(LEN(J129)&gt;0,1,0)+IF(LEN(K129)&gt;0,1,0)+IF(LEN(L129)&gt;0,1,0)+IF(LEN(M129)&gt;0,1,0)+IF(LEN(N129)&gt;0,1,0)+IF(LEN(Z129)&gt;0,1,0)+IF(LEN(AA129)&gt;0,1,0)+IF(LEN(Y129)&gt;0,1,0)+IF(LEN(AE129)&gt;0,1,0)+IF(LEN(AG129)&gt;0,1,0)+IF(LEN(AZ129)&gt;0,1,0)+IF(LEN(AK129)&gt;0,1,0)+IF(LEN(AM129)&gt;0,1,0)+IF(LEN(AN129)&gt;0,1,0)+IF(LEN(AO129)&gt;0,1,0)+IF(LEN(AP129)&gt;0,1,0)+IF(LEN(AY129)&gt;0,1,0)+IF(LEN(BJ129)&gt;0,1,0)+IF(LEN(BW129)&gt;0,1,0))/24,2))</f>
        <v/>
      </c>
      <c r="CC129" s="10" t="str">
        <f aca="false">IF(D129="","",IF(AND(AN129="Approved",ISERROR(SEARCH("FAIL",BG129))),"Y","N"))</f>
        <v/>
      </c>
      <c r="CD129" s="10" t="str">
        <f aca="false">IF(D129="","",D129&amp;"|"&amp;J129&amp;"|"&amp;G129&amp;"|"&amp;CC129)</f>
        <v/>
      </c>
    </row>
    <row r="130" customFormat="false" ht="15" hidden="false" customHeight="false" outlineLevel="0" collapsed="false">
      <c r="A130" s="10" t="str">
        <f aca="false">IF(D130="","","MH-"&amp;IFERROR(VLOOKUP(D130,Lists!$AB$4:$AC$20,2,0),"??")&amp;"-"&amp;TEXT(G130,"0000")&amp;IF(F130="Circular","D","x"&amp;TEXT(H130,"0000"))&amp;"-D"&amp;TEXT(J130*1000,"0000")&amp;"-"&amp;IFERROR(VLOOKUP(E130,Lists!$AE$4:$AF$16,2,0),"??")&amp;"-"&amp;AM130)</f>
        <v/>
      </c>
      <c r="B130" s="10" t="str">
        <f aca="false">IF(D130="","",D130&amp;", "&amp;E130&amp;", "&amp;IF(F130="Circular",G130&amp;" dia",G130&amp;" x "&amp;H130)&amp;", depth "&amp;TEXT(I130,"0.0")&amp;"-"&amp;TEXT(J130,"0.0")&amp;" m, pipe up to "&amp;K130&amp;" dia")</f>
        <v/>
      </c>
      <c r="C130" s="9"/>
      <c r="D130" s="9"/>
      <c r="E130" s="9"/>
      <c r="F130" s="9"/>
      <c r="G130" s="38"/>
      <c r="H130" s="38"/>
      <c r="I130" s="42"/>
      <c r="J130" s="42"/>
      <c r="K130" s="38"/>
      <c r="L130" s="38"/>
      <c r="M130" s="38"/>
      <c r="N130" s="38"/>
      <c r="O130" s="9"/>
      <c r="P130" s="9"/>
      <c r="Q130" s="9"/>
      <c r="R130" s="9"/>
      <c r="S130" s="9"/>
      <c r="T130" s="9"/>
      <c r="U130" s="9"/>
      <c r="V130" s="42"/>
      <c r="W130" s="9"/>
      <c r="X130" s="9"/>
      <c r="Y130" s="39"/>
      <c r="Z130" s="9"/>
      <c r="AA130" s="38"/>
      <c r="AB130" s="9"/>
      <c r="AC130" s="9"/>
      <c r="AD130" s="9"/>
      <c r="AE130" s="9"/>
      <c r="AF130" s="9"/>
      <c r="AG130" s="9"/>
      <c r="AH130" s="38"/>
      <c r="AI130" s="9"/>
      <c r="AJ130" s="39"/>
      <c r="AK130" s="9"/>
      <c r="AL130" s="9"/>
      <c r="AM130" s="9"/>
      <c r="AN130" s="9"/>
      <c r="AO130" s="9"/>
      <c r="AP130" s="9"/>
      <c r="AQ130" s="9"/>
      <c r="AR130" s="10" t="str">
        <f aca="false">IF(A130="","",SG_Criteria!$B$6&amp;SG_Criteria!$B$10&amp;"\"&amp;A130&amp;"\")</f>
        <v/>
      </c>
      <c r="AS130" s="10" t="str">
        <f aca="false">IF(A130="","",A130&amp;"_CAD.dwg")</f>
        <v/>
      </c>
      <c r="AT130" s="10" t="str">
        <f aca="false">IF(A130="","",A130&amp;"_DWG.pdf")</f>
        <v/>
      </c>
      <c r="AU130" s="10" t="str">
        <f aca="false">IF(A130="","",IF(AQ130="Y",A130&amp;"_STAAD.std","n/a"))</f>
        <v/>
      </c>
      <c r="AV130" s="10" t="str">
        <f aca="false">IF(A130="","",A130&amp;"_CALC.xlsx")</f>
        <v/>
      </c>
      <c r="AW130" s="10" t="str">
        <f aca="false">IF(A130="","",A130&amp;"_CALC.pdf")</f>
        <v/>
      </c>
      <c r="AX130" s="9"/>
      <c r="AY130" s="9"/>
      <c r="AZ130" s="39"/>
      <c r="BA130" s="39"/>
      <c r="BB130" s="39"/>
      <c r="BC130" s="39"/>
      <c r="BD130" s="39"/>
      <c r="BE130" s="12" t="str">
        <f aca="false">IF(A130="","",IF(COUNTIF(Rebar_Schedule!$A$5:$A$2004,A130)=0,"",ROUND(SUMIF(Rebar_Schedule!$A$5:$A$2004,A130,Rebar_Schedule!$K$5:$K$2004),1)))</f>
        <v/>
      </c>
      <c r="BF130" s="33" t="str">
        <f aca="false">IF(A130="","",IF(BE130="","No rebar schedule yet",IF(ABS(BE130-N(BA130))/MAX(N(BA130),1)&gt;SG_Criteria!$B$55,"NOTE: register rebar differs from schedule by "&amp;TEXT(ABS(BE130-N(BA130))/MAX(N(BA130),1),"0%"),"OK")))</f>
        <v/>
      </c>
      <c r="BG130" s="33" t="str">
        <f aca="false">IF(D130="","",IF(LEN(IF(AND(Z130&lt;&gt;"",IFERROR(VALUE(MID(Z130,2,2)),0)&lt;SG_Criteria!$B$19),"FAIL: grade below C"&amp;SG_Criteria!$B$19&amp;". ","")&amp;IF(AND(AA130&lt;&gt;"",AA130&lt;SG_Criteria!$B$20),"FAIL: cover &lt; "&amp;SG_Criteria!$B$20&amp;" mm. ","")&amp;IF(AND(I130&lt;&gt;"",I130&lt;SG_Criteria!$B$39),"NOTE: min depth below PUB "&amp;SG_Criteria!$B$39&amp;" m. ","")&amp;IF(AND(LEFT(D130,8)="Standard",J130&gt;SG_Criteria!$B$42),"FAIL: PUB 001C covers manholes up to "&amp;SG_Criteria!$B$42&amp;" m deep only. ","")&amp;IF(AND(LEFT(D130,11)="Rectangular",K130&lt;SG_Criteria!$B$43),"NOTE: 004C is for sewers &gt;= "&amp;SG_Criteria!$B$43&amp;" dia. ","")&amp;IF(AND(LEFT(D130,7)="Precast",J130&lt;=SG_Criteria!$B$42),"NOTE: 006C is for manholes &gt; "&amp;SG_Criteria!$B$42&amp;" m deep. ","")&amp;IF(AND(K130&lt;&gt;"",K130&lt;SG_Criteria!$B$40,D130&lt;&gt;"Inspection Chamber"),"NOTE: public sewer min dia "&amp;SG_Criteria!$B$40&amp;" mm. ","")&amp;IF(AND(Y130&lt;&gt;"",Y130&lt;SG_Criteria!$B$44),"FAIL: uplift FOS below "&amp;SG_Criteria!$B$44&amp;". ",""))=0,"OK",IF(AND(Z130&lt;&gt;"",IFERROR(VALUE(MID(Z130,2,2)),0)&lt;SG_Criteria!$B$19),"FAIL: grade below C"&amp;SG_Criteria!$B$19&amp;". ","")&amp;IF(AND(AA130&lt;&gt;"",AA130&lt;SG_Criteria!$B$20),"FAIL: cover &lt; "&amp;SG_Criteria!$B$20&amp;" mm. ","")&amp;IF(AND(I130&lt;&gt;"",I130&lt;SG_Criteria!$B$39),"NOTE: min depth below PUB "&amp;SG_Criteria!$B$39&amp;" m. ","")&amp;IF(AND(LEFT(D130,8)="Standard",J130&gt;SG_Criteria!$B$42),"FAIL: PUB 001C covers manholes up to "&amp;SG_Criteria!$B$42&amp;" m deep only. ","")&amp;IF(AND(LEFT(D130,11)="Rectangular",K130&lt;SG_Criteria!$B$43),"NOTE: 004C is for sewers &gt;= "&amp;SG_Criteria!$B$43&amp;" dia. ","")&amp;IF(AND(LEFT(D130,7)="Precast",J130&lt;=SG_Criteria!$B$42),"NOTE: 006C is for manholes &gt; "&amp;SG_Criteria!$B$42&amp;" m deep. ","")&amp;IF(AND(K130&lt;&gt;"",K130&lt;SG_Criteria!$B$40,D130&lt;&gt;"Inspection Chamber"),"NOTE: public sewer min dia "&amp;SG_Criteria!$B$40&amp;" mm. ","")&amp;IF(AND(Y130&lt;&gt;"",Y130&lt;SG_Criteria!$B$44),"FAIL: uplift FOS below "&amp;SG_Criteria!$B$44&amp;". ","")))</f>
        <v/>
      </c>
      <c r="BH130" s="9"/>
      <c r="BI130" s="9"/>
      <c r="BJ130" s="9"/>
      <c r="BK130" s="10" t="str">
        <f aca="false">IF(BJ130="","",IFERROR(VLOOKUP(BJ130,Projects!$A$5:$D$504,2,0),"Ref not in Projects"))</f>
        <v/>
      </c>
      <c r="BL130" s="10" t="str">
        <f aca="false">IF(BJ130="","",IFERROR(VLOOKUP(BJ130,Projects!$A$5:$D$504,4,0),"Ref not in Projects"))</f>
        <v/>
      </c>
      <c r="BM130" s="9"/>
      <c r="BN130" s="9"/>
      <c r="BO130" s="9"/>
      <c r="BP130" s="40"/>
      <c r="BQ130" s="9"/>
      <c r="BR130" s="40"/>
      <c r="BS130" s="9"/>
      <c r="BT130" s="40"/>
      <c r="BU130" s="9"/>
      <c r="BV130" s="9"/>
      <c r="BW130" s="9"/>
      <c r="BX130" s="40"/>
      <c r="BY130" s="40"/>
      <c r="BZ130" s="36" t="str">
        <f aca="false">IF(BY130="","",EDATE(BY130,SG_Criteria!$B$54*12))</f>
        <v/>
      </c>
      <c r="CA130" s="33" t="str">
        <f aca="true">IF(A130="","",IF(BY130="","NOTE: not reviewed yet",IF(TODAY()&gt;BZ130,"NOTE: review overdue","OK")))</f>
        <v/>
      </c>
      <c r="CB130" s="37" t="str">
        <f aca="false">IF(A130="","",ROUND((IF(LEN(D130)&gt;0,1,0)+IF(LEN(E130)&gt;0,1,0)+IF(LEN(F130)&gt;0,1,0)+IF(LEN(G130)&gt;0,1,0)+IF(LEN(I130)&gt;0,1,0)+IF(LEN(J130)&gt;0,1,0)+IF(LEN(K130)&gt;0,1,0)+IF(LEN(L130)&gt;0,1,0)+IF(LEN(M130)&gt;0,1,0)+IF(LEN(N130)&gt;0,1,0)+IF(LEN(Z130)&gt;0,1,0)+IF(LEN(AA130)&gt;0,1,0)+IF(LEN(Y130)&gt;0,1,0)+IF(LEN(AE130)&gt;0,1,0)+IF(LEN(AG130)&gt;0,1,0)+IF(LEN(AZ130)&gt;0,1,0)+IF(LEN(AK130)&gt;0,1,0)+IF(LEN(AM130)&gt;0,1,0)+IF(LEN(AN130)&gt;0,1,0)+IF(LEN(AO130)&gt;0,1,0)+IF(LEN(AP130)&gt;0,1,0)+IF(LEN(AY130)&gt;0,1,0)+IF(LEN(BJ130)&gt;0,1,0)+IF(LEN(BW130)&gt;0,1,0))/24,2))</f>
        <v/>
      </c>
      <c r="CC130" s="10" t="str">
        <f aca="false">IF(D130="","",IF(AND(AN130="Approved",ISERROR(SEARCH("FAIL",BG130))),"Y","N"))</f>
        <v/>
      </c>
      <c r="CD130" s="10" t="str">
        <f aca="false">IF(D130="","",D130&amp;"|"&amp;J130&amp;"|"&amp;G130&amp;"|"&amp;CC130)</f>
        <v/>
      </c>
    </row>
    <row r="131" customFormat="false" ht="15" hidden="false" customHeight="false" outlineLevel="0" collapsed="false">
      <c r="A131" s="10" t="str">
        <f aca="false">IF(D131="","","MH-"&amp;IFERROR(VLOOKUP(D131,Lists!$AB$4:$AC$20,2,0),"??")&amp;"-"&amp;TEXT(G131,"0000")&amp;IF(F131="Circular","D","x"&amp;TEXT(H131,"0000"))&amp;"-D"&amp;TEXT(J131*1000,"0000")&amp;"-"&amp;IFERROR(VLOOKUP(E131,Lists!$AE$4:$AF$16,2,0),"??")&amp;"-"&amp;AM131)</f>
        <v/>
      </c>
      <c r="B131" s="10" t="str">
        <f aca="false">IF(D131="","",D131&amp;", "&amp;E131&amp;", "&amp;IF(F131="Circular",G131&amp;" dia",G131&amp;" x "&amp;H131)&amp;", depth "&amp;TEXT(I131,"0.0")&amp;"-"&amp;TEXT(J131,"0.0")&amp;" m, pipe up to "&amp;K131&amp;" dia")</f>
        <v/>
      </c>
      <c r="C131" s="9"/>
      <c r="D131" s="9"/>
      <c r="E131" s="9"/>
      <c r="F131" s="9"/>
      <c r="G131" s="38"/>
      <c r="H131" s="38"/>
      <c r="I131" s="42"/>
      <c r="J131" s="42"/>
      <c r="K131" s="38"/>
      <c r="L131" s="38"/>
      <c r="M131" s="38"/>
      <c r="N131" s="38"/>
      <c r="O131" s="9"/>
      <c r="P131" s="9"/>
      <c r="Q131" s="9"/>
      <c r="R131" s="9"/>
      <c r="S131" s="9"/>
      <c r="T131" s="9"/>
      <c r="U131" s="9"/>
      <c r="V131" s="42"/>
      <c r="W131" s="9"/>
      <c r="X131" s="9"/>
      <c r="Y131" s="39"/>
      <c r="Z131" s="9"/>
      <c r="AA131" s="38"/>
      <c r="AB131" s="9"/>
      <c r="AC131" s="9"/>
      <c r="AD131" s="9"/>
      <c r="AE131" s="9"/>
      <c r="AF131" s="9"/>
      <c r="AG131" s="9"/>
      <c r="AH131" s="38"/>
      <c r="AI131" s="9"/>
      <c r="AJ131" s="39"/>
      <c r="AK131" s="9"/>
      <c r="AL131" s="9"/>
      <c r="AM131" s="9"/>
      <c r="AN131" s="9"/>
      <c r="AO131" s="9"/>
      <c r="AP131" s="9"/>
      <c r="AQ131" s="9"/>
      <c r="AR131" s="10" t="str">
        <f aca="false">IF(A131="","",SG_Criteria!$B$6&amp;SG_Criteria!$B$10&amp;"\"&amp;A131&amp;"\")</f>
        <v/>
      </c>
      <c r="AS131" s="10" t="str">
        <f aca="false">IF(A131="","",A131&amp;"_CAD.dwg")</f>
        <v/>
      </c>
      <c r="AT131" s="10" t="str">
        <f aca="false">IF(A131="","",A131&amp;"_DWG.pdf")</f>
        <v/>
      </c>
      <c r="AU131" s="10" t="str">
        <f aca="false">IF(A131="","",IF(AQ131="Y",A131&amp;"_STAAD.std","n/a"))</f>
        <v/>
      </c>
      <c r="AV131" s="10" t="str">
        <f aca="false">IF(A131="","",A131&amp;"_CALC.xlsx")</f>
        <v/>
      </c>
      <c r="AW131" s="10" t="str">
        <f aca="false">IF(A131="","",A131&amp;"_CALC.pdf")</f>
        <v/>
      </c>
      <c r="AX131" s="9"/>
      <c r="AY131" s="9"/>
      <c r="AZ131" s="39"/>
      <c r="BA131" s="39"/>
      <c r="BB131" s="39"/>
      <c r="BC131" s="39"/>
      <c r="BD131" s="39"/>
      <c r="BE131" s="12" t="str">
        <f aca="false">IF(A131="","",IF(COUNTIF(Rebar_Schedule!$A$5:$A$2004,A131)=0,"",ROUND(SUMIF(Rebar_Schedule!$A$5:$A$2004,A131,Rebar_Schedule!$K$5:$K$2004),1)))</f>
        <v/>
      </c>
      <c r="BF131" s="33" t="str">
        <f aca="false">IF(A131="","",IF(BE131="","No rebar schedule yet",IF(ABS(BE131-N(BA131))/MAX(N(BA131),1)&gt;SG_Criteria!$B$55,"NOTE: register rebar differs from schedule by "&amp;TEXT(ABS(BE131-N(BA131))/MAX(N(BA131),1),"0%"),"OK")))</f>
        <v/>
      </c>
      <c r="BG131" s="33" t="str">
        <f aca="false">IF(D131="","",IF(LEN(IF(AND(Z131&lt;&gt;"",IFERROR(VALUE(MID(Z131,2,2)),0)&lt;SG_Criteria!$B$19),"FAIL: grade below C"&amp;SG_Criteria!$B$19&amp;". ","")&amp;IF(AND(AA131&lt;&gt;"",AA131&lt;SG_Criteria!$B$20),"FAIL: cover &lt; "&amp;SG_Criteria!$B$20&amp;" mm. ","")&amp;IF(AND(I131&lt;&gt;"",I131&lt;SG_Criteria!$B$39),"NOTE: min depth below PUB "&amp;SG_Criteria!$B$39&amp;" m. ","")&amp;IF(AND(LEFT(D131,8)="Standard",J131&gt;SG_Criteria!$B$42),"FAIL: PUB 001C covers manholes up to "&amp;SG_Criteria!$B$42&amp;" m deep only. ","")&amp;IF(AND(LEFT(D131,11)="Rectangular",K131&lt;SG_Criteria!$B$43),"NOTE: 004C is for sewers &gt;= "&amp;SG_Criteria!$B$43&amp;" dia. ","")&amp;IF(AND(LEFT(D131,7)="Precast",J131&lt;=SG_Criteria!$B$42),"NOTE: 006C is for manholes &gt; "&amp;SG_Criteria!$B$42&amp;" m deep. ","")&amp;IF(AND(K131&lt;&gt;"",K131&lt;SG_Criteria!$B$40,D131&lt;&gt;"Inspection Chamber"),"NOTE: public sewer min dia "&amp;SG_Criteria!$B$40&amp;" mm. ","")&amp;IF(AND(Y131&lt;&gt;"",Y131&lt;SG_Criteria!$B$44),"FAIL: uplift FOS below "&amp;SG_Criteria!$B$44&amp;". ",""))=0,"OK",IF(AND(Z131&lt;&gt;"",IFERROR(VALUE(MID(Z131,2,2)),0)&lt;SG_Criteria!$B$19),"FAIL: grade below C"&amp;SG_Criteria!$B$19&amp;". ","")&amp;IF(AND(AA131&lt;&gt;"",AA131&lt;SG_Criteria!$B$20),"FAIL: cover &lt; "&amp;SG_Criteria!$B$20&amp;" mm. ","")&amp;IF(AND(I131&lt;&gt;"",I131&lt;SG_Criteria!$B$39),"NOTE: min depth below PUB "&amp;SG_Criteria!$B$39&amp;" m. ","")&amp;IF(AND(LEFT(D131,8)="Standard",J131&gt;SG_Criteria!$B$42),"FAIL: PUB 001C covers manholes up to "&amp;SG_Criteria!$B$42&amp;" m deep only. ","")&amp;IF(AND(LEFT(D131,11)="Rectangular",K131&lt;SG_Criteria!$B$43),"NOTE: 004C is for sewers &gt;= "&amp;SG_Criteria!$B$43&amp;" dia. ","")&amp;IF(AND(LEFT(D131,7)="Precast",J131&lt;=SG_Criteria!$B$42),"NOTE: 006C is for manholes &gt; "&amp;SG_Criteria!$B$42&amp;" m deep. ","")&amp;IF(AND(K131&lt;&gt;"",K131&lt;SG_Criteria!$B$40,D131&lt;&gt;"Inspection Chamber"),"NOTE: public sewer min dia "&amp;SG_Criteria!$B$40&amp;" mm. ","")&amp;IF(AND(Y131&lt;&gt;"",Y131&lt;SG_Criteria!$B$44),"FAIL: uplift FOS below "&amp;SG_Criteria!$B$44&amp;". ","")))</f>
        <v/>
      </c>
      <c r="BH131" s="9"/>
      <c r="BI131" s="9"/>
      <c r="BJ131" s="9"/>
      <c r="BK131" s="10" t="str">
        <f aca="false">IF(BJ131="","",IFERROR(VLOOKUP(BJ131,Projects!$A$5:$D$504,2,0),"Ref not in Projects"))</f>
        <v/>
      </c>
      <c r="BL131" s="10" t="str">
        <f aca="false">IF(BJ131="","",IFERROR(VLOOKUP(BJ131,Projects!$A$5:$D$504,4,0),"Ref not in Projects"))</f>
        <v/>
      </c>
      <c r="BM131" s="9"/>
      <c r="BN131" s="9"/>
      <c r="BO131" s="9"/>
      <c r="BP131" s="40"/>
      <c r="BQ131" s="9"/>
      <c r="BR131" s="40"/>
      <c r="BS131" s="9"/>
      <c r="BT131" s="40"/>
      <c r="BU131" s="9"/>
      <c r="BV131" s="9"/>
      <c r="BW131" s="9"/>
      <c r="BX131" s="40"/>
      <c r="BY131" s="40"/>
      <c r="BZ131" s="36" t="str">
        <f aca="false">IF(BY131="","",EDATE(BY131,SG_Criteria!$B$54*12))</f>
        <v/>
      </c>
      <c r="CA131" s="33" t="str">
        <f aca="true">IF(A131="","",IF(BY131="","NOTE: not reviewed yet",IF(TODAY()&gt;BZ131,"NOTE: review overdue","OK")))</f>
        <v/>
      </c>
      <c r="CB131" s="37" t="str">
        <f aca="false">IF(A131="","",ROUND((IF(LEN(D131)&gt;0,1,0)+IF(LEN(E131)&gt;0,1,0)+IF(LEN(F131)&gt;0,1,0)+IF(LEN(G131)&gt;0,1,0)+IF(LEN(I131)&gt;0,1,0)+IF(LEN(J131)&gt;0,1,0)+IF(LEN(K131)&gt;0,1,0)+IF(LEN(L131)&gt;0,1,0)+IF(LEN(M131)&gt;0,1,0)+IF(LEN(N131)&gt;0,1,0)+IF(LEN(Z131)&gt;0,1,0)+IF(LEN(AA131)&gt;0,1,0)+IF(LEN(Y131)&gt;0,1,0)+IF(LEN(AE131)&gt;0,1,0)+IF(LEN(AG131)&gt;0,1,0)+IF(LEN(AZ131)&gt;0,1,0)+IF(LEN(AK131)&gt;0,1,0)+IF(LEN(AM131)&gt;0,1,0)+IF(LEN(AN131)&gt;0,1,0)+IF(LEN(AO131)&gt;0,1,0)+IF(LEN(AP131)&gt;0,1,0)+IF(LEN(AY131)&gt;0,1,0)+IF(LEN(BJ131)&gt;0,1,0)+IF(LEN(BW131)&gt;0,1,0))/24,2))</f>
        <v/>
      </c>
      <c r="CC131" s="10" t="str">
        <f aca="false">IF(D131="","",IF(AND(AN131="Approved",ISERROR(SEARCH("FAIL",BG131))),"Y","N"))</f>
        <v/>
      </c>
      <c r="CD131" s="10" t="str">
        <f aca="false">IF(D131="","",D131&amp;"|"&amp;J131&amp;"|"&amp;G131&amp;"|"&amp;CC131)</f>
        <v/>
      </c>
    </row>
    <row r="132" customFormat="false" ht="15" hidden="false" customHeight="false" outlineLevel="0" collapsed="false">
      <c r="A132" s="10" t="str">
        <f aca="false">IF(D132="","","MH-"&amp;IFERROR(VLOOKUP(D132,Lists!$AB$4:$AC$20,2,0),"??")&amp;"-"&amp;TEXT(G132,"0000")&amp;IF(F132="Circular","D","x"&amp;TEXT(H132,"0000"))&amp;"-D"&amp;TEXT(J132*1000,"0000")&amp;"-"&amp;IFERROR(VLOOKUP(E132,Lists!$AE$4:$AF$16,2,0),"??")&amp;"-"&amp;AM132)</f>
        <v/>
      </c>
      <c r="B132" s="10" t="str">
        <f aca="false">IF(D132="","",D132&amp;", "&amp;E132&amp;", "&amp;IF(F132="Circular",G132&amp;" dia",G132&amp;" x "&amp;H132)&amp;", depth "&amp;TEXT(I132,"0.0")&amp;"-"&amp;TEXT(J132,"0.0")&amp;" m, pipe up to "&amp;K132&amp;" dia")</f>
        <v/>
      </c>
      <c r="C132" s="9"/>
      <c r="D132" s="9"/>
      <c r="E132" s="9"/>
      <c r="F132" s="9"/>
      <c r="G132" s="38"/>
      <c r="H132" s="38"/>
      <c r="I132" s="42"/>
      <c r="J132" s="42"/>
      <c r="K132" s="38"/>
      <c r="L132" s="38"/>
      <c r="M132" s="38"/>
      <c r="N132" s="38"/>
      <c r="O132" s="9"/>
      <c r="P132" s="9"/>
      <c r="Q132" s="9"/>
      <c r="R132" s="9"/>
      <c r="S132" s="9"/>
      <c r="T132" s="9"/>
      <c r="U132" s="9"/>
      <c r="V132" s="42"/>
      <c r="W132" s="9"/>
      <c r="X132" s="9"/>
      <c r="Y132" s="39"/>
      <c r="Z132" s="9"/>
      <c r="AA132" s="38"/>
      <c r="AB132" s="9"/>
      <c r="AC132" s="9"/>
      <c r="AD132" s="9"/>
      <c r="AE132" s="9"/>
      <c r="AF132" s="9"/>
      <c r="AG132" s="9"/>
      <c r="AH132" s="38"/>
      <c r="AI132" s="9"/>
      <c r="AJ132" s="39"/>
      <c r="AK132" s="9"/>
      <c r="AL132" s="9"/>
      <c r="AM132" s="9"/>
      <c r="AN132" s="9"/>
      <c r="AO132" s="9"/>
      <c r="AP132" s="9"/>
      <c r="AQ132" s="9"/>
      <c r="AR132" s="10" t="str">
        <f aca="false">IF(A132="","",SG_Criteria!$B$6&amp;SG_Criteria!$B$10&amp;"\"&amp;A132&amp;"\")</f>
        <v/>
      </c>
      <c r="AS132" s="10" t="str">
        <f aca="false">IF(A132="","",A132&amp;"_CAD.dwg")</f>
        <v/>
      </c>
      <c r="AT132" s="10" t="str">
        <f aca="false">IF(A132="","",A132&amp;"_DWG.pdf")</f>
        <v/>
      </c>
      <c r="AU132" s="10" t="str">
        <f aca="false">IF(A132="","",IF(AQ132="Y",A132&amp;"_STAAD.std","n/a"))</f>
        <v/>
      </c>
      <c r="AV132" s="10" t="str">
        <f aca="false">IF(A132="","",A132&amp;"_CALC.xlsx")</f>
        <v/>
      </c>
      <c r="AW132" s="10" t="str">
        <f aca="false">IF(A132="","",A132&amp;"_CALC.pdf")</f>
        <v/>
      </c>
      <c r="AX132" s="9"/>
      <c r="AY132" s="9"/>
      <c r="AZ132" s="39"/>
      <c r="BA132" s="39"/>
      <c r="BB132" s="39"/>
      <c r="BC132" s="39"/>
      <c r="BD132" s="39"/>
      <c r="BE132" s="12" t="str">
        <f aca="false">IF(A132="","",IF(COUNTIF(Rebar_Schedule!$A$5:$A$2004,A132)=0,"",ROUND(SUMIF(Rebar_Schedule!$A$5:$A$2004,A132,Rebar_Schedule!$K$5:$K$2004),1)))</f>
        <v/>
      </c>
      <c r="BF132" s="33" t="str">
        <f aca="false">IF(A132="","",IF(BE132="","No rebar schedule yet",IF(ABS(BE132-N(BA132))/MAX(N(BA132),1)&gt;SG_Criteria!$B$55,"NOTE: register rebar differs from schedule by "&amp;TEXT(ABS(BE132-N(BA132))/MAX(N(BA132),1),"0%"),"OK")))</f>
        <v/>
      </c>
      <c r="BG132" s="33" t="str">
        <f aca="false">IF(D132="","",IF(LEN(IF(AND(Z132&lt;&gt;"",IFERROR(VALUE(MID(Z132,2,2)),0)&lt;SG_Criteria!$B$19),"FAIL: grade below C"&amp;SG_Criteria!$B$19&amp;". ","")&amp;IF(AND(AA132&lt;&gt;"",AA132&lt;SG_Criteria!$B$20),"FAIL: cover &lt; "&amp;SG_Criteria!$B$20&amp;" mm. ","")&amp;IF(AND(I132&lt;&gt;"",I132&lt;SG_Criteria!$B$39),"NOTE: min depth below PUB "&amp;SG_Criteria!$B$39&amp;" m. ","")&amp;IF(AND(LEFT(D132,8)="Standard",J132&gt;SG_Criteria!$B$42),"FAIL: PUB 001C covers manholes up to "&amp;SG_Criteria!$B$42&amp;" m deep only. ","")&amp;IF(AND(LEFT(D132,11)="Rectangular",K132&lt;SG_Criteria!$B$43),"NOTE: 004C is for sewers &gt;= "&amp;SG_Criteria!$B$43&amp;" dia. ","")&amp;IF(AND(LEFT(D132,7)="Precast",J132&lt;=SG_Criteria!$B$42),"NOTE: 006C is for manholes &gt; "&amp;SG_Criteria!$B$42&amp;" m deep. ","")&amp;IF(AND(K132&lt;&gt;"",K132&lt;SG_Criteria!$B$40,D132&lt;&gt;"Inspection Chamber"),"NOTE: public sewer min dia "&amp;SG_Criteria!$B$40&amp;" mm. ","")&amp;IF(AND(Y132&lt;&gt;"",Y132&lt;SG_Criteria!$B$44),"FAIL: uplift FOS below "&amp;SG_Criteria!$B$44&amp;". ",""))=0,"OK",IF(AND(Z132&lt;&gt;"",IFERROR(VALUE(MID(Z132,2,2)),0)&lt;SG_Criteria!$B$19),"FAIL: grade below C"&amp;SG_Criteria!$B$19&amp;". ","")&amp;IF(AND(AA132&lt;&gt;"",AA132&lt;SG_Criteria!$B$20),"FAIL: cover &lt; "&amp;SG_Criteria!$B$20&amp;" mm. ","")&amp;IF(AND(I132&lt;&gt;"",I132&lt;SG_Criteria!$B$39),"NOTE: min depth below PUB "&amp;SG_Criteria!$B$39&amp;" m. ","")&amp;IF(AND(LEFT(D132,8)="Standard",J132&gt;SG_Criteria!$B$42),"FAIL: PUB 001C covers manholes up to "&amp;SG_Criteria!$B$42&amp;" m deep only. ","")&amp;IF(AND(LEFT(D132,11)="Rectangular",K132&lt;SG_Criteria!$B$43),"NOTE: 004C is for sewers &gt;= "&amp;SG_Criteria!$B$43&amp;" dia. ","")&amp;IF(AND(LEFT(D132,7)="Precast",J132&lt;=SG_Criteria!$B$42),"NOTE: 006C is for manholes &gt; "&amp;SG_Criteria!$B$42&amp;" m deep. ","")&amp;IF(AND(K132&lt;&gt;"",K132&lt;SG_Criteria!$B$40,D132&lt;&gt;"Inspection Chamber"),"NOTE: public sewer min dia "&amp;SG_Criteria!$B$40&amp;" mm. ","")&amp;IF(AND(Y132&lt;&gt;"",Y132&lt;SG_Criteria!$B$44),"FAIL: uplift FOS below "&amp;SG_Criteria!$B$44&amp;". ","")))</f>
        <v/>
      </c>
      <c r="BH132" s="9"/>
      <c r="BI132" s="9"/>
      <c r="BJ132" s="9"/>
      <c r="BK132" s="10" t="str">
        <f aca="false">IF(BJ132="","",IFERROR(VLOOKUP(BJ132,Projects!$A$5:$D$504,2,0),"Ref not in Projects"))</f>
        <v/>
      </c>
      <c r="BL132" s="10" t="str">
        <f aca="false">IF(BJ132="","",IFERROR(VLOOKUP(BJ132,Projects!$A$5:$D$504,4,0),"Ref not in Projects"))</f>
        <v/>
      </c>
      <c r="BM132" s="9"/>
      <c r="BN132" s="9"/>
      <c r="BO132" s="9"/>
      <c r="BP132" s="40"/>
      <c r="BQ132" s="9"/>
      <c r="BR132" s="40"/>
      <c r="BS132" s="9"/>
      <c r="BT132" s="40"/>
      <c r="BU132" s="9"/>
      <c r="BV132" s="9"/>
      <c r="BW132" s="9"/>
      <c r="BX132" s="40"/>
      <c r="BY132" s="40"/>
      <c r="BZ132" s="36" t="str">
        <f aca="false">IF(BY132="","",EDATE(BY132,SG_Criteria!$B$54*12))</f>
        <v/>
      </c>
      <c r="CA132" s="33" t="str">
        <f aca="true">IF(A132="","",IF(BY132="","NOTE: not reviewed yet",IF(TODAY()&gt;BZ132,"NOTE: review overdue","OK")))</f>
        <v/>
      </c>
      <c r="CB132" s="37" t="str">
        <f aca="false">IF(A132="","",ROUND((IF(LEN(D132)&gt;0,1,0)+IF(LEN(E132)&gt;0,1,0)+IF(LEN(F132)&gt;0,1,0)+IF(LEN(G132)&gt;0,1,0)+IF(LEN(I132)&gt;0,1,0)+IF(LEN(J132)&gt;0,1,0)+IF(LEN(K132)&gt;0,1,0)+IF(LEN(L132)&gt;0,1,0)+IF(LEN(M132)&gt;0,1,0)+IF(LEN(N132)&gt;0,1,0)+IF(LEN(Z132)&gt;0,1,0)+IF(LEN(AA132)&gt;0,1,0)+IF(LEN(Y132)&gt;0,1,0)+IF(LEN(AE132)&gt;0,1,0)+IF(LEN(AG132)&gt;0,1,0)+IF(LEN(AZ132)&gt;0,1,0)+IF(LEN(AK132)&gt;0,1,0)+IF(LEN(AM132)&gt;0,1,0)+IF(LEN(AN132)&gt;0,1,0)+IF(LEN(AO132)&gt;0,1,0)+IF(LEN(AP132)&gt;0,1,0)+IF(LEN(AY132)&gt;0,1,0)+IF(LEN(BJ132)&gt;0,1,0)+IF(LEN(BW132)&gt;0,1,0))/24,2))</f>
        <v/>
      </c>
      <c r="CC132" s="10" t="str">
        <f aca="false">IF(D132="","",IF(AND(AN132="Approved",ISERROR(SEARCH("FAIL",BG132))),"Y","N"))</f>
        <v/>
      </c>
      <c r="CD132" s="10" t="str">
        <f aca="false">IF(D132="","",D132&amp;"|"&amp;J132&amp;"|"&amp;G132&amp;"|"&amp;CC132)</f>
        <v/>
      </c>
    </row>
    <row r="133" customFormat="false" ht="15" hidden="false" customHeight="false" outlineLevel="0" collapsed="false">
      <c r="A133" s="10" t="str">
        <f aca="false">IF(D133="","","MH-"&amp;IFERROR(VLOOKUP(D133,Lists!$AB$4:$AC$20,2,0),"??")&amp;"-"&amp;TEXT(G133,"0000")&amp;IF(F133="Circular","D","x"&amp;TEXT(H133,"0000"))&amp;"-D"&amp;TEXT(J133*1000,"0000")&amp;"-"&amp;IFERROR(VLOOKUP(E133,Lists!$AE$4:$AF$16,2,0),"??")&amp;"-"&amp;AM133)</f>
        <v/>
      </c>
      <c r="B133" s="10" t="str">
        <f aca="false">IF(D133="","",D133&amp;", "&amp;E133&amp;", "&amp;IF(F133="Circular",G133&amp;" dia",G133&amp;" x "&amp;H133)&amp;", depth "&amp;TEXT(I133,"0.0")&amp;"-"&amp;TEXT(J133,"0.0")&amp;" m, pipe up to "&amp;K133&amp;" dia")</f>
        <v/>
      </c>
      <c r="C133" s="9"/>
      <c r="D133" s="9"/>
      <c r="E133" s="9"/>
      <c r="F133" s="9"/>
      <c r="G133" s="38"/>
      <c r="H133" s="38"/>
      <c r="I133" s="42"/>
      <c r="J133" s="42"/>
      <c r="K133" s="38"/>
      <c r="L133" s="38"/>
      <c r="M133" s="38"/>
      <c r="N133" s="38"/>
      <c r="O133" s="9"/>
      <c r="P133" s="9"/>
      <c r="Q133" s="9"/>
      <c r="R133" s="9"/>
      <c r="S133" s="9"/>
      <c r="T133" s="9"/>
      <c r="U133" s="9"/>
      <c r="V133" s="42"/>
      <c r="W133" s="9"/>
      <c r="X133" s="9"/>
      <c r="Y133" s="39"/>
      <c r="Z133" s="9"/>
      <c r="AA133" s="38"/>
      <c r="AB133" s="9"/>
      <c r="AC133" s="9"/>
      <c r="AD133" s="9"/>
      <c r="AE133" s="9"/>
      <c r="AF133" s="9"/>
      <c r="AG133" s="9"/>
      <c r="AH133" s="38"/>
      <c r="AI133" s="9"/>
      <c r="AJ133" s="39"/>
      <c r="AK133" s="9"/>
      <c r="AL133" s="9"/>
      <c r="AM133" s="9"/>
      <c r="AN133" s="9"/>
      <c r="AO133" s="9"/>
      <c r="AP133" s="9"/>
      <c r="AQ133" s="9"/>
      <c r="AR133" s="10" t="str">
        <f aca="false">IF(A133="","",SG_Criteria!$B$6&amp;SG_Criteria!$B$10&amp;"\"&amp;A133&amp;"\")</f>
        <v/>
      </c>
      <c r="AS133" s="10" t="str">
        <f aca="false">IF(A133="","",A133&amp;"_CAD.dwg")</f>
        <v/>
      </c>
      <c r="AT133" s="10" t="str">
        <f aca="false">IF(A133="","",A133&amp;"_DWG.pdf")</f>
        <v/>
      </c>
      <c r="AU133" s="10" t="str">
        <f aca="false">IF(A133="","",IF(AQ133="Y",A133&amp;"_STAAD.std","n/a"))</f>
        <v/>
      </c>
      <c r="AV133" s="10" t="str">
        <f aca="false">IF(A133="","",A133&amp;"_CALC.xlsx")</f>
        <v/>
      </c>
      <c r="AW133" s="10" t="str">
        <f aca="false">IF(A133="","",A133&amp;"_CALC.pdf")</f>
        <v/>
      </c>
      <c r="AX133" s="9"/>
      <c r="AY133" s="9"/>
      <c r="AZ133" s="39"/>
      <c r="BA133" s="39"/>
      <c r="BB133" s="39"/>
      <c r="BC133" s="39"/>
      <c r="BD133" s="39"/>
      <c r="BE133" s="12" t="str">
        <f aca="false">IF(A133="","",IF(COUNTIF(Rebar_Schedule!$A$5:$A$2004,A133)=0,"",ROUND(SUMIF(Rebar_Schedule!$A$5:$A$2004,A133,Rebar_Schedule!$K$5:$K$2004),1)))</f>
        <v/>
      </c>
      <c r="BF133" s="33" t="str">
        <f aca="false">IF(A133="","",IF(BE133="","No rebar schedule yet",IF(ABS(BE133-N(BA133))/MAX(N(BA133),1)&gt;SG_Criteria!$B$55,"NOTE: register rebar differs from schedule by "&amp;TEXT(ABS(BE133-N(BA133))/MAX(N(BA133),1),"0%"),"OK")))</f>
        <v/>
      </c>
      <c r="BG133" s="33" t="str">
        <f aca="false">IF(D133="","",IF(LEN(IF(AND(Z133&lt;&gt;"",IFERROR(VALUE(MID(Z133,2,2)),0)&lt;SG_Criteria!$B$19),"FAIL: grade below C"&amp;SG_Criteria!$B$19&amp;". ","")&amp;IF(AND(AA133&lt;&gt;"",AA133&lt;SG_Criteria!$B$20),"FAIL: cover &lt; "&amp;SG_Criteria!$B$20&amp;" mm. ","")&amp;IF(AND(I133&lt;&gt;"",I133&lt;SG_Criteria!$B$39),"NOTE: min depth below PUB "&amp;SG_Criteria!$B$39&amp;" m. ","")&amp;IF(AND(LEFT(D133,8)="Standard",J133&gt;SG_Criteria!$B$42),"FAIL: PUB 001C covers manholes up to "&amp;SG_Criteria!$B$42&amp;" m deep only. ","")&amp;IF(AND(LEFT(D133,11)="Rectangular",K133&lt;SG_Criteria!$B$43),"NOTE: 004C is for sewers &gt;= "&amp;SG_Criteria!$B$43&amp;" dia. ","")&amp;IF(AND(LEFT(D133,7)="Precast",J133&lt;=SG_Criteria!$B$42),"NOTE: 006C is for manholes &gt; "&amp;SG_Criteria!$B$42&amp;" m deep. ","")&amp;IF(AND(K133&lt;&gt;"",K133&lt;SG_Criteria!$B$40,D133&lt;&gt;"Inspection Chamber"),"NOTE: public sewer min dia "&amp;SG_Criteria!$B$40&amp;" mm. ","")&amp;IF(AND(Y133&lt;&gt;"",Y133&lt;SG_Criteria!$B$44),"FAIL: uplift FOS below "&amp;SG_Criteria!$B$44&amp;". ",""))=0,"OK",IF(AND(Z133&lt;&gt;"",IFERROR(VALUE(MID(Z133,2,2)),0)&lt;SG_Criteria!$B$19),"FAIL: grade below C"&amp;SG_Criteria!$B$19&amp;". ","")&amp;IF(AND(AA133&lt;&gt;"",AA133&lt;SG_Criteria!$B$20),"FAIL: cover &lt; "&amp;SG_Criteria!$B$20&amp;" mm. ","")&amp;IF(AND(I133&lt;&gt;"",I133&lt;SG_Criteria!$B$39),"NOTE: min depth below PUB "&amp;SG_Criteria!$B$39&amp;" m. ","")&amp;IF(AND(LEFT(D133,8)="Standard",J133&gt;SG_Criteria!$B$42),"FAIL: PUB 001C covers manholes up to "&amp;SG_Criteria!$B$42&amp;" m deep only. ","")&amp;IF(AND(LEFT(D133,11)="Rectangular",K133&lt;SG_Criteria!$B$43),"NOTE: 004C is for sewers &gt;= "&amp;SG_Criteria!$B$43&amp;" dia. ","")&amp;IF(AND(LEFT(D133,7)="Precast",J133&lt;=SG_Criteria!$B$42),"NOTE: 006C is for manholes &gt; "&amp;SG_Criteria!$B$42&amp;" m deep. ","")&amp;IF(AND(K133&lt;&gt;"",K133&lt;SG_Criteria!$B$40,D133&lt;&gt;"Inspection Chamber"),"NOTE: public sewer min dia "&amp;SG_Criteria!$B$40&amp;" mm. ","")&amp;IF(AND(Y133&lt;&gt;"",Y133&lt;SG_Criteria!$B$44),"FAIL: uplift FOS below "&amp;SG_Criteria!$B$44&amp;". ","")))</f>
        <v/>
      </c>
      <c r="BH133" s="9"/>
      <c r="BI133" s="9"/>
      <c r="BJ133" s="9"/>
      <c r="BK133" s="10" t="str">
        <f aca="false">IF(BJ133="","",IFERROR(VLOOKUP(BJ133,Projects!$A$5:$D$504,2,0),"Ref not in Projects"))</f>
        <v/>
      </c>
      <c r="BL133" s="10" t="str">
        <f aca="false">IF(BJ133="","",IFERROR(VLOOKUP(BJ133,Projects!$A$5:$D$504,4,0),"Ref not in Projects"))</f>
        <v/>
      </c>
      <c r="BM133" s="9"/>
      <c r="BN133" s="9"/>
      <c r="BO133" s="9"/>
      <c r="BP133" s="40"/>
      <c r="BQ133" s="9"/>
      <c r="BR133" s="40"/>
      <c r="BS133" s="9"/>
      <c r="BT133" s="40"/>
      <c r="BU133" s="9"/>
      <c r="BV133" s="9"/>
      <c r="BW133" s="9"/>
      <c r="BX133" s="40"/>
      <c r="BY133" s="40"/>
      <c r="BZ133" s="36" t="str">
        <f aca="false">IF(BY133="","",EDATE(BY133,SG_Criteria!$B$54*12))</f>
        <v/>
      </c>
      <c r="CA133" s="33" t="str">
        <f aca="true">IF(A133="","",IF(BY133="","NOTE: not reviewed yet",IF(TODAY()&gt;BZ133,"NOTE: review overdue","OK")))</f>
        <v/>
      </c>
      <c r="CB133" s="37" t="str">
        <f aca="false">IF(A133="","",ROUND((IF(LEN(D133)&gt;0,1,0)+IF(LEN(E133)&gt;0,1,0)+IF(LEN(F133)&gt;0,1,0)+IF(LEN(G133)&gt;0,1,0)+IF(LEN(I133)&gt;0,1,0)+IF(LEN(J133)&gt;0,1,0)+IF(LEN(K133)&gt;0,1,0)+IF(LEN(L133)&gt;0,1,0)+IF(LEN(M133)&gt;0,1,0)+IF(LEN(N133)&gt;0,1,0)+IF(LEN(Z133)&gt;0,1,0)+IF(LEN(AA133)&gt;0,1,0)+IF(LEN(Y133)&gt;0,1,0)+IF(LEN(AE133)&gt;0,1,0)+IF(LEN(AG133)&gt;0,1,0)+IF(LEN(AZ133)&gt;0,1,0)+IF(LEN(AK133)&gt;0,1,0)+IF(LEN(AM133)&gt;0,1,0)+IF(LEN(AN133)&gt;0,1,0)+IF(LEN(AO133)&gt;0,1,0)+IF(LEN(AP133)&gt;0,1,0)+IF(LEN(AY133)&gt;0,1,0)+IF(LEN(BJ133)&gt;0,1,0)+IF(LEN(BW133)&gt;0,1,0))/24,2))</f>
        <v/>
      </c>
      <c r="CC133" s="10" t="str">
        <f aca="false">IF(D133="","",IF(AND(AN133="Approved",ISERROR(SEARCH("FAIL",BG133))),"Y","N"))</f>
        <v/>
      </c>
      <c r="CD133" s="10" t="str">
        <f aca="false">IF(D133="","",D133&amp;"|"&amp;J133&amp;"|"&amp;G133&amp;"|"&amp;CC133)</f>
        <v/>
      </c>
    </row>
    <row r="134" customFormat="false" ht="15" hidden="false" customHeight="false" outlineLevel="0" collapsed="false">
      <c r="A134" s="10" t="str">
        <f aca="false">IF(D134="","","MH-"&amp;IFERROR(VLOOKUP(D134,Lists!$AB$4:$AC$20,2,0),"??")&amp;"-"&amp;TEXT(G134,"0000")&amp;IF(F134="Circular","D","x"&amp;TEXT(H134,"0000"))&amp;"-D"&amp;TEXT(J134*1000,"0000")&amp;"-"&amp;IFERROR(VLOOKUP(E134,Lists!$AE$4:$AF$16,2,0),"??")&amp;"-"&amp;AM134)</f>
        <v/>
      </c>
      <c r="B134" s="10" t="str">
        <f aca="false">IF(D134="","",D134&amp;", "&amp;E134&amp;", "&amp;IF(F134="Circular",G134&amp;" dia",G134&amp;" x "&amp;H134)&amp;", depth "&amp;TEXT(I134,"0.0")&amp;"-"&amp;TEXT(J134,"0.0")&amp;" m, pipe up to "&amp;K134&amp;" dia")</f>
        <v/>
      </c>
      <c r="C134" s="9"/>
      <c r="D134" s="9"/>
      <c r="E134" s="9"/>
      <c r="F134" s="9"/>
      <c r="G134" s="38"/>
      <c r="H134" s="38"/>
      <c r="I134" s="42"/>
      <c r="J134" s="42"/>
      <c r="K134" s="38"/>
      <c r="L134" s="38"/>
      <c r="M134" s="38"/>
      <c r="N134" s="38"/>
      <c r="O134" s="9"/>
      <c r="P134" s="9"/>
      <c r="Q134" s="9"/>
      <c r="R134" s="9"/>
      <c r="S134" s="9"/>
      <c r="T134" s="9"/>
      <c r="U134" s="9"/>
      <c r="V134" s="42"/>
      <c r="W134" s="9"/>
      <c r="X134" s="9"/>
      <c r="Y134" s="39"/>
      <c r="Z134" s="9"/>
      <c r="AA134" s="38"/>
      <c r="AB134" s="9"/>
      <c r="AC134" s="9"/>
      <c r="AD134" s="9"/>
      <c r="AE134" s="9"/>
      <c r="AF134" s="9"/>
      <c r="AG134" s="9"/>
      <c r="AH134" s="38"/>
      <c r="AI134" s="9"/>
      <c r="AJ134" s="39"/>
      <c r="AK134" s="9"/>
      <c r="AL134" s="9"/>
      <c r="AM134" s="9"/>
      <c r="AN134" s="9"/>
      <c r="AO134" s="9"/>
      <c r="AP134" s="9"/>
      <c r="AQ134" s="9"/>
      <c r="AR134" s="10" t="str">
        <f aca="false">IF(A134="","",SG_Criteria!$B$6&amp;SG_Criteria!$B$10&amp;"\"&amp;A134&amp;"\")</f>
        <v/>
      </c>
      <c r="AS134" s="10" t="str">
        <f aca="false">IF(A134="","",A134&amp;"_CAD.dwg")</f>
        <v/>
      </c>
      <c r="AT134" s="10" t="str">
        <f aca="false">IF(A134="","",A134&amp;"_DWG.pdf")</f>
        <v/>
      </c>
      <c r="AU134" s="10" t="str">
        <f aca="false">IF(A134="","",IF(AQ134="Y",A134&amp;"_STAAD.std","n/a"))</f>
        <v/>
      </c>
      <c r="AV134" s="10" t="str">
        <f aca="false">IF(A134="","",A134&amp;"_CALC.xlsx")</f>
        <v/>
      </c>
      <c r="AW134" s="10" t="str">
        <f aca="false">IF(A134="","",A134&amp;"_CALC.pdf")</f>
        <v/>
      </c>
      <c r="AX134" s="9"/>
      <c r="AY134" s="9"/>
      <c r="AZ134" s="39"/>
      <c r="BA134" s="39"/>
      <c r="BB134" s="39"/>
      <c r="BC134" s="39"/>
      <c r="BD134" s="39"/>
      <c r="BE134" s="12" t="str">
        <f aca="false">IF(A134="","",IF(COUNTIF(Rebar_Schedule!$A$5:$A$2004,A134)=0,"",ROUND(SUMIF(Rebar_Schedule!$A$5:$A$2004,A134,Rebar_Schedule!$K$5:$K$2004),1)))</f>
        <v/>
      </c>
      <c r="BF134" s="33" t="str">
        <f aca="false">IF(A134="","",IF(BE134="","No rebar schedule yet",IF(ABS(BE134-N(BA134))/MAX(N(BA134),1)&gt;SG_Criteria!$B$55,"NOTE: register rebar differs from schedule by "&amp;TEXT(ABS(BE134-N(BA134))/MAX(N(BA134),1),"0%"),"OK")))</f>
        <v/>
      </c>
      <c r="BG134" s="33" t="str">
        <f aca="false">IF(D134="","",IF(LEN(IF(AND(Z134&lt;&gt;"",IFERROR(VALUE(MID(Z134,2,2)),0)&lt;SG_Criteria!$B$19),"FAIL: grade below C"&amp;SG_Criteria!$B$19&amp;". ","")&amp;IF(AND(AA134&lt;&gt;"",AA134&lt;SG_Criteria!$B$20),"FAIL: cover &lt; "&amp;SG_Criteria!$B$20&amp;" mm. ","")&amp;IF(AND(I134&lt;&gt;"",I134&lt;SG_Criteria!$B$39),"NOTE: min depth below PUB "&amp;SG_Criteria!$B$39&amp;" m. ","")&amp;IF(AND(LEFT(D134,8)="Standard",J134&gt;SG_Criteria!$B$42),"FAIL: PUB 001C covers manholes up to "&amp;SG_Criteria!$B$42&amp;" m deep only. ","")&amp;IF(AND(LEFT(D134,11)="Rectangular",K134&lt;SG_Criteria!$B$43),"NOTE: 004C is for sewers &gt;= "&amp;SG_Criteria!$B$43&amp;" dia. ","")&amp;IF(AND(LEFT(D134,7)="Precast",J134&lt;=SG_Criteria!$B$42),"NOTE: 006C is for manholes &gt; "&amp;SG_Criteria!$B$42&amp;" m deep. ","")&amp;IF(AND(K134&lt;&gt;"",K134&lt;SG_Criteria!$B$40,D134&lt;&gt;"Inspection Chamber"),"NOTE: public sewer min dia "&amp;SG_Criteria!$B$40&amp;" mm. ","")&amp;IF(AND(Y134&lt;&gt;"",Y134&lt;SG_Criteria!$B$44),"FAIL: uplift FOS below "&amp;SG_Criteria!$B$44&amp;". ",""))=0,"OK",IF(AND(Z134&lt;&gt;"",IFERROR(VALUE(MID(Z134,2,2)),0)&lt;SG_Criteria!$B$19),"FAIL: grade below C"&amp;SG_Criteria!$B$19&amp;". ","")&amp;IF(AND(AA134&lt;&gt;"",AA134&lt;SG_Criteria!$B$20),"FAIL: cover &lt; "&amp;SG_Criteria!$B$20&amp;" mm. ","")&amp;IF(AND(I134&lt;&gt;"",I134&lt;SG_Criteria!$B$39),"NOTE: min depth below PUB "&amp;SG_Criteria!$B$39&amp;" m. ","")&amp;IF(AND(LEFT(D134,8)="Standard",J134&gt;SG_Criteria!$B$42),"FAIL: PUB 001C covers manholes up to "&amp;SG_Criteria!$B$42&amp;" m deep only. ","")&amp;IF(AND(LEFT(D134,11)="Rectangular",K134&lt;SG_Criteria!$B$43),"NOTE: 004C is for sewers &gt;= "&amp;SG_Criteria!$B$43&amp;" dia. ","")&amp;IF(AND(LEFT(D134,7)="Precast",J134&lt;=SG_Criteria!$B$42),"NOTE: 006C is for manholes &gt; "&amp;SG_Criteria!$B$42&amp;" m deep. ","")&amp;IF(AND(K134&lt;&gt;"",K134&lt;SG_Criteria!$B$40,D134&lt;&gt;"Inspection Chamber"),"NOTE: public sewer min dia "&amp;SG_Criteria!$B$40&amp;" mm. ","")&amp;IF(AND(Y134&lt;&gt;"",Y134&lt;SG_Criteria!$B$44),"FAIL: uplift FOS below "&amp;SG_Criteria!$B$44&amp;". ","")))</f>
        <v/>
      </c>
      <c r="BH134" s="9"/>
      <c r="BI134" s="9"/>
      <c r="BJ134" s="9"/>
      <c r="BK134" s="10" t="str">
        <f aca="false">IF(BJ134="","",IFERROR(VLOOKUP(BJ134,Projects!$A$5:$D$504,2,0),"Ref not in Projects"))</f>
        <v/>
      </c>
      <c r="BL134" s="10" t="str">
        <f aca="false">IF(BJ134="","",IFERROR(VLOOKUP(BJ134,Projects!$A$5:$D$504,4,0),"Ref not in Projects"))</f>
        <v/>
      </c>
      <c r="BM134" s="9"/>
      <c r="BN134" s="9"/>
      <c r="BO134" s="9"/>
      <c r="BP134" s="40"/>
      <c r="BQ134" s="9"/>
      <c r="BR134" s="40"/>
      <c r="BS134" s="9"/>
      <c r="BT134" s="40"/>
      <c r="BU134" s="9"/>
      <c r="BV134" s="9"/>
      <c r="BW134" s="9"/>
      <c r="BX134" s="40"/>
      <c r="BY134" s="40"/>
      <c r="BZ134" s="36" t="str">
        <f aca="false">IF(BY134="","",EDATE(BY134,SG_Criteria!$B$54*12))</f>
        <v/>
      </c>
      <c r="CA134" s="33" t="str">
        <f aca="true">IF(A134="","",IF(BY134="","NOTE: not reviewed yet",IF(TODAY()&gt;BZ134,"NOTE: review overdue","OK")))</f>
        <v/>
      </c>
      <c r="CB134" s="37" t="str">
        <f aca="false">IF(A134="","",ROUND((IF(LEN(D134)&gt;0,1,0)+IF(LEN(E134)&gt;0,1,0)+IF(LEN(F134)&gt;0,1,0)+IF(LEN(G134)&gt;0,1,0)+IF(LEN(I134)&gt;0,1,0)+IF(LEN(J134)&gt;0,1,0)+IF(LEN(K134)&gt;0,1,0)+IF(LEN(L134)&gt;0,1,0)+IF(LEN(M134)&gt;0,1,0)+IF(LEN(N134)&gt;0,1,0)+IF(LEN(Z134)&gt;0,1,0)+IF(LEN(AA134)&gt;0,1,0)+IF(LEN(Y134)&gt;0,1,0)+IF(LEN(AE134)&gt;0,1,0)+IF(LEN(AG134)&gt;0,1,0)+IF(LEN(AZ134)&gt;0,1,0)+IF(LEN(AK134)&gt;0,1,0)+IF(LEN(AM134)&gt;0,1,0)+IF(LEN(AN134)&gt;0,1,0)+IF(LEN(AO134)&gt;0,1,0)+IF(LEN(AP134)&gt;0,1,0)+IF(LEN(AY134)&gt;0,1,0)+IF(LEN(BJ134)&gt;0,1,0)+IF(LEN(BW134)&gt;0,1,0))/24,2))</f>
        <v/>
      </c>
      <c r="CC134" s="10" t="str">
        <f aca="false">IF(D134="","",IF(AND(AN134="Approved",ISERROR(SEARCH("FAIL",BG134))),"Y","N"))</f>
        <v/>
      </c>
      <c r="CD134" s="10" t="str">
        <f aca="false">IF(D134="","",D134&amp;"|"&amp;J134&amp;"|"&amp;G134&amp;"|"&amp;CC134)</f>
        <v/>
      </c>
    </row>
    <row r="135" customFormat="false" ht="15" hidden="false" customHeight="false" outlineLevel="0" collapsed="false">
      <c r="A135" s="10" t="str">
        <f aca="false">IF(D135="","","MH-"&amp;IFERROR(VLOOKUP(D135,Lists!$AB$4:$AC$20,2,0),"??")&amp;"-"&amp;TEXT(G135,"0000")&amp;IF(F135="Circular","D","x"&amp;TEXT(H135,"0000"))&amp;"-D"&amp;TEXT(J135*1000,"0000")&amp;"-"&amp;IFERROR(VLOOKUP(E135,Lists!$AE$4:$AF$16,2,0),"??")&amp;"-"&amp;AM135)</f>
        <v/>
      </c>
      <c r="B135" s="10" t="str">
        <f aca="false">IF(D135="","",D135&amp;", "&amp;E135&amp;", "&amp;IF(F135="Circular",G135&amp;" dia",G135&amp;" x "&amp;H135)&amp;", depth "&amp;TEXT(I135,"0.0")&amp;"-"&amp;TEXT(J135,"0.0")&amp;" m, pipe up to "&amp;K135&amp;" dia")</f>
        <v/>
      </c>
      <c r="C135" s="9"/>
      <c r="D135" s="9"/>
      <c r="E135" s="9"/>
      <c r="F135" s="9"/>
      <c r="G135" s="38"/>
      <c r="H135" s="38"/>
      <c r="I135" s="42"/>
      <c r="J135" s="42"/>
      <c r="K135" s="38"/>
      <c r="L135" s="38"/>
      <c r="M135" s="38"/>
      <c r="N135" s="38"/>
      <c r="O135" s="9"/>
      <c r="P135" s="9"/>
      <c r="Q135" s="9"/>
      <c r="R135" s="9"/>
      <c r="S135" s="9"/>
      <c r="T135" s="9"/>
      <c r="U135" s="9"/>
      <c r="V135" s="42"/>
      <c r="W135" s="9"/>
      <c r="X135" s="9"/>
      <c r="Y135" s="39"/>
      <c r="Z135" s="9"/>
      <c r="AA135" s="38"/>
      <c r="AB135" s="9"/>
      <c r="AC135" s="9"/>
      <c r="AD135" s="9"/>
      <c r="AE135" s="9"/>
      <c r="AF135" s="9"/>
      <c r="AG135" s="9"/>
      <c r="AH135" s="38"/>
      <c r="AI135" s="9"/>
      <c r="AJ135" s="39"/>
      <c r="AK135" s="9"/>
      <c r="AL135" s="9"/>
      <c r="AM135" s="9"/>
      <c r="AN135" s="9"/>
      <c r="AO135" s="9"/>
      <c r="AP135" s="9"/>
      <c r="AQ135" s="9"/>
      <c r="AR135" s="10" t="str">
        <f aca="false">IF(A135="","",SG_Criteria!$B$6&amp;SG_Criteria!$B$10&amp;"\"&amp;A135&amp;"\")</f>
        <v/>
      </c>
      <c r="AS135" s="10" t="str">
        <f aca="false">IF(A135="","",A135&amp;"_CAD.dwg")</f>
        <v/>
      </c>
      <c r="AT135" s="10" t="str">
        <f aca="false">IF(A135="","",A135&amp;"_DWG.pdf")</f>
        <v/>
      </c>
      <c r="AU135" s="10" t="str">
        <f aca="false">IF(A135="","",IF(AQ135="Y",A135&amp;"_STAAD.std","n/a"))</f>
        <v/>
      </c>
      <c r="AV135" s="10" t="str">
        <f aca="false">IF(A135="","",A135&amp;"_CALC.xlsx")</f>
        <v/>
      </c>
      <c r="AW135" s="10" t="str">
        <f aca="false">IF(A135="","",A135&amp;"_CALC.pdf")</f>
        <v/>
      </c>
      <c r="AX135" s="9"/>
      <c r="AY135" s="9"/>
      <c r="AZ135" s="39"/>
      <c r="BA135" s="39"/>
      <c r="BB135" s="39"/>
      <c r="BC135" s="39"/>
      <c r="BD135" s="39"/>
      <c r="BE135" s="12" t="str">
        <f aca="false">IF(A135="","",IF(COUNTIF(Rebar_Schedule!$A$5:$A$2004,A135)=0,"",ROUND(SUMIF(Rebar_Schedule!$A$5:$A$2004,A135,Rebar_Schedule!$K$5:$K$2004),1)))</f>
        <v/>
      </c>
      <c r="BF135" s="33" t="str">
        <f aca="false">IF(A135="","",IF(BE135="","No rebar schedule yet",IF(ABS(BE135-N(BA135))/MAX(N(BA135),1)&gt;SG_Criteria!$B$55,"NOTE: register rebar differs from schedule by "&amp;TEXT(ABS(BE135-N(BA135))/MAX(N(BA135),1),"0%"),"OK")))</f>
        <v/>
      </c>
      <c r="BG135" s="33" t="str">
        <f aca="false">IF(D135="","",IF(LEN(IF(AND(Z135&lt;&gt;"",IFERROR(VALUE(MID(Z135,2,2)),0)&lt;SG_Criteria!$B$19),"FAIL: grade below C"&amp;SG_Criteria!$B$19&amp;". ","")&amp;IF(AND(AA135&lt;&gt;"",AA135&lt;SG_Criteria!$B$20),"FAIL: cover &lt; "&amp;SG_Criteria!$B$20&amp;" mm. ","")&amp;IF(AND(I135&lt;&gt;"",I135&lt;SG_Criteria!$B$39),"NOTE: min depth below PUB "&amp;SG_Criteria!$B$39&amp;" m. ","")&amp;IF(AND(LEFT(D135,8)="Standard",J135&gt;SG_Criteria!$B$42),"FAIL: PUB 001C covers manholes up to "&amp;SG_Criteria!$B$42&amp;" m deep only. ","")&amp;IF(AND(LEFT(D135,11)="Rectangular",K135&lt;SG_Criteria!$B$43),"NOTE: 004C is for sewers &gt;= "&amp;SG_Criteria!$B$43&amp;" dia. ","")&amp;IF(AND(LEFT(D135,7)="Precast",J135&lt;=SG_Criteria!$B$42),"NOTE: 006C is for manholes &gt; "&amp;SG_Criteria!$B$42&amp;" m deep. ","")&amp;IF(AND(K135&lt;&gt;"",K135&lt;SG_Criteria!$B$40,D135&lt;&gt;"Inspection Chamber"),"NOTE: public sewer min dia "&amp;SG_Criteria!$B$40&amp;" mm. ","")&amp;IF(AND(Y135&lt;&gt;"",Y135&lt;SG_Criteria!$B$44),"FAIL: uplift FOS below "&amp;SG_Criteria!$B$44&amp;". ",""))=0,"OK",IF(AND(Z135&lt;&gt;"",IFERROR(VALUE(MID(Z135,2,2)),0)&lt;SG_Criteria!$B$19),"FAIL: grade below C"&amp;SG_Criteria!$B$19&amp;". ","")&amp;IF(AND(AA135&lt;&gt;"",AA135&lt;SG_Criteria!$B$20),"FAIL: cover &lt; "&amp;SG_Criteria!$B$20&amp;" mm. ","")&amp;IF(AND(I135&lt;&gt;"",I135&lt;SG_Criteria!$B$39),"NOTE: min depth below PUB "&amp;SG_Criteria!$B$39&amp;" m. ","")&amp;IF(AND(LEFT(D135,8)="Standard",J135&gt;SG_Criteria!$B$42),"FAIL: PUB 001C covers manholes up to "&amp;SG_Criteria!$B$42&amp;" m deep only. ","")&amp;IF(AND(LEFT(D135,11)="Rectangular",K135&lt;SG_Criteria!$B$43),"NOTE: 004C is for sewers &gt;= "&amp;SG_Criteria!$B$43&amp;" dia. ","")&amp;IF(AND(LEFT(D135,7)="Precast",J135&lt;=SG_Criteria!$B$42),"NOTE: 006C is for manholes &gt; "&amp;SG_Criteria!$B$42&amp;" m deep. ","")&amp;IF(AND(K135&lt;&gt;"",K135&lt;SG_Criteria!$B$40,D135&lt;&gt;"Inspection Chamber"),"NOTE: public sewer min dia "&amp;SG_Criteria!$B$40&amp;" mm. ","")&amp;IF(AND(Y135&lt;&gt;"",Y135&lt;SG_Criteria!$B$44),"FAIL: uplift FOS below "&amp;SG_Criteria!$B$44&amp;". ","")))</f>
        <v/>
      </c>
      <c r="BH135" s="9"/>
      <c r="BI135" s="9"/>
      <c r="BJ135" s="9"/>
      <c r="BK135" s="10" t="str">
        <f aca="false">IF(BJ135="","",IFERROR(VLOOKUP(BJ135,Projects!$A$5:$D$504,2,0),"Ref not in Projects"))</f>
        <v/>
      </c>
      <c r="BL135" s="10" t="str">
        <f aca="false">IF(BJ135="","",IFERROR(VLOOKUP(BJ135,Projects!$A$5:$D$504,4,0),"Ref not in Projects"))</f>
        <v/>
      </c>
      <c r="BM135" s="9"/>
      <c r="BN135" s="9"/>
      <c r="BO135" s="9"/>
      <c r="BP135" s="40"/>
      <c r="BQ135" s="9"/>
      <c r="BR135" s="40"/>
      <c r="BS135" s="9"/>
      <c r="BT135" s="40"/>
      <c r="BU135" s="9"/>
      <c r="BV135" s="9"/>
      <c r="BW135" s="9"/>
      <c r="BX135" s="40"/>
      <c r="BY135" s="40"/>
      <c r="BZ135" s="36" t="str">
        <f aca="false">IF(BY135="","",EDATE(BY135,SG_Criteria!$B$54*12))</f>
        <v/>
      </c>
      <c r="CA135" s="33" t="str">
        <f aca="true">IF(A135="","",IF(BY135="","NOTE: not reviewed yet",IF(TODAY()&gt;BZ135,"NOTE: review overdue","OK")))</f>
        <v/>
      </c>
      <c r="CB135" s="37" t="str">
        <f aca="false">IF(A135="","",ROUND((IF(LEN(D135)&gt;0,1,0)+IF(LEN(E135)&gt;0,1,0)+IF(LEN(F135)&gt;0,1,0)+IF(LEN(G135)&gt;0,1,0)+IF(LEN(I135)&gt;0,1,0)+IF(LEN(J135)&gt;0,1,0)+IF(LEN(K135)&gt;0,1,0)+IF(LEN(L135)&gt;0,1,0)+IF(LEN(M135)&gt;0,1,0)+IF(LEN(N135)&gt;0,1,0)+IF(LEN(Z135)&gt;0,1,0)+IF(LEN(AA135)&gt;0,1,0)+IF(LEN(Y135)&gt;0,1,0)+IF(LEN(AE135)&gt;0,1,0)+IF(LEN(AG135)&gt;0,1,0)+IF(LEN(AZ135)&gt;0,1,0)+IF(LEN(AK135)&gt;0,1,0)+IF(LEN(AM135)&gt;0,1,0)+IF(LEN(AN135)&gt;0,1,0)+IF(LEN(AO135)&gt;0,1,0)+IF(LEN(AP135)&gt;0,1,0)+IF(LEN(AY135)&gt;0,1,0)+IF(LEN(BJ135)&gt;0,1,0)+IF(LEN(BW135)&gt;0,1,0))/24,2))</f>
        <v/>
      </c>
      <c r="CC135" s="10" t="str">
        <f aca="false">IF(D135="","",IF(AND(AN135="Approved",ISERROR(SEARCH("FAIL",BG135))),"Y","N"))</f>
        <v/>
      </c>
      <c r="CD135" s="10" t="str">
        <f aca="false">IF(D135="","",D135&amp;"|"&amp;J135&amp;"|"&amp;G135&amp;"|"&amp;CC135)</f>
        <v/>
      </c>
    </row>
    <row r="136" customFormat="false" ht="15" hidden="false" customHeight="false" outlineLevel="0" collapsed="false">
      <c r="A136" s="10" t="str">
        <f aca="false">IF(D136="","","MH-"&amp;IFERROR(VLOOKUP(D136,Lists!$AB$4:$AC$20,2,0),"??")&amp;"-"&amp;TEXT(G136,"0000")&amp;IF(F136="Circular","D","x"&amp;TEXT(H136,"0000"))&amp;"-D"&amp;TEXT(J136*1000,"0000")&amp;"-"&amp;IFERROR(VLOOKUP(E136,Lists!$AE$4:$AF$16,2,0),"??")&amp;"-"&amp;AM136)</f>
        <v/>
      </c>
      <c r="B136" s="10" t="str">
        <f aca="false">IF(D136="","",D136&amp;", "&amp;E136&amp;", "&amp;IF(F136="Circular",G136&amp;" dia",G136&amp;" x "&amp;H136)&amp;", depth "&amp;TEXT(I136,"0.0")&amp;"-"&amp;TEXT(J136,"0.0")&amp;" m, pipe up to "&amp;K136&amp;" dia")</f>
        <v/>
      </c>
      <c r="C136" s="9"/>
      <c r="D136" s="9"/>
      <c r="E136" s="9"/>
      <c r="F136" s="9"/>
      <c r="G136" s="38"/>
      <c r="H136" s="38"/>
      <c r="I136" s="42"/>
      <c r="J136" s="42"/>
      <c r="K136" s="38"/>
      <c r="L136" s="38"/>
      <c r="M136" s="38"/>
      <c r="N136" s="38"/>
      <c r="O136" s="9"/>
      <c r="P136" s="9"/>
      <c r="Q136" s="9"/>
      <c r="R136" s="9"/>
      <c r="S136" s="9"/>
      <c r="T136" s="9"/>
      <c r="U136" s="9"/>
      <c r="V136" s="42"/>
      <c r="W136" s="9"/>
      <c r="X136" s="9"/>
      <c r="Y136" s="39"/>
      <c r="Z136" s="9"/>
      <c r="AA136" s="38"/>
      <c r="AB136" s="9"/>
      <c r="AC136" s="9"/>
      <c r="AD136" s="9"/>
      <c r="AE136" s="9"/>
      <c r="AF136" s="9"/>
      <c r="AG136" s="9"/>
      <c r="AH136" s="38"/>
      <c r="AI136" s="9"/>
      <c r="AJ136" s="39"/>
      <c r="AK136" s="9"/>
      <c r="AL136" s="9"/>
      <c r="AM136" s="9"/>
      <c r="AN136" s="9"/>
      <c r="AO136" s="9"/>
      <c r="AP136" s="9"/>
      <c r="AQ136" s="9"/>
      <c r="AR136" s="10" t="str">
        <f aca="false">IF(A136="","",SG_Criteria!$B$6&amp;SG_Criteria!$B$10&amp;"\"&amp;A136&amp;"\")</f>
        <v/>
      </c>
      <c r="AS136" s="10" t="str">
        <f aca="false">IF(A136="","",A136&amp;"_CAD.dwg")</f>
        <v/>
      </c>
      <c r="AT136" s="10" t="str">
        <f aca="false">IF(A136="","",A136&amp;"_DWG.pdf")</f>
        <v/>
      </c>
      <c r="AU136" s="10" t="str">
        <f aca="false">IF(A136="","",IF(AQ136="Y",A136&amp;"_STAAD.std","n/a"))</f>
        <v/>
      </c>
      <c r="AV136" s="10" t="str">
        <f aca="false">IF(A136="","",A136&amp;"_CALC.xlsx")</f>
        <v/>
      </c>
      <c r="AW136" s="10" t="str">
        <f aca="false">IF(A136="","",A136&amp;"_CALC.pdf")</f>
        <v/>
      </c>
      <c r="AX136" s="9"/>
      <c r="AY136" s="9"/>
      <c r="AZ136" s="39"/>
      <c r="BA136" s="39"/>
      <c r="BB136" s="39"/>
      <c r="BC136" s="39"/>
      <c r="BD136" s="39"/>
      <c r="BE136" s="12" t="str">
        <f aca="false">IF(A136="","",IF(COUNTIF(Rebar_Schedule!$A$5:$A$2004,A136)=0,"",ROUND(SUMIF(Rebar_Schedule!$A$5:$A$2004,A136,Rebar_Schedule!$K$5:$K$2004),1)))</f>
        <v/>
      </c>
      <c r="BF136" s="33" t="str">
        <f aca="false">IF(A136="","",IF(BE136="","No rebar schedule yet",IF(ABS(BE136-N(BA136))/MAX(N(BA136),1)&gt;SG_Criteria!$B$55,"NOTE: register rebar differs from schedule by "&amp;TEXT(ABS(BE136-N(BA136))/MAX(N(BA136),1),"0%"),"OK")))</f>
        <v/>
      </c>
      <c r="BG136" s="33" t="str">
        <f aca="false">IF(D136="","",IF(LEN(IF(AND(Z136&lt;&gt;"",IFERROR(VALUE(MID(Z136,2,2)),0)&lt;SG_Criteria!$B$19),"FAIL: grade below C"&amp;SG_Criteria!$B$19&amp;". ","")&amp;IF(AND(AA136&lt;&gt;"",AA136&lt;SG_Criteria!$B$20),"FAIL: cover &lt; "&amp;SG_Criteria!$B$20&amp;" mm. ","")&amp;IF(AND(I136&lt;&gt;"",I136&lt;SG_Criteria!$B$39),"NOTE: min depth below PUB "&amp;SG_Criteria!$B$39&amp;" m. ","")&amp;IF(AND(LEFT(D136,8)="Standard",J136&gt;SG_Criteria!$B$42),"FAIL: PUB 001C covers manholes up to "&amp;SG_Criteria!$B$42&amp;" m deep only. ","")&amp;IF(AND(LEFT(D136,11)="Rectangular",K136&lt;SG_Criteria!$B$43),"NOTE: 004C is for sewers &gt;= "&amp;SG_Criteria!$B$43&amp;" dia. ","")&amp;IF(AND(LEFT(D136,7)="Precast",J136&lt;=SG_Criteria!$B$42),"NOTE: 006C is for manholes &gt; "&amp;SG_Criteria!$B$42&amp;" m deep. ","")&amp;IF(AND(K136&lt;&gt;"",K136&lt;SG_Criteria!$B$40,D136&lt;&gt;"Inspection Chamber"),"NOTE: public sewer min dia "&amp;SG_Criteria!$B$40&amp;" mm. ","")&amp;IF(AND(Y136&lt;&gt;"",Y136&lt;SG_Criteria!$B$44),"FAIL: uplift FOS below "&amp;SG_Criteria!$B$44&amp;". ",""))=0,"OK",IF(AND(Z136&lt;&gt;"",IFERROR(VALUE(MID(Z136,2,2)),0)&lt;SG_Criteria!$B$19),"FAIL: grade below C"&amp;SG_Criteria!$B$19&amp;". ","")&amp;IF(AND(AA136&lt;&gt;"",AA136&lt;SG_Criteria!$B$20),"FAIL: cover &lt; "&amp;SG_Criteria!$B$20&amp;" mm. ","")&amp;IF(AND(I136&lt;&gt;"",I136&lt;SG_Criteria!$B$39),"NOTE: min depth below PUB "&amp;SG_Criteria!$B$39&amp;" m. ","")&amp;IF(AND(LEFT(D136,8)="Standard",J136&gt;SG_Criteria!$B$42),"FAIL: PUB 001C covers manholes up to "&amp;SG_Criteria!$B$42&amp;" m deep only. ","")&amp;IF(AND(LEFT(D136,11)="Rectangular",K136&lt;SG_Criteria!$B$43),"NOTE: 004C is for sewers &gt;= "&amp;SG_Criteria!$B$43&amp;" dia. ","")&amp;IF(AND(LEFT(D136,7)="Precast",J136&lt;=SG_Criteria!$B$42),"NOTE: 006C is for manholes &gt; "&amp;SG_Criteria!$B$42&amp;" m deep. ","")&amp;IF(AND(K136&lt;&gt;"",K136&lt;SG_Criteria!$B$40,D136&lt;&gt;"Inspection Chamber"),"NOTE: public sewer min dia "&amp;SG_Criteria!$B$40&amp;" mm. ","")&amp;IF(AND(Y136&lt;&gt;"",Y136&lt;SG_Criteria!$B$44),"FAIL: uplift FOS below "&amp;SG_Criteria!$B$44&amp;". ","")))</f>
        <v/>
      </c>
      <c r="BH136" s="9"/>
      <c r="BI136" s="9"/>
      <c r="BJ136" s="9"/>
      <c r="BK136" s="10" t="str">
        <f aca="false">IF(BJ136="","",IFERROR(VLOOKUP(BJ136,Projects!$A$5:$D$504,2,0),"Ref not in Projects"))</f>
        <v/>
      </c>
      <c r="BL136" s="10" t="str">
        <f aca="false">IF(BJ136="","",IFERROR(VLOOKUP(BJ136,Projects!$A$5:$D$504,4,0),"Ref not in Projects"))</f>
        <v/>
      </c>
      <c r="BM136" s="9"/>
      <c r="BN136" s="9"/>
      <c r="BO136" s="9"/>
      <c r="BP136" s="40"/>
      <c r="BQ136" s="9"/>
      <c r="BR136" s="40"/>
      <c r="BS136" s="9"/>
      <c r="BT136" s="40"/>
      <c r="BU136" s="9"/>
      <c r="BV136" s="9"/>
      <c r="BW136" s="9"/>
      <c r="BX136" s="40"/>
      <c r="BY136" s="40"/>
      <c r="BZ136" s="36" t="str">
        <f aca="false">IF(BY136="","",EDATE(BY136,SG_Criteria!$B$54*12))</f>
        <v/>
      </c>
      <c r="CA136" s="33" t="str">
        <f aca="true">IF(A136="","",IF(BY136="","NOTE: not reviewed yet",IF(TODAY()&gt;BZ136,"NOTE: review overdue","OK")))</f>
        <v/>
      </c>
      <c r="CB136" s="37" t="str">
        <f aca="false">IF(A136="","",ROUND((IF(LEN(D136)&gt;0,1,0)+IF(LEN(E136)&gt;0,1,0)+IF(LEN(F136)&gt;0,1,0)+IF(LEN(G136)&gt;0,1,0)+IF(LEN(I136)&gt;0,1,0)+IF(LEN(J136)&gt;0,1,0)+IF(LEN(K136)&gt;0,1,0)+IF(LEN(L136)&gt;0,1,0)+IF(LEN(M136)&gt;0,1,0)+IF(LEN(N136)&gt;0,1,0)+IF(LEN(Z136)&gt;0,1,0)+IF(LEN(AA136)&gt;0,1,0)+IF(LEN(Y136)&gt;0,1,0)+IF(LEN(AE136)&gt;0,1,0)+IF(LEN(AG136)&gt;0,1,0)+IF(LEN(AZ136)&gt;0,1,0)+IF(LEN(AK136)&gt;0,1,0)+IF(LEN(AM136)&gt;0,1,0)+IF(LEN(AN136)&gt;0,1,0)+IF(LEN(AO136)&gt;0,1,0)+IF(LEN(AP136)&gt;0,1,0)+IF(LEN(AY136)&gt;0,1,0)+IF(LEN(BJ136)&gt;0,1,0)+IF(LEN(BW136)&gt;0,1,0))/24,2))</f>
        <v/>
      </c>
      <c r="CC136" s="10" t="str">
        <f aca="false">IF(D136="","",IF(AND(AN136="Approved",ISERROR(SEARCH("FAIL",BG136))),"Y","N"))</f>
        <v/>
      </c>
      <c r="CD136" s="10" t="str">
        <f aca="false">IF(D136="","",D136&amp;"|"&amp;J136&amp;"|"&amp;G136&amp;"|"&amp;CC136)</f>
        <v/>
      </c>
    </row>
    <row r="137" customFormat="false" ht="15" hidden="false" customHeight="false" outlineLevel="0" collapsed="false">
      <c r="A137" s="10" t="str">
        <f aca="false">IF(D137="","","MH-"&amp;IFERROR(VLOOKUP(D137,Lists!$AB$4:$AC$20,2,0),"??")&amp;"-"&amp;TEXT(G137,"0000")&amp;IF(F137="Circular","D","x"&amp;TEXT(H137,"0000"))&amp;"-D"&amp;TEXT(J137*1000,"0000")&amp;"-"&amp;IFERROR(VLOOKUP(E137,Lists!$AE$4:$AF$16,2,0),"??")&amp;"-"&amp;AM137)</f>
        <v/>
      </c>
      <c r="B137" s="10" t="str">
        <f aca="false">IF(D137="","",D137&amp;", "&amp;E137&amp;", "&amp;IF(F137="Circular",G137&amp;" dia",G137&amp;" x "&amp;H137)&amp;", depth "&amp;TEXT(I137,"0.0")&amp;"-"&amp;TEXT(J137,"0.0")&amp;" m, pipe up to "&amp;K137&amp;" dia")</f>
        <v/>
      </c>
      <c r="C137" s="9"/>
      <c r="D137" s="9"/>
      <c r="E137" s="9"/>
      <c r="F137" s="9"/>
      <c r="G137" s="38"/>
      <c r="H137" s="38"/>
      <c r="I137" s="42"/>
      <c r="J137" s="42"/>
      <c r="K137" s="38"/>
      <c r="L137" s="38"/>
      <c r="M137" s="38"/>
      <c r="N137" s="38"/>
      <c r="O137" s="9"/>
      <c r="P137" s="9"/>
      <c r="Q137" s="9"/>
      <c r="R137" s="9"/>
      <c r="S137" s="9"/>
      <c r="T137" s="9"/>
      <c r="U137" s="9"/>
      <c r="V137" s="42"/>
      <c r="W137" s="9"/>
      <c r="X137" s="9"/>
      <c r="Y137" s="39"/>
      <c r="Z137" s="9"/>
      <c r="AA137" s="38"/>
      <c r="AB137" s="9"/>
      <c r="AC137" s="9"/>
      <c r="AD137" s="9"/>
      <c r="AE137" s="9"/>
      <c r="AF137" s="9"/>
      <c r="AG137" s="9"/>
      <c r="AH137" s="38"/>
      <c r="AI137" s="9"/>
      <c r="AJ137" s="39"/>
      <c r="AK137" s="9"/>
      <c r="AL137" s="9"/>
      <c r="AM137" s="9"/>
      <c r="AN137" s="9"/>
      <c r="AO137" s="9"/>
      <c r="AP137" s="9"/>
      <c r="AQ137" s="9"/>
      <c r="AR137" s="10" t="str">
        <f aca="false">IF(A137="","",SG_Criteria!$B$6&amp;SG_Criteria!$B$10&amp;"\"&amp;A137&amp;"\")</f>
        <v/>
      </c>
      <c r="AS137" s="10" t="str">
        <f aca="false">IF(A137="","",A137&amp;"_CAD.dwg")</f>
        <v/>
      </c>
      <c r="AT137" s="10" t="str">
        <f aca="false">IF(A137="","",A137&amp;"_DWG.pdf")</f>
        <v/>
      </c>
      <c r="AU137" s="10" t="str">
        <f aca="false">IF(A137="","",IF(AQ137="Y",A137&amp;"_STAAD.std","n/a"))</f>
        <v/>
      </c>
      <c r="AV137" s="10" t="str">
        <f aca="false">IF(A137="","",A137&amp;"_CALC.xlsx")</f>
        <v/>
      </c>
      <c r="AW137" s="10" t="str">
        <f aca="false">IF(A137="","",A137&amp;"_CALC.pdf")</f>
        <v/>
      </c>
      <c r="AX137" s="9"/>
      <c r="AY137" s="9"/>
      <c r="AZ137" s="39"/>
      <c r="BA137" s="39"/>
      <c r="BB137" s="39"/>
      <c r="BC137" s="39"/>
      <c r="BD137" s="39"/>
      <c r="BE137" s="12" t="str">
        <f aca="false">IF(A137="","",IF(COUNTIF(Rebar_Schedule!$A$5:$A$2004,A137)=0,"",ROUND(SUMIF(Rebar_Schedule!$A$5:$A$2004,A137,Rebar_Schedule!$K$5:$K$2004),1)))</f>
        <v/>
      </c>
      <c r="BF137" s="33" t="str">
        <f aca="false">IF(A137="","",IF(BE137="","No rebar schedule yet",IF(ABS(BE137-N(BA137))/MAX(N(BA137),1)&gt;SG_Criteria!$B$55,"NOTE: register rebar differs from schedule by "&amp;TEXT(ABS(BE137-N(BA137))/MAX(N(BA137),1),"0%"),"OK")))</f>
        <v/>
      </c>
      <c r="BG137" s="33" t="str">
        <f aca="false">IF(D137="","",IF(LEN(IF(AND(Z137&lt;&gt;"",IFERROR(VALUE(MID(Z137,2,2)),0)&lt;SG_Criteria!$B$19),"FAIL: grade below C"&amp;SG_Criteria!$B$19&amp;". ","")&amp;IF(AND(AA137&lt;&gt;"",AA137&lt;SG_Criteria!$B$20),"FAIL: cover &lt; "&amp;SG_Criteria!$B$20&amp;" mm. ","")&amp;IF(AND(I137&lt;&gt;"",I137&lt;SG_Criteria!$B$39),"NOTE: min depth below PUB "&amp;SG_Criteria!$B$39&amp;" m. ","")&amp;IF(AND(LEFT(D137,8)="Standard",J137&gt;SG_Criteria!$B$42),"FAIL: PUB 001C covers manholes up to "&amp;SG_Criteria!$B$42&amp;" m deep only. ","")&amp;IF(AND(LEFT(D137,11)="Rectangular",K137&lt;SG_Criteria!$B$43),"NOTE: 004C is for sewers &gt;= "&amp;SG_Criteria!$B$43&amp;" dia. ","")&amp;IF(AND(LEFT(D137,7)="Precast",J137&lt;=SG_Criteria!$B$42),"NOTE: 006C is for manholes &gt; "&amp;SG_Criteria!$B$42&amp;" m deep. ","")&amp;IF(AND(K137&lt;&gt;"",K137&lt;SG_Criteria!$B$40,D137&lt;&gt;"Inspection Chamber"),"NOTE: public sewer min dia "&amp;SG_Criteria!$B$40&amp;" mm. ","")&amp;IF(AND(Y137&lt;&gt;"",Y137&lt;SG_Criteria!$B$44),"FAIL: uplift FOS below "&amp;SG_Criteria!$B$44&amp;". ",""))=0,"OK",IF(AND(Z137&lt;&gt;"",IFERROR(VALUE(MID(Z137,2,2)),0)&lt;SG_Criteria!$B$19),"FAIL: grade below C"&amp;SG_Criteria!$B$19&amp;". ","")&amp;IF(AND(AA137&lt;&gt;"",AA137&lt;SG_Criteria!$B$20),"FAIL: cover &lt; "&amp;SG_Criteria!$B$20&amp;" mm. ","")&amp;IF(AND(I137&lt;&gt;"",I137&lt;SG_Criteria!$B$39),"NOTE: min depth below PUB "&amp;SG_Criteria!$B$39&amp;" m. ","")&amp;IF(AND(LEFT(D137,8)="Standard",J137&gt;SG_Criteria!$B$42),"FAIL: PUB 001C covers manholes up to "&amp;SG_Criteria!$B$42&amp;" m deep only. ","")&amp;IF(AND(LEFT(D137,11)="Rectangular",K137&lt;SG_Criteria!$B$43),"NOTE: 004C is for sewers &gt;= "&amp;SG_Criteria!$B$43&amp;" dia. ","")&amp;IF(AND(LEFT(D137,7)="Precast",J137&lt;=SG_Criteria!$B$42),"NOTE: 006C is for manholes &gt; "&amp;SG_Criteria!$B$42&amp;" m deep. ","")&amp;IF(AND(K137&lt;&gt;"",K137&lt;SG_Criteria!$B$40,D137&lt;&gt;"Inspection Chamber"),"NOTE: public sewer min dia "&amp;SG_Criteria!$B$40&amp;" mm. ","")&amp;IF(AND(Y137&lt;&gt;"",Y137&lt;SG_Criteria!$B$44),"FAIL: uplift FOS below "&amp;SG_Criteria!$B$44&amp;". ","")))</f>
        <v/>
      </c>
      <c r="BH137" s="9"/>
      <c r="BI137" s="9"/>
      <c r="BJ137" s="9"/>
      <c r="BK137" s="10" t="str">
        <f aca="false">IF(BJ137="","",IFERROR(VLOOKUP(BJ137,Projects!$A$5:$D$504,2,0),"Ref not in Projects"))</f>
        <v/>
      </c>
      <c r="BL137" s="10" t="str">
        <f aca="false">IF(BJ137="","",IFERROR(VLOOKUP(BJ137,Projects!$A$5:$D$504,4,0),"Ref not in Projects"))</f>
        <v/>
      </c>
      <c r="BM137" s="9"/>
      <c r="BN137" s="9"/>
      <c r="BO137" s="9"/>
      <c r="BP137" s="40"/>
      <c r="BQ137" s="9"/>
      <c r="BR137" s="40"/>
      <c r="BS137" s="9"/>
      <c r="BT137" s="40"/>
      <c r="BU137" s="9"/>
      <c r="BV137" s="9"/>
      <c r="BW137" s="9"/>
      <c r="BX137" s="40"/>
      <c r="BY137" s="40"/>
      <c r="BZ137" s="36" t="str">
        <f aca="false">IF(BY137="","",EDATE(BY137,SG_Criteria!$B$54*12))</f>
        <v/>
      </c>
      <c r="CA137" s="33" t="str">
        <f aca="true">IF(A137="","",IF(BY137="","NOTE: not reviewed yet",IF(TODAY()&gt;BZ137,"NOTE: review overdue","OK")))</f>
        <v/>
      </c>
      <c r="CB137" s="37" t="str">
        <f aca="false">IF(A137="","",ROUND((IF(LEN(D137)&gt;0,1,0)+IF(LEN(E137)&gt;0,1,0)+IF(LEN(F137)&gt;0,1,0)+IF(LEN(G137)&gt;0,1,0)+IF(LEN(I137)&gt;0,1,0)+IF(LEN(J137)&gt;0,1,0)+IF(LEN(K137)&gt;0,1,0)+IF(LEN(L137)&gt;0,1,0)+IF(LEN(M137)&gt;0,1,0)+IF(LEN(N137)&gt;0,1,0)+IF(LEN(Z137)&gt;0,1,0)+IF(LEN(AA137)&gt;0,1,0)+IF(LEN(Y137)&gt;0,1,0)+IF(LEN(AE137)&gt;0,1,0)+IF(LEN(AG137)&gt;0,1,0)+IF(LEN(AZ137)&gt;0,1,0)+IF(LEN(AK137)&gt;0,1,0)+IF(LEN(AM137)&gt;0,1,0)+IF(LEN(AN137)&gt;0,1,0)+IF(LEN(AO137)&gt;0,1,0)+IF(LEN(AP137)&gt;0,1,0)+IF(LEN(AY137)&gt;0,1,0)+IF(LEN(BJ137)&gt;0,1,0)+IF(LEN(BW137)&gt;0,1,0))/24,2))</f>
        <v/>
      </c>
      <c r="CC137" s="10" t="str">
        <f aca="false">IF(D137="","",IF(AND(AN137="Approved",ISERROR(SEARCH("FAIL",BG137))),"Y","N"))</f>
        <v/>
      </c>
      <c r="CD137" s="10" t="str">
        <f aca="false">IF(D137="","",D137&amp;"|"&amp;J137&amp;"|"&amp;G137&amp;"|"&amp;CC137)</f>
        <v/>
      </c>
    </row>
    <row r="138" customFormat="false" ht="15" hidden="false" customHeight="false" outlineLevel="0" collapsed="false">
      <c r="A138" s="10" t="str">
        <f aca="false">IF(D138="","","MH-"&amp;IFERROR(VLOOKUP(D138,Lists!$AB$4:$AC$20,2,0),"??")&amp;"-"&amp;TEXT(G138,"0000")&amp;IF(F138="Circular","D","x"&amp;TEXT(H138,"0000"))&amp;"-D"&amp;TEXT(J138*1000,"0000")&amp;"-"&amp;IFERROR(VLOOKUP(E138,Lists!$AE$4:$AF$16,2,0),"??")&amp;"-"&amp;AM138)</f>
        <v/>
      </c>
      <c r="B138" s="10" t="str">
        <f aca="false">IF(D138="","",D138&amp;", "&amp;E138&amp;", "&amp;IF(F138="Circular",G138&amp;" dia",G138&amp;" x "&amp;H138)&amp;", depth "&amp;TEXT(I138,"0.0")&amp;"-"&amp;TEXT(J138,"0.0")&amp;" m, pipe up to "&amp;K138&amp;" dia")</f>
        <v/>
      </c>
      <c r="C138" s="9"/>
      <c r="D138" s="9"/>
      <c r="E138" s="9"/>
      <c r="F138" s="9"/>
      <c r="G138" s="38"/>
      <c r="H138" s="38"/>
      <c r="I138" s="42"/>
      <c r="J138" s="42"/>
      <c r="K138" s="38"/>
      <c r="L138" s="38"/>
      <c r="M138" s="38"/>
      <c r="N138" s="38"/>
      <c r="O138" s="9"/>
      <c r="P138" s="9"/>
      <c r="Q138" s="9"/>
      <c r="R138" s="9"/>
      <c r="S138" s="9"/>
      <c r="T138" s="9"/>
      <c r="U138" s="9"/>
      <c r="V138" s="42"/>
      <c r="W138" s="9"/>
      <c r="X138" s="9"/>
      <c r="Y138" s="39"/>
      <c r="Z138" s="9"/>
      <c r="AA138" s="38"/>
      <c r="AB138" s="9"/>
      <c r="AC138" s="9"/>
      <c r="AD138" s="9"/>
      <c r="AE138" s="9"/>
      <c r="AF138" s="9"/>
      <c r="AG138" s="9"/>
      <c r="AH138" s="38"/>
      <c r="AI138" s="9"/>
      <c r="AJ138" s="39"/>
      <c r="AK138" s="9"/>
      <c r="AL138" s="9"/>
      <c r="AM138" s="9"/>
      <c r="AN138" s="9"/>
      <c r="AO138" s="9"/>
      <c r="AP138" s="9"/>
      <c r="AQ138" s="9"/>
      <c r="AR138" s="10" t="str">
        <f aca="false">IF(A138="","",SG_Criteria!$B$6&amp;SG_Criteria!$B$10&amp;"\"&amp;A138&amp;"\")</f>
        <v/>
      </c>
      <c r="AS138" s="10" t="str">
        <f aca="false">IF(A138="","",A138&amp;"_CAD.dwg")</f>
        <v/>
      </c>
      <c r="AT138" s="10" t="str">
        <f aca="false">IF(A138="","",A138&amp;"_DWG.pdf")</f>
        <v/>
      </c>
      <c r="AU138" s="10" t="str">
        <f aca="false">IF(A138="","",IF(AQ138="Y",A138&amp;"_STAAD.std","n/a"))</f>
        <v/>
      </c>
      <c r="AV138" s="10" t="str">
        <f aca="false">IF(A138="","",A138&amp;"_CALC.xlsx")</f>
        <v/>
      </c>
      <c r="AW138" s="10" t="str">
        <f aca="false">IF(A138="","",A138&amp;"_CALC.pdf")</f>
        <v/>
      </c>
      <c r="AX138" s="9"/>
      <c r="AY138" s="9"/>
      <c r="AZ138" s="39"/>
      <c r="BA138" s="39"/>
      <c r="BB138" s="39"/>
      <c r="BC138" s="39"/>
      <c r="BD138" s="39"/>
      <c r="BE138" s="12" t="str">
        <f aca="false">IF(A138="","",IF(COUNTIF(Rebar_Schedule!$A$5:$A$2004,A138)=0,"",ROUND(SUMIF(Rebar_Schedule!$A$5:$A$2004,A138,Rebar_Schedule!$K$5:$K$2004),1)))</f>
        <v/>
      </c>
      <c r="BF138" s="33" t="str">
        <f aca="false">IF(A138="","",IF(BE138="","No rebar schedule yet",IF(ABS(BE138-N(BA138))/MAX(N(BA138),1)&gt;SG_Criteria!$B$55,"NOTE: register rebar differs from schedule by "&amp;TEXT(ABS(BE138-N(BA138))/MAX(N(BA138),1),"0%"),"OK")))</f>
        <v/>
      </c>
      <c r="BG138" s="33" t="str">
        <f aca="false">IF(D138="","",IF(LEN(IF(AND(Z138&lt;&gt;"",IFERROR(VALUE(MID(Z138,2,2)),0)&lt;SG_Criteria!$B$19),"FAIL: grade below C"&amp;SG_Criteria!$B$19&amp;". ","")&amp;IF(AND(AA138&lt;&gt;"",AA138&lt;SG_Criteria!$B$20),"FAIL: cover &lt; "&amp;SG_Criteria!$B$20&amp;" mm. ","")&amp;IF(AND(I138&lt;&gt;"",I138&lt;SG_Criteria!$B$39),"NOTE: min depth below PUB "&amp;SG_Criteria!$B$39&amp;" m. ","")&amp;IF(AND(LEFT(D138,8)="Standard",J138&gt;SG_Criteria!$B$42),"FAIL: PUB 001C covers manholes up to "&amp;SG_Criteria!$B$42&amp;" m deep only. ","")&amp;IF(AND(LEFT(D138,11)="Rectangular",K138&lt;SG_Criteria!$B$43),"NOTE: 004C is for sewers &gt;= "&amp;SG_Criteria!$B$43&amp;" dia. ","")&amp;IF(AND(LEFT(D138,7)="Precast",J138&lt;=SG_Criteria!$B$42),"NOTE: 006C is for manholes &gt; "&amp;SG_Criteria!$B$42&amp;" m deep. ","")&amp;IF(AND(K138&lt;&gt;"",K138&lt;SG_Criteria!$B$40,D138&lt;&gt;"Inspection Chamber"),"NOTE: public sewer min dia "&amp;SG_Criteria!$B$40&amp;" mm. ","")&amp;IF(AND(Y138&lt;&gt;"",Y138&lt;SG_Criteria!$B$44),"FAIL: uplift FOS below "&amp;SG_Criteria!$B$44&amp;". ",""))=0,"OK",IF(AND(Z138&lt;&gt;"",IFERROR(VALUE(MID(Z138,2,2)),0)&lt;SG_Criteria!$B$19),"FAIL: grade below C"&amp;SG_Criteria!$B$19&amp;". ","")&amp;IF(AND(AA138&lt;&gt;"",AA138&lt;SG_Criteria!$B$20),"FAIL: cover &lt; "&amp;SG_Criteria!$B$20&amp;" mm. ","")&amp;IF(AND(I138&lt;&gt;"",I138&lt;SG_Criteria!$B$39),"NOTE: min depth below PUB "&amp;SG_Criteria!$B$39&amp;" m. ","")&amp;IF(AND(LEFT(D138,8)="Standard",J138&gt;SG_Criteria!$B$42),"FAIL: PUB 001C covers manholes up to "&amp;SG_Criteria!$B$42&amp;" m deep only. ","")&amp;IF(AND(LEFT(D138,11)="Rectangular",K138&lt;SG_Criteria!$B$43),"NOTE: 004C is for sewers &gt;= "&amp;SG_Criteria!$B$43&amp;" dia. ","")&amp;IF(AND(LEFT(D138,7)="Precast",J138&lt;=SG_Criteria!$B$42),"NOTE: 006C is for manholes &gt; "&amp;SG_Criteria!$B$42&amp;" m deep. ","")&amp;IF(AND(K138&lt;&gt;"",K138&lt;SG_Criteria!$B$40,D138&lt;&gt;"Inspection Chamber"),"NOTE: public sewer min dia "&amp;SG_Criteria!$B$40&amp;" mm. ","")&amp;IF(AND(Y138&lt;&gt;"",Y138&lt;SG_Criteria!$B$44),"FAIL: uplift FOS below "&amp;SG_Criteria!$B$44&amp;". ","")))</f>
        <v/>
      </c>
      <c r="BH138" s="9"/>
      <c r="BI138" s="9"/>
      <c r="BJ138" s="9"/>
      <c r="BK138" s="10" t="str">
        <f aca="false">IF(BJ138="","",IFERROR(VLOOKUP(BJ138,Projects!$A$5:$D$504,2,0),"Ref not in Projects"))</f>
        <v/>
      </c>
      <c r="BL138" s="10" t="str">
        <f aca="false">IF(BJ138="","",IFERROR(VLOOKUP(BJ138,Projects!$A$5:$D$504,4,0),"Ref not in Projects"))</f>
        <v/>
      </c>
      <c r="BM138" s="9"/>
      <c r="BN138" s="9"/>
      <c r="BO138" s="9"/>
      <c r="BP138" s="40"/>
      <c r="BQ138" s="9"/>
      <c r="BR138" s="40"/>
      <c r="BS138" s="9"/>
      <c r="BT138" s="40"/>
      <c r="BU138" s="9"/>
      <c r="BV138" s="9"/>
      <c r="BW138" s="9"/>
      <c r="BX138" s="40"/>
      <c r="BY138" s="40"/>
      <c r="BZ138" s="36" t="str">
        <f aca="false">IF(BY138="","",EDATE(BY138,SG_Criteria!$B$54*12))</f>
        <v/>
      </c>
      <c r="CA138" s="33" t="str">
        <f aca="true">IF(A138="","",IF(BY138="","NOTE: not reviewed yet",IF(TODAY()&gt;BZ138,"NOTE: review overdue","OK")))</f>
        <v/>
      </c>
      <c r="CB138" s="37" t="str">
        <f aca="false">IF(A138="","",ROUND((IF(LEN(D138)&gt;0,1,0)+IF(LEN(E138)&gt;0,1,0)+IF(LEN(F138)&gt;0,1,0)+IF(LEN(G138)&gt;0,1,0)+IF(LEN(I138)&gt;0,1,0)+IF(LEN(J138)&gt;0,1,0)+IF(LEN(K138)&gt;0,1,0)+IF(LEN(L138)&gt;0,1,0)+IF(LEN(M138)&gt;0,1,0)+IF(LEN(N138)&gt;0,1,0)+IF(LEN(Z138)&gt;0,1,0)+IF(LEN(AA138)&gt;0,1,0)+IF(LEN(Y138)&gt;0,1,0)+IF(LEN(AE138)&gt;0,1,0)+IF(LEN(AG138)&gt;0,1,0)+IF(LEN(AZ138)&gt;0,1,0)+IF(LEN(AK138)&gt;0,1,0)+IF(LEN(AM138)&gt;0,1,0)+IF(LEN(AN138)&gt;0,1,0)+IF(LEN(AO138)&gt;0,1,0)+IF(LEN(AP138)&gt;0,1,0)+IF(LEN(AY138)&gt;0,1,0)+IF(LEN(BJ138)&gt;0,1,0)+IF(LEN(BW138)&gt;0,1,0))/24,2))</f>
        <v/>
      </c>
      <c r="CC138" s="10" t="str">
        <f aca="false">IF(D138="","",IF(AND(AN138="Approved",ISERROR(SEARCH("FAIL",BG138))),"Y","N"))</f>
        <v/>
      </c>
      <c r="CD138" s="10" t="str">
        <f aca="false">IF(D138="","",D138&amp;"|"&amp;J138&amp;"|"&amp;G138&amp;"|"&amp;CC138)</f>
        <v/>
      </c>
    </row>
    <row r="139" customFormat="false" ht="15" hidden="false" customHeight="false" outlineLevel="0" collapsed="false">
      <c r="A139" s="10" t="str">
        <f aca="false">IF(D139="","","MH-"&amp;IFERROR(VLOOKUP(D139,Lists!$AB$4:$AC$20,2,0),"??")&amp;"-"&amp;TEXT(G139,"0000")&amp;IF(F139="Circular","D","x"&amp;TEXT(H139,"0000"))&amp;"-D"&amp;TEXT(J139*1000,"0000")&amp;"-"&amp;IFERROR(VLOOKUP(E139,Lists!$AE$4:$AF$16,2,0),"??")&amp;"-"&amp;AM139)</f>
        <v/>
      </c>
      <c r="B139" s="10" t="str">
        <f aca="false">IF(D139="","",D139&amp;", "&amp;E139&amp;", "&amp;IF(F139="Circular",G139&amp;" dia",G139&amp;" x "&amp;H139)&amp;", depth "&amp;TEXT(I139,"0.0")&amp;"-"&amp;TEXT(J139,"0.0")&amp;" m, pipe up to "&amp;K139&amp;" dia")</f>
        <v/>
      </c>
      <c r="C139" s="9"/>
      <c r="D139" s="9"/>
      <c r="E139" s="9"/>
      <c r="F139" s="9"/>
      <c r="G139" s="38"/>
      <c r="H139" s="38"/>
      <c r="I139" s="42"/>
      <c r="J139" s="42"/>
      <c r="K139" s="38"/>
      <c r="L139" s="38"/>
      <c r="M139" s="38"/>
      <c r="N139" s="38"/>
      <c r="O139" s="9"/>
      <c r="P139" s="9"/>
      <c r="Q139" s="9"/>
      <c r="R139" s="9"/>
      <c r="S139" s="9"/>
      <c r="T139" s="9"/>
      <c r="U139" s="9"/>
      <c r="V139" s="42"/>
      <c r="W139" s="9"/>
      <c r="X139" s="9"/>
      <c r="Y139" s="39"/>
      <c r="Z139" s="9"/>
      <c r="AA139" s="38"/>
      <c r="AB139" s="9"/>
      <c r="AC139" s="9"/>
      <c r="AD139" s="9"/>
      <c r="AE139" s="9"/>
      <c r="AF139" s="9"/>
      <c r="AG139" s="9"/>
      <c r="AH139" s="38"/>
      <c r="AI139" s="9"/>
      <c r="AJ139" s="39"/>
      <c r="AK139" s="9"/>
      <c r="AL139" s="9"/>
      <c r="AM139" s="9"/>
      <c r="AN139" s="9"/>
      <c r="AO139" s="9"/>
      <c r="AP139" s="9"/>
      <c r="AQ139" s="9"/>
      <c r="AR139" s="10" t="str">
        <f aca="false">IF(A139="","",SG_Criteria!$B$6&amp;SG_Criteria!$B$10&amp;"\"&amp;A139&amp;"\")</f>
        <v/>
      </c>
      <c r="AS139" s="10" t="str">
        <f aca="false">IF(A139="","",A139&amp;"_CAD.dwg")</f>
        <v/>
      </c>
      <c r="AT139" s="10" t="str">
        <f aca="false">IF(A139="","",A139&amp;"_DWG.pdf")</f>
        <v/>
      </c>
      <c r="AU139" s="10" t="str">
        <f aca="false">IF(A139="","",IF(AQ139="Y",A139&amp;"_STAAD.std","n/a"))</f>
        <v/>
      </c>
      <c r="AV139" s="10" t="str">
        <f aca="false">IF(A139="","",A139&amp;"_CALC.xlsx")</f>
        <v/>
      </c>
      <c r="AW139" s="10" t="str">
        <f aca="false">IF(A139="","",A139&amp;"_CALC.pdf")</f>
        <v/>
      </c>
      <c r="AX139" s="9"/>
      <c r="AY139" s="9"/>
      <c r="AZ139" s="39"/>
      <c r="BA139" s="39"/>
      <c r="BB139" s="39"/>
      <c r="BC139" s="39"/>
      <c r="BD139" s="39"/>
      <c r="BE139" s="12" t="str">
        <f aca="false">IF(A139="","",IF(COUNTIF(Rebar_Schedule!$A$5:$A$2004,A139)=0,"",ROUND(SUMIF(Rebar_Schedule!$A$5:$A$2004,A139,Rebar_Schedule!$K$5:$K$2004),1)))</f>
        <v/>
      </c>
      <c r="BF139" s="33" t="str">
        <f aca="false">IF(A139="","",IF(BE139="","No rebar schedule yet",IF(ABS(BE139-N(BA139))/MAX(N(BA139),1)&gt;SG_Criteria!$B$55,"NOTE: register rebar differs from schedule by "&amp;TEXT(ABS(BE139-N(BA139))/MAX(N(BA139),1),"0%"),"OK")))</f>
        <v/>
      </c>
      <c r="BG139" s="33" t="str">
        <f aca="false">IF(D139="","",IF(LEN(IF(AND(Z139&lt;&gt;"",IFERROR(VALUE(MID(Z139,2,2)),0)&lt;SG_Criteria!$B$19),"FAIL: grade below C"&amp;SG_Criteria!$B$19&amp;". ","")&amp;IF(AND(AA139&lt;&gt;"",AA139&lt;SG_Criteria!$B$20),"FAIL: cover &lt; "&amp;SG_Criteria!$B$20&amp;" mm. ","")&amp;IF(AND(I139&lt;&gt;"",I139&lt;SG_Criteria!$B$39),"NOTE: min depth below PUB "&amp;SG_Criteria!$B$39&amp;" m. ","")&amp;IF(AND(LEFT(D139,8)="Standard",J139&gt;SG_Criteria!$B$42),"FAIL: PUB 001C covers manholes up to "&amp;SG_Criteria!$B$42&amp;" m deep only. ","")&amp;IF(AND(LEFT(D139,11)="Rectangular",K139&lt;SG_Criteria!$B$43),"NOTE: 004C is for sewers &gt;= "&amp;SG_Criteria!$B$43&amp;" dia. ","")&amp;IF(AND(LEFT(D139,7)="Precast",J139&lt;=SG_Criteria!$B$42),"NOTE: 006C is for manholes &gt; "&amp;SG_Criteria!$B$42&amp;" m deep. ","")&amp;IF(AND(K139&lt;&gt;"",K139&lt;SG_Criteria!$B$40,D139&lt;&gt;"Inspection Chamber"),"NOTE: public sewer min dia "&amp;SG_Criteria!$B$40&amp;" mm. ","")&amp;IF(AND(Y139&lt;&gt;"",Y139&lt;SG_Criteria!$B$44),"FAIL: uplift FOS below "&amp;SG_Criteria!$B$44&amp;". ",""))=0,"OK",IF(AND(Z139&lt;&gt;"",IFERROR(VALUE(MID(Z139,2,2)),0)&lt;SG_Criteria!$B$19),"FAIL: grade below C"&amp;SG_Criteria!$B$19&amp;". ","")&amp;IF(AND(AA139&lt;&gt;"",AA139&lt;SG_Criteria!$B$20),"FAIL: cover &lt; "&amp;SG_Criteria!$B$20&amp;" mm. ","")&amp;IF(AND(I139&lt;&gt;"",I139&lt;SG_Criteria!$B$39),"NOTE: min depth below PUB "&amp;SG_Criteria!$B$39&amp;" m. ","")&amp;IF(AND(LEFT(D139,8)="Standard",J139&gt;SG_Criteria!$B$42),"FAIL: PUB 001C covers manholes up to "&amp;SG_Criteria!$B$42&amp;" m deep only. ","")&amp;IF(AND(LEFT(D139,11)="Rectangular",K139&lt;SG_Criteria!$B$43),"NOTE: 004C is for sewers &gt;= "&amp;SG_Criteria!$B$43&amp;" dia. ","")&amp;IF(AND(LEFT(D139,7)="Precast",J139&lt;=SG_Criteria!$B$42),"NOTE: 006C is for manholes &gt; "&amp;SG_Criteria!$B$42&amp;" m deep. ","")&amp;IF(AND(K139&lt;&gt;"",K139&lt;SG_Criteria!$B$40,D139&lt;&gt;"Inspection Chamber"),"NOTE: public sewer min dia "&amp;SG_Criteria!$B$40&amp;" mm. ","")&amp;IF(AND(Y139&lt;&gt;"",Y139&lt;SG_Criteria!$B$44),"FAIL: uplift FOS below "&amp;SG_Criteria!$B$44&amp;". ","")))</f>
        <v/>
      </c>
      <c r="BH139" s="9"/>
      <c r="BI139" s="9"/>
      <c r="BJ139" s="9"/>
      <c r="BK139" s="10" t="str">
        <f aca="false">IF(BJ139="","",IFERROR(VLOOKUP(BJ139,Projects!$A$5:$D$504,2,0),"Ref not in Projects"))</f>
        <v/>
      </c>
      <c r="BL139" s="10" t="str">
        <f aca="false">IF(BJ139="","",IFERROR(VLOOKUP(BJ139,Projects!$A$5:$D$504,4,0),"Ref not in Projects"))</f>
        <v/>
      </c>
      <c r="BM139" s="9"/>
      <c r="BN139" s="9"/>
      <c r="BO139" s="9"/>
      <c r="BP139" s="40"/>
      <c r="BQ139" s="9"/>
      <c r="BR139" s="40"/>
      <c r="BS139" s="9"/>
      <c r="BT139" s="40"/>
      <c r="BU139" s="9"/>
      <c r="BV139" s="9"/>
      <c r="BW139" s="9"/>
      <c r="BX139" s="40"/>
      <c r="BY139" s="40"/>
      <c r="BZ139" s="36" t="str">
        <f aca="false">IF(BY139="","",EDATE(BY139,SG_Criteria!$B$54*12))</f>
        <v/>
      </c>
      <c r="CA139" s="33" t="str">
        <f aca="true">IF(A139="","",IF(BY139="","NOTE: not reviewed yet",IF(TODAY()&gt;BZ139,"NOTE: review overdue","OK")))</f>
        <v/>
      </c>
      <c r="CB139" s="37" t="str">
        <f aca="false">IF(A139="","",ROUND((IF(LEN(D139)&gt;0,1,0)+IF(LEN(E139)&gt;0,1,0)+IF(LEN(F139)&gt;0,1,0)+IF(LEN(G139)&gt;0,1,0)+IF(LEN(I139)&gt;0,1,0)+IF(LEN(J139)&gt;0,1,0)+IF(LEN(K139)&gt;0,1,0)+IF(LEN(L139)&gt;0,1,0)+IF(LEN(M139)&gt;0,1,0)+IF(LEN(N139)&gt;0,1,0)+IF(LEN(Z139)&gt;0,1,0)+IF(LEN(AA139)&gt;0,1,0)+IF(LEN(Y139)&gt;0,1,0)+IF(LEN(AE139)&gt;0,1,0)+IF(LEN(AG139)&gt;0,1,0)+IF(LEN(AZ139)&gt;0,1,0)+IF(LEN(AK139)&gt;0,1,0)+IF(LEN(AM139)&gt;0,1,0)+IF(LEN(AN139)&gt;0,1,0)+IF(LEN(AO139)&gt;0,1,0)+IF(LEN(AP139)&gt;0,1,0)+IF(LEN(AY139)&gt;0,1,0)+IF(LEN(BJ139)&gt;0,1,0)+IF(LEN(BW139)&gt;0,1,0))/24,2))</f>
        <v/>
      </c>
      <c r="CC139" s="10" t="str">
        <f aca="false">IF(D139="","",IF(AND(AN139="Approved",ISERROR(SEARCH("FAIL",BG139))),"Y","N"))</f>
        <v/>
      </c>
      <c r="CD139" s="10" t="str">
        <f aca="false">IF(D139="","",D139&amp;"|"&amp;J139&amp;"|"&amp;G139&amp;"|"&amp;CC139)</f>
        <v/>
      </c>
    </row>
    <row r="140" customFormat="false" ht="15" hidden="false" customHeight="false" outlineLevel="0" collapsed="false">
      <c r="A140" s="10" t="str">
        <f aca="false">IF(D140="","","MH-"&amp;IFERROR(VLOOKUP(D140,Lists!$AB$4:$AC$20,2,0),"??")&amp;"-"&amp;TEXT(G140,"0000")&amp;IF(F140="Circular","D","x"&amp;TEXT(H140,"0000"))&amp;"-D"&amp;TEXT(J140*1000,"0000")&amp;"-"&amp;IFERROR(VLOOKUP(E140,Lists!$AE$4:$AF$16,2,0),"??")&amp;"-"&amp;AM140)</f>
        <v/>
      </c>
      <c r="B140" s="10" t="str">
        <f aca="false">IF(D140="","",D140&amp;", "&amp;E140&amp;", "&amp;IF(F140="Circular",G140&amp;" dia",G140&amp;" x "&amp;H140)&amp;", depth "&amp;TEXT(I140,"0.0")&amp;"-"&amp;TEXT(J140,"0.0")&amp;" m, pipe up to "&amp;K140&amp;" dia")</f>
        <v/>
      </c>
      <c r="C140" s="9"/>
      <c r="D140" s="9"/>
      <c r="E140" s="9"/>
      <c r="F140" s="9"/>
      <c r="G140" s="38"/>
      <c r="H140" s="38"/>
      <c r="I140" s="42"/>
      <c r="J140" s="42"/>
      <c r="K140" s="38"/>
      <c r="L140" s="38"/>
      <c r="M140" s="38"/>
      <c r="N140" s="38"/>
      <c r="O140" s="9"/>
      <c r="P140" s="9"/>
      <c r="Q140" s="9"/>
      <c r="R140" s="9"/>
      <c r="S140" s="9"/>
      <c r="T140" s="9"/>
      <c r="U140" s="9"/>
      <c r="V140" s="42"/>
      <c r="W140" s="9"/>
      <c r="X140" s="9"/>
      <c r="Y140" s="39"/>
      <c r="Z140" s="9"/>
      <c r="AA140" s="38"/>
      <c r="AB140" s="9"/>
      <c r="AC140" s="9"/>
      <c r="AD140" s="9"/>
      <c r="AE140" s="9"/>
      <c r="AF140" s="9"/>
      <c r="AG140" s="9"/>
      <c r="AH140" s="38"/>
      <c r="AI140" s="9"/>
      <c r="AJ140" s="39"/>
      <c r="AK140" s="9"/>
      <c r="AL140" s="9"/>
      <c r="AM140" s="9"/>
      <c r="AN140" s="9"/>
      <c r="AO140" s="9"/>
      <c r="AP140" s="9"/>
      <c r="AQ140" s="9"/>
      <c r="AR140" s="10" t="str">
        <f aca="false">IF(A140="","",SG_Criteria!$B$6&amp;SG_Criteria!$B$10&amp;"\"&amp;A140&amp;"\")</f>
        <v/>
      </c>
      <c r="AS140" s="10" t="str">
        <f aca="false">IF(A140="","",A140&amp;"_CAD.dwg")</f>
        <v/>
      </c>
      <c r="AT140" s="10" t="str">
        <f aca="false">IF(A140="","",A140&amp;"_DWG.pdf")</f>
        <v/>
      </c>
      <c r="AU140" s="10" t="str">
        <f aca="false">IF(A140="","",IF(AQ140="Y",A140&amp;"_STAAD.std","n/a"))</f>
        <v/>
      </c>
      <c r="AV140" s="10" t="str">
        <f aca="false">IF(A140="","",A140&amp;"_CALC.xlsx")</f>
        <v/>
      </c>
      <c r="AW140" s="10" t="str">
        <f aca="false">IF(A140="","",A140&amp;"_CALC.pdf")</f>
        <v/>
      </c>
      <c r="AX140" s="9"/>
      <c r="AY140" s="9"/>
      <c r="AZ140" s="39"/>
      <c r="BA140" s="39"/>
      <c r="BB140" s="39"/>
      <c r="BC140" s="39"/>
      <c r="BD140" s="39"/>
      <c r="BE140" s="12" t="str">
        <f aca="false">IF(A140="","",IF(COUNTIF(Rebar_Schedule!$A$5:$A$2004,A140)=0,"",ROUND(SUMIF(Rebar_Schedule!$A$5:$A$2004,A140,Rebar_Schedule!$K$5:$K$2004),1)))</f>
        <v/>
      </c>
      <c r="BF140" s="33" t="str">
        <f aca="false">IF(A140="","",IF(BE140="","No rebar schedule yet",IF(ABS(BE140-N(BA140))/MAX(N(BA140),1)&gt;SG_Criteria!$B$55,"NOTE: register rebar differs from schedule by "&amp;TEXT(ABS(BE140-N(BA140))/MAX(N(BA140),1),"0%"),"OK")))</f>
        <v/>
      </c>
      <c r="BG140" s="33" t="str">
        <f aca="false">IF(D140="","",IF(LEN(IF(AND(Z140&lt;&gt;"",IFERROR(VALUE(MID(Z140,2,2)),0)&lt;SG_Criteria!$B$19),"FAIL: grade below C"&amp;SG_Criteria!$B$19&amp;". ","")&amp;IF(AND(AA140&lt;&gt;"",AA140&lt;SG_Criteria!$B$20),"FAIL: cover &lt; "&amp;SG_Criteria!$B$20&amp;" mm. ","")&amp;IF(AND(I140&lt;&gt;"",I140&lt;SG_Criteria!$B$39),"NOTE: min depth below PUB "&amp;SG_Criteria!$B$39&amp;" m. ","")&amp;IF(AND(LEFT(D140,8)="Standard",J140&gt;SG_Criteria!$B$42),"FAIL: PUB 001C covers manholes up to "&amp;SG_Criteria!$B$42&amp;" m deep only. ","")&amp;IF(AND(LEFT(D140,11)="Rectangular",K140&lt;SG_Criteria!$B$43),"NOTE: 004C is for sewers &gt;= "&amp;SG_Criteria!$B$43&amp;" dia. ","")&amp;IF(AND(LEFT(D140,7)="Precast",J140&lt;=SG_Criteria!$B$42),"NOTE: 006C is for manholes &gt; "&amp;SG_Criteria!$B$42&amp;" m deep. ","")&amp;IF(AND(K140&lt;&gt;"",K140&lt;SG_Criteria!$B$40,D140&lt;&gt;"Inspection Chamber"),"NOTE: public sewer min dia "&amp;SG_Criteria!$B$40&amp;" mm. ","")&amp;IF(AND(Y140&lt;&gt;"",Y140&lt;SG_Criteria!$B$44),"FAIL: uplift FOS below "&amp;SG_Criteria!$B$44&amp;". ",""))=0,"OK",IF(AND(Z140&lt;&gt;"",IFERROR(VALUE(MID(Z140,2,2)),0)&lt;SG_Criteria!$B$19),"FAIL: grade below C"&amp;SG_Criteria!$B$19&amp;". ","")&amp;IF(AND(AA140&lt;&gt;"",AA140&lt;SG_Criteria!$B$20),"FAIL: cover &lt; "&amp;SG_Criteria!$B$20&amp;" mm. ","")&amp;IF(AND(I140&lt;&gt;"",I140&lt;SG_Criteria!$B$39),"NOTE: min depth below PUB "&amp;SG_Criteria!$B$39&amp;" m. ","")&amp;IF(AND(LEFT(D140,8)="Standard",J140&gt;SG_Criteria!$B$42),"FAIL: PUB 001C covers manholes up to "&amp;SG_Criteria!$B$42&amp;" m deep only. ","")&amp;IF(AND(LEFT(D140,11)="Rectangular",K140&lt;SG_Criteria!$B$43),"NOTE: 004C is for sewers &gt;= "&amp;SG_Criteria!$B$43&amp;" dia. ","")&amp;IF(AND(LEFT(D140,7)="Precast",J140&lt;=SG_Criteria!$B$42),"NOTE: 006C is for manholes &gt; "&amp;SG_Criteria!$B$42&amp;" m deep. ","")&amp;IF(AND(K140&lt;&gt;"",K140&lt;SG_Criteria!$B$40,D140&lt;&gt;"Inspection Chamber"),"NOTE: public sewer min dia "&amp;SG_Criteria!$B$40&amp;" mm. ","")&amp;IF(AND(Y140&lt;&gt;"",Y140&lt;SG_Criteria!$B$44),"FAIL: uplift FOS below "&amp;SG_Criteria!$B$44&amp;". ","")))</f>
        <v/>
      </c>
      <c r="BH140" s="9"/>
      <c r="BI140" s="9"/>
      <c r="BJ140" s="9"/>
      <c r="BK140" s="10" t="str">
        <f aca="false">IF(BJ140="","",IFERROR(VLOOKUP(BJ140,Projects!$A$5:$D$504,2,0),"Ref not in Projects"))</f>
        <v/>
      </c>
      <c r="BL140" s="10" t="str">
        <f aca="false">IF(BJ140="","",IFERROR(VLOOKUP(BJ140,Projects!$A$5:$D$504,4,0),"Ref not in Projects"))</f>
        <v/>
      </c>
      <c r="BM140" s="9"/>
      <c r="BN140" s="9"/>
      <c r="BO140" s="9"/>
      <c r="BP140" s="40"/>
      <c r="BQ140" s="9"/>
      <c r="BR140" s="40"/>
      <c r="BS140" s="9"/>
      <c r="BT140" s="40"/>
      <c r="BU140" s="9"/>
      <c r="BV140" s="9"/>
      <c r="BW140" s="9"/>
      <c r="BX140" s="40"/>
      <c r="BY140" s="40"/>
      <c r="BZ140" s="36" t="str">
        <f aca="false">IF(BY140="","",EDATE(BY140,SG_Criteria!$B$54*12))</f>
        <v/>
      </c>
      <c r="CA140" s="33" t="str">
        <f aca="true">IF(A140="","",IF(BY140="","NOTE: not reviewed yet",IF(TODAY()&gt;BZ140,"NOTE: review overdue","OK")))</f>
        <v/>
      </c>
      <c r="CB140" s="37" t="str">
        <f aca="false">IF(A140="","",ROUND((IF(LEN(D140)&gt;0,1,0)+IF(LEN(E140)&gt;0,1,0)+IF(LEN(F140)&gt;0,1,0)+IF(LEN(G140)&gt;0,1,0)+IF(LEN(I140)&gt;0,1,0)+IF(LEN(J140)&gt;0,1,0)+IF(LEN(K140)&gt;0,1,0)+IF(LEN(L140)&gt;0,1,0)+IF(LEN(M140)&gt;0,1,0)+IF(LEN(N140)&gt;0,1,0)+IF(LEN(Z140)&gt;0,1,0)+IF(LEN(AA140)&gt;0,1,0)+IF(LEN(Y140)&gt;0,1,0)+IF(LEN(AE140)&gt;0,1,0)+IF(LEN(AG140)&gt;0,1,0)+IF(LEN(AZ140)&gt;0,1,0)+IF(LEN(AK140)&gt;0,1,0)+IF(LEN(AM140)&gt;0,1,0)+IF(LEN(AN140)&gt;0,1,0)+IF(LEN(AO140)&gt;0,1,0)+IF(LEN(AP140)&gt;0,1,0)+IF(LEN(AY140)&gt;0,1,0)+IF(LEN(BJ140)&gt;0,1,0)+IF(LEN(BW140)&gt;0,1,0))/24,2))</f>
        <v/>
      </c>
      <c r="CC140" s="10" t="str">
        <f aca="false">IF(D140="","",IF(AND(AN140="Approved",ISERROR(SEARCH("FAIL",BG140))),"Y","N"))</f>
        <v/>
      </c>
      <c r="CD140" s="10" t="str">
        <f aca="false">IF(D140="","",D140&amp;"|"&amp;J140&amp;"|"&amp;G140&amp;"|"&amp;CC140)</f>
        <v/>
      </c>
    </row>
    <row r="141" customFormat="false" ht="15" hidden="false" customHeight="false" outlineLevel="0" collapsed="false">
      <c r="A141" s="10" t="str">
        <f aca="false">IF(D141="","","MH-"&amp;IFERROR(VLOOKUP(D141,Lists!$AB$4:$AC$20,2,0),"??")&amp;"-"&amp;TEXT(G141,"0000")&amp;IF(F141="Circular","D","x"&amp;TEXT(H141,"0000"))&amp;"-D"&amp;TEXT(J141*1000,"0000")&amp;"-"&amp;IFERROR(VLOOKUP(E141,Lists!$AE$4:$AF$16,2,0),"??")&amp;"-"&amp;AM141)</f>
        <v/>
      </c>
      <c r="B141" s="10" t="str">
        <f aca="false">IF(D141="","",D141&amp;", "&amp;E141&amp;", "&amp;IF(F141="Circular",G141&amp;" dia",G141&amp;" x "&amp;H141)&amp;", depth "&amp;TEXT(I141,"0.0")&amp;"-"&amp;TEXT(J141,"0.0")&amp;" m, pipe up to "&amp;K141&amp;" dia")</f>
        <v/>
      </c>
      <c r="C141" s="9"/>
      <c r="D141" s="9"/>
      <c r="E141" s="9"/>
      <c r="F141" s="9"/>
      <c r="G141" s="38"/>
      <c r="H141" s="38"/>
      <c r="I141" s="42"/>
      <c r="J141" s="42"/>
      <c r="K141" s="38"/>
      <c r="L141" s="38"/>
      <c r="M141" s="38"/>
      <c r="N141" s="38"/>
      <c r="O141" s="9"/>
      <c r="P141" s="9"/>
      <c r="Q141" s="9"/>
      <c r="R141" s="9"/>
      <c r="S141" s="9"/>
      <c r="T141" s="9"/>
      <c r="U141" s="9"/>
      <c r="V141" s="42"/>
      <c r="W141" s="9"/>
      <c r="X141" s="9"/>
      <c r="Y141" s="39"/>
      <c r="Z141" s="9"/>
      <c r="AA141" s="38"/>
      <c r="AB141" s="9"/>
      <c r="AC141" s="9"/>
      <c r="AD141" s="9"/>
      <c r="AE141" s="9"/>
      <c r="AF141" s="9"/>
      <c r="AG141" s="9"/>
      <c r="AH141" s="38"/>
      <c r="AI141" s="9"/>
      <c r="AJ141" s="39"/>
      <c r="AK141" s="9"/>
      <c r="AL141" s="9"/>
      <c r="AM141" s="9"/>
      <c r="AN141" s="9"/>
      <c r="AO141" s="9"/>
      <c r="AP141" s="9"/>
      <c r="AQ141" s="9"/>
      <c r="AR141" s="10" t="str">
        <f aca="false">IF(A141="","",SG_Criteria!$B$6&amp;SG_Criteria!$B$10&amp;"\"&amp;A141&amp;"\")</f>
        <v/>
      </c>
      <c r="AS141" s="10" t="str">
        <f aca="false">IF(A141="","",A141&amp;"_CAD.dwg")</f>
        <v/>
      </c>
      <c r="AT141" s="10" t="str">
        <f aca="false">IF(A141="","",A141&amp;"_DWG.pdf")</f>
        <v/>
      </c>
      <c r="AU141" s="10" t="str">
        <f aca="false">IF(A141="","",IF(AQ141="Y",A141&amp;"_STAAD.std","n/a"))</f>
        <v/>
      </c>
      <c r="AV141" s="10" t="str">
        <f aca="false">IF(A141="","",A141&amp;"_CALC.xlsx")</f>
        <v/>
      </c>
      <c r="AW141" s="10" t="str">
        <f aca="false">IF(A141="","",A141&amp;"_CALC.pdf")</f>
        <v/>
      </c>
      <c r="AX141" s="9"/>
      <c r="AY141" s="9"/>
      <c r="AZ141" s="39"/>
      <c r="BA141" s="39"/>
      <c r="BB141" s="39"/>
      <c r="BC141" s="39"/>
      <c r="BD141" s="39"/>
      <c r="BE141" s="12" t="str">
        <f aca="false">IF(A141="","",IF(COUNTIF(Rebar_Schedule!$A$5:$A$2004,A141)=0,"",ROUND(SUMIF(Rebar_Schedule!$A$5:$A$2004,A141,Rebar_Schedule!$K$5:$K$2004),1)))</f>
        <v/>
      </c>
      <c r="BF141" s="33" t="str">
        <f aca="false">IF(A141="","",IF(BE141="","No rebar schedule yet",IF(ABS(BE141-N(BA141))/MAX(N(BA141),1)&gt;SG_Criteria!$B$55,"NOTE: register rebar differs from schedule by "&amp;TEXT(ABS(BE141-N(BA141))/MAX(N(BA141),1),"0%"),"OK")))</f>
        <v/>
      </c>
      <c r="BG141" s="33" t="str">
        <f aca="false">IF(D141="","",IF(LEN(IF(AND(Z141&lt;&gt;"",IFERROR(VALUE(MID(Z141,2,2)),0)&lt;SG_Criteria!$B$19),"FAIL: grade below C"&amp;SG_Criteria!$B$19&amp;". ","")&amp;IF(AND(AA141&lt;&gt;"",AA141&lt;SG_Criteria!$B$20),"FAIL: cover &lt; "&amp;SG_Criteria!$B$20&amp;" mm. ","")&amp;IF(AND(I141&lt;&gt;"",I141&lt;SG_Criteria!$B$39),"NOTE: min depth below PUB "&amp;SG_Criteria!$B$39&amp;" m. ","")&amp;IF(AND(LEFT(D141,8)="Standard",J141&gt;SG_Criteria!$B$42),"FAIL: PUB 001C covers manholes up to "&amp;SG_Criteria!$B$42&amp;" m deep only. ","")&amp;IF(AND(LEFT(D141,11)="Rectangular",K141&lt;SG_Criteria!$B$43),"NOTE: 004C is for sewers &gt;= "&amp;SG_Criteria!$B$43&amp;" dia. ","")&amp;IF(AND(LEFT(D141,7)="Precast",J141&lt;=SG_Criteria!$B$42),"NOTE: 006C is for manholes &gt; "&amp;SG_Criteria!$B$42&amp;" m deep. ","")&amp;IF(AND(K141&lt;&gt;"",K141&lt;SG_Criteria!$B$40,D141&lt;&gt;"Inspection Chamber"),"NOTE: public sewer min dia "&amp;SG_Criteria!$B$40&amp;" mm. ","")&amp;IF(AND(Y141&lt;&gt;"",Y141&lt;SG_Criteria!$B$44),"FAIL: uplift FOS below "&amp;SG_Criteria!$B$44&amp;". ",""))=0,"OK",IF(AND(Z141&lt;&gt;"",IFERROR(VALUE(MID(Z141,2,2)),0)&lt;SG_Criteria!$B$19),"FAIL: grade below C"&amp;SG_Criteria!$B$19&amp;". ","")&amp;IF(AND(AA141&lt;&gt;"",AA141&lt;SG_Criteria!$B$20),"FAIL: cover &lt; "&amp;SG_Criteria!$B$20&amp;" mm. ","")&amp;IF(AND(I141&lt;&gt;"",I141&lt;SG_Criteria!$B$39),"NOTE: min depth below PUB "&amp;SG_Criteria!$B$39&amp;" m. ","")&amp;IF(AND(LEFT(D141,8)="Standard",J141&gt;SG_Criteria!$B$42),"FAIL: PUB 001C covers manholes up to "&amp;SG_Criteria!$B$42&amp;" m deep only. ","")&amp;IF(AND(LEFT(D141,11)="Rectangular",K141&lt;SG_Criteria!$B$43),"NOTE: 004C is for sewers &gt;= "&amp;SG_Criteria!$B$43&amp;" dia. ","")&amp;IF(AND(LEFT(D141,7)="Precast",J141&lt;=SG_Criteria!$B$42),"NOTE: 006C is for manholes &gt; "&amp;SG_Criteria!$B$42&amp;" m deep. ","")&amp;IF(AND(K141&lt;&gt;"",K141&lt;SG_Criteria!$B$40,D141&lt;&gt;"Inspection Chamber"),"NOTE: public sewer min dia "&amp;SG_Criteria!$B$40&amp;" mm. ","")&amp;IF(AND(Y141&lt;&gt;"",Y141&lt;SG_Criteria!$B$44),"FAIL: uplift FOS below "&amp;SG_Criteria!$B$44&amp;". ","")))</f>
        <v/>
      </c>
      <c r="BH141" s="9"/>
      <c r="BI141" s="9"/>
      <c r="BJ141" s="9"/>
      <c r="BK141" s="10" t="str">
        <f aca="false">IF(BJ141="","",IFERROR(VLOOKUP(BJ141,Projects!$A$5:$D$504,2,0),"Ref not in Projects"))</f>
        <v/>
      </c>
      <c r="BL141" s="10" t="str">
        <f aca="false">IF(BJ141="","",IFERROR(VLOOKUP(BJ141,Projects!$A$5:$D$504,4,0),"Ref not in Projects"))</f>
        <v/>
      </c>
      <c r="BM141" s="9"/>
      <c r="BN141" s="9"/>
      <c r="BO141" s="9"/>
      <c r="BP141" s="40"/>
      <c r="BQ141" s="9"/>
      <c r="BR141" s="40"/>
      <c r="BS141" s="9"/>
      <c r="BT141" s="40"/>
      <c r="BU141" s="9"/>
      <c r="BV141" s="9"/>
      <c r="BW141" s="9"/>
      <c r="BX141" s="40"/>
      <c r="BY141" s="40"/>
      <c r="BZ141" s="36" t="str">
        <f aca="false">IF(BY141="","",EDATE(BY141,SG_Criteria!$B$54*12))</f>
        <v/>
      </c>
      <c r="CA141" s="33" t="str">
        <f aca="true">IF(A141="","",IF(BY141="","NOTE: not reviewed yet",IF(TODAY()&gt;BZ141,"NOTE: review overdue","OK")))</f>
        <v/>
      </c>
      <c r="CB141" s="37" t="str">
        <f aca="false">IF(A141="","",ROUND((IF(LEN(D141)&gt;0,1,0)+IF(LEN(E141)&gt;0,1,0)+IF(LEN(F141)&gt;0,1,0)+IF(LEN(G141)&gt;0,1,0)+IF(LEN(I141)&gt;0,1,0)+IF(LEN(J141)&gt;0,1,0)+IF(LEN(K141)&gt;0,1,0)+IF(LEN(L141)&gt;0,1,0)+IF(LEN(M141)&gt;0,1,0)+IF(LEN(N141)&gt;0,1,0)+IF(LEN(Z141)&gt;0,1,0)+IF(LEN(AA141)&gt;0,1,0)+IF(LEN(Y141)&gt;0,1,0)+IF(LEN(AE141)&gt;0,1,0)+IF(LEN(AG141)&gt;0,1,0)+IF(LEN(AZ141)&gt;0,1,0)+IF(LEN(AK141)&gt;0,1,0)+IF(LEN(AM141)&gt;0,1,0)+IF(LEN(AN141)&gt;0,1,0)+IF(LEN(AO141)&gt;0,1,0)+IF(LEN(AP141)&gt;0,1,0)+IF(LEN(AY141)&gt;0,1,0)+IF(LEN(BJ141)&gt;0,1,0)+IF(LEN(BW141)&gt;0,1,0))/24,2))</f>
        <v/>
      </c>
      <c r="CC141" s="10" t="str">
        <f aca="false">IF(D141="","",IF(AND(AN141="Approved",ISERROR(SEARCH("FAIL",BG141))),"Y","N"))</f>
        <v/>
      </c>
      <c r="CD141" s="10" t="str">
        <f aca="false">IF(D141="","",D141&amp;"|"&amp;J141&amp;"|"&amp;G141&amp;"|"&amp;CC141)</f>
        <v/>
      </c>
    </row>
    <row r="142" customFormat="false" ht="15" hidden="false" customHeight="false" outlineLevel="0" collapsed="false">
      <c r="A142" s="10" t="str">
        <f aca="false">IF(D142="","","MH-"&amp;IFERROR(VLOOKUP(D142,Lists!$AB$4:$AC$20,2,0),"??")&amp;"-"&amp;TEXT(G142,"0000")&amp;IF(F142="Circular","D","x"&amp;TEXT(H142,"0000"))&amp;"-D"&amp;TEXT(J142*1000,"0000")&amp;"-"&amp;IFERROR(VLOOKUP(E142,Lists!$AE$4:$AF$16,2,0),"??")&amp;"-"&amp;AM142)</f>
        <v/>
      </c>
      <c r="B142" s="10" t="str">
        <f aca="false">IF(D142="","",D142&amp;", "&amp;E142&amp;", "&amp;IF(F142="Circular",G142&amp;" dia",G142&amp;" x "&amp;H142)&amp;", depth "&amp;TEXT(I142,"0.0")&amp;"-"&amp;TEXT(J142,"0.0")&amp;" m, pipe up to "&amp;K142&amp;" dia")</f>
        <v/>
      </c>
      <c r="C142" s="9"/>
      <c r="D142" s="9"/>
      <c r="E142" s="9"/>
      <c r="F142" s="9"/>
      <c r="G142" s="38"/>
      <c r="H142" s="38"/>
      <c r="I142" s="42"/>
      <c r="J142" s="42"/>
      <c r="K142" s="38"/>
      <c r="L142" s="38"/>
      <c r="M142" s="38"/>
      <c r="N142" s="38"/>
      <c r="O142" s="9"/>
      <c r="P142" s="9"/>
      <c r="Q142" s="9"/>
      <c r="R142" s="9"/>
      <c r="S142" s="9"/>
      <c r="T142" s="9"/>
      <c r="U142" s="9"/>
      <c r="V142" s="42"/>
      <c r="W142" s="9"/>
      <c r="X142" s="9"/>
      <c r="Y142" s="39"/>
      <c r="Z142" s="9"/>
      <c r="AA142" s="38"/>
      <c r="AB142" s="9"/>
      <c r="AC142" s="9"/>
      <c r="AD142" s="9"/>
      <c r="AE142" s="9"/>
      <c r="AF142" s="9"/>
      <c r="AG142" s="9"/>
      <c r="AH142" s="38"/>
      <c r="AI142" s="9"/>
      <c r="AJ142" s="39"/>
      <c r="AK142" s="9"/>
      <c r="AL142" s="9"/>
      <c r="AM142" s="9"/>
      <c r="AN142" s="9"/>
      <c r="AO142" s="9"/>
      <c r="AP142" s="9"/>
      <c r="AQ142" s="9"/>
      <c r="AR142" s="10" t="str">
        <f aca="false">IF(A142="","",SG_Criteria!$B$6&amp;SG_Criteria!$B$10&amp;"\"&amp;A142&amp;"\")</f>
        <v/>
      </c>
      <c r="AS142" s="10" t="str">
        <f aca="false">IF(A142="","",A142&amp;"_CAD.dwg")</f>
        <v/>
      </c>
      <c r="AT142" s="10" t="str">
        <f aca="false">IF(A142="","",A142&amp;"_DWG.pdf")</f>
        <v/>
      </c>
      <c r="AU142" s="10" t="str">
        <f aca="false">IF(A142="","",IF(AQ142="Y",A142&amp;"_STAAD.std","n/a"))</f>
        <v/>
      </c>
      <c r="AV142" s="10" t="str">
        <f aca="false">IF(A142="","",A142&amp;"_CALC.xlsx")</f>
        <v/>
      </c>
      <c r="AW142" s="10" t="str">
        <f aca="false">IF(A142="","",A142&amp;"_CALC.pdf")</f>
        <v/>
      </c>
      <c r="AX142" s="9"/>
      <c r="AY142" s="9"/>
      <c r="AZ142" s="39"/>
      <c r="BA142" s="39"/>
      <c r="BB142" s="39"/>
      <c r="BC142" s="39"/>
      <c r="BD142" s="39"/>
      <c r="BE142" s="12" t="str">
        <f aca="false">IF(A142="","",IF(COUNTIF(Rebar_Schedule!$A$5:$A$2004,A142)=0,"",ROUND(SUMIF(Rebar_Schedule!$A$5:$A$2004,A142,Rebar_Schedule!$K$5:$K$2004),1)))</f>
        <v/>
      </c>
      <c r="BF142" s="33" t="str">
        <f aca="false">IF(A142="","",IF(BE142="","No rebar schedule yet",IF(ABS(BE142-N(BA142))/MAX(N(BA142),1)&gt;SG_Criteria!$B$55,"NOTE: register rebar differs from schedule by "&amp;TEXT(ABS(BE142-N(BA142))/MAX(N(BA142),1),"0%"),"OK")))</f>
        <v/>
      </c>
      <c r="BG142" s="33" t="str">
        <f aca="false">IF(D142="","",IF(LEN(IF(AND(Z142&lt;&gt;"",IFERROR(VALUE(MID(Z142,2,2)),0)&lt;SG_Criteria!$B$19),"FAIL: grade below C"&amp;SG_Criteria!$B$19&amp;". ","")&amp;IF(AND(AA142&lt;&gt;"",AA142&lt;SG_Criteria!$B$20),"FAIL: cover &lt; "&amp;SG_Criteria!$B$20&amp;" mm. ","")&amp;IF(AND(I142&lt;&gt;"",I142&lt;SG_Criteria!$B$39),"NOTE: min depth below PUB "&amp;SG_Criteria!$B$39&amp;" m. ","")&amp;IF(AND(LEFT(D142,8)="Standard",J142&gt;SG_Criteria!$B$42),"FAIL: PUB 001C covers manholes up to "&amp;SG_Criteria!$B$42&amp;" m deep only. ","")&amp;IF(AND(LEFT(D142,11)="Rectangular",K142&lt;SG_Criteria!$B$43),"NOTE: 004C is for sewers &gt;= "&amp;SG_Criteria!$B$43&amp;" dia. ","")&amp;IF(AND(LEFT(D142,7)="Precast",J142&lt;=SG_Criteria!$B$42),"NOTE: 006C is for manholes &gt; "&amp;SG_Criteria!$B$42&amp;" m deep. ","")&amp;IF(AND(K142&lt;&gt;"",K142&lt;SG_Criteria!$B$40,D142&lt;&gt;"Inspection Chamber"),"NOTE: public sewer min dia "&amp;SG_Criteria!$B$40&amp;" mm. ","")&amp;IF(AND(Y142&lt;&gt;"",Y142&lt;SG_Criteria!$B$44),"FAIL: uplift FOS below "&amp;SG_Criteria!$B$44&amp;". ",""))=0,"OK",IF(AND(Z142&lt;&gt;"",IFERROR(VALUE(MID(Z142,2,2)),0)&lt;SG_Criteria!$B$19),"FAIL: grade below C"&amp;SG_Criteria!$B$19&amp;". ","")&amp;IF(AND(AA142&lt;&gt;"",AA142&lt;SG_Criteria!$B$20),"FAIL: cover &lt; "&amp;SG_Criteria!$B$20&amp;" mm. ","")&amp;IF(AND(I142&lt;&gt;"",I142&lt;SG_Criteria!$B$39),"NOTE: min depth below PUB "&amp;SG_Criteria!$B$39&amp;" m. ","")&amp;IF(AND(LEFT(D142,8)="Standard",J142&gt;SG_Criteria!$B$42),"FAIL: PUB 001C covers manholes up to "&amp;SG_Criteria!$B$42&amp;" m deep only. ","")&amp;IF(AND(LEFT(D142,11)="Rectangular",K142&lt;SG_Criteria!$B$43),"NOTE: 004C is for sewers &gt;= "&amp;SG_Criteria!$B$43&amp;" dia. ","")&amp;IF(AND(LEFT(D142,7)="Precast",J142&lt;=SG_Criteria!$B$42),"NOTE: 006C is for manholes &gt; "&amp;SG_Criteria!$B$42&amp;" m deep. ","")&amp;IF(AND(K142&lt;&gt;"",K142&lt;SG_Criteria!$B$40,D142&lt;&gt;"Inspection Chamber"),"NOTE: public sewer min dia "&amp;SG_Criteria!$B$40&amp;" mm. ","")&amp;IF(AND(Y142&lt;&gt;"",Y142&lt;SG_Criteria!$B$44),"FAIL: uplift FOS below "&amp;SG_Criteria!$B$44&amp;". ","")))</f>
        <v/>
      </c>
      <c r="BH142" s="9"/>
      <c r="BI142" s="9"/>
      <c r="BJ142" s="9"/>
      <c r="BK142" s="10" t="str">
        <f aca="false">IF(BJ142="","",IFERROR(VLOOKUP(BJ142,Projects!$A$5:$D$504,2,0),"Ref not in Projects"))</f>
        <v/>
      </c>
      <c r="BL142" s="10" t="str">
        <f aca="false">IF(BJ142="","",IFERROR(VLOOKUP(BJ142,Projects!$A$5:$D$504,4,0),"Ref not in Projects"))</f>
        <v/>
      </c>
      <c r="BM142" s="9"/>
      <c r="BN142" s="9"/>
      <c r="BO142" s="9"/>
      <c r="BP142" s="40"/>
      <c r="BQ142" s="9"/>
      <c r="BR142" s="40"/>
      <c r="BS142" s="9"/>
      <c r="BT142" s="40"/>
      <c r="BU142" s="9"/>
      <c r="BV142" s="9"/>
      <c r="BW142" s="9"/>
      <c r="BX142" s="40"/>
      <c r="BY142" s="40"/>
      <c r="BZ142" s="36" t="str">
        <f aca="false">IF(BY142="","",EDATE(BY142,SG_Criteria!$B$54*12))</f>
        <v/>
      </c>
      <c r="CA142" s="33" t="str">
        <f aca="true">IF(A142="","",IF(BY142="","NOTE: not reviewed yet",IF(TODAY()&gt;BZ142,"NOTE: review overdue","OK")))</f>
        <v/>
      </c>
      <c r="CB142" s="37" t="str">
        <f aca="false">IF(A142="","",ROUND((IF(LEN(D142)&gt;0,1,0)+IF(LEN(E142)&gt;0,1,0)+IF(LEN(F142)&gt;0,1,0)+IF(LEN(G142)&gt;0,1,0)+IF(LEN(I142)&gt;0,1,0)+IF(LEN(J142)&gt;0,1,0)+IF(LEN(K142)&gt;0,1,0)+IF(LEN(L142)&gt;0,1,0)+IF(LEN(M142)&gt;0,1,0)+IF(LEN(N142)&gt;0,1,0)+IF(LEN(Z142)&gt;0,1,0)+IF(LEN(AA142)&gt;0,1,0)+IF(LEN(Y142)&gt;0,1,0)+IF(LEN(AE142)&gt;0,1,0)+IF(LEN(AG142)&gt;0,1,0)+IF(LEN(AZ142)&gt;0,1,0)+IF(LEN(AK142)&gt;0,1,0)+IF(LEN(AM142)&gt;0,1,0)+IF(LEN(AN142)&gt;0,1,0)+IF(LEN(AO142)&gt;0,1,0)+IF(LEN(AP142)&gt;0,1,0)+IF(LEN(AY142)&gt;0,1,0)+IF(LEN(BJ142)&gt;0,1,0)+IF(LEN(BW142)&gt;0,1,0))/24,2))</f>
        <v/>
      </c>
      <c r="CC142" s="10" t="str">
        <f aca="false">IF(D142="","",IF(AND(AN142="Approved",ISERROR(SEARCH("FAIL",BG142))),"Y","N"))</f>
        <v/>
      </c>
      <c r="CD142" s="10" t="str">
        <f aca="false">IF(D142="","",D142&amp;"|"&amp;J142&amp;"|"&amp;G142&amp;"|"&amp;CC142)</f>
        <v/>
      </c>
    </row>
    <row r="143" customFormat="false" ht="15" hidden="false" customHeight="false" outlineLevel="0" collapsed="false">
      <c r="A143" s="10" t="str">
        <f aca="false">IF(D143="","","MH-"&amp;IFERROR(VLOOKUP(D143,Lists!$AB$4:$AC$20,2,0),"??")&amp;"-"&amp;TEXT(G143,"0000")&amp;IF(F143="Circular","D","x"&amp;TEXT(H143,"0000"))&amp;"-D"&amp;TEXT(J143*1000,"0000")&amp;"-"&amp;IFERROR(VLOOKUP(E143,Lists!$AE$4:$AF$16,2,0),"??")&amp;"-"&amp;AM143)</f>
        <v/>
      </c>
      <c r="B143" s="10" t="str">
        <f aca="false">IF(D143="","",D143&amp;", "&amp;E143&amp;", "&amp;IF(F143="Circular",G143&amp;" dia",G143&amp;" x "&amp;H143)&amp;", depth "&amp;TEXT(I143,"0.0")&amp;"-"&amp;TEXT(J143,"0.0")&amp;" m, pipe up to "&amp;K143&amp;" dia")</f>
        <v/>
      </c>
      <c r="C143" s="9"/>
      <c r="D143" s="9"/>
      <c r="E143" s="9"/>
      <c r="F143" s="9"/>
      <c r="G143" s="38"/>
      <c r="H143" s="38"/>
      <c r="I143" s="42"/>
      <c r="J143" s="42"/>
      <c r="K143" s="38"/>
      <c r="L143" s="38"/>
      <c r="M143" s="38"/>
      <c r="N143" s="38"/>
      <c r="O143" s="9"/>
      <c r="P143" s="9"/>
      <c r="Q143" s="9"/>
      <c r="R143" s="9"/>
      <c r="S143" s="9"/>
      <c r="T143" s="9"/>
      <c r="U143" s="9"/>
      <c r="V143" s="42"/>
      <c r="W143" s="9"/>
      <c r="X143" s="9"/>
      <c r="Y143" s="39"/>
      <c r="Z143" s="9"/>
      <c r="AA143" s="38"/>
      <c r="AB143" s="9"/>
      <c r="AC143" s="9"/>
      <c r="AD143" s="9"/>
      <c r="AE143" s="9"/>
      <c r="AF143" s="9"/>
      <c r="AG143" s="9"/>
      <c r="AH143" s="38"/>
      <c r="AI143" s="9"/>
      <c r="AJ143" s="39"/>
      <c r="AK143" s="9"/>
      <c r="AL143" s="9"/>
      <c r="AM143" s="9"/>
      <c r="AN143" s="9"/>
      <c r="AO143" s="9"/>
      <c r="AP143" s="9"/>
      <c r="AQ143" s="9"/>
      <c r="AR143" s="10" t="str">
        <f aca="false">IF(A143="","",SG_Criteria!$B$6&amp;SG_Criteria!$B$10&amp;"\"&amp;A143&amp;"\")</f>
        <v/>
      </c>
      <c r="AS143" s="10" t="str">
        <f aca="false">IF(A143="","",A143&amp;"_CAD.dwg")</f>
        <v/>
      </c>
      <c r="AT143" s="10" t="str">
        <f aca="false">IF(A143="","",A143&amp;"_DWG.pdf")</f>
        <v/>
      </c>
      <c r="AU143" s="10" t="str">
        <f aca="false">IF(A143="","",IF(AQ143="Y",A143&amp;"_STAAD.std","n/a"))</f>
        <v/>
      </c>
      <c r="AV143" s="10" t="str">
        <f aca="false">IF(A143="","",A143&amp;"_CALC.xlsx")</f>
        <v/>
      </c>
      <c r="AW143" s="10" t="str">
        <f aca="false">IF(A143="","",A143&amp;"_CALC.pdf")</f>
        <v/>
      </c>
      <c r="AX143" s="9"/>
      <c r="AY143" s="9"/>
      <c r="AZ143" s="39"/>
      <c r="BA143" s="39"/>
      <c r="BB143" s="39"/>
      <c r="BC143" s="39"/>
      <c r="BD143" s="39"/>
      <c r="BE143" s="12" t="str">
        <f aca="false">IF(A143="","",IF(COUNTIF(Rebar_Schedule!$A$5:$A$2004,A143)=0,"",ROUND(SUMIF(Rebar_Schedule!$A$5:$A$2004,A143,Rebar_Schedule!$K$5:$K$2004),1)))</f>
        <v/>
      </c>
      <c r="BF143" s="33" t="str">
        <f aca="false">IF(A143="","",IF(BE143="","No rebar schedule yet",IF(ABS(BE143-N(BA143))/MAX(N(BA143),1)&gt;SG_Criteria!$B$55,"NOTE: register rebar differs from schedule by "&amp;TEXT(ABS(BE143-N(BA143))/MAX(N(BA143),1),"0%"),"OK")))</f>
        <v/>
      </c>
      <c r="BG143" s="33" t="str">
        <f aca="false">IF(D143="","",IF(LEN(IF(AND(Z143&lt;&gt;"",IFERROR(VALUE(MID(Z143,2,2)),0)&lt;SG_Criteria!$B$19),"FAIL: grade below C"&amp;SG_Criteria!$B$19&amp;". ","")&amp;IF(AND(AA143&lt;&gt;"",AA143&lt;SG_Criteria!$B$20),"FAIL: cover &lt; "&amp;SG_Criteria!$B$20&amp;" mm. ","")&amp;IF(AND(I143&lt;&gt;"",I143&lt;SG_Criteria!$B$39),"NOTE: min depth below PUB "&amp;SG_Criteria!$B$39&amp;" m. ","")&amp;IF(AND(LEFT(D143,8)="Standard",J143&gt;SG_Criteria!$B$42),"FAIL: PUB 001C covers manholes up to "&amp;SG_Criteria!$B$42&amp;" m deep only. ","")&amp;IF(AND(LEFT(D143,11)="Rectangular",K143&lt;SG_Criteria!$B$43),"NOTE: 004C is for sewers &gt;= "&amp;SG_Criteria!$B$43&amp;" dia. ","")&amp;IF(AND(LEFT(D143,7)="Precast",J143&lt;=SG_Criteria!$B$42),"NOTE: 006C is for manholes &gt; "&amp;SG_Criteria!$B$42&amp;" m deep. ","")&amp;IF(AND(K143&lt;&gt;"",K143&lt;SG_Criteria!$B$40,D143&lt;&gt;"Inspection Chamber"),"NOTE: public sewer min dia "&amp;SG_Criteria!$B$40&amp;" mm. ","")&amp;IF(AND(Y143&lt;&gt;"",Y143&lt;SG_Criteria!$B$44),"FAIL: uplift FOS below "&amp;SG_Criteria!$B$44&amp;". ",""))=0,"OK",IF(AND(Z143&lt;&gt;"",IFERROR(VALUE(MID(Z143,2,2)),0)&lt;SG_Criteria!$B$19),"FAIL: grade below C"&amp;SG_Criteria!$B$19&amp;". ","")&amp;IF(AND(AA143&lt;&gt;"",AA143&lt;SG_Criteria!$B$20),"FAIL: cover &lt; "&amp;SG_Criteria!$B$20&amp;" mm. ","")&amp;IF(AND(I143&lt;&gt;"",I143&lt;SG_Criteria!$B$39),"NOTE: min depth below PUB "&amp;SG_Criteria!$B$39&amp;" m. ","")&amp;IF(AND(LEFT(D143,8)="Standard",J143&gt;SG_Criteria!$B$42),"FAIL: PUB 001C covers manholes up to "&amp;SG_Criteria!$B$42&amp;" m deep only. ","")&amp;IF(AND(LEFT(D143,11)="Rectangular",K143&lt;SG_Criteria!$B$43),"NOTE: 004C is for sewers &gt;= "&amp;SG_Criteria!$B$43&amp;" dia. ","")&amp;IF(AND(LEFT(D143,7)="Precast",J143&lt;=SG_Criteria!$B$42),"NOTE: 006C is for manholes &gt; "&amp;SG_Criteria!$B$42&amp;" m deep. ","")&amp;IF(AND(K143&lt;&gt;"",K143&lt;SG_Criteria!$B$40,D143&lt;&gt;"Inspection Chamber"),"NOTE: public sewer min dia "&amp;SG_Criteria!$B$40&amp;" mm. ","")&amp;IF(AND(Y143&lt;&gt;"",Y143&lt;SG_Criteria!$B$44),"FAIL: uplift FOS below "&amp;SG_Criteria!$B$44&amp;". ","")))</f>
        <v/>
      </c>
      <c r="BH143" s="9"/>
      <c r="BI143" s="9"/>
      <c r="BJ143" s="9"/>
      <c r="BK143" s="10" t="str">
        <f aca="false">IF(BJ143="","",IFERROR(VLOOKUP(BJ143,Projects!$A$5:$D$504,2,0),"Ref not in Projects"))</f>
        <v/>
      </c>
      <c r="BL143" s="10" t="str">
        <f aca="false">IF(BJ143="","",IFERROR(VLOOKUP(BJ143,Projects!$A$5:$D$504,4,0),"Ref not in Projects"))</f>
        <v/>
      </c>
      <c r="BM143" s="9"/>
      <c r="BN143" s="9"/>
      <c r="BO143" s="9"/>
      <c r="BP143" s="40"/>
      <c r="BQ143" s="9"/>
      <c r="BR143" s="40"/>
      <c r="BS143" s="9"/>
      <c r="BT143" s="40"/>
      <c r="BU143" s="9"/>
      <c r="BV143" s="9"/>
      <c r="BW143" s="9"/>
      <c r="BX143" s="40"/>
      <c r="BY143" s="40"/>
      <c r="BZ143" s="36" t="str">
        <f aca="false">IF(BY143="","",EDATE(BY143,SG_Criteria!$B$54*12))</f>
        <v/>
      </c>
      <c r="CA143" s="33" t="str">
        <f aca="true">IF(A143="","",IF(BY143="","NOTE: not reviewed yet",IF(TODAY()&gt;BZ143,"NOTE: review overdue","OK")))</f>
        <v/>
      </c>
      <c r="CB143" s="37" t="str">
        <f aca="false">IF(A143="","",ROUND((IF(LEN(D143)&gt;0,1,0)+IF(LEN(E143)&gt;0,1,0)+IF(LEN(F143)&gt;0,1,0)+IF(LEN(G143)&gt;0,1,0)+IF(LEN(I143)&gt;0,1,0)+IF(LEN(J143)&gt;0,1,0)+IF(LEN(K143)&gt;0,1,0)+IF(LEN(L143)&gt;0,1,0)+IF(LEN(M143)&gt;0,1,0)+IF(LEN(N143)&gt;0,1,0)+IF(LEN(Z143)&gt;0,1,0)+IF(LEN(AA143)&gt;0,1,0)+IF(LEN(Y143)&gt;0,1,0)+IF(LEN(AE143)&gt;0,1,0)+IF(LEN(AG143)&gt;0,1,0)+IF(LEN(AZ143)&gt;0,1,0)+IF(LEN(AK143)&gt;0,1,0)+IF(LEN(AM143)&gt;0,1,0)+IF(LEN(AN143)&gt;0,1,0)+IF(LEN(AO143)&gt;0,1,0)+IF(LEN(AP143)&gt;0,1,0)+IF(LEN(AY143)&gt;0,1,0)+IF(LEN(BJ143)&gt;0,1,0)+IF(LEN(BW143)&gt;0,1,0))/24,2))</f>
        <v/>
      </c>
      <c r="CC143" s="10" t="str">
        <f aca="false">IF(D143="","",IF(AND(AN143="Approved",ISERROR(SEARCH("FAIL",BG143))),"Y","N"))</f>
        <v/>
      </c>
      <c r="CD143" s="10" t="str">
        <f aca="false">IF(D143="","",D143&amp;"|"&amp;J143&amp;"|"&amp;G143&amp;"|"&amp;CC143)</f>
        <v/>
      </c>
    </row>
    <row r="144" customFormat="false" ht="15" hidden="false" customHeight="false" outlineLevel="0" collapsed="false">
      <c r="A144" s="10" t="str">
        <f aca="false">IF(D144="","","MH-"&amp;IFERROR(VLOOKUP(D144,Lists!$AB$4:$AC$20,2,0),"??")&amp;"-"&amp;TEXT(G144,"0000")&amp;IF(F144="Circular","D","x"&amp;TEXT(H144,"0000"))&amp;"-D"&amp;TEXT(J144*1000,"0000")&amp;"-"&amp;IFERROR(VLOOKUP(E144,Lists!$AE$4:$AF$16,2,0),"??")&amp;"-"&amp;AM144)</f>
        <v/>
      </c>
      <c r="B144" s="10" t="str">
        <f aca="false">IF(D144="","",D144&amp;", "&amp;E144&amp;", "&amp;IF(F144="Circular",G144&amp;" dia",G144&amp;" x "&amp;H144)&amp;", depth "&amp;TEXT(I144,"0.0")&amp;"-"&amp;TEXT(J144,"0.0")&amp;" m, pipe up to "&amp;K144&amp;" dia")</f>
        <v/>
      </c>
      <c r="C144" s="9"/>
      <c r="D144" s="9"/>
      <c r="E144" s="9"/>
      <c r="F144" s="9"/>
      <c r="G144" s="38"/>
      <c r="H144" s="38"/>
      <c r="I144" s="42"/>
      <c r="J144" s="42"/>
      <c r="K144" s="38"/>
      <c r="L144" s="38"/>
      <c r="M144" s="38"/>
      <c r="N144" s="38"/>
      <c r="O144" s="9"/>
      <c r="P144" s="9"/>
      <c r="Q144" s="9"/>
      <c r="R144" s="9"/>
      <c r="S144" s="9"/>
      <c r="T144" s="9"/>
      <c r="U144" s="9"/>
      <c r="V144" s="42"/>
      <c r="W144" s="9"/>
      <c r="X144" s="9"/>
      <c r="Y144" s="39"/>
      <c r="Z144" s="9"/>
      <c r="AA144" s="38"/>
      <c r="AB144" s="9"/>
      <c r="AC144" s="9"/>
      <c r="AD144" s="9"/>
      <c r="AE144" s="9"/>
      <c r="AF144" s="9"/>
      <c r="AG144" s="9"/>
      <c r="AH144" s="38"/>
      <c r="AI144" s="9"/>
      <c r="AJ144" s="39"/>
      <c r="AK144" s="9"/>
      <c r="AL144" s="9"/>
      <c r="AM144" s="9"/>
      <c r="AN144" s="9"/>
      <c r="AO144" s="9"/>
      <c r="AP144" s="9"/>
      <c r="AQ144" s="9"/>
      <c r="AR144" s="10" t="str">
        <f aca="false">IF(A144="","",SG_Criteria!$B$6&amp;SG_Criteria!$B$10&amp;"\"&amp;A144&amp;"\")</f>
        <v/>
      </c>
      <c r="AS144" s="10" t="str">
        <f aca="false">IF(A144="","",A144&amp;"_CAD.dwg")</f>
        <v/>
      </c>
      <c r="AT144" s="10" t="str">
        <f aca="false">IF(A144="","",A144&amp;"_DWG.pdf")</f>
        <v/>
      </c>
      <c r="AU144" s="10" t="str">
        <f aca="false">IF(A144="","",IF(AQ144="Y",A144&amp;"_STAAD.std","n/a"))</f>
        <v/>
      </c>
      <c r="AV144" s="10" t="str">
        <f aca="false">IF(A144="","",A144&amp;"_CALC.xlsx")</f>
        <v/>
      </c>
      <c r="AW144" s="10" t="str">
        <f aca="false">IF(A144="","",A144&amp;"_CALC.pdf")</f>
        <v/>
      </c>
      <c r="AX144" s="9"/>
      <c r="AY144" s="9"/>
      <c r="AZ144" s="39"/>
      <c r="BA144" s="39"/>
      <c r="BB144" s="39"/>
      <c r="BC144" s="39"/>
      <c r="BD144" s="39"/>
      <c r="BE144" s="12" t="str">
        <f aca="false">IF(A144="","",IF(COUNTIF(Rebar_Schedule!$A$5:$A$2004,A144)=0,"",ROUND(SUMIF(Rebar_Schedule!$A$5:$A$2004,A144,Rebar_Schedule!$K$5:$K$2004),1)))</f>
        <v/>
      </c>
      <c r="BF144" s="33" t="str">
        <f aca="false">IF(A144="","",IF(BE144="","No rebar schedule yet",IF(ABS(BE144-N(BA144))/MAX(N(BA144),1)&gt;SG_Criteria!$B$55,"NOTE: register rebar differs from schedule by "&amp;TEXT(ABS(BE144-N(BA144))/MAX(N(BA144),1),"0%"),"OK")))</f>
        <v/>
      </c>
      <c r="BG144" s="33" t="str">
        <f aca="false">IF(D144="","",IF(LEN(IF(AND(Z144&lt;&gt;"",IFERROR(VALUE(MID(Z144,2,2)),0)&lt;SG_Criteria!$B$19),"FAIL: grade below C"&amp;SG_Criteria!$B$19&amp;". ","")&amp;IF(AND(AA144&lt;&gt;"",AA144&lt;SG_Criteria!$B$20),"FAIL: cover &lt; "&amp;SG_Criteria!$B$20&amp;" mm. ","")&amp;IF(AND(I144&lt;&gt;"",I144&lt;SG_Criteria!$B$39),"NOTE: min depth below PUB "&amp;SG_Criteria!$B$39&amp;" m. ","")&amp;IF(AND(LEFT(D144,8)="Standard",J144&gt;SG_Criteria!$B$42),"FAIL: PUB 001C covers manholes up to "&amp;SG_Criteria!$B$42&amp;" m deep only. ","")&amp;IF(AND(LEFT(D144,11)="Rectangular",K144&lt;SG_Criteria!$B$43),"NOTE: 004C is for sewers &gt;= "&amp;SG_Criteria!$B$43&amp;" dia. ","")&amp;IF(AND(LEFT(D144,7)="Precast",J144&lt;=SG_Criteria!$B$42),"NOTE: 006C is for manholes &gt; "&amp;SG_Criteria!$B$42&amp;" m deep. ","")&amp;IF(AND(K144&lt;&gt;"",K144&lt;SG_Criteria!$B$40,D144&lt;&gt;"Inspection Chamber"),"NOTE: public sewer min dia "&amp;SG_Criteria!$B$40&amp;" mm. ","")&amp;IF(AND(Y144&lt;&gt;"",Y144&lt;SG_Criteria!$B$44),"FAIL: uplift FOS below "&amp;SG_Criteria!$B$44&amp;". ",""))=0,"OK",IF(AND(Z144&lt;&gt;"",IFERROR(VALUE(MID(Z144,2,2)),0)&lt;SG_Criteria!$B$19),"FAIL: grade below C"&amp;SG_Criteria!$B$19&amp;". ","")&amp;IF(AND(AA144&lt;&gt;"",AA144&lt;SG_Criteria!$B$20),"FAIL: cover &lt; "&amp;SG_Criteria!$B$20&amp;" mm. ","")&amp;IF(AND(I144&lt;&gt;"",I144&lt;SG_Criteria!$B$39),"NOTE: min depth below PUB "&amp;SG_Criteria!$B$39&amp;" m. ","")&amp;IF(AND(LEFT(D144,8)="Standard",J144&gt;SG_Criteria!$B$42),"FAIL: PUB 001C covers manholes up to "&amp;SG_Criteria!$B$42&amp;" m deep only. ","")&amp;IF(AND(LEFT(D144,11)="Rectangular",K144&lt;SG_Criteria!$B$43),"NOTE: 004C is for sewers &gt;= "&amp;SG_Criteria!$B$43&amp;" dia. ","")&amp;IF(AND(LEFT(D144,7)="Precast",J144&lt;=SG_Criteria!$B$42),"NOTE: 006C is for manholes &gt; "&amp;SG_Criteria!$B$42&amp;" m deep. ","")&amp;IF(AND(K144&lt;&gt;"",K144&lt;SG_Criteria!$B$40,D144&lt;&gt;"Inspection Chamber"),"NOTE: public sewer min dia "&amp;SG_Criteria!$B$40&amp;" mm. ","")&amp;IF(AND(Y144&lt;&gt;"",Y144&lt;SG_Criteria!$B$44),"FAIL: uplift FOS below "&amp;SG_Criteria!$B$44&amp;". ","")))</f>
        <v/>
      </c>
      <c r="BH144" s="9"/>
      <c r="BI144" s="9"/>
      <c r="BJ144" s="9"/>
      <c r="BK144" s="10" t="str">
        <f aca="false">IF(BJ144="","",IFERROR(VLOOKUP(BJ144,Projects!$A$5:$D$504,2,0),"Ref not in Projects"))</f>
        <v/>
      </c>
      <c r="BL144" s="10" t="str">
        <f aca="false">IF(BJ144="","",IFERROR(VLOOKUP(BJ144,Projects!$A$5:$D$504,4,0),"Ref not in Projects"))</f>
        <v/>
      </c>
      <c r="BM144" s="9"/>
      <c r="BN144" s="9"/>
      <c r="BO144" s="9"/>
      <c r="BP144" s="40"/>
      <c r="BQ144" s="9"/>
      <c r="BR144" s="40"/>
      <c r="BS144" s="9"/>
      <c r="BT144" s="40"/>
      <c r="BU144" s="9"/>
      <c r="BV144" s="9"/>
      <c r="BW144" s="9"/>
      <c r="BX144" s="40"/>
      <c r="BY144" s="40"/>
      <c r="BZ144" s="36" t="str">
        <f aca="false">IF(BY144="","",EDATE(BY144,SG_Criteria!$B$54*12))</f>
        <v/>
      </c>
      <c r="CA144" s="33" t="str">
        <f aca="true">IF(A144="","",IF(BY144="","NOTE: not reviewed yet",IF(TODAY()&gt;BZ144,"NOTE: review overdue","OK")))</f>
        <v/>
      </c>
      <c r="CB144" s="37" t="str">
        <f aca="false">IF(A144="","",ROUND((IF(LEN(D144)&gt;0,1,0)+IF(LEN(E144)&gt;0,1,0)+IF(LEN(F144)&gt;0,1,0)+IF(LEN(G144)&gt;0,1,0)+IF(LEN(I144)&gt;0,1,0)+IF(LEN(J144)&gt;0,1,0)+IF(LEN(K144)&gt;0,1,0)+IF(LEN(L144)&gt;0,1,0)+IF(LEN(M144)&gt;0,1,0)+IF(LEN(N144)&gt;0,1,0)+IF(LEN(Z144)&gt;0,1,0)+IF(LEN(AA144)&gt;0,1,0)+IF(LEN(Y144)&gt;0,1,0)+IF(LEN(AE144)&gt;0,1,0)+IF(LEN(AG144)&gt;0,1,0)+IF(LEN(AZ144)&gt;0,1,0)+IF(LEN(AK144)&gt;0,1,0)+IF(LEN(AM144)&gt;0,1,0)+IF(LEN(AN144)&gt;0,1,0)+IF(LEN(AO144)&gt;0,1,0)+IF(LEN(AP144)&gt;0,1,0)+IF(LEN(AY144)&gt;0,1,0)+IF(LEN(BJ144)&gt;0,1,0)+IF(LEN(BW144)&gt;0,1,0))/24,2))</f>
        <v/>
      </c>
      <c r="CC144" s="10" t="str">
        <f aca="false">IF(D144="","",IF(AND(AN144="Approved",ISERROR(SEARCH("FAIL",BG144))),"Y","N"))</f>
        <v/>
      </c>
      <c r="CD144" s="10" t="str">
        <f aca="false">IF(D144="","",D144&amp;"|"&amp;J144&amp;"|"&amp;G144&amp;"|"&amp;CC144)</f>
        <v/>
      </c>
    </row>
    <row r="145" customFormat="false" ht="15" hidden="false" customHeight="false" outlineLevel="0" collapsed="false">
      <c r="A145" s="10" t="str">
        <f aca="false">IF(D145="","","MH-"&amp;IFERROR(VLOOKUP(D145,Lists!$AB$4:$AC$20,2,0),"??")&amp;"-"&amp;TEXT(G145,"0000")&amp;IF(F145="Circular","D","x"&amp;TEXT(H145,"0000"))&amp;"-D"&amp;TEXT(J145*1000,"0000")&amp;"-"&amp;IFERROR(VLOOKUP(E145,Lists!$AE$4:$AF$16,2,0),"??")&amp;"-"&amp;AM145)</f>
        <v/>
      </c>
      <c r="B145" s="10" t="str">
        <f aca="false">IF(D145="","",D145&amp;", "&amp;E145&amp;", "&amp;IF(F145="Circular",G145&amp;" dia",G145&amp;" x "&amp;H145)&amp;", depth "&amp;TEXT(I145,"0.0")&amp;"-"&amp;TEXT(J145,"0.0")&amp;" m, pipe up to "&amp;K145&amp;" dia")</f>
        <v/>
      </c>
      <c r="C145" s="9"/>
      <c r="D145" s="9"/>
      <c r="E145" s="9"/>
      <c r="F145" s="9"/>
      <c r="G145" s="38"/>
      <c r="H145" s="38"/>
      <c r="I145" s="42"/>
      <c r="J145" s="42"/>
      <c r="K145" s="38"/>
      <c r="L145" s="38"/>
      <c r="M145" s="38"/>
      <c r="N145" s="38"/>
      <c r="O145" s="9"/>
      <c r="P145" s="9"/>
      <c r="Q145" s="9"/>
      <c r="R145" s="9"/>
      <c r="S145" s="9"/>
      <c r="T145" s="9"/>
      <c r="U145" s="9"/>
      <c r="V145" s="42"/>
      <c r="W145" s="9"/>
      <c r="X145" s="9"/>
      <c r="Y145" s="39"/>
      <c r="Z145" s="9"/>
      <c r="AA145" s="38"/>
      <c r="AB145" s="9"/>
      <c r="AC145" s="9"/>
      <c r="AD145" s="9"/>
      <c r="AE145" s="9"/>
      <c r="AF145" s="9"/>
      <c r="AG145" s="9"/>
      <c r="AH145" s="38"/>
      <c r="AI145" s="9"/>
      <c r="AJ145" s="39"/>
      <c r="AK145" s="9"/>
      <c r="AL145" s="9"/>
      <c r="AM145" s="9"/>
      <c r="AN145" s="9"/>
      <c r="AO145" s="9"/>
      <c r="AP145" s="9"/>
      <c r="AQ145" s="9"/>
      <c r="AR145" s="10" t="str">
        <f aca="false">IF(A145="","",SG_Criteria!$B$6&amp;SG_Criteria!$B$10&amp;"\"&amp;A145&amp;"\")</f>
        <v/>
      </c>
      <c r="AS145" s="10" t="str">
        <f aca="false">IF(A145="","",A145&amp;"_CAD.dwg")</f>
        <v/>
      </c>
      <c r="AT145" s="10" t="str">
        <f aca="false">IF(A145="","",A145&amp;"_DWG.pdf")</f>
        <v/>
      </c>
      <c r="AU145" s="10" t="str">
        <f aca="false">IF(A145="","",IF(AQ145="Y",A145&amp;"_STAAD.std","n/a"))</f>
        <v/>
      </c>
      <c r="AV145" s="10" t="str">
        <f aca="false">IF(A145="","",A145&amp;"_CALC.xlsx")</f>
        <v/>
      </c>
      <c r="AW145" s="10" t="str">
        <f aca="false">IF(A145="","",A145&amp;"_CALC.pdf")</f>
        <v/>
      </c>
      <c r="AX145" s="9"/>
      <c r="AY145" s="9"/>
      <c r="AZ145" s="39"/>
      <c r="BA145" s="39"/>
      <c r="BB145" s="39"/>
      <c r="BC145" s="39"/>
      <c r="BD145" s="39"/>
      <c r="BE145" s="12" t="str">
        <f aca="false">IF(A145="","",IF(COUNTIF(Rebar_Schedule!$A$5:$A$2004,A145)=0,"",ROUND(SUMIF(Rebar_Schedule!$A$5:$A$2004,A145,Rebar_Schedule!$K$5:$K$2004),1)))</f>
        <v/>
      </c>
      <c r="BF145" s="33" t="str">
        <f aca="false">IF(A145="","",IF(BE145="","No rebar schedule yet",IF(ABS(BE145-N(BA145))/MAX(N(BA145),1)&gt;SG_Criteria!$B$55,"NOTE: register rebar differs from schedule by "&amp;TEXT(ABS(BE145-N(BA145))/MAX(N(BA145),1),"0%"),"OK")))</f>
        <v/>
      </c>
      <c r="BG145" s="33" t="str">
        <f aca="false">IF(D145="","",IF(LEN(IF(AND(Z145&lt;&gt;"",IFERROR(VALUE(MID(Z145,2,2)),0)&lt;SG_Criteria!$B$19),"FAIL: grade below C"&amp;SG_Criteria!$B$19&amp;". ","")&amp;IF(AND(AA145&lt;&gt;"",AA145&lt;SG_Criteria!$B$20),"FAIL: cover &lt; "&amp;SG_Criteria!$B$20&amp;" mm. ","")&amp;IF(AND(I145&lt;&gt;"",I145&lt;SG_Criteria!$B$39),"NOTE: min depth below PUB "&amp;SG_Criteria!$B$39&amp;" m. ","")&amp;IF(AND(LEFT(D145,8)="Standard",J145&gt;SG_Criteria!$B$42),"FAIL: PUB 001C covers manholes up to "&amp;SG_Criteria!$B$42&amp;" m deep only. ","")&amp;IF(AND(LEFT(D145,11)="Rectangular",K145&lt;SG_Criteria!$B$43),"NOTE: 004C is for sewers &gt;= "&amp;SG_Criteria!$B$43&amp;" dia. ","")&amp;IF(AND(LEFT(D145,7)="Precast",J145&lt;=SG_Criteria!$B$42),"NOTE: 006C is for manholes &gt; "&amp;SG_Criteria!$B$42&amp;" m deep. ","")&amp;IF(AND(K145&lt;&gt;"",K145&lt;SG_Criteria!$B$40,D145&lt;&gt;"Inspection Chamber"),"NOTE: public sewer min dia "&amp;SG_Criteria!$B$40&amp;" mm. ","")&amp;IF(AND(Y145&lt;&gt;"",Y145&lt;SG_Criteria!$B$44),"FAIL: uplift FOS below "&amp;SG_Criteria!$B$44&amp;". ",""))=0,"OK",IF(AND(Z145&lt;&gt;"",IFERROR(VALUE(MID(Z145,2,2)),0)&lt;SG_Criteria!$B$19),"FAIL: grade below C"&amp;SG_Criteria!$B$19&amp;". ","")&amp;IF(AND(AA145&lt;&gt;"",AA145&lt;SG_Criteria!$B$20),"FAIL: cover &lt; "&amp;SG_Criteria!$B$20&amp;" mm. ","")&amp;IF(AND(I145&lt;&gt;"",I145&lt;SG_Criteria!$B$39),"NOTE: min depth below PUB "&amp;SG_Criteria!$B$39&amp;" m. ","")&amp;IF(AND(LEFT(D145,8)="Standard",J145&gt;SG_Criteria!$B$42),"FAIL: PUB 001C covers manholes up to "&amp;SG_Criteria!$B$42&amp;" m deep only. ","")&amp;IF(AND(LEFT(D145,11)="Rectangular",K145&lt;SG_Criteria!$B$43),"NOTE: 004C is for sewers &gt;= "&amp;SG_Criteria!$B$43&amp;" dia. ","")&amp;IF(AND(LEFT(D145,7)="Precast",J145&lt;=SG_Criteria!$B$42),"NOTE: 006C is for manholes &gt; "&amp;SG_Criteria!$B$42&amp;" m deep. ","")&amp;IF(AND(K145&lt;&gt;"",K145&lt;SG_Criteria!$B$40,D145&lt;&gt;"Inspection Chamber"),"NOTE: public sewer min dia "&amp;SG_Criteria!$B$40&amp;" mm. ","")&amp;IF(AND(Y145&lt;&gt;"",Y145&lt;SG_Criteria!$B$44),"FAIL: uplift FOS below "&amp;SG_Criteria!$B$44&amp;". ","")))</f>
        <v/>
      </c>
      <c r="BH145" s="9"/>
      <c r="BI145" s="9"/>
      <c r="BJ145" s="9"/>
      <c r="BK145" s="10" t="str">
        <f aca="false">IF(BJ145="","",IFERROR(VLOOKUP(BJ145,Projects!$A$5:$D$504,2,0),"Ref not in Projects"))</f>
        <v/>
      </c>
      <c r="BL145" s="10" t="str">
        <f aca="false">IF(BJ145="","",IFERROR(VLOOKUP(BJ145,Projects!$A$5:$D$504,4,0),"Ref not in Projects"))</f>
        <v/>
      </c>
      <c r="BM145" s="9"/>
      <c r="BN145" s="9"/>
      <c r="BO145" s="9"/>
      <c r="BP145" s="40"/>
      <c r="BQ145" s="9"/>
      <c r="BR145" s="40"/>
      <c r="BS145" s="9"/>
      <c r="BT145" s="40"/>
      <c r="BU145" s="9"/>
      <c r="BV145" s="9"/>
      <c r="BW145" s="9"/>
      <c r="BX145" s="40"/>
      <c r="BY145" s="40"/>
      <c r="BZ145" s="36" t="str">
        <f aca="false">IF(BY145="","",EDATE(BY145,SG_Criteria!$B$54*12))</f>
        <v/>
      </c>
      <c r="CA145" s="33" t="str">
        <f aca="true">IF(A145="","",IF(BY145="","NOTE: not reviewed yet",IF(TODAY()&gt;BZ145,"NOTE: review overdue","OK")))</f>
        <v/>
      </c>
      <c r="CB145" s="37" t="str">
        <f aca="false">IF(A145="","",ROUND((IF(LEN(D145)&gt;0,1,0)+IF(LEN(E145)&gt;0,1,0)+IF(LEN(F145)&gt;0,1,0)+IF(LEN(G145)&gt;0,1,0)+IF(LEN(I145)&gt;0,1,0)+IF(LEN(J145)&gt;0,1,0)+IF(LEN(K145)&gt;0,1,0)+IF(LEN(L145)&gt;0,1,0)+IF(LEN(M145)&gt;0,1,0)+IF(LEN(N145)&gt;0,1,0)+IF(LEN(Z145)&gt;0,1,0)+IF(LEN(AA145)&gt;0,1,0)+IF(LEN(Y145)&gt;0,1,0)+IF(LEN(AE145)&gt;0,1,0)+IF(LEN(AG145)&gt;0,1,0)+IF(LEN(AZ145)&gt;0,1,0)+IF(LEN(AK145)&gt;0,1,0)+IF(LEN(AM145)&gt;0,1,0)+IF(LEN(AN145)&gt;0,1,0)+IF(LEN(AO145)&gt;0,1,0)+IF(LEN(AP145)&gt;0,1,0)+IF(LEN(AY145)&gt;0,1,0)+IF(LEN(BJ145)&gt;0,1,0)+IF(LEN(BW145)&gt;0,1,0))/24,2))</f>
        <v/>
      </c>
      <c r="CC145" s="10" t="str">
        <f aca="false">IF(D145="","",IF(AND(AN145="Approved",ISERROR(SEARCH("FAIL",BG145))),"Y","N"))</f>
        <v/>
      </c>
      <c r="CD145" s="10" t="str">
        <f aca="false">IF(D145="","",D145&amp;"|"&amp;J145&amp;"|"&amp;G145&amp;"|"&amp;CC145)</f>
        <v/>
      </c>
    </row>
    <row r="146" customFormat="false" ht="15" hidden="false" customHeight="false" outlineLevel="0" collapsed="false">
      <c r="A146" s="10" t="str">
        <f aca="false">IF(D146="","","MH-"&amp;IFERROR(VLOOKUP(D146,Lists!$AB$4:$AC$20,2,0),"??")&amp;"-"&amp;TEXT(G146,"0000")&amp;IF(F146="Circular","D","x"&amp;TEXT(H146,"0000"))&amp;"-D"&amp;TEXT(J146*1000,"0000")&amp;"-"&amp;IFERROR(VLOOKUP(E146,Lists!$AE$4:$AF$16,2,0),"??")&amp;"-"&amp;AM146)</f>
        <v/>
      </c>
      <c r="B146" s="10" t="str">
        <f aca="false">IF(D146="","",D146&amp;", "&amp;E146&amp;", "&amp;IF(F146="Circular",G146&amp;" dia",G146&amp;" x "&amp;H146)&amp;", depth "&amp;TEXT(I146,"0.0")&amp;"-"&amp;TEXT(J146,"0.0")&amp;" m, pipe up to "&amp;K146&amp;" dia")</f>
        <v/>
      </c>
      <c r="C146" s="9"/>
      <c r="D146" s="9"/>
      <c r="E146" s="9"/>
      <c r="F146" s="9"/>
      <c r="G146" s="38"/>
      <c r="H146" s="38"/>
      <c r="I146" s="42"/>
      <c r="J146" s="42"/>
      <c r="K146" s="38"/>
      <c r="L146" s="38"/>
      <c r="M146" s="38"/>
      <c r="N146" s="38"/>
      <c r="O146" s="9"/>
      <c r="P146" s="9"/>
      <c r="Q146" s="9"/>
      <c r="R146" s="9"/>
      <c r="S146" s="9"/>
      <c r="T146" s="9"/>
      <c r="U146" s="9"/>
      <c r="V146" s="42"/>
      <c r="W146" s="9"/>
      <c r="X146" s="9"/>
      <c r="Y146" s="39"/>
      <c r="Z146" s="9"/>
      <c r="AA146" s="38"/>
      <c r="AB146" s="9"/>
      <c r="AC146" s="9"/>
      <c r="AD146" s="9"/>
      <c r="AE146" s="9"/>
      <c r="AF146" s="9"/>
      <c r="AG146" s="9"/>
      <c r="AH146" s="38"/>
      <c r="AI146" s="9"/>
      <c r="AJ146" s="39"/>
      <c r="AK146" s="9"/>
      <c r="AL146" s="9"/>
      <c r="AM146" s="9"/>
      <c r="AN146" s="9"/>
      <c r="AO146" s="9"/>
      <c r="AP146" s="9"/>
      <c r="AQ146" s="9"/>
      <c r="AR146" s="10" t="str">
        <f aca="false">IF(A146="","",SG_Criteria!$B$6&amp;SG_Criteria!$B$10&amp;"\"&amp;A146&amp;"\")</f>
        <v/>
      </c>
      <c r="AS146" s="10" t="str">
        <f aca="false">IF(A146="","",A146&amp;"_CAD.dwg")</f>
        <v/>
      </c>
      <c r="AT146" s="10" t="str">
        <f aca="false">IF(A146="","",A146&amp;"_DWG.pdf")</f>
        <v/>
      </c>
      <c r="AU146" s="10" t="str">
        <f aca="false">IF(A146="","",IF(AQ146="Y",A146&amp;"_STAAD.std","n/a"))</f>
        <v/>
      </c>
      <c r="AV146" s="10" t="str">
        <f aca="false">IF(A146="","",A146&amp;"_CALC.xlsx")</f>
        <v/>
      </c>
      <c r="AW146" s="10" t="str">
        <f aca="false">IF(A146="","",A146&amp;"_CALC.pdf")</f>
        <v/>
      </c>
      <c r="AX146" s="9"/>
      <c r="AY146" s="9"/>
      <c r="AZ146" s="39"/>
      <c r="BA146" s="39"/>
      <c r="BB146" s="39"/>
      <c r="BC146" s="39"/>
      <c r="BD146" s="39"/>
      <c r="BE146" s="12" t="str">
        <f aca="false">IF(A146="","",IF(COUNTIF(Rebar_Schedule!$A$5:$A$2004,A146)=0,"",ROUND(SUMIF(Rebar_Schedule!$A$5:$A$2004,A146,Rebar_Schedule!$K$5:$K$2004),1)))</f>
        <v/>
      </c>
      <c r="BF146" s="33" t="str">
        <f aca="false">IF(A146="","",IF(BE146="","No rebar schedule yet",IF(ABS(BE146-N(BA146))/MAX(N(BA146),1)&gt;SG_Criteria!$B$55,"NOTE: register rebar differs from schedule by "&amp;TEXT(ABS(BE146-N(BA146))/MAX(N(BA146),1),"0%"),"OK")))</f>
        <v/>
      </c>
      <c r="BG146" s="33" t="str">
        <f aca="false">IF(D146="","",IF(LEN(IF(AND(Z146&lt;&gt;"",IFERROR(VALUE(MID(Z146,2,2)),0)&lt;SG_Criteria!$B$19),"FAIL: grade below C"&amp;SG_Criteria!$B$19&amp;". ","")&amp;IF(AND(AA146&lt;&gt;"",AA146&lt;SG_Criteria!$B$20),"FAIL: cover &lt; "&amp;SG_Criteria!$B$20&amp;" mm. ","")&amp;IF(AND(I146&lt;&gt;"",I146&lt;SG_Criteria!$B$39),"NOTE: min depth below PUB "&amp;SG_Criteria!$B$39&amp;" m. ","")&amp;IF(AND(LEFT(D146,8)="Standard",J146&gt;SG_Criteria!$B$42),"FAIL: PUB 001C covers manholes up to "&amp;SG_Criteria!$B$42&amp;" m deep only. ","")&amp;IF(AND(LEFT(D146,11)="Rectangular",K146&lt;SG_Criteria!$B$43),"NOTE: 004C is for sewers &gt;= "&amp;SG_Criteria!$B$43&amp;" dia. ","")&amp;IF(AND(LEFT(D146,7)="Precast",J146&lt;=SG_Criteria!$B$42),"NOTE: 006C is for manholes &gt; "&amp;SG_Criteria!$B$42&amp;" m deep. ","")&amp;IF(AND(K146&lt;&gt;"",K146&lt;SG_Criteria!$B$40,D146&lt;&gt;"Inspection Chamber"),"NOTE: public sewer min dia "&amp;SG_Criteria!$B$40&amp;" mm. ","")&amp;IF(AND(Y146&lt;&gt;"",Y146&lt;SG_Criteria!$B$44),"FAIL: uplift FOS below "&amp;SG_Criteria!$B$44&amp;". ",""))=0,"OK",IF(AND(Z146&lt;&gt;"",IFERROR(VALUE(MID(Z146,2,2)),0)&lt;SG_Criteria!$B$19),"FAIL: grade below C"&amp;SG_Criteria!$B$19&amp;". ","")&amp;IF(AND(AA146&lt;&gt;"",AA146&lt;SG_Criteria!$B$20),"FAIL: cover &lt; "&amp;SG_Criteria!$B$20&amp;" mm. ","")&amp;IF(AND(I146&lt;&gt;"",I146&lt;SG_Criteria!$B$39),"NOTE: min depth below PUB "&amp;SG_Criteria!$B$39&amp;" m. ","")&amp;IF(AND(LEFT(D146,8)="Standard",J146&gt;SG_Criteria!$B$42),"FAIL: PUB 001C covers manholes up to "&amp;SG_Criteria!$B$42&amp;" m deep only. ","")&amp;IF(AND(LEFT(D146,11)="Rectangular",K146&lt;SG_Criteria!$B$43),"NOTE: 004C is for sewers &gt;= "&amp;SG_Criteria!$B$43&amp;" dia. ","")&amp;IF(AND(LEFT(D146,7)="Precast",J146&lt;=SG_Criteria!$B$42),"NOTE: 006C is for manholes &gt; "&amp;SG_Criteria!$B$42&amp;" m deep. ","")&amp;IF(AND(K146&lt;&gt;"",K146&lt;SG_Criteria!$B$40,D146&lt;&gt;"Inspection Chamber"),"NOTE: public sewer min dia "&amp;SG_Criteria!$B$40&amp;" mm. ","")&amp;IF(AND(Y146&lt;&gt;"",Y146&lt;SG_Criteria!$B$44),"FAIL: uplift FOS below "&amp;SG_Criteria!$B$44&amp;". ","")))</f>
        <v/>
      </c>
      <c r="BH146" s="9"/>
      <c r="BI146" s="9"/>
      <c r="BJ146" s="9"/>
      <c r="BK146" s="10" t="str">
        <f aca="false">IF(BJ146="","",IFERROR(VLOOKUP(BJ146,Projects!$A$5:$D$504,2,0),"Ref not in Projects"))</f>
        <v/>
      </c>
      <c r="BL146" s="10" t="str">
        <f aca="false">IF(BJ146="","",IFERROR(VLOOKUP(BJ146,Projects!$A$5:$D$504,4,0),"Ref not in Projects"))</f>
        <v/>
      </c>
      <c r="BM146" s="9"/>
      <c r="BN146" s="9"/>
      <c r="BO146" s="9"/>
      <c r="BP146" s="40"/>
      <c r="BQ146" s="9"/>
      <c r="BR146" s="40"/>
      <c r="BS146" s="9"/>
      <c r="BT146" s="40"/>
      <c r="BU146" s="9"/>
      <c r="BV146" s="9"/>
      <c r="BW146" s="9"/>
      <c r="BX146" s="40"/>
      <c r="BY146" s="40"/>
      <c r="BZ146" s="36" t="str">
        <f aca="false">IF(BY146="","",EDATE(BY146,SG_Criteria!$B$54*12))</f>
        <v/>
      </c>
      <c r="CA146" s="33" t="str">
        <f aca="true">IF(A146="","",IF(BY146="","NOTE: not reviewed yet",IF(TODAY()&gt;BZ146,"NOTE: review overdue","OK")))</f>
        <v/>
      </c>
      <c r="CB146" s="37" t="str">
        <f aca="false">IF(A146="","",ROUND((IF(LEN(D146)&gt;0,1,0)+IF(LEN(E146)&gt;0,1,0)+IF(LEN(F146)&gt;0,1,0)+IF(LEN(G146)&gt;0,1,0)+IF(LEN(I146)&gt;0,1,0)+IF(LEN(J146)&gt;0,1,0)+IF(LEN(K146)&gt;0,1,0)+IF(LEN(L146)&gt;0,1,0)+IF(LEN(M146)&gt;0,1,0)+IF(LEN(N146)&gt;0,1,0)+IF(LEN(Z146)&gt;0,1,0)+IF(LEN(AA146)&gt;0,1,0)+IF(LEN(Y146)&gt;0,1,0)+IF(LEN(AE146)&gt;0,1,0)+IF(LEN(AG146)&gt;0,1,0)+IF(LEN(AZ146)&gt;0,1,0)+IF(LEN(AK146)&gt;0,1,0)+IF(LEN(AM146)&gt;0,1,0)+IF(LEN(AN146)&gt;0,1,0)+IF(LEN(AO146)&gt;0,1,0)+IF(LEN(AP146)&gt;0,1,0)+IF(LEN(AY146)&gt;0,1,0)+IF(LEN(BJ146)&gt;0,1,0)+IF(LEN(BW146)&gt;0,1,0))/24,2))</f>
        <v/>
      </c>
      <c r="CC146" s="10" t="str">
        <f aca="false">IF(D146="","",IF(AND(AN146="Approved",ISERROR(SEARCH("FAIL",BG146))),"Y","N"))</f>
        <v/>
      </c>
      <c r="CD146" s="10" t="str">
        <f aca="false">IF(D146="","",D146&amp;"|"&amp;J146&amp;"|"&amp;G146&amp;"|"&amp;CC146)</f>
        <v/>
      </c>
    </row>
    <row r="147" customFormat="false" ht="15" hidden="false" customHeight="false" outlineLevel="0" collapsed="false">
      <c r="A147" s="10" t="str">
        <f aca="false">IF(D147="","","MH-"&amp;IFERROR(VLOOKUP(D147,Lists!$AB$4:$AC$20,2,0),"??")&amp;"-"&amp;TEXT(G147,"0000")&amp;IF(F147="Circular","D","x"&amp;TEXT(H147,"0000"))&amp;"-D"&amp;TEXT(J147*1000,"0000")&amp;"-"&amp;IFERROR(VLOOKUP(E147,Lists!$AE$4:$AF$16,2,0),"??")&amp;"-"&amp;AM147)</f>
        <v/>
      </c>
      <c r="B147" s="10" t="str">
        <f aca="false">IF(D147="","",D147&amp;", "&amp;E147&amp;", "&amp;IF(F147="Circular",G147&amp;" dia",G147&amp;" x "&amp;H147)&amp;", depth "&amp;TEXT(I147,"0.0")&amp;"-"&amp;TEXT(J147,"0.0")&amp;" m, pipe up to "&amp;K147&amp;" dia")</f>
        <v/>
      </c>
      <c r="C147" s="9"/>
      <c r="D147" s="9"/>
      <c r="E147" s="9"/>
      <c r="F147" s="9"/>
      <c r="G147" s="38"/>
      <c r="H147" s="38"/>
      <c r="I147" s="42"/>
      <c r="J147" s="42"/>
      <c r="K147" s="38"/>
      <c r="L147" s="38"/>
      <c r="M147" s="38"/>
      <c r="N147" s="38"/>
      <c r="O147" s="9"/>
      <c r="P147" s="9"/>
      <c r="Q147" s="9"/>
      <c r="R147" s="9"/>
      <c r="S147" s="9"/>
      <c r="T147" s="9"/>
      <c r="U147" s="9"/>
      <c r="V147" s="42"/>
      <c r="W147" s="9"/>
      <c r="X147" s="9"/>
      <c r="Y147" s="39"/>
      <c r="Z147" s="9"/>
      <c r="AA147" s="38"/>
      <c r="AB147" s="9"/>
      <c r="AC147" s="9"/>
      <c r="AD147" s="9"/>
      <c r="AE147" s="9"/>
      <c r="AF147" s="9"/>
      <c r="AG147" s="9"/>
      <c r="AH147" s="38"/>
      <c r="AI147" s="9"/>
      <c r="AJ147" s="39"/>
      <c r="AK147" s="9"/>
      <c r="AL147" s="9"/>
      <c r="AM147" s="9"/>
      <c r="AN147" s="9"/>
      <c r="AO147" s="9"/>
      <c r="AP147" s="9"/>
      <c r="AQ147" s="9"/>
      <c r="AR147" s="10" t="str">
        <f aca="false">IF(A147="","",SG_Criteria!$B$6&amp;SG_Criteria!$B$10&amp;"\"&amp;A147&amp;"\")</f>
        <v/>
      </c>
      <c r="AS147" s="10" t="str">
        <f aca="false">IF(A147="","",A147&amp;"_CAD.dwg")</f>
        <v/>
      </c>
      <c r="AT147" s="10" t="str">
        <f aca="false">IF(A147="","",A147&amp;"_DWG.pdf")</f>
        <v/>
      </c>
      <c r="AU147" s="10" t="str">
        <f aca="false">IF(A147="","",IF(AQ147="Y",A147&amp;"_STAAD.std","n/a"))</f>
        <v/>
      </c>
      <c r="AV147" s="10" t="str">
        <f aca="false">IF(A147="","",A147&amp;"_CALC.xlsx")</f>
        <v/>
      </c>
      <c r="AW147" s="10" t="str">
        <f aca="false">IF(A147="","",A147&amp;"_CALC.pdf")</f>
        <v/>
      </c>
      <c r="AX147" s="9"/>
      <c r="AY147" s="9"/>
      <c r="AZ147" s="39"/>
      <c r="BA147" s="39"/>
      <c r="BB147" s="39"/>
      <c r="BC147" s="39"/>
      <c r="BD147" s="39"/>
      <c r="BE147" s="12" t="str">
        <f aca="false">IF(A147="","",IF(COUNTIF(Rebar_Schedule!$A$5:$A$2004,A147)=0,"",ROUND(SUMIF(Rebar_Schedule!$A$5:$A$2004,A147,Rebar_Schedule!$K$5:$K$2004),1)))</f>
        <v/>
      </c>
      <c r="BF147" s="33" t="str">
        <f aca="false">IF(A147="","",IF(BE147="","No rebar schedule yet",IF(ABS(BE147-N(BA147))/MAX(N(BA147),1)&gt;SG_Criteria!$B$55,"NOTE: register rebar differs from schedule by "&amp;TEXT(ABS(BE147-N(BA147))/MAX(N(BA147),1),"0%"),"OK")))</f>
        <v/>
      </c>
      <c r="BG147" s="33" t="str">
        <f aca="false">IF(D147="","",IF(LEN(IF(AND(Z147&lt;&gt;"",IFERROR(VALUE(MID(Z147,2,2)),0)&lt;SG_Criteria!$B$19),"FAIL: grade below C"&amp;SG_Criteria!$B$19&amp;". ","")&amp;IF(AND(AA147&lt;&gt;"",AA147&lt;SG_Criteria!$B$20),"FAIL: cover &lt; "&amp;SG_Criteria!$B$20&amp;" mm. ","")&amp;IF(AND(I147&lt;&gt;"",I147&lt;SG_Criteria!$B$39),"NOTE: min depth below PUB "&amp;SG_Criteria!$B$39&amp;" m. ","")&amp;IF(AND(LEFT(D147,8)="Standard",J147&gt;SG_Criteria!$B$42),"FAIL: PUB 001C covers manholes up to "&amp;SG_Criteria!$B$42&amp;" m deep only. ","")&amp;IF(AND(LEFT(D147,11)="Rectangular",K147&lt;SG_Criteria!$B$43),"NOTE: 004C is for sewers &gt;= "&amp;SG_Criteria!$B$43&amp;" dia. ","")&amp;IF(AND(LEFT(D147,7)="Precast",J147&lt;=SG_Criteria!$B$42),"NOTE: 006C is for manholes &gt; "&amp;SG_Criteria!$B$42&amp;" m deep. ","")&amp;IF(AND(K147&lt;&gt;"",K147&lt;SG_Criteria!$B$40,D147&lt;&gt;"Inspection Chamber"),"NOTE: public sewer min dia "&amp;SG_Criteria!$B$40&amp;" mm. ","")&amp;IF(AND(Y147&lt;&gt;"",Y147&lt;SG_Criteria!$B$44),"FAIL: uplift FOS below "&amp;SG_Criteria!$B$44&amp;". ",""))=0,"OK",IF(AND(Z147&lt;&gt;"",IFERROR(VALUE(MID(Z147,2,2)),0)&lt;SG_Criteria!$B$19),"FAIL: grade below C"&amp;SG_Criteria!$B$19&amp;". ","")&amp;IF(AND(AA147&lt;&gt;"",AA147&lt;SG_Criteria!$B$20),"FAIL: cover &lt; "&amp;SG_Criteria!$B$20&amp;" mm. ","")&amp;IF(AND(I147&lt;&gt;"",I147&lt;SG_Criteria!$B$39),"NOTE: min depth below PUB "&amp;SG_Criteria!$B$39&amp;" m. ","")&amp;IF(AND(LEFT(D147,8)="Standard",J147&gt;SG_Criteria!$B$42),"FAIL: PUB 001C covers manholes up to "&amp;SG_Criteria!$B$42&amp;" m deep only. ","")&amp;IF(AND(LEFT(D147,11)="Rectangular",K147&lt;SG_Criteria!$B$43),"NOTE: 004C is for sewers &gt;= "&amp;SG_Criteria!$B$43&amp;" dia. ","")&amp;IF(AND(LEFT(D147,7)="Precast",J147&lt;=SG_Criteria!$B$42),"NOTE: 006C is for manholes &gt; "&amp;SG_Criteria!$B$42&amp;" m deep. ","")&amp;IF(AND(K147&lt;&gt;"",K147&lt;SG_Criteria!$B$40,D147&lt;&gt;"Inspection Chamber"),"NOTE: public sewer min dia "&amp;SG_Criteria!$B$40&amp;" mm. ","")&amp;IF(AND(Y147&lt;&gt;"",Y147&lt;SG_Criteria!$B$44),"FAIL: uplift FOS below "&amp;SG_Criteria!$B$44&amp;". ","")))</f>
        <v/>
      </c>
      <c r="BH147" s="9"/>
      <c r="BI147" s="9"/>
      <c r="BJ147" s="9"/>
      <c r="BK147" s="10" t="str">
        <f aca="false">IF(BJ147="","",IFERROR(VLOOKUP(BJ147,Projects!$A$5:$D$504,2,0),"Ref not in Projects"))</f>
        <v/>
      </c>
      <c r="BL147" s="10" t="str">
        <f aca="false">IF(BJ147="","",IFERROR(VLOOKUP(BJ147,Projects!$A$5:$D$504,4,0),"Ref not in Projects"))</f>
        <v/>
      </c>
      <c r="BM147" s="9"/>
      <c r="BN147" s="9"/>
      <c r="BO147" s="9"/>
      <c r="BP147" s="40"/>
      <c r="BQ147" s="9"/>
      <c r="BR147" s="40"/>
      <c r="BS147" s="9"/>
      <c r="BT147" s="40"/>
      <c r="BU147" s="9"/>
      <c r="BV147" s="9"/>
      <c r="BW147" s="9"/>
      <c r="BX147" s="40"/>
      <c r="BY147" s="40"/>
      <c r="BZ147" s="36" t="str">
        <f aca="false">IF(BY147="","",EDATE(BY147,SG_Criteria!$B$54*12))</f>
        <v/>
      </c>
      <c r="CA147" s="33" t="str">
        <f aca="true">IF(A147="","",IF(BY147="","NOTE: not reviewed yet",IF(TODAY()&gt;BZ147,"NOTE: review overdue","OK")))</f>
        <v/>
      </c>
      <c r="CB147" s="37" t="str">
        <f aca="false">IF(A147="","",ROUND((IF(LEN(D147)&gt;0,1,0)+IF(LEN(E147)&gt;0,1,0)+IF(LEN(F147)&gt;0,1,0)+IF(LEN(G147)&gt;0,1,0)+IF(LEN(I147)&gt;0,1,0)+IF(LEN(J147)&gt;0,1,0)+IF(LEN(K147)&gt;0,1,0)+IF(LEN(L147)&gt;0,1,0)+IF(LEN(M147)&gt;0,1,0)+IF(LEN(N147)&gt;0,1,0)+IF(LEN(Z147)&gt;0,1,0)+IF(LEN(AA147)&gt;0,1,0)+IF(LEN(Y147)&gt;0,1,0)+IF(LEN(AE147)&gt;0,1,0)+IF(LEN(AG147)&gt;0,1,0)+IF(LEN(AZ147)&gt;0,1,0)+IF(LEN(AK147)&gt;0,1,0)+IF(LEN(AM147)&gt;0,1,0)+IF(LEN(AN147)&gt;0,1,0)+IF(LEN(AO147)&gt;0,1,0)+IF(LEN(AP147)&gt;0,1,0)+IF(LEN(AY147)&gt;0,1,0)+IF(LEN(BJ147)&gt;0,1,0)+IF(LEN(BW147)&gt;0,1,0))/24,2))</f>
        <v/>
      </c>
      <c r="CC147" s="10" t="str">
        <f aca="false">IF(D147="","",IF(AND(AN147="Approved",ISERROR(SEARCH("FAIL",BG147))),"Y","N"))</f>
        <v/>
      </c>
      <c r="CD147" s="10" t="str">
        <f aca="false">IF(D147="","",D147&amp;"|"&amp;J147&amp;"|"&amp;G147&amp;"|"&amp;CC147)</f>
        <v/>
      </c>
    </row>
    <row r="148" customFormat="false" ht="15" hidden="false" customHeight="false" outlineLevel="0" collapsed="false">
      <c r="A148" s="10" t="str">
        <f aca="false">IF(D148="","","MH-"&amp;IFERROR(VLOOKUP(D148,Lists!$AB$4:$AC$20,2,0),"??")&amp;"-"&amp;TEXT(G148,"0000")&amp;IF(F148="Circular","D","x"&amp;TEXT(H148,"0000"))&amp;"-D"&amp;TEXT(J148*1000,"0000")&amp;"-"&amp;IFERROR(VLOOKUP(E148,Lists!$AE$4:$AF$16,2,0),"??")&amp;"-"&amp;AM148)</f>
        <v/>
      </c>
      <c r="B148" s="10" t="str">
        <f aca="false">IF(D148="","",D148&amp;", "&amp;E148&amp;", "&amp;IF(F148="Circular",G148&amp;" dia",G148&amp;" x "&amp;H148)&amp;", depth "&amp;TEXT(I148,"0.0")&amp;"-"&amp;TEXT(J148,"0.0")&amp;" m, pipe up to "&amp;K148&amp;" dia")</f>
        <v/>
      </c>
      <c r="C148" s="9"/>
      <c r="D148" s="9"/>
      <c r="E148" s="9"/>
      <c r="F148" s="9"/>
      <c r="G148" s="38"/>
      <c r="H148" s="38"/>
      <c r="I148" s="42"/>
      <c r="J148" s="42"/>
      <c r="K148" s="38"/>
      <c r="L148" s="38"/>
      <c r="M148" s="38"/>
      <c r="N148" s="38"/>
      <c r="O148" s="9"/>
      <c r="P148" s="9"/>
      <c r="Q148" s="9"/>
      <c r="R148" s="9"/>
      <c r="S148" s="9"/>
      <c r="T148" s="9"/>
      <c r="U148" s="9"/>
      <c r="V148" s="42"/>
      <c r="W148" s="9"/>
      <c r="X148" s="9"/>
      <c r="Y148" s="39"/>
      <c r="Z148" s="9"/>
      <c r="AA148" s="38"/>
      <c r="AB148" s="9"/>
      <c r="AC148" s="9"/>
      <c r="AD148" s="9"/>
      <c r="AE148" s="9"/>
      <c r="AF148" s="9"/>
      <c r="AG148" s="9"/>
      <c r="AH148" s="38"/>
      <c r="AI148" s="9"/>
      <c r="AJ148" s="39"/>
      <c r="AK148" s="9"/>
      <c r="AL148" s="9"/>
      <c r="AM148" s="9"/>
      <c r="AN148" s="9"/>
      <c r="AO148" s="9"/>
      <c r="AP148" s="9"/>
      <c r="AQ148" s="9"/>
      <c r="AR148" s="10" t="str">
        <f aca="false">IF(A148="","",SG_Criteria!$B$6&amp;SG_Criteria!$B$10&amp;"\"&amp;A148&amp;"\")</f>
        <v/>
      </c>
      <c r="AS148" s="10" t="str">
        <f aca="false">IF(A148="","",A148&amp;"_CAD.dwg")</f>
        <v/>
      </c>
      <c r="AT148" s="10" t="str">
        <f aca="false">IF(A148="","",A148&amp;"_DWG.pdf")</f>
        <v/>
      </c>
      <c r="AU148" s="10" t="str">
        <f aca="false">IF(A148="","",IF(AQ148="Y",A148&amp;"_STAAD.std","n/a"))</f>
        <v/>
      </c>
      <c r="AV148" s="10" t="str">
        <f aca="false">IF(A148="","",A148&amp;"_CALC.xlsx")</f>
        <v/>
      </c>
      <c r="AW148" s="10" t="str">
        <f aca="false">IF(A148="","",A148&amp;"_CALC.pdf")</f>
        <v/>
      </c>
      <c r="AX148" s="9"/>
      <c r="AY148" s="9"/>
      <c r="AZ148" s="39"/>
      <c r="BA148" s="39"/>
      <c r="BB148" s="39"/>
      <c r="BC148" s="39"/>
      <c r="BD148" s="39"/>
      <c r="BE148" s="12" t="str">
        <f aca="false">IF(A148="","",IF(COUNTIF(Rebar_Schedule!$A$5:$A$2004,A148)=0,"",ROUND(SUMIF(Rebar_Schedule!$A$5:$A$2004,A148,Rebar_Schedule!$K$5:$K$2004),1)))</f>
        <v/>
      </c>
      <c r="BF148" s="33" t="str">
        <f aca="false">IF(A148="","",IF(BE148="","No rebar schedule yet",IF(ABS(BE148-N(BA148))/MAX(N(BA148),1)&gt;SG_Criteria!$B$55,"NOTE: register rebar differs from schedule by "&amp;TEXT(ABS(BE148-N(BA148))/MAX(N(BA148),1),"0%"),"OK")))</f>
        <v/>
      </c>
      <c r="BG148" s="33" t="str">
        <f aca="false">IF(D148="","",IF(LEN(IF(AND(Z148&lt;&gt;"",IFERROR(VALUE(MID(Z148,2,2)),0)&lt;SG_Criteria!$B$19),"FAIL: grade below C"&amp;SG_Criteria!$B$19&amp;". ","")&amp;IF(AND(AA148&lt;&gt;"",AA148&lt;SG_Criteria!$B$20),"FAIL: cover &lt; "&amp;SG_Criteria!$B$20&amp;" mm. ","")&amp;IF(AND(I148&lt;&gt;"",I148&lt;SG_Criteria!$B$39),"NOTE: min depth below PUB "&amp;SG_Criteria!$B$39&amp;" m. ","")&amp;IF(AND(LEFT(D148,8)="Standard",J148&gt;SG_Criteria!$B$42),"FAIL: PUB 001C covers manholes up to "&amp;SG_Criteria!$B$42&amp;" m deep only. ","")&amp;IF(AND(LEFT(D148,11)="Rectangular",K148&lt;SG_Criteria!$B$43),"NOTE: 004C is for sewers &gt;= "&amp;SG_Criteria!$B$43&amp;" dia. ","")&amp;IF(AND(LEFT(D148,7)="Precast",J148&lt;=SG_Criteria!$B$42),"NOTE: 006C is for manholes &gt; "&amp;SG_Criteria!$B$42&amp;" m deep. ","")&amp;IF(AND(K148&lt;&gt;"",K148&lt;SG_Criteria!$B$40,D148&lt;&gt;"Inspection Chamber"),"NOTE: public sewer min dia "&amp;SG_Criteria!$B$40&amp;" mm. ","")&amp;IF(AND(Y148&lt;&gt;"",Y148&lt;SG_Criteria!$B$44),"FAIL: uplift FOS below "&amp;SG_Criteria!$B$44&amp;". ",""))=0,"OK",IF(AND(Z148&lt;&gt;"",IFERROR(VALUE(MID(Z148,2,2)),0)&lt;SG_Criteria!$B$19),"FAIL: grade below C"&amp;SG_Criteria!$B$19&amp;". ","")&amp;IF(AND(AA148&lt;&gt;"",AA148&lt;SG_Criteria!$B$20),"FAIL: cover &lt; "&amp;SG_Criteria!$B$20&amp;" mm. ","")&amp;IF(AND(I148&lt;&gt;"",I148&lt;SG_Criteria!$B$39),"NOTE: min depth below PUB "&amp;SG_Criteria!$B$39&amp;" m. ","")&amp;IF(AND(LEFT(D148,8)="Standard",J148&gt;SG_Criteria!$B$42),"FAIL: PUB 001C covers manholes up to "&amp;SG_Criteria!$B$42&amp;" m deep only. ","")&amp;IF(AND(LEFT(D148,11)="Rectangular",K148&lt;SG_Criteria!$B$43),"NOTE: 004C is for sewers &gt;= "&amp;SG_Criteria!$B$43&amp;" dia. ","")&amp;IF(AND(LEFT(D148,7)="Precast",J148&lt;=SG_Criteria!$B$42),"NOTE: 006C is for manholes &gt; "&amp;SG_Criteria!$B$42&amp;" m deep. ","")&amp;IF(AND(K148&lt;&gt;"",K148&lt;SG_Criteria!$B$40,D148&lt;&gt;"Inspection Chamber"),"NOTE: public sewer min dia "&amp;SG_Criteria!$B$40&amp;" mm. ","")&amp;IF(AND(Y148&lt;&gt;"",Y148&lt;SG_Criteria!$B$44),"FAIL: uplift FOS below "&amp;SG_Criteria!$B$44&amp;". ","")))</f>
        <v/>
      </c>
      <c r="BH148" s="9"/>
      <c r="BI148" s="9"/>
      <c r="BJ148" s="9"/>
      <c r="BK148" s="10" t="str">
        <f aca="false">IF(BJ148="","",IFERROR(VLOOKUP(BJ148,Projects!$A$5:$D$504,2,0),"Ref not in Projects"))</f>
        <v/>
      </c>
      <c r="BL148" s="10" t="str">
        <f aca="false">IF(BJ148="","",IFERROR(VLOOKUP(BJ148,Projects!$A$5:$D$504,4,0),"Ref not in Projects"))</f>
        <v/>
      </c>
      <c r="BM148" s="9"/>
      <c r="BN148" s="9"/>
      <c r="BO148" s="9"/>
      <c r="BP148" s="40"/>
      <c r="BQ148" s="9"/>
      <c r="BR148" s="40"/>
      <c r="BS148" s="9"/>
      <c r="BT148" s="40"/>
      <c r="BU148" s="9"/>
      <c r="BV148" s="9"/>
      <c r="BW148" s="9"/>
      <c r="BX148" s="40"/>
      <c r="BY148" s="40"/>
      <c r="BZ148" s="36" t="str">
        <f aca="false">IF(BY148="","",EDATE(BY148,SG_Criteria!$B$54*12))</f>
        <v/>
      </c>
      <c r="CA148" s="33" t="str">
        <f aca="true">IF(A148="","",IF(BY148="","NOTE: not reviewed yet",IF(TODAY()&gt;BZ148,"NOTE: review overdue","OK")))</f>
        <v/>
      </c>
      <c r="CB148" s="37" t="str">
        <f aca="false">IF(A148="","",ROUND((IF(LEN(D148)&gt;0,1,0)+IF(LEN(E148)&gt;0,1,0)+IF(LEN(F148)&gt;0,1,0)+IF(LEN(G148)&gt;0,1,0)+IF(LEN(I148)&gt;0,1,0)+IF(LEN(J148)&gt;0,1,0)+IF(LEN(K148)&gt;0,1,0)+IF(LEN(L148)&gt;0,1,0)+IF(LEN(M148)&gt;0,1,0)+IF(LEN(N148)&gt;0,1,0)+IF(LEN(Z148)&gt;0,1,0)+IF(LEN(AA148)&gt;0,1,0)+IF(LEN(Y148)&gt;0,1,0)+IF(LEN(AE148)&gt;0,1,0)+IF(LEN(AG148)&gt;0,1,0)+IF(LEN(AZ148)&gt;0,1,0)+IF(LEN(AK148)&gt;0,1,0)+IF(LEN(AM148)&gt;0,1,0)+IF(LEN(AN148)&gt;0,1,0)+IF(LEN(AO148)&gt;0,1,0)+IF(LEN(AP148)&gt;0,1,0)+IF(LEN(AY148)&gt;0,1,0)+IF(LEN(BJ148)&gt;0,1,0)+IF(LEN(BW148)&gt;0,1,0))/24,2))</f>
        <v/>
      </c>
      <c r="CC148" s="10" t="str">
        <f aca="false">IF(D148="","",IF(AND(AN148="Approved",ISERROR(SEARCH("FAIL",BG148))),"Y","N"))</f>
        <v/>
      </c>
      <c r="CD148" s="10" t="str">
        <f aca="false">IF(D148="","",D148&amp;"|"&amp;J148&amp;"|"&amp;G148&amp;"|"&amp;CC148)</f>
        <v/>
      </c>
    </row>
    <row r="149" customFormat="false" ht="15" hidden="false" customHeight="false" outlineLevel="0" collapsed="false">
      <c r="A149" s="10" t="str">
        <f aca="false">IF(D149="","","MH-"&amp;IFERROR(VLOOKUP(D149,Lists!$AB$4:$AC$20,2,0),"??")&amp;"-"&amp;TEXT(G149,"0000")&amp;IF(F149="Circular","D","x"&amp;TEXT(H149,"0000"))&amp;"-D"&amp;TEXT(J149*1000,"0000")&amp;"-"&amp;IFERROR(VLOOKUP(E149,Lists!$AE$4:$AF$16,2,0),"??")&amp;"-"&amp;AM149)</f>
        <v/>
      </c>
      <c r="B149" s="10" t="str">
        <f aca="false">IF(D149="","",D149&amp;", "&amp;E149&amp;", "&amp;IF(F149="Circular",G149&amp;" dia",G149&amp;" x "&amp;H149)&amp;", depth "&amp;TEXT(I149,"0.0")&amp;"-"&amp;TEXT(J149,"0.0")&amp;" m, pipe up to "&amp;K149&amp;" dia")</f>
        <v/>
      </c>
      <c r="C149" s="9"/>
      <c r="D149" s="9"/>
      <c r="E149" s="9"/>
      <c r="F149" s="9"/>
      <c r="G149" s="38"/>
      <c r="H149" s="38"/>
      <c r="I149" s="42"/>
      <c r="J149" s="42"/>
      <c r="K149" s="38"/>
      <c r="L149" s="38"/>
      <c r="M149" s="38"/>
      <c r="N149" s="38"/>
      <c r="O149" s="9"/>
      <c r="P149" s="9"/>
      <c r="Q149" s="9"/>
      <c r="R149" s="9"/>
      <c r="S149" s="9"/>
      <c r="T149" s="9"/>
      <c r="U149" s="9"/>
      <c r="V149" s="42"/>
      <c r="W149" s="9"/>
      <c r="X149" s="9"/>
      <c r="Y149" s="39"/>
      <c r="Z149" s="9"/>
      <c r="AA149" s="38"/>
      <c r="AB149" s="9"/>
      <c r="AC149" s="9"/>
      <c r="AD149" s="9"/>
      <c r="AE149" s="9"/>
      <c r="AF149" s="9"/>
      <c r="AG149" s="9"/>
      <c r="AH149" s="38"/>
      <c r="AI149" s="9"/>
      <c r="AJ149" s="39"/>
      <c r="AK149" s="9"/>
      <c r="AL149" s="9"/>
      <c r="AM149" s="9"/>
      <c r="AN149" s="9"/>
      <c r="AO149" s="9"/>
      <c r="AP149" s="9"/>
      <c r="AQ149" s="9"/>
      <c r="AR149" s="10" t="str">
        <f aca="false">IF(A149="","",SG_Criteria!$B$6&amp;SG_Criteria!$B$10&amp;"\"&amp;A149&amp;"\")</f>
        <v/>
      </c>
      <c r="AS149" s="10" t="str">
        <f aca="false">IF(A149="","",A149&amp;"_CAD.dwg")</f>
        <v/>
      </c>
      <c r="AT149" s="10" t="str">
        <f aca="false">IF(A149="","",A149&amp;"_DWG.pdf")</f>
        <v/>
      </c>
      <c r="AU149" s="10" t="str">
        <f aca="false">IF(A149="","",IF(AQ149="Y",A149&amp;"_STAAD.std","n/a"))</f>
        <v/>
      </c>
      <c r="AV149" s="10" t="str">
        <f aca="false">IF(A149="","",A149&amp;"_CALC.xlsx")</f>
        <v/>
      </c>
      <c r="AW149" s="10" t="str">
        <f aca="false">IF(A149="","",A149&amp;"_CALC.pdf")</f>
        <v/>
      </c>
      <c r="AX149" s="9"/>
      <c r="AY149" s="9"/>
      <c r="AZ149" s="39"/>
      <c r="BA149" s="39"/>
      <c r="BB149" s="39"/>
      <c r="BC149" s="39"/>
      <c r="BD149" s="39"/>
      <c r="BE149" s="12" t="str">
        <f aca="false">IF(A149="","",IF(COUNTIF(Rebar_Schedule!$A$5:$A$2004,A149)=0,"",ROUND(SUMIF(Rebar_Schedule!$A$5:$A$2004,A149,Rebar_Schedule!$K$5:$K$2004),1)))</f>
        <v/>
      </c>
      <c r="BF149" s="33" t="str">
        <f aca="false">IF(A149="","",IF(BE149="","No rebar schedule yet",IF(ABS(BE149-N(BA149))/MAX(N(BA149),1)&gt;SG_Criteria!$B$55,"NOTE: register rebar differs from schedule by "&amp;TEXT(ABS(BE149-N(BA149))/MAX(N(BA149),1),"0%"),"OK")))</f>
        <v/>
      </c>
      <c r="BG149" s="33" t="str">
        <f aca="false">IF(D149="","",IF(LEN(IF(AND(Z149&lt;&gt;"",IFERROR(VALUE(MID(Z149,2,2)),0)&lt;SG_Criteria!$B$19),"FAIL: grade below C"&amp;SG_Criteria!$B$19&amp;". ","")&amp;IF(AND(AA149&lt;&gt;"",AA149&lt;SG_Criteria!$B$20),"FAIL: cover &lt; "&amp;SG_Criteria!$B$20&amp;" mm. ","")&amp;IF(AND(I149&lt;&gt;"",I149&lt;SG_Criteria!$B$39),"NOTE: min depth below PUB "&amp;SG_Criteria!$B$39&amp;" m. ","")&amp;IF(AND(LEFT(D149,8)="Standard",J149&gt;SG_Criteria!$B$42),"FAIL: PUB 001C covers manholes up to "&amp;SG_Criteria!$B$42&amp;" m deep only. ","")&amp;IF(AND(LEFT(D149,11)="Rectangular",K149&lt;SG_Criteria!$B$43),"NOTE: 004C is for sewers &gt;= "&amp;SG_Criteria!$B$43&amp;" dia. ","")&amp;IF(AND(LEFT(D149,7)="Precast",J149&lt;=SG_Criteria!$B$42),"NOTE: 006C is for manholes &gt; "&amp;SG_Criteria!$B$42&amp;" m deep. ","")&amp;IF(AND(K149&lt;&gt;"",K149&lt;SG_Criteria!$B$40,D149&lt;&gt;"Inspection Chamber"),"NOTE: public sewer min dia "&amp;SG_Criteria!$B$40&amp;" mm. ","")&amp;IF(AND(Y149&lt;&gt;"",Y149&lt;SG_Criteria!$B$44),"FAIL: uplift FOS below "&amp;SG_Criteria!$B$44&amp;". ",""))=0,"OK",IF(AND(Z149&lt;&gt;"",IFERROR(VALUE(MID(Z149,2,2)),0)&lt;SG_Criteria!$B$19),"FAIL: grade below C"&amp;SG_Criteria!$B$19&amp;". ","")&amp;IF(AND(AA149&lt;&gt;"",AA149&lt;SG_Criteria!$B$20),"FAIL: cover &lt; "&amp;SG_Criteria!$B$20&amp;" mm. ","")&amp;IF(AND(I149&lt;&gt;"",I149&lt;SG_Criteria!$B$39),"NOTE: min depth below PUB "&amp;SG_Criteria!$B$39&amp;" m. ","")&amp;IF(AND(LEFT(D149,8)="Standard",J149&gt;SG_Criteria!$B$42),"FAIL: PUB 001C covers manholes up to "&amp;SG_Criteria!$B$42&amp;" m deep only. ","")&amp;IF(AND(LEFT(D149,11)="Rectangular",K149&lt;SG_Criteria!$B$43),"NOTE: 004C is for sewers &gt;= "&amp;SG_Criteria!$B$43&amp;" dia. ","")&amp;IF(AND(LEFT(D149,7)="Precast",J149&lt;=SG_Criteria!$B$42),"NOTE: 006C is for manholes &gt; "&amp;SG_Criteria!$B$42&amp;" m deep. ","")&amp;IF(AND(K149&lt;&gt;"",K149&lt;SG_Criteria!$B$40,D149&lt;&gt;"Inspection Chamber"),"NOTE: public sewer min dia "&amp;SG_Criteria!$B$40&amp;" mm. ","")&amp;IF(AND(Y149&lt;&gt;"",Y149&lt;SG_Criteria!$B$44),"FAIL: uplift FOS below "&amp;SG_Criteria!$B$44&amp;". ","")))</f>
        <v/>
      </c>
      <c r="BH149" s="9"/>
      <c r="BI149" s="9"/>
      <c r="BJ149" s="9"/>
      <c r="BK149" s="10" t="str">
        <f aca="false">IF(BJ149="","",IFERROR(VLOOKUP(BJ149,Projects!$A$5:$D$504,2,0),"Ref not in Projects"))</f>
        <v/>
      </c>
      <c r="BL149" s="10" t="str">
        <f aca="false">IF(BJ149="","",IFERROR(VLOOKUP(BJ149,Projects!$A$5:$D$504,4,0),"Ref not in Projects"))</f>
        <v/>
      </c>
      <c r="BM149" s="9"/>
      <c r="BN149" s="9"/>
      <c r="BO149" s="9"/>
      <c r="BP149" s="40"/>
      <c r="BQ149" s="9"/>
      <c r="BR149" s="40"/>
      <c r="BS149" s="9"/>
      <c r="BT149" s="40"/>
      <c r="BU149" s="9"/>
      <c r="BV149" s="9"/>
      <c r="BW149" s="9"/>
      <c r="BX149" s="40"/>
      <c r="BY149" s="40"/>
      <c r="BZ149" s="36" t="str">
        <f aca="false">IF(BY149="","",EDATE(BY149,SG_Criteria!$B$54*12))</f>
        <v/>
      </c>
      <c r="CA149" s="33" t="str">
        <f aca="true">IF(A149="","",IF(BY149="","NOTE: not reviewed yet",IF(TODAY()&gt;BZ149,"NOTE: review overdue","OK")))</f>
        <v/>
      </c>
      <c r="CB149" s="37" t="str">
        <f aca="false">IF(A149="","",ROUND((IF(LEN(D149)&gt;0,1,0)+IF(LEN(E149)&gt;0,1,0)+IF(LEN(F149)&gt;0,1,0)+IF(LEN(G149)&gt;0,1,0)+IF(LEN(I149)&gt;0,1,0)+IF(LEN(J149)&gt;0,1,0)+IF(LEN(K149)&gt;0,1,0)+IF(LEN(L149)&gt;0,1,0)+IF(LEN(M149)&gt;0,1,0)+IF(LEN(N149)&gt;0,1,0)+IF(LEN(Z149)&gt;0,1,0)+IF(LEN(AA149)&gt;0,1,0)+IF(LEN(Y149)&gt;0,1,0)+IF(LEN(AE149)&gt;0,1,0)+IF(LEN(AG149)&gt;0,1,0)+IF(LEN(AZ149)&gt;0,1,0)+IF(LEN(AK149)&gt;0,1,0)+IF(LEN(AM149)&gt;0,1,0)+IF(LEN(AN149)&gt;0,1,0)+IF(LEN(AO149)&gt;0,1,0)+IF(LEN(AP149)&gt;0,1,0)+IF(LEN(AY149)&gt;0,1,0)+IF(LEN(BJ149)&gt;0,1,0)+IF(LEN(BW149)&gt;0,1,0))/24,2))</f>
        <v/>
      </c>
      <c r="CC149" s="10" t="str">
        <f aca="false">IF(D149="","",IF(AND(AN149="Approved",ISERROR(SEARCH("FAIL",BG149))),"Y","N"))</f>
        <v/>
      </c>
      <c r="CD149" s="10" t="str">
        <f aca="false">IF(D149="","",D149&amp;"|"&amp;J149&amp;"|"&amp;G149&amp;"|"&amp;CC149)</f>
        <v/>
      </c>
    </row>
    <row r="150" customFormat="false" ht="15" hidden="false" customHeight="false" outlineLevel="0" collapsed="false">
      <c r="A150" s="10" t="str">
        <f aca="false">IF(D150="","","MH-"&amp;IFERROR(VLOOKUP(D150,Lists!$AB$4:$AC$20,2,0),"??")&amp;"-"&amp;TEXT(G150,"0000")&amp;IF(F150="Circular","D","x"&amp;TEXT(H150,"0000"))&amp;"-D"&amp;TEXT(J150*1000,"0000")&amp;"-"&amp;IFERROR(VLOOKUP(E150,Lists!$AE$4:$AF$16,2,0),"??")&amp;"-"&amp;AM150)</f>
        <v/>
      </c>
      <c r="B150" s="10" t="str">
        <f aca="false">IF(D150="","",D150&amp;", "&amp;E150&amp;", "&amp;IF(F150="Circular",G150&amp;" dia",G150&amp;" x "&amp;H150)&amp;", depth "&amp;TEXT(I150,"0.0")&amp;"-"&amp;TEXT(J150,"0.0")&amp;" m, pipe up to "&amp;K150&amp;" dia")</f>
        <v/>
      </c>
      <c r="C150" s="9"/>
      <c r="D150" s="9"/>
      <c r="E150" s="9"/>
      <c r="F150" s="9"/>
      <c r="G150" s="38"/>
      <c r="H150" s="38"/>
      <c r="I150" s="42"/>
      <c r="J150" s="42"/>
      <c r="K150" s="38"/>
      <c r="L150" s="38"/>
      <c r="M150" s="38"/>
      <c r="N150" s="38"/>
      <c r="O150" s="9"/>
      <c r="P150" s="9"/>
      <c r="Q150" s="9"/>
      <c r="R150" s="9"/>
      <c r="S150" s="9"/>
      <c r="T150" s="9"/>
      <c r="U150" s="9"/>
      <c r="V150" s="42"/>
      <c r="W150" s="9"/>
      <c r="X150" s="9"/>
      <c r="Y150" s="39"/>
      <c r="Z150" s="9"/>
      <c r="AA150" s="38"/>
      <c r="AB150" s="9"/>
      <c r="AC150" s="9"/>
      <c r="AD150" s="9"/>
      <c r="AE150" s="9"/>
      <c r="AF150" s="9"/>
      <c r="AG150" s="9"/>
      <c r="AH150" s="38"/>
      <c r="AI150" s="9"/>
      <c r="AJ150" s="39"/>
      <c r="AK150" s="9"/>
      <c r="AL150" s="9"/>
      <c r="AM150" s="9"/>
      <c r="AN150" s="9"/>
      <c r="AO150" s="9"/>
      <c r="AP150" s="9"/>
      <c r="AQ150" s="9"/>
      <c r="AR150" s="10" t="str">
        <f aca="false">IF(A150="","",SG_Criteria!$B$6&amp;SG_Criteria!$B$10&amp;"\"&amp;A150&amp;"\")</f>
        <v/>
      </c>
      <c r="AS150" s="10" t="str">
        <f aca="false">IF(A150="","",A150&amp;"_CAD.dwg")</f>
        <v/>
      </c>
      <c r="AT150" s="10" t="str">
        <f aca="false">IF(A150="","",A150&amp;"_DWG.pdf")</f>
        <v/>
      </c>
      <c r="AU150" s="10" t="str">
        <f aca="false">IF(A150="","",IF(AQ150="Y",A150&amp;"_STAAD.std","n/a"))</f>
        <v/>
      </c>
      <c r="AV150" s="10" t="str">
        <f aca="false">IF(A150="","",A150&amp;"_CALC.xlsx")</f>
        <v/>
      </c>
      <c r="AW150" s="10" t="str">
        <f aca="false">IF(A150="","",A150&amp;"_CALC.pdf")</f>
        <v/>
      </c>
      <c r="AX150" s="9"/>
      <c r="AY150" s="9"/>
      <c r="AZ150" s="39"/>
      <c r="BA150" s="39"/>
      <c r="BB150" s="39"/>
      <c r="BC150" s="39"/>
      <c r="BD150" s="39"/>
      <c r="BE150" s="12" t="str">
        <f aca="false">IF(A150="","",IF(COUNTIF(Rebar_Schedule!$A$5:$A$2004,A150)=0,"",ROUND(SUMIF(Rebar_Schedule!$A$5:$A$2004,A150,Rebar_Schedule!$K$5:$K$2004),1)))</f>
        <v/>
      </c>
      <c r="BF150" s="33" t="str">
        <f aca="false">IF(A150="","",IF(BE150="","No rebar schedule yet",IF(ABS(BE150-N(BA150))/MAX(N(BA150),1)&gt;SG_Criteria!$B$55,"NOTE: register rebar differs from schedule by "&amp;TEXT(ABS(BE150-N(BA150))/MAX(N(BA150),1),"0%"),"OK")))</f>
        <v/>
      </c>
      <c r="BG150" s="33" t="str">
        <f aca="false">IF(D150="","",IF(LEN(IF(AND(Z150&lt;&gt;"",IFERROR(VALUE(MID(Z150,2,2)),0)&lt;SG_Criteria!$B$19),"FAIL: grade below C"&amp;SG_Criteria!$B$19&amp;". ","")&amp;IF(AND(AA150&lt;&gt;"",AA150&lt;SG_Criteria!$B$20),"FAIL: cover &lt; "&amp;SG_Criteria!$B$20&amp;" mm. ","")&amp;IF(AND(I150&lt;&gt;"",I150&lt;SG_Criteria!$B$39),"NOTE: min depth below PUB "&amp;SG_Criteria!$B$39&amp;" m. ","")&amp;IF(AND(LEFT(D150,8)="Standard",J150&gt;SG_Criteria!$B$42),"FAIL: PUB 001C covers manholes up to "&amp;SG_Criteria!$B$42&amp;" m deep only. ","")&amp;IF(AND(LEFT(D150,11)="Rectangular",K150&lt;SG_Criteria!$B$43),"NOTE: 004C is for sewers &gt;= "&amp;SG_Criteria!$B$43&amp;" dia. ","")&amp;IF(AND(LEFT(D150,7)="Precast",J150&lt;=SG_Criteria!$B$42),"NOTE: 006C is for manholes &gt; "&amp;SG_Criteria!$B$42&amp;" m deep. ","")&amp;IF(AND(K150&lt;&gt;"",K150&lt;SG_Criteria!$B$40,D150&lt;&gt;"Inspection Chamber"),"NOTE: public sewer min dia "&amp;SG_Criteria!$B$40&amp;" mm. ","")&amp;IF(AND(Y150&lt;&gt;"",Y150&lt;SG_Criteria!$B$44),"FAIL: uplift FOS below "&amp;SG_Criteria!$B$44&amp;". ",""))=0,"OK",IF(AND(Z150&lt;&gt;"",IFERROR(VALUE(MID(Z150,2,2)),0)&lt;SG_Criteria!$B$19),"FAIL: grade below C"&amp;SG_Criteria!$B$19&amp;". ","")&amp;IF(AND(AA150&lt;&gt;"",AA150&lt;SG_Criteria!$B$20),"FAIL: cover &lt; "&amp;SG_Criteria!$B$20&amp;" mm. ","")&amp;IF(AND(I150&lt;&gt;"",I150&lt;SG_Criteria!$B$39),"NOTE: min depth below PUB "&amp;SG_Criteria!$B$39&amp;" m. ","")&amp;IF(AND(LEFT(D150,8)="Standard",J150&gt;SG_Criteria!$B$42),"FAIL: PUB 001C covers manholes up to "&amp;SG_Criteria!$B$42&amp;" m deep only. ","")&amp;IF(AND(LEFT(D150,11)="Rectangular",K150&lt;SG_Criteria!$B$43),"NOTE: 004C is for sewers &gt;= "&amp;SG_Criteria!$B$43&amp;" dia. ","")&amp;IF(AND(LEFT(D150,7)="Precast",J150&lt;=SG_Criteria!$B$42),"NOTE: 006C is for manholes &gt; "&amp;SG_Criteria!$B$42&amp;" m deep. ","")&amp;IF(AND(K150&lt;&gt;"",K150&lt;SG_Criteria!$B$40,D150&lt;&gt;"Inspection Chamber"),"NOTE: public sewer min dia "&amp;SG_Criteria!$B$40&amp;" mm. ","")&amp;IF(AND(Y150&lt;&gt;"",Y150&lt;SG_Criteria!$B$44),"FAIL: uplift FOS below "&amp;SG_Criteria!$B$44&amp;". ","")))</f>
        <v/>
      </c>
      <c r="BH150" s="9"/>
      <c r="BI150" s="9"/>
      <c r="BJ150" s="9"/>
      <c r="BK150" s="10" t="str">
        <f aca="false">IF(BJ150="","",IFERROR(VLOOKUP(BJ150,Projects!$A$5:$D$504,2,0),"Ref not in Projects"))</f>
        <v/>
      </c>
      <c r="BL150" s="10" t="str">
        <f aca="false">IF(BJ150="","",IFERROR(VLOOKUP(BJ150,Projects!$A$5:$D$504,4,0),"Ref not in Projects"))</f>
        <v/>
      </c>
      <c r="BM150" s="9"/>
      <c r="BN150" s="9"/>
      <c r="BO150" s="9"/>
      <c r="BP150" s="40"/>
      <c r="BQ150" s="9"/>
      <c r="BR150" s="40"/>
      <c r="BS150" s="9"/>
      <c r="BT150" s="40"/>
      <c r="BU150" s="9"/>
      <c r="BV150" s="9"/>
      <c r="BW150" s="9"/>
      <c r="BX150" s="40"/>
      <c r="BY150" s="40"/>
      <c r="BZ150" s="36" t="str">
        <f aca="false">IF(BY150="","",EDATE(BY150,SG_Criteria!$B$54*12))</f>
        <v/>
      </c>
      <c r="CA150" s="33" t="str">
        <f aca="true">IF(A150="","",IF(BY150="","NOTE: not reviewed yet",IF(TODAY()&gt;BZ150,"NOTE: review overdue","OK")))</f>
        <v/>
      </c>
      <c r="CB150" s="37" t="str">
        <f aca="false">IF(A150="","",ROUND((IF(LEN(D150)&gt;0,1,0)+IF(LEN(E150)&gt;0,1,0)+IF(LEN(F150)&gt;0,1,0)+IF(LEN(G150)&gt;0,1,0)+IF(LEN(I150)&gt;0,1,0)+IF(LEN(J150)&gt;0,1,0)+IF(LEN(K150)&gt;0,1,0)+IF(LEN(L150)&gt;0,1,0)+IF(LEN(M150)&gt;0,1,0)+IF(LEN(N150)&gt;0,1,0)+IF(LEN(Z150)&gt;0,1,0)+IF(LEN(AA150)&gt;0,1,0)+IF(LEN(Y150)&gt;0,1,0)+IF(LEN(AE150)&gt;0,1,0)+IF(LEN(AG150)&gt;0,1,0)+IF(LEN(AZ150)&gt;0,1,0)+IF(LEN(AK150)&gt;0,1,0)+IF(LEN(AM150)&gt;0,1,0)+IF(LEN(AN150)&gt;0,1,0)+IF(LEN(AO150)&gt;0,1,0)+IF(LEN(AP150)&gt;0,1,0)+IF(LEN(AY150)&gt;0,1,0)+IF(LEN(BJ150)&gt;0,1,0)+IF(LEN(BW150)&gt;0,1,0))/24,2))</f>
        <v/>
      </c>
      <c r="CC150" s="10" t="str">
        <f aca="false">IF(D150="","",IF(AND(AN150="Approved",ISERROR(SEARCH("FAIL",BG150))),"Y","N"))</f>
        <v/>
      </c>
      <c r="CD150" s="10" t="str">
        <f aca="false">IF(D150="","",D150&amp;"|"&amp;J150&amp;"|"&amp;G150&amp;"|"&amp;CC150)</f>
        <v/>
      </c>
    </row>
    <row r="151" customFormat="false" ht="15" hidden="false" customHeight="false" outlineLevel="0" collapsed="false">
      <c r="A151" s="10" t="str">
        <f aca="false">IF(D151="","","MH-"&amp;IFERROR(VLOOKUP(D151,Lists!$AB$4:$AC$20,2,0),"??")&amp;"-"&amp;TEXT(G151,"0000")&amp;IF(F151="Circular","D","x"&amp;TEXT(H151,"0000"))&amp;"-D"&amp;TEXT(J151*1000,"0000")&amp;"-"&amp;IFERROR(VLOOKUP(E151,Lists!$AE$4:$AF$16,2,0),"??")&amp;"-"&amp;AM151)</f>
        <v/>
      </c>
      <c r="B151" s="10" t="str">
        <f aca="false">IF(D151="","",D151&amp;", "&amp;E151&amp;", "&amp;IF(F151="Circular",G151&amp;" dia",G151&amp;" x "&amp;H151)&amp;", depth "&amp;TEXT(I151,"0.0")&amp;"-"&amp;TEXT(J151,"0.0")&amp;" m, pipe up to "&amp;K151&amp;" dia")</f>
        <v/>
      </c>
      <c r="C151" s="9"/>
      <c r="D151" s="9"/>
      <c r="E151" s="9"/>
      <c r="F151" s="9"/>
      <c r="G151" s="38"/>
      <c r="H151" s="38"/>
      <c r="I151" s="42"/>
      <c r="J151" s="42"/>
      <c r="K151" s="38"/>
      <c r="L151" s="38"/>
      <c r="M151" s="38"/>
      <c r="N151" s="38"/>
      <c r="O151" s="9"/>
      <c r="P151" s="9"/>
      <c r="Q151" s="9"/>
      <c r="R151" s="9"/>
      <c r="S151" s="9"/>
      <c r="T151" s="9"/>
      <c r="U151" s="9"/>
      <c r="V151" s="42"/>
      <c r="W151" s="9"/>
      <c r="X151" s="9"/>
      <c r="Y151" s="39"/>
      <c r="Z151" s="9"/>
      <c r="AA151" s="38"/>
      <c r="AB151" s="9"/>
      <c r="AC151" s="9"/>
      <c r="AD151" s="9"/>
      <c r="AE151" s="9"/>
      <c r="AF151" s="9"/>
      <c r="AG151" s="9"/>
      <c r="AH151" s="38"/>
      <c r="AI151" s="9"/>
      <c r="AJ151" s="39"/>
      <c r="AK151" s="9"/>
      <c r="AL151" s="9"/>
      <c r="AM151" s="9"/>
      <c r="AN151" s="9"/>
      <c r="AO151" s="9"/>
      <c r="AP151" s="9"/>
      <c r="AQ151" s="9"/>
      <c r="AR151" s="10" t="str">
        <f aca="false">IF(A151="","",SG_Criteria!$B$6&amp;SG_Criteria!$B$10&amp;"\"&amp;A151&amp;"\")</f>
        <v/>
      </c>
      <c r="AS151" s="10" t="str">
        <f aca="false">IF(A151="","",A151&amp;"_CAD.dwg")</f>
        <v/>
      </c>
      <c r="AT151" s="10" t="str">
        <f aca="false">IF(A151="","",A151&amp;"_DWG.pdf")</f>
        <v/>
      </c>
      <c r="AU151" s="10" t="str">
        <f aca="false">IF(A151="","",IF(AQ151="Y",A151&amp;"_STAAD.std","n/a"))</f>
        <v/>
      </c>
      <c r="AV151" s="10" t="str">
        <f aca="false">IF(A151="","",A151&amp;"_CALC.xlsx")</f>
        <v/>
      </c>
      <c r="AW151" s="10" t="str">
        <f aca="false">IF(A151="","",A151&amp;"_CALC.pdf")</f>
        <v/>
      </c>
      <c r="AX151" s="9"/>
      <c r="AY151" s="9"/>
      <c r="AZ151" s="39"/>
      <c r="BA151" s="39"/>
      <c r="BB151" s="39"/>
      <c r="BC151" s="39"/>
      <c r="BD151" s="39"/>
      <c r="BE151" s="12" t="str">
        <f aca="false">IF(A151="","",IF(COUNTIF(Rebar_Schedule!$A$5:$A$2004,A151)=0,"",ROUND(SUMIF(Rebar_Schedule!$A$5:$A$2004,A151,Rebar_Schedule!$K$5:$K$2004),1)))</f>
        <v/>
      </c>
      <c r="BF151" s="33" t="str">
        <f aca="false">IF(A151="","",IF(BE151="","No rebar schedule yet",IF(ABS(BE151-N(BA151))/MAX(N(BA151),1)&gt;SG_Criteria!$B$55,"NOTE: register rebar differs from schedule by "&amp;TEXT(ABS(BE151-N(BA151))/MAX(N(BA151),1),"0%"),"OK")))</f>
        <v/>
      </c>
      <c r="BG151" s="33" t="str">
        <f aca="false">IF(D151="","",IF(LEN(IF(AND(Z151&lt;&gt;"",IFERROR(VALUE(MID(Z151,2,2)),0)&lt;SG_Criteria!$B$19),"FAIL: grade below C"&amp;SG_Criteria!$B$19&amp;". ","")&amp;IF(AND(AA151&lt;&gt;"",AA151&lt;SG_Criteria!$B$20),"FAIL: cover &lt; "&amp;SG_Criteria!$B$20&amp;" mm. ","")&amp;IF(AND(I151&lt;&gt;"",I151&lt;SG_Criteria!$B$39),"NOTE: min depth below PUB "&amp;SG_Criteria!$B$39&amp;" m. ","")&amp;IF(AND(LEFT(D151,8)="Standard",J151&gt;SG_Criteria!$B$42),"FAIL: PUB 001C covers manholes up to "&amp;SG_Criteria!$B$42&amp;" m deep only. ","")&amp;IF(AND(LEFT(D151,11)="Rectangular",K151&lt;SG_Criteria!$B$43),"NOTE: 004C is for sewers &gt;= "&amp;SG_Criteria!$B$43&amp;" dia. ","")&amp;IF(AND(LEFT(D151,7)="Precast",J151&lt;=SG_Criteria!$B$42),"NOTE: 006C is for manholes &gt; "&amp;SG_Criteria!$B$42&amp;" m deep. ","")&amp;IF(AND(K151&lt;&gt;"",K151&lt;SG_Criteria!$B$40,D151&lt;&gt;"Inspection Chamber"),"NOTE: public sewer min dia "&amp;SG_Criteria!$B$40&amp;" mm. ","")&amp;IF(AND(Y151&lt;&gt;"",Y151&lt;SG_Criteria!$B$44),"FAIL: uplift FOS below "&amp;SG_Criteria!$B$44&amp;". ",""))=0,"OK",IF(AND(Z151&lt;&gt;"",IFERROR(VALUE(MID(Z151,2,2)),0)&lt;SG_Criteria!$B$19),"FAIL: grade below C"&amp;SG_Criteria!$B$19&amp;". ","")&amp;IF(AND(AA151&lt;&gt;"",AA151&lt;SG_Criteria!$B$20),"FAIL: cover &lt; "&amp;SG_Criteria!$B$20&amp;" mm. ","")&amp;IF(AND(I151&lt;&gt;"",I151&lt;SG_Criteria!$B$39),"NOTE: min depth below PUB "&amp;SG_Criteria!$B$39&amp;" m. ","")&amp;IF(AND(LEFT(D151,8)="Standard",J151&gt;SG_Criteria!$B$42),"FAIL: PUB 001C covers manholes up to "&amp;SG_Criteria!$B$42&amp;" m deep only. ","")&amp;IF(AND(LEFT(D151,11)="Rectangular",K151&lt;SG_Criteria!$B$43),"NOTE: 004C is for sewers &gt;= "&amp;SG_Criteria!$B$43&amp;" dia. ","")&amp;IF(AND(LEFT(D151,7)="Precast",J151&lt;=SG_Criteria!$B$42),"NOTE: 006C is for manholes &gt; "&amp;SG_Criteria!$B$42&amp;" m deep. ","")&amp;IF(AND(K151&lt;&gt;"",K151&lt;SG_Criteria!$B$40,D151&lt;&gt;"Inspection Chamber"),"NOTE: public sewer min dia "&amp;SG_Criteria!$B$40&amp;" mm. ","")&amp;IF(AND(Y151&lt;&gt;"",Y151&lt;SG_Criteria!$B$44),"FAIL: uplift FOS below "&amp;SG_Criteria!$B$44&amp;". ","")))</f>
        <v/>
      </c>
      <c r="BH151" s="9"/>
      <c r="BI151" s="9"/>
      <c r="BJ151" s="9"/>
      <c r="BK151" s="10" t="str">
        <f aca="false">IF(BJ151="","",IFERROR(VLOOKUP(BJ151,Projects!$A$5:$D$504,2,0),"Ref not in Projects"))</f>
        <v/>
      </c>
      <c r="BL151" s="10" t="str">
        <f aca="false">IF(BJ151="","",IFERROR(VLOOKUP(BJ151,Projects!$A$5:$D$504,4,0),"Ref not in Projects"))</f>
        <v/>
      </c>
      <c r="BM151" s="9"/>
      <c r="BN151" s="9"/>
      <c r="BO151" s="9"/>
      <c r="BP151" s="40"/>
      <c r="BQ151" s="9"/>
      <c r="BR151" s="40"/>
      <c r="BS151" s="9"/>
      <c r="BT151" s="40"/>
      <c r="BU151" s="9"/>
      <c r="BV151" s="9"/>
      <c r="BW151" s="9"/>
      <c r="BX151" s="40"/>
      <c r="BY151" s="40"/>
      <c r="BZ151" s="36" t="str">
        <f aca="false">IF(BY151="","",EDATE(BY151,SG_Criteria!$B$54*12))</f>
        <v/>
      </c>
      <c r="CA151" s="33" t="str">
        <f aca="true">IF(A151="","",IF(BY151="","NOTE: not reviewed yet",IF(TODAY()&gt;BZ151,"NOTE: review overdue","OK")))</f>
        <v/>
      </c>
      <c r="CB151" s="37" t="str">
        <f aca="false">IF(A151="","",ROUND((IF(LEN(D151)&gt;0,1,0)+IF(LEN(E151)&gt;0,1,0)+IF(LEN(F151)&gt;0,1,0)+IF(LEN(G151)&gt;0,1,0)+IF(LEN(I151)&gt;0,1,0)+IF(LEN(J151)&gt;0,1,0)+IF(LEN(K151)&gt;0,1,0)+IF(LEN(L151)&gt;0,1,0)+IF(LEN(M151)&gt;0,1,0)+IF(LEN(N151)&gt;0,1,0)+IF(LEN(Z151)&gt;0,1,0)+IF(LEN(AA151)&gt;0,1,0)+IF(LEN(Y151)&gt;0,1,0)+IF(LEN(AE151)&gt;0,1,0)+IF(LEN(AG151)&gt;0,1,0)+IF(LEN(AZ151)&gt;0,1,0)+IF(LEN(AK151)&gt;0,1,0)+IF(LEN(AM151)&gt;0,1,0)+IF(LEN(AN151)&gt;0,1,0)+IF(LEN(AO151)&gt;0,1,0)+IF(LEN(AP151)&gt;0,1,0)+IF(LEN(AY151)&gt;0,1,0)+IF(LEN(BJ151)&gt;0,1,0)+IF(LEN(BW151)&gt;0,1,0))/24,2))</f>
        <v/>
      </c>
      <c r="CC151" s="10" t="str">
        <f aca="false">IF(D151="","",IF(AND(AN151="Approved",ISERROR(SEARCH("FAIL",BG151))),"Y","N"))</f>
        <v/>
      </c>
      <c r="CD151" s="10" t="str">
        <f aca="false">IF(D151="","",D151&amp;"|"&amp;J151&amp;"|"&amp;G151&amp;"|"&amp;CC151)</f>
        <v/>
      </c>
    </row>
    <row r="152" customFormat="false" ht="15" hidden="false" customHeight="false" outlineLevel="0" collapsed="false">
      <c r="A152" s="10" t="str">
        <f aca="false">IF(D152="","","MH-"&amp;IFERROR(VLOOKUP(D152,Lists!$AB$4:$AC$20,2,0),"??")&amp;"-"&amp;TEXT(G152,"0000")&amp;IF(F152="Circular","D","x"&amp;TEXT(H152,"0000"))&amp;"-D"&amp;TEXT(J152*1000,"0000")&amp;"-"&amp;IFERROR(VLOOKUP(E152,Lists!$AE$4:$AF$16,2,0),"??")&amp;"-"&amp;AM152)</f>
        <v/>
      </c>
      <c r="B152" s="10" t="str">
        <f aca="false">IF(D152="","",D152&amp;", "&amp;E152&amp;", "&amp;IF(F152="Circular",G152&amp;" dia",G152&amp;" x "&amp;H152)&amp;", depth "&amp;TEXT(I152,"0.0")&amp;"-"&amp;TEXT(J152,"0.0")&amp;" m, pipe up to "&amp;K152&amp;" dia")</f>
        <v/>
      </c>
      <c r="C152" s="9"/>
      <c r="D152" s="9"/>
      <c r="E152" s="9"/>
      <c r="F152" s="9"/>
      <c r="G152" s="38"/>
      <c r="H152" s="38"/>
      <c r="I152" s="42"/>
      <c r="J152" s="42"/>
      <c r="K152" s="38"/>
      <c r="L152" s="38"/>
      <c r="M152" s="38"/>
      <c r="N152" s="38"/>
      <c r="O152" s="9"/>
      <c r="P152" s="9"/>
      <c r="Q152" s="9"/>
      <c r="R152" s="9"/>
      <c r="S152" s="9"/>
      <c r="T152" s="9"/>
      <c r="U152" s="9"/>
      <c r="V152" s="42"/>
      <c r="W152" s="9"/>
      <c r="X152" s="9"/>
      <c r="Y152" s="39"/>
      <c r="Z152" s="9"/>
      <c r="AA152" s="38"/>
      <c r="AB152" s="9"/>
      <c r="AC152" s="9"/>
      <c r="AD152" s="9"/>
      <c r="AE152" s="9"/>
      <c r="AF152" s="9"/>
      <c r="AG152" s="9"/>
      <c r="AH152" s="38"/>
      <c r="AI152" s="9"/>
      <c r="AJ152" s="39"/>
      <c r="AK152" s="9"/>
      <c r="AL152" s="9"/>
      <c r="AM152" s="9"/>
      <c r="AN152" s="9"/>
      <c r="AO152" s="9"/>
      <c r="AP152" s="9"/>
      <c r="AQ152" s="9"/>
      <c r="AR152" s="10" t="str">
        <f aca="false">IF(A152="","",SG_Criteria!$B$6&amp;SG_Criteria!$B$10&amp;"\"&amp;A152&amp;"\")</f>
        <v/>
      </c>
      <c r="AS152" s="10" t="str">
        <f aca="false">IF(A152="","",A152&amp;"_CAD.dwg")</f>
        <v/>
      </c>
      <c r="AT152" s="10" t="str">
        <f aca="false">IF(A152="","",A152&amp;"_DWG.pdf")</f>
        <v/>
      </c>
      <c r="AU152" s="10" t="str">
        <f aca="false">IF(A152="","",IF(AQ152="Y",A152&amp;"_STAAD.std","n/a"))</f>
        <v/>
      </c>
      <c r="AV152" s="10" t="str">
        <f aca="false">IF(A152="","",A152&amp;"_CALC.xlsx")</f>
        <v/>
      </c>
      <c r="AW152" s="10" t="str">
        <f aca="false">IF(A152="","",A152&amp;"_CALC.pdf")</f>
        <v/>
      </c>
      <c r="AX152" s="9"/>
      <c r="AY152" s="9"/>
      <c r="AZ152" s="39"/>
      <c r="BA152" s="39"/>
      <c r="BB152" s="39"/>
      <c r="BC152" s="39"/>
      <c r="BD152" s="39"/>
      <c r="BE152" s="12" t="str">
        <f aca="false">IF(A152="","",IF(COUNTIF(Rebar_Schedule!$A$5:$A$2004,A152)=0,"",ROUND(SUMIF(Rebar_Schedule!$A$5:$A$2004,A152,Rebar_Schedule!$K$5:$K$2004),1)))</f>
        <v/>
      </c>
      <c r="BF152" s="33" t="str">
        <f aca="false">IF(A152="","",IF(BE152="","No rebar schedule yet",IF(ABS(BE152-N(BA152))/MAX(N(BA152),1)&gt;SG_Criteria!$B$55,"NOTE: register rebar differs from schedule by "&amp;TEXT(ABS(BE152-N(BA152))/MAX(N(BA152),1),"0%"),"OK")))</f>
        <v/>
      </c>
      <c r="BG152" s="33" t="str">
        <f aca="false">IF(D152="","",IF(LEN(IF(AND(Z152&lt;&gt;"",IFERROR(VALUE(MID(Z152,2,2)),0)&lt;SG_Criteria!$B$19),"FAIL: grade below C"&amp;SG_Criteria!$B$19&amp;". ","")&amp;IF(AND(AA152&lt;&gt;"",AA152&lt;SG_Criteria!$B$20),"FAIL: cover &lt; "&amp;SG_Criteria!$B$20&amp;" mm. ","")&amp;IF(AND(I152&lt;&gt;"",I152&lt;SG_Criteria!$B$39),"NOTE: min depth below PUB "&amp;SG_Criteria!$B$39&amp;" m. ","")&amp;IF(AND(LEFT(D152,8)="Standard",J152&gt;SG_Criteria!$B$42),"FAIL: PUB 001C covers manholes up to "&amp;SG_Criteria!$B$42&amp;" m deep only. ","")&amp;IF(AND(LEFT(D152,11)="Rectangular",K152&lt;SG_Criteria!$B$43),"NOTE: 004C is for sewers &gt;= "&amp;SG_Criteria!$B$43&amp;" dia. ","")&amp;IF(AND(LEFT(D152,7)="Precast",J152&lt;=SG_Criteria!$B$42),"NOTE: 006C is for manholes &gt; "&amp;SG_Criteria!$B$42&amp;" m deep. ","")&amp;IF(AND(K152&lt;&gt;"",K152&lt;SG_Criteria!$B$40,D152&lt;&gt;"Inspection Chamber"),"NOTE: public sewer min dia "&amp;SG_Criteria!$B$40&amp;" mm. ","")&amp;IF(AND(Y152&lt;&gt;"",Y152&lt;SG_Criteria!$B$44),"FAIL: uplift FOS below "&amp;SG_Criteria!$B$44&amp;". ",""))=0,"OK",IF(AND(Z152&lt;&gt;"",IFERROR(VALUE(MID(Z152,2,2)),0)&lt;SG_Criteria!$B$19),"FAIL: grade below C"&amp;SG_Criteria!$B$19&amp;". ","")&amp;IF(AND(AA152&lt;&gt;"",AA152&lt;SG_Criteria!$B$20),"FAIL: cover &lt; "&amp;SG_Criteria!$B$20&amp;" mm. ","")&amp;IF(AND(I152&lt;&gt;"",I152&lt;SG_Criteria!$B$39),"NOTE: min depth below PUB "&amp;SG_Criteria!$B$39&amp;" m. ","")&amp;IF(AND(LEFT(D152,8)="Standard",J152&gt;SG_Criteria!$B$42),"FAIL: PUB 001C covers manholes up to "&amp;SG_Criteria!$B$42&amp;" m deep only. ","")&amp;IF(AND(LEFT(D152,11)="Rectangular",K152&lt;SG_Criteria!$B$43),"NOTE: 004C is for sewers &gt;= "&amp;SG_Criteria!$B$43&amp;" dia. ","")&amp;IF(AND(LEFT(D152,7)="Precast",J152&lt;=SG_Criteria!$B$42),"NOTE: 006C is for manholes &gt; "&amp;SG_Criteria!$B$42&amp;" m deep. ","")&amp;IF(AND(K152&lt;&gt;"",K152&lt;SG_Criteria!$B$40,D152&lt;&gt;"Inspection Chamber"),"NOTE: public sewer min dia "&amp;SG_Criteria!$B$40&amp;" mm. ","")&amp;IF(AND(Y152&lt;&gt;"",Y152&lt;SG_Criteria!$B$44),"FAIL: uplift FOS below "&amp;SG_Criteria!$B$44&amp;". ","")))</f>
        <v/>
      </c>
      <c r="BH152" s="9"/>
      <c r="BI152" s="9"/>
      <c r="BJ152" s="9"/>
      <c r="BK152" s="10" t="str">
        <f aca="false">IF(BJ152="","",IFERROR(VLOOKUP(BJ152,Projects!$A$5:$D$504,2,0),"Ref not in Projects"))</f>
        <v/>
      </c>
      <c r="BL152" s="10" t="str">
        <f aca="false">IF(BJ152="","",IFERROR(VLOOKUP(BJ152,Projects!$A$5:$D$504,4,0),"Ref not in Projects"))</f>
        <v/>
      </c>
      <c r="BM152" s="9"/>
      <c r="BN152" s="9"/>
      <c r="BO152" s="9"/>
      <c r="BP152" s="40"/>
      <c r="BQ152" s="9"/>
      <c r="BR152" s="40"/>
      <c r="BS152" s="9"/>
      <c r="BT152" s="40"/>
      <c r="BU152" s="9"/>
      <c r="BV152" s="9"/>
      <c r="BW152" s="9"/>
      <c r="BX152" s="40"/>
      <c r="BY152" s="40"/>
      <c r="BZ152" s="36" t="str">
        <f aca="false">IF(BY152="","",EDATE(BY152,SG_Criteria!$B$54*12))</f>
        <v/>
      </c>
      <c r="CA152" s="33" t="str">
        <f aca="true">IF(A152="","",IF(BY152="","NOTE: not reviewed yet",IF(TODAY()&gt;BZ152,"NOTE: review overdue","OK")))</f>
        <v/>
      </c>
      <c r="CB152" s="37" t="str">
        <f aca="false">IF(A152="","",ROUND((IF(LEN(D152)&gt;0,1,0)+IF(LEN(E152)&gt;0,1,0)+IF(LEN(F152)&gt;0,1,0)+IF(LEN(G152)&gt;0,1,0)+IF(LEN(I152)&gt;0,1,0)+IF(LEN(J152)&gt;0,1,0)+IF(LEN(K152)&gt;0,1,0)+IF(LEN(L152)&gt;0,1,0)+IF(LEN(M152)&gt;0,1,0)+IF(LEN(N152)&gt;0,1,0)+IF(LEN(Z152)&gt;0,1,0)+IF(LEN(AA152)&gt;0,1,0)+IF(LEN(Y152)&gt;0,1,0)+IF(LEN(AE152)&gt;0,1,0)+IF(LEN(AG152)&gt;0,1,0)+IF(LEN(AZ152)&gt;0,1,0)+IF(LEN(AK152)&gt;0,1,0)+IF(LEN(AM152)&gt;0,1,0)+IF(LEN(AN152)&gt;0,1,0)+IF(LEN(AO152)&gt;0,1,0)+IF(LEN(AP152)&gt;0,1,0)+IF(LEN(AY152)&gt;0,1,0)+IF(LEN(BJ152)&gt;0,1,0)+IF(LEN(BW152)&gt;0,1,0))/24,2))</f>
        <v/>
      </c>
      <c r="CC152" s="10" t="str">
        <f aca="false">IF(D152="","",IF(AND(AN152="Approved",ISERROR(SEARCH("FAIL",BG152))),"Y","N"))</f>
        <v/>
      </c>
      <c r="CD152" s="10" t="str">
        <f aca="false">IF(D152="","",D152&amp;"|"&amp;J152&amp;"|"&amp;G152&amp;"|"&amp;CC152)</f>
        <v/>
      </c>
    </row>
    <row r="153" customFormat="false" ht="15" hidden="false" customHeight="false" outlineLevel="0" collapsed="false">
      <c r="A153" s="10" t="str">
        <f aca="false">IF(D153="","","MH-"&amp;IFERROR(VLOOKUP(D153,Lists!$AB$4:$AC$20,2,0),"??")&amp;"-"&amp;TEXT(G153,"0000")&amp;IF(F153="Circular","D","x"&amp;TEXT(H153,"0000"))&amp;"-D"&amp;TEXT(J153*1000,"0000")&amp;"-"&amp;IFERROR(VLOOKUP(E153,Lists!$AE$4:$AF$16,2,0),"??")&amp;"-"&amp;AM153)</f>
        <v/>
      </c>
      <c r="B153" s="10" t="str">
        <f aca="false">IF(D153="","",D153&amp;", "&amp;E153&amp;", "&amp;IF(F153="Circular",G153&amp;" dia",G153&amp;" x "&amp;H153)&amp;", depth "&amp;TEXT(I153,"0.0")&amp;"-"&amp;TEXT(J153,"0.0")&amp;" m, pipe up to "&amp;K153&amp;" dia")</f>
        <v/>
      </c>
      <c r="C153" s="9"/>
      <c r="D153" s="9"/>
      <c r="E153" s="9"/>
      <c r="F153" s="9"/>
      <c r="G153" s="38"/>
      <c r="H153" s="38"/>
      <c r="I153" s="42"/>
      <c r="J153" s="42"/>
      <c r="K153" s="38"/>
      <c r="L153" s="38"/>
      <c r="M153" s="38"/>
      <c r="N153" s="38"/>
      <c r="O153" s="9"/>
      <c r="P153" s="9"/>
      <c r="Q153" s="9"/>
      <c r="R153" s="9"/>
      <c r="S153" s="9"/>
      <c r="T153" s="9"/>
      <c r="U153" s="9"/>
      <c r="V153" s="42"/>
      <c r="W153" s="9"/>
      <c r="X153" s="9"/>
      <c r="Y153" s="39"/>
      <c r="Z153" s="9"/>
      <c r="AA153" s="38"/>
      <c r="AB153" s="9"/>
      <c r="AC153" s="9"/>
      <c r="AD153" s="9"/>
      <c r="AE153" s="9"/>
      <c r="AF153" s="9"/>
      <c r="AG153" s="9"/>
      <c r="AH153" s="38"/>
      <c r="AI153" s="9"/>
      <c r="AJ153" s="39"/>
      <c r="AK153" s="9"/>
      <c r="AL153" s="9"/>
      <c r="AM153" s="9"/>
      <c r="AN153" s="9"/>
      <c r="AO153" s="9"/>
      <c r="AP153" s="9"/>
      <c r="AQ153" s="9"/>
      <c r="AR153" s="10" t="str">
        <f aca="false">IF(A153="","",SG_Criteria!$B$6&amp;SG_Criteria!$B$10&amp;"\"&amp;A153&amp;"\")</f>
        <v/>
      </c>
      <c r="AS153" s="10" t="str">
        <f aca="false">IF(A153="","",A153&amp;"_CAD.dwg")</f>
        <v/>
      </c>
      <c r="AT153" s="10" t="str">
        <f aca="false">IF(A153="","",A153&amp;"_DWG.pdf")</f>
        <v/>
      </c>
      <c r="AU153" s="10" t="str">
        <f aca="false">IF(A153="","",IF(AQ153="Y",A153&amp;"_STAAD.std","n/a"))</f>
        <v/>
      </c>
      <c r="AV153" s="10" t="str">
        <f aca="false">IF(A153="","",A153&amp;"_CALC.xlsx")</f>
        <v/>
      </c>
      <c r="AW153" s="10" t="str">
        <f aca="false">IF(A153="","",A153&amp;"_CALC.pdf")</f>
        <v/>
      </c>
      <c r="AX153" s="9"/>
      <c r="AY153" s="9"/>
      <c r="AZ153" s="39"/>
      <c r="BA153" s="39"/>
      <c r="BB153" s="39"/>
      <c r="BC153" s="39"/>
      <c r="BD153" s="39"/>
      <c r="BE153" s="12" t="str">
        <f aca="false">IF(A153="","",IF(COUNTIF(Rebar_Schedule!$A$5:$A$2004,A153)=0,"",ROUND(SUMIF(Rebar_Schedule!$A$5:$A$2004,A153,Rebar_Schedule!$K$5:$K$2004),1)))</f>
        <v/>
      </c>
      <c r="BF153" s="33" t="str">
        <f aca="false">IF(A153="","",IF(BE153="","No rebar schedule yet",IF(ABS(BE153-N(BA153))/MAX(N(BA153),1)&gt;SG_Criteria!$B$55,"NOTE: register rebar differs from schedule by "&amp;TEXT(ABS(BE153-N(BA153))/MAX(N(BA153),1),"0%"),"OK")))</f>
        <v/>
      </c>
      <c r="BG153" s="33" t="str">
        <f aca="false">IF(D153="","",IF(LEN(IF(AND(Z153&lt;&gt;"",IFERROR(VALUE(MID(Z153,2,2)),0)&lt;SG_Criteria!$B$19),"FAIL: grade below C"&amp;SG_Criteria!$B$19&amp;". ","")&amp;IF(AND(AA153&lt;&gt;"",AA153&lt;SG_Criteria!$B$20),"FAIL: cover &lt; "&amp;SG_Criteria!$B$20&amp;" mm. ","")&amp;IF(AND(I153&lt;&gt;"",I153&lt;SG_Criteria!$B$39),"NOTE: min depth below PUB "&amp;SG_Criteria!$B$39&amp;" m. ","")&amp;IF(AND(LEFT(D153,8)="Standard",J153&gt;SG_Criteria!$B$42),"FAIL: PUB 001C covers manholes up to "&amp;SG_Criteria!$B$42&amp;" m deep only. ","")&amp;IF(AND(LEFT(D153,11)="Rectangular",K153&lt;SG_Criteria!$B$43),"NOTE: 004C is for sewers &gt;= "&amp;SG_Criteria!$B$43&amp;" dia. ","")&amp;IF(AND(LEFT(D153,7)="Precast",J153&lt;=SG_Criteria!$B$42),"NOTE: 006C is for manholes &gt; "&amp;SG_Criteria!$B$42&amp;" m deep. ","")&amp;IF(AND(K153&lt;&gt;"",K153&lt;SG_Criteria!$B$40,D153&lt;&gt;"Inspection Chamber"),"NOTE: public sewer min dia "&amp;SG_Criteria!$B$40&amp;" mm. ","")&amp;IF(AND(Y153&lt;&gt;"",Y153&lt;SG_Criteria!$B$44),"FAIL: uplift FOS below "&amp;SG_Criteria!$B$44&amp;". ",""))=0,"OK",IF(AND(Z153&lt;&gt;"",IFERROR(VALUE(MID(Z153,2,2)),0)&lt;SG_Criteria!$B$19),"FAIL: grade below C"&amp;SG_Criteria!$B$19&amp;". ","")&amp;IF(AND(AA153&lt;&gt;"",AA153&lt;SG_Criteria!$B$20),"FAIL: cover &lt; "&amp;SG_Criteria!$B$20&amp;" mm. ","")&amp;IF(AND(I153&lt;&gt;"",I153&lt;SG_Criteria!$B$39),"NOTE: min depth below PUB "&amp;SG_Criteria!$B$39&amp;" m. ","")&amp;IF(AND(LEFT(D153,8)="Standard",J153&gt;SG_Criteria!$B$42),"FAIL: PUB 001C covers manholes up to "&amp;SG_Criteria!$B$42&amp;" m deep only. ","")&amp;IF(AND(LEFT(D153,11)="Rectangular",K153&lt;SG_Criteria!$B$43),"NOTE: 004C is for sewers &gt;= "&amp;SG_Criteria!$B$43&amp;" dia. ","")&amp;IF(AND(LEFT(D153,7)="Precast",J153&lt;=SG_Criteria!$B$42),"NOTE: 006C is for manholes &gt; "&amp;SG_Criteria!$B$42&amp;" m deep. ","")&amp;IF(AND(K153&lt;&gt;"",K153&lt;SG_Criteria!$B$40,D153&lt;&gt;"Inspection Chamber"),"NOTE: public sewer min dia "&amp;SG_Criteria!$B$40&amp;" mm. ","")&amp;IF(AND(Y153&lt;&gt;"",Y153&lt;SG_Criteria!$B$44),"FAIL: uplift FOS below "&amp;SG_Criteria!$B$44&amp;". ","")))</f>
        <v/>
      </c>
      <c r="BH153" s="9"/>
      <c r="BI153" s="9"/>
      <c r="BJ153" s="9"/>
      <c r="BK153" s="10" t="str">
        <f aca="false">IF(BJ153="","",IFERROR(VLOOKUP(BJ153,Projects!$A$5:$D$504,2,0),"Ref not in Projects"))</f>
        <v/>
      </c>
      <c r="BL153" s="10" t="str">
        <f aca="false">IF(BJ153="","",IFERROR(VLOOKUP(BJ153,Projects!$A$5:$D$504,4,0),"Ref not in Projects"))</f>
        <v/>
      </c>
      <c r="BM153" s="9"/>
      <c r="BN153" s="9"/>
      <c r="BO153" s="9"/>
      <c r="BP153" s="40"/>
      <c r="BQ153" s="9"/>
      <c r="BR153" s="40"/>
      <c r="BS153" s="9"/>
      <c r="BT153" s="40"/>
      <c r="BU153" s="9"/>
      <c r="BV153" s="9"/>
      <c r="BW153" s="9"/>
      <c r="BX153" s="40"/>
      <c r="BY153" s="40"/>
      <c r="BZ153" s="36" t="str">
        <f aca="false">IF(BY153="","",EDATE(BY153,SG_Criteria!$B$54*12))</f>
        <v/>
      </c>
      <c r="CA153" s="33" t="str">
        <f aca="true">IF(A153="","",IF(BY153="","NOTE: not reviewed yet",IF(TODAY()&gt;BZ153,"NOTE: review overdue","OK")))</f>
        <v/>
      </c>
      <c r="CB153" s="37" t="str">
        <f aca="false">IF(A153="","",ROUND((IF(LEN(D153)&gt;0,1,0)+IF(LEN(E153)&gt;0,1,0)+IF(LEN(F153)&gt;0,1,0)+IF(LEN(G153)&gt;0,1,0)+IF(LEN(I153)&gt;0,1,0)+IF(LEN(J153)&gt;0,1,0)+IF(LEN(K153)&gt;0,1,0)+IF(LEN(L153)&gt;0,1,0)+IF(LEN(M153)&gt;0,1,0)+IF(LEN(N153)&gt;0,1,0)+IF(LEN(Z153)&gt;0,1,0)+IF(LEN(AA153)&gt;0,1,0)+IF(LEN(Y153)&gt;0,1,0)+IF(LEN(AE153)&gt;0,1,0)+IF(LEN(AG153)&gt;0,1,0)+IF(LEN(AZ153)&gt;0,1,0)+IF(LEN(AK153)&gt;0,1,0)+IF(LEN(AM153)&gt;0,1,0)+IF(LEN(AN153)&gt;0,1,0)+IF(LEN(AO153)&gt;0,1,0)+IF(LEN(AP153)&gt;0,1,0)+IF(LEN(AY153)&gt;0,1,0)+IF(LEN(BJ153)&gt;0,1,0)+IF(LEN(BW153)&gt;0,1,0))/24,2))</f>
        <v/>
      </c>
      <c r="CC153" s="10" t="str">
        <f aca="false">IF(D153="","",IF(AND(AN153="Approved",ISERROR(SEARCH("FAIL",BG153))),"Y","N"))</f>
        <v/>
      </c>
      <c r="CD153" s="10" t="str">
        <f aca="false">IF(D153="","",D153&amp;"|"&amp;J153&amp;"|"&amp;G153&amp;"|"&amp;CC153)</f>
        <v/>
      </c>
    </row>
    <row r="154" customFormat="false" ht="15" hidden="false" customHeight="false" outlineLevel="0" collapsed="false">
      <c r="A154" s="10" t="str">
        <f aca="false">IF(D154="","","MH-"&amp;IFERROR(VLOOKUP(D154,Lists!$AB$4:$AC$20,2,0),"??")&amp;"-"&amp;TEXT(G154,"0000")&amp;IF(F154="Circular","D","x"&amp;TEXT(H154,"0000"))&amp;"-D"&amp;TEXT(J154*1000,"0000")&amp;"-"&amp;IFERROR(VLOOKUP(E154,Lists!$AE$4:$AF$16,2,0),"??")&amp;"-"&amp;AM154)</f>
        <v/>
      </c>
      <c r="B154" s="10" t="str">
        <f aca="false">IF(D154="","",D154&amp;", "&amp;E154&amp;", "&amp;IF(F154="Circular",G154&amp;" dia",G154&amp;" x "&amp;H154)&amp;", depth "&amp;TEXT(I154,"0.0")&amp;"-"&amp;TEXT(J154,"0.0")&amp;" m, pipe up to "&amp;K154&amp;" dia")</f>
        <v/>
      </c>
      <c r="C154" s="9"/>
      <c r="D154" s="9"/>
      <c r="E154" s="9"/>
      <c r="F154" s="9"/>
      <c r="G154" s="38"/>
      <c r="H154" s="38"/>
      <c r="I154" s="42"/>
      <c r="J154" s="42"/>
      <c r="K154" s="38"/>
      <c r="L154" s="38"/>
      <c r="M154" s="38"/>
      <c r="N154" s="38"/>
      <c r="O154" s="9"/>
      <c r="P154" s="9"/>
      <c r="Q154" s="9"/>
      <c r="R154" s="9"/>
      <c r="S154" s="9"/>
      <c r="T154" s="9"/>
      <c r="U154" s="9"/>
      <c r="V154" s="42"/>
      <c r="W154" s="9"/>
      <c r="X154" s="9"/>
      <c r="Y154" s="39"/>
      <c r="Z154" s="9"/>
      <c r="AA154" s="38"/>
      <c r="AB154" s="9"/>
      <c r="AC154" s="9"/>
      <c r="AD154" s="9"/>
      <c r="AE154" s="9"/>
      <c r="AF154" s="9"/>
      <c r="AG154" s="9"/>
      <c r="AH154" s="38"/>
      <c r="AI154" s="9"/>
      <c r="AJ154" s="39"/>
      <c r="AK154" s="9"/>
      <c r="AL154" s="9"/>
      <c r="AM154" s="9"/>
      <c r="AN154" s="9"/>
      <c r="AO154" s="9"/>
      <c r="AP154" s="9"/>
      <c r="AQ154" s="9"/>
      <c r="AR154" s="10" t="str">
        <f aca="false">IF(A154="","",SG_Criteria!$B$6&amp;SG_Criteria!$B$10&amp;"\"&amp;A154&amp;"\")</f>
        <v/>
      </c>
      <c r="AS154" s="10" t="str">
        <f aca="false">IF(A154="","",A154&amp;"_CAD.dwg")</f>
        <v/>
      </c>
      <c r="AT154" s="10" t="str">
        <f aca="false">IF(A154="","",A154&amp;"_DWG.pdf")</f>
        <v/>
      </c>
      <c r="AU154" s="10" t="str">
        <f aca="false">IF(A154="","",IF(AQ154="Y",A154&amp;"_STAAD.std","n/a"))</f>
        <v/>
      </c>
      <c r="AV154" s="10" t="str">
        <f aca="false">IF(A154="","",A154&amp;"_CALC.xlsx")</f>
        <v/>
      </c>
      <c r="AW154" s="10" t="str">
        <f aca="false">IF(A154="","",A154&amp;"_CALC.pdf")</f>
        <v/>
      </c>
      <c r="AX154" s="9"/>
      <c r="AY154" s="9"/>
      <c r="AZ154" s="39"/>
      <c r="BA154" s="39"/>
      <c r="BB154" s="39"/>
      <c r="BC154" s="39"/>
      <c r="BD154" s="39"/>
      <c r="BE154" s="12" t="str">
        <f aca="false">IF(A154="","",IF(COUNTIF(Rebar_Schedule!$A$5:$A$2004,A154)=0,"",ROUND(SUMIF(Rebar_Schedule!$A$5:$A$2004,A154,Rebar_Schedule!$K$5:$K$2004),1)))</f>
        <v/>
      </c>
      <c r="BF154" s="33" t="str">
        <f aca="false">IF(A154="","",IF(BE154="","No rebar schedule yet",IF(ABS(BE154-N(BA154))/MAX(N(BA154),1)&gt;SG_Criteria!$B$55,"NOTE: register rebar differs from schedule by "&amp;TEXT(ABS(BE154-N(BA154))/MAX(N(BA154),1),"0%"),"OK")))</f>
        <v/>
      </c>
      <c r="BG154" s="33" t="str">
        <f aca="false">IF(D154="","",IF(LEN(IF(AND(Z154&lt;&gt;"",IFERROR(VALUE(MID(Z154,2,2)),0)&lt;SG_Criteria!$B$19),"FAIL: grade below C"&amp;SG_Criteria!$B$19&amp;". ","")&amp;IF(AND(AA154&lt;&gt;"",AA154&lt;SG_Criteria!$B$20),"FAIL: cover &lt; "&amp;SG_Criteria!$B$20&amp;" mm. ","")&amp;IF(AND(I154&lt;&gt;"",I154&lt;SG_Criteria!$B$39),"NOTE: min depth below PUB "&amp;SG_Criteria!$B$39&amp;" m. ","")&amp;IF(AND(LEFT(D154,8)="Standard",J154&gt;SG_Criteria!$B$42),"FAIL: PUB 001C covers manholes up to "&amp;SG_Criteria!$B$42&amp;" m deep only. ","")&amp;IF(AND(LEFT(D154,11)="Rectangular",K154&lt;SG_Criteria!$B$43),"NOTE: 004C is for sewers &gt;= "&amp;SG_Criteria!$B$43&amp;" dia. ","")&amp;IF(AND(LEFT(D154,7)="Precast",J154&lt;=SG_Criteria!$B$42),"NOTE: 006C is for manholes &gt; "&amp;SG_Criteria!$B$42&amp;" m deep. ","")&amp;IF(AND(K154&lt;&gt;"",K154&lt;SG_Criteria!$B$40,D154&lt;&gt;"Inspection Chamber"),"NOTE: public sewer min dia "&amp;SG_Criteria!$B$40&amp;" mm. ","")&amp;IF(AND(Y154&lt;&gt;"",Y154&lt;SG_Criteria!$B$44),"FAIL: uplift FOS below "&amp;SG_Criteria!$B$44&amp;". ",""))=0,"OK",IF(AND(Z154&lt;&gt;"",IFERROR(VALUE(MID(Z154,2,2)),0)&lt;SG_Criteria!$B$19),"FAIL: grade below C"&amp;SG_Criteria!$B$19&amp;". ","")&amp;IF(AND(AA154&lt;&gt;"",AA154&lt;SG_Criteria!$B$20),"FAIL: cover &lt; "&amp;SG_Criteria!$B$20&amp;" mm. ","")&amp;IF(AND(I154&lt;&gt;"",I154&lt;SG_Criteria!$B$39),"NOTE: min depth below PUB "&amp;SG_Criteria!$B$39&amp;" m. ","")&amp;IF(AND(LEFT(D154,8)="Standard",J154&gt;SG_Criteria!$B$42),"FAIL: PUB 001C covers manholes up to "&amp;SG_Criteria!$B$42&amp;" m deep only. ","")&amp;IF(AND(LEFT(D154,11)="Rectangular",K154&lt;SG_Criteria!$B$43),"NOTE: 004C is for sewers &gt;= "&amp;SG_Criteria!$B$43&amp;" dia. ","")&amp;IF(AND(LEFT(D154,7)="Precast",J154&lt;=SG_Criteria!$B$42),"NOTE: 006C is for manholes &gt; "&amp;SG_Criteria!$B$42&amp;" m deep. ","")&amp;IF(AND(K154&lt;&gt;"",K154&lt;SG_Criteria!$B$40,D154&lt;&gt;"Inspection Chamber"),"NOTE: public sewer min dia "&amp;SG_Criteria!$B$40&amp;" mm. ","")&amp;IF(AND(Y154&lt;&gt;"",Y154&lt;SG_Criteria!$B$44),"FAIL: uplift FOS below "&amp;SG_Criteria!$B$44&amp;". ","")))</f>
        <v/>
      </c>
      <c r="BH154" s="9"/>
      <c r="BI154" s="9"/>
      <c r="BJ154" s="9"/>
      <c r="BK154" s="10" t="str">
        <f aca="false">IF(BJ154="","",IFERROR(VLOOKUP(BJ154,Projects!$A$5:$D$504,2,0),"Ref not in Projects"))</f>
        <v/>
      </c>
      <c r="BL154" s="10" t="str">
        <f aca="false">IF(BJ154="","",IFERROR(VLOOKUP(BJ154,Projects!$A$5:$D$504,4,0),"Ref not in Projects"))</f>
        <v/>
      </c>
      <c r="BM154" s="9"/>
      <c r="BN154" s="9"/>
      <c r="BO154" s="9"/>
      <c r="BP154" s="40"/>
      <c r="BQ154" s="9"/>
      <c r="BR154" s="40"/>
      <c r="BS154" s="9"/>
      <c r="BT154" s="40"/>
      <c r="BU154" s="9"/>
      <c r="BV154" s="9"/>
      <c r="BW154" s="9"/>
      <c r="BX154" s="40"/>
      <c r="BY154" s="40"/>
      <c r="BZ154" s="36" t="str">
        <f aca="false">IF(BY154="","",EDATE(BY154,SG_Criteria!$B$54*12))</f>
        <v/>
      </c>
      <c r="CA154" s="33" t="str">
        <f aca="true">IF(A154="","",IF(BY154="","NOTE: not reviewed yet",IF(TODAY()&gt;BZ154,"NOTE: review overdue","OK")))</f>
        <v/>
      </c>
      <c r="CB154" s="37" t="str">
        <f aca="false">IF(A154="","",ROUND((IF(LEN(D154)&gt;0,1,0)+IF(LEN(E154)&gt;0,1,0)+IF(LEN(F154)&gt;0,1,0)+IF(LEN(G154)&gt;0,1,0)+IF(LEN(I154)&gt;0,1,0)+IF(LEN(J154)&gt;0,1,0)+IF(LEN(K154)&gt;0,1,0)+IF(LEN(L154)&gt;0,1,0)+IF(LEN(M154)&gt;0,1,0)+IF(LEN(N154)&gt;0,1,0)+IF(LEN(Z154)&gt;0,1,0)+IF(LEN(AA154)&gt;0,1,0)+IF(LEN(Y154)&gt;0,1,0)+IF(LEN(AE154)&gt;0,1,0)+IF(LEN(AG154)&gt;0,1,0)+IF(LEN(AZ154)&gt;0,1,0)+IF(LEN(AK154)&gt;0,1,0)+IF(LEN(AM154)&gt;0,1,0)+IF(LEN(AN154)&gt;0,1,0)+IF(LEN(AO154)&gt;0,1,0)+IF(LEN(AP154)&gt;0,1,0)+IF(LEN(AY154)&gt;0,1,0)+IF(LEN(BJ154)&gt;0,1,0)+IF(LEN(BW154)&gt;0,1,0))/24,2))</f>
        <v/>
      </c>
      <c r="CC154" s="10" t="str">
        <f aca="false">IF(D154="","",IF(AND(AN154="Approved",ISERROR(SEARCH("FAIL",BG154))),"Y","N"))</f>
        <v/>
      </c>
      <c r="CD154" s="10" t="str">
        <f aca="false">IF(D154="","",D154&amp;"|"&amp;J154&amp;"|"&amp;G154&amp;"|"&amp;CC154)</f>
        <v/>
      </c>
    </row>
    <row r="155" customFormat="false" ht="15" hidden="false" customHeight="false" outlineLevel="0" collapsed="false">
      <c r="A155" s="10" t="str">
        <f aca="false">IF(D155="","","MH-"&amp;IFERROR(VLOOKUP(D155,Lists!$AB$4:$AC$20,2,0),"??")&amp;"-"&amp;TEXT(G155,"0000")&amp;IF(F155="Circular","D","x"&amp;TEXT(H155,"0000"))&amp;"-D"&amp;TEXT(J155*1000,"0000")&amp;"-"&amp;IFERROR(VLOOKUP(E155,Lists!$AE$4:$AF$16,2,0),"??")&amp;"-"&amp;AM155)</f>
        <v/>
      </c>
      <c r="B155" s="10" t="str">
        <f aca="false">IF(D155="","",D155&amp;", "&amp;E155&amp;", "&amp;IF(F155="Circular",G155&amp;" dia",G155&amp;" x "&amp;H155)&amp;", depth "&amp;TEXT(I155,"0.0")&amp;"-"&amp;TEXT(J155,"0.0")&amp;" m, pipe up to "&amp;K155&amp;" dia")</f>
        <v/>
      </c>
      <c r="C155" s="9"/>
      <c r="D155" s="9"/>
      <c r="E155" s="9"/>
      <c r="F155" s="9"/>
      <c r="G155" s="38"/>
      <c r="H155" s="38"/>
      <c r="I155" s="42"/>
      <c r="J155" s="42"/>
      <c r="K155" s="38"/>
      <c r="L155" s="38"/>
      <c r="M155" s="38"/>
      <c r="N155" s="38"/>
      <c r="O155" s="9"/>
      <c r="P155" s="9"/>
      <c r="Q155" s="9"/>
      <c r="R155" s="9"/>
      <c r="S155" s="9"/>
      <c r="T155" s="9"/>
      <c r="U155" s="9"/>
      <c r="V155" s="42"/>
      <c r="W155" s="9"/>
      <c r="X155" s="9"/>
      <c r="Y155" s="39"/>
      <c r="Z155" s="9"/>
      <c r="AA155" s="38"/>
      <c r="AB155" s="9"/>
      <c r="AC155" s="9"/>
      <c r="AD155" s="9"/>
      <c r="AE155" s="9"/>
      <c r="AF155" s="9"/>
      <c r="AG155" s="9"/>
      <c r="AH155" s="38"/>
      <c r="AI155" s="9"/>
      <c r="AJ155" s="39"/>
      <c r="AK155" s="9"/>
      <c r="AL155" s="9"/>
      <c r="AM155" s="9"/>
      <c r="AN155" s="9"/>
      <c r="AO155" s="9"/>
      <c r="AP155" s="9"/>
      <c r="AQ155" s="9"/>
      <c r="AR155" s="10" t="str">
        <f aca="false">IF(A155="","",SG_Criteria!$B$6&amp;SG_Criteria!$B$10&amp;"\"&amp;A155&amp;"\")</f>
        <v/>
      </c>
      <c r="AS155" s="10" t="str">
        <f aca="false">IF(A155="","",A155&amp;"_CAD.dwg")</f>
        <v/>
      </c>
      <c r="AT155" s="10" t="str">
        <f aca="false">IF(A155="","",A155&amp;"_DWG.pdf")</f>
        <v/>
      </c>
      <c r="AU155" s="10" t="str">
        <f aca="false">IF(A155="","",IF(AQ155="Y",A155&amp;"_STAAD.std","n/a"))</f>
        <v/>
      </c>
      <c r="AV155" s="10" t="str">
        <f aca="false">IF(A155="","",A155&amp;"_CALC.xlsx")</f>
        <v/>
      </c>
      <c r="AW155" s="10" t="str">
        <f aca="false">IF(A155="","",A155&amp;"_CALC.pdf")</f>
        <v/>
      </c>
      <c r="AX155" s="9"/>
      <c r="AY155" s="9"/>
      <c r="AZ155" s="39"/>
      <c r="BA155" s="39"/>
      <c r="BB155" s="39"/>
      <c r="BC155" s="39"/>
      <c r="BD155" s="39"/>
      <c r="BE155" s="12" t="str">
        <f aca="false">IF(A155="","",IF(COUNTIF(Rebar_Schedule!$A$5:$A$2004,A155)=0,"",ROUND(SUMIF(Rebar_Schedule!$A$5:$A$2004,A155,Rebar_Schedule!$K$5:$K$2004),1)))</f>
        <v/>
      </c>
      <c r="BF155" s="33" t="str">
        <f aca="false">IF(A155="","",IF(BE155="","No rebar schedule yet",IF(ABS(BE155-N(BA155))/MAX(N(BA155),1)&gt;SG_Criteria!$B$55,"NOTE: register rebar differs from schedule by "&amp;TEXT(ABS(BE155-N(BA155))/MAX(N(BA155),1),"0%"),"OK")))</f>
        <v/>
      </c>
      <c r="BG155" s="33" t="str">
        <f aca="false">IF(D155="","",IF(LEN(IF(AND(Z155&lt;&gt;"",IFERROR(VALUE(MID(Z155,2,2)),0)&lt;SG_Criteria!$B$19),"FAIL: grade below C"&amp;SG_Criteria!$B$19&amp;". ","")&amp;IF(AND(AA155&lt;&gt;"",AA155&lt;SG_Criteria!$B$20),"FAIL: cover &lt; "&amp;SG_Criteria!$B$20&amp;" mm. ","")&amp;IF(AND(I155&lt;&gt;"",I155&lt;SG_Criteria!$B$39),"NOTE: min depth below PUB "&amp;SG_Criteria!$B$39&amp;" m. ","")&amp;IF(AND(LEFT(D155,8)="Standard",J155&gt;SG_Criteria!$B$42),"FAIL: PUB 001C covers manholes up to "&amp;SG_Criteria!$B$42&amp;" m deep only. ","")&amp;IF(AND(LEFT(D155,11)="Rectangular",K155&lt;SG_Criteria!$B$43),"NOTE: 004C is for sewers &gt;= "&amp;SG_Criteria!$B$43&amp;" dia. ","")&amp;IF(AND(LEFT(D155,7)="Precast",J155&lt;=SG_Criteria!$B$42),"NOTE: 006C is for manholes &gt; "&amp;SG_Criteria!$B$42&amp;" m deep. ","")&amp;IF(AND(K155&lt;&gt;"",K155&lt;SG_Criteria!$B$40,D155&lt;&gt;"Inspection Chamber"),"NOTE: public sewer min dia "&amp;SG_Criteria!$B$40&amp;" mm. ","")&amp;IF(AND(Y155&lt;&gt;"",Y155&lt;SG_Criteria!$B$44),"FAIL: uplift FOS below "&amp;SG_Criteria!$B$44&amp;". ",""))=0,"OK",IF(AND(Z155&lt;&gt;"",IFERROR(VALUE(MID(Z155,2,2)),0)&lt;SG_Criteria!$B$19),"FAIL: grade below C"&amp;SG_Criteria!$B$19&amp;". ","")&amp;IF(AND(AA155&lt;&gt;"",AA155&lt;SG_Criteria!$B$20),"FAIL: cover &lt; "&amp;SG_Criteria!$B$20&amp;" mm. ","")&amp;IF(AND(I155&lt;&gt;"",I155&lt;SG_Criteria!$B$39),"NOTE: min depth below PUB "&amp;SG_Criteria!$B$39&amp;" m. ","")&amp;IF(AND(LEFT(D155,8)="Standard",J155&gt;SG_Criteria!$B$42),"FAIL: PUB 001C covers manholes up to "&amp;SG_Criteria!$B$42&amp;" m deep only. ","")&amp;IF(AND(LEFT(D155,11)="Rectangular",K155&lt;SG_Criteria!$B$43),"NOTE: 004C is for sewers &gt;= "&amp;SG_Criteria!$B$43&amp;" dia. ","")&amp;IF(AND(LEFT(D155,7)="Precast",J155&lt;=SG_Criteria!$B$42),"NOTE: 006C is for manholes &gt; "&amp;SG_Criteria!$B$42&amp;" m deep. ","")&amp;IF(AND(K155&lt;&gt;"",K155&lt;SG_Criteria!$B$40,D155&lt;&gt;"Inspection Chamber"),"NOTE: public sewer min dia "&amp;SG_Criteria!$B$40&amp;" mm. ","")&amp;IF(AND(Y155&lt;&gt;"",Y155&lt;SG_Criteria!$B$44),"FAIL: uplift FOS below "&amp;SG_Criteria!$B$44&amp;". ","")))</f>
        <v/>
      </c>
      <c r="BH155" s="9"/>
      <c r="BI155" s="9"/>
      <c r="BJ155" s="9"/>
      <c r="BK155" s="10" t="str">
        <f aca="false">IF(BJ155="","",IFERROR(VLOOKUP(BJ155,Projects!$A$5:$D$504,2,0),"Ref not in Projects"))</f>
        <v/>
      </c>
      <c r="BL155" s="10" t="str">
        <f aca="false">IF(BJ155="","",IFERROR(VLOOKUP(BJ155,Projects!$A$5:$D$504,4,0),"Ref not in Projects"))</f>
        <v/>
      </c>
      <c r="BM155" s="9"/>
      <c r="BN155" s="9"/>
      <c r="BO155" s="9"/>
      <c r="BP155" s="40"/>
      <c r="BQ155" s="9"/>
      <c r="BR155" s="40"/>
      <c r="BS155" s="9"/>
      <c r="BT155" s="40"/>
      <c r="BU155" s="9"/>
      <c r="BV155" s="9"/>
      <c r="BW155" s="9"/>
      <c r="BX155" s="40"/>
      <c r="BY155" s="40"/>
      <c r="BZ155" s="36" t="str">
        <f aca="false">IF(BY155="","",EDATE(BY155,SG_Criteria!$B$54*12))</f>
        <v/>
      </c>
      <c r="CA155" s="33" t="str">
        <f aca="true">IF(A155="","",IF(BY155="","NOTE: not reviewed yet",IF(TODAY()&gt;BZ155,"NOTE: review overdue","OK")))</f>
        <v/>
      </c>
      <c r="CB155" s="37" t="str">
        <f aca="false">IF(A155="","",ROUND((IF(LEN(D155)&gt;0,1,0)+IF(LEN(E155)&gt;0,1,0)+IF(LEN(F155)&gt;0,1,0)+IF(LEN(G155)&gt;0,1,0)+IF(LEN(I155)&gt;0,1,0)+IF(LEN(J155)&gt;0,1,0)+IF(LEN(K155)&gt;0,1,0)+IF(LEN(L155)&gt;0,1,0)+IF(LEN(M155)&gt;0,1,0)+IF(LEN(N155)&gt;0,1,0)+IF(LEN(Z155)&gt;0,1,0)+IF(LEN(AA155)&gt;0,1,0)+IF(LEN(Y155)&gt;0,1,0)+IF(LEN(AE155)&gt;0,1,0)+IF(LEN(AG155)&gt;0,1,0)+IF(LEN(AZ155)&gt;0,1,0)+IF(LEN(AK155)&gt;0,1,0)+IF(LEN(AM155)&gt;0,1,0)+IF(LEN(AN155)&gt;0,1,0)+IF(LEN(AO155)&gt;0,1,0)+IF(LEN(AP155)&gt;0,1,0)+IF(LEN(AY155)&gt;0,1,0)+IF(LEN(BJ155)&gt;0,1,0)+IF(LEN(BW155)&gt;0,1,0))/24,2))</f>
        <v/>
      </c>
      <c r="CC155" s="10" t="str">
        <f aca="false">IF(D155="","",IF(AND(AN155="Approved",ISERROR(SEARCH("FAIL",BG155))),"Y","N"))</f>
        <v/>
      </c>
      <c r="CD155" s="10" t="str">
        <f aca="false">IF(D155="","",D155&amp;"|"&amp;J155&amp;"|"&amp;G155&amp;"|"&amp;CC155)</f>
        <v/>
      </c>
    </row>
    <row r="156" customFormat="false" ht="15" hidden="false" customHeight="false" outlineLevel="0" collapsed="false">
      <c r="A156" s="10" t="str">
        <f aca="false">IF(D156="","","MH-"&amp;IFERROR(VLOOKUP(D156,Lists!$AB$4:$AC$20,2,0),"??")&amp;"-"&amp;TEXT(G156,"0000")&amp;IF(F156="Circular","D","x"&amp;TEXT(H156,"0000"))&amp;"-D"&amp;TEXT(J156*1000,"0000")&amp;"-"&amp;IFERROR(VLOOKUP(E156,Lists!$AE$4:$AF$16,2,0),"??")&amp;"-"&amp;AM156)</f>
        <v/>
      </c>
      <c r="B156" s="10" t="str">
        <f aca="false">IF(D156="","",D156&amp;", "&amp;E156&amp;", "&amp;IF(F156="Circular",G156&amp;" dia",G156&amp;" x "&amp;H156)&amp;", depth "&amp;TEXT(I156,"0.0")&amp;"-"&amp;TEXT(J156,"0.0")&amp;" m, pipe up to "&amp;K156&amp;" dia")</f>
        <v/>
      </c>
      <c r="C156" s="9"/>
      <c r="D156" s="9"/>
      <c r="E156" s="9"/>
      <c r="F156" s="9"/>
      <c r="G156" s="38"/>
      <c r="H156" s="38"/>
      <c r="I156" s="42"/>
      <c r="J156" s="42"/>
      <c r="K156" s="38"/>
      <c r="L156" s="38"/>
      <c r="M156" s="38"/>
      <c r="N156" s="38"/>
      <c r="O156" s="9"/>
      <c r="P156" s="9"/>
      <c r="Q156" s="9"/>
      <c r="R156" s="9"/>
      <c r="S156" s="9"/>
      <c r="T156" s="9"/>
      <c r="U156" s="9"/>
      <c r="V156" s="42"/>
      <c r="W156" s="9"/>
      <c r="X156" s="9"/>
      <c r="Y156" s="39"/>
      <c r="Z156" s="9"/>
      <c r="AA156" s="38"/>
      <c r="AB156" s="9"/>
      <c r="AC156" s="9"/>
      <c r="AD156" s="9"/>
      <c r="AE156" s="9"/>
      <c r="AF156" s="9"/>
      <c r="AG156" s="9"/>
      <c r="AH156" s="38"/>
      <c r="AI156" s="9"/>
      <c r="AJ156" s="39"/>
      <c r="AK156" s="9"/>
      <c r="AL156" s="9"/>
      <c r="AM156" s="9"/>
      <c r="AN156" s="9"/>
      <c r="AO156" s="9"/>
      <c r="AP156" s="9"/>
      <c r="AQ156" s="9"/>
      <c r="AR156" s="10" t="str">
        <f aca="false">IF(A156="","",SG_Criteria!$B$6&amp;SG_Criteria!$B$10&amp;"\"&amp;A156&amp;"\")</f>
        <v/>
      </c>
      <c r="AS156" s="10" t="str">
        <f aca="false">IF(A156="","",A156&amp;"_CAD.dwg")</f>
        <v/>
      </c>
      <c r="AT156" s="10" t="str">
        <f aca="false">IF(A156="","",A156&amp;"_DWG.pdf")</f>
        <v/>
      </c>
      <c r="AU156" s="10" t="str">
        <f aca="false">IF(A156="","",IF(AQ156="Y",A156&amp;"_STAAD.std","n/a"))</f>
        <v/>
      </c>
      <c r="AV156" s="10" t="str">
        <f aca="false">IF(A156="","",A156&amp;"_CALC.xlsx")</f>
        <v/>
      </c>
      <c r="AW156" s="10" t="str">
        <f aca="false">IF(A156="","",A156&amp;"_CALC.pdf")</f>
        <v/>
      </c>
      <c r="AX156" s="9"/>
      <c r="AY156" s="9"/>
      <c r="AZ156" s="39"/>
      <c r="BA156" s="39"/>
      <c r="BB156" s="39"/>
      <c r="BC156" s="39"/>
      <c r="BD156" s="39"/>
      <c r="BE156" s="12" t="str">
        <f aca="false">IF(A156="","",IF(COUNTIF(Rebar_Schedule!$A$5:$A$2004,A156)=0,"",ROUND(SUMIF(Rebar_Schedule!$A$5:$A$2004,A156,Rebar_Schedule!$K$5:$K$2004),1)))</f>
        <v/>
      </c>
      <c r="BF156" s="33" t="str">
        <f aca="false">IF(A156="","",IF(BE156="","No rebar schedule yet",IF(ABS(BE156-N(BA156))/MAX(N(BA156),1)&gt;SG_Criteria!$B$55,"NOTE: register rebar differs from schedule by "&amp;TEXT(ABS(BE156-N(BA156))/MAX(N(BA156),1),"0%"),"OK")))</f>
        <v/>
      </c>
      <c r="BG156" s="33" t="str">
        <f aca="false">IF(D156="","",IF(LEN(IF(AND(Z156&lt;&gt;"",IFERROR(VALUE(MID(Z156,2,2)),0)&lt;SG_Criteria!$B$19),"FAIL: grade below C"&amp;SG_Criteria!$B$19&amp;". ","")&amp;IF(AND(AA156&lt;&gt;"",AA156&lt;SG_Criteria!$B$20),"FAIL: cover &lt; "&amp;SG_Criteria!$B$20&amp;" mm. ","")&amp;IF(AND(I156&lt;&gt;"",I156&lt;SG_Criteria!$B$39),"NOTE: min depth below PUB "&amp;SG_Criteria!$B$39&amp;" m. ","")&amp;IF(AND(LEFT(D156,8)="Standard",J156&gt;SG_Criteria!$B$42),"FAIL: PUB 001C covers manholes up to "&amp;SG_Criteria!$B$42&amp;" m deep only. ","")&amp;IF(AND(LEFT(D156,11)="Rectangular",K156&lt;SG_Criteria!$B$43),"NOTE: 004C is for sewers &gt;= "&amp;SG_Criteria!$B$43&amp;" dia. ","")&amp;IF(AND(LEFT(D156,7)="Precast",J156&lt;=SG_Criteria!$B$42),"NOTE: 006C is for manholes &gt; "&amp;SG_Criteria!$B$42&amp;" m deep. ","")&amp;IF(AND(K156&lt;&gt;"",K156&lt;SG_Criteria!$B$40,D156&lt;&gt;"Inspection Chamber"),"NOTE: public sewer min dia "&amp;SG_Criteria!$B$40&amp;" mm. ","")&amp;IF(AND(Y156&lt;&gt;"",Y156&lt;SG_Criteria!$B$44),"FAIL: uplift FOS below "&amp;SG_Criteria!$B$44&amp;". ",""))=0,"OK",IF(AND(Z156&lt;&gt;"",IFERROR(VALUE(MID(Z156,2,2)),0)&lt;SG_Criteria!$B$19),"FAIL: grade below C"&amp;SG_Criteria!$B$19&amp;". ","")&amp;IF(AND(AA156&lt;&gt;"",AA156&lt;SG_Criteria!$B$20),"FAIL: cover &lt; "&amp;SG_Criteria!$B$20&amp;" mm. ","")&amp;IF(AND(I156&lt;&gt;"",I156&lt;SG_Criteria!$B$39),"NOTE: min depth below PUB "&amp;SG_Criteria!$B$39&amp;" m. ","")&amp;IF(AND(LEFT(D156,8)="Standard",J156&gt;SG_Criteria!$B$42),"FAIL: PUB 001C covers manholes up to "&amp;SG_Criteria!$B$42&amp;" m deep only. ","")&amp;IF(AND(LEFT(D156,11)="Rectangular",K156&lt;SG_Criteria!$B$43),"NOTE: 004C is for sewers &gt;= "&amp;SG_Criteria!$B$43&amp;" dia. ","")&amp;IF(AND(LEFT(D156,7)="Precast",J156&lt;=SG_Criteria!$B$42),"NOTE: 006C is for manholes &gt; "&amp;SG_Criteria!$B$42&amp;" m deep. ","")&amp;IF(AND(K156&lt;&gt;"",K156&lt;SG_Criteria!$B$40,D156&lt;&gt;"Inspection Chamber"),"NOTE: public sewer min dia "&amp;SG_Criteria!$B$40&amp;" mm. ","")&amp;IF(AND(Y156&lt;&gt;"",Y156&lt;SG_Criteria!$B$44),"FAIL: uplift FOS below "&amp;SG_Criteria!$B$44&amp;". ","")))</f>
        <v/>
      </c>
      <c r="BH156" s="9"/>
      <c r="BI156" s="9"/>
      <c r="BJ156" s="9"/>
      <c r="BK156" s="10" t="str">
        <f aca="false">IF(BJ156="","",IFERROR(VLOOKUP(BJ156,Projects!$A$5:$D$504,2,0),"Ref not in Projects"))</f>
        <v/>
      </c>
      <c r="BL156" s="10" t="str">
        <f aca="false">IF(BJ156="","",IFERROR(VLOOKUP(BJ156,Projects!$A$5:$D$504,4,0),"Ref not in Projects"))</f>
        <v/>
      </c>
      <c r="BM156" s="9"/>
      <c r="BN156" s="9"/>
      <c r="BO156" s="9"/>
      <c r="BP156" s="40"/>
      <c r="BQ156" s="9"/>
      <c r="BR156" s="40"/>
      <c r="BS156" s="9"/>
      <c r="BT156" s="40"/>
      <c r="BU156" s="9"/>
      <c r="BV156" s="9"/>
      <c r="BW156" s="9"/>
      <c r="BX156" s="40"/>
      <c r="BY156" s="40"/>
      <c r="BZ156" s="36" t="str">
        <f aca="false">IF(BY156="","",EDATE(BY156,SG_Criteria!$B$54*12))</f>
        <v/>
      </c>
      <c r="CA156" s="33" t="str">
        <f aca="true">IF(A156="","",IF(BY156="","NOTE: not reviewed yet",IF(TODAY()&gt;BZ156,"NOTE: review overdue","OK")))</f>
        <v/>
      </c>
      <c r="CB156" s="37" t="str">
        <f aca="false">IF(A156="","",ROUND((IF(LEN(D156)&gt;0,1,0)+IF(LEN(E156)&gt;0,1,0)+IF(LEN(F156)&gt;0,1,0)+IF(LEN(G156)&gt;0,1,0)+IF(LEN(I156)&gt;0,1,0)+IF(LEN(J156)&gt;0,1,0)+IF(LEN(K156)&gt;0,1,0)+IF(LEN(L156)&gt;0,1,0)+IF(LEN(M156)&gt;0,1,0)+IF(LEN(N156)&gt;0,1,0)+IF(LEN(Z156)&gt;0,1,0)+IF(LEN(AA156)&gt;0,1,0)+IF(LEN(Y156)&gt;0,1,0)+IF(LEN(AE156)&gt;0,1,0)+IF(LEN(AG156)&gt;0,1,0)+IF(LEN(AZ156)&gt;0,1,0)+IF(LEN(AK156)&gt;0,1,0)+IF(LEN(AM156)&gt;0,1,0)+IF(LEN(AN156)&gt;0,1,0)+IF(LEN(AO156)&gt;0,1,0)+IF(LEN(AP156)&gt;0,1,0)+IF(LEN(AY156)&gt;0,1,0)+IF(LEN(BJ156)&gt;0,1,0)+IF(LEN(BW156)&gt;0,1,0))/24,2))</f>
        <v/>
      </c>
      <c r="CC156" s="10" t="str">
        <f aca="false">IF(D156="","",IF(AND(AN156="Approved",ISERROR(SEARCH("FAIL",BG156))),"Y","N"))</f>
        <v/>
      </c>
      <c r="CD156" s="10" t="str">
        <f aca="false">IF(D156="","",D156&amp;"|"&amp;J156&amp;"|"&amp;G156&amp;"|"&amp;CC156)</f>
        <v/>
      </c>
    </row>
    <row r="157" customFormat="false" ht="15" hidden="false" customHeight="false" outlineLevel="0" collapsed="false">
      <c r="A157" s="10" t="str">
        <f aca="false">IF(D157="","","MH-"&amp;IFERROR(VLOOKUP(D157,Lists!$AB$4:$AC$20,2,0),"??")&amp;"-"&amp;TEXT(G157,"0000")&amp;IF(F157="Circular","D","x"&amp;TEXT(H157,"0000"))&amp;"-D"&amp;TEXT(J157*1000,"0000")&amp;"-"&amp;IFERROR(VLOOKUP(E157,Lists!$AE$4:$AF$16,2,0),"??")&amp;"-"&amp;AM157)</f>
        <v/>
      </c>
      <c r="B157" s="10" t="str">
        <f aca="false">IF(D157="","",D157&amp;", "&amp;E157&amp;", "&amp;IF(F157="Circular",G157&amp;" dia",G157&amp;" x "&amp;H157)&amp;", depth "&amp;TEXT(I157,"0.0")&amp;"-"&amp;TEXT(J157,"0.0")&amp;" m, pipe up to "&amp;K157&amp;" dia")</f>
        <v/>
      </c>
      <c r="C157" s="9"/>
      <c r="D157" s="9"/>
      <c r="E157" s="9"/>
      <c r="F157" s="9"/>
      <c r="G157" s="38"/>
      <c r="H157" s="38"/>
      <c r="I157" s="42"/>
      <c r="J157" s="42"/>
      <c r="K157" s="38"/>
      <c r="L157" s="38"/>
      <c r="M157" s="38"/>
      <c r="N157" s="38"/>
      <c r="O157" s="9"/>
      <c r="P157" s="9"/>
      <c r="Q157" s="9"/>
      <c r="R157" s="9"/>
      <c r="S157" s="9"/>
      <c r="T157" s="9"/>
      <c r="U157" s="9"/>
      <c r="V157" s="42"/>
      <c r="W157" s="9"/>
      <c r="X157" s="9"/>
      <c r="Y157" s="39"/>
      <c r="Z157" s="9"/>
      <c r="AA157" s="38"/>
      <c r="AB157" s="9"/>
      <c r="AC157" s="9"/>
      <c r="AD157" s="9"/>
      <c r="AE157" s="9"/>
      <c r="AF157" s="9"/>
      <c r="AG157" s="9"/>
      <c r="AH157" s="38"/>
      <c r="AI157" s="9"/>
      <c r="AJ157" s="39"/>
      <c r="AK157" s="9"/>
      <c r="AL157" s="9"/>
      <c r="AM157" s="9"/>
      <c r="AN157" s="9"/>
      <c r="AO157" s="9"/>
      <c r="AP157" s="9"/>
      <c r="AQ157" s="9"/>
      <c r="AR157" s="10" t="str">
        <f aca="false">IF(A157="","",SG_Criteria!$B$6&amp;SG_Criteria!$B$10&amp;"\"&amp;A157&amp;"\")</f>
        <v/>
      </c>
      <c r="AS157" s="10" t="str">
        <f aca="false">IF(A157="","",A157&amp;"_CAD.dwg")</f>
        <v/>
      </c>
      <c r="AT157" s="10" t="str">
        <f aca="false">IF(A157="","",A157&amp;"_DWG.pdf")</f>
        <v/>
      </c>
      <c r="AU157" s="10" t="str">
        <f aca="false">IF(A157="","",IF(AQ157="Y",A157&amp;"_STAAD.std","n/a"))</f>
        <v/>
      </c>
      <c r="AV157" s="10" t="str">
        <f aca="false">IF(A157="","",A157&amp;"_CALC.xlsx")</f>
        <v/>
      </c>
      <c r="AW157" s="10" t="str">
        <f aca="false">IF(A157="","",A157&amp;"_CALC.pdf")</f>
        <v/>
      </c>
      <c r="AX157" s="9"/>
      <c r="AY157" s="9"/>
      <c r="AZ157" s="39"/>
      <c r="BA157" s="39"/>
      <c r="BB157" s="39"/>
      <c r="BC157" s="39"/>
      <c r="BD157" s="39"/>
      <c r="BE157" s="12" t="str">
        <f aca="false">IF(A157="","",IF(COUNTIF(Rebar_Schedule!$A$5:$A$2004,A157)=0,"",ROUND(SUMIF(Rebar_Schedule!$A$5:$A$2004,A157,Rebar_Schedule!$K$5:$K$2004),1)))</f>
        <v/>
      </c>
      <c r="BF157" s="33" t="str">
        <f aca="false">IF(A157="","",IF(BE157="","No rebar schedule yet",IF(ABS(BE157-N(BA157))/MAX(N(BA157),1)&gt;SG_Criteria!$B$55,"NOTE: register rebar differs from schedule by "&amp;TEXT(ABS(BE157-N(BA157))/MAX(N(BA157),1),"0%"),"OK")))</f>
        <v/>
      </c>
      <c r="BG157" s="33" t="str">
        <f aca="false">IF(D157="","",IF(LEN(IF(AND(Z157&lt;&gt;"",IFERROR(VALUE(MID(Z157,2,2)),0)&lt;SG_Criteria!$B$19),"FAIL: grade below C"&amp;SG_Criteria!$B$19&amp;". ","")&amp;IF(AND(AA157&lt;&gt;"",AA157&lt;SG_Criteria!$B$20),"FAIL: cover &lt; "&amp;SG_Criteria!$B$20&amp;" mm. ","")&amp;IF(AND(I157&lt;&gt;"",I157&lt;SG_Criteria!$B$39),"NOTE: min depth below PUB "&amp;SG_Criteria!$B$39&amp;" m. ","")&amp;IF(AND(LEFT(D157,8)="Standard",J157&gt;SG_Criteria!$B$42),"FAIL: PUB 001C covers manholes up to "&amp;SG_Criteria!$B$42&amp;" m deep only. ","")&amp;IF(AND(LEFT(D157,11)="Rectangular",K157&lt;SG_Criteria!$B$43),"NOTE: 004C is for sewers &gt;= "&amp;SG_Criteria!$B$43&amp;" dia. ","")&amp;IF(AND(LEFT(D157,7)="Precast",J157&lt;=SG_Criteria!$B$42),"NOTE: 006C is for manholes &gt; "&amp;SG_Criteria!$B$42&amp;" m deep. ","")&amp;IF(AND(K157&lt;&gt;"",K157&lt;SG_Criteria!$B$40,D157&lt;&gt;"Inspection Chamber"),"NOTE: public sewer min dia "&amp;SG_Criteria!$B$40&amp;" mm. ","")&amp;IF(AND(Y157&lt;&gt;"",Y157&lt;SG_Criteria!$B$44),"FAIL: uplift FOS below "&amp;SG_Criteria!$B$44&amp;". ",""))=0,"OK",IF(AND(Z157&lt;&gt;"",IFERROR(VALUE(MID(Z157,2,2)),0)&lt;SG_Criteria!$B$19),"FAIL: grade below C"&amp;SG_Criteria!$B$19&amp;". ","")&amp;IF(AND(AA157&lt;&gt;"",AA157&lt;SG_Criteria!$B$20),"FAIL: cover &lt; "&amp;SG_Criteria!$B$20&amp;" mm. ","")&amp;IF(AND(I157&lt;&gt;"",I157&lt;SG_Criteria!$B$39),"NOTE: min depth below PUB "&amp;SG_Criteria!$B$39&amp;" m. ","")&amp;IF(AND(LEFT(D157,8)="Standard",J157&gt;SG_Criteria!$B$42),"FAIL: PUB 001C covers manholes up to "&amp;SG_Criteria!$B$42&amp;" m deep only. ","")&amp;IF(AND(LEFT(D157,11)="Rectangular",K157&lt;SG_Criteria!$B$43),"NOTE: 004C is for sewers &gt;= "&amp;SG_Criteria!$B$43&amp;" dia. ","")&amp;IF(AND(LEFT(D157,7)="Precast",J157&lt;=SG_Criteria!$B$42),"NOTE: 006C is for manholes &gt; "&amp;SG_Criteria!$B$42&amp;" m deep. ","")&amp;IF(AND(K157&lt;&gt;"",K157&lt;SG_Criteria!$B$40,D157&lt;&gt;"Inspection Chamber"),"NOTE: public sewer min dia "&amp;SG_Criteria!$B$40&amp;" mm. ","")&amp;IF(AND(Y157&lt;&gt;"",Y157&lt;SG_Criteria!$B$44),"FAIL: uplift FOS below "&amp;SG_Criteria!$B$44&amp;". ","")))</f>
        <v/>
      </c>
      <c r="BH157" s="9"/>
      <c r="BI157" s="9"/>
      <c r="BJ157" s="9"/>
      <c r="BK157" s="10" t="str">
        <f aca="false">IF(BJ157="","",IFERROR(VLOOKUP(BJ157,Projects!$A$5:$D$504,2,0),"Ref not in Projects"))</f>
        <v/>
      </c>
      <c r="BL157" s="10" t="str">
        <f aca="false">IF(BJ157="","",IFERROR(VLOOKUP(BJ157,Projects!$A$5:$D$504,4,0),"Ref not in Projects"))</f>
        <v/>
      </c>
      <c r="BM157" s="9"/>
      <c r="BN157" s="9"/>
      <c r="BO157" s="9"/>
      <c r="BP157" s="40"/>
      <c r="BQ157" s="9"/>
      <c r="BR157" s="40"/>
      <c r="BS157" s="9"/>
      <c r="BT157" s="40"/>
      <c r="BU157" s="9"/>
      <c r="BV157" s="9"/>
      <c r="BW157" s="9"/>
      <c r="BX157" s="40"/>
      <c r="BY157" s="40"/>
      <c r="BZ157" s="36" t="str">
        <f aca="false">IF(BY157="","",EDATE(BY157,SG_Criteria!$B$54*12))</f>
        <v/>
      </c>
      <c r="CA157" s="33" t="str">
        <f aca="true">IF(A157="","",IF(BY157="","NOTE: not reviewed yet",IF(TODAY()&gt;BZ157,"NOTE: review overdue","OK")))</f>
        <v/>
      </c>
      <c r="CB157" s="37" t="str">
        <f aca="false">IF(A157="","",ROUND((IF(LEN(D157)&gt;0,1,0)+IF(LEN(E157)&gt;0,1,0)+IF(LEN(F157)&gt;0,1,0)+IF(LEN(G157)&gt;0,1,0)+IF(LEN(I157)&gt;0,1,0)+IF(LEN(J157)&gt;0,1,0)+IF(LEN(K157)&gt;0,1,0)+IF(LEN(L157)&gt;0,1,0)+IF(LEN(M157)&gt;0,1,0)+IF(LEN(N157)&gt;0,1,0)+IF(LEN(Z157)&gt;0,1,0)+IF(LEN(AA157)&gt;0,1,0)+IF(LEN(Y157)&gt;0,1,0)+IF(LEN(AE157)&gt;0,1,0)+IF(LEN(AG157)&gt;0,1,0)+IF(LEN(AZ157)&gt;0,1,0)+IF(LEN(AK157)&gt;0,1,0)+IF(LEN(AM157)&gt;0,1,0)+IF(LEN(AN157)&gt;0,1,0)+IF(LEN(AO157)&gt;0,1,0)+IF(LEN(AP157)&gt;0,1,0)+IF(LEN(AY157)&gt;0,1,0)+IF(LEN(BJ157)&gt;0,1,0)+IF(LEN(BW157)&gt;0,1,0))/24,2))</f>
        <v/>
      </c>
      <c r="CC157" s="10" t="str">
        <f aca="false">IF(D157="","",IF(AND(AN157="Approved",ISERROR(SEARCH("FAIL",BG157))),"Y","N"))</f>
        <v/>
      </c>
      <c r="CD157" s="10" t="str">
        <f aca="false">IF(D157="","",D157&amp;"|"&amp;J157&amp;"|"&amp;G157&amp;"|"&amp;CC157)</f>
        <v/>
      </c>
    </row>
    <row r="158" customFormat="false" ht="15" hidden="false" customHeight="false" outlineLevel="0" collapsed="false">
      <c r="A158" s="10" t="str">
        <f aca="false">IF(D158="","","MH-"&amp;IFERROR(VLOOKUP(D158,Lists!$AB$4:$AC$20,2,0),"??")&amp;"-"&amp;TEXT(G158,"0000")&amp;IF(F158="Circular","D","x"&amp;TEXT(H158,"0000"))&amp;"-D"&amp;TEXT(J158*1000,"0000")&amp;"-"&amp;IFERROR(VLOOKUP(E158,Lists!$AE$4:$AF$16,2,0),"??")&amp;"-"&amp;AM158)</f>
        <v/>
      </c>
      <c r="B158" s="10" t="str">
        <f aca="false">IF(D158="","",D158&amp;", "&amp;E158&amp;", "&amp;IF(F158="Circular",G158&amp;" dia",G158&amp;" x "&amp;H158)&amp;", depth "&amp;TEXT(I158,"0.0")&amp;"-"&amp;TEXT(J158,"0.0")&amp;" m, pipe up to "&amp;K158&amp;" dia")</f>
        <v/>
      </c>
      <c r="C158" s="9"/>
      <c r="D158" s="9"/>
      <c r="E158" s="9"/>
      <c r="F158" s="9"/>
      <c r="G158" s="38"/>
      <c r="H158" s="38"/>
      <c r="I158" s="42"/>
      <c r="J158" s="42"/>
      <c r="K158" s="38"/>
      <c r="L158" s="38"/>
      <c r="M158" s="38"/>
      <c r="N158" s="38"/>
      <c r="O158" s="9"/>
      <c r="P158" s="9"/>
      <c r="Q158" s="9"/>
      <c r="R158" s="9"/>
      <c r="S158" s="9"/>
      <c r="T158" s="9"/>
      <c r="U158" s="9"/>
      <c r="V158" s="42"/>
      <c r="W158" s="9"/>
      <c r="X158" s="9"/>
      <c r="Y158" s="39"/>
      <c r="Z158" s="9"/>
      <c r="AA158" s="38"/>
      <c r="AB158" s="9"/>
      <c r="AC158" s="9"/>
      <c r="AD158" s="9"/>
      <c r="AE158" s="9"/>
      <c r="AF158" s="9"/>
      <c r="AG158" s="9"/>
      <c r="AH158" s="38"/>
      <c r="AI158" s="9"/>
      <c r="AJ158" s="39"/>
      <c r="AK158" s="9"/>
      <c r="AL158" s="9"/>
      <c r="AM158" s="9"/>
      <c r="AN158" s="9"/>
      <c r="AO158" s="9"/>
      <c r="AP158" s="9"/>
      <c r="AQ158" s="9"/>
      <c r="AR158" s="10" t="str">
        <f aca="false">IF(A158="","",SG_Criteria!$B$6&amp;SG_Criteria!$B$10&amp;"\"&amp;A158&amp;"\")</f>
        <v/>
      </c>
      <c r="AS158" s="10" t="str">
        <f aca="false">IF(A158="","",A158&amp;"_CAD.dwg")</f>
        <v/>
      </c>
      <c r="AT158" s="10" t="str">
        <f aca="false">IF(A158="","",A158&amp;"_DWG.pdf")</f>
        <v/>
      </c>
      <c r="AU158" s="10" t="str">
        <f aca="false">IF(A158="","",IF(AQ158="Y",A158&amp;"_STAAD.std","n/a"))</f>
        <v/>
      </c>
      <c r="AV158" s="10" t="str">
        <f aca="false">IF(A158="","",A158&amp;"_CALC.xlsx")</f>
        <v/>
      </c>
      <c r="AW158" s="10" t="str">
        <f aca="false">IF(A158="","",A158&amp;"_CALC.pdf")</f>
        <v/>
      </c>
      <c r="AX158" s="9"/>
      <c r="AY158" s="9"/>
      <c r="AZ158" s="39"/>
      <c r="BA158" s="39"/>
      <c r="BB158" s="39"/>
      <c r="BC158" s="39"/>
      <c r="BD158" s="39"/>
      <c r="BE158" s="12" t="str">
        <f aca="false">IF(A158="","",IF(COUNTIF(Rebar_Schedule!$A$5:$A$2004,A158)=0,"",ROUND(SUMIF(Rebar_Schedule!$A$5:$A$2004,A158,Rebar_Schedule!$K$5:$K$2004),1)))</f>
        <v/>
      </c>
      <c r="BF158" s="33" t="str">
        <f aca="false">IF(A158="","",IF(BE158="","No rebar schedule yet",IF(ABS(BE158-N(BA158))/MAX(N(BA158),1)&gt;SG_Criteria!$B$55,"NOTE: register rebar differs from schedule by "&amp;TEXT(ABS(BE158-N(BA158))/MAX(N(BA158),1),"0%"),"OK")))</f>
        <v/>
      </c>
      <c r="BG158" s="33" t="str">
        <f aca="false">IF(D158="","",IF(LEN(IF(AND(Z158&lt;&gt;"",IFERROR(VALUE(MID(Z158,2,2)),0)&lt;SG_Criteria!$B$19),"FAIL: grade below C"&amp;SG_Criteria!$B$19&amp;". ","")&amp;IF(AND(AA158&lt;&gt;"",AA158&lt;SG_Criteria!$B$20),"FAIL: cover &lt; "&amp;SG_Criteria!$B$20&amp;" mm. ","")&amp;IF(AND(I158&lt;&gt;"",I158&lt;SG_Criteria!$B$39),"NOTE: min depth below PUB "&amp;SG_Criteria!$B$39&amp;" m. ","")&amp;IF(AND(LEFT(D158,8)="Standard",J158&gt;SG_Criteria!$B$42),"FAIL: PUB 001C covers manholes up to "&amp;SG_Criteria!$B$42&amp;" m deep only. ","")&amp;IF(AND(LEFT(D158,11)="Rectangular",K158&lt;SG_Criteria!$B$43),"NOTE: 004C is for sewers &gt;= "&amp;SG_Criteria!$B$43&amp;" dia. ","")&amp;IF(AND(LEFT(D158,7)="Precast",J158&lt;=SG_Criteria!$B$42),"NOTE: 006C is for manholes &gt; "&amp;SG_Criteria!$B$42&amp;" m deep. ","")&amp;IF(AND(K158&lt;&gt;"",K158&lt;SG_Criteria!$B$40,D158&lt;&gt;"Inspection Chamber"),"NOTE: public sewer min dia "&amp;SG_Criteria!$B$40&amp;" mm. ","")&amp;IF(AND(Y158&lt;&gt;"",Y158&lt;SG_Criteria!$B$44),"FAIL: uplift FOS below "&amp;SG_Criteria!$B$44&amp;". ",""))=0,"OK",IF(AND(Z158&lt;&gt;"",IFERROR(VALUE(MID(Z158,2,2)),0)&lt;SG_Criteria!$B$19),"FAIL: grade below C"&amp;SG_Criteria!$B$19&amp;". ","")&amp;IF(AND(AA158&lt;&gt;"",AA158&lt;SG_Criteria!$B$20),"FAIL: cover &lt; "&amp;SG_Criteria!$B$20&amp;" mm. ","")&amp;IF(AND(I158&lt;&gt;"",I158&lt;SG_Criteria!$B$39),"NOTE: min depth below PUB "&amp;SG_Criteria!$B$39&amp;" m. ","")&amp;IF(AND(LEFT(D158,8)="Standard",J158&gt;SG_Criteria!$B$42),"FAIL: PUB 001C covers manholes up to "&amp;SG_Criteria!$B$42&amp;" m deep only. ","")&amp;IF(AND(LEFT(D158,11)="Rectangular",K158&lt;SG_Criteria!$B$43),"NOTE: 004C is for sewers &gt;= "&amp;SG_Criteria!$B$43&amp;" dia. ","")&amp;IF(AND(LEFT(D158,7)="Precast",J158&lt;=SG_Criteria!$B$42),"NOTE: 006C is for manholes &gt; "&amp;SG_Criteria!$B$42&amp;" m deep. ","")&amp;IF(AND(K158&lt;&gt;"",K158&lt;SG_Criteria!$B$40,D158&lt;&gt;"Inspection Chamber"),"NOTE: public sewer min dia "&amp;SG_Criteria!$B$40&amp;" mm. ","")&amp;IF(AND(Y158&lt;&gt;"",Y158&lt;SG_Criteria!$B$44),"FAIL: uplift FOS below "&amp;SG_Criteria!$B$44&amp;". ","")))</f>
        <v/>
      </c>
      <c r="BH158" s="9"/>
      <c r="BI158" s="9"/>
      <c r="BJ158" s="9"/>
      <c r="BK158" s="10" t="str">
        <f aca="false">IF(BJ158="","",IFERROR(VLOOKUP(BJ158,Projects!$A$5:$D$504,2,0),"Ref not in Projects"))</f>
        <v/>
      </c>
      <c r="BL158" s="10" t="str">
        <f aca="false">IF(BJ158="","",IFERROR(VLOOKUP(BJ158,Projects!$A$5:$D$504,4,0),"Ref not in Projects"))</f>
        <v/>
      </c>
      <c r="BM158" s="9"/>
      <c r="BN158" s="9"/>
      <c r="BO158" s="9"/>
      <c r="BP158" s="40"/>
      <c r="BQ158" s="9"/>
      <c r="BR158" s="40"/>
      <c r="BS158" s="9"/>
      <c r="BT158" s="40"/>
      <c r="BU158" s="9"/>
      <c r="BV158" s="9"/>
      <c r="BW158" s="9"/>
      <c r="BX158" s="40"/>
      <c r="BY158" s="40"/>
      <c r="BZ158" s="36" t="str">
        <f aca="false">IF(BY158="","",EDATE(BY158,SG_Criteria!$B$54*12))</f>
        <v/>
      </c>
      <c r="CA158" s="33" t="str">
        <f aca="true">IF(A158="","",IF(BY158="","NOTE: not reviewed yet",IF(TODAY()&gt;BZ158,"NOTE: review overdue","OK")))</f>
        <v/>
      </c>
      <c r="CB158" s="37" t="str">
        <f aca="false">IF(A158="","",ROUND((IF(LEN(D158)&gt;0,1,0)+IF(LEN(E158)&gt;0,1,0)+IF(LEN(F158)&gt;0,1,0)+IF(LEN(G158)&gt;0,1,0)+IF(LEN(I158)&gt;0,1,0)+IF(LEN(J158)&gt;0,1,0)+IF(LEN(K158)&gt;0,1,0)+IF(LEN(L158)&gt;0,1,0)+IF(LEN(M158)&gt;0,1,0)+IF(LEN(N158)&gt;0,1,0)+IF(LEN(Z158)&gt;0,1,0)+IF(LEN(AA158)&gt;0,1,0)+IF(LEN(Y158)&gt;0,1,0)+IF(LEN(AE158)&gt;0,1,0)+IF(LEN(AG158)&gt;0,1,0)+IF(LEN(AZ158)&gt;0,1,0)+IF(LEN(AK158)&gt;0,1,0)+IF(LEN(AM158)&gt;0,1,0)+IF(LEN(AN158)&gt;0,1,0)+IF(LEN(AO158)&gt;0,1,0)+IF(LEN(AP158)&gt;0,1,0)+IF(LEN(AY158)&gt;0,1,0)+IF(LEN(BJ158)&gt;0,1,0)+IF(LEN(BW158)&gt;0,1,0))/24,2))</f>
        <v/>
      </c>
      <c r="CC158" s="10" t="str">
        <f aca="false">IF(D158="","",IF(AND(AN158="Approved",ISERROR(SEARCH("FAIL",BG158))),"Y","N"))</f>
        <v/>
      </c>
      <c r="CD158" s="10" t="str">
        <f aca="false">IF(D158="","",D158&amp;"|"&amp;J158&amp;"|"&amp;G158&amp;"|"&amp;CC158)</f>
        <v/>
      </c>
    </row>
    <row r="159" customFormat="false" ht="15" hidden="false" customHeight="false" outlineLevel="0" collapsed="false">
      <c r="A159" s="10" t="str">
        <f aca="false">IF(D159="","","MH-"&amp;IFERROR(VLOOKUP(D159,Lists!$AB$4:$AC$20,2,0),"??")&amp;"-"&amp;TEXT(G159,"0000")&amp;IF(F159="Circular","D","x"&amp;TEXT(H159,"0000"))&amp;"-D"&amp;TEXT(J159*1000,"0000")&amp;"-"&amp;IFERROR(VLOOKUP(E159,Lists!$AE$4:$AF$16,2,0),"??")&amp;"-"&amp;AM159)</f>
        <v/>
      </c>
      <c r="B159" s="10" t="str">
        <f aca="false">IF(D159="","",D159&amp;", "&amp;E159&amp;", "&amp;IF(F159="Circular",G159&amp;" dia",G159&amp;" x "&amp;H159)&amp;", depth "&amp;TEXT(I159,"0.0")&amp;"-"&amp;TEXT(J159,"0.0")&amp;" m, pipe up to "&amp;K159&amp;" dia")</f>
        <v/>
      </c>
      <c r="C159" s="9"/>
      <c r="D159" s="9"/>
      <c r="E159" s="9"/>
      <c r="F159" s="9"/>
      <c r="G159" s="38"/>
      <c r="H159" s="38"/>
      <c r="I159" s="42"/>
      <c r="J159" s="42"/>
      <c r="K159" s="38"/>
      <c r="L159" s="38"/>
      <c r="M159" s="38"/>
      <c r="N159" s="38"/>
      <c r="O159" s="9"/>
      <c r="P159" s="9"/>
      <c r="Q159" s="9"/>
      <c r="R159" s="9"/>
      <c r="S159" s="9"/>
      <c r="T159" s="9"/>
      <c r="U159" s="9"/>
      <c r="V159" s="42"/>
      <c r="W159" s="9"/>
      <c r="X159" s="9"/>
      <c r="Y159" s="39"/>
      <c r="Z159" s="9"/>
      <c r="AA159" s="38"/>
      <c r="AB159" s="9"/>
      <c r="AC159" s="9"/>
      <c r="AD159" s="9"/>
      <c r="AE159" s="9"/>
      <c r="AF159" s="9"/>
      <c r="AG159" s="9"/>
      <c r="AH159" s="38"/>
      <c r="AI159" s="9"/>
      <c r="AJ159" s="39"/>
      <c r="AK159" s="9"/>
      <c r="AL159" s="9"/>
      <c r="AM159" s="9"/>
      <c r="AN159" s="9"/>
      <c r="AO159" s="9"/>
      <c r="AP159" s="9"/>
      <c r="AQ159" s="9"/>
      <c r="AR159" s="10" t="str">
        <f aca="false">IF(A159="","",SG_Criteria!$B$6&amp;SG_Criteria!$B$10&amp;"\"&amp;A159&amp;"\")</f>
        <v/>
      </c>
      <c r="AS159" s="10" t="str">
        <f aca="false">IF(A159="","",A159&amp;"_CAD.dwg")</f>
        <v/>
      </c>
      <c r="AT159" s="10" t="str">
        <f aca="false">IF(A159="","",A159&amp;"_DWG.pdf")</f>
        <v/>
      </c>
      <c r="AU159" s="10" t="str">
        <f aca="false">IF(A159="","",IF(AQ159="Y",A159&amp;"_STAAD.std","n/a"))</f>
        <v/>
      </c>
      <c r="AV159" s="10" t="str">
        <f aca="false">IF(A159="","",A159&amp;"_CALC.xlsx")</f>
        <v/>
      </c>
      <c r="AW159" s="10" t="str">
        <f aca="false">IF(A159="","",A159&amp;"_CALC.pdf")</f>
        <v/>
      </c>
      <c r="AX159" s="9"/>
      <c r="AY159" s="9"/>
      <c r="AZ159" s="39"/>
      <c r="BA159" s="39"/>
      <c r="BB159" s="39"/>
      <c r="BC159" s="39"/>
      <c r="BD159" s="39"/>
      <c r="BE159" s="12" t="str">
        <f aca="false">IF(A159="","",IF(COUNTIF(Rebar_Schedule!$A$5:$A$2004,A159)=0,"",ROUND(SUMIF(Rebar_Schedule!$A$5:$A$2004,A159,Rebar_Schedule!$K$5:$K$2004),1)))</f>
        <v/>
      </c>
      <c r="BF159" s="33" t="str">
        <f aca="false">IF(A159="","",IF(BE159="","No rebar schedule yet",IF(ABS(BE159-N(BA159))/MAX(N(BA159),1)&gt;SG_Criteria!$B$55,"NOTE: register rebar differs from schedule by "&amp;TEXT(ABS(BE159-N(BA159))/MAX(N(BA159),1),"0%"),"OK")))</f>
        <v/>
      </c>
      <c r="BG159" s="33" t="str">
        <f aca="false">IF(D159="","",IF(LEN(IF(AND(Z159&lt;&gt;"",IFERROR(VALUE(MID(Z159,2,2)),0)&lt;SG_Criteria!$B$19),"FAIL: grade below C"&amp;SG_Criteria!$B$19&amp;". ","")&amp;IF(AND(AA159&lt;&gt;"",AA159&lt;SG_Criteria!$B$20),"FAIL: cover &lt; "&amp;SG_Criteria!$B$20&amp;" mm. ","")&amp;IF(AND(I159&lt;&gt;"",I159&lt;SG_Criteria!$B$39),"NOTE: min depth below PUB "&amp;SG_Criteria!$B$39&amp;" m. ","")&amp;IF(AND(LEFT(D159,8)="Standard",J159&gt;SG_Criteria!$B$42),"FAIL: PUB 001C covers manholes up to "&amp;SG_Criteria!$B$42&amp;" m deep only. ","")&amp;IF(AND(LEFT(D159,11)="Rectangular",K159&lt;SG_Criteria!$B$43),"NOTE: 004C is for sewers &gt;= "&amp;SG_Criteria!$B$43&amp;" dia. ","")&amp;IF(AND(LEFT(D159,7)="Precast",J159&lt;=SG_Criteria!$B$42),"NOTE: 006C is for manholes &gt; "&amp;SG_Criteria!$B$42&amp;" m deep. ","")&amp;IF(AND(K159&lt;&gt;"",K159&lt;SG_Criteria!$B$40,D159&lt;&gt;"Inspection Chamber"),"NOTE: public sewer min dia "&amp;SG_Criteria!$B$40&amp;" mm. ","")&amp;IF(AND(Y159&lt;&gt;"",Y159&lt;SG_Criteria!$B$44),"FAIL: uplift FOS below "&amp;SG_Criteria!$B$44&amp;". ",""))=0,"OK",IF(AND(Z159&lt;&gt;"",IFERROR(VALUE(MID(Z159,2,2)),0)&lt;SG_Criteria!$B$19),"FAIL: grade below C"&amp;SG_Criteria!$B$19&amp;". ","")&amp;IF(AND(AA159&lt;&gt;"",AA159&lt;SG_Criteria!$B$20),"FAIL: cover &lt; "&amp;SG_Criteria!$B$20&amp;" mm. ","")&amp;IF(AND(I159&lt;&gt;"",I159&lt;SG_Criteria!$B$39),"NOTE: min depth below PUB "&amp;SG_Criteria!$B$39&amp;" m. ","")&amp;IF(AND(LEFT(D159,8)="Standard",J159&gt;SG_Criteria!$B$42),"FAIL: PUB 001C covers manholes up to "&amp;SG_Criteria!$B$42&amp;" m deep only. ","")&amp;IF(AND(LEFT(D159,11)="Rectangular",K159&lt;SG_Criteria!$B$43),"NOTE: 004C is for sewers &gt;= "&amp;SG_Criteria!$B$43&amp;" dia. ","")&amp;IF(AND(LEFT(D159,7)="Precast",J159&lt;=SG_Criteria!$B$42),"NOTE: 006C is for manholes &gt; "&amp;SG_Criteria!$B$42&amp;" m deep. ","")&amp;IF(AND(K159&lt;&gt;"",K159&lt;SG_Criteria!$B$40,D159&lt;&gt;"Inspection Chamber"),"NOTE: public sewer min dia "&amp;SG_Criteria!$B$40&amp;" mm. ","")&amp;IF(AND(Y159&lt;&gt;"",Y159&lt;SG_Criteria!$B$44),"FAIL: uplift FOS below "&amp;SG_Criteria!$B$44&amp;". ","")))</f>
        <v/>
      </c>
      <c r="BH159" s="9"/>
      <c r="BI159" s="9"/>
      <c r="BJ159" s="9"/>
      <c r="BK159" s="10" t="str">
        <f aca="false">IF(BJ159="","",IFERROR(VLOOKUP(BJ159,Projects!$A$5:$D$504,2,0),"Ref not in Projects"))</f>
        <v/>
      </c>
      <c r="BL159" s="10" t="str">
        <f aca="false">IF(BJ159="","",IFERROR(VLOOKUP(BJ159,Projects!$A$5:$D$504,4,0),"Ref not in Projects"))</f>
        <v/>
      </c>
      <c r="BM159" s="9"/>
      <c r="BN159" s="9"/>
      <c r="BO159" s="9"/>
      <c r="BP159" s="40"/>
      <c r="BQ159" s="9"/>
      <c r="BR159" s="40"/>
      <c r="BS159" s="9"/>
      <c r="BT159" s="40"/>
      <c r="BU159" s="9"/>
      <c r="BV159" s="9"/>
      <c r="BW159" s="9"/>
      <c r="BX159" s="40"/>
      <c r="BY159" s="40"/>
      <c r="BZ159" s="36" t="str">
        <f aca="false">IF(BY159="","",EDATE(BY159,SG_Criteria!$B$54*12))</f>
        <v/>
      </c>
      <c r="CA159" s="33" t="str">
        <f aca="true">IF(A159="","",IF(BY159="","NOTE: not reviewed yet",IF(TODAY()&gt;BZ159,"NOTE: review overdue","OK")))</f>
        <v/>
      </c>
      <c r="CB159" s="37" t="str">
        <f aca="false">IF(A159="","",ROUND((IF(LEN(D159)&gt;0,1,0)+IF(LEN(E159)&gt;0,1,0)+IF(LEN(F159)&gt;0,1,0)+IF(LEN(G159)&gt;0,1,0)+IF(LEN(I159)&gt;0,1,0)+IF(LEN(J159)&gt;0,1,0)+IF(LEN(K159)&gt;0,1,0)+IF(LEN(L159)&gt;0,1,0)+IF(LEN(M159)&gt;0,1,0)+IF(LEN(N159)&gt;0,1,0)+IF(LEN(Z159)&gt;0,1,0)+IF(LEN(AA159)&gt;0,1,0)+IF(LEN(Y159)&gt;0,1,0)+IF(LEN(AE159)&gt;0,1,0)+IF(LEN(AG159)&gt;0,1,0)+IF(LEN(AZ159)&gt;0,1,0)+IF(LEN(AK159)&gt;0,1,0)+IF(LEN(AM159)&gt;0,1,0)+IF(LEN(AN159)&gt;0,1,0)+IF(LEN(AO159)&gt;0,1,0)+IF(LEN(AP159)&gt;0,1,0)+IF(LEN(AY159)&gt;0,1,0)+IF(LEN(BJ159)&gt;0,1,0)+IF(LEN(BW159)&gt;0,1,0))/24,2))</f>
        <v/>
      </c>
      <c r="CC159" s="10" t="str">
        <f aca="false">IF(D159="","",IF(AND(AN159="Approved",ISERROR(SEARCH("FAIL",BG159))),"Y","N"))</f>
        <v/>
      </c>
      <c r="CD159" s="10" t="str">
        <f aca="false">IF(D159="","",D159&amp;"|"&amp;J159&amp;"|"&amp;G159&amp;"|"&amp;CC159)</f>
        <v/>
      </c>
    </row>
    <row r="160" customFormat="false" ht="15" hidden="false" customHeight="false" outlineLevel="0" collapsed="false">
      <c r="A160" s="10" t="str">
        <f aca="false">IF(D160="","","MH-"&amp;IFERROR(VLOOKUP(D160,Lists!$AB$4:$AC$20,2,0),"??")&amp;"-"&amp;TEXT(G160,"0000")&amp;IF(F160="Circular","D","x"&amp;TEXT(H160,"0000"))&amp;"-D"&amp;TEXT(J160*1000,"0000")&amp;"-"&amp;IFERROR(VLOOKUP(E160,Lists!$AE$4:$AF$16,2,0),"??")&amp;"-"&amp;AM160)</f>
        <v/>
      </c>
      <c r="B160" s="10" t="str">
        <f aca="false">IF(D160="","",D160&amp;", "&amp;E160&amp;", "&amp;IF(F160="Circular",G160&amp;" dia",G160&amp;" x "&amp;H160)&amp;", depth "&amp;TEXT(I160,"0.0")&amp;"-"&amp;TEXT(J160,"0.0")&amp;" m, pipe up to "&amp;K160&amp;" dia")</f>
        <v/>
      </c>
      <c r="C160" s="9"/>
      <c r="D160" s="9"/>
      <c r="E160" s="9"/>
      <c r="F160" s="9"/>
      <c r="G160" s="38"/>
      <c r="H160" s="38"/>
      <c r="I160" s="42"/>
      <c r="J160" s="42"/>
      <c r="K160" s="38"/>
      <c r="L160" s="38"/>
      <c r="M160" s="38"/>
      <c r="N160" s="38"/>
      <c r="O160" s="9"/>
      <c r="P160" s="9"/>
      <c r="Q160" s="9"/>
      <c r="R160" s="9"/>
      <c r="S160" s="9"/>
      <c r="T160" s="9"/>
      <c r="U160" s="9"/>
      <c r="V160" s="42"/>
      <c r="W160" s="9"/>
      <c r="X160" s="9"/>
      <c r="Y160" s="39"/>
      <c r="Z160" s="9"/>
      <c r="AA160" s="38"/>
      <c r="AB160" s="9"/>
      <c r="AC160" s="9"/>
      <c r="AD160" s="9"/>
      <c r="AE160" s="9"/>
      <c r="AF160" s="9"/>
      <c r="AG160" s="9"/>
      <c r="AH160" s="38"/>
      <c r="AI160" s="9"/>
      <c r="AJ160" s="39"/>
      <c r="AK160" s="9"/>
      <c r="AL160" s="9"/>
      <c r="AM160" s="9"/>
      <c r="AN160" s="9"/>
      <c r="AO160" s="9"/>
      <c r="AP160" s="9"/>
      <c r="AQ160" s="9"/>
      <c r="AR160" s="10" t="str">
        <f aca="false">IF(A160="","",SG_Criteria!$B$6&amp;SG_Criteria!$B$10&amp;"\"&amp;A160&amp;"\")</f>
        <v/>
      </c>
      <c r="AS160" s="10" t="str">
        <f aca="false">IF(A160="","",A160&amp;"_CAD.dwg")</f>
        <v/>
      </c>
      <c r="AT160" s="10" t="str">
        <f aca="false">IF(A160="","",A160&amp;"_DWG.pdf")</f>
        <v/>
      </c>
      <c r="AU160" s="10" t="str">
        <f aca="false">IF(A160="","",IF(AQ160="Y",A160&amp;"_STAAD.std","n/a"))</f>
        <v/>
      </c>
      <c r="AV160" s="10" t="str">
        <f aca="false">IF(A160="","",A160&amp;"_CALC.xlsx")</f>
        <v/>
      </c>
      <c r="AW160" s="10" t="str">
        <f aca="false">IF(A160="","",A160&amp;"_CALC.pdf")</f>
        <v/>
      </c>
      <c r="AX160" s="9"/>
      <c r="AY160" s="9"/>
      <c r="AZ160" s="39"/>
      <c r="BA160" s="39"/>
      <c r="BB160" s="39"/>
      <c r="BC160" s="39"/>
      <c r="BD160" s="39"/>
      <c r="BE160" s="12" t="str">
        <f aca="false">IF(A160="","",IF(COUNTIF(Rebar_Schedule!$A$5:$A$2004,A160)=0,"",ROUND(SUMIF(Rebar_Schedule!$A$5:$A$2004,A160,Rebar_Schedule!$K$5:$K$2004),1)))</f>
        <v/>
      </c>
      <c r="BF160" s="33" t="str">
        <f aca="false">IF(A160="","",IF(BE160="","No rebar schedule yet",IF(ABS(BE160-N(BA160))/MAX(N(BA160),1)&gt;SG_Criteria!$B$55,"NOTE: register rebar differs from schedule by "&amp;TEXT(ABS(BE160-N(BA160))/MAX(N(BA160),1),"0%"),"OK")))</f>
        <v/>
      </c>
      <c r="BG160" s="33" t="str">
        <f aca="false">IF(D160="","",IF(LEN(IF(AND(Z160&lt;&gt;"",IFERROR(VALUE(MID(Z160,2,2)),0)&lt;SG_Criteria!$B$19),"FAIL: grade below C"&amp;SG_Criteria!$B$19&amp;". ","")&amp;IF(AND(AA160&lt;&gt;"",AA160&lt;SG_Criteria!$B$20),"FAIL: cover &lt; "&amp;SG_Criteria!$B$20&amp;" mm. ","")&amp;IF(AND(I160&lt;&gt;"",I160&lt;SG_Criteria!$B$39),"NOTE: min depth below PUB "&amp;SG_Criteria!$B$39&amp;" m. ","")&amp;IF(AND(LEFT(D160,8)="Standard",J160&gt;SG_Criteria!$B$42),"FAIL: PUB 001C covers manholes up to "&amp;SG_Criteria!$B$42&amp;" m deep only. ","")&amp;IF(AND(LEFT(D160,11)="Rectangular",K160&lt;SG_Criteria!$B$43),"NOTE: 004C is for sewers &gt;= "&amp;SG_Criteria!$B$43&amp;" dia. ","")&amp;IF(AND(LEFT(D160,7)="Precast",J160&lt;=SG_Criteria!$B$42),"NOTE: 006C is for manholes &gt; "&amp;SG_Criteria!$B$42&amp;" m deep. ","")&amp;IF(AND(K160&lt;&gt;"",K160&lt;SG_Criteria!$B$40,D160&lt;&gt;"Inspection Chamber"),"NOTE: public sewer min dia "&amp;SG_Criteria!$B$40&amp;" mm. ","")&amp;IF(AND(Y160&lt;&gt;"",Y160&lt;SG_Criteria!$B$44),"FAIL: uplift FOS below "&amp;SG_Criteria!$B$44&amp;". ",""))=0,"OK",IF(AND(Z160&lt;&gt;"",IFERROR(VALUE(MID(Z160,2,2)),0)&lt;SG_Criteria!$B$19),"FAIL: grade below C"&amp;SG_Criteria!$B$19&amp;". ","")&amp;IF(AND(AA160&lt;&gt;"",AA160&lt;SG_Criteria!$B$20),"FAIL: cover &lt; "&amp;SG_Criteria!$B$20&amp;" mm. ","")&amp;IF(AND(I160&lt;&gt;"",I160&lt;SG_Criteria!$B$39),"NOTE: min depth below PUB "&amp;SG_Criteria!$B$39&amp;" m. ","")&amp;IF(AND(LEFT(D160,8)="Standard",J160&gt;SG_Criteria!$B$42),"FAIL: PUB 001C covers manholes up to "&amp;SG_Criteria!$B$42&amp;" m deep only. ","")&amp;IF(AND(LEFT(D160,11)="Rectangular",K160&lt;SG_Criteria!$B$43),"NOTE: 004C is for sewers &gt;= "&amp;SG_Criteria!$B$43&amp;" dia. ","")&amp;IF(AND(LEFT(D160,7)="Precast",J160&lt;=SG_Criteria!$B$42),"NOTE: 006C is for manholes &gt; "&amp;SG_Criteria!$B$42&amp;" m deep. ","")&amp;IF(AND(K160&lt;&gt;"",K160&lt;SG_Criteria!$B$40,D160&lt;&gt;"Inspection Chamber"),"NOTE: public sewer min dia "&amp;SG_Criteria!$B$40&amp;" mm. ","")&amp;IF(AND(Y160&lt;&gt;"",Y160&lt;SG_Criteria!$B$44),"FAIL: uplift FOS below "&amp;SG_Criteria!$B$44&amp;". ","")))</f>
        <v/>
      </c>
      <c r="BH160" s="9"/>
      <c r="BI160" s="9"/>
      <c r="BJ160" s="9"/>
      <c r="BK160" s="10" t="str">
        <f aca="false">IF(BJ160="","",IFERROR(VLOOKUP(BJ160,Projects!$A$5:$D$504,2,0),"Ref not in Projects"))</f>
        <v/>
      </c>
      <c r="BL160" s="10" t="str">
        <f aca="false">IF(BJ160="","",IFERROR(VLOOKUP(BJ160,Projects!$A$5:$D$504,4,0),"Ref not in Projects"))</f>
        <v/>
      </c>
      <c r="BM160" s="9"/>
      <c r="BN160" s="9"/>
      <c r="BO160" s="9"/>
      <c r="BP160" s="40"/>
      <c r="BQ160" s="9"/>
      <c r="BR160" s="40"/>
      <c r="BS160" s="9"/>
      <c r="BT160" s="40"/>
      <c r="BU160" s="9"/>
      <c r="BV160" s="9"/>
      <c r="BW160" s="9"/>
      <c r="BX160" s="40"/>
      <c r="BY160" s="40"/>
      <c r="BZ160" s="36" t="str">
        <f aca="false">IF(BY160="","",EDATE(BY160,SG_Criteria!$B$54*12))</f>
        <v/>
      </c>
      <c r="CA160" s="33" t="str">
        <f aca="true">IF(A160="","",IF(BY160="","NOTE: not reviewed yet",IF(TODAY()&gt;BZ160,"NOTE: review overdue","OK")))</f>
        <v/>
      </c>
      <c r="CB160" s="37" t="str">
        <f aca="false">IF(A160="","",ROUND((IF(LEN(D160)&gt;0,1,0)+IF(LEN(E160)&gt;0,1,0)+IF(LEN(F160)&gt;0,1,0)+IF(LEN(G160)&gt;0,1,0)+IF(LEN(I160)&gt;0,1,0)+IF(LEN(J160)&gt;0,1,0)+IF(LEN(K160)&gt;0,1,0)+IF(LEN(L160)&gt;0,1,0)+IF(LEN(M160)&gt;0,1,0)+IF(LEN(N160)&gt;0,1,0)+IF(LEN(Z160)&gt;0,1,0)+IF(LEN(AA160)&gt;0,1,0)+IF(LEN(Y160)&gt;0,1,0)+IF(LEN(AE160)&gt;0,1,0)+IF(LEN(AG160)&gt;0,1,0)+IF(LEN(AZ160)&gt;0,1,0)+IF(LEN(AK160)&gt;0,1,0)+IF(LEN(AM160)&gt;0,1,0)+IF(LEN(AN160)&gt;0,1,0)+IF(LEN(AO160)&gt;0,1,0)+IF(LEN(AP160)&gt;0,1,0)+IF(LEN(AY160)&gt;0,1,0)+IF(LEN(BJ160)&gt;0,1,0)+IF(LEN(BW160)&gt;0,1,0))/24,2))</f>
        <v/>
      </c>
      <c r="CC160" s="10" t="str">
        <f aca="false">IF(D160="","",IF(AND(AN160="Approved",ISERROR(SEARCH("FAIL",BG160))),"Y","N"))</f>
        <v/>
      </c>
      <c r="CD160" s="10" t="str">
        <f aca="false">IF(D160="","",D160&amp;"|"&amp;J160&amp;"|"&amp;G160&amp;"|"&amp;CC160)</f>
        <v/>
      </c>
    </row>
    <row r="161" customFormat="false" ht="15" hidden="false" customHeight="false" outlineLevel="0" collapsed="false">
      <c r="A161" s="10" t="str">
        <f aca="false">IF(D161="","","MH-"&amp;IFERROR(VLOOKUP(D161,Lists!$AB$4:$AC$20,2,0),"??")&amp;"-"&amp;TEXT(G161,"0000")&amp;IF(F161="Circular","D","x"&amp;TEXT(H161,"0000"))&amp;"-D"&amp;TEXT(J161*1000,"0000")&amp;"-"&amp;IFERROR(VLOOKUP(E161,Lists!$AE$4:$AF$16,2,0),"??")&amp;"-"&amp;AM161)</f>
        <v/>
      </c>
      <c r="B161" s="10" t="str">
        <f aca="false">IF(D161="","",D161&amp;", "&amp;E161&amp;", "&amp;IF(F161="Circular",G161&amp;" dia",G161&amp;" x "&amp;H161)&amp;", depth "&amp;TEXT(I161,"0.0")&amp;"-"&amp;TEXT(J161,"0.0")&amp;" m, pipe up to "&amp;K161&amp;" dia")</f>
        <v/>
      </c>
      <c r="C161" s="9"/>
      <c r="D161" s="9"/>
      <c r="E161" s="9"/>
      <c r="F161" s="9"/>
      <c r="G161" s="38"/>
      <c r="H161" s="38"/>
      <c r="I161" s="42"/>
      <c r="J161" s="42"/>
      <c r="K161" s="38"/>
      <c r="L161" s="38"/>
      <c r="M161" s="38"/>
      <c r="N161" s="38"/>
      <c r="O161" s="9"/>
      <c r="P161" s="9"/>
      <c r="Q161" s="9"/>
      <c r="R161" s="9"/>
      <c r="S161" s="9"/>
      <c r="T161" s="9"/>
      <c r="U161" s="9"/>
      <c r="V161" s="42"/>
      <c r="W161" s="9"/>
      <c r="X161" s="9"/>
      <c r="Y161" s="39"/>
      <c r="Z161" s="9"/>
      <c r="AA161" s="38"/>
      <c r="AB161" s="9"/>
      <c r="AC161" s="9"/>
      <c r="AD161" s="9"/>
      <c r="AE161" s="9"/>
      <c r="AF161" s="9"/>
      <c r="AG161" s="9"/>
      <c r="AH161" s="38"/>
      <c r="AI161" s="9"/>
      <c r="AJ161" s="39"/>
      <c r="AK161" s="9"/>
      <c r="AL161" s="9"/>
      <c r="AM161" s="9"/>
      <c r="AN161" s="9"/>
      <c r="AO161" s="9"/>
      <c r="AP161" s="9"/>
      <c r="AQ161" s="9"/>
      <c r="AR161" s="10" t="str">
        <f aca="false">IF(A161="","",SG_Criteria!$B$6&amp;SG_Criteria!$B$10&amp;"\"&amp;A161&amp;"\")</f>
        <v/>
      </c>
      <c r="AS161" s="10" t="str">
        <f aca="false">IF(A161="","",A161&amp;"_CAD.dwg")</f>
        <v/>
      </c>
      <c r="AT161" s="10" t="str">
        <f aca="false">IF(A161="","",A161&amp;"_DWG.pdf")</f>
        <v/>
      </c>
      <c r="AU161" s="10" t="str">
        <f aca="false">IF(A161="","",IF(AQ161="Y",A161&amp;"_STAAD.std","n/a"))</f>
        <v/>
      </c>
      <c r="AV161" s="10" t="str">
        <f aca="false">IF(A161="","",A161&amp;"_CALC.xlsx")</f>
        <v/>
      </c>
      <c r="AW161" s="10" t="str">
        <f aca="false">IF(A161="","",A161&amp;"_CALC.pdf")</f>
        <v/>
      </c>
      <c r="AX161" s="9"/>
      <c r="AY161" s="9"/>
      <c r="AZ161" s="39"/>
      <c r="BA161" s="39"/>
      <c r="BB161" s="39"/>
      <c r="BC161" s="39"/>
      <c r="BD161" s="39"/>
      <c r="BE161" s="12" t="str">
        <f aca="false">IF(A161="","",IF(COUNTIF(Rebar_Schedule!$A$5:$A$2004,A161)=0,"",ROUND(SUMIF(Rebar_Schedule!$A$5:$A$2004,A161,Rebar_Schedule!$K$5:$K$2004),1)))</f>
        <v/>
      </c>
      <c r="BF161" s="33" t="str">
        <f aca="false">IF(A161="","",IF(BE161="","No rebar schedule yet",IF(ABS(BE161-N(BA161))/MAX(N(BA161),1)&gt;SG_Criteria!$B$55,"NOTE: register rebar differs from schedule by "&amp;TEXT(ABS(BE161-N(BA161))/MAX(N(BA161),1),"0%"),"OK")))</f>
        <v/>
      </c>
      <c r="BG161" s="33" t="str">
        <f aca="false">IF(D161="","",IF(LEN(IF(AND(Z161&lt;&gt;"",IFERROR(VALUE(MID(Z161,2,2)),0)&lt;SG_Criteria!$B$19),"FAIL: grade below C"&amp;SG_Criteria!$B$19&amp;". ","")&amp;IF(AND(AA161&lt;&gt;"",AA161&lt;SG_Criteria!$B$20),"FAIL: cover &lt; "&amp;SG_Criteria!$B$20&amp;" mm. ","")&amp;IF(AND(I161&lt;&gt;"",I161&lt;SG_Criteria!$B$39),"NOTE: min depth below PUB "&amp;SG_Criteria!$B$39&amp;" m. ","")&amp;IF(AND(LEFT(D161,8)="Standard",J161&gt;SG_Criteria!$B$42),"FAIL: PUB 001C covers manholes up to "&amp;SG_Criteria!$B$42&amp;" m deep only. ","")&amp;IF(AND(LEFT(D161,11)="Rectangular",K161&lt;SG_Criteria!$B$43),"NOTE: 004C is for sewers &gt;= "&amp;SG_Criteria!$B$43&amp;" dia. ","")&amp;IF(AND(LEFT(D161,7)="Precast",J161&lt;=SG_Criteria!$B$42),"NOTE: 006C is for manholes &gt; "&amp;SG_Criteria!$B$42&amp;" m deep. ","")&amp;IF(AND(K161&lt;&gt;"",K161&lt;SG_Criteria!$B$40,D161&lt;&gt;"Inspection Chamber"),"NOTE: public sewer min dia "&amp;SG_Criteria!$B$40&amp;" mm. ","")&amp;IF(AND(Y161&lt;&gt;"",Y161&lt;SG_Criteria!$B$44),"FAIL: uplift FOS below "&amp;SG_Criteria!$B$44&amp;". ",""))=0,"OK",IF(AND(Z161&lt;&gt;"",IFERROR(VALUE(MID(Z161,2,2)),0)&lt;SG_Criteria!$B$19),"FAIL: grade below C"&amp;SG_Criteria!$B$19&amp;". ","")&amp;IF(AND(AA161&lt;&gt;"",AA161&lt;SG_Criteria!$B$20),"FAIL: cover &lt; "&amp;SG_Criteria!$B$20&amp;" mm. ","")&amp;IF(AND(I161&lt;&gt;"",I161&lt;SG_Criteria!$B$39),"NOTE: min depth below PUB "&amp;SG_Criteria!$B$39&amp;" m. ","")&amp;IF(AND(LEFT(D161,8)="Standard",J161&gt;SG_Criteria!$B$42),"FAIL: PUB 001C covers manholes up to "&amp;SG_Criteria!$B$42&amp;" m deep only. ","")&amp;IF(AND(LEFT(D161,11)="Rectangular",K161&lt;SG_Criteria!$B$43),"NOTE: 004C is for sewers &gt;= "&amp;SG_Criteria!$B$43&amp;" dia. ","")&amp;IF(AND(LEFT(D161,7)="Precast",J161&lt;=SG_Criteria!$B$42),"NOTE: 006C is for manholes &gt; "&amp;SG_Criteria!$B$42&amp;" m deep. ","")&amp;IF(AND(K161&lt;&gt;"",K161&lt;SG_Criteria!$B$40,D161&lt;&gt;"Inspection Chamber"),"NOTE: public sewer min dia "&amp;SG_Criteria!$B$40&amp;" mm. ","")&amp;IF(AND(Y161&lt;&gt;"",Y161&lt;SG_Criteria!$B$44),"FAIL: uplift FOS below "&amp;SG_Criteria!$B$44&amp;". ","")))</f>
        <v/>
      </c>
      <c r="BH161" s="9"/>
      <c r="BI161" s="9"/>
      <c r="BJ161" s="9"/>
      <c r="BK161" s="10" t="str">
        <f aca="false">IF(BJ161="","",IFERROR(VLOOKUP(BJ161,Projects!$A$5:$D$504,2,0),"Ref not in Projects"))</f>
        <v/>
      </c>
      <c r="BL161" s="10" t="str">
        <f aca="false">IF(BJ161="","",IFERROR(VLOOKUP(BJ161,Projects!$A$5:$D$504,4,0),"Ref not in Projects"))</f>
        <v/>
      </c>
      <c r="BM161" s="9"/>
      <c r="BN161" s="9"/>
      <c r="BO161" s="9"/>
      <c r="BP161" s="40"/>
      <c r="BQ161" s="9"/>
      <c r="BR161" s="40"/>
      <c r="BS161" s="9"/>
      <c r="BT161" s="40"/>
      <c r="BU161" s="9"/>
      <c r="BV161" s="9"/>
      <c r="BW161" s="9"/>
      <c r="BX161" s="40"/>
      <c r="BY161" s="40"/>
      <c r="BZ161" s="36" t="str">
        <f aca="false">IF(BY161="","",EDATE(BY161,SG_Criteria!$B$54*12))</f>
        <v/>
      </c>
      <c r="CA161" s="33" t="str">
        <f aca="true">IF(A161="","",IF(BY161="","NOTE: not reviewed yet",IF(TODAY()&gt;BZ161,"NOTE: review overdue","OK")))</f>
        <v/>
      </c>
      <c r="CB161" s="37" t="str">
        <f aca="false">IF(A161="","",ROUND((IF(LEN(D161)&gt;0,1,0)+IF(LEN(E161)&gt;0,1,0)+IF(LEN(F161)&gt;0,1,0)+IF(LEN(G161)&gt;0,1,0)+IF(LEN(I161)&gt;0,1,0)+IF(LEN(J161)&gt;0,1,0)+IF(LEN(K161)&gt;0,1,0)+IF(LEN(L161)&gt;0,1,0)+IF(LEN(M161)&gt;0,1,0)+IF(LEN(N161)&gt;0,1,0)+IF(LEN(Z161)&gt;0,1,0)+IF(LEN(AA161)&gt;0,1,0)+IF(LEN(Y161)&gt;0,1,0)+IF(LEN(AE161)&gt;0,1,0)+IF(LEN(AG161)&gt;0,1,0)+IF(LEN(AZ161)&gt;0,1,0)+IF(LEN(AK161)&gt;0,1,0)+IF(LEN(AM161)&gt;0,1,0)+IF(LEN(AN161)&gt;0,1,0)+IF(LEN(AO161)&gt;0,1,0)+IF(LEN(AP161)&gt;0,1,0)+IF(LEN(AY161)&gt;0,1,0)+IF(LEN(BJ161)&gt;0,1,0)+IF(LEN(BW161)&gt;0,1,0))/24,2))</f>
        <v/>
      </c>
      <c r="CC161" s="10" t="str">
        <f aca="false">IF(D161="","",IF(AND(AN161="Approved",ISERROR(SEARCH("FAIL",BG161))),"Y","N"))</f>
        <v/>
      </c>
      <c r="CD161" s="10" t="str">
        <f aca="false">IF(D161="","",D161&amp;"|"&amp;J161&amp;"|"&amp;G161&amp;"|"&amp;CC161)</f>
        <v/>
      </c>
    </row>
    <row r="162" customFormat="false" ht="15" hidden="false" customHeight="false" outlineLevel="0" collapsed="false">
      <c r="A162" s="10" t="str">
        <f aca="false">IF(D162="","","MH-"&amp;IFERROR(VLOOKUP(D162,Lists!$AB$4:$AC$20,2,0),"??")&amp;"-"&amp;TEXT(G162,"0000")&amp;IF(F162="Circular","D","x"&amp;TEXT(H162,"0000"))&amp;"-D"&amp;TEXT(J162*1000,"0000")&amp;"-"&amp;IFERROR(VLOOKUP(E162,Lists!$AE$4:$AF$16,2,0),"??")&amp;"-"&amp;AM162)</f>
        <v/>
      </c>
      <c r="B162" s="10" t="str">
        <f aca="false">IF(D162="","",D162&amp;", "&amp;E162&amp;", "&amp;IF(F162="Circular",G162&amp;" dia",G162&amp;" x "&amp;H162)&amp;", depth "&amp;TEXT(I162,"0.0")&amp;"-"&amp;TEXT(J162,"0.0")&amp;" m, pipe up to "&amp;K162&amp;" dia")</f>
        <v/>
      </c>
      <c r="C162" s="9"/>
      <c r="D162" s="9"/>
      <c r="E162" s="9"/>
      <c r="F162" s="9"/>
      <c r="G162" s="38"/>
      <c r="H162" s="38"/>
      <c r="I162" s="42"/>
      <c r="J162" s="42"/>
      <c r="K162" s="38"/>
      <c r="L162" s="38"/>
      <c r="M162" s="38"/>
      <c r="N162" s="38"/>
      <c r="O162" s="9"/>
      <c r="P162" s="9"/>
      <c r="Q162" s="9"/>
      <c r="R162" s="9"/>
      <c r="S162" s="9"/>
      <c r="T162" s="9"/>
      <c r="U162" s="9"/>
      <c r="V162" s="42"/>
      <c r="W162" s="9"/>
      <c r="X162" s="9"/>
      <c r="Y162" s="39"/>
      <c r="Z162" s="9"/>
      <c r="AA162" s="38"/>
      <c r="AB162" s="9"/>
      <c r="AC162" s="9"/>
      <c r="AD162" s="9"/>
      <c r="AE162" s="9"/>
      <c r="AF162" s="9"/>
      <c r="AG162" s="9"/>
      <c r="AH162" s="38"/>
      <c r="AI162" s="9"/>
      <c r="AJ162" s="39"/>
      <c r="AK162" s="9"/>
      <c r="AL162" s="9"/>
      <c r="AM162" s="9"/>
      <c r="AN162" s="9"/>
      <c r="AO162" s="9"/>
      <c r="AP162" s="9"/>
      <c r="AQ162" s="9"/>
      <c r="AR162" s="10" t="str">
        <f aca="false">IF(A162="","",SG_Criteria!$B$6&amp;SG_Criteria!$B$10&amp;"\"&amp;A162&amp;"\")</f>
        <v/>
      </c>
      <c r="AS162" s="10" t="str">
        <f aca="false">IF(A162="","",A162&amp;"_CAD.dwg")</f>
        <v/>
      </c>
      <c r="AT162" s="10" t="str">
        <f aca="false">IF(A162="","",A162&amp;"_DWG.pdf")</f>
        <v/>
      </c>
      <c r="AU162" s="10" t="str">
        <f aca="false">IF(A162="","",IF(AQ162="Y",A162&amp;"_STAAD.std","n/a"))</f>
        <v/>
      </c>
      <c r="AV162" s="10" t="str">
        <f aca="false">IF(A162="","",A162&amp;"_CALC.xlsx")</f>
        <v/>
      </c>
      <c r="AW162" s="10" t="str">
        <f aca="false">IF(A162="","",A162&amp;"_CALC.pdf")</f>
        <v/>
      </c>
      <c r="AX162" s="9"/>
      <c r="AY162" s="9"/>
      <c r="AZ162" s="39"/>
      <c r="BA162" s="39"/>
      <c r="BB162" s="39"/>
      <c r="BC162" s="39"/>
      <c r="BD162" s="39"/>
      <c r="BE162" s="12" t="str">
        <f aca="false">IF(A162="","",IF(COUNTIF(Rebar_Schedule!$A$5:$A$2004,A162)=0,"",ROUND(SUMIF(Rebar_Schedule!$A$5:$A$2004,A162,Rebar_Schedule!$K$5:$K$2004),1)))</f>
        <v/>
      </c>
      <c r="BF162" s="33" t="str">
        <f aca="false">IF(A162="","",IF(BE162="","No rebar schedule yet",IF(ABS(BE162-N(BA162))/MAX(N(BA162),1)&gt;SG_Criteria!$B$55,"NOTE: register rebar differs from schedule by "&amp;TEXT(ABS(BE162-N(BA162))/MAX(N(BA162),1),"0%"),"OK")))</f>
        <v/>
      </c>
      <c r="BG162" s="33" t="str">
        <f aca="false">IF(D162="","",IF(LEN(IF(AND(Z162&lt;&gt;"",IFERROR(VALUE(MID(Z162,2,2)),0)&lt;SG_Criteria!$B$19),"FAIL: grade below C"&amp;SG_Criteria!$B$19&amp;". ","")&amp;IF(AND(AA162&lt;&gt;"",AA162&lt;SG_Criteria!$B$20),"FAIL: cover &lt; "&amp;SG_Criteria!$B$20&amp;" mm. ","")&amp;IF(AND(I162&lt;&gt;"",I162&lt;SG_Criteria!$B$39),"NOTE: min depth below PUB "&amp;SG_Criteria!$B$39&amp;" m. ","")&amp;IF(AND(LEFT(D162,8)="Standard",J162&gt;SG_Criteria!$B$42),"FAIL: PUB 001C covers manholes up to "&amp;SG_Criteria!$B$42&amp;" m deep only. ","")&amp;IF(AND(LEFT(D162,11)="Rectangular",K162&lt;SG_Criteria!$B$43),"NOTE: 004C is for sewers &gt;= "&amp;SG_Criteria!$B$43&amp;" dia. ","")&amp;IF(AND(LEFT(D162,7)="Precast",J162&lt;=SG_Criteria!$B$42),"NOTE: 006C is for manholes &gt; "&amp;SG_Criteria!$B$42&amp;" m deep. ","")&amp;IF(AND(K162&lt;&gt;"",K162&lt;SG_Criteria!$B$40,D162&lt;&gt;"Inspection Chamber"),"NOTE: public sewer min dia "&amp;SG_Criteria!$B$40&amp;" mm. ","")&amp;IF(AND(Y162&lt;&gt;"",Y162&lt;SG_Criteria!$B$44),"FAIL: uplift FOS below "&amp;SG_Criteria!$B$44&amp;". ",""))=0,"OK",IF(AND(Z162&lt;&gt;"",IFERROR(VALUE(MID(Z162,2,2)),0)&lt;SG_Criteria!$B$19),"FAIL: grade below C"&amp;SG_Criteria!$B$19&amp;". ","")&amp;IF(AND(AA162&lt;&gt;"",AA162&lt;SG_Criteria!$B$20),"FAIL: cover &lt; "&amp;SG_Criteria!$B$20&amp;" mm. ","")&amp;IF(AND(I162&lt;&gt;"",I162&lt;SG_Criteria!$B$39),"NOTE: min depth below PUB "&amp;SG_Criteria!$B$39&amp;" m. ","")&amp;IF(AND(LEFT(D162,8)="Standard",J162&gt;SG_Criteria!$B$42),"FAIL: PUB 001C covers manholes up to "&amp;SG_Criteria!$B$42&amp;" m deep only. ","")&amp;IF(AND(LEFT(D162,11)="Rectangular",K162&lt;SG_Criteria!$B$43),"NOTE: 004C is for sewers &gt;= "&amp;SG_Criteria!$B$43&amp;" dia. ","")&amp;IF(AND(LEFT(D162,7)="Precast",J162&lt;=SG_Criteria!$B$42),"NOTE: 006C is for manholes &gt; "&amp;SG_Criteria!$B$42&amp;" m deep. ","")&amp;IF(AND(K162&lt;&gt;"",K162&lt;SG_Criteria!$B$40,D162&lt;&gt;"Inspection Chamber"),"NOTE: public sewer min dia "&amp;SG_Criteria!$B$40&amp;" mm. ","")&amp;IF(AND(Y162&lt;&gt;"",Y162&lt;SG_Criteria!$B$44),"FAIL: uplift FOS below "&amp;SG_Criteria!$B$44&amp;". ","")))</f>
        <v/>
      </c>
      <c r="BH162" s="9"/>
      <c r="BI162" s="9"/>
      <c r="BJ162" s="9"/>
      <c r="BK162" s="10" t="str">
        <f aca="false">IF(BJ162="","",IFERROR(VLOOKUP(BJ162,Projects!$A$5:$D$504,2,0),"Ref not in Projects"))</f>
        <v/>
      </c>
      <c r="BL162" s="10" t="str">
        <f aca="false">IF(BJ162="","",IFERROR(VLOOKUP(BJ162,Projects!$A$5:$D$504,4,0),"Ref not in Projects"))</f>
        <v/>
      </c>
      <c r="BM162" s="9"/>
      <c r="BN162" s="9"/>
      <c r="BO162" s="9"/>
      <c r="BP162" s="40"/>
      <c r="BQ162" s="9"/>
      <c r="BR162" s="40"/>
      <c r="BS162" s="9"/>
      <c r="BT162" s="40"/>
      <c r="BU162" s="9"/>
      <c r="BV162" s="9"/>
      <c r="BW162" s="9"/>
      <c r="BX162" s="40"/>
      <c r="BY162" s="40"/>
      <c r="BZ162" s="36" t="str">
        <f aca="false">IF(BY162="","",EDATE(BY162,SG_Criteria!$B$54*12))</f>
        <v/>
      </c>
      <c r="CA162" s="33" t="str">
        <f aca="true">IF(A162="","",IF(BY162="","NOTE: not reviewed yet",IF(TODAY()&gt;BZ162,"NOTE: review overdue","OK")))</f>
        <v/>
      </c>
      <c r="CB162" s="37" t="str">
        <f aca="false">IF(A162="","",ROUND((IF(LEN(D162)&gt;0,1,0)+IF(LEN(E162)&gt;0,1,0)+IF(LEN(F162)&gt;0,1,0)+IF(LEN(G162)&gt;0,1,0)+IF(LEN(I162)&gt;0,1,0)+IF(LEN(J162)&gt;0,1,0)+IF(LEN(K162)&gt;0,1,0)+IF(LEN(L162)&gt;0,1,0)+IF(LEN(M162)&gt;0,1,0)+IF(LEN(N162)&gt;0,1,0)+IF(LEN(Z162)&gt;0,1,0)+IF(LEN(AA162)&gt;0,1,0)+IF(LEN(Y162)&gt;0,1,0)+IF(LEN(AE162)&gt;0,1,0)+IF(LEN(AG162)&gt;0,1,0)+IF(LEN(AZ162)&gt;0,1,0)+IF(LEN(AK162)&gt;0,1,0)+IF(LEN(AM162)&gt;0,1,0)+IF(LEN(AN162)&gt;0,1,0)+IF(LEN(AO162)&gt;0,1,0)+IF(LEN(AP162)&gt;0,1,0)+IF(LEN(AY162)&gt;0,1,0)+IF(LEN(BJ162)&gt;0,1,0)+IF(LEN(BW162)&gt;0,1,0))/24,2))</f>
        <v/>
      </c>
      <c r="CC162" s="10" t="str">
        <f aca="false">IF(D162="","",IF(AND(AN162="Approved",ISERROR(SEARCH("FAIL",BG162))),"Y","N"))</f>
        <v/>
      </c>
      <c r="CD162" s="10" t="str">
        <f aca="false">IF(D162="","",D162&amp;"|"&amp;J162&amp;"|"&amp;G162&amp;"|"&amp;CC162)</f>
        <v/>
      </c>
    </row>
    <row r="163" customFormat="false" ht="15" hidden="false" customHeight="false" outlineLevel="0" collapsed="false">
      <c r="A163" s="10" t="str">
        <f aca="false">IF(D163="","","MH-"&amp;IFERROR(VLOOKUP(D163,Lists!$AB$4:$AC$20,2,0),"??")&amp;"-"&amp;TEXT(G163,"0000")&amp;IF(F163="Circular","D","x"&amp;TEXT(H163,"0000"))&amp;"-D"&amp;TEXT(J163*1000,"0000")&amp;"-"&amp;IFERROR(VLOOKUP(E163,Lists!$AE$4:$AF$16,2,0),"??")&amp;"-"&amp;AM163)</f>
        <v/>
      </c>
      <c r="B163" s="10" t="str">
        <f aca="false">IF(D163="","",D163&amp;", "&amp;E163&amp;", "&amp;IF(F163="Circular",G163&amp;" dia",G163&amp;" x "&amp;H163)&amp;", depth "&amp;TEXT(I163,"0.0")&amp;"-"&amp;TEXT(J163,"0.0")&amp;" m, pipe up to "&amp;K163&amp;" dia")</f>
        <v/>
      </c>
      <c r="C163" s="9"/>
      <c r="D163" s="9"/>
      <c r="E163" s="9"/>
      <c r="F163" s="9"/>
      <c r="G163" s="38"/>
      <c r="H163" s="38"/>
      <c r="I163" s="42"/>
      <c r="J163" s="42"/>
      <c r="K163" s="38"/>
      <c r="L163" s="38"/>
      <c r="M163" s="38"/>
      <c r="N163" s="38"/>
      <c r="O163" s="9"/>
      <c r="P163" s="9"/>
      <c r="Q163" s="9"/>
      <c r="R163" s="9"/>
      <c r="S163" s="9"/>
      <c r="T163" s="9"/>
      <c r="U163" s="9"/>
      <c r="V163" s="42"/>
      <c r="W163" s="9"/>
      <c r="X163" s="9"/>
      <c r="Y163" s="39"/>
      <c r="Z163" s="9"/>
      <c r="AA163" s="38"/>
      <c r="AB163" s="9"/>
      <c r="AC163" s="9"/>
      <c r="AD163" s="9"/>
      <c r="AE163" s="9"/>
      <c r="AF163" s="9"/>
      <c r="AG163" s="9"/>
      <c r="AH163" s="38"/>
      <c r="AI163" s="9"/>
      <c r="AJ163" s="39"/>
      <c r="AK163" s="9"/>
      <c r="AL163" s="9"/>
      <c r="AM163" s="9"/>
      <c r="AN163" s="9"/>
      <c r="AO163" s="9"/>
      <c r="AP163" s="9"/>
      <c r="AQ163" s="9"/>
      <c r="AR163" s="10" t="str">
        <f aca="false">IF(A163="","",SG_Criteria!$B$6&amp;SG_Criteria!$B$10&amp;"\"&amp;A163&amp;"\")</f>
        <v/>
      </c>
      <c r="AS163" s="10" t="str">
        <f aca="false">IF(A163="","",A163&amp;"_CAD.dwg")</f>
        <v/>
      </c>
      <c r="AT163" s="10" t="str">
        <f aca="false">IF(A163="","",A163&amp;"_DWG.pdf")</f>
        <v/>
      </c>
      <c r="AU163" s="10" t="str">
        <f aca="false">IF(A163="","",IF(AQ163="Y",A163&amp;"_STAAD.std","n/a"))</f>
        <v/>
      </c>
      <c r="AV163" s="10" t="str">
        <f aca="false">IF(A163="","",A163&amp;"_CALC.xlsx")</f>
        <v/>
      </c>
      <c r="AW163" s="10" t="str">
        <f aca="false">IF(A163="","",A163&amp;"_CALC.pdf")</f>
        <v/>
      </c>
      <c r="AX163" s="9"/>
      <c r="AY163" s="9"/>
      <c r="AZ163" s="39"/>
      <c r="BA163" s="39"/>
      <c r="BB163" s="39"/>
      <c r="BC163" s="39"/>
      <c r="BD163" s="39"/>
      <c r="BE163" s="12" t="str">
        <f aca="false">IF(A163="","",IF(COUNTIF(Rebar_Schedule!$A$5:$A$2004,A163)=0,"",ROUND(SUMIF(Rebar_Schedule!$A$5:$A$2004,A163,Rebar_Schedule!$K$5:$K$2004),1)))</f>
        <v/>
      </c>
      <c r="BF163" s="33" t="str">
        <f aca="false">IF(A163="","",IF(BE163="","No rebar schedule yet",IF(ABS(BE163-N(BA163))/MAX(N(BA163),1)&gt;SG_Criteria!$B$55,"NOTE: register rebar differs from schedule by "&amp;TEXT(ABS(BE163-N(BA163))/MAX(N(BA163),1),"0%"),"OK")))</f>
        <v/>
      </c>
      <c r="BG163" s="33" t="str">
        <f aca="false">IF(D163="","",IF(LEN(IF(AND(Z163&lt;&gt;"",IFERROR(VALUE(MID(Z163,2,2)),0)&lt;SG_Criteria!$B$19),"FAIL: grade below C"&amp;SG_Criteria!$B$19&amp;". ","")&amp;IF(AND(AA163&lt;&gt;"",AA163&lt;SG_Criteria!$B$20),"FAIL: cover &lt; "&amp;SG_Criteria!$B$20&amp;" mm. ","")&amp;IF(AND(I163&lt;&gt;"",I163&lt;SG_Criteria!$B$39),"NOTE: min depth below PUB "&amp;SG_Criteria!$B$39&amp;" m. ","")&amp;IF(AND(LEFT(D163,8)="Standard",J163&gt;SG_Criteria!$B$42),"FAIL: PUB 001C covers manholes up to "&amp;SG_Criteria!$B$42&amp;" m deep only. ","")&amp;IF(AND(LEFT(D163,11)="Rectangular",K163&lt;SG_Criteria!$B$43),"NOTE: 004C is for sewers &gt;= "&amp;SG_Criteria!$B$43&amp;" dia. ","")&amp;IF(AND(LEFT(D163,7)="Precast",J163&lt;=SG_Criteria!$B$42),"NOTE: 006C is for manholes &gt; "&amp;SG_Criteria!$B$42&amp;" m deep. ","")&amp;IF(AND(K163&lt;&gt;"",K163&lt;SG_Criteria!$B$40,D163&lt;&gt;"Inspection Chamber"),"NOTE: public sewer min dia "&amp;SG_Criteria!$B$40&amp;" mm. ","")&amp;IF(AND(Y163&lt;&gt;"",Y163&lt;SG_Criteria!$B$44),"FAIL: uplift FOS below "&amp;SG_Criteria!$B$44&amp;". ",""))=0,"OK",IF(AND(Z163&lt;&gt;"",IFERROR(VALUE(MID(Z163,2,2)),0)&lt;SG_Criteria!$B$19),"FAIL: grade below C"&amp;SG_Criteria!$B$19&amp;". ","")&amp;IF(AND(AA163&lt;&gt;"",AA163&lt;SG_Criteria!$B$20),"FAIL: cover &lt; "&amp;SG_Criteria!$B$20&amp;" mm. ","")&amp;IF(AND(I163&lt;&gt;"",I163&lt;SG_Criteria!$B$39),"NOTE: min depth below PUB "&amp;SG_Criteria!$B$39&amp;" m. ","")&amp;IF(AND(LEFT(D163,8)="Standard",J163&gt;SG_Criteria!$B$42),"FAIL: PUB 001C covers manholes up to "&amp;SG_Criteria!$B$42&amp;" m deep only. ","")&amp;IF(AND(LEFT(D163,11)="Rectangular",K163&lt;SG_Criteria!$B$43),"NOTE: 004C is for sewers &gt;= "&amp;SG_Criteria!$B$43&amp;" dia. ","")&amp;IF(AND(LEFT(D163,7)="Precast",J163&lt;=SG_Criteria!$B$42),"NOTE: 006C is for manholes &gt; "&amp;SG_Criteria!$B$42&amp;" m deep. ","")&amp;IF(AND(K163&lt;&gt;"",K163&lt;SG_Criteria!$B$40,D163&lt;&gt;"Inspection Chamber"),"NOTE: public sewer min dia "&amp;SG_Criteria!$B$40&amp;" mm. ","")&amp;IF(AND(Y163&lt;&gt;"",Y163&lt;SG_Criteria!$B$44),"FAIL: uplift FOS below "&amp;SG_Criteria!$B$44&amp;". ","")))</f>
        <v/>
      </c>
      <c r="BH163" s="9"/>
      <c r="BI163" s="9"/>
      <c r="BJ163" s="9"/>
      <c r="BK163" s="10" t="str">
        <f aca="false">IF(BJ163="","",IFERROR(VLOOKUP(BJ163,Projects!$A$5:$D$504,2,0),"Ref not in Projects"))</f>
        <v/>
      </c>
      <c r="BL163" s="10" t="str">
        <f aca="false">IF(BJ163="","",IFERROR(VLOOKUP(BJ163,Projects!$A$5:$D$504,4,0),"Ref not in Projects"))</f>
        <v/>
      </c>
      <c r="BM163" s="9"/>
      <c r="BN163" s="9"/>
      <c r="BO163" s="9"/>
      <c r="BP163" s="40"/>
      <c r="BQ163" s="9"/>
      <c r="BR163" s="40"/>
      <c r="BS163" s="9"/>
      <c r="BT163" s="40"/>
      <c r="BU163" s="9"/>
      <c r="BV163" s="9"/>
      <c r="BW163" s="9"/>
      <c r="BX163" s="40"/>
      <c r="BY163" s="40"/>
      <c r="BZ163" s="36" t="str">
        <f aca="false">IF(BY163="","",EDATE(BY163,SG_Criteria!$B$54*12))</f>
        <v/>
      </c>
      <c r="CA163" s="33" t="str">
        <f aca="true">IF(A163="","",IF(BY163="","NOTE: not reviewed yet",IF(TODAY()&gt;BZ163,"NOTE: review overdue","OK")))</f>
        <v/>
      </c>
      <c r="CB163" s="37" t="str">
        <f aca="false">IF(A163="","",ROUND((IF(LEN(D163)&gt;0,1,0)+IF(LEN(E163)&gt;0,1,0)+IF(LEN(F163)&gt;0,1,0)+IF(LEN(G163)&gt;0,1,0)+IF(LEN(I163)&gt;0,1,0)+IF(LEN(J163)&gt;0,1,0)+IF(LEN(K163)&gt;0,1,0)+IF(LEN(L163)&gt;0,1,0)+IF(LEN(M163)&gt;0,1,0)+IF(LEN(N163)&gt;0,1,0)+IF(LEN(Z163)&gt;0,1,0)+IF(LEN(AA163)&gt;0,1,0)+IF(LEN(Y163)&gt;0,1,0)+IF(LEN(AE163)&gt;0,1,0)+IF(LEN(AG163)&gt;0,1,0)+IF(LEN(AZ163)&gt;0,1,0)+IF(LEN(AK163)&gt;0,1,0)+IF(LEN(AM163)&gt;0,1,0)+IF(LEN(AN163)&gt;0,1,0)+IF(LEN(AO163)&gt;0,1,0)+IF(LEN(AP163)&gt;0,1,0)+IF(LEN(AY163)&gt;0,1,0)+IF(LEN(BJ163)&gt;0,1,0)+IF(LEN(BW163)&gt;0,1,0))/24,2))</f>
        <v/>
      </c>
      <c r="CC163" s="10" t="str">
        <f aca="false">IF(D163="","",IF(AND(AN163="Approved",ISERROR(SEARCH("FAIL",BG163))),"Y","N"))</f>
        <v/>
      </c>
      <c r="CD163" s="10" t="str">
        <f aca="false">IF(D163="","",D163&amp;"|"&amp;J163&amp;"|"&amp;G163&amp;"|"&amp;CC163)</f>
        <v/>
      </c>
    </row>
    <row r="164" customFormat="false" ht="15" hidden="false" customHeight="false" outlineLevel="0" collapsed="false">
      <c r="A164" s="10" t="str">
        <f aca="false">IF(D164="","","MH-"&amp;IFERROR(VLOOKUP(D164,Lists!$AB$4:$AC$20,2,0),"??")&amp;"-"&amp;TEXT(G164,"0000")&amp;IF(F164="Circular","D","x"&amp;TEXT(H164,"0000"))&amp;"-D"&amp;TEXT(J164*1000,"0000")&amp;"-"&amp;IFERROR(VLOOKUP(E164,Lists!$AE$4:$AF$16,2,0),"??")&amp;"-"&amp;AM164)</f>
        <v/>
      </c>
      <c r="B164" s="10" t="str">
        <f aca="false">IF(D164="","",D164&amp;", "&amp;E164&amp;", "&amp;IF(F164="Circular",G164&amp;" dia",G164&amp;" x "&amp;H164)&amp;", depth "&amp;TEXT(I164,"0.0")&amp;"-"&amp;TEXT(J164,"0.0")&amp;" m, pipe up to "&amp;K164&amp;" dia")</f>
        <v/>
      </c>
      <c r="C164" s="9"/>
      <c r="D164" s="9"/>
      <c r="E164" s="9"/>
      <c r="F164" s="9"/>
      <c r="G164" s="38"/>
      <c r="H164" s="38"/>
      <c r="I164" s="42"/>
      <c r="J164" s="42"/>
      <c r="K164" s="38"/>
      <c r="L164" s="38"/>
      <c r="M164" s="38"/>
      <c r="N164" s="38"/>
      <c r="O164" s="9"/>
      <c r="P164" s="9"/>
      <c r="Q164" s="9"/>
      <c r="R164" s="9"/>
      <c r="S164" s="9"/>
      <c r="T164" s="9"/>
      <c r="U164" s="9"/>
      <c r="V164" s="42"/>
      <c r="W164" s="9"/>
      <c r="X164" s="9"/>
      <c r="Y164" s="39"/>
      <c r="Z164" s="9"/>
      <c r="AA164" s="38"/>
      <c r="AB164" s="9"/>
      <c r="AC164" s="9"/>
      <c r="AD164" s="9"/>
      <c r="AE164" s="9"/>
      <c r="AF164" s="9"/>
      <c r="AG164" s="9"/>
      <c r="AH164" s="38"/>
      <c r="AI164" s="9"/>
      <c r="AJ164" s="39"/>
      <c r="AK164" s="9"/>
      <c r="AL164" s="9"/>
      <c r="AM164" s="9"/>
      <c r="AN164" s="9"/>
      <c r="AO164" s="9"/>
      <c r="AP164" s="9"/>
      <c r="AQ164" s="9"/>
      <c r="AR164" s="10" t="str">
        <f aca="false">IF(A164="","",SG_Criteria!$B$6&amp;SG_Criteria!$B$10&amp;"\"&amp;A164&amp;"\")</f>
        <v/>
      </c>
      <c r="AS164" s="10" t="str">
        <f aca="false">IF(A164="","",A164&amp;"_CAD.dwg")</f>
        <v/>
      </c>
      <c r="AT164" s="10" t="str">
        <f aca="false">IF(A164="","",A164&amp;"_DWG.pdf")</f>
        <v/>
      </c>
      <c r="AU164" s="10" t="str">
        <f aca="false">IF(A164="","",IF(AQ164="Y",A164&amp;"_STAAD.std","n/a"))</f>
        <v/>
      </c>
      <c r="AV164" s="10" t="str">
        <f aca="false">IF(A164="","",A164&amp;"_CALC.xlsx")</f>
        <v/>
      </c>
      <c r="AW164" s="10" t="str">
        <f aca="false">IF(A164="","",A164&amp;"_CALC.pdf")</f>
        <v/>
      </c>
      <c r="AX164" s="9"/>
      <c r="AY164" s="9"/>
      <c r="AZ164" s="39"/>
      <c r="BA164" s="39"/>
      <c r="BB164" s="39"/>
      <c r="BC164" s="39"/>
      <c r="BD164" s="39"/>
      <c r="BE164" s="12" t="str">
        <f aca="false">IF(A164="","",IF(COUNTIF(Rebar_Schedule!$A$5:$A$2004,A164)=0,"",ROUND(SUMIF(Rebar_Schedule!$A$5:$A$2004,A164,Rebar_Schedule!$K$5:$K$2004),1)))</f>
        <v/>
      </c>
      <c r="BF164" s="33" t="str">
        <f aca="false">IF(A164="","",IF(BE164="","No rebar schedule yet",IF(ABS(BE164-N(BA164))/MAX(N(BA164),1)&gt;SG_Criteria!$B$55,"NOTE: register rebar differs from schedule by "&amp;TEXT(ABS(BE164-N(BA164))/MAX(N(BA164),1),"0%"),"OK")))</f>
        <v/>
      </c>
      <c r="BG164" s="33" t="str">
        <f aca="false">IF(D164="","",IF(LEN(IF(AND(Z164&lt;&gt;"",IFERROR(VALUE(MID(Z164,2,2)),0)&lt;SG_Criteria!$B$19),"FAIL: grade below C"&amp;SG_Criteria!$B$19&amp;". ","")&amp;IF(AND(AA164&lt;&gt;"",AA164&lt;SG_Criteria!$B$20),"FAIL: cover &lt; "&amp;SG_Criteria!$B$20&amp;" mm. ","")&amp;IF(AND(I164&lt;&gt;"",I164&lt;SG_Criteria!$B$39),"NOTE: min depth below PUB "&amp;SG_Criteria!$B$39&amp;" m. ","")&amp;IF(AND(LEFT(D164,8)="Standard",J164&gt;SG_Criteria!$B$42),"FAIL: PUB 001C covers manholes up to "&amp;SG_Criteria!$B$42&amp;" m deep only. ","")&amp;IF(AND(LEFT(D164,11)="Rectangular",K164&lt;SG_Criteria!$B$43),"NOTE: 004C is for sewers &gt;= "&amp;SG_Criteria!$B$43&amp;" dia. ","")&amp;IF(AND(LEFT(D164,7)="Precast",J164&lt;=SG_Criteria!$B$42),"NOTE: 006C is for manholes &gt; "&amp;SG_Criteria!$B$42&amp;" m deep. ","")&amp;IF(AND(K164&lt;&gt;"",K164&lt;SG_Criteria!$B$40,D164&lt;&gt;"Inspection Chamber"),"NOTE: public sewer min dia "&amp;SG_Criteria!$B$40&amp;" mm. ","")&amp;IF(AND(Y164&lt;&gt;"",Y164&lt;SG_Criteria!$B$44),"FAIL: uplift FOS below "&amp;SG_Criteria!$B$44&amp;". ",""))=0,"OK",IF(AND(Z164&lt;&gt;"",IFERROR(VALUE(MID(Z164,2,2)),0)&lt;SG_Criteria!$B$19),"FAIL: grade below C"&amp;SG_Criteria!$B$19&amp;". ","")&amp;IF(AND(AA164&lt;&gt;"",AA164&lt;SG_Criteria!$B$20),"FAIL: cover &lt; "&amp;SG_Criteria!$B$20&amp;" mm. ","")&amp;IF(AND(I164&lt;&gt;"",I164&lt;SG_Criteria!$B$39),"NOTE: min depth below PUB "&amp;SG_Criteria!$B$39&amp;" m. ","")&amp;IF(AND(LEFT(D164,8)="Standard",J164&gt;SG_Criteria!$B$42),"FAIL: PUB 001C covers manholes up to "&amp;SG_Criteria!$B$42&amp;" m deep only. ","")&amp;IF(AND(LEFT(D164,11)="Rectangular",K164&lt;SG_Criteria!$B$43),"NOTE: 004C is for sewers &gt;= "&amp;SG_Criteria!$B$43&amp;" dia. ","")&amp;IF(AND(LEFT(D164,7)="Precast",J164&lt;=SG_Criteria!$B$42),"NOTE: 006C is for manholes &gt; "&amp;SG_Criteria!$B$42&amp;" m deep. ","")&amp;IF(AND(K164&lt;&gt;"",K164&lt;SG_Criteria!$B$40,D164&lt;&gt;"Inspection Chamber"),"NOTE: public sewer min dia "&amp;SG_Criteria!$B$40&amp;" mm. ","")&amp;IF(AND(Y164&lt;&gt;"",Y164&lt;SG_Criteria!$B$44),"FAIL: uplift FOS below "&amp;SG_Criteria!$B$44&amp;". ","")))</f>
        <v/>
      </c>
      <c r="BH164" s="9"/>
      <c r="BI164" s="9"/>
      <c r="BJ164" s="9"/>
      <c r="BK164" s="10" t="str">
        <f aca="false">IF(BJ164="","",IFERROR(VLOOKUP(BJ164,Projects!$A$5:$D$504,2,0),"Ref not in Projects"))</f>
        <v/>
      </c>
      <c r="BL164" s="10" t="str">
        <f aca="false">IF(BJ164="","",IFERROR(VLOOKUP(BJ164,Projects!$A$5:$D$504,4,0),"Ref not in Projects"))</f>
        <v/>
      </c>
      <c r="BM164" s="9"/>
      <c r="BN164" s="9"/>
      <c r="BO164" s="9"/>
      <c r="BP164" s="40"/>
      <c r="BQ164" s="9"/>
      <c r="BR164" s="40"/>
      <c r="BS164" s="9"/>
      <c r="BT164" s="40"/>
      <c r="BU164" s="9"/>
      <c r="BV164" s="9"/>
      <c r="BW164" s="9"/>
      <c r="BX164" s="40"/>
      <c r="BY164" s="40"/>
      <c r="BZ164" s="36" t="str">
        <f aca="false">IF(BY164="","",EDATE(BY164,SG_Criteria!$B$54*12))</f>
        <v/>
      </c>
      <c r="CA164" s="33" t="str">
        <f aca="true">IF(A164="","",IF(BY164="","NOTE: not reviewed yet",IF(TODAY()&gt;BZ164,"NOTE: review overdue","OK")))</f>
        <v/>
      </c>
      <c r="CB164" s="37" t="str">
        <f aca="false">IF(A164="","",ROUND((IF(LEN(D164)&gt;0,1,0)+IF(LEN(E164)&gt;0,1,0)+IF(LEN(F164)&gt;0,1,0)+IF(LEN(G164)&gt;0,1,0)+IF(LEN(I164)&gt;0,1,0)+IF(LEN(J164)&gt;0,1,0)+IF(LEN(K164)&gt;0,1,0)+IF(LEN(L164)&gt;0,1,0)+IF(LEN(M164)&gt;0,1,0)+IF(LEN(N164)&gt;0,1,0)+IF(LEN(Z164)&gt;0,1,0)+IF(LEN(AA164)&gt;0,1,0)+IF(LEN(Y164)&gt;0,1,0)+IF(LEN(AE164)&gt;0,1,0)+IF(LEN(AG164)&gt;0,1,0)+IF(LEN(AZ164)&gt;0,1,0)+IF(LEN(AK164)&gt;0,1,0)+IF(LEN(AM164)&gt;0,1,0)+IF(LEN(AN164)&gt;0,1,0)+IF(LEN(AO164)&gt;0,1,0)+IF(LEN(AP164)&gt;0,1,0)+IF(LEN(AY164)&gt;0,1,0)+IF(LEN(BJ164)&gt;0,1,0)+IF(LEN(BW164)&gt;0,1,0))/24,2))</f>
        <v/>
      </c>
      <c r="CC164" s="10" t="str">
        <f aca="false">IF(D164="","",IF(AND(AN164="Approved",ISERROR(SEARCH("FAIL",BG164))),"Y","N"))</f>
        <v/>
      </c>
      <c r="CD164" s="10" t="str">
        <f aca="false">IF(D164="","",D164&amp;"|"&amp;J164&amp;"|"&amp;G164&amp;"|"&amp;CC164)</f>
        <v/>
      </c>
    </row>
    <row r="165" customFormat="false" ht="15" hidden="false" customHeight="false" outlineLevel="0" collapsed="false">
      <c r="A165" s="10" t="str">
        <f aca="false">IF(D165="","","MH-"&amp;IFERROR(VLOOKUP(D165,Lists!$AB$4:$AC$20,2,0),"??")&amp;"-"&amp;TEXT(G165,"0000")&amp;IF(F165="Circular","D","x"&amp;TEXT(H165,"0000"))&amp;"-D"&amp;TEXT(J165*1000,"0000")&amp;"-"&amp;IFERROR(VLOOKUP(E165,Lists!$AE$4:$AF$16,2,0),"??")&amp;"-"&amp;AM165)</f>
        <v/>
      </c>
      <c r="B165" s="10" t="str">
        <f aca="false">IF(D165="","",D165&amp;", "&amp;E165&amp;", "&amp;IF(F165="Circular",G165&amp;" dia",G165&amp;" x "&amp;H165)&amp;", depth "&amp;TEXT(I165,"0.0")&amp;"-"&amp;TEXT(J165,"0.0")&amp;" m, pipe up to "&amp;K165&amp;" dia")</f>
        <v/>
      </c>
      <c r="C165" s="9"/>
      <c r="D165" s="9"/>
      <c r="E165" s="9"/>
      <c r="F165" s="9"/>
      <c r="G165" s="38"/>
      <c r="H165" s="38"/>
      <c r="I165" s="42"/>
      <c r="J165" s="42"/>
      <c r="K165" s="38"/>
      <c r="L165" s="38"/>
      <c r="M165" s="38"/>
      <c r="N165" s="38"/>
      <c r="O165" s="9"/>
      <c r="P165" s="9"/>
      <c r="Q165" s="9"/>
      <c r="R165" s="9"/>
      <c r="S165" s="9"/>
      <c r="T165" s="9"/>
      <c r="U165" s="9"/>
      <c r="V165" s="42"/>
      <c r="W165" s="9"/>
      <c r="X165" s="9"/>
      <c r="Y165" s="39"/>
      <c r="Z165" s="9"/>
      <c r="AA165" s="38"/>
      <c r="AB165" s="9"/>
      <c r="AC165" s="9"/>
      <c r="AD165" s="9"/>
      <c r="AE165" s="9"/>
      <c r="AF165" s="9"/>
      <c r="AG165" s="9"/>
      <c r="AH165" s="38"/>
      <c r="AI165" s="9"/>
      <c r="AJ165" s="39"/>
      <c r="AK165" s="9"/>
      <c r="AL165" s="9"/>
      <c r="AM165" s="9"/>
      <c r="AN165" s="9"/>
      <c r="AO165" s="9"/>
      <c r="AP165" s="9"/>
      <c r="AQ165" s="9"/>
      <c r="AR165" s="10" t="str">
        <f aca="false">IF(A165="","",SG_Criteria!$B$6&amp;SG_Criteria!$B$10&amp;"\"&amp;A165&amp;"\")</f>
        <v/>
      </c>
      <c r="AS165" s="10" t="str">
        <f aca="false">IF(A165="","",A165&amp;"_CAD.dwg")</f>
        <v/>
      </c>
      <c r="AT165" s="10" t="str">
        <f aca="false">IF(A165="","",A165&amp;"_DWG.pdf")</f>
        <v/>
      </c>
      <c r="AU165" s="10" t="str">
        <f aca="false">IF(A165="","",IF(AQ165="Y",A165&amp;"_STAAD.std","n/a"))</f>
        <v/>
      </c>
      <c r="AV165" s="10" t="str">
        <f aca="false">IF(A165="","",A165&amp;"_CALC.xlsx")</f>
        <v/>
      </c>
      <c r="AW165" s="10" t="str">
        <f aca="false">IF(A165="","",A165&amp;"_CALC.pdf")</f>
        <v/>
      </c>
      <c r="AX165" s="9"/>
      <c r="AY165" s="9"/>
      <c r="AZ165" s="39"/>
      <c r="BA165" s="39"/>
      <c r="BB165" s="39"/>
      <c r="BC165" s="39"/>
      <c r="BD165" s="39"/>
      <c r="BE165" s="12" t="str">
        <f aca="false">IF(A165="","",IF(COUNTIF(Rebar_Schedule!$A$5:$A$2004,A165)=0,"",ROUND(SUMIF(Rebar_Schedule!$A$5:$A$2004,A165,Rebar_Schedule!$K$5:$K$2004),1)))</f>
        <v/>
      </c>
      <c r="BF165" s="33" t="str">
        <f aca="false">IF(A165="","",IF(BE165="","No rebar schedule yet",IF(ABS(BE165-N(BA165))/MAX(N(BA165),1)&gt;SG_Criteria!$B$55,"NOTE: register rebar differs from schedule by "&amp;TEXT(ABS(BE165-N(BA165))/MAX(N(BA165),1),"0%"),"OK")))</f>
        <v/>
      </c>
      <c r="BG165" s="33" t="str">
        <f aca="false">IF(D165="","",IF(LEN(IF(AND(Z165&lt;&gt;"",IFERROR(VALUE(MID(Z165,2,2)),0)&lt;SG_Criteria!$B$19),"FAIL: grade below C"&amp;SG_Criteria!$B$19&amp;". ","")&amp;IF(AND(AA165&lt;&gt;"",AA165&lt;SG_Criteria!$B$20),"FAIL: cover &lt; "&amp;SG_Criteria!$B$20&amp;" mm. ","")&amp;IF(AND(I165&lt;&gt;"",I165&lt;SG_Criteria!$B$39),"NOTE: min depth below PUB "&amp;SG_Criteria!$B$39&amp;" m. ","")&amp;IF(AND(LEFT(D165,8)="Standard",J165&gt;SG_Criteria!$B$42),"FAIL: PUB 001C covers manholes up to "&amp;SG_Criteria!$B$42&amp;" m deep only. ","")&amp;IF(AND(LEFT(D165,11)="Rectangular",K165&lt;SG_Criteria!$B$43),"NOTE: 004C is for sewers &gt;= "&amp;SG_Criteria!$B$43&amp;" dia. ","")&amp;IF(AND(LEFT(D165,7)="Precast",J165&lt;=SG_Criteria!$B$42),"NOTE: 006C is for manholes &gt; "&amp;SG_Criteria!$B$42&amp;" m deep. ","")&amp;IF(AND(K165&lt;&gt;"",K165&lt;SG_Criteria!$B$40,D165&lt;&gt;"Inspection Chamber"),"NOTE: public sewer min dia "&amp;SG_Criteria!$B$40&amp;" mm. ","")&amp;IF(AND(Y165&lt;&gt;"",Y165&lt;SG_Criteria!$B$44),"FAIL: uplift FOS below "&amp;SG_Criteria!$B$44&amp;". ",""))=0,"OK",IF(AND(Z165&lt;&gt;"",IFERROR(VALUE(MID(Z165,2,2)),0)&lt;SG_Criteria!$B$19),"FAIL: grade below C"&amp;SG_Criteria!$B$19&amp;". ","")&amp;IF(AND(AA165&lt;&gt;"",AA165&lt;SG_Criteria!$B$20),"FAIL: cover &lt; "&amp;SG_Criteria!$B$20&amp;" mm. ","")&amp;IF(AND(I165&lt;&gt;"",I165&lt;SG_Criteria!$B$39),"NOTE: min depth below PUB "&amp;SG_Criteria!$B$39&amp;" m. ","")&amp;IF(AND(LEFT(D165,8)="Standard",J165&gt;SG_Criteria!$B$42),"FAIL: PUB 001C covers manholes up to "&amp;SG_Criteria!$B$42&amp;" m deep only. ","")&amp;IF(AND(LEFT(D165,11)="Rectangular",K165&lt;SG_Criteria!$B$43),"NOTE: 004C is for sewers &gt;= "&amp;SG_Criteria!$B$43&amp;" dia. ","")&amp;IF(AND(LEFT(D165,7)="Precast",J165&lt;=SG_Criteria!$B$42),"NOTE: 006C is for manholes &gt; "&amp;SG_Criteria!$B$42&amp;" m deep. ","")&amp;IF(AND(K165&lt;&gt;"",K165&lt;SG_Criteria!$B$40,D165&lt;&gt;"Inspection Chamber"),"NOTE: public sewer min dia "&amp;SG_Criteria!$B$40&amp;" mm. ","")&amp;IF(AND(Y165&lt;&gt;"",Y165&lt;SG_Criteria!$B$44),"FAIL: uplift FOS below "&amp;SG_Criteria!$B$44&amp;". ","")))</f>
        <v/>
      </c>
      <c r="BH165" s="9"/>
      <c r="BI165" s="9"/>
      <c r="BJ165" s="9"/>
      <c r="BK165" s="10" t="str">
        <f aca="false">IF(BJ165="","",IFERROR(VLOOKUP(BJ165,Projects!$A$5:$D$504,2,0),"Ref not in Projects"))</f>
        <v/>
      </c>
      <c r="BL165" s="10" t="str">
        <f aca="false">IF(BJ165="","",IFERROR(VLOOKUP(BJ165,Projects!$A$5:$D$504,4,0),"Ref not in Projects"))</f>
        <v/>
      </c>
      <c r="BM165" s="9"/>
      <c r="BN165" s="9"/>
      <c r="BO165" s="9"/>
      <c r="BP165" s="40"/>
      <c r="BQ165" s="9"/>
      <c r="BR165" s="40"/>
      <c r="BS165" s="9"/>
      <c r="BT165" s="40"/>
      <c r="BU165" s="9"/>
      <c r="BV165" s="9"/>
      <c r="BW165" s="9"/>
      <c r="BX165" s="40"/>
      <c r="BY165" s="40"/>
      <c r="BZ165" s="36" t="str">
        <f aca="false">IF(BY165="","",EDATE(BY165,SG_Criteria!$B$54*12))</f>
        <v/>
      </c>
      <c r="CA165" s="33" t="str">
        <f aca="true">IF(A165="","",IF(BY165="","NOTE: not reviewed yet",IF(TODAY()&gt;BZ165,"NOTE: review overdue","OK")))</f>
        <v/>
      </c>
      <c r="CB165" s="37" t="str">
        <f aca="false">IF(A165="","",ROUND((IF(LEN(D165)&gt;0,1,0)+IF(LEN(E165)&gt;0,1,0)+IF(LEN(F165)&gt;0,1,0)+IF(LEN(G165)&gt;0,1,0)+IF(LEN(I165)&gt;0,1,0)+IF(LEN(J165)&gt;0,1,0)+IF(LEN(K165)&gt;0,1,0)+IF(LEN(L165)&gt;0,1,0)+IF(LEN(M165)&gt;0,1,0)+IF(LEN(N165)&gt;0,1,0)+IF(LEN(Z165)&gt;0,1,0)+IF(LEN(AA165)&gt;0,1,0)+IF(LEN(Y165)&gt;0,1,0)+IF(LEN(AE165)&gt;0,1,0)+IF(LEN(AG165)&gt;0,1,0)+IF(LEN(AZ165)&gt;0,1,0)+IF(LEN(AK165)&gt;0,1,0)+IF(LEN(AM165)&gt;0,1,0)+IF(LEN(AN165)&gt;0,1,0)+IF(LEN(AO165)&gt;0,1,0)+IF(LEN(AP165)&gt;0,1,0)+IF(LEN(AY165)&gt;0,1,0)+IF(LEN(BJ165)&gt;0,1,0)+IF(LEN(BW165)&gt;0,1,0))/24,2))</f>
        <v/>
      </c>
      <c r="CC165" s="10" t="str">
        <f aca="false">IF(D165="","",IF(AND(AN165="Approved",ISERROR(SEARCH("FAIL",BG165))),"Y","N"))</f>
        <v/>
      </c>
      <c r="CD165" s="10" t="str">
        <f aca="false">IF(D165="","",D165&amp;"|"&amp;J165&amp;"|"&amp;G165&amp;"|"&amp;CC165)</f>
        <v/>
      </c>
    </row>
    <row r="166" customFormat="false" ht="15" hidden="false" customHeight="false" outlineLevel="0" collapsed="false">
      <c r="A166" s="10" t="str">
        <f aca="false">IF(D166="","","MH-"&amp;IFERROR(VLOOKUP(D166,Lists!$AB$4:$AC$20,2,0),"??")&amp;"-"&amp;TEXT(G166,"0000")&amp;IF(F166="Circular","D","x"&amp;TEXT(H166,"0000"))&amp;"-D"&amp;TEXT(J166*1000,"0000")&amp;"-"&amp;IFERROR(VLOOKUP(E166,Lists!$AE$4:$AF$16,2,0),"??")&amp;"-"&amp;AM166)</f>
        <v/>
      </c>
      <c r="B166" s="10" t="str">
        <f aca="false">IF(D166="","",D166&amp;", "&amp;E166&amp;", "&amp;IF(F166="Circular",G166&amp;" dia",G166&amp;" x "&amp;H166)&amp;", depth "&amp;TEXT(I166,"0.0")&amp;"-"&amp;TEXT(J166,"0.0")&amp;" m, pipe up to "&amp;K166&amp;" dia")</f>
        <v/>
      </c>
      <c r="C166" s="9"/>
      <c r="D166" s="9"/>
      <c r="E166" s="9"/>
      <c r="F166" s="9"/>
      <c r="G166" s="38"/>
      <c r="H166" s="38"/>
      <c r="I166" s="42"/>
      <c r="J166" s="42"/>
      <c r="K166" s="38"/>
      <c r="L166" s="38"/>
      <c r="M166" s="38"/>
      <c r="N166" s="38"/>
      <c r="O166" s="9"/>
      <c r="P166" s="9"/>
      <c r="Q166" s="9"/>
      <c r="R166" s="9"/>
      <c r="S166" s="9"/>
      <c r="T166" s="9"/>
      <c r="U166" s="9"/>
      <c r="V166" s="42"/>
      <c r="W166" s="9"/>
      <c r="X166" s="9"/>
      <c r="Y166" s="39"/>
      <c r="Z166" s="9"/>
      <c r="AA166" s="38"/>
      <c r="AB166" s="9"/>
      <c r="AC166" s="9"/>
      <c r="AD166" s="9"/>
      <c r="AE166" s="9"/>
      <c r="AF166" s="9"/>
      <c r="AG166" s="9"/>
      <c r="AH166" s="38"/>
      <c r="AI166" s="9"/>
      <c r="AJ166" s="39"/>
      <c r="AK166" s="9"/>
      <c r="AL166" s="9"/>
      <c r="AM166" s="9"/>
      <c r="AN166" s="9"/>
      <c r="AO166" s="9"/>
      <c r="AP166" s="9"/>
      <c r="AQ166" s="9"/>
      <c r="AR166" s="10" t="str">
        <f aca="false">IF(A166="","",SG_Criteria!$B$6&amp;SG_Criteria!$B$10&amp;"\"&amp;A166&amp;"\")</f>
        <v/>
      </c>
      <c r="AS166" s="10" t="str">
        <f aca="false">IF(A166="","",A166&amp;"_CAD.dwg")</f>
        <v/>
      </c>
      <c r="AT166" s="10" t="str">
        <f aca="false">IF(A166="","",A166&amp;"_DWG.pdf")</f>
        <v/>
      </c>
      <c r="AU166" s="10" t="str">
        <f aca="false">IF(A166="","",IF(AQ166="Y",A166&amp;"_STAAD.std","n/a"))</f>
        <v/>
      </c>
      <c r="AV166" s="10" t="str">
        <f aca="false">IF(A166="","",A166&amp;"_CALC.xlsx")</f>
        <v/>
      </c>
      <c r="AW166" s="10" t="str">
        <f aca="false">IF(A166="","",A166&amp;"_CALC.pdf")</f>
        <v/>
      </c>
      <c r="AX166" s="9"/>
      <c r="AY166" s="9"/>
      <c r="AZ166" s="39"/>
      <c r="BA166" s="39"/>
      <c r="BB166" s="39"/>
      <c r="BC166" s="39"/>
      <c r="BD166" s="39"/>
      <c r="BE166" s="12" t="str">
        <f aca="false">IF(A166="","",IF(COUNTIF(Rebar_Schedule!$A$5:$A$2004,A166)=0,"",ROUND(SUMIF(Rebar_Schedule!$A$5:$A$2004,A166,Rebar_Schedule!$K$5:$K$2004),1)))</f>
        <v/>
      </c>
      <c r="BF166" s="33" t="str">
        <f aca="false">IF(A166="","",IF(BE166="","No rebar schedule yet",IF(ABS(BE166-N(BA166))/MAX(N(BA166),1)&gt;SG_Criteria!$B$55,"NOTE: register rebar differs from schedule by "&amp;TEXT(ABS(BE166-N(BA166))/MAX(N(BA166),1),"0%"),"OK")))</f>
        <v/>
      </c>
      <c r="BG166" s="33" t="str">
        <f aca="false">IF(D166="","",IF(LEN(IF(AND(Z166&lt;&gt;"",IFERROR(VALUE(MID(Z166,2,2)),0)&lt;SG_Criteria!$B$19),"FAIL: grade below C"&amp;SG_Criteria!$B$19&amp;". ","")&amp;IF(AND(AA166&lt;&gt;"",AA166&lt;SG_Criteria!$B$20),"FAIL: cover &lt; "&amp;SG_Criteria!$B$20&amp;" mm. ","")&amp;IF(AND(I166&lt;&gt;"",I166&lt;SG_Criteria!$B$39),"NOTE: min depth below PUB "&amp;SG_Criteria!$B$39&amp;" m. ","")&amp;IF(AND(LEFT(D166,8)="Standard",J166&gt;SG_Criteria!$B$42),"FAIL: PUB 001C covers manholes up to "&amp;SG_Criteria!$B$42&amp;" m deep only. ","")&amp;IF(AND(LEFT(D166,11)="Rectangular",K166&lt;SG_Criteria!$B$43),"NOTE: 004C is for sewers &gt;= "&amp;SG_Criteria!$B$43&amp;" dia. ","")&amp;IF(AND(LEFT(D166,7)="Precast",J166&lt;=SG_Criteria!$B$42),"NOTE: 006C is for manholes &gt; "&amp;SG_Criteria!$B$42&amp;" m deep. ","")&amp;IF(AND(K166&lt;&gt;"",K166&lt;SG_Criteria!$B$40,D166&lt;&gt;"Inspection Chamber"),"NOTE: public sewer min dia "&amp;SG_Criteria!$B$40&amp;" mm. ","")&amp;IF(AND(Y166&lt;&gt;"",Y166&lt;SG_Criteria!$B$44),"FAIL: uplift FOS below "&amp;SG_Criteria!$B$44&amp;". ",""))=0,"OK",IF(AND(Z166&lt;&gt;"",IFERROR(VALUE(MID(Z166,2,2)),0)&lt;SG_Criteria!$B$19),"FAIL: grade below C"&amp;SG_Criteria!$B$19&amp;". ","")&amp;IF(AND(AA166&lt;&gt;"",AA166&lt;SG_Criteria!$B$20),"FAIL: cover &lt; "&amp;SG_Criteria!$B$20&amp;" mm. ","")&amp;IF(AND(I166&lt;&gt;"",I166&lt;SG_Criteria!$B$39),"NOTE: min depth below PUB "&amp;SG_Criteria!$B$39&amp;" m. ","")&amp;IF(AND(LEFT(D166,8)="Standard",J166&gt;SG_Criteria!$B$42),"FAIL: PUB 001C covers manholes up to "&amp;SG_Criteria!$B$42&amp;" m deep only. ","")&amp;IF(AND(LEFT(D166,11)="Rectangular",K166&lt;SG_Criteria!$B$43),"NOTE: 004C is for sewers &gt;= "&amp;SG_Criteria!$B$43&amp;" dia. ","")&amp;IF(AND(LEFT(D166,7)="Precast",J166&lt;=SG_Criteria!$B$42),"NOTE: 006C is for manholes &gt; "&amp;SG_Criteria!$B$42&amp;" m deep. ","")&amp;IF(AND(K166&lt;&gt;"",K166&lt;SG_Criteria!$B$40,D166&lt;&gt;"Inspection Chamber"),"NOTE: public sewer min dia "&amp;SG_Criteria!$B$40&amp;" mm. ","")&amp;IF(AND(Y166&lt;&gt;"",Y166&lt;SG_Criteria!$B$44),"FAIL: uplift FOS below "&amp;SG_Criteria!$B$44&amp;". ","")))</f>
        <v/>
      </c>
      <c r="BH166" s="9"/>
      <c r="BI166" s="9"/>
      <c r="BJ166" s="9"/>
      <c r="BK166" s="10" t="str">
        <f aca="false">IF(BJ166="","",IFERROR(VLOOKUP(BJ166,Projects!$A$5:$D$504,2,0),"Ref not in Projects"))</f>
        <v/>
      </c>
      <c r="BL166" s="10" t="str">
        <f aca="false">IF(BJ166="","",IFERROR(VLOOKUP(BJ166,Projects!$A$5:$D$504,4,0),"Ref not in Projects"))</f>
        <v/>
      </c>
      <c r="BM166" s="9"/>
      <c r="BN166" s="9"/>
      <c r="BO166" s="9"/>
      <c r="BP166" s="40"/>
      <c r="BQ166" s="9"/>
      <c r="BR166" s="40"/>
      <c r="BS166" s="9"/>
      <c r="BT166" s="40"/>
      <c r="BU166" s="9"/>
      <c r="BV166" s="9"/>
      <c r="BW166" s="9"/>
      <c r="BX166" s="40"/>
      <c r="BY166" s="40"/>
      <c r="BZ166" s="36" t="str">
        <f aca="false">IF(BY166="","",EDATE(BY166,SG_Criteria!$B$54*12))</f>
        <v/>
      </c>
      <c r="CA166" s="33" t="str">
        <f aca="true">IF(A166="","",IF(BY166="","NOTE: not reviewed yet",IF(TODAY()&gt;BZ166,"NOTE: review overdue","OK")))</f>
        <v/>
      </c>
      <c r="CB166" s="37" t="str">
        <f aca="false">IF(A166="","",ROUND((IF(LEN(D166)&gt;0,1,0)+IF(LEN(E166)&gt;0,1,0)+IF(LEN(F166)&gt;0,1,0)+IF(LEN(G166)&gt;0,1,0)+IF(LEN(I166)&gt;0,1,0)+IF(LEN(J166)&gt;0,1,0)+IF(LEN(K166)&gt;0,1,0)+IF(LEN(L166)&gt;0,1,0)+IF(LEN(M166)&gt;0,1,0)+IF(LEN(N166)&gt;0,1,0)+IF(LEN(Z166)&gt;0,1,0)+IF(LEN(AA166)&gt;0,1,0)+IF(LEN(Y166)&gt;0,1,0)+IF(LEN(AE166)&gt;0,1,0)+IF(LEN(AG166)&gt;0,1,0)+IF(LEN(AZ166)&gt;0,1,0)+IF(LEN(AK166)&gt;0,1,0)+IF(LEN(AM166)&gt;0,1,0)+IF(LEN(AN166)&gt;0,1,0)+IF(LEN(AO166)&gt;0,1,0)+IF(LEN(AP166)&gt;0,1,0)+IF(LEN(AY166)&gt;0,1,0)+IF(LEN(BJ166)&gt;0,1,0)+IF(LEN(BW166)&gt;0,1,0))/24,2))</f>
        <v/>
      </c>
      <c r="CC166" s="10" t="str">
        <f aca="false">IF(D166="","",IF(AND(AN166="Approved",ISERROR(SEARCH("FAIL",BG166))),"Y","N"))</f>
        <v/>
      </c>
      <c r="CD166" s="10" t="str">
        <f aca="false">IF(D166="","",D166&amp;"|"&amp;J166&amp;"|"&amp;G166&amp;"|"&amp;CC166)</f>
        <v/>
      </c>
    </row>
    <row r="167" customFormat="false" ht="15" hidden="false" customHeight="false" outlineLevel="0" collapsed="false">
      <c r="A167" s="10" t="str">
        <f aca="false">IF(D167="","","MH-"&amp;IFERROR(VLOOKUP(D167,Lists!$AB$4:$AC$20,2,0),"??")&amp;"-"&amp;TEXT(G167,"0000")&amp;IF(F167="Circular","D","x"&amp;TEXT(H167,"0000"))&amp;"-D"&amp;TEXT(J167*1000,"0000")&amp;"-"&amp;IFERROR(VLOOKUP(E167,Lists!$AE$4:$AF$16,2,0),"??")&amp;"-"&amp;AM167)</f>
        <v/>
      </c>
      <c r="B167" s="10" t="str">
        <f aca="false">IF(D167="","",D167&amp;", "&amp;E167&amp;", "&amp;IF(F167="Circular",G167&amp;" dia",G167&amp;" x "&amp;H167)&amp;", depth "&amp;TEXT(I167,"0.0")&amp;"-"&amp;TEXT(J167,"0.0")&amp;" m, pipe up to "&amp;K167&amp;" dia")</f>
        <v/>
      </c>
      <c r="C167" s="9"/>
      <c r="D167" s="9"/>
      <c r="E167" s="9"/>
      <c r="F167" s="9"/>
      <c r="G167" s="38"/>
      <c r="H167" s="38"/>
      <c r="I167" s="42"/>
      <c r="J167" s="42"/>
      <c r="K167" s="38"/>
      <c r="L167" s="38"/>
      <c r="M167" s="38"/>
      <c r="N167" s="38"/>
      <c r="O167" s="9"/>
      <c r="P167" s="9"/>
      <c r="Q167" s="9"/>
      <c r="R167" s="9"/>
      <c r="S167" s="9"/>
      <c r="T167" s="9"/>
      <c r="U167" s="9"/>
      <c r="V167" s="42"/>
      <c r="W167" s="9"/>
      <c r="X167" s="9"/>
      <c r="Y167" s="39"/>
      <c r="Z167" s="9"/>
      <c r="AA167" s="38"/>
      <c r="AB167" s="9"/>
      <c r="AC167" s="9"/>
      <c r="AD167" s="9"/>
      <c r="AE167" s="9"/>
      <c r="AF167" s="9"/>
      <c r="AG167" s="9"/>
      <c r="AH167" s="38"/>
      <c r="AI167" s="9"/>
      <c r="AJ167" s="39"/>
      <c r="AK167" s="9"/>
      <c r="AL167" s="9"/>
      <c r="AM167" s="9"/>
      <c r="AN167" s="9"/>
      <c r="AO167" s="9"/>
      <c r="AP167" s="9"/>
      <c r="AQ167" s="9"/>
      <c r="AR167" s="10" t="str">
        <f aca="false">IF(A167="","",SG_Criteria!$B$6&amp;SG_Criteria!$B$10&amp;"\"&amp;A167&amp;"\")</f>
        <v/>
      </c>
      <c r="AS167" s="10" t="str">
        <f aca="false">IF(A167="","",A167&amp;"_CAD.dwg")</f>
        <v/>
      </c>
      <c r="AT167" s="10" t="str">
        <f aca="false">IF(A167="","",A167&amp;"_DWG.pdf")</f>
        <v/>
      </c>
      <c r="AU167" s="10" t="str">
        <f aca="false">IF(A167="","",IF(AQ167="Y",A167&amp;"_STAAD.std","n/a"))</f>
        <v/>
      </c>
      <c r="AV167" s="10" t="str">
        <f aca="false">IF(A167="","",A167&amp;"_CALC.xlsx")</f>
        <v/>
      </c>
      <c r="AW167" s="10" t="str">
        <f aca="false">IF(A167="","",A167&amp;"_CALC.pdf")</f>
        <v/>
      </c>
      <c r="AX167" s="9"/>
      <c r="AY167" s="9"/>
      <c r="AZ167" s="39"/>
      <c r="BA167" s="39"/>
      <c r="BB167" s="39"/>
      <c r="BC167" s="39"/>
      <c r="BD167" s="39"/>
      <c r="BE167" s="12" t="str">
        <f aca="false">IF(A167="","",IF(COUNTIF(Rebar_Schedule!$A$5:$A$2004,A167)=0,"",ROUND(SUMIF(Rebar_Schedule!$A$5:$A$2004,A167,Rebar_Schedule!$K$5:$K$2004),1)))</f>
        <v/>
      </c>
      <c r="BF167" s="33" t="str">
        <f aca="false">IF(A167="","",IF(BE167="","No rebar schedule yet",IF(ABS(BE167-N(BA167))/MAX(N(BA167),1)&gt;SG_Criteria!$B$55,"NOTE: register rebar differs from schedule by "&amp;TEXT(ABS(BE167-N(BA167))/MAX(N(BA167),1),"0%"),"OK")))</f>
        <v/>
      </c>
      <c r="BG167" s="33" t="str">
        <f aca="false">IF(D167="","",IF(LEN(IF(AND(Z167&lt;&gt;"",IFERROR(VALUE(MID(Z167,2,2)),0)&lt;SG_Criteria!$B$19),"FAIL: grade below C"&amp;SG_Criteria!$B$19&amp;". ","")&amp;IF(AND(AA167&lt;&gt;"",AA167&lt;SG_Criteria!$B$20),"FAIL: cover &lt; "&amp;SG_Criteria!$B$20&amp;" mm. ","")&amp;IF(AND(I167&lt;&gt;"",I167&lt;SG_Criteria!$B$39),"NOTE: min depth below PUB "&amp;SG_Criteria!$B$39&amp;" m. ","")&amp;IF(AND(LEFT(D167,8)="Standard",J167&gt;SG_Criteria!$B$42),"FAIL: PUB 001C covers manholes up to "&amp;SG_Criteria!$B$42&amp;" m deep only. ","")&amp;IF(AND(LEFT(D167,11)="Rectangular",K167&lt;SG_Criteria!$B$43),"NOTE: 004C is for sewers &gt;= "&amp;SG_Criteria!$B$43&amp;" dia. ","")&amp;IF(AND(LEFT(D167,7)="Precast",J167&lt;=SG_Criteria!$B$42),"NOTE: 006C is for manholes &gt; "&amp;SG_Criteria!$B$42&amp;" m deep. ","")&amp;IF(AND(K167&lt;&gt;"",K167&lt;SG_Criteria!$B$40,D167&lt;&gt;"Inspection Chamber"),"NOTE: public sewer min dia "&amp;SG_Criteria!$B$40&amp;" mm. ","")&amp;IF(AND(Y167&lt;&gt;"",Y167&lt;SG_Criteria!$B$44),"FAIL: uplift FOS below "&amp;SG_Criteria!$B$44&amp;". ",""))=0,"OK",IF(AND(Z167&lt;&gt;"",IFERROR(VALUE(MID(Z167,2,2)),0)&lt;SG_Criteria!$B$19),"FAIL: grade below C"&amp;SG_Criteria!$B$19&amp;". ","")&amp;IF(AND(AA167&lt;&gt;"",AA167&lt;SG_Criteria!$B$20),"FAIL: cover &lt; "&amp;SG_Criteria!$B$20&amp;" mm. ","")&amp;IF(AND(I167&lt;&gt;"",I167&lt;SG_Criteria!$B$39),"NOTE: min depth below PUB "&amp;SG_Criteria!$B$39&amp;" m. ","")&amp;IF(AND(LEFT(D167,8)="Standard",J167&gt;SG_Criteria!$B$42),"FAIL: PUB 001C covers manholes up to "&amp;SG_Criteria!$B$42&amp;" m deep only. ","")&amp;IF(AND(LEFT(D167,11)="Rectangular",K167&lt;SG_Criteria!$B$43),"NOTE: 004C is for sewers &gt;= "&amp;SG_Criteria!$B$43&amp;" dia. ","")&amp;IF(AND(LEFT(D167,7)="Precast",J167&lt;=SG_Criteria!$B$42),"NOTE: 006C is for manholes &gt; "&amp;SG_Criteria!$B$42&amp;" m deep. ","")&amp;IF(AND(K167&lt;&gt;"",K167&lt;SG_Criteria!$B$40,D167&lt;&gt;"Inspection Chamber"),"NOTE: public sewer min dia "&amp;SG_Criteria!$B$40&amp;" mm. ","")&amp;IF(AND(Y167&lt;&gt;"",Y167&lt;SG_Criteria!$B$44),"FAIL: uplift FOS below "&amp;SG_Criteria!$B$44&amp;". ","")))</f>
        <v/>
      </c>
      <c r="BH167" s="9"/>
      <c r="BI167" s="9"/>
      <c r="BJ167" s="9"/>
      <c r="BK167" s="10" t="str">
        <f aca="false">IF(BJ167="","",IFERROR(VLOOKUP(BJ167,Projects!$A$5:$D$504,2,0),"Ref not in Projects"))</f>
        <v/>
      </c>
      <c r="BL167" s="10" t="str">
        <f aca="false">IF(BJ167="","",IFERROR(VLOOKUP(BJ167,Projects!$A$5:$D$504,4,0),"Ref not in Projects"))</f>
        <v/>
      </c>
      <c r="BM167" s="9"/>
      <c r="BN167" s="9"/>
      <c r="BO167" s="9"/>
      <c r="BP167" s="40"/>
      <c r="BQ167" s="9"/>
      <c r="BR167" s="40"/>
      <c r="BS167" s="9"/>
      <c r="BT167" s="40"/>
      <c r="BU167" s="9"/>
      <c r="BV167" s="9"/>
      <c r="BW167" s="9"/>
      <c r="BX167" s="40"/>
      <c r="BY167" s="40"/>
      <c r="BZ167" s="36" t="str">
        <f aca="false">IF(BY167="","",EDATE(BY167,SG_Criteria!$B$54*12))</f>
        <v/>
      </c>
      <c r="CA167" s="33" t="str">
        <f aca="true">IF(A167="","",IF(BY167="","NOTE: not reviewed yet",IF(TODAY()&gt;BZ167,"NOTE: review overdue","OK")))</f>
        <v/>
      </c>
      <c r="CB167" s="37" t="str">
        <f aca="false">IF(A167="","",ROUND((IF(LEN(D167)&gt;0,1,0)+IF(LEN(E167)&gt;0,1,0)+IF(LEN(F167)&gt;0,1,0)+IF(LEN(G167)&gt;0,1,0)+IF(LEN(I167)&gt;0,1,0)+IF(LEN(J167)&gt;0,1,0)+IF(LEN(K167)&gt;0,1,0)+IF(LEN(L167)&gt;0,1,0)+IF(LEN(M167)&gt;0,1,0)+IF(LEN(N167)&gt;0,1,0)+IF(LEN(Z167)&gt;0,1,0)+IF(LEN(AA167)&gt;0,1,0)+IF(LEN(Y167)&gt;0,1,0)+IF(LEN(AE167)&gt;0,1,0)+IF(LEN(AG167)&gt;0,1,0)+IF(LEN(AZ167)&gt;0,1,0)+IF(LEN(AK167)&gt;0,1,0)+IF(LEN(AM167)&gt;0,1,0)+IF(LEN(AN167)&gt;0,1,0)+IF(LEN(AO167)&gt;0,1,0)+IF(LEN(AP167)&gt;0,1,0)+IF(LEN(AY167)&gt;0,1,0)+IF(LEN(BJ167)&gt;0,1,0)+IF(LEN(BW167)&gt;0,1,0))/24,2))</f>
        <v/>
      </c>
      <c r="CC167" s="10" t="str">
        <f aca="false">IF(D167="","",IF(AND(AN167="Approved",ISERROR(SEARCH("FAIL",BG167))),"Y","N"))</f>
        <v/>
      </c>
      <c r="CD167" s="10" t="str">
        <f aca="false">IF(D167="","",D167&amp;"|"&amp;J167&amp;"|"&amp;G167&amp;"|"&amp;CC167)</f>
        <v/>
      </c>
    </row>
    <row r="168" customFormat="false" ht="15" hidden="false" customHeight="false" outlineLevel="0" collapsed="false">
      <c r="A168" s="10" t="str">
        <f aca="false">IF(D168="","","MH-"&amp;IFERROR(VLOOKUP(D168,Lists!$AB$4:$AC$20,2,0),"??")&amp;"-"&amp;TEXT(G168,"0000")&amp;IF(F168="Circular","D","x"&amp;TEXT(H168,"0000"))&amp;"-D"&amp;TEXT(J168*1000,"0000")&amp;"-"&amp;IFERROR(VLOOKUP(E168,Lists!$AE$4:$AF$16,2,0),"??")&amp;"-"&amp;AM168)</f>
        <v/>
      </c>
      <c r="B168" s="10" t="str">
        <f aca="false">IF(D168="","",D168&amp;", "&amp;E168&amp;", "&amp;IF(F168="Circular",G168&amp;" dia",G168&amp;" x "&amp;H168)&amp;", depth "&amp;TEXT(I168,"0.0")&amp;"-"&amp;TEXT(J168,"0.0")&amp;" m, pipe up to "&amp;K168&amp;" dia")</f>
        <v/>
      </c>
      <c r="C168" s="9"/>
      <c r="D168" s="9"/>
      <c r="E168" s="9"/>
      <c r="F168" s="9"/>
      <c r="G168" s="38"/>
      <c r="H168" s="38"/>
      <c r="I168" s="42"/>
      <c r="J168" s="42"/>
      <c r="K168" s="38"/>
      <c r="L168" s="38"/>
      <c r="M168" s="38"/>
      <c r="N168" s="38"/>
      <c r="O168" s="9"/>
      <c r="P168" s="9"/>
      <c r="Q168" s="9"/>
      <c r="R168" s="9"/>
      <c r="S168" s="9"/>
      <c r="T168" s="9"/>
      <c r="U168" s="9"/>
      <c r="V168" s="42"/>
      <c r="W168" s="9"/>
      <c r="X168" s="9"/>
      <c r="Y168" s="39"/>
      <c r="Z168" s="9"/>
      <c r="AA168" s="38"/>
      <c r="AB168" s="9"/>
      <c r="AC168" s="9"/>
      <c r="AD168" s="9"/>
      <c r="AE168" s="9"/>
      <c r="AF168" s="9"/>
      <c r="AG168" s="9"/>
      <c r="AH168" s="38"/>
      <c r="AI168" s="9"/>
      <c r="AJ168" s="39"/>
      <c r="AK168" s="9"/>
      <c r="AL168" s="9"/>
      <c r="AM168" s="9"/>
      <c r="AN168" s="9"/>
      <c r="AO168" s="9"/>
      <c r="AP168" s="9"/>
      <c r="AQ168" s="9"/>
      <c r="AR168" s="10" t="str">
        <f aca="false">IF(A168="","",SG_Criteria!$B$6&amp;SG_Criteria!$B$10&amp;"\"&amp;A168&amp;"\")</f>
        <v/>
      </c>
      <c r="AS168" s="10" t="str">
        <f aca="false">IF(A168="","",A168&amp;"_CAD.dwg")</f>
        <v/>
      </c>
      <c r="AT168" s="10" t="str">
        <f aca="false">IF(A168="","",A168&amp;"_DWG.pdf")</f>
        <v/>
      </c>
      <c r="AU168" s="10" t="str">
        <f aca="false">IF(A168="","",IF(AQ168="Y",A168&amp;"_STAAD.std","n/a"))</f>
        <v/>
      </c>
      <c r="AV168" s="10" t="str">
        <f aca="false">IF(A168="","",A168&amp;"_CALC.xlsx")</f>
        <v/>
      </c>
      <c r="AW168" s="10" t="str">
        <f aca="false">IF(A168="","",A168&amp;"_CALC.pdf")</f>
        <v/>
      </c>
      <c r="AX168" s="9"/>
      <c r="AY168" s="9"/>
      <c r="AZ168" s="39"/>
      <c r="BA168" s="39"/>
      <c r="BB168" s="39"/>
      <c r="BC168" s="39"/>
      <c r="BD168" s="39"/>
      <c r="BE168" s="12" t="str">
        <f aca="false">IF(A168="","",IF(COUNTIF(Rebar_Schedule!$A$5:$A$2004,A168)=0,"",ROUND(SUMIF(Rebar_Schedule!$A$5:$A$2004,A168,Rebar_Schedule!$K$5:$K$2004),1)))</f>
        <v/>
      </c>
      <c r="BF168" s="33" t="str">
        <f aca="false">IF(A168="","",IF(BE168="","No rebar schedule yet",IF(ABS(BE168-N(BA168))/MAX(N(BA168),1)&gt;SG_Criteria!$B$55,"NOTE: register rebar differs from schedule by "&amp;TEXT(ABS(BE168-N(BA168))/MAX(N(BA168),1),"0%"),"OK")))</f>
        <v/>
      </c>
      <c r="BG168" s="33" t="str">
        <f aca="false">IF(D168="","",IF(LEN(IF(AND(Z168&lt;&gt;"",IFERROR(VALUE(MID(Z168,2,2)),0)&lt;SG_Criteria!$B$19),"FAIL: grade below C"&amp;SG_Criteria!$B$19&amp;". ","")&amp;IF(AND(AA168&lt;&gt;"",AA168&lt;SG_Criteria!$B$20),"FAIL: cover &lt; "&amp;SG_Criteria!$B$20&amp;" mm. ","")&amp;IF(AND(I168&lt;&gt;"",I168&lt;SG_Criteria!$B$39),"NOTE: min depth below PUB "&amp;SG_Criteria!$B$39&amp;" m. ","")&amp;IF(AND(LEFT(D168,8)="Standard",J168&gt;SG_Criteria!$B$42),"FAIL: PUB 001C covers manholes up to "&amp;SG_Criteria!$B$42&amp;" m deep only. ","")&amp;IF(AND(LEFT(D168,11)="Rectangular",K168&lt;SG_Criteria!$B$43),"NOTE: 004C is for sewers &gt;= "&amp;SG_Criteria!$B$43&amp;" dia. ","")&amp;IF(AND(LEFT(D168,7)="Precast",J168&lt;=SG_Criteria!$B$42),"NOTE: 006C is for manholes &gt; "&amp;SG_Criteria!$B$42&amp;" m deep. ","")&amp;IF(AND(K168&lt;&gt;"",K168&lt;SG_Criteria!$B$40,D168&lt;&gt;"Inspection Chamber"),"NOTE: public sewer min dia "&amp;SG_Criteria!$B$40&amp;" mm. ","")&amp;IF(AND(Y168&lt;&gt;"",Y168&lt;SG_Criteria!$B$44),"FAIL: uplift FOS below "&amp;SG_Criteria!$B$44&amp;". ",""))=0,"OK",IF(AND(Z168&lt;&gt;"",IFERROR(VALUE(MID(Z168,2,2)),0)&lt;SG_Criteria!$B$19),"FAIL: grade below C"&amp;SG_Criteria!$B$19&amp;". ","")&amp;IF(AND(AA168&lt;&gt;"",AA168&lt;SG_Criteria!$B$20),"FAIL: cover &lt; "&amp;SG_Criteria!$B$20&amp;" mm. ","")&amp;IF(AND(I168&lt;&gt;"",I168&lt;SG_Criteria!$B$39),"NOTE: min depth below PUB "&amp;SG_Criteria!$B$39&amp;" m. ","")&amp;IF(AND(LEFT(D168,8)="Standard",J168&gt;SG_Criteria!$B$42),"FAIL: PUB 001C covers manholes up to "&amp;SG_Criteria!$B$42&amp;" m deep only. ","")&amp;IF(AND(LEFT(D168,11)="Rectangular",K168&lt;SG_Criteria!$B$43),"NOTE: 004C is for sewers &gt;= "&amp;SG_Criteria!$B$43&amp;" dia. ","")&amp;IF(AND(LEFT(D168,7)="Precast",J168&lt;=SG_Criteria!$B$42),"NOTE: 006C is for manholes &gt; "&amp;SG_Criteria!$B$42&amp;" m deep. ","")&amp;IF(AND(K168&lt;&gt;"",K168&lt;SG_Criteria!$B$40,D168&lt;&gt;"Inspection Chamber"),"NOTE: public sewer min dia "&amp;SG_Criteria!$B$40&amp;" mm. ","")&amp;IF(AND(Y168&lt;&gt;"",Y168&lt;SG_Criteria!$B$44),"FAIL: uplift FOS below "&amp;SG_Criteria!$B$44&amp;". ","")))</f>
        <v/>
      </c>
      <c r="BH168" s="9"/>
      <c r="BI168" s="9"/>
      <c r="BJ168" s="9"/>
      <c r="BK168" s="10" t="str">
        <f aca="false">IF(BJ168="","",IFERROR(VLOOKUP(BJ168,Projects!$A$5:$D$504,2,0),"Ref not in Projects"))</f>
        <v/>
      </c>
      <c r="BL168" s="10" t="str">
        <f aca="false">IF(BJ168="","",IFERROR(VLOOKUP(BJ168,Projects!$A$5:$D$504,4,0),"Ref not in Projects"))</f>
        <v/>
      </c>
      <c r="BM168" s="9"/>
      <c r="BN168" s="9"/>
      <c r="BO168" s="9"/>
      <c r="BP168" s="40"/>
      <c r="BQ168" s="9"/>
      <c r="BR168" s="40"/>
      <c r="BS168" s="9"/>
      <c r="BT168" s="40"/>
      <c r="BU168" s="9"/>
      <c r="BV168" s="9"/>
      <c r="BW168" s="9"/>
      <c r="BX168" s="40"/>
      <c r="BY168" s="40"/>
      <c r="BZ168" s="36" t="str">
        <f aca="false">IF(BY168="","",EDATE(BY168,SG_Criteria!$B$54*12))</f>
        <v/>
      </c>
      <c r="CA168" s="33" t="str">
        <f aca="true">IF(A168="","",IF(BY168="","NOTE: not reviewed yet",IF(TODAY()&gt;BZ168,"NOTE: review overdue","OK")))</f>
        <v/>
      </c>
      <c r="CB168" s="37" t="str">
        <f aca="false">IF(A168="","",ROUND((IF(LEN(D168)&gt;0,1,0)+IF(LEN(E168)&gt;0,1,0)+IF(LEN(F168)&gt;0,1,0)+IF(LEN(G168)&gt;0,1,0)+IF(LEN(I168)&gt;0,1,0)+IF(LEN(J168)&gt;0,1,0)+IF(LEN(K168)&gt;0,1,0)+IF(LEN(L168)&gt;0,1,0)+IF(LEN(M168)&gt;0,1,0)+IF(LEN(N168)&gt;0,1,0)+IF(LEN(Z168)&gt;0,1,0)+IF(LEN(AA168)&gt;0,1,0)+IF(LEN(Y168)&gt;0,1,0)+IF(LEN(AE168)&gt;0,1,0)+IF(LEN(AG168)&gt;0,1,0)+IF(LEN(AZ168)&gt;0,1,0)+IF(LEN(AK168)&gt;0,1,0)+IF(LEN(AM168)&gt;0,1,0)+IF(LEN(AN168)&gt;0,1,0)+IF(LEN(AO168)&gt;0,1,0)+IF(LEN(AP168)&gt;0,1,0)+IF(LEN(AY168)&gt;0,1,0)+IF(LEN(BJ168)&gt;0,1,0)+IF(LEN(BW168)&gt;0,1,0))/24,2))</f>
        <v/>
      </c>
      <c r="CC168" s="10" t="str">
        <f aca="false">IF(D168="","",IF(AND(AN168="Approved",ISERROR(SEARCH("FAIL",BG168))),"Y","N"))</f>
        <v/>
      </c>
      <c r="CD168" s="10" t="str">
        <f aca="false">IF(D168="","",D168&amp;"|"&amp;J168&amp;"|"&amp;G168&amp;"|"&amp;CC168)</f>
        <v/>
      </c>
    </row>
    <row r="169" customFormat="false" ht="15" hidden="false" customHeight="false" outlineLevel="0" collapsed="false">
      <c r="A169" s="10" t="str">
        <f aca="false">IF(D169="","","MH-"&amp;IFERROR(VLOOKUP(D169,Lists!$AB$4:$AC$20,2,0),"??")&amp;"-"&amp;TEXT(G169,"0000")&amp;IF(F169="Circular","D","x"&amp;TEXT(H169,"0000"))&amp;"-D"&amp;TEXT(J169*1000,"0000")&amp;"-"&amp;IFERROR(VLOOKUP(E169,Lists!$AE$4:$AF$16,2,0),"??")&amp;"-"&amp;AM169)</f>
        <v/>
      </c>
      <c r="B169" s="10" t="str">
        <f aca="false">IF(D169="","",D169&amp;", "&amp;E169&amp;", "&amp;IF(F169="Circular",G169&amp;" dia",G169&amp;" x "&amp;H169)&amp;", depth "&amp;TEXT(I169,"0.0")&amp;"-"&amp;TEXT(J169,"0.0")&amp;" m, pipe up to "&amp;K169&amp;" dia")</f>
        <v/>
      </c>
      <c r="C169" s="9"/>
      <c r="D169" s="9"/>
      <c r="E169" s="9"/>
      <c r="F169" s="9"/>
      <c r="G169" s="38"/>
      <c r="H169" s="38"/>
      <c r="I169" s="42"/>
      <c r="J169" s="42"/>
      <c r="K169" s="38"/>
      <c r="L169" s="38"/>
      <c r="M169" s="38"/>
      <c r="N169" s="38"/>
      <c r="O169" s="9"/>
      <c r="P169" s="9"/>
      <c r="Q169" s="9"/>
      <c r="R169" s="9"/>
      <c r="S169" s="9"/>
      <c r="T169" s="9"/>
      <c r="U169" s="9"/>
      <c r="V169" s="42"/>
      <c r="W169" s="9"/>
      <c r="X169" s="9"/>
      <c r="Y169" s="39"/>
      <c r="Z169" s="9"/>
      <c r="AA169" s="38"/>
      <c r="AB169" s="9"/>
      <c r="AC169" s="9"/>
      <c r="AD169" s="9"/>
      <c r="AE169" s="9"/>
      <c r="AF169" s="9"/>
      <c r="AG169" s="9"/>
      <c r="AH169" s="38"/>
      <c r="AI169" s="9"/>
      <c r="AJ169" s="39"/>
      <c r="AK169" s="9"/>
      <c r="AL169" s="9"/>
      <c r="AM169" s="9"/>
      <c r="AN169" s="9"/>
      <c r="AO169" s="9"/>
      <c r="AP169" s="9"/>
      <c r="AQ169" s="9"/>
      <c r="AR169" s="10" t="str">
        <f aca="false">IF(A169="","",SG_Criteria!$B$6&amp;SG_Criteria!$B$10&amp;"\"&amp;A169&amp;"\")</f>
        <v/>
      </c>
      <c r="AS169" s="10" t="str">
        <f aca="false">IF(A169="","",A169&amp;"_CAD.dwg")</f>
        <v/>
      </c>
      <c r="AT169" s="10" t="str">
        <f aca="false">IF(A169="","",A169&amp;"_DWG.pdf")</f>
        <v/>
      </c>
      <c r="AU169" s="10" t="str">
        <f aca="false">IF(A169="","",IF(AQ169="Y",A169&amp;"_STAAD.std","n/a"))</f>
        <v/>
      </c>
      <c r="AV169" s="10" t="str">
        <f aca="false">IF(A169="","",A169&amp;"_CALC.xlsx")</f>
        <v/>
      </c>
      <c r="AW169" s="10" t="str">
        <f aca="false">IF(A169="","",A169&amp;"_CALC.pdf")</f>
        <v/>
      </c>
      <c r="AX169" s="9"/>
      <c r="AY169" s="9"/>
      <c r="AZ169" s="39"/>
      <c r="BA169" s="39"/>
      <c r="BB169" s="39"/>
      <c r="BC169" s="39"/>
      <c r="BD169" s="39"/>
      <c r="BE169" s="12" t="str">
        <f aca="false">IF(A169="","",IF(COUNTIF(Rebar_Schedule!$A$5:$A$2004,A169)=0,"",ROUND(SUMIF(Rebar_Schedule!$A$5:$A$2004,A169,Rebar_Schedule!$K$5:$K$2004),1)))</f>
        <v/>
      </c>
      <c r="BF169" s="33" t="str">
        <f aca="false">IF(A169="","",IF(BE169="","No rebar schedule yet",IF(ABS(BE169-N(BA169))/MAX(N(BA169),1)&gt;SG_Criteria!$B$55,"NOTE: register rebar differs from schedule by "&amp;TEXT(ABS(BE169-N(BA169))/MAX(N(BA169),1),"0%"),"OK")))</f>
        <v/>
      </c>
      <c r="BG169" s="33" t="str">
        <f aca="false">IF(D169="","",IF(LEN(IF(AND(Z169&lt;&gt;"",IFERROR(VALUE(MID(Z169,2,2)),0)&lt;SG_Criteria!$B$19),"FAIL: grade below C"&amp;SG_Criteria!$B$19&amp;". ","")&amp;IF(AND(AA169&lt;&gt;"",AA169&lt;SG_Criteria!$B$20),"FAIL: cover &lt; "&amp;SG_Criteria!$B$20&amp;" mm. ","")&amp;IF(AND(I169&lt;&gt;"",I169&lt;SG_Criteria!$B$39),"NOTE: min depth below PUB "&amp;SG_Criteria!$B$39&amp;" m. ","")&amp;IF(AND(LEFT(D169,8)="Standard",J169&gt;SG_Criteria!$B$42),"FAIL: PUB 001C covers manholes up to "&amp;SG_Criteria!$B$42&amp;" m deep only. ","")&amp;IF(AND(LEFT(D169,11)="Rectangular",K169&lt;SG_Criteria!$B$43),"NOTE: 004C is for sewers &gt;= "&amp;SG_Criteria!$B$43&amp;" dia. ","")&amp;IF(AND(LEFT(D169,7)="Precast",J169&lt;=SG_Criteria!$B$42),"NOTE: 006C is for manholes &gt; "&amp;SG_Criteria!$B$42&amp;" m deep. ","")&amp;IF(AND(K169&lt;&gt;"",K169&lt;SG_Criteria!$B$40,D169&lt;&gt;"Inspection Chamber"),"NOTE: public sewer min dia "&amp;SG_Criteria!$B$40&amp;" mm. ","")&amp;IF(AND(Y169&lt;&gt;"",Y169&lt;SG_Criteria!$B$44),"FAIL: uplift FOS below "&amp;SG_Criteria!$B$44&amp;". ",""))=0,"OK",IF(AND(Z169&lt;&gt;"",IFERROR(VALUE(MID(Z169,2,2)),0)&lt;SG_Criteria!$B$19),"FAIL: grade below C"&amp;SG_Criteria!$B$19&amp;". ","")&amp;IF(AND(AA169&lt;&gt;"",AA169&lt;SG_Criteria!$B$20),"FAIL: cover &lt; "&amp;SG_Criteria!$B$20&amp;" mm. ","")&amp;IF(AND(I169&lt;&gt;"",I169&lt;SG_Criteria!$B$39),"NOTE: min depth below PUB "&amp;SG_Criteria!$B$39&amp;" m. ","")&amp;IF(AND(LEFT(D169,8)="Standard",J169&gt;SG_Criteria!$B$42),"FAIL: PUB 001C covers manholes up to "&amp;SG_Criteria!$B$42&amp;" m deep only. ","")&amp;IF(AND(LEFT(D169,11)="Rectangular",K169&lt;SG_Criteria!$B$43),"NOTE: 004C is for sewers &gt;= "&amp;SG_Criteria!$B$43&amp;" dia. ","")&amp;IF(AND(LEFT(D169,7)="Precast",J169&lt;=SG_Criteria!$B$42),"NOTE: 006C is for manholes &gt; "&amp;SG_Criteria!$B$42&amp;" m deep. ","")&amp;IF(AND(K169&lt;&gt;"",K169&lt;SG_Criteria!$B$40,D169&lt;&gt;"Inspection Chamber"),"NOTE: public sewer min dia "&amp;SG_Criteria!$B$40&amp;" mm. ","")&amp;IF(AND(Y169&lt;&gt;"",Y169&lt;SG_Criteria!$B$44),"FAIL: uplift FOS below "&amp;SG_Criteria!$B$44&amp;". ","")))</f>
        <v/>
      </c>
      <c r="BH169" s="9"/>
      <c r="BI169" s="9"/>
      <c r="BJ169" s="9"/>
      <c r="BK169" s="10" t="str">
        <f aca="false">IF(BJ169="","",IFERROR(VLOOKUP(BJ169,Projects!$A$5:$D$504,2,0),"Ref not in Projects"))</f>
        <v/>
      </c>
      <c r="BL169" s="10" t="str">
        <f aca="false">IF(BJ169="","",IFERROR(VLOOKUP(BJ169,Projects!$A$5:$D$504,4,0),"Ref not in Projects"))</f>
        <v/>
      </c>
      <c r="BM169" s="9"/>
      <c r="BN169" s="9"/>
      <c r="BO169" s="9"/>
      <c r="BP169" s="40"/>
      <c r="BQ169" s="9"/>
      <c r="BR169" s="40"/>
      <c r="BS169" s="9"/>
      <c r="BT169" s="40"/>
      <c r="BU169" s="9"/>
      <c r="BV169" s="9"/>
      <c r="BW169" s="9"/>
      <c r="BX169" s="40"/>
      <c r="BY169" s="40"/>
      <c r="BZ169" s="36" t="str">
        <f aca="false">IF(BY169="","",EDATE(BY169,SG_Criteria!$B$54*12))</f>
        <v/>
      </c>
      <c r="CA169" s="33" t="str">
        <f aca="true">IF(A169="","",IF(BY169="","NOTE: not reviewed yet",IF(TODAY()&gt;BZ169,"NOTE: review overdue","OK")))</f>
        <v/>
      </c>
      <c r="CB169" s="37" t="str">
        <f aca="false">IF(A169="","",ROUND((IF(LEN(D169)&gt;0,1,0)+IF(LEN(E169)&gt;0,1,0)+IF(LEN(F169)&gt;0,1,0)+IF(LEN(G169)&gt;0,1,0)+IF(LEN(I169)&gt;0,1,0)+IF(LEN(J169)&gt;0,1,0)+IF(LEN(K169)&gt;0,1,0)+IF(LEN(L169)&gt;0,1,0)+IF(LEN(M169)&gt;0,1,0)+IF(LEN(N169)&gt;0,1,0)+IF(LEN(Z169)&gt;0,1,0)+IF(LEN(AA169)&gt;0,1,0)+IF(LEN(Y169)&gt;0,1,0)+IF(LEN(AE169)&gt;0,1,0)+IF(LEN(AG169)&gt;0,1,0)+IF(LEN(AZ169)&gt;0,1,0)+IF(LEN(AK169)&gt;0,1,0)+IF(LEN(AM169)&gt;0,1,0)+IF(LEN(AN169)&gt;0,1,0)+IF(LEN(AO169)&gt;0,1,0)+IF(LEN(AP169)&gt;0,1,0)+IF(LEN(AY169)&gt;0,1,0)+IF(LEN(BJ169)&gt;0,1,0)+IF(LEN(BW169)&gt;0,1,0))/24,2))</f>
        <v/>
      </c>
      <c r="CC169" s="10" t="str">
        <f aca="false">IF(D169="","",IF(AND(AN169="Approved",ISERROR(SEARCH("FAIL",BG169))),"Y","N"))</f>
        <v/>
      </c>
      <c r="CD169" s="10" t="str">
        <f aca="false">IF(D169="","",D169&amp;"|"&amp;J169&amp;"|"&amp;G169&amp;"|"&amp;CC169)</f>
        <v/>
      </c>
    </row>
    <row r="170" customFormat="false" ht="15" hidden="false" customHeight="false" outlineLevel="0" collapsed="false">
      <c r="A170" s="10" t="str">
        <f aca="false">IF(D170="","","MH-"&amp;IFERROR(VLOOKUP(D170,Lists!$AB$4:$AC$20,2,0),"??")&amp;"-"&amp;TEXT(G170,"0000")&amp;IF(F170="Circular","D","x"&amp;TEXT(H170,"0000"))&amp;"-D"&amp;TEXT(J170*1000,"0000")&amp;"-"&amp;IFERROR(VLOOKUP(E170,Lists!$AE$4:$AF$16,2,0),"??")&amp;"-"&amp;AM170)</f>
        <v/>
      </c>
      <c r="B170" s="10" t="str">
        <f aca="false">IF(D170="","",D170&amp;", "&amp;E170&amp;", "&amp;IF(F170="Circular",G170&amp;" dia",G170&amp;" x "&amp;H170)&amp;", depth "&amp;TEXT(I170,"0.0")&amp;"-"&amp;TEXT(J170,"0.0")&amp;" m, pipe up to "&amp;K170&amp;" dia")</f>
        <v/>
      </c>
      <c r="C170" s="9"/>
      <c r="D170" s="9"/>
      <c r="E170" s="9"/>
      <c r="F170" s="9"/>
      <c r="G170" s="38"/>
      <c r="H170" s="38"/>
      <c r="I170" s="42"/>
      <c r="J170" s="42"/>
      <c r="K170" s="38"/>
      <c r="L170" s="38"/>
      <c r="M170" s="38"/>
      <c r="N170" s="38"/>
      <c r="O170" s="9"/>
      <c r="P170" s="9"/>
      <c r="Q170" s="9"/>
      <c r="R170" s="9"/>
      <c r="S170" s="9"/>
      <c r="T170" s="9"/>
      <c r="U170" s="9"/>
      <c r="V170" s="42"/>
      <c r="W170" s="9"/>
      <c r="X170" s="9"/>
      <c r="Y170" s="39"/>
      <c r="Z170" s="9"/>
      <c r="AA170" s="38"/>
      <c r="AB170" s="9"/>
      <c r="AC170" s="9"/>
      <c r="AD170" s="9"/>
      <c r="AE170" s="9"/>
      <c r="AF170" s="9"/>
      <c r="AG170" s="9"/>
      <c r="AH170" s="38"/>
      <c r="AI170" s="9"/>
      <c r="AJ170" s="39"/>
      <c r="AK170" s="9"/>
      <c r="AL170" s="9"/>
      <c r="AM170" s="9"/>
      <c r="AN170" s="9"/>
      <c r="AO170" s="9"/>
      <c r="AP170" s="9"/>
      <c r="AQ170" s="9"/>
      <c r="AR170" s="10" t="str">
        <f aca="false">IF(A170="","",SG_Criteria!$B$6&amp;SG_Criteria!$B$10&amp;"\"&amp;A170&amp;"\")</f>
        <v/>
      </c>
      <c r="AS170" s="10" t="str">
        <f aca="false">IF(A170="","",A170&amp;"_CAD.dwg")</f>
        <v/>
      </c>
      <c r="AT170" s="10" t="str">
        <f aca="false">IF(A170="","",A170&amp;"_DWG.pdf")</f>
        <v/>
      </c>
      <c r="AU170" s="10" t="str">
        <f aca="false">IF(A170="","",IF(AQ170="Y",A170&amp;"_STAAD.std","n/a"))</f>
        <v/>
      </c>
      <c r="AV170" s="10" t="str">
        <f aca="false">IF(A170="","",A170&amp;"_CALC.xlsx")</f>
        <v/>
      </c>
      <c r="AW170" s="10" t="str">
        <f aca="false">IF(A170="","",A170&amp;"_CALC.pdf")</f>
        <v/>
      </c>
      <c r="AX170" s="9"/>
      <c r="AY170" s="9"/>
      <c r="AZ170" s="39"/>
      <c r="BA170" s="39"/>
      <c r="BB170" s="39"/>
      <c r="BC170" s="39"/>
      <c r="BD170" s="39"/>
      <c r="BE170" s="12" t="str">
        <f aca="false">IF(A170="","",IF(COUNTIF(Rebar_Schedule!$A$5:$A$2004,A170)=0,"",ROUND(SUMIF(Rebar_Schedule!$A$5:$A$2004,A170,Rebar_Schedule!$K$5:$K$2004),1)))</f>
        <v/>
      </c>
      <c r="BF170" s="33" t="str">
        <f aca="false">IF(A170="","",IF(BE170="","No rebar schedule yet",IF(ABS(BE170-N(BA170))/MAX(N(BA170),1)&gt;SG_Criteria!$B$55,"NOTE: register rebar differs from schedule by "&amp;TEXT(ABS(BE170-N(BA170))/MAX(N(BA170),1),"0%"),"OK")))</f>
        <v/>
      </c>
      <c r="BG170" s="33" t="str">
        <f aca="false">IF(D170="","",IF(LEN(IF(AND(Z170&lt;&gt;"",IFERROR(VALUE(MID(Z170,2,2)),0)&lt;SG_Criteria!$B$19),"FAIL: grade below C"&amp;SG_Criteria!$B$19&amp;". ","")&amp;IF(AND(AA170&lt;&gt;"",AA170&lt;SG_Criteria!$B$20),"FAIL: cover &lt; "&amp;SG_Criteria!$B$20&amp;" mm. ","")&amp;IF(AND(I170&lt;&gt;"",I170&lt;SG_Criteria!$B$39),"NOTE: min depth below PUB "&amp;SG_Criteria!$B$39&amp;" m. ","")&amp;IF(AND(LEFT(D170,8)="Standard",J170&gt;SG_Criteria!$B$42),"FAIL: PUB 001C covers manholes up to "&amp;SG_Criteria!$B$42&amp;" m deep only. ","")&amp;IF(AND(LEFT(D170,11)="Rectangular",K170&lt;SG_Criteria!$B$43),"NOTE: 004C is for sewers &gt;= "&amp;SG_Criteria!$B$43&amp;" dia. ","")&amp;IF(AND(LEFT(D170,7)="Precast",J170&lt;=SG_Criteria!$B$42),"NOTE: 006C is for manholes &gt; "&amp;SG_Criteria!$B$42&amp;" m deep. ","")&amp;IF(AND(K170&lt;&gt;"",K170&lt;SG_Criteria!$B$40,D170&lt;&gt;"Inspection Chamber"),"NOTE: public sewer min dia "&amp;SG_Criteria!$B$40&amp;" mm. ","")&amp;IF(AND(Y170&lt;&gt;"",Y170&lt;SG_Criteria!$B$44),"FAIL: uplift FOS below "&amp;SG_Criteria!$B$44&amp;". ",""))=0,"OK",IF(AND(Z170&lt;&gt;"",IFERROR(VALUE(MID(Z170,2,2)),0)&lt;SG_Criteria!$B$19),"FAIL: grade below C"&amp;SG_Criteria!$B$19&amp;". ","")&amp;IF(AND(AA170&lt;&gt;"",AA170&lt;SG_Criteria!$B$20),"FAIL: cover &lt; "&amp;SG_Criteria!$B$20&amp;" mm. ","")&amp;IF(AND(I170&lt;&gt;"",I170&lt;SG_Criteria!$B$39),"NOTE: min depth below PUB "&amp;SG_Criteria!$B$39&amp;" m. ","")&amp;IF(AND(LEFT(D170,8)="Standard",J170&gt;SG_Criteria!$B$42),"FAIL: PUB 001C covers manholes up to "&amp;SG_Criteria!$B$42&amp;" m deep only. ","")&amp;IF(AND(LEFT(D170,11)="Rectangular",K170&lt;SG_Criteria!$B$43),"NOTE: 004C is for sewers &gt;= "&amp;SG_Criteria!$B$43&amp;" dia. ","")&amp;IF(AND(LEFT(D170,7)="Precast",J170&lt;=SG_Criteria!$B$42),"NOTE: 006C is for manholes &gt; "&amp;SG_Criteria!$B$42&amp;" m deep. ","")&amp;IF(AND(K170&lt;&gt;"",K170&lt;SG_Criteria!$B$40,D170&lt;&gt;"Inspection Chamber"),"NOTE: public sewer min dia "&amp;SG_Criteria!$B$40&amp;" mm. ","")&amp;IF(AND(Y170&lt;&gt;"",Y170&lt;SG_Criteria!$B$44),"FAIL: uplift FOS below "&amp;SG_Criteria!$B$44&amp;". ","")))</f>
        <v/>
      </c>
      <c r="BH170" s="9"/>
      <c r="BI170" s="9"/>
      <c r="BJ170" s="9"/>
      <c r="BK170" s="10" t="str">
        <f aca="false">IF(BJ170="","",IFERROR(VLOOKUP(BJ170,Projects!$A$5:$D$504,2,0),"Ref not in Projects"))</f>
        <v/>
      </c>
      <c r="BL170" s="10" t="str">
        <f aca="false">IF(BJ170="","",IFERROR(VLOOKUP(BJ170,Projects!$A$5:$D$504,4,0),"Ref not in Projects"))</f>
        <v/>
      </c>
      <c r="BM170" s="9"/>
      <c r="BN170" s="9"/>
      <c r="BO170" s="9"/>
      <c r="BP170" s="40"/>
      <c r="BQ170" s="9"/>
      <c r="BR170" s="40"/>
      <c r="BS170" s="9"/>
      <c r="BT170" s="40"/>
      <c r="BU170" s="9"/>
      <c r="BV170" s="9"/>
      <c r="BW170" s="9"/>
      <c r="BX170" s="40"/>
      <c r="BY170" s="40"/>
      <c r="BZ170" s="36" t="str">
        <f aca="false">IF(BY170="","",EDATE(BY170,SG_Criteria!$B$54*12))</f>
        <v/>
      </c>
      <c r="CA170" s="33" t="str">
        <f aca="true">IF(A170="","",IF(BY170="","NOTE: not reviewed yet",IF(TODAY()&gt;BZ170,"NOTE: review overdue","OK")))</f>
        <v/>
      </c>
      <c r="CB170" s="37" t="str">
        <f aca="false">IF(A170="","",ROUND((IF(LEN(D170)&gt;0,1,0)+IF(LEN(E170)&gt;0,1,0)+IF(LEN(F170)&gt;0,1,0)+IF(LEN(G170)&gt;0,1,0)+IF(LEN(I170)&gt;0,1,0)+IF(LEN(J170)&gt;0,1,0)+IF(LEN(K170)&gt;0,1,0)+IF(LEN(L170)&gt;0,1,0)+IF(LEN(M170)&gt;0,1,0)+IF(LEN(N170)&gt;0,1,0)+IF(LEN(Z170)&gt;0,1,0)+IF(LEN(AA170)&gt;0,1,0)+IF(LEN(Y170)&gt;0,1,0)+IF(LEN(AE170)&gt;0,1,0)+IF(LEN(AG170)&gt;0,1,0)+IF(LEN(AZ170)&gt;0,1,0)+IF(LEN(AK170)&gt;0,1,0)+IF(LEN(AM170)&gt;0,1,0)+IF(LEN(AN170)&gt;0,1,0)+IF(LEN(AO170)&gt;0,1,0)+IF(LEN(AP170)&gt;0,1,0)+IF(LEN(AY170)&gt;0,1,0)+IF(LEN(BJ170)&gt;0,1,0)+IF(LEN(BW170)&gt;0,1,0))/24,2))</f>
        <v/>
      </c>
      <c r="CC170" s="10" t="str">
        <f aca="false">IF(D170="","",IF(AND(AN170="Approved",ISERROR(SEARCH("FAIL",BG170))),"Y","N"))</f>
        <v/>
      </c>
      <c r="CD170" s="10" t="str">
        <f aca="false">IF(D170="","",D170&amp;"|"&amp;J170&amp;"|"&amp;G170&amp;"|"&amp;CC170)</f>
        <v/>
      </c>
    </row>
    <row r="171" customFormat="false" ht="15" hidden="false" customHeight="false" outlineLevel="0" collapsed="false">
      <c r="A171" s="10" t="str">
        <f aca="false">IF(D171="","","MH-"&amp;IFERROR(VLOOKUP(D171,Lists!$AB$4:$AC$20,2,0),"??")&amp;"-"&amp;TEXT(G171,"0000")&amp;IF(F171="Circular","D","x"&amp;TEXT(H171,"0000"))&amp;"-D"&amp;TEXT(J171*1000,"0000")&amp;"-"&amp;IFERROR(VLOOKUP(E171,Lists!$AE$4:$AF$16,2,0),"??")&amp;"-"&amp;AM171)</f>
        <v/>
      </c>
      <c r="B171" s="10" t="str">
        <f aca="false">IF(D171="","",D171&amp;", "&amp;E171&amp;", "&amp;IF(F171="Circular",G171&amp;" dia",G171&amp;" x "&amp;H171)&amp;", depth "&amp;TEXT(I171,"0.0")&amp;"-"&amp;TEXT(J171,"0.0")&amp;" m, pipe up to "&amp;K171&amp;" dia")</f>
        <v/>
      </c>
      <c r="C171" s="9"/>
      <c r="D171" s="9"/>
      <c r="E171" s="9"/>
      <c r="F171" s="9"/>
      <c r="G171" s="38"/>
      <c r="H171" s="38"/>
      <c r="I171" s="42"/>
      <c r="J171" s="42"/>
      <c r="K171" s="38"/>
      <c r="L171" s="38"/>
      <c r="M171" s="38"/>
      <c r="N171" s="38"/>
      <c r="O171" s="9"/>
      <c r="P171" s="9"/>
      <c r="Q171" s="9"/>
      <c r="R171" s="9"/>
      <c r="S171" s="9"/>
      <c r="T171" s="9"/>
      <c r="U171" s="9"/>
      <c r="V171" s="42"/>
      <c r="W171" s="9"/>
      <c r="X171" s="9"/>
      <c r="Y171" s="39"/>
      <c r="Z171" s="9"/>
      <c r="AA171" s="38"/>
      <c r="AB171" s="9"/>
      <c r="AC171" s="9"/>
      <c r="AD171" s="9"/>
      <c r="AE171" s="9"/>
      <c r="AF171" s="9"/>
      <c r="AG171" s="9"/>
      <c r="AH171" s="38"/>
      <c r="AI171" s="9"/>
      <c r="AJ171" s="39"/>
      <c r="AK171" s="9"/>
      <c r="AL171" s="9"/>
      <c r="AM171" s="9"/>
      <c r="AN171" s="9"/>
      <c r="AO171" s="9"/>
      <c r="AP171" s="9"/>
      <c r="AQ171" s="9"/>
      <c r="AR171" s="10" t="str">
        <f aca="false">IF(A171="","",SG_Criteria!$B$6&amp;SG_Criteria!$B$10&amp;"\"&amp;A171&amp;"\")</f>
        <v/>
      </c>
      <c r="AS171" s="10" t="str">
        <f aca="false">IF(A171="","",A171&amp;"_CAD.dwg")</f>
        <v/>
      </c>
      <c r="AT171" s="10" t="str">
        <f aca="false">IF(A171="","",A171&amp;"_DWG.pdf")</f>
        <v/>
      </c>
      <c r="AU171" s="10" t="str">
        <f aca="false">IF(A171="","",IF(AQ171="Y",A171&amp;"_STAAD.std","n/a"))</f>
        <v/>
      </c>
      <c r="AV171" s="10" t="str">
        <f aca="false">IF(A171="","",A171&amp;"_CALC.xlsx")</f>
        <v/>
      </c>
      <c r="AW171" s="10" t="str">
        <f aca="false">IF(A171="","",A171&amp;"_CALC.pdf")</f>
        <v/>
      </c>
      <c r="AX171" s="9"/>
      <c r="AY171" s="9"/>
      <c r="AZ171" s="39"/>
      <c r="BA171" s="39"/>
      <c r="BB171" s="39"/>
      <c r="BC171" s="39"/>
      <c r="BD171" s="39"/>
      <c r="BE171" s="12" t="str">
        <f aca="false">IF(A171="","",IF(COUNTIF(Rebar_Schedule!$A$5:$A$2004,A171)=0,"",ROUND(SUMIF(Rebar_Schedule!$A$5:$A$2004,A171,Rebar_Schedule!$K$5:$K$2004),1)))</f>
        <v/>
      </c>
      <c r="BF171" s="33" t="str">
        <f aca="false">IF(A171="","",IF(BE171="","No rebar schedule yet",IF(ABS(BE171-N(BA171))/MAX(N(BA171),1)&gt;SG_Criteria!$B$55,"NOTE: register rebar differs from schedule by "&amp;TEXT(ABS(BE171-N(BA171))/MAX(N(BA171),1),"0%"),"OK")))</f>
        <v/>
      </c>
      <c r="BG171" s="33" t="str">
        <f aca="false">IF(D171="","",IF(LEN(IF(AND(Z171&lt;&gt;"",IFERROR(VALUE(MID(Z171,2,2)),0)&lt;SG_Criteria!$B$19),"FAIL: grade below C"&amp;SG_Criteria!$B$19&amp;". ","")&amp;IF(AND(AA171&lt;&gt;"",AA171&lt;SG_Criteria!$B$20),"FAIL: cover &lt; "&amp;SG_Criteria!$B$20&amp;" mm. ","")&amp;IF(AND(I171&lt;&gt;"",I171&lt;SG_Criteria!$B$39),"NOTE: min depth below PUB "&amp;SG_Criteria!$B$39&amp;" m. ","")&amp;IF(AND(LEFT(D171,8)="Standard",J171&gt;SG_Criteria!$B$42),"FAIL: PUB 001C covers manholes up to "&amp;SG_Criteria!$B$42&amp;" m deep only. ","")&amp;IF(AND(LEFT(D171,11)="Rectangular",K171&lt;SG_Criteria!$B$43),"NOTE: 004C is for sewers &gt;= "&amp;SG_Criteria!$B$43&amp;" dia. ","")&amp;IF(AND(LEFT(D171,7)="Precast",J171&lt;=SG_Criteria!$B$42),"NOTE: 006C is for manholes &gt; "&amp;SG_Criteria!$B$42&amp;" m deep. ","")&amp;IF(AND(K171&lt;&gt;"",K171&lt;SG_Criteria!$B$40,D171&lt;&gt;"Inspection Chamber"),"NOTE: public sewer min dia "&amp;SG_Criteria!$B$40&amp;" mm. ","")&amp;IF(AND(Y171&lt;&gt;"",Y171&lt;SG_Criteria!$B$44),"FAIL: uplift FOS below "&amp;SG_Criteria!$B$44&amp;". ",""))=0,"OK",IF(AND(Z171&lt;&gt;"",IFERROR(VALUE(MID(Z171,2,2)),0)&lt;SG_Criteria!$B$19),"FAIL: grade below C"&amp;SG_Criteria!$B$19&amp;". ","")&amp;IF(AND(AA171&lt;&gt;"",AA171&lt;SG_Criteria!$B$20),"FAIL: cover &lt; "&amp;SG_Criteria!$B$20&amp;" mm. ","")&amp;IF(AND(I171&lt;&gt;"",I171&lt;SG_Criteria!$B$39),"NOTE: min depth below PUB "&amp;SG_Criteria!$B$39&amp;" m. ","")&amp;IF(AND(LEFT(D171,8)="Standard",J171&gt;SG_Criteria!$B$42),"FAIL: PUB 001C covers manholes up to "&amp;SG_Criteria!$B$42&amp;" m deep only. ","")&amp;IF(AND(LEFT(D171,11)="Rectangular",K171&lt;SG_Criteria!$B$43),"NOTE: 004C is for sewers &gt;= "&amp;SG_Criteria!$B$43&amp;" dia. ","")&amp;IF(AND(LEFT(D171,7)="Precast",J171&lt;=SG_Criteria!$B$42),"NOTE: 006C is for manholes &gt; "&amp;SG_Criteria!$B$42&amp;" m deep. ","")&amp;IF(AND(K171&lt;&gt;"",K171&lt;SG_Criteria!$B$40,D171&lt;&gt;"Inspection Chamber"),"NOTE: public sewer min dia "&amp;SG_Criteria!$B$40&amp;" mm. ","")&amp;IF(AND(Y171&lt;&gt;"",Y171&lt;SG_Criteria!$B$44),"FAIL: uplift FOS below "&amp;SG_Criteria!$B$44&amp;". ","")))</f>
        <v/>
      </c>
      <c r="BH171" s="9"/>
      <c r="BI171" s="9"/>
      <c r="BJ171" s="9"/>
      <c r="BK171" s="10" t="str">
        <f aca="false">IF(BJ171="","",IFERROR(VLOOKUP(BJ171,Projects!$A$5:$D$504,2,0),"Ref not in Projects"))</f>
        <v/>
      </c>
      <c r="BL171" s="10" t="str">
        <f aca="false">IF(BJ171="","",IFERROR(VLOOKUP(BJ171,Projects!$A$5:$D$504,4,0),"Ref not in Projects"))</f>
        <v/>
      </c>
      <c r="BM171" s="9"/>
      <c r="BN171" s="9"/>
      <c r="BO171" s="9"/>
      <c r="BP171" s="40"/>
      <c r="BQ171" s="9"/>
      <c r="BR171" s="40"/>
      <c r="BS171" s="9"/>
      <c r="BT171" s="40"/>
      <c r="BU171" s="9"/>
      <c r="BV171" s="9"/>
      <c r="BW171" s="9"/>
      <c r="BX171" s="40"/>
      <c r="BY171" s="40"/>
      <c r="BZ171" s="36" t="str">
        <f aca="false">IF(BY171="","",EDATE(BY171,SG_Criteria!$B$54*12))</f>
        <v/>
      </c>
      <c r="CA171" s="33" t="str">
        <f aca="true">IF(A171="","",IF(BY171="","NOTE: not reviewed yet",IF(TODAY()&gt;BZ171,"NOTE: review overdue","OK")))</f>
        <v/>
      </c>
      <c r="CB171" s="37" t="str">
        <f aca="false">IF(A171="","",ROUND((IF(LEN(D171)&gt;0,1,0)+IF(LEN(E171)&gt;0,1,0)+IF(LEN(F171)&gt;0,1,0)+IF(LEN(G171)&gt;0,1,0)+IF(LEN(I171)&gt;0,1,0)+IF(LEN(J171)&gt;0,1,0)+IF(LEN(K171)&gt;0,1,0)+IF(LEN(L171)&gt;0,1,0)+IF(LEN(M171)&gt;0,1,0)+IF(LEN(N171)&gt;0,1,0)+IF(LEN(Z171)&gt;0,1,0)+IF(LEN(AA171)&gt;0,1,0)+IF(LEN(Y171)&gt;0,1,0)+IF(LEN(AE171)&gt;0,1,0)+IF(LEN(AG171)&gt;0,1,0)+IF(LEN(AZ171)&gt;0,1,0)+IF(LEN(AK171)&gt;0,1,0)+IF(LEN(AM171)&gt;0,1,0)+IF(LEN(AN171)&gt;0,1,0)+IF(LEN(AO171)&gt;0,1,0)+IF(LEN(AP171)&gt;0,1,0)+IF(LEN(AY171)&gt;0,1,0)+IF(LEN(BJ171)&gt;0,1,0)+IF(LEN(BW171)&gt;0,1,0))/24,2))</f>
        <v/>
      </c>
      <c r="CC171" s="10" t="str">
        <f aca="false">IF(D171="","",IF(AND(AN171="Approved",ISERROR(SEARCH("FAIL",BG171))),"Y","N"))</f>
        <v/>
      </c>
      <c r="CD171" s="10" t="str">
        <f aca="false">IF(D171="","",D171&amp;"|"&amp;J171&amp;"|"&amp;G171&amp;"|"&amp;CC171)</f>
        <v/>
      </c>
    </row>
    <row r="172" customFormat="false" ht="15" hidden="false" customHeight="false" outlineLevel="0" collapsed="false">
      <c r="A172" s="10" t="str">
        <f aca="false">IF(D172="","","MH-"&amp;IFERROR(VLOOKUP(D172,Lists!$AB$4:$AC$20,2,0),"??")&amp;"-"&amp;TEXT(G172,"0000")&amp;IF(F172="Circular","D","x"&amp;TEXT(H172,"0000"))&amp;"-D"&amp;TEXT(J172*1000,"0000")&amp;"-"&amp;IFERROR(VLOOKUP(E172,Lists!$AE$4:$AF$16,2,0),"??")&amp;"-"&amp;AM172)</f>
        <v/>
      </c>
      <c r="B172" s="10" t="str">
        <f aca="false">IF(D172="","",D172&amp;", "&amp;E172&amp;", "&amp;IF(F172="Circular",G172&amp;" dia",G172&amp;" x "&amp;H172)&amp;", depth "&amp;TEXT(I172,"0.0")&amp;"-"&amp;TEXT(J172,"0.0")&amp;" m, pipe up to "&amp;K172&amp;" dia")</f>
        <v/>
      </c>
      <c r="C172" s="9"/>
      <c r="D172" s="9"/>
      <c r="E172" s="9"/>
      <c r="F172" s="9"/>
      <c r="G172" s="38"/>
      <c r="H172" s="38"/>
      <c r="I172" s="42"/>
      <c r="J172" s="42"/>
      <c r="K172" s="38"/>
      <c r="L172" s="38"/>
      <c r="M172" s="38"/>
      <c r="N172" s="38"/>
      <c r="O172" s="9"/>
      <c r="P172" s="9"/>
      <c r="Q172" s="9"/>
      <c r="R172" s="9"/>
      <c r="S172" s="9"/>
      <c r="T172" s="9"/>
      <c r="U172" s="9"/>
      <c r="V172" s="42"/>
      <c r="W172" s="9"/>
      <c r="X172" s="9"/>
      <c r="Y172" s="39"/>
      <c r="Z172" s="9"/>
      <c r="AA172" s="38"/>
      <c r="AB172" s="9"/>
      <c r="AC172" s="9"/>
      <c r="AD172" s="9"/>
      <c r="AE172" s="9"/>
      <c r="AF172" s="9"/>
      <c r="AG172" s="9"/>
      <c r="AH172" s="38"/>
      <c r="AI172" s="9"/>
      <c r="AJ172" s="39"/>
      <c r="AK172" s="9"/>
      <c r="AL172" s="9"/>
      <c r="AM172" s="9"/>
      <c r="AN172" s="9"/>
      <c r="AO172" s="9"/>
      <c r="AP172" s="9"/>
      <c r="AQ172" s="9"/>
      <c r="AR172" s="10" t="str">
        <f aca="false">IF(A172="","",SG_Criteria!$B$6&amp;SG_Criteria!$B$10&amp;"\"&amp;A172&amp;"\")</f>
        <v/>
      </c>
      <c r="AS172" s="10" t="str">
        <f aca="false">IF(A172="","",A172&amp;"_CAD.dwg")</f>
        <v/>
      </c>
      <c r="AT172" s="10" t="str">
        <f aca="false">IF(A172="","",A172&amp;"_DWG.pdf")</f>
        <v/>
      </c>
      <c r="AU172" s="10" t="str">
        <f aca="false">IF(A172="","",IF(AQ172="Y",A172&amp;"_STAAD.std","n/a"))</f>
        <v/>
      </c>
      <c r="AV172" s="10" t="str">
        <f aca="false">IF(A172="","",A172&amp;"_CALC.xlsx")</f>
        <v/>
      </c>
      <c r="AW172" s="10" t="str">
        <f aca="false">IF(A172="","",A172&amp;"_CALC.pdf")</f>
        <v/>
      </c>
      <c r="AX172" s="9"/>
      <c r="AY172" s="9"/>
      <c r="AZ172" s="39"/>
      <c r="BA172" s="39"/>
      <c r="BB172" s="39"/>
      <c r="BC172" s="39"/>
      <c r="BD172" s="39"/>
      <c r="BE172" s="12" t="str">
        <f aca="false">IF(A172="","",IF(COUNTIF(Rebar_Schedule!$A$5:$A$2004,A172)=0,"",ROUND(SUMIF(Rebar_Schedule!$A$5:$A$2004,A172,Rebar_Schedule!$K$5:$K$2004),1)))</f>
        <v/>
      </c>
      <c r="BF172" s="33" t="str">
        <f aca="false">IF(A172="","",IF(BE172="","No rebar schedule yet",IF(ABS(BE172-N(BA172))/MAX(N(BA172),1)&gt;SG_Criteria!$B$55,"NOTE: register rebar differs from schedule by "&amp;TEXT(ABS(BE172-N(BA172))/MAX(N(BA172),1),"0%"),"OK")))</f>
        <v/>
      </c>
      <c r="BG172" s="33" t="str">
        <f aca="false">IF(D172="","",IF(LEN(IF(AND(Z172&lt;&gt;"",IFERROR(VALUE(MID(Z172,2,2)),0)&lt;SG_Criteria!$B$19),"FAIL: grade below C"&amp;SG_Criteria!$B$19&amp;". ","")&amp;IF(AND(AA172&lt;&gt;"",AA172&lt;SG_Criteria!$B$20),"FAIL: cover &lt; "&amp;SG_Criteria!$B$20&amp;" mm. ","")&amp;IF(AND(I172&lt;&gt;"",I172&lt;SG_Criteria!$B$39),"NOTE: min depth below PUB "&amp;SG_Criteria!$B$39&amp;" m. ","")&amp;IF(AND(LEFT(D172,8)="Standard",J172&gt;SG_Criteria!$B$42),"FAIL: PUB 001C covers manholes up to "&amp;SG_Criteria!$B$42&amp;" m deep only. ","")&amp;IF(AND(LEFT(D172,11)="Rectangular",K172&lt;SG_Criteria!$B$43),"NOTE: 004C is for sewers &gt;= "&amp;SG_Criteria!$B$43&amp;" dia. ","")&amp;IF(AND(LEFT(D172,7)="Precast",J172&lt;=SG_Criteria!$B$42),"NOTE: 006C is for manholes &gt; "&amp;SG_Criteria!$B$42&amp;" m deep. ","")&amp;IF(AND(K172&lt;&gt;"",K172&lt;SG_Criteria!$B$40,D172&lt;&gt;"Inspection Chamber"),"NOTE: public sewer min dia "&amp;SG_Criteria!$B$40&amp;" mm. ","")&amp;IF(AND(Y172&lt;&gt;"",Y172&lt;SG_Criteria!$B$44),"FAIL: uplift FOS below "&amp;SG_Criteria!$B$44&amp;". ",""))=0,"OK",IF(AND(Z172&lt;&gt;"",IFERROR(VALUE(MID(Z172,2,2)),0)&lt;SG_Criteria!$B$19),"FAIL: grade below C"&amp;SG_Criteria!$B$19&amp;". ","")&amp;IF(AND(AA172&lt;&gt;"",AA172&lt;SG_Criteria!$B$20),"FAIL: cover &lt; "&amp;SG_Criteria!$B$20&amp;" mm. ","")&amp;IF(AND(I172&lt;&gt;"",I172&lt;SG_Criteria!$B$39),"NOTE: min depth below PUB "&amp;SG_Criteria!$B$39&amp;" m. ","")&amp;IF(AND(LEFT(D172,8)="Standard",J172&gt;SG_Criteria!$B$42),"FAIL: PUB 001C covers manholes up to "&amp;SG_Criteria!$B$42&amp;" m deep only. ","")&amp;IF(AND(LEFT(D172,11)="Rectangular",K172&lt;SG_Criteria!$B$43),"NOTE: 004C is for sewers &gt;= "&amp;SG_Criteria!$B$43&amp;" dia. ","")&amp;IF(AND(LEFT(D172,7)="Precast",J172&lt;=SG_Criteria!$B$42),"NOTE: 006C is for manholes &gt; "&amp;SG_Criteria!$B$42&amp;" m deep. ","")&amp;IF(AND(K172&lt;&gt;"",K172&lt;SG_Criteria!$B$40,D172&lt;&gt;"Inspection Chamber"),"NOTE: public sewer min dia "&amp;SG_Criteria!$B$40&amp;" mm. ","")&amp;IF(AND(Y172&lt;&gt;"",Y172&lt;SG_Criteria!$B$44),"FAIL: uplift FOS below "&amp;SG_Criteria!$B$44&amp;". ","")))</f>
        <v/>
      </c>
      <c r="BH172" s="9"/>
      <c r="BI172" s="9"/>
      <c r="BJ172" s="9"/>
      <c r="BK172" s="10" t="str">
        <f aca="false">IF(BJ172="","",IFERROR(VLOOKUP(BJ172,Projects!$A$5:$D$504,2,0),"Ref not in Projects"))</f>
        <v/>
      </c>
      <c r="BL172" s="10" t="str">
        <f aca="false">IF(BJ172="","",IFERROR(VLOOKUP(BJ172,Projects!$A$5:$D$504,4,0),"Ref not in Projects"))</f>
        <v/>
      </c>
      <c r="BM172" s="9"/>
      <c r="BN172" s="9"/>
      <c r="BO172" s="9"/>
      <c r="BP172" s="40"/>
      <c r="BQ172" s="9"/>
      <c r="BR172" s="40"/>
      <c r="BS172" s="9"/>
      <c r="BT172" s="40"/>
      <c r="BU172" s="9"/>
      <c r="BV172" s="9"/>
      <c r="BW172" s="9"/>
      <c r="BX172" s="40"/>
      <c r="BY172" s="40"/>
      <c r="BZ172" s="36" t="str">
        <f aca="false">IF(BY172="","",EDATE(BY172,SG_Criteria!$B$54*12))</f>
        <v/>
      </c>
      <c r="CA172" s="33" t="str">
        <f aca="true">IF(A172="","",IF(BY172="","NOTE: not reviewed yet",IF(TODAY()&gt;BZ172,"NOTE: review overdue","OK")))</f>
        <v/>
      </c>
      <c r="CB172" s="37" t="str">
        <f aca="false">IF(A172="","",ROUND((IF(LEN(D172)&gt;0,1,0)+IF(LEN(E172)&gt;0,1,0)+IF(LEN(F172)&gt;0,1,0)+IF(LEN(G172)&gt;0,1,0)+IF(LEN(I172)&gt;0,1,0)+IF(LEN(J172)&gt;0,1,0)+IF(LEN(K172)&gt;0,1,0)+IF(LEN(L172)&gt;0,1,0)+IF(LEN(M172)&gt;0,1,0)+IF(LEN(N172)&gt;0,1,0)+IF(LEN(Z172)&gt;0,1,0)+IF(LEN(AA172)&gt;0,1,0)+IF(LEN(Y172)&gt;0,1,0)+IF(LEN(AE172)&gt;0,1,0)+IF(LEN(AG172)&gt;0,1,0)+IF(LEN(AZ172)&gt;0,1,0)+IF(LEN(AK172)&gt;0,1,0)+IF(LEN(AM172)&gt;0,1,0)+IF(LEN(AN172)&gt;0,1,0)+IF(LEN(AO172)&gt;0,1,0)+IF(LEN(AP172)&gt;0,1,0)+IF(LEN(AY172)&gt;0,1,0)+IF(LEN(BJ172)&gt;0,1,0)+IF(LEN(BW172)&gt;0,1,0))/24,2))</f>
        <v/>
      </c>
      <c r="CC172" s="10" t="str">
        <f aca="false">IF(D172="","",IF(AND(AN172="Approved",ISERROR(SEARCH("FAIL",BG172))),"Y","N"))</f>
        <v/>
      </c>
      <c r="CD172" s="10" t="str">
        <f aca="false">IF(D172="","",D172&amp;"|"&amp;J172&amp;"|"&amp;G172&amp;"|"&amp;CC172)</f>
        <v/>
      </c>
    </row>
    <row r="173" customFormat="false" ht="15" hidden="false" customHeight="false" outlineLevel="0" collapsed="false">
      <c r="A173" s="10" t="str">
        <f aca="false">IF(D173="","","MH-"&amp;IFERROR(VLOOKUP(D173,Lists!$AB$4:$AC$20,2,0),"??")&amp;"-"&amp;TEXT(G173,"0000")&amp;IF(F173="Circular","D","x"&amp;TEXT(H173,"0000"))&amp;"-D"&amp;TEXT(J173*1000,"0000")&amp;"-"&amp;IFERROR(VLOOKUP(E173,Lists!$AE$4:$AF$16,2,0),"??")&amp;"-"&amp;AM173)</f>
        <v/>
      </c>
      <c r="B173" s="10" t="str">
        <f aca="false">IF(D173="","",D173&amp;", "&amp;E173&amp;", "&amp;IF(F173="Circular",G173&amp;" dia",G173&amp;" x "&amp;H173)&amp;", depth "&amp;TEXT(I173,"0.0")&amp;"-"&amp;TEXT(J173,"0.0")&amp;" m, pipe up to "&amp;K173&amp;" dia")</f>
        <v/>
      </c>
      <c r="C173" s="9"/>
      <c r="D173" s="9"/>
      <c r="E173" s="9"/>
      <c r="F173" s="9"/>
      <c r="G173" s="38"/>
      <c r="H173" s="38"/>
      <c r="I173" s="42"/>
      <c r="J173" s="42"/>
      <c r="K173" s="38"/>
      <c r="L173" s="38"/>
      <c r="M173" s="38"/>
      <c r="N173" s="38"/>
      <c r="O173" s="9"/>
      <c r="P173" s="9"/>
      <c r="Q173" s="9"/>
      <c r="R173" s="9"/>
      <c r="S173" s="9"/>
      <c r="T173" s="9"/>
      <c r="U173" s="9"/>
      <c r="V173" s="42"/>
      <c r="W173" s="9"/>
      <c r="X173" s="9"/>
      <c r="Y173" s="39"/>
      <c r="Z173" s="9"/>
      <c r="AA173" s="38"/>
      <c r="AB173" s="9"/>
      <c r="AC173" s="9"/>
      <c r="AD173" s="9"/>
      <c r="AE173" s="9"/>
      <c r="AF173" s="9"/>
      <c r="AG173" s="9"/>
      <c r="AH173" s="38"/>
      <c r="AI173" s="9"/>
      <c r="AJ173" s="39"/>
      <c r="AK173" s="9"/>
      <c r="AL173" s="9"/>
      <c r="AM173" s="9"/>
      <c r="AN173" s="9"/>
      <c r="AO173" s="9"/>
      <c r="AP173" s="9"/>
      <c r="AQ173" s="9"/>
      <c r="AR173" s="10" t="str">
        <f aca="false">IF(A173="","",SG_Criteria!$B$6&amp;SG_Criteria!$B$10&amp;"\"&amp;A173&amp;"\")</f>
        <v/>
      </c>
      <c r="AS173" s="10" t="str">
        <f aca="false">IF(A173="","",A173&amp;"_CAD.dwg")</f>
        <v/>
      </c>
      <c r="AT173" s="10" t="str">
        <f aca="false">IF(A173="","",A173&amp;"_DWG.pdf")</f>
        <v/>
      </c>
      <c r="AU173" s="10" t="str">
        <f aca="false">IF(A173="","",IF(AQ173="Y",A173&amp;"_STAAD.std","n/a"))</f>
        <v/>
      </c>
      <c r="AV173" s="10" t="str">
        <f aca="false">IF(A173="","",A173&amp;"_CALC.xlsx")</f>
        <v/>
      </c>
      <c r="AW173" s="10" t="str">
        <f aca="false">IF(A173="","",A173&amp;"_CALC.pdf")</f>
        <v/>
      </c>
      <c r="AX173" s="9"/>
      <c r="AY173" s="9"/>
      <c r="AZ173" s="39"/>
      <c r="BA173" s="39"/>
      <c r="BB173" s="39"/>
      <c r="BC173" s="39"/>
      <c r="BD173" s="39"/>
      <c r="BE173" s="12" t="str">
        <f aca="false">IF(A173="","",IF(COUNTIF(Rebar_Schedule!$A$5:$A$2004,A173)=0,"",ROUND(SUMIF(Rebar_Schedule!$A$5:$A$2004,A173,Rebar_Schedule!$K$5:$K$2004),1)))</f>
        <v/>
      </c>
      <c r="BF173" s="33" t="str">
        <f aca="false">IF(A173="","",IF(BE173="","No rebar schedule yet",IF(ABS(BE173-N(BA173))/MAX(N(BA173),1)&gt;SG_Criteria!$B$55,"NOTE: register rebar differs from schedule by "&amp;TEXT(ABS(BE173-N(BA173))/MAX(N(BA173),1),"0%"),"OK")))</f>
        <v/>
      </c>
      <c r="BG173" s="33" t="str">
        <f aca="false">IF(D173="","",IF(LEN(IF(AND(Z173&lt;&gt;"",IFERROR(VALUE(MID(Z173,2,2)),0)&lt;SG_Criteria!$B$19),"FAIL: grade below C"&amp;SG_Criteria!$B$19&amp;". ","")&amp;IF(AND(AA173&lt;&gt;"",AA173&lt;SG_Criteria!$B$20),"FAIL: cover &lt; "&amp;SG_Criteria!$B$20&amp;" mm. ","")&amp;IF(AND(I173&lt;&gt;"",I173&lt;SG_Criteria!$B$39),"NOTE: min depth below PUB "&amp;SG_Criteria!$B$39&amp;" m. ","")&amp;IF(AND(LEFT(D173,8)="Standard",J173&gt;SG_Criteria!$B$42),"FAIL: PUB 001C covers manholes up to "&amp;SG_Criteria!$B$42&amp;" m deep only. ","")&amp;IF(AND(LEFT(D173,11)="Rectangular",K173&lt;SG_Criteria!$B$43),"NOTE: 004C is for sewers &gt;= "&amp;SG_Criteria!$B$43&amp;" dia. ","")&amp;IF(AND(LEFT(D173,7)="Precast",J173&lt;=SG_Criteria!$B$42),"NOTE: 006C is for manholes &gt; "&amp;SG_Criteria!$B$42&amp;" m deep. ","")&amp;IF(AND(K173&lt;&gt;"",K173&lt;SG_Criteria!$B$40,D173&lt;&gt;"Inspection Chamber"),"NOTE: public sewer min dia "&amp;SG_Criteria!$B$40&amp;" mm. ","")&amp;IF(AND(Y173&lt;&gt;"",Y173&lt;SG_Criteria!$B$44),"FAIL: uplift FOS below "&amp;SG_Criteria!$B$44&amp;". ",""))=0,"OK",IF(AND(Z173&lt;&gt;"",IFERROR(VALUE(MID(Z173,2,2)),0)&lt;SG_Criteria!$B$19),"FAIL: grade below C"&amp;SG_Criteria!$B$19&amp;". ","")&amp;IF(AND(AA173&lt;&gt;"",AA173&lt;SG_Criteria!$B$20),"FAIL: cover &lt; "&amp;SG_Criteria!$B$20&amp;" mm. ","")&amp;IF(AND(I173&lt;&gt;"",I173&lt;SG_Criteria!$B$39),"NOTE: min depth below PUB "&amp;SG_Criteria!$B$39&amp;" m. ","")&amp;IF(AND(LEFT(D173,8)="Standard",J173&gt;SG_Criteria!$B$42),"FAIL: PUB 001C covers manholes up to "&amp;SG_Criteria!$B$42&amp;" m deep only. ","")&amp;IF(AND(LEFT(D173,11)="Rectangular",K173&lt;SG_Criteria!$B$43),"NOTE: 004C is for sewers &gt;= "&amp;SG_Criteria!$B$43&amp;" dia. ","")&amp;IF(AND(LEFT(D173,7)="Precast",J173&lt;=SG_Criteria!$B$42),"NOTE: 006C is for manholes &gt; "&amp;SG_Criteria!$B$42&amp;" m deep. ","")&amp;IF(AND(K173&lt;&gt;"",K173&lt;SG_Criteria!$B$40,D173&lt;&gt;"Inspection Chamber"),"NOTE: public sewer min dia "&amp;SG_Criteria!$B$40&amp;" mm. ","")&amp;IF(AND(Y173&lt;&gt;"",Y173&lt;SG_Criteria!$B$44),"FAIL: uplift FOS below "&amp;SG_Criteria!$B$44&amp;". ","")))</f>
        <v/>
      </c>
      <c r="BH173" s="9"/>
      <c r="BI173" s="9"/>
      <c r="BJ173" s="9"/>
      <c r="BK173" s="10" t="str">
        <f aca="false">IF(BJ173="","",IFERROR(VLOOKUP(BJ173,Projects!$A$5:$D$504,2,0),"Ref not in Projects"))</f>
        <v/>
      </c>
      <c r="BL173" s="10" t="str">
        <f aca="false">IF(BJ173="","",IFERROR(VLOOKUP(BJ173,Projects!$A$5:$D$504,4,0),"Ref not in Projects"))</f>
        <v/>
      </c>
      <c r="BM173" s="9"/>
      <c r="BN173" s="9"/>
      <c r="BO173" s="9"/>
      <c r="BP173" s="40"/>
      <c r="BQ173" s="9"/>
      <c r="BR173" s="40"/>
      <c r="BS173" s="9"/>
      <c r="BT173" s="40"/>
      <c r="BU173" s="9"/>
      <c r="BV173" s="9"/>
      <c r="BW173" s="9"/>
      <c r="BX173" s="40"/>
      <c r="BY173" s="40"/>
      <c r="BZ173" s="36" t="str">
        <f aca="false">IF(BY173="","",EDATE(BY173,SG_Criteria!$B$54*12))</f>
        <v/>
      </c>
      <c r="CA173" s="33" t="str">
        <f aca="true">IF(A173="","",IF(BY173="","NOTE: not reviewed yet",IF(TODAY()&gt;BZ173,"NOTE: review overdue","OK")))</f>
        <v/>
      </c>
      <c r="CB173" s="37" t="str">
        <f aca="false">IF(A173="","",ROUND((IF(LEN(D173)&gt;0,1,0)+IF(LEN(E173)&gt;0,1,0)+IF(LEN(F173)&gt;0,1,0)+IF(LEN(G173)&gt;0,1,0)+IF(LEN(I173)&gt;0,1,0)+IF(LEN(J173)&gt;0,1,0)+IF(LEN(K173)&gt;0,1,0)+IF(LEN(L173)&gt;0,1,0)+IF(LEN(M173)&gt;0,1,0)+IF(LEN(N173)&gt;0,1,0)+IF(LEN(Z173)&gt;0,1,0)+IF(LEN(AA173)&gt;0,1,0)+IF(LEN(Y173)&gt;0,1,0)+IF(LEN(AE173)&gt;0,1,0)+IF(LEN(AG173)&gt;0,1,0)+IF(LEN(AZ173)&gt;0,1,0)+IF(LEN(AK173)&gt;0,1,0)+IF(LEN(AM173)&gt;0,1,0)+IF(LEN(AN173)&gt;0,1,0)+IF(LEN(AO173)&gt;0,1,0)+IF(LEN(AP173)&gt;0,1,0)+IF(LEN(AY173)&gt;0,1,0)+IF(LEN(BJ173)&gt;0,1,0)+IF(LEN(BW173)&gt;0,1,0))/24,2))</f>
        <v/>
      </c>
      <c r="CC173" s="10" t="str">
        <f aca="false">IF(D173="","",IF(AND(AN173="Approved",ISERROR(SEARCH("FAIL",BG173))),"Y","N"))</f>
        <v/>
      </c>
      <c r="CD173" s="10" t="str">
        <f aca="false">IF(D173="","",D173&amp;"|"&amp;J173&amp;"|"&amp;G173&amp;"|"&amp;CC173)</f>
        <v/>
      </c>
    </row>
    <row r="174" customFormat="false" ht="15" hidden="false" customHeight="false" outlineLevel="0" collapsed="false">
      <c r="A174" s="10" t="str">
        <f aca="false">IF(D174="","","MH-"&amp;IFERROR(VLOOKUP(D174,Lists!$AB$4:$AC$20,2,0),"??")&amp;"-"&amp;TEXT(G174,"0000")&amp;IF(F174="Circular","D","x"&amp;TEXT(H174,"0000"))&amp;"-D"&amp;TEXT(J174*1000,"0000")&amp;"-"&amp;IFERROR(VLOOKUP(E174,Lists!$AE$4:$AF$16,2,0),"??")&amp;"-"&amp;AM174)</f>
        <v/>
      </c>
      <c r="B174" s="10" t="str">
        <f aca="false">IF(D174="","",D174&amp;", "&amp;E174&amp;", "&amp;IF(F174="Circular",G174&amp;" dia",G174&amp;" x "&amp;H174)&amp;", depth "&amp;TEXT(I174,"0.0")&amp;"-"&amp;TEXT(J174,"0.0")&amp;" m, pipe up to "&amp;K174&amp;" dia")</f>
        <v/>
      </c>
      <c r="C174" s="9"/>
      <c r="D174" s="9"/>
      <c r="E174" s="9"/>
      <c r="F174" s="9"/>
      <c r="G174" s="38"/>
      <c r="H174" s="38"/>
      <c r="I174" s="42"/>
      <c r="J174" s="42"/>
      <c r="K174" s="38"/>
      <c r="L174" s="38"/>
      <c r="M174" s="38"/>
      <c r="N174" s="38"/>
      <c r="O174" s="9"/>
      <c r="P174" s="9"/>
      <c r="Q174" s="9"/>
      <c r="R174" s="9"/>
      <c r="S174" s="9"/>
      <c r="T174" s="9"/>
      <c r="U174" s="9"/>
      <c r="V174" s="42"/>
      <c r="W174" s="9"/>
      <c r="X174" s="9"/>
      <c r="Y174" s="39"/>
      <c r="Z174" s="9"/>
      <c r="AA174" s="38"/>
      <c r="AB174" s="9"/>
      <c r="AC174" s="9"/>
      <c r="AD174" s="9"/>
      <c r="AE174" s="9"/>
      <c r="AF174" s="9"/>
      <c r="AG174" s="9"/>
      <c r="AH174" s="38"/>
      <c r="AI174" s="9"/>
      <c r="AJ174" s="39"/>
      <c r="AK174" s="9"/>
      <c r="AL174" s="9"/>
      <c r="AM174" s="9"/>
      <c r="AN174" s="9"/>
      <c r="AO174" s="9"/>
      <c r="AP174" s="9"/>
      <c r="AQ174" s="9"/>
      <c r="AR174" s="10" t="str">
        <f aca="false">IF(A174="","",SG_Criteria!$B$6&amp;SG_Criteria!$B$10&amp;"\"&amp;A174&amp;"\")</f>
        <v/>
      </c>
      <c r="AS174" s="10" t="str">
        <f aca="false">IF(A174="","",A174&amp;"_CAD.dwg")</f>
        <v/>
      </c>
      <c r="AT174" s="10" t="str">
        <f aca="false">IF(A174="","",A174&amp;"_DWG.pdf")</f>
        <v/>
      </c>
      <c r="AU174" s="10" t="str">
        <f aca="false">IF(A174="","",IF(AQ174="Y",A174&amp;"_STAAD.std","n/a"))</f>
        <v/>
      </c>
      <c r="AV174" s="10" t="str">
        <f aca="false">IF(A174="","",A174&amp;"_CALC.xlsx")</f>
        <v/>
      </c>
      <c r="AW174" s="10" t="str">
        <f aca="false">IF(A174="","",A174&amp;"_CALC.pdf")</f>
        <v/>
      </c>
      <c r="AX174" s="9"/>
      <c r="AY174" s="9"/>
      <c r="AZ174" s="39"/>
      <c r="BA174" s="39"/>
      <c r="BB174" s="39"/>
      <c r="BC174" s="39"/>
      <c r="BD174" s="39"/>
      <c r="BE174" s="12" t="str">
        <f aca="false">IF(A174="","",IF(COUNTIF(Rebar_Schedule!$A$5:$A$2004,A174)=0,"",ROUND(SUMIF(Rebar_Schedule!$A$5:$A$2004,A174,Rebar_Schedule!$K$5:$K$2004),1)))</f>
        <v/>
      </c>
      <c r="BF174" s="33" t="str">
        <f aca="false">IF(A174="","",IF(BE174="","No rebar schedule yet",IF(ABS(BE174-N(BA174))/MAX(N(BA174),1)&gt;SG_Criteria!$B$55,"NOTE: register rebar differs from schedule by "&amp;TEXT(ABS(BE174-N(BA174))/MAX(N(BA174),1),"0%"),"OK")))</f>
        <v/>
      </c>
      <c r="BG174" s="33" t="str">
        <f aca="false">IF(D174="","",IF(LEN(IF(AND(Z174&lt;&gt;"",IFERROR(VALUE(MID(Z174,2,2)),0)&lt;SG_Criteria!$B$19),"FAIL: grade below C"&amp;SG_Criteria!$B$19&amp;". ","")&amp;IF(AND(AA174&lt;&gt;"",AA174&lt;SG_Criteria!$B$20),"FAIL: cover &lt; "&amp;SG_Criteria!$B$20&amp;" mm. ","")&amp;IF(AND(I174&lt;&gt;"",I174&lt;SG_Criteria!$B$39),"NOTE: min depth below PUB "&amp;SG_Criteria!$B$39&amp;" m. ","")&amp;IF(AND(LEFT(D174,8)="Standard",J174&gt;SG_Criteria!$B$42),"FAIL: PUB 001C covers manholes up to "&amp;SG_Criteria!$B$42&amp;" m deep only. ","")&amp;IF(AND(LEFT(D174,11)="Rectangular",K174&lt;SG_Criteria!$B$43),"NOTE: 004C is for sewers &gt;= "&amp;SG_Criteria!$B$43&amp;" dia. ","")&amp;IF(AND(LEFT(D174,7)="Precast",J174&lt;=SG_Criteria!$B$42),"NOTE: 006C is for manholes &gt; "&amp;SG_Criteria!$B$42&amp;" m deep. ","")&amp;IF(AND(K174&lt;&gt;"",K174&lt;SG_Criteria!$B$40,D174&lt;&gt;"Inspection Chamber"),"NOTE: public sewer min dia "&amp;SG_Criteria!$B$40&amp;" mm. ","")&amp;IF(AND(Y174&lt;&gt;"",Y174&lt;SG_Criteria!$B$44),"FAIL: uplift FOS below "&amp;SG_Criteria!$B$44&amp;". ",""))=0,"OK",IF(AND(Z174&lt;&gt;"",IFERROR(VALUE(MID(Z174,2,2)),0)&lt;SG_Criteria!$B$19),"FAIL: grade below C"&amp;SG_Criteria!$B$19&amp;". ","")&amp;IF(AND(AA174&lt;&gt;"",AA174&lt;SG_Criteria!$B$20),"FAIL: cover &lt; "&amp;SG_Criteria!$B$20&amp;" mm. ","")&amp;IF(AND(I174&lt;&gt;"",I174&lt;SG_Criteria!$B$39),"NOTE: min depth below PUB "&amp;SG_Criteria!$B$39&amp;" m. ","")&amp;IF(AND(LEFT(D174,8)="Standard",J174&gt;SG_Criteria!$B$42),"FAIL: PUB 001C covers manholes up to "&amp;SG_Criteria!$B$42&amp;" m deep only. ","")&amp;IF(AND(LEFT(D174,11)="Rectangular",K174&lt;SG_Criteria!$B$43),"NOTE: 004C is for sewers &gt;= "&amp;SG_Criteria!$B$43&amp;" dia. ","")&amp;IF(AND(LEFT(D174,7)="Precast",J174&lt;=SG_Criteria!$B$42),"NOTE: 006C is for manholes &gt; "&amp;SG_Criteria!$B$42&amp;" m deep. ","")&amp;IF(AND(K174&lt;&gt;"",K174&lt;SG_Criteria!$B$40,D174&lt;&gt;"Inspection Chamber"),"NOTE: public sewer min dia "&amp;SG_Criteria!$B$40&amp;" mm. ","")&amp;IF(AND(Y174&lt;&gt;"",Y174&lt;SG_Criteria!$B$44),"FAIL: uplift FOS below "&amp;SG_Criteria!$B$44&amp;". ","")))</f>
        <v/>
      </c>
      <c r="BH174" s="9"/>
      <c r="BI174" s="9"/>
      <c r="BJ174" s="9"/>
      <c r="BK174" s="10" t="str">
        <f aca="false">IF(BJ174="","",IFERROR(VLOOKUP(BJ174,Projects!$A$5:$D$504,2,0),"Ref not in Projects"))</f>
        <v/>
      </c>
      <c r="BL174" s="10" t="str">
        <f aca="false">IF(BJ174="","",IFERROR(VLOOKUP(BJ174,Projects!$A$5:$D$504,4,0),"Ref not in Projects"))</f>
        <v/>
      </c>
      <c r="BM174" s="9"/>
      <c r="BN174" s="9"/>
      <c r="BO174" s="9"/>
      <c r="BP174" s="40"/>
      <c r="BQ174" s="9"/>
      <c r="BR174" s="40"/>
      <c r="BS174" s="9"/>
      <c r="BT174" s="40"/>
      <c r="BU174" s="9"/>
      <c r="BV174" s="9"/>
      <c r="BW174" s="9"/>
      <c r="BX174" s="40"/>
      <c r="BY174" s="40"/>
      <c r="BZ174" s="36" t="str">
        <f aca="false">IF(BY174="","",EDATE(BY174,SG_Criteria!$B$54*12))</f>
        <v/>
      </c>
      <c r="CA174" s="33" t="str">
        <f aca="true">IF(A174="","",IF(BY174="","NOTE: not reviewed yet",IF(TODAY()&gt;BZ174,"NOTE: review overdue","OK")))</f>
        <v/>
      </c>
      <c r="CB174" s="37" t="str">
        <f aca="false">IF(A174="","",ROUND((IF(LEN(D174)&gt;0,1,0)+IF(LEN(E174)&gt;0,1,0)+IF(LEN(F174)&gt;0,1,0)+IF(LEN(G174)&gt;0,1,0)+IF(LEN(I174)&gt;0,1,0)+IF(LEN(J174)&gt;0,1,0)+IF(LEN(K174)&gt;0,1,0)+IF(LEN(L174)&gt;0,1,0)+IF(LEN(M174)&gt;0,1,0)+IF(LEN(N174)&gt;0,1,0)+IF(LEN(Z174)&gt;0,1,0)+IF(LEN(AA174)&gt;0,1,0)+IF(LEN(Y174)&gt;0,1,0)+IF(LEN(AE174)&gt;0,1,0)+IF(LEN(AG174)&gt;0,1,0)+IF(LEN(AZ174)&gt;0,1,0)+IF(LEN(AK174)&gt;0,1,0)+IF(LEN(AM174)&gt;0,1,0)+IF(LEN(AN174)&gt;0,1,0)+IF(LEN(AO174)&gt;0,1,0)+IF(LEN(AP174)&gt;0,1,0)+IF(LEN(AY174)&gt;0,1,0)+IF(LEN(BJ174)&gt;0,1,0)+IF(LEN(BW174)&gt;0,1,0))/24,2))</f>
        <v/>
      </c>
      <c r="CC174" s="10" t="str">
        <f aca="false">IF(D174="","",IF(AND(AN174="Approved",ISERROR(SEARCH("FAIL",BG174))),"Y","N"))</f>
        <v/>
      </c>
      <c r="CD174" s="10" t="str">
        <f aca="false">IF(D174="","",D174&amp;"|"&amp;J174&amp;"|"&amp;G174&amp;"|"&amp;CC174)</f>
        <v/>
      </c>
    </row>
    <row r="175" customFormat="false" ht="15" hidden="false" customHeight="false" outlineLevel="0" collapsed="false">
      <c r="A175" s="10" t="str">
        <f aca="false">IF(D175="","","MH-"&amp;IFERROR(VLOOKUP(D175,Lists!$AB$4:$AC$20,2,0),"??")&amp;"-"&amp;TEXT(G175,"0000")&amp;IF(F175="Circular","D","x"&amp;TEXT(H175,"0000"))&amp;"-D"&amp;TEXT(J175*1000,"0000")&amp;"-"&amp;IFERROR(VLOOKUP(E175,Lists!$AE$4:$AF$16,2,0),"??")&amp;"-"&amp;AM175)</f>
        <v/>
      </c>
      <c r="B175" s="10" t="str">
        <f aca="false">IF(D175="","",D175&amp;", "&amp;E175&amp;", "&amp;IF(F175="Circular",G175&amp;" dia",G175&amp;" x "&amp;H175)&amp;", depth "&amp;TEXT(I175,"0.0")&amp;"-"&amp;TEXT(J175,"0.0")&amp;" m, pipe up to "&amp;K175&amp;" dia")</f>
        <v/>
      </c>
      <c r="C175" s="9"/>
      <c r="D175" s="9"/>
      <c r="E175" s="9"/>
      <c r="F175" s="9"/>
      <c r="G175" s="38"/>
      <c r="H175" s="38"/>
      <c r="I175" s="42"/>
      <c r="J175" s="42"/>
      <c r="K175" s="38"/>
      <c r="L175" s="38"/>
      <c r="M175" s="38"/>
      <c r="N175" s="38"/>
      <c r="O175" s="9"/>
      <c r="P175" s="9"/>
      <c r="Q175" s="9"/>
      <c r="R175" s="9"/>
      <c r="S175" s="9"/>
      <c r="T175" s="9"/>
      <c r="U175" s="9"/>
      <c r="V175" s="42"/>
      <c r="W175" s="9"/>
      <c r="X175" s="9"/>
      <c r="Y175" s="39"/>
      <c r="Z175" s="9"/>
      <c r="AA175" s="38"/>
      <c r="AB175" s="9"/>
      <c r="AC175" s="9"/>
      <c r="AD175" s="9"/>
      <c r="AE175" s="9"/>
      <c r="AF175" s="9"/>
      <c r="AG175" s="9"/>
      <c r="AH175" s="38"/>
      <c r="AI175" s="9"/>
      <c r="AJ175" s="39"/>
      <c r="AK175" s="9"/>
      <c r="AL175" s="9"/>
      <c r="AM175" s="9"/>
      <c r="AN175" s="9"/>
      <c r="AO175" s="9"/>
      <c r="AP175" s="9"/>
      <c r="AQ175" s="9"/>
      <c r="AR175" s="10" t="str">
        <f aca="false">IF(A175="","",SG_Criteria!$B$6&amp;SG_Criteria!$B$10&amp;"\"&amp;A175&amp;"\")</f>
        <v/>
      </c>
      <c r="AS175" s="10" t="str">
        <f aca="false">IF(A175="","",A175&amp;"_CAD.dwg")</f>
        <v/>
      </c>
      <c r="AT175" s="10" t="str">
        <f aca="false">IF(A175="","",A175&amp;"_DWG.pdf")</f>
        <v/>
      </c>
      <c r="AU175" s="10" t="str">
        <f aca="false">IF(A175="","",IF(AQ175="Y",A175&amp;"_STAAD.std","n/a"))</f>
        <v/>
      </c>
      <c r="AV175" s="10" t="str">
        <f aca="false">IF(A175="","",A175&amp;"_CALC.xlsx")</f>
        <v/>
      </c>
      <c r="AW175" s="10" t="str">
        <f aca="false">IF(A175="","",A175&amp;"_CALC.pdf")</f>
        <v/>
      </c>
      <c r="AX175" s="9"/>
      <c r="AY175" s="9"/>
      <c r="AZ175" s="39"/>
      <c r="BA175" s="39"/>
      <c r="BB175" s="39"/>
      <c r="BC175" s="39"/>
      <c r="BD175" s="39"/>
      <c r="BE175" s="12" t="str">
        <f aca="false">IF(A175="","",IF(COUNTIF(Rebar_Schedule!$A$5:$A$2004,A175)=0,"",ROUND(SUMIF(Rebar_Schedule!$A$5:$A$2004,A175,Rebar_Schedule!$K$5:$K$2004),1)))</f>
        <v/>
      </c>
      <c r="BF175" s="33" t="str">
        <f aca="false">IF(A175="","",IF(BE175="","No rebar schedule yet",IF(ABS(BE175-N(BA175))/MAX(N(BA175),1)&gt;SG_Criteria!$B$55,"NOTE: register rebar differs from schedule by "&amp;TEXT(ABS(BE175-N(BA175))/MAX(N(BA175),1),"0%"),"OK")))</f>
        <v/>
      </c>
      <c r="BG175" s="33" t="str">
        <f aca="false">IF(D175="","",IF(LEN(IF(AND(Z175&lt;&gt;"",IFERROR(VALUE(MID(Z175,2,2)),0)&lt;SG_Criteria!$B$19),"FAIL: grade below C"&amp;SG_Criteria!$B$19&amp;". ","")&amp;IF(AND(AA175&lt;&gt;"",AA175&lt;SG_Criteria!$B$20),"FAIL: cover &lt; "&amp;SG_Criteria!$B$20&amp;" mm. ","")&amp;IF(AND(I175&lt;&gt;"",I175&lt;SG_Criteria!$B$39),"NOTE: min depth below PUB "&amp;SG_Criteria!$B$39&amp;" m. ","")&amp;IF(AND(LEFT(D175,8)="Standard",J175&gt;SG_Criteria!$B$42),"FAIL: PUB 001C covers manholes up to "&amp;SG_Criteria!$B$42&amp;" m deep only. ","")&amp;IF(AND(LEFT(D175,11)="Rectangular",K175&lt;SG_Criteria!$B$43),"NOTE: 004C is for sewers &gt;= "&amp;SG_Criteria!$B$43&amp;" dia. ","")&amp;IF(AND(LEFT(D175,7)="Precast",J175&lt;=SG_Criteria!$B$42),"NOTE: 006C is for manholes &gt; "&amp;SG_Criteria!$B$42&amp;" m deep. ","")&amp;IF(AND(K175&lt;&gt;"",K175&lt;SG_Criteria!$B$40,D175&lt;&gt;"Inspection Chamber"),"NOTE: public sewer min dia "&amp;SG_Criteria!$B$40&amp;" mm. ","")&amp;IF(AND(Y175&lt;&gt;"",Y175&lt;SG_Criteria!$B$44),"FAIL: uplift FOS below "&amp;SG_Criteria!$B$44&amp;". ",""))=0,"OK",IF(AND(Z175&lt;&gt;"",IFERROR(VALUE(MID(Z175,2,2)),0)&lt;SG_Criteria!$B$19),"FAIL: grade below C"&amp;SG_Criteria!$B$19&amp;". ","")&amp;IF(AND(AA175&lt;&gt;"",AA175&lt;SG_Criteria!$B$20),"FAIL: cover &lt; "&amp;SG_Criteria!$B$20&amp;" mm. ","")&amp;IF(AND(I175&lt;&gt;"",I175&lt;SG_Criteria!$B$39),"NOTE: min depth below PUB "&amp;SG_Criteria!$B$39&amp;" m. ","")&amp;IF(AND(LEFT(D175,8)="Standard",J175&gt;SG_Criteria!$B$42),"FAIL: PUB 001C covers manholes up to "&amp;SG_Criteria!$B$42&amp;" m deep only. ","")&amp;IF(AND(LEFT(D175,11)="Rectangular",K175&lt;SG_Criteria!$B$43),"NOTE: 004C is for sewers &gt;= "&amp;SG_Criteria!$B$43&amp;" dia. ","")&amp;IF(AND(LEFT(D175,7)="Precast",J175&lt;=SG_Criteria!$B$42),"NOTE: 006C is for manholes &gt; "&amp;SG_Criteria!$B$42&amp;" m deep. ","")&amp;IF(AND(K175&lt;&gt;"",K175&lt;SG_Criteria!$B$40,D175&lt;&gt;"Inspection Chamber"),"NOTE: public sewer min dia "&amp;SG_Criteria!$B$40&amp;" mm. ","")&amp;IF(AND(Y175&lt;&gt;"",Y175&lt;SG_Criteria!$B$44),"FAIL: uplift FOS below "&amp;SG_Criteria!$B$44&amp;". ","")))</f>
        <v/>
      </c>
      <c r="BH175" s="9"/>
      <c r="BI175" s="9"/>
      <c r="BJ175" s="9"/>
      <c r="BK175" s="10" t="str">
        <f aca="false">IF(BJ175="","",IFERROR(VLOOKUP(BJ175,Projects!$A$5:$D$504,2,0),"Ref not in Projects"))</f>
        <v/>
      </c>
      <c r="BL175" s="10" t="str">
        <f aca="false">IF(BJ175="","",IFERROR(VLOOKUP(BJ175,Projects!$A$5:$D$504,4,0),"Ref not in Projects"))</f>
        <v/>
      </c>
      <c r="BM175" s="9"/>
      <c r="BN175" s="9"/>
      <c r="BO175" s="9"/>
      <c r="BP175" s="40"/>
      <c r="BQ175" s="9"/>
      <c r="BR175" s="40"/>
      <c r="BS175" s="9"/>
      <c r="BT175" s="40"/>
      <c r="BU175" s="9"/>
      <c r="BV175" s="9"/>
      <c r="BW175" s="9"/>
      <c r="BX175" s="40"/>
      <c r="BY175" s="40"/>
      <c r="BZ175" s="36" t="str">
        <f aca="false">IF(BY175="","",EDATE(BY175,SG_Criteria!$B$54*12))</f>
        <v/>
      </c>
      <c r="CA175" s="33" t="str">
        <f aca="true">IF(A175="","",IF(BY175="","NOTE: not reviewed yet",IF(TODAY()&gt;BZ175,"NOTE: review overdue","OK")))</f>
        <v/>
      </c>
      <c r="CB175" s="37" t="str">
        <f aca="false">IF(A175="","",ROUND((IF(LEN(D175)&gt;0,1,0)+IF(LEN(E175)&gt;0,1,0)+IF(LEN(F175)&gt;0,1,0)+IF(LEN(G175)&gt;0,1,0)+IF(LEN(I175)&gt;0,1,0)+IF(LEN(J175)&gt;0,1,0)+IF(LEN(K175)&gt;0,1,0)+IF(LEN(L175)&gt;0,1,0)+IF(LEN(M175)&gt;0,1,0)+IF(LEN(N175)&gt;0,1,0)+IF(LEN(Z175)&gt;0,1,0)+IF(LEN(AA175)&gt;0,1,0)+IF(LEN(Y175)&gt;0,1,0)+IF(LEN(AE175)&gt;0,1,0)+IF(LEN(AG175)&gt;0,1,0)+IF(LEN(AZ175)&gt;0,1,0)+IF(LEN(AK175)&gt;0,1,0)+IF(LEN(AM175)&gt;0,1,0)+IF(LEN(AN175)&gt;0,1,0)+IF(LEN(AO175)&gt;0,1,0)+IF(LEN(AP175)&gt;0,1,0)+IF(LEN(AY175)&gt;0,1,0)+IF(LEN(BJ175)&gt;0,1,0)+IF(LEN(BW175)&gt;0,1,0))/24,2))</f>
        <v/>
      </c>
      <c r="CC175" s="10" t="str">
        <f aca="false">IF(D175="","",IF(AND(AN175="Approved",ISERROR(SEARCH("FAIL",BG175))),"Y","N"))</f>
        <v/>
      </c>
      <c r="CD175" s="10" t="str">
        <f aca="false">IF(D175="","",D175&amp;"|"&amp;J175&amp;"|"&amp;G175&amp;"|"&amp;CC175)</f>
        <v/>
      </c>
    </row>
    <row r="176" customFormat="false" ht="15" hidden="false" customHeight="false" outlineLevel="0" collapsed="false">
      <c r="A176" s="10" t="str">
        <f aca="false">IF(D176="","","MH-"&amp;IFERROR(VLOOKUP(D176,Lists!$AB$4:$AC$20,2,0),"??")&amp;"-"&amp;TEXT(G176,"0000")&amp;IF(F176="Circular","D","x"&amp;TEXT(H176,"0000"))&amp;"-D"&amp;TEXT(J176*1000,"0000")&amp;"-"&amp;IFERROR(VLOOKUP(E176,Lists!$AE$4:$AF$16,2,0),"??")&amp;"-"&amp;AM176)</f>
        <v/>
      </c>
      <c r="B176" s="10" t="str">
        <f aca="false">IF(D176="","",D176&amp;", "&amp;E176&amp;", "&amp;IF(F176="Circular",G176&amp;" dia",G176&amp;" x "&amp;H176)&amp;", depth "&amp;TEXT(I176,"0.0")&amp;"-"&amp;TEXT(J176,"0.0")&amp;" m, pipe up to "&amp;K176&amp;" dia")</f>
        <v/>
      </c>
      <c r="C176" s="9"/>
      <c r="D176" s="9"/>
      <c r="E176" s="9"/>
      <c r="F176" s="9"/>
      <c r="G176" s="38"/>
      <c r="H176" s="38"/>
      <c r="I176" s="42"/>
      <c r="J176" s="42"/>
      <c r="K176" s="38"/>
      <c r="L176" s="38"/>
      <c r="M176" s="38"/>
      <c r="N176" s="38"/>
      <c r="O176" s="9"/>
      <c r="P176" s="9"/>
      <c r="Q176" s="9"/>
      <c r="R176" s="9"/>
      <c r="S176" s="9"/>
      <c r="T176" s="9"/>
      <c r="U176" s="9"/>
      <c r="V176" s="42"/>
      <c r="W176" s="9"/>
      <c r="X176" s="9"/>
      <c r="Y176" s="39"/>
      <c r="Z176" s="9"/>
      <c r="AA176" s="38"/>
      <c r="AB176" s="9"/>
      <c r="AC176" s="9"/>
      <c r="AD176" s="9"/>
      <c r="AE176" s="9"/>
      <c r="AF176" s="9"/>
      <c r="AG176" s="9"/>
      <c r="AH176" s="38"/>
      <c r="AI176" s="9"/>
      <c r="AJ176" s="39"/>
      <c r="AK176" s="9"/>
      <c r="AL176" s="9"/>
      <c r="AM176" s="9"/>
      <c r="AN176" s="9"/>
      <c r="AO176" s="9"/>
      <c r="AP176" s="9"/>
      <c r="AQ176" s="9"/>
      <c r="AR176" s="10" t="str">
        <f aca="false">IF(A176="","",SG_Criteria!$B$6&amp;SG_Criteria!$B$10&amp;"\"&amp;A176&amp;"\")</f>
        <v/>
      </c>
      <c r="AS176" s="10" t="str">
        <f aca="false">IF(A176="","",A176&amp;"_CAD.dwg")</f>
        <v/>
      </c>
      <c r="AT176" s="10" t="str">
        <f aca="false">IF(A176="","",A176&amp;"_DWG.pdf")</f>
        <v/>
      </c>
      <c r="AU176" s="10" t="str">
        <f aca="false">IF(A176="","",IF(AQ176="Y",A176&amp;"_STAAD.std","n/a"))</f>
        <v/>
      </c>
      <c r="AV176" s="10" t="str">
        <f aca="false">IF(A176="","",A176&amp;"_CALC.xlsx")</f>
        <v/>
      </c>
      <c r="AW176" s="10" t="str">
        <f aca="false">IF(A176="","",A176&amp;"_CALC.pdf")</f>
        <v/>
      </c>
      <c r="AX176" s="9"/>
      <c r="AY176" s="9"/>
      <c r="AZ176" s="39"/>
      <c r="BA176" s="39"/>
      <c r="BB176" s="39"/>
      <c r="BC176" s="39"/>
      <c r="BD176" s="39"/>
      <c r="BE176" s="12" t="str">
        <f aca="false">IF(A176="","",IF(COUNTIF(Rebar_Schedule!$A$5:$A$2004,A176)=0,"",ROUND(SUMIF(Rebar_Schedule!$A$5:$A$2004,A176,Rebar_Schedule!$K$5:$K$2004),1)))</f>
        <v/>
      </c>
      <c r="BF176" s="33" t="str">
        <f aca="false">IF(A176="","",IF(BE176="","No rebar schedule yet",IF(ABS(BE176-N(BA176))/MAX(N(BA176),1)&gt;SG_Criteria!$B$55,"NOTE: register rebar differs from schedule by "&amp;TEXT(ABS(BE176-N(BA176))/MAX(N(BA176),1),"0%"),"OK")))</f>
        <v/>
      </c>
      <c r="BG176" s="33" t="str">
        <f aca="false">IF(D176="","",IF(LEN(IF(AND(Z176&lt;&gt;"",IFERROR(VALUE(MID(Z176,2,2)),0)&lt;SG_Criteria!$B$19),"FAIL: grade below C"&amp;SG_Criteria!$B$19&amp;". ","")&amp;IF(AND(AA176&lt;&gt;"",AA176&lt;SG_Criteria!$B$20),"FAIL: cover &lt; "&amp;SG_Criteria!$B$20&amp;" mm. ","")&amp;IF(AND(I176&lt;&gt;"",I176&lt;SG_Criteria!$B$39),"NOTE: min depth below PUB "&amp;SG_Criteria!$B$39&amp;" m. ","")&amp;IF(AND(LEFT(D176,8)="Standard",J176&gt;SG_Criteria!$B$42),"FAIL: PUB 001C covers manholes up to "&amp;SG_Criteria!$B$42&amp;" m deep only. ","")&amp;IF(AND(LEFT(D176,11)="Rectangular",K176&lt;SG_Criteria!$B$43),"NOTE: 004C is for sewers &gt;= "&amp;SG_Criteria!$B$43&amp;" dia. ","")&amp;IF(AND(LEFT(D176,7)="Precast",J176&lt;=SG_Criteria!$B$42),"NOTE: 006C is for manholes &gt; "&amp;SG_Criteria!$B$42&amp;" m deep. ","")&amp;IF(AND(K176&lt;&gt;"",K176&lt;SG_Criteria!$B$40,D176&lt;&gt;"Inspection Chamber"),"NOTE: public sewer min dia "&amp;SG_Criteria!$B$40&amp;" mm. ","")&amp;IF(AND(Y176&lt;&gt;"",Y176&lt;SG_Criteria!$B$44),"FAIL: uplift FOS below "&amp;SG_Criteria!$B$44&amp;". ",""))=0,"OK",IF(AND(Z176&lt;&gt;"",IFERROR(VALUE(MID(Z176,2,2)),0)&lt;SG_Criteria!$B$19),"FAIL: grade below C"&amp;SG_Criteria!$B$19&amp;". ","")&amp;IF(AND(AA176&lt;&gt;"",AA176&lt;SG_Criteria!$B$20),"FAIL: cover &lt; "&amp;SG_Criteria!$B$20&amp;" mm. ","")&amp;IF(AND(I176&lt;&gt;"",I176&lt;SG_Criteria!$B$39),"NOTE: min depth below PUB "&amp;SG_Criteria!$B$39&amp;" m. ","")&amp;IF(AND(LEFT(D176,8)="Standard",J176&gt;SG_Criteria!$B$42),"FAIL: PUB 001C covers manholes up to "&amp;SG_Criteria!$B$42&amp;" m deep only. ","")&amp;IF(AND(LEFT(D176,11)="Rectangular",K176&lt;SG_Criteria!$B$43),"NOTE: 004C is for sewers &gt;= "&amp;SG_Criteria!$B$43&amp;" dia. ","")&amp;IF(AND(LEFT(D176,7)="Precast",J176&lt;=SG_Criteria!$B$42),"NOTE: 006C is for manholes &gt; "&amp;SG_Criteria!$B$42&amp;" m deep. ","")&amp;IF(AND(K176&lt;&gt;"",K176&lt;SG_Criteria!$B$40,D176&lt;&gt;"Inspection Chamber"),"NOTE: public sewer min dia "&amp;SG_Criteria!$B$40&amp;" mm. ","")&amp;IF(AND(Y176&lt;&gt;"",Y176&lt;SG_Criteria!$B$44),"FAIL: uplift FOS below "&amp;SG_Criteria!$B$44&amp;". ","")))</f>
        <v/>
      </c>
      <c r="BH176" s="9"/>
      <c r="BI176" s="9"/>
      <c r="BJ176" s="9"/>
      <c r="BK176" s="10" t="str">
        <f aca="false">IF(BJ176="","",IFERROR(VLOOKUP(BJ176,Projects!$A$5:$D$504,2,0),"Ref not in Projects"))</f>
        <v/>
      </c>
      <c r="BL176" s="10" t="str">
        <f aca="false">IF(BJ176="","",IFERROR(VLOOKUP(BJ176,Projects!$A$5:$D$504,4,0),"Ref not in Projects"))</f>
        <v/>
      </c>
      <c r="BM176" s="9"/>
      <c r="BN176" s="9"/>
      <c r="BO176" s="9"/>
      <c r="BP176" s="40"/>
      <c r="BQ176" s="9"/>
      <c r="BR176" s="40"/>
      <c r="BS176" s="9"/>
      <c r="BT176" s="40"/>
      <c r="BU176" s="9"/>
      <c r="BV176" s="9"/>
      <c r="BW176" s="9"/>
      <c r="BX176" s="40"/>
      <c r="BY176" s="40"/>
      <c r="BZ176" s="36" t="str">
        <f aca="false">IF(BY176="","",EDATE(BY176,SG_Criteria!$B$54*12))</f>
        <v/>
      </c>
      <c r="CA176" s="33" t="str">
        <f aca="true">IF(A176="","",IF(BY176="","NOTE: not reviewed yet",IF(TODAY()&gt;BZ176,"NOTE: review overdue","OK")))</f>
        <v/>
      </c>
      <c r="CB176" s="37" t="str">
        <f aca="false">IF(A176="","",ROUND((IF(LEN(D176)&gt;0,1,0)+IF(LEN(E176)&gt;0,1,0)+IF(LEN(F176)&gt;0,1,0)+IF(LEN(G176)&gt;0,1,0)+IF(LEN(I176)&gt;0,1,0)+IF(LEN(J176)&gt;0,1,0)+IF(LEN(K176)&gt;0,1,0)+IF(LEN(L176)&gt;0,1,0)+IF(LEN(M176)&gt;0,1,0)+IF(LEN(N176)&gt;0,1,0)+IF(LEN(Z176)&gt;0,1,0)+IF(LEN(AA176)&gt;0,1,0)+IF(LEN(Y176)&gt;0,1,0)+IF(LEN(AE176)&gt;0,1,0)+IF(LEN(AG176)&gt;0,1,0)+IF(LEN(AZ176)&gt;0,1,0)+IF(LEN(AK176)&gt;0,1,0)+IF(LEN(AM176)&gt;0,1,0)+IF(LEN(AN176)&gt;0,1,0)+IF(LEN(AO176)&gt;0,1,0)+IF(LEN(AP176)&gt;0,1,0)+IF(LEN(AY176)&gt;0,1,0)+IF(LEN(BJ176)&gt;0,1,0)+IF(LEN(BW176)&gt;0,1,0))/24,2))</f>
        <v/>
      </c>
      <c r="CC176" s="10" t="str">
        <f aca="false">IF(D176="","",IF(AND(AN176="Approved",ISERROR(SEARCH("FAIL",BG176))),"Y","N"))</f>
        <v/>
      </c>
      <c r="CD176" s="10" t="str">
        <f aca="false">IF(D176="","",D176&amp;"|"&amp;J176&amp;"|"&amp;G176&amp;"|"&amp;CC176)</f>
        <v/>
      </c>
    </row>
    <row r="177" customFormat="false" ht="15" hidden="false" customHeight="false" outlineLevel="0" collapsed="false">
      <c r="A177" s="10" t="str">
        <f aca="false">IF(D177="","","MH-"&amp;IFERROR(VLOOKUP(D177,Lists!$AB$4:$AC$20,2,0),"??")&amp;"-"&amp;TEXT(G177,"0000")&amp;IF(F177="Circular","D","x"&amp;TEXT(H177,"0000"))&amp;"-D"&amp;TEXT(J177*1000,"0000")&amp;"-"&amp;IFERROR(VLOOKUP(E177,Lists!$AE$4:$AF$16,2,0),"??")&amp;"-"&amp;AM177)</f>
        <v/>
      </c>
      <c r="B177" s="10" t="str">
        <f aca="false">IF(D177="","",D177&amp;", "&amp;E177&amp;", "&amp;IF(F177="Circular",G177&amp;" dia",G177&amp;" x "&amp;H177)&amp;", depth "&amp;TEXT(I177,"0.0")&amp;"-"&amp;TEXT(J177,"0.0")&amp;" m, pipe up to "&amp;K177&amp;" dia")</f>
        <v/>
      </c>
      <c r="C177" s="9"/>
      <c r="D177" s="9"/>
      <c r="E177" s="9"/>
      <c r="F177" s="9"/>
      <c r="G177" s="38"/>
      <c r="H177" s="38"/>
      <c r="I177" s="42"/>
      <c r="J177" s="42"/>
      <c r="K177" s="38"/>
      <c r="L177" s="38"/>
      <c r="M177" s="38"/>
      <c r="N177" s="38"/>
      <c r="O177" s="9"/>
      <c r="P177" s="9"/>
      <c r="Q177" s="9"/>
      <c r="R177" s="9"/>
      <c r="S177" s="9"/>
      <c r="T177" s="9"/>
      <c r="U177" s="9"/>
      <c r="V177" s="42"/>
      <c r="W177" s="9"/>
      <c r="X177" s="9"/>
      <c r="Y177" s="39"/>
      <c r="Z177" s="9"/>
      <c r="AA177" s="38"/>
      <c r="AB177" s="9"/>
      <c r="AC177" s="9"/>
      <c r="AD177" s="9"/>
      <c r="AE177" s="9"/>
      <c r="AF177" s="9"/>
      <c r="AG177" s="9"/>
      <c r="AH177" s="38"/>
      <c r="AI177" s="9"/>
      <c r="AJ177" s="39"/>
      <c r="AK177" s="9"/>
      <c r="AL177" s="9"/>
      <c r="AM177" s="9"/>
      <c r="AN177" s="9"/>
      <c r="AO177" s="9"/>
      <c r="AP177" s="9"/>
      <c r="AQ177" s="9"/>
      <c r="AR177" s="10" t="str">
        <f aca="false">IF(A177="","",SG_Criteria!$B$6&amp;SG_Criteria!$B$10&amp;"\"&amp;A177&amp;"\")</f>
        <v/>
      </c>
      <c r="AS177" s="10" t="str">
        <f aca="false">IF(A177="","",A177&amp;"_CAD.dwg")</f>
        <v/>
      </c>
      <c r="AT177" s="10" t="str">
        <f aca="false">IF(A177="","",A177&amp;"_DWG.pdf")</f>
        <v/>
      </c>
      <c r="AU177" s="10" t="str">
        <f aca="false">IF(A177="","",IF(AQ177="Y",A177&amp;"_STAAD.std","n/a"))</f>
        <v/>
      </c>
      <c r="AV177" s="10" t="str">
        <f aca="false">IF(A177="","",A177&amp;"_CALC.xlsx")</f>
        <v/>
      </c>
      <c r="AW177" s="10" t="str">
        <f aca="false">IF(A177="","",A177&amp;"_CALC.pdf")</f>
        <v/>
      </c>
      <c r="AX177" s="9"/>
      <c r="AY177" s="9"/>
      <c r="AZ177" s="39"/>
      <c r="BA177" s="39"/>
      <c r="BB177" s="39"/>
      <c r="BC177" s="39"/>
      <c r="BD177" s="39"/>
      <c r="BE177" s="12" t="str">
        <f aca="false">IF(A177="","",IF(COUNTIF(Rebar_Schedule!$A$5:$A$2004,A177)=0,"",ROUND(SUMIF(Rebar_Schedule!$A$5:$A$2004,A177,Rebar_Schedule!$K$5:$K$2004),1)))</f>
        <v/>
      </c>
      <c r="BF177" s="33" t="str">
        <f aca="false">IF(A177="","",IF(BE177="","No rebar schedule yet",IF(ABS(BE177-N(BA177))/MAX(N(BA177),1)&gt;SG_Criteria!$B$55,"NOTE: register rebar differs from schedule by "&amp;TEXT(ABS(BE177-N(BA177))/MAX(N(BA177),1),"0%"),"OK")))</f>
        <v/>
      </c>
      <c r="BG177" s="33" t="str">
        <f aca="false">IF(D177="","",IF(LEN(IF(AND(Z177&lt;&gt;"",IFERROR(VALUE(MID(Z177,2,2)),0)&lt;SG_Criteria!$B$19),"FAIL: grade below C"&amp;SG_Criteria!$B$19&amp;". ","")&amp;IF(AND(AA177&lt;&gt;"",AA177&lt;SG_Criteria!$B$20),"FAIL: cover &lt; "&amp;SG_Criteria!$B$20&amp;" mm. ","")&amp;IF(AND(I177&lt;&gt;"",I177&lt;SG_Criteria!$B$39),"NOTE: min depth below PUB "&amp;SG_Criteria!$B$39&amp;" m. ","")&amp;IF(AND(LEFT(D177,8)="Standard",J177&gt;SG_Criteria!$B$42),"FAIL: PUB 001C covers manholes up to "&amp;SG_Criteria!$B$42&amp;" m deep only. ","")&amp;IF(AND(LEFT(D177,11)="Rectangular",K177&lt;SG_Criteria!$B$43),"NOTE: 004C is for sewers &gt;= "&amp;SG_Criteria!$B$43&amp;" dia. ","")&amp;IF(AND(LEFT(D177,7)="Precast",J177&lt;=SG_Criteria!$B$42),"NOTE: 006C is for manholes &gt; "&amp;SG_Criteria!$B$42&amp;" m deep. ","")&amp;IF(AND(K177&lt;&gt;"",K177&lt;SG_Criteria!$B$40,D177&lt;&gt;"Inspection Chamber"),"NOTE: public sewer min dia "&amp;SG_Criteria!$B$40&amp;" mm. ","")&amp;IF(AND(Y177&lt;&gt;"",Y177&lt;SG_Criteria!$B$44),"FAIL: uplift FOS below "&amp;SG_Criteria!$B$44&amp;". ",""))=0,"OK",IF(AND(Z177&lt;&gt;"",IFERROR(VALUE(MID(Z177,2,2)),0)&lt;SG_Criteria!$B$19),"FAIL: grade below C"&amp;SG_Criteria!$B$19&amp;". ","")&amp;IF(AND(AA177&lt;&gt;"",AA177&lt;SG_Criteria!$B$20),"FAIL: cover &lt; "&amp;SG_Criteria!$B$20&amp;" mm. ","")&amp;IF(AND(I177&lt;&gt;"",I177&lt;SG_Criteria!$B$39),"NOTE: min depth below PUB "&amp;SG_Criteria!$B$39&amp;" m. ","")&amp;IF(AND(LEFT(D177,8)="Standard",J177&gt;SG_Criteria!$B$42),"FAIL: PUB 001C covers manholes up to "&amp;SG_Criteria!$B$42&amp;" m deep only. ","")&amp;IF(AND(LEFT(D177,11)="Rectangular",K177&lt;SG_Criteria!$B$43),"NOTE: 004C is for sewers &gt;= "&amp;SG_Criteria!$B$43&amp;" dia. ","")&amp;IF(AND(LEFT(D177,7)="Precast",J177&lt;=SG_Criteria!$B$42),"NOTE: 006C is for manholes &gt; "&amp;SG_Criteria!$B$42&amp;" m deep. ","")&amp;IF(AND(K177&lt;&gt;"",K177&lt;SG_Criteria!$B$40,D177&lt;&gt;"Inspection Chamber"),"NOTE: public sewer min dia "&amp;SG_Criteria!$B$40&amp;" mm. ","")&amp;IF(AND(Y177&lt;&gt;"",Y177&lt;SG_Criteria!$B$44),"FAIL: uplift FOS below "&amp;SG_Criteria!$B$44&amp;". ","")))</f>
        <v/>
      </c>
      <c r="BH177" s="9"/>
      <c r="BI177" s="9"/>
      <c r="BJ177" s="9"/>
      <c r="BK177" s="10" t="str">
        <f aca="false">IF(BJ177="","",IFERROR(VLOOKUP(BJ177,Projects!$A$5:$D$504,2,0),"Ref not in Projects"))</f>
        <v/>
      </c>
      <c r="BL177" s="10" t="str">
        <f aca="false">IF(BJ177="","",IFERROR(VLOOKUP(BJ177,Projects!$A$5:$D$504,4,0),"Ref not in Projects"))</f>
        <v/>
      </c>
      <c r="BM177" s="9"/>
      <c r="BN177" s="9"/>
      <c r="BO177" s="9"/>
      <c r="BP177" s="40"/>
      <c r="BQ177" s="9"/>
      <c r="BR177" s="40"/>
      <c r="BS177" s="9"/>
      <c r="BT177" s="40"/>
      <c r="BU177" s="9"/>
      <c r="BV177" s="9"/>
      <c r="BW177" s="9"/>
      <c r="BX177" s="40"/>
      <c r="BY177" s="40"/>
      <c r="BZ177" s="36" t="str">
        <f aca="false">IF(BY177="","",EDATE(BY177,SG_Criteria!$B$54*12))</f>
        <v/>
      </c>
      <c r="CA177" s="33" t="str">
        <f aca="true">IF(A177="","",IF(BY177="","NOTE: not reviewed yet",IF(TODAY()&gt;BZ177,"NOTE: review overdue","OK")))</f>
        <v/>
      </c>
      <c r="CB177" s="37" t="str">
        <f aca="false">IF(A177="","",ROUND((IF(LEN(D177)&gt;0,1,0)+IF(LEN(E177)&gt;0,1,0)+IF(LEN(F177)&gt;0,1,0)+IF(LEN(G177)&gt;0,1,0)+IF(LEN(I177)&gt;0,1,0)+IF(LEN(J177)&gt;0,1,0)+IF(LEN(K177)&gt;0,1,0)+IF(LEN(L177)&gt;0,1,0)+IF(LEN(M177)&gt;0,1,0)+IF(LEN(N177)&gt;0,1,0)+IF(LEN(Z177)&gt;0,1,0)+IF(LEN(AA177)&gt;0,1,0)+IF(LEN(Y177)&gt;0,1,0)+IF(LEN(AE177)&gt;0,1,0)+IF(LEN(AG177)&gt;0,1,0)+IF(LEN(AZ177)&gt;0,1,0)+IF(LEN(AK177)&gt;0,1,0)+IF(LEN(AM177)&gt;0,1,0)+IF(LEN(AN177)&gt;0,1,0)+IF(LEN(AO177)&gt;0,1,0)+IF(LEN(AP177)&gt;0,1,0)+IF(LEN(AY177)&gt;0,1,0)+IF(LEN(BJ177)&gt;0,1,0)+IF(LEN(BW177)&gt;0,1,0))/24,2))</f>
        <v/>
      </c>
      <c r="CC177" s="10" t="str">
        <f aca="false">IF(D177="","",IF(AND(AN177="Approved",ISERROR(SEARCH("FAIL",BG177))),"Y","N"))</f>
        <v/>
      </c>
      <c r="CD177" s="10" t="str">
        <f aca="false">IF(D177="","",D177&amp;"|"&amp;J177&amp;"|"&amp;G177&amp;"|"&amp;CC177)</f>
        <v/>
      </c>
    </row>
    <row r="178" customFormat="false" ht="15" hidden="false" customHeight="false" outlineLevel="0" collapsed="false">
      <c r="A178" s="10" t="str">
        <f aca="false">IF(D178="","","MH-"&amp;IFERROR(VLOOKUP(D178,Lists!$AB$4:$AC$20,2,0),"??")&amp;"-"&amp;TEXT(G178,"0000")&amp;IF(F178="Circular","D","x"&amp;TEXT(H178,"0000"))&amp;"-D"&amp;TEXT(J178*1000,"0000")&amp;"-"&amp;IFERROR(VLOOKUP(E178,Lists!$AE$4:$AF$16,2,0),"??")&amp;"-"&amp;AM178)</f>
        <v/>
      </c>
      <c r="B178" s="10" t="str">
        <f aca="false">IF(D178="","",D178&amp;", "&amp;E178&amp;", "&amp;IF(F178="Circular",G178&amp;" dia",G178&amp;" x "&amp;H178)&amp;", depth "&amp;TEXT(I178,"0.0")&amp;"-"&amp;TEXT(J178,"0.0")&amp;" m, pipe up to "&amp;K178&amp;" dia")</f>
        <v/>
      </c>
      <c r="C178" s="9"/>
      <c r="D178" s="9"/>
      <c r="E178" s="9"/>
      <c r="F178" s="9"/>
      <c r="G178" s="38"/>
      <c r="H178" s="38"/>
      <c r="I178" s="42"/>
      <c r="J178" s="42"/>
      <c r="K178" s="38"/>
      <c r="L178" s="38"/>
      <c r="M178" s="38"/>
      <c r="N178" s="38"/>
      <c r="O178" s="9"/>
      <c r="P178" s="9"/>
      <c r="Q178" s="9"/>
      <c r="R178" s="9"/>
      <c r="S178" s="9"/>
      <c r="T178" s="9"/>
      <c r="U178" s="9"/>
      <c r="V178" s="42"/>
      <c r="W178" s="9"/>
      <c r="X178" s="9"/>
      <c r="Y178" s="39"/>
      <c r="Z178" s="9"/>
      <c r="AA178" s="38"/>
      <c r="AB178" s="9"/>
      <c r="AC178" s="9"/>
      <c r="AD178" s="9"/>
      <c r="AE178" s="9"/>
      <c r="AF178" s="9"/>
      <c r="AG178" s="9"/>
      <c r="AH178" s="38"/>
      <c r="AI178" s="9"/>
      <c r="AJ178" s="39"/>
      <c r="AK178" s="9"/>
      <c r="AL178" s="9"/>
      <c r="AM178" s="9"/>
      <c r="AN178" s="9"/>
      <c r="AO178" s="9"/>
      <c r="AP178" s="9"/>
      <c r="AQ178" s="9"/>
      <c r="AR178" s="10" t="str">
        <f aca="false">IF(A178="","",SG_Criteria!$B$6&amp;SG_Criteria!$B$10&amp;"\"&amp;A178&amp;"\")</f>
        <v/>
      </c>
      <c r="AS178" s="10" t="str">
        <f aca="false">IF(A178="","",A178&amp;"_CAD.dwg")</f>
        <v/>
      </c>
      <c r="AT178" s="10" t="str">
        <f aca="false">IF(A178="","",A178&amp;"_DWG.pdf")</f>
        <v/>
      </c>
      <c r="AU178" s="10" t="str">
        <f aca="false">IF(A178="","",IF(AQ178="Y",A178&amp;"_STAAD.std","n/a"))</f>
        <v/>
      </c>
      <c r="AV178" s="10" t="str">
        <f aca="false">IF(A178="","",A178&amp;"_CALC.xlsx")</f>
        <v/>
      </c>
      <c r="AW178" s="10" t="str">
        <f aca="false">IF(A178="","",A178&amp;"_CALC.pdf")</f>
        <v/>
      </c>
      <c r="AX178" s="9"/>
      <c r="AY178" s="9"/>
      <c r="AZ178" s="39"/>
      <c r="BA178" s="39"/>
      <c r="BB178" s="39"/>
      <c r="BC178" s="39"/>
      <c r="BD178" s="39"/>
      <c r="BE178" s="12" t="str">
        <f aca="false">IF(A178="","",IF(COUNTIF(Rebar_Schedule!$A$5:$A$2004,A178)=0,"",ROUND(SUMIF(Rebar_Schedule!$A$5:$A$2004,A178,Rebar_Schedule!$K$5:$K$2004),1)))</f>
        <v/>
      </c>
      <c r="BF178" s="33" t="str">
        <f aca="false">IF(A178="","",IF(BE178="","No rebar schedule yet",IF(ABS(BE178-N(BA178))/MAX(N(BA178),1)&gt;SG_Criteria!$B$55,"NOTE: register rebar differs from schedule by "&amp;TEXT(ABS(BE178-N(BA178))/MAX(N(BA178),1),"0%"),"OK")))</f>
        <v/>
      </c>
      <c r="BG178" s="33" t="str">
        <f aca="false">IF(D178="","",IF(LEN(IF(AND(Z178&lt;&gt;"",IFERROR(VALUE(MID(Z178,2,2)),0)&lt;SG_Criteria!$B$19),"FAIL: grade below C"&amp;SG_Criteria!$B$19&amp;". ","")&amp;IF(AND(AA178&lt;&gt;"",AA178&lt;SG_Criteria!$B$20),"FAIL: cover &lt; "&amp;SG_Criteria!$B$20&amp;" mm. ","")&amp;IF(AND(I178&lt;&gt;"",I178&lt;SG_Criteria!$B$39),"NOTE: min depth below PUB "&amp;SG_Criteria!$B$39&amp;" m. ","")&amp;IF(AND(LEFT(D178,8)="Standard",J178&gt;SG_Criteria!$B$42),"FAIL: PUB 001C covers manholes up to "&amp;SG_Criteria!$B$42&amp;" m deep only. ","")&amp;IF(AND(LEFT(D178,11)="Rectangular",K178&lt;SG_Criteria!$B$43),"NOTE: 004C is for sewers &gt;= "&amp;SG_Criteria!$B$43&amp;" dia. ","")&amp;IF(AND(LEFT(D178,7)="Precast",J178&lt;=SG_Criteria!$B$42),"NOTE: 006C is for manholes &gt; "&amp;SG_Criteria!$B$42&amp;" m deep. ","")&amp;IF(AND(K178&lt;&gt;"",K178&lt;SG_Criteria!$B$40,D178&lt;&gt;"Inspection Chamber"),"NOTE: public sewer min dia "&amp;SG_Criteria!$B$40&amp;" mm. ","")&amp;IF(AND(Y178&lt;&gt;"",Y178&lt;SG_Criteria!$B$44),"FAIL: uplift FOS below "&amp;SG_Criteria!$B$44&amp;". ",""))=0,"OK",IF(AND(Z178&lt;&gt;"",IFERROR(VALUE(MID(Z178,2,2)),0)&lt;SG_Criteria!$B$19),"FAIL: grade below C"&amp;SG_Criteria!$B$19&amp;". ","")&amp;IF(AND(AA178&lt;&gt;"",AA178&lt;SG_Criteria!$B$20),"FAIL: cover &lt; "&amp;SG_Criteria!$B$20&amp;" mm. ","")&amp;IF(AND(I178&lt;&gt;"",I178&lt;SG_Criteria!$B$39),"NOTE: min depth below PUB "&amp;SG_Criteria!$B$39&amp;" m. ","")&amp;IF(AND(LEFT(D178,8)="Standard",J178&gt;SG_Criteria!$B$42),"FAIL: PUB 001C covers manholes up to "&amp;SG_Criteria!$B$42&amp;" m deep only. ","")&amp;IF(AND(LEFT(D178,11)="Rectangular",K178&lt;SG_Criteria!$B$43),"NOTE: 004C is for sewers &gt;= "&amp;SG_Criteria!$B$43&amp;" dia. ","")&amp;IF(AND(LEFT(D178,7)="Precast",J178&lt;=SG_Criteria!$B$42),"NOTE: 006C is for manholes &gt; "&amp;SG_Criteria!$B$42&amp;" m deep. ","")&amp;IF(AND(K178&lt;&gt;"",K178&lt;SG_Criteria!$B$40,D178&lt;&gt;"Inspection Chamber"),"NOTE: public sewer min dia "&amp;SG_Criteria!$B$40&amp;" mm. ","")&amp;IF(AND(Y178&lt;&gt;"",Y178&lt;SG_Criteria!$B$44),"FAIL: uplift FOS below "&amp;SG_Criteria!$B$44&amp;". ","")))</f>
        <v/>
      </c>
      <c r="BH178" s="9"/>
      <c r="BI178" s="9"/>
      <c r="BJ178" s="9"/>
      <c r="BK178" s="10" t="str">
        <f aca="false">IF(BJ178="","",IFERROR(VLOOKUP(BJ178,Projects!$A$5:$D$504,2,0),"Ref not in Projects"))</f>
        <v/>
      </c>
      <c r="BL178" s="10" t="str">
        <f aca="false">IF(BJ178="","",IFERROR(VLOOKUP(BJ178,Projects!$A$5:$D$504,4,0),"Ref not in Projects"))</f>
        <v/>
      </c>
      <c r="BM178" s="9"/>
      <c r="BN178" s="9"/>
      <c r="BO178" s="9"/>
      <c r="BP178" s="40"/>
      <c r="BQ178" s="9"/>
      <c r="BR178" s="40"/>
      <c r="BS178" s="9"/>
      <c r="BT178" s="40"/>
      <c r="BU178" s="9"/>
      <c r="BV178" s="9"/>
      <c r="BW178" s="9"/>
      <c r="BX178" s="40"/>
      <c r="BY178" s="40"/>
      <c r="BZ178" s="36" t="str">
        <f aca="false">IF(BY178="","",EDATE(BY178,SG_Criteria!$B$54*12))</f>
        <v/>
      </c>
      <c r="CA178" s="33" t="str">
        <f aca="true">IF(A178="","",IF(BY178="","NOTE: not reviewed yet",IF(TODAY()&gt;BZ178,"NOTE: review overdue","OK")))</f>
        <v/>
      </c>
      <c r="CB178" s="37" t="str">
        <f aca="false">IF(A178="","",ROUND((IF(LEN(D178)&gt;0,1,0)+IF(LEN(E178)&gt;0,1,0)+IF(LEN(F178)&gt;0,1,0)+IF(LEN(G178)&gt;0,1,0)+IF(LEN(I178)&gt;0,1,0)+IF(LEN(J178)&gt;0,1,0)+IF(LEN(K178)&gt;0,1,0)+IF(LEN(L178)&gt;0,1,0)+IF(LEN(M178)&gt;0,1,0)+IF(LEN(N178)&gt;0,1,0)+IF(LEN(Z178)&gt;0,1,0)+IF(LEN(AA178)&gt;0,1,0)+IF(LEN(Y178)&gt;0,1,0)+IF(LEN(AE178)&gt;0,1,0)+IF(LEN(AG178)&gt;0,1,0)+IF(LEN(AZ178)&gt;0,1,0)+IF(LEN(AK178)&gt;0,1,0)+IF(LEN(AM178)&gt;0,1,0)+IF(LEN(AN178)&gt;0,1,0)+IF(LEN(AO178)&gt;0,1,0)+IF(LEN(AP178)&gt;0,1,0)+IF(LEN(AY178)&gt;0,1,0)+IF(LEN(BJ178)&gt;0,1,0)+IF(LEN(BW178)&gt;0,1,0))/24,2))</f>
        <v/>
      </c>
      <c r="CC178" s="10" t="str">
        <f aca="false">IF(D178="","",IF(AND(AN178="Approved",ISERROR(SEARCH("FAIL",BG178))),"Y","N"))</f>
        <v/>
      </c>
      <c r="CD178" s="10" t="str">
        <f aca="false">IF(D178="","",D178&amp;"|"&amp;J178&amp;"|"&amp;G178&amp;"|"&amp;CC178)</f>
        <v/>
      </c>
    </row>
    <row r="179" customFormat="false" ht="15" hidden="false" customHeight="false" outlineLevel="0" collapsed="false">
      <c r="A179" s="10" t="str">
        <f aca="false">IF(D179="","","MH-"&amp;IFERROR(VLOOKUP(D179,Lists!$AB$4:$AC$20,2,0),"??")&amp;"-"&amp;TEXT(G179,"0000")&amp;IF(F179="Circular","D","x"&amp;TEXT(H179,"0000"))&amp;"-D"&amp;TEXT(J179*1000,"0000")&amp;"-"&amp;IFERROR(VLOOKUP(E179,Lists!$AE$4:$AF$16,2,0),"??")&amp;"-"&amp;AM179)</f>
        <v/>
      </c>
      <c r="B179" s="10" t="str">
        <f aca="false">IF(D179="","",D179&amp;", "&amp;E179&amp;", "&amp;IF(F179="Circular",G179&amp;" dia",G179&amp;" x "&amp;H179)&amp;", depth "&amp;TEXT(I179,"0.0")&amp;"-"&amp;TEXT(J179,"0.0")&amp;" m, pipe up to "&amp;K179&amp;" dia")</f>
        <v/>
      </c>
      <c r="C179" s="9"/>
      <c r="D179" s="9"/>
      <c r="E179" s="9"/>
      <c r="F179" s="9"/>
      <c r="G179" s="38"/>
      <c r="H179" s="38"/>
      <c r="I179" s="42"/>
      <c r="J179" s="42"/>
      <c r="K179" s="38"/>
      <c r="L179" s="38"/>
      <c r="M179" s="38"/>
      <c r="N179" s="38"/>
      <c r="O179" s="9"/>
      <c r="P179" s="9"/>
      <c r="Q179" s="9"/>
      <c r="R179" s="9"/>
      <c r="S179" s="9"/>
      <c r="T179" s="9"/>
      <c r="U179" s="9"/>
      <c r="V179" s="42"/>
      <c r="W179" s="9"/>
      <c r="X179" s="9"/>
      <c r="Y179" s="39"/>
      <c r="Z179" s="9"/>
      <c r="AA179" s="38"/>
      <c r="AB179" s="9"/>
      <c r="AC179" s="9"/>
      <c r="AD179" s="9"/>
      <c r="AE179" s="9"/>
      <c r="AF179" s="9"/>
      <c r="AG179" s="9"/>
      <c r="AH179" s="38"/>
      <c r="AI179" s="9"/>
      <c r="AJ179" s="39"/>
      <c r="AK179" s="9"/>
      <c r="AL179" s="9"/>
      <c r="AM179" s="9"/>
      <c r="AN179" s="9"/>
      <c r="AO179" s="9"/>
      <c r="AP179" s="9"/>
      <c r="AQ179" s="9"/>
      <c r="AR179" s="10" t="str">
        <f aca="false">IF(A179="","",SG_Criteria!$B$6&amp;SG_Criteria!$B$10&amp;"\"&amp;A179&amp;"\")</f>
        <v/>
      </c>
      <c r="AS179" s="10" t="str">
        <f aca="false">IF(A179="","",A179&amp;"_CAD.dwg")</f>
        <v/>
      </c>
      <c r="AT179" s="10" t="str">
        <f aca="false">IF(A179="","",A179&amp;"_DWG.pdf")</f>
        <v/>
      </c>
      <c r="AU179" s="10" t="str">
        <f aca="false">IF(A179="","",IF(AQ179="Y",A179&amp;"_STAAD.std","n/a"))</f>
        <v/>
      </c>
      <c r="AV179" s="10" t="str">
        <f aca="false">IF(A179="","",A179&amp;"_CALC.xlsx")</f>
        <v/>
      </c>
      <c r="AW179" s="10" t="str">
        <f aca="false">IF(A179="","",A179&amp;"_CALC.pdf")</f>
        <v/>
      </c>
      <c r="AX179" s="9"/>
      <c r="AY179" s="9"/>
      <c r="AZ179" s="39"/>
      <c r="BA179" s="39"/>
      <c r="BB179" s="39"/>
      <c r="BC179" s="39"/>
      <c r="BD179" s="39"/>
      <c r="BE179" s="12" t="str">
        <f aca="false">IF(A179="","",IF(COUNTIF(Rebar_Schedule!$A$5:$A$2004,A179)=0,"",ROUND(SUMIF(Rebar_Schedule!$A$5:$A$2004,A179,Rebar_Schedule!$K$5:$K$2004),1)))</f>
        <v/>
      </c>
      <c r="BF179" s="33" t="str">
        <f aca="false">IF(A179="","",IF(BE179="","No rebar schedule yet",IF(ABS(BE179-N(BA179))/MAX(N(BA179),1)&gt;SG_Criteria!$B$55,"NOTE: register rebar differs from schedule by "&amp;TEXT(ABS(BE179-N(BA179))/MAX(N(BA179),1),"0%"),"OK")))</f>
        <v/>
      </c>
      <c r="BG179" s="33" t="str">
        <f aca="false">IF(D179="","",IF(LEN(IF(AND(Z179&lt;&gt;"",IFERROR(VALUE(MID(Z179,2,2)),0)&lt;SG_Criteria!$B$19),"FAIL: grade below C"&amp;SG_Criteria!$B$19&amp;". ","")&amp;IF(AND(AA179&lt;&gt;"",AA179&lt;SG_Criteria!$B$20),"FAIL: cover &lt; "&amp;SG_Criteria!$B$20&amp;" mm. ","")&amp;IF(AND(I179&lt;&gt;"",I179&lt;SG_Criteria!$B$39),"NOTE: min depth below PUB "&amp;SG_Criteria!$B$39&amp;" m. ","")&amp;IF(AND(LEFT(D179,8)="Standard",J179&gt;SG_Criteria!$B$42),"FAIL: PUB 001C covers manholes up to "&amp;SG_Criteria!$B$42&amp;" m deep only. ","")&amp;IF(AND(LEFT(D179,11)="Rectangular",K179&lt;SG_Criteria!$B$43),"NOTE: 004C is for sewers &gt;= "&amp;SG_Criteria!$B$43&amp;" dia. ","")&amp;IF(AND(LEFT(D179,7)="Precast",J179&lt;=SG_Criteria!$B$42),"NOTE: 006C is for manholes &gt; "&amp;SG_Criteria!$B$42&amp;" m deep. ","")&amp;IF(AND(K179&lt;&gt;"",K179&lt;SG_Criteria!$B$40,D179&lt;&gt;"Inspection Chamber"),"NOTE: public sewer min dia "&amp;SG_Criteria!$B$40&amp;" mm. ","")&amp;IF(AND(Y179&lt;&gt;"",Y179&lt;SG_Criteria!$B$44),"FAIL: uplift FOS below "&amp;SG_Criteria!$B$44&amp;". ",""))=0,"OK",IF(AND(Z179&lt;&gt;"",IFERROR(VALUE(MID(Z179,2,2)),0)&lt;SG_Criteria!$B$19),"FAIL: grade below C"&amp;SG_Criteria!$B$19&amp;". ","")&amp;IF(AND(AA179&lt;&gt;"",AA179&lt;SG_Criteria!$B$20),"FAIL: cover &lt; "&amp;SG_Criteria!$B$20&amp;" mm. ","")&amp;IF(AND(I179&lt;&gt;"",I179&lt;SG_Criteria!$B$39),"NOTE: min depth below PUB "&amp;SG_Criteria!$B$39&amp;" m. ","")&amp;IF(AND(LEFT(D179,8)="Standard",J179&gt;SG_Criteria!$B$42),"FAIL: PUB 001C covers manholes up to "&amp;SG_Criteria!$B$42&amp;" m deep only. ","")&amp;IF(AND(LEFT(D179,11)="Rectangular",K179&lt;SG_Criteria!$B$43),"NOTE: 004C is for sewers &gt;= "&amp;SG_Criteria!$B$43&amp;" dia. ","")&amp;IF(AND(LEFT(D179,7)="Precast",J179&lt;=SG_Criteria!$B$42),"NOTE: 006C is for manholes &gt; "&amp;SG_Criteria!$B$42&amp;" m deep. ","")&amp;IF(AND(K179&lt;&gt;"",K179&lt;SG_Criteria!$B$40,D179&lt;&gt;"Inspection Chamber"),"NOTE: public sewer min dia "&amp;SG_Criteria!$B$40&amp;" mm. ","")&amp;IF(AND(Y179&lt;&gt;"",Y179&lt;SG_Criteria!$B$44),"FAIL: uplift FOS below "&amp;SG_Criteria!$B$44&amp;". ","")))</f>
        <v/>
      </c>
      <c r="BH179" s="9"/>
      <c r="BI179" s="9"/>
      <c r="BJ179" s="9"/>
      <c r="BK179" s="10" t="str">
        <f aca="false">IF(BJ179="","",IFERROR(VLOOKUP(BJ179,Projects!$A$5:$D$504,2,0),"Ref not in Projects"))</f>
        <v/>
      </c>
      <c r="BL179" s="10" t="str">
        <f aca="false">IF(BJ179="","",IFERROR(VLOOKUP(BJ179,Projects!$A$5:$D$504,4,0),"Ref not in Projects"))</f>
        <v/>
      </c>
      <c r="BM179" s="9"/>
      <c r="BN179" s="9"/>
      <c r="BO179" s="9"/>
      <c r="BP179" s="40"/>
      <c r="BQ179" s="9"/>
      <c r="BR179" s="40"/>
      <c r="BS179" s="9"/>
      <c r="BT179" s="40"/>
      <c r="BU179" s="9"/>
      <c r="BV179" s="9"/>
      <c r="BW179" s="9"/>
      <c r="BX179" s="40"/>
      <c r="BY179" s="40"/>
      <c r="BZ179" s="36" t="str">
        <f aca="false">IF(BY179="","",EDATE(BY179,SG_Criteria!$B$54*12))</f>
        <v/>
      </c>
      <c r="CA179" s="33" t="str">
        <f aca="true">IF(A179="","",IF(BY179="","NOTE: not reviewed yet",IF(TODAY()&gt;BZ179,"NOTE: review overdue","OK")))</f>
        <v/>
      </c>
      <c r="CB179" s="37" t="str">
        <f aca="false">IF(A179="","",ROUND((IF(LEN(D179)&gt;0,1,0)+IF(LEN(E179)&gt;0,1,0)+IF(LEN(F179)&gt;0,1,0)+IF(LEN(G179)&gt;0,1,0)+IF(LEN(I179)&gt;0,1,0)+IF(LEN(J179)&gt;0,1,0)+IF(LEN(K179)&gt;0,1,0)+IF(LEN(L179)&gt;0,1,0)+IF(LEN(M179)&gt;0,1,0)+IF(LEN(N179)&gt;0,1,0)+IF(LEN(Z179)&gt;0,1,0)+IF(LEN(AA179)&gt;0,1,0)+IF(LEN(Y179)&gt;0,1,0)+IF(LEN(AE179)&gt;0,1,0)+IF(LEN(AG179)&gt;0,1,0)+IF(LEN(AZ179)&gt;0,1,0)+IF(LEN(AK179)&gt;0,1,0)+IF(LEN(AM179)&gt;0,1,0)+IF(LEN(AN179)&gt;0,1,0)+IF(LEN(AO179)&gt;0,1,0)+IF(LEN(AP179)&gt;0,1,0)+IF(LEN(AY179)&gt;0,1,0)+IF(LEN(BJ179)&gt;0,1,0)+IF(LEN(BW179)&gt;0,1,0))/24,2))</f>
        <v/>
      </c>
      <c r="CC179" s="10" t="str">
        <f aca="false">IF(D179="","",IF(AND(AN179="Approved",ISERROR(SEARCH("FAIL",BG179))),"Y","N"))</f>
        <v/>
      </c>
      <c r="CD179" s="10" t="str">
        <f aca="false">IF(D179="","",D179&amp;"|"&amp;J179&amp;"|"&amp;G179&amp;"|"&amp;CC179)</f>
        <v/>
      </c>
    </row>
    <row r="180" customFormat="false" ht="15" hidden="false" customHeight="false" outlineLevel="0" collapsed="false">
      <c r="A180" s="10" t="str">
        <f aca="false">IF(D180="","","MH-"&amp;IFERROR(VLOOKUP(D180,Lists!$AB$4:$AC$20,2,0),"??")&amp;"-"&amp;TEXT(G180,"0000")&amp;IF(F180="Circular","D","x"&amp;TEXT(H180,"0000"))&amp;"-D"&amp;TEXT(J180*1000,"0000")&amp;"-"&amp;IFERROR(VLOOKUP(E180,Lists!$AE$4:$AF$16,2,0),"??")&amp;"-"&amp;AM180)</f>
        <v/>
      </c>
      <c r="B180" s="10" t="str">
        <f aca="false">IF(D180="","",D180&amp;", "&amp;E180&amp;", "&amp;IF(F180="Circular",G180&amp;" dia",G180&amp;" x "&amp;H180)&amp;", depth "&amp;TEXT(I180,"0.0")&amp;"-"&amp;TEXT(J180,"0.0")&amp;" m, pipe up to "&amp;K180&amp;" dia")</f>
        <v/>
      </c>
      <c r="C180" s="9"/>
      <c r="D180" s="9"/>
      <c r="E180" s="9"/>
      <c r="F180" s="9"/>
      <c r="G180" s="38"/>
      <c r="H180" s="38"/>
      <c r="I180" s="42"/>
      <c r="J180" s="42"/>
      <c r="K180" s="38"/>
      <c r="L180" s="38"/>
      <c r="M180" s="38"/>
      <c r="N180" s="38"/>
      <c r="O180" s="9"/>
      <c r="P180" s="9"/>
      <c r="Q180" s="9"/>
      <c r="R180" s="9"/>
      <c r="S180" s="9"/>
      <c r="T180" s="9"/>
      <c r="U180" s="9"/>
      <c r="V180" s="42"/>
      <c r="W180" s="9"/>
      <c r="X180" s="9"/>
      <c r="Y180" s="39"/>
      <c r="Z180" s="9"/>
      <c r="AA180" s="38"/>
      <c r="AB180" s="9"/>
      <c r="AC180" s="9"/>
      <c r="AD180" s="9"/>
      <c r="AE180" s="9"/>
      <c r="AF180" s="9"/>
      <c r="AG180" s="9"/>
      <c r="AH180" s="38"/>
      <c r="AI180" s="9"/>
      <c r="AJ180" s="39"/>
      <c r="AK180" s="9"/>
      <c r="AL180" s="9"/>
      <c r="AM180" s="9"/>
      <c r="AN180" s="9"/>
      <c r="AO180" s="9"/>
      <c r="AP180" s="9"/>
      <c r="AQ180" s="9"/>
      <c r="AR180" s="10" t="str">
        <f aca="false">IF(A180="","",SG_Criteria!$B$6&amp;SG_Criteria!$B$10&amp;"\"&amp;A180&amp;"\")</f>
        <v/>
      </c>
      <c r="AS180" s="10" t="str">
        <f aca="false">IF(A180="","",A180&amp;"_CAD.dwg")</f>
        <v/>
      </c>
      <c r="AT180" s="10" t="str">
        <f aca="false">IF(A180="","",A180&amp;"_DWG.pdf")</f>
        <v/>
      </c>
      <c r="AU180" s="10" t="str">
        <f aca="false">IF(A180="","",IF(AQ180="Y",A180&amp;"_STAAD.std","n/a"))</f>
        <v/>
      </c>
      <c r="AV180" s="10" t="str">
        <f aca="false">IF(A180="","",A180&amp;"_CALC.xlsx")</f>
        <v/>
      </c>
      <c r="AW180" s="10" t="str">
        <f aca="false">IF(A180="","",A180&amp;"_CALC.pdf")</f>
        <v/>
      </c>
      <c r="AX180" s="9"/>
      <c r="AY180" s="9"/>
      <c r="AZ180" s="39"/>
      <c r="BA180" s="39"/>
      <c r="BB180" s="39"/>
      <c r="BC180" s="39"/>
      <c r="BD180" s="39"/>
      <c r="BE180" s="12" t="str">
        <f aca="false">IF(A180="","",IF(COUNTIF(Rebar_Schedule!$A$5:$A$2004,A180)=0,"",ROUND(SUMIF(Rebar_Schedule!$A$5:$A$2004,A180,Rebar_Schedule!$K$5:$K$2004),1)))</f>
        <v/>
      </c>
      <c r="BF180" s="33" t="str">
        <f aca="false">IF(A180="","",IF(BE180="","No rebar schedule yet",IF(ABS(BE180-N(BA180))/MAX(N(BA180),1)&gt;SG_Criteria!$B$55,"NOTE: register rebar differs from schedule by "&amp;TEXT(ABS(BE180-N(BA180))/MAX(N(BA180),1),"0%"),"OK")))</f>
        <v/>
      </c>
      <c r="BG180" s="33" t="str">
        <f aca="false">IF(D180="","",IF(LEN(IF(AND(Z180&lt;&gt;"",IFERROR(VALUE(MID(Z180,2,2)),0)&lt;SG_Criteria!$B$19),"FAIL: grade below C"&amp;SG_Criteria!$B$19&amp;". ","")&amp;IF(AND(AA180&lt;&gt;"",AA180&lt;SG_Criteria!$B$20),"FAIL: cover &lt; "&amp;SG_Criteria!$B$20&amp;" mm. ","")&amp;IF(AND(I180&lt;&gt;"",I180&lt;SG_Criteria!$B$39),"NOTE: min depth below PUB "&amp;SG_Criteria!$B$39&amp;" m. ","")&amp;IF(AND(LEFT(D180,8)="Standard",J180&gt;SG_Criteria!$B$42),"FAIL: PUB 001C covers manholes up to "&amp;SG_Criteria!$B$42&amp;" m deep only. ","")&amp;IF(AND(LEFT(D180,11)="Rectangular",K180&lt;SG_Criteria!$B$43),"NOTE: 004C is for sewers &gt;= "&amp;SG_Criteria!$B$43&amp;" dia. ","")&amp;IF(AND(LEFT(D180,7)="Precast",J180&lt;=SG_Criteria!$B$42),"NOTE: 006C is for manholes &gt; "&amp;SG_Criteria!$B$42&amp;" m deep. ","")&amp;IF(AND(K180&lt;&gt;"",K180&lt;SG_Criteria!$B$40,D180&lt;&gt;"Inspection Chamber"),"NOTE: public sewer min dia "&amp;SG_Criteria!$B$40&amp;" mm. ","")&amp;IF(AND(Y180&lt;&gt;"",Y180&lt;SG_Criteria!$B$44),"FAIL: uplift FOS below "&amp;SG_Criteria!$B$44&amp;". ",""))=0,"OK",IF(AND(Z180&lt;&gt;"",IFERROR(VALUE(MID(Z180,2,2)),0)&lt;SG_Criteria!$B$19),"FAIL: grade below C"&amp;SG_Criteria!$B$19&amp;". ","")&amp;IF(AND(AA180&lt;&gt;"",AA180&lt;SG_Criteria!$B$20),"FAIL: cover &lt; "&amp;SG_Criteria!$B$20&amp;" mm. ","")&amp;IF(AND(I180&lt;&gt;"",I180&lt;SG_Criteria!$B$39),"NOTE: min depth below PUB "&amp;SG_Criteria!$B$39&amp;" m. ","")&amp;IF(AND(LEFT(D180,8)="Standard",J180&gt;SG_Criteria!$B$42),"FAIL: PUB 001C covers manholes up to "&amp;SG_Criteria!$B$42&amp;" m deep only. ","")&amp;IF(AND(LEFT(D180,11)="Rectangular",K180&lt;SG_Criteria!$B$43),"NOTE: 004C is for sewers &gt;= "&amp;SG_Criteria!$B$43&amp;" dia. ","")&amp;IF(AND(LEFT(D180,7)="Precast",J180&lt;=SG_Criteria!$B$42),"NOTE: 006C is for manholes &gt; "&amp;SG_Criteria!$B$42&amp;" m deep. ","")&amp;IF(AND(K180&lt;&gt;"",K180&lt;SG_Criteria!$B$40,D180&lt;&gt;"Inspection Chamber"),"NOTE: public sewer min dia "&amp;SG_Criteria!$B$40&amp;" mm. ","")&amp;IF(AND(Y180&lt;&gt;"",Y180&lt;SG_Criteria!$B$44),"FAIL: uplift FOS below "&amp;SG_Criteria!$B$44&amp;". ","")))</f>
        <v/>
      </c>
      <c r="BH180" s="9"/>
      <c r="BI180" s="9"/>
      <c r="BJ180" s="9"/>
      <c r="BK180" s="10" t="str">
        <f aca="false">IF(BJ180="","",IFERROR(VLOOKUP(BJ180,Projects!$A$5:$D$504,2,0),"Ref not in Projects"))</f>
        <v/>
      </c>
      <c r="BL180" s="10" t="str">
        <f aca="false">IF(BJ180="","",IFERROR(VLOOKUP(BJ180,Projects!$A$5:$D$504,4,0),"Ref not in Projects"))</f>
        <v/>
      </c>
      <c r="BM180" s="9"/>
      <c r="BN180" s="9"/>
      <c r="BO180" s="9"/>
      <c r="BP180" s="40"/>
      <c r="BQ180" s="9"/>
      <c r="BR180" s="40"/>
      <c r="BS180" s="9"/>
      <c r="BT180" s="40"/>
      <c r="BU180" s="9"/>
      <c r="BV180" s="9"/>
      <c r="BW180" s="9"/>
      <c r="BX180" s="40"/>
      <c r="BY180" s="40"/>
      <c r="BZ180" s="36" t="str">
        <f aca="false">IF(BY180="","",EDATE(BY180,SG_Criteria!$B$54*12))</f>
        <v/>
      </c>
      <c r="CA180" s="33" t="str">
        <f aca="true">IF(A180="","",IF(BY180="","NOTE: not reviewed yet",IF(TODAY()&gt;BZ180,"NOTE: review overdue","OK")))</f>
        <v/>
      </c>
      <c r="CB180" s="37" t="str">
        <f aca="false">IF(A180="","",ROUND((IF(LEN(D180)&gt;0,1,0)+IF(LEN(E180)&gt;0,1,0)+IF(LEN(F180)&gt;0,1,0)+IF(LEN(G180)&gt;0,1,0)+IF(LEN(I180)&gt;0,1,0)+IF(LEN(J180)&gt;0,1,0)+IF(LEN(K180)&gt;0,1,0)+IF(LEN(L180)&gt;0,1,0)+IF(LEN(M180)&gt;0,1,0)+IF(LEN(N180)&gt;0,1,0)+IF(LEN(Z180)&gt;0,1,0)+IF(LEN(AA180)&gt;0,1,0)+IF(LEN(Y180)&gt;0,1,0)+IF(LEN(AE180)&gt;0,1,0)+IF(LEN(AG180)&gt;0,1,0)+IF(LEN(AZ180)&gt;0,1,0)+IF(LEN(AK180)&gt;0,1,0)+IF(LEN(AM180)&gt;0,1,0)+IF(LEN(AN180)&gt;0,1,0)+IF(LEN(AO180)&gt;0,1,0)+IF(LEN(AP180)&gt;0,1,0)+IF(LEN(AY180)&gt;0,1,0)+IF(LEN(BJ180)&gt;0,1,0)+IF(LEN(BW180)&gt;0,1,0))/24,2))</f>
        <v/>
      </c>
      <c r="CC180" s="10" t="str">
        <f aca="false">IF(D180="","",IF(AND(AN180="Approved",ISERROR(SEARCH("FAIL",BG180))),"Y","N"))</f>
        <v/>
      </c>
      <c r="CD180" s="10" t="str">
        <f aca="false">IF(D180="","",D180&amp;"|"&amp;J180&amp;"|"&amp;G180&amp;"|"&amp;CC180)</f>
        <v/>
      </c>
    </row>
    <row r="181" customFormat="false" ht="15" hidden="false" customHeight="false" outlineLevel="0" collapsed="false">
      <c r="A181" s="10" t="str">
        <f aca="false">IF(D181="","","MH-"&amp;IFERROR(VLOOKUP(D181,Lists!$AB$4:$AC$20,2,0),"??")&amp;"-"&amp;TEXT(G181,"0000")&amp;IF(F181="Circular","D","x"&amp;TEXT(H181,"0000"))&amp;"-D"&amp;TEXT(J181*1000,"0000")&amp;"-"&amp;IFERROR(VLOOKUP(E181,Lists!$AE$4:$AF$16,2,0),"??")&amp;"-"&amp;AM181)</f>
        <v/>
      </c>
      <c r="B181" s="10" t="str">
        <f aca="false">IF(D181="","",D181&amp;", "&amp;E181&amp;", "&amp;IF(F181="Circular",G181&amp;" dia",G181&amp;" x "&amp;H181)&amp;", depth "&amp;TEXT(I181,"0.0")&amp;"-"&amp;TEXT(J181,"0.0")&amp;" m, pipe up to "&amp;K181&amp;" dia")</f>
        <v/>
      </c>
      <c r="C181" s="9"/>
      <c r="D181" s="9"/>
      <c r="E181" s="9"/>
      <c r="F181" s="9"/>
      <c r="G181" s="38"/>
      <c r="H181" s="38"/>
      <c r="I181" s="42"/>
      <c r="J181" s="42"/>
      <c r="K181" s="38"/>
      <c r="L181" s="38"/>
      <c r="M181" s="38"/>
      <c r="N181" s="38"/>
      <c r="O181" s="9"/>
      <c r="P181" s="9"/>
      <c r="Q181" s="9"/>
      <c r="R181" s="9"/>
      <c r="S181" s="9"/>
      <c r="T181" s="9"/>
      <c r="U181" s="9"/>
      <c r="V181" s="42"/>
      <c r="W181" s="9"/>
      <c r="X181" s="9"/>
      <c r="Y181" s="39"/>
      <c r="Z181" s="9"/>
      <c r="AA181" s="38"/>
      <c r="AB181" s="9"/>
      <c r="AC181" s="9"/>
      <c r="AD181" s="9"/>
      <c r="AE181" s="9"/>
      <c r="AF181" s="9"/>
      <c r="AG181" s="9"/>
      <c r="AH181" s="38"/>
      <c r="AI181" s="9"/>
      <c r="AJ181" s="39"/>
      <c r="AK181" s="9"/>
      <c r="AL181" s="9"/>
      <c r="AM181" s="9"/>
      <c r="AN181" s="9"/>
      <c r="AO181" s="9"/>
      <c r="AP181" s="9"/>
      <c r="AQ181" s="9"/>
      <c r="AR181" s="10" t="str">
        <f aca="false">IF(A181="","",SG_Criteria!$B$6&amp;SG_Criteria!$B$10&amp;"\"&amp;A181&amp;"\")</f>
        <v/>
      </c>
      <c r="AS181" s="10" t="str">
        <f aca="false">IF(A181="","",A181&amp;"_CAD.dwg")</f>
        <v/>
      </c>
      <c r="AT181" s="10" t="str">
        <f aca="false">IF(A181="","",A181&amp;"_DWG.pdf")</f>
        <v/>
      </c>
      <c r="AU181" s="10" t="str">
        <f aca="false">IF(A181="","",IF(AQ181="Y",A181&amp;"_STAAD.std","n/a"))</f>
        <v/>
      </c>
      <c r="AV181" s="10" t="str">
        <f aca="false">IF(A181="","",A181&amp;"_CALC.xlsx")</f>
        <v/>
      </c>
      <c r="AW181" s="10" t="str">
        <f aca="false">IF(A181="","",A181&amp;"_CALC.pdf")</f>
        <v/>
      </c>
      <c r="AX181" s="9"/>
      <c r="AY181" s="9"/>
      <c r="AZ181" s="39"/>
      <c r="BA181" s="39"/>
      <c r="BB181" s="39"/>
      <c r="BC181" s="39"/>
      <c r="BD181" s="39"/>
      <c r="BE181" s="12" t="str">
        <f aca="false">IF(A181="","",IF(COUNTIF(Rebar_Schedule!$A$5:$A$2004,A181)=0,"",ROUND(SUMIF(Rebar_Schedule!$A$5:$A$2004,A181,Rebar_Schedule!$K$5:$K$2004),1)))</f>
        <v/>
      </c>
      <c r="BF181" s="33" t="str">
        <f aca="false">IF(A181="","",IF(BE181="","No rebar schedule yet",IF(ABS(BE181-N(BA181))/MAX(N(BA181),1)&gt;SG_Criteria!$B$55,"NOTE: register rebar differs from schedule by "&amp;TEXT(ABS(BE181-N(BA181))/MAX(N(BA181),1),"0%"),"OK")))</f>
        <v/>
      </c>
      <c r="BG181" s="33" t="str">
        <f aca="false">IF(D181="","",IF(LEN(IF(AND(Z181&lt;&gt;"",IFERROR(VALUE(MID(Z181,2,2)),0)&lt;SG_Criteria!$B$19),"FAIL: grade below C"&amp;SG_Criteria!$B$19&amp;". ","")&amp;IF(AND(AA181&lt;&gt;"",AA181&lt;SG_Criteria!$B$20),"FAIL: cover &lt; "&amp;SG_Criteria!$B$20&amp;" mm. ","")&amp;IF(AND(I181&lt;&gt;"",I181&lt;SG_Criteria!$B$39),"NOTE: min depth below PUB "&amp;SG_Criteria!$B$39&amp;" m. ","")&amp;IF(AND(LEFT(D181,8)="Standard",J181&gt;SG_Criteria!$B$42),"FAIL: PUB 001C covers manholes up to "&amp;SG_Criteria!$B$42&amp;" m deep only. ","")&amp;IF(AND(LEFT(D181,11)="Rectangular",K181&lt;SG_Criteria!$B$43),"NOTE: 004C is for sewers &gt;= "&amp;SG_Criteria!$B$43&amp;" dia. ","")&amp;IF(AND(LEFT(D181,7)="Precast",J181&lt;=SG_Criteria!$B$42),"NOTE: 006C is for manholes &gt; "&amp;SG_Criteria!$B$42&amp;" m deep. ","")&amp;IF(AND(K181&lt;&gt;"",K181&lt;SG_Criteria!$B$40,D181&lt;&gt;"Inspection Chamber"),"NOTE: public sewer min dia "&amp;SG_Criteria!$B$40&amp;" mm. ","")&amp;IF(AND(Y181&lt;&gt;"",Y181&lt;SG_Criteria!$B$44),"FAIL: uplift FOS below "&amp;SG_Criteria!$B$44&amp;". ",""))=0,"OK",IF(AND(Z181&lt;&gt;"",IFERROR(VALUE(MID(Z181,2,2)),0)&lt;SG_Criteria!$B$19),"FAIL: grade below C"&amp;SG_Criteria!$B$19&amp;". ","")&amp;IF(AND(AA181&lt;&gt;"",AA181&lt;SG_Criteria!$B$20),"FAIL: cover &lt; "&amp;SG_Criteria!$B$20&amp;" mm. ","")&amp;IF(AND(I181&lt;&gt;"",I181&lt;SG_Criteria!$B$39),"NOTE: min depth below PUB "&amp;SG_Criteria!$B$39&amp;" m. ","")&amp;IF(AND(LEFT(D181,8)="Standard",J181&gt;SG_Criteria!$B$42),"FAIL: PUB 001C covers manholes up to "&amp;SG_Criteria!$B$42&amp;" m deep only. ","")&amp;IF(AND(LEFT(D181,11)="Rectangular",K181&lt;SG_Criteria!$B$43),"NOTE: 004C is for sewers &gt;= "&amp;SG_Criteria!$B$43&amp;" dia. ","")&amp;IF(AND(LEFT(D181,7)="Precast",J181&lt;=SG_Criteria!$B$42),"NOTE: 006C is for manholes &gt; "&amp;SG_Criteria!$B$42&amp;" m deep. ","")&amp;IF(AND(K181&lt;&gt;"",K181&lt;SG_Criteria!$B$40,D181&lt;&gt;"Inspection Chamber"),"NOTE: public sewer min dia "&amp;SG_Criteria!$B$40&amp;" mm. ","")&amp;IF(AND(Y181&lt;&gt;"",Y181&lt;SG_Criteria!$B$44),"FAIL: uplift FOS below "&amp;SG_Criteria!$B$44&amp;". ","")))</f>
        <v/>
      </c>
      <c r="BH181" s="9"/>
      <c r="BI181" s="9"/>
      <c r="BJ181" s="9"/>
      <c r="BK181" s="10" t="str">
        <f aca="false">IF(BJ181="","",IFERROR(VLOOKUP(BJ181,Projects!$A$5:$D$504,2,0),"Ref not in Projects"))</f>
        <v/>
      </c>
      <c r="BL181" s="10" t="str">
        <f aca="false">IF(BJ181="","",IFERROR(VLOOKUP(BJ181,Projects!$A$5:$D$504,4,0),"Ref not in Projects"))</f>
        <v/>
      </c>
      <c r="BM181" s="9"/>
      <c r="BN181" s="9"/>
      <c r="BO181" s="9"/>
      <c r="BP181" s="40"/>
      <c r="BQ181" s="9"/>
      <c r="BR181" s="40"/>
      <c r="BS181" s="9"/>
      <c r="BT181" s="40"/>
      <c r="BU181" s="9"/>
      <c r="BV181" s="9"/>
      <c r="BW181" s="9"/>
      <c r="BX181" s="40"/>
      <c r="BY181" s="40"/>
      <c r="BZ181" s="36" t="str">
        <f aca="false">IF(BY181="","",EDATE(BY181,SG_Criteria!$B$54*12))</f>
        <v/>
      </c>
      <c r="CA181" s="33" t="str">
        <f aca="true">IF(A181="","",IF(BY181="","NOTE: not reviewed yet",IF(TODAY()&gt;BZ181,"NOTE: review overdue","OK")))</f>
        <v/>
      </c>
      <c r="CB181" s="37" t="str">
        <f aca="false">IF(A181="","",ROUND((IF(LEN(D181)&gt;0,1,0)+IF(LEN(E181)&gt;0,1,0)+IF(LEN(F181)&gt;0,1,0)+IF(LEN(G181)&gt;0,1,0)+IF(LEN(I181)&gt;0,1,0)+IF(LEN(J181)&gt;0,1,0)+IF(LEN(K181)&gt;0,1,0)+IF(LEN(L181)&gt;0,1,0)+IF(LEN(M181)&gt;0,1,0)+IF(LEN(N181)&gt;0,1,0)+IF(LEN(Z181)&gt;0,1,0)+IF(LEN(AA181)&gt;0,1,0)+IF(LEN(Y181)&gt;0,1,0)+IF(LEN(AE181)&gt;0,1,0)+IF(LEN(AG181)&gt;0,1,0)+IF(LEN(AZ181)&gt;0,1,0)+IF(LEN(AK181)&gt;0,1,0)+IF(LEN(AM181)&gt;0,1,0)+IF(LEN(AN181)&gt;0,1,0)+IF(LEN(AO181)&gt;0,1,0)+IF(LEN(AP181)&gt;0,1,0)+IF(LEN(AY181)&gt;0,1,0)+IF(LEN(BJ181)&gt;0,1,0)+IF(LEN(BW181)&gt;0,1,0))/24,2))</f>
        <v/>
      </c>
      <c r="CC181" s="10" t="str">
        <f aca="false">IF(D181="","",IF(AND(AN181="Approved",ISERROR(SEARCH("FAIL",BG181))),"Y","N"))</f>
        <v/>
      </c>
      <c r="CD181" s="10" t="str">
        <f aca="false">IF(D181="","",D181&amp;"|"&amp;J181&amp;"|"&amp;G181&amp;"|"&amp;CC181)</f>
        <v/>
      </c>
    </row>
    <row r="182" customFormat="false" ht="15" hidden="false" customHeight="false" outlineLevel="0" collapsed="false">
      <c r="A182" s="10" t="str">
        <f aca="false">IF(D182="","","MH-"&amp;IFERROR(VLOOKUP(D182,Lists!$AB$4:$AC$20,2,0),"??")&amp;"-"&amp;TEXT(G182,"0000")&amp;IF(F182="Circular","D","x"&amp;TEXT(H182,"0000"))&amp;"-D"&amp;TEXT(J182*1000,"0000")&amp;"-"&amp;IFERROR(VLOOKUP(E182,Lists!$AE$4:$AF$16,2,0),"??")&amp;"-"&amp;AM182)</f>
        <v/>
      </c>
      <c r="B182" s="10" t="str">
        <f aca="false">IF(D182="","",D182&amp;", "&amp;E182&amp;", "&amp;IF(F182="Circular",G182&amp;" dia",G182&amp;" x "&amp;H182)&amp;", depth "&amp;TEXT(I182,"0.0")&amp;"-"&amp;TEXT(J182,"0.0")&amp;" m, pipe up to "&amp;K182&amp;" dia")</f>
        <v/>
      </c>
      <c r="C182" s="9"/>
      <c r="D182" s="9"/>
      <c r="E182" s="9"/>
      <c r="F182" s="9"/>
      <c r="G182" s="38"/>
      <c r="H182" s="38"/>
      <c r="I182" s="42"/>
      <c r="J182" s="42"/>
      <c r="K182" s="38"/>
      <c r="L182" s="38"/>
      <c r="M182" s="38"/>
      <c r="N182" s="38"/>
      <c r="O182" s="9"/>
      <c r="P182" s="9"/>
      <c r="Q182" s="9"/>
      <c r="R182" s="9"/>
      <c r="S182" s="9"/>
      <c r="T182" s="9"/>
      <c r="U182" s="9"/>
      <c r="V182" s="42"/>
      <c r="W182" s="9"/>
      <c r="X182" s="9"/>
      <c r="Y182" s="39"/>
      <c r="Z182" s="9"/>
      <c r="AA182" s="38"/>
      <c r="AB182" s="9"/>
      <c r="AC182" s="9"/>
      <c r="AD182" s="9"/>
      <c r="AE182" s="9"/>
      <c r="AF182" s="9"/>
      <c r="AG182" s="9"/>
      <c r="AH182" s="38"/>
      <c r="AI182" s="9"/>
      <c r="AJ182" s="39"/>
      <c r="AK182" s="9"/>
      <c r="AL182" s="9"/>
      <c r="AM182" s="9"/>
      <c r="AN182" s="9"/>
      <c r="AO182" s="9"/>
      <c r="AP182" s="9"/>
      <c r="AQ182" s="9"/>
      <c r="AR182" s="10" t="str">
        <f aca="false">IF(A182="","",SG_Criteria!$B$6&amp;SG_Criteria!$B$10&amp;"\"&amp;A182&amp;"\")</f>
        <v/>
      </c>
      <c r="AS182" s="10" t="str">
        <f aca="false">IF(A182="","",A182&amp;"_CAD.dwg")</f>
        <v/>
      </c>
      <c r="AT182" s="10" t="str">
        <f aca="false">IF(A182="","",A182&amp;"_DWG.pdf")</f>
        <v/>
      </c>
      <c r="AU182" s="10" t="str">
        <f aca="false">IF(A182="","",IF(AQ182="Y",A182&amp;"_STAAD.std","n/a"))</f>
        <v/>
      </c>
      <c r="AV182" s="10" t="str">
        <f aca="false">IF(A182="","",A182&amp;"_CALC.xlsx")</f>
        <v/>
      </c>
      <c r="AW182" s="10" t="str">
        <f aca="false">IF(A182="","",A182&amp;"_CALC.pdf")</f>
        <v/>
      </c>
      <c r="AX182" s="9"/>
      <c r="AY182" s="9"/>
      <c r="AZ182" s="39"/>
      <c r="BA182" s="39"/>
      <c r="BB182" s="39"/>
      <c r="BC182" s="39"/>
      <c r="BD182" s="39"/>
      <c r="BE182" s="12" t="str">
        <f aca="false">IF(A182="","",IF(COUNTIF(Rebar_Schedule!$A$5:$A$2004,A182)=0,"",ROUND(SUMIF(Rebar_Schedule!$A$5:$A$2004,A182,Rebar_Schedule!$K$5:$K$2004),1)))</f>
        <v/>
      </c>
      <c r="BF182" s="33" t="str">
        <f aca="false">IF(A182="","",IF(BE182="","No rebar schedule yet",IF(ABS(BE182-N(BA182))/MAX(N(BA182),1)&gt;SG_Criteria!$B$55,"NOTE: register rebar differs from schedule by "&amp;TEXT(ABS(BE182-N(BA182))/MAX(N(BA182),1),"0%"),"OK")))</f>
        <v/>
      </c>
      <c r="BG182" s="33" t="str">
        <f aca="false">IF(D182="","",IF(LEN(IF(AND(Z182&lt;&gt;"",IFERROR(VALUE(MID(Z182,2,2)),0)&lt;SG_Criteria!$B$19),"FAIL: grade below C"&amp;SG_Criteria!$B$19&amp;". ","")&amp;IF(AND(AA182&lt;&gt;"",AA182&lt;SG_Criteria!$B$20),"FAIL: cover &lt; "&amp;SG_Criteria!$B$20&amp;" mm. ","")&amp;IF(AND(I182&lt;&gt;"",I182&lt;SG_Criteria!$B$39),"NOTE: min depth below PUB "&amp;SG_Criteria!$B$39&amp;" m. ","")&amp;IF(AND(LEFT(D182,8)="Standard",J182&gt;SG_Criteria!$B$42),"FAIL: PUB 001C covers manholes up to "&amp;SG_Criteria!$B$42&amp;" m deep only. ","")&amp;IF(AND(LEFT(D182,11)="Rectangular",K182&lt;SG_Criteria!$B$43),"NOTE: 004C is for sewers &gt;= "&amp;SG_Criteria!$B$43&amp;" dia. ","")&amp;IF(AND(LEFT(D182,7)="Precast",J182&lt;=SG_Criteria!$B$42),"NOTE: 006C is for manholes &gt; "&amp;SG_Criteria!$B$42&amp;" m deep. ","")&amp;IF(AND(K182&lt;&gt;"",K182&lt;SG_Criteria!$B$40,D182&lt;&gt;"Inspection Chamber"),"NOTE: public sewer min dia "&amp;SG_Criteria!$B$40&amp;" mm. ","")&amp;IF(AND(Y182&lt;&gt;"",Y182&lt;SG_Criteria!$B$44),"FAIL: uplift FOS below "&amp;SG_Criteria!$B$44&amp;". ",""))=0,"OK",IF(AND(Z182&lt;&gt;"",IFERROR(VALUE(MID(Z182,2,2)),0)&lt;SG_Criteria!$B$19),"FAIL: grade below C"&amp;SG_Criteria!$B$19&amp;". ","")&amp;IF(AND(AA182&lt;&gt;"",AA182&lt;SG_Criteria!$B$20),"FAIL: cover &lt; "&amp;SG_Criteria!$B$20&amp;" mm. ","")&amp;IF(AND(I182&lt;&gt;"",I182&lt;SG_Criteria!$B$39),"NOTE: min depth below PUB "&amp;SG_Criteria!$B$39&amp;" m. ","")&amp;IF(AND(LEFT(D182,8)="Standard",J182&gt;SG_Criteria!$B$42),"FAIL: PUB 001C covers manholes up to "&amp;SG_Criteria!$B$42&amp;" m deep only. ","")&amp;IF(AND(LEFT(D182,11)="Rectangular",K182&lt;SG_Criteria!$B$43),"NOTE: 004C is for sewers &gt;= "&amp;SG_Criteria!$B$43&amp;" dia. ","")&amp;IF(AND(LEFT(D182,7)="Precast",J182&lt;=SG_Criteria!$B$42),"NOTE: 006C is for manholes &gt; "&amp;SG_Criteria!$B$42&amp;" m deep. ","")&amp;IF(AND(K182&lt;&gt;"",K182&lt;SG_Criteria!$B$40,D182&lt;&gt;"Inspection Chamber"),"NOTE: public sewer min dia "&amp;SG_Criteria!$B$40&amp;" mm. ","")&amp;IF(AND(Y182&lt;&gt;"",Y182&lt;SG_Criteria!$B$44),"FAIL: uplift FOS below "&amp;SG_Criteria!$B$44&amp;". ","")))</f>
        <v/>
      </c>
      <c r="BH182" s="9"/>
      <c r="BI182" s="9"/>
      <c r="BJ182" s="9"/>
      <c r="BK182" s="10" t="str">
        <f aca="false">IF(BJ182="","",IFERROR(VLOOKUP(BJ182,Projects!$A$5:$D$504,2,0),"Ref not in Projects"))</f>
        <v/>
      </c>
      <c r="BL182" s="10" t="str">
        <f aca="false">IF(BJ182="","",IFERROR(VLOOKUP(BJ182,Projects!$A$5:$D$504,4,0),"Ref not in Projects"))</f>
        <v/>
      </c>
      <c r="BM182" s="9"/>
      <c r="BN182" s="9"/>
      <c r="BO182" s="9"/>
      <c r="BP182" s="40"/>
      <c r="BQ182" s="9"/>
      <c r="BR182" s="40"/>
      <c r="BS182" s="9"/>
      <c r="BT182" s="40"/>
      <c r="BU182" s="9"/>
      <c r="BV182" s="9"/>
      <c r="BW182" s="9"/>
      <c r="BX182" s="40"/>
      <c r="BY182" s="40"/>
      <c r="BZ182" s="36" t="str">
        <f aca="false">IF(BY182="","",EDATE(BY182,SG_Criteria!$B$54*12))</f>
        <v/>
      </c>
      <c r="CA182" s="33" t="str">
        <f aca="true">IF(A182="","",IF(BY182="","NOTE: not reviewed yet",IF(TODAY()&gt;BZ182,"NOTE: review overdue","OK")))</f>
        <v/>
      </c>
      <c r="CB182" s="37" t="str">
        <f aca="false">IF(A182="","",ROUND((IF(LEN(D182)&gt;0,1,0)+IF(LEN(E182)&gt;0,1,0)+IF(LEN(F182)&gt;0,1,0)+IF(LEN(G182)&gt;0,1,0)+IF(LEN(I182)&gt;0,1,0)+IF(LEN(J182)&gt;0,1,0)+IF(LEN(K182)&gt;0,1,0)+IF(LEN(L182)&gt;0,1,0)+IF(LEN(M182)&gt;0,1,0)+IF(LEN(N182)&gt;0,1,0)+IF(LEN(Z182)&gt;0,1,0)+IF(LEN(AA182)&gt;0,1,0)+IF(LEN(Y182)&gt;0,1,0)+IF(LEN(AE182)&gt;0,1,0)+IF(LEN(AG182)&gt;0,1,0)+IF(LEN(AZ182)&gt;0,1,0)+IF(LEN(AK182)&gt;0,1,0)+IF(LEN(AM182)&gt;0,1,0)+IF(LEN(AN182)&gt;0,1,0)+IF(LEN(AO182)&gt;0,1,0)+IF(LEN(AP182)&gt;0,1,0)+IF(LEN(AY182)&gt;0,1,0)+IF(LEN(BJ182)&gt;0,1,0)+IF(LEN(BW182)&gt;0,1,0))/24,2))</f>
        <v/>
      </c>
      <c r="CC182" s="10" t="str">
        <f aca="false">IF(D182="","",IF(AND(AN182="Approved",ISERROR(SEARCH("FAIL",BG182))),"Y","N"))</f>
        <v/>
      </c>
      <c r="CD182" s="10" t="str">
        <f aca="false">IF(D182="","",D182&amp;"|"&amp;J182&amp;"|"&amp;G182&amp;"|"&amp;CC182)</f>
        <v/>
      </c>
    </row>
    <row r="183" customFormat="false" ht="15" hidden="false" customHeight="false" outlineLevel="0" collapsed="false">
      <c r="A183" s="10" t="str">
        <f aca="false">IF(D183="","","MH-"&amp;IFERROR(VLOOKUP(D183,Lists!$AB$4:$AC$20,2,0),"??")&amp;"-"&amp;TEXT(G183,"0000")&amp;IF(F183="Circular","D","x"&amp;TEXT(H183,"0000"))&amp;"-D"&amp;TEXT(J183*1000,"0000")&amp;"-"&amp;IFERROR(VLOOKUP(E183,Lists!$AE$4:$AF$16,2,0),"??")&amp;"-"&amp;AM183)</f>
        <v/>
      </c>
      <c r="B183" s="10" t="str">
        <f aca="false">IF(D183="","",D183&amp;", "&amp;E183&amp;", "&amp;IF(F183="Circular",G183&amp;" dia",G183&amp;" x "&amp;H183)&amp;", depth "&amp;TEXT(I183,"0.0")&amp;"-"&amp;TEXT(J183,"0.0")&amp;" m, pipe up to "&amp;K183&amp;" dia")</f>
        <v/>
      </c>
      <c r="C183" s="9"/>
      <c r="D183" s="9"/>
      <c r="E183" s="9"/>
      <c r="F183" s="9"/>
      <c r="G183" s="38"/>
      <c r="H183" s="38"/>
      <c r="I183" s="42"/>
      <c r="J183" s="42"/>
      <c r="K183" s="38"/>
      <c r="L183" s="38"/>
      <c r="M183" s="38"/>
      <c r="N183" s="38"/>
      <c r="O183" s="9"/>
      <c r="P183" s="9"/>
      <c r="Q183" s="9"/>
      <c r="R183" s="9"/>
      <c r="S183" s="9"/>
      <c r="T183" s="9"/>
      <c r="U183" s="9"/>
      <c r="V183" s="42"/>
      <c r="W183" s="9"/>
      <c r="X183" s="9"/>
      <c r="Y183" s="39"/>
      <c r="Z183" s="9"/>
      <c r="AA183" s="38"/>
      <c r="AB183" s="9"/>
      <c r="AC183" s="9"/>
      <c r="AD183" s="9"/>
      <c r="AE183" s="9"/>
      <c r="AF183" s="9"/>
      <c r="AG183" s="9"/>
      <c r="AH183" s="38"/>
      <c r="AI183" s="9"/>
      <c r="AJ183" s="39"/>
      <c r="AK183" s="9"/>
      <c r="AL183" s="9"/>
      <c r="AM183" s="9"/>
      <c r="AN183" s="9"/>
      <c r="AO183" s="9"/>
      <c r="AP183" s="9"/>
      <c r="AQ183" s="9"/>
      <c r="AR183" s="10" t="str">
        <f aca="false">IF(A183="","",SG_Criteria!$B$6&amp;SG_Criteria!$B$10&amp;"\"&amp;A183&amp;"\")</f>
        <v/>
      </c>
      <c r="AS183" s="10" t="str">
        <f aca="false">IF(A183="","",A183&amp;"_CAD.dwg")</f>
        <v/>
      </c>
      <c r="AT183" s="10" t="str">
        <f aca="false">IF(A183="","",A183&amp;"_DWG.pdf")</f>
        <v/>
      </c>
      <c r="AU183" s="10" t="str">
        <f aca="false">IF(A183="","",IF(AQ183="Y",A183&amp;"_STAAD.std","n/a"))</f>
        <v/>
      </c>
      <c r="AV183" s="10" t="str">
        <f aca="false">IF(A183="","",A183&amp;"_CALC.xlsx")</f>
        <v/>
      </c>
      <c r="AW183" s="10" t="str">
        <f aca="false">IF(A183="","",A183&amp;"_CALC.pdf")</f>
        <v/>
      </c>
      <c r="AX183" s="9"/>
      <c r="AY183" s="9"/>
      <c r="AZ183" s="39"/>
      <c r="BA183" s="39"/>
      <c r="BB183" s="39"/>
      <c r="BC183" s="39"/>
      <c r="BD183" s="39"/>
      <c r="BE183" s="12" t="str">
        <f aca="false">IF(A183="","",IF(COUNTIF(Rebar_Schedule!$A$5:$A$2004,A183)=0,"",ROUND(SUMIF(Rebar_Schedule!$A$5:$A$2004,A183,Rebar_Schedule!$K$5:$K$2004),1)))</f>
        <v/>
      </c>
      <c r="BF183" s="33" t="str">
        <f aca="false">IF(A183="","",IF(BE183="","No rebar schedule yet",IF(ABS(BE183-N(BA183))/MAX(N(BA183),1)&gt;SG_Criteria!$B$55,"NOTE: register rebar differs from schedule by "&amp;TEXT(ABS(BE183-N(BA183))/MAX(N(BA183),1),"0%"),"OK")))</f>
        <v/>
      </c>
      <c r="BG183" s="33" t="str">
        <f aca="false">IF(D183="","",IF(LEN(IF(AND(Z183&lt;&gt;"",IFERROR(VALUE(MID(Z183,2,2)),0)&lt;SG_Criteria!$B$19),"FAIL: grade below C"&amp;SG_Criteria!$B$19&amp;". ","")&amp;IF(AND(AA183&lt;&gt;"",AA183&lt;SG_Criteria!$B$20),"FAIL: cover &lt; "&amp;SG_Criteria!$B$20&amp;" mm. ","")&amp;IF(AND(I183&lt;&gt;"",I183&lt;SG_Criteria!$B$39),"NOTE: min depth below PUB "&amp;SG_Criteria!$B$39&amp;" m. ","")&amp;IF(AND(LEFT(D183,8)="Standard",J183&gt;SG_Criteria!$B$42),"FAIL: PUB 001C covers manholes up to "&amp;SG_Criteria!$B$42&amp;" m deep only. ","")&amp;IF(AND(LEFT(D183,11)="Rectangular",K183&lt;SG_Criteria!$B$43),"NOTE: 004C is for sewers &gt;= "&amp;SG_Criteria!$B$43&amp;" dia. ","")&amp;IF(AND(LEFT(D183,7)="Precast",J183&lt;=SG_Criteria!$B$42),"NOTE: 006C is for manholes &gt; "&amp;SG_Criteria!$B$42&amp;" m deep. ","")&amp;IF(AND(K183&lt;&gt;"",K183&lt;SG_Criteria!$B$40,D183&lt;&gt;"Inspection Chamber"),"NOTE: public sewer min dia "&amp;SG_Criteria!$B$40&amp;" mm. ","")&amp;IF(AND(Y183&lt;&gt;"",Y183&lt;SG_Criteria!$B$44),"FAIL: uplift FOS below "&amp;SG_Criteria!$B$44&amp;". ",""))=0,"OK",IF(AND(Z183&lt;&gt;"",IFERROR(VALUE(MID(Z183,2,2)),0)&lt;SG_Criteria!$B$19),"FAIL: grade below C"&amp;SG_Criteria!$B$19&amp;". ","")&amp;IF(AND(AA183&lt;&gt;"",AA183&lt;SG_Criteria!$B$20),"FAIL: cover &lt; "&amp;SG_Criteria!$B$20&amp;" mm. ","")&amp;IF(AND(I183&lt;&gt;"",I183&lt;SG_Criteria!$B$39),"NOTE: min depth below PUB "&amp;SG_Criteria!$B$39&amp;" m. ","")&amp;IF(AND(LEFT(D183,8)="Standard",J183&gt;SG_Criteria!$B$42),"FAIL: PUB 001C covers manholes up to "&amp;SG_Criteria!$B$42&amp;" m deep only. ","")&amp;IF(AND(LEFT(D183,11)="Rectangular",K183&lt;SG_Criteria!$B$43),"NOTE: 004C is for sewers &gt;= "&amp;SG_Criteria!$B$43&amp;" dia. ","")&amp;IF(AND(LEFT(D183,7)="Precast",J183&lt;=SG_Criteria!$B$42),"NOTE: 006C is for manholes &gt; "&amp;SG_Criteria!$B$42&amp;" m deep. ","")&amp;IF(AND(K183&lt;&gt;"",K183&lt;SG_Criteria!$B$40,D183&lt;&gt;"Inspection Chamber"),"NOTE: public sewer min dia "&amp;SG_Criteria!$B$40&amp;" mm. ","")&amp;IF(AND(Y183&lt;&gt;"",Y183&lt;SG_Criteria!$B$44),"FAIL: uplift FOS below "&amp;SG_Criteria!$B$44&amp;". ","")))</f>
        <v/>
      </c>
      <c r="BH183" s="9"/>
      <c r="BI183" s="9"/>
      <c r="BJ183" s="9"/>
      <c r="BK183" s="10" t="str">
        <f aca="false">IF(BJ183="","",IFERROR(VLOOKUP(BJ183,Projects!$A$5:$D$504,2,0),"Ref not in Projects"))</f>
        <v/>
      </c>
      <c r="BL183" s="10" t="str">
        <f aca="false">IF(BJ183="","",IFERROR(VLOOKUP(BJ183,Projects!$A$5:$D$504,4,0),"Ref not in Projects"))</f>
        <v/>
      </c>
      <c r="BM183" s="9"/>
      <c r="BN183" s="9"/>
      <c r="BO183" s="9"/>
      <c r="BP183" s="40"/>
      <c r="BQ183" s="9"/>
      <c r="BR183" s="40"/>
      <c r="BS183" s="9"/>
      <c r="BT183" s="40"/>
      <c r="BU183" s="9"/>
      <c r="BV183" s="9"/>
      <c r="BW183" s="9"/>
      <c r="BX183" s="40"/>
      <c r="BY183" s="40"/>
      <c r="BZ183" s="36" t="str">
        <f aca="false">IF(BY183="","",EDATE(BY183,SG_Criteria!$B$54*12))</f>
        <v/>
      </c>
      <c r="CA183" s="33" t="str">
        <f aca="true">IF(A183="","",IF(BY183="","NOTE: not reviewed yet",IF(TODAY()&gt;BZ183,"NOTE: review overdue","OK")))</f>
        <v/>
      </c>
      <c r="CB183" s="37" t="str">
        <f aca="false">IF(A183="","",ROUND((IF(LEN(D183)&gt;0,1,0)+IF(LEN(E183)&gt;0,1,0)+IF(LEN(F183)&gt;0,1,0)+IF(LEN(G183)&gt;0,1,0)+IF(LEN(I183)&gt;0,1,0)+IF(LEN(J183)&gt;0,1,0)+IF(LEN(K183)&gt;0,1,0)+IF(LEN(L183)&gt;0,1,0)+IF(LEN(M183)&gt;0,1,0)+IF(LEN(N183)&gt;0,1,0)+IF(LEN(Z183)&gt;0,1,0)+IF(LEN(AA183)&gt;0,1,0)+IF(LEN(Y183)&gt;0,1,0)+IF(LEN(AE183)&gt;0,1,0)+IF(LEN(AG183)&gt;0,1,0)+IF(LEN(AZ183)&gt;0,1,0)+IF(LEN(AK183)&gt;0,1,0)+IF(LEN(AM183)&gt;0,1,0)+IF(LEN(AN183)&gt;0,1,0)+IF(LEN(AO183)&gt;0,1,0)+IF(LEN(AP183)&gt;0,1,0)+IF(LEN(AY183)&gt;0,1,0)+IF(LEN(BJ183)&gt;0,1,0)+IF(LEN(BW183)&gt;0,1,0))/24,2))</f>
        <v/>
      </c>
      <c r="CC183" s="10" t="str">
        <f aca="false">IF(D183="","",IF(AND(AN183="Approved",ISERROR(SEARCH("FAIL",BG183))),"Y","N"))</f>
        <v/>
      </c>
      <c r="CD183" s="10" t="str">
        <f aca="false">IF(D183="","",D183&amp;"|"&amp;J183&amp;"|"&amp;G183&amp;"|"&amp;CC183)</f>
        <v/>
      </c>
    </row>
    <row r="184" customFormat="false" ht="15" hidden="false" customHeight="false" outlineLevel="0" collapsed="false">
      <c r="A184" s="10" t="str">
        <f aca="false">IF(D184="","","MH-"&amp;IFERROR(VLOOKUP(D184,Lists!$AB$4:$AC$20,2,0),"??")&amp;"-"&amp;TEXT(G184,"0000")&amp;IF(F184="Circular","D","x"&amp;TEXT(H184,"0000"))&amp;"-D"&amp;TEXT(J184*1000,"0000")&amp;"-"&amp;IFERROR(VLOOKUP(E184,Lists!$AE$4:$AF$16,2,0),"??")&amp;"-"&amp;AM184)</f>
        <v/>
      </c>
      <c r="B184" s="10" t="str">
        <f aca="false">IF(D184="","",D184&amp;", "&amp;E184&amp;", "&amp;IF(F184="Circular",G184&amp;" dia",G184&amp;" x "&amp;H184)&amp;", depth "&amp;TEXT(I184,"0.0")&amp;"-"&amp;TEXT(J184,"0.0")&amp;" m, pipe up to "&amp;K184&amp;" dia")</f>
        <v/>
      </c>
      <c r="C184" s="9"/>
      <c r="D184" s="9"/>
      <c r="E184" s="9"/>
      <c r="F184" s="9"/>
      <c r="G184" s="38"/>
      <c r="H184" s="38"/>
      <c r="I184" s="42"/>
      <c r="J184" s="42"/>
      <c r="K184" s="38"/>
      <c r="L184" s="38"/>
      <c r="M184" s="38"/>
      <c r="N184" s="38"/>
      <c r="O184" s="9"/>
      <c r="P184" s="9"/>
      <c r="Q184" s="9"/>
      <c r="R184" s="9"/>
      <c r="S184" s="9"/>
      <c r="T184" s="9"/>
      <c r="U184" s="9"/>
      <c r="V184" s="42"/>
      <c r="W184" s="9"/>
      <c r="X184" s="9"/>
      <c r="Y184" s="39"/>
      <c r="Z184" s="9"/>
      <c r="AA184" s="38"/>
      <c r="AB184" s="9"/>
      <c r="AC184" s="9"/>
      <c r="AD184" s="9"/>
      <c r="AE184" s="9"/>
      <c r="AF184" s="9"/>
      <c r="AG184" s="9"/>
      <c r="AH184" s="38"/>
      <c r="AI184" s="9"/>
      <c r="AJ184" s="39"/>
      <c r="AK184" s="9"/>
      <c r="AL184" s="9"/>
      <c r="AM184" s="9"/>
      <c r="AN184" s="9"/>
      <c r="AO184" s="9"/>
      <c r="AP184" s="9"/>
      <c r="AQ184" s="9"/>
      <c r="AR184" s="10" t="str">
        <f aca="false">IF(A184="","",SG_Criteria!$B$6&amp;SG_Criteria!$B$10&amp;"\"&amp;A184&amp;"\")</f>
        <v/>
      </c>
      <c r="AS184" s="10" t="str">
        <f aca="false">IF(A184="","",A184&amp;"_CAD.dwg")</f>
        <v/>
      </c>
      <c r="AT184" s="10" t="str">
        <f aca="false">IF(A184="","",A184&amp;"_DWG.pdf")</f>
        <v/>
      </c>
      <c r="AU184" s="10" t="str">
        <f aca="false">IF(A184="","",IF(AQ184="Y",A184&amp;"_STAAD.std","n/a"))</f>
        <v/>
      </c>
      <c r="AV184" s="10" t="str">
        <f aca="false">IF(A184="","",A184&amp;"_CALC.xlsx")</f>
        <v/>
      </c>
      <c r="AW184" s="10" t="str">
        <f aca="false">IF(A184="","",A184&amp;"_CALC.pdf")</f>
        <v/>
      </c>
      <c r="AX184" s="9"/>
      <c r="AY184" s="9"/>
      <c r="AZ184" s="39"/>
      <c r="BA184" s="39"/>
      <c r="BB184" s="39"/>
      <c r="BC184" s="39"/>
      <c r="BD184" s="39"/>
      <c r="BE184" s="12" t="str">
        <f aca="false">IF(A184="","",IF(COUNTIF(Rebar_Schedule!$A$5:$A$2004,A184)=0,"",ROUND(SUMIF(Rebar_Schedule!$A$5:$A$2004,A184,Rebar_Schedule!$K$5:$K$2004),1)))</f>
        <v/>
      </c>
      <c r="BF184" s="33" t="str">
        <f aca="false">IF(A184="","",IF(BE184="","No rebar schedule yet",IF(ABS(BE184-N(BA184))/MAX(N(BA184),1)&gt;SG_Criteria!$B$55,"NOTE: register rebar differs from schedule by "&amp;TEXT(ABS(BE184-N(BA184))/MAX(N(BA184),1),"0%"),"OK")))</f>
        <v/>
      </c>
      <c r="BG184" s="33" t="str">
        <f aca="false">IF(D184="","",IF(LEN(IF(AND(Z184&lt;&gt;"",IFERROR(VALUE(MID(Z184,2,2)),0)&lt;SG_Criteria!$B$19),"FAIL: grade below C"&amp;SG_Criteria!$B$19&amp;". ","")&amp;IF(AND(AA184&lt;&gt;"",AA184&lt;SG_Criteria!$B$20),"FAIL: cover &lt; "&amp;SG_Criteria!$B$20&amp;" mm. ","")&amp;IF(AND(I184&lt;&gt;"",I184&lt;SG_Criteria!$B$39),"NOTE: min depth below PUB "&amp;SG_Criteria!$B$39&amp;" m. ","")&amp;IF(AND(LEFT(D184,8)="Standard",J184&gt;SG_Criteria!$B$42),"FAIL: PUB 001C covers manholes up to "&amp;SG_Criteria!$B$42&amp;" m deep only. ","")&amp;IF(AND(LEFT(D184,11)="Rectangular",K184&lt;SG_Criteria!$B$43),"NOTE: 004C is for sewers &gt;= "&amp;SG_Criteria!$B$43&amp;" dia. ","")&amp;IF(AND(LEFT(D184,7)="Precast",J184&lt;=SG_Criteria!$B$42),"NOTE: 006C is for manholes &gt; "&amp;SG_Criteria!$B$42&amp;" m deep. ","")&amp;IF(AND(K184&lt;&gt;"",K184&lt;SG_Criteria!$B$40,D184&lt;&gt;"Inspection Chamber"),"NOTE: public sewer min dia "&amp;SG_Criteria!$B$40&amp;" mm. ","")&amp;IF(AND(Y184&lt;&gt;"",Y184&lt;SG_Criteria!$B$44),"FAIL: uplift FOS below "&amp;SG_Criteria!$B$44&amp;". ",""))=0,"OK",IF(AND(Z184&lt;&gt;"",IFERROR(VALUE(MID(Z184,2,2)),0)&lt;SG_Criteria!$B$19),"FAIL: grade below C"&amp;SG_Criteria!$B$19&amp;". ","")&amp;IF(AND(AA184&lt;&gt;"",AA184&lt;SG_Criteria!$B$20),"FAIL: cover &lt; "&amp;SG_Criteria!$B$20&amp;" mm. ","")&amp;IF(AND(I184&lt;&gt;"",I184&lt;SG_Criteria!$B$39),"NOTE: min depth below PUB "&amp;SG_Criteria!$B$39&amp;" m. ","")&amp;IF(AND(LEFT(D184,8)="Standard",J184&gt;SG_Criteria!$B$42),"FAIL: PUB 001C covers manholes up to "&amp;SG_Criteria!$B$42&amp;" m deep only. ","")&amp;IF(AND(LEFT(D184,11)="Rectangular",K184&lt;SG_Criteria!$B$43),"NOTE: 004C is for sewers &gt;= "&amp;SG_Criteria!$B$43&amp;" dia. ","")&amp;IF(AND(LEFT(D184,7)="Precast",J184&lt;=SG_Criteria!$B$42),"NOTE: 006C is for manholes &gt; "&amp;SG_Criteria!$B$42&amp;" m deep. ","")&amp;IF(AND(K184&lt;&gt;"",K184&lt;SG_Criteria!$B$40,D184&lt;&gt;"Inspection Chamber"),"NOTE: public sewer min dia "&amp;SG_Criteria!$B$40&amp;" mm. ","")&amp;IF(AND(Y184&lt;&gt;"",Y184&lt;SG_Criteria!$B$44),"FAIL: uplift FOS below "&amp;SG_Criteria!$B$44&amp;". ","")))</f>
        <v/>
      </c>
      <c r="BH184" s="9"/>
      <c r="BI184" s="9"/>
      <c r="BJ184" s="9"/>
      <c r="BK184" s="10" t="str">
        <f aca="false">IF(BJ184="","",IFERROR(VLOOKUP(BJ184,Projects!$A$5:$D$504,2,0),"Ref not in Projects"))</f>
        <v/>
      </c>
      <c r="BL184" s="10" t="str">
        <f aca="false">IF(BJ184="","",IFERROR(VLOOKUP(BJ184,Projects!$A$5:$D$504,4,0),"Ref not in Projects"))</f>
        <v/>
      </c>
      <c r="BM184" s="9"/>
      <c r="BN184" s="9"/>
      <c r="BO184" s="9"/>
      <c r="BP184" s="40"/>
      <c r="BQ184" s="9"/>
      <c r="BR184" s="40"/>
      <c r="BS184" s="9"/>
      <c r="BT184" s="40"/>
      <c r="BU184" s="9"/>
      <c r="BV184" s="9"/>
      <c r="BW184" s="9"/>
      <c r="BX184" s="40"/>
      <c r="BY184" s="40"/>
      <c r="BZ184" s="36" t="str">
        <f aca="false">IF(BY184="","",EDATE(BY184,SG_Criteria!$B$54*12))</f>
        <v/>
      </c>
      <c r="CA184" s="33" t="str">
        <f aca="true">IF(A184="","",IF(BY184="","NOTE: not reviewed yet",IF(TODAY()&gt;BZ184,"NOTE: review overdue","OK")))</f>
        <v/>
      </c>
      <c r="CB184" s="37" t="str">
        <f aca="false">IF(A184="","",ROUND((IF(LEN(D184)&gt;0,1,0)+IF(LEN(E184)&gt;0,1,0)+IF(LEN(F184)&gt;0,1,0)+IF(LEN(G184)&gt;0,1,0)+IF(LEN(I184)&gt;0,1,0)+IF(LEN(J184)&gt;0,1,0)+IF(LEN(K184)&gt;0,1,0)+IF(LEN(L184)&gt;0,1,0)+IF(LEN(M184)&gt;0,1,0)+IF(LEN(N184)&gt;0,1,0)+IF(LEN(Z184)&gt;0,1,0)+IF(LEN(AA184)&gt;0,1,0)+IF(LEN(Y184)&gt;0,1,0)+IF(LEN(AE184)&gt;0,1,0)+IF(LEN(AG184)&gt;0,1,0)+IF(LEN(AZ184)&gt;0,1,0)+IF(LEN(AK184)&gt;0,1,0)+IF(LEN(AM184)&gt;0,1,0)+IF(LEN(AN184)&gt;0,1,0)+IF(LEN(AO184)&gt;0,1,0)+IF(LEN(AP184)&gt;0,1,0)+IF(LEN(AY184)&gt;0,1,0)+IF(LEN(BJ184)&gt;0,1,0)+IF(LEN(BW184)&gt;0,1,0))/24,2))</f>
        <v/>
      </c>
      <c r="CC184" s="10" t="str">
        <f aca="false">IF(D184="","",IF(AND(AN184="Approved",ISERROR(SEARCH("FAIL",BG184))),"Y","N"))</f>
        <v/>
      </c>
      <c r="CD184" s="10" t="str">
        <f aca="false">IF(D184="","",D184&amp;"|"&amp;J184&amp;"|"&amp;G184&amp;"|"&amp;CC184)</f>
        <v/>
      </c>
    </row>
    <row r="185" customFormat="false" ht="15" hidden="false" customHeight="false" outlineLevel="0" collapsed="false">
      <c r="A185" s="10" t="str">
        <f aca="false">IF(D185="","","MH-"&amp;IFERROR(VLOOKUP(D185,Lists!$AB$4:$AC$20,2,0),"??")&amp;"-"&amp;TEXT(G185,"0000")&amp;IF(F185="Circular","D","x"&amp;TEXT(H185,"0000"))&amp;"-D"&amp;TEXT(J185*1000,"0000")&amp;"-"&amp;IFERROR(VLOOKUP(E185,Lists!$AE$4:$AF$16,2,0),"??")&amp;"-"&amp;AM185)</f>
        <v/>
      </c>
      <c r="B185" s="10" t="str">
        <f aca="false">IF(D185="","",D185&amp;", "&amp;E185&amp;", "&amp;IF(F185="Circular",G185&amp;" dia",G185&amp;" x "&amp;H185)&amp;", depth "&amp;TEXT(I185,"0.0")&amp;"-"&amp;TEXT(J185,"0.0")&amp;" m, pipe up to "&amp;K185&amp;" dia")</f>
        <v/>
      </c>
      <c r="C185" s="9"/>
      <c r="D185" s="9"/>
      <c r="E185" s="9"/>
      <c r="F185" s="9"/>
      <c r="G185" s="38"/>
      <c r="H185" s="38"/>
      <c r="I185" s="42"/>
      <c r="J185" s="42"/>
      <c r="K185" s="38"/>
      <c r="L185" s="38"/>
      <c r="M185" s="38"/>
      <c r="N185" s="38"/>
      <c r="O185" s="9"/>
      <c r="P185" s="9"/>
      <c r="Q185" s="9"/>
      <c r="R185" s="9"/>
      <c r="S185" s="9"/>
      <c r="T185" s="9"/>
      <c r="U185" s="9"/>
      <c r="V185" s="42"/>
      <c r="W185" s="9"/>
      <c r="X185" s="9"/>
      <c r="Y185" s="39"/>
      <c r="Z185" s="9"/>
      <c r="AA185" s="38"/>
      <c r="AB185" s="9"/>
      <c r="AC185" s="9"/>
      <c r="AD185" s="9"/>
      <c r="AE185" s="9"/>
      <c r="AF185" s="9"/>
      <c r="AG185" s="9"/>
      <c r="AH185" s="38"/>
      <c r="AI185" s="9"/>
      <c r="AJ185" s="39"/>
      <c r="AK185" s="9"/>
      <c r="AL185" s="9"/>
      <c r="AM185" s="9"/>
      <c r="AN185" s="9"/>
      <c r="AO185" s="9"/>
      <c r="AP185" s="9"/>
      <c r="AQ185" s="9"/>
      <c r="AR185" s="10" t="str">
        <f aca="false">IF(A185="","",SG_Criteria!$B$6&amp;SG_Criteria!$B$10&amp;"\"&amp;A185&amp;"\")</f>
        <v/>
      </c>
      <c r="AS185" s="10" t="str">
        <f aca="false">IF(A185="","",A185&amp;"_CAD.dwg")</f>
        <v/>
      </c>
      <c r="AT185" s="10" t="str">
        <f aca="false">IF(A185="","",A185&amp;"_DWG.pdf")</f>
        <v/>
      </c>
      <c r="AU185" s="10" t="str">
        <f aca="false">IF(A185="","",IF(AQ185="Y",A185&amp;"_STAAD.std","n/a"))</f>
        <v/>
      </c>
      <c r="AV185" s="10" t="str">
        <f aca="false">IF(A185="","",A185&amp;"_CALC.xlsx")</f>
        <v/>
      </c>
      <c r="AW185" s="10" t="str">
        <f aca="false">IF(A185="","",A185&amp;"_CALC.pdf")</f>
        <v/>
      </c>
      <c r="AX185" s="9"/>
      <c r="AY185" s="9"/>
      <c r="AZ185" s="39"/>
      <c r="BA185" s="39"/>
      <c r="BB185" s="39"/>
      <c r="BC185" s="39"/>
      <c r="BD185" s="39"/>
      <c r="BE185" s="12" t="str">
        <f aca="false">IF(A185="","",IF(COUNTIF(Rebar_Schedule!$A$5:$A$2004,A185)=0,"",ROUND(SUMIF(Rebar_Schedule!$A$5:$A$2004,A185,Rebar_Schedule!$K$5:$K$2004),1)))</f>
        <v/>
      </c>
      <c r="BF185" s="33" t="str">
        <f aca="false">IF(A185="","",IF(BE185="","No rebar schedule yet",IF(ABS(BE185-N(BA185))/MAX(N(BA185),1)&gt;SG_Criteria!$B$55,"NOTE: register rebar differs from schedule by "&amp;TEXT(ABS(BE185-N(BA185))/MAX(N(BA185),1),"0%"),"OK")))</f>
        <v/>
      </c>
      <c r="BG185" s="33" t="str">
        <f aca="false">IF(D185="","",IF(LEN(IF(AND(Z185&lt;&gt;"",IFERROR(VALUE(MID(Z185,2,2)),0)&lt;SG_Criteria!$B$19),"FAIL: grade below C"&amp;SG_Criteria!$B$19&amp;". ","")&amp;IF(AND(AA185&lt;&gt;"",AA185&lt;SG_Criteria!$B$20),"FAIL: cover &lt; "&amp;SG_Criteria!$B$20&amp;" mm. ","")&amp;IF(AND(I185&lt;&gt;"",I185&lt;SG_Criteria!$B$39),"NOTE: min depth below PUB "&amp;SG_Criteria!$B$39&amp;" m. ","")&amp;IF(AND(LEFT(D185,8)="Standard",J185&gt;SG_Criteria!$B$42),"FAIL: PUB 001C covers manholes up to "&amp;SG_Criteria!$B$42&amp;" m deep only. ","")&amp;IF(AND(LEFT(D185,11)="Rectangular",K185&lt;SG_Criteria!$B$43),"NOTE: 004C is for sewers &gt;= "&amp;SG_Criteria!$B$43&amp;" dia. ","")&amp;IF(AND(LEFT(D185,7)="Precast",J185&lt;=SG_Criteria!$B$42),"NOTE: 006C is for manholes &gt; "&amp;SG_Criteria!$B$42&amp;" m deep. ","")&amp;IF(AND(K185&lt;&gt;"",K185&lt;SG_Criteria!$B$40,D185&lt;&gt;"Inspection Chamber"),"NOTE: public sewer min dia "&amp;SG_Criteria!$B$40&amp;" mm. ","")&amp;IF(AND(Y185&lt;&gt;"",Y185&lt;SG_Criteria!$B$44),"FAIL: uplift FOS below "&amp;SG_Criteria!$B$44&amp;". ",""))=0,"OK",IF(AND(Z185&lt;&gt;"",IFERROR(VALUE(MID(Z185,2,2)),0)&lt;SG_Criteria!$B$19),"FAIL: grade below C"&amp;SG_Criteria!$B$19&amp;". ","")&amp;IF(AND(AA185&lt;&gt;"",AA185&lt;SG_Criteria!$B$20),"FAIL: cover &lt; "&amp;SG_Criteria!$B$20&amp;" mm. ","")&amp;IF(AND(I185&lt;&gt;"",I185&lt;SG_Criteria!$B$39),"NOTE: min depth below PUB "&amp;SG_Criteria!$B$39&amp;" m. ","")&amp;IF(AND(LEFT(D185,8)="Standard",J185&gt;SG_Criteria!$B$42),"FAIL: PUB 001C covers manholes up to "&amp;SG_Criteria!$B$42&amp;" m deep only. ","")&amp;IF(AND(LEFT(D185,11)="Rectangular",K185&lt;SG_Criteria!$B$43),"NOTE: 004C is for sewers &gt;= "&amp;SG_Criteria!$B$43&amp;" dia. ","")&amp;IF(AND(LEFT(D185,7)="Precast",J185&lt;=SG_Criteria!$B$42),"NOTE: 006C is for manholes &gt; "&amp;SG_Criteria!$B$42&amp;" m deep. ","")&amp;IF(AND(K185&lt;&gt;"",K185&lt;SG_Criteria!$B$40,D185&lt;&gt;"Inspection Chamber"),"NOTE: public sewer min dia "&amp;SG_Criteria!$B$40&amp;" mm. ","")&amp;IF(AND(Y185&lt;&gt;"",Y185&lt;SG_Criteria!$B$44),"FAIL: uplift FOS below "&amp;SG_Criteria!$B$44&amp;". ","")))</f>
        <v/>
      </c>
      <c r="BH185" s="9"/>
      <c r="BI185" s="9"/>
      <c r="BJ185" s="9"/>
      <c r="BK185" s="10" t="str">
        <f aca="false">IF(BJ185="","",IFERROR(VLOOKUP(BJ185,Projects!$A$5:$D$504,2,0),"Ref not in Projects"))</f>
        <v/>
      </c>
      <c r="BL185" s="10" t="str">
        <f aca="false">IF(BJ185="","",IFERROR(VLOOKUP(BJ185,Projects!$A$5:$D$504,4,0),"Ref not in Projects"))</f>
        <v/>
      </c>
      <c r="BM185" s="9"/>
      <c r="BN185" s="9"/>
      <c r="BO185" s="9"/>
      <c r="BP185" s="40"/>
      <c r="BQ185" s="9"/>
      <c r="BR185" s="40"/>
      <c r="BS185" s="9"/>
      <c r="BT185" s="40"/>
      <c r="BU185" s="9"/>
      <c r="BV185" s="9"/>
      <c r="BW185" s="9"/>
      <c r="BX185" s="40"/>
      <c r="BY185" s="40"/>
      <c r="BZ185" s="36" t="str">
        <f aca="false">IF(BY185="","",EDATE(BY185,SG_Criteria!$B$54*12))</f>
        <v/>
      </c>
      <c r="CA185" s="33" t="str">
        <f aca="true">IF(A185="","",IF(BY185="","NOTE: not reviewed yet",IF(TODAY()&gt;BZ185,"NOTE: review overdue","OK")))</f>
        <v/>
      </c>
      <c r="CB185" s="37" t="str">
        <f aca="false">IF(A185="","",ROUND((IF(LEN(D185)&gt;0,1,0)+IF(LEN(E185)&gt;0,1,0)+IF(LEN(F185)&gt;0,1,0)+IF(LEN(G185)&gt;0,1,0)+IF(LEN(I185)&gt;0,1,0)+IF(LEN(J185)&gt;0,1,0)+IF(LEN(K185)&gt;0,1,0)+IF(LEN(L185)&gt;0,1,0)+IF(LEN(M185)&gt;0,1,0)+IF(LEN(N185)&gt;0,1,0)+IF(LEN(Z185)&gt;0,1,0)+IF(LEN(AA185)&gt;0,1,0)+IF(LEN(Y185)&gt;0,1,0)+IF(LEN(AE185)&gt;0,1,0)+IF(LEN(AG185)&gt;0,1,0)+IF(LEN(AZ185)&gt;0,1,0)+IF(LEN(AK185)&gt;0,1,0)+IF(LEN(AM185)&gt;0,1,0)+IF(LEN(AN185)&gt;0,1,0)+IF(LEN(AO185)&gt;0,1,0)+IF(LEN(AP185)&gt;0,1,0)+IF(LEN(AY185)&gt;0,1,0)+IF(LEN(BJ185)&gt;0,1,0)+IF(LEN(BW185)&gt;0,1,0))/24,2))</f>
        <v/>
      </c>
      <c r="CC185" s="10" t="str">
        <f aca="false">IF(D185="","",IF(AND(AN185="Approved",ISERROR(SEARCH("FAIL",BG185))),"Y","N"))</f>
        <v/>
      </c>
      <c r="CD185" s="10" t="str">
        <f aca="false">IF(D185="","",D185&amp;"|"&amp;J185&amp;"|"&amp;G185&amp;"|"&amp;CC185)</f>
        <v/>
      </c>
    </row>
    <row r="186" customFormat="false" ht="15" hidden="false" customHeight="false" outlineLevel="0" collapsed="false">
      <c r="A186" s="10" t="str">
        <f aca="false">IF(D186="","","MH-"&amp;IFERROR(VLOOKUP(D186,Lists!$AB$4:$AC$20,2,0),"??")&amp;"-"&amp;TEXT(G186,"0000")&amp;IF(F186="Circular","D","x"&amp;TEXT(H186,"0000"))&amp;"-D"&amp;TEXT(J186*1000,"0000")&amp;"-"&amp;IFERROR(VLOOKUP(E186,Lists!$AE$4:$AF$16,2,0),"??")&amp;"-"&amp;AM186)</f>
        <v/>
      </c>
      <c r="B186" s="10" t="str">
        <f aca="false">IF(D186="","",D186&amp;", "&amp;E186&amp;", "&amp;IF(F186="Circular",G186&amp;" dia",G186&amp;" x "&amp;H186)&amp;", depth "&amp;TEXT(I186,"0.0")&amp;"-"&amp;TEXT(J186,"0.0")&amp;" m, pipe up to "&amp;K186&amp;" dia")</f>
        <v/>
      </c>
      <c r="C186" s="9"/>
      <c r="D186" s="9"/>
      <c r="E186" s="9"/>
      <c r="F186" s="9"/>
      <c r="G186" s="38"/>
      <c r="H186" s="38"/>
      <c r="I186" s="42"/>
      <c r="J186" s="42"/>
      <c r="K186" s="38"/>
      <c r="L186" s="38"/>
      <c r="M186" s="38"/>
      <c r="N186" s="38"/>
      <c r="O186" s="9"/>
      <c r="P186" s="9"/>
      <c r="Q186" s="9"/>
      <c r="R186" s="9"/>
      <c r="S186" s="9"/>
      <c r="T186" s="9"/>
      <c r="U186" s="9"/>
      <c r="V186" s="42"/>
      <c r="W186" s="9"/>
      <c r="X186" s="9"/>
      <c r="Y186" s="39"/>
      <c r="Z186" s="9"/>
      <c r="AA186" s="38"/>
      <c r="AB186" s="9"/>
      <c r="AC186" s="9"/>
      <c r="AD186" s="9"/>
      <c r="AE186" s="9"/>
      <c r="AF186" s="9"/>
      <c r="AG186" s="9"/>
      <c r="AH186" s="38"/>
      <c r="AI186" s="9"/>
      <c r="AJ186" s="39"/>
      <c r="AK186" s="9"/>
      <c r="AL186" s="9"/>
      <c r="AM186" s="9"/>
      <c r="AN186" s="9"/>
      <c r="AO186" s="9"/>
      <c r="AP186" s="9"/>
      <c r="AQ186" s="9"/>
      <c r="AR186" s="10" t="str">
        <f aca="false">IF(A186="","",SG_Criteria!$B$6&amp;SG_Criteria!$B$10&amp;"\"&amp;A186&amp;"\")</f>
        <v/>
      </c>
      <c r="AS186" s="10" t="str">
        <f aca="false">IF(A186="","",A186&amp;"_CAD.dwg")</f>
        <v/>
      </c>
      <c r="AT186" s="10" t="str">
        <f aca="false">IF(A186="","",A186&amp;"_DWG.pdf")</f>
        <v/>
      </c>
      <c r="AU186" s="10" t="str">
        <f aca="false">IF(A186="","",IF(AQ186="Y",A186&amp;"_STAAD.std","n/a"))</f>
        <v/>
      </c>
      <c r="AV186" s="10" t="str">
        <f aca="false">IF(A186="","",A186&amp;"_CALC.xlsx")</f>
        <v/>
      </c>
      <c r="AW186" s="10" t="str">
        <f aca="false">IF(A186="","",A186&amp;"_CALC.pdf")</f>
        <v/>
      </c>
      <c r="AX186" s="9"/>
      <c r="AY186" s="9"/>
      <c r="AZ186" s="39"/>
      <c r="BA186" s="39"/>
      <c r="BB186" s="39"/>
      <c r="BC186" s="39"/>
      <c r="BD186" s="39"/>
      <c r="BE186" s="12" t="str">
        <f aca="false">IF(A186="","",IF(COUNTIF(Rebar_Schedule!$A$5:$A$2004,A186)=0,"",ROUND(SUMIF(Rebar_Schedule!$A$5:$A$2004,A186,Rebar_Schedule!$K$5:$K$2004),1)))</f>
        <v/>
      </c>
      <c r="BF186" s="33" t="str">
        <f aca="false">IF(A186="","",IF(BE186="","No rebar schedule yet",IF(ABS(BE186-N(BA186))/MAX(N(BA186),1)&gt;SG_Criteria!$B$55,"NOTE: register rebar differs from schedule by "&amp;TEXT(ABS(BE186-N(BA186))/MAX(N(BA186),1),"0%"),"OK")))</f>
        <v/>
      </c>
      <c r="BG186" s="33" t="str">
        <f aca="false">IF(D186="","",IF(LEN(IF(AND(Z186&lt;&gt;"",IFERROR(VALUE(MID(Z186,2,2)),0)&lt;SG_Criteria!$B$19),"FAIL: grade below C"&amp;SG_Criteria!$B$19&amp;". ","")&amp;IF(AND(AA186&lt;&gt;"",AA186&lt;SG_Criteria!$B$20),"FAIL: cover &lt; "&amp;SG_Criteria!$B$20&amp;" mm. ","")&amp;IF(AND(I186&lt;&gt;"",I186&lt;SG_Criteria!$B$39),"NOTE: min depth below PUB "&amp;SG_Criteria!$B$39&amp;" m. ","")&amp;IF(AND(LEFT(D186,8)="Standard",J186&gt;SG_Criteria!$B$42),"FAIL: PUB 001C covers manholes up to "&amp;SG_Criteria!$B$42&amp;" m deep only. ","")&amp;IF(AND(LEFT(D186,11)="Rectangular",K186&lt;SG_Criteria!$B$43),"NOTE: 004C is for sewers &gt;= "&amp;SG_Criteria!$B$43&amp;" dia. ","")&amp;IF(AND(LEFT(D186,7)="Precast",J186&lt;=SG_Criteria!$B$42),"NOTE: 006C is for manholes &gt; "&amp;SG_Criteria!$B$42&amp;" m deep. ","")&amp;IF(AND(K186&lt;&gt;"",K186&lt;SG_Criteria!$B$40,D186&lt;&gt;"Inspection Chamber"),"NOTE: public sewer min dia "&amp;SG_Criteria!$B$40&amp;" mm. ","")&amp;IF(AND(Y186&lt;&gt;"",Y186&lt;SG_Criteria!$B$44),"FAIL: uplift FOS below "&amp;SG_Criteria!$B$44&amp;". ",""))=0,"OK",IF(AND(Z186&lt;&gt;"",IFERROR(VALUE(MID(Z186,2,2)),0)&lt;SG_Criteria!$B$19),"FAIL: grade below C"&amp;SG_Criteria!$B$19&amp;". ","")&amp;IF(AND(AA186&lt;&gt;"",AA186&lt;SG_Criteria!$B$20),"FAIL: cover &lt; "&amp;SG_Criteria!$B$20&amp;" mm. ","")&amp;IF(AND(I186&lt;&gt;"",I186&lt;SG_Criteria!$B$39),"NOTE: min depth below PUB "&amp;SG_Criteria!$B$39&amp;" m. ","")&amp;IF(AND(LEFT(D186,8)="Standard",J186&gt;SG_Criteria!$B$42),"FAIL: PUB 001C covers manholes up to "&amp;SG_Criteria!$B$42&amp;" m deep only. ","")&amp;IF(AND(LEFT(D186,11)="Rectangular",K186&lt;SG_Criteria!$B$43),"NOTE: 004C is for sewers &gt;= "&amp;SG_Criteria!$B$43&amp;" dia. ","")&amp;IF(AND(LEFT(D186,7)="Precast",J186&lt;=SG_Criteria!$B$42),"NOTE: 006C is for manholes &gt; "&amp;SG_Criteria!$B$42&amp;" m deep. ","")&amp;IF(AND(K186&lt;&gt;"",K186&lt;SG_Criteria!$B$40,D186&lt;&gt;"Inspection Chamber"),"NOTE: public sewer min dia "&amp;SG_Criteria!$B$40&amp;" mm. ","")&amp;IF(AND(Y186&lt;&gt;"",Y186&lt;SG_Criteria!$B$44),"FAIL: uplift FOS below "&amp;SG_Criteria!$B$44&amp;". ","")))</f>
        <v/>
      </c>
      <c r="BH186" s="9"/>
      <c r="BI186" s="9"/>
      <c r="BJ186" s="9"/>
      <c r="BK186" s="10" t="str">
        <f aca="false">IF(BJ186="","",IFERROR(VLOOKUP(BJ186,Projects!$A$5:$D$504,2,0),"Ref not in Projects"))</f>
        <v/>
      </c>
      <c r="BL186" s="10" t="str">
        <f aca="false">IF(BJ186="","",IFERROR(VLOOKUP(BJ186,Projects!$A$5:$D$504,4,0),"Ref not in Projects"))</f>
        <v/>
      </c>
      <c r="BM186" s="9"/>
      <c r="BN186" s="9"/>
      <c r="BO186" s="9"/>
      <c r="BP186" s="40"/>
      <c r="BQ186" s="9"/>
      <c r="BR186" s="40"/>
      <c r="BS186" s="9"/>
      <c r="BT186" s="40"/>
      <c r="BU186" s="9"/>
      <c r="BV186" s="9"/>
      <c r="BW186" s="9"/>
      <c r="BX186" s="40"/>
      <c r="BY186" s="40"/>
      <c r="BZ186" s="36" t="str">
        <f aca="false">IF(BY186="","",EDATE(BY186,SG_Criteria!$B$54*12))</f>
        <v/>
      </c>
      <c r="CA186" s="33" t="str">
        <f aca="true">IF(A186="","",IF(BY186="","NOTE: not reviewed yet",IF(TODAY()&gt;BZ186,"NOTE: review overdue","OK")))</f>
        <v/>
      </c>
      <c r="CB186" s="37" t="str">
        <f aca="false">IF(A186="","",ROUND((IF(LEN(D186)&gt;0,1,0)+IF(LEN(E186)&gt;0,1,0)+IF(LEN(F186)&gt;0,1,0)+IF(LEN(G186)&gt;0,1,0)+IF(LEN(I186)&gt;0,1,0)+IF(LEN(J186)&gt;0,1,0)+IF(LEN(K186)&gt;0,1,0)+IF(LEN(L186)&gt;0,1,0)+IF(LEN(M186)&gt;0,1,0)+IF(LEN(N186)&gt;0,1,0)+IF(LEN(Z186)&gt;0,1,0)+IF(LEN(AA186)&gt;0,1,0)+IF(LEN(Y186)&gt;0,1,0)+IF(LEN(AE186)&gt;0,1,0)+IF(LEN(AG186)&gt;0,1,0)+IF(LEN(AZ186)&gt;0,1,0)+IF(LEN(AK186)&gt;0,1,0)+IF(LEN(AM186)&gt;0,1,0)+IF(LEN(AN186)&gt;0,1,0)+IF(LEN(AO186)&gt;0,1,0)+IF(LEN(AP186)&gt;0,1,0)+IF(LEN(AY186)&gt;0,1,0)+IF(LEN(BJ186)&gt;0,1,0)+IF(LEN(BW186)&gt;0,1,0))/24,2))</f>
        <v/>
      </c>
      <c r="CC186" s="10" t="str">
        <f aca="false">IF(D186="","",IF(AND(AN186="Approved",ISERROR(SEARCH("FAIL",BG186))),"Y","N"))</f>
        <v/>
      </c>
      <c r="CD186" s="10" t="str">
        <f aca="false">IF(D186="","",D186&amp;"|"&amp;J186&amp;"|"&amp;G186&amp;"|"&amp;CC186)</f>
        <v/>
      </c>
    </row>
    <row r="187" customFormat="false" ht="15" hidden="false" customHeight="false" outlineLevel="0" collapsed="false">
      <c r="A187" s="10" t="str">
        <f aca="false">IF(D187="","","MH-"&amp;IFERROR(VLOOKUP(D187,Lists!$AB$4:$AC$20,2,0),"??")&amp;"-"&amp;TEXT(G187,"0000")&amp;IF(F187="Circular","D","x"&amp;TEXT(H187,"0000"))&amp;"-D"&amp;TEXT(J187*1000,"0000")&amp;"-"&amp;IFERROR(VLOOKUP(E187,Lists!$AE$4:$AF$16,2,0),"??")&amp;"-"&amp;AM187)</f>
        <v/>
      </c>
      <c r="B187" s="10" t="str">
        <f aca="false">IF(D187="","",D187&amp;", "&amp;E187&amp;", "&amp;IF(F187="Circular",G187&amp;" dia",G187&amp;" x "&amp;H187)&amp;", depth "&amp;TEXT(I187,"0.0")&amp;"-"&amp;TEXT(J187,"0.0")&amp;" m, pipe up to "&amp;K187&amp;" dia")</f>
        <v/>
      </c>
      <c r="C187" s="9"/>
      <c r="D187" s="9"/>
      <c r="E187" s="9"/>
      <c r="F187" s="9"/>
      <c r="G187" s="38"/>
      <c r="H187" s="38"/>
      <c r="I187" s="42"/>
      <c r="J187" s="42"/>
      <c r="K187" s="38"/>
      <c r="L187" s="38"/>
      <c r="M187" s="38"/>
      <c r="N187" s="38"/>
      <c r="O187" s="9"/>
      <c r="P187" s="9"/>
      <c r="Q187" s="9"/>
      <c r="R187" s="9"/>
      <c r="S187" s="9"/>
      <c r="T187" s="9"/>
      <c r="U187" s="9"/>
      <c r="V187" s="42"/>
      <c r="W187" s="9"/>
      <c r="X187" s="9"/>
      <c r="Y187" s="39"/>
      <c r="Z187" s="9"/>
      <c r="AA187" s="38"/>
      <c r="AB187" s="9"/>
      <c r="AC187" s="9"/>
      <c r="AD187" s="9"/>
      <c r="AE187" s="9"/>
      <c r="AF187" s="9"/>
      <c r="AG187" s="9"/>
      <c r="AH187" s="38"/>
      <c r="AI187" s="9"/>
      <c r="AJ187" s="39"/>
      <c r="AK187" s="9"/>
      <c r="AL187" s="9"/>
      <c r="AM187" s="9"/>
      <c r="AN187" s="9"/>
      <c r="AO187" s="9"/>
      <c r="AP187" s="9"/>
      <c r="AQ187" s="9"/>
      <c r="AR187" s="10" t="str">
        <f aca="false">IF(A187="","",SG_Criteria!$B$6&amp;SG_Criteria!$B$10&amp;"\"&amp;A187&amp;"\")</f>
        <v/>
      </c>
      <c r="AS187" s="10" t="str">
        <f aca="false">IF(A187="","",A187&amp;"_CAD.dwg")</f>
        <v/>
      </c>
      <c r="AT187" s="10" t="str">
        <f aca="false">IF(A187="","",A187&amp;"_DWG.pdf")</f>
        <v/>
      </c>
      <c r="AU187" s="10" t="str">
        <f aca="false">IF(A187="","",IF(AQ187="Y",A187&amp;"_STAAD.std","n/a"))</f>
        <v/>
      </c>
      <c r="AV187" s="10" t="str">
        <f aca="false">IF(A187="","",A187&amp;"_CALC.xlsx")</f>
        <v/>
      </c>
      <c r="AW187" s="10" t="str">
        <f aca="false">IF(A187="","",A187&amp;"_CALC.pdf")</f>
        <v/>
      </c>
      <c r="AX187" s="9"/>
      <c r="AY187" s="9"/>
      <c r="AZ187" s="39"/>
      <c r="BA187" s="39"/>
      <c r="BB187" s="39"/>
      <c r="BC187" s="39"/>
      <c r="BD187" s="39"/>
      <c r="BE187" s="12" t="str">
        <f aca="false">IF(A187="","",IF(COUNTIF(Rebar_Schedule!$A$5:$A$2004,A187)=0,"",ROUND(SUMIF(Rebar_Schedule!$A$5:$A$2004,A187,Rebar_Schedule!$K$5:$K$2004),1)))</f>
        <v/>
      </c>
      <c r="BF187" s="33" t="str">
        <f aca="false">IF(A187="","",IF(BE187="","No rebar schedule yet",IF(ABS(BE187-N(BA187))/MAX(N(BA187),1)&gt;SG_Criteria!$B$55,"NOTE: register rebar differs from schedule by "&amp;TEXT(ABS(BE187-N(BA187))/MAX(N(BA187),1),"0%"),"OK")))</f>
        <v/>
      </c>
      <c r="BG187" s="33" t="str">
        <f aca="false">IF(D187="","",IF(LEN(IF(AND(Z187&lt;&gt;"",IFERROR(VALUE(MID(Z187,2,2)),0)&lt;SG_Criteria!$B$19),"FAIL: grade below C"&amp;SG_Criteria!$B$19&amp;". ","")&amp;IF(AND(AA187&lt;&gt;"",AA187&lt;SG_Criteria!$B$20),"FAIL: cover &lt; "&amp;SG_Criteria!$B$20&amp;" mm. ","")&amp;IF(AND(I187&lt;&gt;"",I187&lt;SG_Criteria!$B$39),"NOTE: min depth below PUB "&amp;SG_Criteria!$B$39&amp;" m. ","")&amp;IF(AND(LEFT(D187,8)="Standard",J187&gt;SG_Criteria!$B$42),"FAIL: PUB 001C covers manholes up to "&amp;SG_Criteria!$B$42&amp;" m deep only. ","")&amp;IF(AND(LEFT(D187,11)="Rectangular",K187&lt;SG_Criteria!$B$43),"NOTE: 004C is for sewers &gt;= "&amp;SG_Criteria!$B$43&amp;" dia. ","")&amp;IF(AND(LEFT(D187,7)="Precast",J187&lt;=SG_Criteria!$B$42),"NOTE: 006C is for manholes &gt; "&amp;SG_Criteria!$B$42&amp;" m deep. ","")&amp;IF(AND(K187&lt;&gt;"",K187&lt;SG_Criteria!$B$40,D187&lt;&gt;"Inspection Chamber"),"NOTE: public sewer min dia "&amp;SG_Criteria!$B$40&amp;" mm. ","")&amp;IF(AND(Y187&lt;&gt;"",Y187&lt;SG_Criteria!$B$44),"FAIL: uplift FOS below "&amp;SG_Criteria!$B$44&amp;". ",""))=0,"OK",IF(AND(Z187&lt;&gt;"",IFERROR(VALUE(MID(Z187,2,2)),0)&lt;SG_Criteria!$B$19),"FAIL: grade below C"&amp;SG_Criteria!$B$19&amp;". ","")&amp;IF(AND(AA187&lt;&gt;"",AA187&lt;SG_Criteria!$B$20),"FAIL: cover &lt; "&amp;SG_Criteria!$B$20&amp;" mm. ","")&amp;IF(AND(I187&lt;&gt;"",I187&lt;SG_Criteria!$B$39),"NOTE: min depth below PUB "&amp;SG_Criteria!$B$39&amp;" m. ","")&amp;IF(AND(LEFT(D187,8)="Standard",J187&gt;SG_Criteria!$B$42),"FAIL: PUB 001C covers manholes up to "&amp;SG_Criteria!$B$42&amp;" m deep only. ","")&amp;IF(AND(LEFT(D187,11)="Rectangular",K187&lt;SG_Criteria!$B$43),"NOTE: 004C is for sewers &gt;= "&amp;SG_Criteria!$B$43&amp;" dia. ","")&amp;IF(AND(LEFT(D187,7)="Precast",J187&lt;=SG_Criteria!$B$42),"NOTE: 006C is for manholes &gt; "&amp;SG_Criteria!$B$42&amp;" m deep. ","")&amp;IF(AND(K187&lt;&gt;"",K187&lt;SG_Criteria!$B$40,D187&lt;&gt;"Inspection Chamber"),"NOTE: public sewer min dia "&amp;SG_Criteria!$B$40&amp;" mm. ","")&amp;IF(AND(Y187&lt;&gt;"",Y187&lt;SG_Criteria!$B$44),"FAIL: uplift FOS below "&amp;SG_Criteria!$B$44&amp;". ","")))</f>
        <v/>
      </c>
      <c r="BH187" s="9"/>
      <c r="BI187" s="9"/>
      <c r="BJ187" s="9"/>
      <c r="BK187" s="10" t="str">
        <f aca="false">IF(BJ187="","",IFERROR(VLOOKUP(BJ187,Projects!$A$5:$D$504,2,0),"Ref not in Projects"))</f>
        <v/>
      </c>
      <c r="BL187" s="10" t="str">
        <f aca="false">IF(BJ187="","",IFERROR(VLOOKUP(BJ187,Projects!$A$5:$D$504,4,0),"Ref not in Projects"))</f>
        <v/>
      </c>
      <c r="BM187" s="9"/>
      <c r="BN187" s="9"/>
      <c r="BO187" s="9"/>
      <c r="BP187" s="40"/>
      <c r="BQ187" s="9"/>
      <c r="BR187" s="40"/>
      <c r="BS187" s="9"/>
      <c r="BT187" s="40"/>
      <c r="BU187" s="9"/>
      <c r="BV187" s="9"/>
      <c r="BW187" s="9"/>
      <c r="BX187" s="40"/>
      <c r="BY187" s="40"/>
      <c r="BZ187" s="36" t="str">
        <f aca="false">IF(BY187="","",EDATE(BY187,SG_Criteria!$B$54*12))</f>
        <v/>
      </c>
      <c r="CA187" s="33" t="str">
        <f aca="true">IF(A187="","",IF(BY187="","NOTE: not reviewed yet",IF(TODAY()&gt;BZ187,"NOTE: review overdue","OK")))</f>
        <v/>
      </c>
      <c r="CB187" s="37" t="str">
        <f aca="false">IF(A187="","",ROUND((IF(LEN(D187)&gt;0,1,0)+IF(LEN(E187)&gt;0,1,0)+IF(LEN(F187)&gt;0,1,0)+IF(LEN(G187)&gt;0,1,0)+IF(LEN(I187)&gt;0,1,0)+IF(LEN(J187)&gt;0,1,0)+IF(LEN(K187)&gt;0,1,0)+IF(LEN(L187)&gt;0,1,0)+IF(LEN(M187)&gt;0,1,0)+IF(LEN(N187)&gt;0,1,0)+IF(LEN(Z187)&gt;0,1,0)+IF(LEN(AA187)&gt;0,1,0)+IF(LEN(Y187)&gt;0,1,0)+IF(LEN(AE187)&gt;0,1,0)+IF(LEN(AG187)&gt;0,1,0)+IF(LEN(AZ187)&gt;0,1,0)+IF(LEN(AK187)&gt;0,1,0)+IF(LEN(AM187)&gt;0,1,0)+IF(LEN(AN187)&gt;0,1,0)+IF(LEN(AO187)&gt;0,1,0)+IF(LEN(AP187)&gt;0,1,0)+IF(LEN(AY187)&gt;0,1,0)+IF(LEN(BJ187)&gt;0,1,0)+IF(LEN(BW187)&gt;0,1,0))/24,2))</f>
        <v/>
      </c>
      <c r="CC187" s="10" t="str">
        <f aca="false">IF(D187="","",IF(AND(AN187="Approved",ISERROR(SEARCH("FAIL",BG187))),"Y","N"))</f>
        <v/>
      </c>
      <c r="CD187" s="10" t="str">
        <f aca="false">IF(D187="","",D187&amp;"|"&amp;J187&amp;"|"&amp;G187&amp;"|"&amp;CC187)</f>
        <v/>
      </c>
    </row>
    <row r="188" customFormat="false" ht="15" hidden="false" customHeight="false" outlineLevel="0" collapsed="false">
      <c r="A188" s="10" t="str">
        <f aca="false">IF(D188="","","MH-"&amp;IFERROR(VLOOKUP(D188,Lists!$AB$4:$AC$20,2,0),"??")&amp;"-"&amp;TEXT(G188,"0000")&amp;IF(F188="Circular","D","x"&amp;TEXT(H188,"0000"))&amp;"-D"&amp;TEXT(J188*1000,"0000")&amp;"-"&amp;IFERROR(VLOOKUP(E188,Lists!$AE$4:$AF$16,2,0),"??")&amp;"-"&amp;AM188)</f>
        <v/>
      </c>
      <c r="B188" s="10" t="str">
        <f aca="false">IF(D188="","",D188&amp;", "&amp;E188&amp;", "&amp;IF(F188="Circular",G188&amp;" dia",G188&amp;" x "&amp;H188)&amp;", depth "&amp;TEXT(I188,"0.0")&amp;"-"&amp;TEXT(J188,"0.0")&amp;" m, pipe up to "&amp;K188&amp;" dia")</f>
        <v/>
      </c>
      <c r="C188" s="9"/>
      <c r="D188" s="9"/>
      <c r="E188" s="9"/>
      <c r="F188" s="9"/>
      <c r="G188" s="38"/>
      <c r="H188" s="38"/>
      <c r="I188" s="42"/>
      <c r="J188" s="42"/>
      <c r="K188" s="38"/>
      <c r="L188" s="38"/>
      <c r="M188" s="38"/>
      <c r="N188" s="38"/>
      <c r="O188" s="9"/>
      <c r="P188" s="9"/>
      <c r="Q188" s="9"/>
      <c r="R188" s="9"/>
      <c r="S188" s="9"/>
      <c r="T188" s="9"/>
      <c r="U188" s="9"/>
      <c r="V188" s="42"/>
      <c r="W188" s="9"/>
      <c r="X188" s="9"/>
      <c r="Y188" s="39"/>
      <c r="Z188" s="9"/>
      <c r="AA188" s="38"/>
      <c r="AB188" s="9"/>
      <c r="AC188" s="9"/>
      <c r="AD188" s="9"/>
      <c r="AE188" s="9"/>
      <c r="AF188" s="9"/>
      <c r="AG188" s="9"/>
      <c r="AH188" s="38"/>
      <c r="AI188" s="9"/>
      <c r="AJ188" s="39"/>
      <c r="AK188" s="9"/>
      <c r="AL188" s="9"/>
      <c r="AM188" s="9"/>
      <c r="AN188" s="9"/>
      <c r="AO188" s="9"/>
      <c r="AP188" s="9"/>
      <c r="AQ188" s="9"/>
      <c r="AR188" s="10" t="str">
        <f aca="false">IF(A188="","",SG_Criteria!$B$6&amp;SG_Criteria!$B$10&amp;"\"&amp;A188&amp;"\")</f>
        <v/>
      </c>
      <c r="AS188" s="10" t="str">
        <f aca="false">IF(A188="","",A188&amp;"_CAD.dwg")</f>
        <v/>
      </c>
      <c r="AT188" s="10" t="str">
        <f aca="false">IF(A188="","",A188&amp;"_DWG.pdf")</f>
        <v/>
      </c>
      <c r="AU188" s="10" t="str">
        <f aca="false">IF(A188="","",IF(AQ188="Y",A188&amp;"_STAAD.std","n/a"))</f>
        <v/>
      </c>
      <c r="AV188" s="10" t="str">
        <f aca="false">IF(A188="","",A188&amp;"_CALC.xlsx")</f>
        <v/>
      </c>
      <c r="AW188" s="10" t="str">
        <f aca="false">IF(A188="","",A188&amp;"_CALC.pdf")</f>
        <v/>
      </c>
      <c r="AX188" s="9"/>
      <c r="AY188" s="9"/>
      <c r="AZ188" s="39"/>
      <c r="BA188" s="39"/>
      <c r="BB188" s="39"/>
      <c r="BC188" s="39"/>
      <c r="BD188" s="39"/>
      <c r="BE188" s="12" t="str">
        <f aca="false">IF(A188="","",IF(COUNTIF(Rebar_Schedule!$A$5:$A$2004,A188)=0,"",ROUND(SUMIF(Rebar_Schedule!$A$5:$A$2004,A188,Rebar_Schedule!$K$5:$K$2004),1)))</f>
        <v/>
      </c>
      <c r="BF188" s="33" t="str">
        <f aca="false">IF(A188="","",IF(BE188="","No rebar schedule yet",IF(ABS(BE188-N(BA188))/MAX(N(BA188),1)&gt;SG_Criteria!$B$55,"NOTE: register rebar differs from schedule by "&amp;TEXT(ABS(BE188-N(BA188))/MAX(N(BA188),1),"0%"),"OK")))</f>
        <v/>
      </c>
      <c r="BG188" s="33" t="str">
        <f aca="false">IF(D188="","",IF(LEN(IF(AND(Z188&lt;&gt;"",IFERROR(VALUE(MID(Z188,2,2)),0)&lt;SG_Criteria!$B$19),"FAIL: grade below C"&amp;SG_Criteria!$B$19&amp;". ","")&amp;IF(AND(AA188&lt;&gt;"",AA188&lt;SG_Criteria!$B$20),"FAIL: cover &lt; "&amp;SG_Criteria!$B$20&amp;" mm. ","")&amp;IF(AND(I188&lt;&gt;"",I188&lt;SG_Criteria!$B$39),"NOTE: min depth below PUB "&amp;SG_Criteria!$B$39&amp;" m. ","")&amp;IF(AND(LEFT(D188,8)="Standard",J188&gt;SG_Criteria!$B$42),"FAIL: PUB 001C covers manholes up to "&amp;SG_Criteria!$B$42&amp;" m deep only. ","")&amp;IF(AND(LEFT(D188,11)="Rectangular",K188&lt;SG_Criteria!$B$43),"NOTE: 004C is for sewers &gt;= "&amp;SG_Criteria!$B$43&amp;" dia. ","")&amp;IF(AND(LEFT(D188,7)="Precast",J188&lt;=SG_Criteria!$B$42),"NOTE: 006C is for manholes &gt; "&amp;SG_Criteria!$B$42&amp;" m deep. ","")&amp;IF(AND(K188&lt;&gt;"",K188&lt;SG_Criteria!$B$40,D188&lt;&gt;"Inspection Chamber"),"NOTE: public sewer min dia "&amp;SG_Criteria!$B$40&amp;" mm. ","")&amp;IF(AND(Y188&lt;&gt;"",Y188&lt;SG_Criteria!$B$44),"FAIL: uplift FOS below "&amp;SG_Criteria!$B$44&amp;". ",""))=0,"OK",IF(AND(Z188&lt;&gt;"",IFERROR(VALUE(MID(Z188,2,2)),0)&lt;SG_Criteria!$B$19),"FAIL: grade below C"&amp;SG_Criteria!$B$19&amp;". ","")&amp;IF(AND(AA188&lt;&gt;"",AA188&lt;SG_Criteria!$B$20),"FAIL: cover &lt; "&amp;SG_Criteria!$B$20&amp;" mm. ","")&amp;IF(AND(I188&lt;&gt;"",I188&lt;SG_Criteria!$B$39),"NOTE: min depth below PUB "&amp;SG_Criteria!$B$39&amp;" m. ","")&amp;IF(AND(LEFT(D188,8)="Standard",J188&gt;SG_Criteria!$B$42),"FAIL: PUB 001C covers manholes up to "&amp;SG_Criteria!$B$42&amp;" m deep only. ","")&amp;IF(AND(LEFT(D188,11)="Rectangular",K188&lt;SG_Criteria!$B$43),"NOTE: 004C is for sewers &gt;= "&amp;SG_Criteria!$B$43&amp;" dia. ","")&amp;IF(AND(LEFT(D188,7)="Precast",J188&lt;=SG_Criteria!$B$42),"NOTE: 006C is for manholes &gt; "&amp;SG_Criteria!$B$42&amp;" m deep. ","")&amp;IF(AND(K188&lt;&gt;"",K188&lt;SG_Criteria!$B$40,D188&lt;&gt;"Inspection Chamber"),"NOTE: public sewer min dia "&amp;SG_Criteria!$B$40&amp;" mm. ","")&amp;IF(AND(Y188&lt;&gt;"",Y188&lt;SG_Criteria!$B$44),"FAIL: uplift FOS below "&amp;SG_Criteria!$B$44&amp;". ","")))</f>
        <v/>
      </c>
      <c r="BH188" s="9"/>
      <c r="BI188" s="9"/>
      <c r="BJ188" s="9"/>
      <c r="BK188" s="10" t="str">
        <f aca="false">IF(BJ188="","",IFERROR(VLOOKUP(BJ188,Projects!$A$5:$D$504,2,0),"Ref not in Projects"))</f>
        <v/>
      </c>
      <c r="BL188" s="10" t="str">
        <f aca="false">IF(BJ188="","",IFERROR(VLOOKUP(BJ188,Projects!$A$5:$D$504,4,0),"Ref not in Projects"))</f>
        <v/>
      </c>
      <c r="BM188" s="9"/>
      <c r="BN188" s="9"/>
      <c r="BO188" s="9"/>
      <c r="BP188" s="40"/>
      <c r="BQ188" s="9"/>
      <c r="BR188" s="40"/>
      <c r="BS188" s="9"/>
      <c r="BT188" s="40"/>
      <c r="BU188" s="9"/>
      <c r="BV188" s="9"/>
      <c r="BW188" s="9"/>
      <c r="BX188" s="40"/>
      <c r="BY188" s="40"/>
      <c r="BZ188" s="36" t="str">
        <f aca="false">IF(BY188="","",EDATE(BY188,SG_Criteria!$B$54*12))</f>
        <v/>
      </c>
      <c r="CA188" s="33" t="str">
        <f aca="true">IF(A188="","",IF(BY188="","NOTE: not reviewed yet",IF(TODAY()&gt;BZ188,"NOTE: review overdue","OK")))</f>
        <v/>
      </c>
      <c r="CB188" s="37" t="str">
        <f aca="false">IF(A188="","",ROUND((IF(LEN(D188)&gt;0,1,0)+IF(LEN(E188)&gt;0,1,0)+IF(LEN(F188)&gt;0,1,0)+IF(LEN(G188)&gt;0,1,0)+IF(LEN(I188)&gt;0,1,0)+IF(LEN(J188)&gt;0,1,0)+IF(LEN(K188)&gt;0,1,0)+IF(LEN(L188)&gt;0,1,0)+IF(LEN(M188)&gt;0,1,0)+IF(LEN(N188)&gt;0,1,0)+IF(LEN(Z188)&gt;0,1,0)+IF(LEN(AA188)&gt;0,1,0)+IF(LEN(Y188)&gt;0,1,0)+IF(LEN(AE188)&gt;0,1,0)+IF(LEN(AG188)&gt;0,1,0)+IF(LEN(AZ188)&gt;0,1,0)+IF(LEN(AK188)&gt;0,1,0)+IF(LEN(AM188)&gt;0,1,0)+IF(LEN(AN188)&gt;0,1,0)+IF(LEN(AO188)&gt;0,1,0)+IF(LEN(AP188)&gt;0,1,0)+IF(LEN(AY188)&gt;0,1,0)+IF(LEN(BJ188)&gt;0,1,0)+IF(LEN(BW188)&gt;0,1,0))/24,2))</f>
        <v/>
      </c>
      <c r="CC188" s="10" t="str">
        <f aca="false">IF(D188="","",IF(AND(AN188="Approved",ISERROR(SEARCH("FAIL",BG188))),"Y","N"))</f>
        <v/>
      </c>
      <c r="CD188" s="10" t="str">
        <f aca="false">IF(D188="","",D188&amp;"|"&amp;J188&amp;"|"&amp;G188&amp;"|"&amp;CC188)</f>
        <v/>
      </c>
    </row>
    <row r="189" customFormat="false" ht="15" hidden="false" customHeight="false" outlineLevel="0" collapsed="false">
      <c r="A189" s="10" t="str">
        <f aca="false">IF(D189="","","MH-"&amp;IFERROR(VLOOKUP(D189,Lists!$AB$4:$AC$20,2,0),"??")&amp;"-"&amp;TEXT(G189,"0000")&amp;IF(F189="Circular","D","x"&amp;TEXT(H189,"0000"))&amp;"-D"&amp;TEXT(J189*1000,"0000")&amp;"-"&amp;IFERROR(VLOOKUP(E189,Lists!$AE$4:$AF$16,2,0),"??")&amp;"-"&amp;AM189)</f>
        <v/>
      </c>
      <c r="B189" s="10" t="str">
        <f aca="false">IF(D189="","",D189&amp;", "&amp;E189&amp;", "&amp;IF(F189="Circular",G189&amp;" dia",G189&amp;" x "&amp;H189)&amp;", depth "&amp;TEXT(I189,"0.0")&amp;"-"&amp;TEXT(J189,"0.0")&amp;" m, pipe up to "&amp;K189&amp;" dia")</f>
        <v/>
      </c>
      <c r="C189" s="9"/>
      <c r="D189" s="9"/>
      <c r="E189" s="9"/>
      <c r="F189" s="9"/>
      <c r="G189" s="38"/>
      <c r="H189" s="38"/>
      <c r="I189" s="42"/>
      <c r="J189" s="42"/>
      <c r="K189" s="38"/>
      <c r="L189" s="38"/>
      <c r="M189" s="38"/>
      <c r="N189" s="38"/>
      <c r="O189" s="9"/>
      <c r="P189" s="9"/>
      <c r="Q189" s="9"/>
      <c r="R189" s="9"/>
      <c r="S189" s="9"/>
      <c r="T189" s="9"/>
      <c r="U189" s="9"/>
      <c r="V189" s="42"/>
      <c r="W189" s="9"/>
      <c r="X189" s="9"/>
      <c r="Y189" s="39"/>
      <c r="Z189" s="9"/>
      <c r="AA189" s="38"/>
      <c r="AB189" s="9"/>
      <c r="AC189" s="9"/>
      <c r="AD189" s="9"/>
      <c r="AE189" s="9"/>
      <c r="AF189" s="9"/>
      <c r="AG189" s="9"/>
      <c r="AH189" s="38"/>
      <c r="AI189" s="9"/>
      <c r="AJ189" s="39"/>
      <c r="AK189" s="9"/>
      <c r="AL189" s="9"/>
      <c r="AM189" s="9"/>
      <c r="AN189" s="9"/>
      <c r="AO189" s="9"/>
      <c r="AP189" s="9"/>
      <c r="AQ189" s="9"/>
      <c r="AR189" s="10" t="str">
        <f aca="false">IF(A189="","",SG_Criteria!$B$6&amp;SG_Criteria!$B$10&amp;"\"&amp;A189&amp;"\")</f>
        <v/>
      </c>
      <c r="AS189" s="10" t="str">
        <f aca="false">IF(A189="","",A189&amp;"_CAD.dwg")</f>
        <v/>
      </c>
      <c r="AT189" s="10" t="str">
        <f aca="false">IF(A189="","",A189&amp;"_DWG.pdf")</f>
        <v/>
      </c>
      <c r="AU189" s="10" t="str">
        <f aca="false">IF(A189="","",IF(AQ189="Y",A189&amp;"_STAAD.std","n/a"))</f>
        <v/>
      </c>
      <c r="AV189" s="10" t="str">
        <f aca="false">IF(A189="","",A189&amp;"_CALC.xlsx")</f>
        <v/>
      </c>
      <c r="AW189" s="10" t="str">
        <f aca="false">IF(A189="","",A189&amp;"_CALC.pdf")</f>
        <v/>
      </c>
      <c r="AX189" s="9"/>
      <c r="AY189" s="9"/>
      <c r="AZ189" s="39"/>
      <c r="BA189" s="39"/>
      <c r="BB189" s="39"/>
      <c r="BC189" s="39"/>
      <c r="BD189" s="39"/>
      <c r="BE189" s="12" t="str">
        <f aca="false">IF(A189="","",IF(COUNTIF(Rebar_Schedule!$A$5:$A$2004,A189)=0,"",ROUND(SUMIF(Rebar_Schedule!$A$5:$A$2004,A189,Rebar_Schedule!$K$5:$K$2004),1)))</f>
        <v/>
      </c>
      <c r="BF189" s="33" t="str">
        <f aca="false">IF(A189="","",IF(BE189="","No rebar schedule yet",IF(ABS(BE189-N(BA189))/MAX(N(BA189),1)&gt;SG_Criteria!$B$55,"NOTE: register rebar differs from schedule by "&amp;TEXT(ABS(BE189-N(BA189))/MAX(N(BA189),1),"0%"),"OK")))</f>
        <v/>
      </c>
      <c r="BG189" s="33" t="str">
        <f aca="false">IF(D189="","",IF(LEN(IF(AND(Z189&lt;&gt;"",IFERROR(VALUE(MID(Z189,2,2)),0)&lt;SG_Criteria!$B$19),"FAIL: grade below C"&amp;SG_Criteria!$B$19&amp;". ","")&amp;IF(AND(AA189&lt;&gt;"",AA189&lt;SG_Criteria!$B$20),"FAIL: cover &lt; "&amp;SG_Criteria!$B$20&amp;" mm. ","")&amp;IF(AND(I189&lt;&gt;"",I189&lt;SG_Criteria!$B$39),"NOTE: min depth below PUB "&amp;SG_Criteria!$B$39&amp;" m. ","")&amp;IF(AND(LEFT(D189,8)="Standard",J189&gt;SG_Criteria!$B$42),"FAIL: PUB 001C covers manholes up to "&amp;SG_Criteria!$B$42&amp;" m deep only. ","")&amp;IF(AND(LEFT(D189,11)="Rectangular",K189&lt;SG_Criteria!$B$43),"NOTE: 004C is for sewers &gt;= "&amp;SG_Criteria!$B$43&amp;" dia. ","")&amp;IF(AND(LEFT(D189,7)="Precast",J189&lt;=SG_Criteria!$B$42),"NOTE: 006C is for manholes &gt; "&amp;SG_Criteria!$B$42&amp;" m deep. ","")&amp;IF(AND(K189&lt;&gt;"",K189&lt;SG_Criteria!$B$40,D189&lt;&gt;"Inspection Chamber"),"NOTE: public sewer min dia "&amp;SG_Criteria!$B$40&amp;" mm. ","")&amp;IF(AND(Y189&lt;&gt;"",Y189&lt;SG_Criteria!$B$44),"FAIL: uplift FOS below "&amp;SG_Criteria!$B$44&amp;". ",""))=0,"OK",IF(AND(Z189&lt;&gt;"",IFERROR(VALUE(MID(Z189,2,2)),0)&lt;SG_Criteria!$B$19),"FAIL: grade below C"&amp;SG_Criteria!$B$19&amp;". ","")&amp;IF(AND(AA189&lt;&gt;"",AA189&lt;SG_Criteria!$B$20),"FAIL: cover &lt; "&amp;SG_Criteria!$B$20&amp;" mm. ","")&amp;IF(AND(I189&lt;&gt;"",I189&lt;SG_Criteria!$B$39),"NOTE: min depth below PUB "&amp;SG_Criteria!$B$39&amp;" m. ","")&amp;IF(AND(LEFT(D189,8)="Standard",J189&gt;SG_Criteria!$B$42),"FAIL: PUB 001C covers manholes up to "&amp;SG_Criteria!$B$42&amp;" m deep only. ","")&amp;IF(AND(LEFT(D189,11)="Rectangular",K189&lt;SG_Criteria!$B$43),"NOTE: 004C is for sewers &gt;= "&amp;SG_Criteria!$B$43&amp;" dia. ","")&amp;IF(AND(LEFT(D189,7)="Precast",J189&lt;=SG_Criteria!$B$42),"NOTE: 006C is for manholes &gt; "&amp;SG_Criteria!$B$42&amp;" m deep. ","")&amp;IF(AND(K189&lt;&gt;"",K189&lt;SG_Criteria!$B$40,D189&lt;&gt;"Inspection Chamber"),"NOTE: public sewer min dia "&amp;SG_Criteria!$B$40&amp;" mm. ","")&amp;IF(AND(Y189&lt;&gt;"",Y189&lt;SG_Criteria!$B$44),"FAIL: uplift FOS below "&amp;SG_Criteria!$B$44&amp;". ","")))</f>
        <v/>
      </c>
      <c r="BH189" s="9"/>
      <c r="BI189" s="9"/>
      <c r="BJ189" s="9"/>
      <c r="BK189" s="10" t="str">
        <f aca="false">IF(BJ189="","",IFERROR(VLOOKUP(BJ189,Projects!$A$5:$D$504,2,0),"Ref not in Projects"))</f>
        <v/>
      </c>
      <c r="BL189" s="10" t="str">
        <f aca="false">IF(BJ189="","",IFERROR(VLOOKUP(BJ189,Projects!$A$5:$D$504,4,0),"Ref not in Projects"))</f>
        <v/>
      </c>
      <c r="BM189" s="9"/>
      <c r="BN189" s="9"/>
      <c r="BO189" s="9"/>
      <c r="BP189" s="40"/>
      <c r="BQ189" s="9"/>
      <c r="BR189" s="40"/>
      <c r="BS189" s="9"/>
      <c r="BT189" s="40"/>
      <c r="BU189" s="9"/>
      <c r="BV189" s="9"/>
      <c r="BW189" s="9"/>
      <c r="BX189" s="40"/>
      <c r="BY189" s="40"/>
      <c r="BZ189" s="36" t="str">
        <f aca="false">IF(BY189="","",EDATE(BY189,SG_Criteria!$B$54*12))</f>
        <v/>
      </c>
      <c r="CA189" s="33" t="str">
        <f aca="true">IF(A189="","",IF(BY189="","NOTE: not reviewed yet",IF(TODAY()&gt;BZ189,"NOTE: review overdue","OK")))</f>
        <v/>
      </c>
      <c r="CB189" s="37" t="str">
        <f aca="false">IF(A189="","",ROUND((IF(LEN(D189)&gt;0,1,0)+IF(LEN(E189)&gt;0,1,0)+IF(LEN(F189)&gt;0,1,0)+IF(LEN(G189)&gt;0,1,0)+IF(LEN(I189)&gt;0,1,0)+IF(LEN(J189)&gt;0,1,0)+IF(LEN(K189)&gt;0,1,0)+IF(LEN(L189)&gt;0,1,0)+IF(LEN(M189)&gt;0,1,0)+IF(LEN(N189)&gt;0,1,0)+IF(LEN(Z189)&gt;0,1,0)+IF(LEN(AA189)&gt;0,1,0)+IF(LEN(Y189)&gt;0,1,0)+IF(LEN(AE189)&gt;0,1,0)+IF(LEN(AG189)&gt;0,1,0)+IF(LEN(AZ189)&gt;0,1,0)+IF(LEN(AK189)&gt;0,1,0)+IF(LEN(AM189)&gt;0,1,0)+IF(LEN(AN189)&gt;0,1,0)+IF(LEN(AO189)&gt;0,1,0)+IF(LEN(AP189)&gt;0,1,0)+IF(LEN(AY189)&gt;0,1,0)+IF(LEN(BJ189)&gt;0,1,0)+IF(LEN(BW189)&gt;0,1,0))/24,2))</f>
        <v/>
      </c>
      <c r="CC189" s="10" t="str">
        <f aca="false">IF(D189="","",IF(AND(AN189="Approved",ISERROR(SEARCH("FAIL",BG189))),"Y","N"))</f>
        <v/>
      </c>
      <c r="CD189" s="10" t="str">
        <f aca="false">IF(D189="","",D189&amp;"|"&amp;J189&amp;"|"&amp;G189&amp;"|"&amp;CC189)</f>
        <v/>
      </c>
    </row>
    <row r="190" customFormat="false" ht="15" hidden="false" customHeight="false" outlineLevel="0" collapsed="false">
      <c r="A190" s="10" t="str">
        <f aca="false">IF(D190="","","MH-"&amp;IFERROR(VLOOKUP(D190,Lists!$AB$4:$AC$20,2,0),"??")&amp;"-"&amp;TEXT(G190,"0000")&amp;IF(F190="Circular","D","x"&amp;TEXT(H190,"0000"))&amp;"-D"&amp;TEXT(J190*1000,"0000")&amp;"-"&amp;IFERROR(VLOOKUP(E190,Lists!$AE$4:$AF$16,2,0),"??")&amp;"-"&amp;AM190)</f>
        <v/>
      </c>
      <c r="B190" s="10" t="str">
        <f aca="false">IF(D190="","",D190&amp;", "&amp;E190&amp;", "&amp;IF(F190="Circular",G190&amp;" dia",G190&amp;" x "&amp;H190)&amp;", depth "&amp;TEXT(I190,"0.0")&amp;"-"&amp;TEXT(J190,"0.0")&amp;" m, pipe up to "&amp;K190&amp;" dia")</f>
        <v/>
      </c>
      <c r="C190" s="9"/>
      <c r="D190" s="9"/>
      <c r="E190" s="9"/>
      <c r="F190" s="9"/>
      <c r="G190" s="38"/>
      <c r="H190" s="38"/>
      <c r="I190" s="42"/>
      <c r="J190" s="42"/>
      <c r="K190" s="38"/>
      <c r="L190" s="38"/>
      <c r="M190" s="38"/>
      <c r="N190" s="38"/>
      <c r="O190" s="9"/>
      <c r="P190" s="9"/>
      <c r="Q190" s="9"/>
      <c r="R190" s="9"/>
      <c r="S190" s="9"/>
      <c r="T190" s="9"/>
      <c r="U190" s="9"/>
      <c r="V190" s="42"/>
      <c r="W190" s="9"/>
      <c r="X190" s="9"/>
      <c r="Y190" s="39"/>
      <c r="Z190" s="9"/>
      <c r="AA190" s="38"/>
      <c r="AB190" s="9"/>
      <c r="AC190" s="9"/>
      <c r="AD190" s="9"/>
      <c r="AE190" s="9"/>
      <c r="AF190" s="9"/>
      <c r="AG190" s="9"/>
      <c r="AH190" s="38"/>
      <c r="AI190" s="9"/>
      <c r="AJ190" s="39"/>
      <c r="AK190" s="9"/>
      <c r="AL190" s="9"/>
      <c r="AM190" s="9"/>
      <c r="AN190" s="9"/>
      <c r="AO190" s="9"/>
      <c r="AP190" s="9"/>
      <c r="AQ190" s="9"/>
      <c r="AR190" s="10" t="str">
        <f aca="false">IF(A190="","",SG_Criteria!$B$6&amp;SG_Criteria!$B$10&amp;"\"&amp;A190&amp;"\")</f>
        <v/>
      </c>
      <c r="AS190" s="10" t="str">
        <f aca="false">IF(A190="","",A190&amp;"_CAD.dwg")</f>
        <v/>
      </c>
      <c r="AT190" s="10" t="str">
        <f aca="false">IF(A190="","",A190&amp;"_DWG.pdf")</f>
        <v/>
      </c>
      <c r="AU190" s="10" t="str">
        <f aca="false">IF(A190="","",IF(AQ190="Y",A190&amp;"_STAAD.std","n/a"))</f>
        <v/>
      </c>
      <c r="AV190" s="10" t="str">
        <f aca="false">IF(A190="","",A190&amp;"_CALC.xlsx")</f>
        <v/>
      </c>
      <c r="AW190" s="10" t="str">
        <f aca="false">IF(A190="","",A190&amp;"_CALC.pdf")</f>
        <v/>
      </c>
      <c r="AX190" s="9"/>
      <c r="AY190" s="9"/>
      <c r="AZ190" s="39"/>
      <c r="BA190" s="39"/>
      <c r="BB190" s="39"/>
      <c r="BC190" s="39"/>
      <c r="BD190" s="39"/>
      <c r="BE190" s="12" t="str">
        <f aca="false">IF(A190="","",IF(COUNTIF(Rebar_Schedule!$A$5:$A$2004,A190)=0,"",ROUND(SUMIF(Rebar_Schedule!$A$5:$A$2004,A190,Rebar_Schedule!$K$5:$K$2004),1)))</f>
        <v/>
      </c>
      <c r="BF190" s="33" t="str">
        <f aca="false">IF(A190="","",IF(BE190="","No rebar schedule yet",IF(ABS(BE190-N(BA190))/MAX(N(BA190),1)&gt;SG_Criteria!$B$55,"NOTE: register rebar differs from schedule by "&amp;TEXT(ABS(BE190-N(BA190))/MAX(N(BA190),1),"0%"),"OK")))</f>
        <v/>
      </c>
      <c r="BG190" s="33" t="str">
        <f aca="false">IF(D190="","",IF(LEN(IF(AND(Z190&lt;&gt;"",IFERROR(VALUE(MID(Z190,2,2)),0)&lt;SG_Criteria!$B$19),"FAIL: grade below C"&amp;SG_Criteria!$B$19&amp;". ","")&amp;IF(AND(AA190&lt;&gt;"",AA190&lt;SG_Criteria!$B$20),"FAIL: cover &lt; "&amp;SG_Criteria!$B$20&amp;" mm. ","")&amp;IF(AND(I190&lt;&gt;"",I190&lt;SG_Criteria!$B$39),"NOTE: min depth below PUB "&amp;SG_Criteria!$B$39&amp;" m. ","")&amp;IF(AND(LEFT(D190,8)="Standard",J190&gt;SG_Criteria!$B$42),"FAIL: PUB 001C covers manholes up to "&amp;SG_Criteria!$B$42&amp;" m deep only. ","")&amp;IF(AND(LEFT(D190,11)="Rectangular",K190&lt;SG_Criteria!$B$43),"NOTE: 004C is for sewers &gt;= "&amp;SG_Criteria!$B$43&amp;" dia. ","")&amp;IF(AND(LEFT(D190,7)="Precast",J190&lt;=SG_Criteria!$B$42),"NOTE: 006C is for manholes &gt; "&amp;SG_Criteria!$B$42&amp;" m deep. ","")&amp;IF(AND(K190&lt;&gt;"",K190&lt;SG_Criteria!$B$40,D190&lt;&gt;"Inspection Chamber"),"NOTE: public sewer min dia "&amp;SG_Criteria!$B$40&amp;" mm. ","")&amp;IF(AND(Y190&lt;&gt;"",Y190&lt;SG_Criteria!$B$44),"FAIL: uplift FOS below "&amp;SG_Criteria!$B$44&amp;". ",""))=0,"OK",IF(AND(Z190&lt;&gt;"",IFERROR(VALUE(MID(Z190,2,2)),0)&lt;SG_Criteria!$B$19),"FAIL: grade below C"&amp;SG_Criteria!$B$19&amp;". ","")&amp;IF(AND(AA190&lt;&gt;"",AA190&lt;SG_Criteria!$B$20),"FAIL: cover &lt; "&amp;SG_Criteria!$B$20&amp;" mm. ","")&amp;IF(AND(I190&lt;&gt;"",I190&lt;SG_Criteria!$B$39),"NOTE: min depth below PUB "&amp;SG_Criteria!$B$39&amp;" m. ","")&amp;IF(AND(LEFT(D190,8)="Standard",J190&gt;SG_Criteria!$B$42),"FAIL: PUB 001C covers manholes up to "&amp;SG_Criteria!$B$42&amp;" m deep only. ","")&amp;IF(AND(LEFT(D190,11)="Rectangular",K190&lt;SG_Criteria!$B$43),"NOTE: 004C is for sewers &gt;= "&amp;SG_Criteria!$B$43&amp;" dia. ","")&amp;IF(AND(LEFT(D190,7)="Precast",J190&lt;=SG_Criteria!$B$42),"NOTE: 006C is for manholes &gt; "&amp;SG_Criteria!$B$42&amp;" m deep. ","")&amp;IF(AND(K190&lt;&gt;"",K190&lt;SG_Criteria!$B$40,D190&lt;&gt;"Inspection Chamber"),"NOTE: public sewer min dia "&amp;SG_Criteria!$B$40&amp;" mm. ","")&amp;IF(AND(Y190&lt;&gt;"",Y190&lt;SG_Criteria!$B$44),"FAIL: uplift FOS below "&amp;SG_Criteria!$B$44&amp;". ","")))</f>
        <v/>
      </c>
      <c r="BH190" s="9"/>
      <c r="BI190" s="9"/>
      <c r="BJ190" s="9"/>
      <c r="BK190" s="10" t="str">
        <f aca="false">IF(BJ190="","",IFERROR(VLOOKUP(BJ190,Projects!$A$5:$D$504,2,0),"Ref not in Projects"))</f>
        <v/>
      </c>
      <c r="BL190" s="10" t="str">
        <f aca="false">IF(BJ190="","",IFERROR(VLOOKUP(BJ190,Projects!$A$5:$D$504,4,0),"Ref not in Projects"))</f>
        <v/>
      </c>
      <c r="BM190" s="9"/>
      <c r="BN190" s="9"/>
      <c r="BO190" s="9"/>
      <c r="BP190" s="40"/>
      <c r="BQ190" s="9"/>
      <c r="BR190" s="40"/>
      <c r="BS190" s="9"/>
      <c r="BT190" s="40"/>
      <c r="BU190" s="9"/>
      <c r="BV190" s="9"/>
      <c r="BW190" s="9"/>
      <c r="BX190" s="40"/>
      <c r="BY190" s="40"/>
      <c r="BZ190" s="36" t="str">
        <f aca="false">IF(BY190="","",EDATE(BY190,SG_Criteria!$B$54*12))</f>
        <v/>
      </c>
      <c r="CA190" s="33" t="str">
        <f aca="true">IF(A190="","",IF(BY190="","NOTE: not reviewed yet",IF(TODAY()&gt;BZ190,"NOTE: review overdue","OK")))</f>
        <v/>
      </c>
      <c r="CB190" s="37" t="str">
        <f aca="false">IF(A190="","",ROUND((IF(LEN(D190)&gt;0,1,0)+IF(LEN(E190)&gt;0,1,0)+IF(LEN(F190)&gt;0,1,0)+IF(LEN(G190)&gt;0,1,0)+IF(LEN(I190)&gt;0,1,0)+IF(LEN(J190)&gt;0,1,0)+IF(LEN(K190)&gt;0,1,0)+IF(LEN(L190)&gt;0,1,0)+IF(LEN(M190)&gt;0,1,0)+IF(LEN(N190)&gt;0,1,0)+IF(LEN(Z190)&gt;0,1,0)+IF(LEN(AA190)&gt;0,1,0)+IF(LEN(Y190)&gt;0,1,0)+IF(LEN(AE190)&gt;0,1,0)+IF(LEN(AG190)&gt;0,1,0)+IF(LEN(AZ190)&gt;0,1,0)+IF(LEN(AK190)&gt;0,1,0)+IF(LEN(AM190)&gt;0,1,0)+IF(LEN(AN190)&gt;0,1,0)+IF(LEN(AO190)&gt;0,1,0)+IF(LEN(AP190)&gt;0,1,0)+IF(LEN(AY190)&gt;0,1,0)+IF(LEN(BJ190)&gt;0,1,0)+IF(LEN(BW190)&gt;0,1,0))/24,2))</f>
        <v/>
      </c>
      <c r="CC190" s="10" t="str">
        <f aca="false">IF(D190="","",IF(AND(AN190="Approved",ISERROR(SEARCH("FAIL",BG190))),"Y","N"))</f>
        <v/>
      </c>
      <c r="CD190" s="10" t="str">
        <f aca="false">IF(D190="","",D190&amp;"|"&amp;J190&amp;"|"&amp;G190&amp;"|"&amp;CC190)</f>
        <v/>
      </c>
    </row>
    <row r="191" customFormat="false" ht="15" hidden="false" customHeight="false" outlineLevel="0" collapsed="false">
      <c r="A191" s="10" t="str">
        <f aca="false">IF(D191="","","MH-"&amp;IFERROR(VLOOKUP(D191,Lists!$AB$4:$AC$20,2,0),"??")&amp;"-"&amp;TEXT(G191,"0000")&amp;IF(F191="Circular","D","x"&amp;TEXT(H191,"0000"))&amp;"-D"&amp;TEXT(J191*1000,"0000")&amp;"-"&amp;IFERROR(VLOOKUP(E191,Lists!$AE$4:$AF$16,2,0),"??")&amp;"-"&amp;AM191)</f>
        <v/>
      </c>
      <c r="B191" s="10" t="str">
        <f aca="false">IF(D191="","",D191&amp;", "&amp;E191&amp;", "&amp;IF(F191="Circular",G191&amp;" dia",G191&amp;" x "&amp;H191)&amp;", depth "&amp;TEXT(I191,"0.0")&amp;"-"&amp;TEXT(J191,"0.0")&amp;" m, pipe up to "&amp;K191&amp;" dia")</f>
        <v/>
      </c>
      <c r="C191" s="9"/>
      <c r="D191" s="9"/>
      <c r="E191" s="9"/>
      <c r="F191" s="9"/>
      <c r="G191" s="38"/>
      <c r="H191" s="38"/>
      <c r="I191" s="42"/>
      <c r="J191" s="42"/>
      <c r="K191" s="38"/>
      <c r="L191" s="38"/>
      <c r="M191" s="38"/>
      <c r="N191" s="38"/>
      <c r="O191" s="9"/>
      <c r="P191" s="9"/>
      <c r="Q191" s="9"/>
      <c r="R191" s="9"/>
      <c r="S191" s="9"/>
      <c r="T191" s="9"/>
      <c r="U191" s="9"/>
      <c r="V191" s="42"/>
      <c r="W191" s="9"/>
      <c r="X191" s="9"/>
      <c r="Y191" s="39"/>
      <c r="Z191" s="9"/>
      <c r="AA191" s="38"/>
      <c r="AB191" s="9"/>
      <c r="AC191" s="9"/>
      <c r="AD191" s="9"/>
      <c r="AE191" s="9"/>
      <c r="AF191" s="9"/>
      <c r="AG191" s="9"/>
      <c r="AH191" s="38"/>
      <c r="AI191" s="9"/>
      <c r="AJ191" s="39"/>
      <c r="AK191" s="9"/>
      <c r="AL191" s="9"/>
      <c r="AM191" s="9"/>
      <c r="AN191" s="9"/>
      <c r="AO191" s="9"/>
      <c r="AP191" s="9"/>
      <c r="AQ191" s="9"/>
      <c r="AR191" s="10" t="str">
        <f aca="false">IF(A191="","",SG_Criteria!$B$6&amp;SG_Criteria!$B$10&amp;"\"&amp;A191&amp;"\")</f>
        <v/>
      </c>
      <c r="AS191" s="10" t="str">
        <f aca="false">IF(A191="","",A191&amp;"_CAD.dwg")</f>
        <v/>
      </c>
      <c r="AT191" s="10" t="str">
        <f aca="false">IF(A191="","",A191&amp;"_DWG.pdf")</f>
        <v/>
      </c>
      <c r="AU191" s="10" t="str">
        <f aca="false">IF(A191="","",IF(AQ191="Y",A191&amp;"_STAAD.std","n/a"))</f>
        <v/>
      </c>
      <c r="AV191" s="10" t="str">
        <f aca="false">IF(A191="","",A191&amp;"_CALC.xlsx")</f>
        <v/>
      </c>
      <c r="AW191" s="10" t="str">
        <f aca="false">IF(A191="","",A191&amp;"_CALC.pdf")</f>
        <v/>
      </c>
      <c r="AX191" s="9"/>
      <c r="AY191" s="9"/>
      <c r="AZ191" s="39"/>
      <c r="BA191" s="39"/>
      <c r="BB191" s="39"/>
      <c r="BC191" s="39"/>
      <c r="BD191" s="39"/>
      <c r="BE191" s="12" t="str">
        <f aca="false">IF(A191="","",IF(COUNTIF(Rebar_Schedule!$A$5:$A$2004,A191)=0,"",ROUND(SUMIF(Rebar_Schedule!$A$5:$A$2004,A191,Rebar_Schedule!$K$5:$K$2004),1)))</f>
        <v/>
      </c>
      <c r="BF191" s="33" t="str">
        <f aca="false">IF(A191="","",IF(BE191="","No rebar schedule yet",IF(ABS(BE191-N(BA191))/MAX(N(BA191),1)&gt;SG_Criteria!$B$55,"NOTE: register rebar differs from schedule by "&amp;TEXT(ABS(BE191-N(BA191))/MAX(N(BA191),1),"0%"),"OK")))</f>
        <v/>
      </c>
      <c r="BG191" s="33" t="str">
        <f aca="false">IF(D191="","",IF(LEN(IF(AND(Z191&lt;&gt;"",IFERROR(VALUE(MID(Z191,2,2)),0)&lt;SG_Criteria!$B$19),"FAIL: grade below C"&amp;SG_Criteria!$B$19&amp;". ","")&amp;IF(AND(AA191&lt;&gt;"",AA191&lt;SG_Criteria!$B$20),"FAIL: cover &lt; "&amp;SG_Criteria!$B$20&amp;" mm. ","")&amp;IF(AND(I191&lt;&gt;"",I191&lt;SG_Criteria!$B$39),"NOTE: min depth below PUB "&amp;SG_Criteria!$B$39&amp;" m. ","")&amp;IF(AND(LEFT(D191,8)="Standard",J191&gt;SG_Criteria!$B$42),"FAIL: PUB 001C covers manholes up to "&amp;SG_Criteria!$B$42&amp;" m deep only. ","")&amp;IF(AND(LEFT(D191,11)="Rectangular",K191&lt;SG_Criteria!$B$43),"NOTE: 004C is for sewers &gt;= "&amp;SG_Criteria!$B$43&amp;" dia. ","")&amp;IF(AND(LEFT(D191,7)="Precast",J191&lt;=SG_Criteria!$B$42),"NOTE: 006C is for manholes &gt; "&amp;SG_Criteria!$B$42&amp;" m deep. ","")&amp;IF(AND(K191&lt;&gt;"",K191&lt;SG_Criteria!$B$40,D191&lt;&gt;"Inspection Chamber"),"NOTE: public sewer min dia "&amp;SG_Criteria!$B$40&amp;" mm. ","")&amp;IF(AND(Y191&lt;&gt;"",Y191&lt;SG_Criteria!$B$44),"FAIL: uplift FOS below "&amp;SG_Criteria!$B$44&amp;". ",""))=0,"OK",IF(AND(Z191&lt;&gt;"",IFERROR(VALUE(MID(Z191,2,2)),0)&lt;SG_Criteria!$B$19),"FAIL: grade below C"&amp;SG_Criteria!$B$19&amp;". ","")&amp;IF(AND(AA191&lt;&gt;"",AA191&lt;SG_Criteria!$B$20),"FAIL: cover &lt; "&amp;SG_Criteria!$B$20&amp;" mm. ","")&amp;IF(AND(I191&lt;&gt;"",I191&lt;SG_Criteria!$B$39),"NOTE: min depth below PUB "&amp;SG_Criteria!$B$39&amp;" m. ","")&amp;IF(AND(LEFT(D191,8)="Standard",J191&gt;SG_Criteria!$B$42),"FAIL: PUB 001C covers manholes up to "&amp;SG_Criteria!$B$42&amp;" m deep only. ","")&amp;IF(AND(LEFT(D191,11)="Rectangular",K191&lt;SG_Criteria!$B$43),"NOTE: 004C is for sewers &gt;= "&amp;SG_Criteria!$B$43&amp;" dia. ","")&amp;IF(AND(LEFT(D191,7)="Precast",J191&lt;=SG_Criteria!$B$42),"NOTE: 006C is for manholes &gt; "&amp;SG_Criteria!$B$42&amp;" m deep. ","")&amp;IF(AND(K191&lt;&gt;"",K191&lt;SG_Criteria!$B$40,D191&lt;&gt;"Inspection Chamber"),"NOTE: public sewer min dia "&amp;SG_Criteria!$B$40&amp;" mm. ","")&amp;IF(AND(Y191&lt;&gt;"",Y191&lt;SG_Criteria!$B$44),"FAIL: uplift FOS below "&amp;SG_Criteria!$B$44&amp;". ","")))</f>
        <v/>
      </c>
      <c r="BH191" s="9"/>
      <c r="BI191" s="9"/>
      <c r="BJ191" s="9"/>
      <c r="BK191" s="10" t="str">
        <f aca="false">IF(BJ191="","",IFERROR(VLOOKUP(BJ191,Projects!$A$5:$D$504,2,0),"Ref not in Projects"))</f>
        <v/>
      </c>
      <c r="BL191" s="10" t="str">
        <f aca="false">IF(BJ191="","",IFERROR(VLOOKUP(BJ191,Projects!$A$5:$D$504,4,0),"Ref not in Projects"))</f>
        <v/>
      </c>
      <c r="BM191" s="9"/>
      <c r="BN191" s="9"/>
      <c r="BO191" s="9"/>
      <c r="BP191" s="40"/>
      <c r="BQ191" s="9"/>
      <c r="BR191" s="40"/>
      <c r="BS191" s="9"/>
      <c r="BT191" s="40"/>
      <c r="BU191" s="9"/>
      <c r="BV191" s="9"/>
      <c r="BW191" s="9"/>
      <c r="BX191" s="40"/>
      <c r="BY191" s="40"/>
      <c r="BZ191" s="36" t="str">
        <f aca="false">IF(BY191="","",EDATE(BY191,SG_Criteria!$B$54*12))</f>
        <v/>
      </c>
      <c r="CA191" s="33" t="str">
        <f aca="true">IF(A191="","",IF(BY191="","NOTE: not reviewed yet",IF(TODAY()&gt;BZ191,"NOTE: review overdue","OK")))</f>
        <v/>
      </c>
      <c r="CB191" s="37" t="str">
        <f aca="false">IF(A191="","",ROUND((IF(LEN(D191)&gt;0,1,0)+IF(LEN(E191)&gt;0,1,0)+IF(LEN(F191)&gt;0,1,0)+IF(LEN(G191)&gt;0,1,0)+IF(LEN(I191)&gt;0,1,0)+IF(LEN(J191)&gt;0,1,0)+IF(LEN(K191)&gt;0,1,0)+IF(LEN(L191)&gt;0,1,0)+IF(LEN(M191)&gt;0,1,0)+IF(LEN(N191)&gt;0,1,0)+IF(LEN(Z191)&gt;0,1,0)+IF(LEN(AA191)&gt;0,1,0)+IF(LEN(Y191)&gt;0,1,0)+IF(LEN(AE191)&gt;0,1,0)+IF(LEN(AG191)&gt;0,1,0)+IF(LEN(AZ191)&gt;0,1,0)+IF(LEN(AK191)&gt;0,1,0)+IF(LEN(AM191)&gt;0,1,0)+IF(LEN(AN191)&gt;0,1,0)+IF(LEN(AO191)&gt;0,1,0)+IF(LEN(AP191)&gt;0,1,0)+IF(LEN(AY191)&gt;0,1,0)+IF(LEN(BJ191)&gt;0,1,0)+IF(LEN(BW191)&gt;0,1,0))/24,2))</f>
        <v/>
      </c>
      <c r="CC191" s="10" t="str">
        <f aca="false">IF(D191="","",IF(AND(AN191="Approved",ISERROR(SEARCH("FAIL",BG191))),"Y","N"))</f>
        <v/>
      </c>
      <c r="CD191" s="10" t="str">
        <f aca="false">IF(D191="","",D191&amp;"|"&amp;J191&amp;"|"&amp;G191&amp;"|"&amp;CC191)</f>
        <v/>
      </c>
    </row>
    <row r="192" customFormat="false" ht="15" hidden="false" customHeight="false" outlineLevel="0" collapsed="false">
      <c r="A192" s="10" t="str">
        <f aca="false">IF(D192="","","MH-"&amp;IFERROR(VLOOKUP(D192,Lists!$AB$4:$AC$20,2,0),"??")&amp;"-"&amp;TEXT(G192,"0000")&amp;IF(F192="Circular","D","x"&amp;TEXT(H192,"0000"))&amp;"-D"&amp;TEXT(J192*1000,"0000")&amp;"-"&amp;IFERROR(VLOOKUP(E192,Lists!$AE$4:$AF$16,2,0),"??")&amp;"-"&amp;AM192)</f>
        <v/>
      </c>
      <c r="B192" s="10" t="str">
        <f aca="false">IF(D192="","",D192&amp;", "&amp;E192&amp;", "&amp;IF(F192="Circular",G192&amp;" dia",G192&amp;" x "&amp;H192)&amp;", depth "&amp;TEXT(I192,"0.0")&amp;"-"&amp;TEXT(J192,"0.0")&amp;" m, pipe up to "&amp;K192&amp;" dia")</f>
        <v/>
      </c>
      <c r="C192" s="9"/>
      <c r="D192" s="9"/>
      <c r="E192" s="9"/>
      <c r="F192" s="9"/>
      <c r="G192" s="38"/>
      <c r="H192" s="38"/>
      <c r="I192" s="42"/>
      <c r="J192" s="42"/>
      <c r="K192" s="38"/>
      <c r="L192" s="38"/>
      <c r="M192" s="38"/>
      <c r="N192" s="38"/>
      <c r="O192" s="9"/>
      <c r="P192" s="9"/>
      <c r="Q192" s="9"/>
      <c r="R192" s="9"/>
      <c r="S192" s="9"/>
      <c r="T192" s="9"/>
      <c r="U192" s="9"/>
      <c r="V192" s="42"/>
      <c r="W192" s="9"/>
      <c r="X192" s="9"/>
      <c r="Y192" s="39"/>
      <c r="Z192" s="9"/>
      <c r="AA192" s="38"/>
      <c r="AB192" s="9"/>
      <c r="AC192" s="9"/>
      <c r="AD192" s="9"/>
      <c r="AE192" s="9"/>
      <c r="AF192" s="9"/>
      <c r="AG192" s="9"/>
      <c r="AH192" s="38"/>
      <c r="AI192" s="9"/>
      <c r="AJ192" s="39"/>
      <c r="AK192" s="9"/>
      <c r="AL192" s="9"/>
      <c r="AM192" s="9"/>
      <c r="AN192" s="9"/>
      <c r="AO192" s="9"/>
      <c r="AP192" s="9"/>
      <c r="AQ192" s="9"/>
      <c r="AR192" s="10" t="str">
        <f aca="false">IF(A192="","",SG_Criteria!$B$6&amp;SG_Criteria!$B$10&amp;"\"&amp;A192&amp;"\")</f>
        <v/>
      </c>
      <c r="AS192" s="10" t="str">
        <f aca="false">IF(A192="","",A192&amp;"_CAD.dwg")</f>
        <v/>
      </c>
      <c r="AT192" s="10" t="str">
        <f aca="false">IF(A192="","",A192&amp;"_DWG.pdf")</f>
        <v/>
      </c>
      <c r="AU192" s="10" t="str">
        <f aca="false">IF(A192="","",IF(AQ192="Y",A192&amp;"_STAAD.std","n/a"))</f>
        <v/>
      </c>
      <c r="AV192" s="10" t="str">
        <f aca="false">IF(A192="","",A192&amp;"_CALC.xlsx")</f>
        <v/>
      </c>
      <c r="AW192" s="10" t="str">
        <f aca="false">IF(A192="","",A192&amp;"_CALC.pdf")</f>
        <v/>
      </c>
      <c r="AX192" s="9"/>
      <c r="AY192" s="9"/>
      <c r="AZ192" s="39"/>
      <c r="BA192" s="39"/>
      <c r="BB192" s="39"/>
      <c r="BC192" s="39"/>
      <c r="BD192" s="39"/>
      <c r="BE192" s="12" t="str">
        <f aca="false">IF(A192="","",IF(COUNTIF(Rebar_Schedule!$A$5:$A$2004,A192)=0,"",ROUND(SUMIF(Rebar_Schedule!$A$5:$A$2004,A192,Rebar_Schedule!$K$5:$K$2004),1)))</f>
        <v/>
      </c>
      <c r="BF192" s="33" t="str">
        <f aca="false">IF(A192="","",IF(BE192="","No rebar schedule yet",IF(ABS(BE192-N(BA192))/MAX(N(BA192),1)&gt;SG_Criteria!$B$55,"NOTE: register rebar differs from schedule by "&amp;TEXT(ABS(BE192-N(BA192))/MAX(N(BA192),1),"0%"),"OK")))</f>
        <v/>
      </c>
      <c r="BG192" s="33" t="str">
        <f aca="false">IF(D192="","",IF(LEN(IF(AND(Z192&lt;&gt;"",IFERROR(VALUE(MID(Z192,2,2)),0)&lt;SG_Criteria!$B$19),"FAIL: grade below C"&amp;SG_Criteria!$B$19&amp;". ","")&amp;IF(AND(AA192&lt;&gt;"",AA192&lt;SG_Criteria!$B$20),"FAIL: cover &lt; "&amp;SG_Criteria!$B$20&amp;" mm. ","")&amp;IF(AND(I192&lt;&gt;"",I192&lt;SG_Criteria!$B$39),"NOTE: min depth below PUB "&amp;SG_Criteria!$B$39&amp;" m. ","")&amp;IF(AND(LEFT(D192,8)="Standard",J192&gt;SG_Criteria!$B$42),"FAIL: PUB 001C covers manholes up to "&amp;SG_Criteria!$B$42&amp;" m deep only. ","")&amp;IF(AND(LEFT(D192,11)="Rectangular",K192&lt;SG_Criteria!$B$43),"NOTE: 004C is for sewers &gt;= "&amp;SG_Criteria!$B$43&amp;" dia. ","")&amp;IF(AND(LEFT(D192,7)="Precast",J192&lt;=SG_Criteria!$B$42),"NOTE: 006C is for manholes &gt; "&amp;SG_Criteria!$B$42&amp;" m deep. ","")&amp;IF(AND(K192&lt;&gt;"",K192&lt;SG_Criteria!$B$40,D192&lt;&gt;"Inspection Chamber"),"NOTE: public sewer min dia "&amp;SG_Criteria!$B$40&amp;" mm. ","")&amp;IF(AND(Y192&lt;&gt;"",Y192&lt;SG_Criteria!$B$44),"FAIL: uplift FOS below "&amp;SG_Criteria!$B$44&amp;". ",""))=0,"OK",IF(AND(Z192&lt;&gt;"",IFERROR(VALUE(MID(Z192,2,2)),0)&lt;SG_Criteria!$B$19),"FAIL: grade below C"&amp;SG_Criteria!$B$19&amp;". ","")&amp;IF(AND(AA192&lt;&gt;"",AA192&lt;SG_Criteria!$B$20),"FAIL: cover &lt; "&amp;SG_Criteria!$B$20&amp;" mm. ","")&amp;IF(AND(I192&lt;&gt;"",I192&lt;SG_Criteria!$B$39),"NOTE: min depth below PUB "&amp;SG_Criteria!$B$39&amp;" m. ","")&amp;IF(AND(LEFT(D192,8)="Standard",J192&gt;SG_Criteria!$B$42),"FAIL: PUB 001C covers manholes up to "&amp;SG_Criteria!$B$42&amp;" m deep only. ","")&amp;IF(AND(LEFT(D192,11)="Rectangular",K192&lt;SG_Criteria!$B$43),"NOTE: 004C is for sewers &gt;= "&amp;SG_Criteria!$B$43&amp;" dia. ","")&amp;IF(AND(LEFT(D192,7)="Precast",J192&lt;=SG_Criteria!$B$42),"NOTE: 006C is for manholes &gt; "&amp;SG_Criteria!$B$42&amp;" m deep. ","")&amp;IF(AND(K192&lt;&gt;"",K192&lt;SG_Criteria!$B$40,D192&lt;&gt;"Inspection Chamber"),"NOTE: public sewer min dia "&amp;SG_Criteria!$B$40&amp;" mm. ","")&amp;IF(AND(Y192&lt;&gt;"",Y192&lt;SG_Criteria!$B$44),"FAIL: uplift FOS below "&amp;SG_Criteria!$B$44&amp;". ","")))</f>
        <v/>
      </c>
      <c r="BH192" s="9"/>
      <c r="BI192" s="9"/>
      <c r="BJ192" s="9"/>
      <c r="BK192" s="10" t="str">
        <f aca="false">IF(BJ192="","",IFERROR(VLOOKUP(BJ192,Projects!$A$5:$D$504,2,0),"Ref not in Projects"))</f>
        <v/>
      </c>
      <c r="BL192" s="10" t="str">
        <f aca="false">IF(BJ192="","",IFERROR(VLOOKUP(BJ192,Projects!$A$5:$D$504,4,0),"Ref not in Projects"))</f>
        <v/>
      </c>
      <c r="BM192" s="9"/>
      <c r="BN192" s="9"/>
      <c r="BO192" s="9"/>
      <c r="BP192" s="40"/>
      <c r="BQ192" s="9"/>
      <c r="BR192" s="40"/>
      <c r="BS192" s="9"/>
      <c r="BT192" s="40"/>
      <c r="BU192" s="9"/>
      <c r="BV192" s="9"/>
      <c r="BW192" s="9"/>
      <c r="BX192" s="40"/>
      <c r="BY192" s="40"/>
      <c r="BZ192" s="36" t="str">
        <f aca="false">IF(BY192="","",EDATE(BY192,SG_Criteria!$B$54*12))</f>
        <v/>
      </c>
      <c r="CA192" s="33" t="str">
        <f aca="true">IF(A192="","",IF(BY192="","NOTE: not reviewed yet",IF(TODAY()&gt;BZ192,"NOTE: review overdue","OK")))</f>
        <v/>
      </c>
      <c r="CB192" s="37" t="str">
        <f aca="false">IF(A192="","",ROUND((IF(LEN(D192)&gt;0,1,0)+IF(LEN(E192)&gt;0,1,0)+IF(LEN(F192)&gt;0,1,0)+IF(LEN(G192)&gt;0,1,0)+IF(LEN(I192)&gt;0,1,0)+IF(LEN(J192)&gt;0,1,0)+IF(LEN(K192)&gt;0,1,0)+IF(LEN(L192)&gt;0,1,0)+IF(LEN(M192)&gt;0,1,0)+IF(LEN(N192)&gt;0,1,0)+IF(LEN(Z192)&gt;0,1,0)+IF(LEN(AA192)&gt;0,1,0)+IF(LEN(Y192)&gt;0,1,0)+IF(LEN(AE192)&gt;0,1,0)+IF(LEN(AG192)&gt;0,1,0)+IF(LEN(AZ192)&gt;0,1,0)+IF(LEN(AK192)&gt;0,1,0)+IF(LEN(AM192)&gt;0,1,0)+IF(LEN(AN192)&gt;0,1,0)+IF(LEN(AO192)&gt;0,1,0)+IF(LEN(AP192)&gt;0,1,0)+IF(LEN(AY192)&gt;0,1,0)+IF(LEN(BJ192)&gt;0,1,0)+IF(LEN(BW192)&gt;0,1,0))/24,2))</f>
        <v/>
      </c>
      <c r="CC192" s="10" t="str">
        <f aca="false">IF(D192="","",IF(AND(AN192="Approved",ISERROR(SEARCH("FAIL",BG192))),"Y","N"))</f>
        <v/>
      </c>
      <c r="CD192" s="10" t="str">
        <f aca="false">IF(D192="","",D192&amp;"|"&amp;J192&amp;"|"&amp;G192&amp;"|"&amp;CC192)</f>
        <v/>
      </c>
    </row>
    <row r="193" customFormat="false" ht="15" hidden="false" customHeight="false" outlineLevel="0" collapsed="false">
      <c r="A193" s="10" t="str">
        <f aca="false">IF(D193="","","MH-"&amp;IFERROR(VLOOKUP(D193,Lists!$AB$4:$AC$20,2,0),"??")&amp;"-"&amp;TEXT(G193,"0000")&amp;IF(F193="Circular","D","x"&amp;TEXT(H193,"0000"))&amp;"-D"&amp;TEXT(J193*1000,"0000")&amp;"-"&amp;IFERROR(VLOOKUP(E193,Lists!$AE$4:$AF$16,2,0),"??")&amp;"-"&amp;AM193)</f>
        <v/>
      </c>
      <c r="B193" s="10" t="str">
        <f aca="false">IF(D193="","",D193&amp;", "&amp;E193&amp;", "&amp;IF(F193="Circular",G193&amp;" dia",G193&amp;" x "&amp;H193)&amp;", depth "&amp;TEXT(I193,"0.0")&amp;"-"&amp;TEXT(J193,"0.0")&amp;" m, pipe up to "&amp;K193&amp;" dia")</f>
        <v/>
      </c>
      <c r="C193" s="9"/>
      <c r="D193" s="9"/>
      <c r="E193" s="9"/>
      <c r="F193" s="9"/>
      <c r="G193" s="38"/>
      <c r="H193" s="38"/>
      <c r="I193" s="42"/>
      <c r="J193" s="42"/>
      <c r="K193" s="38"/>
      <c r="L193" s="38"/>
      <c r="M193" s="38"/>
      <c r="N193" s="38"/>
      <c r="O193" s="9"/>
      <c r="P193" s="9"/>
      <c r="Q193" s="9"/>
      <c r="R193" s="9"/>
      <c r="S193" s="9"/>
      <c r="T193" s="9"/>
      <c r="U193" s="9"/>
      <c r="V193" s="42"/>
      <c r="W193" s="9"/>
      <c r="X193" s="9"/>
      <c r="Y193" s="39"/>
      <c r="Z193" s="9"/>
      <c r="AA193" s="38"/>
      <c r="AB193" s="9"/>
      <c r="AC193" s="9"/>
      <c r="AD193" s="9"/>
      <c r="AE193" s="9"/>
      <c r="AF193" s="9"/>
      <c r="AG193" s="9"/>
      <c r="AH193" s="38"/>
      <c r="AI193" s="9"/>
      <c r="AJ193" s="39"/>
      <c r="AK193" s="9"/>
      <c r="AL193" s="9"/>
      <c r="AM193" s="9"/>
      <c r="AN193" s="9"/>
      <c r="AO193" s="9"/>
      <c r="AP193" s="9"/>
      <c r="AQ193" s="9"/>
      <c r="AR193" s="10" t="str">
        <f aca="false">IF(A193="","",SG_Criteria!$B$6&amp;SG_Criteria!$B$10&amp;"\"&amp;A193&amp;"\")</f>
        <v/>
      </c>
      <c r="AS193" s="10" t="str">
        <f aca="false">IF(A193="","",A193&amp;"_CAD.dwg")</f>
        <v/>
      </c>
      <c r="AT193" s="10" t="str">
        <f aca="false">IF(A193="","",A193&amp;"_DWG.pdf")</f>
        <v/>
      </c>
      <c r="AU193" s="10" t="str">
        <f aca="false">IF(A193="","",IF(AQ193="Y",A193&amp;"_STAAD.std","n/a"))</f>
        <v/>
      </c>
      <c r="AV193" s="10" t="str">
        <f aca="false">IF(A193="","",A193&amp;"_CALC.xlsx")</f>
        <v/>
      </c>
      <c r="AW193" s="10" t="str">
        <f aca="false">IF(A193="","",A193&amp;"_CALC.pdf")</f>
        <v/>
      </c>
      <c r="AX193" s="9"/>
      <c r="AY193" s="9"/>
      <c r="AZ193" s="39"/>
      <c r="BA193" s="39"/>
      <c r="BB193" s="39"/>
      <c r="BC193" s="39"/>
      <c r="BD193" s="39"/>
      <c r="BE193" s="12" t="str">
        <f aca="false">IF(A193="","",IF(COUNTIF(Rebar_Schedule!$A$5:$A$2004,A193)=0,"",ROUND(SUMIF(Rebar_Schedule!$A$5:$A$2004,A193,Rebar_Schedule!$K$5:$K$2004),1)))</f>
        <v/>
      </c>
      <c r="BF193" s="33" t="str">
        <f aca="false">IF(A193="","",IF(BE193="","No rebar schedule yet",IF(ABS(BE193-N(BA193))/MAX(N(BA193),1)&gt;SG_Criteria!$B$55,"NOTE: register rebar differs from schedule by "&amp;TEXT(ABS(BE193-N(BA193))/MAX(N(BA193),1),"0%"),"OK")))</f>
        <v/>
      </c>
      <c r="BG193" s="33" t="str">
        <f aca="false">IF(D193="","",IF(LEN(IF(AND(Z193&lt;&gt;"",IFERROR(VALUE(MID(Z193,2,2)),0)&lt;SG_Criteria!$B$19),"FAIL: grade below C"&amp;SG_Criteria!$B$19&amp;". ","")&amp;IF(AND(AA193&lt;&gt;"",AA193&lt;SG_Criteria!$B$20),"FAIL: cover &lt; "&amp;SG_Criteria!$B$20&amp;" mm. ","")&amp;IF(AND(I193&lt;&gt;"",I193&lt;SG_Criteria!$B$39),"NOTE: min depth below PUB "&amp;SG_Criteria!$B$39&amp;" m. ","")&amp;IF(AND(LEFT(D193,8)="Standard",J193&gt;SG_Criteria!$B$42),"FAIL: PUB 001C covers manholes up to "&amp;SG_Criteria!$B$42&amp;" m deep only. ","")&amp;IF(AND(LEFT(D193,11)="Rectangular",K193&lt;SG_Criteria!$B$43),"NOTE: 004C is for sewers &gt;= "&amp;SG_Criteria!$B$43&amp;" dia. ","")&amp;IF(AND(LEFT(D193,7)="Precast",J193&lt;=SG_Criteria!$B$42),"NOTE: 006C is for manholes &gt; "&amp;SG_Criteria!$B$42&amp;" m deep. ","")&amp;IF(AND(K193&lt;&gt;"",K193&lt;SG_Criteria!$B$40,D193&lt;&gt;"Inspection Chamber"),"NOTE: public sewer min dia "&amp;SG_Criteria!$B$40&amp;" mm. ","")&amp;IF(AND(Y193&lt;&gt;"",Y193&lt;SG_Criteria!$B$44),"FAIL: uplift FOS below "&amp;SG_Criteria!$B$44&amp;". ",""))=0,"OK",IF(AND(Z193&lt;&gt;"",IFERROR(VALUE(MID(Z193,2,2)),0)&lt;SG_Criteria!$B$19),"FAIL: grade below C"&amp;SG_Criteria!$B$19&amp;". ","")&amp;IF(AND(AA193&lt;&gt;"",AA193&lt;SG_Criteria!$B$20),"FAIL: cover &lt; "&amp;SG_Criteria!$B$20&amp;" mm. ","")&amp;IF(AND(I193&lt;&gt;"",I193&lt;SG_Criteria!$B$39),"NOTE: min depth below PUB "&amp;SG_Criteria!$B$39&amp;" m. ","")&amp;IF(AND(LEFT(D193,8)="Standard",J193&gt;SG_Criteria!$B$42),"FAIL: PUB 001C covers manholes up to "&amp;SG_Criteria!$B$42&amp;" m deep only. ","")&amp;IF(AND(LEFT(D193,11)="Rectangular",K193&lt;SG_Criteria!$B$43),"NOTE: 004C is for sewers &gt;= "&amp;SG_Criteria!$B$43&amp;" dia. ","")&amp;IF(AND(LEFT(D193,7)="Precast",J193&lt;=SG_Criteria!$B$42),"NOTE: 006C is for manholes &gt; "&amp;SG_Criteria!$B$42&amp;" m deep. ","")&amp;IF(AND(K193&lt;&gt;"",K193&lt;SG_Criteria!$B$40,D193&lt;&gt;"Inspection Chamber"),"NOTE: public sewer min dia "&amp;SG_Criteria!$B$40&amp;" mm. ","")&amp;IF(AND(Y193&lt;&gt;"",Y193&lt;SG_Criteria!$B$44),"FAIL: uplift FOS below "&amp;SG_Criteria!$B$44&amp;". ","")))</f>
        <v/>
      </c>
      <c r="BH193" s="9"/>
      <c r="BI193" s="9"/>
      <c r="BJ193" s="9"/>
      <c r="BK193" s="10" t="str">
        <f aca="false">IF(BJ193="","",IFERROR(VLOOKUP(BJ193,Projects!$A$5:$D$504,2,0),"Ref not in Projects"))</f>
        <v/>
      </c>
      <c r="BL193" s="10" t="str">
        <f aca="false">IF(BJ193="","",IFERROR(VLOOKUP(BJ193,Projects!$A$5:$D$504,4,0),"Ref not in Projects"))</f>
        <v/>
      </c>
      <c r="BM193" s="9"/>
      <c r="BN193" s="9"/>
      <c r="BO193" s="9"/>
      <c r="BP193" s="40"/>
      <c r="BQ193" s="9"/>
      <c r="BR193" s="40"/>
      <c r="BS193" s="9"/>
      <c r="BT193" s="40"/>
      <c r="BU193" s="9"/>
      <c r="BV193" s="9"/>
      <c r="BW193" s="9"/>
      <c r="BX193" s="40"/>
      <c r="BY193" s="40"/>
      <c r="BZ193" s="36" t="str">
        <f aca="false">IF(BY193="","",EDATE(BY193,SG_Criteria!$B$54*12))</f>
        <v/>
      </c>
      <c r="CA193" s="33" t="str">
        <f aca="true">IF(A193="","",IF(BY193="","NOTE: not reviewed yet",IF(TODAY()&gt;BZ193,"NOTE: review overdue","OK")))</f>
        <v/>
      </c>
      <c r="CB193" s="37" t="str">
        <f aca="false">IF(A193="","",ROUND((IF(LEN(D193)&gt;0,1,0)+IF(LEN(E193)&gt;0,1,0)+IF(LEN(F193)&gt;0,1,0)+IF(LEN(G193)&gt;0,1,0)+IF(LEN(I193)&gt;0,1,0)+IF(LEN(J193)&gt;0,1,0)+IF(LEN(K193)&gt;0,1,0)+IF(LEN(L193)&gt;0,1,0)+IF(LEN(M193)&gt;0,1,0)+IF(LEN(N193)&gt;0,1,0)+IF(LEN(Z193)&gt;0,1,0)+IF(LEN(AA193)&gt;0,1,0)+IF(LEN(Y193)&gt;0,1,0)+IF(LEN(AE193)&gt;0,1,0)+IF(LEN(AG193)&gt;0,1,0)+IF(LEN(AZ193)&gt;0,1,0)+IF(LEN(AK193)&gt;0,1,0)+IF(LEN(AM193)&gt;0,1,0)+IF(LEN(AN193)&gt;0,1,0)+IF(LEN(AO193)&gt;0,1,0)+IF(LEN(AP193)&gt;0,1,0)+IF(LEN(AY193)&gt;0,1,0)+IF(LEN(BJ193)&gt;0,1,0)+IF(LEN(BW193)&gt;0,1,0))/24,2))</f>
        <v/>
      </c>
      <c r="CC193" s="10" t="str">
        <f aca="false">IF(D193="","",IF(AND(AN193="Approved",ISERROR(SEARCH("FAIL",BG193))),"Y","N"))</f>
        <v/>
      </c>
      <c r="CD193" s="10" t="str">
        <f aca="false">IF(D193="","",D193&amp;"|"&amp;J193&amp;"|"&amp;G193&amp;"|"&amp;CC193)</f>
        <v/>
      </c>
    </row>
    <row r="194" customFormat="false" ht="15" hidden="false" customHeight="false" outlineLevel="0" collapsed="false">
      <c r="A194" s="10" t="str">
        <f aca="false">IF(D194="","","MH-"&amp;IFERROR(VLOOKUP(D194,Lists!$AB$4:$AC$20,2,0),"??")&amp;"-"&amp;TEXT(G194,"0000")&amp;IF(F194="Circular","D","x"&amp;TEXT(H194,"0000"))&amp;"-D"&amp;TEXT(J194*1000,"0000")&amp;"-"&amp;IFERROR(VLOOKUP(E194,Lists!$AE$4:$AF$16,2,0),"??")&amp;"-"&amp;AM194)</f>
        <v/>
      </c>
      <c r="B194" s="10" t="str">
        <f aca="false">IF(D194="","",D194&amp;", "&amp;E194&amp;", "&amp;IF(F194="Circular",G194&amp;" dia",G194&amp;" x "&amp;H194)&amp;", depth "&amp;TEXT(I194,"0.0")&amp;"-"&amp;TEXT(J194,"0.0")&amp;" m, pipe up to "&amp;K194&amp;" dia")</f>
        <v/>
      </c>
      <c r="C194" s="9"/>
      <c r="D194" s="9"/>
      <c r="E194" s="9"/>
      <c r="F194" s="9"/>
      <c r="G194" s="38"/>
      <c r="H194" s="38"/>
      <c r="I194" s="42"/>
      <c r="J194" s="42"/>
      <c r="K194" s="38"/>
      <c r="L194" s="38"/>
      <c r="M194" s="38"/>
      <c r="N194" s="38"/>
      <c r="O194" s="9"/>
      <c r="P194" s="9"/>
      <c r="Q194" s="9"/>
      <c r="R194" s="9"/>
      <c r="S194" s="9"/>
      <c r="T194" s="9"/>
      <c r="U194" s="9"/>
      <c r="V194" s="42"/>
      <c r="W194" s="9"/>
      <c r="X194" s="9"/>
      <c r="Y194" s="39"/>
      <c r="Z194" s="9"/>
      <c r="AA194" s="38"/>
      <c r="AB194" s="9"/>
      <c r="AC194" s="9"/>
      <c r="AD194" s="9"/>
      <c r="AE194" s="9"/>
      <c r="AF194" s="9"/>
      <c r="AG194" s="9"/>
      <c r="AH194" s="38"/>
      <c r="AI194" s="9"/>
      <c r="AJ194" s="39"/>
      <c r="AK194" s="9"/>
      <c r="AL194" s="9"/>
      <c r="AM194" s="9"/>
      <c r="AN194" s="9"/>
      <c r="AO194" s="9"/>
      <c r="AP194" s="9"/>
      <c r="AQ194" s="9"/>
      <c r="AR194" s="10" t="str">
        <f aca="false">IF(A194="","",SG_Criteria!$B$6&amp;SG_Criteria!$B$10&amp;"\"&amp;A194&amp;"\")</f>
        <v/>
      </c>
      <c r="AS194" s="10" t="str">
        <f aca="false">IF(A194="","",A194&amp;"_CAD.dwg")</f>
        <v/>
      </c>
      <c r="AT194" s="10" t="str">
        <f aca="false">IF(A194="","",A194&amp;"_DWG.pdf")</f>
        <v/>
      </c>
      <c r="AU194" s="10" t="str">
        <f aca="false">IF(A194="","",IF(AQ194="Y",A194&amp;"_STAAD.std","n/a"))</f>
        <v/>
      </c>
      <c r="AV194" s="10" t="str">
        <f aca="false">IF(A194="","",A194&amp;"_CALC.xlsx")</f>
        <v/>
      </c>
      <c r="AW194" s="10" t="str">
        <f aca="false">IF(A194="","",A194&amp;"_CALC.pdf")</f>
        <v/>
      </c>
      <c r="AX194" s="9"/>
      <c r="AY194" s="9"/>
      <c r="AZ194" s="39"/>
      <c r="BA194" s="39"/>
      <c r="BB194" s="39"/>
      <c r="BC194" s="39"/>
      <c r="BD194" s="39"/>
      <c r="BE194" s="12" t="str">
        <f aca="false">IF(A194="","",IF(COUNTIF(Rebar_Schedule!$A$5:$A$2004,A194)=0,"",ROUND(SUMIF(Rebar_Schedule!$A$5:$A$2004,A194,Rebar_Schedule!$K$5:$K$2004),1)))</f>
        <v/>
      </c>
      <c r="BF194" s="33" t="str">
        <f aca="false">IF(A194="","",IF(BE194="","No rebar schedule yet",IF(ABS(BE194-N(BA194))/MAX(N(BA194),1)&gt;SG_Criteria!$B$55,"NOTE: register rebar differs from schedule by "&amp;TEXT(ABS(BE194-N(BA194))/MAX(N(BA194),1),"0%"),"OK")))</f>
        <v/>
      </c>
      <c r="BG194" s="33" t="str">
        <f aca="false">IF(D194="","",IF(LEN(IF(AND(Z194&lt;&gt;"",IFERROR(VALUE(MID(Z194,2,2)),0)&lt;SG_Criteria!$B$19),"FAIL: grade below C"&amp;SG_Criteria!$B$19&amp;". ","")&amp;IF(AND(AA194&lt;&gt;"",AA194&lt;SG_Criteria!$B$20),"FAIL: cover &lt; "&amp;SG_Criteria!$B$20&amp;" mm. ","")&amp;IF(AND(I194&lt;&gt;"",I194&lt;SG_Criteria!$B$39),"NOTE: min depth below PUB "&amp;SG_Criteria!$B$39&amp;" m. ","")&amp;IF(AND(LEFT(D194,8)="Standard",J194&gt;SG_Criteria!$B$42),"FAIL: PUB 001C covers manholes up to "&amp;SG_Criteria!$B$42&amp;" m deep only. ","")&amp;IF(AND(LEFT(D194,11)="Rectangular",K194&lt;SG_Criteria!$B$43),"NOTE: 004C is for sewers &gt;= "&amp;SG_Criteria!$B$43&amp;" dia. ","")&amp;IF(AND(LEFT(D194,7)="Precast",J194&lt;=SG_Criteria!$B$42),"NOTE: 006C is for manholes &gt; "&amp;SG_Criteria!$B$42&amp;" m deep. ","")&amp;IF(AND(K194&lt;&gt;"",K194&lt;SG_Criteria!$B$40,D194&lt;&gt;"Inspection Chamber"),"NOTE: public sewer min dia "&amp;SG_Criteria!$B$40&amp;" mm. ","")&amp;IF(AND(Y194&lt;&gt;"",Y194&lt;SG_Criteria!$B$44),"FAIL: uplift FOS below "&amp;SG_Criteria!$B$44&amp;". ",""))=0,"OK",IF(AND(Z194&lt;&gt;"",IFERROR(VALUE(MID(Z194,2,2)),0)&lt;SG_Criteria!$B$19),"FAIL: grade below C"&amp;SG_Criteria!$B$19&amp;". ","")&amp;IF(AND(AA194&lt;&gt;"",AA194&lt;SG_Criteria!$B$20),"FAIL: cover &lt; "&amp;SG_Criteria!$B$20&amp;" mm. ","")&amp;IF(AND(I194&lt;&gt;"",I194&lt;SG_Criteria!$B$39),"NOTE: min depth below PUB "&amp;SG_Criteria!$B$39&amp;" m. ","")&amp;IF(AND(LEFT(D194,8)="Standard",J194&gt;SG_Criteria!$B$42),"FAIL: PUB 001C covers manholes up to "&amp;SG_Criteria!$B$42&amp;" m deep only. ","")&amp;IF(AND(LEFT(D194,11)="Rectangular",K194&lt;SG_Criteria!$B$43),"NOTE: 004C is for sewers &gt;= "&amp;SG_Criteria!$B$43&amp;" dia. ","")&amp;IF(AND(LEFT(D194,7)="Precast",J194&lt;=SG_Criteria!$B$42),"NOTE: 006C is for manholes &gt; "&amp;SG_Criteria!$B$42&amp;" m deep. ","")&amp;IF(AND(K194&lt;&gt;"",K194&lt;SG_Criteria!$B$40,D194&lt;&gt;"Inspection Chamber"),"NOTE: public sewer min dia "&amp;SG_Criteria!$B$40&amp;" mm. ","")&amp;IF(AND(Y194&lt;&gt;"",Y194&lt;SG_Criteria!$B$44),"FAIL: uplift FOS below "&amp;SG_Criteria!$B$44&amp;". ","")))</f>
        <v/>
      </c>
      <c r="BH194" s="9"/>
      <c r="BI194" s="9"/>
      <c r="BJ194" s="9"/>
      <c r="BK194" s="10" t="str">
        <f aca="false">IF(BJ194="","",IFERROR(VLOOKUP(BJ194,Projects!$A$5:$D$504,2,0),"Ref not in Projects"))</f>
        <v/>
      </c>
      <c r="BL194" s="10" t="str">
        <f aca="false">IF(BJ194="","",IFERROR(VLOOKUP(BJ194,Projects!$A$5:$D$504,4,0),"Ref not in Projects"))</f>
        <v/>
      </c>
      <c r="BM194" s="9"/>
      <c r="BN194" s="9"/>
      <c r="BO194" s="9"/>
      <c r="BP194" s="40"/>
      <c r="BQ194" s="9"/>
      <c r="BR194" s="40"/>
      <c r="BS194" s="9"/>
      <c r="BT194" s="40"/>
      <c r="BU194" s="9"/>
      <c r="BV194" s="9"/>
      <c r="BW194" s="9"/>
      <c r="BX194" s="40"/>
      <c r="BY194" s="40"/>
      <c r="BZ194" s="36" t="str">
        <f aca="false">IF(BY194="","",EDATE(BY194,SG_Criteria!$B$54*12))</f>
        <v/>
      </c>
      <c r="CA194" s="33" t="str">
        <f aca="true">IF(A194="","",IF(BY194="","NOTE: not reviewed yet",IF(TODAY()&gt;BZ194,"NOTE: review overdue","OK")))</f>
        <v/>
      </c>
      <c r="CB194" s="37" t="str">
        <f aca="false">IF(A194="","",ROUND((IF(LEN(D194)&gt;0,1,0)+IF(LEN(E194)&gt;0,1,0)+IF(LEN(F194)&gt;0,1,0)+IF(LEN(G194)&gt;0,1,0)+IF(LEN(I194)&gt;0,1,0)+IF(LEN(J194)&gt;0,1,0)+IF(LEN(K194)&gt;0,1,0)+IF(LEN(L194)&gt;0,1,0)+IF(LEN(M194)&gt;0,1,0)+IF(LEN(N194)&gt;0,1,0)+IF(LEN(Z194)&gt;0,1,0)+IF(LEN(AA194)&gt;0,1,0)+IF(LEN(Y194)&gt;0,1,0)+IF(LEN(AE194)&gt;0,1,0)+IF(LEN(AG194)&gt;0,1,0)+IF(LEN(AZ194)&gt;0,1,0)+IF(LEN(AK194)&gt;0,1,0)+IF(LEN(AM194)&gt;0,1,0)+IF(LEN(AN194)&gt;0,1,0)+IF(LEN(AO194)&gt;0,1,0)+IF(LEN(AP194)&gt;0,1,0)+IF(LEN(AY194)&gt;0,1,0)+IF(LEN(BJ194)&gt;0,1,0)+IF(LEN(BW194)&gt;0,1,0))/24,2))</f>
        <v/>
      </c>
      <c r="CC194" s="10" t="str">
        <f aca="false">IF(D194="","",IF(AND(AN194="Approved",ISERROR(SEARCH("FAIL",BG194))),"Y","N"))</f>
        <v/>
      </c>
      <c r="CD194" s="10" t="str">
        <f aca="false">IF(D194="","",D194&amp;"|"&amp;J194&amp;"|"&amp;G194&amp;"|"&amp;CC194)</f>
        <v/>
      </c>
    </row>
    <row r="195" customFormat="false" ht="15" hidden="false" customHeight="false" outlineLevel="0" collapsed="false">
      <c r="A195" s="10" t="str">
        <f aca="false">IF(D195="","","MH-"&amp;IFERROR(VLOOKUP(D195,Lists!$AB$4:$AC$20,2,0),"??")&amp;"-"&amp;TEXT(G195,"0000")&amp;IF(F195="Circular","D","x"&amp;TEXT(H195,"0000"))&amp;"-D"&amp;TEXT(J195*1000,"0000")&amp;"-"&amp;IFERROR(VLOOKUP(E195,Lists!$AE$4:$AF$16,2,0),"??")&amp;"-"&amp;AM195)</f>
        <v/>
      </c>
      <c r="B195" s="10" t="str">
        <f aca="false">IF(D195="","",D195&amp;", "&amp;E195&amp;", "&amp;IF(F195="Circular",G195&amp;" dia",G195&amp;" x "&amp;H195)&amp;", depth "&amp;TEXT(I195,"0.0")&amp;"-"&amp;TEXT(J195,"0.0")&amp;" m, pipe up to "&amp;K195&amp;" dia")</f>
        <v/>
      </c>
      <c r="C195" s="9"/>
      <c r="D195" s="9"/>
      <c r="E195" s="9"/>
      <c r="F195" s="9"/>
      <c r="G195" s="38"/>
      <c r="H195" s="38"/>
      <c r="I195" s="42"/>
      <c r="J195" s="42"/>
      <c r="K195" s="38"/>
      <c r="L195" s="38"/>
      <c r="M195" s="38"/>
      <c r="N195" s="38"/>
      <c r="O195" s="9"/>
      <c r="P195" s="9"/>
      <c r="Q195" s="9"/>
      <c r="R195" s="9"/>
      <c r="S195" s="9"/>
      <c r="T195" s="9"/>
      <c r="U195" s="9"/>
      <c r="V195" s="42"/>
      <c r="W195" s="9"/>
      <c r="X195" s="9"/>
      <c r="Y195" s="39"/>
      <c r="Z195" s="9"/>
      <c r="AA195" s="38"/>
      <c r="AB195" s="9"/>
      <c r="AC195" s="9"/>
      <c r="AD195" s="9"/>
      <c r="AE195" s="9"/>
      <c r="AF195" s="9"/>
      <c r="AG195" s="9"/>
      <c r="AH195" s="38"/>
      <c r="AI195" s="9"/>
      <c r="AJ195" s="39"/>
      <c r="AK195" s="9"/>
      <c r="AL195" s="9"/>
      <c r="AM195" s="9"/>
      <c r="AN195" s="9"/>
      <c r="AO195" s="9"/>
      <c r="AP195" s="9"/>
      <c r="AQ195" s="9"/>
      <c r="AR195" s="10" t="str">
        <f aca="false">IF(A195="","",SG_Criteria!$B$6&amp;SG_Criteria!$B$10&amp;"\"&amp;A195&amp;"\")</f>
        <v/>
      </c>
      <c r="AS195" s="10" t="str">
        <f aca="false">IF(A195="","",A195&amp;"_CAD.dwg")</f>
        <v/>
      </c>
      <c r="AT195" s="10" t="str">
        <f aca="false">IF(A195="","",A195&amp;"_DWG.pdf")</f>
        <v/>
      </c>
      <c r="AU195" s="10" t="str">
        <f aca="false">IF(A195="","",IF(AQ195="Y",A195&amp;"_STAAD.std","n/a"))</f>
        <v/>
      </c>
      <c r="AV195" s="10" t="str">
        <f aca="false">IF(A195="","",A195&amp;"_CALC.xlsx")</f>
        <v/>
      </c>
      <c r="AW195" s="10" t="str">
        <f aca="false">IF(A195="","",A195&amp;"_CALC.pdf")</f>
        <v/>
      </c>
      <c r="AX195" s="9"/>
      <c r="AY195" s="9"/>
      <c r="AZ195" s="39"/>
      <c r="BA195" s="39"/>
      <c r="BB195" s="39"/>
      <c r="BC195" s="39"/>
      <c r="BD195" s="39"/>
      <c r="BE195" s="12" t="str">
        <f aca="false">IF(A195="","",IF(COUNTIF(Rebar_Schedule!$A$5:$A$2004,A195)=0,"",ROUND(SUMIF(Rebar_Schedule!$A$5:$A$2004,A195,Rebar_Schedule!$K$5:$K$2004),1)))</f>
        <v/>
      </c>
      <c r="BF195" s="33" t="str">
        <f aca="false">IF(A195="","",IF(BE195="","No rebar schedule yet",IF(ABS(BE195-N(BA195))/MAX(N(BA195),1)&gt;SG_Criteria!$B$55,"NOTE: register rebar differs from schedule by "&amp;TEXT(ABS(BE195-N(BA195))/MAX(N(BA195),1),"0%"),"OK")))</f>
        <v/>
      </c>
      <c r="BG195" s="33" t="str">
        <f aca="false">IF(D195="","",IF(LEN(IF(AND(Z195&lt;&gt;"",IFERROR(VALUE(MID(Z195,2,2)),0)&lt;SG_Criteria!$B$19),"FAIL: grade below C"&amp;SG_Criteria!$B$19&amp;". ","")&amp;IF(AND(AA195&lt;&gt;"",AA195&lt;SG_Criteria!$B$20),"FAIL: cover &lt; "&amp;SG_Criteria!$B$20&amp;" mm. ","")&amp;IF(AND(I195&lt;&gt;"",I195&lt;SG_Criteria!$B$39),"NOTE: min depth below PUB "&amp;SG_Criteria!$B$39&amp;" m. ","")&amp;IF(AND(LEFT(D195,8)="Standard",J195&gt;SG_Criteria!$B$42),"FAIL: PUB 001C covers manholes up to "&amp;SG_Criteria!$B$42&amp;" m deep only. ","")&amp;IF(AND(LEFT(D195,11)="Rectangular",K195&lt;SG_Criteria!$B$43),"NOTE: 004C is for sewers &gt;= "&amp;SG_Criteria!$B$43&amp;" dia. ","")&amp;IF(AND(LEFT(D195,7)="Precast",J195&lt;=SG_Criteria!$B$42),"NOTE: 006C is for manholes &gt; "&amp;SG_Criteria!$B$42&amp;" m deep. ","")&amp;IF(AND(K195&lt;&gt;"",K195&lt;SG_Criteria!$B$40,D195&lt;&gt;"Inspection Chamber"),"NOTE: public sewer min dia "&amp;SG_Criteria!$B$40&amp;" mm. ","")&amp;IF(AND(Y195&lt;&gt;"",Y195&lt;SG_Criteria!$B$44),"FAIL: uplift FOS below "&amp;SG_Criteria!$B$44&amp;". ",""))=0,"OK",IF(AND(Z195&lt;&gt;"",IFERROR(VALUE(MID(Z195,2,2)),0)&lt;SG_Criteria!$B$19),"FAIL: grade below C"&amp;SG_Criteria!$B$19&amp;". ","")&amp;IF(AND(AA195&lt;&gt;"",AA195&lt;SG_Criteria!$B$20),"FAIL: cover &lt; "&amp;SG_Criteria!$B$20&amp;" mm. ","")&amp;IF(AND(I195&lt;&gt;"",I195&lt;SG_Criteria!$B$39),"NOTE: min depth below PUB "&amp;SG_Criteria!$B$39&amp;" m. ","")&amp;IF(AND(LEFT(D195,8)="Standard",J195&gt;SG_Criteria!$B$42),"FAIL: PUB 001C covers manholes up to "&amp;SG_Criteria!$B$42&amp;" m deep only. ","")&amp;IF(AND(LEFT(D195,11)="Rectangular",K195&lt;SG_Criteria!$B$43),"NOTE: 004C is for sewers &gt;= "&amp;SG_Criteria!$B$43&amp;" dia. ","")&amp;IF(AND(LEFT(D195,7)="Precast",J195&lt;=SG_Criteria!$B$42),"NOTE: 006C is for manholes &gt; "&amp;SG_Criteria!$B$42&amp;" m deep. ","")&amp;IF(AND(K195&lt;&gt;"",K195&lt;SG_Criteria!$B$40,D195&lt;&gt;"Inspection Chamber"),"NOTE: public sewer min dia "&amp;SG_Criteria!$B$40&amp;" mm. ","")&amp;IF(AND(Y195&lt;&gt;"",Y195&lt;SG_Criteria!$B$44),"FAIL: uplift FOS below "&amp;SG_Criteria!$B$44&amp;". ","")))</f>
        <v/>
      </c>
      <c r="BH195" s="9"/>
      <c r="BI195" s="9"/>
      <c r="BJ195" s="9"/>
      <c r="BK195" s="10" t="str">
        <f aca="false">IF(BJ195="","",IFERROR(VLOOKUP(BJ195,Projects!$A$5:$D$504,2,0),"Ref not in Projects"))</f>
        <v/>
      </c>
      <c r="BL195" s="10" t="str">
        <f aca="false">IF(BJ195="","",IFERROR(VLOOKUP(BJ195,Projects!$A$5:$D$504,4,0),"Ref not in Projects"))</f>
        <v/>
      </c>
      <c r="BM195" s="9"/>
      <c r="BN195" s="9"/>
      <c r="BO195" s="9"/>
      <c r="BP195" s="40"/>
      <c r="BQ195" s="9"/>
      <c r="BR195" s="40"/>
      <c r="BS195" s="9"/>
      <c r="BT195" s="40"/>
      <c r="BU195" s="9"/>
      <c r="BV195" s="9"/>
      <c r="BW195" s="9"/>
      <c r="BX195" s="40"/>
      <c r="BY195" s="40"/>
      <c r="BZ195" s="36" t="str">
        <f aca="false">IF(BY195="","",EDATE(BY195,SG_Criteria!$B$54*12))</f>
        <v/>
      </c>
      <c r="CA195" s="33" t="str">
        <f aca="true">IF(A195="","",IF(BY195="","NOTE: not reviewed yet",IF(TODAY()&gt;BZ195,"NOTE: review overdue","OK")))</f>
        <v/>
      </c>
      <c r="CB195" s="37" t="str">
        <f aca="false">IF(A195="","",ROUND((IF(LEN(D195)&gt;0,1,0)+IF(LEN(E195)&gt;0,1,0)+IF(LEN(F195)&gt;0,1,0)+IF(LEN(G195)&gt;0,1,0)+IF(LEN(I195)&gt;0,1,0)+IF(LEN(J195)&gt;0,1,0)+IF(LEN(K195)&gt;0,1,0)+IF(LEN(L195)&gt;0,1,0)+IF(LEN(M195)&gt;0,1,0)+IF(LEN(N195)&gt;0,1,0)+IF(LEN(Z195)&gt;0,1,0)+IF(LEN(AA195)&gt;0,1,0)+IF(LEN(Y195)&gt;0,1,0)+IF(LEN(AE195)&gt;0,1,0)+IF(LEN(AG195)&gt;0,1,0)+IF(LEN(AZ195)&gt;0,1,0)+IF(LEN(AK195)&gt;0,1,0)+IF(LEN(AM195)&gt;0,1,0)+IF(LEN(AN195)&gt;0,1,0)+IF(LEN(AO195)&gt;0,1,0)+IF(LEN(AP195)&gt;0,1,0)+IF(LEN(AY195)&gt;0,1,0)+IF(LEN(BJ195)&gt;0,1,0)+IF(LEN(BW195)&gt;0,1,0))/24,2))</f>
        <v/>
      </c>
      <c r="CC195" s="10" t="str">
        <f aca="false">IF(D195="","",IF(AND(AN195="Approved",ISERROR(SEARCH("FAIL",BG195))),"Y","N"))</f>
        <v/>
      </c>
      <c r="CD195" s="10" t="str">
        <f aca="false">IF(D195="","",D195&amp;"|"&amp;J195&amp;"|"&amp;G195&amp;"|"&amp;CC195)</f>
        <v/>
      </c>
    </row>
    <row r="196" customFormat="false" ht="15" hidden="false" customHeight="false" outlineLevel="0" collapsed="false">
      <c r="A196" s="10" t="str">
        <f aca="false">IF(D196="","","MH-"&amp;IFERROR(VLOOKUP(D196,Lists!$AB$4:$AC$20,2,0),"??")&amp;"-"&amp;TEXT(G196,"0000")&amp;IF(F196="Circular","D","x"&amp;TEXT(H196,"0000"))&amp;"-D"&amp;TEXT(J196*1000,"0000")&amp;"-"&amp;IFERROR(VLOOKUP(E196,Lists!$AE$4:$AF$16,2,0),"??")&amp;"-"&amp;AM196)</f>
        <v/>
      </c>
      <c r="B196" s="10" t="str">
        <f aca="false">IF(D196="","",D196&amp;", "&amp;E196&amp;", "&amp;IF(F196="Circular",G196&amp;" dia",G196&amp;" x "&amp;H196)&amp;", depth "&amp;TEXT(I196,"0.0")&amp;"-"&amp;TEXT(J196,"0.0")&amp;" m, pipe up to "&amp;K196&amp;" dia")</f>
        <v/>
      </c>
      <c r="C196" s="9"/>
      <c r="D196" s="9"/>
      <c r="E196" s="9"/>
      <c r="F196" s="9"/>
      <c r="G196" s="38"/>
      <c r="H196" s="38"/>
      <c r="I196" s="42"/>
      <c r="J196" s="42"/>
      <c r="K196" s="38"/>
      <c r="L196" s="38"/>
      <c r="M196" s="38"/>
      <c r="N196" s="38"/>
      <c r="O196" s="9"/>
      <c r="P196" s="9"/>
      <c r="Q196" s="9"/>
      <c r="R196" s="9"/>
      <c r="S196" s="9"/>
      <c r="T196" s="9"/>
      <c r="U196" s="9"/>
      <c r="V196" s="42"/>
      <c r="W196" s="9"/>
      <c r="X196" s="9"/>
      <c r="Y196" s="39"/>
      <c r="Z196" s="9"/>
      <c r="AA196" s="38"/>
      <c r="AB196" s="9"/>
      <c r="AC196" s="9"/>
      <c r="AD196" s="9"/>
      <c r="AE196" s="9"/>
      <c r="AF196" s="9"/>
      <c r="AG196" s="9"/>
      <c r="AH196" s="38"/>
      <c r="AI196" s="9"/>
      <c r="AJ196" s="39"/>
      <c r="AK196" s="9"/>
      <c r="AL196" s="9"/>
      <c r="AM196" s="9"/>
      <c r="AN196" s="9"/>
      <c r="AO196" s="9"/>
      <c r="AP196" s="9"/>
      <c r="AQ196" s="9"/>
      <c r="AR196" s="10" t="str">
        <f aca="false">IF(A196="","",SG_Criteria!$B$6&amp;SG_Criteria!$B$10&amp;"\"&amp;A196&amp;"\")</f>
        <v/>
      </c>
      <c r="AS196" s="10" t="str">
        <f aca="false">IF(A196="","",A196&amp;"_CAD.dwg")</f>
        <v/>
      </c>
      <c r="AT196" s="10" t="str">
        <f aca="false">IF(A196="","",A196&amp;"_DWG.pdf")</f>
        <v/>
      </c>
      <c r="AU196" s="10" t="str">
        <f aca="false">IF(A196="","",IF(AQ196="Y",A196&amp;"_STAAD.std","n/a"))</f>
        <v/>
      </c>
      <c r="AV196" s="10" t="str">
        <f aca="false">IF(A196="","",A196&amp;"_CALC.xlsx")</f>
        <v/>
      </c>
      <c r="AW196" s="10" t="str">
        <f aca="false">IF(A196="","",A196&amp;"_CALC.pdf")</f>
        <v/>
      </c>
      <c r="AX196" s="9"/>
      <c r="AY196" s="9"/>
      <c r="AZ196" s="39"/>
      <c r="BA196" s="39"/>
      <c r="BB196" s="39"/>
      <c r="BC196" s="39"/>
      <c r="BD196" s="39"/>
      <c r="BE196" s="12" t="str">
        <f aca="false">IF(A196="","",IF(COUNTIF(Rebar_Schedule!$A$5:$A$2004,A196)=0,"",ROUND(SUMIF(Rebar_Schedule!$A$5:$A$2004,A196,Rebar_Schedule!$K$5:$K$2004),1)))</f>
        <v/>
      </c>
      <c r="BF196" s="33" t="str">
        <f aca="false">IF(A196="","",IF(BE196="","No rebar schedule yet",IF(ABS(BE196-N(BA196))/MAX(N(BA196),1)&gt;SG_Criteria!$B$55,"NOTE: register rebar differs from schedule by "&amp;TEXT(ABS(BE196-N(BA196))/MAX(N(BA196),1),"0%"),"OK")))</f>
        <v/>
      </c>
      <c r="BG196" s="33" t="str">
        <f aca="false">IF(D196="","",IF(LEN(IF(AND(Z196&lt;&gt;"",IFERROR(VALUE(MID(Z196,2,2)),0)&lt;SG_Criteria!$B$19),"FAIL: grade below C"&amp;SG_Criteria!$B$19&amp;". ","")&amp;IF(AND(AA196&lt;&gt;"",AA196&lt;SG_Criteria!$B$20),"FAIL: cover &lt; "&amp;SG_Criteria!$B$20&amp;" mm. ","")&amp;IF(AND(I196&lt;&gt;"",I196&lt;SG_Criteria!$B$39),"NOTE: min depth below PUB "&amp;SG_Criteria!$B$39&amp;" m. ","")&amp;IF(AND(LEFT(D196,8)="Standard",J196&gt;SG_Criteria!$B$42),"FAIL: PUB 001C covers manholes up to "&amp;SG_Criteria!$B$42&amp;" m deep only. ","")&amp;IF(AND(LEFT(D196,11)="Rectangular",K196&lt;SG_Criteria!$B$43),"NOTE: 004C is for sewers &gt;= "&amp;SG_Criteria!$B$43&amp;" dia. ","")&amp;IF(AND(LEFT(D196,7)="Precast",J196&lt;=SG_Criteria!$B$42),"NOTE: 006C is for manholes &gt; "&amp;SG_Criteria!$B$42&amp;" m deep. ","")&amp;IF(AND(K196&lt;&gt;"",K196&lt;SG_Criteria!$B$40,D196&lt;&gt;"Inspection Chamber"),"NOTE: public sewer min dia "&amp;SG_Criteria!$B$40&amp;" mm. ","")&amp;IF(AND(Y196&lt;&gt;"",Y196&lt;SG_Criteria!$B$44),"FAIL: uplift FOS below "&amp;SG_Criteria!$B$44&amp;". ",""))=0,"OK",IF(AND(Z196&lt;&gt;"",IFERROR(VALUE(MID(Z196,2,2)),0)&lt;SG_Criteria!$B$19),"FAIL: grade below C"&amp;SG_Criteria!$B$19&amp;". ","")&amp;IF(AND(AA196&lt;&gt;"",AA196&lt;SG_Criteria!$B$20),"FAIL: cover &lt; "&amp;SG_Criteria!$B$20&amp;" mm. ","")&amp;IF(AND(I196&lt;&gt;"",I196&lt;SG_Criteria!$B$39),"NOTE: min depth below PUB "&amp;SG_Criteria!$B$39&amp;" m. ","")&amp;IF(AND(LEFT(D196,8)="Standard",J196&gt;SG_Criteria!$B$42),"FAIL: PUB 001C covers manholes up to "&amp;SG_Criteria!$B$42&amp;" m deep only. ","")&amp;IF(AND(LEFT(D196,11)="Rectangular",K196&lt;SG_Criteria!$B$43),"NOTE: 004C is for sewers &gt;= "&amp;SG_Criteria!$B$43&amp;" dia. ","")&amp;IF(AND(LEFT(D196,7)="Precast",J196&lt;=SG_Criteria!$B$42),"NOTE: 006C is for manholes &gt; "&amp;SG_Criteria!$B$42&amp;" m deep. ","")&amp;IF(AND(K196&lt;&gt;"",K196&lt;SG_Criteria!$B$40,D196&lt;&gt;"Inspection Chamber"),"NOTE: public sewer min dia "&amp;SG_Criteria!$B$40&amp;" mm. ","")&amp;IF(AND(Y196&lt;&gt;"",Y196&lt;SG_Criteria!$B$44),"FAIL: uplift FOS below "&amp;SG_Criteria!$B$44&amp;". ","")))</f>
        <v/>
      </c>
      <c r="BH196" s="9"/>
      <c r="BI196" s="9"/>
      <c r="BJ196" s="9"/>
      <c r="BK196" s="10" t="str">
        <f aca="false">IF(BJ196="","",IFERROR(VLOOKUP(BJ196,Projects!$A$5:$D$504,2,0),"Ref not in Projects"))</f>
        <v/>
      </c>
      <c r="BL196" s="10" t="str">
        <f aca="false">IF(BJ196="","",IFERROR(VLOOKUP(BJ196,Projects!$A$5:$D$504,4,0),"Ref not in Projects"))</f>
        <v/>
      </c>
      <c r="BM196" s="9"/>
      <c r="BN196" s="9"/>
      <c r="BO196" s="9"/>
      <c r="BP196" s="40"/>
      <c r="BQ196" s="9"/>
      <c r="BR196" s="40"/>
      <c r="BS196" s="9"/>
      <c r="BT196" s="40"/>
      <c r="BU196" s="9"/>
      <c r="BV196" s="9"/>
      <c r="BW196" s="9"/>
      <c r="BX196" s="40"/>
      <c r="BY196" s="40"/>
      <c r="BZ196" s="36" t="str">
        <f aca="false">IF(BY196="","",EDATE(BY196,SG_Criteria!$B$54*12))</f>
        <v/>
      </c>
      <c r="CA196" s="33" t="str">
        <f aca="true">IF(A196="","",IF(BY196="","NOTE: not reviewed yet",IF(TODAY()&gt;BZ196,"NOTE: review overdue","OK")))</f>
        <v/>
      </c>
      <c r="CB196" s="37" t="str">
        <f aca="false">IF(A196="","",ROUND((IF(LEN(D196)&gt;0,1,0)+IF(LEN(E196)&gt;0,1,0)+IF(LEN(F196)&gt;0,1,0)+IF(LEN(G196)&gt;0,1,0)+IF(LEN(I196)&gt;0,1,0)+IF(LEN(J196)&gt;0,1,0)+IF(LEN(K196)&gt;0,1,0)+IF(LEN(L196)&gt;0,1,0)+IF(LEN(M196)&gt;0,1,0)+IF(LEN(N196)&gt;0,1,0)+IF(LEN(Z196)&gt;0,1,0)+IF(LEN(AA196)&gt;0,1,0)+IF(LEN(Y196)&gt;0,1,0)+IF(LEN(AE196)&gt;0,1,0)+IF(LEN(AG196)&gt;0,1,0)+IF(LEN(AZ196)&gt;0,1,0)+IF(LEN(AK196)&gt;0,1,0)+IF(LEN(AM196)&gt;0,1,0)+IF(LEN(AN196)&gt;0,1,0)+IF(LEN(AO196)&gt;0,1,0)+IF(LEN(AP196)&gt;0,1,0)+IF(LEN(AY196)&gt;0,1,0)+IF(LEN(BJ196)&gt;0,1,0)+IF(LEN(BW196)&gt;0,1,0))/24,2))</f>
        <v/>
      </c>
      <c r="CC196" s="10" t="str">
        <f aca="false">IF(D196="","",IF(AND(AN196="Approved",ISERROR(SEARCH("FAIL",BG196))),"Y","N"))</f>
        <v/>
      </c>
      <c r="CD196" s="10" t="str">
        <f aca="false">IF(D196="","",D196&amp;"|"&amp;J196&amp;"|"&amp;G196&amp;"|"&amp;CC196)</f>
        <v/>
      </c>
    </row>
    <row r="197" customFormat="false" ht="15" hidden="false" customHeight="false" outlineLevel="0" collapsed="false">
      <c r="A197" s="10" t="str">
        <f aca="false">IF(D197="","","MH-"&amp;IFERROR(VLOOKUP(D197,Lists!$AB$4:$AC$20,2,0),"??")&amp;"-"&amp;TEXT(G197,"0000")&amp;IF(F197="Circular","D","x"&amp;TEXT(H197,"0000"))&amp;"-D"&amp;TEXT(J197*1000,"0000")&amp;"-"&amp;IFERROR(VLOOKUP(E197,Lists!$AE$4:$AF$16,2,0),"??")&amp;"-"&amp;AM197)</f>
        <v/>
      </c>
      <c r="B197" s="10" t="str">
        <f aca="false">IF(D197="","",D197&amp;", "&amp;E197&amp;", "&amp;IF(F197="Circular",G197&amp;" dia",G197&amp;" x "&amp;H197)&amp;", depth "&amp;TEXT(I197,"0.0")&amp;"-"&amp;TEXT(J197,"0.0")&amp;" m, pipe up to "&amp;K197&amp;" dia")</f>
        <v/>
      </c>
      <c r="C197" s="9"/>
      <c r="D197" s="9"/>
      <c r="E197" s="9"/>
      <c r="F197" s="9"/>
      <c r="G197" s="38"/>
      <c r="H197" s="38"/>
      <c r="I197" s="42"/>
      <c r="J197" s="42"/>
      <c r="K197" s="38"/>
      <c r="L197" s="38"/>
      <c r="M197" s="38"/>
      <c r="N197" s="38"/>
      <c r="O197" s="9"/>
      <c r="P197" s="9"/>
      <c r="Q197" s="9"/>
      <c r="R197" s="9"/>
      <c r="S197" s="9"/>
      <c r="T197" s="9"/>
      <c r="U197" s="9"/>
      <c r="V197" s="42"/>
      <c r="W197" s="9"/>
      <c r="X197" s="9"/>
      <c r="Y197" s="39"/>
      <c r="Z197" s="9"/>
      <c r="AA197" s="38"/>
      <c r="AB197" s="9"/>
      <c r="AC197" s="9"/>
      <c r="AD197" s="9"/>
      <c r="AE197" s="9"/>
      <c r="AF197" s="9"/>
      <c r="AG197" s="9"/>
      <c r="AH197" s="38"/>
      <c r="AI197" s="9"/>
      <c r="AJ197" s="39"/>
      <c r="AK197" s="9"/>
      <c r="AL197" s="9"/>
      <c r="AM197" s="9"/>
      <c r="AN197" s="9"/>
      <c r="AO197" s="9"/>
      <c r="AP197" s="9"/>
      <c r="AQ197" s="9"/>
      <c r="AR197" s="10" t="str">
        <f aca="false">IF(A197="","",SG_Criteria!$B$6&amp;SG_Criteria!$B$10&amp;"\"&amp;A197&amp;"\")</f>
        <v/>
      </c>
      <c r="AS197" s="10" t="str">
        <f aca="false">IF(A197="","",A197&amp;"_CAD.dwg")</f>
        <v/>
      </c>
      <c r="AT197" s="10" t="str">
        <f aca="false">IF(A197="","",A197&amp;"_DWG.pdf")</f>
        <v/>
      </c>
      <c r="AU197" s="10" t="str">
        <f aca="false">IF(A197="","",IF(AQ197="Y",A197&amp;"_STAAD.std","n/a"))</f>
        <v/>
      </c>
      <c r="AV197" s="10" t="str">
        <f aca="false">IF(A197="","",A197&amp;"_CALC.xlsx")</f>
        <v/>
      </c>
      <c r="AW197" s="10" t="str">
        <f aca="false">IF(A197="","",A197&amp;"_CALC.pdf")</f>
        <v/>
      </c>
      <c r="AX197" s="9"/>
      <c r="AY197" s="9"/>
      <c r="AZ197" s="39"/>
      <c r="BA197" s="39"/>
      <c r="BB197" s="39"/>
      <c r="BC197" s="39"/>
      <c r="BD197" s="39"/>
      <c r="BE197" s="12" t="str">
        <f aca="false">IF(A197="","",IF(COUNTIF(Rebar_Schedule!$A$5:$A$2004,A197)=0,"",ROUND(SUMIF(Rebar_Schedule!$A$5:$A$2004,A197,Rebar_Schedule!$K$5:$K$2004),1)))</f>
        <v/>
      </c>
      <c r="BF197" s="33" t="str">
        <f aca="false">IF(A197="","",IF(BE197="","No rebar schedule yet",IF(ABS(BE197-N(BA197))/MAX(N(BA197),1)&gt;SG_Criteria!$B$55,"NOTE: register rebar differs from schedule by "&amp;TEXT(ABS(BE197-N(BA197))/MAX(N(BA197),1),"0%"),"OK")))</f>
        <v/>
      </c>
      <c r="BG197" s="33" t="str">
        <f aca="false">IF(D197="","",IF(LEN(IF(AND(Z197&lt;&gt;"",IFERROR(VALUE(MID(Z197,2,2)),0)&lt;SG_Criteria!$B$19),"FAIL: grade below C"&amp;SG_Criteria!$B$19&amp;". ","")&amp;IF(AND(AA197&lt;&gt;"",AA197&lt;SG_Criteria!$B$20),"FAIL: cover &lt; "&amp;SG_Criteria!$B$20&amp;" mm. ","")&amp;IF(AND(I197&lt;&gt;"",I197&lt;SG_Criteria!$B$39),"NOTE: min depth below PUB "&amp;SG_Criteria!$B$39&amp;" m. ","")&amp;IF(AND(LEFT(D197,8)="Standard",J197&gt;SG_Criteria!$B$42),"FAIL: PUB 001C covers manholes up to "&amp;SG_Criteria!$B$42&amp;" m deep only. ","")&amp;IF(AND(LEFT(D197,11)="Rectangular",K197&lt;SG_Criteria!$B$43),"NOTE: 004C is for sewers &gt;= "&amp;SG_Criteria!$B$43&amp;" dia. ","")&amp;IF(AND(LEFT(D197,7)="Precast",J197&lt;=SG_Criteria!$B$42),"NOTE: 006C is for manholes &gt; "&amp;SG_Criteria!$B$42&amp;" m deep. ","")&amp;IF(AND(K197&lt;&gt;"",K197&lt;SG_Criteria!$B$40,D197&lt;&gt;"Inspection Chamber"),"NOTE: public sewer min dia "&amp;SG_Criteria!$B$40&amp;" mm. ","")&amp;IF(AND(Y197&lt;&gt;"",Y197&lt;SG_Criteria!$B$44),"FAIL: uplift FOS below "&amp;SG_Criteria!$B$44&amp;". ",""))=0,"OK",IF(AND(Z197&lt;&gt;"",IFERROR(VALUE(MID(Z197,2,2)),0)&lt;SG_Criteria!$B$19),"FAIL: grade below C"&amp;SG_Criteria!$B$19&amp;". ","")&amp;IF(AND(AA197&lt;&gt;"",AA197&lt;SG_Criteria!$B$20),"FAIL: cover &lt; "&amp;SG_Criteria!$B$20&amp;" mm. ","")&amp;IF(AND(I197&lt;&gt;"",I197&lt;SG_Criteria!$B$39),"NOTE: min depth below PUB "&amp;SG_Criteria!$B$39&amp;" m. ","")&amp;IF(AND(LEFT(D197,8)="Standard",J197&gt;SG_Criteria!$B$42),"FAIL: PUB 001C covers manholes up to "&amp;SG_Criteria!$B$42&amp;" m deep only. ","")&amp;IF(AND(LEFT(D197,11)="Rectangular",K197&lt;SG_Criteria!$B$43),"NOTE: 004C is for sewers &gt;= "&amp;SG_Criteria!$B$43&amp;" dia. ","")&amp;IF(AND(LEFT(D197,7)="Precast",J197&lt;=SG_Criteria!$B$42),"NOTE: 006C is for manholes &gt; "&amp;SG_Criteria!$B$42&amp;" m deep. ","")&amp;IF(AND(K197&lt;&gt;"",K197&lt;SG_Criteria!$B$40,D197&lt;&gt;"Inspection Chamber"),"NOTE: public sewer min dia "&amp;SG_Criteria!$B$40&amp;" mm. ","")&amp;IF(AND(Y197&lt;&gt;"",Y197&lt;SG_Criteria!$B$44),"FAIL: uplift FOS below "&amp;SG_Criteria!$B$44&amp;". ","")))</f>
        <v/>
      </c>
      <c r="BH197" s="9"/>
      <c r="BI197" s="9"/>
      <c r="BJ197" s="9"/>
      <c r="BK197" s="10" t="str">
        <f aca="false">IF(BJ197="","",IFERROR(VLOOKUP(BJ197,Projects!$A$5:$D$504,2,0),"Ref not in Projects"))</f>
        <v/>
      </c>
      <c r="BL197" s="10" t="str">
        <f aca="false">IF(BJ197="","",IFERROR(VLOOKUP(BJ197,Projects!$A$5:$D$504,4,0),"Ref not in Projects"))</f>
        <v/>
      </c>
      <c r="BM197" s="9"/>
      <c r="BN197" s="9"/>
      <c r="BO197" s="9"/>
      <c r="BP197" s="40"/>
      <c r="BQ197" s="9"/>
      <c r="BR197" s="40"/>
      <c r="BS197" s="9"/>
      <c r="BT197" s="40"/>
      <c r="BU197" s="9"/>
      <c r="BV197" s="9"/>
      <c r="BW197" s="9"/>
      <c r="BX197" s="40"/>
      <c r="BY197" s="40"/>
      <c r="BZ197" s="36" t="str">
        <f aca="false">IF(BY197="","",EDATE(BY197,SG_Criteria!$B$54*12))</f>
        <v/>
      </c>
      <c r="CA197" s="33" t="str">
        <f aca="true">IF(A197="","",IF(BY197="","NOTE: not reviewed yet",IF(TODAY()&gt;BZ197,"NOTE: review overdue","OK")))</f>
        <v/>
      </c>
      <c r="CB197" s="37" t="str">
        <f aca="false">IF(A197="","",ROUND((IF(LEN(D197)&gt;0,1,0)+IF(LEN(E197)&gt;0,1,0)+IF(LEN(F197)&gt;0,1,0)+IF(LEN(G197)&gt;0,1,0)+IF(LEN(I197)&gt;0,1,0)+IF(LEN(J197)&gt;0,1,0)+IF(LEN(K197)&gt;0,1,0)+IF(LEN(L197)&gt;0,1,0)+IF(LEN(M197)&gt;0,1,0)+IF(LEN(N197)&gt;0,1,0)+IF(LEN(Z197)&gt;0,1,0)+IF(LEN(AA197)&gt;0,1,0)+IF(LEN(Y197)&gt;0,1,0)+IF(LEN(AE197)&gt;0,1,0)+IF(LEN(AG197)&gt;0,1,0)+IF(LEN(AZ197)&gt;0,1,0)+IF(LEN(AK197)&gt;0,1,0)+IF(LEN(AM197)&gt;0,1,0)+IF(LEN(AN197)&gt;0,1,0)+IF(LEN(AO197)&gt;0,1,0)+IF(LEN(AP197)&gt;0,1,0)+IF(LEN(AY197)&gt;0,1,0)+IF(LEN(BJ197)&gt;0,1,0)+IF(LEN(BW197)&gt;0,1,0))/24,2))</f>
        <v/>
      </c>
      <c r="CC197" s="10" t="str">
        <f aca="false">IF(D197="","",IF(AND(AN197="Approved",ISERROR(SEARCH("FAIL",BG197))),"Y","N"))</f>
        <v/>
      </c>
      <c r="CD197" s="10" t="str">
        <f aca="false">IF(D197="","",D197&amp;"|"&amp;J197&amp;"|"&amp;G197&amp;"|"&amp;CC197)</f>
        <v/>
      </c>
    </row>
    <row r="198" customFormat="false" ht="15" hidden="false" customHeight="false" outlineLevel="0" collapsed="false">
      <c r="A198" s="10" t="str">
        <f aca="false">IF(D198="","","MH-"&amp;IFERROR(VLOOKUP(D198,Lists!$AB$4:$AC$20,2,0),"??")&amp;"-"&amp;TEXT(G198,"0000")&amp;IF(F198="Circular","D","x"&amp;TEXT(H198,"0000"))&amp;"-D"&amp;TEXT(J198*1000,"0000")&amp;"-"&amp;IFERROR(VLOOKUP(E198,Lists!$AE$4:$AF$16,2,0),"??")&amp;"-"&amp;AM198)</f>
        <v/>
      </c>
      <c r="B198" s="10" t="str">
        <f aca="false">IF(D198="","",D198&amp;", "&amp;E198&amp;", "&amp;IF(F198="Circular",G198&amp;" dia",G198&amp;" x "&amp;H198)&amp;", depth "&amp;TEXT(I198,"0.0")&amp;"-"&amp;TEXT(J198,"0.0")&amp;" m, pipe up to "&amp;K198&amp;" dia")</f>
        <v/>
      </c>
      <c r="C198" s="9"/>
      <c r="D198" s="9"/>
      <c r="E198" s="9"/>
      <c r="F198" s="9"/>
      <c r="G198" s="38"/>
      <c r="H198" s="38"/>
      <c r="I198" s="42"/>
      <c r="J198" s="42"/>
      <c r="K198" s="38"/>
      <c r="L198" s="38"/>
      <c r="M198" s="38"/>
      <c r="N198" s="38"/>
      <c r="O198" s="9"/>
      <c r="P198" s="9"/>
      <c r="Q198" s="9"/>
      <c r="R198" s="9"/>
      <c r="S198" s="9"/>
      <c r="T198" s="9"/>
      <c r="U198" s="9"/>
      <c r="V198" s="42"/>
      <c r="W198" s="9"/>
      <c r="X198" s="9"/>
      <c r="Y198" s="39"/>
      <c r="Z198" s="9"/>
      <c r="AA198" s="38"/>
      <c r="AB198" s="9"/>
      <c r="AC198" s="9"/>
      <c r="AD198" s="9"/>
      <c r="AE198" s="9"/>
      <c r="AF198" s="9"/>
      <c r="AG198" s="9"/>
      <c r="AH198" s="38"/>
      <c r="AI198" s="9"/>
      <c r="AJ198" s="39"/>
      <c r="AK198" s="9"/>
      <c r="AL198" s="9"/>
      <c r="AM198" s="9"/>
      <c r="AN198" s="9"/>
      <c r="AO198" s="9"/>
      <c r="AP198" s="9"/>
      <c r="AQ198" s="9"/>
      <c r="AR198" s="10" t="str">
        <f aca="false">IF(A198="","",SG_Criteria!$B$6&amp;SG_Criteria!$B$10&amp;"\"&amp;A198&amp;"\")</f>
        <v/>
      </c>
      <c r="AS198" s="10" t="str">
        <f aca="false">IF(A198="","",A198&amp;"_CAD.dwg")</f>
        <v/>
      </c>
      <c r="AT198" s="10" t="str">
        <f aca="false">IF(A198="","",A198&amp;"_DWG.pdf")</f>
        <v/>
      </c>
      <c r="AU198" s="10" t="str">
        <f aca="false">IF(A198="","",IF(AQ198="Y",A198&amp;"_STAAD.std","n/a"))</f>
        <v/>
      </c>
      <c r="AV198" s="10" t="str">
        <f aca="false">IF(A198="","",A198&amp;"_CALC.xlsx")</f>
        <v/>
      </c>
      <c r="AW198" s="10" t="str">
        <f aca="false">IF(A198="","",A198&amp;"_CALC.pdf")</f>
        <v/>
      </c>
      <c r="AX198" s="9"/>
      <c r="AY198" s="9"/>
      <c r="AZ198" s="39"/>
      <c r="BA198" s="39"/>
      <c r="BB198" s="39"/>
      <c r="BC198" s="39"/>
      <c r="BD198" s="39"/>
      <c r="BE198" s="12" t="str">
        <f aca="false">IF(A198="","",IF(COUNTIF(Rebar_Schedule!$A$5:$A$2004,A198)=0,"",ROUND(SUMIF(Rebar_Schedule!$A$5:$A$2004,A198,Rebar_Schedule!$K$5:$K$2004),1)))</f>
        <v/>
      </c>
      <c r="BF198" s="33" t="str">
        <f aca="false">IF(A198="","",IF(BE198="","No rebar schedule yet",IF(ABS(BE198-N(BA198))/MAX(N(BA198),1)&gt;SG_Criteria!$B$55,"NOTE: register rebar differs from schedule by "&amp;TEXT(ABS(BE198-N(BA198))/MAX(N(BA198),1),"0%"),"OK")))</f>
        <v/>
      </c>
      <c r="BG198" s="33" t="str">
        <f aca="false">IF(D198="","",IF(LEN(IF(AND(Z198&lt;&gt;"",IFERROR(VALUE(MID(Z198,2,2)),0)&lt;SG_Criteria!$B$19),"FAIL: grade below C"&amp;SG_Criteria!$B$19&amp;". ","")&amp;IF(AND(AA198&lt;&gt;"",AA198&lt;SG_Criteria!$B$20),"FAIL: cover &lt; "&amp;SG_Criteria!$B$20&amp;" mm. ","")&amp;IF(AND(I198&lt;&gt;"",I198&lt;SG_Criteria!$B$39),"NOTE: min depth below PUB "&amp;SG_Criteria!$B$39&amp;" m. ","")&amp;IF(AND(LEFT(D198,8)="Standard",J198&gt;SG_Criteria!$B$42),"FAIL: PUB 001C covers manholes up to "&amp;SG_Criteria!$B$42&amp;" m deep only. ","")&amp;IF(AND(LEFT(D198,11)="Rectangular",K198&lt;SG_Criteria!$B$43),"NOTE: 004C is for sewers &gt;= "&amp;SG_Criteria!$B$43&amp;" dia. ","")&amp;IF(AND(LEFT(D198,7)="Precast",J198&lt;=SG_Criteria!$B$42),"NOTE: 006C is for manholes &gt; "&amp;SG_Criteria!$B$42&amp;" m deep. ","")&amp;IF(AND(K198&lt;&gt;"",K198&lt;SG_Criteria!$B$40,D198&lt;&gt;"Inspection Chamber"),"NOTE: public sewer min dia "&amp;SG_Criteria!$B$40&amp;" mm. ","")&amp;IF(AND(Y198&lt;&gt;"",Y198&lt;SG_Criteria!$B$44),"FAIL: uplift FOS below "&amp;SG_Criteria!$B$44&amp;". ",""))=0,"OK",IF(AND(Z198&lt;&gt;"",IFERROR(VALUE(MID(Z198,2,2)),0)&lt;SG_Criteria!$B$19),"FAIL: grade below C"&amp;SG_Criteria!$B$19&amp;". ","")&amp;IF(AND(AA198&lt;&gt;"",AA198&lt;SG_Criteria!$B$20),"FAIL: cover &lt; "&amp;SG_Criteria!$B$20&amp;" mm. ","")&amp;IF(AND(I198&lt;&gt;"",I198&lt;SG_Criteria!$B$39),"NOTE: min depth below PUB "&amp;SG_Criteria!$B$39&amp;" m. ","")&amp;IF(AND(LEFT(D198,8)="Standard",J198&gt;SG_Criteria!$B$42),"FAIL: PUB 001C covers manholes up to "&amp;SG_Criteria!$B$42&amp;" m deep only. ","")&amp;IF(AND(LEFT(D198,11)="Rectangular",K198&lt;SG_Criteria!$B$43),"NOTE: 004C is for sewers &gt;= "&amp;SG_Criteria!$B$43&amp;" dia. ","")&amp;IF(AND(LEFT(D198,7)="Precast",J198&lt;=SG_Criteria!$B$42),"NOTE: 006C is for manholes &gt; "&amp;SG_Criteria!$B$42&amp;" m deep. ","")&amp;IF(AND(K198&lt;&gt;"",K198&lt;SG_Criteria!$B$40,D198&lt;&gt;"Inspection Chamber"),"NOTE: public sewer min dia "&amp;SG_Criteria!$B$40&amp;" mm. ","")&amp;IF(AND(Y198&lt;&gt;"",Y198&lt;SG_Criteria!$B$44),"FAIL: uplift FOS below "&amp;SG_Criteria!$B$44&amp;". ","")))</f>
        <v/>
      </c>
      <c r="BH198" s="9"/>
      <c r="BI198" s="9"/>
      <c r="BJ198" s="9"/>
      <c r="BK198" s="10" t="str">
        <f aca="false">IF(BJ198="","",IFERROR(VLOOKUP(BJ198,Projects!$A$5:$D$504,2,0),"Ref not in Projects"))</f>
        <v/>
      </c>
      <c r="BL198" s="10" t="str">
        <f aca="false">IF(BJ198="","",IFERROR(VLOOKUP(BJ198,Projects!$A$5:$D$504,4,0),"Ref not in Projects"))</f>
        <v/>
      </c>
      <c r="BM198" s="9"/>
      <c r="BN198" s="9"/>
      <c r="BO198" s="9"/>
      <c r="BP198" s="40"/>
      <c r="BQ198" s="9"/>
      <c r="BR198" s="40"/>
      <c r="BS198" s="9"/>
      <c r="BT198" s="40"/>
      <c r="BU198" s="9"/>
      <c r="BV198" s="9"/>
      <c r="BW198" s="9"/>
      <c r="BX198" s="40"/>
      <c r="BY198" s="40"/>
      <c r="BZ198" s="36" t="str">
        <f aca="false">IF(BY198="","",EDATE(BY198,SG_Criteria!$B$54*12))</f>
        <v/>
      </c>
      <c r="CA198" s="33" t="str">
        <f aca="true">IF(A198="","",IF(BY198="","NOTE: not reviewed yet",IF(TODAY()&gt;BZ198,"NOTE: review overdue","OK")))</f>
        <v/>
      </c>
      <c r="CB198" s="37" t="str">
        <f aca="false">IF(A198="","",ROUND((IF(LEN(D198)&gt;0,1,0)+IF(LEN(E198)&gt;0,1,0)+IF(LEN(F198)&gt;0,1,0)+IF(LEN(G198)&gt;0,1,0)+IF(LEN(I198)&gt;0,1,0)+IF(LEN(J198)&gt;0,1,0)+IF(LEN(K198)&gt;0,1,0)+IF(LEN(L198)&gt;0,1,0)+IF(LEN(M198)&gt;0,1,0)+IF(LEN(N198)&gt;0,1,0)+IF(LEN(Z198)&gt;0,1,0)+IF(LEN(AA198)&gt;0,1,0)+IF(LEN(Y198)&gt;0,1,0)+IF(LEN(AE198)&gt;0,1,0)+IF(LEN(AG198)&gt;0,1,0)+IF(LEN(AZ198)&gt;0,1,0)+IF(LEN(AK198)&gt;0,1,0)+IF(LEN(AM198)&gt;0,1,0)+IF(LEN(AN198)&gt;0,1,0)+IF(LEN(AO198)&gt;0,1,0)+IF(LEN(AP198)&gt;0,1,0)+IF(LEN(AY198)&gt;0,1,0)+IF(LEN(BJ198)&gt;0,1,0)+IF(LEN(BW198)&gt;0,1,0))/24,2))</f>
        <v/>
      </c>
      <c r="CC198" s="10" t="str">
        <f aca="false">IF(D198="","",IF(AND(AN198="Approved",ISERROR(SEARCH("FAIL",BG198))),"Y","N"))</f>
        <v/>
      </c>
      <c r="CD198" s="10" t="str">
        <f aca="false">IF(D198="","",D198&amp;"|"&amp;J198&amp;"|"&amp;G198&amp;"|"&amp;CC198)</f>
        <v/>
      </c>
    </row>
    <row r="199" customFormat="false" ht="15" hidden="false" customHeight="false" outlineLevel="0" collapsed="false">
      <c r="A199" s="10" t="str">
        <f aca="false">IF(D199="","","MH-"&amp;IFERROR(VLOOKUP(D199,Lists!$AB$4:$AC$20,2,0),"??")&amp;"-"&amp;TEXT(G199,"0000")&amp;IF(F199="Circular","D","x"&amp;TEXT(H199,"0000"))&amp;"-D"&amp;TEXT(J199*1000,"0000")&amp;"-"&amp;IFERROR(VLOOKUP(E199,Lists!$AE$4:$AF$16,2,0),"??")&amp;"-"&amp;AM199)</f>
        <v/>
      </c>
      <c r="B199" s="10" t="str">
        <f aca="false">IF(D199="","",D199&amp;", "&amp;E199&amp;", "&amp;IF(F199="Circular",G199&amp;" dia",G199&amp;" x "&amp;H199)&amp;", depth "&amp;TEXT(I199,"0.0")&amp;"-"&amp;TEXT(J199,"0.0")&amp;" m, pipe up to "&amp;K199&amp;" dia")</f>
        <v/>
      </c>
      <c r="C199" s="9"/>
      <c r="D199" s="9"/>
      <c r="E199" s="9"/>
      <c r="F199" s="9"/>
      <c r="G199" s="38"/>
      <c r="H199" s="38"/>
      <c r="I199" s="42"/>
      <c r="J199" s="42"/>
      <c r="K199" s="38"/>
      <c r="L199" s="38"/>
      <c r="M199" s="38"/>
      <c r="N199" s="38"/>
      <c r="O199" s="9"/>
      <c r="P199" s="9"/>
      <c r="Q199" s="9"/>
      <c r="R199" s="9"/>
      <c r="S199" s="9"/>
      <c r="T199" s="9"/>
      <c r="U199" s="9"/>
      <c r="V199" s="42"/>
      <c r="W199" s="9"/>
      <c r="X199" s="9"/>
      <c r="Y199" s="39"/>
      <c r="Z199" s="9"/>
      <c r="AA199" s="38"/>
      <c r="AB199" s="9"/>
      <c r="AC199" s="9"/>
      <c r="AD199" s="9"/>
      <c r="AE199" s="9"/>
      <c r="AF199" s="9"/>
      <c r="AG199" s="9"/>
      <c r="AH199" s="38"/>
      <c r="AI199" s="9"/>
      <c r="AJ199" s="39"/>
      <c r="AK199" s="9"/>
      <c r="AL199" s="9"/>
      <c r="AM199" s="9"/>
      <c r="AN199" s="9"/>
      <c r="AO199" s="9"/>
      <c r="AP199" s="9"/>
      <c r="AQ199" s="9"/>
      <c r="AR199" s="10" t="str">
        <f aca="false">IF(A199="","",SG_Criteria!$B$6&amp;SG_Criteria!$B$10&amp;"\"&amp;A199&amp;"\")</f>
        <v/>
      </c>
      <c r="AS199" s="10" t="str">
        <f aca="false">IF(A199="","",A199&amp;"_CAD.dwg")</f>
        <v/>
      </c>
      <c r="AT199" s="10" t="str">
        <f aca="false">IF(A199="","",A199&amp;"_DWG.pdf")</f>
        <v/>
      </c>
      <c r="AU199" s="10" t="str">
        <f aca="false">IF(A199="","",IF(AQ199="Y",A199&amp;"_STAAD.std","n/a"))</f>
        <v/>
      </c>
      <c r="AV199" s="10" t="str">
        <f aca="false">IF(A199="","",A199&amp;"_CALC.xlsx")</f>
        <v/>
      </c>
      <c r="AW199" s="10" t="str">
        <f aca="false">IF(A199="","",A199&amp;"_CALC.pdf")</f>
        <v/>
      </c>
      <c r="AX199" s="9"/>
      <c r="AY199" s="9"/>
      <c r="AZ199" s="39"/>
      <c r="BA199" s="39"/>
      <c r="BB199" s="39"/>
      <c r="BC199" s="39"/>
      <c r="BD199" s="39"/>
      <c r="BE199" s="12" t="str">
        <f aca="false">IF(A199="","",IF(COUNTIF(Rebar_Schedule!$A$5:$A$2004,A199)=0,"",ROUND(SUMIF(Rebar_Schedule!$A$5:$A$2004,A199,Rebar_Schedule!$K$5:$K$2004),1)))</f>
        <v/>
      </c>
      <c r="BF199" s="33" t="str">
        <f aca="false">IF(A199="","",IF(BE199="","No rebar schedule yet",IF(ABS(BE199-N(BA199))/MAX(N(BA199),1)&gt;SG_Criteria!$B$55,"NOTE: register rebar differs from schedule by "&amp;TEXT(ABS(BE199-N(BA199))/MAX(N(BA199),1),"0%"),"OK")))</f>
        <v/>
      </c>
      <c r="BG199" s="33" t="str">
        <f aca="false">IF(D199="","",IF(LEN(IF(AND(Z199&lt;&gt;"",IFERROR(VALUE(MID(Z199,2,2)),0)&lt;SG_Criteria!$B$19),"FAIL: grade below C"&amp;SG_Criteria!$B$19&amp;". ","")&amp;IF(AND(AA199&lt;&gt;"",AA199&lt;SG_Criteria!$B$20),"FAIL: cover &lt; "&amp;SG_Criteria!$B$20&amp;" mm. ","")&amp;IF(AND(I199&lt;&gt;"",I199&lt;SG_Criteria!$B$39),"NOTE: min depth below PUB "&amp;SG_Criteria!$B$39&amp;" m. ","")&amp;IF(AND(LEFT(D199,8)="Standard",J199&gt;SG_Criteria!$B$42),"FAIL: PUB 001C covers manholes up to "&amp;SG_Criteria!$B$42&amp;" m deep only. ","")&amp;IF(AND(LEFT(D199,11)="Rectangular",K199&lt;SG_Criteria!$B$43),"NOTE: 004C is for sewers &gt;= "&amp;SG_Criteria!$B$43&amp;" dia. ","")&amp;IF(AND(LEFT(D199,7)="Precast",J199&lt;=SG_Criteria!$B$42),"NOTE: 006C is for manholes &gt; "&amp;SG_Criteria!$B$42&amp;" m deep. ","")&amp;IF(AND(K199&lt;&gt;"",K199&lt;SG_Criteria!$B$40,D199&lt;&gt;"Inspection Chamber"),"NOTE: public sewer min dia "&amp;SG_Criteria!$B$40&amp;" mm. ","")&amp;IF(AND(Y199&lt;&gt;"",Y199&lt;SG_Criteria!$B$44),"FAIL: uplift FOS below "&amp;SG_Criteria!$B$44&amp;". ",""))=0,"OK",IF(AND(Z199&lt;&gt;"",IFERROR(VALUE(MID(Z199,2,2)),0)&lt;SG_Criteria!$B$19),"FAIL: grade below C"&amp;SG_Criteria!$B$19&amp;". ","")&amp;IF(AND(AA199&lt;&gt;"",AA199&lt;SG_Criteria!$B$20),"FAIL: cover &lt; "&amp;SG_Criteria!$B$20&amp;" mm. ","")&amp;IF(AND(I199&lt;&gt;"",I199&lt;SG_Criteria!$B$39),"NOTE: min depth below PUB "&amp;SG_Criteria!$B$39&amp;" m. ","")&amp;IF(AND(LEFT(D199,8)="Standard",J199&gt;SG_Criteria!$B$42),"FAIL: PUB 001C covers manholes up to "&amp;SG_Criteria!$B$42&amp;" m deep only. ","")&amp;IF(AND(LEFT(D199,11)="Rectangular",K199&lt;SG_Criteria!$B$43),"NOTE: 004C is for sewers &gt;= "&amp;SG_Criteria!$B$43&amp;" dia. ","")&amp;IF(AND(LEFT(D199,7)="Precast",J199&lt;=SG_Criteria!$B$42),"NOTE: 006C is for manholes &gt; "&amp;SG_Criteria!$B$42&amp;" m deep. ","")&amp;IF(AND(K199&lt;&gt;"",K199&lt;SG_Criteria!$B$40,D199&lt;&gt;"Inspection Chamber"),"NOTE: public sewer min dia "&amp;SG_Criteria!$B$40&amp;" mm. ","")&amp;IF(AND(Y199&lt;&gt;"",Y199&lt;SG_Criteria!$B$44),"FAIL: uplift FOS below "&amp;SG_Criteria!$B$44&amp;". ","")))</f>
        <v/>
      </c>
      <c r="BH199" s="9"/>
      <c r="BI199" s="9"/>
      <c r="BJ199" s="9"/>
      <c r="BK199" s="10" t="str">
        <f aca="false">IF(BJ199="","",IFERROR(VLOOKUP(BJ199,Projects!$A$5:$D$504,2,0),"Ref not in Projects"))</f>
        <v/>
      </c>
      <c r="BL199" s="10" t="str">
        <f aca="false">IF(BJ199="","",IFERROR(VLOOKUP(BJ199,Projects!$A$5:$D$504,4,0),"Ref not in Projects"))</f>
        <v/>
      </c>
      <c r="BM199" s="9"/>
      <c r="BN199" s="9"/>
      <c r="BO199" s="9"/>
      <c r="BP199" s="40"/>
      <c r="BQ199" s="9"/>
      <c r="BR199" s="40"/>
      <c r="BS199" s="9"/>
      <c r="BT199" s="40"/>
      <c r="BU199" s="9"/>
      <c r="BV199" s="9"/>
      <c r="BW199" s="9"/>
      <c r="BX199" s="40"/>
      <c r="BY199" s="40"/>
      <c r="BZ199" s="36" t="str">
        <f aca="false">IF(BY199="","",EDATE(BY199,SG_Criteria!$B$54*12))</f>
        <v/>
      </c>
      <c r="CA199" s="33" t="str">
        <f aca="true">IF(A199="","",IF(BY199="","NOTE: not reviewed yet",IF(TODAY()&gt;BZ199,"NOTE: review overdue","OK")))</f>
        <v/>
      </c>
      <c r="CB199" s="37" t="str">
        <f aca="false">IF(A199="","",ROUND((IF(LEN(D199)&gt;0,1,0)+IF(LEN(E199)&gt;0,1,0)+IF(LEN(F199)&gt;0,1,0)+IF(LEN(G199)&gt;0,1,0)+IF(LEN(I199)&gt;0,1,0)+IF(LEN(J199)&gt;0,1,0)+IF(LEN(K199)&gt;0,1,0)+IF(LEN(L199)&gt;0,1,0)+IF(LEN(M199)&gt;0,1,0)+IF(LEN(N199)&gt;0,1,0)+IF(LEN(Z199)&gt;0,1,0)+IF(LEN(AA199)&gt;0,1,0)+IF(LEN(Y199)&gt;0,1,0)+IF(LEN(AE199)&gt;0,1,0)+IF(LEN(AG199)&gt;0,1,0)+IF(LEN(AZ199)&gt;0,1,0)+IF(LEN(AK199)&gt;0,1,0)+IF(LEN(AM199)&gt;0,1,0)+IF(LEN(AN199)&gt;0,1,0)+IF(LEN(AO199)&gt;0,1,0)+IF(LEN(AP199)&gt;0,1,0)+IF(LEN(AY199)&gt;0,1,0)+IF(LEN(BJ199)&gt;0,1,0)+IF(LEN(BW199)&gt;0,1,0))/24,2))</f>
        <v/>
      </c>
      <c r="CC199" s="10" t="str">
        <f aca="false">IF(D199="","",IF(AND(AN199="Approved",ISERROR(SEARCH("FAIL",BG199))),"Y","N"))</f>
        <v/>
      </c>
      <c r="CD199" s="10" t="str">
        <f aca="false">IF(D199="","",D199&amp;"|"&amp;J199&amp;"|"&amp;G199&amp;"|"&amp;CC199)</f>
        <v/>
      </c>
    </row>
    <row r="200" customFormat="false" ht="15" hidden="false" customHeight="false" outlineLevel="0" collapsed="false">
      <c r="A200" s="10" t="str">
        <f aca="false">IF(D200="","","MH-"&amp;IFERROR(VLOOKUP(D200,Lists!$AB$4:$AC$20,2,0),"??")&amp;"-"&amp;TEXT(G200,"0000")&amp;IF(F200="Circular","D","x"&amp;TEXT(H200,"0000"))&amp;"-D"&amp;TEXT(J200*1000,"0000")&amp;"-"&amp;IFERROR(VLOOKUP(E200,Lists!$AE$4:$AF$16,2,0),"??")&amp;"-"&amp;AM200)</f>
        <v/>
      </c>
      <c r="B200" s="10" t="str">
        <f aca="false">IF(D200="","",D200&amp;", "&amp;E200&amp;", "&amp;IF(F200="Circular",G200&amp;" dia",G200&amp;" x "&amp;H200)&amp;", depth "&amp;TEXT(I200,"0.0")&amp;"-"&amp;TEXT(J200,"0.0")&amp;" m, pipe up to "&amp;K200&amp;" dia")</f>
        <v/>
      </c>
      <c r="C200" s="9"/>
      <c r="D200" s="9"/>
      <c r="E200" s="9"/>
      <c r="F200" s="9"/>
      <c r="G200" s="38"/>
      <c r="H200" s="38"/>
      <c r="I200" s="42"/>
      <c r="J200" s="42"/>
      <c r="K200" s="38"/>
      <c r="L200" s="38"/>
      <c r="M200" s="38"/>
      <c r="N200" s="38"/>
      <c r="O200" s="9"/>
      <c r="P200" s="9"/>
      <c r="Q200" s="9"/>
      <c r="R200" s="9"/>
      <c r="S200" s="9"/>
      <c r="T200" s="9"/>
      <c r="U200" s="9"/>
      <c r="V200" s="42"/>
      <c r="W200" s="9"/>
      <c r="X200" s="9"/>
      <c r="Y200" s="39"/>
      <c r="Z200" s="9"/>
      <c r="AA200" s="38"/>
      <c r="AB200" s="9"/>
      <c r="AC200" s="9"/>
      <c r="AD200" s="9"/>
      <c r="AE200" s="9"/>
      <c r="AF200" s="9"/>
      <c r="AG200" s="9"/>
      <c r="AH200" s="38"/>
      <c r="AI200" s="9"/>
      <c r="AJ200" s="39"/>
      <c r="AK200" s="9"/>
      <c r="AL200" s="9"/>
      <c r="AM200" s="9"/>
      <c r="AN200" s="9"/>
      <c r="AO200" s="9"/>
      <c r="AP200" s="9"/>
      <c r="AQ200" s="9"/>
      <c r="AR200" s="10" t="str">
        <f aca="false">IF(A200="","",SG_Criteria!$B$6&amp;SG_Criteria!$B$10&amp;"\"&amp;A200&amp;"\")</f>
        <v/>
      </c>
      <c r="AS200" s="10" t="str">
        <f aca="false">IF(A200="","",A200&amp;"_CAD.dwg")</f>
        <v/>
      </c>
      <c r="AT200" s="10" t="str">
        <f aca="false">IF(A200="","",A200&amp;"_DWG.pdf")</f>
        <v/>
      </c>
      <c r="AU200" s="10" t="str">
        <f aca="false">IF(A200="","",IF(AQ200="Y",A200&amp;"_STAAD.std","n/a"))</f>
        <v/>
      </c>
      <c r="AV200" s="10" t="str">
        <f aca="false">IF(A200="","",A200&amp;"_CALC.xlsx")</f>
        <v/>
      </c>
      <c r="AW200" s="10" t="str">
        <f aca="false">IF(A200="","",A200&amp;"_CALC.pdf")</f>
        <v/>
      </c>
      <c r="AX200" s="9"/>
      <c r="AY200" s="9"/>
      <c r="AZ200" s="39"/>
      <c r="BA200" s="39"/>
      <c r="BB200" s="39"/>
      <c r="BC200" s="39"/>
      <c r="BD200" s="39"/>
      <c r="BE200" s="12" t="str">
        <f aca="false">IF(A200="","",IF(COUNTIF(Rebar_Schedule!$A$5:$A$2004,A200)=0,"",ROUND(SUMIF(Rebar_Schedule!$A$5:$A$2004,A200,Rebar_Schedule!$K$5:$K$2004),1)))</f>
        <v/>
      </c>
      <c r="BF200" s="33" t="str">
        <f aca="false">IF(A200="","",IF(BE200="","No rebar schedule yet",IF(ABS(BE200-N(BA200))/MAX(N(BA200),1)&gt;SG_Criteria!$B$55,"NOTE: register rebar differs from schedule by "&amp;TEXT(ABS(BE200-N(BA200))/MAX(N(BA200),1),"0%"),"OK")))</f>
        <v/>
      </c>
      <c r="BG200" s="33" t="str">
        <f aca="false">IF(D200="","",IF(LEN(IF(AND(Z200&lt;&gt;"",IFERROR(VALUE(MID(Z200,2,2)),0)&lt;SG_Criteria!$B$19),"FAIL: grade below C"&amp;SG_Criteria!$B$19&amp;". ","")&amp;IF(AND(AA200&lt;&gt;"",AA200&lt;SG_Criteria!$B$20),"FAIL: cover &lt; "&amp;SG_Criteria!$B$20&amp;" mm. ","")&amp;IF(AND(I200&lt;&gt;"",I200&lt;SG_Criteria!$B$39),"NOTE: min depth below PUB "&amp;SG_Criteria!$B$39&amp;" m. ","")&amp;IF(AND(LEFT(D200,8)="Standard",J200&gt;SG_Criteria!$B$42),"FAIL: PUB 001C covers manholes up to "&amp;SG_Criteria!$B$42&amp;" m deep only. ","")&amp;IF(AND(LEFT(D200,11)="Rectangular",K200&lt;SG_Criteria!$B$43),"NOTE: 004C is for sewers &gt;= "&amp;SG_Criteria!$B$43&amp;" dia. ","")&amp;IF(AND(LEFT(D200,7)="Precast",J200&lt;=SG_Criteria!$B$42),"NOTE: 006C is for manholes &gt; "&amp;SG_Criteria!$B$42&amp;" m deep. ","")&amp;IF(AND(K200&lt;&gt;"",K200&lt;SG_Criteria!$B$40,D200&lt;&gt;"Inspection Chamber"),"NOTE: public sewer min dia "&amp;SG_Criteria!$B$40&amp;" mm. ","")&amp;IF(AND(Y200&lt;&gt;"",Y200&lt;SG_Criteria!$B$44),"FAIL: uplift FOS below "&amp;SG_Criteria!$B$44&amp;". ",""))=0,"OK",IF(AND(Z200&lt;&gt;"",IFERROR(VALUE(MID(Z200,2,2)),0)&lt;SG_Criteria!$B$19),"FAIL: grade below C"&amp;SG_Criteria!$B$19&amp;". ","")&amp;IF(AND(AA200&lt;&gt;"",AA200&lt;SG_Criteria!$B$20),"FAIL: cover &lt; "&amp;SG_Criteria!$B$20&amp;" mm. ","")&amp;IF(AND(I200&lt;&gt;"",I200&lt;SG_Criteria!$B$39),"NOTE: min depth below PUB "&amp;SG_Criteria!$B$39&amp;" m. ","")&amp;IF(AND(LEFT(D200,8)="Standard",J200&gt;SG_Criteria!$B$42),"FAIL: PUB 001C covers manholes up to "&amp;SG_Criteria!$B$42&amp;" m deep only. ","")&amp;IF(AND(LEFT(D200,11)="Rectangular",K200&lt;SG_Criteria!$B$43),"NOTE: 004C is for sewers &gt;= "&amp;SG_Criteria!$B$43&amp;" dia. ","")&amp;IF(AND(LEFT(D200,7)="Precast",J200&lt;=SG_Criteria!$B$42),"NOTE: 006C is for manholes &gt; "&amp;SG_Criteria!$B$42&amp;" m deep. ","")&amp;IF(AND(K200&lt;&gt;"",K200&lt;SG_Criteria!$B$40,D200&lt;&gt;"Inspection Chamber"),"NOTE: public sewer min dia "&amp;SG_Criteria!$B$40&amp;" mm. ","")&amp;IF(AND(Y200&lt;&gt;"",Y200&lt;SG_Criteria!$B$44),"FAIL: uplift FOS below "&amp;SG_Criteria!$B$44&amp;". ","")))</f>
        <v/>
      </c>
      <c r="BH200" s="9"/>
      <c r="BI200" s="9"/>
      <c r="BJ200" s="9"/>
      <c r="BK200" s="10" t="str">
        <f aca="false">IF(BJ200="","",IFERROR(VLOOKUP(BJ200,Projects!$A$5:$D$504,2,0),"Ref not in Projects"))</f>
        <v/>
      </c>
      <c r="BL200" s="10" t="str">
        <f aca="false">IF(BJ200="","",IFERROR(VLOOKUP(BJ200,Projects!$A$5:$D$504,4,0),"Ref not in Projects"))</f>
        <v/>
      </c>
      <c r="BM200" s="9"/>
      <c r="BN200" s="9"/>
      <c r="BO200" s="9"/>
      <c r="BP200" s="40"/>
      <c r="BQ200" s="9"/>
      <c r="BR200" s="40"/>
      <c r="BS200" s="9"/>
      <c r="BT200" s="40"/>
      <c r="BU200" s="9"/>
      <c r="BV200" s="9"/>
      <c r="BW200" s="9"/>
      <c r="BX200" s="40"/>
      <c r="BY200" s="40"/>
      <c r="BZ200" s="36" t="str">
        <f aca="false">IF(BY200="","",EDATE(BY200,SG_Criteria!$B$54*12))</f>
        <v/>
      </c>
      <c r="CA200" s="33" t="str">
        <f aca="true">IF(A200="","",IF(BY200="","NOTE: not reviewed yet",IF(TODAY()&gt;BZ200,"NOTE: review overdue","OK")))</f>
        <v/>
      </c>
      <c r="CB200" s="37" t="str">
        <f aca="false">IF(A200="","",ROUND((IF(LEN(D200)&gt;0,1,0)+IF(LEN(E200)&gt;0,1,0)+IF(LEN(F200)&gt;0,1,0)+IF(LEN(G200)&gt;0,1,0)+IF(LEN(I200)&gt;0,1,0)+IF(LEN(J200)&gt;0,1,0)+IF(LEN(K200)&gt;0,1,0)+IF(LEN(L200)&gt;0,1,0)+IF(LEN(M200)&gt;0,1,0)+IF(LEN(N200)&gt;0,1,0)+IF(LEN(Z200)&gt;0,1,0)+IF(LEN(AA200)&gt;0,1,0)+IF(LEN(Y200)&gt;0,1,0)+IF(LEN(AE200)&gt;0,1,0)+IF(LEN(AG200)&gt;0,1,0)+IF(LEN(AZ200)&gt;0,1,0)+IF(LEN(AK200)&gt;0,1,0)+IF(LEN(AM200)&gt;0,1,0)+IF(LEN(AN200)&gt;0,1,0)+IF(LEN(AO200)&gt;0,1,0)+IF(LEN(AP200)&gt;0,1,0)+IF(LEN(AY200)&gt;0,1,0)+IF(LEN(BJ200)&gt;0,1,0)+IF(LEN(BW200)&gt;0,1,0))/24,2))</f>
        <v/>
      </c>
      <c r="CC200" s="10" t="str">
        <f aca="false">IF(D200="","",IF(AND(AN200="Approved",ISERROR(SEARCH("FAIL",BG200))),"Y","N"))</f>
        <v/>
      </c>
      <c r="CD200" s="10" t="str">
        <f aca="false">IF(D200="","",D200&amp;"|"&amp;J200&amp;"|"&amp;G200&amp;"|"&amp;CC200)</f>
        <v/>
      </c>
    </row>
    <row r="201" customFormat="false" ht="15" hidden="false" customHeight="false" outlineLevel="0" collapsed="false">
      <c r="A201" s="10" t="str">
        <f aca="false">IF(D201="","","MH-"&amp;IFERROR(VLOOKUP(D201,Lists!$AB$4:$AC$20,2,0),"??")&amp;"-"&amp;TEXT(G201,"0000")&amp;IF(F201="Circular","D","x"&amp;TEXT(H201,"0000"))&amp;"-D"&amp;TEXT(J201*1000,"0000")&amp;"-"&amp;IFERROR(VLOOKUP(E201,Lists!$AE$4:$AF$16,2,0),"??")&amp;"-"&amp;AM201)</f>
        <v/>
      </c>
      <c r="B201" s="10" t="str">
        <f aca="false">IF(D201="","",D201&amp;", "&amp;E201&amp;", "&amp;IF(F201="Circular",G201&amp;" dia",G201&amp;" x "&amp;H201)&amp;", depth "&amp;TEXT(I201,"0.0")&amp;"-"&amp;TEXT(J201,"0.0")&amp;" m, pipe up to "&amp;K201&amp;" dia")</f>
        <v/>
      </c>
      <c r="C201" s="9"/>
      <c r="D201" s="9"/>
      <c r="E201" s="9"/>
      <c r="F201" s="9"/>
      <c r="G201" s="38"/>
      <c r="H201" s="38"/>
      <c r="I201" s="42"/>
      <c r="J201" s="42"/>
      <c r="K201" s="38"/>
      <c r="L201" s="38"/>
      <c r="M201" s="38"/>
      <c r="N201" s="38"/>
      <c r="O201" s="9"/>
      <c r="P201" s="9"/>
      <c r="Q201" s="9"/>
      <c r="R201" s="9"/>
      <c r="S201" s="9"/>
      <c r="T201" s="9"/>
      <c r="U201" s="9"/>
      <c r="V201" s="42"/>
      <c r="W201" s="9"/>
      <c r="X201" s="9"/>
      <c r="Y201" s="39"/>
      <c r="Z201" s="9"/>
      <c r="AA201" s="38"/>
      <c r="AB201" s="9"/>
      <c r="AC201" s="9"/>
      <c r="AD201" s="9"/>
      <c r="AE201" s="9"/>
      <c r="AF201" s="9"/>
      <c r="AG201" s="9"/>
      <c r="AH201" s="38"/>
      <c r="AI201" s="9"/>
      <c r="AJ201" s="39"/>
      <c r="AK201" s="9"/>
      <c r="AL201" s="9"/>
      <c r="AM201" s="9"/>
      <c r="AN201" s="9"/>
      <c r="AO201" s="9"/>
      <c r="AP201" s="9"/>
      <c r="AQ201" s="9"/>
      <c r="AR201" s="10" t="str">
        <f aca="false">IF(A201="","",SG_Criteria!$B$6&amp;SG_Criteria!$B$10&amp;"\"&amp;A201&amp;"\")</f>
        <v/>
      </c>
      <c r="AS201" s="10" t="str">
        <f aca="false">IF(A201="","",A201&amp;"_CAD.dwg")</f>
        <v/>
      </c>
      <c r="AT201" s="10" t="str">
        <f aca="false">IF(A201="","",A201&amp;"_DWG.pdf")</f>
        <v/>
      </c>
      <c r="AU201" s="10" t="str">
        <f aca="false">IF(A201="","",IF(AQ201="Y",A201&amp;"_STAAD.std","n/a"))</f>
        <v/>
      </c>
      <c r="AV201" s="10" t="str">
        <f aca="false">IF(A201="","",A201&amp;"_CALC.xlsx")</f>
        <v/>
      </c>
      <c r="AW201" s="10" t="str">
        <f aca="false">IF(A201="","",A201&amp;"_CALC.pdf")</f>
        <v/>
      </c>
      <c r="AX201" s="9"/>
      <c r="AY201" s="9"/>
      <c r="AZ201" s="39"/>
      <c r="BA201" s="39"/>
      <c r="BB201" s="39"/>
      <c r="BC201" s="39"/>
      <c r="BD201" s="39"/>
      <c r="BE201" s="12" t="str">
        <f aca="false">IF(A201="","",IF(COUNTIF(Rebar_Schedule!$A$5:$A$2004,A201)=0,"",ROUND(SUMIF(Rebar_Schedule!$A$5:$A$2004,A201,Rebar_Schedule!$K$5:$K$2004),1)))</f>
        <v/>
      </c>
      <c r="BF201" s="33" t="str">
        <f aca="false">IF(A201="","",IF(BE201="","No rebar schedule yet",IF(ABS(BE201-N(BA201))/MAX(N(BA201),1)&gt;SG_Criteria!$B$55,"NOTE: register rebar differs from schedule by "&amp;TEXT(ABS(BE201-N(BA201))/MAX(N(BA201),1),"0%"),"OK")))</f>
        <v/>
      </c>
      <c r="BG201" s="33" t="str">
        <f aca="false">IF(D201="","",IF(LEN(IF(AND(Z201&lt;&gt;"",IFERROR(VALUE(MID(Z201,2,2)),0)&lt;SG_Criteria!$B$19),"FAIL: grade below C"&amp;SG_Criteria!$B$19&amp;". ","")&amp;IF(AND(AA201&lt;&gt;"",AA201&lt;SG_Criteria!$B$20),"FAIL: cover &lt; "&amp;SG_Criteria!$B$20&amp;" mm. ","")&amp;IF(AND(I201&lt;&gt;"",I201&lt;SG_Criteria!$B$39),"NOTE: min depth below PUB "&amp;SG_Criteria!$B$39&amp;" m. ","")&amp;IF(AND(LEFT(D201,8)="Standard",J201&gt;SG_Criteria!$B$42),"FAIL: PUB 001C covers manholes up to "&amp;SG_Criteria!$B$42&amp;" m deep only. ","")&amp;IF(AND(LEFT(D201,11)="Rectangular",K201&lt;SG_Criteria!$B$43),"NOTE: 004C is for sewers &gt;= "&amp;SG_Criteria!$B$43&amp;" dia. ","")&amp;IF(AND(LEFT(D201,7)="Precast",J201&lt;=SG_Criteria!$B$42),"NOTE: 006C is for manholes &gt; "&amp;SG_Criteria!$B$42&amp;" m deep. ","")&amp;IF(AND(K201&lt;&gt;"",K201&lt;SG_Criteria!$B$40,D201&lt;&gt;"Inspection Chamber"),"NOTE: public sewer min dia "&amp;SG_Criteria!$B$40&amp;" mm. ","")&amp;IF(AND(Y201&lt;&gt;"",Y201&lt;SG_Criteria!$B$44),"FAIL: uplift FOS below "&amp;SG_Criteria!$B$44&amp;". ",""))=0,"OK",IF(AND(Z201&lt;&gt;"",IFERROR(VALUE(MID(Z201,2,2)),0)&lt;SG_Criteria!$B$19),"FAIL: grade below C"&amp;SG_Criteria!$B$19&amp;". ","")&amp;IF(AND(AA201&lt;&gt;"",AA201&lt;SG_Criteria!$B$20),"FAIL: cover &lt; "&amp;SG_Criteria!$B$20&amp;" mm. ","")&amp;IF(AND(I201&lt;&gt;"",I201&lt;SG_Criteria!$B$39),"NOTE: min depth below PUB "&amp;SG_Criteria!$B$39&amp;" m. ","")&amp;IF(AND(LEFT(D201,8)="Standard",J201&gt;SG_Criteria!$B$42),"FAIL: PUB 001C covers manholes up to "&amp;SG_Criteria!$B$42&amp;" m deep only. ","")&amp;IF(AND(LEFT(D201,11)="Rectangular",K201&lt;SG_Criteria!$B$43),"NOTE: 004C is for sewers &gt;= "&amp;SG_Criteria!$B$43&amp;" dia. ","")&amp;IF(AND(LEFT(D201,7)="Precast",J201&lt;=SG_Criteria!$B$42),"NOTE: 006C is for manholes &gt; "&amp;SG_Criteria!$B$42&amp;" m deep. ","")&amp;IF(AND(K201&lt;&gt;"",K201&lt;SG_Criteria!$B$40,D201&lt;&gt;"Inspection Chamber"),"NOTE: public sewer min dia "&amp;SG_Criteria!$B$40&amp;" mm. ","")&amp;IF(AND(Y201&lt;&gt;"",Y201&lt;SG_Criteria!$B$44),"FAIL: uplift FOS below "&amp;SG_Criteria!$B$44&amp;". ","")))</f>
        <v/>
      </c>
      <c r="BH201" s="9"/>
      <c r="BI201" s="9"/>
      <c r="BJ201" s="9"/>
      <c r="BK201" s="10" t="str">
        <f aca="false">IF(BJ201="","",IFERROR(VLOOKUP(BJ201,Projects!$A$5:$D$504,2,0),"Ref not in Projects"))</f>
        <v/>
      </c>
      <c r="BL201" s="10" t="str">
        <f aca="false">IF(BJ201="","",IFERROR(VLOOKUP(BJ201,Projects!$A$5:$D$504,4,0),"Ref not in Projects"))</f>
        <v/>
      </c>
      <c r="BM201" s="9"/>
      <c r="BN201" s="9"/>
      <c r="BO201" s="9"/>
      <c r="BP201" s="40"/>
      <c r="BQ201" s="9"/>
      <c r="BR201" s="40"/>
      <c r="BS201" s="9"/>
      <c r="BT201" s="40"/>
      <c r="BU201" s="9"/>
      <c r="BV201" s="9"/>
      <c r="BW201" s="9"/>
      <c r="BX201" s="40"/>
      <c r="BY201" s="40"/>
      <c r="BZ201" s="36" t="str">
        <f aca="false">IF(BY201="","",EDATE(BY201,SG_Criteria!$B$54*12))</f>
        <v/>
      </c>
      <c r="CA201" s="33" t="str">
        <f aca="true">IF(A201="","",IF(BY201="","NOTE: not reviewed yet",IF(TODAY()&gt;BZ201,"NOTE: review overdue","OK")))</f>
        <v/>
      </c>
      <c r="CB201" s="37" t="str">
        <f aca="false">IF(A201="","",ROUND((IF(LEN(D201)&gt;0,1,0)+IF(LEN(E201)&gt;0,1,0)+IF(LEN(F201)&gt;0,1,0)+IF(LEN(G201)&gt;0,1,0)+IF(LEN(I201)&gt;0,1,0)+IF(LEN(J201)&gt;0,1,0)+IF(LEN(K201)&gt;0,1,0)+IF(LEN(L201)&gt;0,1,0)+IF(LEN(M201)&gt;0,1,0)+IF(LEN(N201)&gt;0,1,0)+IF(LEN(Z201)&gt;0,1,0)+IF(LEN(AA201)&gt;0,1,0)+IF(LEN(Y201)&gt;0,1,0)+IF(LEN(AE201)&gt;0,1,0)+IF(LEN(AG201)&gt;0,1,0)+IF(LEN(AZ201)&gt;0,1,0)+IF(LEN(AK201)&gt;0,1,0)+IF(LEN(AM201)&gt;0,1,0)+IF(LEN(AN201)&gt;0,1,0)+IF(LEN(AO201)&gt;0,1,0)+IF(LEN(AP201)&gt;0,1,0)+IF(LEN(AY201)&gt;0,1,0)+IF(LEN(BJ201)&gt;0,1,0)+IF(LEN(BW201)&gt;0,1,0))/24,2))</f>
        <v/>
      </c>
      <c r="CC201" s="10" t="str">
        <f aca="false">IF(D201="","",IF(AND(AN201="Approved",ISERROR(SEARCH("FAIL",BG201))),"Y","N"))</f>
        <v/>
      </c>
      <c r="CD201" s="10" t="str">
        <f aca="false">IF(D201="","",D201&amp;"|"&amp;J201&amp;"|"&amp;G201&amp;"|"&amp;CC201)</f>
        <v/>
      </c>
    </row>
    <row r="202" customFormat="false" ht="15" hidden="false" customHeight="false" outlineLevel="0" collapsed="false">
      <c r="A202" s="10" t="str">
        <f aca="false">IF(D202="","","MH-"&amp;IFERROR(VLOOKUP(D202,Lists!$AB$4:$AC$20,2,0),"??")&amp;"-"&amp;TEXT(G202,"0000")&amp;IF(F202="Circular","D","x"&amp;TEXT(H202,"0000"))&amp;"-D"&amp;TEXT(J202*1000,"0000")&amp;"-"&amp;IFERROR(VLOOKUP(E202,Lists!$AE$4:$AF$16,2,0),"??")&amp;"-"&amp;AM202)</f>
        <v/>
      </c>
      <c r="B202" s="10" t="str">
        <f aca="false">IF(D202="","",D202&amp;", "&amp;E202&amp;", "&amp;IF(F202="Circular",G202&amp;" dia",G202&amp;" x "&amp;H202)&amp;", depth "&amp;TEXT(I202,"0.0")&amp;"-"&amp;TEXT(J202,"0.0")&amp;" m, pipe up to "&amp;K202&amp;" dia")</f>
        <v/>
      </c>
      <c r="C202" s="9"/>
      <c r="D202" s="9"/>
      <c r="E202" s="9"/>
      <c r="F202" s="9"/>
      <c r="G202" s="38"/>
      <c r="H202" s="38"/>
      <c r="I202" s="42"/>
      <c r="J202" s="42"/>
      <c r="K202" s="38"/>
      <c r="L202" s="38"/>
      <c r="M202" s="38"/>
      <c r="N202" s="38"/>
      <c r="O202" s="9"/>
      <c r="P202" s="9"/>
      <c r="Q202" s="9"/>
      <c r="R202" s="9"/>
      <c r="S202" s="9"/>
      <c r="T202" s="9"/>
      <c r="U202" s="9"/>
      <c r="V202" s="42"/>
      <c r="W202" s="9"/>
      <c r="X202" s="9"/>
      <c r="Y202" s="39"/>
      <c r="Z202" s="9"/>
      <c r="AA202" s="38"/>
      <c r="AB202" s="9"/>
      <c r="AC202" s="9"/>
      <c r="AD202" s="9"/>
      <c r="AE202" s="9"/>
      <c r="AF202" s="9"/>
      <c r="AG202" s="9"/>
      <c r="AH202" s="38"/>
      <c r="AI202" s="9"/>
      <c r="AJ202" s="39"/>
      <c r="AK202" s="9"/>
      <c r="AL202" s="9"/>
      <c r="AM202" s="9"/>
      <c r="AN202" s="9"/>
      <c r="AO202" s="9"/>
      <c r="AP202" s="9"/>
      <c r="AQ202" s="9"/>
      <c r="AR202" s="10" t="str">
        <f aca="false">IF(A202="","",SG_Criteria!$B$6&amp;SG_Criteria!$B$10&amp;"\"&amp;A202&amp;"\")</f>
        <v/>
      </c>
      <c r="AS202" s="10" t="str">
        <f aca="false">IF(A202="","",A202&amp;"_CAD.dwg")</f>
        <v/>
      </c>
      <c r="AT202" s="10" t="str">
        <f aca="false">IF(A202="","",A202&amp;"_DWG.pdf")</f>
        <v/>
      </c>
      <c r="AU202" s="10" t="str">
        <f aca="false">IF(A202="","",IF(AQ202="Y",A202&amp;"_STAAD.std","n/a"))</f>
        <v/>
      </c>
      <c r="AV202" s="10" t="str">
        <f aca="false">IF(A202="","",A202&amp;"_CALC.xlsx")</f>
        <v/>
      </c>
      <c r="AW202" s="10" t="str">
        <f aca="false">IF(A202="","",A202&amp;"_CALC.pdf")</f>
        <v/>
      </c>
      <c r="AX202" s="9"/>
      <c r="AY202" s="9"/>
      <c r="AZ202" s="39"/>
      <c r="BA202" s="39"/>
      <c r="BB202" s="39"/>
      <c r="BC202" s="39"/>
      <c r="BD202" s="39"/>
      <c r="BE202" s="12" t="str">
        <f aca="false">IF(A202="","",IF(COUNTIF(Rebar_Schedule!$A$5:$A$2004,A202)=0,"",ROUND(SUMIF(Rebar_Schedule!$A$5:$A$2004,A202,Rebar_Schedule!$K$5:$K$2004),1)))</f>
        <v/>
      </c>
      <c r="BF202" s="33" t="str">
        <f aca="false">IF(A202="","",IF(BE202="","No rebar schedule yet",IF(ABS(BE202-N(BA202))/MAX(N(BA202),1)&gt;SG_Criteria!$B$55,"NOTE: register rebar differs from schedule by "&amp;TEXT(ABS(BE202-N(BA202))/MAX(N(BA202),1),"0%"),"OK")))</f>
        <v/>
      </c>
      <c r="BG202" s="33" t="str">
        <f aca="false">IF(D202="","",IF(LEN(IF(AND(Z202&lt;&gt;"",IFERROR(VALUE(MID(Z202,2,2)),0)&lt;SG_Criteria!$B$19),"FAIL: grade below C"&amp;SG_Criteria!$B$19&amp;". ","")&amp;IF(AND(AA202&lt;&gt;"",AA202&lt;SG_Criteria!$B$20),"FAIL: cover &lt; "&amp;SG_Criteria!$B$20&amp;" mm. ","")&amp;IF(AND(I202&lt;&gt;"",I202&lt;SG_Criteria!$B$39),"NOTE: min depth below PUB "&amp;SG_Criteria!$B$39&amp;" m. ","")&amp;IF(AND(LEFT(D202,8)="Standard",J202&gt;SG_Criteria!$B$42),"FAIL: PUB 001C covers manholes up to "&amp;SG_Criteria!$B$42&amp;" m deep only. ","")&amp;IF(AND(LEFT(D202,11)="Rectangular",K202&lt;SG_Criteria!$B$43),"NOTE: 004C is for sewers &gt;= "&amp;SG_Criteria!$B$43&amp;" dia. ","")&amp;IF(AND(LEFT(D202,7)="Precast",J202&lt;=SG_Criteria!$B$42),"NOTE: 006C is for manholes &gt; "&amp;SG_Criteria!$B$42&amp;" m deep. ","")&amp;IF(AND(K202&lt;&gt;"",K202&lt;SG_Criteria!$B$40,D202&lt;&gt;"Inspection Chamber"),"NOTE: public sewer min dia "&amp;SG_Criteria!$B$40&amp;" mm. ","")&amp;IF(AND(Y202&lt;&gt;"",Y202&lt;SG_Criteria!$B$44),"FAIL: uplift FOS below "&amp;SG_Criteria!$B$44&amp;". ",""))=0,"OK",IF(AND(Z202&lt;&gt;"",IFERROR(VALUE(MID(Z202,2,2)),0)&lt;SG_Criteria!$B$19),"FAIL: grade below C"&amp;SG_Criteria!$B$19&amp;". ","")&amp;IF(AND(AA202&lt;&gt;"",AA202&lt;SG_Criteria!$B$20),"FAIL: cover &lt; "&amp;SG_Criteria!$B$20&amp;" mm. ","")&amp;IF(AND(I202&lt;&gt;"",I202&lt;SG_Criteria!$B$39),"NOTE: min depth below PUB "&amp;SG_Criteria!$B$39&amp;" m. ","")&amp;IF(AND(LEFT(D202,8)="Standard",J202&gt;SG_Criteria!$B$42),"FAIL: PUB 001C covers manholes up to "&amp;SG_Criteria!$B$42&amp;" m deep only. ","")&amp;IF(AND(LEFT(D202,11)="Rectangular",K202&lt;SG_Criteria!$B$43),"NOTE: 004C is for sewers &gt;= "&amp;SG_Criteria!$B$43&amp;" dia. ","")&amp;IF(AND(LEFT(D202,7)="Precast",J202&lt;=SG_Criteria!$B$42),"NOTE: 006C is for manholes &gt; "&amp;SG_Criteria!$B$42&amp;" m deep. ","")&amp;IF(AND(K202&lt;&gt;"",K202&lt;SG_Criteria!$B$40,D202&lt;&gt;"Inspection Chamber"),"NOTE: public sewer min dia "&amp;SG_Criteria!$B$40&amp;" mm. ","")&amp;IF(AND(Y202&lt;&gt;"",Y202&lt;SG_Criteria!$B$44),"FAIL: uplift FOS below "&amp;SG_Criteria!$B$44&amp;". ","")))</f>
        <v/>
      </c>
      <c r="BH202" s="9"/>
      <c r="BI202" s="9"/>
      <c r="BJ202" s="9"/>
      <c r="BK202" s="10" t="str">
        <f aca="false">IF(BJ202="","",IFERROR(VLOOKUP(BJ202,Projects!$A$5:$D$504,2,0),"Ref not in Projects"))</f>
        <v/>
      </c>
      <c r="BL202" s="10" t="str">
        <f aca="false">IF(BJ202="","",IFERROR(VLOOKUP(BJ202,Projects!$A$5:$D$504,4,0),"Ref not in Projects"))</f>
        <v/>
      </c>
      <c r="BM202" s="9"/>
      <c r="BN202" s="9"/>
      <c r="BO202" s="9"/>
      <c r="BP202" s="40"/>
      <c r="BQ202" s="9"/>
      <c r="BR202" s="40"/>
      <c r="BS202" s="9"/>
      <c r="BT202" s="40"/>
      <c r="BU202" s="9"/>
      <c r="BV202" s="9"/>
      <c r="BW202" s="9"/>
      <c r="BX202" s="40"/>
      <c r="BY202" s="40"/>
      <c r="BZ202" s="36" t="str">
        <f aca="false">IF(BY202="","",EDATE(BY202,SG_Criteria!$B$54*12))</f>
        <v/>
      </c>
      <c r="CA202" s="33" t="str">
        <f aca="true">IF(A202="","",IF(BY202="","NOTE: not reviewed yet",IF(TODAY()&gt;BZ202,"NOTE: review overdue","OK")))</f>
        <v/>
      </c>
      <c r="CB202" s="37" t="str">
        <f aca="false">IF(A202="","",ROUND((IF(LEN(D202)&gt;0,1,0)+IF(LEN(E202)&gt;0,1,0)+IF(LEN(F202)&gt;0,1,0)+IF(LEN(G202)&gt;0,1,0)+IF(LEN(I202)&gt;0,1,0)+IF(LEN(J202)&gt;0,1,0)+IF(LEN(K202)&gt;0,1,0)+IF(LEN(L202)&gt;0,1,0)+IF(LEN(M202)&gt;0,1,0)+IF(LEN(N202)&gt;0,1,0)+IF(LEN(Z202)&gt;0,1,0)+IF(LEN(AA202)&gt;0,1,0)+IF(LEN(Y202)&gt;0,1,0)+IF(LEN(AE202)&gt;0,1,0)+IF(LEN(AG202)&gt;0,1,0)+IF(LEN(AZ202)&gt;0,1,0)+IF(LEN(AK202)&gt;0,1,0)+IF(LEN(AM202)&gt;0,1,0)+IF(LEN(AN202)&gt;0,1,0)+IF(LEN(AO202)&gt;0,1,0)+IF(LEN(AP202)&gt;0,1,0)+IF(LEN(AY202)&gt;0,1,0)+IF(LEN(BJ202)&gt;0,1,0)+IF(LEN(BW202)&gt;0,1,0))/24,2))</f>
        <v/>
      </c>
      <c r="CC202" s="10" t="str">
        <f aca="false">IF(D202="","",IF(AND(AN202="Approved",ISERROR(SEARCH("FAIL",BG202))),"Y","N"))</f>
        <v/>
      </c>
      <c r="CD202" s="10" t="str">
        <f aca="false">IF(D202="","",D202&amp;"|"&amp;J202&amp;"|"&amp;G202&amp;"|"&amp;CC202)</f>
        <v/>
      </c>
    </row>
    <row r="203" customFormat="false" ht="15" hidden="false" customHeight="false" outlineLevel="0" collapsed="false">
      <c r="A203" s="10" t="str">
        <f aca="false">IF(D203="","","MH-"&amp;IFERROR(VLOOKUP(D203,Lists!$AB$4:$AC$20,2,0),"??")&amp;"-"&amp;TEXT(G203,"0000")&amp;IF(F203="Circular","D","x"&amp;TEXT(H203,"0000"))&amp;"-D"&amp;TEXT(J203*1000,"0000")&amp;"-"&amp;IFERROR(VLOOKUP(E203,Lists!$AE$4:$AF$16,2,0),"??")&amp;"-"&amp;AM203)</f>
        <v/>
      </c>
      <c r="B203" s="10" t="str">
        <f aca="false">IF(D203="","",D203&amp;", "&amp;E203&amp;", "&amp;IF(F203="Circular",G203&amp;" dia",G203&amp;" x "&amp;H203)&amp;", depth "&amp;TEXT(I203,"0.0")&amp;"-"&amp;TEXT(J203,"0.0")&amp;" m, pipe up to "&amp;K203&amp;" dia")</f>
        <v/>
      </c>
      <c r="C203" s="9"/>
      <c r="D203" s="9"/>
      <c r="E203" s="9"/>
      <c r="F203" s="9"/>
      <c r="G203" s="38"/>
      <c r="H203" s="38"/>
      <c r="I203" s="42"/>
      <c r="J203" s="42"/>
      <c r="K203" s="38"/>
      <c r="L203" s="38"/>
      <c r="M203" s="38"/>
      <c r="N203" s="38"/>
      <c r="O203" s="9"/>
      <c r="P203" s="9"/>
      <c r="Q203" s="9"/>
      <c r="R203" s="9"/>
      <c r="S203" s="9"/>
      <c r="T203" s="9"/>
      <c r="U203" s="9"/>
      <c r="V203" s="42"/>
      <c r="W203" s="9"/>
      <c r="X203" s="9"/>
      <c r="Y203" s="39"/>
      <c r="Z203" s="9"/>
      <c r="AA203" s="38"/>
      <c r="AB203" s="9"/>
      <c r="AC203" s="9"/>
      <c r="AD203" s="9"/>
      <c r="AE203" s="9"/>
      <c r="AF203" s="9"/>
      <c r="AG203" s="9"/>
      <c r="AH203" s="38"/>
      <c r="AI203" s="9"/>
      <c r="AJ203" s="39"/>
      <c r="AK203" s="9"/>
      <c r="AL203" s="9"/>
      <c r="AM203" s="9"/>
      <c r="AN203" s="9"/>
      <c r="AO203" s="9"/>
      <c r="AP203" s="9"/>
      <c r="AQ203" s="9"/>
      <c r="AR203" s="10" t="str">
        <f aca="false">IF(A203="","",SG_Criteria!$B$6&amp;SG_Criteria!$B$10&amp;"\"&amp;A203&amp;"\")</f>
        <v/>
      </c>
      <c r="AS203" s="10" t="str">
        <f aca="false">IF(A203="","",A203&amp;"_CAD.dwg")</f>
        <v/>
      </c>
      <c r="AT203" s="10" t="str">
        <f aca="false">IF(A203="","",A203&amp;"_DWG.pdf")</f>
        <v/>
      </c>
      <c r="AU203" s="10" t="str">
        <f aca="false">IF(A203="","",IF(AQ203="Y",A203&amp;"_STAAD.std","n/a"))</f>
        <v/>
      </c>
      <c r="AV203" s="10" t="str">
        <f aca="false">IF(A203="","",A203&amp;"_CALC.xlsx")</f>
        <v/>
      </c>
      <c r="AW203" s="10" t="str">
        <f aca="false">IF(A203="","",A203&amp;"_CALC.pdf")</f>
        <v/>
      </c>
      <c r="AX203" s="9"/>
      <c r="AY203" s="9"/>
      <c r="AZ203" s="39"/>
      <c r="BA203" s="39"/>
      <c r="BB203" s="39"/>
      <c r="BC203" s="39"/>
      <c r="BD203" s="39"/>
      <c r="BE203" s="12" t="str">
        <f aca="false">IF(A203="","",IF(COUNTIF(Rebar_Schedule!$A$5:$A$2004,A203)=0,"",ROUND(SUMIF(Rebar_Schedule!$A$5:$A$2004,A203,Rebar_Schedule!$K$5:$K$2004),1)))</f>
        <v/>
      </c>
      <c r="BF203" s="33" t="str">
        <f aca="false">IF(A203="","",IF(BE203="","No rebar schedule yet",IF(ABS(BE203-N(BA203))/MAX(N(BA203),1)&gt;SG_Criteria!$B$55,"NOTE: register rebar differs from schedule by "&amp;TEXT(ABS(BE203-N(BA203))/MAX(N(BA203),1),"0%"),"OK")))</f>
        <v/>
      </c>
      <c r="BG203" s="33" t="str">
        <f aca="false">IF(D203="","",IF(LEN(IF(AND(Z203&lt;&gt;"",IFERROR(VALUE(MID(Z203,2,2)),0)&lt;SG_Criteria!$B$19),"FAIL: grade below C"&amp;SG_Criteria!$B$19&amp;". ","")&amp;IF(AND(AA203&lt;&gt;"",AA203&lt;SG_Criteria!$B$20),"FAIL: cover &lt; "&amp;SG_Criteria!$B$20&amp;" mm. ","")&amp;IF(AND(I203&lt;&gt;"",I203&lt;SG_Criteria!$B$39),"NOTE: min depth below PUB "&amp;SG_Criteria!$B$39&amp;" m. ","")&amp;IF(AND(LEFT(D203,8)="Standard",J203&gt;SG_Criteria!$B$42),"FAIL: PUB 001C covers manholes up to "&amp;SG_Criteria!$B$42&amp;" m deep only. ","")&amp;IF(AND(LEFT(D203,11)="Rectangular",K203&lt;SG_Criteria!$B$43),"NOTE: 004C is for sewers &gt;= "&amp;SG_Criteria!$B$43&amp;" dia. ","")&amp;IF(AND(LEFT(D203,7)="Precast",J203&lt;=SG_Criteria!$B$42),"NOTE: 006C is for manholes &gt; "&amp;SG_Criteria!$B$42&amp;" m deep. ","")&amp;IF(AND(K203&lt;&gt;"",K203&lt;SG_Criteria!$B$40,D203&lt;&gt;"Inspection Chamber"),"NOTE: public sewer min dia "&amp;SG_Criteria!$B$40&amp;" mm. ","")&amp;IF(AND(Y203&lt;&gt;"",Y203&lt;SG_Criteria!$B$44),"FAIL: uplift FOS below "&amp;SG_Criteria!$B$44&amp;". ",""))=0,"OK",IF(AND(Z203&lt;&gt;"",IFERROR(VALUE(MID(Z203,2,2)),0)&lt;SG_Criteria!$B$19),"FAIL: grade below C"&amp;SG_Criteria!$B$19&amp;". ","")&amp;IF(AND(AA203&lt;&gt;"",AA203&lt;SG_Criteria!$B$20),"FAIL: cover &lt; "&amp;SG_Criteria!$B$20&amp;" mm. ","")&amp;IF(AND(I203&lt;&gt;"",I203&lt;SG_Criteria!$B$39),"NOTE: min depth below PUB "&amp;SG_Criteria!$B$39&amp;" m. ","")&amp;IF(AND(LEFT(D203,8)="Standard",J203&gt;SG_Criteria!$B$42),"FAIL: PUB 001C covers manholes up to "&amp;SG_Criteria!$B$42&amp;" m deep only. ","")&amp;IF(AND(LEFT(D203,11)="Rectangular",K203&lt;SG_Criteria!$B$43),"NOTE: 004C is for sewers &gt;= "&amp;SG_Criteria!$B$43&amp;" dia. ","")&amp;IF(AND(LEFT(D203,7)="Precast",J203&lt;=SG_Criteria!$B$42),"NOTE: 006C is for manholes &gt; "&amp;SG_Criteria!$B$42&amp;" m deep. ","")&amp;IF(AND(K203&lt;&gt;"",K203&lt;SG_Criteria!$B$40,D203&lt;&gt;"Inspection Chamber"),"NOTE: public sewer min dia "&amp;SG_Criteria!$B$40&amp;" mm. ","")&amp;IF(AND(Y203&lt;&gt;"",Y203&lt;SG_Criteria!$B$44),"FAIL: uplift FOS below "&amp;SG_Criteria!$B$44&amp;". ","")))</f>
        <v/>
      </c>
      <c r="BH203" s="9"/>
      <c r="BI203" s="9"/>
      <c r="BJ203" s="9"/>
      <c r="BK203" s="10" t="str">
        <f aca="false">IF(BJ203="","",IFERROR(VLOOKUP(BJ203,Projects!$A$5:$D$504,2,0),"Ref not in Projects"))</f>
        <v/>
      </c>
      <c r="BL203" s="10" t="str">
        <f aca="false">IF(BJ203="","",IFERROR(VLOOKUP(BJ203,Projects!$A$5:$D$504,4,0),"Ref not in Projects"))</f>
        <v/>
      </c>
      <c r="BM203" s="9"/>
      <c r="BN203" s="9"/>
      <c r="BO203" s="9"/>
      <c r="BP203" s="40"/>
      <c r="BQ203" s="9"/>
      <c r="BR203" s="40"/>
      <c r="BS203" s="9"/>
      <c r="BT203" s="40"/>
      <c r="BU203" s="9"/>
      <c r="BV203" s="9"/>
      <c r="BW203" s="9"/>
      <c r="BX203" s="40"/>
      <c r="BY203" s="40"/>
      <c r="BZ203" s="36" t="str">
        <f aca="false">IF(BY203="","",EDATE(BY203,SG_Criteria!$B$54*12))</f>
        <v/>
      </c>
      <c r="CA203" s="33" t="str">
        <f aca="true">IF(A203="","",IF(BY203="","NOTE: not reviewed yet",IF(TODAY()&gt;BZ203,"NOTE: review overdue","OK")))</f>
        <v/>
      </c>
      <c r="CB203" s="37" t="str">
        <f aca="false">IF(A203="","",ROUND((IF(LEN(D203)&gt;0,1,0)+IF(LEN(E203)&gt;0,1,0)+IF(LEN(F203)&gt;0,1,0)+IF(LEN(G203)&gt;0,1,0)+IF(LEN(I203)&gt;0,1,0)+IF(LEN(J203)&gt;0,1,0)+IF(LEN(K203)&gt;0,1,0)+IF(LEN(L203)&gt;0,1,0)+IF(LEN(M203)&gt;0,1,0)+IF(LEN(N203)&gt;0,1,0)+IF(LEN(Z203)&gt;0,1,0)+IF(LEN(AA203)&gt;0,1,0)+IF(LEN(Y203)&gt;0,1,0)+IF(LEN(AE203)&gt;0,1,0)+IF(LEN(AG203)&gt;0,1,0)+IF(LEN(AZ203)&gt;0,1,0)+IF(LEN(AK203)&gt;0,1,0)+IF(LEN(AM203)&gt;0,1,0)+IF(LEN(AN203)&gt;0,1,0)+IF(LEN(AO203)&gt;0,1,0)+IF(LEN(AP203)&gt;0,1,0)+IF(LEN(AY203)&gt;0,1,0)+IF(LEN(BJ203)&gt;0,1,0)+IF(LEN(BW203)&gt;0,1,0))/24,2))</f>
        <v/>
      </c>
      <c r="CC203" s="10" t="str">
        <f aca="false">IF(D203="","",IF(AND(AN203="Approved",ISERROR(SEARCH("FAIL",BG203))),"Y","N"))</f>
        <v/>
      </c>
      <c r="CD203" s="10" t="str">
        <f aca="false">IF(D203="","",D203&amp;"|"&amp;J203&amp;"|"&amp;G203&amp;"|"&amp;CC203)</f>
        <v/>
      </c>
    </row>
    <row r="204" customFormat="false" ht="15" hidden="false" customHeight="false" outlineLevel="0" collapsed="false">
      <c r="A204" s="10" t="str">
        <f aca="false">IF(D204="","","MH-"&amp;IFERROR(VLOOKUP(D204,Lists!$AB$4:$AC$20,2,0),"??")&amp;"-"&amp;TEXT(G204,"0000")&amp;IF(F204="Circular","D","x"&amp;TEXT(H204,"0000"))&amp;"-D"&amp;TEXT(J204*1000,"0000")&amp;"-"&amp;IFERROR(VLOOKUP(E204,Lists!$AE$4:$AF$16,2,0),"??")&amp;"-"&amp;AM204)</f>
        <v/>
      </c>
      <c r="B204" s="10" t="str">
        <f aca="false">IF(D204="","",D204&amp;", "&amp;E204&amp;", "&amp;IF(F204="Circular",G204&amp;" dia",G204&amp;" x "&amp;H204)&amp;", depth "&amp;TEXT(I204,"0.0")&amp;"-"&amp;TEXT(J204,"0.0")&amp;" m, pipe up to "&amp;K204&amp;" dia")</f>
        <v/>
      </c>
      <c r="C204" s="9"/>
      <c r="D204" s="9"/>
      <c r="E204" s="9"/>
      <c r="F204" s="9"/>
      <c r="G204" s="38"/>
      <c r="H204" s="38"/>
      <c r="I204" s="42"/>
      <c r="J204" s="42"/>
      <c r="K204" s="38"/>
      <c r="L204" s="38"/>
      <c r="M204" s="38"/>
      <c r="N204" s="38"/>
      <c r="O204" s="9"/>
      <c r="P204" s="9"/>
      <c r="Q204" s="9"/>
      <c r="R204" s="9"/>
      <c r="S204" s="9"/>
      <c r="T204" s="9"/>
      <c r="U204" s="9"/>
      <c r="V204" s="42"/>
      <c r="W204" s="9"/>
      <c r="X204" s="9"/>
      <c r="Y204" s="39"/>
      <c r="Z204" s="9"/>
      <c r="AA204" s="38"/>
      <c r="AB204" s="9"/>
      <c r="AC204" s="9"/>
      <c r="AD204" s="9"/>
      <c r="AE204" s="9"/>
      <c r="AF204" s="9"/>
      <c r="AG204" s="9"/>
      <c r="AH204" s="38"/>
      <c r="AI204" s="9"/>
      <c r="AJ204" s="39"/>
      <c r="AK204" s="9"/>
      <c r="AL204" s="9"/>
      <c r="AM204" s="9"/>
      <c r="AN204" s="9"/>
      <c r="AO204" s="9"/>
      <c r="AP204" s="9"/>
      <c r="AQ204" s="9"/>
      <c r="AR204" s="10" t="str">
        <f aca="false">IF(A204="","",SG_Criteria!$B$6&amp;SG_Criteria!$B$10&amp;"\"&amp;A204&amp;"\")</f>
        <v/>
      </c>
      <c r="AS204" s="10" t="str">
        <f aca="false">IF(A204="","",A204&amp;"_CAD.dwg")</f>
        <v/>
      </c>
      <c r="AT204" s="10" t="str">
        <f aca="false">IF(A204="","",A204&amp;"_DWG.pdf")</f>
        <v/>
      </c>
      <c r="AU204" s="10" t="str">
        <f aca="false">IF(A204="","",IF(AQ204="Y",A204&amp;"_STAAD.std","n/a"))</f>
        <v/>
      </c>
      <c r="AV204" s="10" t="str">
        <f aca="false">IF(A204="","",A204&amp;"_CALC.xlsx")</f>
        <v/>
      </c>
      <c r="AW204" s="10" t="str">
        <f aca="false">IF(A204="","",A204&amp;"_CALC.pdf")</f>
        <v/>
      </c>
      <c r="AX204" s="9"/>
      <c r="AY204" s="9"/>
      <c r="AZ204" s="39"/>
      <c r="BA204" s="39"/>
      <c r="BB204" s="39"/>
      <c r="BC204" s="39"/>
      <c r="BD204" s="39"/>
      <c r="BE204" s="12" t="str">
        <f aca="false">IF(A204="","",IF(COUNTIF(Rebar_Schedule!$A$5:$A$2004,A204)=0,"",ROUND(SUMIF(Rebar_Schedule!$A$5:$A$2004,A204,Rebar_Schedule!$K$5:$K$2004),1)))</f>
        <v/>
      </c>
      <c r="BF204" s="33" t="str">
        <f aca="false">IF(A204="","",IF(BE204="","No rebar schedule yet",IF(ABS(BE204-N(BA204))/MAX(N(BA204),1)&gt;SG_Criteria!$B$55,"NOTE: register rebar differs from schedule by "&amp;TEXT(ABS(BE204-N(BA204))/MAX(N(BA204),1),"0%"),"OK")))</f>
        <v/>
      </c>
      <c r="BG204" s="33" t="str">
        <f aca="false">IF(D204="","",IF(LEN(IF(AND(Z204&lt;&gt;"",IFERROR(VALUE(MID(Z204,2,2)),0)&lt;SG_Criteria!$B$19),"FAIL: grade below C"&amp;SG_Criteria!$B$19&amp;". ","")&amp;IF(AND(AA204&lt;&gt;"",AA204&lt;SG_Criteria!$B$20),"FAIL: cover &lt; "&amp;SG_Criteria!$B$20&amp;" mm. ","")&amp;IF(AND(I204&lt;&gt;"",I204&lt;SG_Criteria!$B$39),"NOTE: min depth below PUB "&amp;SG_Criteria!$B$39&amp;" m. ","")&amp;IF(AND(LEFT(D204,8)="Standard",J204&gt;SG_Criteria!$B$42),"FAIL: PUB 001C covers manholes up to "&amp;SG_Criteria!$B$42&amp;" m deep only. ","")&amp;IF(AND(LEFT(D204,11)="Rectangular",K204&lt;SG_Criteria!$B$43),"NOTE: 004C is for sewers &gt;= "&amp;SG_Criteria!$B$43&amp;" dia. ","")&amp;IF(AND(LEFT(D204,7)="Precast",J204&lt;=SG_Criteria!$B$42),"NOTE: 006C is for manholes &gt; "&amp;SG_Criteria!$B$42&amp;" m deep. ","")&amp;IF(AND(K204&lt;&gt;"",K204&lt;SG_Criteria!$B$40,D204&lt;&gt;"Inspection Chamber"),"NOTE: public sewer min dia "&amp;SG_Criteria!$B$40&amp;" mm. ","")&amp;IF(AND(Y204&lt;&gt;"",Y204&lt;SG_Criteria!$B$44),"FAIL: uplift FOS below "&amp;SG_Criteria!$B$44&amp;". ",""))=0,"OK",IF(AND(Z204&lt;&gt;"",IFERROR(VALUE(MID(Z204,2,2)),0)&lt;SG_Criteria!$B$19),"FAIL: grade below C"&amp;SG_Criteria!$B$19&amp;". ","")&amp;IF(AND(AA204&lt;&gt;"",AA204&lt;SG_Criteria!$B$20),"FAIL: cover &lt; "&amp;SG_Criteria!$B$20&amp;" mm. ","")&amp;IF(AND(I204&lt;&gt;"",I204&lt;SG_Criteria!$B$39),"NOTE: min depth below PUB "&amp;SG_Criteria!$B$39&amp;" m. ","")&amp;IF(AND(LEFT(D204,8)="Standard",J204&gt;SG_Criteria!$B$42),"FAIL: PUB 001C covers manholes up to "&amp;SG_Criteria!$B$42&amp;" m deep only. ","")&amp;IF(AND(LEFT(D204,11)="Rectangular",K204&lt;SG_Criteria!$B$43),"NOTE: 004C is for sewers &gt;= "&amp;SG_Criteria!$B$43&amp;" dia. ","")&amp;IF(AND(LEFT(D204,7)="Precast",J204&lt;=SG_Criteria!$B$42),"NOTE: 006C is for manholes &gt; "&amp;SG_Criteria!$B$42&amp;" m deep. ","")&amp;IF(AND(K204&lt;&gt;"",K204&lt;SG_Criteria!$B$40,D204&lt;&gt;"Inspection Chamber"),"NOTE: public sewer min dia "&amp;SG_Criteria!$B$40&amp;" mm. ","")&amp;IF(AND(Y204&lt;&gt;"",Y204&lt;SG_Criteria!$B$44),"FAIL: uplift FOS below "&amp;SG_Criteria!$B$44&amp;". ","")))</f>
        <v/>
      </c>
      <c r="BH204" s="9"/>
      <c r="BI204" s="9"/>
      <c r="BJ204" s="9"/>
      <c r="BK204" s="10" t="str">
        <f aca="false">IF(BJ204="","",IFERROR(VLOOKUP(BJ204,Projects!$A$5:$D$504,2,0),"Ref not in Projects"))</f>
        <v/>
      </c>
      <c r="BL204" s="10" t="str">
        <f aca="false">IF(BJ204="","",IFERROR(VLOOKUP(BJ204,Projects!$A$5:$D$504,4,0),"Ref not in Projects"))</f>
        <v/>
      </c>
      <c r="BM204" s="9"/>
      <c r="BN204" s="9"/>
      <c r="BO204" s="9"/>
      <c r="BP204" s="40"/>
      <c r="BQ204" s="9"/>
      <c r="BR204" s="40"/>
      <c r="BS204" s="9"/>
      <c r="BT204" s="40"/>
      <c r="BU204" s="9"/>
      <c r="BV204" s="9"/>
      <c r="BW204" s="9"/>
      <c r="BX204" s="40"/>
      <c r="BY204" s="40"/>
      <c r="BZ204" s="36" t="str">
        <f aca="false">IF(BY204="","",EDATE(BY204,SG_Criteria!$B$54*12))</f>
        <v/>
      </c>
      <c r="CA204" s="33" t="str">
        <f aca="true">IF(A204="","",IF(BY204="","NOTE: not reviewed yet",IF(TODAY()&gt;BZ204,"NOTE: review overdue","OK")))</f>
        <v/>
      </c>
      <c r="CB204" s="37" t="str">
        <f aca="false">IF(A204="","",ROUND((IF(LEN(D204)&gt;0,1,0)+IF(LEN(E204)&gt;0,1,0)+IF(LEN(F204)&gt;0,1,0)+IF(LEN(G204)&gt;0,1,0)+IF(LEN(I204)&gt;0,1,0)+IF(LEN(J204)&gt;0,1,0)+IF(LEN(K204)&gt;0,1,0)+IF(LEN(L204)&gt;0,1,0)+IF(LEN(M204)&gt;0,1,0)+IF(LEN(N204)&gt;0,1,0)+IF(LEN(Z204)&gt;0,1,0)+IF(LEN(AA204)&gt;0,1,0)+IF(LEN(Y204)&gt;0,1,0)+IF(LEN(AE204)&gt;0,1,0)+IF(LEN(AG204)&gt;0,1,0)+IF(LEN(AZ204)&gt;0,1,0)+IF(LEN(AK204)&gt;0,1,0)+IF(LEN(AM204)&gt;0,1,0)+IF(LEN(AN204)&gt;0,1,0)+IF(LEN(AO204)&gt;0,1,0)+IF(LEN(AP204)&gt;0,1,0)+IF(LEN(AY204)&gt;0,1,0)+IF(LEN(BJ204)&gt;0,1,0)+IF(LEN(BW204)&gt;0,1,0))/24,2))</f>
        <v/>
      </c>
      <c r="CC204" s="10" t="str">
        <f aca="false">IF(D204="","",IF(AND(AN204="Approved",ISERROR(SEARCH("FAIL",BG204))),"Y","N"))</f>
        <v/>
      </c>
      <c r="CD204" s="10" t="str">
        <f aca="false">IF(D204="","",D204&amp;"|"&amp;J204&amp;"|"&amp;G204&amp;"|"&amp;CC204)</f>
        <v/>
      </c>
    </row>
    <row r="205" customFormat="false" ht="15" hidden="false" customHeight="false" outlineLevel="0" collapsed="false">
      <c r="A205" s="10" t="str">
        <f aca="false">IF(D205="","","MH-"&amp;IFERROR(VLOOKUP(D205,Lists!$AB$4:$AC$20,2,0),"??")&amp;"-"&amp;TEXT(G205,"0000")&amp;IF(F205="Circular","D","x"&amp;TEXT(H205,"0000"))&amp;"-D"&amp;TEXT(J205*1000,"0000")&amp;"-"&amp;IFERROR(VLOOKUP(E205,Lists!$AE$4:$AF$16,2,0),"??")&amp;"-"&amp;AM205)</f>
        <v/>
      </c>
      <c r="B205" s="10" t="str">
        <f aca="false">IF(D205="","",D205&amp;", "&amp;E205&amp;", "&amp;IF(F205="Circular",G205&amp;" dia",G205&amp;" x "&amp;H205)&amp;", depth "&amp;TEXT(I205,"0.0")&amp;"-"&amp;TEXT(J205,"0.0")&amp;" m, pipe up to "&amp;K205&amp;" dia")</f>
        <v/>
      </c>
      <c r="C205" s="9"/>
      <c r="D205" s="9"/>
      <c r="E205" s="9"/>
      <c r="F205" s="9"/>
      <c r="G205" s="38"/>
      <c r="H205" s="38"/>
      <c r="I205" s="42"/>
      <c r="J205" s="42"/>
      <c r="K205" s="38"/>
      <c r="L205" s="38"/>
      <c r="M205" s="38"/>
      <c r="N205" s="38"/>
      <c r="O205" s="9"/>
      <c r="P205" s="9"/>
      <c r="Q205" s="9"/>
      <c r="R205" s="9"/>
      <c r="S205" s="9"/>
      <c r="T205" s="9"/>
      <c r="U205" s="9"/>
      <c r="V205" s="42"/>
      <c r="W205" s="9"/>
      <c r="X205" s="9"/>
      <c r="Y205" s="39"/>
      <c r="Z205" s="9"/>
      <c r="AA205" s="38"/>
      <c r="AB205" s="9"/>
      <c r="AC205" s="9"/>
      <c r="AD205" s="9"/>
      <c r="AE205" s="9"/>
      <c r="AF205" s="9"/>
      <c r="AG205" s="9"/>
      <c r="AH205" s="38"/>
      <c r="AI205" s="9"/>
      <c r="AJ205" s="39"/>
      <c r="AK205" s="9"/>
      <c r="AL205" s="9"/>
      <c r="AM205" s="9"/>
      <c r="AN205" s="9"/>
      <c r="AO205" s="9"/>
      <c r="AP205" s="9"/>
      <c r="AQ205" s="9"/>
      <c r="AR205" s="10" t="str">
        <f aca="false">IF(A205="","",SG_Criteria!$B$6&amp;SG_Criteria!$B$10&amp;"\"&amp;A205&amp;"\")</f>
        <v/>
      </c>
      <c r="AS205" s="10" t="str">
        <f aca="false">IF(A205="","",A205&amp;"_CAD.dwg")</f>
        <v/>
      </c>
      <c r="AT205" s="10" t="str">
        <f aca="false">IF(A205="","",A205&amp;"_DWG.pdf")</f>
        <v/>
      </c>
      <c r="AU205" s="10" t="str">
        <f aca="false">IF(A205="","",IF(AQ205="Y",A205&amp;"_STAAD.std","n/a"))</f>
        <v/>
      </c>
      <c r="AV205" s="10" t="str">
        <f aca="false">IF(A205="","",A205&amp;"_CALC.xlsx")</f>
        <v/>
      </c>
      <c r="AW205" s="10" t="str">
        <f aca="false">IF(A205="","",A205&amp;"_CALC.pdf")</f>
        <v/>
      </c>
      <c r="AX205" s="9"/>
      <c r="AY205" s="9"/>
      <c r="AZ205" s="39"/>
      <c r="BA205" s="39"/>
      <c r="BB205" s="39"/>
      <c r="BC205" s="39"/>
      <c r="BD205" s="39"/>
      <c r="BE205" s="12" t="str">
        <f aca="false">IF(A205="","",IF(COUNTIF(Rebar_Schedule!$A$5:$A$2004,A205)=0,"",ROUND(SUMIF(Rebar_Schedule!$A$5:$A$2004,A205,Rebar_Schedule!$K$5:$K$2004),1)))</f>
        <v/>
      </c>
      <c r="BF205" s="33" t="str">
        <f aca="false">IF(A205="","",IF(BE205="","No rebar schedule yet",IF(ABS(BE205-N(BA205))/MAX(N(BA205),1)&gt;SG_Criteria!$B$55,"NOTE: register rebar differs from schedule by "&amp;TEXT(ABS(BE205-N(BA205))/MAX(N(BA205),1),"0%"),"OK")))</f>
        <v/>
      </c>
      <c r="BG205" s="33" t="str">
        <f aca="false">IF(D205="","",IF(LEN(IF(AND(Z205&lt;&gt;"",IFERROR(VALUE(MID(Z205,2,2)),0)&lt;SG_Criteria!$B$19),"FAIL: grade below C"&amp;SG_Criteria!$B$19&amp;". ","")&amp;IF(AND(AA205&lt;&gt;"",AA205&lt;SG_Criteria!$B$20),"FAIL: cover &lt; "&amp;SG_Criteria!$B$20&amp;" mm. ","")&amp;IF(AND(I205&lt;&gt;"",I205&lt;SG_Criteria!$B$39),"NOTE: min depth below PUB "&amp;SG_Criteria!$B$39&amp;" m. ","")&amp;IF(AND(LEFT(D205,8)="Standard",J205&gt;SG_Criteria!$B$42),"FAIL: PUB 001C covers manholes up to "&amp;SG_Criteria!$B$42&amp;" m deep only. ","")&amp;IF(AND(LEFT(D205,11)="Rectangular",K205&lt;SG_Criteria!$B$43),"NOTE: 004C is for sewers &gt;= "&amp;SG_Criteria!$B$43&amp;" dia. ","")&amp;IF(AND(LEFT(D205,7)="Precast",J205&lt;=SG_Criteria!$B$42),"NOTE: 006C is for manholes &gt; "&amp;SG_Criteria!$B$42&amp;" m deep. ","")&amp;IF(AND(K205&lt;&gt;"",K205&lt;SG_Criteria!$B$40,D205&lt;&gt;"Inspection Chamber"),"NOTE: public sewer min dia "&amp;SG_Criteria!$B$40&amp;" mm. ","")&amp;IF(AND(Y205&lt;&gt;"",Y205&lt;SG_Criteria!$B$44),"FAIL: uplift FOS below "&amp;SG_Criteria!$B$44&amp;". ",""))=0,"OK",IF(AND(Z205&lt;&gt;"",IFERROR(VALUE(MID(Z205,2,2)),0)&lt;SG_Criteria!$B$19),"FAIL: grade below C"&amp;SG_Criteria!$B$19&amp;". ","")&amp;IF(AND(AA205&lt;&gt;"",AA205&lt;SG_Criteria!$B$20),"FAIL: cover &lt; "&amp;SG_Criteria!$B$20&amp;" mm. ","")&amp;IF(AND(I205&lt;&gt;"",I205&lt;SG_Criteria!$B$39),"NOTE: min depth below PUB "&amp;SG_Criteria!$B$39&amp;" m. ","")&amp;IF(AND(LEFT(D205,8)="Standard",J205&gt;SG_Criteria!$B$42),"FAIL: PUB 001C covers manholes up to "&amp;SG_Criteria!$B$42&amp;" m deep only. ","")&amp;IF(AND(LEFT(D205,11)="Rectangular",K205&lt;SG_Criteria!$B$43),"NOTE: 004C is for sewers &gt;= "&amp;SG_Criteria!$B$43&amp;" dia. ","")&amp;IF(AND(LEFT(D205,7)="Precast",J205&lt;=SG_Criteria!$B$42),"NOTE: 006C is for manholes &gt; "&amp;SG_Criteria!$B$42&amp;" m deep. ","")&amp;IF(AND(K205&lt;&gt;"",K205&lt;SG_Criteria!$B$40,D205&lt;&gt;"Inspection Chamber"),"NOTE: public sewer min dia "&amp;SG_Criteria!$B$40&amp;" mm. ","")&amp;IF(AND(Y205&lt;&gt;"",Y205&lt;SG_Criteria!$B$44),"FAIL: uplift FOS below "&amp;SG_Criteria!$B$44&amp;". ","")))</f>
        <v/>
      </c>
      <c r="BH205" s="9"/>
      <c r="BI205" s="9"/>
      <c r="BJ205" s="9"/>
      <c r="BK205" s="10" t="str">
        <f aca="false">IF(BJ205="","",IFERROR(VLOOKUP(BJ205,Projects!$A$5:$D$504,2,0),"Ref not in Projects"))</f>
        <v/>
      </c>
      <c r="BL205" s="10" t="str">
        <f aca="false">IF(BJ205="","",IFERROR(VLOOKUP(BJ205,Projects!$A$5:$D$504,4,0),"Ref not in Projects"))</f>
        <v/>
      </c>
      <c r="BM205" s="9"/>
      <c r="BN205" s="9"/>
      <c r="BO205" s="9"/>
      <c r="BP205" s="40"/>
      <c r="BQ205" s="9"/>
      <c r="BR205" s="40"/>
      <c r="BS205" s="9"/>
      <c r="BT205" s="40"/>
      <c r="BU205" s="9"/>
      <c r="BV205" s="9"/>
      <c r="BW205" s="9"/>
      <c r="BX205" s="40"/>
      <c r="BY205" s="40"/>
      <c r="BZ205" s="36" t="str">
        <f aca="false">IF(BY205="","",EDATE(BY205,SG_Criteria!$B$54*12))</f>
        <v/>
      </c>
      <c r="CA205" s="33" t="str">
        <f aca="true">IF(A205="","",IF(BY205="","NOTE: not reviewed yet",IF(TODAY()&gt;BZ205,"NOTE: review overdue","OK")))</f>
        <v/>
      </c>
      <c r="CB205" s="37" t="str">
        <f aca="false">IF(A205="","",ROUND((IF(LEN(D205)&gt;0,1,0)+IF(LEN(E205)&gt;0,1,0)+IF(LEN(F205)&gt;0,1,0)+IF(LEN(G205)&gt;0,1,0)+IF(LEN(I205)&gt;0,1,0)+IF(LEN(J205)&gt;0,1,0)+IF(LEN(K205)&gt;0,1,0)+IF(LEN(L205)&gt;0,1,0)+IF(LEN(M205)&gt;0,1,0)+IF(LEN(N205)&gt;0,1,0)+IF(LEN(Z205)&gt;0,1,0)+IF(LEN(AA205)&gt;0,1,0)+IF(LEN(Y205)&gt;0,1,0)+IF(LEN(AE205)&gt;0,1,0)+IF(LEN(AG205)&gt;0,1,0)+IF(LEN(AZ205)&gt;0,1,0)+IF(LEN(AK205)&gt;0,1,0)+IF(LEN(AM205)&gt;0,1,0)+IF(LEN(AN205)&gt;0,1,0)+IF(LEN(AO205)&gt;0,1,0)+IF(LEN(AP205)&gt;0,1,0)+IF(LEN(AY205)&gt;0,1,0)+IF(LEN(BJ205)&gt;0,1,0)+IF(LEN(BW205)&gt;0,1,0))/24,2))</f>
        <v/>
      </c>
      <c r="CC205" s="10" t="str">
        <f aca="false">IF(D205="","",IF(AND(AN205="Approved",ISERROR(SEARCH("FAIL",BG205))),"Y","N"))</f>
        <v/>
      </c>
      <c r="CD205" s="10" t="str">
        <f aca="false">IF(D205="","",D205&amp;"|"&amp;J205&amp;"|"&amp;G205&amp;"|"&amp;CC205)</f>
        <v/>
      </c>
    </row>
    <row r="206" customFormat="false" ht="15" hidden="false" customHeight="false" outlineLevel="0" collapsed="false">
      <c r="A206" s="10" t="str">
        <f aca="false">IF(D206="","","MH-"&amp;IFERROR(VLOOKUP(D206,Lists!$AB$4:$AC$20,2,0),"??")&amp;"-"&amp;TEXT(G206,"0000")&amp;IF(F206="Circular","D","x"&amp;TEXT(H206,"0000"))&amp;"-D"&amp;TEXT(J206*1000,"0000")&amp;"-"&amp;IFERROR(VLOOKUP(E206,Lists!$AE$4:$AF$16,2,0),"??")&amp;"-"&amp;AM206)</f>
        <v/>
      </c>
      <c r="B206" s="10" t="str">
        <f aca="false">IF(D206="","",D206&amp;", "&amp;E206&amp;", "&amp;IF(F206="Circular",G206&amp;" dia",G206&amp;" x "&amp;H206)&amp;", depth "&amp;TEXT(I206,"0.0")&amp;"-"&amp;TEXT(J206,"0.0")&amp;" m, pipe up to "&amp;K206&amp;" dia")</f>
        <v/>
      </c>
      <c r="C206" s="9"/>
      <c r="D206" s="9"/>
      <c r="E206" s="9"/>
      <c r="F206" s="9"/>
      <c r="G206" s="38"/>
      <c r="H206" s="38"/>
      <c r="I206" s="42"/>
      <c r="J206" s="42"/>
      <c r="K206" s="38"/>
      <c r="L206" s="38"/>
      <c r="M206" s="38"/>
      <c r="N206" s="38"/>
      <c r="O206" s="9"/>
      <c r="P206" s="9"/>
      <c r="Q206" s="9"/>
      <c r="R206" s="9"/>
      <c r="S206" s="9"/>
      <c r="T206" s="9"/>
      <c r="U206" s="9"/>
      <c r="V206" s="42"/>
      <c r="W206" s="9"/>
      <c r="X206" s="9"/>
      <c r="Y206" s="39"/>
      <c r="Z206" s="9"/>
      <c r="AA206" s="38"/>
      <c r="AB206" s="9"/>
      <c r="AC206" s="9"/>
      <c r="AD206" s="9"/>
      <c r="AE206" s="9"/>
      <c r="AF206" s="9"/>
      <c r="AG206" s="9"/>
      <c r="AH206" s="38"/>
      <c r="AI206" s="9"/>
      <c r="AJ206" s="39"/>
      <c r="AK206" s="9"/>
      <c r="AL206" s="9"/>
      <c r="AM206" s="9"/>
      <c r="AN206" s="9"/>
      <c r="AO206" s="9"/>
      <c r="AP206" s="9"/>
      <c r="AQ206" s="9"/>
      <c r="AR206" s="10" t="str">
        <f aca="false">IF(A206="","",SG_Criteria!$B$6&amp;SG_Criteria!$B$10&amp;"\"&amp;A206&amp;"\")</f>
        <v/>
      </c>
      <c r="AS206" s="10" t="str">
        <f aca="false">IF(A206="","",A206&amp;"_CAD.dwg")</f>
        <v/>
      </c>
      <c r="AT206" s="10" t="str">
        <f aca="false">IF(A206="","",A206&amp;"_DWG.pdf")</f>
        <v/>
      </c>
      <c r="AU206" s="10" t="str">
        <f aca="false">IF(A206="","",IF(AQ206="Y",A206&amp;"_STAAD.std","n/a"))</f>
        <v/>
      </c>
      <c r="AV206" s="10" t="str">
        <f aca="false">IF(A206="","",A206&amp;"_CALC.xlsx")</f>
        <v/>
      </c>
      <c r="AW206" s="10" t="str">
        <f aca="false">IF(A206="","",A206&amp;"_CALC.pdf")</f>
        <v/>
      </c>
      <c r="AX206" s="9"/>
      <c r="AY206" s="9"/>
      <c r="AZ206" s="39"/>
      <c r="BA206" s="39"/>
      <c r="BB206" s="39"/>
      <c r="BC206" s="39"/>
      <c r="BD206" s="39"/>
      <c r="BE206" s="12" t="str">
        <f aca="false">IF(A206="","",IF(COUNTIF(Rebar_Schedule!$A$5:$A$2004,A206)=0,"",ROUND(SUMIF(Rebar_Schedule!$A$5:$A$2004,A206,Rebar_Schedule!$K$5:$K$2004),1)))</f>
        <v/>
      </c>
      <c r="BF206" s="33" t="str">
        <f aca="false">IF(A206="","",IF(BE206="","No rebar schedule yet",IF(ABS(BE206-N(BA206))/MAX(N(BA206),1)&gt;SG_Criteria!$B$55,"NOTE: register rebar differs from schedule by "&amp;TEXT(ABS(BE206-N(BA206))/MAX(N(BA206),1),"0%"),"OK")))</f>
        <v/>
      </c>
      <c r="BG206" s="33" t="str">
        <f aca="false">IF(D206="","",IF(LEN(IF(AND(Z206&lt;&gt;"",IFERROR(VALUE(MID(Z206,2,2)),0)&lt;SG_Criteria!$B$19),"FAIL: grade below C"&amp;SG_Criteria!$B$19&amp;". ","")&amp;IF(AND(AA206&lt;&gt;"",AA206&lt;SG_Criteria!$B$20),"FAIL: cover &lt; "&amp;SG_Criteria!$B$20&amp;" mm. ","")&amp;IF(AND(I206&lt;&gt;"",I206&lt;SG_Criteria!$B$39),"NOTE: min depth below PUB "&amp;SG_Criteria!$B$39&amp;" m. ","")&amp;IF(AND(LEFT(D206,8)="Standard",J206&gt;SG_Criteria!$B$42),"FAIL: PUB 001C covers manholes up to "&amp;SG_Criteria!$B$42&amp;" m deep only. ","")&amp;IF(AND(LEFT(D206,11)="Rectangular",K206&lt;SG_Criteria!$B$43),"NOTE: 004C is for sewers &gt;= "&amp;SG_Criteria!$B$43&amp;" dia. ","")&amp;IF(AND(LEFT(D206,7)="Precast",J206&lt;=SG_Criteria!$B$42),"NOTE: 006C is for manholes &gt; "&amp;SG_Criteria!$B$42&amp;" m deep. ","")&amp;IF(AND(K206&lt;&gt;"",K206&lt;SG_Criteria!$B$40,D206&lt;&gt;"Inspection Chamber"),"NOTE: public sewer min dia "&amp;SG_Criteria!$B$40&amp;" mm. ","")&amp;IF(AND(Y206&lt;&gt;"",Y206&lt;SG_Criteria!$B$44),"FAIL: uplift FOS below "&amp;SG_Criteria!$B$44&amp;". ",""))=0,"OK",IF(AND(Z206&lt;&gt;"",IFERROR(VALUE(MID(Z206,2,2)),0)&lt;SG_Criteria!$B$19),"FAIL: grade below C"&amp;SG_Criteria!$B$19&amp;". ","")&amp;IF(AND(AA206&lt;&gt;"",AA206&lt;SG_Criteria!$B$20),"FAIL: cover &lt; "&amp;SG_Criteria!$B$20&amp;" mm. ","")&amp;IF(AND(I206&lt;&gt;"",I206&lt;SG_Criteria!$B$39),"NOTE: min depth below PUB "&amp;SG_Criteria!$B$39&amp;" m. ","")&amp;IF(AND(LEFT(D206,8)="Standard",J206&gt;SG_Criteria!$B$42),"FAIL: PUB 001C covers manholes up to "&amp;SG_Criteria!$B$42&amp;" m deep only. ","")&amp;IF(AND(LEFT(D206,11)="Rectangular",K206&lt;SG_Criteria!$B$43),"NOTE: 004C is for sewers &gt;= "&amp;SG_Criteria!$B$43&amp;" dia. ","")&amp;IF(AND(LEFT(D206,7)="Precast",J206&lt;=SG_Criteria!$B$42),"NOTE: 006C is for manholes &gt; "&amp;SG_Criteria!$B$42&amp;" m deep. ","")&amp;IF(AND(K206&lt;&gt;"",K206&lt;SG_Criteria!$B$40,D206&lt;&gt;"Inspection Chamber"),"NOTE: public sewer min dia "&amp;SG_Criteria!$B$40&amp;" mm. ","")&amp;IF(AND(Y206&lt;&gt;"",Y206&lt;SG_Criteria!$B$44),"FAIL: uplift FOS below "&amp;SG_Criteria!$B$44&amp;". ","")))</f>
        <v/>
      </c>
      <c r="BH206" s="9"/>
      <c r="BI206" s="9"/>
      <c r="BJ206" s="9"/>
      <c r="BK206" s="10" t="str">
        <f aca="false">IF(BJ206="","",IFERROR(VLOOKUP(BJ206,Projects!$A$5:$D$504,2,0),"Ref not in Projects"))</f>
        <v/>
      </c>
      <c r="BL206" s="10" t="str">
        <f aca="false">IF(BJ206="","",IFERROR(VLOOKUP(BJ206,Projects!$A$5:$D$504,4,0),"Ref not in Projects"))</f>
        <v/>
      </c>
      <c r="BM206" s="9"/>
      <c r="BN206" s="9"/>
      <c r="BO206" s="9"/>
      <c r="BP206" s="40"/>
      <c r="BQ206" s="9"/>
      <c r="BR206" s="40"/>
      <c r="BS206" s="9"/>
      <c r="BT206" s="40"/>
      <c r="BU206" s="9"/>
      <c r="BV206" s="9"/>
      <c r="BW206" s="9"/>
      <c r="BX206" s="40"/>
      <c r="BY206" s="40"/>
      <c r="BZ206" s="36" t="str">
        <f aca="false">IF(BY206="","",EDATE(BY206,SG_Criteria!$B$54*12))</f>
        <v/>
      </c>
      <c r="CA206" s="33" t="str">
        <f aca="true">IF(A206="","",IF(BY206="","NOTE: not reviewed yet",IF(TODAY()&gt;BZ206,"NOTE: review overdue","OK")))</f>
        <v/>
      </c>
      <c r="CB206" s="37" t="str">
        <f aca="false">IF(A206="","",ROUND((IF(LEN(D206)&gt;0,1,0)+IF(LEN(E206)&gt;0,1,0)+IF(LEN(F206)&gt;0,1,0)+IF(LEN(G206)&gt;0,1,0)+IF(LEN(I206)&gt;0,1,0)+IF(LEN(J206)&gt;0,1,0)+IF(LEN(K206)&gt;0,1,0)+IF(LEN(L206)&gt;0,1,0)+IF(LEN(M206)&gt;0,1,0)+IF(LEN(N206)&gt;0,1,0)+IF(LEN(Z206)&gt;0,1,0)+IF(LEN(AA206)&gt;0,1,0)+IF(LEN(Y206)&gt;0,1,0)+IF(LEN(AE206)&gt;0,1,0)+IF(LEN(AG206)&gt;0,1,0)+IF(LEN(AZ206)&gt;0,1,0)+IF(LEN(AK206)&gt;0,1,0)+IF(LEN(AM206)&gt;0,1,0)+IF(LEN(AN206)&gt;0,1,0)+IF(LEN(AO206)&gt;0,1,0)+IF(LEN(AP206)&gt;0,1,0)+IF(LEN(AY206)&gt;0,1,0)+IF(LEN(BJ206)&gt;0,1,0)+IF(LEN(BW206)&gt;0,1,0))/24,2))</f>
        <v/>
      </c>
      <c r="CC206" s="10" t="str">
        <f aca="false">IF(D206="","",IF(AND(AN206="Approved",ISERROR(SEARCH("FAIL",BG206))),"Y","N"))</f>
        <v/>
      </c>
      <c r="CD206" s="10" t="str">
        <f aca="false">IF(D206="","",D206&amp;"|"&amp;J206&amp;"|"&amp;G206&amp;"|"&amp;CC206)</f>
        <v/>
      </c>
    </row>
    <row r="207" customFormat="false" ht="15" hidden="false" customHeight="false" outlineLevel="0" collapsed="false">
      <c r="A207" s="10" t="str">
        <f aca="false">IF(D207="","","MH-"&amp;IFERROR(VLOOKUP(D207,Lists!$AB$4:$AC$20,2,0),"??")&amp;"-"&amp;TEXT(G207,"0000")&amp;IF(F207="Circular","D","x"&amp;TEXT(H207,"0000"))&amp;"-D"&amp;TEXT(J207*1000,"0000")&amp;"-"&amp;IFERROR(VLOOKUP(E207,Lists!$AE$4:$AF$16,2,0),"??")&amp;"-"&amp;AM207)</f>
        <v/>
      </c>
      <c r="B207" s="10" t="str">
        <f aca="false">IF(D207="","",D207&amp;", "&amp;E207&amp;", "&amp;IF(F207="Circular",G207&amp;" dia",G207&amp;" x "&amp;H207)&amp;", depth "&amp;TEXT(I207,"0.0")&amp;"-"&amp;TEXT(J207,"0.0")&amp;" m, pipe up to "&amp;K207&amp;" dia")</f>
        <v/>
      </c>
      <c r="C207" s="9"/>
      <c r="D207" s="9"/>
      <c r="E207" s="9"/>
      <c r="F207" s="9"/>
      <c r="G207" s="38"/>
      <c r="H207" s="38"/>
      <c r="I207" s="42"/>
      <c r="J207" s="42"/>
      <c r="K207" s="38"/>
      <c r="L207" s="38"/>
      <c r="M207" s="38"/>
      <c r="N207" s="38"/>
      <c r="O207" s="9"/>
      <c r="P207" s="9"/>
      <c r="Q207" s="9"/>
      <c r="R207" s="9"/>
      <c r="S207" s="9"/>
      <c r="T207" s="9"/>
      <c r="U207" s="9"/>
      <c r="V207" s="42"/>
      <c r="W207" s="9"/>
      <c r="X207" s="9"/>
      <c r="Y207" s="39"/>
      <c r="Z207" s="9"/>
      <c r="AA207" s="38"/>
      <c r="AB207" s="9"/>
      <c r="AC207" s="9"/>
      <c r="AD207" s="9"/>
      <c r="AE207" s="9"/>
      <c r="AF207" s="9"/>
      <c r="AG207" s="9"/>
      <c r="AH207" s="38"/>
      <c r="AI207" s="9"/>
      <c r="AJ207" s="39"/>
      <c r="AK207" s="9"/>
      <c r="AL207" s="9"/>
      <c r="AM207" s="9"/>
      <c r="AN207" s="9"/>
      <c r="AO207" s="9"/>
      <c r="AP207" s="9"/>
      <c r="AQ207" s="9"/>
      <c r="AR207" s="10" t="str">
        <f aca="false">IF(A207="","",SG_Criteria!$B$6&amp;SG_Criteria!$B$10&amp;"\"&amp;A207&amp;"\")</f>
        <v/>
      </c>
      <c r="AS207" s="10" t="str">
        <f aca="false">IF(A207="","",A207&amp;"_CAD.dwg")</f>
        <v/>
      </c>
      <c r="AT207" s="10" t="str">
        <f aca="false">IF(A207="","",A207&amp;"_DWG.pdf")</f>
        <v/>
      </c>
      <c r="AU207" s="10" t="str">
        <f aca="false">IF(A207="","",IF(AQ207="Y",A207&amp;"_STAAD.std","n/a"))</f>
        <v/>
      </c>
      <c r="AV207" s="10" t="str">
        <f aca="false">IF(A207="","",A207&amp;"_CALC.xlsx")</f>
        <v/>
      </c>
      <c r="AW207" s="10" t="str">
        <f aca="false">IF(A207="","",A207&amp;"_CALC.pdf")</f>
        <v/>
      </c>
      <c r="AX207" s="9"/>
      <c r="AY207" s="9"/>
      <c r="AZ207" s="39"/>
      <c r="BA207" s="39"/>
      <c r="BB207" s="39"/>
      <c r="BC207" s="39"/>
      <c r="BD207" s="39"/>
      <c r="BE207" s="12" t="str">
        <f aca="false">IF(A207="","",IF(COUNTIF(Rebar_Schedule!$A$5:$A$2004,A207)=0,"",ROUND(SUMIF(Rebar_Schedule!$A$5:$A$2004,A207,Rebar_Schedule!$K$5:$K$2004),1)))</f>
        <v/>
      </c>
      <c r="BF207" s="33" t="str">
        <f aca="false">IF(A207="","",IF(BE207="","No rebar schedule yet",IF(ABS(BE207-N(BA207))/MAX(N(BA207),1)&gt;SG_Criteria!$B$55,"NOTE: register rebar differs from schedule by "&amp;TEXT(ABS(BE207-N(BA207))/MAX(N(BA207),1),"0%"),"OK")))</f>
        <v/>
      </c>
      <c r="BG207" s="33" t="str">
        <f aca="false">IF(D207="","",IF(LEN(IF(AND(Z207&lt;&gt;"",IFERROR(VALUE(MID(Z207,2,2)),0)&lt;SG_Criteria!$B$19),"FAIL: grade below C"&amp;SG_Criteria!$B$19&amp;". ","")&amp;IF(AND(AA207&lt;&gt;"",AA207&lt;SG_Criteria!$B$20),"FAIL: cover &lt; "&amp;SG_Criteria!$B$20&amp;" mm. ","")&amp;IF(AND(I207&lt;&gt;"",I207&lt;SG_Criteria!$B$39),"NOTE: min depth below PUB "&amp;SG_Criteria!$B$39&amp;" m. ","")&amp;IF(AND(LEFT(D207,8)="Standard",J207&gt;SG_Criteria!$B$42),"FAIL: PUB 001C covers manholes up to "&amp;SG_Criteria!$B$42&amp;" m deep only. ","")&amp;IF(AND(LEFT(D207,11)="Rectangular",K207&lt;SG_Criteria!$B$43),"NOTE: 004C is for sewers &gt;= "&amp;SG_Criteria!$B$43&amp;" dia. ","")&amp;IF(AND(LEFT(D207,7)="Precast",J207&lt;=SG_Criteria!$B$42),"NOTE: 006C is for manholes &gt; "&amp;SG_Criteria!$B$42&amp;" m deep. ","")&amp;IF(AND(K207&lt;&gt;"",K207&lt;SG_Criteria!$B$40,D207&lt;&gt;"Inspection Chamber"),"NOTE: public sewer min dia "&amp;SG_Criteria!$B$40&amp;" mm. ","")&amp;IF(AND(Y207&lt;&gt;"",Y207&lt;SG_Criteria!$B$44),"FAIL: uplift FOS below "&amp;SG_Criteria!$B$44&amp;". ",""))=0,"OK",IF(AND(Z207&lt;&gt;"",IFERROR(VALUE(MID(Z207,2,2)),0)&lt;SG_Criteria!$B$19),"FAIL: grade below C"&amp;SG_Criteria!$B$19&amp;". ","")&amp;IF(AND(AA207&lt;&gt;"",AA207&lt;SG_Criteria!$B$20),"FAIL: cover &lt; "&amp;SG_Criteria!$B$20&amp;" mm. ","")&amp;IF(AND(I207&lt;&gt;"",I207&lt;SG_Criteria!$B$39),"NOTE: min depth below PUB "&amp;SG_Criteria!$B$39&amp;" m. ","")&amp;IF(AND(LEFT(D207,8)="Standard",J207&gt;SG_Criteria!$B$42),"FAIL: PUB 001C covers manholes up to "&amp;SG_Criteria!$B$42&amp;" m deep only. ","")&amp;IF(AND(LEFT(D207,11)="Rectangular",K207&lt;SG_Criteria!$B$43),"NOTE: 004C is for sewers &gt;= "&amp;SG_Criteria!$B$43&amp;" dia. ","")&amp;IF(AND(LEFT(D207,7)="Precast",J207&lt;=SG_Criteria!$B$42),"NOTE: 006C is for manholes &gt; "&amp;SG_Criteria!$B$42&amp;" m deep. ","")&amp;IF(AND(K207&lt;&gt;"",K207&lt;SG_Criteria!$B$40,D207&lt;&gt;"Inspection Chamber"),"NOTE: public sewer min dia "&amp;SG_Criteria!$B$40&amp;" mm. ","")&amp;IF(AND(Y207&lt;&gt;"",Y207&lt;SG_Criteria!$B$44),"FAIL: uplift FOS below "&amp;SG_Criteria!$B$44&amp;". ","")))</f>
        <v/>
      </c>
      <c r="BH207" s="9"/>
      <c r="BI207" s="9"/>
      <c r="BJ207" s="9"/>
      <c r="BK207" s="10" t="str">
        <f aca="false">IF(BJ207="","",IFERROR(VLOOKUP(BJ207,Projects!$A$5:$D$504,2,0),"Ref not in Projects"))</f>
        <v/>
      </c>
      <c r="BL207" s="10" t="str">
        <f aca="false">IF(BJ207="","",IFERROR(VLOOKUP(BJ207,Projects!$A$5:$D$504,4,0),"Ref not in Projects"))</f>
        <v/>
      </c>
      <c r="BM207" s="9"/>
      <c r="BN207" s="9"/>
      <c r="BO207" s="9"/>
      <c r="BP207" s="40"/>
      <c r="BQ207" s="9"/>
      <c r="BR207" s="40"/>
      <c r="BS207" s="9"/>
      <c r="BT207" s="40"/>
      <c r="BU207" s="9"/>
      <c r="BV207" s="9"/>
      <c r="BW207" s="9"/>
      <c r="BX207" s="40"/>
      <c r="BY207" s="40"/>
      <c r="BZ207" s="36" t="str">
        <f aca="false">IF(BY207="","",EDATE(BY207,SG_Criteria!$B$54*12))</f>
        <v/>
      </c>
      <c r="CA207" s="33" t="str">
        <f aca="true">IF(A207="","",IF(BY207="","NOTE: not reviewed yet",IF(TODAY()&gt;BZ207,"NOTE: review overdue","OK")))</f>
        <v/>
      </c>
      <c r="CB207" s="37" t="str">
        <f aca="false">IF(A207="","",ROUND((IF(LEN(D207)&gt;0,1,0)+IF(LEN(E207)&gt;0,1,0)+IF(LEN(F207)&gt;0,1,0)+IF(LEN(G207)&gt;0,1,0)+IF(LEN(I207)&gt;0,1,0)+IF(LEN(J207)&gt;0,1,0)+IF(LEN(K207)&gt;0,1,0)+IF(LEN(L207)&gt;0,1,0)+IF(LEN(M207)&gt;0,1,0)+IF(LEN(N207)&gt;0,1,0)+IF(LEN(Z207)&gt;0,1,0)+IF(LEN(AA207)&gt;0,1,0)+IF(LEN(Y207)&gt;0,1,0)+IF(LEN(AE207)&gt;0,1,0)+IF(LEN(AG207)&gt;0,1,0)+IF(LEN(AZ207)&gt;0,1,0)+IF(LEN(AK207)&gt;0,1,0)+IF(LEN(AM207)&gt;0,1,0)+IF(LEN(AN207)&gt;0,1,0)+IF(LEN(AO207)&gt;0,1,0)+IF(LEN(AP207)&gt;0,1,0)+IF(LEN(AY207)&gt;0,1,0)+IF(LEN(BJ207)&gt;0,1,0)+IF(LEN(BW207)&gt;0,1,0))/24,2))</f>
        <v/>
      </c>
      <c r="CC207" s="10" t="str">
        <f aca="false">IF(D207="","",IF(AND(AN207="Approved",ISERROR(SEARCH("FAIL",BG207))),"Y","N"))</f>
        <v/>
      </c>
      <c r="CD207" s="10" t="str">
        <f aca="false">IF(D207="","",D207&amp;"|"&amp;J207&amp;"|"&amp;G207&amp;"|"&amp;CC207)</f>
        <v/>
      </c>
    </row>
    <row r="208" customFormat="false" ht="15" hidden="false" customHeight="false" outlineLevel="0" collapsed="false">
      <c r="A208" s="10" t="str">
        <f aca="false">IF(D208="","","MH-"&amp;IFERROR(VLOOKUP(D208,Lists!$AB$4:$AC$20,2,0),"??")&amp;"-"&amp;TEXT(G208,"0000")&amp;IF(F208="Circular","D","x"&amp;TEXT(H208,"0000"))&amp;"-D"&amp;TEXT(J208*1000,"0000")&amp;"-"&amp;IFERROR(VLOOKUP(E208,Lists!$AE$4:$AF$16,2,0),"??")&amp;"-"&amp;AM208)</f>
        <v/>
      </c>
      <c r="B208" s="10" t="str">
        <f aca="false">IF(D208="","",D208&amp;", "&amp;E208&amp;", "&amp;IF(F208="Circular",G208&amp;" dia",G208&amp;" x "&amp;H208)&amp;", depth "&amp;TEXT(I208,"0.0")&amp;"-"&amp;TEXT(J208,"0.0")&amp;" m, pipe up to "&amp;K208&amp;" dia")</f>
        <v/>
      </c>
      <c r="C208" s="9"/>
      <c r="D208" s="9"/>
      <c r="E208" s="9"/>
      <c r="F208" s="9"/>
      <c r="G208" s="38"/>
      <c r="H208" s="38"/>
      <c r="I208" s="42"/>
      <c r="J208" s="42"/>
      <c r="K208" s="38"/>
      <c r="L208" s="38"/>
      <c r="M208" s="38"/>
      <c r="N208" s="38"/>
      <c r="O208" s="9"/>
      <c r="P208" s="9"/>
      <c r="Q208" s="9"/>
      <c r="R208" s="9"/>
      <c r="S208" s="9"/>
      <c r="T208" s="9"/>
      <c r="U208" s="9"/>
      <c r="V208" s="42"/>
      <c r="W208" s="9"/>
      <c r="X208" s="9"/>
      <c r="Y208" s="39"/>
      <c r="Z208" s="9"/>
      <c r="AA208" s="38"/>
      <c r="AB208" s="9"/>
      <c r="AC208" s="9"/>
      <c r="AD208" s="9"/>
      <c r="AE208" s="9"/>
      <c r="AF208" s="9"/>
      <c r="AG208" s="9"/>
      <c r="AH208" s="38"/>
      <c r="AI208" s="9"/>
      <c r="AJ208" s="39"/>
      <c r="AK208" s="9"/>
      <c r="AL208" s="9"/>
      <c r="AM208" s="9"/>
      <c r="AN208" s="9"/>
      <c r="AO208" s="9"/>
      <c r="AP208" s="9"/>
      <c r="AQ208" s="9"/>
      <c r="AR208" s="10" t="str">
        <f aca="false">IF(A208="","",SG_Criteria!$B$6&amp;SG_Criteria!$B$10&amp;"\"&amp;A208&amp;"\")</f>
        <v/>
      </c>
      <c r="AS208" s="10" t="str">
        <f aca="false">IF(A208="","",A208&amp;"_CAD.dwg")</f>
        <v/>
      </c>
      <c r="AT208" s="10" t="str">
        <f aca="false">IF(A208="","",A208&amp;"_DWG.pdf")</f>
        <v/>
      </c>
      <c r="AU208" s="10" t="str">
        <f aca="false">IF(A208="","",IF(AQ208="Y",A208&amp;"_STAAD.std","n/a"))</f>
        <v/>
      </c>
      <c r="AV208" s="10" t="str">
        <f aca="false">IF(A208="","",A208&amp;"_CALC.xlsx")</f>
        <v/>
      </c>
      <c r="AW208" s="10" t="str">
        <f aca="false">IF(A208="","",A208&amp;"_CALC.pdf")</f>
        <v/>
      </c>
      <c r="AX208" s="9"/>
      <c r="AY208" s="9"/>
      <c r="AZ208" s="39"/>
      <c r="BA208" s="39"/>
      <c r="BB208" s="39"/>
      <c r="BC208" s="39"/>
      <c r="BD208" s="39"/>
      <c r="BE208" s="12" t="str">
        <f aca="false">IF(A208="","",IF(COUNTIF(Rebar_Schedule!$A$5:$A$2004,A208)=0,"",ROUND(SUMIF(Rebar_Schedule!$A$5:$A$2004,A208,Rebar_Schedule!$K$5:$K$2004),1)))</f>
        <v/>
      </c>
      <c r="BF208" s="33" t="str">
        <f aca="false">IF(A208="","",IF(BE208="","No rebar schedule yet",IF(ABS(BE208-N(BA208))/MAX(N(BA208),1)&gt;SG_Criteria!$B$55,"NOTE: register rebar differs from schedule by "&amp;TEXT(ABS(BE208-N(BA208))/MAX(N(BA208),1),"0%"),"OK")))</f>
        <v/>
      </c>
      <c r="BG208" s="33" t="str">
        <f aca="false">IF(D208="","",IF(LEN(IF(AND(Z208&lt;&gt;"",IFERROR(VALUE(MID(Z208,2,2)),0)&lt;SG_Criteria!$B$19),"FAIL: grade below C"&amp;SG_Criteria!$B$19&amp;". ","")&amp;IF(AND(AA208&lt;&gt;"",AA208&lt;SG_Criteria!$B$20),"FAIL: cover &lt; "&amp;SG_Criteria!$B$20&amp;" mm. ","")&amp;IF(AND(I208&lt;&gt;"",I208&lt;SG_Criteria!$B$39),"NOTE: min depth below PUB "&amp;SG_Criteria!$B$39&amp;" m. ","")&amp;IF(AND(LEFT(D208,8)="Standard",J208&gt;SG_Criteria!$B$42),"FAIL: PUB 001C covers manholes up to "&amp;SG_Criteria!$B$42&amp;" m deep only. ","")&amp;IF(AND(LEFT(D208,11)="Rectangular",K208&lt;SG_Criteria!$B$43),"NOTE: 004C is for sewers &gt;= "&amp;SG_Criteria!$B$43&amp;" dia. ","")&amp;IF(AND(LEFT(D208,7)="Precast",J208&lt;=SG_Criteria!$B$42),"NOTE: 006C is for manholes &gt; "&amp;SG_Criteria!$B$42&amp;" m deep. ","")&amp;IF(AND(K208&lt;&gt;"",K208&lt;SG_Criteria!$B$40,D208&lt;&gt;"Inspection Chamber"),"NOTE: public sewer min dia "&amp;SG_Criteria!$B$40&amp;" mm. ","")&amp;IF(AND(Y208&lt;&gt;"",Y208&lt;SG_Criteria!$B$44),"FAIL: uplift FOS below "&amp;SG_Criteria!$B$44&amp;". ",""))=0,"OK",IF(AND(Z208&lt;&gt;"",IFERROR(VALUE(MID(Z208,2,2)),0)&lt;SG_Criteria!$B$19),"FAIL: grade below C"&amp;SG_Criteria!$B$19&amp;". ","")&amp;IF(AND(AA208&lt;&gt;"",AA208&lt;SG_Criteria!$B$20),"FAIL: cover &lt; "&amp;SG_Criteria!$B$20&amp;" mm. ","")&amp;IF(AND(I208&lt;&gt;"",I208&lt;SG_Criteria!$B$39),"NOTE: min depth below PUB "&amp;SG_Criteria!$B$39&amp;" m. ","")&amp;IF(AND(LEFT(D208,8)="Standard",J208&gt;SG_Criteria!$B$42),"FAIL: PUB 001C covers manholes up to "&amp;SG_Criteria!$B$42&amp;" m deep only. ","")&amp;IF(AND(LEFT(D208,11)="Rectangular",K208&lt;SG_Criteria!$B$43),"NOTE: 004C is for sewers &gt;= "&amp;SG_Criteria!$B$43&amp;" dia. ","")&amp;IF(AND(LEFT(D208,7)="Precast",J208&lt;=SG_Criteria!$B$42),"NOTE: 006C is for manholes &gt; "&amp;SG_Criteria!$B$42&amp;" m deep. ","")&amp;IF(AND(K208&lt;&gt;"",K208&lt;SG_Criteria!$B$40,D208&lt;&gt;"Inspection Chamber"),"NOTE: public sewer min dia "&amp;SG_Criteria!$B$40&amp;" mm. ","")&amp;IF(AND(Y208&lt;&gt;"",Y208&lt;SG_Criteria!$B$44),"FAIL: uplift FOS below "&amp;SG_Criteria!$B$44&amp;". ","")))</f>
        <v/>
      </c>
      <c r="BH208" s="9"/>
      <c r="BI208" s="9"/>
      <c r="BJ208" s="9"/>
      <c r="BK208" s="10" t="str">
        <f aca="false">IF(BJ208="","",IFERROR(VLOOKUP(BJ208,Projects!$A$5:$D$504,2,0),"Ref not in Projects"))</f>
        <v/>
      </c>
      <c r="BL208" s="10" t="str">
        <f aca="false">IF(BJ208="","",IFERROR(VLOOKUP(BJ208,Projects!$A$5:$D$504,4,0),"Ref not in Projects"))</f>
        <v/>
      </c>
      <c r="BM208" s="9"/>
      <c r="BN208" s="9"/>
      <c r="BO208" s="9"/>
      <c r="BP208" s="40"/>
      <c r="BQ208" s="9"/>
      <c r="BR208" s="40"/>
      <c r="BS208" s="9"/>
      <c r="BT208" s="40"/>
      <c r="BU208" s="9"/>
      <c r="BV208" s="9"/>
      <c r="BW208" s="9"/>
      <c r="BX208" s="40"/>
      <c r="BY208" s="40"/>
      <c r="BZ208" s="36" t="str">
        <f aca="false">IF(BY208="","",EDATE(BY208,SG_Criteria!$B$54*12))</f>
        <v/>
      </c>
      <c r="CA208" s="33" t="str">
        <f aca="true">IF(A208="","",IF(BY208="","NOTE: not reviewed yet",IF(TODAY()&gt;BZ208,"NOTE: review overdue","OK")))</f>
        <v/>
      </c>
      <c r="CB208" s="37" t="str">
        <f aca="false">IF(A208="","",ROUND((IF(LEN(D208)&gt;0,1,0)+IF(LEN(E208)&gt;0,1,0)+IF(LEN(F208)&gt;0,1,0)+IF(LEN(G208)&gt;0,1,0)+IF(LEN(I208)&gt;0,1,0)+IF(LEN(J208)&gt;0,1,0)+IF(LEN(K208)&gt;0,1,0)+IF(LEN(L208)&gt;0,1,0)+IF(LEN(M208)&gt;0,1,0)+IF(LEN(N208)&gt;0,1,0)+IF(LEN(Z208)&gt;0,1,0)+IF(LEN(AA208)&gt;0,1,0)+IF(LEN(Y208)&gt;0,1,0)+IF(LEN(AE208)&gt;0,1,0)+IF(LEN(AG208)&gt;0,1,0)+IF(LEN(AZ208)&gt;0,1,0)+IF(LEN(AK208)&gt;0,1,0)+IF(LEN(AM208)&gt;0,1,0)+IF(LEN(AN208)&gt;0,1,0)+IF(LEN(AO208)&gt;0,1,0)+IF(LEN(AP208)&gt;0,1,0)+IF(LEN(AY208)&gt;0,1,0)+IF(LEN(BJ208)&gt;0,1,0)+IF(LEN(BW208)&gt;0,1,0))/24,2))</f>
        <v/>
      </c>
      <c r="CC208" s="10" t="str">
        <f aca="false">IF(D208="","",IF(AND(AN208="Approved",ISERROR(SEARCH("FAIL",BG208))),"Y","N"))</f>
        <v/>
      </c>
      <c r="CD208" s="10" t="str">
        <f aca="false">IF(D208="","",D208&amp;"|"&amp;J208&amp;"|"&amp;G208&amp;"|"&amp;CC208)</f>
        <v/>
      </c>
    </row>
    <row r="209" customFormat="false" ht="15" hidden="false" customHeight="false" outlineLevel="0" collapsed="false">
      <c r="A209" s="10" t="str">
        <f aca="false">IF(D209="","","MH-"&amp;IFERROR(VLOOKUP(D209,Lists!$AB$4:$AC$20,2,0),"??")&amp;"-"&amp;TEXT(G209,"0000")&amp;IF(F209="Circular","D","x"&amp;TEXT(H209,"0000"))&amp;"-D"&amp;TEXT(J209*1000,"0000")&amp;"-"&amp;IFERROR(VLOOKUP(E209,Lists!$AE$4:$AF$16,2,0),"??")&amp;"-"&amp;AM209)</f>
        <v/>
      </c>
      <c r="B209" s="10" t="str">
        <f aca="false">IF(D209="","",D209&amp;", "&amp;E209&amp;", "&amp;IF(F209="Circular",G209&amp;" dia",G209&amp;" x "&amp;H209)&amp;", depth "&amp;TEXT(I209,"0.0")&amp;"-"&amp;TEXT(J209,"0.0")&amp;" m, pipe up to "&amp;K209&amp;" dia")</f>
        <v/>
      </c>
      <c r="C209" s="9"/>
      <c r="D209" s="9"/>
      <c r="E209" s="9"/>
      <c r="F209" s="9"/>
      <c r="G209" s="38"/>
      <c r="H209" s="38"/>
      <c r="I209" s="42"/>
      <c r="J209" s="42"/>
      <c r="K209" s="38"/>
      <c r="L209" s="38"/>
      <c r="M209" s="38"/>
      <c r="N209" s="38"/>
      <c r="O209" s="9"/>
      <c r="P209" s="9"/>
      <c r="Q209" s="9"/>
      <c r="R209" s="9"/>
      <c r="S209" s="9"/>
      <c r="T209" s="9"/>
      <c r="U209" s="9"/>
      <c r="V209" s="42"/>
      <c r="W209" s="9"/>
      <c r="X209" s="9"/>
      <c r="Y209" s="39"/>
      <c r="Z209" s="9"/>
      <c r="AA209" s="38"/>
      <c r="AB209" s="9"/>
      <c r="AC209" s="9"/>
      <c r="AD209" s="9"/>
      <c r="AE209" s="9"/>
      <c r="AF209" s="9"/>
      <c r="AG209" s="9"/>
      <c r="AH209" s="38"/>
      <c r="AI209" s="9"/>
      <c r="AJ209" s="39"/>
      <c r="AK209" s="9"/>
      <c r="AL209" s="9"/>
      <c r="AM209" s="9"/>
      <c r="AN209" s="9"/>
      <c r="AO209" s="9"/>
      <c r="AP209" s="9"/>
      <c r="AQ209" s="9"/>
      <c r="AR209" s="10" t="str">
        <f aca="false">IF(A209="","",SG_Criteria!$B$6&amp;SG_Criteria!$B$10&amp;"\"&amp;A209&amp;"\")</f>
        <v/>
      </c>
      <c r="AS209" s="10" t="str">
        <f aca="false">IF(A209="","",A209&amp;"_CAD.dwg")</f>
        <v/>
      </c>
      <c r="AT209" s="10" t="str">
        <f aca="false">IF(A209="","",A209&amp;"_DWG.pdf")</f>
        <v/>
      </c>
      <c r="AU209" s="10" t="str">
        <f aca="false">IF(A209="","",IF(AQ209="Y",A209&amp;"_STAAD.std","n/a"))</f>
        <v/>
      </c>
      <c r="AV209" s="10" t="str">
        <f aca="false">IF(A209="","",A209&amp;"_CALC.xlsx")</f>
        <v/>
      </c>
      <c r="AW209" s="10" t="str">
        <f aca="false">IF(A209="","",A209&amp;"_CALC.pdf")</f>
        <v/>
      </c>
      <c r="AX209" s="9"/>
      <c r="AY209" s="9"/>
      <c r="AZ209" s="39"/>
      <c r="BA209" s="39"/>
      <c r="BB209" s="39"/>
      <c r="BC209" s="39"/>
      <c r="BD209" s="39"/>
      <c r="BE209" s="12" t="str">
        <f aca="false">IF(A209="","",IF(COUNTIF(Rebar_Schedule!$A$5:$A$2004,A209)=0,"",ROUND(SUMIF(Rebar_Schedule!$A$5:$A$2004,A209,Rebar_Schedule!$K$5:$K$2004),1)))</f>
        <v/>
      </c>
      <c r="BF209" s="33" t="str">
        <f aca="false">IF(A209="","",IF(BE209="","No rebar schedule yet",IF(ABS(BE209-N(BA209))/MAX(N(BA209),1)&gt;SG_Criteria!$B$55,"NOTE: register rebar differs from schedule by "&amp;TEXT(ABS(BE209-N(BA209))/MAX(N(BA209),1),"0%"),"OK")))</f>
        <v/>
      </c>
      <c r="BG209" s="33" t="str">
        <f aca="false">IF(D209="","",IF(LEN(IF(AND(Z209&lt;&gt;"",IFERROR(VALUE(MID(Z209,2,2)),0)&lt;SG_Criteria!$B$19),"FAIL: grade below C"&amp;SG_Criteria!$B$19&amp;". ","")&amp;IF(AND(AA209&lt;&gt;"",AA209&lt;SG_Criteria!$B$20),"FAIL: cover &lt; "&amp;SG_Criteria!$B$20&amp;" mm. ","")&amp;IF(AND(I209&lt;&gt;"",I209&lt;SG_Criteria!$B$39),"NOTE: min depth below PUB "&amp;SG_Criteria!$B$39&amp;" m. ","")&amp;IF(AND(LEFT(D209,8)="Standard",J209&gt;SG_Criteria!$B$42),"FAIL: PUB 001C covers manholes up to "&amp;SG_Criteria!$B$42&amp;" m deep only. ","")&amp;IF(AND(LEFT(D209,11)="Rectangular",K209&lt;SG_Criteria!$B$43),"NOTE: 004C is for sewers &gt;= "&amp;SG_Criteria!$B$43&amp;" dia. ","")&amp;IF(AND(LEFT(D209,7)="Precast",J209&lt;=SG_Criteria!$B$42),"NOTE: 006C is for manholes &gt; "&amp;SG_Criteria!$B$42&amp;" m deep. ","")&amp;IF(AND(K209&lt;&gt;"",K209&lt;SG_Criteria!$B$40,D209&lt;&gt;"Inspection Chamber"),"NOTE: public sewer min dia "&amp;SG_Criteria!$B$40&amp;" mm. ","")&amp;IF(AND(Y209&lt;&gt;"",Y209&lt;SG_Criteria!$B$44),"FAIL: uplift FOS below "&amp;SG_Criteria!$B$44&amp;". ",""))=0,"OK",IF(AND(Z209&lt;&gt;"",IFERROR(VALUE(MID(Z209,2,2)),0)&lt;SG_Criteria!$B$19),"FAIL: grade below C"&amp;SG_Criteria!$B$19&amp;". ","")&amp;IF(AND(AA209&lt;&gt;"",AA209&lt;SG_Criteria!$B$20),"FAIL: cover &lt; "&amp;SG_Criteria!$B$20&amp;" mm. ","")&amp;IF(AND(I209&lt;&gt;"",I209&lt;SG_Criteria!$B$39),"NOTE: min depth below PUB "&amp;SG_Criteria!$B$39&amp;" m. ","")&amp;IF(AND(LEFT(D209,8)="Standard",J209&gt;SG_Criteria!$B$42),"FAIL: PUB 001C covers manholes up to "&amp;SG_Criteria!$B$42&amp;" m deep only. ","")&amp;IF(AND(LEFT(D209,11)="Rectangular",K209&lt;SG_Criteria!$B$43),"NOTE: 004C is for sewers &gt;= "&amp;SG_Criteria!$B$43&amp;" dia. ","")&amp;IF(AND(LEFT(D209,7)="Precast",J209&lt;=SG_Criteria!$B$42),"NOTE: 006C is for manholes &gt; "&amp;SG_Criteria!$B$42&amp;" m deep. ","")&amp;IF(AND(K209&lt;&gt;"",K209&lt;SG_Criteria!$B$40,D209&lt;&gt;"Inspection Chamber"),"NOTE: public sewer min dia "&amp;SG_Criteria!$B$40&amp;" mm. ","")&amp;IF(AND(Y209&lt;&gt;"",Y209&lt;SG_Criteria!$B$44),"FAIL: uplift FOS below "&amp;SG_Criteria!$B$44&amp;". ","")))</f>
        <v/>
      </c>
      <c r="BH209" s="9"/>
      <c r="BI209" s="9"/>
      <c r="BJ209" s="9"/>
      <c r="BK209" s="10" t="str">
        <f aca="false">IF(BJ209="","",IFERROR(VLOOKUP(BJ209,Projects!$A$5:$D$504,2,0),"Ref not in Projects"))</f>
        <v/>
      </c>
      <c r="BL209" s="10" t="str">
        <f aca="false">IF(BJ209="","",IFERROR(VLOOKUP(BJ209,Projects!$A$5:$D$504,4,0),"Ref not in Projects"))</f>
        <v/>
      </c>
      <c r="BM209" s="9"/>
      <c r="BN209" s="9"/>
      <c r="BO209" s="9"/>
      <c r="BP209" s="40"/>
      <c r="BQ209" s="9"/>
      <c r="BR209" s="40"/>
      <c r="BS209" s="9"/>
      <c r="BT209" s="40"/>
      <c r="BU209" s="9"/>
      <c r="BV209" s="9"/>
      <c r="BW209" s="9"/>
      <c r="BX209" s="40"/>
      <c r="BY209" s="40"/>
      <c r="BZ209" s="36" t="str">
        <f aca="false">IF(BY209="","",EDATE(BY209,SG_Criteria!$B$54*12))</f>
        <v/>
      </c>
      <c r="CA209" s="33" t="str">
        <f aca="true">IF(A209="","",IF(BY209="","NOTE: not reviewed yet",IF(TODAY()&gt;BZ209,"NOTE: review overdue","OK")))</f>
        <v/>
      </c>
      <c r="CB209" s="37" t="str">
        <f aca="false">IF(A209="","",ROUND((IF(LEN(D209)&gt;0,1,0)+IF(LEN(E209)&gt;0,1,0)+IF(LEN(F209)&gt;0,1,0)+IF(LEN(G209)&gt;0,1,0)+IF(LEN(I209)&gt;0,1,0)+IF(LEN(J209)&gt;0,1,0)+IF(LEN(K209)&gt;0,1,0)+IF(LEN(L209)&gt;0,1,0)+IF(LEN(M209)&gt;0,1,0)+IF(LEN(N209)&gt;0,1,0)+IF(LEN(Z209)&gt;0,1,0)+IF(LEN(AA209)&gt;0,1,0)+IF(LEN(Y209)&gt;0,1,0)+IF(LEN(AE209)&gt;0,1,0)+IF(LEN(AG209)&gt;0,1,0)+IF(LEN(AZ209)&gt;0,1,0)+IF(LEN(AK209)&gt;0,1,0)+IF(LEN(AM209)&gt;0,1,0)+IF(LEN(AN209)&gt;0,1,0)+IF(LEN(AO209)&gt;0,1,0)+IF(LEN(AP209)&gt;0,1,0)+IF(LEN(AY209)&gt;0,1,0)+IF(LEN(BJ209)&gt;0,1,0)+IF(LEN(BW209)&gt;0,1,0))/24,2))</f>
        <v/>
      </c>
      <c r="CC209" s="10" t="str">
        <f aca="false">IF(D209="","",IF(AND(AN209="Approved",ISERROR(SEARCH("FAIL",BG209))),"Y","N"))</f>
        <v/>
      </c>
      <c r="CD209" s="10" t="str">
        <f aca="false">IF(D209="","",D209&amp;"|"&amp;J209&amp;"|"&amp;G209&amp;"|"&amp;CC209)</f>
        <v/>
      </c>
    </row>
    <row r="210" customFormat="false" ht="15" hidden="false" customHeight="false" outlineLevel="0" collapsed="false">
      <c r="A210" s="10" t="str">
        <f aca="false">IF(D210="","","MH-"&amp;IFERROR(VLOOKUP(D210,Lists!$AB$4:$AC$20,2,0),"??")&amp;"-"&amp;TEXT(G210,"0000")&amp;IF(F210="Circular","D","x"&amp;TEXT(H210,"0000"))&amp;"-D"&amp;TEXT(J210*1000,"0000")&amp;"-"&amp;IFERROR(VLOOKUP(E210,Lists!$AE$4:$AF$16,2,0),"??")&amp;"-"&amp;AM210)</f>
        <v/>
      </c>
      <c r="B210" s="10" t="str">
        <f aca="false">IF(D210="","",D210&amp;", "&amp;E210&amp;", "&amp;IF(F210="Circular",G210&amp;" dia",G210&amp;" x "&amp;H210)&amp;", depth "&amp;TEXT(I210,"0.0")&amp;"-"&amp;TEXT(J210,"0.0")&amp;" m, pipe up to "&amp;K210&amp;" dia")</f>
        <v/>
      </c>
      <c r="C210" s="9"/>
      <c r="D210" s="9"/>
      <c r="E210" s="9"/>
      <c r="F210" s="9"/>
      <c r="G210" s="38"/>
      <c r="H210" s="38"/>
      <c r="I210" s="42"/>
      <c r="J210" s="42"/>
      <c r="K210" s="38"/>
      <c r="L210" s="38"/>
      <c r="M210" s="38"/>
      <c r="N210" s="38"/>
      <c r="O210" s="9"/>
      <c r="P210" s="9"/>
      <c r="Q210" s="9"/>
      <c r="R210" s="9"/>
      <c r="S210" s="9"/>
      <c r="T210" s="9"/>
      <c r="U210" s="9"/>
      <c r="V210" s="42"/>
      <c r="W210" s="9"/>
      <c r="X210" s="9"/>
      <c r="Y210" s="39"/>
      <c r="Z210" s="9"/>
      <c r="AA210" s="38"/>
      <c r="AB210" s="9"/>
      <c r="AC210" s="9"/>
      <c r="AD210" s="9"/>
      <c r="AE210" s="9"/>
      <c r="AF210" s="9"/>
      <c r="AG210" s="9"/>
      <c r="AH210" s="38"/>
      <c r="AI210" s="9"/>
      <c r="AJ210" s="39"/>
      <c r="AK210" s="9"/>
      <c r="AL210" s="9"/>
      <c r="AM210" s="9"/>
      <c r="AN210" s="9"/>
      <c r="AO210" s="9"/>
      <c r="AP210" s="9"/>
      <c r="AQ210" s="9"/>
      <c r="AR210" s="10" t="str">
        <f aca="false">IF(A210="","",SG_Criteria!$B$6&amp;SG_Criteria!$B$10&amp;"\"&amp;A210&amp;"\")</f>
        <v/>
      </c>
      <c r="AS210" s="10" t="str">
        <f aca="false">IF(A210="","",A210&amp;"_CAD.dwg")</f>
        <v/>
      </c>
      <c r="AT210" s="10" t="str">
        <f aca="false">IF(A210="","",A210&amp;"_DWG.pdf")</f>
        <v/>
      </c>
      <c r="AU210" s="10" t="str">
        <f aca="false">IF(A210="","",IF(AQ210="Y",A210&amp;"_STAAD.std","n/a"))</f>
        <v/>
      </c>
      <c r="AV210" s="10" t="str">
        <f aca="false">IF(A210="","",A210&amp;"_CALC.xlsx")</f>
        <v/>
      </c>
      <c r="AW210" s="10" t="str">
        <f aca="false">IF(A210="","",A210&amp;"_CALC.pdf")</f>
        <v/>
      </c>
      <c r="AX210" s="9"/>
      <c r="AY210" s="9"/>
      <c r="AZ210" s="39"/>
      <c r="BA210" s="39"/>
      <c r="BB210" s="39"/>
      <c r="BC210" s="39"/>
      <c r="BD210" s="39"/>
      <c r="BE210" s="12" t="str">
        <f aca="false">IF(A210="","",IF(COUNTIF(Rebar_Schedule!$A$5:$A$2004,A210)=0,"",ROUND(SUMIF(Rebar_Schedule!$A$5:$A$2004,A210,Rebar_Schedule!$K$5:$K$2004),1)))</f>
        <v/>
      </c>
      <c r="BF210" s="33" t="str">
        <f aca="false">IF(A210="","",IF(BE210="","No rebar schedule yet",IF(ABS(BE210-N(BA210))/MAX(N(BA210),1)&gt;SG_Criteria!$B$55,"NOTE: register rebar differs from schedule by "&amp;TEXT(ABS(BE210-N(BA210))/MAX(N(BA210),1),"0%"),"OK")))</f>
        <v/>
      </c>
      <c r="BG210" s="33" t="str">
        <f aca="false">IF(D210="","",IF(LEN(IF(AND(Z210&lt;&gt;"",IFERROR(VALUE(MID(Z210,2,2)),0)&lt;SG_Criteria!$B$19),"FAIL: grade below C"&amp;SG_Criteria!$B$19&amp;". ","")&amp;IF(AND(AA210&lt;&gt;"",AA210&lt;SG_Criteria!$B$20),"FAIL: cover &lt; "&amp;SG_Criteria!$B$20&amp;" mm. ","")&amp;IF(AND(I210&lt;&gt;"",I210&lt;SG_Criteria!$B$39),"NOTE: min depth below PUB "&amp;SG_Criteria!$B$39&amp;" m. ","")&amp;IF(AND(LEFT(D210,8)="Standard",J210&gt;SG_Criteria!$B$42),"FAIL: PUB 001C covers manholes up to "&amp;SG_Criteria!$B$42&amp;" m deep only. ","")&amp;IF(AND(LEFT(D210,11)="Rectangular",K210&lt;SG_Criteria!$B$43),"NOTE: 004C is for sewers &gt;= "&amp;SG_Criteria!$B$43&amp;" dia. ","")&amp;IF(AND(LEFT(D210,7)="Precast",J210&lt;=SG_Criteria!$B$42),"NOTE: 006C is for manholes &gt; "&amp;SG_Criteria!$B$42&amp;" m deep. ","")&amp;IF(AND(K210&lt;&gt;"",K210&lt;SG_Criteria!$B$40,D210&lt;&gt;"Inspection Chamber"),"NOTE: public sewer min dia "&amp;SG_Criteria!$B$40&amp;" mm. ","")&amp;IF(AND(Y210&lt;&gt;"",Y210&lt;SG_Criteria!$B$44),"FAIL: uplift FOS below "&amp;SG_Criteria!$B$44&amp;". ",""))=0,"OK",IF(AND(Z210&lt;&gt;"",IFERROR(VALUE(MID(Z210,2,2)),0)&lt;SG_Criteria!$B$19),"FAIL: grade below C"&amp;SG_Criteria!$B$19&amp;". ","")&amp;IF(AND(AA210&lt;&gt;"",AA210&lt;SG_Criteria!$B$20),"FAIL: cover &lt; "&amp;SG_Criteria!$B$20&amp;" mm. ","")&amp;IF(AND(I210&lt;&gt;"",I210&lt;SG_Criteria!$B$39),"NOTE: min depth below PUB "&amp;SG_Criteria!$B$39&amp;" m. ","")&amp;IF(AND(LEFT(D210,8)="Standard",J210&gt;SG_Criteria!$B$42),"FAIL: PUB 001C covers manholes up to "&amp;SG_Criteria!$B$42&amp;" m deep only. ","")&amp;IF(AND(LEFT(D210,11)="Rectangular",K210&lt;SG_Criteria!$B$43),"NOTE: 004C is for sewers &gt;= "&amp;SG_Criteria!$B$43&amp;" dia. ","")&amp;IF(AND(LEFT(D210,7)="Precast",J210&lt;=SG_Criteria!$B$42),"NOTE: 006C is for manholes &gt; "&amp;SG_Criteria!$B$42&amp;" m deep. ","")&amp;IF(AND(K210&lt;&gt;"",K210&lt;SG_Criteria!$B$40,D210&lt;&gt;"Inspection Chamber"),"NOTE: public sewer min dia "&amp;SG_Criteria!$B$40&amp;" mm. ","")&amp;IF(AND(Y210&lt;&gt;"",Y210&lt;SG_Criteria!$B$44),"FAIL: uplift FOS below "&amp;SG_Criteria!$B$44&amp;". ","")))</f>
        <v/>
      </c>
      <c r="BH210" s="9"/>
      <c r="BI210" s="9"/>
      <c r="BJ210" s="9"/>
      <c r="BK210" s="10" t="str">
        <f aca="false">IF(BJ210="","",IFERROR(VLOOKUP(BJ210,Projects!$A$5:$D$504,2,0),"Ref not in Projects"))</f>
        <v/>
      </c>
      <c r="BL210" s="10" t="str">
        <f aca="false">IF(BJ210="","",IFERROR(VLOOKUP(BJ210,Projects!$A$5:$D$504,4,0),"Ref not in Projects"))</f>
        <v/>
      </c>
      <c r="BM210" s="9"/>
      <c r="BN210" s="9"/>
      <c r="BO210" s="9"/>
      <c r="BP210" s="40"/>
      <c r="BQ210" s="9"/>
      <c r="BR210" s="40"/>
      <c r="BS210" s="9"/>
      <c r="BT210" s="40"/>
      <c r="BU210" s="9"/>
      <c r="BV210" s="9"/>
      <c r="BW210" s="9"/>
      <c r="BX210" s="40"/>
      <c r="BY210" s="40"/>
      <c r="BZ210" s="36" t="str">
        <f aca="false">IF(BY210="","",EDATE(BY210,SG_Criteria!$B$54*12))</f>
        <v/>
      </c>
      <c r="CA210" s="33" t="str">
        <f aca="true">IF(A210="","",IF(BY210="","NOTE: not reviewed yet",IF(TODAY()&gt;BZ210,"NOTE: review overdue","OK")))</f>
        <v/>
      </c>
      <c r="CB210" s="37" t="str">
        <f aca="false">IF(A210="","",ROUND((IF(LEN(D210)&gt;0,1,0)+IF(LEN(E210)&gt;0,1,0)+IF(LEN(F210)&gt;0,1,0)+IF(LEN(G210)&gt;0,1,0)+IF(LEN(I210)&gt;0,1,0)+IF(LEN(J210)&gt;0,1,0)+IF(LEN(K210)&gt;0,1,0)+IF(LEN(L210)&gt;0,1,0)+IF(LEN(M210)&gt;0,1,0)+IF(LEN(N210)&gt;0,1,0)+IF(LEN(Z210)&gt;0,1,0)+IF(LEN(AA210)&gt;0,1,0)+IF(LEN(Y210)&gt;0,1,0)+IF(LEN(AE210)&gt;0,1,0)+IF(LEN(AG210)&gt;0,1,0)+IF(LEN(AZ210)&gt;0,1,0)+IF(LEN(AK210)&gt;0,1,0)+IF(LEN(AM210)&gt;0,1,0)+IF(LEN(AN210)&gt;0,1,0)+IF(LEN(AO210)&gt;0,1,0)+IF(LEN(AP210)&gt;0,1,0)+IF(LEN(AY210)&gt;0,1,0)+IF(LEN(BJ210)&gt;0,1,0)+IF(LEN(BW210)&gt;0,1,0))/24,2))</f>
        <v/>
      </c>
      <c r="CC210" s="10" t="str">
        <f aca="false">IF(D210="","",IF(AND(AN210="Approved",ISERROR(SEARCH("FAIL",BG210))),"Y","N"))</f>
        <v/>
      </c>
      <c r="CD210" s="10" t="str">
        <f aca="false">IF(D210="","",D210&amp;"|"&amp;J210&amp;"|"&amp;G210&amp;"|"&amp;CC210)</f>
        <v/>
      </c>
    </row>
    <row r="211" customFormat="false" ht="15" hidden="false" customHeight="false" outlineLevel="0" collapsed="false">
      <c r="A211" s="10" t="str">
        <f aca="false">IF(D211="","","MH-"&amp;IFERROR(VLOOKUP(D211,Lists!$AB$4:$AC$20,2,0),"??")&amp;"-"&amp;TEXT(G211,"0000")&amp;IF(F211="Circular","D","x"&amp;TEXT(H211,"0000"))&amp;"-D"&amp;TEXT(J211*1000,"0000")&amp;"-"&amp;IFERROR(VLOOKUP(E211,Lists!$AE$4:$AF$16,2,0),"??")&amp;"-"&amp;AM211)</f>
        <v/>
      </c>
      <c r="B211" s="10" t="str">
        <f aca="false">IF(D211="","",D211&amp;", "&amp;E211&amp;", "&amp;IF(F211="Circular",G211&amp;" dia",G211&amp;" x "&amp;H211)&amp;", depth "&amp;TEXT(I211,"0.0")&amp;"-"&amp;TEXT(J211,"0.0")&amp;" m, pipe up to "&amp;K211&amp;" dia")</f>
        <v/>
      </c>
      <c r="C211" s="9"/>
      <c r="D211" s="9"/>
      <c r="E211" s="9"/>
      <c r="F211" s="9"/>
      <c r="G211" s="38"/>
      <c r="H211" s="38"/>
      <c r="I211" s="42"/>
      <c r="J211" s="42"/>
      <c r="K211" s="38"/>
      <c r="L211" s="38"/>
      <c r="M211" s="38"/>
      <c r="N211" s="38"/>
      <c r="O211" s="9"/>
      <c r="P211" s="9"/>
      <c r="Q211" s="9"/>
      <c r="R211" s="9"/>
      <c r="S211" s="9"/>
      <c r="T211" s="9"/>
      <c r="U211" s="9"/>
      <c r="V211" s="42"/>
      <c r="W211" s="9"/>
      <c r="X211" s="9"/>
      <c r="Y211" s="39"/>
      <c r="Z211" s="9"/>
      <c r="AA211" s="38"/>
      <c r="AB211" s="9"/>
      <c r="AC211" s="9"/>
      <c r="AD211" s="9"/>
      <c r="AE211" s="9"/>
      <c r="AF211" s="9"/>
      <c r="AG211" s="9"/>
      <c r="AH211" s="38"/>
      <c r="AI211" s="9"/>
      <c r="AJ211" s="39"/>
      <c r="AK211" s="9"/>
      <c r="AL211" s="9"/>
      <c r="AM211" s="9"/>
      <c r="AN211" s="9"/>
      <c r="AO211" s="9"/>
      <c r="AP211" s="9"/>
      <c r="AQ211" s="9"/>
      <c r="AR211" s="10" t="str">
        <f aca="false">IF(A211="","",SG_Criteria!$B$6&amp;SG_Criteria!$B$10&amp;"\"&amp;A211&amp;"\")</f>
        <v/>
      </c>
      <c r="AS211" s="10" t="str">
        <f aca="false">IF(A211="","",A211&amp;"_CAD.dwg")</f>
        <v/>
      </c>
      <c r="AT211" s="10" t="str">
        <f aca="false">IF(A211="","",A211&amp;"_DWG.pdf")</f>
        <v/>
      </c>
      <c r="AU211" s="10" t="str">
        <f aca="false">IF(A211="","",IF(AQ211="Y",A211&amp;"_STAAD.std","n/a"))</f>
        <v/>
      </c>
      <c r="AV211" s="10" t="str">
        <f aca="false">IF(A211="","",A211&amp;"_CALC.xlsx")</f>
        <v/>
      </c>
      <c r="AW211" s="10" t="str">
        <f aca="false">IF(A211="","",A211&amp;"_CALC.pdf")</f>
        <v/>
      </c>
      <c r="AX211" s="9"/>
      <c r="AY211" s="9"/>
      <c r="AZ211" s="39"/>
      <c r="BA211" s="39"/>
      <c r="BB211" s="39"/>
      <c r="BC211" s="39"/>
      <c r="BD211" s="39"/>
      <c r="BE211" s="12" t="str">
        <f aca="false">IF(A211="","",IF(COUNTIF(Rebar_Schedule!$A$5:$A$2004,A211)=0,"",ROUND(SUMIF(Rebar_Schedule!$A$5:$A$2004,A211,Rebar_Schedule!$K$5:$K$2004),1)))</f>
        <v/>
      </c>
      <c r="BF211" s="33" t="str">
        <f aca="false">IF(A211="","",IF(BE211="","No rebar schedule yet",IF(ABS(BE211-N(BA211))/MAX(N(BA211),1)&gt;SG_Criteria!$B$55,"NOTE: register rebar differs from schedule by "&amp;TEXT(ABS(BE211-N(BA211))/MAX(N(BA211),1),"0%"),"OK")))</f>
        <v/>
      </c>
      <c r="BG211" s="33" t="str">
        <f aca="false">IF(D211="","",IF(LEN(IF(AND(Z211&lt;&gt;"",IFERROR(VALUE(MID(Z211,2,2)),0)&lt;SG_Criteria!$B$19),"FAIL: grade below C"&amp;SG_Criteria!$B$19&amp;". ","")&amp;IF(AND(AA211&lt;&gt;"",AA211&lt;SG_Criteria!$B$20),"FAIL: cover &lt; "&amp;SG_Criteria!$B$20&amp;" mm. ","")&amp;IF(AND(I211&lt;&gt;"",I211&lt;SG_Criteria!$B$39),"NOTE: min depth below PUB "&amp;SG_Criteria!$B$39&amp;" m. ","")&amp;IF(AND(LEFT(D211,8)="Standard",J211&gt;SG_Criteria!$B$42),"FAIL: PUB 001C covers manholes up to "&amp;SG_Criteria!$B$42&amp;" m deep only. ","")&amp;IF(AND(LEFT(D211,11)="Rectangular",K211&lt;SG_Criteria!$B$43),"NOTE: 004C is for sewers &gt;= "&amp;SG_Criteria!$B$43&amp;" dia. ","")&amp;IF(AND(LEFT(D211,7)="Precast",J211&lt;=SG_Criteria!$B$42),"NOTE: 006C is for manholes &gt; "&amp;SG_Criteria!$B$42&amp;" m deep. ","")&amp;IF(AND(K211&lt;&gt;"",K211&lt;SG_Criteria!$B$40,D211&lt;&gt;"Inspection Chamber"),"NOTE: public sewer min dia "&amp;SG_Criteria!$B$40&amp;" mm. ","")&amp;IF(AND(Y211&lt;&gt;"",Y211&lt;SG_Criteria!$B$44),"FAIL: uplift FOS below "&amp;SG_Criteria!$B$44&amp;". ",""))=0,"OK",IF(AND(Z211&lt;&gt;"",IFERROR(VALUE(MID(Z211,2,2)),0)&lt;SG_Criteria!$B$19),"FAIL: grade below C"&amp;SG_Criteria!$B$19&amp;". ","")&amp;IF(AND(AA211&lt;&gt;"",AA211&lt;SG_Criteria!$B$20),"FAIL: cover &lt; "&amp;SG_Criteria!$B$20&amp;" mm. ","")&amp;IF(AND(I211&lt;&gt;"",I211&lt;SG_Criteria!$B$39),"NOTE: min depth below PUB "&amp;SG_Criteria!$B$39&amp;" m. ","")&amp;IF(AND(LEFT(D211,8)="Standard",J211&gt;SG_Criteria!$B$42),"FAIL: PUB 001C covers manholes up to "&amp;SG_Criteria!$B$42&amp;" m deep only. ","")&amp;IF(AND(LEFT(D211,11)="Rectangular",K211&lt;SG_Criteria!$B$43),"NOTE: 004C is for sewers &gt;= "&amp;SG_Criteria!$B$43&amp;" dia. ","")&amp;IF(AND(LEFT(D211,7)="Precast",J211&lt;=SG_Criteria!$B$42),"NOTE: 006C is for manholes &gt; "&amp;SG_Criteria!$B$42&amp;" m deep. ","")&amp;IF(AND(K211&lt;&gt;"",K211&lt;SG_Criteria!$B$40,D211&lt;&gt;"Inspection Chamber"),"NOTE: public sewer min dia "&amp;SG_Criteria!$B$40&amp;" mm. ","")&amp;IF(AND(Y211&lt;&gt;"",Y211&lt;SG_Criteria!$B$44),"FAIL: uplift FOS below "&amp;SG_Criteria!$B$44&amp;". ","")))</f>
        <v/>
      </c>
      <c r="BH211" s="9"/>
      <c r="BI211" s="9"/>
      <c r="BJ211" s="9"/>
      <c r="BK211" s="10" t="str">
        <f aca="false">IF(BJ211="","",IFERROR(VLOOKUP(BJ211,Projects!$A$5:$D$504,2,0),"Ref not in Projects"))</f>
        <v/>
      </c>
      <c r="BL211" s="10" t="str">
        <f aca="false">IF(BJ211="","",IFERROR(VLOOKUP(BJ211,Projects!$A$5:$D$504,4,0),"Ref not in Projects"))</f>
        <v/>
      </c>
      <c r="BM211" s="9"/>
      <c r="BN211" s="9"/>
      <c r="BO211" s="9"/>
      <c r="BP211" s="40"/>
      <c r="BQ211" s="9"/>
      <c r="BR211" s="40"/>
      <c r="BS211" s="9"/>
      <c r="BT211" s="40"/>
      <c r="BU211" s="9"/>
      <c r="BV211" s="9"/>
      <c r="BW211" s="9"/>
      <c r="BX211" s="40"/>
      <c r="BY211" s="40"/>
      <c r="BZ211" s="36" t="str">
        <f aca="false">IF(BY211="","",EDATE(BY211,SG_Criteria!$B$54*12))</f>
        <v/>
      </c>
      <c r="CA211" s="33" t="str">
        <f aca="true">IF(A211="","",IF(BY211="","NOTE: not reviewed yet",IF(TODAY()&gt;BZ211,"NOTE: review overdue","OK")))</f>
        <v/>
      </c>
      <c r="CB211" s="37" t="str">
        <f aca="false">IF(A211="","",ROUND((IF(LEN(D211)&gt;0,1,0)+IF(LEN(E211)&gt;0,1,0)+IF(LEN(F211)&gt;0,1,0)+IF(LEN(G211)&gt;0,1,0)+IF(LEN(I211)&gt;0,1,0)+IF(LEN(J211)&gt;0,1,0)+IF(LEN(K211)&gt;0,1,0)+IF(LEN(L211)&gt;0,1,0)+IF(LEN(M211)&gt;0,1,0)+IF(LEN(N211)&gt;0,1,0)+IF(LEN(Z211)&gt;0,1,0)+IF(LEN(AA211)&gt;0,1,0)+IF(LEN(Y211)&gt;0,1,0)+IF(LEN(AE211)&gt;0,1,0)+IF(LEN(AG211)&gt;0,1,0)+IF(LEN(AZ211)&gt;0,1,0)+IF(LEN(AK211)&gt;0,1,0)+IF(LEN(AM211)&gt;0,1,0)+IF(LEN(AN211)&gt;0,1,0)+IF(LEN(AO211)&gt;0,1,0)+IF(LEN(AP211)&gt;0,1,0)+IF(LEN(AY211)&gt;0,1,0)+IF(LEN(BJ211)&gt;0,1,0)+IF(LEN(BW211)&gt;0,1,0))/24,2))</f>
        <v/>
      </c>
      <c r="CC211" s="10" t="str">
        <f aca="false">IF(D211="","",IF(AND(AN211="Approved",ISERROR(SEARCH("FAIL",BG211))),"Y","N"))</f>
        <v/>
      </c>
      <c r="CD211" s="10" t="str">
        <f aca="false">IF(D211="","",D211&amp;"|"&amp;J211&amp;"|"&amp;G211&amp;"|"&amp;CC211)</f>
        <v/>
      </c>
    </row>
    <row r="212" customFormat="false" ht="15" hidden="false" customHeight="false" outlineLevel="0" collapsed="false">
      <c r="A212" s="10" t="str">
        <f aca="false">IF(D212="","","MH-"&amp;IFERROR(VLOOKUP(D212,Lists!$AB$4:$AC$20,2,0),"??")&amp;"-"&amp;TEXT(G212,"0000")&amp;IF(F212="Circular","D","x"&amp;TEXT(H212,"0000"))&amp;"-D"&amp;TEXT(J212*1000,"0000")&amp;"-"&amp;IFERROR(VLOOKUP(E212,Lists!$AE$4:$AF$16,2,0),"??")&amp;"-"&amp;AM212)</f>
        <v/>
      </c>
      <c r="B212" s="10" t="str">
        <f aca="false">IF(D212="","",D212&amp;", "&amp;E212&amp;", "&amp;IF(F212="Circular",G212&amp;" dia",G212&amp;" x "&amp;H212)&amp;", depth "&amp;TEXT(I212,"0.0")&amp;"-"&amp;TEXT(J212,"0.0")&amp;" m, pipe up to "&amp;K212&amp;" dia")</f>
        <v/>
      </c>
      <c r="C212" s="9"/>
      <c r="D212" s="9"/>
      <c r="E212" s="9"/>
      <c r="F212" s="9"/>
      <c r="G212" s="38"/>
      <c r="H212" s="38"/>
      <c r="I212" s="42"/>
      <c r="J212" s="42"/>
      <c r="K212" s="38"/>
      <c r="L212" s="38"/>
      <c r="M212" s="38"/>
      <c r="N212" s="38"/>
      <c r="O212" s="9"/>
      <c r="P212" s="9"/>
      <c r="Q212" s="9"/>
      <c r="R212" s="9"/>
      <c r="S212" s="9"/>
      <c r="T212" s="9"/>
      <c r="U212" s="9"/>
      <c r="V212" s="42"/>
      <c r="W212" s="9"/>
      <c r="X212" s="9"/>
      <c r="Y212" s="39"/>
      <c r="Z212" s="9"/>
      <c r="AA212" s="38"/>
      <c r="AB212" s="9"/>
      <c r="AC212" s="9"/>
      <c r="AD212" s="9"/>
      <c r="AE212" s="9"/>
      <c r="AF212" s="9"/>
      <c r="AG212" s="9"/>
      <c r="AH212" s="38"/>
      <c r="AI212" s="9"/>
      <c r="AJ212" s="39"/>
      <c r="AK212" s="9"/>
      <c r="AL212" s="9"/>
      <c r="AM212" s="9"/>
      <c r="AN212" s="9"/>
      <c r="AO212" s="9"/>
      <c r="AP212" s="9"/>
      <c r="AQ212" s="9"/>
      <c r="AR212" s="10" t="str">
        <f aca="false">IF(A212="","",SG_Criteria!$B$6&amp;SG_Criteria!$B$10&amp;"\"&amp;A212&amp;"\")</f>
        <v/>
      </c>
      <c r="AS212" s="10" t="str">
        <f aca="false">IF(A212="","",A212&amp;"_CAD.dwg")</f>
        <v/>
      </c>
      <c r="AT212" s="10" t="str">
        <f aca="false">IF(A212="","",A212&amp;"_DWG.pdf")</f>
        <v/>
      </c>
      <c r="AU212" s="10" t="str">
        <f aca="false">IF(A212="","",IF(AQ212="Y",A212&amp;"_STAAD.std","n/a"))</f>
        <v/>
      </c>
      <c r="AV212" s="10" t="str">
        <f aca="false">IF(A212="","",A212&amp;"_CALC.xlsx")</f>
        <v/>
      </c>
      <c r="AW212" s="10" t="str">
        <f aca="false">IF(A212="","",A212&amp;"_CALC.pdf")</f>
        <v/>
      </c>
      <c r="AX212" s="9"/>
      <c r="AY212" s="9"/>
      <c r="AZ212" s="39"/>
      <c r="BA212" s="39"/>
      <c r="BB212" s="39"/>
      <c r="BC212" s="39"/>
      <c r="BD212" s="39"/>
      <c r="BE212" s="12" t="str">
        <f aca="false">IF(A212="","",IF(COUNTIF(Rebar_Schedule!$A$5:$A$2004,A212)=0,"",ROUND(SUMIF(Rebar_Schedule!$A$5:$A$2004,A212,Rebar_Schedule!$K$5:$K$2004),1)))</f>
        <v/>
      </c>
      <c r="BF212" s="33" t="str">
        <f aca="false">IF(A212="","",IF(BE212="","No rebar schedule yet",IF(ABS(BE212-N(BA212))/MAX(N(BA212),1)&gt;SG_Criteria!$B$55,"NOTE: register rebar differs from schedule by "&amp;TEXT(ABS(BE212-N(BA212))/MAX(N(BA212),1),"0%"),"OK")))</f>
        <v/>
      </c>
      <c r="BG212" s="33" t="str">
        <f aca="false">IF(D212="","",IF(LEN(IF(AND(Z212&lt;&gt;"",IFERROR(VALUE(MID(Z212,2,2)),0)&lt;SG_Criteria!$B$19),"FAIL: grade below C"&amp;SG_Criteria!$B$19&amp;". ","")&amp;IF(AND(AA212&lt;&gt;"",AA212&lt;SG_Criteria!$B$20),"FAIL: cover &lt; "&amp;SG_Criteria!$B$20&amp;" mm. ","")&amp;IF(AND(I212&lt;&gt;"",I212&lt;SG_Criteria!$B$39),"NOTE: min depth below PUB "&amp;SG_Criteria!$B$39&amp;" m. ","")&amp;IF(AND(LEFT(D212,8)="Standard",J212&gt;SG_Criteria!$B$42),"FAIL: PUB 001C covers manholes up to "&amp;SG_Criteria!$B$42&amp;" m deep only. ","")&amp;IF(AND(LEFT(D212,11)="Rectangular",K212&lt;SG_Criteria!$B$43),"NOTE: 004C is for sewers &gt;= "&amp;SG_Criteria!$B$43&amp;" dia. ","")&amp;IF(AND(LEFT(D212,7)="Precast",J212&lt;=SG_Criteria!$B$42),"NOTE: 006C is for manholes &gt; "&amp;SG_Criteria!$B$42&amp;" m deep. ","")&amp;IF(AND(K212&lt;&gt;"",K212&lt;SG_Criteria!$B$40,D212&lt;&gt;"Inspection Chamber"),"NOTE: public sewer min dia "&amp;SG_Criteria!$B$40&amp;" mm. ","")&amp;IF(AND(Y212&lt;&gt;"",Y212&lt;SG_Criteria!$B$44),"FAIL: uplift FOS below "&amp;SG_Criteria!$B$44&amp;". ",""))=0,"OK",IF(AND(Z212&lt;&gt;"",IFERROR(VALUE(MID(Z212,2,2)),0)&lt;SG_Criteria!$B$19),"FAIL: grade below C"&amp;SG_Criteria!$B$19&amp;". ","")&amp;IF(AND(AA212&lt;&gt;"",AA212&lt;SG_Criteria!$B$20),"FAIL: cover &lt; "&amp;SG_Criteria!$B$20&amp;" mm. ","")&amp;IF(AND(I212&lt;&gt;"",I212&lt;SG_Criteria!$B$39),"NOTE: min depth below PUB "&amp;SG_Criteria!$B$39&amp;" m. ","")&amp;IF(AND(LEFT(D212,8)="Standard",J212&gt;SG_Criteria!$B$42),"FAIL: PUB 001C covers manholes up to "&amp;SG_Criteria!$B$42&amp;" m deep only. ","")&amp;IF(AND(LEFT(D212,11)="Rectangular",K212&lt;SG_Criteria!$B$43),"NOTE: 004C is for sewers &gt;= "&amp;SG_Criteria!$B$43&amp;" dia. ","")&amp;IF(AND(LEFT(D212,7)="Precast",J212&lt;=SG_Criteria!$B$42),"NOTE: 006C is for manholes &gt; "&amp;SG_Criteria!$B$42&amp;" m deep. ","")&amp;IF(AND(K212&lt;&gt;"",K212&lt;SG_Criteria!$B$40,D212&lt;&gt;"Inspection Chamber"),"NOTE: public sewer min dia "&amp;SG_Criteria!$B$40&amp;" mm. ","")&amp;IF(AND(Y212&lt;&gt;"",Y212&lt;SG_Criteria!$B$44),"FAIL: uplift FOS below "&amp;SG_Criteria!$B$44&amp;". ","")))</f>
        <v/>
      </c>
      <c r="BH212" s="9"/>
      <c r="BI212" s="9"/>
      <c r="BJ212" s="9"/>
      <c r="BK212" s="10" t="str">
        <f aca="false">IF(BJ212="","",IFERROR(VLOOKUP(BJ212,Projects!$A$5:$D$504,2,0),"Ref not in Projects"))</f>
        <v/>
      </c>
      <c r="BL212" s="10" t="str">
        <f aca="false">IF(BJ212="","",IFERROR(VLOOKUP(BJ212,Projects!$A$5:$D$504,4,0),"Ref not in Projects"))</f>
        <v/>
      </c>
      <c r="BM212" s="9"/>
      <c r="BN212" s="9"/>
      <c r="BO212" s="9"/>
      <c r="BP212" s="40"/>
      <c r="BQ212" s="9"/>
      <c r="BR212" s="40"/>
      <c r="BS212" s="9"/>
      <c r="BT212" s="40"/>
      <c r="BU212" s="9"/>
      <c r="BV212" s="9"/>
      <c r="BW212" s="9"/>
      <c r="BX212" s="40"/>
      <c r="BY212" s="40"/>
      <c r="BZ212" s="36" t="str">
        <f aca="false">IF(BY212="","",EDATE(BY212,SG_Criteria!$B$54*12))</f>
        <v/>
      </c>
      <c r="CA212" s="33" t="str">
        <f aca="true">IF(A212="","",IF(BY212="","NOTE: not reviewed yet",IF(TODAY()&gt;BZ212,"NOTE: review overdue","OK")))</f>
        <v/>
      </c>
      <c r="CB212" s="37" t="str">
        <f aca="false">IF(A212="","",ROUND((IF(LEN(D212)&gt;0,1,0)+IF(LEN(E212)&gt;0,1,0)+IF(LEN(F212)&gt;0,1,0)+IF(LEN(G212)&gt;0,1,0)+IF(LEN(I212)&gt;0,1,0)+IF(LEN(J212)&gt;0,1,0)+IF(LEN(K212)&gt;0,1,0)+IF(LEN(L212)&gt;0,1,0)+IF(LEN(M212)&gt;0,1,0)+IF(LEN(N212)&gt;0,1,0)+IF(LEN(Z212)&gt;0,1,0)+IF(LEN(AA212)&gt;0,1,0)+IF(LEN(Y212)&gt;0,1,0)+IF(LEN(AE212)&gt;0,1,0)+IF(LEN(AG212)&gt;0,1,0)+IF(LEN(AZ212)&gt;0,1,0)+IF(LEN(AK212)&gt;0,1,0)+IF(LEN(AM212)&gt;0,1,0)+IF(LEN(AN212)&gt;0,1,0)+IF(LEN(AO212)&gt;0,1,0)+IF(LEN(AP212)&gt;0,1,0)+IF(LEN(AY212)&gt;0,1,0)+IF(LEN(BJ212)&gt;0,1,0)+IF(LEN(BW212)&gt;0,1,0))/24,2))</f>
        <v/>
      </c>
      <c r="CC212" s="10" t="str">
        <f aca="false">IF(D212="","",IF(AND(AN212="Approved",ISERROR(SEARCH("FAIL",BG212))),"Y","N"))</f>
        <v/>
      </c>
      <c r="CD212" s="10" t="str">
        <f aca="false">IF(D212="","",D212&amp;"|"&amp;J212&amp;"|"&amp;G212&amp;"|"&amp;CC212)</f>
        <v/>
      </c>
    </row>
    <row r="213" customFormat="false" ht="15" hidden="false" customHeight="false" outlineLevel="0" collapsed="false">
      <c r="A213" s="10" t="str">
        <f aca="false">IF(D213="","","MH-"&amp;IFERROR(VLOOKUP(D213,Lists!$AB$4:$AC$20,2,0),"??")&amp;"-"&amp;TEXT(G213,"0000")&amp;IF(F213="Circular","D","x"&amp;TEXT(H213,"0000"))&amp;"-D"&amp;TEXT(J213*1000,"0000")&amp;"-"&amp;IFERROR(VLOOKUP(E213,Lists!$AE$4:$AF$16,2,0),"??")&amp;"-"&amp;AM213)</f>
        <v/>
      </c>
      <c r="B213" s="10" t="str">
        <f aca="false">IF(D213="","",D213&amp;", "&amp;E213&amp;", "&amp;IF(F213="Circular",G213&amp;" dia",G213&amp;" x "&amp;H213)&amp;", depth "&amp;TEXT(I213,"0.0")&amp;"-"&amp;TEXT(J213,"0.0")&amp;" m, pipe up to "&amp;K213&amp;" dia")</f>
        <v/>
      </c>
      <c r="C213" s="9"/>
      <c r="D213" s="9"/>
      <c r="E213" s="9"/>
      <c r="F213" s="9"/>
      <c r="G213" s="38"/>
      <c r="H213" s="38"/>
      <c r="I213" s="42"/>
      <c r="J213" s="42"/>
      <c r="K213" s="38"/>
      <c r="L213" s="38"/>
      <c r="M213" s="38"/>
      <c r="N213" s="38"/>
      <c r="O213" s="9"/>
      <c r="P213" s="9"/>
      <c r="Q213" s="9"/>
      <c r="R213" s="9"/>
      <c r="S213" s="9"/>
      <c r="T213" s="9"/>
      <c r="U213" s="9"/>
      <c r="V213" s="42"/>
      <c r="W213" s="9"/>
      <c r="X213" s="9"/>
      <c r="Y213" s="39"/>
      <c r="Z213" s="9"/>
      <c r="AA213" s="38"/>
      <c r="AB213" s="9"/>
      <c r="AC213" s="9"/>
      <c r="AD213" s="9"/>
      <c r="AE213" s="9"/>
      <c r="AF213" s="9"/>
      <c r="AG213" s="9"/>
      <c r="AH213" s="38"/>
      <c r="AI213" s="9"/>
      <c r="AJ213" s="39"/>
      <c r="AK213" s="9"/>
      <c r="AL213" s="9"/>
      <c r="AM213" s="9"/>
      <c r="AN213" s="9"/>
      <c r="AO213" s="9"/>
      <c r="AP213" s="9"/>
      <c r="AQ213" s="9"/>
      <c r="AR213" s="10" t="str">
        <f aca="false">IF(A213="","",SG_Criteria!$B$6&amp;SG_Criteria!$B$10&amp;"\"&amp;A213&amp;"\")</f>
        <v/>
      </c>
      <c r="AS213" s="10" t="str">
        <f aca="false">IF(A213="","",A213&amp;"_CAD.dwg")</f>
        <v/>
      </c>
      <c r="AT213" s="10" t="str">
        <f aca="false">IF(A213="","",A213&amp;"_DWG.pdf")</f>
        <v/>
      </c>
      <c r="AU213" s="10" t="str">
        <f aca="false">IF(A213="","",IF(AQ213="Y",A213&amp;"_STAAD.std","n/a"))</f>
        <v/>
      </c>
      <c r="AV213" s="10" t="str">
        <f aca="false">IF(A213="","",A213&amp;"_CALC.xlsx")</f>
        <v/>
      </c>
      <c r="AW213" s="10" t="str">
        <f aca="false">IF(A213="","",A213&amp;"_CALC.pdf")</f>
        <v/>
      </c>
      <c r="AX213" s="9"/>
      <c r="AY213" s="9"/>
      <c r="AZ213" s="39"/>
      <c r="BA213" s="39"/>
      <c r="BB213" s="39"/>
      <c r="BC213" s="39"/>
      <c r="BD213" s="39"/>
      <c r="BE213" s="12" t="str">
        <f aca="false">IF(A213="","",IF(COUNTIF(Rebar_Schedule!$A$5:$A$2004,A213)=0,"",ROUND(SUMIF(Rebar_Schedule!$A$5:$A$2004,A213,Rebar_Schedule!$K$5:$K$2004),1)))</f>
        <v/>
      </c>
      <c r="BF213" s="33" t="str">
        <f aca="false">IF(A213="","",IF(BE213="","No rebar schedule yet",IF(ABS(BE213-N(BA213))/MAX(N(BA213),1)&gt;SG_Criteria!$B$55,"NOTE: register rebar differs from schedule by "&amp;TEXT(ABS(BE213-N(BA213))/MAX(N(BA213),1),"0%"),"OK")))</f>
        <v/>
      </c>
      <c r="BG213" s="33" t="str">
        <f aca="false">IF(D213="","",IF(LEN(IF(AND(Z213&lt;&gt;"",IFERROR(VALUE(MID(Z213,2,2)),0)&lt;SG_Criteria!$B$19),"FAIL: grade below C"&amp;SG_Criteria!$B$19&amp;". ","")&amp;IF(AND(AA213&lt;&gt;"",AA213&lt;SG_Criteria!$B$20),"FAIL: cover &lt; "&amp;SG_Criteria!$B$20&amp;" mm. ","")&amp;IF(AND(I213&lt;&gt;"",I213&lt;SG_Criteria!$B$39),"NOTE: min depth below PUB "&amp;SG_Criteria!$B$39&amp;" m. ","")&amp;IF(AND(LEFT(D213,8)="Standard",J213&gt;SG_Criteria!$B$42),"FAIL: PUB 001C covers manholes up to "&amp;SG_Criteria!$B$42&amp;" m deep only. ","")&amp;IF(AND(LEFT(D213,11)="Rectangular",K213&lt;SG_Criteria!$B$43),"NOTE: 004C is for sewers &gt;= "&amp;SG_Criteria!$B$43&amp;" dia. ","")&amp;IF(AND(LEFT(D213,7)="Precast",J213&lt;=SG_Criteria!$B$42),"NOTE: 006C is for manholes &gt; "&amp;SG_Criteria!$B$42&amp;" m deep. ","")&amp;IF(AND(K213&lt;&gt;"",K213&lt;SG_Criteria!$B$40,D213&lt;&gt;"Inspection Chamber"),"NOTE: public sewer min dia "&amp;SG_Criteria!$B$40&amp;" mm. ","")&amp;IF(AND(Y213&lt;&gt;"",Y213&lt;SG_Criteria!$B$44),"FAIL: uplift FOS below "&amp;SG_Criteria!$B$44&amp;". ",""))=0,"OK",IF(AND(Z213&lt;&gt;"",IFERROR(VALUE(MID(Z213,2,2)),0)&lt;SG_Criteria!$B$19),"FAIL: grade below C"&amp;SG_Criteria!$B$19&amp;". ","")&amp;IF(AND(AA213&lt;&gt;"",AA213&lt;SG_Criteria!$B$20),"FAIL: cover &lt; "&amp;SG_Criteria!$B$20&amp;" mm. ","")&amp;IF(AND(I213&lt;&gt;"",I213&lt;SG_Criteria!$B$39),"NOTE: min depth below PUB "&amp;SG_Criteria!$B$39&amp;" m. ","")&amp;IF(AND(LEFT(D213,8)="Standard",J213&gt;SG_Criteria!$B$42),"FAIL: PUB 001C covers manholes up to "&amp;SG_Criteria!$B$42&amp;" m deep only. ","")&amp;IF(AND(LEFT(D213,11)="Rectangular",K213&lt;SG_Criteria!$B$43),"NOTE: 004C is for sewers &gt;= "&amp;SG_Criteria!$B$43&amp;" dia. ","")&amp;IF(AND(LEFT(D213,7)="Precast",J213&lt;=SG_Criteria!$B$42),"NOTE: 006C is for manholes &gt; "&amp;SG_Criteria!$B$42&amp;" m deep. ","")&amp;IF(AND(K213&lt;&gt;"",K213&lt;SG_Criteria!$B$40,D213&lt;&gt;"Inspection Chamber"),"NOTE: public sewer min dia "&amp;SG_Criteria!$B$40&amp;" mm. ","")&amp;IF(AND(Y213&lt;&gt;"",Y213&lt;SG_Criteria!$B$44),"FAIL: uplift FOS below "&amp;SG_Criteria!$B$44&amp;". ","")))</f>
        <v/>
      </c>
      <c r="BH213" s="9"/>
      <c r="BI213" s="9"/>
      <c r="BJ213" s="9"/>
      <c r="BK213" s="10" t="str">
        <f aca="false">IF(BJ213="","",IFERROR(VLOOKUP(BJ213,Projects!$A$5:$D$504,2,0),"Ref not in Projects"))</f>
        <v/>
      </c>
      <c r="BL213" s="10" t="str">
        <f aca="false">IF(BJ213="","",IFERROR(VLOOKUP(BJ213,Projects!$A$5:$D$504,4,0),"Ref not in Projects"))</f>
        <v/>
      </c>
      <c r="BM213" s="9"/>
      <c r="BN213" s="9"/>
      <c r="BO213" s="9"/>
      <c r="BP213" s="40"/>
      <c r="BQ213" s="9"/>
      <c r="BR213" s="40"/>
      <c r="BS213" s="9"/>
      <c r="BT213" s="40"/>
      <c r="BU213" s="9"/>
      <c r="BV213" s="9"/>
      <c r="BW213" s="9"/>
      <c r="BX213" s="40"/>
      <c r="BY213" s="40"/>
      <c r="BZ213" s="36" t="str">
        <f aca="false">IF(BY213="","",EDATE(BY213,SG_Criteria!$B$54*12))</f>
        <v/>
      </c>
      <c r="CA213" s="33" t="str">
        <f aca="true">IF(A213="","",IF(BY213="","NOTE: not reviewed yet",IF(TODAY()&gt;BZ213,"NOTE: review overdue","OK")))</f>
        <v/>
      </c>
      <c r="CB213" s="37" t="str">
        <f aca="false">IF(A213="","",ROUND((IF(LEN(D213)&gt;0,1,0)+IF(LEN(E213)&gt;0,1,0)+IF(LEN(F213)&gt;0,1,0)+IF(LEN(G213)&gt;0,1,0)+IF(LEN(I213)&gt;0,1,0)+IF(LEN(J213)&gt;0,1,0)+IF(LEN(K213)&gt;0,1,0)+IF(LEN(L213)&gt;0,1,0)+IF(LEN(M213)&gt;0,1,0)+IF(LEN(N213)&gt;0,1,0)+IF(LEN(Z213)&gt;0,1,0)+IF(LEN(AA213)&gt;0,1,0)+IF(LEN(Y213)&gt;0,1,0)+IF(LEN(AE213)&gt;0,1,0)+IF(LEN(AG213)&gt;0,1,0)+IF(LEN(AZ213)&gt;0,1,0)+IF(LEN(AK213)&gt;0,1,0)+IF(LEN(AM213)&gt;0,1,0)+IF(LEN(AN213)&gt;0,1,0)+IF(LEN(AO213)&gt;0,1,0)+IF(LEN(AP213)&gt;0,1,0)+IF(LEN(AY213)&gt;0,1,0)+IF(LEN(BJ213)&gt;0,1,0)+IF(LEN(BW213)&gt;0,1,0))/24,2))</f>
        <v/>
      </c>
      <c r="CC213" s="10" t="str">
        <f aca="false">IF(D213="","",IF(AND(AN213="Approved",ISERROR(SEARCH("FAIL",BG213))),"Y","N"))</f>
        <v/>
      </c>
      <c r="CD213" s="10" t="str">
        <f aca="false">IF(D213="","",D213&amp;"|"&amp;J213&amp;"|"&amp;G213&amp;"|"&amp;CC213)</f>
        <v/>
      </c>
    </row>
    <row r="214" customFormat="false" ht="15" hidden="false" customHeight="false" outlineLevel="0" collapsed="false">
      <c r="A214" s="10" t="str">
        <f aca="false">IF(D214="","","MH-"&amp;IFERROR(VLOOKUP(D214,Lists!$AB$4:$AC$20,2,0),"??")&amp;"-"&amp;TEXT(G214,"0000")&amp;IF(F214="Circular","D","x"&amp;TEXT(H214,"0000"))&amp;"-D"&amp;TEXT(J214*1000,"0000")&amp;"-"&amp;IFERROR(VLOOKUP(E214,Lists!$AE$4:$AF$16,2,0),"??")&amp;"-"&amp;AM214)</f>
        <v/>
      </c>
      <c r="B214" s="10" t="str">
        <f aca="false">IF(D214="","",D214&amp;", "&amp;E214&amp;", "&amp;IF(F214="Circular",G214&amp;" dia",G214&amp;" x "&amp;H214)&amp;", depth "&amp;TEXT(I214,"0.0")&amp;"-"&amp;TEXT(J214,"0.0")&amp;" m, pipe up to "&amp;K214&amp;" dia")</f>
        <v/>
      </c>
      <c r="C214" s="9"/>
      <c r="D214" s="9"/>
      <c r="E214" s="9"/>
      <c r="F214" s="9"/>
      <c r="G214" s="38"/>
      <c r="H214" s="38"/>
      <c r="I214" s="42"/>
      <c r="J214" s="42"/>
      <c r="K214" s="38"/>
      <c r="L214" s="38"/>
      <c r="M214" s="38"/>
      <c r="N214" s="38"/>
      <c r="O214" s="9"/>
      <c r="P214" s="9"/>
      <c r="Q214" s="9"/>
      <c r="R214" s="9"/>
      <c r="S214" s="9"/>
      <c r="T214" s="9"/>
      <c r="U214" s="9"/>
      <c r="V214" s="42"/>
      <c r="W214" s="9"/>
      <c r="X214" s="9"/>
      <c r="Y214" s="39"/>
      <c r="Z214" s="9"/>
      <c r="AA214" s="38"/>
      <c r="AB214" s="9"/>
      <c r="AC214" s="9"/>
      <c r="AD214" s="9"/>
      <c r="AE214" s="9"/>
      <c r="AF214" s="9"/>
      <c r="AG214" s="9"/>
      <c r="AH214" s="38"/>
      <c r="AI214" s="9"/>
      <c r="AJ214" s="39"/>
      <c r="AK214" s="9"/>
      <c r="AL214" s="9"/>
      <c r="AM214" s="9"/>
      <c r="AN214" s="9"/>
      <c r="AO214" s="9"/>
      <c r="AP214" s="9"/>
      <c r="AQ214" s="9"/>
      <c r="AR214" s="10" t="str">
        <f aca="false">IF(A214="","",SG_Criteria!$B$6&amp;SG_Criteria!$B$10&amp;"\"&amp;A214&amp;"\")</f>
        <v/>
      </c>
      <c r="AS214" s="10" t="str">
        <f aca="false">IF(A214="","",A214&amp;"_CAD.dwg")</f>
        <v/>
      </c>
      <c r="AT214" s="10" t="str">
        <f aca="false">IF(A214="","",A214&amp;"_DWG.pdf")</f>
        <v/>
      </c>
      <c r="AU214" s="10" t="str">
        <f aca="false">IF(A214="","",IF(AQ214="Y",A214&amp;"_STAAD.std","n/a"))</f>
        <v/>
      </c>
      <c r="AV214" s="10" t="str">
        <f aca="false">IF(A214="","",A214&amp;"_CALC.xlsx")</f>
        <v/>
      </c>
      <c r="AW214" s="10" t="str">
        <f aca="false">IF(A214="","",A214&amp;"_CALC.pdf")</f>
        <v/>
      </c>
      <c r="AX214" s="9"/>
      <c r="AY214" s="9"/>
      <c r="AZ214" s="39"/>
      <c r="BA214" s="39"/>
      <c r="BB214" s="39"/>
      <c r="BC214" s="39"/>
      <c r="BD214" s="39"/>
      <c r="BE214" s="12" t="str">
        <f aca="false">IF(A214="","",IF(COUNTIF(Rebar_Schedule!$A$5:$A$2004,A214)=0,"",ROUND(SUMIF(Rebar_Schedule!$A$5:$A$2004,A214,Rebar_Schedule!$K$5:$K$2004),1)))</f>
        <v/>
      </c>
      <c r="BF214" s="33" t="str">
        <f aca="false">IF(A214="","",IF(BE214="","No rebar schedule yet",IF(ABS(BE214-N(BA214))/MAX(N(BA214),1)&gt;SG_Criteria!$B$55,"NOTE: register rebar differs from schedule by "&amp;TEXT(ABS(BE214-N(BA214))/MAX(N(BA214),1),"0%"),"OK")))</f>
        <v/>
      </c>
      <c r="BG214" s="33" t="str">
        <f aca="false">IF(D214="","",IF(LEN(IF(AND(Z214&lt;&gt;"",IFERROR(VALUE(MID(Z214,2,2)),0)&lt;SG_Criteria!$B$19),"FAIL: grade below C"&amp;SG_Criteria!$B$19&amp;". ","")&amp;IF(AND(AA214&lt;&gt;"",AA214&lt;SG_Criteria!$B$20),"FAIL: cover &lt; "&amp;SG_Criteria!$B$20&amp;" mm. ","")&amp;IF(AND(I214&lt;&gt;"",I214&lt;SG_Criteria!$B$39),"NOTE: min depth below PUB "&amp;SG_Criteria!$B$39&amp;" m. ","")&amp;IF(AND(LEFT(D214,8)="Standard",J214&gt;SG_Criteria!$B$42),"FAIL: PUB 001C covers manholes up to "&amp;SG_Criteria!$B$42&amp;" m deep only. ","")&amp;IF(AND(LEFT(D214,11)="Rectangular",K214&lt;SG_Criteria!$B$43),"NOTE: 004C is for sewers &gt;= "&amp;SG_Criteria!$B$43&amp;" dia. ","")&amp;IF(AND(LEFT(D214,7)="Precast",J214&lt;=SG_Criteria!$B$42),"NOTE: 006C is for manholes &gt; "&amp;SG_Criteria!$B$42&amp;" m deep. ","")&amp;IF(AND(K214&lt;&gt;"",K214&lt;SG_Criteria!$B$40,D214&lt;&gt;"Inspection Chamber"),"NOTE: public sewer min dia "&amp;SG_Criteria!$B$40&amp;" mm. ","")&amp;IF(AND(Y214&lt;&gt;"",Y214&lt;SG_Criteria!$B$44),"FAIL: uplift FOS below "&amp;SG_Criteria!$B$44&amp;". ",""))=0,"OK",IF(AND(Z214&lt;&gt;"",IFERROR(VALUE(MID(Z214,2,2)),0)&lt;SG_Criteria!$B$19),"FAIL: grade below C"&amp;SG_Criteria!$B$19&amp;". ","")&amp;IF(AND(AA214&lt;&gt;"",AA214&lt;SG_Criteria!$B$20),"FAIL: cover &lt; "&amp;SG_Criteria!$B$20&amp;" mm. ","")&amp;IF(AND(I214&lt;&gt;"",I214&lt;SG_Criteria!$B$39),"NOTE: min depth below PUB "&amp;SG_Criteria!$B$39&amp;" m. ","")&amp;IF(AND(LEFT(D214,8)="Standard",J214&gt;SG_Criteria!$B$42),"FAIL: PUB 001C covers manholes up to "&amp;SG_Criteria!$B$42&amp;" m deep only. ","")&amp;IF(AND(LEFT(D214,11)="Rectangular",K214&lt;SG_Criteria!$B$43),"NOTE: 004C is for sewers &gt;= "&amp;SG_Criteria!$B$43&amp;" dia. ","")&amp;IF(AND(LEFT(D214,7)="Precast",J214&lt;=SG_Criteria!$B$42),"NOTE: 006C is for manholes &gt; "&amp;SG_Criteria!$B$42&amp;" m deep. ","")&amp;IF(AND(K214&lt;&gt;"",K214&lt;SG_Criteria!$B$40,D214&lt;&gt;"Inspection Chamber"),"NOTE: public sewer min dia "&amp;SG_Criteria!$B$40&amp;" mm. ","")&amp;IF(AND(Y214&lt;&gt;"",Y214&lt;SG_Criteria!$B$44),"FAIL: uplift FOS below "&amp;SG_Criteria!$B$44&amp;". ","")))</f>
        <v/>
      </c>
      <c r="BH214" s="9"/>
      <c r="BI214" s="9"/>
      <c r="BJ214" s="9"/>
      <c r="BK214" s="10" t="str">
        <f aca="false">IF(BJ214="","",IFERROR(VLOOKUP(BJ214,Projects!$A$5:$D$504,2,0),"Ref not in Projects"))</f>
        <v/>
      </c>
      <c r="BL214" s="10" t="str">
        <f aca="false">IF(BJ214="","",IFERROR(VLOOKUP(BJ214,Projects!$A$5:$D$504,4,0),"Ref not in Projects"))</f>
        <v/>
      </c>
      <c r="BM214" s="9"/>
      <c r="BN214" s="9"/>
      <c r="BO214" s="9"/>
      <c r="BP214" s="40"/>
      <c r="BQ214" s="9"/>
      <c r="BR214" s="40"/>
      <c r="BS214" s="9"/>
      <c r="BT214" s="40"/>
      <c r="BU214" s="9"/>
      <c r="BV214" s="9"/>
      <c r="BW214" s="9"/>
      <c r="BX214" s="40"/>
      <c r="BY214" s="40"/>
      <c r="BZ214" s="36" t="str">
        <f aca="false">IF(BY214="","",EDATE(BY214,SG_Criteria!$B$54*12))</f>
        <v/>
      </c>
      <c r="CA214" s="33" t="str">
        <f aca="true">IF(A214="","",IF(BY214="","NOTE: not reviewed yet",IF(TODAY()&gt;BZ214,"NOTE: review overdue","OK")))</f>
        <v/>
      </c>
      <c r="CB214" s="37" t="str">
        <f aca="false">IF(A214="","",ROUND((IF(LEN(D214)&gt;0,1,0)+IF(LEN(E214)&gt;0,1,0)+IF(LEN(F214)&gt;0,1,0)+IF(LEN(G214)&gt;0,1,0)+IF(LEN(I214)&gt;0,1,0)+IF(LEN(J214)&gt;0,1,0)+IF(LEN(K214)&gt;0,1,0)+IF(LEN(L214)&gt;0,1,0)+IF(LEN(M214)&gt;0,1,0)+IF(LEN(N214)&gt;0,1,0)+IF(LEN(Z214)&gt;0,1,0)+IF(LEN(AA214)&gt;0,1,0)+IF(LEN(Y214)&gt;0,1,0)+IF(LEN(AE214)&gt;0,1,0)+IF(LEN(AG214)&gt;0,1,0)+IF(LEN(AZ214)&gt;0,1,0)+IF(LEN(AK214)&gt;0,1,0)+IF(LEN(AM214)&gt;0,1,0)+IF(LEN(AN214)&gt;0,1,0)+IF(LEN(AO214)&gt;0,1,0)+IF(LEN(AP214)&gt;0,1,0)+IF(LEN(AY214)&gt;0,1,0)+IF(LEN(BJ214)&gt;0,1,0)+IF(LEN(BW214)&gt;0,1,0))/24,2))</f>
        <v/>
      </c>
      <c r="CC214" s="10" t="str">
        <f aca="false">IF(D214="","",IF(AND(AN214="Approved",ISERROR(SEARCH("FAIL",BG214))),"Y","N"))</f>
        <v/>
      </c>
      <c r="CD214" s="10" t="str">
        <f aca="false">IF(D214="","",D214&amp;"|"&amp;J214&amp;"|"&amp;G214&amp;"|"&amp;CC214)</f>
        <v/>
      </c>
    </row>
    <row r="215" customFormat="false" ht="15" hidden="false" customHeight="false" outlineLevel="0" collapsed="false">
      <c r="A215" s="10" t="str">
        <f aca="false">IF(D215="","","MH-"&amp;IFERROR(VLOOKUP(D215,Lists!$AB$4:$AC$20,2,0),"??")&amp;"-"&amp;TEXT(G215,"0000")&amp;IF(F215="Circular","D","x"&amp;TEXT(H215,"0000"))&amp;"-D"&amp;TEXT(J215*1000,"0000")&amp;"-"&amp;IFERROR(VLOOKUP(E215,Lists!$AE$4:$AF$16,2,0),"??")&amp;"-"&amp;AM215)</f>
        <v/>
      </c>
      <c r="B215" s="10" t="str">
        <f aca="false">IF(D215="","",D215&amp;", "&amp;E215&amp;", "&amp;IF(F215="Circular",G215&amp;" dia",G215&amp;" x "&amp;H215)&amp;", depth "&amp;TEXT(I215,"0.0")&amp;"-"&amp;TEXT(J215,"0.0")&amp;" m, pipe up to "&amp;K215&amp;" dia")</f>
        <v/>
      </c>
      <c r="C215" s="9"/>
      <c r="D215" s="9"/>
      <c r="E215" s="9"/>
      <c r="F215" s="9"/>
      <c r="G215" s="38"/>
      <c r="H215" s="38"/>
      <c r="I215" s="42"/>
      <c r="J215" s="42"/>
      <c r="K215" s="38"/>
      <c r="L215" s="38"/>
      <c r="M215" s="38"/>
      <c r="N215" s="38"/>
      <c r="O215" s="9"/>
      <c r="P215" s="9"/>
      <c r="Q215" s="9"/>
      <c r="R215" s="9"/>
      <c r="S215" s="9"/>
      <c r="T215" s="9"/>
      <c r="U215" s="9"/>
      <c r="V215" s="42"/>
      <c r="W215" s="9"/>
      <c r="X215" s="9"/>
      <c r="Y215" s="39"/>
      <c r="Z215" s="9"/>
      <c r="AA215" s="38"/>
      <c r="AB215" s="9"/>
      <c r="AC215" s="9"/>
      <c r="AD215" s="9"/>
      <c r="AE215" s="9"/>
      <c r="AF215" s="9"/>
      <c r="AG215" s="9"/>
      <c r="AH215" s="38"/>
      <c r="AI215" s="9"/>
      <c r="AJ215" s="39"/>
      <c r="AK215" s="9"/>
      <c r="AL215" s="9"/>
      <c r="AM215" s="9"/>
      <c r="AN215" s="9"/>
      <c r="AO215" s="9"/>
      <c r="AP215" s="9"/>
      <c r="AQ215" s="9"/>
      <c r="AR215" s="10" t="str">
        <f aca="false">IF(A215="","",SG_Criteria!$B$6&amp;SG_Criteria!$B$10&amp;"\"&amp;A215&amp;"\")</f>
        <v/>
      </c>
      <c r="AS215" s="10" t="str">
        <f aca="false">IF(A215="","",A215&amp;"_CAD.dwg")</f>
        <v/>
      </c>
      <c r="AT215" s="10" t="str">
        <f aca="false">IF(A215="","",A215&amp;"_DWG.pdf")</f>
        <v/>
      </c>
      <c r="AU215" s="10" t="str">
        <f aca="false">IF(A215="","",IF(AQ215="Y",A215&amp;"_STAAD.std","n/a"))</f>
        <v/>
      </c>
      <c r="AV215" s="10" t="str">
        <f aca="false">IF(A215="","",A215&amp;"_CALC.xlsx")</f>
        <v/>
      </c>
      <c r="AW215" s="10" t="str">
        <f aca="false">IF(A215="","",A215&amp;"_CALC.pdf")</f>
        <v/>
      </c>
      <c r="AX215" s="9"/>
      <c r="AY215" s="9"/>
      <c r="AZ215" s="39"/>
      <c r="BA215" s="39"/>
      <c r="BB215" s="39"/>
      <c r="BC215" s="39"/>
      <c r="BD215" s="39"/>
      <c r="BE215" s="12" t="str">
        <f aca="false">IF(A215="","",IF(COUNTIF(Rebar_Schedule!$A$5:$A$2004,A215)=0,"",ROUND(SUMIF(Rebar_Schedule!$A$5:$A$2004,A215,Rebar_Schedule!$K$5:$K$2004),1)))</f>
        <v/>
      </c>
      <c r="BF215" s="33" t="str">
        <f aca="false">IF(A215="","",IF(BE215="","No rebar schedule yet",IF(ABS(BE215-N(BA215))/MAX(N(BA215),1)&gt;SG_Criteria!$B$55,"NOTE: register rebar differs from schedule by "&amp;TEXT(ABS(BE215-N(BA215))/MAX(N(BA215),1),"0%"),"OK")))</f>
        <v/>
      </c>
      <c r="BG215" s="33" t="str">
        <f aca="false">IF(D215="","",IF(LEN(IF(AND(Z215&lt;&gt;"",IFERROR(VALUE(MID(Z215,2,2)),0)&lt;SG_Criteria!$B$19),"FAIL: grade below C"&amp;SG_Criteria!$B$19&amp;". ","")&amp;IF(AND(AA215&lt;&gt;"",AA215&lt;SG_Criteria!$B$20),"FAIL: cover &lt; "&amp;SG_Criteria!$B$20&amp;" mm. ","")&amp;IF(AND(I215&lt;&gt;"",I215&lt;SG_Criteria!$B$39),"NOTE: min depth below PUB "&amp;SG_Criteria!$B$39&amp;" m. ","")&amp;IF(AND(LEFT(D215,8)="Standard",J215&gt;SG_Criteria!$B$42),"FAIL: PUB 001C covers manholes up to "&amp;SG_Criteria!$B$42&amp;" m deep only. ","")&amp;IF(AND(LEFT(D215,11)="Rectangular",K215&lt;SG_Criteria!$B$43),"NOTE: 004C is for sewers &gt;= "&amp;SG_Criteria!$B$43&amp;" dia. ","")&amp;IF(AND(LEFT(D215,7)="Precast",J215&lt;=SG_Criteria!$B$42),"NOTE: 006C is for manholes &gt; "&amp;SG_Criteria!$B$42&amp;" m deep. ","")&amp;IF(AND(K215&lt;&gt;"",K215&lt;SG_Criteria!$B$40,D215&lt;&gt;"Inspection Chamber"),"NOTE: public sewer min dia "&amp;SG_Criteria!$B$40&amp;" mm. ","")&amp;IF(AND(Y215&lt;&gt;"",Y215&lt;SG_Criteria!$B$44),"FAIL: uplift FOS below "&amp;SG_Criteria!$B$44&amp;". ",""))=0,"OK",IF(AND(Z215&lt;&gt;"",IFERROR(VALUE(MID(Z215,2,2)),0)&lt;SG_Criteria!$B$19),"FAIL: grade below C"&amp;SG_Criteria!$B$19&amp;". ","")&amp;IF(AND(AA215&lt;&gt;"",AA215&lt;SG_Criteria!$B$20),"FAIL: cover &lt; "&amp;SG_Criteria!$B$20&amp;" mm. ","")&amp;IF(AND(I215&lt;&gt;"",I215&lt;SG_Criteria!$B$39),"NOTE: min depth below PUB "&amp;SG_Criteria!$B$39&amp;" m. ","")&amp;IF(AND(LEFT(D215,8)="Standard",J215&gt;SG_Criteria!$B$42),"FAIL: PUB 001C covers manholes up to "&amp;SG_Criteria!$B$42&amp;" m deep only. ","")&amp;IF(AND(LEFT(D215,11)="Rectangular",K215&lt;SG_Criteria!$B$43),"NOTE: 004C is for sewers &gt;= "&amp;SG_Criteria!$B$43&amp;" dia. ","")&amp;IF(AND(LEFT(D215,7)="Precast",J215&lt;=SG_Criteria!$B$42),"NOTE: 006C is for manholes &gt; "&amp;SG_Criteria!$B$42&amp;" m deep. ","")&amp;IF(AND(K215&lt;&gt;"",K215&lt;SG_Criteria!$B$40,D215&lt;&gt;"Inspection Chamber"),"NOTE: public sewer min dia "&amp;SG_Criteria!$B$40&amp;" mm. ","")&amp;IF(AND(Y215&lt;&gt;"",Y215&lt;SG_Criteria!$B$44),"FAIL: uplift FOS below "&amp;SG_Criteria!$B$44&amp;". ","")))</f>
        <v/>
      </c>
      <c r="BH215" s="9"/>
      <c r="BI215" s="9"/>
      <c r="BJ215" s="9"/>
      <c r="BK215" s="10" t="str">
        <f aca="false">IF(BJ215="","",IFERROR(VLOOKUP(BJ215,Projects!$A$5:$D$504,2,0),"Ref not in Projects"))</f>
        <v/>
      </c>
      <c r="BL215" s="10" t="str">
        <f aca="false">IF(BJ215="","",IFERROR(VLOOKUP(BJ215,Projects!$A$5:$D$504,4,0),"Ref not in Projects"))</f>
        <v/>
      </c>
      <c r="BM215" s="9"/>
      <c r="BN215" s="9"/>
      <c r="BO215" s="9"/>
      <c r="BP215" s="40"/>
      <c r="BQ215" s="9"/>
      <c r="BR215" s="40"/>
      <c r="BS215" s="9"/>
      <c r="BT215" s="40"/>
      <c r="BU215" s="9"/>
      <c r="BV215" s="9"/>
      <c r="BW215" s="9"/>
      <c r="BX215" s="40"/>
      <c r="BY215" s="40"/>
      <c r="BZ215" s="36" t="str">
        <f aca="false">IF(BY215="","",EDATE(BY215,SG_Criteria!$B$54*12))</f>
        <v/>
      </c>
      <c r="CA215" s="33" t="str">
        <f aca="true">IF(A215="","",IF(BY215="","NOTE: not reviewed yet",IF(TODAY()&gt;BZ215,"NOTE: review overdue","OK")))</f>
        <v/>
      </c>
      <c r="CB215" s="37" t="str">
        <f aca="false">IF(A215="","",ROUND((IF(LEN(D215)&gt;0,1,0)+IF(LEN(E215)&gt;0,1,0)+IF(LEN(F215)&gt;0,1,0)+IF(LEN(G215)&gt;0,1,0)+IF(LEN(I215)&gt;0,1,0)+IF(LEN(J215)&gt;0,1,0)+IF(LEN(K215)&gt;0,1,0)+IF(LEN(L215)&gt;0,1,0)+IF(LEN(M215)&gt;0,1,0)+IF(LEN(N215)&gt;0,1,0)+IF(LEN(Z215)&gt;0,1,0)+IF(LEN(AA215)&gt;0,1,0)+IF(LEN(Y215)&gt;0,1,0)+IF(LEN(AE215)&gt;0,1,0)+IF(LEN(AG215)&gt;0,1,0)+IF(LEN(AZ215)&gt;0,1,0)+IF(LEN(AK215)&gt;0,1,0)+IF(LEN(AM215)&gt;0,1,0)+IF(LEN(AN215)&gt;0,1,0)+IF(LEN(AO215)&gt;0,1,0)+IF(LEN(AP215)&gt;0,1,0)+IF(LEN(AY215)&gt;0,1,0)+IF(LEN(BJ215)&gt;0,1,0)+IF(LEN(BW215)&gt;0,1,0))/24,2))</f>
        <v/>
      </c>
      <c r="CC215" s="10" t="str">
        <f aca="false">IF(D215="","",IF(AND(AN215="Approved",ISERROR(SEARCH("FAIL",BG215))),"Y","N"))</f>
        <v/>
      </c>
      <c r="CD215" s="10" t="str">
        <f aca="false">IF(D215="","",D215&amp;"|"&amp;J215&amp;"|"&amp;G215&amp;"|"&amp;CC215)</f>
        <v/>
      </c>
    </row>
    <row r="216" customFormat="false" ht="15" hidden="false" customHeight="false" outlineLevel="0" collapsed="false">
      <c r="A216" s="10" t="str">
        <f aca="false">IF(D216="","","MH-"&amp;IFERROR(VLOOKUP(D216,Lists!$AB$4:$AC$20,2,0),"??")&amp;"-"&amp;TEXT(G216,"0000")&amp;IF(F216="Circular","D","x"&amp;TEXT(H216,"0000"))&amp;"-D"&amp;TEXT(J216*1000,"0000")&amp;"-"&amp;IFERROR(VLOOKUP(E216,Lists!$AE$4:$AF$16,2,0),"??")&amp;"-"&amp;AM216)</f>
        <v/>
      </c>
      <c r="B216" s="10" t="str">
        <f aca="false">IF(D216="","",D216&amp;", "&amp;E216&amp;", "&amp;IF(F216="Circular",G216&amp;" dia",G216&amp;" x "&amp;H216)&amp;", depth "&amp;TEXT(I216,"0.0")&amp;"-"&amp;TEXT(J216,"0.0")&amp;" m, pipe up to "&amp;K216&amp;" dia")</f>
        <v/>
      </c>
      <c r="C216" s="9"/>
      <c r="D216" s="9"/>
      <c r="E216" s="9"/>
      <c r="F216" s="9"/>
      <c r="G216" s="38"/>
      <c r="H216" s="38"/>
      <c r="I216" s="42"/>
      <c r="J216" s="42"/>
      <c r="K216" s="38"/>
      <c r="L216" s="38"/>
      <c r="M216" s="38"/>
      <c r="N216" s="38"/>
      <c r="O216" s="9"/>
      <c r="P216" s="9"/>
      <c r="Q216" s="9"/>
      <c r="R216" s="9"/>
      <c r="S216" s="9"/>
      <c r="T216" s="9"/>
      <c r="U216" s="9"/>
      <c r="V216" s="42"/>
      <c r="W216" s="9"/>
      <c r="X216" s="9"/>
      <c r="Y216" s="39"/>
      <c r="Z216" s="9"/>
      <c r="AA216" s="38"/>
      <c r="AB216" s="9"/>
      <c r="AC216" s="9"/>
      <c r="AD216" s="9"/>
      <c r="AE216" s="9"/>
      <c r="AF216" s="9"/>
      <c r="AG216" s="9"/>
      <c r="AH216" s="38"/>
      <c r="AI216" s="9"/>
      <c r="AJ216" s="39"/>
      <c r="AK216" s="9"/>
      <c r="AL216" s="9"/>
      <c r="AM216" s="9"/>
      <c r="AN216" s="9"/>
      <c r="AO216" s="9"/>
      <c r="AP216" s="9"/>
      <c r="AQ216" s="9"/>
      <c r="AR216" s="10" t="str">
        <f aca="false">IF(A216="","",SG_Criteria!$B$6&amp;SG_Criteria!$B$10&amp;"\"&amp;A216&amp;"\")</f>
        <v/>
      </c>
      <c r="AS216" s="10" t="str">
        <f aca="false">IF(A216="","",A216&amp;"_CAD.dwg")</f>
        <v/>
      </c>
      <c r="AT216" s="10" t="str">
        <f aca="false">IF(A216="","",A216&amp;"_DWG.pdf")</f>
        <v/>
      </c>
      <c r="AU216" s="10" t="str">
        <f aca="false">IF(A216="","",IF(AQ216="Y",A216&amp;"_STAAD.std","n/a"))</f>
        <v/>
      </c>
      <c r="AV216" s="10" t="str">
        <f aca="false">IF(A216="","",A216&amp;"_CALC.xlsx")</f>
        <v/>
      </c>
      <c r="AW216" s="10" t="str">
        <f aca="false">IF(A216="","",A216&amp;"_CALC.pdf")</f>
        <v/>
      </c>
      <c r="AX216" s="9"/>
      <c r="AY216" s="9"/>
      <c r="AZ216" s="39"/>
      <c r="BA216" s="39"/>
      <c r="BB216" s="39"/>
      <c r="BC216" s="39"/>
      <c r="BD216" s="39"/>
      <c r="BE216" s="12" t="str">
        <f aca="false">IF(A216="","",IF(COUNTIF(Rebar_Schedule!$A$5:$A$2004,A216)=0,"",ROUND(SUMIF(Rebar_Schedule!$A$5:$A$2004,A216,Rebar_Schedule!$K$5:$K$2004),1)))</f>
        <v/>
      </c>
      <c r="BF216" s="33" t="str">
        <f aca="false">IF(A216="","",IF(BE216="","No rebar schedule yet",IF(ABS(BE216-N(BA216))/MAX(N(BA216),1)&gt;SG_Criteria!$B$55,"NOTE: register rebar differs from schedule by "&amp;TEXT(ABS(BE216-N(BA216))/MAX(N(BA216),1),"0%"),"OK")))</f>
        <v/>
      </c>
      <c r="BG216" s="33" t="str">
        <f aca="false">IF(D216="","",IF(LEN(IF(AND(Z216&lt;&gt;"",IFERROR(VALUE(MID(Z216,2,2)),0)&lt;SG_Criteria!$B$19),"FAIL: grade below C"&amp;SG_Criteria!$B$19&amp;". ","")&amp;IF(AND(AA216&lt;&gt;"",AA216&lt;SG_Criteria!$B$20),"FAIL: cover &lt; "&amp;SG_Criteria!$B$20&amp;" mm. ","")&amp;IF(AND(I216&lt;&gt;"",I216&lt;SG_Criteria!$B$39),"NOTE: min depth below PUB "&amp;SG_Criteria!$B$39&amp;" m. ","")&amp;IF(AND(LEFT(D216,8)="Standard",J216&gt;SG_Criteria!$B$42),"FAIL: PUB 001C covers manholes up to "&amp;SG_Criteria!$B$42&amp;" m deep only. ","")&amp;IF(AND(LEFT(D216,11)="Rectangular",K216&lt;SG_Criteria!$B$43),"NOTE: 004C is for sewers &gt;= "&amp;SG_Criteria!$B$43&amp;" dia. ","")&amp;IF(AND(LEFT(D216,7)="Precast",J216&lt;=SG_Criteria!$B$42),"NOTE: 006C is for manholes &gt; "&amp;SG_Criteria!$B$42&amp;" m deep. ","")&amp;IF(AND(K216&lt;&gt;"",K216&lt;SG_Criteria!$B$40,D216&lt;&gt;"Inspection Chamber"),"NOTE: public sewer min dia "&amp;SG_Criteria!$B$40&amp;" mm. ","")&amp;IF(AND(Y216&lt;&gt;"",Y216&lt;SG_Criteria!$B$44),"FAIL: uplift FOS below "&amp;SG_Criteria!$B$44&amp;". ",""))=0,"OK",IF(AND(Z216&lt;&gt;"",IFERROR(VALUE(MID(Z216,2,2)),0)&lt;SG_Criteria!$B$19),"FAIL: grade below C"&amp;SG_Criteria!$B$19&amp;". ","")&amp;IF(AND(AA216&lt;&gt;"",AA216&lt;SG_Criteria!$B$20),"FAIL: cover &lt; "&amp;SG_Criteria!$B$20&amp;" mm. ","")&amp;IF(AND(I216&lt;&gt;"",I216&lt;SG_Criteria!$B$39),"NOTE: min depth below PUB "&amp;SG_Criteria!$B$39&amp;" m. ","")&amp;IF(AND(LEFT(D216,8)="Standard",J216&gt;SG_Criteria!$B$42),"FAIL: PUB 001C covers manholes up to "&amp;SG_Criteria!$B$42&amp;" m deep only. ","")&amp;IF(AND(LEFT(D216,11)="Rectangular",K216&lt;SG_Criteria!$B$43),"NOTE: 004C is for sewers &gt;= "&amp;SG_Criteria!$B$43&amp;" dia. ","")&amp;IF(AND(LEFT(D216,7)="Precast",J216&lt;=SG_Criteria!$B$42),"NOTE: 006C is for manholes &gt; "&amp;SG_Criteria!$B$42&amp;" m deep. ","")&amp;IF(AND(K216&lt;&gt;"",K216&lt;SG_Criteria!$B$40,D216&lt;&gt;"Inspection Chamber"),"NOTE: public sewer min dia "&amp;SG_Criteria!$B$40&amp;" mm. ","")&amp;IF(AND(Y216&lt;&gt;"",Y216&lt;SG_Criteria!$B$44),"FAIL: uplift FOS below "&amp;SG_Criteria!$B$44&amp;". ","")))</f>
        <v/>
      </c>
      <c r="BH216" s="9"/>
      <c r="BI216" s="9"/>
      <c r="BJ216" s="9"/>
      <c r="BK216" s="10" t="str">
        <f aca="false">IF(BJ216="","",IFERROR(VLOOKUP(BJ216,Projects!$A$5:$D$504,2,0),"Ref not in Projects"))</f>
        <v/>
      </c>
      <c r="BL216" s="10" t="str">
        <f aca="false">IF(BJ216="","",IFERROR(VLOOKUP(BJ216,Projects!$A$5:$D$504,4,0),"Ref not in Projects"))</f>
        <v/>
      </c>
      <c r="BM216" s="9"/>
      <c r="BN216" s="9"/>
      <c r="BO216" s="9"/>
      <c r="BP216" s="40"/>
      <c r="BQ216" s="9"/>
      <c r="BR216" s="40"/>
      <c r="BS216" s="9"/>
      <c r="BT216" s="40"/>
      <c r="BU216" s="9"/>
      <c r="BV216" s="9"/>
      <c r="BW216" s="9"/>
      <c r="BX216" s="40"/>
      <c r="BY216" s="40"/>
      <c r="BZ216" s="36" t="str">
        <f aca="false">IF(BY216="","",EDATE(BY216,SG_Criteria!$B$54*12))</f>
        <v/>
      </c>
      <c r="CA216" s="33" t="str">
        <f aca="true">IF(A216="","",IF(BY216="","NOTE: not reviewed yet",IF(TODAY()&gt;BZ216,"NOTE: review overdue","OK")))</f>
        <v/>
      </c>
      <c r="CB216" s="37" t="str">
        <f aca="false">IF(A216="","",ROUND((IF(LEN(D216)&gt;0,1,0)+IF(LEN(E216)&gt;0,1,0)+IF(LEN(F216)&gt;0,1,0)+IF(LEN(G216)&gt;0,1,0)+IF(LEN(I216)&gt;0,1,0)+IF(LEN(J216)&gt;0,1,0)+IF(LEN(K216)&gt;0,1,0)+IF(LEN(L216)&gt;0,1,0)+IF(LEN(M216)&gt;0,1,0)+IF(LEN(N216)&gt;0,1,0)+IF(LEN(Z216)&gt;0,1,0)+IF(LEN(AA216)&gt;0,1,0)+IF(LEN(Y216)&gt;0,1,0)+IF(LEN(AE216)&gt;0,1,0)+IF(LEN(AG216)&gt;0,1,0)+IF(LEN(AZ216)&gt;0,1,0)+IF(LEN(AK216)&gt;0,1,0)+IF(LEN(AM216)&gt;0,1,0)+IF(LEN(AN216)&gt;0,1,0)+IF(LEN(AO216)&gt;0,1,0)+IF(LEN(AP216)&gt;0,1,0)+IF(LEN(AY216)&gt;0,1,0)+IF(LEN(BJ216)&gt;0,1,0)+IF(LEN(BW216)&gt;0,1,0))/24,2))</f>
        <v/>
      </c>
      <c r="CC216" s="10" t="str">
        <f aca="false">IF(D216="","",IF(AND(AN216="Approved",ISERROR(SEARCH("FAIL",BG216))),"Y","N"))</f>
        <v/>
      </c>
      <c r="CD216" s="10" t="str">
        <f aca="false">IF(D216="","",D216&amp;"|"&amp;J216&amp;"|"&amp;G216&amp;"|"&amp;CC216)</f>
        <v/>
      </c>
    </row>
    <row r="217" customFormat="false" ht="15" hidden="false" customHeight="false" outlineLevel="0" collapsed="false">
      <c r="A217" s="10" t="str">
        <f aca="false">IF(D217="","","MH-"&amp;IFERROR(VLOOKUP(D217,Lists!$AB$4:$AC$20,2,0),"??")&amp;"-"&amp;TEXT(G217,"0000")&amp;IF(F217="Circular","D","x"&amp;TEXT(H217,"0000"))&amp;"-D"&amp;TEXT(J217*1000,"0000")&amp;"-"&amp;IFERROR(VLOOKUP(E217,Lists!$AE$4:$AF$16,2,0),"??")&amp;"-"&amp;AM217)</f>
        <v/>
      </c>
      <c r="B217" s="10" t="str">
        <f aca="false">IF(D217="","",D217&amp;", "&amp;E217&amp;", "&amp;IF(F217="Circular",G217&amp;" dia",G217&amp;" x "&amp;H217)&amp;", depth "&amp;TEXT(I217,"0.0")&amp;"-"&amp;TEXT(J217,"0.0")&amp;" m, pipe up to "&amp;K217&amp;" dia")</f>
        <v/>
      </c>
      <c r="C217" s="9"/>
      <c r="D217" s="9"/>
      <c r="E217" s="9"/>
      <c r="F217" s="9"/>
      <c r="G217" s="38"/>
      <c r="H217" s="38"/>
      <c r="I217" s="42"/>
      <c r="J217" s="42"/>
      <c r="K217" s="38"/>
      <c r="L217" s="38"/>
      <c r="M217" s="38"/>
      <c r="N217" s="38"/>
      <c r="O217" s="9"/>
      <c r="P217" s="9"/>
      <c r="Q217" s="9"/>
      <c r="R217" s="9"/>
      <c r="S217" s="9"/>
      <c r="T217" s="9"/>
      <c r="U217" s="9"/>
      <c r="V217" s="42"/>
      <c r="W217" s="9"/>
      <c r="X217" s="9"/>
      <c r="Y217" s="39"/>
      <c r="Z217" s="9"/>
      <c r="AA217" s="38"/>
      <c r="AB217" s="9"/>
      <c r="AC217" s="9"/>
      <c r="AD217" s="9"/>
      <c r="AE217" s="9"/>
      <c r="AF217" s="9"/>
      <c r="AG217" s="9"/>
      <c r="AH217" s="38"/>
      <c r="AI217" s="9"/>
      <c r="AJ217" s="39"/>
      <c r="AK217" s="9"/>
      <c r="AL217" s="9"/>
      <c r="AM217" s="9"/>
      <c r="AN217" s="9"/>
      <c r="AO217" s="9"/>
      <c r="AP217" s="9"/>
      <c r="AQ217" s="9"/>
      <c r="AR217" s="10" t="str">
        <f aca="false">IF(A217="","",SG_Criteria!$B$6&amp;SG_Criteria!$B$10&amp;"\"&amp;A217&amp;"\")</f>
        <v/>
      </c>
      <c r="AS217" s="10" t="str">
        <f aca="false">IF(A217="","",A217&amp;"_CAD.dwg")</f>
        <v/>
      </c>
      <c r="AT217" s="10" t="str">
        <f aca="false">IF(A217="","",A217&amp;"_DWG.pdf")</f>
        <v/>
      </c>
      <c r="AU217" s="10" t="str">
        <f aca="false">IF(A217="","",IF(AQ217="Y",A217&amp;"_STAAD.std","n/a"))</f>
        <v/>
      </c>
      <c r="AV217" s="10" t="str">
        <f aca="false">IF(A217="","",A217&amp;"_CALC.xlsx")</f>
        <v/>
      </c>
      <c r="AW217" s="10" t="str">
        <f aca="false">IF(A217="","",A217&amp;"_CALC.pdf")</f>
        <v/>
      </c>
      <c r="AX217" s="9"/>
      <c r="AY217" s="9"/>
      <c r="AZ217" s="39"/>
      <c r="BA217" s="39"/>
      <c r="BB217" s="39"/>
      <c r="BC217" s="39"/>
      <c r="BD217" s="39"/>
      <c r="BE217" s="12" t="str">
        <f aca="false">IF(A217="","",IF(COUNTIF(Rebar_Schedule!$A$5:$A$2004,A217)=0,"",ROUND(SUMIF(Rebar_Schedule!$A$5:$A$2004,A217,Rebar_Schedule!$K$5:$K$2004),1)))</f>
        <v/>
      </c>
      <c r="BF217" s="33" t="str">
        <f aca="false">IF(A217="","",IF(BE217="","No rebar schedule yet",IF(ABS(BE217-N(BA217))/MAX(N(BA217),1)&gt;SG_Criteria!$B$55,"NOTE: register rebar differs from schedule by "&amp;TEXT(ABS(BE217-N(BA217))/MAX(N(BA217),1),"0%"),"OK")))</f>
        <v/>
      </c>
      <c r="BG217" s="33" t="str">
        <f aca="false">IF(D217="","",IF(LEN(IF(AND(Z217&lt;&gt;"",IFERROR(VALUE(MID(Z217,2,2)),0)&lt;SG_Criteria!$B$19),"FAIL: grade below C"&amp;SG_Criteria!$B$19&amp;". ","")&amp;IF(AND(AA217&lt;&gt;"",AA217&lt;SG_Criteria!$B$20),"FAIL: cover &lt; "&amp;SG_Criteria!$B$20&amp;" mm. ","")&amp;IF(AND(I217&lt;&gt;"",I217&lt;SG_Criteria!$B$39),"NOTE: min depth below PUB "&amp;SG_Criteria!$B$39&amp;" m. ","")&amp;IF(AND(LEFT(D217,8)="Standard",J217&gt;SG_Criteria!$B$42),"FAIL: PUB 001C covers manholes up to "&amp;SG_Criteria!$B$42&amp;" m deep only. ","")&amp;IF(AND(LEFT(D217,11)="Rectangular",K217&lt;SG_Criteria!$B$43),"NOTE: 004C is for sewers &gt;= "&amp;SG_Criteria!$B$43&amp;" dia. ","")&amp;IF(AND(LEFT(D217,7)="Precast",J217&lt;=SG_Criteria!$B$42),"NOTE: 006C is for manholes &gt; "&amp;SG_Criteria!$B$42&amp;" m deep. ","")&amp;IF(AND(K217&lt;&gt;"",K217&lt;SG_Criteria!$B$40,D217&lt;&gt;"Inspection Chamber"),"NOTE: public sewer min dia "&amp;SG_Criteria!$B$40&amp;" mm. ","")&amp;IF(AND(Y217&lt;&gt;"",Y217&lt;SG_Criteria!$B$44),"FAIL: uplift FOS below "&amp;SG_Criteria!$B$44&amp;". ",""))=0,"OK",IF(AND(Z217&lt;&gt;"",IFERROR(VALUE(MID(Z217,2,2)),0)&lt;SG_Criteria!$B$19),"FAIL: grade below C"&amp;SG_Criteria!$B$19&amp;". ","")&amp;IF(AND(AA217&lt;&gt;"",AA217&lt;SG_Criteria!$B$20),"FAIL: cover &lt; "&amp;SG_Criteria!$B$20&amp;" mm. ","")&amp;IF(AND(I217&lt;&gt;"",I217&lt;SG_Criteria!$B$39),"NOTE: min depth below PUB "&amp;SG_Criteria!$B$39&amp;" m. ","")&amp;IF(AND(LEFT(D217,8)="Standard",J217&gt;SG_Criteria!$B$42),"FAIL: PUB 001C covers manholes up to "&amp;SG_Criteria!$B$42&amp;" m deep only. ","")&amp;IF(AND(LEFT(D217,11)="Rectangular",K217&lt;SG_Criteria!$B$43),"NOTE: 004C is for sewers &gt;= "&amp;SG_Criteria!$B$43&amp;" dia. ","")&amp;IF(AND(LEFT(D217,7)="Precast",J217&lt;=SG_Criteria!$B$42),"NOTE: 006C is for manholes &gt; "&amp;SG_Criteria!$B$42&amp;" m deep. ","")&amp;IF(AND(K217&lt;&gt;"",K217&lt;SG_Criteria!$B$40,D217&lt;&gt;"Inspection Chamber"),"NOTE: public sewer min dia "&amp;SG_Criteria!$B$40&amp;" mm. ","")&amp;IF(AND(Y217&lt;&gt;"",Y217&lt;SG_Criteria!$B$44),"FAIL: uplift FOS below "&amp;SG_Criteria!$B$44&amp;". ","")))</f>
        <v/>
      </c>
      <c r="BH217" s="9"/>
      <c r="BI217" s="9"/>
      <c r="BJ217" s="9"/>
      <c r="BK217" s="10" t="str">
        <f aca="false">IF(BJ217="","",IFERROR(VLOOKUP(BJ217,Projects!$A$5:$D$504,2,0),"Ref not in Projects"))</f>
        <v/>
      </c>
      <c r="BL217" s="10" t="str">
        <f aca="false">IF(BJ217="","",IFERROR(VLOOKUP(BJ217,Projects!$A$5:$D$504,4,0),"Ref not in Projects"))</f>
        <v/>
      </c>
      <c r="BM217" s="9"/>
      <c r="BN217" s="9"/>
      <c r="BO217" s="9"/>
      <c r="BP217" s="40"/>
      <c r="BQ217" s="9"/>
      <c r="BR217" s="40"/>
      <c r="BS217" s="9"/>
      <c r="BT217" s="40"/>
      <c r="BU217" s="9"/>
      <c r="BV217" s="9"/>
      <c r="BW217" s="9"/>
      <c r="BX217" s="40"/>
      <c r="BY217" s="40"/>
      <c r="BZ217" s="36" t="str">
        <f aca="false">IF(BY217="","",EDATE(BY217,SG_Criteria!$B$54*12))</f>
        <v/>
      </c>
      <c r="CA217" s="33" t="str">
        <f aca="true">IF(A217="","",IF(BY217="","NOTE: not reviewed yet",IF(TODAY()&gt;BZ217,"NOTE: review overdue","OK")))</f>
        <v/>
      </c>
      <c r="CB217" s="37" t="str">
        <f aca="false">IF(A217="","",ROUND((IF(LEN(D217)&gt;0,1,0)+IF(LEN(E217)&gt;0,1,0)+IF(LEN(F217)&gt;0,1,0)+IF(LEN(G217)&gt;0,1,0)+IF(LEN(I217)&gt;0,1,0)+IF(LEN(J217)&gt;0,1,0)+IF(LEN(K217)&gt;0,1,0)+IF(LEN(L217)&gt;0,1,0)+IF(LEN(M217)&gt;0,1,0)+IF(LEN(N217)&gt;0,1,0)+IF(LEN(Z217)&gt;0,1,0)+IF(LEN(AA217)&gt;0,1,0)+IF(LEN(Y217)&gt;0,1,0)+IF(LEN(AE217)&gt;0,1,0)+IF(LEN(AG217)&gt;0,1,0)+IF(LEN(AZ217)&gt;0,1,0)+IF(LEN(AK217)&gt;0,1,0)+IF(LEN(AM217)&gt;0,1,0)+IF(LEN(AN217)&gt;0,1,0)+IF(LEN(AO217)&gt;0,1,0)+IF(LEN(AP217)&gt;0,1,0)+IF(LEN(AY217)&gt;0,1,0)+IF(LEN(BJ217)&gt;0,1,0)+IF(LEN(BW217)&gt;0,1,0))/24,2))</f>
        <v/>
      </c>
      <c r="CC217" s="10" t="str">
        <f aca="false">IF(D217="","",IF(AND(AN217="Approved",ISERROR(SEARCH("FAIL",BG217))),"Y","N"))</f>
        <v/>
      </c>
      <c r="CD217" s="10" t="str">
        <f aca="false">IF(D217="","",D217&amp;"|"&amp;J217&amp;"|"&amp;G217&amp;"|"&amp;CC217)</f>
        <v/>
      </c>
    </row>
    <row r="218" customFormat="false" ht="15" hidden="false" customHeight="false" outlineLevel="0" collapsed="false">
      <c r="A218" s="10" t="str">
        <f aca="false">IF(D218="","","MH-"&amp;IFERROR(VLOOKUP(D218,Lists!$AB$4:$AC$20,2,0),"??")&amp;"-"&amp;TEXT(G218,"0000")&amp;IF(F218="Circular","D","x"&amp;TEXT(H218,"0000"))&amp;"-D"&amp;TEXT(J218*1000,"0000")&amp;"-"&amp;IFERROR(VLOOKUP(E218,Lists!$AE$4:$AF$16,2,0),"??")&amp;"-"&amp;AM218)</f>
        <v/>
      </c>
      <c r="B218" s="10" t="str">
        <f aca="false">IF(D218="","",D218&amp;", "&amp;E218&amp;", "&amp;IF(F218="Circular",G218&amp;" dia",G218&amp;" x "&amp;H218)&amp;", depth "&amp;TEXT(I218,"0.0")&amp;"-"&amp;TEXT(J218,"0.0")&amp;" m, pipe up to "&amp;K218&amp;" dia")</f>
        <v/>
      </c>
      <c r="C218" s="9"/>
      <c r="D218" s="9"/>
      <c r="E218" s="9"/>
      <c r="F218" s="9"/>
      <c r="G218" s="38"/>
      <c r="H218" s="38"/>
      <c r="I218" s="42"/>
      <c r="J218" s="42"/>
      <c r="K218" s="38"/>
      <c r="L218" s="38"/>
      <c r="M218" s="38"/>
      <c r="N218" s="38"/>
      <c r="O218" s="9"/>
      <c r="P218" s="9"/>
      <c r="Q218" s="9"/>
      <c r="R218" s="9"/>
      <c r="S218" s="9"/>
      <c r="T218" s="9"/>
      <c r="U218" s="9"/>
      <c r="V218" s="42"/>
      <c r="W218" s="9"/>
      <c r="X218" s="9"/>
      <c r="Y218" s="39"/>
      <c r="Z218" s="9"/>
      <c r="AA218" s="38"/>
      <c r="AB218" s="9"/>
      <c r="AC218" s="9"/>
      <c r="AD218" s="9"/>
      <c r="AE218" s="9"/>
      <c r="AF218" s="9"/>
      <c r="AG218" s="9"/>
      <c r="AH218" s="38"/>
      <c r="AI218" s="9"/>
      <c r="AJ218" s="39"/>
      <c r="AK218" s="9"/>
      <c r="AL218" s="9"/>
      <c r="AM218" s="9"/>
      <c r="AN218" s="9"/>
      <c r="AO218" s="9"/>
      <c r="AP218" s="9"/>
      <c r="AQ218" s="9"/>
      <c r="AR218" s="10" t="str">
        <f aca="false">IF(A218="","",SG_Criteria!$B$6&amp;SG_Criteria!$B$10&amp;"\"&amp;A218&amp;"\")</f>
        <v/>
      </c>
      <c r="AS218" s="10" t="str">
        <f aca="false">IF(A218="","",A218&amp;"_CAD.dwg")</f>
        <v/>
      </c>
      <c r="AT218" s="10" t="str">
        <f aca="false">IF(A218="","",A218&amp;"_DWG.pdf")</f>
        <v/>
      </c>
      <c r="AU218" s="10" t="str">
        <f aca="false">IF(A218="","",IF(AQ218="Y",A218&amp;"_STAAD.std","n/a"))</f>
        <v/>
      </c>
      <c r="AV218" s="10" t="str">
        <f aca="false">IF(A218="","",A218&amp;"_CALC.xlsx")</f>
        <v/>
      </c>
      <c r="AW218" s="10" t="str">
        <f aca="false">IF(A218="","",A218&amp;"_CALC.pdf")</f>
        <v/>
      </c>
      <c r="AX218" s="9"/>
      <c r="AY218" s="9"/>
      <c r="AZ218" s="39"/>
      <c r="BA218" s="39"/>
      <c r="BB218" s="39"/>
      <c r="BC218" s="39"/>
      <c r="BD218" s="39"/>
      <c r="BE218" s="12" t="str">
        <f aca="false">IF(A218="","",IF(COUNTIF(Rebar_Schedule!$A$5:$A$2004,A218)=0,"",ROUND(SUMIF(Rebar_Schedule!$A$5:$A$2004,A218,Rebar_Schedule!$K$5:$K$2004),1)))</f>
        <v/>
      </c>
      <c r="BF218" s="33" t="str">
        <f aca="false">IF(A218="","",IF(BE218="","No rebar schedule yet",IF(ABS(BE218-N(BA218))/MAX(N(BA218),1)&gt;SG_Criteria!$B$55,"NOTE: register rebar differs from schedule by "&amp;TEXT(ABS(BE218-N(BA218))/MAX(N(BA218),1),"0%"),"OK")))</f>
        <v/>
      </c>
      <c r="BG218" s="33" t="str">
        <f aca="false">IF(D218="","",IF(LEN(IF(AND(Z218&lt;&gt;"",IFERROR(VALUE(MID(Z218,2,2)),0)&lt;SG_Criteria!$B$19),"FAIL: grade below C"&amp;SG_Criteria!$B$19&amp;". ","")&amp;IF(AND(AA218&lt;&gt;"",AA218&lt;SG_Criteria!$B$20),"FAIL: cover &lt; "&amp;SG_Criteria!$B$20&amp;" mm. ","")&amp;IF(AND(I218&lt;&gt;"",I218&lt;SG_Criteria!$B$39),"NOTE: min depth below PUB "&amp;SG_Criteria!$B$39&amp;" m. ","")&amp;IF(AND(LEFT(D218,8)="Standard",J218&gt;SG_Criteria!$B$42),"FAIL: PUB 001C covers manholes up to "&amp;SG_Criteria!$B$42&amp;" m deep only. ","")&amp;IF(AND(LEFT(D218,11)="Rectangular",K218&lt;SG_Criteria!$B$43),"NOTE: 004C is for sewers &gt;= "&amp;SG_Criteria!$B$43&amp;" dia. ","")&amp;IF(AND(LEFT(D218,7)="Precast",J218&lt;=SG_Criteria!$B$42),"NOTE: 006C is for manholes &gt; "&amp;SG_Criteria!$B$42&amp;" m deep. ","")&amp;IF(AND(K218&lt;&gt;"",K218&lt;SG_Criteria!$B$40,D218&lt;&gt;"Inspection Chamber"),"NOTE: public sewer min dia "&amp;SG_Criteria!$B$40&amp;" mm. ","")&amp;IF(AND(Y218&lt;&gt;"",Y218&lt;SG_Criteria!$B$44),"FAIL: uplift FOS below "&amp;SG_Criteria!$B$44&amp;". ",""))=0,"OK",IF(AND(Z218&lt;&gt;"",IFERROR(VALUE(MID(Z218,2,2)),0)&lt;SG_Criteria!$B$19),"FAIL: grade below C"&amp;SG_Criteria!$B$19&amp;". ","")&amp;IF(AND(AA218&lt;&gt;"",AA218&lt;SG_Criteria!$B$20),"FAIL: cover &lt; "&amp;SG_Criteria!$B$20&amp;" mm. ","")&amp;IF(AND(I218&lt;&gt;"",I218&lt;SG_Criteria!$B$39),"NOTE: min depth below PUB "&amp;SG_Criteria!$B$39&amp;" m. ","")&amp;IF(AND(LEFT(D218,8)="Standard",J218&gt;SG_Criteria!$B$42),"FAIL: PUB 001C covers manholes up to "&amp;SG_Criteria!$B$42&amp;" m deep only. ","")&amp;IF(AND(LEFT(D218,11)="Rectangular",K218&lt;SG_Criteria!$B$43),"NOTE: 004C is for sewers &gt;= "&amp;SG_Criteria!$B$43&amp;" dia. ","")&amp;IF(AND(LEFT(D218,7)="Precast",J218&lt;=SG_Criteria!$B$42),"NOTE: 006C is for manholes &gt; "&amp;SG_Criteria!$B$42&amp;" m deep. ","")&amp;IF(AND(K218&lt;&gt;"",K218&lt;SG_Criteria!$B$40,D218&lt;&gt;"Inspection Chamber"),"NOTE: public sewer min dia "&amp;SG_Criteria!$B$40&amp;" mm. ","")&amp;IF(AND(Y218&lt;&gt;"",Y218&lt;SG_Criteria!$B$44),"FAIL: uplift FOS below "&amp;SG_Criteria!$B$44&amp;". ","")))</f>
        <v/>
      </c>
      <c r="BH218" s="9"/>
      <c r="BI218" s="9"/>
      <c r="BJ218" s="9"/>
      <c r="BK218" s="10" t="str">
        <f aca="false">IF(BJ218="","",IFERROR(VLOOKUP(BJ218,Projects!$A$5:$D$504,2,0),"Ref not in Projects"))</f>
        <v/>
      </c>
      <c r="BL218" s="10" t="str">
        <f aca="false">IF(BJ218="","",IFERROR(VLOOKUP(BJ218,Projects!$A$5:$D$504,4,0),"Ref not in Projects"))</f>
        <v/>
      </c>
      <c r="BM218" s="9"/>
      <c r="BN218" s="9"/>
      <c r="BO218" s="9"/>
      <c r="BP218" s="40"/>
      <c r="BQ218" s="9"/>
      <c r="BR218" s="40"/>
      <c r="BS218" s="9"/>
      <c r="BT218" s="40"/>
      <c r="BU218" s="9"/>
      <c r="BV218" s="9"/>
      <c r="BW218" s="9"/>
      <c r="BX218" s="40"/>
      <c r="BY218" s="40"/>
      <c r="BZ218" s="36" t="str">
        <f aca="false">IF(BY218="","",EDATE(BY218,SG_Criteria!$B$54*12))</f>
        <v/>
      </c>
      <c r="CA218" s="33" t="str">
        <f aca="true">IF(A218="","",IF(BY218="","NOTE: not reviewed yet",IF(TODAY()&gt;BZ218,"NOTE: review overdue","OK")))</f>
        <v/>
      </c>
      <c r="CB218" s="37" t="str">
        <f aca="false">IF(A218="","",ROUND((IF(LEN(D218)&gt;0,1,0)+IF(LEN(E218)&gt;0,1,0)+IF(LEN(F218)&gt;0,1,0)+IF(LEN(G218)&gt;0,1,0)+IF(LEN(I218)&gt;0,1,0)+IF(LEN(J218)&gt;0,1,0)+IF(LEN(K218)&gt;0,1,0)+IF(LEN(L218)&gt;0,1,0)+IF(LEN(M218)&gt;0,1,0)+IF(LEN(N218)&gt;0,1,0)+IF(LEN(Z218)&gt;0,1,0)+IF(LEN(AA218)&gt;0,1,0)+IF(LEN(Y218)&gt;0,1,0)+IF(LEN(AE218)&gt;0,1,0)+IF(LEN(AG218)&gt;0,1,0)+IF(LEN(AZ218)&gt;0,1,0)+IF(LEN(AK218)&gt;0,1,0)+IF(LEN(AM218)&gt;0,1,0)+IF(LEN(AN218)&gt;0,1,0)+IF(LEN(AO218)&gt;0,1,0)+IF(LEN(AP218)&gt;0,1,0)+IF(LEN(AY218)&gt;0,1,0)+IF(LEN(BJ218)&gt;0,1,0)+IF(LEN(BW218)&gt;0,1,0))/24,2))</f>
        <v/>
      </c>
      <c r="CC218" s="10" t="str">
        <f aca="false">IF(D218="","",IF(AND(AN218="Approved",ISERROR(SEARCH("FAIL",BG218))),"Y","N"))</f>
        <v/>
      </c>
      <c r="CD218" s="10" t="str">
        <f aca="false">IF(D218="","",D218&amp;"|"&amp;J218&amp;"|"&amp;G218&amp;"|"&amp;CC218)</f>
        <v/>
      </c>
    </row>
    <row r="219" customFormat="false" ht="15" hidden="false" customHeight="false" outlineLevel="0" collapsed="false">
      <c r="A219" s="10" t="str">
        <f aca="false">IF(D219="","","MH-"&amp;IFERROR(VLOOKUP(D219,Lists!$AB$4:$AC$20,2,0),"??")&amp;"-"&amp;TEXT(G219,"0000")&amp;IF(F219="Circular","D","x"&amp;TEXT(H219,"0000"))&amp;"-D"&amp;TEXT(J219*1000,"0000")&amp;"-"&amp;IFERROR(VLOOKUP(E219,Lists!$AE$4:$AF$16,2,0),"??")&amp;"-"&amp;AM219)</f>
        <v/>
      </c>
      <c r="B219" s="10" t="str">
        <f aca="false">IF(D219="","",D219&amp;", "&amp;E219&amp;", "&amp;IF(F219="Circular",G219&amp;" dia",G219&amp;" x "&amp;H219)&amp;", depth "&amp;TEXT(I219,"0.0")&amp;"-"&amp;TEXT(J219,"0.0")&amp;" m, pipe up to "&amp;K219&amp;" dia")</f>
        <v/>
      </c>
      <c r="C219" s="9"/>
      <c r="D219" s="9"/>
      <c r="E219" s="9"/>
      <c r="F219" s="9"/>
      <c r="G219" s="38"/>
      <c r="H219" s="38"/>
      <c r="I219" s="42"/>
      <c r="J219" s="42"/>
      <c r="K219" s="38"/>
      <c r="L219" s="38"/>
      <c r="M219" s="38"/>
      <c r="N219" s="38"/>
      <c r="O219" s="9"/>
      <c r="P219" s="9"/>
      <c r="Q219" s="9"/>
      <c r="R219" s="9"/>
      <c r="S219" s="9"/>
      <c r="T219" s="9"/>
      <c r="U219" s="9"/>
      <c r="V219" s="42"/>
      <c r="W219" s="9"/>
      <c r="X219" s="9"/>
      <c r="Y219" s="39"/>
      <c r="Z219" s="9"/>
      <c r="AA219" s="38"/>
      <c r="AB219" s="9"/>
      <c r="AC219" s="9"/>
      <c r="AD219" s="9"/>
      <c r="AE219" s="9"/>
      <c r="AF219" s="9"/>
      <c r="AG219" s="9"/>
      <c r="AH219" s="38"/>
      <c r="AI219" s="9"/>
      <c r="AJ219" s="39"/>
      <c r="AK219" s="9"/>
      <c r="AL219" s="9"/>
      <c r="AM219" s="9"/>
      <c r="AN219" s="9"/>
      <c r="AO219" s="9"/>
      <c r="AP219" s="9"/>
      <c r="AQ219" s="9"/>
      <c r="AR219" s="10" t="str">
        <f aca="false">IF(A219="","",SG_Criteria!$B$6&amp;SG_Criteria!$B$10&amp;"\"&amp;A219&amp;"\")</f>
        <v/>
      </c>
      <c r="AS219" s="10" t="str">
        <f aca="false">IF(A219="","",A219&amp;"_CAD.dwg")</f>
        <v/>
      </c>
      <c r="AT219" s="10" t="str">
        <f aca="false">IF(A219="","",A219&amp;"_DWG.pdf")</f>
        <v/>
      </c>
      <c r="AU219" s="10" t="str">
        <f aca="false">IF(A219="","",IF(AQ219="Y",A219&amp;"_STAAD.std","n/a"))</f>
        <v/>
      </c>
      <c r="AV219" s="10" t="str">
        <f aca="false">IF(A219="","",A219&amp;"_CALC.xlsx")</f>
        <v/>
      </c>
      <c r="AW219" s="10" t="str">
        <f aca="false">IF(A219="","",A219&amp;"_CALC.pdf")</f>
        <v/>
      </c>
      <c r="AX219" s="9"/>
      <c r="AY219" s="9"/>
      <c r="AZ219" s="39"/>
      <c r="BA219" s="39"/>
      <c r="BB219" s="39"/>
      <c r="BC219" s="39"/>
      <c r="BD219" s="39"/>
      <c r="BE219" s="12" t="str">
        <f aca="false">IF(A219="","",IF(COUNTIF(Rebar_Schedule!$A$5:$A$2004,A219)=0,"",ROUND(SUMIF(Rebar_Schedule!$A$5:$A$2004,A219,Rebar_Schedule!$K$5:$K$2004),1)))</f>
        <v/>
      </c>
      <c r="BF219" s="33" t="str">
        <f aca="false">IF(A219="","",IF(BE219="","No rebar schedule yet",IF(ABS(BE219-N(BA219))/MAX(N(BA219),1)&gt;SG_Criteria!$B$55,"NOTE: register rebar differs from schedule by "&amp;TEXT(ABS(BE219-N(BA219))/MAX(N(BA219),1),"0%"),"OK")))</f>
        <v/>
      </c>
      <c r="BG219" s="33" t="str">
        <f aca="false">IF(D219="","",IF(LEN(IF(AND(Z219&lt;&gt;"",IFERROR(VALUE(MID(Z219,2,2)),0)&lt;SG_Criteria!$B$19),"FAIL: grade below C"&amp;SG_Criteria!$B$19&amp;". ","")&amp;IF(AND(AA219&lt;&gt;"",AA219&lt;SG_Criteria!$B$20),"FAIL: cover &lt; "&amp;SG_Criteria!$B$20&amp;" mm. ","")&amp;IF(AND(I219&lt;&gt;"",I219&lt;SG_Criteria!$B$39),"NOTE: min depth below PUB "&amp;SG_Criteria!$B$39&amp;" m. ","")&amp;IF(AND(LEFT(D219,8)="Standard",J219&gt;SG_Criteria!$B$42),"FAIL: PUB 001C covers manholes up to "&amp;SG_Criteria!$B$42&amp;" m deep only. ","")&amp;IF(AND(LEFT(D219,11)="Rectangular",K219&lt;SG_Criteria!$B$43),"NOTE: 004C is for sewers &gt;= "&amp;SG_Criteria!$B$43&amp;" dia. ","")&amp;IF(AND(LEFT(D219,7)="Precast",J219&lt;=SG_Criteria!$B$42),"NOTE: 006C is for manholes &gt; "&amp;SG_Criteria!$B$42&amp;" m deep. ","")&amp;IF(AND(K219&lt;&gt;"",K219&lt;SG_Criteria!$B$40,D219&lt;&gt;"Inspection Chamber"),"NOTE: public sewer min dia "&amp;SG_Criteria!$B$40&amp;" mm. ","")&amp;IF(AND(Y219&lt;&gt;"",Y219&lt;SG_Criteria!$B$44),"FAIL: uplift FOS below "&amp;SG_Criteria!$B$44&amp;". ",""))=0,"OK",IF(AND(Z219&lt;&gt;"",IFERROR(VALUE(MID(Z219,2,2)),0)&lt;SG_Criteria!$B$19),"FAIL: grade below C"&amp;SG_Criteria!$B$19&amp;". ","")&amp;IF(AND(AA219&lt;&gt;"",AA219&lt;SG_Criteria!$B$20),"FAIL: cover &lt; "&amp;SG_Criteria!$B$20&amp;" mm. ","")&amp;IF(AND(I219&lt;&gt;"",I219&lt;SG_Criteria!$B$39),"NOTE: min depth below PUB "&amp;SG_Criteria!$B$39&amp;" m. ","")&amp;IF(AND(LEFT(D219,8)="Standard",J219&gt;SG_Criteria!$B$42),"FAIL: PUB 001C covers manholes up to "&amp;SG_Criteria!$B$42&amp;" m deep only. ","")&amp;IF(AND(LEFT(D219,11)="Rectangular",K219&lt;SG_Criteria!$B$43),"NOTE: 004C is for sewers &gt;= "&amp;SG_Criteria!$B$43&amp;" dia. ","")&amp;IF(AND(LEFT(D219,7)="Precast",J219&lt;=SG_Criteria!$B$42),"NOTE: 006C is for manholes &gt; "&amp;SG_Criteria!$B$42&amp;" m deep. ","")&amp;IF(AND(K219&lt;&gt;"",K219&lt;SG_Criteria!$B$40,D219&lt;&gt;"Inspection Chamber"),"NOTE: public sewer min dia "&amp;SG_Criteria!$B$40&amp;" mm. ","")&amp;IF(AND(Y219&lt;&gt;"",Y219&lt;SG_Criteria!$B$44),"FAIL: uplift FOS below "&amp;SG_Criteria!$B$44&amp;". ","")))</f>
        <v/>
      </c>
      <c r="BH219" s="9"/>
      <c r="BI219" s="9"/>
      <c r="BJ219" s="9"/>
      <c r="BK219" s="10" t="str">
        <f aca="false">IF(BJ219="","",IFERROR(VLOOKUP(BJ219,Projects!$A$5:$D$504,2,0),"Ref not in Projects"))</f>
        <v/>
      </c>
      <c r="BL219" s="10" t="str">
        <f aca="false">IF(BJ219="","",IFERROR(VLOOKUP(BJ219,Projects!$A$5:$D$504,4,0),"Ref not in Projects"))</f>
        <v/>
      </c>
      <c r="BM219" s="9"/>
      <c r="BN219" s="9"/>
      <c r="BO219" s="9"/>
      <c r="BP219" s="40"/>
      <c r="BQ219" s="9"/>
      <c r="BR219" s="40"/>
      <c r="BS219" s="9"/>
      <c r="BT219" s="40"/>
      <c r="BU219" s="9"/>
      <c r="BV219" s="9"/>
      <c r="BW219" s="9"/>
      <c r="BX219" s="40"/>
      <c r="BY219" s="40"/>
      <c r="BZ219" s="36" t="str">
        <f aca="false">IF(BY219="","",EDATE(BY219,SG_Criteria!$B$54*12))</f>
        <v/>
      </c>
      <c r="CA219" s="33" t="str">
        <f aca="true">IF(A219="","",IF(BY219="","NOTE: not reviewed yet",IF(TODAY()&gt;BZ219,"NOTE: review overdue","OK")))</f>
        <v/>
      </c>
      <c r="CB219" s="37" t="str">
        <f aca="false">IF(A219="","",ROUND((IF(LEN(D219)&gt;0,1,0)+IF(LEN(E219)&gt;0,1,0)+IF(LEN(F219)&gt;0,1,0)+IF(LEN(G219)&gt;0,1,0)+IF(LEN(I219)&gt;0,1,0)+IF(LEN(J219)&gt;0,1,0)+IF(LEN(K219)&gt;0,1,0)+IF(LEN(L219)&gt;0,1,0)+IF(LEN(M219)&gt;0,1,0)+IF(LEN(N219)&gt;0,1,0)+IF(LEN(Z219)&gt;0,1,0)+IF(LEN(AA219)&gt;0,1,0)+IF(LEN(Y219)&gt;0,1,0)+IF(LEN(AE219)&gt;0,1,0)+IF(LEN(AG219)&gt;0,1,0)+IF(LEN(AZ219)&gt;0,1,0)+IF(LEN(AK219)&gt;0,1,0)+IF(LEN(AM219)&gt;0,1,0)+IF(LEN(AN219)&gt;0,1,0)+IF(LEN(AO219)&gt;0,1,0)+IF(LEN(AP219)&gt;0,1,0)+IF(LEN(AY219)&gt;0,1,0)+IF(LEN(BJ219)&gt;0,1,0)+IF(LEN(BW219)&gt;0,1,0))/24,2))</f>
        <v/>
      </c>
      <c r="CC219" s="10" t="str">
        <f aca="false">IF(D219="","",IF(AND(AN219="Approved",ISERROR(SEARCH("FAIL",BG219))),"Y","N"))</f>
        <v/>
      </c>
      <c r="CD219" s="10" t="str">
        <f aca="false">IF(D219="","",D219&amp;"|"&amp;J219&amp;"|"&amp;G219&amp;"|"&amp;CC219)</f>
        <v/>
      </c>
    </row>
    <row r="220" customFormat="false" ht="15" hidden="false" customHeight="false" outlineLevel="0" collapsed="false">
      <c r="A220" s="10" t="str">
        <f aca="false">IF(D220="","","MH-"&amp;IFERROR(VLOOKUP(D220,Lists!$AB$4:$AC$20,2,0),"??")&amp;"-"&amp;TEXT(G220,"0000")&amp;IF(F220="Circular","D","x"&amp;TEXT(H220,"0000"))&amp;"-D"&amp;TEXT(J220*1000,"0000")&amp;"-"&amp;IFERROR(VLOOKUP(E220,Lists!$AE$4:$AF$16,2,0),"??")&amp;"-"&amp;AM220)</f>
        <v/>
      </c>
      <c r="B220" s="10" t="str">
        <f aca="false">IF(D220="","",D220&amp;", "&amp;E220&amp;", "&amp;IF(F220="Circular",G220&amp;" dia",G220&amp;" x "&amp;H220)&amp;", depth "&amp;TEXT(I220,"0.0")&amp;"-"&amp;TEXT(J220,"0.0")&amp;" m, pipe up to "&amp;K220&amp;" dia")</f>
        <v/>
      </c>
      <c r="C220" s="9"/>
      <c r="D220" s="9"/>
      <c r="E220" s="9"/>
      <c r="F220" s="9"/>
      <c r="G220" s="38"/>
      <c r="H220" s="38"/>
      <c r="I220" s="42"/>
      <c r="J220" s="42"/>
      <c r="K220" s="38"/>
      <c r="L220" s="38"/>
      <c r="M220" s="38"/>
      <c r="N220" s="38"/>
      <c r="O220" s="9"/>
      <c r="P220" s="9"/>
      <c r="Q220" s="9"/>
      <c r="R220" s="9"/>
      <c r="S220" s="9"/>
      <c r="T220" s="9"/>
      <c r="U220" s="9"/>
      <c r="V220" s="42"/>
      <c r="W220" s="9"/>
      <c r="X220" s="9"/>
      <c r="Y220" s="39"/>
      <c r="Z220" s="9"/>
      <c r="AA220" s="38"/>
      <c r="AB220" s="9"/>
      <c r="AC220" s="9"/>
      <c r="AD220" s="9"/>
      <c r="AE220" s="9"/>
      <c r="AF220" s="9"/>
      <c r="AG220" s="9"/>
      <c r="AH220" s="38"/>
      <c r="AI220" s="9"/>
      <c r="AJ220" s="39"/>
      <c r="AK220" s="9"/>
      <c r="AL220" s="9"/>
      <c r="AM220" s="9"/>
      <c r="AN220" s="9"/>
      <c r="AO220" s="9"/>
      <c r="AP220" s="9"/>
      <c r="AQ220" s="9"/>
      <c r="AR220" s="10" t="str">
        <f aca="false">IF(A220="","",SG_Criteria!$B$6&amp;SG_Criteria!$B$10&amp;"\"&amp;A220&amp;"\")</f>
        <v/>
      </c>
      <c r="AS220" s="10" t="str">
        <f aca="false">IF(A220="","",A220&amp;"_CAD.dwg")</f>
        <v/>
      </c>
      <c r="AT220" s="10" t="str">
        <f aca="false">IF(A220="","",A220&amp;"_DWG.pdf")</f>
        <v/>
      </c>
      <c r="AU220" s="10" t="str">
        <f aca="false">IF(A220="","",IF(AQ220="Y",A220&amp;"_STAAD.std","n/a"))</f>
        <v/>
      </c>
      <c r="AV220" s="10" t="str">
        <f aca="false">IF(A220="","",A220&amp;"_CALC.xlsx")</f>
        <v/>
      </c>
      <c r="AW220" s="10" t="str">
        <f aca="false">IF(A220="","",A220&amp;"_CALC.pdf")</f>
        <v/>
      </c>
      <c r="AX220" s="9"/>
      <c r="AY220" s="9"/>
      <c r="AZ220" s="39"/>
      <c r="BA220" s="39"/>
      <c r="BB220" s="39"/>
      <c r="BC220" s="39"/>
      <c r="BD220" s="39"/>
      <c r="BE220" s="12" t="str">
        <f aca="false">IF(A220="","",IF(COUNTIF(Rebar_Schedule!$A$5:$A$2004,A220)=0,"",ROUND(SUMIF(Rebar_Schedule!$A$5:$A$2004,A220,Rebar_Schedule!$K$5:$K$2004),1)))</f>
        <v/>
      </c>
      <c r="BF220" s="33" t="str">
        <f aca="false">IF(A220="","",IF(BE220="","No rebar schedule yet",IF(ABS(BE220-N(BA220))/MAX(N(BA220),1)&gt;SG_Criteria!$B$55,"NOTE: register rebar differs from schedule by "&amp;TEXT(ABS(BE220-N(BA220))/MAX(N(BA220),1),"0%"),"OK")))</f>
        <v/>
      </c>
      <c r="BG220" s="33" t="str">
        <f aca="false">IF(D220="","",IF(LEN(IF(AND(Z220&lt;&gt;"",IFERROR(VALUE(MID(Z220,2,2)),0)&lt;SG_Criteria!$B$19),"FAIL: grade below C"&amp;SG_Criteria!$B$19&amp;". ","")&amp;IF(AND(AA220&lt;&gt;"",AA220&lt;SG_Criteria!$B$20),"FAIL: cover &lt; "&amp;SG_Criteria!$B$20&amp;" mm. ","")&amp;IF(AND(I220&lt;&gt;"",I220&lt;SG_Criteria!$B$39),"NOTE: min depth below PUB "&amp;SG_Criteria!$B$39&amp;" m. ","")&amp;IF(AND(LEFT(D220,8)="Standard",J220&gt;SG_Criteria!$B$42),"FAIL: PUB 001C covers manholes up to "&amp;SG_Criteria!$B$42&amp;" m deep only. ","")&amp;IF(AND(LEFT(D220,11)="Rectangular",K220&lt;SG_Criteria!$B$43),"NOTE: 004C is for sewers &gt;= "&amp;SG_Criteria!$B$43&amp;" dia. ","")&amp;IF(AND(LEFT(D220,7)="Precast",J220&lt;=SG_Criteria!$B$42),"NOTE: 006C is for manholes &gt; "&amp;SG_Criteria!$B$42&amp;" m deep. ","")&amp;IF(AND(K220&lt;&gt;"",K220&lt;SG_Criteria!$B$40,D220&lt;&gt;"Inspection Chamber"),"NOTE: public sewer min dia "&amp;SG_Criteria!$B$40&amp;" mm. ","")&amp;IF(AND(Y220&lt;&gt;"",Y220&lt;SG_Criteria!$B$44),"FAIL: uplift FOS below "&amp;SG_Criteria!$B$44&amp;". ",""))=0,"OK",IF(AND(Z220&lt;&gt;"",IFERROR(VALUE(MID(Z220,2,2)),0)&lt;SG_Criteria!$B$19),"FAIL: grade below C"&amp;SG_Criteria!$B$19&amp;". ","")&amp;IF(AND(AA220&lt;&gt;"",AA220&lt;SG_Criteria!$B$20),"FAIL: cover &lt; "&amp;SG_Criteria!$B$20&amp;" mm. ","")&amp;IF(AND(I220&lt;&gt;"",I220&lt;SG_Criteria!$B$39),"NOTE: min depth below PUB "&amp;SG_Criteria!$B$39&amp;" m. ","")&amp;IF(AND(LEFT(D220,8)="Standard",J220&gt;SG_Criteria!$B$42),"FAIL: PUB 001C covers manholes up to "&amp;SG_Criteria!$B$42&amp;" m deep only. ","")&amp;IF(AND(LEFT(D220,11)="Rectangular",K220&lt;SG_Criteria!$B$43),"NOTE: 004C is for sewers &gt;= "&amp;SG_Criteria!$B$43&amp;" dia. ","")&amp;IF(AND(LEFT(D220,7)="Precast",J220&lt;=SG_Criteria!$B$42),"NOTE: 006C is for manholes &gt; "&amp;SG_Criteria!$B$42&amp;" m deep. ","")&amp;IF(AND(K220&lt;&gt;"",K220&lt;SG_Criteria!$B$40,D220&lt;&gt;"Inspection Chamber"),"NOTE: public sewer min dia "&amp;SG_Criteria!$B$40&amp;" mm. ","")&amp;IF(AND(Y220&lt;&gt;"",Y220&lt;SG_Criteria!$B$44),"FAIL: uplift FOS below "&amp;SG_Criteria!$B$44&amp;". ","")))</f>
        <v/>
      </c>
      <c r="BH220" s="9"/>
      <c r="BI220" s="9"/>
      <c r="BJ220" s="9"/>
      <c r="BK220" s="10" t="str">
        <f aca="false">IF(BJ220="","",IFERROR(VLOOKUP(BJ220,Projects!$A$5:$D$504,2,0),"Ref not in Projects"))</f>
        <v/>
      </c>
      <c r="BL220" s="10" t="str">
        <f aca="false">IF(BJ220="","",IFERROR(VLOOKUP(BJ220,Projects!$A$5:$D$504,4,0),"Ref not in Projects"))</f>
        <v/>
      </c>
      <c r="BM220" s="9"/>
      <c r="BN220" s="9"/>
      <c r="BO220" s="9"/>
      <c r="BP220" s="40"/>
      <c r="BQ220" s="9"/>
      <c r="BR220" s="40"/>
      <c r="BS220" s="9"/>
      <c r="BT220" s="40"/>
      <c r="BU220" s="9"/>
      <c r="BV220" s="9"/>
      <c r="BW220" s="9"/>
      <c r="BX220" s="40"/>
      <c r="BY220" s="40"/>
      <c r="BZ220" s="36" t="str">
        <f aca="false">IF(BY220="","",EDATE(BY220,SG_Criteria!$B$54*12))</f>
        <v/>
      </c>
      <c r="CA220" s="33" t="str">
        <f aca="true">IF(A220="","",IF(BY220="","NOTE: not reviewed yet",IF(TODAY()&gt;BZ220,"NOTE: review overdue","OK")))</f>
        <v/>
      </c>
      <c r="CB220" s="37" t="str">
        <f aca="false">IF(A220="","",ROUND((IF(LEN(D220)&gt;0,1,0)+IF(LEN(E220)&gt;0,1,0)+IF(LEN(F220)&gt;0,1,0)+IF(LEN(G220)&gt;0,1,0)+IF(LEN(I220)&gt;0,1,0)+IF(LEN(J220)&gt;0,1,0)+IF(LEN(K220)&gt;0,1,0)+IF(LEN(L220)&gt;0,1,0)+IF(LEN(M220)&gt;0,1,0)+IF(LEN(N220)&gt;0,1,0)+IF(LEN(Z220)&gt;0,1,0)+IF(LEN(AA220)&gt;0,1,0)+IF(LEN(Y220)&gt;0,1,0)+IF(LEN(AE220)&gt;0,1,0)+IF(LEN(AG220)&gt;0,1,0)+IF(LEN(AZ220)&gt;0,1,0)+IF(LEN(AK220)&gt;0,1,0)+IF(LEN(AM220)&gt;0,1,0)+IF(LEN(AN220)&gt;0,1,0)+IF(LEN(AO220)&gt;0,1,0)+IF(LEN(AP220)&gt;0,1,0)+IF(LEN(AY220)&gt;0,1,0)+IF(LEN(BJ220)&gt;0,1,0)+IF(LEN(BW220)&gt;0,1,0))/24,2))</f>
        <v/>
      </c>
      <c r="CC220" s="10" t="str">
        <f aca="false">IF(D220="","",IF(AND(AN220="Approved",ISERROR(SEARCH("FAIL",BG220))),"Y","N"))</f>
        <v/>
      </c>
      <c r="CD220" s="10" t="str">
        <f aca="false">IF(D220="","",D220&amp;"|"&amp;J220&amp;"|"&amp;G220&amp;"|"&amp;CC220)</f>
        <v/>
      </c>
    </row>
    <row r="221" customFormat="false" ht="15" hidden="false" customHeight="false" outlineLevel="0" collapsed="false">
      <c r="A221" s="10" t="str">
        <f aca="false">IF(D221="","","MH-"&amp;IFERROR(VLOOKUP(D221,Lists!$AB$4:$AC$20,2,0),"??")&amp;"-"&amp;TEXT(G221,"0000")&amp;IF(F221="Circular","D","x"&amp;TEXT(H221,"0000"))&amp;"-D"&amp;TEXT(J221*1000,"0000")&amp;"-"&amp;IFERROR(VLOOKUP(E221,Lists!$AE$4:$AF$16,2,0),"??")&amp;"-"&amp;AM221)</f>
        <v/>
      </c>
      <c r="B221" s="10" t="str">
        <f aca="false">IF(D221="","",D221&amp;", "&amp;E221&amp;", "&amp;IF(F221="Circular",G221&amp;" dia",G221&amp;" x "&amp;H221)&amp;", depth "&amp;TEXT(I221,"0.0")&amp;"-"&amp;TEXT(J221,"0.0")&amp;" m, pipe up to "&amp;K221&amp;" dia")</f>
        <v/>
      </c>
      <c r="C221" s="9"/>
      <c r="D221" s="9"/>
      <c r="E221" s="9"/>
      <c r="F221" s="9"/>
      <c r="G221" s="38"/>
      <c r="H221" s="38"/>
      <c r="I221" s="42"/>
      <c r="J221" s="42"/>
      <c r="K221" s="38"/>
      <c r="L221" s="38"/>
      <c r="M221" s="38"/>
      <c r="N221" s="38"/>
      <c r="O221" s="9"/>
      <c r="P221" s="9"/>
      <c r="Q221" s="9"/>
      <c r="R221" s="9"/>
      <c r="S221" s="9"/>
      <c r="T221" s="9"/>
      <c r="U221" s="9"/>
      <c r="V221" s="42"/>
      <c r="W221" s="9"/>
      <c r="X221" s="9"/>
      <c r="Y221" s="39"/>
      <c r="Z221" s="9"/>
      <c r="AA221" s="38"/>
      <c r="AB221" s="9"/>
      <c r="AC221" s="9"/>
      <c r="AD221" s="9"/>
      <c r="AE221" s="9"/>
      <c r="AF221" s="9"/>
      <c r="AG221" s="9"/>
      <c r="AH221" s="38"/>
      <c r="AI221" s="9"/>
      <c r="AJ221" s="39"/>
      <c r="AK221" s="9"/>
      <c r="AL221" s="9"/>
      <c r="AM221" s="9"/>
      <c r="AN221" s="9"/>
      <c r="AO221" s="9"/>
      <c r="AP221" s="9"/>
      <c r="AQ221" s="9"/>
      <c r="AR221" s="10" t="str">
        <f aca="false">IF(A221="","",SG_Criteria!$B$6&amp;SG_Criteria!$B$10&amp;"\"&amp;A221&amp;"\")</f>
        <v/>
      </c>
      <c r="AS221" s="10" t="str">
        <f aca="false">IF(A221="","",A221&amp;"_CAD.dwg")</f>
        <v/>
      </c>
      <c r="AT221" s="10" t="str">
        <f aca="false">IF(A221="","",A221&amp;"_DWG.pdf")</f>
        <v/>
      </c>
      <c r="AU221" s="10" t="str">
        <f aca="false">IF(A221="","",IF(AQ221="Y",A221&amp;"_STAAD.std","n/a"))</f>
        <v/>
      </c>
      <c r="AV221" s="10" t="str">
        <f aca="false">IF(A221="","",A221&amp;"_CALC.xlsx")</f>
        <v/>
      </c>
      <c r="AW221" s="10" t="str">
        <f aca="false">IF(A221="","",A221&amp;"_CALC.pdf")</f>
        <v/>
      </c>
      <c r="AX221" s="9"/>
      <c r="AY221" s="9"/>
      <c r="AZ221" s="39"/>
      <c r="BA221" s="39"/>
      <c r="BB221" s="39"/>
      <c r="BC221" s="39"/>
      <c r="BD221" s="39"/>
      <c r="BE221" s="12" t="str">
        <f aca="false">IF(A221="","",IF(COUNTIF(Rebar_Schedule!$A$5:$A$2004,A221)=0,"",ROUND(SUMIF(Rebar_Schedule!$A$5:$A$2004,A221,Rebar_Schedule!$K$5:$K$2004),1)))</f>
        <v/>
      </c>
      <c r="BF221" s="33" t="str">
        <f aca="false">IF(A221="","",IF(BE221="","No rebar schedule yet",IF(ABS(BE221-N(BA221))/MAX(N(BA221),1)&gt;SG_Criteria!$B$55,"NOTE: register rebar differs from schedule by "&amp;TEXT(ABS(BE221-N(BA221))/MAX(N(BA221),1),"0%"),"OK")))</f>
        <v/>
      </c>
      <c r="BG221" s="33" t="str">
        <f aca="false">IF(D221="","",IF(LEN(IF(AND(Z221&lt;&gt;"",IFERROR(VALUE(MID(Z221,2,2)),0)&lt;SG_Criteria!$B$19),"FAIL: grade below C"&amp;SG_Criteria!$B$19&amp;". ","")&amp;IF(AND(AA221&lt;&gt;"",AA221&lt;SG_Criteria!$B$20),"FAIL: cover &lt; "&amp;SG_Criteria!$B$20&amp;" mm. ","")&amp;IF(AND(I221&lt;&gt;"",I221&lt;SG_Criteria!$B$39),"NOTE: min depth below PUB "&amp;SG_Criteria!$B$39&amp;" m. ","")&amp;IF(AND(LEFT(D221,8)="Standard",J221&gt;SG_Criteria!$B$42),"FAIL: PUB 001C covers manholes up to "&amp;SG_Criteria!$B$42&amp;" m deep only. ","")&amp;IF(AND(LEFT(D221,11)="Rectangular",K221&lt;SG_Criteria!$B$43),"NOTE: 004C is for sewers &gt;= "&amp;SG_Criteria!$B$43&amp;" dia. ","")&amp;IF(AND(LEFT(D221,7)="Precast",J221&lt;=SG_Criteria!$B$42),"NOTE: 006C is for manholes &gt; "&amp;SG_Criteria!$B$42&amp;" m deep. ","")&amp;IF(AND(K221&lt;&gt;"",K221&lt;SG_Criteria!$B$40,D221&lt;&gt;"Inspection Chamber"),"NOTE: public sewer min dia "&amp;SG_Criteria!$B$40&amp;" mm. ","")&amp;IF(AND(Y221&lt;&gt;"",Y221&lt;SG_Criteria!$B$44),"FAIL: uplift FOS below "&amp;SG_Criteria!$B$44&amp;". ",""))=0,"OK",IF(AND(Z221&lt;&gt;"",IFERROR(VALUE(MID(Z221,2,2)),0)&lt;SG_Criteria!$B$19),"FAIL: grade below C"&amp;SG_Criteria!$B$19&amp;". ","")&amp;IF(AND(AA221&lt;&gt;"",AA221&lt;SG_Criteria!$B$20),"FAIL: cover &lt; "&amp;SG_Criteria!$B$20&amp;" mm. ","")&amp;IF(AND(I221&lt;&gt;"",I221&lt;SG_Criteria!$B$39),"NOTE: min depth below PUB "&amp;SG_Criteria!$B$39&amp;" m. ","")&amp;IF(AND(LEFT(D221,8)="Standard",J221&gt;SG_Criteria!$B$42),"FAIL: PUB 001C covers manholes up to "&amp;SG_Criteria!$B$42&amp;" m deep only. ","")&amp;IF(AND(LEFT(D221,11)="Rectangular",K221&lt;SG_Criteria!$B$43),"NOTE: 004C is for sewers &gt;= "&amp;SG_Criteria!$B$43&amp;" dia. ","")&amp;IF(AND(LEFT(D221,7)="Precast",J221&lt;=SG_Criteria!$B$42),"NOTE: 006C is for manholes &gt; "&amp;SG_Criteria!$B$42&amp;" m deep. ","")&amp;IF(AND(K221&lt;&gt;"",K221&lt;SG_Criteria!$B$40,D221&lt;&gt;"Inspection Chamber"),"NOTE: public sewer min dia "&amp;SG_Criteria!$B$40&amp;" mm. ","")&amp;IF(AND(Y221&lt;&gt;"",Y221&lt;SG_Criteria!$B$44),"FAIL: uplift FOS below "&amp;SG_Criteria!$B$44&amp;". ","")))</f>
        <v/>
      </c>
      <c r="BH221" s="9"/>
      <c r="BI221" s="9"/>
      <c r="BJ221" s="9"/>
      <c r="BK221" s="10" t="str">
        <f aca="false">IF(BJ221="","",IFERROR(VLOOKUP(BJ221,Projects!$A$5:$D$504,2,0),"Ref not in Projects"))</f>
        <v/>
      </c>
      <c r="BL221" s="10" t="str">
        <f aca="false">IF(BJ221="","",IFERROR(VLOOKUP(BJ221,Projects!$A$5:$D$504,4,0),"Ref not in Projects"))</f>
        <v/>
      </c>
      <c r="BM221" s="9"/>
      <c r="BN221" s="9"/>
      <c r="BO221" s="9"/>
      <c r="BP221" s="40"/>
      <c r="BQ221" s="9"/>
      <c r="BR221" s="40"/>
      <c r="BS221" s="9"/>
      <c r="BT221" s="40"/>
      <c r="BU221" s="9"/>
      <c r="BV221" s="9"/>
      <c r="BW221" s="9"/>
      <c r="BX221" s="40"/>
      <c r="BY221" s="40"/>
      <c r="BZ221" s="36" t="str">
        <f aca="false">IF(BY221="","",EDATE(BY221,SG_Criteria!$B$54*12))</f>
        <v/>
      </c>
      <c r="CA221" s="33" t="str">
        <f aca="true">IF(A221="","",IF(BY221="","NOTE: not reviewed yet",IF(TODAY()&gt;BZ221,"NOTE: review overdue","OK")))</f>
        <v/>
      </c>
      <c r="CB221" s="37" t="str">
        <f aca="false">IF(A221="","",ROUND((IF(LEN(D221)&gt;0,1,0)+IF(LEN(E221)&gt;0,1,0)+IF(LEN(F221)&gt;0,1,0)+IF(LEN(G221)&gt;0,1,0)+IF(LEN(I221)&gt;0,1,0)+IF(LEN(J221)&gt;0,1,0)+IF(LEN(K221)&gt;0,1,0)+IF(LEN(L221)&gt;0,1,0)+IF(LEN(M221)&gt;0,1,0)+IF(LEN(N221)&gt;0,1,0)+IF(LEN(Z221)&gt;0,1,0)+IF(LEN(AA221)&gt;0,1,0)+IF(LEN(Y221)&gt;0,1,0)+IF(LEN(AE221)&gt;0,1,0)+IF(LEN(AG221)&gt;0,1,0)+IF(LEN(AZ221)&gt;0,1,0)+IF(LEN(AK221)&gt;0,1,0)+IF(LEN(AM221)&gt;0,1,0)+IF(LEN(AN221)&gt;0,1,0)+IF(LEN(AO221)&gt;0,1,0)+IF(LEN(AP221)&gt;0,1,0)+IF(LEN(AY221)&gt;0,1,0)+IF(LEN(BJ221)&gt;0,1,0)+IF(LEN(BW221)&gt;0,1,0))/24,2))</f>
        <v/>
      </c>
      <c r="CC221" s="10" t="str">
        <f aca="false">IF(D221="","",IF(AND(AN221="Approved",ISERROR(SEARCH("FAIL",BG221))),"Y","N"))</f>
        <v/>
      </c>
      <c r="CD221" s="10" t="str">
        <f aca="false">IF(D221="","",D221&amp;"|"&amp;J221&amp;"|"&amp;G221&amp;"|"&amp;CC221)</f>
        <v/>
      </c>
    </row>
    <row r="222" customFormat="false" ht="15" hidden="false" customHeight="false" outlineLevel="0" collapsed="false">
      <c r="A222" s="10" t="str">
        <f aca="false">IF(D222="","","MH-"&amp;IFERROR(VLOOKUP(D222,Lists!$AB$4:$AC$20,2,0),"??")&amp;"-"&amp;TEXT(G222,"0000")&amp;IF(F222="Circular","D","x"&amp;TEXT(H222,"0000"))&amp;"-D"&amp;TEXT(J222*1000,"0000")&amp;"-"&amp;IFERROR(VLOOKUP(E222,Lists!$AE$4:$AF$16,2,0),"??")&amp;"-"&amp;AM222)</f>
        <v/>
      </c>
      <c r="B222" s="10" t="str">
        <f aca="false">IF(D222="","",D222&amp;", "&amp;E222&amp;", "&amp;IF(F222="Circular",G222&amp;" dia",G222&amp;" x "&amp;H222)&amp;", depth "&amp;TEXT(I222,"0.0")&amp;"-"&amp;TEXT(J222,"0.0")&amp;" m, pipe up to "&amp;K222&amp;" dia")</f>
        <v/>
      </c>
      <c r="C222" s="9"/>
      <c r="D222" s="9"/>
      <c r="E222" s="9"/>
      <c r="F222" s="9"/>
      <c r="G222" s="38"/>
      <c r="H222" s="38"/>
      <c r="I222" s="42"/>
      <c r="J222" s="42"/>
      <c r="K222" s="38"/>
      <c r="L222" s="38"/>
      <c r="M222" s="38"/>
      <c r="N222" s="38"/>
      <c r="O222" s="9"/>
      <c r="P222" s="9"/>
      <c r="Q222" s="9"/>
      <c r="R222" s="9"/>
      <c r="S222" s="9"/>
      <c r="T222" s="9"/>
      <c r="U222" s="9"/>
      <c r="V222" s="42"/>
      <c r="W222" s="9"/>
      <c r="X222" s="9"/>
      <c r="Y222" s="39"/>
      <c r="Z222" s="9"/>
      <c r="AA222" s="38"/>
      <c r="AB222" s="9"/>
      <c r="AC222" s="9"/>
      <c r="AD222" s="9"/>
      <c r="AE222" s="9"/>
      <c r="AF222" s="9"/>
      <c r="AG222" s="9"/>
      <c r="AH222" s="38"/>
      <c r="AI222" s="9"/>
      <c r="AJ222" s="39"/>
      <c r="AK222" s="9"/>
      <c r="AL222" s="9"/>
      <c r="AM222" s="9"/>
      <c r="AN222" s="9"/>
      <c r="AO222" s="9"/>
      <c r="AP222" s="9"/>
      <c r="AQ222" s="9"/>
      <c r="AR222" s="10" t="str">
        <f aca="false">IF(A222="","",SG_Criteria!$B$6&amp;SG_Criteria!$B$10&amp;"\"&amp;A222&amp;"\")</f>
        <v/>
      </c>
      <c r="AS222" s="10" t="str">
        <f aca="false">IF(A222="","",A222&amp;"_CAD.dwg")</f>
        <v/>
      </c>
      <c r="AT222" s="10" t="str">
        <f aca="false">IF(A222="","",A222&amp;"_DWG.pdf")</f>
        <v/>
      </c>
      <c r="AU222" s="10" t="str">
        <f aca="false">IF(A222="","",IF(AQ222="Y",A222&amp;"_STAAD.std","n/a"))</f>
        <v/>
      </c>
      <c r="AV222" s="10" t="str">
        <f aca="false">IF(A222="","",A222&amp;"_CALC.xlsx")</f>
        <v/>
      </c>
      <c r="AW222" s="10" t="str">
        <f aca="false">IF(A222="","",A222&amp;"_CALC.pdf")</f>
        <v/>
      </c>
      <c r="AX222" s="9"/>
      <c r="AY222" s="9"/>
      <c r="AZ222" s="39"/>
      <c r="BA222" s="39"/>
      <c r="BB222" s="39"/>
      <c r="BC222" s="39"/>
      <c r="BD222" s="39"/>
      <c r="BE222" s="12" t="str">
        <f aca="false">IF(A222="","",IF(COUNTIF(Rebar_Schedule!$A$5:$A$2004,A222)=0,"",ROUND(SUMIF(Rebar_Schedule!$A$5:$A$2004,A222,Rebar_Schedule!$K$5:$K$2004),1)))</f>
        <v/>
      </c>
      <c r="BF222" s="33" t="str">
        <f aca="false">IF(A222="","",IF(BE222="","No rebar schedule yet",IF(ABS(BE222-N(BA222))/MAX(N(BA222),1)&gt;SG_Criteria!$B$55,"NOTE: register rebar differs from schedule by "&amp;TEXT(ABS(BE222-N(BA222))/MAX(N(BA222),1),"0%"),"OK")))</f>
        <v/>
      </c>
      <c r="BG222" s="33" t="str">
        <f aca="false">IF(D222="","",IF(LEN(IF(AND(Z222&lt;&gt;"",IFERROR(VALUE(MID(Z222,2,2)),0)&lt;SG_Criteria!$B$19),"FAIL: grade below C"&amp;SG_Criteria!$B$19&amp;". ","")&amp;IF(AND(AA222&lt;&gt;"",AA222&lt;SG_Criteria!$B$20),"FAIL: cover &lt; "&amp;SG_Criteria!$B$20&amp;" mm. ","")&amp;IF(AND(I222&lt;&gt;"",I222&lt;SG_Criteria!$B$39),"NOTE: min depth below PUB "&amp;SG_Criteria!$B$39&amp;" m. ","")&amp;IF(AND(LEFT(D222,8)="Standard",J222&gt;SG_Criteria!$B$42),"FAIL: PUB 001C covers manholes up to "&amp;SG_Criteria!$B$42&amp;" m deep only. ","")&amp;IF(AND(LEFT(D222,11)="Rectangular",K222&lt;SG_Criteria!$B$43),"NOTE: 004C is for sewers &gt;= "&amp;SG_Criteria!$B$43&amp;" dia. ","")&amp;IF(AND(LEFT(D222,7)="Precast",J222&lt;=SG_Criteria!$B$42),"NOTE: 006C is for manholes &gt; "&amp;SG_Criteria!$B$42&amp;" m deep. ","")&amp;IF(AND(K222&lt;&gt;"",K222&lt;SG_Criteria!$B$40,D222&lt;&gt;"Inspection Chamber"),"NOTE: public sewer min dia "&amp;SG_Criteria!$B$40&amp;" mm. ","")&amp;IF(AND(Y222&lt;&gt;"",Y222&lt;SG_Criteria!$B$44),"FAIL: uplift FOS below "&amp;SG_Criteria!$B$44&amp;". ",""))=0,"OK",IF(AND(Z222&lt;&gt;"",IFERROR(VALUE(MID(Z222,2,2)),0)&lt;SG_Criteria!$B$19),"FAIL: grade below C"&amp;SG_Criteria!$B$19&amp;". ","")&amp;IF(AND(AA222&lt;&gt;"",AA222&lt;SG_Criteria!$B$20),"FAIL: cover &lt; "&amp;SG_Criteria!$B$20&amp;" mm. ","")&amp;IF(AND(I222&lt;&gt;"",I222&lt;SG_Criteria!$B$39),"NOTE: min depth below PUB "&amp;SG_Criteria!$B$39&amp;" m. ","")&amp;IF(AND(LEFT(D222,8)="Standard",J222&gt;SG_Criteria!$B$42),"FAIL: PUB 001C covers manholes up to "&amp;SG_Criteria!$B$42&amp;" m deep only. ","")&amp;IF(AND(LEFT(D222,11)="Rectangular",K222&lt;SG_Criteria!$B$43),"NOTE: 004C is for sewers &gt;= "&amp;SG_Criteria!$B$43&amp;" dia. ","")&amp;IF(AND(LEFT(D222,7)="Precast",J222&lt;=SG_Criteria!$B$42),"NOTE: 006C is for manholes &gt; "&amp;SG_Criteria!$B$42&amp;" m deep. ","")&amp;IF(AND(K222&lt;&gt;"",K222&lt;SG_Criteria!$B$40,D222&lt;&gt;"Inspection Chamber"),"NOTE: public sewer min dia "&amp;SG_Criteria!$B$40&amp;" mm. ","")&amp;IF(AND(Y222&lt;&gt;"",Y222&lt;SG_Criteria!$B$44),"FAIL: uplift FOS below "&amp;SG_Criteria!$B$44&amp;". ","")))</f>
        <v/>
      </c>
      <c r="BH222" s="9"/>
      <c r="BI222" s="9"/>
      <c r="BJ222" s="9"/>
      <c r="BK222" s="10" t="str">
        <f aca="false">IF(BJ222="","",IFERROR(VLOOKUP(BJ222,Projects!$A$5:$D$504,2,0),"Ref not in Projects"))</f>
        <v/>
      </c>
      <c r="BL222" s="10" t="str">
        <f aca="false">IF(BJ222="","",IFERROR(VLOOKUP(BJ222,Projects!$A$5:$D$504,4,0),"Ref not in Projects"))</f>
        <v/>
      </c>
      <c r="BM222" s="9"/>
      <c r="BN222" s="9"/>
      <c r="BO222" s="9"/>
      <c r="BP222" s="40"/>
      <c r="BQ222" s="9"/>
      <c r="BR222" s="40"/>
      <c r="BS222" s="9"/>
      <c r="BT222" s="40"/>
      <c r="BU222" s="9"/>
      <c r="BV222" s="9"/>
      <c r="BW222" s="9"/>
      <c r="BX222" s="40"/>
      <c r="BY222" s="40"/>
      <c r="BZ222" s="36" t="str">
        <f aca="false">IF(BY222="","",EDATE(BY222,SG_Criteria!$B$54*12))</f>
        <v/>
      </c>
      <c r="CA222" s="33" t="str">
        <f aca="true">IF(A222="","",IF(BY222="","NOTE: not reviewed yet",IF(TODAY()&gt;BZ222,"NOTE: review overdue","OK")))</f>
        <v/>
      </c>
      <c r="CB222" s="37" t="str">
        <f aca="false">IF(A222="","",ROUND((IF(LEN(D222)&gt;0,1,0)+IF(LEN(E222)&gt;0,1,0)+IF(LEN(F222)&gt;0,1,0)+IF(LEN(G222)&gt;0,1,0)+IF(LEN(I222)&gt;0,1,0)+IF(LEN(J222)&gt;0,1,0)+IF(LEN(K222)&gt;0,1,0)+IF(LEN(L222)&gt;0,1,0)+IF(LEN(M222)&gt;0,1,0)+IF(LEN(N222)&gt;0,1,0)+IF(LEN(Z222)&gt;0,1,0)+IF(LEN(AA222)&gt;0,1,0)+IF(LEN(Y222)&gt;0,1,0)+IF(LEN(AE222)&gt;0,1,0)+IF(LEN(AG222)&gt;0,1,0)+IF(LEN(AZ222)&gt;0,1,0)+IF(LEN(AK222)&gt;0,1,0)+IF(LEN(AM222)&gt;0,1,0)+IF(LEN(AN222)&gt;0,1,0)+IF(LEN(AO222)&gt;0,1,0)+IF(LEN(AP222)&gt;0,1,0)+IF(LEN(AY222)&gt;0,1,0)+IF(LEN(BJ222)&gt;0,1,0)+IF(LEN(BW222)&gt;0,1,0))/24,2))</f>
        <v/>
      </c>
      <c r="CC222" s="10" t="str">
        <f aca="false">IF(D222="","",IF(AND(AN222="Approved",ISERROR(SEARCH("FAIL",BG222))),"Y","N"))</f>
        <v/>
      </c>
      <c r="CD222" s="10" t="str">
        <f aca="false">IF(D222="","",D222&amp;"|"&amp;J222&amp;"|"&amp;G222&amp;"|"&amp;CC222)</f>
        <v/>
      </c>
    </row>
    <row r="223" customFormat="false" ht="15" hidden="false" customHeight="false" outlineLevel="0" collapsed="false">
      <c r="A223" s="10" t="str">
        <f aca="false">IF(D223="","","MH-"&amp;IFERROR(VLOOKUP(D223,Lists!$AB$4:$AC$20,2,0),"??")&amp;"-"&amp;TEXT(G223,"0000")&amp;IF(F223="Circular","D","x"&amp;TEXT(H223,"0000"))&amp;"-D"&amp;TEXT(J223*1000,"0000")&amp;"-"&amp;IFERROR(VLOOKUP(E223,Lists!$AE$4:$AF$16,2,0),"??")&amp;"-"&amp;AM223)</f>
        <v/>
      </c>
      <c r="B223" s="10" t="str">
        <f aca="false">IF(D223="","",D223&amp;", "&amp;E223&amp;", "&amp;IF(F223="Circular",G223&amp;" dia",G223&amp;" x "&amp;H223)&amp;", depth "&amp;TEXT(I223,"0.0")&amp;"-"&amp;TEXT(J223,"0.0")&amp;" m, pipe up to "&amp;K223&amp;" dia")</f>
        <v/>
      </c>
      <c r="C223" s="9"/>
      <c r="D223" s="9"/>
      <c r="E223" s="9"/>
      <c r="F223" s="9"/>
      <c r="G223" s="38"/>
      <c r="H223" s="38"/>
      <c r="I223" s="42"/>
      <c r="J223" s="42"/>
      <c r="K223" s="38"/>
      <c r="L223" s="38"/>
      <c r="M223" s="38"/>
      <c r="N223" s="38"/>
      <c r="O223" s="9"/>
      <c r="P223" s="9"/>
      <c r="Q223" s="9"/>
      <c r="R223" s="9"/>
      <c r="S223" s="9"/>
      <c r="T223" s="9"/>
      <c r="U223" s="9"/>
      <c r="V223" s="42"/>
      <c r="W223" s="9"/>
      <c r="X223" s="9"/>
      <c r="Y223" s="39"/>
      <c r="Z223" s="9"/>
      <c r="AA223" s="38"/>
      <c r="AB223" s="9"/>
      <c r="AC223" s="9"/>
      <c r="AD223" s="9"/>
      <c r="AE223" s="9"/>
      <c r="AF223" s="9"/>
      <c r="AG223" s="9"/>
      <c r="AH223" s="38"/>
      <c r="AI223" s="9"/>
      <c r="AJ223" s="39"/>
      <c r="AK223" s="9"/>
      <c r="AL223" s="9"/>
      <c r="AM223" s="9"/>
      <c r="AN223" s="9"/>
      <c r="AO223" s="9"/>
      <c r="AP223" s="9"/>
      <c r="AQ223" s="9"/>
      <c r="AR223" s="10" t="str">
        <f aca="false">IF(A223="","",SG_Criteria!$B$6&amp;SG_Criteria!$B$10&amp;"\"&amp;A223&amp;"\")</f>
        <v/>
      </c>
      <c r="AS223" s="10" t="str">
        <f aca="false">IF(A223="","",A223&amp;"_CAD.dwg")</f>
        <v/>
      </c>
      <c r="AT223" s="10" t="str">
        <f aca="false">IF(A223="","",A223&amp;"_DWG.pdf")</f>
        <v/>
      </c>
      <c r="AU223" s="10" t="str">
        <f aca="false">IF(A223="","",IF(AQ223="Y",A223&amp;"_STAAD.std","n/a"))</f>
        <v/>
      </c>
      <c r="AV223" s="10" t="str">
        <f aca="false">IF(A223="","",A223&amp;"_CALC.xlsx")</f>
        <v/>
      </c>
      <c r="AW223" s="10" t="str">
        <f aca="false">IF(A223="","",A223&amp;"_CALC.pdf")</f>
        <v/>
      </c>
      <c r="AX223" s="9"/>
      <c r="AY223" s="9"/>
      <c r="AZ223" s="39"/>
      <c r="BA223" s="39"/>
      <c r="BB223" s="39"/>
      <c r="BC223" s="39"/>
      <c r="BD223" s="39"/>
      <c r="BE223" s="12" t="str">
        <f aca="false">IF(A223="","",IF(COUNTIF(Rebar_Schedule!$A$5:$A$2004,A223)=0,"",ROUND(SUMIF(Rebar_Schedule!$A$5:$A$2004,A223,Rebar_Schedule!$K$5:$K$2004),1)))</f>
        <v/>
      </c>
      <c r="BF223" s="33" t="str">
        <f aca="false">IF(A223="","",IF(BE223="","No rebar schedule yet",IF(ABS(BE223-N(BA223))/MAX(N(BA223),1)&gt;SG_Criteria!$B$55,"NOTE: register rebar differs from schedule by "&amp;TEXT(ABS(BE223-N(BA223))/MAX(N(BA223),1),"0%"),"OK")))</f>
        <v/>
      </c>
      <c r="BG223" s="33" t="str">
        <f aca="false">IF(D223="","",IF(LEN(IF(AND(Z223&lt;&gt;"",IFERROR(VALUE(MID(Z223,2,2)),0)&lt;SG_Criteria!$B$19),"FAIL: grade below C"&amp;SG_Criteria!$B$19&amp;". ","")&amp;IF(AND(AA223&lt;&gt;"",AA223&lt;SG_Criteria!$B$20),"FAIL: cover &lt; "&amp;SG_Criteria!$B$20&amp;" mm. ","")&amp;IF(AND(I223&lt;&gt;"",I223&lt;SG_Criteria!$B$39),"NOTE: min depth below PUB "&amp;SG_Criteria!$B$39&amp;" m. ","")&amp;IF(AND(LEFT(D223,8)="Standard",J223&gt;SG_Criteria!$B$42),"FAIL: PUB 001C covers manholes up to "&amp;SG_Criteria!$B$42&amp;" m deep only. ","")&amp;IF(AND(LEFT(D223,11)="Rectangular",K223&lt;SG_Criteria!$B$43),"NOTE: 004C is for sewers &gt;= "&amp;SG_Criteria!$B$43&amp;" dia. ","")&amp;IF(AND(LEFT(D223,7)="Precast",J223&lt;=SG_Criteria!$B$42),"NOTE: 006C is for manholes &gt; "&amp;SG_Criteria!$B$42&amp;" m deep. ","")&amp;IF(AND(K223&lt;&gt;"",K223&lt;SG_Criteria!$B$40,D223&lt;&gt;"Inspection Chamber"),"NOTE: public sewer min dia "&amp;SG_Criteria!$B$40&amp;" mm. ","")&amp;IF(AND(Y223&lt;&gt;"",Y223&lt;SG_Criteria!$B$44),"FAIL: uplift FOS below "&amp;SG_Criteria!$B$44&amp;". ",""))=0,"OK",IF(AND(Z223&lt;&gt;"",IFERROR(VALUE(MID(Z223,2,2)),0)&lt;SG_Criteria!$B$19),"FAIL: grade below C"&amp;SG_Criteria!$B$19&amp;". ","")&amp;IF(AND(AA223&lt;&gt;"",AA223&lt;SG_Criteria!$B$20),"FAIL: cover &lt; "&amp;SG_Criteria!$B$20&amp;" mm. ","")&amp;IF(AND(I223&lt;&gt;"",I223&lt;SG_Criteria!$B$39),"NOTE: min depth below PUB "&amp;SG_Criteria!$B$39&amp;" m. ","")&amp;IF(AND(LEFT(D223,8)="Standard",J223&gt;SG_Criteria!$B$42),"FAIL: PUB 001C covers manholes up to "&amp;SG_Criteria!$B$42&amp;" m deep only. ","")&amp;IF(AND(LEFT(D223,11)="Rectangular",K223&lt;SG_Criteria!$B$43),"NOTE: 004C is for sewers &gt;= "&amp;SG_Criteria!$B$43&amp;" dia. ","")&amp;IF(AND(LEFT(D223,7)="Precast",J223&lt;=SG_Criteria!$B$42),"NOTE: 006C is for manholes &gt; "&amp;SG_Criteria!$B$42&amp;" m deep. ","")&amp;IF(AND(K223&lt;&gt;"",K223&lt;SG_Criteria!$B$40,D223&lt;&gt;"Inspection Chamber"),"NOTE: public sewer min dia "&amp;SG_Criteria!$B$40&amp;" mm. ","")&amp;IF(AND(Y223&lt;&gt;"",Y223&lt;SG_Criteria!$B$44),"FAIL: uplift FOS below "&amp;SG_Criteria!$B$44&amp;". ","")))</f>
        <v/>
      </c>
      <c r="BH223" s="9"/>
      <c r="BI223" s="9"/>
      <c r="BJ223" s="9"/>
      <c r="BK223" s="10" t="str">
        <f aca="false">IF(BJ223="","",IFERROR(VLOOKUP(BJ223,Projects!$A$5:$D$504,2,0),"Ref not in Projects"))</f>
        <v/>
      </c>
      <c r="BL223" s="10" t="str">
        <f aca="false">IF(BJ223="","",IFERROR(VLOOKUP(BJ223,Projects!$A$5:$D$504,4,0),"Ref not in Projects"))</f>
        <v/>
      </c>
      <c r="BM223" s="9"/>
      <c r="BN223" s="9"/>
      <c r="BO223" s="9"/>
      <c r="BP223" s="40"/>
      <c r="BQ223" s="9"/>
      <c r="BR223" s="40"/>
      <c r="BS223" s="9"/>
      <c r="BT223" s="40"/>
      <c r="BU223" s="9"/>
      <c r="BV223" s="9"/>
      <c r="BW223" s="9"/>
      <c r="BX223" s="40"/>
      <c r="BY223" s="40"/>
      <c r="BZ223" s="36" t="str">
        <f aca="false">IF(BY223="","",EDATE(BY223,SG_Criteria!$B$54*12))</f>
        <v/>
      </c>
      <c r="CA223" s="33" t="str">
        <f aca="true">IF(A223="","",IF(BY223="","NOTE: not reviewed yet",IF(TODAY()&gt;BZ223,"NOTE: review overdue","OK")))</f>
        <v/>
      </c>
      <c r="CB223" s="37" t="str">
        <f aca="false">IF(A223="","",ROUND((IF(LEN(D223)&gt;0,1,0)+IF(LEN(E223)&gt;0,1,0)+IF(LEN(F223)&gt;0,1,0)+IF(LEN(G223)&gt;0,1,0)+IF(LEN(I223)&gt;0,1,0)+IF(LEN(J223)&gt;0,1,0)+IF(LEN(K223)&gt;0,1,0)+IF(LEN(L223)&gt;0,1,0)+IF(LEN(M223)&gt;0,1,0)+IF(LEN(N223)&gt;0,1,0)+IF(LEN(Z223)&gt;0,1,0)+IF(LEN(AA223)&gt;0,1,0)+IF(LEN(Y223)&gt;0,1,0)+IF(LEN(AE223)&gt;0,1,0)+IF(LEN(AG223)&gt;0,1,0)+IF(LEN(AZ223)&gt;0,1,0)+IF(LEN(AK223)&gt;0,1,0)+IF(LEN(AM223)&gt;0,1,0)+IF(LEN(AN223)&gt;0,1,0)+IF(LEN(AO223)&gt;0,1,0)+IF(LEN(AP223)&gt;0,1,0)+IF(LEN(AY223)&gt;0,1,0)+IF(LEN(BJ223)&gt;0,1,0)+IF(LEN(BW223)&gt;0,1,0))/24,2))</f>
        <v/>
      </c>
      <c r="CC223" s="10" t="str">
        <f aca="false">IF(D223="","",IF(AND(AN223="Approved",ISERROR(SEARCH("FAIL",BG223))),"Y","N"))</f>
        <v/>
      </c>
      <c r="CD223" s="10" t="str">
        <f aca="false">IF(D223="","",D223&amp;"|"&amp;J223&amp;"|"&amp;G223&amp;"|"&amp;CC223)</f>
        <v/>
      </c>
    </row>
    <row r="224" customFormat="false" ht="15" hidden="false" customHeight="false" outlineLevel="0" collapsed="false">
      <c r="A224" s="10" t="str">
        <f aca="false">IF(D224="","","MH-"&amp;IFERROR(VLOOKUP(D224,Lists!$AB$4:$AC$20,2,0),"??")&amp;"-"&amp;TEXT(G224,"0000")&amp;IF(F224="Circular","D","x"&amp;TEXT(H224,"0000"))&amp;"-D"&amp;TEXT(J224*1000,"0000")&amp;"-"&amp;IFERROR(VLOOKUP(E224,Lists!$AE$4:$AF$16,2,0),"??")&amp;"-"&amp;AM224)</f>
        <v/>
      </c>
      <c r="B224" s="10" t="str">
        <f aca="false">IF(D224="","",D224&amp;", "&amp;E224&amp;", "&amp;IF(F224="Circular",G224&amp;" dia",G224&amp;" x "&amp;H224)&amp;", depth "&amp;TEXT(I224,"0.0")&amp;"-"&amp;TEXT(J224,"0.0")&amp;" m, pipe up to "&amp;K224&amp;" dia")</f>
        <v/>
      </c>
      <c r="C224" s="9"/>
      <c r="D224" s="9"/>
      <c r="E224" s="9"/>
      <c r="F224" s="9"/>
      <c r="G224" s="38"/>
      <c r="H224" s="38"/>
      <c r="I224" s="42"/>
      <c r="J224" s="42"/>
      <c r="K224" s="38"/>
      <c r="L224" s="38"/>
      <c r="M224" s="38"/>
      <c r="N224" s="38"/>
      <c r="O224" s="9"/>
      <c r="P224" s="9"/>
      <c r="Q224" s="9"/>
      <c r="R224" s="9"/>
      <c r="S224" s="9"/>
      <c r="T224" s="9"/>
      <c r="U224" s="9"/>
      <c r="V224" s="42"/>
      <c r="W224" s="9"/>
      <c r="X224" s="9"/>
      <c r="Y224" s="39"/>
      <c r="Z224" s="9"/>
      <c r="AA224" s="38"/>
      <c r="AB224" s="9"/>
      <c r="AC224" s="9"/>
      <c r="AD224" s="9"/>
      <c r="AE224" s="9"/>
      <c r="AF224" s="9"/>
      <c r="AG224" s="9"/>
      <c r="AH224" s="38"/>
      <c r="AI224" s="9"/>
      <c r="AJ224" s="39"/>
      <c r="AK224" s="9"/>
      <c r="AL224" s="9"/>
      <c r="AM224" s="9"/>
      <c r="AN224" s="9"/>
      <c r="AO224" s="9"/>
      <c r="AP224" s="9"/>
      <c r="AQ224" s="9"/>
      <c r="AR224" s="10" t="str">
        <f aca="false">IF(A224="","",SG_Criteria!$B$6&amp;SG_Criteria!$B$10&amp;"\"&amp;A224&amp;"\")</f>
        <v/>
      </c>
      <c r="AS224" s="10" t="str">
        <f aca="false">IF(A224="","",A224&amp;"_CAD.dwg")</f>
        <v/>
      </c>
      <c r="AT224" s="10" t="str">
        <f aca="false">IF(A224="","",A224&amp;"_DWG.pdf")</f>
        <v/>
      </c>
      <c r="AU224" s="10" t="str">
        <f aca="false">IF(A224="","",IF(AQ224="Y",A224&amp;"_STAAD.std","n/a"))</f>
        <v/>
      </c>
      <c r="AV224" s="10" t="str">
        <f aca="false">IF(A224="","",A224&amp;"_CALC.xlsx")</f>
        <v/>
      </c>
      <c r="AW224" s="10" t="str">
        <f aca="false">IF(A224="","",A224&amp;"_CALC.pdf")</f>
        <v/>
      </c>
      <c r="AX224" s="9"/>
      <c r="AY224" s="9"/>
      <c r="AZ224" s="39"/>
      <c r="BA224" s="39"/>
      <c r="BB224" s="39"/>
      <c r="BC224" s="39"/>
      <c r="BD224" s="39"/>
      <c r="BE224" s="12" t="str">
        <f aca="false">IF(A224="","",IF(COUNTIF(Rebar_Schedule!$A$5:$A$2004,A224)=0,"",ROUND(SUMIF(Rebar_Schedule!$A$5:$A$2004,A224,Rebar_Schedule!$K$5:$K$2004),1)))</f>
        <v/>
      </c>
      <c r="BF224" s="33" t="str">
        <f aca="false">IF(A224="","",IF(BE224="","No rebar schedule yet",IF(ABS(BE224-N(BA224))/MAX(N(BA224),1)&gt;SG_Criteria!$B$55,"NOTE: register rebar differs from schedule by "&amp;TEXT(ABS(BE224-N(BA224))/MAX(N(BA224),1),"0%"),"OK")))</f>
        <v/>
      </c>
      <c r="BG224" s="33" t="str">
        <f aca="false">IF(D224="","",IF(LEN(IF(AND(Z224&lt;&gt;"",IFERROR(VALUE(MID(Z224,2,2)),0)&lt;SG_Criteria!$B$19),"FAIL: grade below C"&amp;SG_Criteria!$B$19&amp;". ","")&amp;IF(AND(AA224&lt;&gt;"",AA224&lt;SG_Criteria!$B$20),"FAIL: cover &lt; "&amp;SG_Criteria!$B$20&amp;" mm. ","")&amp;IF(AND(I224&lt;&gt;"",I224&lt;SG_Criteria!$B$39),"NOTE: min depth below PUB "&amp;SG_Criteria!$B$39&amp;" m. ","")&amp;IF(AND(LEFT(D224,8)="Standard",J224&gt;SG_Criteria!$B$42),"FAIL: PUB 001C covers manholes up to "&amp;SG_Criteria!$B$42&amp;" m deep only. ","")&amp;IF(AND(LEFT(D224,11)="Rectangular",K224&lt;SG_Criteria!$B$43),"NOTE: 004C is for sewers &gt;= "&amp;SG_Criteria!$B$43&amp;" dia. ","")&amp;IF(AND(LEFT(D224,7)="Precast",J224&lt;=SG_Criteria!$B$42),"NOTE: 006C is for manholes &gt; "&amp;SG_Criteria!$B$42&amp;" m deep. ","")&amp;IF(AND(K224&lt;&gt;"",K224&lt;SG_Criteria!$B$40,D224&lt;&gt;"Inspection Chamber"),"NOTE: public sewer min dia "&amp;SG_Criteria!$B$40&amp;" mm. ","")&amp;IF(AND(Y224&lt;&gt;"",Y224&lt;SG_Criteria!$B$44),"FAIL: uplift FOS below "&amp;SG_Criteria!$B$44&amp;". ",""))=0,"OK",IF(AND(Z224&lt;&gt;"",IFERROR(VALUE(MID(Z224,2,2)),0)&lt;SG_Criteria!$B$19),"FAIL: grade below C"&amp;SG_Criteria!$B$19&amp;". ","")&amp;IF(AND(AA224&lt;&gt;"",AA224&lt;SG_Criteria!$B$20),"FAIL: cover &lt; "&amp;SG_Criteria!$B$20&amp;" mm. ","")&amp;IF(AND(I224&lt;&gt;"",I224&lt;SG_Criteria!$B$39),"NOTE: min depth below PUB "&amp;SG_Criteria!$B$39&amp;" m. ","")&amp;IF(AND(LEFT(D224,8)="Standard",J224&gt;SG_Criteria!$B$42),"FAIL: PUB 001C covers manholes up to "&amp;SG_Criteria!$B$42&amp;" m deep only. ","")&amp;IF(AND(LEFT(D224,11)="Rectangular",K224&lt;SG_Criteria!$B$43),"NOTE: 004C is for sewers &gt;= "&amp;SG_Criteria!$B$43&amp;" dia. ","")&amp;IF(AND(LEFT(D224,7)="Precast",J224&lt;=SG_Criteria!$B$42),"NOTE: 006C is for manholes &gt; "&amp;SG_Criteria!$B$42&amp;" m deep. ","")&amp;IF(AND(K224&lt;&gt;"",K224&lt;SG_Criteria!$B$40,D224&lt;&gt;"Inspection Chamber"),"NOTE: public sewer min dia "&amp;SG_Criteria!$B$40&amp;" mm. ","")&amp;IF(AND(Y224&lt;&gt;"",Y224&lt;SG_Criteria!$B$44),"FAIL: uplift FOS below "&amp;SG_Criteria!$B$44&amp;". ","")))</f>
        <v/>
      </c>
      <c r="BH224" s="9"/>
      <c r="BI224" s="9"/>
      <c r="BJ224" s="9"/>
      <c r="BK224" s="10" t="str">
        <f aca="false">IF(BJ224="","",IFERROR(VLOOKUP(BJ224,Projects!$A$5:$D$504,2,0),"Ref not in Projects"))</f>
        <v/>
      </c>
      <c r="BL224" s="10" t="str">
        <f aca="false">IF(BJ224="","",IFERROR(VLOOKUP(BJ224,Projects!$A$5:$D$504,4,0),"Ref not in Projects"))</f>
        <v/>
      </c>
      <c r="BM224" s="9"/>
      <c r="BN224" s="9"/>
      <c r="BO224" s="9"/>
      <c r="BP224" s="40"/>
      <c r="BQ224" s="9"/>
      <c r="BR224" s="40"/>
      <c r="BS224" s="9"/>
      <c r="BT224" s="40"/>
      <c r="BU224" s="9"/>
      <c r="BV224" s="9"/>
      <c r="BW224" s="9"/>
      <c r="BX224" s="40"/>
      <c r="BY224" s="40"/>
      <c r="BZ224" s="36" t="str">
        <f aca="false">IF(BY224="","",EDATE(BY224,SG_Criteria!$B$54*12))</f>
        <v/>
      </c>
      <c r="CA224" s="33" t="str">
        <f aca="true">IF(A224="","",IF(BY224="","NOTE: not reviewed yet",IF(TODAY()&gt;BZ224,"NOTE: review overdue","OK")))</f>
        <v/>
      </c>
      <c r="CB224" s="37" t="str">
        <f aca="false">IF(A224="","",ROUND((IF(LEN(D224)&gt;0,1,0)+IF(LEN(E224)&gt;0,1,0)+IF(LEN(F224)&gt;0,1,0)+IF(LEN(G224)&gt;0,1,0)+IF(LEN(I224)&gt;0,1,0)+IF(LEN(J224)&gt;0,1,0)+IF(LEN(K224)&gt;0,1,0)+IF(LEN(L224)&gt;0,1,0)+IF(LEN(M224)&gt;0,1,0)+IF(LEN(N224)&gt;0,1,0)+IF(LEN(Z224)&gt;0,1,0)+IF(LEN(AA224)&gt;0,1,0)+IF(LEN(Y224)&gt;0,1,0)+IF(LEN(AE224)&gt;0,1,0)+IF(LEN(AG224)&gt;0,1,0)+IF(LEN(AZ224)&gt;0,1,0)+IF(LEN(AK224)&gt;0,1,0)+IF(LEN(AM224)&gt;0,1,0)+IF(LEN(AN224)&gt;0,1,0)+IF(LEN(AO224)&gt;0,1,0)+IF(LEN(AP224)&gt;0,1,0)+IF(LEN(AY224)&gt;0,1,0)+IF(LEN(BJ224)&gt;0,1,0)+IF(LEN(BW224)&gt;0,1,0))/24,2))</f>
        <v/>
      </c>
      <c r="CC224" s="10" t="str">
        <f aca="false">IF(D224="","",IF(AND(AN224="Approved",ISERROR(SEARCH("FAIL",BG224))),"Y","N"))</f>
        <v/>
      </c>
      <c r="CD224" s="10" t="str">
        <f aca="false">IF(D224="","",D224&amp;"|"&amp;J224&amp;"|"&amp;G224&amp;"|"&amp;CC224)</f>
        <v/>
      </c>
    </row>
    <row r="225" customFormat="false" ht="15" hidden="false" customHeight="false" outlineLevel="0" collapsed="false">
      <c r="A225" s="10" t="str">
        <f aca="false">IF(D225="","","MH-"&amp;IFERROR(VLOOKUP(D225,Lists!$AB$4:$AC$20,2,0),"??")&amp;"-"&amp;TEXT(G225,"0000")&amp;IF(F225="Circular","D","x"&amp;TEXT(H225,"0000"))&amp;"-D"&amp;TEXT(J225*1000,"0000")&amp;"-"&amp;IFERROR(VLOOKUP(E225,Lists!$AE$4:$AF$16,2,0),"??")&amp;"-"&amp;AM225)</f>
        <v/>
      </c>
      <c r="B225" s="10" t="str">
        <f aca="false">IF(D225="","",D225&amp;", "&amp;E225&amp;", "&amp;IF(F225="Circular",G225&amp;" dia",G225&amp;" x "&amp;H225)&amp;", depth "&amp;TEXT(I225,"0.0")&amp;"-"&amp;TEXT(J225,"0.0")&amp;" m, pipe up to "&amp;K225&amp;" dia")</f>
        <v/>
      </c>
      <c r="C225" s="9"/>
      <c r="D225" s="9"/>
      <c r="E225" s="9"/>
      <c r="F225" s="9"/>
      <c r="G225" s="38"/>
      <c r="H225" s="38"/>
      <c r="I225" s="42"/>
      <c r="J225" s="42"/>
      <c r="K225" s="38"/>
      <c r="L225" s="38"/>
      <c r="M225" s="38"/>
      <c r="N225" s="38"/>
      <c r="O225" s="9"/>
      <c r="P225" s="9"/>
      <c r="Q225" s="9"/>
      <c r="R225" s="9"/>
      <c r="S225" s="9"/>
      <c r="T225" s="9"/>
      <c r="U225" s="9"/>
      <c r="V225" s="42"/>
      <c r="W225" s="9"/>
      <c r="X225" s="9"/>
      <c r="Y225" s="39"/>
      <c r="Z225" s="9"/>
      <c r="AA225" s="38"/>
      <c r="AB225" s="9"/>
      <c r="AC225" s="9"/>
      <c r="AD225" s="9"/>
      <c r="AE225" s="9"/>
      <c r="AF225" s="9"/>
      <c r="AG225" s="9"/>
      <c r="AH225" s="38"/>
      <c r="AI225" s="9"/>
      <c r="AJ225" s="39"/>
      <c r="AK225" s="9"/>
      <c r="AL225" s="9"/>
      <c r="AM225" s="9"/>
      <c r="AN225" s="9"/>
      <c r="AO225" s="9"/>
      <c r="AP225" s="9"/>
      <c r="AQ225" s="9"/>
      <c r="AR225" s="10" t="str">
        <f aca="false">IF(A225="","",SG_Criteria!$B$6&amp;SG_Criteria!$B$10&amp;"\"&amp;A225&amp;"\")</f>
        <v/>
      </c>
      <c r="AS225" s="10" t="str">
        <f aca="false">IF(A225="","",A225&amp;"_CAD.dwg")</f>
        <v/>
      </c>
      <c r="AT225" s="10" t="str">
        <f aca="false">IF(A225="","",A225&amp;"_DWG.pdf")</f>
        <v/>
      </c>
      <c r="AU225" s="10" t="str">
        <f aca="false">IF(A225="","",IF(AQ225="Y",A225&amp;"_STAAD.std","n/a"))</f>
        <v/>
      </c>
      <c r="AV225" s="10" t="str">
        <f aca="false">IF(A225="","",A225&amp;"_CALC.xlsx")</f>
        <v/>
      </c>
      <c r="AW225" s="10" t="str">
        <f aca="false">IF(A225="","",A225&amp;"_CALC.pdf")</f>
        <v/>
      </c>
      <c r="AX225" s="9"/>
      <c r="AY225" s="9"/>
      <c r="AZ225" s="39"/>
      <c r="BA225" s="39"/>
      <c r="BB225" s="39"/>
      <c r="BC225" s="39"/>
      <c r="BD225" s="39"/>
      <c r="BE225" s="12" t="str">
        <f aca="false">IF(A225="","",IF(COUNTIF(Rebar_Schedule!$A$5:$A$2004,A225)=0,"",ROUND(SUMIF(Rebar_Schedule!$A$5:$A$2004,A225,Rebar_Schedule!$K$5:$K$2004),1)))</f>
        <v/>
      </c>
      <c r="BF225" s="33" t="str">
        <f aca="false">IF(A225="","",IF(BE225="","No rebar schedule yet",IF(ABS(BE225-N(BA225))/MAX(N(BA225),1)&gt;SG_Criteria!$B$55,"NOTE: register rebar differs from schedule by "&amp;TEXT(ABS(BE225-N(BA225))/MAX(N(BA225),1),"0%"),"OK")))</f>
        <v/>
      </c>
      <c r="BG225" s="33" t="str">
        <f aca="false">IF(D225="","",IF(LEN(IF(AND(Z225&lt;&gt;"",IFERROR(VALUE(MID(Z225,2,2)),0)&lt;SG_Criteria!$B$19),"FAIL: grade below C"&amp;SG_Criteria!$B$19&amp;". ","")&amp;IF(AND(AA225&lt;&gt;"",AA225&lt;SG_Criteria!$B$20),"FAIL: cover &lt; "&amp;SG_Criteria!$B$20&amp;" mm. ","")&amp;IF(AND(I225&lt;&gt;"",I225&lt;SG_Criteria!$B$39),"NOTE: min depth below PUB "&amp;SG_Criteria!$B$39&amp;" m. ","")&amp;IF(AND(LEFT(D225,8)="Standard",J225&gt;SG_Criteria!$B$42),"FAIL: PUB 001C covers manholes up to "&amp;SG_Criteria!$B$42&amp;" m deep only. ","")&amp;IF(AND(LEFT(D225,11)="Rectangular",K225&lt;SG_Criteria!$B$43),"NOTE: 004C is for sewers &gt;= "&amp;SG_Criteria!$B$43&amp;" dia. ","")&amp;IF(AND(LEFT(D225,7)="Precast",J225&lt;=SG_Criteria!$B$42),"NOTE: 006C is for manholes &gt; "&amp;SG_Criteria!$B$42&amp;" m deep. ","")&amp;IF(AND(K225&lt;&gt;"",K225&lt;SG_Criteria!$B$40,D225&lt;&gt;"Inspection Chamber"),"NOTE: public sewer min dia "&amp;SG_Criteria!$B$40&amp;" mm. ","")&amp;IF(AND(Y225&lt;&gt;"",Y225&lt;SG_Criteria!$B$44),"FAIL: uplift FOS below "&amp;SG_Criteria!$B$44&amp;". ",""))=0,"OK",IF(AND(Z225&lt;&gt;"",IFERROR(VALUE(MID(Z225,2,2)),0)&lt;SG_Criteria!$B$19),"FAIL: grade below C"&amp;SG_Criteria!$B$19&amp;". ","")&amp;IF(AND(AA225&lt;&gt;"",AA225&lt;SG_Criteria!$B$20),"FAIL: cover &lt; "&amp;SG_Criteria!$B$20&amp;" mm. ","")&amp;IF(AND(I225&lt;&gt;"",I225&lt;SG_Criteria!$B$39),"NOTE: min depth below PUB "&amp;SG_Criteria!$B$39&amp;" m. ","")&amp;IF(AND(LEFT(D225,8)="Standard",J225&gt;SG_Criteria!$B$42),"FAIL: PUB 001C covers manholes up to "&amp;SG_Criteria!$B$42&amp;" m deep only. ","")&amp;IF(AND(LEFT(D225,11)="Rectangular",K225&lt;SG_Criteria!$B$43),"NOTE: 004C is for sewers &gt;= "&amp;SG_Criteria!$B$43&amp;" dia. ","")&amp;IF(AND(LEFT(D225,7)="Precast",J225&lt;=SG_Criteria!$B$42),"NOTE: 006C is for manholes &gt; "&amp;SG_Criteria!$B$42&amp;" m deep. ","")&amp;IF(AND(K225&lt;&gt;"",K225&lt;SG_Criteria!$B$40,D225&lt;&gt;"Inspection Chamber"),"NOTE: public sewer min dia "&amp;SG_Criteria!$B$40&amp;" mm. ","")&amp;IF(AND(Y225&lt;&gt;"",Y225&lt;SG_Criteria!$B$44),"FAIL: uplift FOS below "&amp;SG_Criteria!$B$44&amp;". ","")))</f>
        <v/>
      </c>
      <c r="BH225" s="9"/>
      <c r="BI225" s="9"/>
      <c r="BJ225" s="9"/>
      <c r="BK225" s="10" t="str">
        <f aca="false">IF(BJ225="","",IFERROR(VLOOKUP(BJ225,Projects!$A$5:$D$504,2,0),"Ref not in Projects"))</f>
        <v/>
      </c>
      <c r="BL225" s="10" t="str">
        <f aca="false">IF(BJ225="","",IFERROR(VLOOKUP(BJ225,Projects!$A$5:$D$504,4,0),"Ref not in Projects"))</f>
        <v/>
      </c>
      <c r="BM225" s="9"/>
      <c r="BN225" s="9"/>
      <c r="BO225" s="9"/>
      <c r="BP225" s="40"/>
      <c r="BQ225" s="9"/>
      <c r="BR225" s="40"/>
      <c r="BS225" s="9"/>
      <c r="BT225" s="40"/>
      <c r="BU225" s="9"/>
      <c r="BV225" s="9"/>
      <c r="BW225" s="9"/>
      <c r="BX225" s="40"/>
      <c r="BY225" s="40"/>
      <c r="BZ225" s="36" t="str">
        <f aca="false">IF(BY225="","",EDATE(BY225,SG_Criteria!$B$54*12))</f>
        <v/>
      </c>
      <c r="CA225" s="33" t="str">
        <f aca="true">IF(A225="","",IF(BY225="","NOTE: not reviewed yet",IF(TODAY()&gt;BZ225,"NOTE: review overdue","OK")))</f>
        <v/>
      </c>
      <c r="CB225" s="37" t="str">
        <f aca="false">IF(A225="","",ROUND((IF(LEN(D225)&gt;0,1,0)+IF(LEN(E225)&gt;0,1,0)+IF(LEN(F225)&gt;0,1,0)+IF(LEN(G225)&gt;0,1,0)+IF(LEN(I225)&gt;0,1,0)+IF(LEN(J225)&gt;0,1,0)+IF(LEN(K225)&gt;0,1,0)+IF(LEN(L225)&gt;0,1,0)+IF(LEN(M225)&gt;0,1,0)+IF(LEN(N225)&gt;0,1,0)+IF(LEN(Z225)&gt;0,1,0)+IF(LEN(AA225)&gt;0,1,0)+IF(LEN(Y225)&gt;0,1,0)+IF(LEN(AE225)&gt;0,1,0)+IF(LEN(AG225)&gt;0,1,0)+IF(LEN(AZ225)&gt;0,1,0)+IF(LEN(AK225)&gt;0,1,0)+IF(LEN(AM225)&gt;0,1,0)+IF(LEN(AN225)&gt;0,1,0)+IF(LEN(AO225)&gt;0,1,0)+IF(LEN(AP225)&gt;0,1,0)+IF(LEN(AY225)&gt;0,1,0)+IF(LEN(BJ225)&gt;0,1,0)+IF(LEN(BW225)&gt;0,1,0))/24,2))</f>
        <v/>
      </c>
      <c r="CC225" s="10" t="str">
        <f aca="false">IF(D225="","",IF(AND(AN225="Approved",ISERROR(SEARCH("FAIL",BG225))),"Y","N"))</f>
        <v/>
      </c>
      <c r="CD225" s="10" t="str">
        <f aca="false">IF(D225="","",D225&amp;"|"&amp;J225&amp;"|"&amp;G225&amp;"|"&amp;CC225)</f>
        <v/>
      </c>
    </row>
    <row r="226" customFormat="false" ht="15" hidden="false" customHeight="false" outlineLevel="0" collapsed="false">
      <c r="A226" s="10" t="str">
        <f aca="false">IF(D226="","","MH-"&amp;IFERROR(VLOOKUP(D226,Lists!$AB$4:$AC$20,2,0),"??")&amp;"-"&amp;TEXT(G226,"0000")&amp;IF(F226="Circular","D","x"&amp;TEXT(H226,"0000"))&amp;"-D"&amp;TEXT(J226*1000,"0000")&amp;"-"&amp;IFERROR(VLOOKUP(E226,Lists!$AE$4:$AF$16,2,0),"??")&amp;"-"&amp;AM226)</f>
        <v/>
      </c>
      <c r="B226" s="10" t="str">
        <f aca="false">IF(D226="","",D226&amp;", "&amp;E226&amp;", "&amp;IF(F226="Circular",G226&amp;" dia",G226&amp;" x "&amp;H226)&amp;", depth "&amp;TEXT(I226,"0.0")&amp;"-"&amp;TEXT(J226,"0.0")&amp;" m, pipe up to "&amp;K226&amp;" dia")</f>
        <v/>
      </c>
      <c r="C226" s="9"/>
      <c r="D226" s="9"/>
      <c r="E226" s="9"/>
      <c r="F226" s="9"/>
      <c r="G226" s="38"/>
      <c r="H226" s="38"/>
      <c r="I226" s="42"/>
      <c r="J226" s="42"/>
      <c r="K226" s="38"/>
      <c r="L226" s="38"/>
      <c r="M226" s="38"/>
      <c r="N226" s="38"/>
      <c r="O226" s="9"/>
      <c r="P226" s="9"/>
      <c r="Q226" s="9"/>
      <c r="R226" s="9"/>
      <c r="S226" s="9"/>
      <c r="T226" s="9"/>
      <c r="U226" s="9"/>
      <c r="V226" s="42"/>
      <c r="W226" s="9"/>
      <c r="X226" s="9"/>
      <c r="Y226" s="39"/>
      <c r="Z226" s="9"/>
      <c r="AA226" s="38"/>
      <c r="AB226" s="9"/>
      <c r="AC226" s="9"/>
      <c r="AD226" s="9"/>
      <c r="AE226" s="9"/>
      <c r="AF226" s="9"/>
      <c r="AG226" s="9"/>
      <c r="AH226" s="38"/>
      <c r="AI226" s="9"/>
      <c r="AJ226" s="39"/>
      <c r="AK226" s="9"/>
      <c r="AL226" s="9"/>
      <c r="AM226" s="9"/>
      <c r="AN226" s="9"/>
      <c r="AO226" s="9"/>
      <c r="AP226" s="9"/>
      <c r="AQ226" s="9"/>
      <c r="AR226" s="10" t="str">
        <f aca="false">IF(A226="","",SG_Criteria!$B$6&amp;SG_Criteria!$B$10&amp;"\"&amp;A226&amp;"\")</f>
        <v/>
      </c>
      <c r="AS226" s="10" t="str">
        <f aca="false">IF(A226="","",A226&amp;"_CAD.dwg")</f>
        <v/>
      </c>
      <c r="AT226" s="10" t="str">
        <f aca="false">IF(A226="","",A226&amp;"_DWG.pdf")</f>
        <v/>
      </c>
      <c r="AU226" s="10" t="str">
        <f aca="false">IF(A226="","",IF(AQ226="Y",A226&amp;"_STAAD.std","n/a"))</f>
        <v/>
      </c>
      <c r="AV226" s="10" t="str">
        <f aca="false">IF(A226="","",A226&amp;"_CALC.xlsx")</f>
        <v/>
      </c>
      <c r="AW226" s="10" t="str">
        <f aca="false">IF(A226="","",A226&amp;"_CALC.pdf")</f>
        <v/>
      </c>
      <c r="AX226" s="9"/>
      <c r="AY226" s="9"/>
      <c r="AZ226" s="39"/>
      <c r="BA226" s="39"/>
      <c r="BB226" s="39"/>
      <c r="BC226" s="39"/>
      <c r="BD226" s="39"/>
      <c r="BE226" s="12" t="str">
        <f aca="false">IF(A226="","",IF(COUNTIF(Rebar_Schedule!$A$5:$A$2004,A226)=0,"",ROUND(SUMIF(Rebar_Schedule!$A$5:$A$2004,A226,Rebar_Schedule!$K$5:$K$2004),1)))</f>
        <v/>
      </c>
      <c r="BF226" s="33" t="str">
        <f aca="false">IF(A226="","",IF(BE226="","No rebar schedule yet",IF(ABS(BE226-N(BA226))/MAX(N(BA226),1)&gt;SG_Criteria!$B$55,"NOTE: register rebar differs from schedule by "&amp;TEXT(ABS(BE226-N(BA226))/MAX(N(BA226),1),"0%"),"OK")))</f>
        <v/>
      </c>
      <c r="BG226" s="33" t="str">
        <f aca="false">IF(D226="","",IF(LEN(IF(AND(Z226&lt;&gt;"",IFERROR(VALUE(MID(Z226,2,2)),0)&lt;SG_Criteria!$B$19),"FAIL: grade below C"&amp;SG_Criteria!$B$19&amp;". ","")&amp;IF(AND(AA226&lt;&gt;"",AA226&lt;SG_Criteria!$B$20),"FAIL: cover &lt; "&amp;SG_Criteria!$B$20&amp;" mm. ","")&amp;IF(AND(I226&lt;&gt;"",I226&lt;SG_Criteria!$B$39),"NOTE: min depth below PUB "&amp;SG_Criteria!$B$39&amp;" m. ","")&amp;IF(AND(LEFT(D226,8)="Standard",J226&gt;SG_Criteria!$B$42),"FAIL: PUB 001C covers manholes up to "&amp;SG_Criteria!$B$42&amp;" m deep only. ","")&amp;IF(AND(LEFT(D226,11)="Rectangular",K226&lt;SG_Criteria!$B$43),"NOTE: 004C is for sewers &gt;= "&amp;SG_Criteria!$B$43&amp;" dia. ","")&amp;IF(AND(LEFT(D226,7)="Precast",J226&lt;=SG_Criteria!$B$42),"NOTE: 006C is for manholes &gt; "&amp;SG_Criteria!$B$42&amp;" m deep. ","")&amp;IF(AND(K226&lt;&gt;"",K226&lt;SG_Criteria!$B$40,D226&lt;&gt;"Inspection Chamber"),"NOTE: public sewer min dia "&amp;SG_Criteria!$B$40&amp;" mm. ","")&amp;IF(AND(Y226&lt;&gt;"",Y226&lt;SG_Criteria!$B$44),"FAIL: uplift FOS below "&amp;SG_Criteria!$B$44&amp;". ",""))=0,"OK",IF(AND(Z226&lt;&gt;"",IFERROR(VALUE(MID(Z226,2,2)),0)&lt;SG_Criteria!$B$19),"FAIL: grade below C"&amp;SG_Criteria!$B$19&amp;". ","")&amp;IF(AND(AA226&lt;&gt;"",AA226&lt;SG_Criteria!$B$20),"FAIL: cover &lt; "&amp;SG_Criteria!$B$20&amp;" mm. ","")&amp;IF(AND(I226&lt;&gt;"",I226&lt;SG_Criteria!$B$39),"NOTE: min depth below PUB "&amp;SG_Criteria!$B$39&amp;" m. ","")&amp;IF(AND(LEFT(D226,8)="Standard",J226&gt;SG_Criteria!$B$42),"FAIL: PUB 001C covers manholes up to "&amp;SG_Criteria!$B$42&amp;" m deep only. ","")&amp;IF(AND(LEFT(D226,11)="Rectangular",K226&lt;SG_Criteria!$B$43),"NOTE: 004C is for sewers &gt;= "&amp;SG_Criteria!$B$43&amp;" dia. ","")&amp;IF(AND(LEFT(D226,7)="Precast",J226&lt;=SG_Criteria!$B$42),"NOTE: 006C is for manholes &gt; "&amp;SG_Criteria!$B$42&amp;" m deep. ","")&amp;IF(AND(K226&lt;&gt;"",K226&lt;SG_Criteria!$B$40,D226&lt;&gt;"Inspection Chamber"),"NOTE: public sewer min dia "&amp;SG_Criteria!$B$40&amp;" mm. ","")&amp;IF(AND(Y226&lt;&gt;"",Y226&lt;SG_Criteria!$B$44),"FAIL: uplift FOS below "&amp;SG_Criteria!$B$44&amp;". ","")))</f>
        <v/>
      </c>
      <c r="BH226" s="9"/>
      <c r="BI226" s="9"/>
      <c r="BJ226" s="9"/>
      <c r="BK226" s="10" t="str">
        <f aca="false">IF(BJ226="","",IFERROR(VLOOKUP(BJ226,Projects!$A$5:$D$504,2,0),"Ref not in Projects"))</f>
        <v/>
      </c>
      <c r="BL226" s="10" t="str">
        <f aca="false">IF(BJ226="","",IFERROR(VLOOKUP(BJ226,Projects!$A$5:$D$504,4,0),"Ref not in Projects"))</f>
        <v/>
      </c>
      <c r="BM226" s="9"/>
      <c r="BN226" s="9"/>
      <c r="BO226" s="9"/>
      <c r="BP226" s="40"/>
      <c r="BQ226" s="9"/>
      <c r="BR226" s="40"/>
      <c r="BS226" s="9"/>
      <c r="BT226" s="40"/>
      <c r="BU226" s="9"/>
      <c r="BV226" s="9"/>
      <c r="BW226" s="9"/>
      <c r="BX226" s="40"/>
      <c r="BY226" s="40"/>
      <c r="BZ226" s="36" t="str">
        <f aca="false">IF(BY226="","",EDATE(BY226,SG_Criteria!$B$54*12))</f>
        <v/>
      </c>
      <c r="CA226" s="33" t="str">
        <f aca="true">IF(A226="","",IF(BY226="","NOTE: not reviewed yet",IF(TODAY()&gt;BZ226,"NOTE: review overdue","OK")))</f>
        <v/>
      </c>
      <c r="CB226" s="37" t="str">
        <f aca="false">IF(A226="","",ROUND((IF(LEN(D226)&gt;0,1,0)+IF(LEN(E226)&gt;0,1,0)+IF(LEN(F226)&gt;0,1,0)+IF(LEN(G226)&gt;0,1,0)+IF(LEN(I226)&gt;0,1,0)+IF(LEN(J226)&gt;0,1,0)+IF(LEN(K226)&gt;0,1,0)+IF(LEN(L226)&gt;0,1,0)+IF(LEN(M226)&gt;0,1,0)+IF(LEN(N226)&gt;0,1,0)+IF(LEN(Z226)&gt;0,1,0)+IF(LEN(AA226)&gt;0,1,0)+IF(LEN(Y226)&gt;0,1,0)+IF(LEN(AE226)&gt;0,1,0)+IF(LEN(AG226)&gt;0,1,0)+IF(LEN(AZ226)&gt;0,1,0)+IF(LEN(AK226)&gt;0,1,0)+IF(LEN(AM226)&gt;0,1,0)+IF(LEN(AN226)&gt;0,1,0)+IF(LEN(AO226)&gt;0,1,0)+IF(LEN(AP226)&gt;0,1,0)+IF(LEN(AY226)&gt;0,1,0)+IF(LEN(BJ226)&gt;0,1,0)+IF(LEN(BW226)&gt;0,1,0))/24,2))</f>
        <v/>
      </c>
      <c r="CC226" s="10" t="str">
        <f aca="false">IF(D226="","",IF(AND(AN226="Approved",ISERROR(SEARCH("FAIL",BG226))),"Y","N"))</f>
        <v/>
      </c>
      <c r="CD226" s="10" t="str">
        <f aca="false">IF(D226="","",D226&amp;"|"&amp;J226&amp;"|"&amp;G226&amp;"|"&amp;CC226)</f>
        <v/>
      </c>
    </row>
    <row r="227" customFormat="false" ht="15" hidden="false" customHeight="false" outlineLevel="0" collapsed="false">
      <c r="A227" s="10" t="str">
        <f aca="false">IF(D227="","","MH-"&amp;IFERROR(VLOOKUP(D227,Lists!$AB$4:$AC$20,2,0),"??")&amp;"-"&amp;TEXT(G227,"0000")&amp;IF(F227="Circular","D","x"&amp;TEXT(H227,"0000"))&amp;"-D"&amp;TEXT(J227*1000,"0000")&amp;"-"&amp;IFERROR(VLOOKUP(E227,Lists!$AE$4:$AF$16,2,0),"??")&amp;"-"&amp;AM227)</f>
        <v/>
      </c>
      <c r="B227" s="10" t="str">
        <f aca="false">IF(D227="","",D227&amp;", "&amp;E227&amp;", "&amp;IF(F227="Circular",G227&amp;" dia",G227&amp;" x "&amp;H227)&amp;", depth "&amp;TEXT(I227,"0.0")&amp;"-"&amp;TEXT(J227,"0.0")&amp;" m, pipe up to "&amp;K227&amp;" dia")</f>
        <v/>
      </c>
      <c r="C227" s="9"/>
      <c r="D227" s="9"/>
      <c r="E227" s="9"/>
      <c r="F227" s="9"/>
      <c r="G227" s="38"/>
      <c r="H227" s="38"/>
      <c r="I227" s="42"/>
      <c r="J227" s="42"/>
      <c r="K227" s="38"/>
      <c r="L227" s="38"/>
      <c r="M227" s="38"/>
      <c r="N227" s="38"/>
      <c r="O227" s="9"/>
      <c r="P227" s="9"/>
      <c r="Q227" s="9"/>
      <c r="R227" s="9"/>
      <c r="S227" s="9"/>
      <c r="T227" s="9"/>
      <c r="U227" s="9"/>
      <c r="V227" s="42"/>
      <c r="W227" s="9"/>
      <c r="X227" s="9"/>
      <c r="Y227" s="39"/>
      <c r="Z227" s="9"/>
      <c r="AA227" s="38"/>
      <c r="AB227" s="9"/>
      <c r="AC227" s="9"/>
      <c r="AD227" s="9"/>
      <c r="AE227" s="9"/>
      <c r="AF227" s="9"/>
      <c r="AG227" s="9"/>
      <c r="AH227" s="38"/>
      <c r="AI227" s="9"/>
      <c r="AJ227" s="39"/>
      <c r="AK227" s="9"/>
      <c r="AL227" s="9"/>
      <c r="AM227" s="9"/>
      <c r="AN227" s="9"/>
      <c r="AO227" s="9"/>
      <c r="AP227" s="9"/>
      <c r="AQ227" s="9"/>
      <c r="AR227" s="10" t="str">
        <f aca="false">IF(A227="","",SG_Criteria!$B$6&amp;SG_Criteria!$B$10&amp;"\"&amp;A227&amp;"\")</f>
        <v/>
      </c>
      <c r="AS227" s="10" t="str">
        <f aca="false">IF(A227="","",A227&amp;"_CAD.dwg")</f>
        <v/>
      </c>
      <c r="AT227" s="10" t="str">
        <f aca="false">IF(A227="","",A227&amp;"_DWG.pdf")</f>
        <v/>
      </c>
      <c r="AU227" s="10" t="str">
        <f aca="false">IF(A227="","",IF(AQ227="Y",A227&amp;"_STAAD.std","n/a"))</f>
        <v/>
      </c>
      <c r="AV227" s="10" t="str">
        <f aca="false">IF(A227="","",A227&amp;"_CALC.xlsx")</f>
        <v/>
      </c>
      <c r="AW227" s="10" t="str">
        <f aca="false">IF(A227="","",A227&amp;"_CALC.pdf")</f>
        <v/>
      </c>
      <c r="AX227" s="9"/>
      <c r="AY227" s="9"/>
      <c r="AZ227" s="39"/>
      <c r="BA227" s="39"/>
      <c r="BB227" s="39"/>
      <c r="BC227" s="39"/>
      <c r="BD227" s="39"/>
      <c r="BE227" s="12" t="str">
        <f aca="false">IF(A227="","",IF(COUNTIF(Rebar_Schedule!$A$5:$A$2004,A227)=0,"",ROUND(SUMIF(Rebar_Schedule!$A$5:$A$2004,A227,Rebar_Schedule!$K$5:$K$2004),1)))</f>
        <v/>
      </c>
      <c r="BF227" s="33" t="str">
        <f aca="false">IF(A227="","",IF(BE227="","No rebar schedule yet",IF(ABS(BE227-N(BA227))/MAX(N(BA227),1)&gt;SG_Criteria!$B$55,"NOTE: register rebar differs from schedule by "&amp;TEXT(ABS(BE227-N(BA227))/MAX(N(BA227),1),"0%"),"OK")))</f>
        <v/>
      </c>
      <c r="BG227" s="33" t="str">
        <f aca="false">IF(D227="","",IF(LEN(IF(AND(Z227&lt;&gt;"",IFERROR(VALUE(MID(Z227,2,2)),0)&lt;SG_Criteria!$B$19),"FAIL: grade below C"&amp;SG_Criteria!$B$19&amp;". ","")&amp;IF(AND(AA227&lt;&gt;"",AA227&lt;SG_Criteria!$B$20),"FAIL: cover &lt; "&amp;SG_Criteria!$B$20&amp;" mm. ","")&amp;IF(AND(I227&lt;&gt;"",I227&lt;SG_Criteria!$B$39),"NOTE: min depth below PUB "&amp;SG_Criteria!$B$39&amp;" m. ","")&amp;IF(AND(LEFT(D227,8)="Standard",J227&gt;SG_Criteria!$B$42),"FAIL: PUB 001C covers manholes up to "&amp;SG_Criteria!$B$42&amp;" m deep only. ","")&amp;IF(AND(LEFT(D227,11)="Rectangular",K227&lt;SG_Criteria!$B$43),"NOTE: 004C is for sewers &gt;= "&amp;SG_Criteria!$B$43&amp;" dia. ","")&amp;IF(AND(LEFT(D227,7)="Precast",J227&lt;=SG_Criteria!$B$42),"NOTE: 006C is for manholes &gt; "&amp;SG_Criteria!$B$42&amp;" m deep. ","")&amp;IF(AND(K227&lt;&gt;"",K227&lt;SG_Criteria!$B$40,D227&lt;&gt;"Inspection Chamber"),"NOTE: public sewer min dia "&amp;SG_Criteria!$B$40&amp;" mm. ","")&amp;IF(AND(Y227&lt;&gt;"",Y227&lt;SG_Criteria!$B$44),"FAIL: uplift FOS below "&amp;SG_Criteria!$B$44&amp;". ",""))=0,"OK",IF(AND(Z227&lt;&gt;"",IFERROR(VALUE(MID(Z227,2,2)),0)&lt;SG_Criteria!$B$19),"FAIL: grade below C"&amp;SG_Criteria!$B$19&amp;". ","")&amp;IF(AND(AA227&lt;&gt;"",AA227&lt;SG_Criteria!$B$20),"FAIL: cover &lt; "&amp;SG_Criteria!$B$20&amp;" mm. ","")&amp;IF(AND(I227&lt;&gt;"",I227&lt;SG_Criteria!$B$39),"NOTE: min depth below PUB "&amp;SG_Criteria!$B$39&amp;" m. ","")&amp;IF(AND(LEFT(D227,8)="Standard",J227&gt;SG_Criteria!$B$42),"FAIL: PUB 001C covers manholes up to "&amp;SG_Criteria!$B$42&amp;" m deep only. ","")&amp;IF(AND(LEFT(D227,11)="Rectangular",K227&lt;SG_Criteria!$B$43),"NOTE: 004C is for sewers &gt;= "&amp;SG_Criteria!$B$43&amp;" dia. ","")&amp;IF(AND(LEFT(D227,7)="Precast",J227&lt;=SG_Criteria!$B$42),"NOTE: 006C is for manholes &gt; "&amp;SG_Criteria!$B$42&amp;" m deep. ","")&amp;IF(AND(K227&lt;&gt;"",K227&lt;SG_Criteria!$B$40,D227&lt;&gt;"Inspection Chamber"),"NOTE: public sewer min dia "&amp;SG_Criteria!$B$40&amp;" mm. ","")&amp;IF(AND(Y227&lt;&gt;"",Y227&lt;SG_Criteria!$B$44),"FAIL: uplift FOS below "&amp;SG_Criteria!$B$44&amp;". ","")))</f>
        <v/>
      </c>
      <c r="BH227" s="9"/>
      <c r="BI227" s="9"/>
      <c r="BJ227" s="9"/>
      <c r="BK227" s="10" t="str">
        <f aca="false">IF(BJ227="","",IFERROR(VLOOKUP(BJ227,Projects!$A$5:$D$504,2,0),"Ref not in Projects"))</f>
        <v/>
      </c>
      <c r="BL227" s="10" t="str">
        <f aca="false">IF(BJ227="","",IFERROR(VLOOKUP(BJ227,Projects!$A$5:$D$504,4,0),"Ref not in Projects"))</f>
        <v/>
      </c>
      <c r="BM227" s="9"/>
      <c r="BN227" s="9"/>
      <c r="BO227" s="9"/>
      <c r="BP227" s="40"/>
      <c r="BQ227" s="9"/>
      <c r="BR227" s="40"/>
      <c r="BS227" s="9"/>
      <c r="BT227" s="40"/>
      <c r="BU227" s="9"/>
      <c r="BV227" s="9"/>
      <c r="BW227" s="9"/>
      <c r="BX227" s="40"/>
      <c r="BY227" s="40"/>
      <c r="BZ227" s="36" t="str">
        <f aca="false">IF(BY227="","",EDATE(BY227,SG_Criteria!$B$54*12))</f>
        <v/>
      </c>
      <c r="CA227" s="33" t="str">
        <f aca="true">IF(A227="","",IF(BY227="","NOTE: not reviewed yet",IF(TODAY()&gt;BZ227,"NOTE: review overdue","OK")))</f>
        <v/>
      </c>
      <c r="CB227" s="37" t="str">
        <f aca="false">IF(A227="","",ROUND((IF(LEN(D227)&gt;0,1,0)+IF(LEN(E227)&gt;0,1,0)+IF(LEN(F227)&gt;0,1,0)+IF(LEN(G227)&gt;0,1,0)+IF(LEN(I227)&gt;0,1,0)+IF(LEN(J227)&gt;0,1,0)+IF(LEN(K227)&gt;0,1,0)+IF(LEN(L227)&gt;0,1,0)+IF(LEN(M227)&gt;0,1,0)+IF(LEN(N227)&gt;0,1,0)+IF(LEN(Z227)&gt;0,1,0)+IF(LEN(AA227)&gt;0,1,0)+IF(LEN(Y227)&gt;0,1,0)+IF(LEN(AE227)&gt;0,1,0)+IF(LEN(AG227)&gt;0,1,0)+IF(LEN(AZ227)&gt;0,1,0)+IF(LEN(AK227)&gt;0,1,0)+IF(LEN(AM227)&gt;0,1,0)+IF(LEN(AN227)&gt;0,1,0)+IF(LEN(AO227)&gt;0,1,0)+IF(LEN(AP227)&gt;0,1,0)+IF(LEN(AY227)&gt;0,1,0)+IF(LEN(BJ227)&gt;0,1,0)+IF(LEN(BW227)&gt;0,1,0))/24,2))</f>
        <v/>
      </c>
      <c r="CC227" s="10" t="str">
        <f aca="false">IF(D227="","",IF(AND(AN227="Approved",ISERROR(SEARCH("FAIL",BG227))),"Y","N"))</f>
        <v/>
      </c>
      <c r="CD227" s="10" t="str">
        <f aca="false">IF(D227="","",D227&amp;"|"&amp;J227&amp;"|"&amp;G227&amp;"|"&amp;CC227)</f>
        <v/>
      </c>
    </row>
    <row r="228" customFormat="false" ht="15" hidden="false" customHeight="false" outlineLevel="0" collapsed="false">
      <c r="A228" s="10" t="str">
        <f aca="false">IF(D228="","","MH-"&amp;IFERROR(VLOOKUP(D228,Lists!$AB$4:$AC$20,2,0),"??")&amp;"-"&amp;TEXT(G228,"0000")&amp;IF(F228="Circular","D","x"&amp;TEXT(H228,"0000"))&amp;"-D"&amp;TEXT(J228*1000,"0000")&amp;"-"&amp;IFERROR(VLOOKUP(E228,Lists!$AE$4:$AF$16,2,0),"??")&amp;"-"&amp;AM228)</f>
        <v/>
      </c>
      <c r="B228" s="10" t="str">
        <f aca="false">IF(D228="","",D228&amp;", "&amp;E228&amp;", "&amp;IF(F228="Circular",G228&amp;" dia",G228&amp;" x "&amp;H228)&amp;", depth "&amp;TEXT(I228,"0.0")&amp;"-"&amp;TEXT(J228,"0.0")&amp;" m, pipe up to "&amp;K228&amp;" dia")</f>
        <v/>
      </c>
      <c r="C228" s="9"/>
      <c r="D228" s="9"/>
      <c r="E228" s="9"/>
      <c r="F228" s="9"/>
      <c r="G228" s="38"/>
      <c r="H228" s="38"/>
      <c r="I228" s="42"/>
      <c r="J228" s="42"/>
      <c r="K228" s="38"/>
      <c r="L228" s="38"/>
      <c r="M228" s="38"/>
      <c r="N228" s="38"/>
      <c r="O228" s="9"/>
      <c r="P228" s="9"/>
      <c r="Q228" s="9"/>
      <c r="R228" s="9"/>
      <c r="S228" s="9"/>
      <c r="T228" s="9"/>
      <c r="U228" s="9"/>
      <c r="V228" s="42"/>
      <c r="W228" s="9"/>
      <c r="X228" s="9"/>
      <c r="Y228" s="39"/>
      <c r="Z228" s="9"/>
      <c r="AA228" s="38"/>
      <c r="AB228" s="9"/>
      <c r="AC228" s="9"/>
      <c r="AD228" s="9"/>
      <c r="AE228" s="9"/>
      <c r="AF228" s="9"/>
      <c r="AG228" s="9"/>
      <c r="AH228" s="38"/>
      <c r="AI228" s="9"/>
      <c r="AJ228" s="39"/>
      <c r="AK228" s="9"/>
      <c r="AL228" s="9"/>
      <c r="AM228" s="9"/>
      <c r="AN228" s="9"/>
      <c r="AO228" s="9"/>
      <c r="AP228" s="9"/>
      <c r="AQ228" s="9"/>
      <c r="AR228" s="10" t="str">
        <f aca="false">IF(A228="","",SG_Criteria!$B$6&amp;SG_Criteria!$B$10&amp;"\"&amp;A228&amp;"\")</f>
        <v/>
      </c>
      <c r="AS228" s="10" t="str">
        <f aca="false">IF(A228="","",A228&amp;"_CAD.dwg")</f>
        <v/>
      </c>
      <c r="AT228" s="10" t="str">
        <f aca="false">IF(A228="","",A228&amp;"_DWG.pdf")</f>
        <v/>
      </c>
      <c r="AU228" s="10" t="str">
        <f aca="false">IF(A228="","",IF(AQ228="Y",A228&amp;"_STAAD.std","n/a"))</f>
        <v/>
      </c>
      <c r="AV228" s="10" t="str">
        <f aca="false">IF(A228="","",A228&amp;"_CALC.xlsx")</f>
        <v/>
      </c>
      <c r="AW228" s="10" t="str">
        <f aca="false">IF(A228="","",A228&amp;"_CALC.pdf")</f>
        <v/>
      </c>
      <c r="AX228" s="9"/>
      <c r="AY228" s="9"/>
      <c r="AZ228" s="39"/>
      <c r="BA228" s="39"/>
      <c r="BB228" s="39"/>
      <c r="BC228" s="39"/>
      <c r="BD228" s="39"/>
      <c r="BE228" s="12" t="str">
        <f aca="false">IF(A228="","",IF(COUNTIF(Rebar_Schedule!$A$5:$A$2004,A228)=0,"",ROUND(SUMIF(Rebar_Schedule!$A$5:$A$2004,A228,Rebar_Schedule!$K$5:$K$2004),1)))</f>
        <v/>
      </c>
      <c r="BF228" s="33" t="str">
        <f aca="false">IF(A228="","",IF(BE228="","No rebar schedule yet",IF(ABS(BE228-N(BA228))/MAX(N(BA228),1)&gt;SG_Criteria!$B$55,"NOTE: register rebar differs from schedule by "&amp;TEXT(ABS(BE228-N(BA228))/MAX(N(BA228),1),"0%"),"OK")))</f>
        <v/>
      </c>
      <c r="BG228" s="33" t="str">
        <f aca="false">IF(D228="","",IF(LEN(IF(AND(Z228&lt;&gt;"",IFERROR(VALUE(MID(Z228,2,2)),0)&lt;SG_Criteria!$B$19),"FAIL: grade below C"&amp;SG_Criteria!$B$19&amp;". ","")&amp;IF(AND(AA228&lt;&gt;"",AA228&lt;SG_Criteria!$B$20),"FAIL: cover &lt; "&amp;SG_Criteria!$B$20&amp;" mm. ","")&amp;IF(AND(I228&lt;&gt;"",I228&lt;SG_Criteria!$B$39),"NOTE: min depth below PUB "&amp;SG_Criteria!$B$39&amp;" m. ","")&amp;IF(AND(LEFT(D228,8)="Standard",J228&gt;SG_Criteria!$B$42),"FAIL: PUB 001C covers manholes up to "&amp;SG_Criteria!$B$42&amp;" m deep only. ","")&amp;IF(AND(LEFT(D228,11)="Rectangular",K228&lt;SG_Criteria!$B$43),"NOTE: 004C is for sewers &gt;= "&amp;SG_Criteria!$B$43&amp;" dia. ","")&amp;IF(AND(LEFT(D228,7)="Precast",J228&lt;=SG_Criteria!$B$42),"NOTE: 006C is for manholes &gt; "&amp;SG_Criteria!$B$42&amp;" m deep. ","")&amp;IF(AND(K228&lt;&gt;"",K228&lt;SG_Criteria!$B$40,D228&lt;&gt;"Inspection Chamber"),"NOTE: public sewer min dia "&amp;SG_Criteria!$B$40&amp;" mm. ","")&amp;IF(AND(Y228&lt;&gt;"",Y228&lt;SG_Criteria!$B$44),"FAIL: uplift FOS below "&amp;SG_Criteria!$B$44&amp;". ",""))=0,"OK",IF(AND(Z228&lt;&gt;"",IFERROR(VALUE(MID(Z228,2,2)),0)&lt;SG_Criteria!$B$19),"FAIL: grade below C"&amp;SG_Criteria!$B$19&amp;". ","")&amp;IF(AND(AA228&lt;&gt;"",AA228&lt;SG_Criteria!$B$20),"FAIL: cover &lt; "&amp;SG_Criteria!$B$20&amp;" mm. ","")&amp;IF(AND(I228&lt;&gt;"",I228&lt;SG_Criteria!$B$39),"NOTE: min depth below PUB "&amp;SG_Criteria!$B$39&amp;" m. ","")&amp;IF(AND(LEFT(D228,8)="Standard",J228&gt;SG_Criteria!$B$42),"FAIL: PUB 001C covers manholes up to "&amp;SG_Criteria!$B$42&amp;" m deep only. ","")&amp;IF(AND(LEFT(D228,11)="Rectangular",K228&lt;SG_Criteria!$B$43),"NOTE: 004C is for sewers &gt;= "&amp;SG_Criteria!$B$43&amp;" dia. ","")&amp;IF(AND(LEFT(D228,7)="Precast",J228&lt;=SG_Criteria!$B$42),"NOTE: 006C is for manholes &gt; "&amp;SG_Criteria!$B$42&amp;" m deep. ","")&amp;IF(AND(K228&lt;&gt;"",K228&lt;SG_Criteria!$B$40,D228&lt;&gt;"Inspection Chamber"),"NOTE: public sewer min dia "&amp;SG_Criteria!$B$40&amp;" mm. ","")&amp;IF(AND(Y228&lt;&gt;"",Y228&lt;SG_Criteria!$B$44),"FAIL: uplift FOS below "&amp;SG_Criteria!$B$44&amp;". ","")))</f>
        <v/>
      </c>
      <c r="BH228" s="9"/>
      <c r="BI228" s="9"/>
      <c r="BJ228" s="9"/>
      <c r="BK228" s="10" t="str">
        <f aca="false">IF(BJ228="","",IFERROR(VLOOKUP(BJ228,Projects!$A$5:$D$504,2,0),"Ref not in Projects"))</f>
        <v/>
      </c>
      <c r="BL228" s="10" t="str">
        <f aca="false">IF(BJ228="","",IFERROR(VLOOKUP(BJ228,Projects!$A$5:$D$504,4,0),"Ref not in Projects"))</f>
        <v/>
      </c>
      <c r="BM228" s="9"/>
      <c r="BN228" s="9"/>
      <c r="BO228" s="9"/>
      <c r="BP228" s="40"/>
      <c r="BQ228" s="9"/>
      <c r="BR228" s="40"/>
      <c r="BS228" s="9"/>
      <c r="BT228" s="40"/>
      <c r="BU228" s="9"/>
      <c r="BV228" s="9"/>
      <c r="BW228" s="9"/>
      <c r="BX228" s="40"/>
      <c r="BY228" s="40"/>
      <c r="BZ228" s="36" t="str">
        <f aca="false">IF(BY228="","",EDATE(BY228,SG_Criteria!$B$54*12))</f>
        <v/>
      </c>
      <c r="CA228" s="33" t="str">
        <f aca="true">IF(A228="","",IF(BY228="","NOTE: not reviewed yet",IF(TODAY()&gt;BZ228,"NOTE: review overdue","OK")))</f>
        <v/>
      </c>
      <c r="CB228" s="37" t="str">
        <f aca="false">IF(A228="","",ROUND((IF(LEN(D228)&gt;0,1,0)+IF(LEN(E228)&gt;0,1,0)+IF(LEN(F228)&gt;0,1,0)+IF(LEN(G228)&gt;0,1,0)+IF(LEN(I228)&gt;0,1,0)+IF(LEN(J228)&gt;0,1,0)+IF(LEN(K228)&gt;0,1,0)+IF(LEN(L228)&gt;0,1,0)+IF(LEN(M228)&gt;0,1,0)+IF(LEN(N228)&gt;0,1,0)+IF(LEN(Z228)&gt;0,1,0)+IF(LEN(AA228)&gt;0,1,0)+IF(LEN(Y228)&gt;0,1,0)+IF(LEN(AE228)&gt;0,1,0)+IF(LEN(AG228)&gt;0,1,0)+IF(LEN(AZ228)&gt;0,1,0)+IF(LEN(AK228)&gt;0,1,0)+IF(LEN(AM228)&gt;0,1,0)+IF(LEN(AN228)&gt;0,1,0)+IF(LEN(AO228)&gt;0,1,0)+IF(LEN(AP228)&gt;0,1,0)+IF(LEN(AY228)&gt;0,1,0)+IF(LEN(BJ228)&gt;0,1,0)+IF(LEN(BW228)&gt;0,1,0))/24,2))</f>
        <v/>
      </c>
      <c r="CC228" s="10" t="str">
        <f aca="false">IF(D228="","",IF(AND(AN228="Approved",ISERROR(SEARCH("FAIL",BG228))),"Y","N"))</f>
        <v/>
      </c>
      <c r="CD228" s="10" t="str">
        <f aca="false">IF(D228="","",D228&amp;"|"&amp;J228&amp;"|"&amp;G228&amp;"|"&amp;CC228)</f>
        <v/>
      </c>
    </row>
    <row r="229" customFormat="false" ht="15" hidden="false" customHeight="false" outlineLevel="0" collapsed="false">
      <c r="A229" s="10" t="str">
        <f aca="false">IF(D229="","","MH-"&amp;IFERROR(VLOOKUP(D229,Lists!$AB$4:$AC$20,2,0),"??")&amp;"-"&amp;TEXT(G229,"0000")&amp;IF(F229="Circular","D","x"&amp;TEXT(H229,"0000"))&amp;"-D"&amp;TEXT(J229*1000,"0000")&amp;"-"&amp;IFERROR(VLOOKUP(E229,Lists!$AE$4:$AF$16,2,0),"??")&amp;"-"&amp;AM229)</f>
        <v/>
      </c>
      <c r="B229" s="10" t="str">
        <f aca="false">IF(D229="","",D229&amp;", "&amp;E229&amp;", "&amp;IF(F229="Circular",G229&amp;" dia",G229&amp;" x "&amp;H229)&amp;", depth "&amp;TEXT(I229,"0.0")&amp;"-"&amp;TEXT(J229,"0.0")&amp;" m, pipe up to "&amp;K229&amp;" dia")</f>
        <v/>
      </c>
      <c r="C229" s="9"/>
      <c r="D229" s="9"/>
      <c r="E229" s="9"/>
      <c r="F229" s="9"/>
      <c r="G229" s="38"/>
      <c r="H229" s="38"/>
      <c r="I229" s="42"/>
      <c r="J229" s="42"/>
      <c r="K229" s="38"/>
      <c r="L229" s="38"/>
      <c r="M229" s="38"/>
      <c r="N229" s="38"/>
      <c r="O229" s="9"/>
      <c r="P229" s="9"/>
      <c r="Q229" s="9"/>
      <c r="R229" s="9"/>
      <c r="S229" s="9"/>
      <c r="T229" s="9"/>
      <c r="U229" s="9"/>
      <c r="V229" s="42"/>
      <c r="W229" s="9"/>
      <c r="X229" s="9"/>
      <c r="Y229" s="39"/>
      <c r="Z229" s="9"/>
      <c r="AA229" s="38"/>
      <c r="AB229" s="9"/>
      <c r="AC229" s="9"/>
      <c r="AD229" s="9"/>
      <c r="AE229" s="9"/>
      <c r="AF229" s="9"/>
      <c r="AG229" s="9"/>
      <c r="AH229" s="38"/>
      <c r="AI229" s="9"/>
      <c r="AJ229" s="39"/>
      <c r="AK229" s="9"/>
      <c r="AL229" s="9"/>
      <c r="AM229" s="9"/>
      <c r="AN229" s="9"/>
      <c r="AO229" s="9"/>
      <c r="AP229" s="9"/>
      <c r="AQ229" s="9"/>
      <c r="AR229" s="10" t="str">
        <f aca="false">IF(A229="","",SG_Criteria!$B$6&amp;SG_Criteria!$B$10&amp;"\"&amp;A229&amp;"\")</f>
        <v/>
      </c>
      <c r="AS229" s="10" t="str">
        <f aca="false">IF(A229="","",A229&amp;"_CAD.dwg")</f>
        <v/>
      </c>
      <c r="AT229" s="10" t="str">
        <f aca="false">IF(A229="","",A229&amp;"_DWG.pdf")</f>
        <v/>
      </c>
      <c r="AU229" s="10" t="str">
        <f aca="false">IF(A229="","",IF(AQ229="Y",A229&amp;"_STAAD.std","n/a"))</f>
        <v/>
      </c>
      <c r="AV229" s="10" t="str">
        <f aca="false">IF(A229="","",A229&amp;"_CALC.xlsx")</f>
        <v/>
      </c>
      <c r="AW229" s="10" t="str">
        <f aca="false">IF(A229="","",A229&amp;"_CALC.pdf")</f>
        <v/>
      </c>
      <c r="AX229" s="9"/>
      <c r="AY229" s="9"/>
      <c r="AZ229" s="39"/>
      <c r="BA229" s="39"/>
      <c r="BB229" s="39"/>
      <c r="BC229" s="39"/>
      <c r="BD229" s="39"/>
      <c r="BE229" s="12" t="str">
        <f aca="false">IF(A229="","",IF(COUNTIF(Rebar_Schedule!$A$5:$A$2004,A229)=0,"",ROUND(SUMIF(Rebar_Schedule!$A$5:$A$2004,A229,Rebar_Schedule!$K$5:$K$2004),1)))</f>
        <v/>
      </c>
      <c r="BF229" s="33" t="str">
        <f aca="false">IF(A229="","",IF(BE229="","No rebar schedule yet",IF(ABS(BE229-N(BA229))/MAX(N(BA229),1)&gt;SG_Criteria!$B$55,"NOTE: register rebar differs from schedule by "&amp;TEXT(ABS(BE229-N(BA229))/MAX(N(BA229),1),"0%"),"OK")))</f>
        <v/>
      </c>
      <c r="BG229" s="33" t="str">
        <f aca="false">IF(D229="","",IF(LEN(IF(AND(Z229&lt;&gt;"",IFERROR(VALUE(MID(Z229,2,2)),0)&lt;SG_Criteria!$B$19),"FAIL: grade below C"&amp;SG_Criteria!$B$19&amp;". ","")&amp;IF(AND(AA229&lt;&gt;"",AA229&lt;SG_Criteria!$B$20),"FAIL: cover &lt; "&amp;SG_Criteria!$B$20&amp;" mm. ","")&amp;IF(AND(I229&lt;&gt;"",I229&lt;SG_Criteria!$B$39),"NOTE: min depth below PUB "&amp;SG_Criteria!$B$39&amp;" m. ","")&amp;IF(AND(LEFT(D229,8)="Standard",J229&gt;SG_Criteria!$B$42),"FAIL: PUB 001C covers manholes up to "&amp;SG_Criteria!$B$42&amp;" m deep only. ","")&amp;IF(AND(LEFT(D229,11)="Rectangular",K229&lt;SG_Criteria!$B$43),"NOTE: 004C is for sewers &gt;= "&amp;SG_Criteria!$B$43&amp;" dia. ","")&amp;IF(AND(LEFT(D229,7)="Precast",J229&lt;=SG_Criteria!$B$42),"NOTE: 006C is for manholes &gt; "&amp;SG_Criteria!$B$42&amp;" m deep. ","")&amp;IF(AND(K229&lt;&gt;"",K229&lt;SG_Criteria!$B$40,D229&lt;&gt;"Inspection Chamber"),"NOTE: public sewer min dia "&amp;SG_Criteria!$B$40&amp;" mm. ","")&amp;IF(AND(Y229&lt;&gt;"",Y229&lt;SG_Criteria!$B$44),"FAIL: uplift FOS below "&amp;SG_Criteria!$B$44&amp;". ",""))=0,"OK",IF(AND(Z229&lt;&gt;"",IFERROR(VALUE(MID(Z229,2,2)),0)&lt;SG_Criteria!$B$19),"FAIL: grade below C"&amp;SG_Criteria!$B$19&amp;". ","")&amp;IF(AND(AA229&lt;&gt;"",AA229&lt;SG_Criteria!$B$20),"FAIL: cover &lt; "&amp;SG_Criteria!$B$20&amp;" mm. ","")&amp;IF(AND(I229&lt;&gt;"",I229&lt;SG_Criteria!$B$39),"NOTE: min depth below PUB "&amp;SG_Criteria!$B$39&amp;" m. ","")&amp;IF(AND(LEFT(D229,8)="Standard",J229&gt;SG_Criteria!$B$42),"FAIL: PUB 001C covers manholes up to "&amp;SG_Criteria!$B$42&amp;" m deep only. ","")&amp;IF(AND(LEFT(D229,11)="Rectangular",K229&lt;SG_Criteria!$B$43),"NOTE: 004C is for sewers &gt;= "&amp;SG_Criteria!$B$43&amp;" dia. ","")&amp;IF(AND(LEFT(D229,7)="Precast",J229&lt;=SG_Criteria!$B$42),"NOTE: 006C is for manholes &gt; "&amp;SG_Criteria!$B$42&amp;" m deep. ","")&amp;IF(AND(K229&lt;&gt;"",K229&lt;SG_Criteria!$B$40,D229&lt;&gt;"Inspection Chamber"),"NOTE: public sewer min dia "&amp;SG_Criteria!$B$40&amp;" mm. ","")&amp;IF(AND(Y229&lt;&gt;"",Y229&lt;SG_Criteria!$B$44),"FAIL: uplift FOS below "&amp;SG_Criteria!$B$44&amp;". ","")))</f>
        <v/>
      </c>
      <c r="BH229" s="9"/>
      <c r="BI229" s="9"/>
      <c r="BJ229" s="9"/>
      <c r="BK229" s="10" t="str">
        <f aca="false">IF(BJ229="","",IFERROR(VLOOKUP(BJ229,Projects!$A$5:$D$504,2,0),"Ref not in Projects"))</f>
        <v/>
      </c>
      <c r="BL229" s="10" t="str">
        <f aca="false">IF(BJ229="","",IFERROR(VLOOKUP(BJ229,Projects!$A$5:$D$504,4,0),"Ref not in Projects"))</f>
        <v/>
      </c>
      <c r="BM229" s="9"/>
      <c r="BN229" s="9"/>
      <c r="BO229" s="9"/>
      <c r="BP229" s="40"/>
      <c r="BQ229" s="9"/>
      <c r="BR229" s="40"/>
      <c r="BS229" s="9"/>
      <c r="BT229" s="40"/>
      <c r="BU229" s="9"/>
      <c r="BV229" s="9"/>
      <c r="BW229" s="9"/>
      <c r="BX229" s="40"/>
      <c r="BY229" s="40"/>
      <c r="BZ229" s="36" t="str">
        <f aca="false">IF(BY229="","",EDATE(BY229,SG_Criteria!$B$54*12))</f>
        <v/>
      </c>
      <c r="CA229" s="33" t="str">
        <f aca="true">IF(A229="","",IF(BY229="","NOTE: not reviewed yet",IF(TODAY()&gt;BZ229,"NOTE: review overdue","OK")))</f>
        <v/>
      </c>
      <c r="CB229" s="37" t="str">
        <f aca="false">IF(A229="","",ROUND((IF(LEN(D229)&gt;0,1,0)+IF(LEN(E229)&gt;0,1,0)+IF(LEN(F229)&gt;0,1,0)+IF(LEN(G229)&gt;0,1,0)+IF(LEN(I229)&gt;0,1,0)+IF(LEN(J229)&gt;0,1,0)+IF(LEN(K229)&gt;0,1,0)+IF(LEN(L229)&gt;0,1,0)+IF(LEN(M229)&gt;0,1,0)+IF(LEN(N229)&gt;0,1,0)+IF(LEN(Z229)&gt;0,1,0)+IF(LEN(AA229)&gt;0,1,0)+IF(LEN(Y229)&gt;0,1,0)+IF(LEN(AE229)&gt;0,1,0)+IF(LEN(AG229)&gt;0,1,0)+IF(LEN(AZ229)&gt;0,1,0)+IF(LEN(AK229)&gt;0,1,0)+IF(LEN(AM229)&gt;0,1,0)+IF(LEN(AN229)&gt;0,1,0)+IF(LEN(AO229)&gt;0,1,0)+IF(LEN(AP229)&gt;0,1,0)+IF(LEN(AY229)&gt;0,1,0)+IF(LEN(BJ229)&gt;0,1,0)+IF(LEN(BW229)&gt;0,1,0))/24,2))</f>
        <v/>
      </c>
      <c r="CC229" s="10" t="str">
        <f aca="false">IF(D229="","",IF(AND(AN229="Approved",ISERROR(SEARCH("FAIL",BG229))),"Y","N"))</f>
        <v/>
      </c>
      <c r="CD229" s="10" t="str">
        <f aca="false">IF(D229="","",D229&amp;"|"&amp;J229&amp;"|"&amp;G229&amp;"|"&amp;CC229)</f>
        <v/>
      </c>
    </row>
    <row r="230" customFormat="false" ht="15" hidden="false" customHeight="false" outlineLevel="0" collapsed="false">
      <c r="A230" s="10" t="str">
        <f aca="false">IF(D230="","","MH-"&amp;IFERROR(VLOOKUP(D230,Lists!$AB$4:$AC$20,2,0),"??")&amp;"-"&amp;TEXT(G230,"0000")&amp;IF(F230="Circular","D","x"&amp;TEXT(H230,"0000"))&amp;"-D"&amp;TEXT(J230*1000,"0000")&amp;"-"&amp;IFERROR(VLOOKUP(E230,Lists!$AE$4:$AF$16,2,0),"??")&amp;"-"&amp;AM230)</f>
        <v/>
      </c>
      <c r="B230" s="10" t="str">
        <f aca="false">IF(D230="","",D230&amp;", "&amp;E230&amp;", "&amp;IF(F230="Circular",G230&amp;" dia",G230&amp;" x "&amp;H230)&amp;", depth "&amp;TEXT(I230,"0.0")&amp;"-"&amp;TEXT(J230,"0.0")&amp;" m, pipe up to "&amp;K230&amp;" dia")</f>
        <v/>
      </c>
      <c r="C230" s="9"/>
      <c r="D230" s="9"/>
      <c r="E230" s="9"/>
      <c r="F230" s="9"/>
      <c r="G230" s="38"/>
      <c r="H230" s="38"/>
      <c r="I230" s="42"/>
      <c r="J230" s="42"/>
      <c r="K230" s="38"/>
      <c r="L230" s="38"/>
      <c r="M230" s="38"/>
      <c r="N230" s="38"/>
      <c r="O230" s="9"/>
      <c r="P230" s="9"/>
      <c r="Q230" s="9"/>
      <c r="R230" s="9"/>
      <c r="S230" s="9"/>
      <c r="T230" s="9"/>
      <c r="U230" s="9"/>
      <c r="V230" s="42"/>
      <c r="W230" s="9"/>
      <c r="X230" s="9"/>
      <c r="Y230" s="39"/>
      <c r="Z230" s="9"/>
      <c r="AA230" s="38"/>
      <c r="AB230" s="9"/>
      <c r="AC230" s="9"/>
      <c r="AD230" s="9"/>
      <c r="AE230" s="9"/>
      <c r="AF230" s="9"/>
      <c r="AG230" s="9"/>
      <c r="AH230" s="38"/>
      <c r="AI230" s="9"/>
      <c r="AJ230" s="39"/>
      <c r="AK230" s="9"/>
      <c r="AL230" s="9"/>
      <c r="AM230" s="9"/>
      <c r="AN230" s="9"/>
      <c r="AO230" s="9"/>
      <c r="AP230" s="9"/>
      <c r="AQ230" s="9"/>
      <c r="AR230" s="10" t="str">
        <f aca="false">IF(A230="","",SG_Criteria!$B$6&amp;SG_Criteria!$B$10&amp;"\"&amp;A230&amp;"\")</f>
        <v/>
      </c>
      <c r="AS230" s="10" t="str">
        <f aca="false">IF(A230="","",A230&amp;"_CAD.dwg")</f>
        <v/>
      </c>
      <c r="AT230" s="10" t="str">
        <f aca="false">IF(A230="","",A230&amp;"_DWG.pdf")</f>
        <v/>
      </c>
      <c r="AU230" s="10" t="str">
        <f aca="false">IF(A230="","",IF(AQ230="Y",A230&amp;"_STAAD.std","n/a"))</f>
        <v/>
      </c>
      <c r="AV230" s="10" t="str">
        <f aca="false">IF(A230="","",A230&amp;"_CALC.xlsx")</f>
        <v/>
      </c>
      <c r="AW230" s="10" t="str">
        <f aca="false">IF(A230="","",A230&amp;"_CALC.pdf")</f>
        <v/>
      </c>
      <c r="AX230" s="9"/>
      <c r="AY230" s="9"/>
      <c r="AZ230" s="39"/>
      <c r="BA230" s="39"/>
      <c r="BB230" s="39"/>
      <c r="BC230" s="39"/>
      <c r="BD230" s="39"/>
      <c r="BE230" s="12" t="str">
        <f aca="false">IF(A230="","",IF(COUNTIF(Rebar_Schedule!$A$5:$A$2004,A230)=0,"",ROUND(SUMIF(Rebar_Schedule!$A$5:$A$2004,A230,Rebar_Schedule!$K$5:$K$2004),1)))</f>
        <v/>
      </c>
      <c r="BF230" s="33" t="str">
        <f aca="false">IF(A230="","",IF(BE230="","No rebar schedule yet",IF(ABS(BE230-N(BA230))/MAX(N(BA230),1)&gt;SG_Criteria!$B$55,"NOTE: register rebar differs from schedule by "&amp;TEXT(ABS(BE230-N(BA230))/MAX(N(BA230),1),"0%"),"OK")))</f>
        <v/>
      </c>
      <c r="BG230" s="33" t="str">
        <f aca="false">IF(D230="","",IF(LEN(IF(AND(Z230&lt;&gt;"",IFERROR(VALUE(MID(Z230,2,2)),0)&lt;SG_Criteria!$B$19),"FAIL: grade below C"&amp;SG_Criteria!$B$19&amp;". ","")&amp;IF(AND(AA230&lt;&gt;"",AA230&lt;SG_Criteria!$B$20),"FAIL: cover &lt; "&amp;SG_Criteria!$B$20&amp;" mm. ","")&amp;IF(AND(I230&lt;&gt;"",I230&lt;SG_Criteria!$B$39),"NOTE: min depth below PUB "&amp;SG_Criteria!$B$39&amp;" m. ","")&amp;IF(AND(LEFT(D230,8)="Standard",J230&gt;SG_Criteria!$B$42),"FAIL: PUB 001C covers manholes up to "&amp;SG_Criteria!$B$42&amp;" m deep only. ","")&amp;IF(AND(LEFT(D230,11)="Rectangular",K230&lt;SG_Criteria!$B$43),"NOTE: 004C is for sewers &gt;= "&amp;SG_Criteria!$B$43&amp;" dia. ","")&amp;IF(AND(LEFT(D230,7)="Precast",J230&lt;=SG_Criteria!$B$42),"NOTE: 006C is for manholes &gt; "&amp;SG_Criteria!$B$42&amp;" m deep. ","")&amp;IF(AND(K230&lt;&gt;"",K230&lt;SG_Criteria!$B$40,D230&lt;&gt;"Inspection Chamber"),"NOTE: public sewer min dia "&amp;SG_Criteria!$B$40&amp;" mm. ","")&amp;IF(AND(Y230&lt;&gt;"",Y230&lt;SG_Criteria!$B$44),"FAIL: uplift FOS below "&amp;SG_Criteria!$B$44&amp;". ",""))=0,"OK",IF(AND(Z230&lt;&gt;"",IFERROR(VALUE(MID(Z230,2,2)),0)&lt;SG_Criteria!$B$19),"FAIL: grade below C"&amp;SG_Criteria!$B$19&amp;". ","")&amp;IF(AND(AA230&lt;&gt;"",AA230&lt;SG_Criteria!$B$20),"FAIL: cover &lt; "&amp;SG_Criteria!$B$20&amp;" mm. ","")&amp;IF(AND(I230&lt;&gt;"",I230&lt;SG_Criteria!$B$39),"NOTE: min depth below PUB "&amp;SG_Criteria!$B$39&amp;" m. ","")&amp;IF(AND(LEFT(D230,8)="Standard",J230&gt;SG_Criteria!$B$42),"FAIL: PUB 001C covers manholes up to "&amp;SG_Criteria!$B$42&amp;" m deep only. ","")&amp;IF(AND(LEFT(D230,11)="Rectangular",K230&lt;SG_Criteria!$B$43),"NOTE: 004C is for sewers &gt;= "&amp;SG_Criteria!$B$43&amp;" dia. ","")&amp;IF(AND(LEFT(D230,7)="Precast",J230&lt;=SG_Criteria!$B$42),"NOTE: 006C is for manholes &gt; "&amp;SG_Criteria!$B$42&amp;" m deep. ","")&amp;IF(AND(K230&lt;&gt;"",K230&lt;SG_Criteria!$B$40,D230&lt;&gt;"Inspection Chamber"),"NOTE: public sewer min dia "&amp;SG_Criteria!$B$40&amp;" mm. ","")&amp;IF(AND(Y230&lt;&gt;"",Y230&lt;SG_Criteria!$B$44),"FAIL: uplift FOS below "&amp;SG_Criteria!$B$44&amp;". ","")))</f>
        <v/>
      </c>
      <c r="BH230" s="9"/>
      <c r="BI230" s="9"/>
      <c r="BJ230" s="9"/>
      <c r="BK230" s="10" t="str">
        <f aca="false">IF(BJ230="","",IFERROR(VLOOKUP(BJ230,Projects!$A$5:$D$504,2,0),"Ref not in Projects"))</f>
        <v/>
      </c>
      <c r="BL230" s="10" t="str">
        <f aca="false">IF(BJ230="","",IFERROR(VLOOKUP(BJ230,Projects!$A$5:$D$504,4,0),"Ref not in Projects"))</f>
        <v/>
      </c>
      <c r="BM230" s="9"/>
      <c r="BN230" s="9"/>
      <c r="BO230" s="9"/>
      <c r="BP230" s="40"/>
      <c r="BQ230" s="9"/>
      <c r="BR230" s="40"/>
      <c r="BS230" s="9"/>
      <c r="BT230" s="40"/>
      <c r="BU230" s="9"/>
      <c r="BV230" s="9"/>
      <c r="BW230" s="9"/>
      <c r="BX230" s="40"/>
      <c r="BY230" s="40"/>
      <c r="BZ230" s="36" t="str">
        <f aca="false">IF(BY230="","",EDATE(BY230,SG_Criteria!$B$54*12))</f>
        <v/>
      </c>
      <c r="CA230" s="33" t="str">
        <f aca="true">IF(A230="","",IF(BY230="","NOTE: not reviewed yet",IF(TODAY()&gt;BZ230,"NOTE: review overdue","OK")))</f>
        <v/>
      </c>
      <c r="CB230" s="37" t="str">
        <f aca="false">IF(A230="","",ROUND((IF(LEN(D230)&gt;0,1,0)+IF(LEN(E230)&gt;0,1,0)+IF(LEN(F230)&gt;0,1,0)+IF(LEN(G230)&gt;0,1,0)+IF(LEN(I230)&gt;0,1,0)+IF(LEN(J230)&gt;0,1,0)+IF(LEN(K230)&gt;0,1,0)+IF(LEN(L230)&gt;0,1,0)+IF(LEN(M230)&gt;0,1,0)+IF(LEN(N230)&gt;0,1,0)+IF(LEN(Z230)&gt;0,1,0)+IF(LEN(AA230)&gt;0,1,0)+IF(LEN(Y230)&gt;0,1,0)+IF(LEN(AE230)&gt;0,1,0)+IF(LEN(AG230)&gt;0,1,0)+IF(LEN(AZ230)&gt;0,1,0)+IF(LEN(AK230)&gt;0,1,0)+IF(LEN(AM230)&gt;0,1,0)+IF(LEN(AN230)&gt;0,1,0)+IF(LEN(AO230)&gt;0,1,0)+IF(LEN(AP230)&gt;0,1,0)+IF(LEN(AY230)&gt;0,1,0)+IF(LEN(BJ230)&gt;0,1,0)+IF(LEN(BW230)&gt;0,1,0))/24,2))</f>
        <v/>
      </c>
      <c r="CC230" s="10" t="str">
        <f aca="false">IF(D230="","",IF(AND(AN230="Approved",ISERROR(SEARCH("FAIL",BG230))),"Y","N"))</f>
        <v/>
      </c>
      <c r="CD230" s="10" t="str">
        <f aca="false">IF(D230="","",D230&amp;"|"&amp;J230&amp;"|"&amp;G230&amp;"|"&amp;CC230)</f>
        <v/>
      </c>
    </row>
    <row r="231" customFormat="false" ht="15" hidden="false" customHeight="false" outlineLevel="0" collapsed="false">
      <c r="A231" s="10" t="str">
        <f aca="false">IF(D231="","","MH-"&amp;IFERROR(VLOOKUP(D231,Lists!$AB$4:$AC$20,2,0),"??")&amp;"-"&amp;TEXT(G231,"0000")&amp;IF(F231="Circular","D","x"&amp;TEXT(H231,"0000"))&amp;"-D"&amp;TEXT(J231*1000,"0000")&amp;"-"&amp;IFERROR(VLOOKUP(E231,Lists!$AE$4:$AF$16,2,0),"??")&amp;"-"&amp;AM231)</f>
        <v/>
      </c>
      <c r="B231" s="10" t="str">
        <f aca="false">IF(D231="","",D231&amp;", "&amp;E231&amp;", "&amp;IF(F231="Circular",G231&amp;" dia",G231&amp;" x "&amp;H231)&amp;", depth "&amp;TEXT(I231,"0.0")&amp;"-"&amp;TEXT(J231,"0.0")&amp;" m, pipe up to "&amp;K231&amp;" dia")</f>
        <v/>
      </c>
      <c r="C231" s="9"/>
      <c r="D231" s="9"/>
      <c r="E231" s="9"/>
      <c r="F231" s="9"/>
      <c r="G231" s="38"/>
      <c r="H231" s="38"/>
      <c r="I231" s="42"/>
      <c r="J231" s="42"/>
      <c r="K231" s="38"/>
      <c r="L231" s="38"/>
      <c r="M231" s="38"/>
      <c r="N231" s="38"/>
      <c r="O231" s="9"/>
      <c r="P231" s="9"/>
      <c r="Q231" s="9"/>
      <c r="R231" s="9"/>
      <c r="S231" s="9"/>
      <c r="T231" s="9"/>
      <c r="U231" s="9"/>
      <c r="V231" s="42"/>
      <c r="W231" s="9"/>
      <c r="X231" s="9"/>
      <c r="Y231" s="39"/>
      <c r="Z231" s="9"/>
      <c r="AA231" s="38"/>
      <c r="AB231" s="9"/>
      <c r="AC231" s="9"/>
      <c r="AD231" s="9"/>
      <c r="AE231" s="9"/>
      <c r="AF231" s="9"/>
      <c r="AG231" s="9"/>
      <c r="AH231" s="38"/>
      <c r="AI231" s="9"/>
      <c r="AJ231" s="39"/>
      <c r="AK231" s="9"/>
      <c r="AL231" s="9"/>
      <c r="AM231" s="9"/>
      <c r="AN231" s="9"/>
      <c r="AO231" s="9"/>
      <c r="AP231" s="9"/>
      <c r="AQ231" s="9"/>
      <c r="AR231" s="10" t="str">
        <f aca="false">IF(A231="","",SG_Criteria!$B$6&amp;SG_Criteria!$B$10&amp;"\"&amp;A231&amp;"\")</f>
        <v/>
      </c>
      <c r="AS231" s="10" t="str">
        <f aca="false">IF(A231="","",A231&amp;"_CAD.dwg")</f>
        <v/>
      </c>
      <c r="AT231" s="10" t="str">
        <f aca="false">IF(A231="","",A231&amp;"_DWG.pdf")</f>
        <v/>
      </c>
      <c r="AU231" s="10" t="str">
        <f aca="false">IF(A231="","",IF(AQ231="Y",A231&amp;"_STAAD.std","n/a"))</f>
        <v/>
      </c>
      <c r="AV231" s="10" t="str">
        <f aca="false">IF(A231="","",A231&amp;"_CALC.xlsx")</f>
        <v/>
      </c>
      <c r="AW231" s="10" t="str">
        <f aca="false">IF(A231="","",A231&amp;"_CALC.pdf")</f>
        <v/>
      </c>
      <c r="AX231" s="9"/>
      <c r="AY231" s="9"/>
      <c r="AZ231" s="39"/>
      <c r="BA231" s="39"/>
      <c r="BB231" s="39"/>
      <c r="BC231" s="39"/>
      <c r="BD231" s="39"/>
      <c r="BE231" s="12" t="str">
        <f aca="false">IF(A231="","",IF(COUNTIF(Rebar_Schedule!$A$5:$A$2004,A231)=0,"",ROUND(SUMIF(Rebar_Schedule!$A$5:$A$2004,A231,Rebar_Schedule!$K$5:$K$2004),1)))</f>
        <v/>
      </c>
      <c r="BF231" s="33" t="str">
        <f aca="false">IF(A231="","",IF(BE231="","No rebar schedule yet",IF(ABS(BE231-N(BA231))/MAX(N(BA231),1)&gt;SG_Criteria!$B$55,"NOTE: register rebar differs from schedule by "&amp;TEXT(ABS(BE231-N(BA231))/MAX(N(BA231),1),"0%"),"OK")))</f>
        <v/>
      </c>
      <c r="BG231" s="33" t="str">
        <f aca="false">IF(D231="","",IF(LEN(IF(AND(Z231&lt;&gt;"",IFERROR(VALUE(MID(Z231,2,2)),0)&lt;SG_Criteria!$B$19),"FAIL: grade below C"&amp;SG_Criteria!$B$19&amp;". ","")&amp;IF(AND(AA231&lt;&gt;"",AA231&lt;SG_Criteria!$B$20),"FAIL: cover &lt; "&amp;SG_Criteria!$B$20&amp;" mm. ","")&amp;IF(AND(I231&lt;&gt;"",I231&lt;SG_Criteria!$B$39),"NOTE: min depth below PUB "&amp;SG_Criteria!$B$39&amp;" m. ","")&amp;IF(AND(LEFT(D231,8)="Standard",J231&gt;SG_Criteria!$B$42),"FAIL: PUB 001C covers manholes up to "&amp;SG_Criteria!$B$42&amp;" m deep only. ","")&amp;IF(AND(LEFT(D231,11)="Rectangular",K231&lt;SG_Criteria!$B$43),"NOTE: 004C is for sewers &gt;= "&amp;SG_Criteria!$B$43&amp;" dia. ","")&amp;IF(AND(LEFT(D231,7)="Precast",J231&lt;=SG_Criteria!$B$42),"NOTE: 006C is for manholes &gt; "&amp;SG_Criteria!$B$42&amp;" m deep. ","")&amp;IF(AND(K231&lt;&gt;"",K231&lt;SG_Criteria!$B$40,D231&lt;&gt;"Inspection Chamber"),"NOTE: public sewer min dia "&amp;SG_Criteria!$B$40&amp;" mm. ","")&amp;IF(AND(Y231&lt;&gt;"",Y231&lt;SG_Criteria!$B$44),"FAIL: uplift FOS below "&amp;SG_Criteria!$B$44&amp;". ",""))=0,"OK",IF(AND(Z231&lt;&gt;"",IFERROR(VALUE(MID(Z231,2,2)),0)&lt;SG_Criteria!$B$19),"FAIL: grade below C"&amp;SG_Criteria!$B$19&amp;". ","")&amp;IF(AND(AA231&lt;&gt;"",AA231&lt;SG_Criteria!$B$20),"FAIL: cover &lt; "&amp;SG_Criteria!$B$20&amp;" mm. ","")&amp;IF(AND(I231&lt;&gt;"",I231&lt;SG_Criteria!$B$39),"NOTE: min depth below PUB "&amp;SG_Criteria!$B$39&amp;" m. ","")&amp;IF(AND(LEFT(D231,8)="Standard",J231&gt;SG_Criteria!$B$42),"FAIL: PUB 001C covers manholes up to "&amp;SG_Criteria!$B$42&amp;" m deep only. ","")&amp;IF(AND(LEFT(D231,11)="Rectangular",K231&lt;SG_Criteria!$B$43),"NOTE: 004C is for sewers &gt;= "&amp;SG_Criteria!$B$43&amp;" dia. ","")&amp;IF(AND(LEFT(D231,7)="Precast",J231&lt;=SG_Criteria!$B$42),"NOTE: 006C is for manholes &gt; "&amp;SG_Criteria!$B$42&amp;" m deep. ","")&amp;IF(AND(K231&lt;&gt;"",K231&lt;SG_Criteria!$B$40,D231&lt;&gt;"Inspection Chamber"),"NOTE: public sewer min dia "&amp;SG_Criteria!$B$40&amp;" mm. ","")&amp;IF(AND(Y231&lt;&gt;"",Y231&lt;SG_Criteria!$B$44),"FAIL: uplift FOS below "&amp;SG_Criteria!$B$44&amp;". ","")))</f>
        <v/>
      </c>
      <c r="BH231" s="9"/>
      <c r="BI231" s="9"/>
      <c r="BJ231" s="9"/>
      <c r="BK231" s="10" t="str">
        <f aca="false">IF(BJ231="","",IFERROR(VLOOKUP(BJ231,Projects!$A$5:$D$504,2,0),"Ref not in Projects"))</f>
        <v/>
      </c>
      <c r="BL231" s="10" t="str">
        <f aca="false">IF(BJ231="","",IFERROR(VLOOKUP(BJ231,Projects!$A$5:$D$504,4,0),"Ref not in Projects"))</f>
        <v/>
      </c>
      <c r="BM231" s="9"/>
      <c r="BN231" s="9"/>
      <c r="BO231" s="9"/>
      <c r="BP231" s="40"/>
      <c r="BQ231" s="9"/>
      <c r="BR231" s="40"/>
      <c r="BS231" s="9"/>
      <c r="BT231" s="40"/>
      <c r="BU231" s="9"/>
      <c r="BV231" s="9"/>
      <c r="BW231" s="9"/>
      <c r="BX231" s="40"/>
      <c r="BY231" s="40"/>
      <c r="BZ231" s="36" t="str">
        <f aca="false">IF(BY231="","",EDATE(BY231,SG_Criteria!$B$54*12))</f>
        <v/>
      </c>
      <c r="CA231" s="33" t="str">
        <f aca="true">IF(A231="","",IF(BY231="","NOTE: not reviewed yet",IF(TODAY()&gt;BZ231,"NOTE: review overdue","OK")))</f>
        <v/>
      </c>
      <c r="CB231" s="37" t="str">
        <f aca="false">IF(A231="","",ROUND((IF(LEN(D231)&gt;0,1,0)+IF(LEN(E231)&gt;0,1,0)+IF(LEN(F231)&gt;0,1,0)+IF(LEN(G231)&gt;0,1,0)+IF(LEN(I231)&gt;0,1,0)+IF(LEN(J231)&gt;0,1,0)+IF(LEN(K231)&gt;0,1,0)+IF(LEN(L231)&gt;0,1,0)+IF(LEN(M231)&gt;0,1,0)+IF(LEN(N231)&gt;0,1,0)+IF(LEN(Z231)&gt;0,1,0)+IF(LEN(AA231)&gt;0,1,0)+IF(LEN(Y231)&gt;0,1,0)+IF(LEN(AE231)&gt;0,1,0)+IF(LEN(AG231)&gt;0,1,0)+IF(LEN(AZ231)&gt;0,1,0)+IF(LEN(AK231)&gt;0,1,0)+IF(LEN(AM231)&gt;0,1,0)+IF(LEN(AN231)&gt;0,1,0)+IF(LEN(AO231)&gt;0,1,0)+IF(LEN(AP231)&gt;0,1,0)+IF(LEN(AY231)&gt;0,1,0)+IF(LEN(BJ231)&gt;0,1,0)+IF(LEN(BW231)&gt;0,1,0))/24,2))</f>
        <v/>
      </c>
      <c r="CC231" s="10" t="str">
        <f aca="false">IF(D231="","",IF(AND(AN231="Approved",ISERROR(SEARCH("FAIL",BG231))),"Y","N"))</f>
        <v/>
      </c>
      <c r="CD231" s="10" t="str">
        <f aca="false">IF(D231="","",D231&amp;"|"&amp;J231&amp;"|"&amp;G231&amp;"|"&amp;CC231)</f>
        <v/>
      </c>
    </row>
    <row r="232" customFormat="false" ht="15" hidden="false" customHeight="false" outlineLevel="0" collapsed="false">
      <c r="A232" s="10" t="str">
        <f aca="false">IF(D232="","","MH-"&amp;IFERROR(VLOOKUP(D232,Lists!$AB$4:$AC$20,2,0),"??")&amp;"-"&amp;TEXT(G232,"0000")&amp;IF(F232="Circular","D","x"&amp;TEXT(H232,"0000"))&amp;"-D"&amp;TEXT(J232*1000,"0000")&amp;"-"&amp;IFERROR(VLOOKUP(E232,Lists!$AE$4:$AF$16,2,0),"??")&amp;"-"&amp;AM232)</f>
        <v/>
      </c>
      <c r="B232" s="10" t="str">
        <f aca="false">IF(D232="","",D232&amp;", "&amp;E232&amp;", "&amp;IF(F232="Circular",G232&amp;" dia",G232&amp;" x "&amp;H232)&amp;", depth "&amp;TEXT(I232,"0.0")&amp;"-"&amp;TEXT(J232,"0.0")&amp;" m, pipe up to "&amp;K232&amp;" dia")</f>
        <v/>
      </c>
      <c r="C232" s="9"/>
      <c r="D232" s="9"/>
      <c r="E232" s="9"/>
      <c r="F232" s="9"/>
      <c r="G232" s="38"/>
      <c r="H232" s="38"/>
      <c r="I232" s="42"/>
      <c r="J232" s="42"/>
      <c r="K232" s="38"/>
      <c r="L232" s="38"/>
      <c r="M232" s="38"/>
      <c r="N232" s="38"/>
      <c r="O232" s="9"/>
      <c r="P232" s="9"/>
      <c r="Q232" s="9"/>
      <c r="R232" s="9"/>
      <c r="S232" s="9"/>
      <c r="T232" s="9"/>
      <c r="U232" s="9"/>
      <c r="V232" s="42"/>
      <c r="W232" s="9"/>
      <c r="X232" s="9"/>
      <c r="Y232" s="39"/>
      <c r="Z232" s="9"/>
      <c r="AA232" s="38"/>
      <c r="AB232" s="9"/>
      <c r="AC232" s="9"/>
      <c r="AD232" s="9"/>
      <c r="AE232" s="9"/>
      <c r="AF232" s="9"/>
      <c r="AG232" s="9"/>
      <c r="AH232" s="38"/>
      <c r="AI232" s="9"/>
      <c r="AJ232" s="39"/>
      <c r="AK232" s="9"/>
      <c r="AL232" s="9"/>
      <c r="AM232" s="9"/>
      <c r="AN232" s="9"/>
      <c r="AO232" s="9"/>
      <c r="AP232" s="9"/>
      <c r="AQ232" s="9"/>
      <c r="AR232" s="10" t="str">
        <f aca="false">IF(A232="","",SG_Criteria!$B$6&amp;SG_Criteria!$B$10&amp;"\"&amp;A232&amp;"\")</f>
        <v/>
      </c>
      <c r="AS232" s="10" t="str">
        <f aca="false">IF(A232="","",A232&amp;"_CAD.dwg")</f>
        <v/>
      </c>
      <c r="AT232" s="10" t="str">
        <f aca="false">IF(A232="","",A232&amp;"_DWG.pdf")</f>
        <v/>
      </c>
      <c r="AU232" s="10" t="str">
        <f aca="false">IF(A232="","",IF(AQ232="Y",A232&amp;"_STAAD.std","n/a"))</f>
        <v/>
      </c>
      <c r="AV232" s="10" t="str">
        <f aca="false">IF(A232="","",A232&amp;"_CALC.xlsx")</f>
        <v/>
      </c>
      <c r="AW232" s="10" t="str">
        <f aca="false">IF(A232="","",A232&amp;"_CALC.pdf")</f>
        <v/>
      </c>
      <c r="AX232" s="9"/>
      <c r="AY232" s="9"/>
      <c r="AZ232" s="39"/>
      <c r="BA232" s="39"/>
      <c r="BB232" s="39"/>
      <c r="BC232" s="39"/>
      <c r="BD232" s="39"/>
      <c r="BE232" s="12" t="str">
        <f aca="false">IF(A232="","",IF(COUNTIF(Rebar_Schedule!$A$5:$A$2004,A232)=0,"",ROUND(SUMIF(Rebar_Schedule!$A$5:$A$2004,A232,Rebar_Schedule!$K$5:$K$2004),1)))</f>
        <v/>
      </c>
      <c r="BF232" s="33" t="str">
        <f aca="false">IF(A232="","",IF(BE232="","No rebar schedule yet",IF(ABS(BE232-N(BA232))/MAX(N(BA232),1)&gt;SG_Criteria!$B$55,"NOTE: register rebar differs from schedule by "&amp;TEXT(ABS(BE232-N(BA232))/MAX(N(BA232),1),"0%"),"OK")))</f>
        <v/>
      </c>
      <c r="BG232" s="33" t="str">
        <f aca="false">IF(D232="","",IF(LEN(IF(AND(Z232&lt;&gt;"",IFERROR(VALUE(MID(Z232,2,2)),0)&lt;SG_Criteria!$B$19),"FAIL: grade below C"&amp;SG_Criteria!$B$19&amp;". ","")&amp;IF(AND(AA232&lt;&gt;"",AA232&lt;SG_Criteria!$B$20),"FAIL: cover &lt; "&amp;SG_Criteria!$B$20&amp;" mm. ","")&amp;IF(AND(I232&lt;&gt;"",I232&lt;SG_Criteria!$B$39),"NOTE: min depth below PUB "&amp;SG_Criteria!$B$39&amp;" m. ","")&amp;IF(AND(LEFT(D232,8)="Standard",J232&gt;SG_Criteria!$B$42),"FAIL: PUB 001C covers manholes up to "&amp;SG_Criteria!$B$42&amp;" m deep only. ","")&amp;IF(AND(LEFT(D232,11)="Rectangular",K232&lt;SG_Criteria!$B$43),"NOTE: 004C is for sewers &gt;= "&amp;SG_Criteria!$B$43&amp;" dia. ","")&amp;IF(AND(LEFT(D232,7)="Precast",J232&lt;=SG_Criteria!$B$42),"NOTE: 006C is for manholes &gt; "&amp;SG_Criteria!$B$42&amp;" m deep. ","")&amp;IF(AND(K232&lt;&gt;"",K232&lt;SG_Criteria!$B$40,D232&lt;&gt;"Inspection Chamber"),"NOTE: public sewer min dia "&amp;SG_Criteria!$B$40&amp;" mm. ","")&amp;IF(AND(Y232&lt;&gt;"",Y232&lt;SG_Criteria!$B$44),"FAIL: uplift FOS below "&amp;SG_Criteria!$B$44&amp;". ",""))=0,"OK",IF(AND(Z232&lt;&gt;"",IFERROR(VALUE(MID(Z232,2,2)),0)&lt;SG_Criteria!$B$19),"FAIL: grade below C"&amp;SG_Criteria!$B$19&amp;". ","")&amp;IF(AND(AA232&lt;&gt;"",AA232&lt;SG_Criteria!$B$20),"FAIL: cover &lt; "&amp;SG_Criteria!$B$20&amp;" mm. ","")&amp;IF(AND(I232&lt;&gt;"",I232&lt;SG_Criteria!$B$39),"NOTE: min depth below PUB "&amp;SG_Criteria!$B$39&amp;" m. ","")&amp;IF(AND(LEFT(D232,8)="Standard",J232&gt;SG_Criteria!$B$42),"FAIL: PUB 001C covers manholes up to "&amp;SG_Criteria!$B$42&amp;" m deep only. ","")&amp;IF(AND(LEFT(D232,11)="Rectangular",K232&lt;SG_Criteria!$B$43),"NOTE: 004C is for sewers &gt;= "&amp;SG_Criteria!$B$43&amp;" dia. ","")&amp;IF(AND(LEFT(D232,7)="Precast",J232&lt;=SG_Criteria!$B$42),"NOTE: 006C is for manholes &gt; "&amp;SG_Criteria!$B$42&amp;" m deep. ","")&amp;IF(AND(K232&lt;&gt;"",K232&lt;SG_Criteria!$B$40,D232&lt;&gt;"Inspection Chamber"),"NOTE: public sewer min dia "&amp;SG_Criteria!$B$40&amp;" mm. ","")&amp;IF(AND(Y232&lt;&gt;"",Y232&lt;SG_Criteria!$B$44),"FAIL: uplift FOS below "&amp;SG_Criteria!$B$44&amp;". ","")))</f>
        <v/>
      </c>
      <c r="BH232" s="9"/>
      <c r="BI232" s="9"/>
      <c r="BJ232" s="9"/>
      <c r="BK232" s="10" t="str">
        <f aca="false">IF(BJ232="","",IFERROR(VLOOKUP(BJ232,Projects!$A$5:$D$504,2,0),"Ref not in Projects"))</f>
        <v/>
      </c>
      <c r="BL232" s="10" t="str">
        <f aca="false">IF(BJ232="","",IFERROR(VLOOKUP(BJ232,Projects!$A$5:$D$504,4,0),"Ref not in Projects"))</f>
        <v/>
      </c>
      <c r="BM232" s="9"/>
      <c r="BN232" s="9"/>
      <c r="BO232" s="9"/>
      <c r="BP232" s="40"/>
      <c r="BQ232" s="9"/>
      <c r="BR232" s="40"/>
      <c r="BS232" s="9"/>
      <c r="BT232" s="40"/>
      <c r="BU232" s="9"/>
      <c r="BV232" s="9"/>
      <c r="BW232" s="9"/>
      <c r="BX232" s="40"/>
      <c r="BY232" s="40"/>
      <c r="BZ232" s="36" t="str">
        <f aca="false">IF(BY232="","",EDATE(BY232,SG_Criteria!$B$54*12))</f>
        <v/>
      </c>
      <c r="CA232" s="33" t="str">
        <f aca="true">IF(A232="","",IF(BY232="","NOTE: not reviewed yet",IF(TODAY()&gt;BZ232,"NOTE: review overdue","OK")))</f>
        <v/>
      </c>
      <c r="CB232" s="37" t="str">
        <f aca="false">IF(A232="","",ROUND((IF(LEN(D232)&gt;0,1,0)+IF(LEN(E232)&gt;0,1,0)+IF(LEN(F232)&gt;0,1,0)+IF(LEN(G232)&gt;0,1,0)+IF(LEN(I232)&gt;0,1,0)+IF(LEN(J232)&gt;0,1,0)+IF(LEN(K232)&gt;0,1,0)+IF(LEN(L232)&gt;0,1,0)+IF(LEN(M232)&gt;0,1,0)+IF(LEN(N232)&gt;0,1,0)+IF(LEN(Z232)&gt;0,1,0)+IF(LEN(AA232)&gt;0,1,0)+IF(LEN(Y232)&gt;0,1,0)+IF(LEN(AE232)&gt;0,1,0)+IF(LEN(AG232)&gt;0,1,0)+IF(LEN(AZ232)&gt;0,1,0)+IF(LEN(AK232)&gt;0,1,0)+IF(LEN(AM232)&gt;0,1,0)+IF(LEN(AN232)&gt;0,1,0)+IF(LEN(AO232)&gt;0,1,0)+IF(LEN(AP232)&gt;0,1,0)+IF(LEN(AY232)&gt;0,1,0)+IF(LEN(BJ232)&gt;0,1,0)+IF(LEN(BW232)&gt;0,1,0))/24,2))</f>
        <v/>
      </c>
      <c r="CC232" s="10" t="str">
        <f aca="false">IF(D232="","",IF(AND(AN232="Approved",ISERROR(SEARCH("FAIL",BG232))),"Y","N"))</f>
        <v/>
      </c>
      <c r="CD232" s="10" t="str">
        <f aca="false">IF(D232="","",D232&amp;"|"&amp;J232&amp;"|"&amp;G232&amp;"|"&amp;CC232)</f>
        <v/>
      </c>
    </row>
    <row r="233" customFormat="false" ht="15" hidden="false" customHeight="false" outlineLevel="0" collapsed="false">
      <c r="A233" s="10" t="str">
        <f aca="false">IF(D233="","","MH-"&amp;IFERROR(VLOOKUP(D233,Lists!$AB$4:$AC$20,2,0),"??")&amp;"-"&amp;TEXT(G233,"0000")&amp;IF(F233="Circular","D","x"&amp;TEXT(H233,"0000"))&amp;"-D"&amp;TEXT(J233*1000,"0000")&amp;"-"&amp;IFERROR(VLOOKUP(E233,Lists!$AE$4:$AF$16,2,0),"??")&amp;"-"&amp;AM233)</f>
        <v/>
      </c>
      <c r="B233" s="10" t="str">
        <f aca="false">IF(D233="","",D233&amp;", "&amp;E233&amp;", "&amp;IF(F233="Circular",G233&amp;" dia",G233&amp;" x "&amp;H233)&amp;", depth "&amp;TEXT(I233,"0.0")&amp;"-"&amp;TEXT(J233,"0.0")&amp;" m, pipe up to "&amp;K233&amp;" dia")</f>
        <v/>
      </c>
      <c r="C233" s="9"/>
      <c r="D233" s="9"/>
      <c r="E233" s="9"/>
      <c r="F233" s="9"/>
      <c r="G233" s="38"/>
      <c r="H233" s="38"/>
      <c r="I233" s="42"/>
      <c r="J233" s="42"/>
      <c r="K233" s="38"/>
      <c r="L233" s="38"/>
      <c r="M233" s="38"/>
      <c r="N233" s="38"/>
      <c r="O233" s="9"/>
      <c r="P233" s="9"/>
      <c r="Q233" s="9"/>
      <c r="R233" s="9"/>
      <c r="S233" s="9"/>
      <c r="T233" s="9"/>
      <c r="U233" s="9"/>
      <c r="V233" s="42"/>
      <c r="W233" s="9"/>
      <c r="X233" s="9"/>
      <c r="Y233" s="39"/>
      <c r="Z233" s="9"/>
      <c r="AA233" s="38"/>
      <c r="AB233" s="9"/>
      <c r="AC233" s="9"/>
      <c r="AD233" s="9"/>
      <c r="AE233" s="9"/>
      <c r="AF233" s="9"/>
      <c r="AG233" s="9"/>
      <c r="AH233" s="38"/>
      <c r="AI233" s="9"/>
      <c r="AJ233" s="39"/>
      <c r="AK233" s="9"/>
      <c r="AL233" s="9"/>
      <c r="AM233" s="9"/>
      <c r="AN233" s="9"/>
      <c r="AO233" s="9"/>
      <c r="AP233" s="9"/>
      <c r="AQ233" s="9"/>
      <c r="AR233" s="10" t="str">
        <f aca="false">IF(A233="","",SG_Criteria!$B$6&amp;SG_Criteria!$B$10&amp;"\"&amp;A233&amp;"\")</f>
        <v/>
      </c>
      <c r="AS233" s="10" t="str">
        <f aca="false">IF(A233="","",A233&amp;"_CAD.dwg")</f>
        <v/>
      </c>
      <c r="AT233" s="10" t="str">
        <f aca="false">IF(A233="","",A233&amp;"_DWG.pdf")</f>
        <v/>
      </c>
      <c r="AU233" s="10" t="str">
        <f aca="false">IF(A233="","",IF(AQ233="Y",A233&amp;"_STAAD.std","n/a"))</f>
        <v/>
      </c>
      <c r="AV233" s="10" t="str">
        <f aca="false">IF(A233="","",A233&amp;"_CALC.xlsx")</f>
        <v/>
      </c>
      <c r="AW233" s="10" t="str">
        <f aca="false">IF(A233="","",A233&amp;"_CALC.pdf")</f>
        <v/>
      </c>
      <c r="AX233" s="9"/>
      <c r="AY233" s="9"/>
      <c r="AZ233" s="39"/>
      <c r="BA233" s="39"/>
      <c r="BB233" s="39"/>
      <c r="BC233" s="39"/>
      <c r="BD233" s="39"/>
      <c r="BE233" s="12" t="str">
        <f aca="false">IF(A233="","",IF(COUNTIF(Rebar_Schedule!$A$5:$A$2004,A233)=0,"",ROUND(SUMIF(Rebar_Schedule!$A$5:$A$2004,A233,Rebar_Schedule!$K$5:$K$2004),1)))</f>
        <v/>
      </c>
      <c r="BF233" s="33" t="str">
        <f aca="false">IF(A233="","",IF(BE233="","No rebar schedule yet",IF(ABS(BE233-N(BA233))/MAX(N(BA233),1)&gt;SG_Criteria!$B$55,"NOTE: register rebar differs from schedule by "&amp;TEXT(ABS(BE233-N(BA233))/MAX(N(BA233),1),"0%"),"OK")))</f>
        <v/>
      </c>
      <c r="BG233" s="33" t="str">
        <f aca="false">IF(D233="","",IF(LEN(IF(AND(Z233&lt;&gt;"",IFERROR(VALUE(MID(Z233,2,2)),0)&lt;SG_Criteria!$B$19),"FAIL: grade below C"&amp;SG_Criteria!$B$19&amp;". ","")&amp;IF(AND(AA233&lt;&gt;"",AA233&lt;SG_Criteria!$B$20),"FAIL: cover &lt; "&amp;SG_Criteria!$B$20&amp;" mm. ","")&amp;IF(AND(I233&lt;&gt;"",I233&lt;SG_Criteria!$B$39),"NOTE: min depth below PUB "&amp;SG_Criteria!$B$39&amp;" m. ","")&amp;IF(AND(LEFT(D233,8)="Standard",J233&gt;SG_Criteria!$B$42),"FAIL: PUB 001C covers manholes up to "&amp;SG_Criteria!$B$42&amp;" m deep only. ","")&amp;IF(AND(LEFT(D233,11)="Rectangular",K233&lt;SG_Criteria!$B$43),"NOTE: 004C is for sewers &gt;= "&amp;SG_Criteria!$B$43&amp;" dia. ","")&amp;IF(AND(LEFT(D233,7)="Precast",J233&lt;=SG_Criteria!$B$42),"NOTE: 006C is for manholes &gt; "&amp;SG_Criteria!$B$42&amp;" m deep. ","")&amp;IF(AND(K233&lt;&gt;"",K233&lt;SG_Criteria!$B$40,D233&lt;&gt;"Inspection Chamber"),"NOTE: public sewer min dia "&amp;SG_Criteria!$B$40&amp;" mm. ","")&amp;IF(AND(Y233&lt;&gt;"",Y233&lt;SG_Criteria!$B$44),"FAIL: uplift FOS below "&amp;SG_Criteria!$B$44&amp;". ",""))=0,"OK",IF(AND(Z233&lt;&gt;"",IFERROR(VALUE(MID(Z233,2,2)),0)&lt;SG_Criteria!$B$19),"FAIL: grade below C"&amp;SG_Criteria!$B$19&amp;". ","")&amp;IF(AND(AA233&lt;&gt;"",AA233&lt;SG_Criteria!$B$20),"FAIL: cover &lt; "&amp;SG_Criteria!$B$20&amp;" mm. ","")&amp;IF(AND(I233&lt;&gt;"",I233&lt;SG_Criteria!$B$39),"NOTE: min depth below PUB "&amp;SG_Criteria!$B$39&amp;" m. ","")&amp;IF(AND(LEFT(D233,8)="Standard",J233&gt;SG_Criteria!$B$42),"FAIL: PUB 001C covers manholes up to "&amp;SG_Criteria!$B$42&amp;" m deep only. ","")&amp;IF(AND(LEFT(D233,11)="Rectangular",K233&lt;SG_Criteria!$B$43),"NOTE: 004C is for sewers &gt;= "&amp;SG_Criteria!$B$43&amp;" dia. ","")&amp;IF(AND(LEFT(D233,7)="Precast",J233&lt;=SG_Criteria!$B$42),"NOTE: 006C is for manholes &gt; "&amp;SG_Criteria!$B$42&amp;" m deep. ","")&amp;IF(AND(K233&lt;&gt;"",K233&lt;SG_Criteria!$B$40,D233&lt;&gt;"Inspection Chamber"),"NOTE: public sewer min dia "&amp;SG_Criteria!$B$40&amp;" mm. ","")&amp;IF(AND(Y233&lt;&gt;"",Y233&lt;SG_Criteria!$B$44),"FAIL: uplift FOS below "&amp;SG_Criteria!$B$44&amp;". ","")))</f>
        <v/>
      </c>
      <c r="BH233" s="9"/>
      <c r="BI233" s="9"/>
      <c r="BJ233" s="9"/>
      <c r="BK233" s="10" t="str">
        <f aca="false">IF(BJ233="","",IFERROR(VLOOKUP(BJ233,Projects!$A$5:$D$504,2,0),"Ref not in Projects"))</f>
        <v/>
      </c>
      <c r="BL233" s="10" t="str">
        <f aca="false">IF(BJ233="","",IFERROR(VLOOKUP(BJ233,Projects!$A$5:$D$504,4,0),"Ref not in Projects"))</f>
        <v/>
      </c>
      <c r="BM233" s="9"/>
      <c r="BN233" s="9"/>
      <c r="BO233" s="9"/>
      <c r="BP233" s="40"/>
      <c r="BQ233" s="9"/>
      <c r="BR233" s="40"/>
      <c r="BS233" s="9"/>
      <c r="BT233" s="40"/>
      <c r="BU233" s="9"/>
      <c r="BV233" s="9"/>
      <c r="BW233" s="9"/>
      <c r="BX233" s="40"/>
      <c r="BY233" s="40"/>
      <c r="BZ233" s="36" t="str">
        <f aca="false">IF(BY233="","",EDATE(BY233,SG_Criteria!$B$54*12))</f>
        <v/>
      </c>
      <c r="CA233" s="33" t="str">
        <f aca="true">IF(A233="","",IF(BY233="","NOTE: not reviewed yet",IF(TODAY()&gt;BZ233,"NOTE: review overdue","OK")))</f>
        <v/>
      </c>
      <c r="CB233" s="37" t="str">
        <f aca="false">IF(A233="","",ROUND((IF(LEN(D233)&gt;0,1,0)+IF(LEN(E233)&gt;0,1,0)+IF(LEN(F233)&gt;0,1,0)+IF(LEN(G233)&gt;0,1,0)+IF(LEN(I233)&gt;0,1,0)+IF(LEN(J233)&gt;0,1,0)+IF(LEN(K233)&gt;0,1,0)+IF(LEN(L233)&gt;0,1,0)+IF(LEN(M233)&gt;0,1,0)+IF(LEN(N233)&gt;0,1,0)+IF(LEN(Z233)&gt;0,1,0)+IF(LEN(AA233)&gt;0,1,0)+IF(LEN(Y233)&gt;0,1,0)+IF(LEN(AE233)&gt;0,1,0)+IF(LEN(AG233)&gt;0,1,0)+IF(LEN(AZ233)&gt;0,1,0)+IF(LEN(AK233)&gt;0,1,0)+IF(LEN(AM233)&gt;0,1,0)+IF(LEN(AN233)&gt;0,1,0)+IF(LEN(AO233)&gt;0,1,0)+IF(LEN(AP233)&gt;0,1,0)+IF(LEN(AY233)&gt;0,1,0)+IF(LEN(BJ233)&gt;0,1,0)+IF(LEN(BW233)&gt;0,1,0))/24,2))</f>
        <v/>
      </c>
      <c r="CC233" s="10" t="str">
        <f aca="false">IF(D233="","",IF(AND(AN233="Approved",ISERROR(SEARCH("FAIL",BG233))),"Y","N"))</f>
        <v/>
      </c>
      <c r="CD233" s="10" t="str">
        <f aca="false">IF(D233="","",D233&amp;"|"&amp;J233&amp;"|"&amp;G233&amp;"|"&amp;CC233)</f>
        <v/>
      </c>
    </row>
    <row r="234" customFormat="false" ht="15" hidden="false" customHeight="false" outlineLevel="0" collapsed="false">
      <c r="A234" s="10" t="str">
        <f aca="false">IF(D234="","","MH-"&amp;IFERROR(VLOOKUP(D234,Lists!$AB$4:$AC$20,2,0),"??")&amp;"-"&amp;TEXT(G234,"0000")&amp;IF(F234="Circular","D","x"&amp;TEXT(H234,"0000"))&amp;"-D"&amp;TEXT(J234*1000,"0000")&amp;"-"&amp;IFERROR(VLOOKUP(E234,Lists!$AE$4:$AF$16,2,0),"??")&amp;"-"&amp;AM234)</f>
        <v/>
      </c>
      <c r="B234" s="10" t="str">
        <f aca="false">IF(D234="","",D234&amp;", "&amp;E234&amp;", "&amp;IF(F234="Circular",G234&amp;" dia",G234&amp;" x "&amp;H234)&amp;", depth "&amp;TEXT(I234,"0.0")&amp;"-"&amp;TEXT(J234,"0.0")&amp;" m, pipe up to "&amp;K234&amp;" dia")</f>
        <v/>
      </c>
      <c r="C234" s="9"/>
      <c r="D234" s="9"/>
      <c r="E234" s="9"/>
      <c r="F234" s="9"/>
      <c r="G234" s="38"/>
      <c r="H234" s="38"/>
      <c r="I234" s="42"/>
      <c r="J234" s="42"/>
      <c r="K234" s="38"/>
      <c r="L234" s="38"/>
      <c r="M234" s="38"/>
      <c r="N234" s="38"/>
      <c r="O234" s="9"/>
      <c r="P234" s="9"/>
      <c r="Q234" s="9"/>
      <c r="R234" s="9"/>
      <c r="S234" s="9"/>
      <c r="T234" s="9"/>
      <c r="U234" s="9"/>
      <c r="V234" s="42"/>
      <c r="W234" s="9"/>
      <c r="X234" s="9"/>
      <c r="Y234" s="39"/>
      <c r="Z234" s="9"/>
      <c r="AA234" s="38"/>
      <c r="AB234" s="9"/>
      <c r="AC234" s="9"/>
      <c r="AD234" s="9"/>
      <c r="AE234" s="9"/>
      <c r="AF234" s="9"/>
      <c r="AG234" s="9"/>
      <c r="AH234" s="38"/>
      <c r="AI234" s="9"/>
      <c r="AJ234" s="39"/>
      <c r="AK234" s="9"/>
      <c r="AL234" s="9"/>
      <c r="AM234" s="9"/>
      <c r="AN234" s="9"/>
      <c r="AO234" s="9"/>
      <c r="AP234" s="9"/>
      <c r="AQ234" s="9"/>
      <c r="AR234" s="10" t="str">
        <f aca="false">IF(A234="","",SG_Criteria!$B$6&amp;SG_Criteria!$B$10&amp;"\"&amp;A234&amp;"\")</f>
        <v/>
      </c>
      <c r="AS234" s="10" t="str">
        <f aca="false">IF(A234="","",A234&amp;"_CAD.dwg")</f>
        <v/>
      </c>
      <c r="AT234" s="10" t="str">
        <f aca="false">IF(A234="","",A234&amp;"_DWG.pdf")</f>
        <v/>
      </c>
      <c r="AU234" s="10" t="str">
        <f aca="false">IF(A234="","",IF(AQ234="Y",A234&amp;"_STAAD.std","n/a"))</f>
        <v/>
      </c>
      <c r="AV234" s="10" t="str">
        <f aca="false">IF(A234="","",A234&amp;"_CALC.xlsx")</f>
        <v/>
      </c>
      <c r="AW234" s="10" t="str">
        <f aca="false">IF(A234="","",A234&amp;"_CALC.pdf")</f>
        <v/>
      </c>
      <c r="AX234" s="9"/>
      <c r="AY234" s="9"/>
      <c r="AZ234" s="39"/>
      <c r="BA234" s="39"/>
      <c r="BB234" s="39"/>
      <c r="BC234" s="39"/>
      <c r="BD234" s="39"/>
      <c r="BE234" s="12" t="str">
        <f aca="false">IF(A234="","",IF(COUNTIF(Rebar_Schedule!$A$5:$A$2004,A234)=0,"",ROUND(SUMIF(Rebar_Schedule!$A$5:$A$2004,A234,Rebar_Schedule!$K$5:$K$2004),1)))</f>
        <v/>
      </c>
      <c r="BF234" s="33" t="str">
        <f aca="false">IF(A234="","",IF(BE234="","No rebar schedule yet",IF(ABS(BE234-N(BA234))/MAX(N(BA234),1)&gt;SG_Criteria!$B$55,"NOTE: register rebar differs from schedule by "&amp;TEXT(ABS(BE234-N(BA234))/MAX(N(BA234),1),"0%"),"OK")))</f>
        <v/>
      </c>
      <c r="BG234" s="33" t="str">
        <f aca="false">IF(D234="","",IF(LEN(IF(AND(Z234&lt;&gt;"",IFERROR(VALUE(MID(Z234,2,2)),0)&lt;SG_Criteria!$B$19),"FAIL: grade below C"&amp;SG_Criteria!$B$19&amp;". ","")&amp;IF(AND(AA234&lt;&gt;"",AA234&lt;SG_Criteria!$B$20),"FAIL: cover &lt; "&amp;SG_Criteria!$B$20&amp;" mm. ","")&amp;IF(AND(I234&lt;&gt;"",I234&lt;SG_Criteria!$B$39),"NOTE: min depth below PUB "&amp;SG_Criteria!$B$39&amp;" m. ","")&amp;IF(AND(LEFT(D234,8)="Standard",J234&gt;SG_Criteria!$B$42),"FAIL: PUB 001C covers manholes up to "&amp;SG_Criteria!$B$42&amp;" m deep only. ","")&amp;IF(AND(LEFT(D234,11)="Rectangular",K234&lt;SG_Criteria!$B$43),"NOTE: 004C is for sewers &gt;= "&amp;SG_Criteria!$B$43&amp;" dia. ","")&amp;IF(AND(LEFT(D234,7)="Precast",J234&lt;=SG_Criteria!$B$42),"NOTE: 006C is for manholes &gt; "&amp;SG_Criteria!$B$42&amp;" m deep. ","")&amp;IF(AND(K234&lt;&gt;"",K234&lt;SG_Criteria!$B$40,D234&lt;&gt;"Inspection Chamber"),"NOTE: public sewer min dia "&amp;SG_Criteria!$B$40&amp;" mm. ","")&amp;IF(AND(Y234&lt;&gt;"",Y234&lt;SG_Criteria!$B$44),"FAIL: uplift FOS below "&amp;SG_Criteria!$B$44&amp;". ",""))=0,"OK",IF(AND(Z234&lt;&gt;"",IFERROR(VALUE(MID(Z234,2,2)),0)&lt;SG_Criteria!$B$19),"FAIL: grade below C"&amp;SG_Criteria!$B$19&amp;". ","")&amp;IF(AND(AA234&lt;&gt;"",AA234&lt;SG_Criteria!$B$20),"FAIL: cover &lt; "&amp;SG_Criteria!$B$20&amp;" mm. ","")&amp;IF(AND(I234&lt;&gt;"",I234&lt;SG_Criteria!$B$39),"NOTE: min depth below PUB "&amp;SG_Criteria!$B$39&amp;" m. ","")&amp;IF(AND(LEFT(D234,8)="Standard",J234&gt;SG_Criteria!$B$42),"FAIL: PUB 001C covers manholes up to "&amp;SG_Criteria!$B$42&amp;" m deep only. ","")&amp;IF(AND(LEFT(D234,11)="Rectangular",K234&lt;SG_Criteria!$B$43),"NOTE: 004C is for sewers &gt;= "&amp;SG_Criteria!$B$43&amp;" dia. ","")&amp;IF(AND(LEFT(D234,7)="Precast",J234&lt;=SG_Criteria!$B$42),"NOTE: 006C is for manholes &gt; "&amp;SG_Criteria!$B$42&amp;" m deep. ","")&amp;IF(AND(K234&lt;&gt;"",K234&lt;SG_Criteria!$B$40,D234&lt;&gt;"Inspection Chamber"),"NOTE: public sewer min dia "&amp;SG_Criteria!$B$40&amp;" mm. ","")&amp;IF(AND(Y234&lt;&gt;"",Y234&lt;SG_Criteria!$B$44),"FAIL: uplift FOS below "&amp;SG_Criteria!$B$44&amp;". ","")))</f>
        <v/>
      </c>
      <c r="BH234" s="9"/>
      <c r="BI234" s="9"/>
      <c r="BJ234" s="9"/>
      <c r="BK234" s="10" t="str">
        <f aca="false">IF(BJ234="","",IFERROR(VLOOKUP(BJ234,Projects!$A$5:$D$504,2,0),"Ref not in Projects"))</f>
        <v/>
      </c>
      <c r="BL234" s="10" t="str">
        <f aca="false">IF(BJ234="","",IFERROR(VLOOKUP(BJ234,Projects!$A$5:$D$504,4,0),"Ref not in Projects"))</f>
        <v/>
      </c>
      <c r="BM234" s="9"/>
      <c r="BN234" s="9"/>
      <c r="BO234" s="9"/>
      <c r="BP234" s="40"/>
      <c r="BQ234" s="9"/>
      <c r="BR234" s="40"/>
      <c r="BS234" s="9"/>
      <c r="BT234" s="40"/>
      <c r="BU234" s="9"/>
      <c r="BV234" s="9"/>
      <c r="BW234" s="9"/>
      <c r="BX234" s="40"/>
      <c r="BY234" s="40"/>
      <c r="BZ234" s="36" t="str">
        <f aca="false">IF(BY234="","",EDATE(BY234,SG_Criteria!$B$54*12))</f>
        <v/>
      </c>
      <c r="CA234" s="33" t="str">
        <f aca="true">IF(A234="","",IF(BY234="","NOTE: not reviewed yet",IF(TODAY()&gt;BZ234,"NOTE: review overdue","OK")))</f>
        <v/>
      </c>
      <c r="CB234" s="37" t="str">
        <f aca="false">IF(A234="","",ROUND((IF(LEN(D234)&gt;0,1,0)+IF(LEN(E234)&gt;0,1,0)+IF(LEN(F234)&gt;0,1,0)+IF(LEN(G234)&gt;0,1,0)+IF(LEN(I234)&gt;0,1,0)+IF(LEN(J234)&gt;0,1,0)+IF(LEN(K234)&gt;0,1,0)+IF(LEN(L234)&gt;0,1,0)+IF(LEN(M234)&gt;0,1,0)+IF(LEN(N234)&gt;0,1,0)+IF(LEN(Z234)&gt;0,1,0)+IF(LEN(AA234)&gt;0,1,0)+IF(LEN(Y234)&gt;0,1,0)+IF(LEN(AE234)&gt;0,1,0)+IF(LEN(AG234)&gt;0,1,0)+IF(LEN(AZ234)&gt;0,1,0)+IF(LEN(AK234)&gt;0,1,0)+IF(LEN(AM234)&gt;0,1,0)+IF(LEN(AN234)&gt;0,1,0)+IF(LEN(AO234)&gt;0,1,0)+IF(LEN(AP234)&gt;0,1,0)+IF(LEN(AY234)&gt;0,1,0)+IF(LEN(BJ234)&gt;0,1,0)+IF(LEN(BW234)&gt;0,1,0))/24,2))</f>
        <v/>
      </c>
      <c r="CC234" s="10" t="str">
        <f aca="false">IF(D234="","",IF(AND(AN234="Approved",ISERROR(SEARCH("FAIL",BG234))),"Y","N"))</f>
        <v/>
      </c>
      <c r="CD234" s="10" t="str">
        <f aca="false">IF(D234="","",D234&amp;"|"&amp;J234&amp;"|"&amp;G234&amp;"|"&amp;CC234)</f>
        <v/>
      </c>
    </row>
    <row r="235" customFormat="false" ht="15" hidden="false" customHeight="false" outlineLevel="0" collapsed="false">
      <c r="A235" s="10" t="str">
        <f aca="false">IF(D235="","","MH-"&amp;IFERROR(VLOOKUP(D235,Lists!$AB$4:$AC$20,2,0),"??")&amp;"-"&amp;TEXT(G235,"0000")&amp;IF(F235="Circular","D","x"&amp;TEXT(H235,"0000"))&amp;"-D"&amp;TEXT(J235*1000,"0000")&amp;"-"&amp;IFERROR(VLOOKUP(E235,Lists!$AE$4:$AF$16,2,0),"??")&amp;"-"&amp;AM235)</f>
        <v/>
      </c>
      <c r="B235" s="10" t="str">
        <f aca="false">IF(D235="","",D235&amp;", "&amp;E235&amp;", "&amp;IF(F235="Circular",G235&amp;" dia",G235&amp;" x "&amp;H235)&amp;", depth "&amp;TEXT(I235,"0.0")&amp;"-"&amp;TEXT(J235,"0.0")&amp;" m, pipe up to "&amp;K235&amp;" dia")</f>
        <v/>
      </c>
      <c r="C235" s="9"/>
      <c r="D235" s="9"/>
      <c r="E235" s="9"/>
      <c r="F235" s="9"/>
      <c r="G235" s="38"/>
      <c r="H235" s="38"/>
      <c r="I235" s="42"/>
      <c r="J235" s="42"/>
      <c r="K235" s="38"/>
      <c r="L235" s="38"/>
      <c r="M235" s="38"/>
      <c r="N235" s="38"/>
      <c r="O235" s="9"/>
      <c r="P235" s="9"/>
      <c r="Q235" s="9"/>
      <c r="R235" s="9"/>
      <c r="S235" s="9"/>
      <c r="T235" s="9"/>
      <c r="U235" s="9"/>
      <c r="V235" s="42"/>
      <c r="W235" s="9"/>
      <c r="X235" s="9"/>
      <c r="Y235" s="39"/>
      <c r="Z235" s="9"/>
      <c r="AA235" s="38"/>
      <c r="AB235" s="9"/>
      <c r="AC235" s="9"/>
      <c r="AD235" s="9"/>
      <c r="AE235" s="9"/>
      <c r="AF235" s="9"/>
      <c r="AG235" s="9"/>
      <c r="AH235" s="38"/>
      <c r="AI235" s="9"/>
      <c r="AJ235" s="39"/>
      <c r="AK235" s="9"/>
      <c r="AL235" s="9"/>
      <c r="AM235" s="9"/>
      <c r="AN235" s="9"/>
      <c r="AO235" s="9"/>
      <c r="AP235" s="9"/>
      <c r="AQ235" s="9"/>
      <c r="AR235" s="10" t="str">
        <f aca="false">IF(A235="","",SG_Criteria!$B$6&amp;SG_Criteria!$B$10&amp;"\"&amp;A235&amp;"\")</f>
        <v/>
      </c>
      <c r="AS235" s="10" t="str">
        <f aca="false">IF(A235="","",A235&amp;"_CAD.dwg")</f>
        <v/>
      </c>
      <c r="AT235" s="10" t="str">
        <f aca="false">IF(A235="","",A235&amp;"_DWG.pdf")</f>
        <v/>
      </c>
      <c r="AU235" s="10" t="str">
        <f aca="false">IF(A235="","",IF(AQ235="Y",A235&amp;"_STAAD.std","n/a"))</f>
        <v/>
      </c>
      <c r="AV235" s="10" t="str">
        <f aca="false">IF(A235="","",A235&amp;"_CALC.xlsx")</f>
        <v/>
      </c>
      <c r="AW235" s="10" t="str">
        <f aca="false">IF(A235="","",A235&amp;"_CALC.pdf")</f>
        <v/>
      </c>
      <c r="AX235" s="9"/>
      <c r="AY235" s="9"/>
      <c r="AZ235" s="39"/>
      <c r="BA235" s="39"/>
      <c r="BB235" s="39"/>
      <c r="BC235" s="39"/>
      <c r="BD235" s="39"/>
      <c r="BE235" s="12" t="str">
        <f aca="false">IF(A235="","",IF(COUNTIF(Rebar_Schedule!$A$5:$A$2004,A235)=0,"",ROUND(SUMIF(Rebar_Schedule!$A$5:$A$2004,A235,Rebar_Schedule!$K$5:$K$2004),1)))</f>
        <v/>
      </c>
      <c r="BF235" s="33" t="str">
        <f aca="false">IF(A235="","",IF(BE235="","No rebar schedule yet",IF(ABS(BE235-N(BA235))/MAX(N(BA235),1)&gt;SG_Criteria!$B$55,"NOTE: register rebar differs from schedule by "&amp;TEXT(ABS(BE235-N(BA235))/MAX(N(BA235),1),"0%"),"OK")))</f>
        <v/>
      </c>
      <c r="BG235" s="33" t="str">
        <f aca="false">IF(D235="","",IF(LEN(IF(AND(Z235&lt;&gt;"",IFERROR(VALUE(MID(Z235,2,2)),0)&lt;SG_Criteria!$B$19),"FAIL: grade below C"&amp;SG_Criteria!$B$19&amp;". ","")&amp;IF(AND(AA235&lt;&gt;"",AA235&lt;SG_Criteria!$B$20),"FAIL: cover &lt; "&amp;SG_Criteria!$B$20&amp;" mm. ","")&amp;IF(AND(I235&lt;&gt;"",I235&lt;SG_Criteria!$B$39),"NOTE: min depth below PUB "&amp;SG_Criteria!$B$39&amp;" m. ","")&amp;IF(AND(LEFT(D235,8)="Standard",J235&gt;SG_Criteria!$B$42),"FAIL: PUB 001C covers manholes up to "&amp;SG_Criteria!$B$42&amp;" m deep only. ","")&amp;IF(AND(LEFT(D235,11)="Rectangular",K235&lt;SG_Criteria!$B$43),"NOTE: 004C is for sewers &gt;= "&amp;SG_Criteria!$B$43&amp;" dia. ","")&amp;IF(AND(LEFT(D235,7)="Precast",J235&lt;=SG_Criteria!$B$42),"NOTE: 006C is for manholes &gt; "&amp;SG_Criteria!$B$42&amp;" m deep. ","")&amp;IF(AND(K235&lt;&gt;"",K235&lt;SG_Criteria!$B$40,D235&lt;&gt;"Inspection Chamber"),"NOTE: public sewer min dia "&amp;SG_Criteria!$B$40&amp;" mm. ","")&amp;IF(AND(Y235&lt;&gt;"",Y235&lt;SG_Criteria!$B$44),"FAIL: uplift FOS below "&amp;SG_Criteria!$B$44&amp;". ",""))=0,"OK",IF(AND(Z235&lt;&gt;"",IFERROR(VALUE(MID(Z235,2,2)),0)&lt;SG_Criteria!$B$19),"FAIL: grade below C"&amp;SG_Criteria!$B$19&amp;". ","")&amp;IF(AND(AA235&lt;&gt;"",AA235&lt;SG_Criteria!$B$20),"FAIL: cover &lt; "&amp;SG_Criteria!$B$20&amp;" mm. ","")&amp;IF(AND(I235&lt;&gt;"",I235&lt;SG_Criteria!$B$39),"NOTE: min depth below PUB "&amp;SG_Criteria!$B$39&amp;" m. ","")&amp;IF(AND(LEFT(D235,8)="Standard",J235&gt;SG_Criteria!$B$42),"FAIL: PUB 001C covers manholes up to "&amp;SG_Criteria!$B$42&amp;" m deep only. ","")&amp;IF(AND(LEFT(D235,11)="Rectangular",K235&lt;SG_Criteria!$B$43),"NOTE: 004C is for sewers &gt;= "&amp;SG_Criteria!$B$43&amp;" dia. ","")&amp;IF(AND(LEFT(D235,7)="Precast",J235&lt;=SG_Criteria!$B$42),"NOTE: 006C is for manholes &gt; "&amp;SG_Criteria!$B$42&amp;" m deep. ","")&amp;IF(AND(K235&lt;&gt;"",K235&lt;SG_Criteria!$B$40,D235&lt;&gt;"Inspection Chamber"),"NOTE: public sewer min dia "&amp;SG_Criteria!$B$40&amp;" mm. ","")&amp;IF(AND(Y235&lt;&gt;"",Y235&lt;SG_Criteria!$B$44),"FAIL: uplift FOS below "&amp;SG_Criteria!$B$44&amp;". ","")))</f>
        <v/>
      </c>
      <c r="BH235" s="9"/>
      <c r="BI235" s="9"/>
      <c r="BJ235" s="9"/>
      <c r="BK235" s="10" t="str">
        <f aca="false">IF(BJ235="","",IFERROR(VLOOKUP(BJ235,Projects!$A$5:$D$504,2,0),"Ref not in Projects"))</f>
        <v/>
      </c>
      <c r="BL235" s="10" t="str">
        <f aca="false">IF(BJ235="","",IFERROR(VLOOKUP(BJ235,Projects!$A$5:$D$504,4,0),"Ref not in Projects"))</f>
        <v/>
      </c>
      <c r="BM235" s="9"/>
      <c r="BN235" s="9"/>
      <c r="BO235" s="9"/>
      <c r="BP235" s="40"/>
      <c r="BQ235" s="9"/>
      <c r="BR235" s="40"/>
      <c r="BS235" s="9"/>
      <c r="BT235" s="40"/>
      <c r="BU235" s="9"/>
      <c r="BV235" s="9"/>
      <c r="BW235" s="9"/>
      <c r="BX235" s="40"/>
      <c r="BY235" s="40"/>
      <c r="BZ235" s="36" t="str">
        <f aca="false">IF(BY235="","",EDATE(BY235,SG_Criteria!$B$54*12))</f>
        <v/>
      </c>
      <c r="CA235" s="33" t="str">
        <f aca="true">IF(A235="","",IF(BY235="","NOTE: not reviewed yet",IF(TODAY()&gt;BZ235,"NOTE: review overdue","OK")))</f>
        <v/>
      </c>
      <c r="CB235" s="37" t="str">
        <f aca="false">IF(A235="","",ROUND((IF(LEN(D235)&gt;0,1,0)+IF(LEN(E235)&gt;0,1,0)+IF(LEN(F235)&gt;0,1,0)+IF(LEN(G235)&gt;0,1,0)+IF(LEN(I235)&gt;0,1,0)+IF(LEN(J235)&gt;0,1,0)+IF(LEN(K235)&gt;0,1,0)+IF(LEN(L235)&gt;0,1,0)+IF(LEN(M235)&gt;0,1,0)+IF(LEN(N235)&gt;0,1,0)+IF(LEN(Z235)&gt;0,1,0)+IF(LEN(AA235)&gt;0,1,0)+IF(LEN(Y235)&gt;0,1,0)+IF(LEN(AE235)&gt;0,1,0)+IF(LEN(AG235)&gt;0,1,0)+IF(LEN(AZ235)&gt;0,1,0)+IF(LEN(AK235)&gt;0,1,0)+IF(LEN(AM235)&gt;0,1,0)+IF(LEN(AN235)&gt;0,1,0)+IF(LEN(AO235)&gt;0,1,0)+IF(LEN(AP235)&gt;0,1,0)+IF(LEN(AY235)&gt;0,1,0)+IF(LEN(BJ235)&gt;0,1,0)+IF(LEN(BW235)&gt;0,1,0))/24,2))</f>
        <v/>
      </c>
      <c r="CC235" s="10" t="str">
        <f aca="false">IF(D235="","",IF(AND(AN235="Approved",ISERROR(SEARCH("FAIL",BG235))),"Y","N"))</f>
        <v/>
      </c>
      <c r="CD235" s="10" t="str">
        <f aca="false">IF(D235="","",D235&amp;"|"&amp;J235&amp;"|"&amp;G235&amp;"|"&amp;CC235)</f>
        <v/>
      </c>
    </row>
    <row r="236" customFormat="false" ht="15" hidden="false" customHeight="false" outlineLevel="0" collapsed="false">
      <c r="A236" s="10" t="str">
        <f aca="false">IF(D236="","","MH-"&amp;IFERROR(VLOOKUP(D236,Lists!$AB$4:$AC$20,2,0),"??")&amp;"-"&amp;TEXT(G236,"0000")&amp;IF(F236="Circular","D","x"&amp;TEXT(H236,"0000"))&amp;"-D"&amp;TEXT(J236*1000,"0000")&amp;"-"&amp;IFERROR(VLOOKUP(E236,Lists!$AE$4:$AF$16,2,0),"??")&amp;"-"&amp;AM236)</f>
        <v/>
      </c>
      <c r="B236" s="10" t="str">
        <f aca="false">IF(D236="","",D236&amp;", "&amp;E236&amp;", "&amp;IF(F236="Circular",G236&amp;" dia",G236&amp;" x "&amp;H236)&amp;", depth "&amp;TEXT(I236,"0.0")&amp;"-"&amp;TEXT(J236,"0.0")&amp;" m, pipe up to "&amp;K236&amp;" dia")</f>
        <v/>
      </c>
      <c r="C236" s="9"/>
      <c r="D236" s="9"/>
      <c r="E236" s="9"/>
      <c r="F236" s="9"/>
      <c r="G236" s="38"/>
      <c r="H236" s="38"/>
      <c r="I236" s="42"/>
      <c r="J236" s="42"/>
      <c r="K236" s="38"/>
      <c r="L236" s="38"/>
      <c r="M236" s="38"/>
      <c r="N236" s="38"/>
      <c r="O236" s="9"/>
      <c r="P236" s="9"/>
      <c r="Q236" s="9"/>
      <c r="R236" s="9"/>
      <c r="S236" s="9"/>
      <c r="T236" s="9"/>
      <c r="U236" s="9"/>
      <c r="V236" s="42"/>
      <c r="W236" s="9"/>
      <c r="X236" s="9"/>
      <c r="Y236" s="39"/>
      <c r="Z236" s="9"/>
      <c r="AA236" s="38"/>
      <c r="AB236" s="9"/>
      <c r="AC236" s="9"/>
      <c r="AD236" s="9"/>
      <c r="AE236" s="9"/>
      <c r="AF236" s="9"/>
      <c r="AG236" s="9"/>
      <c r="AH236" s="38"/>
      <c r="AI236" s="9"/>
      <c r="AJ236" s="39"/>
      <c r="AK236" s="9"/>
      <c r="AL236" s="9"/>
      <c r="AM236" s="9"/>
      <c r="AN236" s="9"/>
      <c r="AO236" s="9"/>
      <c r="AP236" s="9"/>
      <c r="AQ236" s="9"/>
      <c r="AR236" s="10" t="str">
        <f aca="false">IF(A236="","",SG_Criteria!$B$6&amp;SG_Criteria!$B$10&amp;"\"&amp;A236&amp;"\")</f>
        <v/>
      </c>
      <c r="AS236" s="10" t="str">
        <f aca="false">IF(A236="","",A236&amp;"_CAD.dwg")</f>
        <v/>
      </c>
      <c r="AT236" s="10" t="str">
        <f aca="false">IF(A236="","",A236&amp;"_DWG.pdf")</f>
        <v/>
      </c>
      <c r="AU236" s="10" t="str">
        <f aca="false">IF(A236="","",IF(AQ236="Y",A236&amp;"_STAAD.std","n/a"))</f>
        <v/>
      </c>
      <c r="AV236" s="10" t="str">
        <f aca="false">IF(A236="","",A236&amp;"_CALC.xlsx")</f>
        <v/>
      </c>
      <c r="AW236" s="10" t="str">
        <f aca="false">IF(A236="","",A236&amp;"_CALC.pdf")</f>
        <v/>
      </c>
      <c r="AX236" s="9"/>
      <c r="AY236" s="9"/>
      <c r="AZ236" s="39"/>
      <c r="BA236" s="39"/>
      <c r="BB236" s="39"/>
      <c r="BC236" s="39"/>
      <c r="BD236" s="39"/>
      <c r="BE236" s="12" t="str">
        <f aca="false">IF(A236="","",IF(COUNTIF(Rebar_Schedule!$A$5:$A$2004,A236)=0,"",ROUND(SUMIF(Rebar_Schedule!$A$5:$A$2004,A236,Rebar_Schedule!$K$5:$K$2004),1)))</f>
        <v/>
      </c>
      <c r="BF236" s="33" t="str">
        <f aca="false">IF(A236="","",IF(BE236="","No rebar schedule yet",IF(ABS(BE236-N(BA236))/MAX(N(BA236),1)&gt;SG_Criteria!$B$55,"NOTE: register rebar differs from schedule by "&amp;TEXT(ABS(BE236-N(BA236))/MAX(N(BA236),1),"0%"),"OK")))</f>
        <v/>
      </c>
      <c r="BG236" s="33" t="str">
        <f aca="false">IF(D236="","",IF(LEN(IF(AND(Z236&lt;&gt;"",IFERROR(VALUE(MID(Z236,2,2)),0)&lt;SG_Criteria!$B$19),"FAIL: grade below C"&amp;SG_Criteria!$B$19&amp;". ","")&amp;IF(AND(AA236&lt;&gt;"",AA236&lt;SG_Criteria!$B$20),"FAIL: cover &lt; "&amp;SG_Criteria!$B$20&amp;" mm. ","")&amp;IF(AND(I236&lt;&gt;"",I236&lt;SG_Criteria!$B$39),"NOTE: min depth below PUB "&amp;SG_Criteria!$B$39&amp;" m. ","")&amp;IF(AND(LEFT(D236,8)="Standard",J236&gt;SG_Criteria!$B$42),"FAIL: PUB 001C covers manholes up to "&amp;SG_Criteria!$B$42&amp;" m deep only. ","")&amp;IF(AND(LEFT(D236,11)="Rectangular",K236&lt;SG_Criteria!$B$43),"NOTE: 004C is for sewers &gt;= "&amp;SG_Criteria!$B$43&amp;" dia. ","")&amp;IF(AND(LEFT(D236,7)="Precast",J236&lt;=SG_Criteria!$B$42),"NOTE: 006C is for manholes &gt; "&amp;SG_Criteria!$B$42&amp;" m deep. ","")&amp;IF(AND(K236&lt;&gt;"",K236&lt;SG_Criteria!$B$40,D236&lt;&gt;"Inspection Chamber"),"NOTE: public sewer min dia "&amp;SG_Criteria!$B$40&amp;" mm. ","")&amp;IF(AND(Y236&lt;&gt;"",Y236&lt;SG_Criteria!$B$44),"FAIL: uplift FOS below "&amp;SG_Criteria!$B$44&amp;". ",""))=0,"OK",IF(AND(Z236&lt;&gt;"",IFERROR(VALUE(MID(Z236,2,2)),0)&lt;SG_Criteria!$B$19),"FAIL: grade below C"&amp;SG_Criteria!$B$19&amp;". ","")&amp;IF(AND(AA236&lt;&gt;"",AA236&lt;SG_Criteria!$B$20),"FAIL: cover &lt; "&amp;SG_Criteria!$B$20&amp;" mm. ","")&amp;IF(AND(I236&lt;&gt;"",I236&lt;SG_Criteria!$B$39),"NOTE: min depth below PUB "&amp;SG_Criteria!$B$39&amp;" m. ","")&amp;IF(AND(LEFT(D236,8)="Standard",J236&gt;SG_Criteria!$B$42),"FAIL: PUB 001C covers manholes up to "&amp;SG_Criteria!$B$42&amp;" m deep only. ","")&amp;IF(AND(LEFT(D236,11)="Rectangular",K236&lt;SG_Criteria!$B$43),"NOTE: 004C is for sewers &gt;= "&amp;SG_Criteria!$B$43&amp;" dia. ","")&amp;IF(AND(LEFT(D236,7)="Precast",J236&lt;=SG_Criteria!$B$42),"NOTE: 006C is for manholes &gt; "&amp;SG_Criteria!$B$42&amp;" m deep. ","")&amp;IF(AND(K236&lt;&gt;"",K236&lt;SG_Criteria!$B$40,D236&lt;&gt;"Inspection Chamber"),"NOTE: public sewer min dia "&amp;SG_Criteria!$B$40&amp;" mm. ","")&amp;IF(AND(Y236&lt;&gt;"",Y236&lt;SG_Criteria!$B$44),"FAIL: uplift FOS below "&amp;SG_Criteria!$B$44&amp;". ","")))</f>
        <v/>
      </c>
      <c r="BH236" s="9"/>
      <c r="BI236" s="9"/>
      <c r="BJ236" s="9"/>
      <c r="BK236" s="10" t="str">
        <f aca="false">IF(BJ236="","",IFERROR(VLOOKUP(BJ236,Projects!$A$5:$D$504,2,0),"Ref not in Projects"))</f>
        <v/>
      </c>
      <c r="BL236" s="10" t="str">
        <f aca="false">IF(BJ236="","",IFERROR(VLOOKUP(BJ236,Projects!$A$5:$D$504,4,0),"Ref not in Projects"))</f>
        <v/>
      </c>
      <c r="BM236" s="9"/>
      <c r="BN236" s="9"/>
      <c r="BO236" s="9"/>
      <c r="BP236" s="40"/>
      <c r="BQ236" s="9"/>
      <c r="BR236" s="40"/>
      <c r="BS236" s="9"/>
      <c r="BT236" s="40"/>
      <c r="BU236" s="9"/>
      <c r="BV236" s="9"/>
      <c r="BW236" s="9"/>
      <c r="BX236" s="40"/>
      <c r="BY236" s="40"/>
      <c r="BZ236" s="36" t="str">
        <f aca="false">IF(BY236="","",EDATE(BY236,SG_Criteria!$B$54*12))</f>
        <v/>
      </c>
      <c r="CA236" s="33" t="str">
        <f aca="true">IF(A236="","",IF(BY236="","NOTE: not reviewed yet",IF(TODAY()&gt;BZ236,"NOTE: review overdue","OK")))</f>
        <v/>
      </c>
      <c r="CB236" s="37" t="str">
        <f aca="false">IF(A236="","",ROUND((IF(LEN(D236)&gt;0,1,0)+IF(LEN(E236)&gt;0,1,0)+IF(LEN(F236)&gt;0,1,0)+IF(LEN(G236)&gt;0,1,0)+IF(LEN(I236)&gt;0,1,0)+IF(LEN(J236)&gt;0,1,0)+IF(LEN(K236)&gt;0,1,0)+IF(LEN(L236)&gt;0,1,0)+IF(LEN(M236)&gt;0,1,0)+IF(LEN(N236)&gt;0,1,0)+IF(LEN(Z236)&gt;0,1,0)+IF(LEN(AA236)&gt;0,1,0)+IF(LEN(Y236)&gt;0,1,0)+IF(LEN(AE236)&gt;0,1,0)+IF(LEN(AG236)&gt;0,1,0)+IF(LEN(AZ236)&gt;0,1,0)+IF(LEN(AK236)&gt;0,1,0)+IF(LEN(AM236)&gt;0,1,0)+IF(LEN(AN236)&gt;0,1,0)+IF(LEN(AO236)&gt;0,1,0)+IF(LEN(AP236)&gt;0,1,0)+IF(LEN(AY236)&gt;0,1,0)+IF(LEN(BJ236)&gt;0,1,0)+IF(LEN(BW236)&gt;0,1,0))/24,2))</f>
        <v/>
      </c>
      <c r="CC236" s="10" t="str">
        <f aca="false">IF(D236="","",IF(AND(AN236="Approved",ISERROR(SEARCH("FAIL",BG236))),"Y","N"))</f>
        <v/>
      </c>
      <c r="CD236" s="10" t="str">
        <f aca="false">IF(D236="","",D236&amp;"|"&amp;J236&amp;"|"&amp;G236&amp;"|"&amp;CC236)</f>
        <v/>
      </c>
    </row>
    <row r="237" customFormat="false" ht="15" hidden="false" customHeight="false" outlineLevel="0" collapsed="false">
      <c r="A237" s="10" t="str">
        <f aca="false">IF(D237="","","MH-"&amp;IFERROR(VLOOKUP(D237,Lists!$AB$4:$AC$20,2,0),"??")&amp;"-"&amp;TEXT(G237,"0000")&amp;IF(F237="Circular","D","x"&amp;TEXT(H237,"0000"))&amp;"-D"&amp;TEXT(J237*1000,"0000")&amp;"-"&amp;IFERROR(VLOOKUP(E237,Lists!$AE$4:$AF$16,2,0),"??")&amp;"-"&amp;AM237)</f>
        <v/>
      </c>
      <c r="B237" s="10" t="str">
        <f aca="false">IF(D237="","",D237&amp;", "&amp;E237&amp;", "&amp;IF(F237="Circular",G237&amp;" dia",G237&amp;" x "&amp;H237)&amp;", depth "&amp;TEXT(I237,"0.0")&amp;"-"&amp;TEXT(J237,"0.0")&amp;" m, pipe up to "&amp;K237&amp;" dia")</f>
        <v/>
      </c>
      <c r="C237" s="9"/>
      <c r="D237" s="9"/>
      <c r="E237" s="9"/>
      <c r="F237" s="9"/>
      <c r="G237" s="38"/>
      <c r="H237" s="38"/>
      <c r="I237" s="42"/>
      <c r="J237" s="42"/>
      <c r="K237" s="38"/>
      <c r="L237" s="38"/>
      <c r="M237" s="38"/>
      <c r="N237" s="38"/>
      <c r="O237" s="9"/>
      <c r="P237" s="9"/>
      <c r="Q237" s="9"/>
      <c r="R237" s="9"/>
      <c r="S237" s="9"/>
      <c r="T237" s="9"/>
      <c r="U237" s="9"/>
      <c r="V237" s="42"/>
      <c r="W237" s="9"/>
      <c r="X237" s="9"/>
      <c r="Y237" s="39"/>
      <c r="Z237" s="9"/>
      <c r="AA237" s="38"/>
      <c r="AB237" s="9"/>
      <c r="AC237" s="9"/>
      <c r="AD237" s="9"/>
      <c r="AE237" s="9"/>
      <c r="AF237" s="9"/>
      <c r="AG237" s="9"/>
      <c r="AH237" s="38"/>
      <c r="AI237" s="9"/>
      <c r="AJ237" s="39"/>
      <c r="AK237" s="9"/>
      <c r="AL237" s="9"/>
      <c r="AM237" s="9"/>
      <c r="AN237" s="9"/>
      <c r="AO237" s="9"/>
      <c r="AP237" s="9"/>
      <c r="AQ237" s="9"/>
      <c r="AR237" s="10" t="str">
        <f aca="false">IF(A237="","",SG_Criteria!$B$6&amp;SG_Criteria!$B$10&amp;"\"&amp;A237&amp;"\")</f>
        <v/>
      </c>
      <c r="AS237" s="10" t="str">
        <f aca="false">IF(A237="","",A237&amp;"_CAD.dwg")</f>
        <v/>
      </c>
      <c r="AT237" s="10" t="str">
        <f aca="false">IF(A237="","",A237&amp;"_DWG.pdf")</f>
        <v/>
      </c>
      <c r="AU237" s="10" t="str">
        <f aca="false">IF(A237="","",IF(AQ237="Y",A237&amp;"_STAAD.std","n/a"))</f>
        <v/>
      </c>
      <c r="AV237" s="10" t="str">
        <f aca="false">IF(A237="","",A237&amp;"_CALC.xlsx")</f>
        <v/>
      </c>
      <c r="AW237" s="10" t="str">
        <f aca="false">IF(A237="","",A237&amp;"_CALC.pdf")</f>
        <v/>
      </c>
      <c r="AX237" s="9"/>
      <c r="AY237" s="9"/>
      <c r="AZ237" s="39"/>
      <c r="BA237" s="39"/>
      <c r="BB237" s="39"/>
      <c r="BC237" s="39"/>
      <c r="BD237" s="39"/>
      <c r="BE237" s="12" t="str">
        <f aca="false">IF(A237="","",IF(COUNTIF(Rebar_Schedule!$A$5:$A$2004,A237)=0,"",ROUND(SUMIF(Rebar_Schedule!$A$5:$A$2004,A237,Rebar_Schedule!$K$5:$K$2004),1)))</f>
        <v/>
      </c>
      <c r="BF237" s="33" t="str">
        <f aca="false">IF(A237="","",IF(BE237="","No rebar schedule yet",IF(ABS(BE237-N(BA237))/MAX(N(BA237),1)&gt;SG_Criteria!$B$55,"NOTE: register rebar differs from schedule by "&amp;TEXT(ABS(BE237-N(BA237))/MAX(N(BA237),1),"0%"),"OK")))</f>
        <v/>
      </c>
      <c r="BG237" s="33" t="str">
        <f aca="false">IF(D237="","",IF(LEN(IF(AND(Z237&lt;&gt;"",IFERROR(VALUE(MID(Z237,2,2)),0)&lt;SG_Criteria!$B$19),"FAIL: grade below C"&amp;SG_Criteria!$B$19&amp;". ","")&amp;IF(AND(AA237&lt;&gt;"",AA237&lt;SG_Criteria!$B$20),"FAIL: cover &lt; "&amp;SG_Criteria!$B$20&amp;" mm. ","")&amp;IF(AND(I237&lt;&gt;"",I237&lt;SG_Criteria!$B$39),"NOTE: min depth below PUB "&amp;SG_Criteria!$B$39&amp;" m. ","")&amp;IF(AND(LEFT(D237,8)="Standard",J237&gt;SG_Criteria!$B$42),"FAIL: PUB 001C covers manholes up to "&amp;SG_Criteria!$B$42&amp;" m deep only. ","")&amp;IF(AND(LEFT(D237,11)="Rectangular",K237&lt;SG_Criteria!$B$43),"NOTE: 004C is for sewers &gt;= "&amp;SG_Criteria!$B$43&amp;" dia. ","")&amp;IF(AND(LEFT(D237,7)="Precast",J237&lt;=SG_Criteria!$B$42),"NOTE: 006C is for manholes &gt; "&amp;SG_Criteria!$B$42&amp;" m deep. ","")&amp;IF(AND(K237&lt;&gt;"",K237&lt;SG_Criteria!$B$40,D237&lt;&gt;"Inspection Chamber"),"NOTE: public sewer min dia "&amp;SG_Criteria!$B$40&amp;" mm. ","")&amp;IF(AND(Y237&lt;&gt;"",Y237&lt;SG_Criteria!$B$44),"FAIL: uplift FOS below "&amp;SG_Criteria!$B$44&amp;". ",""))=0,"OK",IF(AND(Z237&lt;&gt;"",IFERROR(VALUE(MID(Z237,2,2)),0)&lt;SG_Criteria!$B$19),"FAIL: grade below C"&amp;SG_Criteria!$B$19&amp;". ","")&amp;IF(AND(AA237&lt;&gt;"",AA237&lt;SG_Criteria!$B$20),"FAIL: cover &lt; "&amp;SG_Criteria!$B$20&amp;" mm. ","")&amp;IF(AND(I237&lt;&gt;"",I237&lt;SG_Criteria!$B$39),"NOTE: min depth below PUB "&amp;SG_Criteria!$B$39&amp;" m. ","")&amp;IF(AND(LEFT(D237,8)="Standard",J237&gt;SG_Criteria!$B$42),"FAIL: PUB 001C covers manholes up to "&amp;SG_Criteria!$B$42&amp;" m deep only. ","")&amp;IF(AND(LEFT(D237,11)="Rectangular",K237&lt;SG_Criteria!$B$43),"NOTE: 004C is for sewers &gt;= "&amp;SG_Criteria!$B$43&amp;" dia. ","")&amp;IF(AND(LEFT(D237,7)="Precast",J237&lt;=SG_Criteria!$B$42),"NOTE: 006C is for manholes &gt; "&amp;SG_Criteria!$B$42&amp;" m deep. ","")&amp;IF(AND(K237&lt;&gt;"",K237&lt;SG_Criteria!$B$40,D237&lt;&gt;"Inspection Chamber"),"NOTE: public sewer min dia "&amp;SG_Criteria!$B$40&amp;" mm. ","")&amp;IF(AND(Y237&lt;&gt;"",Y237&lt;SG_Criteria!$B$44),"FAIL: uplift FOS below "&amp;SG_Criteria!$B$44&amp;". ","")))</f>
        <v/>
      </c>
      <c r="BH237" s="9"/>
      <c r="BI237" s="9"/>
      <c r="BJ237" s="9"/>
      <c r="BK237" s="10" t="str">
        <f aca="false">IF(BJ237="","",IFERROR(VLOOKUP(BJ237,Projects!$A$5:$D$504,2,0),"Ref not in Projects"))</f>
        <v/>
      </c>
      <c r="BL237" s="10" t="str">
        <f aca="false">IF(BJ237="","",IFERROR(VLOOKUP(BJ237,Projects!$A$5:$D$504,4,0),"Ref not in Projects"))</f>
        <v/>
      </c>
      <c r="BM237" s="9"/>
      <c r="BN237" s="9"/>
      <c r="BO237" s="9"/>
      <c r="BP237" s="40"/>
      <c r="BQ237" s="9"/>
      <c r="BR237" s="40"/>
      <c r="BS237" s="9"/>
      <c r="BT237" s="40"/>
      <c r="BU237" s="9"/>
      <c r="BV237" s="9"/>
      <c r="BW237" s="9"/>
      <c r="BX237" s="40"/>
      <c r="BY237" s="40"/>
      <c r="BZ237" s="36" t="str">
        <f aca="false">IF(BY237="","",EDATE(BY237,SG_Criteria!$B$54*12))</f>
        <v/>
      </c>
      <c r="CA237" s="33" t="str">
        <f aca="true">IF(A237="","",IF(BY237="","NOTE: not reviewed yet",IF(TODAY()&gt;BZ237,"NOTE: review overdue","OK")))</f>
        <v/>
      </c>
      <c r="CB237" s="37" t="str">
        <f aca="false">IF(A237="","",ROUND((IF(LEN(D237)&gt;0,1,0)+IF(LEN(E237)&gt;0,1,0)+IF(LEN(F237)&gt;0,1,0)+IF(LEN(G237)&gt;0,1,0)+IF(LEN(I237)&gt;0,1,0)+IF(LEN(J237)&gt;0,1,0)+IF(LEN(K237)&gt;0,1,0)+IF(LEN(L237)&gt;0,1,0)+IF(LEN(M237)&gt;0,1,0)+IF(LEN(N237)&gt;0,1,0)+IF(LEN(Z237)&gt;0,1,0)+IF(LEN(AA237)&gt;0,1,0)+IF(LEN(Y237)&gt;0,1,0)+IF(LEN(AE237)&gt;0,1,0)+IF(LEN(AG237)&gt;0,1,0)+IF(LEN(AZ237)&gt;0,1,0)+IF(LEN(AK237)&gt;0,1,0)+IF(LEN(AM237)&gt;0,1,0)+IF(LEN(AN237)&gt;0,1,0)+IF(LEN(AO237)&gt;0,1,0)+IF(LEN(AP237)&gt;0,1,0)+IF(LEN(AY237)&gt;0,1,0)+IF(LEN(BJ237)&gt;0,1,0)+IF(LEN(BW237)&gt;0,1,0))/24,2))</f>
        <v/>
      </c>
      <c r="CC237" s="10" t="str">
        <f aca="false">IF(D237="","",IF(AND(AN237="Approved",ISERROR(SEARCH("FAIL",BG237))),"Y","N"))</f>
        <v/>
      </c>
      <c r="CD237" s="10" t="str">
        <f aca="false">IF(D237="","",D237&amp;"|"&amp;J237&amp;"|"&amp;G237&amp;"|"&amp;CC237)</f>
        <v/>
      </c>
    </row>
    <row r="238" customFormat="false" ht="15" hidden="false" customHeight="false" outlineLevel="0" collapsed="false">
      <c r="A238" s="10" t="str">
        <f aca="false">IF(D238="","","MH-"&amp;IFERROR(VLOOKUP(D238,Lists!$AB$4:$AC$20,2,0),"??")&amp;"-"&amp;TEXT(G238,"0000")&amp;IF(F238="Circular","D","x"&amp;TEXT(H238,"0000"))&amp;"-D"&amp;TEXT(J238*1000,"0000")&amp;"-"&amp;IFERROR(VLOOKUP(E238,Lists!$AE$4:$AF$16,2,0),"??")&amp;"-"&amp;AM238)</f>
        <v/>
      </c>
      <c r="B238" s="10" t="str">
        <f aca="false">IF(D238="","",D238&amp;", "&amp;E238&amp;", "&amp;IF(F238="Circular",G238&amp;" dia",G238&amp;" x "&amp;H238)&amp;", depth "&amp;TEXT(I238,"0.0")&amp;"-"&amp;TEXT(J238,"0.0")&amp;" m, pipe up to "&amp;K238&amp;" dia")</f>
        <v/>
      </c>
      <c r="C238" s="9"/>
      <c r="D238" s="9"/>
      <c r="E238" s="9"/>
      <c r="F238" s="9"/>
      <c r="G238" s="38"/>
      <c r="H238" s="38"/>
      <c r="I238" s="42"/>
      <c r="J238" s="42"/>
      <c r="K238" s="38"/>
      <c r="L238" s="38"/>
      <c r="M238" s="38"/>
      <c r="N238" s="38"/>
      <c r="O238" s="9"/>
      <c r="P238" s="9"/>
      <c r="Q238" s="9"/>
      <c r="R238" s="9"/>
      <c r="S238" s="9"/>
      <c r="T238" s="9"/>
      <c r="U238" s="9"/>
      <c r="V238" s="42"/>
      <c r="W238" s="9"/>
      <c r="X238" s="9"/>
      <c r="Y238" s="39"/>
      <c r="Z238" s="9"/>
      <c r="AA238" s="38"/>
      <c r="AB238" s="9"/>
      <c r="AC238" s="9"/>
      <c r="AD238" s="9"/>
      <c r="AE238" s="9"/>
      <c r="AF238" s="9"/>
      <c r="AG238" s="9"/>
      <c r="AH238" s="38"/>
      <c r="AI238" s="9"/>
      <c r="AJ238" s="39"/>
      <c r="AK238" s="9"/>
      <c r="AL238" s="9"/>
      <c r="AM238" s="9"/>
      <c r="AN238" s="9"/>
      <c r="AO238" s="9"/>
      <c r="AP238" s="9"/>
      <c r="AQ238" s="9"/>
      <c r="AR238" s="10" t="str">
        <f aca="false">IF(A238="","",SG_Criteria!$B$6&amp;SG_Criteria!$B$10&amp;"\"&amp;A238&amp;"\")</f>
        <v/>
      </c>
      <c r="AS238" s="10" t="str">
        <f aca="false">IF(A238="","",A238&amp;"_CAD.dwg")</f>
        <v/>
      </c>
      <c r="AT238" s="10" t="str">
        <f aca="false">IF(A238="","",A238&amp;"_DWG.pdf")</f>
        <v/>
      </c>
      <c r="AU238" s="10" t="str">
        <f aca="false">IF(A238="","",IF(AQ238="Y",A238&amp;"_STAAD.std","n/a"))</f>
        <v/>
      </c>
      <c r="AV238" s="10" t="str">
        <f aca="false">IF(A238="","",A238&amp;"_CALC.xlsx")</f>
        <v/>
      </c>
      <c r="AW238" s="10" t="str">
        <f aca="false">IF(A238="","",A238&amp;"_CALC.pdf")</f>
        <v/>
      </c>
      <c r="AX238" s="9"/>
      <c r="AY238" s="9"/>
      <c r="AZ238" s="39"/>
      <c r="BA238" s="39"/>
      <c r="BB238" s="39"/>
      <c r="BC238" s="39"/>
      <c r="BD238" s="39"/>
      <c r="BE238" s="12" t="str">
        <f aca="false">IF(A238="","",IF(COUNTIF(Rebar_Schedule!$A$5:$A$2004,A238)=0,"",ROUND(SUMIF(Rebar_Schedule!$A$5:$A$2004,A238,Rebar_Schedule!$K$5:$K$2004),1)))</f>
        <v/>
      </c>
      <c r="BF238" s="33" t="str">
        <f aca="false">IF(A238="","",IF(BE238="","No rebar schedule yet",IF(ABS(BE238-N(BA238))/MAX(N(BA238),1)&gt;SG_Criteria!$B$55,"NOTE: register rebar differs from schedule by "&amp;TEXT(ABS(BE238-N(BA238))/MAX(N(BA238),1),"0%"),"OK")))</f>
        <v/>
      </c>
      <c r="BG238" s="33" t="str">
        <f aca="false">IF(D238="","",IF(LEN(IF(AND(Z238&lt;&gt;"",IFERROR(VALUE(MID(Z238,2,2)),0)&lt;SG_Criteria!$B$19),"FAIL: grade below C"&amp;SG_Criteria!$B$19&amp;". ","")&amp;IF(AND(AA238&lt;&gt;"",AA238&lt;SG_Criteria!$B$20),"FAIL: cover &lt; "&amp;SG_Criteria!$B$20&amp;" mm. ","")&amp;IF(AND(I238&lt;&gt;"",I238&lt;SG_Criteria!$B$39),"NOTE: min depth below PUB "&amp;SG_Criteria!$B$39&amp;" m. ","")&amp;IF(AND(LEFT(D238,8)="Standard",J238&gt;SG_Criteria!$B$42),"FAIL: PUB 001C covers manholes up to "&amp;SG_Criteria!$B$42&amp;" m deep only. ","")&amp;IF(AND(LEFT(D238,11)="Rectangular",K238&lt;SG_Criteria!$B$43),"NOTE: 004C is for sewers &gt;= "&amp;SG_Criteria!$B$43&amp;" dia. ","")&amp;IF(AND(LEFT(D238,7)="Precast",J238&lt;=SG_Criteria!$B$42),"NOTE: 006C is for manholes &gt; "&amp;SG_Criteria!$B$42&amp;" m deep. ","")&amp;IF(AND(K238&lt;&gt;"",K238&lt;SG_Criteria!$B$40,D238&lt;&gt;"Inspection Chamber"),"NOTE: public sewer min dia "&amp;SG_Criteria!$B$40&amp;" mm. ","")&amp;IF(AND(Y238&lt;&gt;"",Y238&lt;SG_Criteria!$B$44),"FAIL: uplift FOS below "&amp;SG_Criteria!$B$44&amp;". ",""))=0,"OK",IF(AND(Z238&lt;&gt;"",IFERROR(VALUE(MID(Z238,2,2)),0)&lt;SG_Criteria!$B$19),"FAIL: grade below C"&amp;SG_Criteria!$B$19&amp;". ","")&amp;IF(AND(AA238&lt;&gt;"",AA238&lt;SG_Criteria!$B$20),"FAIL: cover &lt; "&amp;SG_Criteria!$B$20&amp;" mm. ","")&amp;IF(AND(I238&lt;&gt;"",I238&lt;SG_Criteria!$B$39),"NOTE: min depth below PUB "&amp;SG_Criteria!$B$39&amp;" m. ","")&amp;IF(AND(LEFT(D238,8)="Standard",J238&gt;SG_Criteria!$B$42),"FAIL: PUB 001C covers manholes up to "&amp;SG_Criteria!$B$42&amp;" m deep only. ","")&amp;IF(AND(LEFT(D238,11)="Rectangular",K238&lt;SG_Criteria!$B$43),"NOTE: 004C is for sewers &gt;= "&amp;SG_Criteria!$B$43&amp;" dia. ","")&amp;IF(AND(LEFT(D238,7)="Precast",J238&lt;=SG_Criteria!$B$42),"NOTE: 006C is for manholes &gt; "&amp;SG_Criteria!$B$42&amp;" m deep. ","")&amp;IF(AND(K238&lt;&gt;"",K238&lt;SG_Criteria!$B$40,D238&lt;&gt;"Inspection Chamber"),"NOTE: public sewer min dia "&amp;SG_Criteria!$B$40&amp;" mm. ","")&amp;IF(AND(Y238&lt;&gt;"",Y238&lt;SG_Criteria!$B$44),"FAIL: uplift FOS below "&amp;SG_Criteria!$B$44&amp;". ","")))</f>
        <v/>
      </c>
      <c r="BH238" s="9"/>
      <c r="BI238" s="9"/>
      <c r="BJ238" s="9"/>
      <c r="BK238" s="10" t="str">
        <f aca="false">IF(BJ238="","",IFERROR(VLOOKUP(BJ238,Projects!$A$5:$D$504,2,0),"Ref not in Projects"))</f>
        <v/>
      </c>
      <c r="BL238" s="10" t="str">
        <f aca="false">IF(BJ238="","",IFERROR(VLOOKUP(BJ238,Projects!$A$5:$D$504,4,0),"Ref not in Projects"))</f>
        <v/>
      </c>
      <c r="BM238" s="9"/>
      <c r="BN238" s="9"/>
      <c r="BO238" s="9"/>
      <c r="BP238" s="40"/>
      <c r="BQ238" s="9"/>
      <c r="BR238" s="40"/>
      <c r="BS238" s="9"/>
      <c r="BT238" s="40"/>
      <c r="BU238" s="9"/>
      <c r="BV238" s="9"/>
      <c r="BW238" s="9"/>
      <c r="BX238" s="40"/>
      <c r="BY238" s="40"/>
      <c r="BZ238" s="36" t="str">
        <f aca="false">IF(BY238="","",EDATE(BY238,SG_Criteria!$B$54*12))</f>
        <v/>
      </c>
      <c r="CA238" s="33" t="str">
        <f aca="true">IF(A238="","",IF(BY238="","NOTE: not reviewed yet",IF(TODAY()&gt;BZ238,"NOTE: review overdue","OK")))</f>
        <v/>
      </c>
      <c r="CB238" s="37" t="str">
        <f aca="false">IF(A238="","",ROUND((IF(LEN(D238)&gt;0,1,0)+IF(LEN(E238)&gt;0,1,0)+IF(LEN(F238)&gt;0,1,0)+IF(LEN(G238)&gt;0,1,0)+IF(LEN(I238)&gt;0,1,0)+IF(LEN(J238)&gt;0,1,0)+IF(LEN(K238)&gt;0,1,0)+IF(LEN(L238)&gt;0,1,0)+IF(LEN(M238)&gt;0,1,0)+IF(LEN(N238)&gt;0,1,0)+IF(LEN(Z238)&gt;0,1,0)+IF(LEN(AA238)&gt;0,1,0)+IF(LEN(Y238)&gt;0,1,0)+IF(LEN(AE238)&gt;0,1,0)+IF(LEN(AG238)&gt;0,1,0)+IF(LEN(AZ238)&gt;0,1,0)+IF(LEN(AK238)&gt;0,1,0)+IF(LEN(AM238)&gt;0,1,0)+IF(LEN(AN238)&gt;0,1,0)+IF(LEN(AO238)&gt;0,1,0)+IF(LEN(AP238)&gt;0,1,0)+IF(LEN(AY238)&gt;0,1,0)+IF(LEN(BJ238)&gt;0,1,0)+IF(LEN(BW238)&gt;0,1,0))/24,2))</f>
        <v/>
      </c>
      <c r="CC238" s="10" t="str">
        <f aca="false">IF(D238="","",IF(AND(AN238="Approved",ISERROR(SEARCH("FAIL",BG238))),"Y","N"))</f>
        <v/>
      </c>
      <c r="CD238" s="10" t="str">
        <f aca="false">IF(D238="","",D238&amp;"|"&amp;J238&amp;"|"&amp;G238&amp;"|"&amp;CC238)</f>
        <v/>
      </c>
    </row>
    <row r="239" customFormat="false" ht="15" hidden="false" customHeight="false" outlineLevel="0" collapsed="false">
      <c r="A239" s="10" t="str">
        <f aca="false">IF(D239="","","MH-"&amp;IFERROR(VLOOKUP(D239,Lists!$AB$4:$AC$20,2,0),"??")&amp;"-"&amp;TEXT(G239,"0000")&amp;IF(F239="Circular","D","x"&amp;TEXT(H239,"0000"))&amp;"-D"&amp;TEXT(J239*1000,"0000")&amp;"-"&amp;IFERROR(VLOOKUP(E239,Lists!$AE$4:$AF$16,2,0),"??")&amp;"-"&amp;AM239)</f>
        <v/>
      </c>
      <c r="B239" s="10" t="str">
        <f aca="false">IF(D239="","",D239&amp;", "&amp;E239&amp;", "&amp;IF(F239="Circular",G239&amp;" dia",G239&amp;" x "&amp;H239)&amp;", depth "&amp;TEXT(I239,"0.0")&amp;"-"&amp;TEXT(J239,"0.0")&amp;" m, pipe up to "&amp;K239&amp;" dia")</f>
        <v/>
      </c>
      <c r="C239" s="9"/>
      <c r="D239" s="9"/>
      <c r="E239" s="9"/>
      <c r="F239" s="9"/>
      <c r="G239" s="38"/>
      <c r="H239" s="38"/>
      <c r="I239" s="42"/>
      <c r="J239" s="42"/>
      <c r="K239" s="38"/>
      <c r="L239" s="38"/>
      <c r="M239" s="38"/>
      <c r="N239" s="38"/>
      <c r="O239" s="9"/>
      <c r="P239" s="9"/>
      <c r="Q239" s="9"/>
      <c r="R239" s="9"/>
      <c r="S239" s="9"/>
      <c r="T239" s="9"/>
      <c r="U239" s="9"/>
      <c r="V239" s="42"/>
      <c r="W239" s="9"/>
      <c r="X239" s="9"/>
      <c r="Y239" s="39"/>
      <c r="Z239" s="9"/>
      <c r="AA239" s="38"/>
      <c r="AB239" s="9"/>
      <c r="AC239" s="9"/>
      <c r="AD239" s="9"/>
      <c r="AE239" s="9"/>
      <c r="AF239" s="9"/>
      <c r="AG239" s="9"/>
      <c r="AH239" s="38"/>
      <c r="AI239" s="9"/>
      <c r="AJ239" s="39"/>
      <c r="AK239" s="9"/>
      <c r="AL239" s="9"/>
      <c r="AM239" s="9"/>
      <c r="AN239" s="9"/>
      <c r="AO239" s="9"/>
      <c r="AP239" s="9"/>
      <c r="AQ239" s="9"/>
      <c r="AR239" s="10" t="str">
        <f aca="false">IF(A239="","",SG_Criteria!$B$6&amp;SG_Criteria!$B$10&amp;"\"&amp;A239&amp;"\")</f>
        <v/>
      </c>
      <c r="AS239" s="10" t="str">
        <f aca="false">IF(A239="","",A239&amp;"_CAD.dwg")</f>
        <v/>
      </c>
      <c r="AT239" s="10" t="str">
        <f aca="false">IF(A239="","",A239&amp;"_DWG.pdf")</f>
        <v/>
      </c>
      <c r="AU239" s="10" t="str">
        <f aca="false">IF(A239="","",IF(AQ239="Y",A239&amp;"_STAAD.std","n/a"))</f>
        <v/>
      </c>
      <c r="AV239" s="10" t="str">
        <f aca="false">IF(A239="","",A239&amp;"_CALC.xlsx")</f>
        <v/>
      </c>
      <c r="AW239" s="10" t="str">
        <f aca="false">IF(A239="","",A239&amp;"_CALC.pdf")</f>
        <v/>
      </c>
      <c r="AX239" s="9"/>
      <c r="AY239" s="9"/>
      <c r="AZ239" s="39"/>
      <c r="BA239" s="39"/>
      <c r="BB239" s="39"/>
      <c r="BC239" s="39"/>
      <c r="BD239" s="39"/>
      <c r="BE239" s="12" t="str">
        <f aca="false">IF(A239="","",IF(COUNTIF(Rebar_Schedule!$A$5:$A$2004,A239)=0,"",ROUND(SUMIF(Rebar_Schedule!$A$5:$A$2004,A239,Rebar_Schedule!$K$5:$K$2004),1)))</f>
        <v/>
      </c>
      <c r="BF239" s="33" t="str">
        <f aca="false">IF(A239="","",IF(BE239="","No rebar schedule yet",IF(ABS(BE239-N(BA239))/MAX(N(BA239),1)&gt;SG_Criteria!$B$55,"NOTE: register rebar differs from schedule by "&amp;TEXT(ABS(BE239-N(BA239))/MAX(N(BA239),1),"0%"),"OK")))</f>
        <v/>
      </c>
      <c r="BG239" s="33" t="str">
        <f aca="false">IF(D239="","",IF(LEN(IF(AND(Z239&lt;&gt;"",IFERROR(VALUE(MID(Z239,2,2)),0)&lt;SG_Criteria!$B$19),"FAIL: grade below C"&amp;SG_Criteria!$B$19&amp;". ","")&amp;IF(AND(AA239&lt;&gt;"",AA239&lt;SG_Criteria!$B$20),"FAIL: cover &lt; "&amp;SG_Criteria!$B$20&amp;" mm. ","")&amp;IF(AND(I239&lt;&gt;"",I239&lt;SG_Criteria!$B$39),"NOTE: min depth below PUB "&amp;SG_Criteria!$B$39&amp;" m. ","")&amp;IF(AND(LEFT(D239,8)="Standard",J239&gt;SG_Criteria!$B$42),"FAIL: PUB 001C covers manholes up to "&amp;SG_Criteria!$B$42&amp;" m deep only. ","")&amp;IF(AND(LEFT(D239,11)="Rectangular",K239&lt;SG_Criteria!$B$43),"NOTE: 004C is for sewers &gt;= "&amp;SG_Criteria!$B$43&amp;" dia. ","")&amp;IF(AND(LEFT(D239,7)="Precast",J239&lt;=SG_Criteria!$B$42),"NOTE: 006C is for manholes &gt; "&amp;SG_Criteria!$B$42&amp;" m deep. ","")&amp;IF(AND(K239&lt;&gt;"",K239&lt;SG_Criteria!$B$40,D239&lt;&gt;"Inspection Chamber"),"NOTE: public sewer min dia "&amp;SG_Criteria!$B$40&amp;" mm. ","")&amp;IF(AND(Y239&lt;&gt;"",Y239&lt;SG_Criteria!$B$44),"FAIL: uplift FOS below "&amp;SG_Criteria!$B$44&amp;". ",""))=0,"OK",IF(AND(Z239&lt;&gt;"",IFERROR(VALUE(MID(Z239,2,2)),0)&lt;SG_Criteria!$B$19),"FAIL: grade below C"&amp;SG_Criteria!$B$19&amp;". ","")&amp;IF(AND(AA239&lt;&gt;"",AA239&lt;SG_Criteria!$B$20),"FAIL: cover &lt; "&amp;SG_Criteria!$B$20&amp;" mm. ","")&amp;IF(AND(I239&lt;&gt;"",I239&lt;SG_Criteria!$B$39),"NOTE: min depth below PUB "&amp;SG_Criteria!$B$39&amp;" m. ","")&amp;IF(AND(LEFT(D239,8)="Standard",J239&gt;SG_Criteria!$B$42),"FAIL: PUB 001C covers manholes up to "&amp;SG_Criteria!$B$42&amp;" m deep only. ","")&amp;IF(AND(LEFT(D239,11)="Rectangular",K239&lt;SG_Criteria!$B$43),"NOTE: 004C is for sewers &gt;= "&amp;SG_Criteria!$B$43&amp;" dia. ","")&amp;IF(AND(LEFT(D239,7)="Precast",J239&lt;=SG_Criteria!$B$42),"NOTE: 006C is for manholes &gt; "&amp;SG_Criteria!$B$42&amp;" m deep. ","")&amp;IF(AND(K239&lt;&gt;"",K239&lt;SG_Criteria!$B$40,D239&lt;&gt;"Inspection Chamber"),"NOTE: public sewer min dia "&amp;SG_Criteria!$B$40&amp;" mm. ","")&amp;IF(AND(Y239&lt;&gt;"",Y239&lt;SG_Criteria!$B$44),"FAIL: uplift FOS below "&amp;SG_Criteria!$B$44&amp;". ","")))</f>
        <v/>
      </c>
      <c r="BH239" s="9"/>
      <c r="BI239" s="9"/>
      <c r="BJ239" s="9"/>
      <c r="BK239" s="10" t="str">
        <f aca="false">IF(BJ239="","",IFERROR(VLOOKUP(BJ239,Projects!$A$5:$D$504,2,0),"Ref not in Projects"))</f>
        <v/>
      </c>
      <c r="BL239" s="10" t="str">
        <f aca="false">IF(BJ239="","",IFERROR(VLOOKUP(BJ239,Projects!$A$5:$D$504,4,0),"Ref not in Projects"))</f>
        <v/>
      </c>
      <c r="BM239" s="9"/>
      <c r="BN239" s="9"/>
      <c r="BO239" s="9"/>
      <c r="BP239" s="40"/>
      <c r="BQ239" s="9"/>
      <c r="BR239" s="40"/>
      <c r="BS239" s="9"/>
      <c r="BT239" s="40"/>
      <c r="BU239" s="9"/>
      <c r="BV239" s="9"/>
      <c r="BW239" s="9"/>
      <c r="BX239" s="40"/>
      <c r="BY239" s="40"/>
      <c r="BZ239" s="36" t="str">
        <f aca="false">IF(BY239="","",EDATE(BY239,SG_Criteria!$B$54*12))</f>
        <v/>
      </c>
      <c r="CA239" s="33" t="str">
        <f aca="true">IF(A239="","",IF(BY239="","NOTE: not reviewed yet",IF(TODAY()&gt;BZ239,"NOTE: review overdue","OK")))</f>
        <v/>
      </c>
      <c r="CB239" s="37" t="str">
        <f aca="false">IF(A239="","",ROUND((IF(LEN(D239)&gt;0,1,0)+IF(LEN(E239)&gt;0,1,0)+IF(LEN(F239)&gt;0,1,0)+IF(LEN(G239)&gt;0,1,0)+IF(LEN(I239)&gt;0,1,0)+IF(LEN(J239)&gt;0,1,0)+IF(LEN(K239)&gt;0,1,0)+IF(LEN(L239)&gt;0,1,0)+IF(LEN(M239)&gt;0,1,0)+IF(LEN(N239)&gt;0,1,0)+IF(LEN(Z239)&gt;0,1,0)+IF(LEN(AA239)&gt;0,1,0)+IF(LEN(Y239)&gt;0,1,0)+IF(LEN(AE239)&gt;0,1,0)+IF(LEN(AG239)&gt;0,1,0)+IF(LEN(AZ239)&gt;0,1,0)+IF(LEN(AK239)&gt;0,1,0)+IF(LEN(AM239)&gt;0,1,0)+IF(LEN(AN239)&gt;0,1,0)+IF(LEN(AO239)&gt;0,1,0)+IF(LEN(AP239)&gt;0,1,0)+IF(LEN(AY239)&gt;0,1,0)+IF(LEN(BJ239)&gt;0,1,0)+IF(LEN(BW239)&gt;0,1,0))/24,2))</f>
        <v/>
      </c>
      <c r="CC239" s="10" t="str">
        <f aca="false">IF(D239="","",IF(AND(AN239="Approved",ISERROR(SEARCH("FAIL",BG239))),"Y","N"))</f>
        <v/>
      </c>
      <c r="CD239" s="10" t="str">
        <f aca="false">IF(D239="","",D239&amp;"|"&amp;J239&amp;"|"&amp;G239&amp;"|"&amp;CC239)</f>
        <v/>
      </c>
    </row>
    <row r="240" customFormat="false" ht="15" hidden="false" customHeight="false" outlineLevel="0" collapsed="false">
      <c r="A240" s="10" t="str">
        <f aca="false">IF(D240="","","MH-"&amp;IFERROR(VLOOKUP(D240,Lists!$AB$4:$AC$20,2,0),"??")&amp;"-"&amp;TEXT(G240,"0000")&amp;IF(F240="Circular","D","x"&amp;TEXT(H240,"0000"))&amp;"-D"&amp;TEXT(J240*1000,"0000")&amp;"-"&amp;IFERROR(VLOOKUP(E240,Lists!$AE$4:$AF$16,2,0),"??")&amp;"-"&amp;AM240)</f>
        <v/>
      </c>
      <c r="B240" s="10" t="str">
        <f aca="false">IF(D240="","",D240&amp;", "&amp;E240&amp;", "&amp;IF(F240="Circular",G240&amp;" dia",G240&amp;" x "&amp;H240)&amp;", depth "&amp;TEXT(I240,"0.0")&amp;"-"&amp;TEXT(J240,"0.0")&amp;" m, pipe up to "&amp;K240&amp;" dia")</f>
        <v/>
      </c>
      <c r="C240" s="9"/>
      <c r="D240" s="9"/>
      <c r="E240" s="9"/>
      <c r="F240" s="9"/>
      <c r="G240" s="38"/>
      <c r="H240" s="38"/>
      <c r="I240" s="42"/>
      <c r="J240" s="42"/>
      <c r="K240" s="38"/>
      <c r="L240" s="38"/>
      <c r="M240" s="38"/>
      <c r="N240" s="38"/>
      <c r="O240" s="9"/>
      <c r="P240" s="9"/>
      <c r="Q240" s="9"/>
      <c r="R240" s="9"/>
      <c r="S240" s="9"/>
      <c r="T240" s="9"/>
      <c r="U240" s="9"/>
      <c r="V240" s="42"/>
      <c r="W240" s="9"/>
      <c r="X240" s="9"/>
      <c r="Y240" s="39"/>
      <c r="Z240" s="9"/>
      <c r="AA240" s="38"/>
      <c r="AB240" s="9"/>
      <c r="AC240" s="9"/>
      <c r="AD240" s="9"/>
      <c r="AE240" s="9"/>
      <c r="AF240" s="9"/>
      <c r="AG240" s="9"/>
      <c r="AH240" s="38"/>
      <c r="AI240" s="9"/>
      <c r="AJ240" s="39"/>
      <c r="AK240" s="9"/>
      <c r="AL240" s="9"/>
      <c r="AM240" s="9"/>
      <c r="AN240" s="9"/>
      <c r="AO240" s="9"/>
      <c r="AP240" s="9"/>
      <c r="AQ240" s="9"/>
      <c r="AR240" s="10" t="str">
        <f aca="false">IF(A240="","",SG_Criteria!$B$6&amp;SG_Criteria!$B$10&amp;"\"&amp;A240&amp;"\")</f>
        <v/>
      </c>
      <c r="AS240" s="10" t="str">
        <f aca="false">IF(A240="","",A240&amp;"_CAD.dwg")</f>
        <v/>
      </c>
      <c r="AT240" s="10" t="str">
        <f aca="false">IF(A240="","",A240&amp;"_DWG.pdf")</f>
        <v/>
      </c>
      <c r="AU240" s="10" t="str">
        <f aca="false">IF(A240="","",IF(AQ240="Y",A240&amp;"_STAAD.std","n/a"))</f>
        <v/>
      </c>
      <c r="AV240" s="10" t="str">
        <f aca="false">IF(A240="","",A240&amp;"_CALC.xlsx")</f>
        <v/>
      </c>
      <c r="AW240" s="10" t="str">
        <f aca="false">IF(A240="","",A240&amp;"_CALC.pdf")</f>
        <v/>
      </c>
      <c r="AX240" s="9"/>
      <c r="AY240" s="9"/>
      <c r="AZ240" s="39"/>
      <c r="BA240" s="39"/>
      <c r="BB240" s="39"/>
      <c r="BC240" s="39"/>
      <c r="BD240" s="39"/>
      <c r="BE240" s="12" t="str">
        <f aca="false">IF(A240="","",IF(COUNTIF(Rebar_Schedule!$A$5:$A$2004,A240)=0,"",ROUND(SUMIF(Rebar_Schedule!$A$5:$A$2004,A240,Rebar_Schedule!$K$5:$K$2004),1)))</f>
        <v/>
      </c>
      <c r="BF240" s="33" t="str">
        <f aca="false">IF(A240="","",IF(BE240="","No rebar schedule yet",IF(ABS(BE240-N(BA240))/MAX(N(BA240),1)&gt;SG_Criteria!$B$55,"NOTE: register rebar differs from schedule by "&amp;TEXT(ABS(BE240-N(BA240))/MAX(N(BA240),1),"0%"),"OK")))</f>
        <v/>
      </c>
      <c r="BG240" s="33" t="str">
        <f aca="false">IF(D240="","",IF(LEN(IF(AND(Z240&lt;&gt;"",IFERROR(VALUE(MID(Z240,2,2)),0)&lt;SG_Criteria!$B$19),"FAIL: grade below C"&amp;SG_Criteria!$B$19&amp;". ","")&amp;IF(AND(AA240&lt;&gt;"",AA240&lt;SG_Criteria!$B$20),"FAIL: cover &lt; "&amp;SG_Criteria!$B$20&amp;" mm. ","")&amp;IF(AND(I240&lt;&gt;"",I240&lt;SG_Criteria!$B$39),"NOTE: min depth below PUB "&amp;SG_Criteria!$B$39&amp;" m. ","")&amp;IF(AND(LEFT(D240,8)="Standard",J240&gt;SG_Criteria!$B$42),"FAIL: PUB 001C covers manholes up to "&amp;SG_Criteria!$B$42&amp;" m deep only. ","")&amp;IF(AND(LEFT(D240,11)="Rectangular",K240&lt;SG_Criteria!$B$43),"NOTE: 004C is for sewers &gt;= "&amp;SG_Criteria!$B$43&amp;" dia. ","")&amp;IF(AND(LEFT(D240,7)="Precast",J240&lt;=SG_Criteria!$B$42),"NOTE: 006C is for manholes &gt; "&amp;SG_Criteria!$B$42&amp;" m deep. ","")&amp;IF(AND(K240&lt;&gt;"",K240&lt;SG_Criteria!$B$40,D240&lt;&gt;"Inspection Chamber"),"NOTE: public sewer min dia "&amp;SG_Criteria!$B$40&amp;" mm. ","")&amp;IF(AND(Y240&lt;&gt;"",Y240&lt;SG_Criteria!$B$44),"FAIL: uplift FOS below "&amp;SG_Criteria!$B$44&amp;". ",""))=0,"OK",IF(AND(Z240&lt;&gt;"",IFERROR(VALUE(MID(Z240,2,2)),0)&lt;SG_Criteria!$B$19),"FAIL: grade below C"&amp;SG_Criteria!$B$19&amp;". ","")&amp;IF(AND(AA240&lt;&gt;"",AA240&lt;SG_Criteria!$B$20),"FAIL: cover &lt; "&amp;SG_Criteria!$B$20&amp;" mm. ","")&amp;IF(AND(I240&lt;&gt;"",I240&lt;SG_Criteria!$B$39),"NOTE: min depth below PUB "&amp;SG_Criteria!$B$39&amp;" m. ","")&amp;IF(AND(LEFT(D240,8)="Standard",J240&gt;SG_Criteria!$B$42),"FAIL: PUB 001C covers manholes up to "&amp;SG_Criteria!$B$42&amp;" m deep only. ","")&amp;IF(AND(LEFT(D240,11)="Rectangular",K240&lt;SG_Criteria!$B$43),"NOTE: 004C is for sewers &gt;= "&amp;SG_Criteria!$B$43&amp;" dia. ","")&amp;IF(AND(LEFT(D240,7)="Precast",J240&lt;=SG_Criteria!$B$42),"NOTE: 006C is for manholes &gt; "&amp;SG_Criteria!$B$42&amp;" m deep. ","")&amp;IF(AND(K240&lt;&gt;"",K240&lt;SG_Criteria!$B$40,D240&lt;&gt;"Inspection Chamber"),"NOTE: public sewer min dia "&amp;SG_Criteria!$B$40&amp;" mm. ","")&amp;IF(AND(Y240&lt;&gt;"",Y240&lt;SG_Criteria!$B$44),"FAIL: uplift FOS below "&amp;SG_Criteria!$B$44&amp;". ","")))</f>
        <v/>
      </c>
      <c r="BH240" s="9"/>
      <c r="BI240" s="9"/>
      <c r="BJ240" s="9"/>
      <c r="BK240" s="10" t="str">
        <f aca="false">IF(BJ240="","",IFERROR(VLOOKUP(BJ240,Projects!$A$5:$D$504,2,0),"Ref not in Projects"))</f>
        <v/>
      </c>
      <c r="BL240" s="10" t="str">
        <f aca="false">IF(BJ240="","",IFERROR(VLOOKUP(BJ240,Projects!$A$5:$D$504,4,0),"Ref not in Projects"))</f>
        <v/>
      </c>
      <c r="BM240" s="9"/>
      <c r="BN240" s="9"/>
      <c r="BO240" s="9"/>
      <c r="BP240" s="40"/>
      <c r="BQ240" s="9"/>
      <c r="BR240" s="40"/>
      <c r="BS240" s="9"/>
      <c r="BT240" s="40"/>
      <c r="BU240" s="9"/>
      <c r="BV240" s="9"/>
      <c r="BW240" s="9"/>
      <c r="BX240" s="40"/>
      <c r="BY240" s="40"/>
      <c r="BZ240" s="36" t="str">
        <f aca="false">IF(BY240="","",EDATE(BY240,SG_Criteria!$B$54*12))</f>
        <v/>
      </c>
      <c r="CA240" s="33" t="str">
        <f aca="true">IF(A240="","",IF(BY240="","NOTE: not reviewed yet",IF(TODAY()&gt;BZ240,"NOTE: review overdue","OK")))</f>
        <v/>
      </c>
      <c r="CB240" s="37" t="str">
        <f aca="false">IF(A240="","",ROUND((IF(LEN(D240)&gt;0,1,0)+IF(LEN(E240)&gt;0,1,0)+IF(LEN(F240)&gt;0,1,0)+IF(LEN(G240)&gt;0,1,0)+IF(LEN(I240)&gt;0,1,0)+IF(LEN(J240)&gt;0,1,0)+IF(LEN(K240)&gt;0,1,0)+IF(LEN(L240)&gt;0,1,0)+IF(LEN(M240)&gt;0,1,0)+IF(LEN(N240)&gt;0,1,0)+IF(LEN(Z240)&gt;0,1,0)+IF(LEN(AA240)&gt;0,1,0)+IF(LEN(Y240)&gt;0,1,0)+IF(LEN(AE240)&gt;0,1,0)+IF(LEN(AG240)&gt;0,1,0)+IF(LEN(AZ240)&gt;0,1,0)+IF(LEN(AK240)&gt;0,1,0)+IF(LEN(AM240)&gt;0,1,0)+IF(LEN(AN240)&gt;0,1,0)+IF(LEN(AO240)&gt;0,1,0)+IF(LEN(AP240)&gt;0,1,0)+IF(LEN(AY240)&gt;0,1,0)+IF(LEN(BJ240)&gt;0,1,0)+IF(LEN(BW240)&gt;0,1,0))/24,2))</f>
        <v/>
      </c>
      <c r="CC240" s="10" t="str">
        <f aca="false">IF(D240="","",IF(AND(AN240="Approved",ISERROR(SEARCH("FAIL",BG240))),"Y","N"))</f>
        <v/>
      </c>
      <c r="CD240" s="10" t="str">
        <f aca="false">IF(D240="","",D240&amp;"|"&amp;J240&amp;"|"&amp;G240&amp;"|"&amp;CC240)</f>
        <v/>
      </c>
    </row>
    <row r="241" customFormat="false" ht="15" hidden="false" customHeight="false" outlineLevel="0" collapsed="false">
      <c r="A241" s="10" t="str">
        <f aca="false">IF(D241="","","MH-"&amp;IFERROR(VLOOKUP(D241,Lists!$AB$4:$AC$20,2,0),"??")&amp;"-"&amp;TEXT(G241,"0000")&amp;IF(F241="Circular","D","x"&amp;TEXT(H241,"0000"))&amp;"-D"&amp;TEXT(J241*1000,"0000")&amp;"-"&amp;IFERROR(VLOOKUP(E241,Lists!$AE$4:$AF$16,2,0),"??")&amp;"-"&amp;AM241)</f>
        <v/>
      </c>
      <c r="B241" s="10" t="str">
        <f aca="false">IF(D241="","",D241&amp;", "&amp;E241&amp;", "&amp;IF(F241="Circular",G241&amp;" dia",G241&amp;" x "&amp;H241)&amp;", depth "&amp;TEXT(I241,"0.0")&amp;"-"&amp;TEXT(J241,"0.0")&amp;" m, pipe up to "&amp;K241&amp;" dia")</f>
        <v/>
      </c>
      <c r="C241" s="9"/>
      <c r="D241" s="9"/>
      <c r="E241" s="9"/>
      <c r="F241" s="9"/>
      <c r="G241" s="38"/>
      <c r="H241" s="38"/>
      <c r="I241" s="42"/>
      <c r="J241" s="42"/>
      <c r="K241" s="38"/>
      <c r="L241" s="38"/>
      <c r="M241" s="38"/>
      <c r="N241" s="38"/>
      <c r="O241" s="9"/>
      <c r="P241" s="9"/>
      <c r="Q241" s="9"/>
      <c r="R241" s="9"/>
      <c r="S241" s="9"/>
      <c r="T241" s="9"/>
      <c r="U241" s="9"/>
      <c r="V241" s="42"/>
      <c r="W241" s="9"/>
      <c r="X241" s="9"/>
      <c r="Y241" s="39"/>
      <c r="Z241" s="9"/>
      <c r="AA241" s="38"/>
      <c r="AB241" s="9"/>
      <c r="AC241" s="9"/>
      <c r="AD241" s="9"/>
      <c r="AE241" s="9"/>
      <c r="AF241" s="9"/>
      <c r="AG241" s="9"/>
      <c r="AH241" s="38"/>
      <c r="AI241" s="9"/>
      <c r="AJ241" s="39"/>
      <c r="AK241" s="9"/>
      <c r="AL241" s="9"/>
      <c r="AM241" s="9"/>
      <c r="AN241" s="9"/>
      <c r="AO241" s="9"/>
      <c r="AP241" s="9"/>
      <c r="AQ241" s="9"/>
      <c r="AR241" s="10" t="str">
        <f aca="false">IF(A241="","",SG_Criteria!$B$6&amp;SG_Criteria!$B$10&amp;"\"&amp;A241&amp;"\")</f>
        <v/>
      </c>
      <c r="AS241" s="10" t="str">
        <f aca="false">IF(A241="","",A241&amp;"_CAD.dwg")</f>
        <v/>
      </c>
      <c r="AT241" s="10" t="str">
        <f aca="false">IF(A241="","",A241&amp;"_DWG.pdf")</f>
        <v/>
      </c>
      <c r="AU241" s="10" t="str">
        <f aca="false">IF(A241="","",IF(AQ241="Y",A241&amp;"_STAAD.std","n/a"))</f>
        <v/>
      </c>
      <c r="AV241" s="10" t="str">
        <f aca="false">IF(A241="","",A241&amp;"_CALC.xlsx")</f>
        <v/>
      </c>
      <c r="AW241" s="10" t="str">
        <f aca="false">IF(A241="","",A241&amp;"_CALC.pdf")</f>
        <v/>
      </c>
      <c r="AX241" s="9"/>
      <c r="AY241" s="9"/>
      <c r="AZ241" s="39"/>
      <c r="BA241" s="39"/>
      <c r="BB241" s="39"/>
      <c r="BC241" s="39"/>
      <c r="BD241" s="39"/>
      <c r="BE241" s="12" t="str">
        <f aca="false">IF(A241="","",IF(COUNTIF(Rebar_Schedule!$A$5:$A$2004,A241)=0,"",ROUND(SUMIF(Rebar_Schedule!$A$5:$A$2004,A241,Rebar_Schedule!$K$5:$K$2004),1)))</f>
        <v/>
      </c>
      <c r="BF241" s="33" t="str">
        <f aca="false">IF(A241="","",IF(BE241="","No rebar schedule yet",IF(ABS(BE241-N(BA241))/MAX(N(BA241),1)&gt;SG_Criteria!$B$55,"NOTE: register rebar differs from schedule by "&amp;TEXT(ABS(BE241-N(BA241))/MAX(N(BA241),1),"0%"),"OK")))</f>
        <v/>
      </c>
      <c r="BG241" s="33" t="str">
        <f aca="false">IF(D241="","",IF(LEN(IF(AND(Z241&lt;&gt;"",IFERROR(VALUE(MID(Z241,2,2)),0)&lt;SG_Criteria!$B$19),"FAIL: grade below C"&amp;SG_Criteria!$B$19&amp;". ","")&amp;IF(AND(AA241&lt;&gt;"",AA241&lt;SG_Criteria!$B$20),"FAIL: cover &lt; "&amp;SG_Criteria!$B$20&amp;" mm. ","")&amp;IF(AND(I241&lt;&gt;"",I241&lt;SG_Criteria!$B$39),"NOTE: min depth below PUB "&amp;SG_Criteria!$B$39&amp;" m. ","")&amp;IF(AND(LEFT(D241,8)="Standard",J241&gt;SG_Criteria!$B$42),"FAIL: PUB 001C covers manholes up to "&amp;SG_Criteria!$B$42&amp;" m deep only. ","")&amp;IF(AND(LEFT(D241,11)="Rectangular",K241&lt;SG_Criteria!$B$43),"NOTE: 004C is for sewers &gt;= "&amp;SG_Criteria!$B$43&amp;" dia. ","")&amp;IF(AND(LEFT(D241,7)="Precast",J241&lt;=SG_Criteria!$B$42),"NOTE: 006C is for manholes &gt; "&amp;SG_Criteria!$B$42&amp;" m deep. ","")&amp;IF(AND(K241&lt;&gt;"",K241&lt;SG_Criteria!$B$40,D241&lt;&gt;"Inspection Chamber"),"NOTE: public sewer min dia "&amp;SG_Criteria!$B$40&amp;" mm. ","")&amp;IF(AND(Y241&lt;&gt;"",Y241&lt;SG_Criteria!$B$44),"FAIL: uplift FOS below "&amp;SG_Criteria!$B$44&amp;". ",""))=0,"OK",IF(AND(Z241&lt;&gt;"",IFERROR(VALUE(MID(Z241,2,2)),0)&lt;SG_Criteria!$B$19),"FAIL: grade below C"&amp;SG_Criteria!$B$19&amp;". ","")&amp;IF(AND(AA241&lt;&gt;"",AA241&lt;SG_Criteria!$B$20),"FAIL: cover &lt; "&amp;SG_Criteria!$B$20&amp;" mm. ","")&amp;IF(AND(I241&lt;&gt;"",I241&lt;SG_Criteria!$B$39),"NOTE: min depth below PUB "&amp;SG_Criteria!$B$39&amp;" m. ","")&amp;IF(AND(LEFT(D241,8)="Standard",J241&gt;SG_Criteria!$B$42),"FAIL: PUB 001C covers manholes up to "&amp;SG_Criteria!$B$42&amp;" m deep only. ","")&amp;IF(AND(LEFT(D241,11)="Rectangular",K241&lt;SG_Criteria!$B$43),"NOTE: 004C is for sewers &gt;= "&amp;SG_Criteria!$B$43&amp;" dia. ","")&amp;IF(AND(LEFT(D241,7)="Precast",J241&lt;=SG_Criteria!$B$42),"NOTE: 006C is for manholes &gt; "&amp;SG_Criteria!$B$42&amp;" m deep. ","")&amp;IF(AND(K241&lt;&gt;"",K241&lt;SG_Criteria!$B$40,D241&lt;&gt;"Inspection Chamber"),"NOTE: public sewer min dia "&amp;SG_Criteria!$B$40&amp;" mm. ","")&amp;IF(AND(Y241&lt;&gt;"",Y241&lt;SG_Criteria!$B$44),"FAIL: uplift FOS below "&amp;SG_Criteria!$B$44&amp;". ","")))</f>
        <v/>
      </c>
      <c r="BH241" s="9"/>
      <c r="BI241" s="9"/>
      <c r="BJ241" s="9"/>
      <c r="BK241" s="10" t="str">
        <f aca="false">IF(BJ241="","",IFERROR(VLOOKUP(BJ241,Projects!$A$5:$D$504,2,0),"Ref not in Projects"))</f>
        <v/>
      </c>
      <c r="BL241" s="10" t="str">
        <f aca="false">IF(BJ241="","",IFERROR(VLOOKUP(BJ241,Projects!$A$5:$D$504,4,0),"Ref not in Projects"))</f>
        <v/>
      </c>
      <c r="BM241" s="9"/>
      <c r="BN241" s="9"/>
      <c r="BO241" s="9"/>
      <c r="BP241" s="40"/>
      <c r="BQ241" s="9"/>
      <c r="BR241" s="40"/>
      <c r="BS241" s="9"/>
      <c r="BT241" s="40"/>
      <c r="BU241" s="9"/>
      <c r="BV241" s="9"/>
      <c r="BW241" s="9"/>
      <c r="BX241" s="40"/>
      <c r="BY241" s="40"/>
      <c r="BZ241" s="36" t="str">
        <f aca="false">IF(BY241="","",EDATE(BY241,SG_Criteria!$B$54*12))</f>
        <v/>
      </c>
      <c r="CA241" s="33" t="str">
        <f aca="true">IF(A241="","",IF(BY241="","NOTE: not reviewed yet",IF(TODAY()&gt;BZ241,"NOTE: review overdue","OK")))</f>
        <v/>
      </c>
      <c r="CB241" s="37" t="str">
        <f aca="false">IF(A241="","",ROUND((IF(LEN(D241)&gt;0,1,0)+IF(LEN(E241)&gt;0,1,0)+IF(LEN(F241)&gt;0,1,0)+IF(LEN(G241)&gt;0,1,0)+IF(LEN(I241)&gt;0,1,0)+IF(LEN(J241)&gt;0,1,0)+IF(LEN(K241)&gt;0,1,0)+IF(LEN(L241)&gt;0,1,0)+IF(LEN(M241)&gt;0,1,0)+IF(LEN(N241)&gt;0,1,0)+IF(LEN(Z241)&gt;0,1,0)+IF(LEN(AA241)&gt;0,1,0)+IF(LEN(Y241)&gt;0,1,0)+IF(LEN(AE241)&gt;0,1,0)+IF(LEN(AG241)&gt;0,1,0)+IF(LEN(AZ241)&gt;0,1,0)+IF(LEN(AK241)&gt;0,1,0)+IF(LEN(AM241)&gt;0,1,0)+IF(LEN(AN241)&gt;0,1,0)+IF(LEN(AO241)&gt;0,1,0)+IF(LEN(AP241)&gt;0,1,0)+IF(LEN(AY241)&gt;0,1,0)+IF(LEN(BJ241)&gt;0,1,0)+IF(LEN(BW241)&gt;0,1,0))/24,2))</f>
        <v/>
      </c>
      <c r="CC241" s="10" t="str">
        <f aca="false">IF(D241="","",IF(AND(AN241="Approved",ISERROR(SEARCH("FAIL",BG241))),"Y","N"))</f>
        <v/>
      </c>
      <c r="CD241" s="10" t="str">
        <f aca="false">IF(D241="","",D241&amp;"|"&amp;J241&amp;"|"&amp;G241&amp;"|"&amp;CC241)</f>
        <v/>
      </c>
    </row>
    <row r="242" customFormat="false" ht="15" hidden="false" customHeight="false" outlineLevel="0" collapsed="false">
      <c r="A242" s="10" t="str">
        <f aca="false">IF(D242="","","MH-"&amp;IFERROR(VLOOKUP(D242,Lists!$AB$4:$AC$20,2,0),"??")&amp;"-"&amp;TEXT(G242,"0000")&amp;IF(F242="Circular","D","x"&amp;TEXT(H242,"0000"))&amp;"-D"&amp;TEXT(J242*1000,"0000")&amp;"-"&amp;IFERROR(VLOOKUP(E242,Lists!$AE$4:$AF$16,2,0),"??")&amp;"-"&amp;AM242)</f>
        <v/>
      </c>
      <c r="B242" s="10" t="str">
        <f aca="false">IF(D242="","",D242&amp;", "&amp;E242&amp;", "&amp;IF(F242="Circular",G242&amp;" dia",G242&amp;" x "&amp;H242)&amp;", depth "&amp;TEXT(I242,"0.0")&amp;"-"&amp;TEXT(J242,"0.0")&amp;" m, pipe up to "&amp;K242&amp;" dia")</f>
        <v/>
      </c>
      <c r="C242" s="9"/>
      <c r="D242" s="9"/>
      <c r="E242" s="9"/>
      <c r="F242" s="9"/>
      <c r="G242" s="38"/>
      <c r="H242" s="38"/>
      <c r="I242" s="42"/>
      <c r="J242" s="42"/>
      <c r="K242" s="38"/>
      <c r="L242" s="38"/>
      <c r="M242" s="38"/>
      <c r="N242" s="38"/>
      <c r="O242" s="9"/>
      <c r="P242" s="9"/>
      <c r="Q242" s="9"/>
      <c r="R242" s="9"/>
      <c r="S242" s="9"/>
      <c r="T242" s="9"/>
      <c r="U242" s="9"/>
      <c r="V242" s="42"/>
      <c r="W242" s="9"/>
      <c r="X242" s="9"/>
      <c r="Y242" s="39"/>
      <c r="Z242" s="9"/>
      <c r="AA242" s="38"/>
      <c r="AB242" s="9"/>
      <c r="AC242" s="9"/>
      <c r="AD242" s="9"/>
      <c r="AE242" s="9"/>
      <c r="AF242" s="9"/>
      <c r="AG242" s="9"/>
      <c r="AH242" s="38"/>
      <c r="AI242" s="9"/>
      <c r="AJ242" s="39"/>
      <c r="AK242" s="9"/>
      <c r="AL242" s="9"/>
      <c r="AM242" s="9"/>
      <c r="AN242" s="9"/>
      <c r="AO242" s="9"/>
      <c r="AP242" s="9"/>
      <c r="AQ242" s="9"/>
      <c r="AR242" s="10" t="str">
        <f aca="false">IF(A242="","",SG_Criteria!$B$6&amp;SG_Criteria!$B$10&amp;"\"&amp;A242&amp;"\")</f>
        <v/>
      </c>
      <c r="AS242" s="10" t="str">
        <f aca="false">IF(A242="","",A242&amp;"_CAD.dwg")</f>
        <v/>
      </c>
      <c r="AT242" s="10" t="str">
        <f aca="false">IF(A242="","",A242&amp;"_DWG.pdf")</f>
        <v/>
      </c>
      <c r="AU242" s="10" t="str">
        <f aca="false">IF(A242="","",IF(AQ242="Y",A242&amp;"_STAAD.std","n/a"))</f>
        <v/>
      </c>
      <c r="AV242" s="10" t="str">
        <f aca="false">IF(A242="","",A242&amp;"_CALC.xlsx")</f>
        <v/>
      </c>
      <c r="AW242" s="10" t="str">
        <f aca="false">IF(A242="","",A242&amp;"_CALC.pdf")</f>
        <v/>
      </c>
      <c r="AX242" s="9"/>
      <c r="AY242" s="9"/>
      <c r="AZ242" s="39"/>
      <c r="BA242" s="39"/>
      <c r="BB242" s="39"/>
      <c r="BC242" s="39"/>
      <c r="BD242" s="39"/>
      <c r="BE242" s="12" t="str">
        <f aca="false">IF(A242="","",IF(COUNTIF(Rebar_Schedule!$A$5:$A$2004,A242)=0,"",ROUND(SUMIF(Rebar_Schedule!$A$5:$A$2004,A242,Rebar_Schedule!$K$5:$K$2004),1)))</f>
        <v/>
      </c>
      <c r="BF242" s="33" t="str">
        <f aca="false">IF(A242="","",IF(BE242="","No rebar schedule yet",IF(ABS(BE242-N(BA242))/MAX(N(BA242),1)&gt;SG_Criteria!$B$55,"NOTE: register rebar differs from schedule by "&amp;TEXT(ABS(BE242-N(BA242))/MAX(N(BA242),1),"0%"),"OK")))</f>
        <v/>
      </c>
      <c r="BG242" s="33" t="str">
        <f aca="false">IF(D242="","",IF(LEN(IF(AND(Z242&lt;&gt;"",IFERROR(VALUE(MID(Z242,2,2)),0)&lt;SG_Criteria!$B$19),"FAIL: grade below C"&amp;SG_Criteria!$B$19&amp;". ","")&amp;IF(AND(AA242&lt;&gt;"",AA242&lt;SG_Criteria!$B$20),"FAIL: cover &lt; "&amp;SG_Criteria!$B$20&amp;" mm. ","")&amp;IF(AND(I242&lt;&gt;"",I242&lt;SG_Criteria!$B$39),"NOTE: min depth below PUB "&amp;SG_Criteria!$B$39&amp;" m. ","")&amp;IF(AND(LEFT(D242,8)="Standard",J242&gt;SG_Criteria!$B$42),"FAIL: PUB 001C covers manholes up to "&amp;SG_Criteria!$B$42&amp;" m deep only. ","")&amp;IF(AND(LEFT(D242,11)="Rectangular",K242&lt;SG_Criteria!$B$43),"NOTE: 004C is for sewers &gt;= "&amp;SG_Criteria!$B$43&amp;" dia. ","")&amp;IF(AND(LEFT(D242,7)="Precast",J242&lt;=SG_Criteria!$B$42),"NOTE: 006C is for manholes &gt; "&amp;SG_Criteria!$B$42&amp;" m deep. ","")&amp;IF(AND(K242&lt;&gt;"",K242&lt;SG_Criteria!$B$40,D242&lt;&gt;"Inspection Chamber"),"NOTE: public sewer min dia "&amp;SG_Criteria!$B$40&amp;" mm. ","")&amp;IF(AND(Y242&lt;&gt;"",Y242&lt;SG_Criteria!$B$44),"FAIL: uplift FOS below "&amp;SG_Criteria!$B$44&amp;". ",""))=0,"OK",IF(AND(Z242&lt;&gt;"",IFERROR(VALUE(MID(Z242,2,2)),0)&lt;SG_Criteria!$B$19),"FAIL: grade below C"&amp;SG_Criteria!$B$19&amp;". ","")&amp;IF(AND(AA242&lt;&gt;"",AA242&lt;SG_Criteria!$B$20),"FAIL: cover &lt; "&amp;SG_Criteria!$B$20&amp;" mm. ","")&amp;IF(AND(I242&lt;&gt;"",I242&lt;SG_Criteria!$B$39),"NOTE: min depth below PUB "&amp;SG_Criteria!$B$39&amp;" m. ","")&amp;IF(AND(LEFT(D242,8)="Standard",J242&gt;SG_Criteria!$B$42),"FAIL: PUB 001C covers manholes up to "&amp;SG_Criteria!$B$42&amp;" m deep only. ","")&amp;IF(AND(LEFT(D242,11)="Rectangular",K242&lt;SG_Criteria!$B$43),"NOTE: 004C is for sewers &gt;= "&amp;SG_Criteria!$B$43&amp;" dia. ","")&amp;IF(AND(LEFT(D242,7)="Precast",J242&lt;=SG_Criteria!$B$42),"NOTE: 006C is for manholes &gt; "&amp;SG_Criteria!$B$42&amp;" m deep. ","")&amp;IF(AND(K242&lt;&gt;"",K242&lt;SG_Criteria!$B$40,D242&lt;&gt;"Inspection Chamber"),"NOTE: public sewer min dia "&amp;SG_Criteria!$B$40&amp;" mm. ","")&amp;IF(AND(Y242&lt;&gt;"",Y242&lt;SG_Criteria!$B$44),"FAIL: uplift FOS below "&amp;SG_Criteria!$B$44&amp;". ","")))</f>
        <v/>
      </c>
      <c r="BH242" s="9"/>
      <c r="BI242" s="9"/>
      <c r="BJ242" s="9"/>
      <c r="BK242" s="10" t="str">
        <f aca="false">IF(BJ242="","",IFERROR(VLOOKUP(BJ242,Projects!$A$5:$D$504,2,0),"Ref not in Projects"))</f>
        <v/>
      </c>
      <c r="BL242" s="10" t="str">
        <f aca="false">IF(BJ242="","",IFERROR(VLOOKUP(BJ242,Projects!$A$5:$D$504,4,0),"Ref not in Projects"))</f>
        <v/>
      </c>
      <c r="BM242" s="9"/>
      <c r="BN242" s="9"/>
      <c r="BO242" s="9"/>
      <c r="BP242" s="40"/>
      <c r="BQ242" s="9"/>
      <c r="BR242" s="40"/>
      <c r="BS242" s="9"/>
      <c r="BT242" s="40"/>
      <c r="BU242" s="9"/>
      <c r="BV242" s="9"/>
      <c r="BW242" s="9"/>
      <c r="BX242" s="40"/>
      <c r="BY242" s="40"/>
      <c r="BZ242" s="36" t="str">
        <f aca="false">IF(BY242="","",EDATE(BY242,SG_Criteria!$B$54*12))</f>
        <v/>
      </c>
      <c r="CA242" s="33" t="str">
        <f aca="true">IF(A242="","",IF(BY242="","NOTE: not reviewed yet",IF(TODAY()&gt;BZ242,"NOTE: review overdue","OK")))</f>
        <v/>
      </c>
      <c r="CB242" s="37" t="str">
        <f aca="false">IF(A242="","",ROUND((IF(LEN(D242)&gt;0,1,0)+IF(LEN(E242)&gt;0,1,0)+IF(LEN(F242)&gt;0,1,0)+IF(LEN(G242)&gt;0,1,0)+IF(LEN(I242)&gt;0,1,0)+IF(LEN(J242)&gt;0,1,0)+IF(LEN(K242)&gt;0,1,0)+IF(LEN(L242)&gt;0,1,0)+IF(LEN(M242)&gt;0,1,0)+IF(LEN(N242)&gt;0,1,0)+IF(LEN(Z242)&gt;0,1,0)+IF(LEN(AA242)&gt;0,1,0)+IF(LEN(Y242)&gt;0,1,0)+IF(LEN(AE242)&gt;0,1,0)+IF(LEN(AG242)&gt;0,1,0)+IF(LEN(AZ242)&gt;0,1,0)+IF(LEN(AK242)&gt;0,1,0)+IF(LEN(AM242)&gt;0,1,0)+IF(LEN(AN242)&gt;0,1,0)+IF(LEN(AO242)&gt;0,1,0)+IF(LEN(AP242)&gt;0,1,0)+IF(LEN(AY242)&gt;0,1,0)+IF(LEN(BJ242)&gt;0,1,0)+IF(LEN(BW242)&gt;0,1,0))/24,2))</f>
        <v/>
      </c>
      <c r="CC242" s="10" t="str">
        <f aca="false">IF(D242="","",IF(AND(AN242="Approved",ISERROR(SEARCH("FAIL",BG242))),"Y","N"))</f>
        <v/>
      </c>
      <c r="CD242" s="10" t="str">
        <f aca="false">IF(D242="","",D242&amp;"|"&amp;J242&amp;"|"&amp;G242&amp;"|"&amp;CC242)</f>
        <v/>
      </c>
    </row>
    <row r="243" customFormat="false" ht="15" hidden="false" customHeight="false" outlineLevel="0" collapsed="false">
      <c r="A243" s="10" t="str">
        <f aca="false">IF(D243="","","MH-"&amp;IFERROR(VLOOKUP(D243,Lists!$AB$4:$AC$20,2,0),"??")&amp;"-"&amp;TEXT(G243,"0000")&amp;IF(F243="Circular","D","x"&amp;TEXT(H243,"0000"))&amp;"-D"&amp;TEXT(J243*1000,"0000")&amp;"-"&amp;IFERROR(VLOOKUP(E243,Lists!$AE$4:$AF$16,2,0),"??")&amp;"-"&amp;AM243)</f>
        <v/>
      </c>
      <c r="B243" s="10" t="str">
        <f aca="false">IF(D243="","",D243&amp;", "&amp;E243&amp;", "&amp;IF(F243="Circular",G243&amp;" dia",G243&amp;" x "&amp;H243)&amp;", depth "&amp;TEXT(I243,"0.0")&amp;"-"&amp;TEXT(J243,"0.0")&amp;" m, pipe up to "&amp;K243&amp;" dia")</f>
        <v/>
      </c>
      <c r="C243" s="9"/>
      <c r="D243" s="9"/>
      <c r="E243" s="9"/>
      <c r="F243" s="9"/>
      <c r="G243" s="38"/>
      <c r="H243" s="38"/>
      <c r="I243" s="42"/>
      <c r="J243" s="42"/>
      <c r="K243" s="38"/>
      <c r="L243" s="38"/>
      <c r="M243" s="38"/>
      <c r="N243" s="38"/>
      <c r="O243" s="9"/>
      <c r="P243" s="9"/>
      <c r="Q243" s="9"/>
      <c r="R243" s="9"/>
      <c r="S243" s="9"/>
      <c r="T243" s="9"/>
      <c r="U243" s="9"/>
      <c r="V243" s="42"/>
      <c r="W243" s="9"/>
      <c r="X243" s="9"/>
      <c r="Y243" s="39"/>
      <c r="Z243" s="9"/>
      <c r="AA243" s="38"/>
      <c r="AB243" s="9"/>
      <c r="AC243" s="9"/>
      <c r="AD243" s="9"/>
      <c r="AE243" s="9"/>
      <c r="AF243" s="9"/>
      <c r="AG243" s="9"/>
      <c r="AH243" s="38"/>
      <c r="AI243" s="9"/>
      <c r="AJ243" s="39"/>
      <c r="AK243" s="9"/>
      <c r="AL243" s="9"/>
      <c r="AM243" s="9"/>
      <c r="AN243" s="9"/>
      <c r="AO243" s="9"/>
      <c r="AP243" s="9"/>
      <c r="AQ243" s="9"/>
      <c r="AR243" s="10" t="str">
        <f aca="false">IF(A243="","",SG_Criteria!$B$6&amp;SG_Criteria!$B$10&amp;"\"&amp;A243&amp;"\")</f>
        <v/>
      </c>
      <c r="AS243" s="10" t="str">
        <f aca="false">IF(A243="","",A243&amp;"_CAD.dwg")</f>
        <v/>
      </c>
      <c r="AT243" s="10" t="str">
        <f aca="false">IF(A243="","",A243&amp;"_DWG.pdf")</f>
        <v/>
      </c>
      <c r="AU243" s="10" t="str">
        <f aca="false">IF(A243="","",IF(AQ243="Y",A243&amp;"_STAAD.std","n/a"))</f>
        <v/>
      </c>
      <c r="AV243" s="10" t="str">
        <f aca="false">IF(A243="","",A243&amp;"_CALC.xlsx")</f>
        <v/>
      </c>
      <c r="AW243" s="10" t="str">
        <f aca="false">IF(A243="","",A243&amp;"_CALC.pdf")</f>
        <v/>
      </c>
      <c r="AX243" s="9"/>
      <c r="AY243" s="9"/>
      <c r="AZ243" s="39"/>
      <c r="BA243" s="39"/>
      <c r="BB243" s="39"/>
      <c r="BC243" s="39"/>
      <c r="BD243" s="39"/>
      <c r="BE243" s="12" t="str">
        <f aca="false">IF(A243="","",IF(COUNTIF(Rebar_Schedule!$A$5:$A$2004,A243)=0,"",ROUND(SUMIF(Rebar_Schedule!$A$5:$A$2004,A243,Rebar_Schedule!$K$5:$K$2004),1)))</f>
        <v/>
      </c>
      <c r="BF243" s="33" t="str">
        <f aca="false">IF(A243="","",IF(BE243="","No rebar schedule yet",IF(ABS(BE243-N(BA243))/MAX(N(BA243),1)&gt;SG_Criteria!$B$55,"NOTE: register rebar differs from schedule by "&amp;TEXT(ABS(BE243-N(BA243))/MAX(N(BA243),1),"0%"),"OK")))</f>
        <v/>
      </c>
      <c r="BG243" s="33" t="str">
        <f aca="false">IF(D243="","",IF(LEN(IF(AND(Z243&lt;&gt;"",IFERROR(VALUE(MID(Z243,2,2)),0)&lt;SG_Criteria!$B$19),"FAIL: grade below C"&amp;SG_Criteria!$B$19&amp;". ","")&amp;IF(AND(AA243&lt;&gt;"",AA243&lt;SG_Criteria!$B$20),"FAIL: cover &lt; "&amp;SG_Criteria!$B$20&amp;" mm. ","")&amp;IF(AND(I243&lt;&gt;"",I243&lt;SG_Criteria!$B$39),"NOTE: min depth below PUB "&amp;SG_Criteria!$B$39&amp;" m. ","")&amp;IF(AND(LEFT(D243,8)="Standard",J243&gt;SG_Criteria!$B$42),"FAIL: PUB 001C covers manholes up to "&amp;SG_Criteria!$B$42&amp;" m deep only. ","")&amp;IF(AND(LEFT(D243,11)="Rectangular",K243&lt;SG_Criteria!$B$43),"NOTE: 004C is for sewers &gt;= "&amp;SG_Criteria!$B$43&amp;" dia. ","")&amp;IF(AND(LEFT(D243,7)="Precast",J243&lt;=SG_Criteria!$B$42),"NOTE: 006C is for manholes &gt; "&amp;SG_Criteria!$B$42&amp;" m deep. ","")&amp;IF(AND(K243&lt;&gt;"",K243&lt;SG_Criteria!$B$40,D243&lt;&gt;"Inspection Chamber"),"NOTE: public sewer min dia "&amp;SG_Criteria!$B$40&amp;" mm. ","")&amp;IF(AND(Y243&lt;&gt;"",Y243&lt;SG_Criteria!$B$44),"FAIL: uplift FOS below "&amp;SG_Criteria!$B$44&amp;". ",""))=0,"OK",IF(AND(Z243&lt;&gt;"",IFERROR(VALUE(MID(Z243,2,2)),0)&lt;SG_Criteria!$B$19),"FAIL: grade below C"&amp;SG_Criteria!$B$19&amp;". ","")&amp;IF(AND(AA243&lt;&gt;"",AA243&lt;SG_Criteria!$B$20),"FAIL: cover &lt; "&amp;SG_Criteria!$B$20&amp;" mm. ","")&amp;IF(AND(I243&lt;&gt;"",I243&lt;SG_Criteria!$B$39),"NOTE: min depth below PUB "&amp;SG_Criteria!$B$39&amp;" m. ","")&amp;IF(AND(LEFT(D243,8)="Standard",J243&gt;SG_Criteria!$B$42),"FAIL: PUB 001C covers manholes up to "&amp;SG_Criteria!$B$42&amp;" m deep only. ","")&amp;IF(AND(LEFT(D243,11)="Rectangular",K243&lt;SG_Criteria!$B$43),"NOTE: 004C is for sewers &gt;= "&amp;SG_Criteria!$B$43&amp;" dia. ","")&amp;IF(AND(LEFT(D243,7)="Precast",J243&lt;=SG_Criteria!$B$42),"NOTE: 006C is for manholes &gt; "&amp;SG_Criteria!$B$42&amp;" m deep. ","")&amp;IF(AND(K243&lt;&gt;"",K243&lt;SG_Criteria!$B$40,D243&lt;&gt;"Inspection Chamber"),"NOTE: public sewer min dia "&amp;SG_Criteria!$B$40&amp;" mm. ","")&amp;IF(AND(Y243&lt;&gt;"",Y243&lt;SG_Criteria!$B$44),"FAIL: uplift FOS below "&amp;SG_Criteria!$B$44&amp;". ","")))</f>
        <v/>
      </c>
      <c r="BH243" s="9"/>
      <c r="BI243" s="9"/>
      <c r="BJ243" s="9"/>
      <c r="BK243" s="10" t="str">
        <f aca="false">IF(BJ243="","",IFERROR(VLOOKUP(BJ243,Projects!$A$5:$D$504,2,0),"Ref not in Projects"))</f>
        <v/>
      </c>
      <c r="BL243" s="10" t="str">
        <f aca="false">IF(BJ243="","",IFERROR(VLOOKUP(BJ243,Projects!$A$5:$D$504,4,0),"Ref not in Projects"))</f>
        <v/>
      </c>
      <c r="BM243" s="9"/>
      <c r="BN243" s="9"/>
      <c r="BO243" s="9"/>
      <c r="BP243" s="40"/>
      <c r="BQ243" s="9"/>
      <c r="BR243" s="40"/>
      <c r="BS243" s="9"/>
      <c r="BT243" s="40"/>
      <c r="BU243" s="9"/>
      <c r="BV243" s="9"/>
      <c r="BW243" s="9"/>
      <c r="BX243" s="40"/>
      <c r="BY243" s="40"/>
      <c r="BZ243" s="36" t="str">
        <f aca="false">IF(BY243="","",EDATE(BY243,SG_Criteria!$B$54*12))</f>
        <v/>
      </c>
      <c r="CA243" s="33" t="str">
        <f aca="true">IF(A243="","",IF(BY243="","NOTE: not reviewed yet",IF(TODAY()&gt;BZ243,"NOTE: review overdue","OK")))</f>
        <v/>
      </c>
      <c r="CB243" s="37" t="str">
        <f aca="false">IF(A243="","",ROUND((IF(LEN(D243)&gt;0,1,0)+IF(LEN(E243)&gt;0,1,0)+IF(LEN(F243)&gt;0,1,0)+IF(LEN(G243)&gt;0,1,0)+IF(LEN(I243)&gt;0,1,0)+IF(LEN(J243)&gt;0,1,0)+IF(LEN(K243)&gt;0,1,0)+IF(LEN(L243)&gt;0,1,0)+IF(LEN(M243)&gt;0,1,0)+IF(LEN(N243)&gt;0,1,0)+IF(LEN(Z243)&gt;0,1,0)+IF(LEN(AA243)&gt;0,1,0)+IF(LEN(Y243)&gt;0,1,0)+IF(LEN(AE243)&gt;0,1,0)+IF(LEN(AG243)&gt;0,1,0)+IF(LEN(AZ243)&gt;0,1,0)+IF(LEN(AK243)&gt;0,1,0)+IF(LEN(AM243)&gt;0,1,0)+IF(LEN(AN243)&gt;0,1,0)+IF(LEN(AO243)&gt;0,1,0)+IF(LEN(AP243)&gt;0,1,0)+IF(LEN(AY243)&gt;0,1,0)+IF(LEN(BJ243)&gt;0,1,0)+IF(LEN(BW243)&gt;0,1,0))/24,2))</f>
        <v/>
      </c>
      <c r="CC243" s="10" t="str">
        <f aca="false">IF(D243="","",IF(AND(AN243="Approved",ISERROR(SEARCH("FAIL",BG243))),"Y","N"))</f>
        <v/>
      </c>
      <c r="CD243" s="10" t="str">
        <f aca="false">IF(D243="","",D243&amp;"|"&amp;J243&amp;"|"&amp;G243&amp;"|"&amp;CC243)</f>
        <v/>
      </c>
    </row>
    <row r="244" customFormat="false" ht="15" hidden="false" customHeight="false" outlineLevel="0" collapsed="false">
      <c r="A244" s="10" t="str">
        <f aca="false">IF(D244="","","MH-"&amp;IFERROR(VLOOKUP(D244,Lists!$AB$4:$AC$20,2,0),"??")&amp;"-"&amp;TEXT(G244,"0000")&amp;IF(F244="Circular","D","x"&amp;TEXT(H244,"0000"))&amp;"-D"&amp;TEXT(J244*1000,"0000")&amp;"-"&amp;IFERROR(VLOOKUP(E244,Lists!$AE$4:$AF$16,2,0),"??")&amp;"-"&amp;AM244)</f>
        <v/>
      </c>
      <c r="B244" s="10" t="str">
        <f aca="false">IF(D244="","",D244&amp;", "&amp;E244&amp;", "&amp;IF(F244="Circular",G244&amp;" dia",G244&amp;" x "&amp;H244)&amp;", depth "&amp;TEXT(I244,"0.0")&amp;"-"&amp;TEXT(J244,"0.0")&amp;" m, pipe up to "&amp;K244&amp;" dia")</f>
        <v/>
      </c>
      <c r="C244" s="9"/>
      <c r="D244" s="9"/>
      <c r="E244" s="9"/>
      <c r="F244" s="9"/>
      <c r="G244" s="38"/>
      <c r="H244" s="38"/>
      <c r="I244" s="42"/>
      <c r="J244" s="42"/>
      <c r="K244" s="38"/>
      <c r="L244" s="38"/>
      <c r="M244" s="38"/>
      <c r="N244" s="38"/>
      <c r="O244" s="9"/>
      <c r="P244" s="9"/>
      <c r="Q244" s="9"/>
      <c r="R244" s="9"/>
      <c r="S244" s="9"/>
      <c r="T244" s="9"/>
      <c r="U244" s="9"/>
      <c r="V244" s="42"/>
      <c r="W244" s="9"/>
      <c r="X244" s="9"/>
      <c r="Y244" s="39"/>
      <c r="Z244" s="9"/>
      <c r="AA244" s="38"/>
      <c r="AB244" s="9"/>
      <c r="AC244" s="9"/>
      <c r="AD244" s="9"/>
      <c r="AE244" s="9"/>
      <c r="AF244" s="9"/>
      <c r="AG244" s="9"/>
      <c r="AH244" s="38"/>
      <c r="AI244" s="9"/>
      <c r="AJ244" s="39"/>
      <c r="AK244" s="9"/>
      <c r="AL244" s="9"/>
      <c r="AM244" s="9"/>
      <c r="AN244" s="9"/>
      <c r="AO244" s="9"/>
      <c r="AP244" s="9"/>
      <c r="AQ244" s="9"/>
      <c r="AR244" s="10" t="str">
        <f aca="false">IF(A244="","",SG_Criteria!$B$6&amp;SG_Criteria!$B$10&amp;"\"&amp;A244&amp;"\")</f>
        <v/>
      </c>
      <c r="AS244" s="10" t="str">
        <f aca="false">IF(A244="","",A244&amp;"_CAD.dwg")</f>
        <v/>
      </c>
      <c r="AT244" s="10" t="str">
        <f aca="false">IF(A244="","",A244&amp;"_DWG.pdf")</f>
        <v/>
      </c>
      <c r="AU244" s="10" t="str">
        <f aca="false">IF(A244="","",IF(AQ244="Y",A244&amp;"_STAAD.std","n/a"))</f>
        <v/>
      </c>
      <c r="AV244" s="10" t="str">
        <f aca="false">IF(A244="","",A244&amp;"_CALC.xlsx")</f>
        <v/>
      </c>
      <c r="AW244" s="10" t="str">
        <f aca="false">IF(A244="","",A244&amp;"_CALC.pdf")</f>
        <v/>
      </c>
      <c r="AX244" s="9"/>
      <c r="AY244" s="9"/>
      <c r="AZ244" s="39"/>
      <c r="BA244" s="39"/>
      <c r="BB244" s="39"/>
      <c r="BC244" s="39"/>
      <c r="BD244" s="39"/>
      <c r="BE244" s="12" t="str">
        <f aca="false">IF(A244="","",IF(COUNTIF(Rebar_Schedule!$A$5:$A$2004,A244)=0,"",ROUND(SUMIF(Rebar_Schedule!$A$5:$A$2004,A244,Rebar_Schedule!$K$5:$K$2004),1)))</f>
        <v/>
      </c>
      <c r="BF244" s="33" t="str">
        <f aca="false">IF(A244="","",IF(BE244="","No rebar schedule yet",IF(ABS(BE244-N(BA244))/MAX(N(BA244),1)&gt;SG_Criteria!$B$55,"NOTE: register rebar differs from schedule by "&amp;TEXT(ABS(BE244-N(BA244))/MAX(N(BA244),1),"0%"),"OK")))</f>
        <v/>
      </c>
      <c r="BG244" s="33" t="str">
        <f aca="false">IF(D244="","",IF(LEN(IF(AND(Z244&lt;&gt;"",IFERROR(VALUE(MID(Z244,2,2)),0)&lt;SG_Criteria!$B$19),"FAIL: grade below C"&amp;SG_Criteria!$B$19&amp;". ","")&amp;IF(AND(AA244&lt;&gt;"",AA244&lt;SG_Criteria!$B$20),"FAIL: cover &lt; "&amp;SG_Criteria!$B$20&amp;" mm. ","")&amp;IF(AND(I244&lt;&gt;"",I244&lt;SG_Criteria!$B$39),"NOTE: min depth below PUB "&amp;SG_Criteria!$B$39&amp;" m. ","")&amp;IF(AND(LEFT(D244,8)="Standard",J244&gt;SG_Criteria!$B$42),"FAIL: PUB 001C covers manholes up to "&amp;SG_Criteria!$B$42&amp;" m deep only. ","")&amp;IF(AND(LEFT(D244,11)="Rectangular",K244&lt;SG_Criteria!$B$43),"NOTE: 004C is for sewers &gt;= "&amp;SG_Criteria!$B$43&amp;" dia. ","")&amp;IF(AND(LEFT(D244,7)="Precast",J244&lt;=SG_Criteria!$B$42),"NOTE: 006C is for manholes &gt; "&amp;SG_Criteria!$B$42&amp;" m deep. ","")&amp;IF(AND(K244&lt;&gt;"",K244&lt;SG_Criteria!$B$40,D244&lt;&gt;"Inspection Chamber"),"NOTE: public sewer min dia "&amp;SG_Criteria!$B$40&amp;" mm. ","")&amp;IF(AND(Y244&lt;&gt;"",Y244&lt;SG_Criteria!$B$44),"FAIL: uplift FOS below "&amp;SG_Criteria!$B$44&amp;". ",""))=0,"OK",IF(AND(Z244&lt;&gt;"",IFERROR(VALUE(MID(Z244,2,2)),0)&lt;SG_Criteria!$B$19),"FAIL: grade below C"&amp;SG_Criteria!$B$19&amp;". ","")&amp;IF(AND(AA244&lt;&gt;"",AA244&lt;SG_Criteria!$B$20),"FAIL: cover &lt; "&amp;SG_Criteria!$B$20&amp;" mm. ","")&amp;IF(AND(I244&lt;&gt;"",I244&lt;SG_Criteria!$B$39),"NOTE: min depth below PUB "&amp;SG_Criteria!$B$39&amp;" m. ","")&amp;IF(AND(LEFT(D244,8)="Standard",J244&gt;SG_Criteria!$B$42),"FAIL: PUB 001C covers manholes up to "&amp;SG_Criteria!$B$42&amp;" m deep only. ","")&amp;IF(AND(LEFT(D244,11)="Rectangular",K244&lt;SG_Criteria!$B$43),"NOTE: 004C is for sewers &gt;= "&amp;SG_Criteria!$B$43&amp;" dia. ","")&amp;IF(AND(LEFT(D244,7)="Precast",J244&lt;=SG_Criteria!$B$42),"NOTE: 006C is for manholes &gt; "&amp;SG_Criteria!$B$42&amp;" m deep. ","")&amp;IF(AND(K244&lt;&gt;"",K244&lt;SG_Criteria!$B$40,D244&lt;&gt;"Inspection Chamber"),"NOTE: public sewer min dia "&amp;SG_Criteria!$B$40&amp;" mm. ","")&amp;IF(AND(Y244&lt;&gt;"",Y244&lt;SG_Criteria!$B$44),"FAIL: uplift FOS below "&amp;SG_Criteria!$B$44&amp;". ","")))</f>
        <v/>
      </c>
      <c r="BH244" s="9"/>
      <c r="BI244" s="9"/>
      <c r="BJ244" s="9"/>
      <c r="BK244" s="10" t="str">
        <f aca="false">IF(BJ244="","",IFERROR(VLOOKUP(BJ244,Projects!$A$5:$D$504,2,0),"Ref not in Projects"))</f>
        <v/>
      </c>
      <c r="BL244" s="10" t="str">
        <f aca="false">IF(BJ244="","",IFERROR(VLOOKUP(BJ244,Projects!$A$5:$D$504,4,0),"Ref not in Projects"))</f>
        <v/>
      </c>
      <c r="BM244" s="9"/>
      <c r="BN244" s="9"/>
      <c r="BO244" s="9"/>
      <c r="BP244" s="40"/>
      <c r="BQ244" s="9"/>
      <c r="BR244" s="40"/>
      <c r="BS244" s="9"/>
      <c r="BT244" s="40"/>
      <c r="BU244" s="9"/>
      <c r="BV244" s="9"/>
      <c r="BW244" s="9"/>
      <c r="BX244" s="40"/>
      <c r="BY244" s="40"/>
      <c r="BZ244" s="36" t="str">
        <f aca="false">IF(BY244="","",EDATE(BY244,SG_Criteria!$B$54*12))</f>
        <v/>
      </c>
      <c r="CA244" s="33" t="str">
        <f aca="true">IF(A244="","",IF(BY244="","NOTE: not reviewed yet",IF(TODAY()&gt;BZ244,"NOTE: review overdue","OK")))</f>
        <v/>
      </c>
      <c r="CB244" s="37" t="str">
        <f aca="false">IF(A244="","",ROUND((IF(LEN(D244)&gt;0,1,0)+IF(LEN(E244)&gt;0,1,0)+IF(LEN(F244)&gt;0,1,0)+IF(LEN(G244)&gt;0,1,0)+IF(LEN(I244)&gt;0,1,0)+IF(LEN(J244)&gt;0,1,0)+IF(LEN(K244)&gt;0,1,0)+IF(LEN(L244)&gt;0,1,0)+IF(LEN(M244)&gt;0,1,0)+IF(LEN(N244)&gt;0,1,0)+IF(LEN(Z244)&gt;0,1,0)+IF(LEN(AA244)&gt;0,1,0)+IF(LEN(Y244)&gt;0,1,0)+IF(LEN(AE244)&gt;0,1,0)+IF(LEN(AG244)&gt;0,1,0)+IF(LEN(AZ244)&gt;0,1,0)+IF(LEN(AK244)&gt;0,1,0)+IF(LEN(AM244)&gt;0,1,0)+IF(LEN(AN244)&gt;0,1,0)+IF(LEN(AO244)&gt;0,1,0)+IF(LEN(AP244)&gt;0,1,0)+IF(LEN(AY244)&gt;0,1,0)+IF(LEN(BJ244)&gt;0,1,0)+IF(LEN(BW244)&gt;0,1,0))/24,2))</f>
        <v/>
      </c>
      <c r="CC244" s="10" t="str">
        <f aca="false">IF(D244="","",IF(AND(AN244="Approved",ISERROR(SEARCH("FAIL",BG244))),"Y","N"))</f>
        <v/>
      </c>
      <c r="CD244" s="10" t="str">
        <f aca="false">IF(D244="","",D244&amp;"|"&amp;J244&amp;"|"&amp;G244&amp;"|"&amp;CC244)</f>
        <v/>
      </c>
    </row>
    <row r="245" customFormat="false" ht="15" hidden="false" customHeight="false" outlineLevel="0" collapsed="false">
      <c r="A245" s="10" t="str">
        <f aca="false">IF(D245="","","MH-"&amp;IFERROR(VLOOKUP(D245,Lists!$AB$4:$AC$20,2,0),"??")&amp;"-"&amp;TEXT(G245,"0000")&amp;IF(F245="Circular","D","x"&amp;TEXT(H245,"0000"))&amp;"-D"&amp;TEXT(J245*1000,"0000")&amp;"-"&amp;IFERROR(VLOOKUP(E245,Lists!$AE$4:$AF$16,2,0),"??")&amp;"-"&amp;AM245)</f>
        <v/>
      </c>
      <c r="B245" s="10" t="str">
        <f aca="false">IF(D245="","",D245&amp;", "&amp;E245&amp;", "&amp;IF(F245="Circular",G245&amp;" dia",G245&amp;" x "&amp;H245)&amp;", depth "&amp;TEXT(I245,"0.0")&amp;"-"&amp;TEXT(J245,"0.0")&amp;" m, pipe up to "&amp;K245&amp;" dia")</f>
        <v/>
      </c>
      <c r="C245" s="9"/>
      <c r="D245" s="9"/>
      <c r="E245" s="9"/>
      <c r="F245" s="9"/>
      <c r="G245" s="38"/>
      <c r="H245" s="38"/>
      <c r="I245" s="42"/>
      <c r="J245" s="42"/>
      <c r="K245" s="38"/>
      <c r="L245" s="38"/>
      <c r="M245" s="38"/>
      <c r="N245" s="38"/>
      <c r="O245" s="9"/>
      <c r="P245" s="9"/>
      <c r="Q245" s="9"/>
      <c r="R245" s="9"/>
      <c r="S245" s="9"/>
      <c r="T245" s="9"/>
      <c r="U245" s="9"/>
      <c r="V245" s="42"/>
      <c r="W245" s="9"/>
      <c r="X245" s="9"/>
      <c r="Y245" s="39"/>
      <c r="Z245" s="9"/>
      <c r="AA245" s="38"/>
      <c r="AB245" s="9"/>
      <c r="AC245" s="9"/>
      <c r="AD245" s="9"/>
      <c r="AE245" s="9"/>
      <c r="AF245" s="9"/>
      <c r="AG245" s="9"/>
      <c r="AH245" s="38"/>
      <c r="AI245" s="9"/>
      <c r="AJ245" s="39"/>
      <c r="AK245" s="9"/>
      <c r="AL245" s="9"/>
      <c r="AM245" s="9"/>
      <c r="AN245" s="9"/>
      <c r="AO245" s="9"/>
      <c r="AP245" s="9"/>
      <c r="AQ245" s="9"/>
      <c r="AR245" s="10" t="str">
        <f aca="false">IF(A245="","",SG_Criteria!$B$6&amp;SG_Criteria!$B$10&amp;"\"&amp;A245&amp;"\")</f>
        <v/>
      </c>
      <c r="AS245" s="10" t="str">
        <f aca="false">IF(A245="","",A245&amp;"_CAD.dwg")</f>
        <v/>
      </c>
      <c r="AT245" s="10" t="str">
        <f aca="false">IF(A245="","",A245&amp;"_DWG.pdf")</f>
        <v/>
      </c>
      <c r="AU245" s="10" t="str">
        <f aca="false">IF(A245="","",IF(AQ245="Y",A245&amp;"_STAAD.std","n/a"))</f>
        <v/>
      </c>
      <c r="AV245" s="10" t="str">
        <f aca="false">IF(A245="","",A245&amp;"_CALC.xlsx")</f>
        <v/>
      </c>
      <c r="AW245" s="10" t="str">
        <f aca="false">IF(A245="","",A245&amp;"_CALC.pdf")</f>
        <v/>
      </c>
      <c r="AX245" s="9"/>
      <c r="AY245" s="9"/>
      <c r="AZ245" s="39"/>
      <c r="BA245" s="39"/>
      <c r="BB245" s="39"/>
      <c r="BC245" s="39"/>
      <c r="BD245" s="39"/>
      <c r="BE245" s="12" t="str">
        <f aca="false">IF(A245="","",IF(COUNTIF(Rebar_Schedule!$A$5:$A$2004,A245)=0,"",ROUND(SUMIF(Rebar_Schedule!$A$5:$A$2004,A245,Rebar_Schedule!$K$5:$K$2004),1)))</f>
        <v/>
      </c>
      <c r="BF245" s="33" t="str">
        <f aca="false">IF(A245="","",IF(BE245="","No rebar schedule yet",IF(ABS(BE245-N(BA245))/MAX(N(BA245),1)&gt;SG_Criteria!$B$55,"NOTE: register rebar differs from schedule by "&amp;TEXT(ABS(BE245-N(BA245))/MAX(N(BA245),1),"0%"),"OK")))</f>
        <v/>
      </c>
      <c r="BG245" s="33" t="str">
        <f aca="false">IF(D245="","",IF(LEN(IF(AND(Z245&lt;&gt;"",IFERROR(VALUE(MID(Z245,2,2)),0)&lt;SG_Criteria!$B$19),"FAIL: grade below C"&amp;SG_Criteria!$B$19&amp;". ","")&amp;IF(AND(AA245&lt;&gt;"",AA245&lt;SG_Criteria!$B$20),"FAIL: cover &lt; "&amp;SG_Criteria!$B$20&amp;" mm. ","")&amp;IF(AND(I245&lt;&gt;"",I245&lt;SG_Criteria!$B$39),"NOTE: min depth below PUB "&amp;SG_Criteria!$B$39&amp;" m. ","")&amp;IF(AND(LEFT(D245,8)="Standard",J245&gt;SG_Criteria!$B$42),"FAIL: PUB 001C covers manholes up to "&amp;SG_Criteria!$B$42&amp;" m deep only. ","")&amp;IF(AND(LEFT(D245,11)="Rectangular",K245&lt;SG_Criteria!$B$43),"NOTE: 004C is for sewers &gt;= "&amp;SG_Criteria!$B$43&amp;" dia. ","")&amp;IF(AND(LEFT(D245,7)="Precast",J245&lt;=SG_Criteria!$B$42),"NOTE: 006C is for manholes &gt; "&amp;SG_Criteria!$B$42&amp;" m deep. ","")&amp;IF(AND(K245&lt;&gt;"",K245&lt;SG_Criteria!$B$40,D245&lt;&gt;"Inspection Chamber"),"NOTE: public sewer min dia "&amp;SG_Criteria!$B$40&amp;" mm. ","")&amp;IF(AND(Y245&lt;&gt;"",Y245&lt;SG_Criteria!$B$44),"FAIL: uplift FOS below "&amp;SG_Criteria!$B$44&amp;". ",""))=0,"OK",IF(AND(Z245&lt;&gt;"",IFERROR(VALUE(MID(Z245,2,2)),0)&lt;SG_Criteria!$B$19),"FAIL: grade below C"&amp;SG_Criteria!$B$19&amp;". ","")&amp;IF(AND(AA245&lt;&gt;"",AA245&lt;SG_Criteria!$B$20),"FAIL: cover &lt; "&amp;SG_Criteria!$B$20&amp;" mm. ","")&amp;IF(AND(I245&lt;&gt;"",I245&lt;SG_Criteria!$B$39),"NOTE: min depth below PUB "&amp;SG_Criteria!$B$39&amp;" m. ","")&amp;IF(AND(LEFT(D245,8)="Standard",J245&gt;SG_Criteria!$B$42),"FAIL: PUB 001C covers manholes up to "&amp;SG_Criteria!$B$42&amp;" m deep only. ","")&amp;IF(AND(LEFT(D245,11)="Rectangular",K245&lt;SG_Criteria!$B$43),"NOTE: 004C is for sewers &gt;= "&amp;SG_Criteria!$B$43&amp;" dia. ","")&amp;IF(AND(LEFT(D245,7)="Precast",J245&lt;=SG_Criteria!$B$42),"NOTE: 006C is for manholes &gt; "&amp;SG_Criteria!$B$42&amp;" m deep. ","")&amp;IF(AND(K245&lt;&gt;"",K245&lt;SG_Criteria!$B$40,D245&lt;&gt;"Inspection Chamber"),"NOTE: public sewer min dia "&amp;SG_Criteria!$B$40&amp;" mm. ","")&amp;IF(AND(Y245&lt;&gt;"",Y245&lt;SG_Criteria!$B$44),"FAIL: uplift FOS below "&amp;SG_Criteria!$B$44&amp;". ","")))</f>
        <v/>
      </c>
      <c r="BH245" s="9"/>
      <c r="BI245" s="9"/>
      <c r="BJ245" s="9"/>
      <c r="BK245" s="10" t="str">
        <f aca="false">IF(BJ245="","",IFERROR(VLOOKUP(BJ245,Projects!$A$5:$D$504,2,0),"Ref not in Projects"))</f>
        <v/>
      </c>
      <c r="BL245" s="10" t="str">
        <f aca="false">IF(BJ245="","",IFERROR(VLOOKUP(BJ245,Projects!$A$5:$D$504,4,0),"Ref not in Projects"))</f>
        <v/>
      </c>
      <c r="BM245" s="9"/>
      <c r="BN245" s="9"/>
      <c r="BO245" s="9"/>
      <c r="BP245" s="40"/>
      <c r="BQ245" s="9"/>
      <c r="BR245" s="40"/>
      <c r="BS245" s="9"/>
      <c r="BT245" s="40"/>
      <c r="BU245" s="9"/>
      <c r="BV245" s="9"/>
      <c r="BW245" s="9"/>
      <c r="BX245" s="40"/>
      <c r="BY245" s="40"/>
      <c r="BZ245" s="36" t="str">
        <f aca="false">IF(BY245="","",EDATE(BY245,SG_Criteria!$B$54*12))</f>
        <v/>
      </c>
      <c r="CA245" s="33" t="str">
        <f aca="true">IF(A245="","",IF(BY245="","NOTE: not reviewed yet",IF(TODAY()&gt;BZ245,"NOTE: review overdue","OK")))</f>
        <v/>
      </c>
      <c r="CB245" s="37" t="str">
        <f aca="false">IF(A245="","",ROUND((IF(LEN(D245)&gt;0,1,0)+IF(LEN(E245)&gt;0,1,0)+IF(LEN(F245)&gt;0,1,0)+IF(LEN(G245)&gt;0,1,0)+IF(LEN(I245)&gt;0,1,0)+IF(LEN(J245)&gt;0,1,0)+IF(LEN(K245)&gt;0,1,0)+IF(LEN(L245)&gt;0,1,0)+IF(LEN(M245)&gt;0,1,0)+IF(LEN(N245)&gt;0,1,0)+IF(LEN(Z245)&gt;0,1,0)+IF(LEN(AA245)&gt;0,1,0)+IF(LEN(Y245)&gt;0,1,0)+IF(LEN(AE245)&gt;0,1,0)+IF(LEN(AG245)&gt;0,1,0)+IF(LEN(AZ245)&gt;0,1,0)+IF(LEN(AK245)&gt;0,1,0)+IF(LEN(AM245)&gt;0,1,0)+IF(LEN(AN245)&gt;0,1,0)+IF(LEN(AO245)&gt;0,1,0)+IF(LEN(AP245)&gt;0,1,0)+IF(LEN(AY245)&gt;0,1,0)+IF(LEN(BJ245)&gt;0,1,0)+IF(LEN(BW245)&gt;0,1,0))/24,2))</f>
        <v/>
      </c>
      <c r="CC245" s="10" t="str">
        <f aca="false">IF(D245="","",IF(AND(AN245="Approved",ISERROR(SEARCH("FAIL",BG245))),"Y","N"))</f>
        <v/>
      </c>
      <c r="CD245" s="10" t="str">
        <f aca="false">IF(D245="","",D245&amp;"|"&amp;J245&amp;"|"&amp;G245&amp;"|"&amp;CC245)</f>
        <v/>
      </c>
    </row>
    <row r="246" customFormat="false" ht="15" hidden="false" customHeight="false" outlineLevel="0" collapsed="false">
      <c r="A246" s="10" t="str">
        <f aca="false">IF(D246="","","MH-"&amp;IFERROR(VLOOKUP(D246,Lists!$AB$4:$AC$20,2,0),"??")&amp;"-"&amp;TEXT(G246,"0000")&amp;IF(F246="Circular","D","x"&amp;TEXT(H246,"0000"))&amp;"-D"&amp;TEXT(J246*1000,"0000")&amp;"-"&amp;IFERROR(VLOOKUP(E246,Lists!$AE$4:$AF$16,2,0),"??")&amp;"-"&amp;AM246)</f>
        <v/>
      </c>
      <c r="B246" s="10" t="str">
        <f aca="false">IF(D246="","",D246&amp;", "&amp;E246&amp;", "&amp;IF(F246="Circular",G246&amp;" dia",G246&amp;" x "&amp;H246)&amp;", depth "&amp;TEXT(I246,"0.0")&amp;"-"&amp;TEXT(J246,"0.0")&amp;" m, pipe up to "&amp;K246&amp;" dia")</f>
        <v/>
      </c>
      <c r="C246" s="9"/>
      <c r="D246" s="9"/>
      <c r="E246" s="9"/>
      <c r="F246" s="9"/>
      <c r="G246" s="38"/>
      <c r="H246" s="38"/>
      <c r="I246" s="42"/>
      <c r="J246" s="42"/>
      <c r="K246" s="38"/>
      <c r="L246" s="38"/>
      <c r="M246" s="38"/>
      <c r="N246" s="38"/>
      <c r="O246" s="9"/>
      <c r="P246" s="9"/>
      <c r="Q246" s="9"/>
      <c r="R246" s="9"/>
      <c r="S246" s="9"/>
      <c r="T246" s="9"/>
      <c r="U246" s="9"/>
      <c r="V246" s="42"/>
      <c r="W246" s="9"/>
      <c r="X246" s="9"/>
      <c r="Y246" s="39"/>
      <c r="Z246" s="9"/>
      <c r="AA246" s="38"/>
      <c r="AB246" s="9"/>
      <c r="AC246" s="9"/>
      <c r="AD246" s="9"/>
      <c r="AE246" s="9"/>
      <c r="AF246" s="9"/>
      <c r="AG246" s="9"/>
      <c r="AH246" s="38"/>
      <c r="AI246" s="9"/>
      <c r="AJ246" s="39"/>
      <c r="AK246" s="9"/>
      <c r="AL246" s="9"/>
      <c r="AM246" s="9"/>
      <c r="AN246" s="9"/>
      <c r="AO246" s="9"/>
      <c r="AP246" s="9"/>
      <c r="AQ246" s="9"/>
      <c r="AR246" s="10" t="str">
        <f aca="false">IF(A246="","",SG_Criteria!$B$6&amp;SG_Criteria!$B$10&amp;"\"&amp;A246&amp;"\")</f>
        <v/>
      </c>
      <c r="AS246" s="10" t="str">
        <f aca="false">IF(A246="","",A246&amp;"_CAD.dwg")</f>
        <v/>
      </c>
      <c r="AT246" s="10" t="str">
        <f aca="false">IF(A246="","",A246&amp;"_DWG.pdf")</f>
        <v/>
      </c>
      <c r="AU246" s="10" t="str">
        <f aca="false">IF(A246="","",IF(AQ246="Y",A246&amp;"_STAAD.std","n/a"))</f>
        <v/>
      </c>
      <c r="AV246" s="10" t="str">
        <f aca="false">IF(A246="","",A246&amp;"_CALC.xlsx")</f>
        <v/>
      </c>
      <c r="AW246" s="10" t="str">
        <f aca="false">IF(A246="","",A246&amp;"_CALC.pdf")</f>
        <v/>
      </c>
      <c r="AX246" s="9"/>
      <c r="AY246" s="9"/>
      <c r="AZ246" s="39"/>
      <c r="BA246" s="39"/>
      <c r="BB246" s="39"/>
      <c r="BC246" s="39"/>
      <c r="BD246" s="39"/>
      <c r="BE246" s="12" t="str">
        <f aca="false">IF(A246="","",IF(COUNTIF(Rebar_Schedule!$A$5:$A$2004,A246)=0,"",ROUND(SUMIF(Rebar_Schedule!$A$5:$A$2004,A246,Rebar_Schedule!$K$5:$K$2004),1)))</f>
        <v/>
      </c>
      <c r="BF246" s="33" t="str">
        <f aca="false">IF(A246="","",IF(BE246="","No rebar schedule yet",IF(ABS(BE246-N(BA246))/MAX(N(BA246),1)&gt;SG_Criteria!$B$55,"NOTE: register rebar differs from schedule by "&amp;TEXT(ABS(BE246-N(BA246))/MAX(N(BA246),1),"0%"),"OK")))</f>
        <v/>
      </c>
      <c r="BG246" s="33" t="str">
        <f aca="false">IF(D246="","",IF(LEN(IF(AND(Z246&lt;&gt;"",IFERROR(VALUE(MID(Z246,2,2)),0)&lt;SG_Criteria!$B$19),"FAIL: grade below C"&amp;SG_Criteria!$B$19&amp;". ","")&amp;IF(AND(AA246&lt;&gt;"",AA246&lt;SG_Criteria!$B$20),"FAIL: cover &lt; "&amp;SG_Criteria!$B$20&amp;" mm. ","")&amp;IF(AND(I246&lt;&gt;"",I246&lt;SG_Criteria!$B$39),"NOTE: min depth below PUB "&amp;SG_Criteria!$B$39&amp;" m. ","")&amp;IF(AND(LEFT(D246,8)="Standard",J246&gt;SG_Criteria!$B$42),"FAIL: PUB 001C covers manholes up to "&amp;SG_Criteria!$B$42&amp;" m deep only. ","")&amp;IF(AND(LEFT(D246,11)="Rectangular",K246&lt;SG_Criteria!$B$43),"NOTE: 004C is for sewers &gt;= "&amp;SG_Criteria!$B$43&amp;" dia. ","")&amp;IF(AND(LEFT(D246,7)="Precast",J246&lt;=SG_Criteria!$B$42),"NOTE: 006C is for manholes &gt; "&amp;SG_Criteria!$B$42&amp;" m deep. ","")&amp;IF(AND(K246&lt;&gt;"",K246&lt;SG_Criteria!$B$40,D246&lt;&gt;"Inspection Chamber"),"NOTE: public sewer min dia "&amp;SG_Criteria!$B$40&amp;" mm. ","")&amp;IF(AND(Y246&lt;&gt;"",Y246&lt;SG_Criteria!$B$44),"FAIL: uplift FOS below "&amp;SG_Criteria!$B$44&amp;". ",""))=0,"OK",IF(AND(Z246&lt;&gt;"",IFERROR(VALUE(MID(Z246,2,2)),0)&lt;SG_Criteria!$B$19),"FAIL: grade below C"&amp;SG_Criteria!$B$19&amp;". ","")&amp;IF(AND(AA246&lt;&gt;"",AA246&lt;SG_Criteria!$B$20),"FAIL: cover &lt; "&amp;SG_Criteria!$B$20&amp;" mm. ","")&amp;IF(AND(I246&lt;&gt;"",I246&lt;SG_Criteria!$B$39),"NOTE: min depth below PUB "&amp;SG_Criteria!$B$39&amp;" m. ","")&amp;IF(AND(LEFT(D246,8)="Standard",J246&gt;SG_Criteria!$B$42),"FAIL: PUB 001C covers manholes up to "&amp;SG_Criteria!$B$42&amp;" m deep only. ","")&amp;IF(AND(LEFT(D246,11)="Rectangular",K246&lt;SG_Criteria!$B$43),"NOTE: 004C is for sewers &gt;= "&amp;SG_Criteria!$B$43&amp;" dia. ","")&amp;IF(AND(LEFT(D246,7)="Precast",J246&lt;=SG_Criteria!$B$42),"NOTE: 006C is for manholes &gt; "&amp;SG_Criteria!$B$42&amp;" m deep. ","")&amp;IF(AND(K246&lt;&gt;"",K246&lt;SG_Criteria!$B$40,D246&lt;&gt;"Inspection Chamber"),"NOTE: public sewer min dia "&amp;SG_Criteria!$B$40&amp;" mm. ","")&amp;IF(AND(Y246&lt;&gt;"",Y246&lt;SG_Criteria!$B$44),"FAIL: uplift FOS below "&amp;SG_Criteria!$B$44&amp;". ","")))</f>
        <v/>
      </c>
      <c r="BH246" s="9"/>
      <c r="BI246" s="9"/>
      <c r="BJ246" s="9"/>
      <c r="BK246" s="10" t="str">
        <f aca="false">IF(BJ246="","",IFERROR(VLOOKUP(BJ246,Projects!$A$5:$D$504,2,0),"Ref not in Projects"))</f>
        <v/>
      </c>
      <c r="BL246" s="10" t="str">
        <f aca="false">IF(BJ246="","",IFERROR(VLOOKUP(BJ246,Projects!$A$5:$D$504,4,0),"Ref not in Projects"))</f>
        <v/>
      </c>
      <c r="BM246" s="9"/>
      <c r="BN246" s="9"/>
      <c r="BO246" s="9"/>
      <c r="BP246" s="40"/>
      <c r="BQ246" s="9"/>
      <c r="BR246" s="40"/>
      <c r="BS246" s="9"/>
      <c r="BT246" s="40"/>
      <c r="BU246" s="9"/>
      <c r="BV246" s="9"/>
      <c r="BW246" s="9"/>
      <c r="BX246" s="40"/>
      <c r="BY246" s="40"/>
      <c r="BZ246" s="36" t="str">
        <f aca="false">IF(BY246="","",EDATE(BY246,SG_Criteria!$B$54*12))</f>
        <v/>
      </c>
      <c r="CA246" s="33" t="str">
        <f aca="true">IF(A246="","",IF(BY246="","NOTE: not reviewed yet",IF(TODAY()&gt;BZ246,"NOTE: review overdue","OK")))</f>
        <v/>
      </c>
      <c r="CB246" s="37" t="str">
        <f aca="false">IF(A246="","",ROUND((IF(LEN(D246)&gt;0,1,0)+IF(LEN(E246)&gt;0,1,0)+IF(LEN(F246)&gt;0,1,0)+IF(LEN(G246)&gt;0,1,0)+IF(LEN(I246)&gt;0,1,0)+IF(LEN(J246)&gt;0,1,0)+IF(LEN(K246)&gt;0,1,0)+IF(LEN(L246)&gt;0,1,0)+IF(LEN(M246)&gt;0,1,0)+IF(LEN(N246)&gt;0,1,0)+IF(LEN(Z246)&gt;0,1,0)+IF(LEN(AA246)&gt;0,1,0)+IF(LEN(Y246)&gt;0,1,0)+IF(LEN(AE246)&gt;0,1,0)+IF(LEN(AG246)&gt;0,1,0)+IF(LEN(AZ246)&gt;0,1,0)+IF(LEN(AK246)&gt;0,1,0)+IF(LEN(AM246)&gt;0,1,0)+IF(LEN(AN246)&gt;0,1,0)+IF(LEN(AO246)&gt;0,1,0)+IF(LEN(AP246)&gt;0,1,0)+IF(LEN(AY246)&gt;0,1,0)+IF(LEN(BJ246)&gt;0,1,0)+IF(LEN(BW246)&gt;0,1,0))/24,2))</f>
        <v/>
      </c>
      <c r="CC246" s="10" t="str">
        <f aca="false">IF(D246="","",IF(AND(AN246="Approved",ISERROR(SEARCH("FAIL",BG246))),"Y","N"))</f>
        <v/>
      </c>
      <c r="CD246" s="10" t="str">
        <f aca="false">IF(D246="","",D246&amp;"|"&amp;J246&amp;"|"&amp;G246&amp;"|"&amp;CC246)</f>
        <v/>
      </c>
    </row>
    <row r="247" customFormat="false" ht="15" hidden="false" customHeight="false" outlineLevel="0" collapsed="false">
      <c r="A247" s="10" t="str">
        <f aca="false">IF(D247="","","MH-"&amp;IFERROR(VLOOKUP(D247,Lists!$AB$4:$AC$20,2,0),"??")&amp;"-"&amp;TEXT(G247,"0000")&amp;IF(F247="Circular","D","x"&amp;TEXT(H247,"0000"))&amp;"-D"&amp;TEXT(J247*1000,"0000")&amp;"-"&amp;IFERROR(VLOOKUP(E247,Lists!$AE$4:$AF$16,2,0),"??")&amp;"-"&amp;AM247)</f>
        <v/>
      </c>
      <c r="B247" s="10" t="str">
        <f aca="false">IF(D247="","",D247&amp;", "&amp;E247&amp;", "&amp;IF(F247="Circular",G247&amp;" dia",G247&amp;" x "&amp;H247)&amp;", depth "&amp;TEXT(I247,"0.0")&amp;"-"&amp;TEXT(J247,"0.0")&amp;" m, pipe up to "&amp;K247&amp;" dia")</f>
        <v/>
      </c>
      <c r="C247" s="9"/>
      <c r="D247" s="9"/>
      <c r="E247" s="9"/>
      <c r="F247" s="9"/>
      <c r="G247" s="38"/>
      <c r="H247" s="38"/>
      <c r="I247" s="42"/>
      <c r="J247" s="42"/>
      <c r="K247" s="38"/>
      <c r="L247" s="38"/>
      <c r="M247" s="38"/>
      <c r="N247" s="38"/>
      <c r="O247" s="9"/>
      <c r="P247" s="9"/>
      <c r="Q247" s="9"/>
      <c r="R247" s="9"/>
      <c r="S247" s="9"/>
      <c r="T247" s="9"/>
      <c r="U247" s="9"/>
      <c r="V247" s="42"/>
      <c r="W247" s="9"/>
      <c r="X247" s="9"/>
      <c r="Y247" s="39"/>
      <c r="Z247" s="9"/>
      <c r="AA247" s="38"/>
      <c r="AB247" s="9"/>
      <c r="AC247" s="9"/>
      <c r="AD247" s="9"/>
      <c r="AE247" s="9"/>
      <c r="AF247" s="9"/>
      <c r="AG247" s="9"/>
      <c r="AH247" s="38"/>
      <c r="AI247" s="9"/>
      <c r="AJ247" s="39"/>
      <c r="AK247" s="9"/>
      <c r="AL247" s="9"/>
      <c r="AM247" s="9"/>
      <c r="AN247" s="9"/>
      <c r="AO247" s="9"/>
      <c r="AP247" s="9"/>
      <c r="AQ247" s="9"/>
      <c r="AR247" s="10" t="str">
        <f aca="false">IF(A247="","",SG_Criteria!$B$6&amp;SG_Criteria!$B$10&amp;"\"&amp;A247&amp;"\")</f>
        <v/>
      </c>
      <c r="AS247" s="10" t="str">
        <f aca="false">IF(A247="","",A247&amp;"_CAD.dwg")</f>
        <v/>
      </c>
      <c r="AT247" s="10" t="str">
        <f aca="false">IF(A247="","",A247&amp;"_DWG.pdf")</f>
        <v/>
      </c>
      <c r="AU247" s="10" t="str">
        <f aca="false">IF(A247="","",IF(AQ247="Y",A247&amp;"_STAAD.std","n/a"))</f>
        <v/>
      </c>
      <c r="AV247" s="10" t="str">
        <f aca="false">IF(A247="","",A247&amp;"_CALC.xlsx")</f>
        <v/>
      </c>
      <c r="AW247" s="10" t="str">
        <f aca="false">IF(A247="","",A247&amp;"_CALC.pdf")</f>
        <v/>
      </c>
      <c r="AX247" s="9"/>
      <c r="AY247" s="9"/>
      <c r="AZ247" s="39"/>
      <c r="BA247" s="39"/>
      <c r="BB247" s="39"/>
      <c r="BC247" s="39"/>
      <c r="BD247" s="39"/>
      <c r="BE247" s="12" t="str">
        <f aca="false">IF(A247="","",IF(COUNTIF(Rebar_Schedule!$A$5:$A$2004,A247)=0,"",ROUND(SUMIF(Rebar_Schedule!$A$5:$A$2004,A247,Rebar_Schedule!$K$5:$K$2004),1)))</f>
        <v/>
      </c>
      <c r="BF247" s="33" t="str">
        <f aca="false">IF(A247="","",IF(BE247="","No rebar schedule yet",IF(ABS(BE247-N(BA247))/MAX(N(BA247),1)&gt;SG_Criteria!$B$55,"NOTE: register rebar differs from schedule by "&amp;TEXT(ABS(BE247-N(BA247))/MAX(N(BA247),1),"0%"),"OK")))</f>
        <v/>
      </c>
      <c r="BG247" s="33" t="str">
        <f aca="false">IF(D247="","",IF(LEN(IF(AND(Z247&lt;&gt;"",IFERROR(VALUE(MID(Z247,2,2)),0)&lt;SG_Criteria!$B$19),"FAIL: grade below C"&amp;SG_Criteria!$B$19&amp;". ","")&amp;IF(AND(AA247&lt;&gt;"",AA247&lt;SG_Criteria!$B$20),"FAIL: cover &lt; "&amp;SG_Criteria!$B$20&amp;" mm. ","")&amp;IF(AND(I247&lt;&gt;"",I247&lt;SG_Criteria!$B$39),"NOTE: min depth below PUB "&amp;SG_Criteria!$B$39&amp;" m. ","")&amp;IF(AND(LEFT(D247,8)="Standard",J247&gt;SG_Criteria!$B$42),"FAIL: PUB 001C covers manholes up to "&amp;SG_Criteria!$B$42&amp;" m deep only. ","")&amp;IF(AND(LEFT(D247,11)="Rectangular",K247&lt;SG_Criteria!$B$43),"NOTE: 004C is for sewers &gt;= "&amp;SG_Criteria!$B$43&amp;" dia. ","")&amp;IF(AND(LEFT(D247,7)="Precast",J247&lt;=SG_Criteria!$B$42),"NOTE: 006C is for manholes &gt; "&amp;SG_Criteria!$B$42&amp;" m deep. ","")&amp;IF(AND(K247&lt;&gt;"",K247&lt;SG_Criteria!$B$40,D247&lt;&gt;"Inspection Chamber"),"NOTE: public sewer min dia "&amp;SG_Criteria!$B$40&amp;" mm. ","")&amp;IF(AND(Y247&lt;&gt;"",Y247&lt;SG_Criteria!$B$44),"FAIL: uplift FOS below "&amp;SG_Criteria!$B$44&amp;". ",""))=0,"OK",IF(AND(Z247&lt;&gt;"",IFERROR(VALUE(MID(Z247,2,2)),0)&lt;SG_Criteria!$B$19),"FAIL: grade below C"&amp;SG_Criteria!$B$19&amp;". ","")&amp;IF(AND(AA247&lt;&gt;"",AA247&lt;SG_Criteria!$B$20),"FAIL: cover &lt; "&amp;SG_Criteria!$B$20&amp;" mm. ","")&amp;IF(AND(I247&lt;&gt;"",I247&lt;SG_Criteria!$B$39),"NOTE: min depth below PUB "&amp;SG_Criteria!$B$39&amp;" m. ","")&amp;IF(AND(LEFT(D247,8)="Standard",J247&gt;SG_Criteria!$B$42),"FAIL: PUB 001C covers manholes up to "&amp;SG_Criteria!$B$42&amp;" m deep only. ","")&amp;IF(AND(LEFT(D247,11)="Rectangular",K247&lt;SG_Criteria!$B$43),"NOTE: 004C is for sewers &gt;= "&amp;SG_Criteria!$B$43&amp;" dia. ","")&amp;IF(AND(LEFT(D247,7)="Precast",J247&lt;=SG_Criteria!$B$42),"NOTE: 006C is for manholes &gt; "&amp;SG_Criteria!$B$42&amp;" m deep. ","")&amp;IF(AND(K247&lt;&gt;"",K247&lt;SG_Criteria!$B$40,D247&lt;&gt;"Inspection Chamber"),"NOTE: public sewer min dia "&amp;SG_Criteria!$B$40&amp;" mm. ","")&amp;IF(AND(Y247&lt;&gt;"",Y247&lt;SG_Criteria!$B$44),"FAIL: uplift FOS below "&amp;SG_Criteria!$B$44&amp;". ","")))</f>
        <v/>
      </c>
      <c r="BH247" s="9"/>
      <c r="BI247" s="9"/>
      <c r="BJ247" s="9"/>
      <c r="BK247" s="10" t="str">
        <f aca="false">IF(BJ247="","",IFERROR(VLOOKUP(BJ247,Projects!$A$5:$D$504,2,0),"Ref not in Projects"))</f>
        <v/>
      </c>
      <c r="BL247" s="10" t="str">
        <f aca="false">IF(BJ247="","",IFERROR(VLOOKUP(BJ247,Projects!$A$5:$D$504,4,0),"Ref not in Projects"))</f>
        <v/>
      </c>
      <c r="BM247" s="9"/>
      <c r="BN247" s="9"/>
      <c r="BO247" s="9"/>
      <c r="BP247" s="40"/>
      <c r="BQ247" s="9"/>
      <c r="BR247" s="40"/>
      <c r="BS247" s="9"/>
      <c r="BT247" s="40"/>
      <c r="BU247" s="9"/>
      <c r="BV247" s="9"/>
      <c r="BW247" s="9"/>
      <c r="BX247" s="40"/>
      <c r="BY247" s="40"/>
      <c r="BZ247" s="36" t="str">
        <f aca="false">IF(BY247="","",EDATE(BY247,SG_Criteria!$B$54*12))</f>
        <v/>
      </c>
      <c r="CA247" s="33" t="str">
        <f aca="true">IF(A247="","",IF(BY247="","NOTE: not reviewed yet",IF(TODAY()&gt;BZ247,"NOTE: review overdue","OK")))</f>
        <v/>
      </c>
      <c r="CB247" s="37" t="str">
        <f aca="false">IF(A247="","",ROUND((IF(LEN(D247)&gt;0,1,0)+IF(LEN(E247)&gt;0,1,0)+IF(LEN(F247)&gt;0,1,0)+IF(LEN(G247)&gt;0,1,0)+IF(LEN(I247)&gt;0,1,0)+IF(LEN(J247)&gt;0,1,0)+IF(LEN(K247)&gt;0,1,0)+IF(LEN(L247)&gt;0,1,0)+IF(LEN(M247)&gt;0,1,0)+IF(LEN(N247)&gt;0,1,0)+IF(LEN(Z247)&gt;0,1,0)+IF(LEN(AA247)&gt;0,1,0)+IF(LEN(Y247)&gt;0,1,0)+IF(LEN(AE247)&gt;0,1,0)+IF(LEN(AG247)&gt;0,1,0)+IF(LEN(AZ247)&gt;0,1,0)+IF(LEN(AK247)&gt;0,1,0)+IF(LEN(AM247)&gt;0,1,0)+IF(LEN(AN247)&gt;0,1,0)+IF(LEN(AO247)&gt;0,1,0)+IF(LEN(AP247)&gt;0,1,0)+IF(LEN(AY247)&gt;0,1,0)+IF(LEN(BJ247)&gt;0,1,0)+IF(LEN(BW247)&gt;0,1,0))/24,2))</f>
        <v/>
      </c>
      <c r="CC247" s="10" t="str">
        <f aca="false">IF(D247="","",IF(AND(AN247="Approved",ISERROR(SEARCH("FAIL",BG247))),"Y","N"))</f>
        <v/>
      </c>
      <c r="CD247" s="10" t="str">
        <f aca="false">IF(D247="","",D247&amp;"|"&amp;J247&amp;"|"&amp;G247&amp;"|"&amp;CC247)</f>
        <v/>
      </c>
    </row>
    <row r="248" customFormat="false" ht="15" hidden="false" customHeight="false" outlineLevel="0" collapsed="false">
      <c r="A248" s="10" t="str">
        <f aca="false">IF(D248="","","MH-"&amp;IFERROR(VLOOKUP(D248,Lists!$AB$4:$AC$20,2,0),"??")&amp;"-"&amp;TEXT(G248,"0000")&amp;IF(F248="Circular","D","x"&amp;TEXT(H248,"0000"))&amp;"-D"&amp;TEXT(J248*1000,"0000")&amp;"-"&amp;IFERROR(VLOOKUP(E248,Lists!$AE$4:$AF$16,2,0),"??")&amp;"-"&amp;AM248)</f>
        <v/>
      </c>
      <c r="B248" s="10" t="str">
        <f aca="false">IF(D248="","",D248&amp;", "&amp;E248&amp;", "&amp;IF(F248="Circular",G248&amp;" dia",G248&amp;" x "&amp;H248)&amp;", depth "&amp;TEXT(I248,"0.0")&amp;"-"&amp;TEXT(J248,"0.0")&amp;" m, pipe up to "&amp;K248&amp;" dia")</f>
        <v/>
      </c>
      <c r="C248" s="9"/>
      <c r="D248" s="9"/>
      <c r="E248" s="9"/>
      <c r="F248" s="9"/>
      <c r="G248" s="38"/>
      <c r="H248" s="38"/>
      <c r="I248" s="42"/>
      <c r="J248" s="42"/>
      <c r="K248" s="38"/>
      <c r="L248" s="38"/>
      <c r="M248" s="38"/>
      <c r="N248" s="38"/>
      <c r="O248" s="9"/>
      <c r="P248" s="9"/>
      <c r="Q248" s="9"/>
      <c r="R248" s="9"/>
      <c r="S248" s="9"/>
      <c r="T248" s="9"/>
      <c r="U248" s="9"/>
      <c r="V248" s="42"/>
      <c r="W248" s="9"/>
      <c r="X248" s="9"/>
      <c r="Y248" s="39"/>
      <c r="Z248" s="9"/>
      <c r="AA248" s="38"/>
      <c r="AB248" s="9"/>
      <c r="AC248" s="9"/>
      <c r="AD248" s="9"/>
      <c r="AE248" s="9"/>
      <c r="AF248" s="9"/>
      <c r="AG248" s="9"/>
      <c r="AH248" s="38"/>
      <c r="AI248" s="9"/>
      <c r="AJ248" s="39"/>
      <c r="AK248" s="9"/>
      <c r="AL248" s="9"/>
      <c r="AM248" s="9"/>
      <c r="AN248" s="9"/>
      <c r="AO248" s="9"/>
      <c r="AP248" s="9"/>
      <c r="AQ248" s="9"/>
      <c r="AR248" s="10" t="str">
        <f aca="false">IF(A248="","",SG_Criteria!$B$6&amp;SG_Criteria!$B$10&amp;"\"&amp;A248&amp;"\")</f>
        <v/>
      </c>
      <c r="AS248" s="10" t="str">
        <f aca="false">IF(A248="","",A248&amp;"_CAD.dwg")</f>
        <v/>
      </c>
      <c r="AT248" s="10" t="str">
        <f aca="false">IF(A248="","",A248&amp;"_DWG.pdf")</f>
        <v/>
      </c>
      <c r="AU248" s="10" t="str">
        <f aca="false">IF(A248="","",IF(AQ248="Y",A248&amp;"_STAAD.std","n/a"))</f>
        <v/>
      </c>
      <c r="AV248" s="10" t="str">
        <f aca="false">IF(A248="","",A248&amp;"_CALC.xlsx")</f>
        <v/>
      </c>
      <c r="AW248" s="10" t="str">
        <f aca="false">IF(A248="","",A248&amp;"_CALC.pdf")</f>
        <v/>
      </c>
      <c r="AX248" s="9"/>
      <c r="AY248" s="9"/>
      <c r="AZ248" s="39"/>
      <c r="BA248" s="39"/>
      <c r="BB248" s="39"/>
      <c r="BC248" s="39"/>
      <c r="BD248" s="39"/>
      <c r="BE248" s="12" t="str">
        <f aca="false">IF(A248="","",IF(COUNTIF(Rebar_Schedule!$A$5:$A$2004,A248)=0,"",ROUND(SUMIF(Rebar_Schedule!$A$5:$A$2004,A248,Rebar_Schedule!$K$5:$K$2004),1)))</f>
        <v/>
      </c>
      <c r="BF248" s="33" t="str">
        <f aca="false">IF(A248="","",IF(BE248="","No rebar schedule yet",IF(ABS(BE248-N(BA248))/MAX(N(BA248),1)&gt;SG_Criteria!$B$55,"NOTE: register rebar differs from schedule by "&amp;TEXT(ABS(BE248-N(BA248))/MAX(N(BA248),1),"0%"),"OK")))</f>
        <v/>
      </c>
      <c r="BG248" s="33" t="str">
        <f aca="false">IF(D248="","",IF(LEN(IF(AND(Z248&lt;&gt;"",IFERROR(VALUE(MID(Z248,2,2)),0)&lt;SG_Criteria!$B$19),"FAIL: grade below C"&amp;SG_Criteria!$B$19&amp;". ","")&amp;IF(AND(AA248&lt;&gt;"",AA248&lt;SG_Criteria!$B$20),"FAIL: cover &lt; "&amp;SG_Criteria!$B$20&amp;" mm. ","")&amp;IF(AND(I248&lt;&gt;"",I248&lt;SG_Criteria!$B$39),"NOTE: min depth below PUB "&amp;SG_Criteria!$B$39&amp;" m. ","")&amp;IF(AND(LEFT(D248,8)="Standard",J248&gt;SG_Criteria!$B$42),"FAIL: PUB 001C covers manholes up to "&amp;SG_Criteria!$B$42&amp;" m deep only. ","")&amp;IF(AND(LEFT(D248,11)="Rectangular",K248&lt;SG_Criteria!$B$43),"NOTE: 004C is for sewers &gt;= "&amp;SG_Criteria!$B$43&amp;" dia. ","")&amp;IF(AND(LEFT(D248,7)="Precast",J248&lt;=SG_Criteria!$B$42),"NOTE: 006C is for manholes &gt; "&amp;SG_Criteria!$B$42&amp;" m deep. ","")&amp;IF(AND(K248&lt;&gt;"",K248&lt;SG_Criteria!$B$40,D248&lt;&gt;"Inspection Chamber"),"NOTE: public sewer min dia "&amp;SG_Criteria!$B$40&amp;" mm. ","")&amp;IF(AND(Y248&lt;&gt;"",Y248&lt;SG_Criteria!$B$44),"FAIL: uplift FOS below "&amp;SG_Criteria!$B$44&amp;". ",""))=0,"OK",IF(AND(Z248&lt;&gt;"",IFERROR(VALUE(MID(Z248,2,2)),0)&lt;SG_Criteria!$B$19),"FAIL: grade below C"&amp;SG_Criteria!$B$19&amp;". ","")&amp;IF(AND(AA248&lt;&gt;"",AA248&lt;SG_Criteria!$B$20),"FAIL: cover &lt; "&amp;SG_Criteria!$B$20&amp;" mm. ","")&amp;IF(AND(I248&lt;&gt;"",I248&lt;SG_Criteria!$B$39),"NOTE: min depth below PUB "&amp;SG_Criteria!$B$39&amp;" m. ","")&amp;IF(AND(LEFT(D248,8)="Standard",J248&gt;SG_Criteria!$B$42),"FAIL: PUB 001C covers manholes up to "&amp;SG_Criteria!$B$42&amp;" m deep only. ","")&amp;IF(AND(LEFT(D248,11)="Rectangular",K248&lt;SG_Criteria!$B$43),"NOTE: 004C is for sewers &gt;= "&amp;SG_Criteria!$B$43&amp;" dia. ","")&amp;IF(AND(LEFT(D248,7)="Precast",J248&lt;=SG_Criteria!$B$42),"NOTE: 006C is for manholes &gt; "&amp;SG_Criteria!$B$42&amp;" m deep. ","")&amp;IF(AND(K248&lt;&gt;"",K248&lt;SG_Criteria!$B$40,D248&lt;&gt;"Inspection Chamber"),"NOTE: public sewer min dia "&amp;SG_Criteria!$B$40&amp;" mm. ","")&amp;IF(AND(Y248&lt;&gt;"",Y248&lt;SG_Criteria!$B$44),"FAIL: uplift FOS below "&amp;SG_Criteria!$B$44&amp;". ","")))</f>
        <v/>
      </c>
      <c r="BH248" s="9"/>
      <c r="BI248" s="9"/>
      <c r="BJ248" s="9"/>
      <c r="BK248" s="10" t="str">
        <f aca="false">IF(BJ248="","",IFERROR(VLOOKUP(BJ248,Projects!$A$5:$D$504,2,0),"Ref not in Projects"))</f>
        <v/>
      </c>
      <c r="BL248" s="10" t="str">
        <f aca="false">IF(BJ248="","",IFERROR(VLOOKUP(BJ248,Projects!$A$5:$D$504,4,0),"Ref not in Projects"))</f>
        <v/>
      </c>
      <c r="BM248" s="9"/>
      <c r="BN248" s="9"/>
      <c r="BO248" s="9"/>
      <c r="BP248" s="40"/>
      <c r="BQ248" s="9"/>
      <c r="BR248" s="40"/>
      <c r="BS248" s="9"/>
      <c r="BT248" s="40"/>
      <c r="BU248" s="9"/>
      <c r="BV248" s="9"/>
      <c r="BW248" s="9"/>
      <c r="BX248" s="40"/>
      <c r="BY248" s="40"/>
      <c r="BZ248" s="36" t="str">
        <f aca="false">IF(BY248="","",EDATE(BY248,SG_Criteria!$B$54*12))</f>
        <v/>
      </c>
      <c r="CA248" s="33" t="str">
        <f aca="true">IF(A248="","",IF(BY248="","NOTE: not reviewed yet",IF(TODAY()&gt;BZ248,"NOTE: review overdue","OK")))</f>
        <v/>
      </c>
      <c r="CB248" s="37" t="str">
        <f aca="false">IF(A248="","",ROUND((IF(LEN(D248)&gt;0,1,0)+IF(LEN(E248)&gt;0,1,0)+IF(LEN(F248)&gt;0,1,0)+IF(LEN(G248)&gt;0,1,0)+IF(LEN(I248)&gt;0,1,0)+IF(LEN(J248)&gt;0,1,0)+IF(LEN(K248)&gt;0,1,0)+IF(LEN(L248)&gt;0,1,0)+IF(LEN(M248)&gt;0,1,0)+IF(LEN(N248)&gt;0,1,0)+IF(LEN(Z248)&gt;0,1,0)+IF(LEN(AA248)&gt;0,1,0)+IF(LEN(Y248)&gt;0,1,0)+IF(LEN(AE248)&gt;0,1,0)+IF(LEN(AG248)&gt;0,1,0)+IF(LEN(AZ248)&gt;0,1,0)+IF(LEN(AK248)&gt;0,1,0)+IF(LEN(AM248)&gt;0,1,0)+IF(LEN(AN248)&gt;0,1,0)+IF(LEN(AO248)&gt;0,1,0)+IF(LEN(AP248)&gt;0,1,0)+IF(LEN(AY248)&gt;0,1,0)+IF(LEN(BJ248)&gt;0,1,0)+IF(LEN(BW248)&gt;0,1,0))/24,2))</f>
        <v/>
      </c>
      <c r="CC248" s="10" t="str">
        <f aca="false">IF(D248="","",IF(AND(AN248="Approved",ISERROR(SEARCH("FAIL",BG248))),"Y","N"))</f>
        <v/>
      </c>
      <c r="CD248" s="10" t="str">
        <f aca="false">IF(D248="","",D248&amp;"|"&amp;J248&amp;"|"&amp;G248&amp;"|"&amp;CC248)</f>
        <v/>
      </c>
    </row>
    <row r="249" customFormat="false" ht="15" hidden="false" customHeight="false" outlineLevel="0" collapsed="false">
      <c r="A249" s="10" t="str">
        <f aca="false">IF(D249="","","MH-"&amp;IFERROR(VLOOKUP(D249,Lists!$AB$4:$AC$20,2,0),"??")&amp;"-"&amp;TEXT(G249,"0000")&amp;IF(F249="Circular","D","x"&amp;TEXT(H249,"0000"))&amp;"-D"&amp;TEXT(J249*1000,"0000")&amp;"-"&amp;IFERROR(VLOOKUP(E249,Lists!$AE$4:$AF$16,2,0),"??")&amp;"-"&amp;AM249)</f>
        <v/>
      </c>
      <c r="B249" s="10" t="str">
        <f aca="false">IF(D249="","",D249&amp;", "&amp;E249&amp;", "&amp;IF(F249="Circular",G249&amp;" dia",G249&amp;" x "&amp;H249)&amp;", depth "&amp;TEXT(I249,"0.0")&amp;"-"&amp;TEXT(J249,"0.0")&amp;" m, pipe up to "&amp;K249&amp;" dia")</f>
        <v/>
      </c>
      <c r="C249" s="9"/>
      <c r="D249" s="9"/>
      <c r="E249" s="9"/>
      <c r="F249" s="9"/>
      <c r="G249" s="38"/>
      <c r="H249" s="38"/>
      <c r="I249" s="42"/>
      <c r="J249" s="42"/>
      <c r="K249" s="38"/>
      <c r="L249" s="38"/>
      <c r="M249" s="38"/>
      <c r="N249" s="38"/>
      <c r="O249" s="9"/>
      <c r="P249" s="9"/>
      <c r="Q249" s="9"/>
      <c r="R249" s="9"/>
      <c r="S249" s="9"/>
      <c r="T249" s="9"/>
      <c r="U249" s="9"/>
      <c r="V249" s="42"/>
      <c r="W249" s="9"/>
      <c r="X249" s="9"/>
      <c r="Y249" s="39"/>
      <c r="Z249" s="9"/>
      <c r="AA249" s="38"/>
      <c r="AB249" s="9"/>
      <c r="AC249" s="9"/>
      <c r="AD249" s="9"/>
      <c r="AE249" s="9"/>
      <c r="AF249" s="9"/>
      <c r="AG249" s="9"/>
      <c r="AH249" s="38"/>
      <c r="AI249" s="9"/>
      <c r="AJ249" s="39"/>
      <c r="AK249" s="9"/>
      <c r="AL249" s="9"/>
      <c r="AM249" s="9"/>
      <c r="AN249" s="9"/>
      <c r="AO249" s="9"/>
      <c r="AP249" s="9"/>
      <c r="AQ249" s="9"/>
      <c r="AR249" s="10" t="str">
        <f aca="false">IF(A249="","",SG_Criteria!$B$6&amp;SG_Criteria!$B$10&amp;"\"&amp;A249&amp;"\")</f>
        <v/>
      </c>
      <c r="AS249" s="10" t="str">
        <f aca="false">IF(A249="","",A249&amp;"_CAD.dwg")</f>
        <v/>
      </c>
      <c r="AT249" s="10" t="str">
        <f aca="false">IF(A249="","",A249&amp;"_DWG.pdf")</f>
        <v/>
      </c>
      <c r="AU249" s="10" t="str">
        <f aca="false">IF(A249="","",IF(AQ249="Y",A249&amp;"_STAAD.std","n/a"))</f>
        <v/>
      </c>
      <c r="AV249" s="10" t="str">
        <f aca="false">IF(A249="","",A249&amp;"_CALC.xlsx")</f>
        <v/>
      </c>
      <c r="AW249" s="10" t="str">
        <f aca="false">IF(A249="","",A249&amp;"_CALC.pdf")</f>
        <v/>
      </c>
      <c r="AX249" s="9"/>
      <c r="AY249" s="9"/>
      <c r="AZ249" s="39"/>
      <c r="BA249" s="39"/>
      <c r="BB249" s="39"/>
      <c r="BC249" s="39"/>
      <c r="BD249" s="39"/>
      <c r="BE249" s="12" t="str">
        <f aca="false">IF(A249="","",IF(COUNTIF(Rebar_Schedule!$A$5:$A$2004,A249)=0,"",ROUND(SUMIF(Rebar_Schedule!$A$5:$A$2004,A249,Rebar_Schedule!$K$5:$K$2004),1)))</f>
        <v/>
      </c>
      <c r="BF249" s="33" t="str">
        <f aca="false">IF(A249="","",IF(BE249="","No rebar schedule yet",IF(ABS(BE249-N(BA249))/MAX(N(BA249),1)&gt;SG_Criteria!$B$55,"NOTE: register rebar differs from schedule by "&amp;TEXT(ABS(BE249-N(BA249))/MAX(N(BA249),1),"0%"),"OK")))</f>
        <v/>
      </c>
      <c r="BG249" s="33" t="str">
        <f aca="false">IF(D249="","",IF(LEN(IF(AND(Z249&lt;&gt;"",IFERROR(VALUE(MID(Z249,2,2)),0)&lt;SG_Criteria!$B$19),"FAIL: grade below C"&amp;SG_Criteria!$B$19&amp;". ","")&amp;IF(AND(AA249&lt;&gt;"",AA249&lt;SG_Criteria!$B$20),"FAIL: cover &lt; "&amp;SG_Criteria!$B$20&amp;" mm. ","")&amp;IF(AND(I249&lt;&gt;"",I249&lt;SG_Criteria!$B$39),"NOTE: min depth below PUB "&amp;SG_Criteria!$B$39&amp;" m. ","")&amp;IF(AND(LEFT(D249,8)="Standard",J249&gt;SG_Criteria!$B$42),"FAIL: PUB 001C covers manholes up to "&amp;SG_Criteria!$B$42&amp;" m deep only. ","")&amp;IF(AND(LEFT(D249,11)="Rectangular",K249&lt;SG_Criteria!$B$43),"NOTE: 004C is for sewers &gt;= "&amp;SG_Criteria!$B$43&amp;" dia. ","")&amp;IF(AND(LEFT(D249,7)="Precast",J249&lt;=SG_Criteria!$B$42),"NOTE: 006C is for manholes &gt; "&amp;SG_Criteria!$B$42&amp;" m deep. ","")&amp;IF(AND(K249&lt;&gt;"",K249&lt;SG_Criteria!$B$40,D249&lt;&gt;"Inspection Chamber"),"NOTE: public sewer min dia "&amp;SG_Criteria!$B$40&amp;" mm. ","")&amp;IF(AND(Y249&lt;&gt;"",Y249&lt;SG_Criteria!$B$44),"FAIL: uplift FOS below "&amp;SG_Criteria!$B$44&amp;". ",""))=0,"OK",IF(AND(Z249&lt;&gt;"",IFERROR(VALUE(MID(Z249,2,2)),0)&lt;SG_Criteria!$B$19),"FAIL: grade below C"&amp;SG_Criteria!$B$19&amp;". ","")&amp;IF(AND(AA249&lt;&gt;"",AA249&lt;SG_Criteria!$B$20),"FAIL: cover &lt; "&amp;SG_Criteria!$B$20&amp;" mm. ","")&amp;IF(AND(I249&lt;&gt;"",I249&lt;SG_Criteria!$B$39),"NOTE: min depth below PUB "&amp;SG_Criteria!$B$39&amp;" m. ","")&amp;IF(AND(LEFT(D249,8)="Standard",J249&gt;SG_Criteria!$B$42),"FAIL: PUB 001C covers manholes up to "&amp;SG_Criteria!$B$42&amp;" m deep only. ","")&amp;IF(AND(LEFT(D249,11)="Rectangular",K249&lt;SG_Criteria!$B$43),"NOTE: 004C is for sewers &gt;= "&amp;SG_Criteria!$B$43&amp;" dia. ","")&amp;IF(AND(LEFT(D249,7)="Precast",J249&lt;=SG_Criteria!$B$42),"NOTE: 006C is for manholes &gt; "&amp;SG_Criteria!$B$42&amp;" m deep. ","")&amp;IF(AND(K249&lt;&gt;"",K249&lt;SG_Criteria!$B$40,D249&lt;&gt;"Inspection Chamber"),"NOTE: public sewer min dia "&amp;SG_Criteria!$B$40&amp;" mm. ","")&amp;IF(AND(Y249&lt;&gt;"",Y249&lt;SG_Criteria!$B$44),"FAIL: uplift FOS below "&amp;SG_Criteria!$B$44&amp;". ","")))</f>
        <v/>
      </c>
      <c r="BH249" s="9"/>
      <c r="BI249" s="9"/>
      <c r="BJ249" s="9"/>
      <c r="BK249" s="10" t="str">
        <f aca="false">IF(BJ249="","",IFERROR(VLOOKUP(BJ249,Projects!$A$5:$D$504,2,0),"Ref not in Projects"))</f>
        <v/>
      </c>
      <c r="BL249" s="10" t="str">
        <f aca="false">IF(BJ249="","",IFERROR(VLOOKUP(BJ249,Projects!$A$5:$D$504,4,0),"Ref not in Projects"))</f>
        <v/>
      </c>
      <c r="BM249" s="9"/>
      <c r="BN249" s="9"/>
      <c r="BO249" s="9"/>
      <c r="BP249" s="40"/>
      <c r="BQ249" s="9"/>
      <c r="BR249" s="40"/>
      <c r="BS249" s="9"/>
      <c r="BT249" s="40"/>
      <c r="BU249" s="9"/>
      <c r="BV249" s="9"/>
      <c r="BW249" s="9"/>
      <c r="BX249" s="40"/>
      <c r="BY249" s="40"/>
      <c r="BZ249" s="36" t="str">
        <f aca="false">IF(BY249="","",EDATE(BY249,SG_Criteria!$B$54*12))</f>
        <v/>
      </c>
      <c r="CA249" s="33" t="str">
        <f aca="true">IF(A249="","",IF(BY249="","NOTE: not reviewed yet",IF(TODAY()&gt;BZ249,"NOTE: review overdue","OK")))</f>
        <v/>
      </c>
      <c r="CB249" s="37" t="str">
        <f aca="false">IF(A249="","",ROUND((IF(LEN(D249)&gt;0,1,0)+IF(LEN(E249)&gt;0,1,0)+IF(LEN(F249)&gt;0,1,0)+IF(LEN(G249)&gt;0,1,0)+IF(LEN(I249)&gt;0,1,0)+IF(LEN(J249)&gt;0,1,0)+IF(LEN(K249)&gt;0,1,0)+IF(LEN(L249)&gt;0,1,0)+IF(LEN(M249)&gt;0,1,0)+IF(LEN(N249)&gt;0,1,0)+IF(LEN(Z249)&gt;0,1,0)+IF(LEN(AA249)&gt;0,1,0)+IF(LEN(Y249)&gt;0,1,0)+IF(LEN(AE249)&gt;0,1,0)+IF(LEN(AG249)&gt;0,1,0)+IF(LEN(AZ249)&gt;0,1,0)+IF(LEN(AK249)&gt;0,1,0)+IF(LEN(AM249)&gt;0,1,0)+IF(LEN(AN249)&gt;0,1,0)+IF(LEN(AO249)&gt;0,1,0)+IF(LEN(AP249)&gt;0,1,0)+IF(LEN(AY249)&gt;0,1,0)+IF(LEN(BJ249)&gt;0,1,0)+IF(LEN(BW249)&gt;0,1,0))/24,2))</f>
        <v/>
      </c>
      <c r="CC249" s="10" t="str">
        <f aca="false">IF(D249="","",IF(AND(AN249="Approved",ISERROR(SEARCH("FAIL",BG249))),"Y","N"))</f>
        <v/>
      </c>
      <c r="CD249" s="10" t="str">
        <f aca="false">IF(D249="","",D249&amp;"|"&amp;J249&amp;"|"&amp;G249&amp;"|"&amp;CC249)</f>
        <v/>
      </c>
    </row>
    <row r="250" customFormat="false" ht="15" hidden="false" customHeight="false" outlineLevel="0" collapsed="false">
      <c r="A250" s="10" t="str">
        <f aca="false">IF(D250="","","MH-"&amp;IFERROR(VLOOKUP(D250,Lists!$AB$4:$AC$20,2,0),"??")&amp;"-"&amp;TEXT(G250,"0000")&amp;IF(F250="Circular","D","x"&amp;TEXT(H250,"0000"))&amp;"-D"&amp;TEXT(J250*1000,"0000")&amp;"-"&amp;IFERROR(VLOOKUP(E250,Lists!$AE$4:$AF$16,2,0),"??")&amp;"-"&amp;AM250)</f>
        <v/>
      </c>
      <c r="B250" s="10" t="str">
        <f aca="false">IF(D250="","",D250&amp;", "&amp;E250&amp;", "&amp;IF(F250="Circular",G250&amp;" dia",G250&amp;" x "&amp;H250)&amp;", depth "&amp;TEXT(I250,"0.0")&amp;"-"&amp;TEXT(J250,"0.0")&amp;" m, pipe up to "&amp;K250&amp;" dia")</f>
        <v/>
      </c>
      <c r="C250" s="9"/>
      <c r="D250" s="9"/>
      <c r="E250" s="9"/>
      <c r="F250" s="9"/>
      <c r="G250" s="38"/>
      <c r="H250" s="38"/>
      <c r="I250" s="42"/>
      <c r="J250" s="42"/>
      <c r="K250" s="38"/>
      <c r="L250" s="38"/>
      <c r="M250" s="38"/>
      <c r="N250" s="38"/>
      <c r="O250" s="9"/>
      <c r="P250" s="9"/>
      <c r="Q250" s="9"/>
      <c r="R250" s="9"/>
      <c r="S250" s="9"/>
      <c r="T250" s="9"/>
      <c r="U250" s="9"/>
      <c r="V250" s="42"/>
      <c r="W250" s="9"/>
      <c r="X250" s="9"/>
      <c r="Y250" s="39"/>
      <c r="Z250" s="9"/>
      <c r="AA250" s="38"/>
      <c r="AB250" s="9"/>
      <c r="AC250" s="9"/>
      <c r="AD250" s="9"/>
      <c r="AE250" s="9"/>
      <c r="AF250" s="9"/>
      <c r="AG250" s="9"/>
      <c r="AH250" s="38"/>
      <c r="AI250" s="9"/>
      <c r="AJ250" s="39"/>
      <c r="AK250" s="9"/>
      <c r="AL250" s="9"/>
      <c r="AM250" s="9"/>
      <c r="AN250" s="9"/>
      <c r="AO250" s="9"/>
      <c r="AP250" s="9"/>
      <c r="AQ250" s="9"/>
      <c r="AR250" s="10" t="str">
        <f aca="false">IF(A250="","",SG_Criteria!$B$6&amp;SG_Criteria!$B$10&amp;"\"&amp;A250&amp;"\")</f>
        <v/>
      </c>
      <c r="AS250" s="10" t="str">
        <f aca="false">IF(A250="","",A250&amp;"_CAD.dwg")</f>
        <v/>
      </c>
      <c r="AT250" s="10" t="str">
        <f aca="false">IF(A250="","",A250&amp;"_DWG.pdf")</f>
        <v/>
      </c>
      <c r="AU250" s="10" t="str">
        <f aca="false">IF(A250="","",IF(AQ250="Y",A250&amp;"_STAAD.std","n/a"))</f>
        <v/>
      </c>
      <c r="AV250" s="10" t="str">
        <f aca="false">IF(A250="","",A250&amp;"_CALC.xlsx")</f>
        <v/>
      </c>
      <c r="AW250" s="10" t="str">
        <f aca="false">IF(A250="","",A250&amp;"_CALC.pdf")</f>
        <v/>
      </c>
      <c r="AX250" s="9"/>
      <c r="AY250" s="9"/>
      <c r="AZ250" s="39"/>
      <c r="BA250" s="39"/>
      <c r="BB250" s="39"/>
      <c r="BC250" s="39"/>
      <c r="BD250" s="39"/>
      <c r="BE250" s="12" t="str">
        <f aca="false">IF(A250="","",IF(COUNTIF(Rebar_Schedule!$A$5:$A$2004,A250)=0,"",ROUND(SUMIF(Rebar_Schedule!$A$5:$A$2004,A250,Rebar_Schedule!$K$5:$K$2004),1)))</f>
        <v/>
      </c>
      <c r="BF250" s="33" t="str">
        <f aca="false">IF(A250="","",IF(BE250="","No rebar schedule yet",IF(ABS(BE250-N(BA250))/MAX(N(BA250),1)&gt;SG_Criteria!$B$55,"NOTE: register rebar differs from schedule by "&amp;TEXT(ABS(BE250-N(BA250))/MAX(N(BA250),1),"0%"),"OK")))</f>
        <v/>
      </c>
      <c r="BG250" s="33" t="str">
        <f aca="false">IF(D250="","",IF(LEN(IF(AND(Z250&lt;&gt;"",IFERROR(VALUE(MID(Z250,2,2)),0)&lt;SG_Criteria!$B$19),"FAIL: grade below C"&amp;SG_Criteria!$B$19&amp;". ","")&amp;IF(AND(AA250&lt;&gt;"",AA250&lt;SG_Criteria!$B$20),"FAIL: cover &lt; "&amp;SG_Criteria!$B$20&amp;" mm. ","")&amp;IF(AND(I250&lt;&gt;"",I250&lt;SG_Criteria!$B$39),"NOTE: min depth below PUB "&amp;SG_Criteria!$B$39&amp;" m. ","")&amp;IF(AND(LEFT(D250,8)="Standard",J250&gt;SG_Criteria!$B$42),"FAIL: PUB 001C covers manholes up to "&amp;SG_Criteria!$B$42&amp;" m deep only. ","")&amp;IF(AND(LEFT(D250,11)="Rectangular",K250&lt;SG_Criteria!$B$43),"NOTE: 004C is for sewers &gt;= "&amp;SG_Criteria!$B$43&amp;" dia. ","")&amp;IF(AND(LEFT(D250,7)="Precast",J250&lt;=SG_Criteria!$B$42),"NOTE: 006C is for manholes &gt; "&amp;SG_Criteria!$B$42&amp;" m deep. ","")&amp;IF(AND(K250&lt;&gt;"",K250&lt;SG_Criteria!$B$40,D250&lt;&gt;"Inspection Chamber"),"NOTE: public sewer min dia "&amp;SG_Criteria!$B$40&amp;" mm. ","")&amp;IF(AND(Y250&lt;&gt;"",Y250&lt;SG_Criteria!$B$44),"FAIL: uplift FOS below "&amp;SG_Criteria!$B$44&amp;". ",""))=0,"OK",IF(AND(Z250&lt;&gt;"",IFERROR(VALUE(MID(Z250,2,2)),0)&lt;SG_Criteria!$B$19),"FAIL: grade below C"&amp;SG_Criteria!$B$19&amp;". ","")&amp;IF(AND(AA250&lt;&gt;"",AA250&lt;SG_Criteria!$B$20),"FAIL: cover &lt; "&amp;SG_Criteria!$B$20&amp;" mm. ","")&amp;IF(AND(I250&lt;&gt;"",I250&lt;SG_Criteria!$B$39),"NOTE: min depth below PUB "&amp;SG_Criteria!$B$39&amp;" m. ","")&amp;IF(AND(LEFT(D250,8)="Standard",J250&gt;SG_Criteria!$B$42),"FAIL: PUB 001C covers manholes up to "&amp;SG_Criteria!$B$42&amp;" m deep only. ","")&amp;IF(AND(LEFT(D250,11)="Rectangular",K250&lt;SG_Criteria!$B$43),"NOTE: 004C is for sewers &gt;= "&amp;SG_Criteria!$B$43&amp;" dia. ","")&amp;IF(AND(LEFT(D250,7)="Precast",J250&lt;=SG_Criteria!$B$42),"NOTE: 006C is for manholes &gt; "&amp;SG_Criteria!$B$42&amp;" m deep. ","")&amp;IF(AND(K250&lt;&gt;"",K250&lt;SG_Criteria!$B$40,D250&lt;&gt;"Inspection Chamber"),"NOTE: public sewer min dia "&amp;SG_Criteria!$B$40&amp;" mm. ","")&amp;IF(AND(Y250&lt;&gt;"",Y250&lt;SG_Criteria!$B$44),"FAIL: uplift FOS below "&amp;SG_Criteria!$B$44&amp;". ","")))</f>
        <v/>
      </c>
      <c r="BH250" s="9"/>
      <c r="BI250" s="9"/>
      <c r="BJ250" s="9"/>
      <c r="BK250" s="10" t="str">
        <f aca="false">IF(BJ250="","",IFERROR(VLOOKUP(BJ250,Projects!$A$5:$D$504,2,0),"Ref not in Projects"))</f>
        <v/>
      </c>
      <c r="BL250" s="10" t="str">
        <f aca="false">IF(BJ250="","",IFERROR(VLOOKUP(BJ250,Projects!$A$5:$D$504,4,0),"Ref not in Projects"))</f>
        <v/>
      </c>
      <c r="BM250" s="9"/>
      <c r="BN250" s="9"/>
      <c r="BO250" s="9"/>
      <c r="BP250" s="40"/>
      <c r="BQ250" s="9"/>
      <c r="BR250" s="40"/>
      <c r="BS250" s="9"/>
      <c r="BT250" s="40"/>
      <c r="BU250" s="9"/>
      <c r="BV250" s="9"/>
      <c r="BW250" s="9"/>
      <c r="BX250" s="40"/>
      <c r="BY250" s="40"/>
      <c r="BZ250" s="36" t="str">
        <f aca="false">IF(BY250="","",EDATE(BY250,SG_Criteria!$B$54*12))</f>
        <v/>
      </c>
      <c r="CA250" s="33" t="str">
        <f aca="true">IF(A250="","",IF(BY250="","NOTE: not reviewed yet",IF(TODAY()&gt;BZ250,"NOTE: review overdue","OK")))</f>
        <v/>
      </c>
      <c r="CB250" s="37" t="str">
        <f aca="false">IF(A250="","",ROUND((IF(LEN(D250)&gt;0,1,0)+IF(LEN(E250)&gt;0,1,0)+IF(LEN(F250)&gt;0,1,0)+IF(LEN(G250)&gt;0,1,0)+IF(LEN(I250)&gt;0,1,0)+IF(LEN(J250)&gt;0,1,0)+IF(LEN(K250)&gt;0,1,0)+IF(LEN(L250)&gt;0,1,0)+IF(LEN(M250)&gt;0,1,0)+IF(LEN(N250)&gt;0,1,0)+IF(LEN(Z250)&gt;0,1,0)+IF(LEN(AA250)&gt;0,1,0)+IF(LEN(Y250)&gt;0,1,0)+IF(LEN(AE250)&gt;0,1,0)+IF(LEN(AG250)&gt;0,1,0)+IF(LEN(AZ250)&gt;0,1,0)+IF(LEN(AK250)&gt;0,1,0)+IF(LEN(AM250)&gt;0,1,0)+IF(LEN(AN250)&gt;0,1,0)+IF(LEN(AO250)&gt;0,1,0)+IF(LEN(AP250)&gt;0,1,0)+IF(LEN(AY250)&gt;0,1,0)+IF(LEN(BJ250)&gt;0,1,0)+IF(LEN(BW250)&gt;0,1,0))/24,2))</f>
        <v/>
      </c>
      <c r="CC250" s="10" t="str">
        <f aca="false">IF(D250="","",IF(AND(AN250="Approved",ISERROR(SEARCH("FAIL",BG250))),"Y","N"))</f>
        <v/>
      </c>
      <c r="CD250" s="10" t="str">
        <f aca="false">IF(D250="","",D250&amp;"|"&amp;J250&amp;"|"&amp;G250&amp;"|"&amp;CC250)</f>
        <v/>
      </c>
    </row>
    <row r="251" customFormat="false" ht="15" hidden="false" customHeight="false" outlineLevel="0" collapsed="false">
      <c r="A251" s="10" t="str">
        <f aca="false">IF(D251="","","MH-"&amp;IFERROR(VLOOKUP(D251,Lists!$AB$4:$AC$20,2,0),"??")&amp;"-"&amp;TEXT(G251,"0000")&amp;IF(F251="Circular","D","x"&amp;TEXT(H251,"0000"))&amp;"-D"&amp;TEXT(J251*1000,"0000")&amp;"-"&amp;IFERROR(VLOOKUP(E251,Lists!$AE$4:$AF$16,2,0),"??")&amp;"-"&amp;AM251)</f>
        <v/>
      </c>
      <c r="B251" s="10" t="str">
        <f aca="false">IF(D251="","",D251&amp;", "&amp;E251&amp;", "&amp;IF(F251="Circular",G251&amp;" dia",G251&amp;" x "&amp;H251)&amp;", depth "&amp;TEXT(I251,"0.0")&amp;"-"&amp;TEXT(J251,"0.0")&amp;" m, pipe up to "&amp;K251&amp;" dia")</f>
        <v/>
      </c>
      <c r="C251" s="9"/>
      <c r="D251" s="9"/>
      <c r="E251" s="9"/>
      <c r="F251" s="9"/>
      <c r="G251" s="38"/>
      <c r="H251" s="38"/>
      <c r="I251" s="42"/>
      <c r="J251" s="42"/>
      <c r="K251" s="38"/>
      <c r="L251" s="38"/>
      <c r="M251" s="38"/>
      <c r="N251" s="38"/>
      <c r="O251" s="9"/>
      <c r="P251" s="9"/>
      <c r="Q251" s="9"/>
      <c r="R251" s="9"/>
      <c r="S251" s="9"/>
      <c r="T251" s="9"/>
      <c r="U251" s="9"/>
      <c r="V251" s="42"/>
      <c r="W251" s="9"/>
      <c r="X251" s="9"/>
      <c r="Y251" s="39"/>
      <c r="Z251" s="9"/>
      <c r="AA251" s="38"/>
      <c r="AB251" s="9"/>
      <c r="AC251" s="9"/>
      <c r="AD251" s="9"/>
      <c r="AE251" s="9"/>
      <c r="AF251" s="9"/>
      <c r="AG251" s="9"/>
      <c r="AH251" s="38"/>
      <c r="AI251" s="9"/>
      <c r="AJ251" s="39"/>
      <c r="AK251" s="9"/>
      <c r="AL251" s="9"/>
      <c r="AM251" s="9"/>
      <c r="AN251" s="9"/>
      <c r="AO251" s="9"/>
      <c r="AP251" s="9"/>
      <c r="AQ251" s="9"/>
      <c r="AR251" s="10" t="str">
        <f aca="false">IF(A251="","",SG_Criteria!$B$6&amp;SG_Criteria!$B$10&amp;"\"&amp;A251&amp;"\")</f>
        <v/>
      </c>
      <c r="AS251" s="10" t="str">
        <f aca="false">IF(A251="","",A251&amp;"_CAD.dwg")</f>
        <v/>
      </c>
      <c r="AT251" s="10" t="str">
        <f aca="false">IF(A251="","",A251&amp;"_DWG.pdf")</f>
        <v/>
      </c>
      <c r="AU251" s="10" t="str">
        <f aca="false">IF(A251="","",IF(AQ251="Y",A251&amp;"_STAAD.std","n/a"))</f>
        <v/>
      </c>
      <c r="AV251" s="10" t="str">
        <f aca="false">IF(A251="","",A251&amp;"_CALC.xlsx")</f>
        <v/>
      </c>
      <c r="AW251" s="10" t="str">
        <f aca="false">IF(A251="","",A251&amp;"_CALC.pdf")</f>
        <v/>
      </c>
      <c r="AX251" s="9"/>
      <c r="AY251" s="9"/>
      <c r="AZ251" s="39"/>
      <c r="BA251" s="39"/>
      <c r="BB251" s="39"/>
      <c r="BC251" s="39"/>
      <c r="BD251" s="39"/>
      <c r="BE251" s="12" t="str">
        <f aca="false">IF(A251="","",IF(COUNTIF(Rebar_Schedule!$A$5:$A$2004,A251)=0,"",ROUND(SUMIF(Rebar_Schedule!$A$5:$A$2004,A251,Rebar_Schedule!$K$5:$K$2004),1)))</f>
        <v/>
      </c>
      <c r="BF251" s="33" t="str">
        <f aca="false">IF(A251="","",IF(BE251="","No rebar schedule yet",IF(ABS(BE251-N(BA251))/MAX(N(BA251),1)&gt;SG_Criteria!$B$55,"NOTE: register rebar differs from schedule by "&amp;TEXT(ABS(BE251-N(BA251))/MAX(N(BA251),1),"0%"),"OK")))</f>
        <v/>
      </c>
      <c r="BG251" s="33" t="str">
        <f aca="false">IF(D251="","",IF(LEN(IF(AND(Z251&lt;&gt;"",IFERROR(VALUE(MID(Z251,2,2)),0)&lt;SG_Criteria!$B$19),"FAIL: grade below C"&amp;SG_Criteria!$B$19&amp;". ","")&amp;IF(AND(AA251&lt;&gt;"",AA251&lt;SG_Criteria!$B$20),"FAIL: cover &lt; "&amp;SG_Criteria!$B$20&amp;" mm. ","")&amp;IF(AND(I251&lt;&gt;"",I251&lt;SG_Criteria!$B$39),"NOTE: min depth below PUB "&amp;SG_Criteria!$B$39&amp;" m. ","")&amp;IF(AND(LEFT(D251,8)="Standard",J251&gt;SG_Criteria!$B$42),"FAIL: PUB 001C covers manholes up to "&amp;SG_Criteria!$B$42&amp;" m deep only. ","")&amp;IF(AND(LEFT(D251,11)="Rectangular",K251&lt;SG_Criteria!$B$43),"NOTE: 004C is for sewers &gt;= "&amp;SG_Criteria!$B$43&amp;" dia. ","")&amp;IF(AND(LEFT(D251,7)="Precast",J251&lt;=SG_Criteria!$B$42),"NOTE: 006C is for manholes &gt; "&amp;SG_Criteria!$B$42&amp;" m deep. ","")&amp;IF(AND(K251&lt;&gt;"",K251&lt;SG_Criteria!$B$40,D251&lt;&gt;"Inspection Chamber"),"NOTE: public sewer min dia "&amp;SG_Criteria!$B$40&amp;" mm. ","")&amp;IF(AND(Y251&lt;&gt;"",Y251&lt;SG_Criteria!$B$44),"FAIL: uplift FOS below "&amp;SG_Criteria!$B$44&amp;". ",""))=0,"OK",IF(AND(Z251&lt;&gt;"",IFERROR(VALUE(MID(Z251,2,2)),0)&lt;SG_Criteria!$B$19),"FAIL: grade below C"&amp;SG_Criteria!$B$19&amp;". ","")&amp;IF(AND(AA251&lt;&gt;"",AA251&lt;SG_Criteria!$B$20),"FAIL: cover &lt; "&amp;SG_Criteria!$B$20&amp;" mm. ","")&amp;IF(AND(I251&lt;&gt;"",I251&lt;SG_Criteria!$B$39),"NOTE: min depth below PUB "&amp;SG_Criteria!$B$39&amp;" m. ","")&amp;IF(AND(LEFT(D251,8)="Standard",J251&gt;SG_Criteria!$B$42),"FAIL: PUB 001C covers manholes up to "&amp;SG_Criteria!$B$42&amp;" m deep only. ","")&amp;IF(AND(LEFT(D251,11)="Rectangular",K251&lt;SG_Criteria!$B$43),"NOTE: 004C is for sewers &gt;= "&amp;SG_Criteria!$B$43&amp;" dia. ","")&amp;IF(AND(LEFT(D251,7)="Precast",J251&lt;=SG_Criteria!$B$42),"NOTE: 006C is for manholes &gt; "&amp;SG_Criteria!$B$42&amp;" m deep. ","")&amp;IF(AND(K251&lt;&gt;"",K251&lt;SG_Criteria!$B$40,D251&lt;&gt;"Inspection Chamber"),"NOTE: public sewer min dia "&amp;SG_Criteria!$B$40&amp;" mm. ","")&amp;IF(AND(Y251&lt;&gt;"",Y251&lt;SG_Criteria!$B$44),"FAIL: uplift FOS below "&amp;SG_Criteria!$B$44&amp;". ","")))</f>
        <v/>
      </c>
      <c r="BH251" s="9"/>
      <c r="BI251" s="9"/>
      <c r="BJ251" s="9"/>
      <c r="BK251" s="10" t="str">
        <f aca="false">IF(BJ251="","",IFERROR(VLOOKUP(BJ251,Projects!$A$5:$D$504,2,0),"Ref not in Projects"))</f>
        <v/>
      </c>
      <c r="BL251" s="10" t="str">
        <f aca="false">IF(BJ251="","",IFERROR(VLOOKUP(BJ251,Projects!$A$5:$D$504,4,0),"Ref not in Projects"))</f>
        <v/>
      </c>
      <c r="BM251" s="9"/>
      <c r="BN251" s="9"/>
      <c r="BO251" s="9"/>
      <c r="BP251" s="40"/>
      <c r="BQ251" s="9"/>
      <c r="BR251" s="40"/>
      <c r="BS251" s="9"/>
      <c r="BT251" s="40"/>
      <c r="BU251" s="9"/>
      <c r="BV251" s="9"/>
      <c r="BW251" s="9"/>
      <c r="BX251" s="40"/>
      <c r="BY251" s="40"/>
      <c r="BZ251" s="36" t="str">
        <f aca="false">IF(BY251="","",EDATE(BY251,SG_Criteria!$B$54*12))</f>
        <v/>
      </c>
      <c r="CA251" s="33" t="str">
        <f aca="true">IF(A251="","",IF(BY251="","NOTE: not reviewed yet",IF(TODAY()&gt;BZ251,"NOTE: review overdue","OK")))</f>
        <v/>
      </c>
      <c r="CB251" s="37" t="str">
        <f aca="false">IF(A251="","",ROUND((IF(LEN(D251)&gt;0,1,0)+IF(LEN(E251)&gt;0,1,0)+IF(LEN(F251)&gt;0,1,0)+IF(LEN(G251)&gt;0,1,0)+IF(LEN(I251)&gt;0,1,0)+IF(LEN(J251)&gt;0,1,0)+IF(LEN(K251)&gt;0,1,0)+IF(LEN(L251)&gt;0,1,0)+IF(LEN(M251)&gt;0,1,0)+IF(LEN(N251)&gt;0,1,0)+IF(LEN(Z251)&gt;0,1,0)+IF(LEN(AA251)&gt;0,1,0)+IF(LEN(Y251)&gt;0,1,0)+IF(LEN(AE251)&gt;0,1,0)+IF(LEN(AG251)&gt;0,1,0)+IF(LEN(AZ251)&gt;0,1,0)+IF(LEN(AK251)&gt;0,1,0)+IF(LEN(AM251)&gt;0,1,0)+IF(LEN(AN251)&gt;0,1,0)+IF(LEN(AO251)&gt;0,1,0)+IF(LEN(AP251)&gt;0,1,0)+IF(LEN(AY251)&gt;0,1,0)+IF(LEN(BJ251)&gt;0,1,0)+IF(LEN(BW251)&gt;0,1,0))/24,2))</f>
        <v/>
      </c>
      <c r="CC251" s="10" t="str">
        <f aca="false">IF(D251="","",IF(AND(AN251="Approved",ISERROR(SEARCH("FAIL",BG251))),"Y","N"))</f>
        <v/>
      </c>
      <c r="CD251" s="10" t="str">
        <f aca="false">IF(D251="","",D251&amp;"|"&amp;J251&amp;"|"&amp;G251&amp;"|"&amp;CC251)</f>
        <v/>
      </c>
    </row>
    <row r="252" customFormat="false" ht="15" hidden="false" customHeight="false" outlineLevel="0" collapsed="false">
      <c r="A252" s="10" t="str">
        <f aca="false">IF(D252="","","MH-"&amp;IFERROR(VLOOKUP(D252,Lists!$AB$4:$AC$20,2,0),"??")&amp;"-"&amp;TEXT(G252,"0000")&amp;IF(F252="Circular","D","x"&amp;TEXT(H252,"0000"))&amp;"-D"&amp;TEXT(J252*1000,"0000")&amp;"-"&amp;IFERROR(VLOOKUP(E252,Lists!$AE$4:$AF$16,2,0),"??")&amp;"-"&amp;AM252)</f>
        <v/>
      </c>
      <c r="B252" s="10" t="str">
        <f aca="false">IF(D252="","",D252&amp;", "&amp;E252&amp;", "&amp;IF(F252="Circular",G252&amp;" dia",G252&amp;" x "&amp;H252)&amp;", depth "&amp;TEXT(I252,"0.0")&amp;"-"&amp;TEXT(J252,"0.0")&amp;" m, pipe up to "&amp;K252&amp;" dia")</f>
        <v/>
      </c>
      <c r="C252" s="9"/>
      <c r="D252" s="9"/>
      <c r="E252" s="9"/>
      <c r="F252" s="9"/>
      <c r="G252" s="38"/>
      <c r="H252" s="38"/>
      <c r="I252" s="42"/>
      <c r="J252" s="42"/>
      <c r="K252" s="38"/>
      <c r="L252" s="38"/>
      <c r="M252" s="38"/>
      <c r="N252" s="38"/>
      <c r="O252" s="9"/>
      <c r="P252" s="9"/>
      <c r="Q252" s="9"/>
      <c r="R252" s="9"/>
      <c r="S252" s="9"/>
      <c r="T252" s="9"/>
      <c r="U252" s="9"/>
      <c r="V252" s="42"/>
      <c r="W252" s="9"/>
      <c r="X252" s="9"/>
      <c r="Y252" s="39"/>
      <c r="Z252" s="9"/>
      <c r="AA252" s="38"/>
      <c r="AB252" s="9"/>
      <c r="AC252" s="9"/>
      <c r="AD252" s="9"/>
      <c r="AE252" s="9"/>
      <c r="AF252" s="9"/>
      <c r="AG252" s="9"/>
      <c r="AH252" s="38"/>
      <c r="AI252" s="9"/>
      <c r="AJ252" s="39"/>
      <c r="AK252" s="9"/>
      <c r="AL252" s="9"/>
      <c r="AM252" s="9"/>
      <c r="AN252" s="9"/>
      <c r="AO252" s="9"/>
      <c r="AP252" s="9"/>
      <c r="AQ252" s="9"/>
      <c r="AR252" s="10" t="str">
        <f aca="false">IF(A252="","",SG_Criteria!$B$6&amp;SG_Criteria!$B$10&amp;"\"&amp;A252&amp;"\")</f>
        <v/>
      </c>
      <c r="AS252" s="10" t="str">
        <f aca="false">IF(A252="","",A252&amp;"_CAD.dwg")</f>
        <v/>
      </c>
      <c r="AT252" s="10" t="str">
        <f aca="false">IF(A252="","",A252&amp;"_DWG.pdf")</f>
        <v/>
      </c>
      <c r="AU252" s="10" t="str">
        <f aca="false">IF(A252="","",IF(AQ252="Y",A252&amp;"_STAAD.std","n/a"))</f>
        <v/>
      </c>
      <c r="AV252" s="10" t="str">
        <f aca="false">IF(A252="","",A252&amp;"_CALC.xlsx")</f>
        <v/>
      </c>
      <c r="AW252" s="10" t="str">
        <f aca="false">IF(A252="","",A252&amp;"_CALC.pdf")</f>
        <v/>
      </c>
      <c r="AX252" s="9"/>
      <c r="AY252" s="9"/>
      <c r="AZ252" s="39"/>
      <c r="BA252" s="39"/>
      <c r="BB252" s="39"/>
      <c r="BC252" s="39"/>
      <c r="BD252" s="39"/>
      <c r="BE252" s="12" t="str">
        <f aca="false">IF(A252="","",IF(COUNTIF(Rebar_Schedule!$A$5:$A$2004,A252)=0,"",ROUND(SUMIF(Rebar_Schedule!$A$5:$A$2004,A252,Rebar_Schedule!$K$5:$K$2004),1)))</f>
        <v/>
      </c>
      <c r="BF252" s="33" t="str">
        <f aca="false">IF(A252="","",IF(BE252="","No rebar schedule yet",IF(ABS(BE252-N(BA252))/MAX(N(BA252),1)&gt;SG_Criteria!$B$55,"NOTE: register rebar differs from schedule by "&amp;TEXT(ABS(BE252-N(BA252))/MAX(N(BA252),1),"0%"),"OK")))</f>
        <v/>
      </c>
      <c r="BG252" s="33" t="str">
        <f aca="false">IF(D252="","",IF(LEN(IF(AND(Z252&lt;&gt;"",IFERROR(VALUE(MID(Z252,2,2)),0)&lt;SG_Criteria!$B$19),"FAIL: grade below C"&amp;SG_Criteria!$B$19&amp;". ","")&amp;IF(AND(AA252&lt;&gt;"",AA252&lt;SG_Criteria!$B$20),"FAIL: cover &lt; "&amp;SG_Criteria!$B$20&amp;" mm. ","")&amp;IF(AND(I252&lt;&gt;"",I252&lt;SG_Criteria!$B$39),"NOTE: min depth below PUB "&amp;SG_Criteria!$B$39&amp;" m. ","")&amp;IF(AND(LEFT(D252,8)="Standard",J252&gt;SG_Criteria!$B$42),"FAIL: PUB 001C covers manholes up to "&amp;SG_Criteria!$B$42&amp;" m deep only. ","")&amp;IF(AND(LEFT(D252,11)="Rectangular",K252&lt;SG_Criteria!$B$43),"NOTE: 004C is for sewers &gt;= "&amp;SG_Criteria!$B$43&amp;" dia. ","")&amp;IF(AND(LEFT(D252,7)="Precast",J252&lt;=SG_Criteria!$B$42),"NOTE: 006C is for manholes &gt; "&amp;SG_Criteria!$B$42&amp;" m deep. ","")&amp;IF(AND(K252&lt;&gt;"",K252&lt;SG_Criteria!$B$40,D252&lt;&gt;"Inspection Chamber"),"NOTE: public sewer min dia "&amp;SG_Criteria!$B$40&amp;" mm. ","")&amp;IF(AND(Y252&lt;&gt;"",Y252&lt;SG_Criteria!$B$44),"FAIL: uplift FOS below "&amp;SG_Criteria!$B$44&amp;". ",""))=0,"OK",IF(AND(Z252&lt;&gt;"",IFERROR(VALUE(MID(Z252,2,2)),0)&lt;SG_Criteria!$B$19),"FAIL: grade below C"&amp;SG_Criteria!$B$19&amp;". ","")&amp;IF(AND(AA252&lt;&gt;"",AA252&lt;SG_Criteria!$B$20),"FAIL: cover &lt; "&amp;SG_Criteria!$B$20&amp;" mm. ","")&amp;IF(AND(I252&lt;&gt;"",I252&lt;SG_Criteria!$B$39),"NOTE: min depth below PUB "&amp;SG_Criteria!$B$39&amp;" m. ","")&amp;IF(AND(LEFT(D252,8)="Standard",J252&gt;SG_Criteria!$B$42),"FAIL: PUB 001C covers manholes up to "&amp;SG_Criteria!$B$42&amp;" m deep only. ","")&amp;IF(AND(LEFT(D252,11)="Rectangular",K252&lt;SG_Criteria!$B$43),"NOTE: 004C is for sewers &gt;= "&amp;SG_Criteria!$B$43&amp;" dia. ","")&amp;IF(AND(LEFT(D252,7)="Precast",J252&lt;=SG_Criteria!$B$42),"NOTE: 006C is for manholes &gt; "&amp;SG_Criteria!$B$42&amp;" m deep. ","")&amp;IF(AND(K252&lt;&gt;"",K252&lt;SG_Criteria!$B$40,D252&lt;&gt;"Inspection Chamber"),"NOTE: public sewer min dia "&amp;SG_Criteria!$B$40&amp;" mm. ","")&amp;IF(AND(Y252&lt;&gt;"",Y252&lt;SG_Criteria!$B$44),"FAIL: uplift FOS below "&amp;SG_Criteria!$B$44&amp;". ","")))</f>
        <v/>
      </c>
      <c r="BH252" s="9"/>
      <c r="BI252" s="9"/>
      <c r="BJ252" s="9"/>
      <c r="BK252" s="10" t="str">
        <f aca="false">IF(BJ252="","",IFERROR(VLOOKUP(BJ252,Projects!$A$5:$D$504,2,0),"Ref not in Projects"))</f>
        <v/>
      </c>
      <c r="BL252" s="10" t="str">
        <f aca="false">IF(BJ252="","",IFERROR(VLOOKUP(BJ252,Projects!$A$5:$D$504,4,0),"Ref not in Projects"))</f>
        <v/>
      </c>
      <c r="BM252" s="9"/>
      <c r="BN252" s="9"/>
      <c r="BO252" s="9"/>
      <c r="BP252" s="40"/>
      <c r="BQ252" s="9"/>
      <c r="BR252" s="40"/>
      <c r="BS252" s="9"/>
      <c r="BT252" s="40"/>
      <c r="BU252" s="9"/>
      <c r="BV252" s="9"/>
      <c r="BW252" s="9"/>
      <c r="BX252" s="40"/>
      <c r="BY252" s="40"/>
      <c r="BZ252" s="36" t="str">
        <f aca="false">IF(BY252="","",EDATE(BY252,SG_Criteria!$B$54*12))</f>
        <v/>
      </c>
      <c r="CA252" s="33" t="str">
        <f aca="true">IF(A252="","",IF(BY252="","NOTE: not reviewed yet",IF(TODAY()&gt;BZ252,"NOTE: review overdue","OK")))</f>
        <v/>
      </c>
      <c r="CB252" s="37" t="str">
        <f aca="false">IF(A252="","",ROUND((IF(LEN(D252)&gt;0,1,0)+IF(LEN(E252)&gt;0,1,0)+IF(LEN(F252)&gt;0,1,0)+IF(LEN(G252)&gt;0,1,0)+IF(LEN(I252)&gt;0,1,0)+IF(LEN(J252)&gt;0,1,0)+IF(LEN(K252)&gt;0,1,0)+IF(LEN(L252)&gt;0,1,0)+IF(LEN(M252)&gt;0,1,0)+IF(LEN(N252)&gt;0,1,0)+IF(LEN(Z252)&gt;0,1,0)+IF(LEN(AA252)&gt;0,1,0)+IF(LEN(Y252)&gt;0,1,0)+IF(LEN(AE252)&gt;0,1,0)+IF(LEN(AG252)&gt;0,1,0)+IF(LEN(AZ252)&gt;0,1,0)+IF(LEN(AK252)&gt;0,1,0)+IF(LEN(AM252)&gt;0,1,0)+IF(LEN(AN252)&gt;0,1,0)+IF(LEN(AO252)&gt;0,1,0)+IF(LEN(AP252)&gt;0,1,0)+IF(LEN(AY252)&gt;0,1,0)+IF(LEN(BJ252)&gt;0,1,0)+IF(LEN(BW252)&gt;0,1,0))/24,2))</f>
        <v/>
      </c>
      <c r="CC252" s="10" t="str">
        <f aca="false">IF(D252="","",IF(AND(AN252="Approved",ISERROR(SEARCH("FAIL",BG252))),"Y","N"))</f>
        <v/>
      </c>
      <c r="CD252" s="10" t="str">
        <f aca="false">IF(D252="","",D252&amp;"|"&amp;J252&amp;"|"&amp;G252&amp;"|"&amp;CC252)</f>
        <v/>
      </c>
    </row>
    <row r="253" customFormat="false" ht="15" hidden="false" customHeight="false" outlineLevel="0" collapsed="false">
      <c r="A253" s="10" t="str">
        <f aca="false">IF(D253="","","MH-"&amp;IFERROR(VLOOKUP(D253,Lists!$AB$4:$AC$20,2,0),"??")&amp;"-"&amp;TEXT(G253,"0000")&amp;IF(F253="Circular","D","x"&amp;TEXT(H253,"0000"))&amp;"-D"&amp;TEXT(J253*1000,"0000")&amp;"-"&amp;IFERROR(VLOOKUP(E253,Lists!$AE$4:$AF$16,2,0),"??")&amp;"-"&amp;AM253)</f>
        <v/>
      </c>
      <c r="B253" s="10" t="str">
        <f aca="false">IF(D253="","",D253&amp;", "&amp;E253&amp;", "&amp;IF(F253="Circular",G253&amp;" dia",G253&amp;" x "&amp;H253)&amp;", depth "&amp;TEXT(I253,"0.0")&amp;"-"&amp;TEXT(J253,"0.0")&amp;" m, pipe up to "&amp;K253&amp;" dia")</f>
        <v/>
      </c>
      <c r="C253" s="9"/>
      <c r="D253" s="9"/>
      <c r="E253" s="9"/>
      <c r="F253" s="9"/>
      <c r="G253" s="38"/>
      <c r="H253" s="38"/>
      <c r="I253" s="42"/>
      <c r="J253" s="42"/>
      <c r="K253" s="38"/>
      <c r="L253" s="38"/>
      <c r="M253" s="38"/>
      <c r="N253" s="38"/>
      <c r="O253" s="9"/>
      <c r="P253" s="9"/>
      <c r="Q253" s="9"/>
      <c r="R253" s="9"/>
      <c r="S253" s="9"/>
      <c r="T253" s="9"/>
      <c r="U253" s="9"/>
      <c r="V253" s="42"/>
      <c r="W253" s="9"/>
      <c r="X253" s="9"/>
      <c r="Y253" s="39"/>
      <c r="Z253" s="9"/>
      <c r="AA253" s="38"/>
      <c r="AB253" s="9"/>
      <c r="AC253" s="9"/>
      <c r="AD253" s="9"/>
      <c r="AE253" s="9"/>
      <c r="AF253" s="9"/>
      <c r="AG253" s="9"/>
      <c r="AH253" s="38"/>
      <c r="AI253" s="9"/>
      <c r="AJ253" s="39"/>
      <c r="AK253" s="9"/>
      <c r="AL253" s="9"/>
      <c r="AM253" s="9"/>
      <c r="AN253" s="9"/>
      <c r="AO253" s="9"/>
      <c r="AP253" s="9"/>
      <c r="AQ253" s="9"/>
      <c r="AR253" s="10" t="str">
        <f aca="false">IF(A253="","",SG_Criteria!$B$6&amp;SG_Criteria!$B$10&amp;"\"&amp;A253&amp;"\")</f>
        <v/>
      </c>
      <c r="AS253" s="10" t="str">
        <f aca="false">IF(A253="","",A253&amp;"_CAD.dwg")</f>
        <v/>
      </c>
      <c r="AT253" s="10" t="str">
        <f aca="false">IF(A253="","",A253&amp;"_DWG.pdf")</f>
        <v/>
      </c>
      <c r="AU253" s="10" t="str">
        <f aca="false">IF(A253="","",IF(AQ253="Y",A253&amp;"_STAAD.std","n/a"))</f>
        <v/>
      </c>
      <c r="AV253" s="10" t="str">
        <f aca="false">IF(A253="","",A253&amp;"_CALC.xlsx")</f>
        <v/>
      </c>
      <c r="AW253" s="10" t="str">
        <f aca="false">IF(A253="","",A253&amp;"_CALC.pdf")</f>
        <v/>
      </c>
      <c r="AX253" s="9"/>
      <c r="AY253" s="9"/>
      <c r="AZ253" s="39"/>
      <c r="BA253" s="39"/>
      <c r="BB253" s="39"/>
      <c r="BC253" s="39"/>
      <c r="BD253" s="39"/>
      <c r="BE253" s="12" t="str">
        <f aca="false">IF(A253="","",IF(COUNTIF(Rebar_Schedule!$A$5:$A$2004,A253)=0,"",ROUND(SUMIF(Rebar_Schedule!$A$5:$A$2004,A253,Rebar_Schedule!$K$5:$K$2004),1)))</f>
        <v/>
      </c>
      <c r="BF253" s="33" t="str">
        <f aca="false">IF(A253="","",IF(BE253="","No rebar schedule yet",IF(ABS(BE253-N(BA253))/MAX(N(BA253),1)&gt;SG_Criteria!$B$55,"NOTE: register rebar differs from schedule by "&amp;TEXT(ABS(BE253-N(BA253))/MAX(N(BA253),1),"0%"),"OK")))</f>
        <v/>
      </c>
      <c r="BG253" s="33" t="str">
        <f aca="false">IF(D253="","",IF(LEN(IF(AND(Z253&lt;&gt;"",IFERROR(VALUE(MID(Z253,2,2)),0)&lt;SG_Criteria!$B$19),"FAIL: grade below C"&amp;SG_Criteria!$B$19&amp;". ","")&amp;IF(AND(AA253&lt;&gt;"",AA253&lt;SG_Criteria!$B$20),"FAIL: cover &lt; "&amp;SG_Criteria!$B$20&amp;" mm. ","")&amp;IF(AND(I253&lt;&gt;"",I253&lt;SG_Criteria!$B$39),"NOTE: min depth below PUB "&amp;SG_Criteria!$B$39&amp;" m. ","")&amp;IF(AND(LEFT(D253,8)="Standard",J253&gt;SG_Criteria!$B$42),"FAIL: PUB 001C covers manholes up to "&amp;SG_Criteria!$B$42&amp;" m deep only. ","")&amp;IF(AND(LEFT(D253,11)="Rectangular",K253&lt;SG_Criteria!$B$43),"NOTE: 004C is for sewers &gt;= "&amp;SG_Criteria!$B$43&amp;" dia. ","")&amp;IF(AND(LEFT(D253,7)="Precast",J253&lt;=SG_Criteria!$B$42),"NOTE: 006C is for manholes &gt; "&amp;SG_Criteria!$B$42&amp;" m deep. ","")&amp;IF(AND(K253&lt;&gt;"",K253&lt;SG_Criteria!$B$40,D253&lt;&gt;"Inspection Chamber"),"NOTE: public sewer min dia "&amp;SG_Criteria!$B$40&amp;" mm. ","")&amp;IF(AND(Y253&lt;&gt;"",Y253&lt;SG_Criteria!$B$44),"FAIL: uplift FOS below "&amp;SG_Criteria!$B$44&amp;". ",""))=0,"OK",IF(AND(Z253&lt;&gt;"",IFERROR(VALUE(MID(Z253,2,2)),0)&lt;SG_Criteria!$B$19),"FAIL: grade below C"&amp;SG_Criteria!$B$19&amp;". ","")&amp;IF(AND(AA253&lt;&gt;"",AA253&lt;SG_Criteria!$B$20),"FAIL: cover &lt; "&amp;SG_Criteria!$B$20&amp;" mm. ","")&amp;IF(AND(I253&lt;&gt;"",I253&lt;SG_Criteria!$B$39),"NOTE: min depth below PUB "&amp;SG_Criteria!$B$39&amp;" m. ","")&amp;IF(AND(LEFT(D253,8)="Standard",J253&gt;SG_Criteria!$B$42),"FAIL: PUB 001C covers manholes up to "&amp;SG_Criteria!$B$42&amp;" m deep only. ","")&amp;IF(AND(LEFT(D253,11)="Rectangular",K253&lt;SG_Criteria!$B$43),"NOTE: 004C is for sewers &gt;= "&amp;SG_Criteria!$B$43&amp;" dia. ","")&amp;IF(AND(LEFT(D253,7)="Precast",J253&lt;=SG_Criteria!$B$42),"NOTE: 006C is for manholes &gt; "&amp;SG_Criteria!$B$42&amp;" m deep. ","")&amp;IF(AND(K253&lt;&gt;"",K253&lt;SG_Criteria!$B$40,D253&lt;&gt;"Inspection Chamber"),"NOTE: public sewer min dia "&amp;SG_Criteria!$B$40&amp;" mm. ","")&amp;IF(AND(Y253&lt;&gt;"",Y253&lt;SG_Criteria!$B$44),"FAIL: uplift FOS below "&amp;SG_Criteria!$B$44&amp;". ","")))</f>
        <v/>
      </c>
      <c r="BH253" s="9"/>
      <c r="BI253" s="9"/>
      <c r="BJ253" s="9"/>
      <c r="BK253" s="10" t="str">
        <f aca="false">IF(BJ253="","",IFERROR(VLOOKUP(BJ253,Projects!$A$5:$D$504,2,0),"Ref not in Projects"))</f>
        <v/>
      </c>
      <c r="BL253" s="10" t="str">
        <f aca="false">IF(BJ253="","",IFERROR(VLOOKUP(BJ253,Projects!$A$5:$D$504,4,0),"Ref not in Projects"))</f>
        <v/>
      </c>
      <c r="BM253" s="9"/>
      <c r="BN253" s="9"/>
      <c r="BO253" s="9"/>
      <c r="BP253" s="40"/>
      <c r="BQ253" s="9"/>
      <c r="BR253" s="40"/>
      <c r="BS253" s="9"/>
      <c r="BT253" s="40"/>
      <c r="BU253" s="9"/>
      <c r="BV253" s="9"/>
      <c r="BW253" s="9"/>
      <c r="BX253" s="40"/>
      <c r="BY253" s="40"/>
      <c r="BZ253" s="36" t="str">
        <f aca="false">IF(BY253="","",EDATE(BY253,SG_Criteria!$B$54*12))</f>
        <v/>
      </c>
      <c r="CA253" s="33" t="str">
        <f aca="true">IF(A253="","",IF(BY253="","NOTE: not reviewed yet",IF(TODAY()&gt;BZ253,"NOTE: review overdue","OK")))</f>
        <v/>
      </c>
      <c r="CB253" s="37" t="str">
        <f aca="false">IF(A253="","",ROUND((IF(LEN(D253)&gt;0,1,0)+IF(LEN(E253)&gt;0,1,0)+IF(LEN(F253)&gt;0,1,0)+IF(LEN(G253)&gt;0,1,0)+IF(LEN(I253)&gt;0,1,0)+IF(LEN(J253)&gt;0,1,0)+IF(LEN(K253)&gt;0,1,0)+IF(LEN(L253)&gt;0,1,0)+IF(LEN(M253)&gt;0,1,0)+IF(LEN(N253)&gt;0,1,0)+IF(LEN(Z253)&gt;0,1,0)+IF(LEN(AA253)&gt;0,1,0)+IF(LEN(Y253)&gt;0,1,0)+IF(LEN(AE253)&gt;0,1,0)+IF(LEN(AG253)&gt;0,1,0)+IF(LEN(AZ253)&gt;0,1,0)+IF(LEN(AK253)&gt;0,1,0)+IF(LEN(AM253)&gt;0,1,0)+IF(LEN(AN253)&gt;0,1,0)+IF(LEN(AO253)&gt;0,1,0)+IF(LEN(AP253)&gt;0,1,0)+IF(LEN(AY253)&gt;0,1,0)+IF(LEN(BJ253)&gt;0,1,0)+IF(LEN(BW253)&gt;0,1,0))/24,2))</f>
        <v/>
      </c>
      <c r="CC253" s="10" t="str">
        <f aca="false">IF(D253="","",IF(AND(AN253="Approved",ISERROR(SEARCH("FAIL",BG253))),"Y","N"))</f>
        <v/>
      </c>
      <c r="CD253" s="10" t="str">
        <f aca="false">IF(D253="","",D253&amp;"|"&amp;J253&amp;"|"&amp;G253&amp;"|"&amp;CC253)</f>
        <v/>
      </c>
    </row>
    <row r="254" customFormat="false" ht="15" hidden="false" customHeight="false" outlineLevel="0" collapsed="false">
      <c r="A254" s="10" t="str">
        <f aca="false">IF(D254="","","MH-"&amp;IFERROR(VLOOKUP(D254,Lists!$AB$4:$AC$20,2,0),"??")&amp;"-"&amp;TEXT(G254,"0000")&amp;IF(F254="Circular","D","x"&amp;TEXT(H254,"0000"))&amp;"-D"&amp;TEXT(J254*1000,"0000")&amp;"-"&amp;IFERROR(VLOOKUP(E254,Lists!$AE$4:$AF$16,2,0),"??")&amp;"-"&amp;AM254)</f>
        <v/>
      </c>
      <c r="B254" s="10" t="str">
        <f aca="false">IF(D254="","",D254&amp;", "&amp;E254&amp;", "&amp;IF(F254="Circular",G254&amp;" dia",G254&amp;" x "&amp;H254)&amp;", depth "&amp;TEXT(I254,"0.0")&amp;"-"&amp;TEXT(J254,"0.0")&amp;" m, pipe up to "&amp;K254&amp;" dia")</f>
        <v/>
      </c>
      <c r="C254" s="9"/>
      <c r="D254" s="9"/>
      <c r="E254" s="9"/>
      <c r="F254" s="9"/>
      <c r="G254" s="38"/>
      <c r="H254" s="38"/>
      <c r="I254" s="42"/>
      <c r="J254" s="42"/>
      <c r="K254" s="38"/>
      <c r="L254" s="38"/>
      <c r="M254" s="38"/>
      <c r="N254" s="38"/>
      <c r="O254" s="9"/>
      <c r="P254" s="9"/>
      <c r="Q254" s="9"/>
      <c r="R254" s="9"/>
      <c r="S254" s="9"/>
      <c r="T254" s="9"/>
      <c r="U254" s="9"/>
      <c r="V254" s="42"/>
      <c r="W254" s="9"/>
      <c r="X254" s="9"/>
      <c r="Y254" s="39"/>
      <c r="Z254" s="9"/>
      <c r="AA254" s="38"/>
      <c r="AB254" s="9"/>
      <c r="AC254" s="9"/>
      <c r="AD254" s="9"/>
      <c r="AE254" s="9"/>
      <c r="AF254" s="9"/>
      <c r="AG254" s="9"/>
      <c r="AH254" s="38"/>
      <c r="AI254" s="9"/>
      <c r="AJ254" s="39"/>
      <c r="AK254" s="9"/>
      <c r="AL254" s="9"/>
      <c r="AM254" s="9"/>
      <c r="AN254" s="9"/>
      <c r="AO254" s="9"/>
      <c r="AP254" s="9"/>
      <c r="AQ254" s="9"/>
      <c r="AR254" s="10" t="str">
        <f aca="false">IF(A254="","",SG_Criteria!$B$6&amp;SG_Criteria!$B$10&amp;"\"&amp;A254&amp;"\")</f>
        <v/>
      </c>
      <c r="AS254" s="10" t="str">
        <f aca="false">IF(A254="","",A254&amp;"_CAD.dwg")</f>
        <v/>
      </c>
      <c r="AT254" s="10" t="str">
        <f aca="false">IF(A254="","",A254&amp;"_DWG.pdf")</f>
        <v/>
      </c>
      <c r="AU254" s="10" t="str">
        <f aca="false">IF(A254="","",IF(AQ254="Y",A254&amp;"_STAAD.std","n/a"))</f>
        <v/>
      </c>
      <c r="AV254" s="10" t="str">
        <f aca="false">IF(A254="","",A254&amp;"_CALC.xlsx")</f>
        <v/>
      </c>
      <c r="AW254" s="10" t="str">
        <f aca="false">IF(A254="","",A254&amp;"_CALC.pdf")</f>
        <v/>
      </c>
      <c r="AX254" s="9"/>
      <c r="AY254" s="9"/>
      <c r="AZ254" s="39"/>
      <c r="BA254" s="39"/>
      <c r="BB254" s="39"/>
      <c r="BC254" s="39"/>
      <c r="BD254" s="39"/>
      <c r="BE254" s="12" t="str">
        <f aca="false">IF(A254="","",IF(COUNTIF(Rebar_Schedule!$A$5:$A$2004,A254)=0,"",ROUND(SUMIF(Rebar_Schedule!$A$5:$A$2004,A254,Rebar_Schedule!$K$5:$K$2004),1)))</f>
        <v/>
      </c>
      <c r="BF254" s="33" t="str">
        <f aca="false">IF(A254="","",IF(BE254="","No rebar schedule yet",IF(ABS(BE254-N(BA254))/MAX(N(BA254),1)&gt;SG_Criteria!$B$55,"NOTE: register rebar differs from schedule by "&amp;TEXT(ABS(BE254-N(BA254))/MAX(N(BA254),1),"0%"),"OK")))</f>
        <v/>
      </c>
      <c r="BG254" s="33" t="str">
        <f aca="false">IF(D254="","",IF(LEN(IF(AND(Z254&lt;&gt;"",IFERROR(VALUE(MID(Z254,2,2)),0)&lt;SG_Criteria!$B$19),"FAIL: grade below C"&amp;SG_Criteria!$B$19&amp;". ","")&amp;IF(AND(AA254&lt;&gt;"",AA254&lt;SG_Criteria!$B$20),"FAIL: cover &lt; "&amp;SG_Criteria!$B$20&amp;" mm. ","")&amp;IF(AND(I254&lt;&gt;"",I254&lt;SG_Criteria!$B$39),"NOTE: min depth below PUB "&amp;SG_Criteria!$B$39&amp;" m. ","")&amp;IF(AND(LEFT(D254,8)="Standard",J254&gt;SG_Criteria!$B$42),"FAIL: PUB 001C covers manholes up to "&amp;SG_Criteria!$B$42&amp;" m deep only. ","")&amp;IF(AND(LEFT(D254,11)="Rectangular",K254&lt;SG_Criteria!$B$43),"NOTE: 004C is for sewers &gt;= "&amp;SG_Criteria!$B$43&amp;" dia. ","")&amp;IF(AND(LEFT(D254,7)="Precast",J254&lt;=SG_Criteria!$B$42),"NOTE: 006C is for manholes &gt; "&amp;SG_Criteria!$B$42&amp;" m deep. ","")&amp;IF(AND(K254&lt;&gt;"",K254&lt;SG_Criteria!$B$40,D254&lt;&gt;"Inspection Chamber"),"NOTE: public sewer min dia "&amp;SG_Criteria!$B$40&amp;" mm. ","")&amp;IF(AND(Y254&lt;&gt;"",Y254&lt;SG_Criteria!$B$44),"FAIL: uplift FOS below "&amp;SG_Criteria!$B$44&amp;". ",""))=0,"OK",IF(AND(Z254&lt;&gt;"",IFERROR(VALUE(MID(Z254,2,2)),0)&lt;SG_Criteria!$B$19),"FAIL: grade below C"&amp;SG_Criteria!$B$19&amp;". ","")&amp;IF(AND(AA254&lt;&gt;"",AA254&lt;SG_Criteria!$B$20),"FAIL: cover &lt; "&amp;SG_Criteria!$B$20&amp;" mm. ","")&amp;IF(AND(I254&lt;&gt;"",I254&lt;SG_Criteria!$B$39),"NOTE: min depth below PUB "&amp;SG_Criteria!$B$39&amp;" m. ","")&amp;IF(AND(LEFT(D254,8)="Standard",J254&gt;SG_Criteria!$B$42),"FAIL: PUB 001C covers manholes up to "&amp;SG_Criteria!$B$42&amp;" m deep only. ","")&amp;IF(AND(LEFT(D254,11)="Rectangular",K254&lt;SG_Criteria!$B$43),"NOTE: 004C is for sewers &gt;= "&amp;SG_Criteria!$B$43&amp;" dia. ","")&amp;IF(AND(LEFT(D254,7)="Precast",J254&lt;=SG_Criteria!$B$42),"NOTE: 006C is for manholes &gt; "&amp;SG_Criteria!$B$42&amp;" m deep. ","")&amp;IF(AND(K254&lt;&gt;"",K254&lt;SG_Criteria!$B$40,D254&lt;&gt;"Inspection Chamber"),"NOTE: public sewer min dia "&amp;SG_Criteria!$B$40&amp;" mm. ","")&amp;IF(AND(Y254&lt;&gt;"",Y254&lt;SG_Criteria!$B$44),"FAIL: uplift FOS below "&amp;SG_Criteria!$B$44&amp;". ","")))</f>
        <v/>
      </c>
      <c r="BH254" s="9"/>
      <c r="BI254" s="9"/>
      <c r="BJ254" s="9"/>
      <c r="BK254" s="10" t="str">
        <f aca="false">IF(BJ254="","",IFERROR(VLOOKUP(BJ254,Projects!$A$5:$D$504,2,0),"Ref not in Projects"))</f>
        <v/>
      </c>
      <c r="BL254" s="10" t="str">
        <f aca="false">IF(BJ254="","",IFERROR(VLOOKUP(BJ254,Projects!$A$5:$D$504,4,0),"Ref not in Projects"))</f>
        <v/>
      </c>
      <c r="BM254" s="9"/>
      <c r="BN254" s="9"/>
      <c r="BO254" s="9"/>
      <c r="BP254" s="40"/>
      <c r="BQ254" s="9"/>
      <c r="BR254" s="40"/>
      <c r="BS254" s="9"/>
      <c r="BT254" s="40"/>
      <c r="BU254" s="9"/>
      <c r="BV254" s="9"/>
      <c r="BW254" s="9"/>
      <c r="BX254" s="40"/>
      <c r="BY254" s="40"/>
      <c r="BZ254" s="36" t="str">
        <f aca="false">IF(BY254="","",EDATE(BY254,SG_Criteria!$B$54*12))</f>
        <v/>
      </c>
      <c r="CA254" s="33" t="str">
        <f aca="true">IF(A254="","",IF(BY254="","NOTE: not reviewed yet",IF(TODAY()&gt;BZ254,"NOTE: review overdue","OK")))</f>
        <v/>
      </c>
      <c r="CB254" s="37" t="str">
        <f aca="false">IF(A254="","",ROUND((IF(LEN(D254)&gt;0,1,0)+IF(LEN(E254)&gt;0,1,0)+IF(LEN(F254)&gt;0,1,0)+IF(LEN(G254)&gt;0,1,0)+IF(LEN(I254)&gt;0,1,0)+IF(LEN(J254)&gt;0,1,0)+IF(LEN(K254)&gt;0,1,0)+IF(LEN(L254)&gt;0,1,0)+IF(LEN(M254)&gt;0,1,0)+IF(LEN(N254)&gt;0,1,0)+IF(LEN(Z254)&gt;0,1,0)+IF(LEN(AA254)&gt;0,1,0)+IF(LEN(Y254)&gt;0,1,0)+IF(LEN(AE254)&gt;0,1,0)+IF(LEN(AG254)&gt;0,1,0)+IF(LEN(AZ254)&gt;0,1,0)+IF(LEN(AK254)&gt;0,1,0)+IF(LEN(AM254)&gt;0,1,0)+IF(LEN(AN254)&gt;0,1,0)+IF(LEN(AO254)&gt;0,1,0)+IF(LEN(AP254)&gt;0,1,0)+IF(LEN(AY254)&gt;0,1,0)+IF(LEN(BJ254)&gt;0,1,0)+IF(LEN(BW254)&gt;0,1,0))/24,2))</f>
        <v/>
      </c>
      <c r="CC254" s="10" t="str">
        <f aca="false">IF(D254="","",IF(AND(AN254="Approved",ISERROR(SEARCH("FAIL",BG254))),"Y","N"))</f>
        <v/>
      </c>
      <c r="CD254" s="10" t="str">
        <f aca="false">IF(D254="","",D254&amp;"|"&amp;J254&amp;"|"&amp;G254&amp;"|"&amp;CC254)</f>
        <v/>
      </c>
    </row>
    <row r="255" customFormat="false" ht="15" hidden="false" customHeight="false" outlineLevel="0" collapsed="false">
      <c r="A255" s="10" t="str">
        <f aca="false">IF(D255="","","MH-"&amp;IFERROR(VLOOKUP(D255,Lists!$AB$4:$AC$20,2,0),"??")&amp;"-"&amp;TEXT(G255,"0000")&amp;IF(F255="Circular","D","x"&amp;TEXT(H255,"0000"))&amp;"-D"&amp;TEXT(J255*1000,"0000")&amp;"-"&amp;IFERROR(VLOOKUP(E255,Lists!$AE$4:$AF$16,2,0),"??")&amp;"-"&amp;AM255)</f>
        <v/>
      </c>
      <c r="B255" s="10" t="str">
        <f aca="false">IF(D255="","",D255&amp;", "&amp;E255&amp;", "&amp;IF(F255="Circular",G255&amp;" dia",G255&amp;" x "&amp;H255)&amp;", depth "&amp;TEXT(I255,"0.0")&amp;"-"&amp;TEXT(J255,"0.0")&amp;" m, pipe up to "&amp;K255&amp;" dia")</f>
        <v/>
      </c>
      <c r="C255" s="9"/>
      <c r="D255" s="9"/>
      <c r="E255" s="9"/>
      <c r="F255" s="9"/>
      <c r="G255" s="38"/>
      <c r="H255" s="38"/>
      <c r="I255" s="42"/>
      <c r="J255" s="42"/>
      <c r="K255" s="38"/>
      <c r="L255" s="38"/>
      <c r="M255" s="38"/>
      <c r="N255" s="38"/>
      <c r="O255" s="9"/>
      <c r="P255" s="9"/>
      <c r="Q255" s="9"/>
      <c r="R255" s="9"/>
      <c r="S255" s="9"/>
      <c r="T255" s="9"/>
      <c r="U255" s="9"/>
      <c r="V255" s="42"/>
      <c r="W255" s="9"/>
      <c r="X255" s="9"/>
      <c r="Y255" s="39"/>
      <c r="Z255" s="9"/>
      <c r="AA255" s="38"/>
      <c r="AB255" s="9"/>
      <c r="AC255" s="9"/>
      <c r="AD255" s="9"/>
      <c r="AE255" s="9"/>
      <c r="AF255" s="9"/>
      <c r="AG255" s="9"/>
      <c r="AH255" s="38"/>
      <c r="AI255" s="9"/>
      <c r="AJ255" s="39"/>
      <c r="AK255" s="9"/>
      <c r="AL255" s="9"/>
      <c r="AM255" s="9"/>
      <c r="AN255" s="9"/>
      <c r="AO255" s="9"/>
      <c r="AP255" s="9"/>
      <c r="AQ255" s="9"/>
      <c r="AR255" s="10" t="str">
        <f aca="false">IF(A255="","",SG_Criteria!$B$6&amp;SG_Criteria!$B$10&amp;"\"&amp;A255&amp;"\")</f>
        <v/>
      </c>
      <c r="AS255" s="10" t="str">
        <f aca="false">IF(A255="","",A255&amp;"_CAD.dwg")</f>
        <v/>
      </c>
      <c r="AT255" s="10" t="str">
        <f aca="false">IF(A255="","",A255&amp;"_DWG.pdf")</f>
        <v/>
      </c>
      <c r="AU255" s="10" t="str">
        <f aca="false">IF(A255="","",IF(AQ255="Y",A255&amp;"_STAAD.std","n/a"))</f>
        <v/>
      </c>
      <c r="AV255" s="10" t="str">
        <f aca="false">IF(A255="","",A255&amp;"_CALC.xlsx")</f>
        <v/>
      </c>
      <c r="AW255" s="10" t="str">
        <f aca="false">IF(A255="","",A255&amp;"_CALC.pdf")</f>
        <v/>
      </c>
      <c r="AX255" s="9"/>
      <c r="AY255" s="9"/>
      <c r="AZ255" s="39"/>
      <c r="BA255" s="39"/>
      <c r="BB255" s="39"/>
      <c r="BC255" s="39"/>
      <c r="BD255" s="39"/>
      <c r="BE255" s="12" t="str">
        <f aca="false">IF(A255="","",IF(COUNTIF(Rebar_Schedule!$A$5:$A$2004,A255)=0,"",ROUND(SUMIF(Rebar_Schedule!$A$5:$A$2004,A255,Rebar_Schedule!$K$5:$K$2004),1)))</f>
        <v/>
      </c>
      <c r="BF255" s="33" t="str">
        <f aca="false">IF(A255="","",IF(BE255="","No rebar schedule yet",IF(ABS(BE255-N(BA255))/MAX(N(BA255),1)&gt;SG_Criteria!$B$55,"NOTE: register rebar differs from schedule by "&amp;TEXT(ABS(BE255-N(BA255))/MAX(N(BA255),1),"0%"),"OK")))</f>
        <v/>
      </c>
      <c r="BG255" s="33" t="str">
        <f aca="false">IF(D255="","",IF(LEN(IF(AND(Z255&lt;&gt;"",IFERROR(VALUE(MID(Z255,2,2)),0)&lt;SG_Criteria!$B$19),"FAIL: grade below C"&amp;SG_Criteria!$B$19&amp;". ","")&amp;IF(AND(AA255&lt;&gt;"",AA255&lt;SG_Criteria!$B$20),"FAIL: cover &lt; "&amp;SG_Criteria!$B$20&amp;" mm. ","")&amp;IF(AND(I255&lt;&gt;"",I255&lt;SG_Criteria!$B$39),"NOTE: min depth below PUB "&amp;SG_Criteria!$B$39&amp;" m. ","")&amp;IF(AND(LEFT(D255,8)="Standard",J255&gt;SG_Criteria!$B$42),"FAIL: PUB 001C covers manholes up to "&amp;SG_Criteria!$B$42&amp;" m deep only. ","")&amp;IF(AND(LEFT(D255,11)="Rectangular",K255&lt;SG_Criteria!$B$43),"NOTE: 004C is for sewers &gt;= "&amp;SG_Criteria!$B$43&amp;" dia. ","")&amp;IF(AND(LEFT(D255,7)="Precast",J255&lt;=SG_Criteria!$B$42),"NOTE: 006C is for manholes &gt; "&amp;SG_Criteria!$B$42&amp;" m deep. ","")&amp;IF(AND(K255&lt;&gt;"",K255&lt;SG_Criteria!$B$40,D255&lt;&gt;"Inspection Chamber"),"NOTE: public sewer min dia "&amp;SG_Criteria!$B$40&amp;" mm. ","")&amp;IF(AND(Y255&lt;&gt;"",Y255&lt;SG_Criteria!$B$44),"FAIL: uplift FOS below "&amp;SG_Criteria!$B$44&amp;". ",""))=0,"OK",IF(AND(Z255&lt;&gt;"",IFERROR(VALUE(MID(Z255,2,2)),0)&lt;SG_Criteria!$B$19),"FAIL: grade below C"&amp;SG_Criteria!$B$19&amp;". ","")&amp;IF(AND(AA255&lt;&gt;"",AA255&lt;SG_Criteria!$B$20),"FAIL: cover &lt; "&amp;SG_Criteria!$B$20&amp;" mm. ","")&amp;IF(AND(I255&lt;&gt;"",I255&lt;SG_Criteria!$B$39),"NOTE: min depth below PUB "&amp;SG_Criteria!$B$39&amp;" m. ","")&amp;IF(AND(LEFT(D255,8)="Standard",J255&gt;SG_Criteria!$B$42),"FAIL: PUB 001C covers manholes up to "&amp;SG_Criteria!$B$42&amp;" m deep only. ","")&amp;IF(AND(LEFT(D255,11)="Rectangular",K255&lt;SG_Criteria!$B$43),"NOTE: 004C is for sewers &gt;= "&amp;SG_Criteria!$B$43&amp;" dia. ","")&amp;IF(AND(LEFT(D255,7)="Precast",J255&lt;=SG_Criteria!$B$42),"NOTE: 006C is for manholes &gt; "&amp;SG_Criteria!$B$42&amp;" m deep. ","")&amp;IF(AND(K255&lt;&gt;"",K255&lt;SG_Criteria!$B$40,D255&lt;&gt;"Inspection Chamber"),"NOTE: public sewer min dia "&amp;SG_Criteria!$B$40&amp;" mm. ","")&amp;IF(AND(Y255&lt;&gt;"",Y255&lt;SG_Criteria!$B$44),"FAIL: uplift FOS below "&amp;SG_Criteria!$B$44&amp;". ","")))</f>
        <v/>
      </c>
      <c r="BH255" s="9"/>
      <c r="BI255" s="9"/>
      <c r="BJ255" s="9"/>
      <c r="BK255" s="10" t="str">
        <f aca="false">IF(BJ255="","",IFERROR(VLOOKUP(BJ255,Projects!$A$5:$D$504,2,0),"Ref not in Projects"))</f>
        <v/>
      </c>
      <c r="BL255" s="10" t="str">
        <f aca="false">IF(BJ255="","",IFERROR(VLOOKUP(BJ255,Projects!$A$5:$D$504,4,0),"Ref not in Projects"))</f>
        <v/>
      </c>
      <c r="BM255" s="9"/>
      <c r="BN255" s="9"/>
      <c r="BO255" s="9"/>
      <c r="BP255" s="40"/>
      <c r="BQ255" s="9"/>
      <c r="BR255" s="40"/>
      <c r="BS255" s="9"/>
      <c r="BT255" s="40"/>
      <c r="BU255" s="9"/>
      <c r="BV255" s="9"/>
      <c r="BW255" s="9"/>
      <c r="BX255" s="40"/>
      <c r="BY255" s="40"/>
      <c r="BZ255" s="36" t="str">
        <f aca="false">IF(BY255="","",EDATE(BY255,SG_Criteria!$B$54*12))</f>
        <v/>
      </c>
      <c r="CA255" s="33" t="str">
        <f aca="true">IF(A255="","",IF(BY255="","NOTE: not reviewed yet",IF(TODAY()&gt;BZ255,"NOTE: review overdue","OK")))</f>
        <v/>
      </c>
      <c r="CB255" s="37" t="str">
        <f aca="false">IF(A255="","",ROUND((IF(LEN(D255)&gt;0,1,0)+IF(LEN(E255)&gt;0,1,0)+IF(LEN(F255)&gt;0,1,0)+IF(LEN(G255)&gt;0,1,0)+IF(LEN(I255)&gt;0,1,0)+IF(LEN(J255)&gt;0,1,0)+IF(LEN(K255)&gt;0,1,0)+IF(LEN(L255)&gt;0,1,0)+IF(LEN(M255)&gt;0,1,0)+IF(LEN(N255)&gt;0,1,0)+IF(LEN(Z255)&gt;0,1,0)+IF(LEN(AA255)&gt;0,1,0)+IF(LEN(Y255)&gt;0,1,0)+IF(LEN(AE255)&gt;0,1,0)+IF(LEN(AG255)&gt;0,1,0)+IF(LEN(AZ255)&gt;0,1,0)+IF(LEN(AK255)&gt;0,1,0)+IF(LEN(AM255)&gt;0,1,0)+IF(LEN(AN255)&gt;0,1,0)+IF(LEN(AO255)&gt;0,1,0)+IF(LEN(AP255)&gt;0,1,0)+IF(LEN(AY255)&gt;0,1,0)+IF(LEN(BJ255)&gt;0,1,0)+IF(LEN(BW255)&gt;0,1,0))/24,2))</f>
        <v/>
      </c>
      <c r="CC255" s="10" t="str">
        <f aca="false">IF(D255="","",IF(AND(AN255="Approved",ISERROR(SEARCH("FAIL",BG255))),"Y","N"))</f>
        <v/>
      </c>
      <c r="CD255" s="10" t="str">
        <f aca="false">IF(D255="","",D255&amp;"|"&amp;J255&amp;"|"&amp;G255&amp;"|"&amp;CC255)</f>
        <v/>
      </c>
    </row>
    <row r="256" customFormat="false" ht="15" hidden="false" customHeight="false" outlineLevel="0" collapsed="false">
      <c r="A256" s="10" t="str">
        <f aca="false">IF(D256="","","MH-"&amp;IFERROR(VLOOKUP(D256,Lists!$AB$4:$AC$20,2,0),"??")&amp;"-"&amp;TEXT(G256,"0000")&amp;IF(F256="Circular","D","x"&amp;TEXT(H256,"0000"))&amp;"-D"&amp;TEXT(J256*1000,"0000")&amp;"-"&amp;IFERROR(VLOOKUP(E256,Lists!$AE$4:$AF$16,2,0),"??")&amp;"-"&amp;AM256)</f>
        <v/>
      </c>
      <c r="B256" s="10" t="str">
        <f aca="false">IF(D256="","",D256&amp;", "&amp;E256&amp;", "&amp;IF(F256="Circular",G256&amp;" dia",G256&amp;" x "&amp;H256)&amp;", depth "&amp;TEXT(I256,"0.0")&amp;"-"&amp;TEXT(J256,"0.0")&amp;" m, pipe up to "&amp;K256&amp;" dia")</f>
        <v/>
      </c>
      <c r="C256" s="9"/>
      <c r="D256" s="9"/>
      <c r="E256" s="9"/>
      <c r="F256" s="9"/>
      <c r="G256" s="38"/>
      <c r="H256" s="38"/>
      <c r="I256" s="42"/>
      <c r="J256" s="42"/>
      <c r="K256" s="38"/>
      <c r="L256" s="38"/>
      <c r="M256" s="38"/>
      <c r="N256" s="38"/>
      <c r="O256" s="9"/>
      <c r="P256" s="9"/>
      <c r="Q256" s="9"/>
      <c r="R256" s="9"/>
      <c r="S256" s="9"/>
      <c r="T256" s="9"/>
      <c r="U256" s="9"/>
      <c r="V256" s="42"/>
      <c r="W256" s="9"/>
      <c r="X256" s="9"/>
      <c r="Y256" s="39"/>
      <c r="Z256" s="9"/>
      <c r="AA256" s="38"/>
      <c r="AB256" s="9"/>
      <c r="AC256" s="9"/>
      <c r="AD256" s="9"/>
      <c r="AE256" s="9"/>
      <c r="AF256" s="9"/>
      <c r="AG256" s="9"/>
      <c r="AH256" s="38"/>
      <c r="AI256" s="9"/>
      <c r="AJ256" s="39"/>
      <c r="AK256" s="9"/>
      <c r="AL256" s="9"/>
      <c r="AM256" s="9"/>
      <c r="AN256" s="9"/>
      <c r="AO256" s="9"/>
      <c r="AP256" s="9"/>
      <c r="AQ256" s="9"/>
      <c r="AR256" s="10" t="str">
        <f aca="false">IF(A256="","",SG_Criteria!$B$6&amp;SG_Criteria!$B$10&amp;"\"&amp;A256&amp;"\")</f>
        <v/>
      </c>
      <c r="AS256" s="10" t="str">
        <f aca="false">IF(A256="","",A256&amp;"_CAD.dwg")</f>
        <v/>
      </c>
      <c r="AT256" s="10" t="str">
        <f aca="false">IF(A256="","",A256&amp;"_DWG.pdf")</f>
        <v/>
      </c>
      <c r="AU256" s="10" t="str">
        <f aca="false">IF(A256="","",IF(AQ256="Y",A256&amp;"_STAAD.std","n/a"))</f>
        <v/>
      </c>
      <c r="AV256" s="10" t="str">
        <f aca="false">IF(A256="","",A256&amp;"_CALC.xlsx")</f>
        <v/>
      </c>
      <c r="AW256" s="10" t="str">
        <f aca="false">IF(A256="","",A256&amp;"_CALC.pdf")</f>
        <v/>
      </c>
      <c r="AX256" s="9"/>
      <c r="AY256" s="9"/>
      <c r="AZ256" s="39"/>
      <c r="BA256" s="39"/>
      <c r="BB256" s="39"/>
      <c r="BC256" s="39"/>
      <c r="BD256" s="39"/>
      <c r="BE256" s="12" t="str">
        <f aca="false">IF(A256="","",IF(COUNTIF(Rebar_Schedule!$A$5:$A$2004,A256)=0,"",ROUND(SUMIF(Rebar_Schedule!$A$5:$A$2004,A256,Rebar_Schedule!$K$5:$K$2004),1)))</f>
        <v/>
      </c>
      <c r="BF256" s="33" t="str">
        <f aca="false">IF(A256="","",IF(BE256="","No rebar schedule yet",IF(ABS(BE256-N(BA256))/MAX(N(BA256),1)&gt;SG_Criteria!$B$55,"NOTE: register rebar differs from schedule by "&amp;TEXT(ABS(BE256-N(BA256))/MAX(N(BA256),1),"0%"),"OK")))</f>
        <v/>
      </c>
      <c r="BG256" s="33" t="str">
        <f aca="false">IF(D256="","",IF(LEN(IF(AND(Z256&lt;&gt;"",IFERROR(VALUE(MID(Z256,2,2)),0)&lt;SG_Criteria!$B$19),"FAIL: grade below C"&amp;SG_Criteria!$B$19&amp;". ","")&amp;IF(AND(AA256&lt;&gt;"",AA256&lt;SG_Criteria!$B$20),"FAIL: cover &lt; "&amp;SG_Criteria!$B$20&amp;" mm. ","")&amp;IF(AND(I256&lt;&gt;"",I256&lt;SG_Criteria!$B$39),"NOTE: min depth below PUB "&amp;SG_Criteria!$B$39&amp;" m. ","")&amp;IF(AND(LEFT(D256,8)="Standard",J256&gt;SG_Criteria!$B$42),"FAIL: PUB 001C covers manholes up to "&amp;SG_Criteria!$B$42&amp;" m deep only. ","")&amp;IF(AND(LEFT(D256,11)="Rectangular",K256&lt;SG_Criteria!$B$43),"NOTE: 004C is for sewers &gt;= "&amp;SG_Criteria!$B$43&amp;" dia. ","")&amp;IF(AND(LEFT(D256,7)="Precast",J256&lt;=SG_Criteria!$B$42),"NOTE: 006C is for manholes &gt; "&amp;SG_Criteria!$B$42&amp;" m deep. ","")&amp;IF(AND(K256&lt;&gt;"",K256&lt;SG_Criteria!$B$40,D256&lt;&gt;"Inspection Chamber"),"NOTE: public sewer min dia "&amp;SG_Criteria!$B$40&amp;" mm. ","")&amp;IF(AND(Y256&lt;&gt;"",Y256&lt;SG_Criteria!$B$44),"FAIL: uplift FOS below "&amp;SG_Criteria!$B$44&amp;". ",""))=0,"OK",IF(AND(Z256&lt;&gt;"",IFERROR(VALUE(MID(Z256,2,2)),0)&lt;SG_Criteria!$B$19),"FAIL: grade below C"&amp;SG_Criteria!$B$19&amp;". ","")&amp;IF(AND(AA256&lt;&gt;"",AA256&lt;SG_Criteria!$B$20),"FAIL: cover &lt; "&amp;SG_Criteria!$B$20&amp;" mm. ","")&amp;IF(AND(I256&lt;&gt;"",I256&lt;SG_Criteria!$B$39),"NOTE: min depth below PUB "&amp;SG_Criteria!$B$39&amp;" m. ","")&amp;IF(AND(LEFT(D256,8)="Standard",J256&gt;SG_Criteria!$B$42),"FAIL: PUB 001C covers manholes up to "&amp;SG_Criteria!$B$42&amp;" m deep only. ","")&amp;IF(AND(LEFT(D256,11)="Rectangular",K256&lt;SG_Criteria!$B$43),"NOTE: 004C is for sewers &gt;= "&amp;SG_Criteria!$B$43&amp;" dia. ","")&amp;IF(AND(LEFT(D256,7)="Precast",J256&lt;=SG_Criteria!$B$42),"NOTE: 006C is for manholes &gt; "&amp;SG_Criteria!$B$42&amp;" m deep. ","")&amp;IF(AND(K256&lt;&gt;"",K256&lt;SG_Criteria!$B$40,D256&lt;&gt;"Inspection Chamber"),"NOTE: public sewer min dia "&amp;SG_Criteria!$B$40&amp;" mm. ","")&amp;IF(AND(Y256&lt;&gt;"",Y256&lt;SG_Criteria!$B$44),"FAIL: uplift FOS below "&amp;SG_Criteria!$B$44&amp;". ","")))</f>
        <v/>
      </c>
      <c r="BH256" s="9"/>
      <c r="BI256" s="9"/>
      <c r="BJ256" s="9"/>
      <c r="BK256" s="10" t="str">
        <f aca="false">IF(BJ256="","",IFERROR(VLOOKUP(BJ256,Projects!$A$5:$D$504,2,0),"Ref not in Projects"))</f>
        <v/>
      </c>
      <c r="BL256" s="10" t="str">
        <f aca="false">IF(BJ256="","",IFERROR(VLOOKUP(BJ256,Projects!$A$5:$D$504,4,0),"Ref not in Projects"))</f>
        <v/>
      </c>
      <c r="BM256" s="9"/>
      <c r="BN256" s="9"/>
      <c r="BO256" s="9"/>
      <c r="BP256" s="40"/>
      <c r="BQ256" s="9"/>
      <c r="BR256" s="40"/>
      <c r="BS256" s="9"/>
      <c r="BT256" s="40"/>
      <c r="BU256" s="9"/>
      <c r="BV256" s="9"/>
      <c r="BW256" s="9"/>
      <c r="BX256" s="40"/>
      <c r="BY256" s="40"/>
      <c r="BZ256" s="36" t="str">
        <f aca="false">IF(BY256="","",EDATE(BY256,SG_Criteria!$B$54*12))</f>
        <v/>
      </c>
      <c r="CA256" s="33" t="str">
        <f aca="true">IF(A256="","",IF(BY256="","NOTE: not reviewed yet",IF(TODAY()&gt;BZ256,"NOTE: review overdue","OK")))</f>
        <v/>
      </c>
      <c r="CB256" s="37" t="str">
        <f aca="false">IF(A256="","",ROUND((IF(LEN(D256)&gt;0,1,0)+IF(LEN(E256)&gt;0,1,0)+IF(LEN(F256)&gt;0,1,0)+IF(LEN(G256)&gt;0,1,0)+IF(LEN(I256)&gt;0,1,0)+IF(LEN(J256)&gt;0,1,0)+IF(LEN(K256)&gt;0,1,0)+IF(LEN(L256)&gt;0,1,0)+IF(LEN(M256)&gt;0,1,0)+IF(LEN(N256)&gt;0,1,0)+IF(LEN(Z256)&gt;0,1,0)+IF(LEN(AA256)&gt;0,1,0)+IF(LEN(Y256)&gt;0,1,0)+IF(LEN(AE256)&gt;0,1,0)+IF(LEN(AG256)&gt;0,1,0)+IF(LEN(AZ256)&gt;0,1,0)+IF(LEN(AK256)&gt;0,1,0)+IF(LEN(AM256)&gt;0,1,0)+IF(LEN(AN256)&gt;0,1,0)+IF(LEN(AO256)&gt;0,1,0)+IF(LEN(AP256)&gt;0,1,0)+IF(LEN(AY256)&gt;0,1,0)+IF(LEN(BJ256)&gt;0,1,0)+IF(LEN(BW256)&gt;0,1,0))/24,2))</f>
        <v/>
      </c>
      <c r="CC256" s="10" t="str">
        <f aca="false">IF(D256="","",IF(AND(AN256="Approved",ISERROR(SEARCH("FAIL",BG256))),"Y","N"))</f>
        <v/>
      </c>
      <c r="CD256" s="10" t="str">
        <f aca="false">IF(D256="","",D256&amp;"|"&amp;J256&amp;"|"&amp;G256&amp;"|"&amp;CC256)</f>
        <v/>
      </c>
    </row>
    <row r="257" customFormat="false" ht="15" hidden="false" customHeight="false" outlineLevel="0" collapsed="false">
      <c r="A257" s="10" t="str">
        <f aca="false">IF(D257="","","MH-"&amp;IFERROR(VLOOKUP(D257,Lists!$AB$4:$AC$20,2,0),"??")&amp;"-"&amp;TEXT(G257,"0000")&amp;IF(F257="Circular","D","x"&amp;TEXT(H257,"0000"))&amp;"-D"&amp;TEXT(J257*1000,"0000")&amp;"-"&amp;IFERROR(VLOOKUP(E257,Lists!$AE$4:$AF$16,2,0),"??")&amp;"-"&amp;AM257)</f>
        <v/>
      </c>
      <c r="B257" s="10" t="str">
        <f aca="false">IF(D257="","",D257&amp;", "&amp;E257&amp;", "&amp;IF(F257="Circular",G257&amp;" dia",G257&amp;" x "&amp;H257)&amp;", depth "&amp;TEXT(I257,"0.0")&amp;"-"&amp;TEXT(J257,"0.0")&amp;" m, pipe up to "&amp;K257&amp;" dia")</f>
        <v/>
      </c>
      <c r="C257" s="9"/>
      <c r="D257" s="9"/>
      <c r="E257" s="9"/>
      <c r="F257" s="9"/>
      <c r="G257" s="38"/>
      <c r="H257" s="38"/>
      <c r="I257" s="42"/>
      <c r="J257" s="42"/>
      <c r="K257" s="38"/>
      <c r="L257" s="38"/>
      <c r="M257" s="38"/>
      <c r="N257" s="38"/>
      <c r="O257" s="9"/>
      <c r="P257" s="9"/>
      <c r="Q257" s="9"/>
      <c r="R257" s="9"/>
      <c r="S257" s="9"/>
      <c r="T257" s="9"/>
      <c r="U257" s="9"/>
      <c r="V257" s="42"/>
      <c r="W257" s="9"/>
      <c r="X257" s="9"/>
      <c r="Y257" s="39"/>
      <c r="Z257" s="9"/>
      <c r="AA257" s="38"/>
      <c r="AB257" s="9"/>
      <c r="AC257" s="9"/>
      <c r="AD257" s="9"/>
      <c r="AE257" s="9"/>
      <c r="AF257" s="9"/>
      <c r="AG257" s="9"/>
      <c r="AH257" s="38"/>
      <c r="AI257" s="9"/>
      <c r="AJ257" s="39"/>
      <c r="AK257" s="9"/>
      <c r="AL257" s="9"/>
      <c r="AM257" s="9"/>
      <c r="AN257" s="9"/>
      <c r="AO257" s="9"/>
      <c r="AP257" s="9"/>
      <c r="AQ257" s="9"/>
      <c r="AR257" s="10" t="str">
        <f aca="false">IF(A257="","",SG_Criteria!$B$6&amp;SG_Criteria!$B$10&amp;"\"&amp;A257&amp;"\")</f>
        <v/>
      </c>
      <c r="AS257" s="10" t="str">
        <f aca="false">IF(A257="","",A257&amp;"_CAD.dwg")</f>
        <v/>
      </c>
      <c r="AT257" s="10" t="str">
        <f aca="false">IF(A257="","",A257&amp;"_DWG.pdf")</f>
        <v/>
      </c>
      <c r="AU257" s="10" t="str">
        <f aca="false">IF(A257="","",IF(AQ257="Y",A257&amp;"_STAAD.std","n/a"))</f>
        <v/>
      </c>
      <c r="AV257" s="10" t="str">
        <f aca="false">IF(A257="","",A257&amp;"_CALC.xlsx")</f>
        <v/>
      </c>
      <c r="AW257" s="10" t="str">
        <f aca="false">IF(A257="","",A257&amp;"_CALC.pdf")</f>
        <v/>
      </c>
      <c r="AX257" s="9"/>
      <c r="AY257" s="9"/>
      <c r="AZ257" s="39"/>
      <c r="BA257" s="39"/>
      <c r="BB257" s="39"/>
      <c r="BC257" s="39"/>
      <c r="BD257" s="39"/>
      <c r="BE257" s="12" t="str">
        <f aca="false">IF(A257="","",IF(COUNTIF(Rebar_Schedule!$A$5:$A$2004,A257)=0,"",ROUND(SUMIF(Rebar_Schedule!$A$5:$A$2004,A257,Rebar_Schedule!$K$5:$K$2004),1)))</f>
        <v/>
      </c>
      <c r="BF257" s="33" t="str">
        <f aca="false">IF(A257="","",IF(BE257="","No rebar schedule yet",IF(ABS(BE257-N(BA257))/MAX(N(BA257),1)&gt;SG_Criteria!$B$55,"NOTE: register rebar differs from schedule by "&amp;TEXT(ABS(BE257-N(BA257))/MAX(N(BA257),1),"0%"),"OK")))</f>
        <v/>
      </c>
      <c r="BG257" s="33" t="str">
        <f aca="false">IF(D257="","",IF(LEN(IF(AND(Z257&lt;&gt;"",IFERROR(VALUE(MID(Z257,2,2)),0)&lt;SG_Criteria!$B$19),"FAIL: grade below C"&amp;SG_Criteria!$B$19&amp;". ","")&amp;IF(AND(AA257&lt;&gt;"",AA257&lt;SG_Criteria!$B$20),"FAIL: cover &lt; "&amp;SG_Criteria!$B$20&amp;" mm. ","")&amp;IF(AND(I257&lt;&gt;"",I257&lt;SG_Criteria!$B$39),"NOTE: min depth below PUB "&amp;SG_Criteria!$B$39&amp;" m. ","")&amp;IF(AND(LEFT(D257,8)="Standard",J257&gt;SG_Criteria!$B$42),"FAIL: PUB 001C covers manholes up to "&amp;SG_Criteria!$B$42&amp;" m deep only. ","")&amp;IF(AND(LEFT(D257,11)="Rectangular",K257&lt;SG_Criteria!$B$43),"NOTE: 004C is for sewers &gt;= "&amp;SG_Criteria!$B$43&amp;" dia. ","")&amp;IF(AND(LEFT(D257,7)="Precast",J257&lt;=SG_Criteria!$B$42),"NOTE: 006C is for manholes &gt; "&amp;SG_Criteria!$B$42&amp;" m deep. ","")&amp;IF(AND(K257&lt;&gt;"",K257&lt;SG_Criteria!$B$40,D257&lt;&gt;"Inspection Chamber"),"NOTE: public sewer min dia "&amp;SG_Criteria!$B$40&amp;" mm. ","")&amp;IF(AND(Y257&lt;&gt;"",Y257&lt;SG_Criteria!$B$44),"FAIL: uplift FOS below "&amp;SG_Criteria!$B$44&amp;". ",""))=0,"OK",IF(AND(Z257&lt;&gt;"",IFERROR(VALUE(MID(Z257,2,2)),0)&lt;SG_Criteria!$B$19),"FAIL: grade below C"&amp;SG_Criteria!$B$19&amp;". ","")&amp;IF(AND(AA257&lt;&gt;"",AA257&lt;SG_Criteria!$B$20),"FAIL: cover &lt; "&amp;SG_Criteria!$B$20&amp;" mm. ","")&amp;IF(AND(I257&lt;&gt;"",I257&lt;SG_Criteria!$B$39),"NOTE: min depth below PUB "&amp;SG_Criteria!$B$39&amp;" m. ","")&amp;IF(AND(LEFT(D257,8)="Standard",J257&gt;SG_Criteria!$B$42),"FAIL: PUB 001C covers manholes up to "&amp;SG_Criteria!$B$42&amp;" m deep only. ","")&amp;IF(AND(LEFT(D257,11)="Rectangular",K257&lt;SG_Criteria!$B$43),"NOTE: 004C is for sewers &gt;= "&amp;SG_Criteria!$B$43&amp;" dia. ","")&amp;IF(AND(LEFT(D257,7)="Precast",J257&lt;=SG_Criteria!$B$42),"NOTE: 006C is for manholes &gt; "&amp;SG_Criteria!$B$42&amp;" m deep. ","")&amp;IF(AND(K257&lt;&gt;"",K257&lt;SG_Criteria!$B$40,D257&lt;&gt;"Inspection Chamber"),"NOTE: public sewer min dia "&amp;SG_Criteria!$B$40&amp;" mm. ","")&amp;IF(AND(Y257&lt;&gt;"",Y257&lt;SG_Criteria!$B$44),"FAIL: uplift FOS below "&amp;SG_Criteria!$B$44&amp;". ","")))</f>
        <v/>
      </c>
      <c r="BH257" s="9"/>
      <c r="BI257" s="9"/>
      <c r="BJ257" s="9"/>
      <c r="BK257" s="10" t="str">
        <f aca="false">IF(BJ257="","",IFERROR(VLOOKUP(BJ257,Projects!$A$5:$D$504,2,0),"Ref not in Projects"))</f>
        <v/>
      </c>
      <c r="BL257" s="10" t="str">
        <f aca="false">IF(BJ257="","",IFERROR(VLOOKUP(BJ257,Projects!$A$5:$D$504,4,0),"Ref not in Projects"))</f>
        <v/>
      </c>
      <c r="BM257" s="9"/>
      <c r="BN257" s="9"/>
      <c r="BO257" s="9"/>
      <c r="BP257" s="40"/>
      <c r="BQ257" s="9"/>
      <c r="BR257" s="40"/>
      <c r="BS257" s="9"/>
      <c r="BT257" s="40"/>
      <c r="BU257" s="9"/>
      <c r="BV257" s="9"/>
      <c r="BW257" s="9"/>
      <c r="BX257" s="40"/>
      <c r="BY257" s="40"/>
      <c r="BZ257" s="36" t="str">
        <f aca="false">IF(BY257="","",EDATE(BY257,SG_Criteria!$B$54*12))</f>
        <v/>
      </c>
      <c r="CA257" s="33" t="str">
        <f aca="true">IF(A257="","",IF(BY257="","NOTE: not reviewed yet",IF(TODAY()&gt;BZ257,"NOTE: review overdue","OK")))</f>
        <v/>
      </c>
      <c r="CB257" s="37" t="str">
        <f aca="false">IF(A257="","",ROUND((IF(LEN(D257)&gt;0,1,0)+IF(LEN(E257)&gt;0,1,0)+IF(LEN(F257)&gt;0,1,0)+IF(LEN(G257)&gt;0,1,0)+IF(LEN(I257)&gt;0,1,0)+IF(LEN(J257)&gt;0,1,0)+IF(LEN(K257)&gt;0,1,0)+IF(LEN(L257)&gt;0,1,0)+IF(LEN(M257)&gt;0,1,0)+IF(LEN(N257)&gt;0,1,0)+IF(LEN(Z257)&gt;0,1,0)+IF(LEN(AA257)&gt;0,1,0)+IF(LEN(Y257)&gt;0,1,0)+IF(LEN(AE257)&gt;0,1,0)+IF(LEN(AG257)&gt;0,1,0)+IF(LEN(AZ257)&gt;0,1,0)+IF(LEN(AK257)&gt;0,1,0)+IF(LEN(AM257)&gt;0,1,0)+IF(LEN(AN257)&gt;0,1,0)+IF(LEN(AO257)&gt;0,1,0)+IF(LEN(AP257)&gt;0,1,0)+IF(LEN(AY257)&gt;0,1,0)+IF(LEN(BJ257)&gt;0,1,0)+IF(LEN(BW257)&gt;0,1,0))/24,2))</f>
        <v/>
      </c>
      <c r="CC257" s="10" t="str">
        <f aca="false">IF(D257="","",IF(AND(AN257="Approved",ISERROR(SEARCH("FAIL",BG257))),"Y","N"))</f>
        <v/>
      </c>
      <c r="CD257" s="10" t="str">
        <f aca="false">IF(D257="","",D257&amp;"|"&amp;J257&amp;"|"&amp;G257&amp;"|"&amp;CC257)</f>
        <v/>
      </c>
    </row>
    <row r="258" customFormat="false" ht="15" hidden="false" customHeight="false" outlineLevel="0" collapsed="false">
      <c r="A258" s="10" t="str">
        <f aca="false">IF(D258="","","MH-"&amp;IFERROR(VLOOKUP(D258,Lists!$AB$4:$AC$20,2,0),"??")&amp;"-"&amp;TEXT(G258,"0000")&amp;IF(F258="Circular","D","x"&amp;TEXT(H258,"0000"))&amp;"-D"&amp;TEXT(J258*1000,"0000")&amp;"-"&amp;IFERROR(VLOOKUP(E258,Lists!$AE$4:$AF$16,2,0),"??")&amp;"-"&amp;AM258)</f>
        <v/>
      </c>
      <c r="B258" s="10" t="str">
        <f aca="false">IF(D258="","",D258&amp;", "&amp;E258&amp;", "&amp;IF(F258="Circular",G258&amp;" dia",G258&amp;" x "&amp;H258)&amp;", depth "&amp;TEXT(I258,"0.0")&amp;"-"&amp;TEXT(J258,"0.0")&amp;" m, pipe up to "&amp;K258&amp;" dia")</f>
        <v/>
      </c>
      <c r="C258" s="9"/>
      <c r="D258" s="9"/>
      <c r="E258" s="9"/>
      <c r="F258" s="9"/>
      <c r="G258" s="38"/>
      <c r="H258" s="38"/>
      <c r="I258" s="42"/>
      <c r="J258" s="42"/>
      <c r="K258" s="38"/>
      <c r="L258" s="38"/>
      <c r="M258" s="38"/>
      <c r="N258" s="38"/>
      <c r="O258" s="9"/>
      <c r="P258" s="9"/>
      <c r="Q258" s="9"/>
      <c r="R258" s="9"/>
      <c r="S258" s="9"/>
      <c r="T258" s="9"/>
      <c r="U258" s="9"/>
      <c r="V258" s="42"/>
      <c r="W258" s="9"/>
      <c r="X258" s="9"/>
      <c r="Y258" s="39"/>
      <c r="Z258" s="9"/>
      <c r="AA258" s="38"/>
      <c r="AB258" s="9"/>
      <c r="AC258" s="9"/>
      <c r="AD258" s="9"/>
      <c r="AE258" s="9"/>
      <c r="AF258" s="9"/>
      <c r="AG258" s="9"/>
      <c r="AH258" s="38"/>
      <c r="AI258" s="9"/>
      <c r="AJ258" s="39"/>
      <c r="AK258" s="9"/>
      <c r="AL258" s="9"/>
      <c r="AM258" s="9"/>
      <c r="AN258" s="9"/>
      <c r="AO258" s="9"/>
      <c r="AP258" s="9"/>
      <c r="AQ258" s="9"/>
      <c r="AR258" s="10" t="str">
        <f aca="false">IF(A258="","",SG_Criteria!$B$6&amp;SG_Criteria!$B$10&amp;"\"&amp;A258&amp;"\")</f>
        <v/>
      </c>
      <c r="AS258" s="10" t="str">
        <f aca="false">IF(A258="","",A258&amp;"_CAD.dwg")</f>
        <v/>
      </c>
      <c r="AT258" s="10" t="str">
        <f aca="false">IF(A258="","",A258&amp;"_DWG.pdf")</f>
        <v/>
      </c>
      <c r="AU258" s="10" t="str">
        <f aca="false">IF(A258="","",IF(AQ258="Y",A258&amp;"_STAAD.std","n/a"))</f>
        <v/>
      </c>
      <c r="AV258" s="10" t="str">
        <f aca="false">IF(A258="","",A258&amp;"_CALC.xlsx")</f>
        <v/>
      </c>
      <c r="AW258" s="10" t="str">
        <f aca="false">IF(A258="","",A258&amp;"_CALC.pdf")</f>
        <v/>
      </c>
      <c r="AX258" s="9"/>
      <c r="AY258" s="9"/>
      <c r="AZ258" s="39"/>
      <c r="BA258" s="39"/>
      <c r="BB258" s="39"/>
      <c r="BC258" s="39"/>
      <c r="BD258" s="39"/>
      <c r="BE258" s="12" t="str">
        <f aca="false">IF(A258="","",IF(COUNTIF(Rebar_Schedule!$A$5:$A$2004,A258)=0,"",ROUND(SUMIF(Rebar_Schedule!$A$5:$A$2004,A258,Rebar_Schedule!$K$5:$K$2004),1)))</f>
        <v/>
      </c>
      <c r="BF258" s="33" t="str">
        <f aca="false">IF(A258="","",IF(BE258="","No rebar schedule yet",IF(ABS(BE258-N(BA258))/MAX(N(BA258),1)&gt;SG_Criteria!$B$55,"NOTE: register rebar differs from schedule by "&amp;TEXT(ABS(BE258-N(BA258))/MAX(N(BA258),1),"0%"),"OK")))</f>
        <v/>
      </c>
      <c r="BG258" s="33" t="str">
        <f aca="false">IF(D258="","",IF(LEN(IF(AND(Z258&lt;&gt;"",IFERROR(VALUE(MID(Z258,2,2)),0)&lt;SG_Criteria!$B$19),"FAIL: grade below C"&amp;SG_Criteria!$B$19&amp;". ","")&amp;IF(AND(AA258&lt;&gt;"",AA258&lt;SG_Criteria!$B$20),"FAIL: cover &lt; "&amp;SG_Criteria!$B$20&amp;" mm. ","")&amp;IF(AND(I258&lt;&gt;"",I258&lt;SG_Criteria!$B$39),"NOTE: min depth below PUB "&amp;SG_Criteria!$B$39&amp;" m. ","")&amp;IF(AND(LEFT(D258,8)="Standard",J258&gt;SG_Criteria!$B$42),"FAIL: PUB 001C covers manholes up to "&amp;SG_Criteria!$B$42&amp;" m deep only. ","")&amp;IF(AND(LEFT(D258,11)="Rectangular",K258&lt;SG_Criteria!$B$43),"NOTE: 004C is for sewers &gt;= "&amp;SG_Criteria!$B$43&amp;" dia. ","")&amp;IF(AND(LEFT(D258,7)="Precast",J258&lt;=SG_Criteria!$B$42),"NOTE: 006C is for manholes &gt; "&amp;SG_Criteria!$B$42&amp;" m deep. ","")&amp;IF(AND(K258&lt;&gt;"",K258&lt;SG_Criteria!$B$40,D258&lt;&gt;"Inspection Chamber"),"NOTE: public sewer min dia "&amp;SG_Criteria!$B$40&amp;" mm. ","")&amp;IF(AND(Y258&lt;&gt;"",Y258&lt;SG_Criteria!$B$44),"FAIL: uplift FOS below "&amp;SG_Criteria!$B$44&amp;". ",""))=0,"OK",IF(AND(Z258&lt;&gt;"",IFERROR(VALUE(MID(Z258,2,2)),0)&lt;SG_Criteria!$B$19),"FAIL: grade below C"&amp;SG_Criteria!$B$19&amp;". ","")&amp;IF(AND(AA258&lt;&gt;"",AA258&lt;SG_Criteria!$B$20),"FAIL: cover &lt; "&amp;SG_Criteria!$B$20&amp;" mm. ","")&amp;IF(AND(I258&lt;&gt;"",I258&lt;SG_Criteria!$B$39),"NOTE: min depth below PUB "&amp;SG_Criteria!$B$39&amp;" m. ","")&amp;IF(AND(LEFT(D258,8)="Standard",J258&gt;SG_Criteria!$B$42),"FAIL: PUB 001C covers manholes up to "&amp;SG_Criteria!$B$42&amp;" m deep only. ","")&amp;IF(AND(LEFT(D258,11)="Rectangular",K258&lt;SG_Criteria!$B$43),"NOTE: 004C is for sewers &gt;= "&amp;SG_Criteria!$B$43&amp;" dia. ","")&amp;IF(AND(LEFT(D258,7)="Precast",J258&lt;=SG_Criteria!$B$42),"NOTE: 006C is for manholes &gt; "&amp;SG_Criteria!$B$42&amp;" m deep. ","")&amp;IF(AND(K258&lt;&gt;"",K258&lt;SG_Criteria!$B$40,D258&lt;&gt;"Inspection Chamber"),"NOTE: public sewer min dia "&amp;SG_Criteria!$B$40&amp;" mm. ","")&amp;IF(AND(Y258&lt;&gt;"",Y258&lt;SG_Criteria!$B$44),"FAIL: uplift FOS below "&amp;SG_Criteria!$B$44&amp;". ","")))</f>
        <v/>
      </c>
      <c r="BH258" s="9"/>
      <c r="BI258" s="9"/>
      <c r="BJ258" s="9"/>
      <c r="BK258" s="10" t="str">
        <f aca="false">IF(BJ258="","",IFERROR(VLOOKUP(BJ258,Projects!$A$5:$D$504,2,0),"Ref not in Projects"))</f>
        <v/>
      </c>
      <c r="BL258" s="10" t="str">
        <f aca="false">IF(BJ258="","",IFERROR(VLOOKUP(BJ258,Projects!$A$5:$D$504,4,0),"Ref not in Projects"))</f>
        <v/>
      </c>
      <c r="BM258" s="9"/>
      <c r="BN258" s="9"/>
      <c r="BO258" s="9"/>
      <c r="BP258" s="40"/>
      <c r="BQ258" s="9"/>
      <c r="BR258" s="40"/>
      <c r="BS258" s="9"/>
      <c r="BT258" s="40"/>
      <c r="BU258" s="9"/>
      <c r="BV258" s="9"/>
      <c r="BW258" s="9"/>
      <c r="BX258" s="40"/>
      <c r="BY258" s="40"/>
      <c r="BZ258" s="36" t="str">
        <f aca="false">IF(BY258="","",EDATE(BY258,SG_Criteria!$B$54*12))</f>
        <v/>
      </c>
      <c r="CA258" s="33" t="str">
        <f aca="true">IF(A258="","",IF(BY258="","NOTE: not reviewed yet",IF(TODAY()&gt;BZ258,"NOTE: review overdue","OK")))</f>
        <v/>
      </c>
      <c r="CB258" s="37" t="str">
        <f aca="false">IF(A258="","",ROUND((IF(LEN(D258)&gt;0,1,0)+IF(LEN(E258)&gt;0,1,0)+IF(LEN(F258)&gt;0,1,0)+IF(LEN(G258)&gt;0,1,0)+IF(LEN(I258)&gt;0,1,0)+IF(LEN(J258)&gt;0,1,0)+IF(LEN(K258)&gt;0,1,0)+IF(LEN(L258)&gt;0,1,0)+IF(LEN(M258)&gt;0,1,0)+IF(LEN(N258)&gt;0,1,0)+IF(LEN(Z258)&gt;0,1,0)+IF(LEN(AA258)&gt;0,1,0)+IF(LEN(Y258)&gt;0,1,0)+IF(LEN(AE258)&gt;0,1,0)+IF(LEN(AG258)&gt;0,1,0)+IF(LEN(AZ258)&gt;0,1,0)+IF(LEN(AK258)&gt;0,1,0)+IF(LEN(AM258)&gt;0,1,0)+IF(LEN(AN258)&gt;0,1,0)+IF(LEN(AO258)&gt;0,1,0)+IF(LEN(AP258)&gt;0,1,0)+IF(LEN(AY258)&gt;0,1,0)+IF(LEN(BJ258)&gt;0,1,0)+IF(LEN(BW258)&gt;0,1,0))/24,2))</f>
        <v/>
      </c>
      <c r="CC258" s="10" t="str">
        <f aca="false">IF(D258="","",IF(AND(AN258="Approved",ISERROR(SEARCH("FAIL",BG258))),"Y","N"))</f>
        <v/>
      </c>
      <c r="CD258" s="10" t="str">
        <f aca="false">IF(D258="","",D258&amp;"|"&amp;J258&amp;"|"&amp;G258&amp;"|"&amp;CC258)</f>
        <v/>
      </c>
    </row>
    <row r="259" customFormat="false" ht="15" hidden="false" customHeight="false" outlineLevel="0" collapsed="false">
      <c r="A259" s="10" t="str">
        <f aca="false">IF(D259="","","MH-"&amp;IFERROR(VLOOKUP(D259,Lists!$AB$4:$AC$20,2,0),"??")&amp;"-"&amp;TEXT(G259,"0000")&amp;IF(F259="Circular","D","x"&amp;TEXT(H259,"0000"))&amp;"-D"&amp;TEXT(J259*1000,"0000")&amp;"-"&amp;IFERROR(VLOOKUP(E259,Lists!$AE$4:$AF$16,2,0),"??")&amp;"-"&amp;AM259)</f>
        <v/>
      </c>
      <c r="B259" s="10" t="str">
        <f aca="false">IF(D259="","",D259&amp;", "&amp;E259&amp;", "&amp;IF(F259="Circular",G259&amp;" dia",G259&amp;" x "&amp;H259)&amp;", depth "&amp;TEXT(I259,"0.0")&amp;"-"&amp;TEXT(J259,"0.0")&amp;" m, pipe up to "&amp;K259&amp;" dia")</f>
        <v/>
      </c>
      <c r="C259" s="9"/>
      <c r="D259" s="9"/>
      <c r="E259" s="9"/>
      <c r="F259" s="9"/>
      <c r="G259" s="38"/>
      <c r="H259" s="38"/>
      <c r="I259" s="42"/>
      <c r="J259" s="42"/>
      <c r="K259" s="38"/>
      <c r="L259" s="38"/>
      <c r="M259" s="38"/>
      <c r="N259" s="38"/>
      <c r="O259" s="9"/>
      <c r="P259" s="9"/>
      <c r="Q259" s="9"/>
      <c r="R259" s="9"/>
      <c r="S259" s="9"/>
      <c r="T259" s="9"/>
      <c r="U259" s="9"/>
      <c r="V259" s="42"/>
      <c r="W259" s="9"/>
      <c r="X259" s="9"/>
      <c r="Y259" s="39"/>
      <c r="Z259" s="9"/>
      <c r="AA259" s="38"/>
      <c r="AB259" s="9"/>
      <c r="AC259" s="9"/>
      <c r="AD259" s="9"/>
      <c r="AE259" s="9"/>
      <c r="AF259" s="9"/>
      <c r="AG259" s="9"/>
      <c r="AH259" s="38"/>
      <c r="AI259" s="9"/>
      <c r="AJ259" s="39"/>
      <c r="AK259" s="9"/>
      <c r="AL259" s="9"/>
      <c r="AM259" s="9"/>
      <c r="AN259" s="9"/>
      <c r="AO259" s="9"/>
      <c r="AP259" s="9"/>
      <c r="AQ259" s="9"/>
      <c r="AR259" s="10" t="str">
        <f aca="false">IF(A259="","",SG_Criteria!$B$6&amp;SG_Criteria!$B$10&amp;"\"&amp;A259&amp;"\")</f>
        <v/>
      </c>
      <c r="AS259" s="10" t="str">
        <f aca="false">IF(A259="","",A259&amp;"_CAD.dwg")</f>
        <v/>
      </c>
      <c r="AT259" s="10" t="str">
        <f aca="false">IF(A259="","",A259&amp;"_DWG.pdf")</f>
        <v/>
      </c>
      <c r="AU259" s="10" t="str">
        <f aca="false">IF(A259="","",IF(AQ259="Y",A259&amp;"_STAAD.std","n/a"))</f>
        <v/>
      </c>
      <c r="AV259" s="10" t="str">
        <f aca="false">IF(A259="","",A259&amp;"_CALC.xlsx")</f>
        <v/>
      </c>
      <c r="AW259" s="10" t="str">
        <f aca="false">IF(A259="","",A259&amp;"_CALC.pdf")</f>
        <v/>
      </c>
      <c r="AX259" s="9"/>
      <c r="AY259" s="9"/>
      <c r="AZ259" s="39"/>
      <c r="BA259" s="39"/>
      <c r="BB259" s="39"/>
      <c r="BC259" s="39"/>
      <c r="BD259" s="39"/>
      <c r="BE259" s="12" t="str">
        <f aca="false">IF(A259="","",IF(COUNTIF(Rebar_Schedule!$A$5:$A$2004,A259)=0,"",ROUND(SUMIF(Rebar_Schedule!$A$5:$A$2004,A259,Rebar_Schedule!$K$5:$K$2004),1)))</f>
        <v/>
      </c>
      <c r="BF259" s="33" t="str">
        <f aca="false">IF(A259="","",IF(BE259="","No rebar schedule yet",IF(ABS(BE259-N(BA259))/MAX(N(BA259),1)&gt;SG_Criteria!$B$55,"NOTE: register rebar differs from schedule by "&amp;TEXT(ABS(BE259-N(BA259))/MAX(N(BA259),1),"0%"),"OK")))</f>
        <v/>
      </c>
      <c r="BG259" s="33" t="str">
        <f aca="false">IF(D259="","",IF(LEN(IF(AND(Z259&lt;&gt;"",IFERROR(VALUE(MID(Z259,2,2)),0)&lt;SG_Criteria!$B$19),"FAIL: grade below C"&amp;SG_Criteria!$B$19&amp;". ","")&amp;IF(AND(AA259&lt;&gt;"",AA259&lt;SG_Criteria!$B$20),"FAIL: cover &lt; "&amp;SG_Criteria!$B$20&amp;" mm. ","")&amp;IF(AND(I259&lt;&gt;"",I259&lt;SG_Criteria!$B$39),"NOTE: min depth below PUB "&amp;SG_Criteria!$B$39&amp;" m. ","")&amp;IF(AND(LEFT(D259,8)="Standard",J259&gt;SG_Criteria!$B$42),"FAIL: PUB 001C covers manholes up to "&amp;SG_Criteria!$B$42&amp;" m deep only. ","")&amp;IF(AND(LEFT(D259,11)="Rectangular",K259&lt;SG_Criteria!$B$43),"NOTE: 004C is for sewers &gt;= "&amp;SG_Criteria!$B$43&amp;" dia. ","")&amp;IF(AND(LEFT(D259,7)="Precast",J259&lt;=SG_Criteria!$B$42),"NOTE: 006C is for manholes &gt; "&amp;SG_Criteria!$B$42&amp;" m deep. ","")&amp;IF(AND(K259&lt;&gt;"",K259&lt;SG_Criteria!$B$40,D259&lt;&gt;"Inspection Chamber"),"NOTE: public sewer min dia "&amp;SG_Criteria!$B$40&amp;" mm. ","")&amp;IF(AND(Y259&lt;&gt;"",Y259&lt;SG_Criteria!$B$44),"FAIL: uplift FOS below "&amp;SG_Criteria!$B$44&amp;". ",""))=0,"OK",IF(AND(Z259&lt;&gt;"",IFERROR(VALUE(MID(Z259,2,2)),0)&lt;SG_Criteria!$B$19),"FAIL: grade below C"&amp;SG_Criteria!$B$19&amp;". ","")&amp;IF(AND(AA259&lt;&gt;"",AA259&lt;SG_Criteria!$B$20),"FAIL: cover &lt; "&amp;SG_Criteria!$B$20&amp;" mm. ","")&amp;IF(AND(I259&lt;&gt;"",I259&lt;SG_Criteria!$B$39),"NOTE: min depth below PUB "&amp;SG_Criteria!$B$39&amp;" m. ","")&amp;IF(AND(LEFT(D259,8)="Standard",J259&gt;SG_Criteria!$B$42),"FAIL: PUB 001C covers manholes up to "&amp;SG_Criteria!$B$42&amp;" m deep only. ","")&amp;IF(AND(LEFT(D259,11)="Rectangular",K259&lt;SG_Criteria!$B$43),"NOTE: 004C is for sewers &gt;= "&amp;SG_Criteria!$B$43&amp;" dia. ","")&amp;IF(AND(LEFT(D259,7)="Precast",J259&lt;=SG_Criteria!$B$42),"NOTE: 006C is for manholes &gt; "&amp;SG_Criteria!$B$42&amp;" m deep. ","")&amp;IF(AND(K259&lt;&gt;"",K259&lt;SG_Criteria!$B$40,D259&lt;&gt;"Inspection Chamber"),"NOTE: public sewer min dia "&amp;SG_Criteria!$B$40&amp;" mm. ","")&amp;IF(AND(Y259&lt;&gt;"",Y259&lt;SG_Criteria!$B$44),"FAIL: uplift FOS below "&amp;SG_Criteria!$B$44&amp;". ","")))</f>
        <v/>
      </c>
      <c r="BH259" s="9"/>
      <c r="BI259" s="9"/>
      <c r="BJ259" s="9"/>
      <c r="BK259" s="10" t="str">
        <f aca="false">IF(BJ259="","",IFERROR(VLOOKUP(BJ259,Projects!$A$5:$D$504,2,0),"Ref not in Projects"))</f>
        <v/>
      </c>
      <c r="BL259" s="10" t="str">
        <f aca="false">IF(BJ259="","",IFERROR(VLOOKUP(BJ259,Projects!$A$5:$D$504,4,0),"Ref not in Projects"))</f>
        <v/>
      </c>
      <c r="BM259" s="9"/>
      <c r="BN259" s="9"/>
      <c r="BO259" s="9"/>
      <c r="BP259" s="40"/>
      <c r="BQ259" s="9"/>
      <c r="BR259" s="40"/>
      <c r="BS259" s="9"/>
      <c r="BT259" s="40"/>
      <c r="BU259" s="9"/>
      <c r="BV259" s="9"/>
      <c r="BW259" s="9"/>
      <c r="BX259" s="40"/>
      <c r="BY259" s="40"/>
      <c r="BZ259" s="36" t="str">
        <f aca="false">IF(BY259="","",EDATE(BY259,SG_Criteria!$B$54*12))</f>
        <v/>
      </c>
      <c r="CA259" s="33" t="str">
        <f aca="true">IF(A259="","",IF(BY259="","NOTE: not reviewed yet",IF(TODAY()&gt;BZ259,"NOTE: review overdue","OK")))</f>
        <v/>
      </c>
      <c r="CB259" s="37" t="str">
        <f aca="false">IF(A259="","",ROUND((IF(LEN(D259)&gt;0,1,0)+IF(LEN(E259)&gt;0,1,0)+IF(LEN(F259)&gt;0,1,0)+IF(LEN(G259)&gt;0,1,0)+IF(LEN(I259)&gt;0,1,0)+IF(LEN(J259)&gt;0,1,0)+IF(LEN(K259)&gt;0,1,0)+IF(LEN(L259)&gt;0,1,0)+IF(LEN(M259)&gt;0,1,0)+IF(LEN(N259)&gt;0,1,0)+IF(LEN(Z259)&gt;0,1,0)+IF(LEN(AA259)&gt;0,1,0)+IF(LEN(Y259)&gt;0,1,0)+IF(LEN(AE259)&gt;0,1,0)+IF(LEN(AG259)&gt;0,1,0)+IF(LEN(AZ259)&gt;0,1,0)+IF(LEN(AK259)&gt;0,1,0)+IF(LEN(AM259)&gt;0,1,0)+IF(LEN(AN259)&gt;0,1,0)+IF(LEN(AO259)&gt;0,1,0)+IF(LEN(AP259)&gt;0,1,0)+IF(LEN(AY259)&gt;0,1,0)+IF(LEN(BJ259)&gt;0,1,0)+IF(LEN(BW259)&gt;0,1,0))/24,2))</f>
        <v/>
      </c>
      <c r="CC259" s="10" t="str">
        <f aca="false">IF(D259="","",IF(AND(AN259="Approved",ISERROR(SEARCH("FAIL",BG259))),"Y","N"))</f>
        <v/>
      </c>
      <c r="CD259" s="10" t="str">
        <f aca="false">IF(D259="","",D259&amp;"|"&amp;J259&amp;"|"&amp;G259&amp;"|"&amp;CC259)</f>
        <v/>
      </c>
    </row>
    <row r="260" customFormat="false" ht="15" hidden="false" customHeight="false" outlineLevel="0" collapsed="false">
      <c r="A260" s="10" t="str">
        <f aca="false">IF(D260="","","MH-"&amp;IFERROR(VLOOKUP(D260,Lists!$AB$4:$AC$20,2,0),"??")&amp;"-"&amp;TEXT(G260,"0000")&amp;IF(F260="Circular","D","x"&amp;TEXT(H260,"0000"))&amp;"-D"&amp;TEXT(J260*1000,"0000")&amp;"-"&amp;IFERROR(VLOOKUP(E260,Lists!$AE$4:$AF$16,2,0),"??")&amp;"-"&amp;AM260)</f>
        <v/>
      </c>
      <c r="B260" s="10" t="str">
        <f aca="false">IF(D260="","",D260&amp;", "&amp;E260&amp;", "&amp;IF(F260="Circular",G260&amp;" dia",G260&amp;" x "&amp;H260)&amp;", depth "&amp;TEXT(I260,"0.0")&amp;"-"&amp;TEXT(J260,"0.0")&amp;" m, pipe up to "&amp;K260&amp;" dia")</f>
        <v/>
      </c>
      <c r="C260" s="9"/>
      <c r="D260" s="9"/>
      <c r="E260" s="9"/>
      <c r="F260" s="9"/>
      <c r="G260" s="38"/>
      <c r="H260" s="38"/>
      <c r="I260" s="42"/>
      <c r="J260" s="42"/>
      <c r="K260" s="38"/>
      <c r="L260" s="38"/>
      <c r="M260" s="38"/>
      <c r="N260" s="38"/>
      <c r="O260" s="9"/>
      <c r="P260" s="9"/>
      <c r="Q260" s="9"/>
      <c r="R260" s="9"/>
      <c r="S260" s="9"/>
      <c r="T260" s="9"/>
      <c r="U260" s="9"/>
      <c r="V260" s="42"/>
      <c r="W260" s="9"/>
      <c r="X260" s="9"/>
      <c r="Y260" s="39"/>
      <c r="Z260" s="9"/>
      <c r="AA260" s="38"/>
      <c r="AB260" s="9"/>
      <c r="AC260" s="9"/>
      <c r="AD260" s="9"/>
      <c r="AE260" s="9"/>
      <c r="AF260" s="9"/>
      <c r="AG260" s="9"/>
      <c r="AH260" s="38"/>
      <c r="AI260" s="9"/>
      <c r="AJ260" s="39"/>
      <c r="AK260" s="9"/>
      <c r="AL260" s="9"/>
      <c r="AM260" s="9"/>
      <c r="AN260" s="9"/>
      <c r="AO260" s="9"/>
      <c r="AP260" s="9"/>
      <c r="AQ260" s="9"/>
      <c r="AR260" s="10" t="str">
        <f aca="false">IF(A260="","",SG_Criteria!$B$6&amp;SG_Criteria!$B$10&amp;"\"&amp;A260&amp;"\")</f>
        <v/>
      </c>
      <c r="AS260" s="10" t="str">
        <f aca="false">IF(A260="","",A260&amp;"_CAD.dwg")</f>
        <v/>
      </c>
      <c r="AT260" s="10" t="str">
        <f aca="false">IF(A260="","",A260&amp;"_DWG.pdf")</f>
        <v/>
      </c>
      <c r="AU260" s="10" t="str">
        <f aca="false">IF(A260="","",IF(AQ260="Y",A260&amp;"_STAAD.std","n/a"))</f>
        <v/>
      </c>
      <c r="AV260" s="10" t="str">
        <f aca="false">IF(A260="","",A260&amp;"_CALC.xlsx")</f>
        <v/>
      </c>
      <c r="AW260" s="10" t="str">
        <f aca="false">IF(A260="","",A260&amp;"_CALC.pdf")</f>
        <v/>
      </c>
      <c r="AX260" s="9"/>
      <c r="AY260" s="9"/>
      <c r="AZ260" s="39"/>
      <c r="BA260" s="39"/>
      <c r="BB260" s="39"/>
      <c r="BC260" s="39"/>
      <c r="BD260" s="39"/>
      <c r="BE260" s="12" t="str">
        <f aca="false">IF(A260="","",IF(COUNTIF(Rebar_Schedule!$A$5:$A$2004,A260)=0,"",ROUND(SUMIF(Rebar_Schedule!$A$5:$A$2004,A260,Rebar_Schedule!$K$5:$K$2004),1)))</f>
        <v/>
      </c>
      <c r="BF260" s="33" t="str">
        <f aca="false">IF(A260="","",IF(BE260="","No rebar schedule yet",IF(ABS(BE260-N(BA260))/MAX(N(BA260),1)&gt;SG_Criteria!$B$55,"NOTE: register rebar differs from schedule by "&amp;TEXT(ABS(BE260-N(BA260))/MAX(N(BA260),1),"0%"),"OK")))</f>
        <v/>
      </c>
      <c r="BG260" s="33" t="str">
        <f aca="false">IF(D260="","",IF(LEN(IF(AND(Z260&lt;&gt;"",IFERROR(VALUE(MID(Z260,2,2)),0)&lt;SG_Criteria!$B$19),"FAIL: grade below C"&amp;SG_Criteria!$B$19&amp;". ","")&amp;IF(AND(AA260&lt;&gt;"",AA260&lt;SG_Criteria!$B$20),"FAIL: cover &lt; "&amp;SG_Criteria!$B$20&amp;" mm. ","")&amp;IF(AND(I260&lt;&gt;"",I260&lt;SG_Criteria!$B$39),"NOTE: min depth below PUB "&amp;SG_Criteria!$B$39&amp;" m. ","")&amp;IF(AND(LEFT(D260,8)="Standard",J260&gt;SG_Criteria!$B$42),"FAIL: PUB 001C covers manholes up to "&amp;SG_Criteria!$B$42&amp;" m deep only. ","")&amp;IF(AND(LEFT(D260,11)="Rectangular",K260&lt;SG_Criteria!$B$43),"NOTE: 004C is for sewers &gt;= "&amp;SG_Criteria!$B$43&amp;" dia. ","")&amp;IF(AND(LEFT(D260,7)="Precast",J260&lt;=SG_Criteria!$B$42),"NOTE: 006C is for manholes &gt; "&amp;SG_Criteria!$B$42&amp;" m deep. ","")&amp;IF(AND(K260&lt;&gt;"",K260&lt;SG_Criteria!$B$40,D260&lt;&gt;"Inspection Chamber"),"NOTE: public sewer min dia "&amp;SG_Criteria!$B$40&amp;" mm. ","")&amp;IF(AND(Y260&lt;&gt;"",Y260&lt;SG_Criteria!$B$44),"FAIL: uplift FOS below "&amp;SG_Criteria!$B$44&amp;". ",""))=0,"OK",IF(AND(Z260&lt;&gt;"",IFERROR(VALUE(MID(Z260,2,2)),0)&lt;SG_Criteria!$B$19),"FAIL: grade below C"&amp;SG_Criteria!$B$19&amp;". ","")&amp;IF(AND(AA260&lt;&gt;"",AA260&lt;SG_Criteria!$B$20),"FAIL: cover &lt; "&amp;SG_Criteria!$B$20&amp;" mm. ","")&amp;IF(AND(I260&lt;&gt;"",I260&lt;SG_Criteria!$B$39),"NOTE: min depth below PUB "&amp;SG_Criteria!$B$39&amp;" m. ","")&amp;IF(AND(LEFT(D260,8)="Standard",J260&gt;SG_Criteria!$B$42),"FAIL: PUB 001C covers manholes up to "&amp;SG_Criteria!$B$42&amp;" m deep only. ","")&amp;IF(AND(LEFT(D260,11)="Rectangular",K260&lt;SG_Criteria!$B$43),"NOTE: 004C is for sewers &gt;= "&amp;SG_Criteria!$B$43&amp;" dia. ","")&amp;IF(AND(LEFT(D260,7)="Precast",J260&lt;=SG_Criteria!$B$42),"NOTE: 006C is for manholes &gt; "&amp;SG_Criteria!$B$42&amp;" m deep. ","")&amp;IF(AND(K260&lt;&gt;"",K260&lt;SG_Criteria!$B$40,D260&lt;&gt;"Inspection Chamber"),"NOTE: public sewer min dia "&amp;SG_Criteria!$B$40&amp;" mm. ","")&amp;IF(AND(Y260&lt;&gt;"",Y260&lt;SG_Criteria!$B$44),"FAIL: uplift FOS below "&amp;SG_Criteria!$B$44&amp;". ","")))</f>
        <v/>
      </c>
      <c r="BH260" s="9"/>
      <c r="BI260" s="9"/>
      <c r="BJ260" s="9"/>
      <c r="BK260" s="10" t="str">
        <f aca="false">IF(BJ260="","",IFERROR(VLOOKUP(BJ260,Projects!$A$5:$D$504,2,0),"Ref not in Projects"))</f>
        <v/>
      </c>
      <c r="BL260" s="10" t="str">
        <f aca="false">IF(BJ260="","",IFERROR(VLOOKUP(BJ260,Projects!$A$5:$D$504,4,0),"Ref not in Projects"))</f>
        <v/>
      </c>
      <c r="BM260" s="9"/>
      <c r="BN260" s="9"/>
      <c r="BO260" s="9"/>
      <c r="BP260" s="40"/>
      <c r="BQ260" s="9"/>
      <c r="BR260" s="40"/>
      <c r="BS260" s="9"/>
      <c r="BT260" s="40"/>
      <c r="BU260" s="9"/>
      <c r="BV260" s="9"/>
      <c r="BW260" s="9"/>
      <c r="BX260" s="40"/>
      <c r="BY260" s="40"/>
      <c r="BZ260" s="36" t="str">
        <f aca="false">IF(BY260="","",EDATE(BY260,SG_Criteria!$B$54*12))</f>
        <v/>
      </c>
      <c r="CA260" s="33" t="str">
        <f aca="true">IF(A260="","",IF(BY260="","NOTE: not reviewed yet",IF(TODAY()&gt;BZ260,"NOTE: review overdue","OK")))</f>
        <v/>
      </c>
      <c r="CB260" s="37" t="str">
        <f aca="false">IF(A260="","",ROUND((IF(LEN(D260)&gt;0,1,0)+IF(LEN(E260)&gt;0,1,0)+IF(LEN(F260)&gt;0,1,0)+IF(LEN(G260)&gt;0,1,0)+IF(LEN(I260)&gt;0,1,0)+IF(LEN(J260)&gt;0,1,0)+IF(LEN(K260)&gt;0,1,0)+IF(LEN(L260)&gt;0,1,0)+IF(LEN(M260)&gt;0,1,0)+IF(LEN(N260)&gt;0,1,0)+IF(LEN(Z260)&gt;0,1,0)+IF(LEN(AA260)&gt;0,1,0)+IF(LEN(Y260)&gt;0,1,0)+IF(LEN(AE260)&gt;0,1,0)+IF(LEN(AG260)&gt;0,1,0)+IF(LEN(AZ260)&gt;0,1,0)+IF(LEN(AK260)&gt;0,1,0)+IF(LEN(AM260)&gt;0,1,0)+IF(LEN(AN260)&gt;0,1,0)+IF(LEN(AO260)&gt;0,1,0)+IF(LEN(AP260)&gt;0,1,0)+IF(LEN(AY260)&gt;0,1,0)+IF(LEN(BJ260)&gt;0,1,0)+IF(LEN(BW260)&gt;0,1,0))/24,2))</f>
        <v/>
      </c>
      <c r="CC260" s="10" t="str">
        <f aca="false">IF(D260="","",IF(AND(AN260="Approved",ISERROR(SEARCH("FAIL",BG260))),"Y","N"))</f>
        <v/>
      </c>
      <c r="CD260" s="10" t="str">
        <f aca="false">IF(D260="","",D260&amp;"|"&amp;J260&amp;"|"&amp;G260&amp;"|"&amp;CC260)</f>
        <v/>
      </c>
    </row>
    <row r="261" customFormat="false" ht="15" hidden="false" customHeight="false" outlineLevel="0" collapsed="false">
      <c r="A261" s="10" t="str">
        <f aca="false">IF(D261="","","MH-"&amp;IFERROR(VLOOKUP(D261,Lists!$AB$4:$AC$20,2,0),"??")&amp;"-"&amp;TEXT(G261,"0000")&amp;IF(F261="Circular","D","x"&amp;TEXT(H261,"0000"))&amp;"-D"&amp;TEXT(J261*1000,"0000")&amp;"-"&amp;IFERROR(VLOOKUP(E261,Lists!$AE$4:$AF$16,2,0),"??")&amp;"-"&amp;AM261)</f>
        <v/>
      </c>
      <c r="B261" s="10" t="str">
        <f aca="false">IF(D261="","",D261&amp;", "&amp;E261&amp;", "&amp;IF(F261="Circular",G261&amp;" dia",G261&amp;" x "&amp;H261)&amp;", depth "&amp;TEXT(I261,"0.0")&amp;"-"&amp;TEXT(J261,"0.0")&amp;" m, pipe up to "&amp;K261&amp;" dia")</f>
        <v/>
      </c>
      <c r="C261" s="9"/>
      <c r="D261" s="9"/>
      <c r="E261" s="9"/>
      <c r="F261" s="9"/>
      <c r="G261" s="38"/>
      <c r="H261" s="38"/>
      <c r="I261" s="42"/>
      <c r="J261" s="42"/>
      <c r="K261" s="38"/>
      <c r="L261" s="38"/>
      <c r="M261" s="38"/>
      <c r="N261" s="38"/>
      <c r="O261" s="9"/>
      <c r="P261" s="9"/>
      <c r="Q261" s="9"/>
      <c r="R261" s="9"/>
      <c r="S261" s="9"/>
      <c r="T261" s="9"/>
      <c r="U261" s="9"/>
      <c r="V261" s="42"/>
      <c r="W261" s="9"/>
      <c r="X261" s="9"/>
      <c r="Y261" s="39"/>
      <c r="Z261" s="9"/>
      <c r="AA261" s="38"/>
      <c r="AB261" s="9"/>
      <c r="AC261" s="9"/>
      <c r="AD261" s="9"/>
      <c r="AE261" s="9"/>
      <c r="AF261" s="9"/>
      <c r="AG261" s="9"/>
      <c r="AH261" s="38"/>
      <c r="AI261" s="9"/>
      <c r="AJ261" s="39"/>
      <c r="AK261" s="9"/>
      <c r="AL261" s="9"/>
      <c r="AM261" s="9"/>
      <c r="AN261" s="9"/>
      <c r="AO261" s="9"/>
      <c r="AP261" s="9"/>
      <c r="AQ261" s="9"/>
      <c r="AR261" s="10" t="str">
        <f aca="false">IF(A261="","",SG_Criteria!$B$6&amp;SG_Criteria!$B$10&amp;"\"&amp;A261&amp;"\")</f>
        <v/>
      </c>
      <c r="AS261" s="10" t="str">
        <f aca="false">IF(A261="","",A261&amp;"_CAD.dwg")</f>
        <v/>
      </c>
      <c r="AT261" s="10" t="str">
        <f aca="false">IF(A261="","",A261&amp;"_DWG.pdf")</f>
        <v/>
      </c>
      <c r="AU261" s="10" t="str">
        <f aca="false">IF(A261="","",IF(AQ261="Y",A261&amp;"_STAAD.std","n/a"))</f>
        <v/>
      </c>
      <c r="AV261" s="10" t="str">
        <f aca="false">IF(A261="","",A261&amp;"_CALC.xlsx")</f>
        <v/>
      </c>
      <c r="AW261" s="10" t="str">
        <f aca="false">IF(A261="","",A261&amp;"_CALC.pdf")</f>
        <v/>
      </c>
      <c r="AX261" s="9"/>
      <c r="AY261" s="9"/>
      <c r="AZ261" s="39"/>
      <c r="BA261" s="39"/>
      <c r="BB261" s="39"/>
      <c r="BC261" s="39"/>
      <c r="BD261" s="39"/>
      <c r="BE261" s="12" t="str">
        <f aca="false">IF(A261="","",IF(COUNTIF(Rebar_Schedule!$A$5:$A$2004,A261)=0,"",ROUND(SUMIF(Rebar_Schedule!$A$5:$A$2004,A261,Rebar_Schedule!$K$5:$K$2004),1)))</f>
        <v/>
      </c>
      <c r="BF261" s="33" t="str">
        <f aca="false">IF(A261="","",IF(BE261="","No rebar schedule yet",IF(ABS(BE261-N(BA261))/MAX(N(BA261),1)&gt;SG_Criteria!$B$55,"NOTE: register rebar differs from schedule by "&amp;TEXT(ABS(BE261-N(BA261))/MAX(N(BA261),1),"0%"),"OK")))</f>
        <v/>
      </c>
      <c r="BG261" s="33" t="str">
        <f aca="false">IF(D261="","",IF(LEN(IF(AND(Z261&lt;&gt;"",IFERROR(VALUE(MID(Z261,2,2)),0)&lt;SG_Criteria!$B$19),"FAIL: grade below C"&amp;SG_Criteria!$B$19&amp;". ","")&amp;IF(AND(AA261&lt;&gt;"",AA261&lt;SG_Criteria!$B$20),"FAIL: cover &lt; "&amp;SG_Criteria!$B$20&amp;" mm. ","")&amp;IF(AND(I261&lt;&gt;"",I261&lt;SG_Criteria!$B$39),"NOTE: min depth below PUB "&amp;SG_Criteria!$B$39&amp;" m. ","")&amp;IF(AND(LEFT(D261,8)="Standard",J261&gt;SG_Criteria!$B$42),"FAIL: PUB 001C covers manholes up to "&amp;SG_Criteria!$B$42&amp;" m deep only. ","")&amp;IF(AND(LEFT(D261,11)="Rectangular",K261&lt;SG_Criteria!$B$43),"NOTE: 004C is for sewers &gt;= "&amp;SG_Criteria!$B$43&amp;" dia. ","")&amp;IF(AND(LEFT(D261,7)="Precast",J261&lt;=SG_Criteria!$B$42),"NOTE: 006C is for manholes &gt; "&amp;SG_Criteria!$B$42&amp;" m deep. ","")&amp;IF(AND(K261&lt;&gt;"",K261&lt;SG_Criteria!$B$40,D261&lt;&gt;"Inspection Chamber"),"NOTE: public sewer min dia "&amp;SG_Criteria!$B$40&amp;" mm. ","")&amp;IF(AND(Y261&lt;&gt;"",Y261&lt;SG_Criteria!$B$44),"FAIL: uplift FOS below "&amp;SG_Criteria!$B$44&amp;". ",""))=0,"OK",IF(AND(Z261&lt;&gt;"",IFERROR(VALUE(MID(Z261,2,2)),0)&lt;SG_Criteria!$B$19),"FAIL: grade below C"&amp;SG_Criteria!$B$19&amp;". ","")&amp;IF(AND(AA261&lt;&gt;"",AA261&lt;SG_Criteria!$B$20),"FAIL: cover &lt; "&amp;SG_Criteria!$B$20&amp;" mm. ","")&amp;IF(AND(I261&lt;&gt;"",I261&lt;SG_Criteria!$B$39),"NOTE: min depth below PUB "&amp;SG_Criteria!$B$39&amp;" m. ","")&amp;IF(AND(LEFT(D261,8)="Standard",J261&gt;SG_Criteria!$B$42),"FAIL: PUB 001C covers manholes up to "&amp;SG_Criteria!$B$42&amp;" m deep only. ","")&amp;IF(AND(LEFT(D261,11)="Rectangular",K261&lt;SG_Criteria!$B$43),"NOTE: 004C is for sewers &gt;= "&amp;SG_Criteria!$B$43&amp;" dia. ","")&amp;IF(AND(LEFT(D261,7)="Precast",J261&lt;=SG_Criteria!$B$42),"NOTE: 006C is for manholes &gt; "&amp;SG_Criteria!$B$42&amp;" m deep. ","")&amp;IF(AND(K261&lt;&gt;"",K261&lt;SG_Criteria!$B$40,D261&lt;&gt;"Inspection Chamber"),"NOTE: public sewer min dia "&amp;SG_Criteria!$B$40&amp;" mm. ","")&amp;IF(AND(Y261&lt;&gt;"",Y261&lt;SG_Criteria!$B$44),"FAIL: uplift FOS below "&amp;SG_Criteria!$B$44&amp;". ","")))</f>
        <v/>
      </c>
      <c r="BH261" s="9"/>
      <c r="BI261" s="9"/>
      <c r="BJ261" s="9"/>
      <c r="BK261" s="10" t="str">
        <f aca="false">IF(BJ261="","",IFERROR(VLOOKUP(BJ261,Projects!$A$5:$D$504,2,0),"Ref not in Projects"))</f>
        <v/>
      </c>
      <c r="BL261" s="10" t="str">
        <f aca="false">IF(BJ261="","",IFERROR(VLOOKUP(BJ261,Projects!$A$5:$D$504,4,0),"Ref not in Projects"))</f>
        <v/>
      </c>
      <c r="BM261" s="9"/>
      <c r="BN261" s="9"/>
      <c r="BO261" s="9"/>
      <c r="BP261" s="40"/>
      <c r="BQ261" s="9"/>
      <c r="BR261" s="40"/>
      <c r="BS261" s="9"/>
      <c r="BT261" s="40"/>
      <c r="BU261" s="9"/>
      <c r="BV261" s="9"/>
      <c r="BW261" s="9"/>
      <c r="BX261" s="40"/>
      <c r="BY261" s="40"/>
      <c r="BZ261" s="36" t="str">
        <f aca="false">IF(BY261="","",EDATE(BY261,SG_Criteria!$B$54*12))</f>
        <v/>
      </c>
      <c r="CA261" s="33" t="str">
        <f aca="true">IF(A261="","",IF(BY261="","NOTE: not reviewed yet",IF(TODAY()&gt;BZ261,"NOTE: review overdue","OK")))</f>
        <v/>
      </c>
      <c r="CB261" s="37" t="str">
        <f aca="false">IF(A261="","",ROUND((IF(LEN(D261)&gt;0,1,0)+IF(LEN(E261)&gt;0,1,0)+IF(LEN(F261)&gt;0,1,0)+IF(LEN(G261)&gt;0,1,0)+IF(LEN(I261)&gt;0,1,0)+IF(LEN(J261)&gt;0,1,0)+IF(LEN(K261)&gt;0,1,0)+IF(LEN(L261)&gt;0,1,0)+IF(LEN(M261)&gt;0,1,0)+IF(LEN(N261)&gt;0,1,0)+IF(LEN(Z261)&gt;0,1,0)+IF(LEN(AA261)&gt;0,1,0)+IF(LEN(Y261)&gt;0,1,0)+IF(LEN(AE261)&gt;0,1,0)+IF(LEN(AG261)&gt;0,1,0)+IF(LEN(AZ261)&gt;0,1,0)+IF(LEN(AK261)&gt;0,1,0)+IF(LEN(AM261)&gt;0,1,0)+IF(LEN(AN261)&gt;0,1,0)+IF(LEN(AO261)&gt;0,1,0)+IF(LEN(AP261)&gt;0,1,0)+IF(LEN(AY261)&gt;0,1,0)+IF(LEN(BJ261)&gt;0,1,0)+IF(LEN(BW261)&gt;0,1,0))/24,2))</f>
        <v/>
      </c>
      <c r="CC261" s="10" t="str">
        <f aca="false">IF(D261="","",IF(AND(AN261="Approved",ISERROR(SEARCH("FAIL",BG261))),"Y","N"))</f>
        <v/>
      </c>
      <c r="CD261" s="10" t="str">
        <f aca="false">IF(D261="","",D261&amp;"|"&amp;J261&amp;"|"&amp;G261&amp;"|"&amp;CC261)</f>
        <v/>
      </c>
    </row>
    <row r="262" customFormat="false" ht="15" hidden="false" customHeight="false" outlineLevel="0" collapsed="false">
      <c r="A262" s="10" t="str">
        <f aca="false">IF(D262="","","MH-"&amp;IFERROR(VLOOKUP(D262,Lists!$AB$4:$AC$20,2,0),"??")&amp;"-"&amp;TEXT(G262,"0000")&amp;IF(F262="Circular","D","x"&amp;TEXT(H262,"0000"))&amp;"-D"&amp;TEXT(J262*1000,"0000")&amp;"-"&amp;IFERROR(VLOOKUP(E262,Lists!$AE$4:$AF$16,2,0),"??")&amp;"-"&amp;AM262)</f>
        <v/>
      </c>
      <c r="B262" s="10" t="str">
        <f aca="false">IF(D262="","",D262&amp;", "&amp;E262&amp;", "&amp;IF(F262="Circular",G262&amp;" dia",G262&amp;" x "&amp;H262)&amp;", depth "&amp;TEXT(I262,"0.0")&amp;"-"&amp;TEXT(J262,"0.0")&amp;" m, pipe up to "&amp;K262&amp;" dia")</f>
        <v/>
      </c>
      <c r="C262" s="9"/>
      <c r="D262" s="9"/>
      <c r="E262" s="9"/>
      <c r="F262" s="9"/>
      <c r="G262" s="38"/>
      <c r="H262" s="38"/>
      <c r="I262" s="42"/>
      <c r="J262" s="42"/>
      <c r="K262" s="38"/>
      <c r="L262" s="38"/>
      <c r="M262" s="38"/>
      <c r="N262" s="38"/>
      <c r="O262" s="9"/>
      <c r="P262" s="9"/>
      <c r="Q262" s="9"/>
      <c r="R262" s="9"/>
      <c r="S262" s="9"/>
      <c r="T262" s="9"/>
      <c r="U262" s="9"/>
      <c r="V262" s="42"/>
      <c r="W262" s="9"/>
      <c r="X262" s="9"/>
      <c r="Y262" s="39"/>
      <c r="Z262" s="9"/>
      <c r="AA262" s="38"/>
      <c r="AB262" s="9"/>
      <c r="AC262" s="9"/>
      <c r="AD262" s="9"/>
      <c r="AE262" s="9"/>
      <c r="AF262" s="9"/>
      <c r="AG262" s="9"/>
      <c r="AH262" s="38"/>
      <c r="AI262" s="9"/>
      <c r="AJ262" s="39"/>
      <c r="AK262" s="9"/>
      <c r="AL262" s="9"/>
      <c r="AM262" s="9"/>
      <c r="AN262" s="9"/>
      <c r="AO262" s="9"/>
      <c r="AP262" s="9"/>
      <c r="AQ262" s="9"/>
      <c r="AR262" s="10" t="str">
        <f aca="false">IF(A262="","",SG_Criteria!$B$6&amp;SG_Criteria!$B$10&amp;"\"&amp;A262&amp;"\")</f>
        <v/>
      </c>
      <c r="AS262" s="10" t="str">
        <f aca="false">IF(A262="","",A262&amp;"_CAD.dwg")</f>
        <v/>
      </c>
      <c r="AT262" s="10" t="str">
        <f aca="false">IF(A262="","",A262&amp;"_DWG.pdf")</f>
        <v/>
      </c>
      <c r="AU262" s="10" t="str">
        <f aca="false">IF(A262="","",IF(AQ262="Y",A262&amp;"_STAAD.std","n/a"))</f>
        <v/>
      </c>
      <c r="AV262" s="10" t="str">
        <f aca="false">IF(A262="","",A262&amp;"_CALC.xlsx")</f>
        <v/>
      </c>
      <c r="AW262" s="10" t="str">
        <f aca="false">IF(A262="","",A262&amp;"_CALC.pdf")</f>
        <v/>
      </c>
      <c r="AX262" s="9"/>
      <c r="AY262" s="9"/>
      <c r="AZ262" s="39"/>
      <c r="BA262" s="39"/>
      <c r="BB262" s="39"/>
      <c r="BC262" s="39"/>
      <c r="BD262" s="39"/>
      <c r="BE262" s="12" t="str">
        <f aca="false">IF(A262="","",IF(COUNTIF(Rebar_Schedule!$A$5:$A$2004,A262)=0,"",ROUND(SUMIF(Rebar_Schedule!$A$5:$A$2004,A262,Rebar_Schedule!$K$5:$K$2004),1)))</f>
        <v/>
      </c>
      <c r="BF262" s="33" t="str">
        <f aca="false">IF(A262="","",IF(BE262="","No rebar schedule yet",IF(ABS(BE262-N(BA262))/MAX(N(BA262),1)&gt;SG_Criteria!$B$55,"NOTE: register rebar differs from schedule by "&amp;TEXT(ABS(BE262-N(BA262))/MAX(N(BA262),1),"0%"),"OK")))</f>
        <v/>
      </c>
      <c r="BG262" s="33" t="str">
        <f aca="false">IF(D262="","",IF(LEN(IF(AND(Z262&lt;&gt;"",IFERROR(VALUE(MID(Z262,2,2)),0)&lt;SG_Criteria!$B$19),"FAIL: grade below C"&amp;SG_Criteria!$B$19&amp;". ","")&amp;IF(AND(AA262&lt;&gt;"",AA262&lt;SG_Criteria!$B$20),"FAIL: cover &lt; "&amp;SG_Criteria!$B$20&amp;" mm. ","")&amp;IF(AND(I262&lt;&gt;"",I262&lt;SG_Criteria!$B$39),"NOTE: min depth below PUB "&amp;SG_Criteria!$B$39&amp;" m. ","")&amp;IF(AND(LEFT(D262,8)="Standard",J262&gt;SG_Criteria!$B$42),"FAIL: PUB 001C covers manholes up to "&amp;SG_Criteria!$B$42&amp;" m deep only. ","")&amp;IF(AND(LEFT(D262,11)="Rectangular",K262&lt;SG_Criteria!$B$43),"NOTE: 004C is for sewers &gt;= "&amp;SG_Criteria!$B$43&amp;" dia. ","")&amp;IF(AND(LEFT(D262,7)="Precast",J262&lt;=SG_Criteria!$B$42),"NOTE: 006C is for manholes &gt; "&amp;SG_Criteria!$B$42&amp;" m deep. ","")&amp;IF(AND(K262&lt;&gt;"",K262&lt;SG_Criteria!$B$40,D262&lt;&gt;"Inspection Chamber"),"NOTE: public sewer min dia "&amp;SG_Criteria!$B$40&amp;" mm. ","")&amp;IF(AND(Y262&lt;&gt;"",Y262&lt;SG_Criteria!$B$44),"FAIL: uplift FOS below "&amp;SG_Criteria!$B$44&amp;". ",""))=0,"OK",IF(AND(Z262&lt;&gt;"",IFERROR(VALUE(MID(Z262,2,2)),0)&lt;SG_Criteria!$B$19),"FAIL: grade below C"&amp;SG_Criteria!$B$19&amp;". ","")&amp;IF(AND(AA262&lt;&gt;"",AA262&lt;SG_Criteria!$B$20),"FAIL: cover &lt; "&amp;SG_Criteria!$B$20&amp;" mm. ","")&amp;IF(AND(I262&lt;&gt;"",I262&lt;SG_Criteria!$B$39),"NOTE: min depth below PUB "&amp;SG_Criteria!$B$39&amp;" m. ","")&amp;IF(AND(LEFT(D262,8)="Standard",J262&gt;SG_Criteria!$B$42),"FAIL: PUB 001C covers manholes up to "&amp;SG_Criteria!$B$42&amp;" m deep only. ","")&amp;IF(AND(LEFT(D262,11)="Rectangular",K262&lt;SG_Criteria!$B$43),"NOTE: 004C is for sewers &gt;= "&amp;SG_Criteria!$B$43&amp;" dia. ","")&amp;IF(AND(LEFT(D262,7)="Precast",J262&lt;=SG_Criteria!$B$42),"NOTE: 006C is for manholes &gt; "&amp;SG_Criteria!$B$42&amp;" m deep. ","")&amp;IF(AND(K262&lt;&gt;"",K262&lt;SG_Criteria!$B$40,D262&lt;&gt;"Inspection Chamber"),"NOTE: public sewer min dia "&amp;SG_Criteria!$B$40&amp;" mm. ","")&amp;IF(AND(Y262&lt;&gt;"",Y262&lt;SG_Criteria!$B$44),"FAIL: uplift FOS below "&amp;SG_Criteria!$B$44&amp;". ","")))</f>
        <v/>
      </c>
      <c r="BH262" s="9"/>
      <c r="BI262" s="9"/>
      <c r="BJ262" s="9"/>
      <c r="BK262" s="10" t="str">
        <f aca="false">IF(BJ262="","",IFERROR(VLOOKUP(BJ262,Projects!$A$5:$D$504,2,0),"Ref not in Projects"))</f>
        <v/>
      </c>
      <c r="BL262" s="10" t="str">
        <f aca="false">IF(BJ262="","",IFERROR(VLOOKUP(BJ262,Projects!$A$5:$D$504,4,0),"Ref not in Projects"))</f>
        <v/>
      </c>
      <c r="BM262" s="9"/>
      <c r="BN262" s="9"/>
      <c r="BO262" s="9"/>
      <c r="BP262" s="40"/>
      <c r="BQ262" s="9"/>
      <c r="BR262" s="40"/>
      <c r="BS262" s="9"/>
      <c r="BT262" s="40"/>
      <c r="BU262" s="9"/>
      <c r="BV262" s="9"/>
      <c r="BW262" s="9"/>
      <c r="BX262" s="40"/>
      <c r="BY262" s="40"/>
      <c r="BZ262" s="36" t="str">
        <f aca="false">IF(BY262="","",EDATE(BY262,SG_Criteria!$B$54*12))</f>
        <v/>
      </c>
      <c r="CA262" s="33" t="str">
        <f aca="true">IF(A262="","",IF(BY262="","NOTE: not reviewed yet",IF(TODAY()&gt;BZ262,"NOTE: review overdue","OK")))</f>
        <v/>
      </c>
      <c r="CB262" s="37" t="str">
        <f aca="false">IF(A262="","",ROUND((IF(LEN(D262)&gt;0,1,0)+IF(LEN(E262)&gt;0,1,0)+IF(LEN(F262)&gt;0,1,0)+IF(LEN(G262)&gt;0,1,0)+IF(LEN(I262)&gt;0,1,0)+IF(LEN(J262)&gt;0,1,0)+IF(LEN(K262)&gt;0,1,0)+IF(LEN(L262)&gt;0,1,0)+IF(LEN(M262)&gt;0,1,0)+IF(LEN(N262)&gt;0,1,0)+IF(LEN(Z262)&gt;0,1,0)+IF(LEN(AA262)&gt;0,1,0)+IF(LEN(Y262)&gt;0,1,0)+IF(LEN(AE262)&gt;0,1,0)+IF(LEN(AG262)&gt;0,1,0)+IF(LEN(AZ262)&gt;0,1,0)+IF(LEN(AK262)&gt;0,1,0)+IF(LEN(AM262)&gt;0,1,0)+IF(LEN(AN262)&gt;0,1,0)+IF(LEN(AO262)&gt;0,1,0)+IF(LEN(AP262)&gt;0,1,0)+IF(LEN(AY262)&gt;0,1,0)+IF(LEN(BJ262)&gt;0,1,0)+IF(LEN(BW262)&gt;0,1,0))/24,2))</f>
        <v/>
      </c>
      <c r="CC262" s="10" t="str">
        <f aca="false">IF(D262="","",IF(AND(AN262="Approved",ISERROR(SEARCH("FAIL",BG262))),"Y","N"))</f>
        <v/>
      </c>
      <c r="CD262" s="10" t="str">
        <f aca="false">IF(D262="","",D262&amp;"|"&amp;J262&amp;"|"&amp;G262&amp;"|"&amp;CC262)</f>
        <v/>
      </c>
    </row>
    <row r="263" customFormat="false" ht="15" hidden="false" customHeight="false" outlineLevel="0" collapsed="false">
      <c r="A263" s="10" t="str">
        <f aca="false">IF(D263="","","MH-"&amp;IFERROR(VLOOKUP(D263,Lists!$AB$4:$AC$20,2,0),"??")&amp;"-"&amp;TEXT(G263,"0000")&amp;IF(F263="Circular","D","x"&amp;TEXT(H263,"0000"))&amp;"-D"&amp;TEXT(J263*1000,"0000")&amp;"-"&amp;IFERROR(VLOOKUP(E263,Lists!$AE$4:$AF$16,2,0),"??")&amp;"-"&amp;AM263)</f>
        <v/>
      </c>
      <c r="B263" s="10" t="str">
        <f aca="false">IF(D263="","",D263&amp;", "&amp;E263&amp;", "&amp;IF(F263="Circular",G263&amp;" dia",G263&amp;" x "&amp;H263)&amp;", depth "&amp;TEXT(I263,"0.0")&amp;"-"&amp;TEXT(J263,"0.0")&amp;" m, pipe up to "&amp;K263&amp;" dia")</f>
        <v/>
      </c>
      <c r="C263" s="9"/>
      <c r="D263" s="9"/>
      <c r="E263" s="9"/>
      <c r="F263" s="9"/>
      <c r="G263" s="38"/>
      <c r="H263" s="38"/>
      <c r="I263" s="42"/>
      <c r="J263" s="42"/>
      <c r="K263" s="38"/>
      <c r="L263" s="38"/>
      <c r="M263" s="38"/>
      <c r="N263" s="38"/>
      <c r="O263" s="9"/>
      <c r="P263" s="9"/>
      <c r="Q263" s="9"/>
      <c r="R263" s="9"/>
      <c r="S263" s="9"/>
      <c r="T263" s="9"/>
      <c r="U263" s="9"/>
      <c r="V263" s="42"/>
      <c r="W263" s="9"/>
      <c r="X263" s="9"/>
      <c r="Y263" s="39"/>
      <c r="Z263" s="9"/>
      <c r="AA263" s="38"/>
      <c r="AB263" s="9"/>
      <c r="AC263" s="9"/>
      <c r="AD263" s="9"/>
      <c r="AE263" s="9"/>
      <c r="AF263" s="9"/>
      <c r="AG263" s="9"/>
      <c r="AH263" s="38"/>
      <c r="AI263" s="9"/>
      <c r="AJ263" s="39"/>
      <c r="AK263" s="9"/>
      <c r="AL263" s="9"/>
      <c r="AM263" s="9"/>
      <c r="AN263" s="9"/>
      <c r="AO263" s="9"/>
      <c r="AP263" s="9"/>
      <c r="AQ263" s="9"/>
      <c r="AR263" s="10" t="str">
        <f aca="false">IF(A263="","",SG_Criteria!$B$6&amp;SG_Criteria!$B$10&amp;"\"&amp;A263&amp;"\")</f>
        <v/>
      </c>
      <c r="AS263" s="10" t="str">
        <f aca="false">IF(A263="","",A263&amp;"_CAD.dwg")</f>
        <v/>
      </c>
      <c r="AT263" s="10" t="str">
        <f aca="false">IF(A263="","",A263&amp;"_DWG.pdf")</f>
        <v/>
      </c>
      <c r="AU263" s="10" t="str">
        <f aca="false">IF(A263="","",IF(AQ263="Y",A263&amp;"_STAAD.std","n/a"))</f>
        <v/>
      </c>
      <c r="AV263" s="10" t="str">
        <f aca="false">IF(A263="","",A263&amp;"_CALC.xlsx")</f>
        <v/>
      </c>
      <c r="AW263" s="10" t="str">
        <f aca="false">IF(A263="","",A263&amp;"_CALC.pdf")</f>
        <v/>
      </c>
      <c r="AX263" s="9"/>
      <c r="AY263" s="9"/>
      <c r="AZ263" s="39"/>
      <c r="BA263" s="39"/>
      <c r="BB263" s="39"/>
      <c r="BC263" s="39"/>
      <c r="BD263" s="39"/>
      <c r="BE263" s="12" t="str">
        <f aca="false">IF(A263="","",IF(COUNTIF(Rebar_Schedule!$A$5:$A$2004,A263)=0,"",ROUND(SUMIF(Rebar_Schedule!$A$5:$A$2004,A263,Rebar_Schedule!$K$5:$K$2004),1)))</f>
        <v/>
      </c>
      <c r="BF263" s="33" t="str">
        <f aca="false">IF(A263="","",IF(BE263="","No rebar schedule yet",IF(ABS(BE263-N(BA263))/MAX(N(BA263),1)&gt;SG_Criteria!$B$55,"NOTE: register rebar differs from schedule by "&amp;TEXT(ABS(BE263-N(BA263))/MAX(N(BA263),1),"0%"),"OK")))</f>
        <v/>
      </c>
      <c r="BG263" s="33" t="str">
        <f aca="false">IF(D263="","",IF(LEN(IF(AND(Z263&lt;&gt;"",IFERROR(VALUE(MID(Z263,2,2)),0)&lt;SG_Criteria!$B$19),"FAIL: grade below C"&amp;SG_Criteria!$B$19&amp;". ","")&amp;IF(AND(AA263&lt;&gt;"",AA263&lt;SG_Criteria!$B$20),"FAIL: cover &lt; "&amp;SG_Criteria!$B$20&amp;" mm. ","")&amp;IF(AND(I263&lt;&gt;"",I263&lt;SG_Criteria!$B$39),"NOTE: min depth below PUB "&amp;SG_Criteria!$B$39&amp;" m. ","")&amp;IF(AND(LEFT(D263,8)="Standard",J263&gt;SG_Criteria!$B$42),"FAIL: PUB 001C covers manholes up to "&amp;SG_Criteria!$B$42&amp;" m deep only. ","")&amp;IF(AND(LEFT(D263,11)="Rectangular",K263&lt;SG_Criteria!$B$43),"NOTE: 004C is for sewers &gt;= "&amp;SG_Criteria!$B$43&amp;" dia. ","")&amp;IF(AND(LEFT(D263,7)="Precast",J263&lt;=SG_Criteria!$B$42),"NOTE: 006C is for manholes &gt; "&amp;SG_Criteria!$B$42&amp;" m deep. ","")&amp;IF(AND(K263&lt;&gt;"",K263&lt;SG_Criteria!$B$40,D263&lt;&gt;"Inspection Chamber"),"NOTE: public sewer min dia "&amp;SG_Criteria!$B$40&amp;" mm. ","")&amp;IF(AND(Y263&lt;&gt;"",Y263&lt;SG_Criteria!$B$44),"FAIL: uplift FOS below "&amp;SG_Criteria!$B$44&amp;". ",""))=0,"OK",IF(AND(Z263&lt;&gt;"",IFERROR(VALUE(MID(Z263,2,2)),0)&lt;SG_Criteria!$B$19),"FAIL: grade below C"&amp;SG_Criteria!$B$19&amp;". ","")&amp;IF(AND(AA263&lt;&gt;"",AA263&lt;SG_Criteria!$B$20),"FAIL: cover &lt; "&amp;SG_Criteria!$B$20&amp;" mm. ","")&amp;IF(AND(I263&lt;&gt;"",I263&lt;SG_Criteria!$B$39),"NOTE: min depth below PUB "&amp;SG_Criteria!$B$39&amp;" m. ","")&amp;IF(AND(LEFT(D263,8)="Standard",J263&gt;SG_Criteria!$B$42),"FAIL: PUB 001C covers manholes up to "&amp;SG_Criteria!$B$42&amp;" m deep only. ","")&amp;IF(AND(LEFT(D263,11)="Rectangular",K263&lt;SG_Criteria!$B$43),"NOTE: 004C is for sewers &gt;= "&amp;SG_Criteria!$B$43&amp;" dia. ","")&amp;IF(AND(LEFT(D263,7)="Precast",J263&lt;=SG_Criteria!$B$42),"NOTE: 006C is for manholes &gt; "&amp;SG_Criteria!$B$42&amp;" m deep. ","")&amp;IF(AND(K263&lt;&gt;"",K263&lt;SG_Criteria!$B$40,D263&lt;&gt;"Inspection Chamber"),"NOTE: public sewer min dia "&amp;SG_Criteria!$B$40&amp;" mm. ","")&amp;IF(AND(Y263&lt;&gt;"",Y263&lt;SG_Criteria!$B$44),"FAIL: uplift FOS below "&amp;SG_Criteria!$B$44&amp;". ","")))</f>
        <v/>
      </c>
      <c r="BH263" s="9"/>
      <c r="BI263" s="9"/>
      <c r="BJ263" s="9"/>
      <c r="BK263" s="10" t="str">
        <f aca="false">IF(BJ263="","",IFERROR(VLOOKUP(BJ263,Projects!$A$5:$D$504,2,0),"Ref not in Projects"))</f>
        <v/>
      </c>
      <c r="BL263" s="10" t="str">
        <f aca="false">IF(BJ263="","",IFERROR(VLOOKUP(BJ263,Projects!$A$5:$D$504,4,0),"Ref not in Projects"))</f>
        <v/>
      </c>
      <c r="BM263" s="9"/>
      <c r="BN263" s="9"/>
      <c r="BO263" s="9"/>
      <c r="BP263" s="40"/>
      <c r="BQ263" s="9"/>
      <c r="BR263" s="40"/>
      <c r="BS263" s="9"/>
      <c r="BT263" s="40"/>
      <c r="BU263" s="9"/>
      <c r="BV263" s="9"/>
      <c r="BW263" s="9"/>
      <c r="BX263" s="40"/>
      <c r="BY263" s="40"/>
      <c r="BZ263" s="36" t="str">
        <f aca="false">IF(BY263="","",EDATE(BY263,SG_Criteria!$B$54*12))</f>
        <v/>
      </c>
      <c r="CA263" s="33" t="str">
        <f aca="true">IF(A263="","",IF(BY263="","NOTE: not reviewed yet",IF(TODAY()&gt;BZ263,"NOTE: review overdue","OK")))</f>
        <v/>
      </c>
      <c r="CB263" s="37" t="str">
        <f aca="false">IF(A263="","",ROUND((IF(LEN(D263)&gt;0,1,0)+IF(LEN(E263)&gt;0,1,0)+IF(LEN(F263)&gt;0,1,0)+IF(LEN(G263)&gt;0,1,0)+IF(LEN(I263)&gt;0,1,0)+IF(LEN(J263)&gt;0,1,0)+IF(LEN(K263)&gt;0,1,0)+IF(LEN(L263)&gt;0,1,0)+IF(LEN(M263)&gt;0,1,0)+IF(LEN(N263)&gt;0,1,0)+IF(LEN(Z263)&gt;0,1,0)+IF(LEN(AA263)&gt;0,1,0)+IF(LEN(Y263)&gt;0,1,0)+IF(LEN(AE263)&gt;0,1,0)+IF(LEN(AG263)&gt;0,1,0)+IF(LEN(AZ263)&gt;0,1,0)+IF(LEN(AK263)&gt;0,1,0)+IF(LEN(AM263)&gt;0,1,0)+IF(LEN(AN263)&gt;0,1,0)+IF(LEN(AO263)&gt;0,1,0)+IF(LEN(AP263)&gt;0,1,0)+IF(LEN(AY263)&gt;0,1,0)+IF(LEN(BJ263)&gt;0,1,0)+IF(LEN(BW263)&gt;0,1,0))/24,2))</f>
        <v/>
      </c>
      <c r="CC263" s="10" t="str">
        <f aca="false">IF(D263="","",IF(AND(AN263="Approved",ISERROR(SEARCH("FAIL",BG263))),"Y","N"))</f>
        <v/>
      </c>
      <c r="CD263" s="10" t="str">
        <f aca="false">IF(D263="","",D263&amp;"|"&amp;J263&amp;"|"&amp;G263&amp;"|"&amp;CC263)</f>
        <v/>
      </c>
    </row>
    <row r="264" customFormat="false" ht="15" hidden="false" customHeight="false" outlineLevel="0" collapsed="false">
      <c r="A264" s="10" t="str">
        <f aca="false">IF(D264="","","MH-"&amp;IFERROR(VLOOKUP(D264,Lists!$AB$4:$AC$20,2,0),"??")&amp;"-"&amp;TEXT(G264,"0000")&amp;IF(F264="Circular","D","x"&amp;TEXT(H264,"0000"))&amp;"-D"&amp;TEXT(J264*1000,"0000")&amp;"-"&amp;IFERROR(VLOOKUP(E264,Lists!$AE$4:$AF$16,2,0),"??")&amp;"-"&amp;AM264)</f>
        <v/>
      </c>
      <c r="B264" s="10" t="str">
        <f aca="false">IF(D264="","",D264&amp;", "&amp;E264&amp;", "&amp;IF(F264="Circular",G264&amp;" dia",G264&amp;" x "&amp;H264)&amp;", depth "&amp;TEXT(I264,"0.0")&amp;"-"&amp;TEXT(J264,"0.0")&amp;" m, pipe up to "&amp;K264&amp;" dia")</f>
        <v/>
      </c>
      <c r="C264" s="9"/>
      <c r="D264" s="9"/>
      <c r="E264" s="9"/>
      <c r="F264" s="9"/>
      <c r="G264" s="38"/>
      <c r="H264" s="38"/>
      <c r="I264" s="42"/>
      <c r="J264" s="42"/>
      <c r="K264" s="38"/>
      <c r="L264" s="38"/>
      <c r="M264" s="38"/>
      <c r="N264" s="38"/>
      <c r="O264" s="9"/>
      <c r="P264" s="9"/>
      <c r="Q264" s="9"/>
      <c r="R264" s="9"/>
      <c r="S264" s="9"/>
      <c r="T264" s="9"/>
      <c r="U264" s="9"/>
      <c r="V264" s="42"/>
      <c r="W264" s="9"/>
      <c r="X264" s="9"/>
      <c r="Y264" s="39"/>
      <c r="Z264" s="9"/>
      <c r="AA264" s="38"/>
      <c r="AB264" s="9"/>
      <c r="AC264" s="9"/>
      <c r="AD264" s="9"/>
      <c r="AE264" s="9"/>
      <c r="AF264" s="9"/>
      <c r="AG264" s="9"/>
      <c r="AH264" s="38"/>
      <c r="AI264" s="9"/>
      <c r="AJ264" s="39"/>
      <c r="AK264" s="9"/>
      <c r="AL264" s="9"/>
      <c r="AM264" s="9"/>
      <c r="AN264" s="9"/>
      <c r="AO264" s="9"/>
      <c r="AP264" s="9"/>
      <c r="AQ264" s="9"/>
      <c r="AR264" s="10" t="str">
        <f aca="false">IF(A264="","",SG_Criteria!$B$6&amp;SG_Criteria!$B$10&amp;"\"&amp;A264&amp;"\")</f>
        <v/>
      </c>
      <c r="AS264" s="10" t="str">
        <f aca="false">IF(A264="","",A264&amp;"_CAD.dwg")</f>
        <v/>
      </c>
      <c r="AT264" s="10" t="str">
        <f aca="false">IF(A264="","",A264&amp;"_DWG.pdf")</f>
        <v/>
      </c>
      <c r="AU264" s="10" t="str">
        <f aca="false">IF(A264="","",IF(AQ264="Y",A264&amp;"_STAAD.std","n/a"))</f>
        <v/>
      </c>
      <c r="AV264" s="10" t="str">
        <f aca="false">IF(A264="","",A264&amp;"_CALC.xlsx")</f>
        <v/>
      </c>
      <c r="AW264" s="10" t="str">
        <f aca="false">IF(A264="","",A264&amp;"_CALC.pdf")</f>
        <v/>
      </c>
      <c r="AX264" s="9"/>
      <c r="AY264" s="9"/>
      <c r="AZ264" s="39"/>
      <c r="BA264" s="39"/>
      <c r="BB264" s="39"/>
      <c r="BC264" s="39"/>
      <c r="BD264" s="39"/>
      <c r="BE264" s="12" t="str">
        <f aca="false">IF(A264="","",IF(COUNTIF(Rebar_Schedule!$A$5:$A$2004,A264)=0,"",ROUND(SUMIF(Rebar_Schedule!$A$5:$A$2004,A264,Rebar_Schedule!$K$5:$K$2004),1)))</f>
        <v/>
      </c>
      <c r="BF264" s="33" t="str">
        <f aca="false">IF(A264="","",IF(BE264="","No rebar schedule yet",IF(ABS(BE264-N(BA264))/MAX(N(BA264),1)&gt;SG_Criteria!$B$55,"NOTE: register rebar differs from schedule by "&amp;TEXT(ABS(BE264-N(BA264))/MAX(N(BA264),1),"0%"),"OK")))</f>
        <v/>
      </c>
      <c r="BG264" s="33" t="str">
        <f aca="false">IF(D264="","",IF(LEN(IF(AND(Z264&lt;&gt;"",IFERROR(VALUE(MID(Z264,2,2)),0)&lt;SG_Criteria!$B$19),"FAIL: grade below C"&amp;SG_Criteria!$B$19&amp;". ","")&amp;IF(AND(AA264&lt;&gt;"",AA264&lt;SG_Criteria!$B$20),"FAIL: cover &lt; "&amp;SG_Criteria!$B$20&amp;" mm. ","")&amp;IF(AND(I264&lt;&gt;"",I264&lt;SG_Criteria!$B$39),"NOTE: min depth below PUB "&amp;SG_Criteria!$B$39&amp;" m. ","")&amp;IF(AND(LEFT(D264,8)="Standard",J264&gt;SG_Criteria!$B$42),"FAIL: PUB 001C covers manholes up to "&amp;SG_Criteria!$B$42&amp;" m deep only. ","")&amp;IF(AND(LEFT(D264,11)="Rectangular",K264&lt;SG_Criteria!$B$43),"NOTE: 004C is for sewers &gt;= "&amp;SG_Criteria!$B$43&amp;" dia. ","")&amp;IF(AND(LEFT(D264,7)="Precast",J264&lt;=SG_Criteria!$B$42),"NOTE: 006C is for manholes &gt; "&amp;SG_Criteria!$B$42&amp;" m deep. ","")&amp;IF(AND(K264&lt;&gt;"",K264&lt;SG_Criteria!$B$40,D264&lt;&gt;"Inspection Chamber"),"NOTE: public sewer min dia "&amp;SG_Criteria!$B$40&amp;" mm. ","")&amp;IF(AND(Y264&lt;&gt;"",Y264&lt;SG_Criteria!$B$44),"FAIL: uplift FOS below "&amp;SG_Criteria!$B$44&amp;". ",""))=0,"OK",IF(AND(Z264&lt;&gt;"",IFERROR(VALUE(MID(Z264,2,2)),0)&lt;SG_Criteria!$B$19),"FAIL: grade below C"&amp;SG_Criteria!$B$19&amp;". ","")&amp;IF(AND(AA264&lt;&gt;"",AA264&lt;SG_Criteria!$B$20),"FAIL: cover &lt; "&amp;SG_Criteria!$B$20&amp;" mm. ","")&amp;IF(AND(I264&lt;&gt;"",I264&lt;SG_Criteria!$B$39),"NOTE: min depth below PUB "&amp;SG_Criteria!$B$39&amp;" m. ","")&amp;IF(AND(LEFT(D264,8)="Standard",J264&gt;SG_Criteria!$B$42),"FAIL: PUB 001C covers manholes up to "&amp;SG_Criteria!$B$42&amp;" m deep only. ","")&amp;IF(AND(LEFT(D264,11)="Rectangular",K264&lt;SG_Criteria!$B$43),"NOTE: 004C is for sewers &gt;= "&amp;SG_Criteria!$B$43&amp;" dia. ","")&amp;IF(AND(LEFT(D264,7)="Precast",J264&lt;=SG_Criteria!$B$42),"NOTE: 006C is for manholes &gt; "&amp;SG_Criteria!$B$42&amp;" m deep. ","")&amp;IF(AND(K264&lt;&gt;"",K264&lt;SG_Criteria!$B$40,D264&lt;&gt;"Inspection Chamber"),"NOTE: public sewer min dia "&amp;SG_Criteria!$B$40&amp;" mm. ","")&amp;IF(AND(Y264&lt;&gt;"",Y264&lt;SG_Criteria!$B$44),"FAIL: uplift FOS below "&amp;SG_Criteria!$B$44&amp;". ","")))</f>
        <v/>
      </c>
      <c r="BH264" s="9"/>
      <c r="BI264" s="9"/>
      <c r="BJ264" s="9"/>
      <c r="BK264" s="10" t="str">
        <f aca="false">IF(BJ264="","",IFERROR(VLOOKUP(BJ264,Projects!$A$5:$D$504,2,0),"Ref not in Projects"))</f>
        <v/>
      </c>
      <c r="BL264" s="10" t="str">
        <f aca="false">IF(BJ264="","",IFERROR(VLOOKUP(BJ264,Projects!$A$5:$D$504,4,0),"Ref not in Projects"))</f>
        <v/>
      </c>
      <c r="BM264" s="9"/>
      <c r="BN264" s="9"/>
      <c r="BO264" s="9"/>
      <c r="BP264" s="40"/>
      <c r="BQ264" s="9"/>
      <c r="BR264" s="40"/>
      <c r="BS264" s="9"/>
      <c r="BT264" s="40"/>
      <c r="BU264" s="9"/>
      <c r="BV264" s="9"/>
      <c r="BW264" s="9"/>
      <c r="BX264" s="40"/>
      <c r="BY264" s="40"/>
      <c r="BZ264" s="36" t="str">
        <f aca="false">IF(BY264="","",EDATE(BY264,SG_Criteria!$B$54*12))</f>
        <v/>
      </c>
      <c r="CA264" s="33" t="str">
        <f aca="true">IF(A264="","",IF(BY264="","NOTE: not reviewed yet",IF(TODAY()&gt;BZ264,"NOTE: review overdue","OK")))</f>
        <v/>
      </c>
      <c r="CB264" s="37" t="str">
        <f aca="false">IF(A264="","",ROUND((IF(LEN(D264)&gt;0,1,0)+IF(LEN(E264)&gt;0,1,0)+IF(LEN(F264)&gt;0,1,0)+IF(LEN(G264)&gt;0,1,0)+IF(LEN(I264)&gt;0,1,0)+IF(LEN(J264)&gt;0,1,0)+IF(LEN(K264)&gt;0,1,0)+IF(LEN(L264)&gt;0,1,0)+IF(LEN(M264)&gt;0,1,0)+IF(LEN(N264)&gt;0,1,0)+IF(LEN(Z264)&gt;0,1,0)+IF(LEN(AA264)&gt;0,1,0)+IF(LEN(Y264)&gt;0,1,0)+IF(LEN(AE264)&gt;0,1,0)+IF(LEN(AG264)&gt;0,1,0)+IF(LEN(AZ264)&gt;0,1,0)+IF(LEN(AK264)&gt;0,1,0)+IF(LEN(AM264)&gt;0,1,0)+IF(LEN(AN264)&gt;0,1,0)+IF(LEN(AO264)&gt;0,1,0)+IF(LEN(AP264)&gt;0,1,0)+IF(LEN(AY264)&gt;0,1,0)+IF(LEN(BJ264)&gt;0,1,0)+IF(LEN(BW264)&gt;0,1,0))/24,2))</f>
        <v/>
      </c>
      <c r="CC264" s="10" t="str">
        <f aca="false">IF(D264="","",IF(AND(AN264="Approved",ISERROR(SEARCH("FAIL",BG264))),"Y","N"))</f>
        <v/>
      </c>
      <c r="CD264" s="10" t="str">
        <f aca="false">IF(D264="","",D264&amp;"|"&amp;J264&amp;"|"&amp;G264&amp;"|"&amp;CC264)</f>
        <v/>
      </c>
    </row>
    <row r="265" customFormat="false" ht="15" hidden="false" customHeight="false" outlineLevel="0" collapsed="false">
      <c r="A265" s="10" t="str">
        <f aca="false">IF(D265="","","MH-"&amp;IFERROR(VLOOKUP(D265,Lists!$AB$4:$AC$20,2,0),"??")&amp;"-"&amp;TEXT(G265,"0000")&amp;IF(F265="Circular","D","x"&amp;TEXT(H265,"0000"))&amp;"-D"&amp;TEXT(J265*1000,"0000")&amp;"-"&amp;IFERROR(VLOOKUP(E265,Lists!$AE$4:$AF$16,2,0),"??")&amp;"-"&amp;AM265)</f>
        <v/>
      </c>
      <c r="B265" s="10" t="str">
        <f aca="false">IF(D265="","",D265&amp;", "&amp;E265&amp;", "&amp;IF(F265="Circular",G265&amp;" dia",G265&amp;" x "&amp;H265)&amp;", depth "&amp;TEXT(I265,"0.0")&amp;"-"&amp;TEXT(J265,"0.0")&amp;" m, pipe up to "&amp;K265&amp;" dia")</f>
        <v/>
      </c>
      <c r="C265" s="9"/>
      <c r="D265" s="9"/>
      <c r="E265" s="9"/>
      <c r="F265" s="9"/>
      <c r="G265" s="38"/>
      <c r="H265" s="38"/>
      <c r="I265" s="42"/>
      <c r="J265" s="42"/>
      <c r="K265" s="38"/>
      <c r="L265" s="38"/>
      <c r="M265" s="38"/>
      <c r="N265" s="38"/>
      <c r="O265" s="9"/>
      <c r="P265" s="9"/>
      <c r="Q265" s="9"/>
      <c r="R265" s="9"/>
      <c r="S265" s="9"/>
      <c r="T265" s="9"/>
      <c r="U265" s="9"/>
      <c r="V265" s="42"/>
      <c r="W265" s="9"/>
      <c r="X265" s="9"/>
      <c r="Y265" s="39"/>
      <c r="Z265" s="9"/>
      <c r="AA265" s="38"/>
      <c r="AB265" s="9"/>
      <c r="AC265" s="9"/>
      <c r="AD265" s="9"/>
      <c r="AE265" s="9"/>
      <c r="AF265" s="9"/>
      <c r="AG265" s="9"/>
      <c r="AH265" s="38"/>
      <c r="AI265" s="9"/>
      <c r="AJ265" s="39"/>
      <c r="AK265" s="9"/>
      <c r="AL265" s="9"/>
      <c r="AM265" s="9"/>
      <c r="AN265" s="9"/>
      <c r="AO265" s="9"/>
      <c r="AP265" s="9"/>
      <c r="AQ265" s="9"/>
      <c r="AR265" s="10" t="str">
        <f aca="false">IF(A265="","",SG_Criteria!$B$6&amp;SG_Criteria!$B$10&amp;"\"&amp;A265&amp;"\")</f>
        <v/>
      </c>
      <c r="AS265" s="10" t="str">
        <f aca="false">IF(A265="","",A265&amp;"_CAD.dwg")</f>
        <v/>
      </c>
      <c r="AT265" s="10" t="str">
        <f aca="false">IF(A265="","",A265&amp;"_DWG.pdf")</f>
        <v/>
      </c>
      <c r="AU265" s="10" t="str">
        <f aca="false">IF(A265="","",IF(AQ265="Y",A265&amp;"_STAAD.std","n/a"))</f>
        <v/>
      </c>
      <c r="AV265" s="10" t="str">
        <f aca="false">IF(A265="","",A265&amp;"_CALC.xlsx")</f>
        <v/>
      </c>
      <c r="AW265" s="10" t="str">
        <f aca="false">IF(A265="","",A265&amp;"_CALC.pdf")</f>
        <v/>
      </c>
      <c r="AX265" s="9"/>
      <c r="AY265" s="9"/>
      <c r="AZ265" s="39"/>
      <c r="BA265" s="39"/>
      <c r="BB265" s="39"/>
      <c r="BC265" s="39"/>
      <c r="BD265" s="39"/>
      <c r="BE265" s="12" t="str">
        <f aca="false">IF(A265="","",IF(COUNTIF(Rebar_Schedule!$A$5:$A$2004,A265)=0,"",ROUND(SUMIF(Rebar_Schedule!$A$5:$A$2004,A265,Rebar_Schedule!$K$5:$K$2004),1)))</f>
        <v/>
      </c>
      <c r="BF265" s="33" t="str">
        <f aca="false">IF(A265="","",IF(BE265="","No rebar schedule yet",IF(ABS(BE265-N(BA265))/MAX(N(BA265),1)&gt;SG_Criteria!$B$55,"NOTE: register rebar differs from schedule by "&amp;TEXT(ABS(BE265-N(BA265))/MAX(N(BA265),1),"0%"),"OK")))</f>
        <v/>
      </c>
      <c r="BG265" s="33" t="str">
        <f aca="false">IF(D265="","",IF(LEN(IF(AND(Z265&lt;&gt;"",IFERROR(VALUE(MID(Z265,2,2)),0)&lt;SG_Criteria!$B$19),"FAIL: grade below C"&amp;SG_Criteria!$B$19&amp;". ","")&amp;IF(AND(AA265&lt;&gt;"",AA265&lt;SG_Criteria!$B$20),"FAIL: cover &lt; "&amp;SG_Criteria!$B$20&amp;" mm. ","")&amp;IF(AND(I265&lt;&gt;"",I265&lt;SG_Criteria!$B$39),"NOTE: min depth below PUB "&amp;SG_Criteria!$B$39&amp;" m. ","")&amp;IF(AND(LEFT(D265,8)="Standard",J265&gt;SG_Criteria!$B$42),"FAIL: PUB 001C covers manholes up to "&amp;SG_Criteria!$B$42&amp;" m deep only. ","")&amp;IF(AND(LEFT(D265,11)="Rectangular",K265&lt;SG_Criteria!$B$43),"NOTE: 004C is for sewers &gt;= "&amp;SG_Criteria!$B$43&amp;" dia. ","")&amp;IF(AND(LEFT(D265,7)="Precast",J265&lt;=SG_Criteria!$B$42),"NOTE: 006C is for manholes &gt; "&amp;SG_Criteria!$B$42&amp;" m deep. ","")&amp;IF(AND(K265&lt;&gt;"",K265&lt;SG_Criteria!$B$40,D265&lt;&gt;"Inspection Chamber"),"NOTE: public sewer min dia "&amp;SG_Criteria!$B$40&amp;" mm. ","")&amp;IF(AND(Y265&lt;&gt;"",Y265&lt;SG_Criteria!$B$44),"FAIL: uplift FOS below "&amp;SG_Criteria!$B$44&amp;". ",""))=0,"OK",IF(AND(Z265&lt;&gt;"",IFERROR(VALUE(MID(Z265,2,2)),0)&lt;SG_Criteria!$B$19),"FAIL: grade below C"&amp;SG_Criteria!$B$19&amp;". ","")&amp;IF(AND(AA265&lt;&gt;"",AA265&lt;SG_Criteria!$B$20),"FAIL: cover &lt; "&amp;SG_Criteria!$B$20&amp;" mm. ","")&amp;IF(AND(I265&lt;&gt;"",I265&lt;SG_Criteria!$B$39),"NOTE: min depth below PUB "&amp;SG_Criteria!$B$39&amp;" m. ","")&amp;IF(AND(LEFT(D265,8)="Standard",J265&gt;SG_Criteria!$B$42),"FAIL: PUB 001C covers manholes up to "&amp;SG_Criteria!$B$42&amp;" m deep only. ","")&amp;IF(AND(LEFT(D265,11)="Rectangular",K265&lt;SG_Criteria!$B$43),"NOTE: 004C is for sewers &gt;= "&amp;SG_Criteria!$B$43&amp;" dia. ","")&amp;IF(AND(LEFT(D265,7)="Precast",J265&lt;=SG_Criteria!$B$42),"NOTE: 006C is for manholes &gt; "&amp;SG_Criteria!$B$42&amp;" m deep. ","")&amp;IF(AND(K265&lt;&gt;"",K265&lt;SG_Criteria!$B$40,D265&lt;&gt;"Inspection Chamber"),"NOTE: public sewer min dia "&amp;SG_Criteria!$B$40&amp;" mm. ","")&amp;IF(AND(Y265&lt;&gt;"",Y265&lt;SG_Criteria!$B$44),"FAIL: uplift FOS below "&amp;SG_Criteria!$B$44&amp;". ","")))</f>
        <v/>
      </c>
      <c r="BH265" s="9"/>
      <c r="BI265" s="9"/>
      <c r="BJ265" s="9"/>
      <c r="BK265" s="10" t="str">
        <f aca="false">IF(BJ265="","",IFERROR(VLOOKUP(BJ265,Projects!$A$5:$D$504,2,0),"Ref not in Projects"))</f>
        <v/>
      </c>
      <c r="BL265" s="10" t="str">
        <f aca="false">IF(BJ265="","",IFERROR(VLOOKUP(BJ265,Projects!$A$5:$D$504,4,0),"Ref not in Projects"))</f>
        <v/>
      </c>
      <c r="BM265" s="9"/>
      <c r="BN265" s="9"/>
      <c r="BO265" s="9"/>
      <c r="BP265" s="40"/>
      <c r="BQ265" s="9"/>
      <c r="BR265" s="40"/>
      <c r="BS265" s="9"/>
      <c r="BT265" s="40"/>
      <c r="BU265" s="9"/>
      <c r="BV265" s="9"/>
      <c r="BW265" s="9"/>
      <c r="BX265" s="40"/>
      <c r="BY265" s="40"/>
      <c r="BZ265" s="36" t="str">
        <f aca="false">IF(BY265="","",EDATE(BY265,SG_Criteria!$B$54*12))</f>
        <v/>
      </c>
      <c r="CA265" s="33" t="str">
        <f aca="true">IF(A265="","",IF(BY265="","NOTE: not reviewed yet",IF(TODAY()&gt;BZ265,"NOTE: review overdue","OK")))</f>
        <v/>
      </c>
      <c r="CB265" s="37" t="str">
        <f aca="false">IF(A265="","",ROUND((IF(LEN(D265)&gt;0,1,0)+IF(LEN(E265)&gt;0,1,0)+IF(LEN(F265)&gt;0,1,0)+IF(LEN(G265)&gt;0,1,0)+IF(LEN(I265)&gt;0,1,0)+IF(LEN(J265)&gt;0,1,0)+IF(LEN(K265)&gt;0,1,0)+IF(LEN(L265)&gt;0,1,0)+IF(LEN(M265)&gt;0,1,0)+IF(LEN(N265)&gt;0,1,0)+IF(LEN(Z265)&gt;0,1,0)+IF(LEN(AA265)&gt;0,1,0)+IF(LEN(Y265)&gt;0,1,0)+IF(LEN(AE265)&gt;0,1,0)+IF(LEN(AG265)&gt;0,1,0)+IF(LEN(AZ265)&gt;0,1,0)+IF(LEN(AK265)&gt;0,1,0)+IF(LEN(AM265)&gt;0,1,0)+IF(LEN(AN265)&gt;0,1,0)+IF(LEN(AO265)&gt;0,1,0)+IF(LEN(AP265)&gt;0,1,0)+IF(LEN(AY265)&gt;0,1,0)+IF(LEN(BJ265)&gt;0,1,0)+IF(LEN(BW265)&gt;0,1,0))/24,2))</f>
        <v/>
      </c>
      <c r="CC265" s="10" t="str">
        <f aca="false">IF(D265="","",IF(AND(AN265="Approved",ISERROR(SEARCH("FAIL",BG265))),"Y","N"))</f>
        <v/>
      </c>
      <c r="CD265" s="10" t="str">
        <f aca="false">IF(D265="","",D265&amp;"|"&amp;J265&amp;"|"&amp;G265&amp;"|"&amp;CC265)</f>
        <v/>
      </c>
    </row>
    <row r="266" customFormat="false" ht="15" hidden="false" customHeight="false" outlineLevel="0" collapsed="false">
      <c r="A266" s="10" t="str">
        <f aca="false">IF(D266="","","MH-"&amp;IFERROR(VLOOKUP(D266,Lists!$AB$4:$AC$20,2,0),"??")&amp;"-"&amp;TEXT(G266,"0000")&amp;IF(F266="Circular","D","x"&amp;TEXT(H266,"0000"))&amp;"-D"&amp;TEXT(J266*1000,"0000")&amp;"-"&amp;IFERROR(VLOOKUP(E266,Lists!$AE$4:$AF$16,2,0),"??")&amp;"-"&amp;AM266)</f>
        <v/>
      </c>
      <c r="B266" s="10" t="str">
        <f aca="false">IF(D266="","",D266&amp;", "&amp;E266&amp;", "&amp;IF(F266="Circular",G266&amp;" dia",G266&amp;" x "&amp;H266)&amp;", depth "&amp;TEXT(I266,"0.0")&amp;"-"&amp;TEXT(J266,"0.0")&amp;" m, pipe up to "&amp;K266&amp;" dia")</f>
        <v/>
      </c>
      <c r="C266" s="9"/>
      <c r="D266" s="9"/>
      <c r="E266" s="9"/>
      <c r="F266" s="9"/>
      <c r="G266" s="38"/>
      <c r="H266" s="38"/>
      <c r="I266" s="42"/>
      <c r="J266" s="42"/>
      <c r="K266" s="38"/>
      <c r="L266" s="38"/>
      <c r="M266" s="38"/>
      <c r="N266" s="38"/>
      <c r="O266" s="9"/>
      <c r="P266" s="9"/>
      <c r="Q266" s="9"/>
      <c r="R266" s="9"/>
      <c r="S266" s="9"/>
      <c r="T266" s="9"/>
      <c r="U266" s="9"/>
      <c r="V266" s="42"/>
      <c r="W266" s="9"/>
      <c r="X266" s="9"/>
      <c r="Y266" s="39"/>
      <c r="Z266" s="9"/>
      <c r="AA266" s="38"/>
      <c r="AB266" s="9"/>
      <c r="AC266" s="9"/>
      <c r="AD266" s="9"/>
      <c r="AE266" s="9"/>
      <c r="AF266" s="9"/>
      <c r="AG266" s="9"/>
      <c r="AH266" s="38"/>
      <c r="AI266" s="9"/>
      <c r="AJ266" s="39"/>
      <c r="AK266" s="9"/>
      <c r="AL266" s="9"/>
      <c r="AM266" s="9"/>
      <c r="AN266" s="9"/>
      <c r="AO266" s="9"/>
      <c r="AP266" s="9"/>
      <c r="AQ266" s="9"/>
      <c r="AR266" s="10" t="str">
        <f aca="false">IF(A266="","",SG_Criteria!$B$6&amp;SG_Criteria!$B$10&amp;"\"&amp;A266&amp;"\")</f>
        <v/>
      </c>
      <c r="AS266" s="10" t="str">
        <f aca="false">IF(A266="","",A266&amp;"_CAD.dwg")</f>
        <v/>
      </c>
      <c r="AT266" s="10" t="str">
        <f aca="false">IF(A266="","",A266&amp;"_DWG.pdf")</f>
        <v/>
      </c>
      <c r="AU266" s="10" t="str">
        <f aca="false">IF(A266="","",IF(AQ266="Y",A266&amp;"_STAAD.std","n/a"))</f>
        <v/>
      </c>
      <c r="AV266" s="10" t="str">
        <f aca="false">IF(A266="","",A266&amp;"_CALC.xlsx")</f>
        <v/>
      </c>
      <c r="AW266" s="10" t="str">
        <f aca="false">IF(A266="","",A266&amp;"_CALC.pdf")</f>
        <v/>
      </c>
      <c r="AX266" s="9"/>
      <c r="AY266" s="9"/>
      <c r="AZ266" s="39"/>
      <c r="BA266" s="39"/>
      <c r="BB266" s="39"/>
      <c r="BC266" s="39"/>
      <c r="BD266" s="39"/>
      <c r="BE266" s="12" t="str">
        <f aca="false">IF(A266="","",IF(COUNTIF(Rebar_Schedule!$A$5:$A$2004,A266)=0,"",ROUND(SUMIF(Rebar_Schedule!$A$5:$A$2004,A266,Rebar_Schedule!$K$5:$K$2004),1)))</f>
        <v/>
      </c>
      <c r="BF266" s="33" t="str">
        <f aca="false">IF(A266="","",IF(BE266="","No rebar schedule yet",IF(ABS(BE266-N(BA266))/MAX(N(BA266),1)&gt;SG_Criteria!$B$55,"NOTE: register rebar differs from schedule by "&amp;TEXT(ABS(BE266-N(BA266))/MAX(N(BA266),1),"0%"),"OK")))</f>
        <v/>
      </c>
      <c r="BG266" s="33" t="str">
        <f aca="false">IF(D266="","",IF(LEN(IF(AND(Z266&lt;&gt;"",IFERROR(VALUE(MID(Z266,2,2)),0)&lt;SG_Criteria!$B$19),"FAIL: grade below C"&amp;SG_Criteria!$B$19&amp;". ","")&amp;IF(AND(AA266&lt;&gt;"",AA266&lt;SG_Criteria!$B$20),"FAIL: cover &lt; "&amp;SG_Criteria!$B$20&amp;" mm. ","")&amp;IF(AND(I266&lt;&gt;"",I266&lt;SG_Criteria!$B$39),"NOTE: min depth below PUB "&amp;SG_Criteria!$B$39&amp;" m. ","")&amp;IF(AND(LEFT(D266,8)="Standard",J266&gt;SG_Criteria!$B$42),"FAIL: PUB 001C covers manholes up to "&amp;SG_Criteria!$B$42&amp;" m deep only. ","")&amp;IF(AND(LEFT(D266,11)="Rectangular",K266&lt;SG_Criteria!$B$43),"NOTE: 004C is for sewers &gt;= "&amp;SG_Criteria!$B$43&amp;" dia. ","")&amp;IF(AND(LEFT(D266,7)="Precast",J266&lt;=SG_Criteria!$B$42),"NOTE: 006C is for manholes &gt; "&amp;SG_Criteria!$B$42&amp;" m deep. ","")&amp;IF(AND(K266&lt;&gt;"",K266&lt;SG_Criteria!$B$40,D266&lt;&gt;"Inspection Chamber"),"NOTE: public sewer min dia "&amp;SG_Criteria!$B$40&amp;" mm. ","")&amp;IF(AND(Y266&lt;&gt;"",Y266&lt;SG_Criteria!$B$44),"FAIL: uplift FOS below "&amp;SG_Criteria!$B$44&amp;". ",""))=0,"OK",IF(AND(Z266&lt;&gt;"",IFERROR(VALUE(MID(Z266,2,2)),0)&lt;SG_Criteria!$B$19),"FAIL: grade below C"&amp;SG_Criteria!$B$19&amp;". ","")&amp;IF(AND(AA266&lt;&gt;"",AA266&lt;SG_Criteria!$B$20),"FAIL: cover &lt; "&amp;SG_Criteria!$B$20&amp;" mm. ","")&amp;IF(AND(I266&lt;&gt;"",I266&lt;SG_Criteria!$B$39),"NOTE: min depth below PUB "&amp;SG_Criteria!$B$39&amp;" m. ","")&amp;IF(AND(LEFT(D266,8)="Standard",J266&gt;SG_Criteria!$B$42),"FAIL: PUB 001C covers manholes up to "&amp;SG_Criteria!$B$42&amp;" m deep only. ","")&amp;IF(AND(LEFT(D266,11)="Rectangular",K266&lt;SG_Criteria!$B$43),"NOTE: 004C is for sewers &gt;= "&amp;SG_Criteria!$B$43&amp;" dia. ","")&amp;IF(AND(LEFT(D266,7)="Precast",J266&lt;=SG_Criteria!$B$42),"NOTE: 006C is for manholes &gt; "&amp;SG_Criteria!$B$42&amp;" m deep. ","")&amp;IF(AND(K266&lt;&gt;"",K266&lt;SG_Criteria!$B$40,D266&lt;&gt;"Inspection Chamber"),"NOTE: public sewer min dia "&amp;SG_Criteria!$B$40&amp;" mm. ","")&amp;IF(AND(Y266&lt;&gt;"",Y266&lt;SG_Criteria!$B$44),"FAIL: uplift FOS below "&amp;SG_Criteria!$B$44&amp;". ","")))</f>
        <v/>
      </c>
      <c r="BH266" s="9"/>
      <c r="BI266" s="9"/>
      <c r="BJ266" s="9"/>
      <c r="BK266" s="10" t="str">
        <f aca="false">IF(BJ266="","",IFERROR(VLOOKUP(BJ266,Projects!$A$5:$D$504,2,0),"Ref not in Projects"))</f>
        <v/>
      </c>
      <c r="BL266" s="10" t="str">
        <f aca="false">IF(BJ266="","",IFERROR(VLOOKUP(BJ266,Projects!$A$5:$D$504,4,0),"Ref not in Projects"))</f>
        <v/>
      </c>
      <c r="BM266" s="9"/>
      <c r="BN266" s="9"/>
      <c r="BO266" s="9"/>
      <c r="BP266" s="40"/>
      <c r="BQ266" s="9"/>
      <c r="BR266" s="40"/>
      <c r="BS266" s="9"/>
      <c r="BT266" s="40"/>
      <c r="BU266" s="9"/>
      <c r="BV266" s="9"/>
      <c r="BW266" s="9"/>
      <c r="BX266" s="40"/>
      <c r="BY266" s="40"/>
      <c r="BZ266" s="36" t="str">
        <f aca="false">IF(BY266="","",EDATE(BY266,SG_Criteria!$B$54*12))</f>
        <v/>
      </c>
      <c r="CA266" s="33" t="str">
        <f aca="true">IF(A266="","",IF(BY266="","NOTE: not reviewed yet",IF(TODAY()&gt;BZ266,"NOTE: review overdue","OK")))</f>
        <v/>
      </c>
      <c r="CB266" s="37" t="str">
        <f aca="false">IF(A266="","",ROUND((IF(LEN(D266)&gt;0,1,0)+IF(LEN(E266)&gt;0,1,0)+IF(LEN(F266)&gt;0,1,0)+IF(LEN(G266)&gt;0,1,0)+IF(LEN(I266)&gt;0,1,0)+IF(LEN(J266)&gt;0,1,0)+IF(LEN(K266)&gt;0,1,0)+IF(LEN(L266)&gt;0,1,0)+IF(LEN(M266)&gt;0,1,0)+IF(LEN(N266)&gt;0,1,0)+IF(LEN(Z266)&gt;0,1,0)+IF(LEN(AA266)&gt;0,1,0)+IF(LEN(Y266)&gt;0,1,0)+IF(LEN(AE266)&gt;0,1,0)+IF(LEN(AG266)&gt;0,1,0)+IF(LEN(AZ266)&gt;0,1,0)+IF(LEN(AK266)&gt;0,1,0)+IF(LEN(AM266)&gt;0,1,0)+IF(LEN(AN266)&gt;0,1,0)+IF(LEN(AO266)&gt;0,1,0)+IF(LEN(AP266)&gt;0,1,0)+IF(LEN(AY266)&gt;0,1,0)+IF(LEN(BJ266)&gt;0,1,0)+IF(LEN(BW266)&gt;0,1,0))/24,2))</f>
        <v/>
      </c>
      <c r="CC266" s="10" t="str">
        <f aca="false">IF(D266="","",IF(AND(AN266="Approved",ISERROR(SEARCH("FAIL",BG266))),"Y","N"))</f>
        <v/>
      </c>
      <c r="CD266" s="10" t="str">
        <f aca="false">IF(D266="","",D266&amp;"|"&amp;J266&amp;"|"&amp;G266&amp;"|"&amp;CC266)</f>
        <v/>
      </c>
    </row>
    <row r="267" customFormat="false" ht="15" hidden="false" customHeight="false" outlineLevel="0" collapsed="false">
      <c r="A267" s="10" t="str">
        <f aca="false">IF(D267="","","MH-"&amp;IFERROR(VLOOKUP(D267,Lists!$AB$4:$AC$20,2,0),"??")&amp;"-"&amp;TEXT(G267,"0000")&amp;IF(F267="Circular","D","x"&amp;TEXT(H267,"0000"))&amp;"-D"&amp;TEXT(J267*1000,"0000")&amp;"-"&amp;IFERROR(VLOOKUP(E267,Lists!$AE$4:$AF$16,2,0),"??")&amp;"-"&amp;AM267)</f>
        <v/>
      </c>
      <c r="B267" s="10" t="str">
        <f aca="false">IF(D267="","",D267&amp;", "&amp;E267&amp;", "&amp;IF(F267="Circular",G267&amp;" dia",G267&amp;" x "&amp;H267)&amp;", depth "&amp;TEXT(I267,"0.0")&amp;"-"&amp;TEXT(J267,"0.0")&amp;" m, pipe up to "&amp;K267&amp;" dia")</f>
        <v/>
      </c>
      <c r="C267" s="9"/>
      <c r="D267" s="9"/>
      <c r="E267" s="9"/>
      <c r="F267" s="9"/>
      <c r="G267" s="38"/>
      <c r="H267" s="38"/>
      <c r="I267" s="42"/>
      <c r="J267" s="42"/>
      <c r="K267" s="38"/>
      <c r="L267" s="38"/>
      <c r="M267" s="38"/>
      <c r="N267" s="38"/>
      <c r="O267" s="9"/>
      <c r="P267" s="9"/>
      <c r="Q267" s="9"/>
      <c r="R267" s="9"/>
      <c r="S267" s="9"/>
      <c r="T267" s="9"/>
      <c r="U267" s="9"/>
      <c r="V267" s="42"/>
      <c r="W267" s="9"/>
      <c r="X267" s="9"/>
      <c r="Y267" s="39"/>
      <c r="Z267" s="9"/>
      <c r="AA267" s="38"/>
      <c r="AB267" s="9"/>
      <c r="AC267" s="9"/>
      <c r="AD267" s="9"/>
      <c r="AE267" s="9"/>
      <c r="AF267" s="9"/>
      <c r="AG267" s="9"/>
      <c r="AH267" s="38"/>
      <c r="AI267" s="9"/>
      <c r="AJ267" s="39"/>
      <c r="AK267" s="9"/>
      <c r="AL267" s="9"/>
      <c r="AM267" s="9"/>
      <c r="AN267" s="9"/>
      <c r="AO267" s="9"/>
      <c r="AP267" s="9"/>
      <c r="AQ267" s="9"/>
      <c r="AR267" s="10" t="str">
        <f aca="false">IF(A267="","",SG_Criteria!$B$6&amp;SG_Criteria!$B$10&amp;"\"&amp;A267&amp;"\")</f>
        <v/>
      </c>
      <c r="AS267" s="10" t="str">
        <f aca="false">IF(A267="","",A267&amp;"_CAD.dwg")</f>
        <v/>
      </c>
      <c r="AT267" s="10" t="str">
        <f aca="false">IF(A267="","",A267&amp;"_DWG.pdf")</f>
        <v/>
      </c>
      <c r="AU267" s="10" t="str">
        <f aca="false">IF(A267="","",IF(AQ267="Y",A267&amp;"_STAAD.std","n/a"))</f>
        <v/>
      </c>
      <c r="AV267" s="10" t="str">
        <f aca="false">IF(A267="","",A267&amp;"_CALC.xlsx")</f>
        <v/>
      </c>
      <c r="AW267" s="10" t="str">
        <f aca="false">IF(A267="","",A267&amp;"_CALC.pdf")</f>
        <v/>
      </c>
      <c r="AX267" s="9"/>
      <c r="AY267" s="9"/>
      <c r="AZ267" s="39"/>
      <c r="BA267" s="39"/>
      <c r="BB267" s="39"/>
      <c r="BC267" s="39"/>
      <c r="BD267" s="39"/>
      <c r="BE267" s="12" t="str">
        <f aca="false">IF(A267="","",IF(COUNTIF(Rebar_Schedule!$A$5:$A$2004,A267)=0,"",ROUND(SUMIF(Rebar_Schedule!$A$5:$A$2004,A267,Rebar_Schedule!$K$5:$K$2004),1)))</f>
        <v/>
      </c>
      <c r="BF267" s="33" t="str">
        <f aca="false">IF(A267="","",IF(BE267="","No rebar schedule yet",IF(ABS(BE267-N(BA267))/MAX(N(BA267),1)&gt;SG_Criteria!$B$55,"NOTE: register rebar differs from schedule by "&amp;TEXT(ABS(BE267-N(BA267))/MAX(N(BA267),1),"0%"),"OK")))</f>
        <v/>
      </c>
      <c r="BG267" s="33" t="str">
        <f aca="false">IF(D267="","",IF(LEN(IF(AND(Z267&lt;&gt;"",IFERROR(VALUE(MID(Z267,2,2)),0)&lt;SG_Criteria!$B$19),"FAIL: grade below C"&amp;SG_Criteria!$B$19&amp;". ","")&amp;IF(AND(AA267&lt;&gt;"",AA267&lt;SG_Criteria!$B$20),"FAIL: cover &lt; "&amp;SG_Criteria!$B$20&amp;" mm. ","")&amp;IF(AND(I267&lt;&gt;"",I267&lt;SG_Criteria!$B$39),"NOTE: min depth below PUB "&amp;SG_Criteria!$B$39&amp;" m. ","")&amp;IF(AND(LEFT(D267,8)="Standard",J267&gt;SG_Criteria!$B$42),"FAIL: PUB 001C covers manholes up to "&amp;SG_Criteria!$B$42&amp;" m deep only. ","")&amp;IF(AND(LEFT(D267,11)="Rectangular",K267&lt;SG_Criteria!$B$43),"NOTE: 004C is for sewers &gt;= "&amp;SG_Criteria!$B$43&amp;" dia. ","")&amp;IF(AND(LEFT(D267,7)="Precast",J267&lt;=SG_Criteria!$B$42),"NOTE: 006C is for manholes &gt; "&amp;SG_Criteria!$B$42&amp;" m deep. ","")&amp;IF(AND(K267&lt;&gt;"",K267&lt;SG_Criteria!$B$40,D267&lt;&gt;"Inspection Chamber"),"NOTE: public sewer min dia "&amp;SG_Criteria!$B$40&amp;" mm. ","")&amp;IF(AND(Y267&lt;&gt;"",Y267&lt;SG_Criteria!$B$44),"FAIL: uplift FOS below "&amp;SG_Criteria!$B$44&amp;". ",""))=0,"OK",IF(AND(Z267&lt;&gt;"",IFERROR(VALUE(MID(Z267,2,2)),0)&lt;SG_Criteria!$B$19),"FAIL: grade below C"&amp;SG_Criteria!$B$19&amp;". ","")&amp;IF(AND(AA267&lt;&gt;"",AA267&lt;SG_Criteria!$B$20),"FAIL: cover &lt; "&amp;SG_Criteria!$B$20&amp;" mm. ","")&amp;IF(AND(I267&lt;&gt;"",I267&lt;SG_Criteria!$B$39),"NOTE: min depth below PUB "&amp;SG_Criteria!$B$39&amp;" m. ","")&amp;IF(AND(LEFT(D267,8)="Standard",J267&gt;SG_Criteria!$B$42),"FAIL: PUB 001C covers manholes up to "&amp;SG_Criteria!$B$42&amp;" m deep only. ","")&amp;IF(AND(LEFT(D267,11)="Rectangular",K267&lt;SG_Criteria!$B$43),"NOTE: 004C is for sewers &gt;= "&amp;SG_Criteria!$B$43&amp;" dia. ","")&amp;IF(AND(LEFT(D267,7)="Precast",J267&lt;=SG_Criteria!$B$42),"NOTE: 006C is for manholes &gt; "&amp;SG_Criteria!$B$42&amp;" m deep. ","")&amp;IF(AND(K267&lt;&gt;"",K267&lt;SG_Criteria!$B$40,D267&lt;&gt;"Inspection Chamber"),"NOTE: public sewer min dia "&amp;SG_Criteria!$B$40&amp;" mm. ","")&amp;IF(AND(Y267&lt;&gt;"",Y267&lt;SG_Criteria!$B$44),"FAIL: uplift FOS below "&amp;SG_Criteria!$B$44&amp;". ","")))</f>
        <v/>
      </c>
      <c r="BH267" s="9"/>
      <c r="BI267" s="9"/>
      <c r="BJ267" s="9"/>
      <c r="BK267" s="10" t="str">
        <f aca="false">IF(BJ267="","",IFERROR(VLOOKUP(BJ267,Projects!$A$5:$D$504,2,0),"Ref not in Projects"))</f>
        <v/>
      </c>
      <c r="BL267" s="10" t="str">
        <f aca="false">IF(BJ267="","",IFERROR(VLOOKUP(BJ267,Projects!$A$5:$D$504,4,0),"Ref not in Projects"))</f>
        <v/>
      </c>
      <c r="BM267" s="9"/>
      <c r="BN267" s="9"/>
      <c r="BO267" s="9"/>
      <c r="BP267" s="40"/>
      <c r="BQ267" s="9"/>
      <c r="BR267" s="40"/>
      <c r="BS267" s="9"/>
      <c r="BT267" s="40"/>
      <c r="BU267" s="9"/>
      <c r="BV267" s="9"/>
      <c r="BW267" s="9"/>
      <c r="BX267" s="40"/>
      <c r="BY267" s="40"/>
      <c r="BZ267" s="36" t="str">
        <f aca="false">IF(BY267="","",EDATE(BY267,SG_Criteria!$B$54*12))</f>
        <v/>
      </c>
      <c r="CA267" s="33" t="str">
        <f aca="true">IF(A267="","",IF(BY267="","NOTE: not reviewed yet",IF(TODAY()&gt;BZ267,"NOTE: review overdue","OK")))</f>
        <v/>
      </c>
      <c r="CB267" s="37" t="str">
        <f aca="false">IF(A267="","",ROUND((IF(LEN(D267)&gt;0,1,0)+IF(LEN(E267)&gt;0,1,0)+IF(LEN(F267)&gt;0,1,0)+IF(LEN(G267)&gt;0,1,0)+IF(LEN(I267)&gt;0,1,0)+IF(LEN(J267)&gt;0,1,0)+IF(LEN(K267)&gt;0,1,0)+IF(LEN(L267)&gt;0,1,0)+IF(LEN(M267)&gt;0,1,0)+IF(LEN(N267)&gt;0,1,0)+IF(LEN(Z267)&gt;0,1,0)+IF(LEN(AA267)&gt;0,1,0)+IF(LEN(Y267)&gt;0,1,0)+IF(LEN(AE267)&gt;0,1,0)+IF(LEN(AG267)&gt;0,1,0)+IF(LEN(AZ267)&gt;0,1,0)+IF(LEN(AK267)&gt;0,1,0)+IF(LEN(AM267)&gt;0,1,0)+IF(LEN(AN267)&gt;0,1,0)+IF(LEN(AO267)&gt;0,1,0)+IF(LEN(AP267)&gt;0,1,0)+IF(LEN(AY267)&gt;0,1,0)+IF(LEN(BJ267)&gt;0,1,0)+IF(LEN(BW267)&gt;0,1,0))/24,2))</f>
        <v/>
      </c>
      <c r="CC267" s="10" t="str">
        <f aca="false">IF(D267="","",IF(AND(AN267="Approved",ISERROR(SEARCH("FAIL",BG267))),"Y","N"))</f>
        <v/>
      </c>
      <c r="CD267" s="10" t="str">
        <f aca="false">IF(D267="","",D267&amp;"|"&amp;J267&amp;"|"&amp;G267&amp;"|"&amp;CC267)</f>
        <v/>
      </c>
    </row>
    <row r="268" customFormat="false" ht="15" hidden="false" customHeight="false" outlineLevel="0" collapsed="false">
      <c r="A268" s="10" t="str">
        <f aca="false">IF(D268="","","MH-"&amp;IFERROR(VLOOKUP(D268,Lists!$AB$4:$AC$20,2,0),"??")&amp;"-"&amp;TEXT(G268,"0000")&amp;IF(F268="Circular","D","x"&amp;TEXT(H268,"0000"))&amp;"-D"&amp;TEXT(J268*1000,"0000")&amp;"-"&amp;IFERROR(VLOOKUP(E268,Lists!$AE$4:$AF$16,2,0),"??")&amp;"-"&amp;AM268)</f>
        <v/>
      </c>
      <c r="B268" s="10" t="str">
        <f aca="false">IF(D268="","",D268&amp;", "&amp;E268&amp;", "&amp;IF(F268="Circular",G268&amp;" dia",G268&amp;" x "&amp;H268)&amp;", depth "&amp;TEXT(I268,"0.0")&amp;"-"&amp;TEXT(J268,"0.0")&amp;" m, pipe up to "&amp;K268&amp;" dia")</f>
        <v/>
      </c>
      <c r="C268" s="9"/>
      <c r="D268" s="9"/>
      <c r="E268" s="9"/>
      <c r="F268" s="9"/>
      <c r="G268" s="38"/>
      <c r="H268" s="38"/>
      <c r="I268" s="42"/>
      <c r="J268" s="42"/>
      <c r="K268" s="38"/>
      <c r="L268" s="38"/>
      <c r="M268" s="38"/>
      <c r="N268" s="38"/>
      <c r="O268" s="9"/>
      <c r="P268" s="9"/>
      <c r="Q268" s="9"/>
      <c r="R268" s="9"/>
      <c r="S268" s="9"/>
      <c r="T268" s="9"/>
      <c r="U268" s="9"/>
      <c r="V268" s="42"/>
      <c r="W268" s="9"/>
      <c r="X268" s="9"/>
      <c r="Y268" s="39"/>
      <c r="Z268" s="9"/>
      <c r="AA268" s="38"/>
      <c r="AB268" s="9"/>
      <c r="AC268" s="9"/>
      <c r="AD268" s="9"/>
      <c r="AE268" s="9"/>
      <c r="AF268" s="9"/>
      <c r="AG268" s="9"/>
      <c r="AH268" s="38"/>
      <c r="AI268" s="9"/>
      <c r="AJ268" s="39"/>
      <c r="AK268" s="9"/>
      <c r="AL268" s="9"/>
      <c r="AM268" s="9"/>
      <c r="AN268" s="9"/>
      <c r="AO268" s="9"/>
      <c r="AP268" s="9"/>
      <c r="AQ268" s="9"/>
      <c r="AR268" s="10" t="str">
        <f aca="false">IF(A268="","",SG_Criteria!$B$6&amp;SG_Criteria!$B$10&amp;"\"&amp;A268&amp;"\")</f>
        <v/>
      </c>
      <c r="AS268" s="10" t="str">
        <f aca="false">IF(A268="","",A268&amp;"_CAD.dwg")</f>
        <v/>
      </c>
      <c r="AT268" s="10" t="str">
        <f aca="false">IF(A268="","",A268&amp;"_DWG.pdf")</f>
        <v/>
      </c>
      <c r="AU268" s="10" t="str">
        <f aca="false">IF(A268="","",IF(AQ268="Y",A268&amp;"_STAAD.std","n/a"))</f>
        <v/>
      </c>
      <c r="AV268" s="10" t="str">
        <f aca="false">IF(A268="","",A268&amp;"_CALC.xlsx")</f>
        <v/>
      </c>
      <c r="AW268" s="10" t="str">
        <f aca="false">IF(A268="","",A268&amp;"_CALC.pdf")</f>
        <v/>
      </c>
      <c r="AX268" s="9"/>
      <c r="AY268" s="9"/>
      <c r="AZ268" s="39"/>
      <c r="BA268" s="39"/>
      <c r="BB268" s="39"/>
      <c r="BC268" s="39"/>
      <c r="BD268" s="39"/>
      <c r="BE268" s="12" t="str">
        <f aca="false">IF(A268="","",IF(COUNTIF(Rebar_Schedule!$A$5:$A$2004,A268)=0,"",ROUND(SUMIF(Rebar_Schedule!$A$5:$A$2004,A268,Rebar_Schedule!$K$5:$K$2004),1)))</f>
        <v/>
      </c>
      <c r="BF268" s="33" t="str">
        <f aca="false">IF(A268="","",IF(BE268="","No rebar schedule yet",IF(ABS(BE268-N(BA268))/MAX(N(BA268),1)&gt;SG_Criteria!$B$55,"NOTE: register rebar differs from schedule by "&amp;TEXT(ABS(BE268-N(BA268))/MAX(N(BA268),1),"0%"),"OK")))</f>
        <v/>
      </c>
      <c r="BG268" s="33" t="str">
        <f aca="false">IF(D268="","",IF(LEN(IF(AND(Z268&lt;&gt;"",IFERROR(VALUE(MID(Z268,2,2)),0)&lt;SG_Criteria!$B$19),"FAIL: grade below C"&amp;SG_Criteria!$B$19&amp;". ","")&amp;IF(AND(AA268&lt;&gt;"",AA268&lt;SG_Criteria!$B$20),"FAIL: cover &lt; "&amp;SG_Criteria!$B$20&amp;" mm. ","")&amp;IF(AND(I268&lt;&gt;"",I268&lt;SG_Criteria!$B$39),"NOTE: min depth below PUB "&amp;SG_Criteria!$B$39&amp;" m. ","")&amp;IF(AND(LEFT(D268,8)="Standard",J268&gt;SG_Criteria!$B$42),"FAIL: PUB 001C covers manholes up to "&amp;SG_Criteria!$B$42&amp;" m deep only. ","")&amp;IF(AND(LEFT(D268,11)="Rectangular",K268&lt;SG_Criteria!$B$43),"NOTE: 004C is for sewers &gt;= "&amp;SG_Criteria!$B$43&amp;" dia. ","")&amp;IF(AND(LEFT(D268,7)="Precast",J268&lt;=SG_Criteria!$B$42),"NOTE: 006C is for manholes &gt; "&amp;SG_Criteria!$B$42&amp;" m deep. ","")&amp;IF(AND(K268&lt;&gt;"",K268&lt;SG_Criteria!$B$40,D268&lt;&gt;"Inspection Chamber"),"NOTE: public sewer min dia "&amp;SG_Criteria!$B$40&amp;" mm. ","")&amp;IF(AND(Y268&lt;&gt;"",Y268&lt;SG_Criteria!$B$44),"FAIL: uplift FOS below "&amp;SG_Criteria!$B$44&amp;". ",""))=0,"OK",IF(AND(Z268&lt;&gt;"",IFERROR(VALUE(MID(Z268,2,2)),0)&lt;SG_Criteria!$B$19),"FAIL: grade below C"&amp;SG_Criteria!$B$19&amp;". ","")&amp;IF(AND(AA268&lt;&gt;"",AA268&lt;SG_Criteria!$B$20),"FAIL: cover &lt; "&amp;SG_Criteria!$B$20&amp;" mm. ","")&amp;IF(AND(I268&lt;&gt;"",I268&lt;SG_Criteria!$B$39),"NOTE: min depth below PUB "&amp;SG_Criteria!$B$39&amp;" m. ","")&amp;IF(AND(LEFT(D268,8)="Standard",J268&gt;SG_Criteria!$B$42),"FAIL: PUB 001C covers manholes up to "&amp;SG_Criteria!$B$42&amp;" m deep only. ","")&amp;IF(AND(LEFT(D268,11)="Rectangular",K268&lt;SG_Criteria!$B$43),"NOTE: 004C is for sewers &gt;= "&amp;SG_Criteria!$B$43&amp;" dia. ","")&amp;IF(AND(LEFT(D268,7)="Precast",J268&lt;=SG_Criteria!$B$42),"NOTE: 006C is for manholes &gt; "&amp;SG_Criteria!$B$42&amp;" m deep. ","")&amp;IF(AND(K268&lt;&gt;"",K268&lt;SG_Criteria!$B$40,D268&lt;&gt;"Inspection Chamber"),"NOTE: public sewer min dia "&amp;SG_Criteria!$B$40&amp;" mm. ","")&amp;IF(AND(Y268&lt;&gt;"",Y268&lt;SG_Criteria!$B$44),"FAIL: uplift FOS below "&amp;SG_Criteria!$B$44&amp;". ","")))</f>
        <v/>
      </c>
      <c r="BH268" s="9"/>
      <c r="BI268" s="9"/>
      <c r="BJ268" s="9"/>
      <c r="BK268" s="10" t="str">
        <f aca="false">IF(BJ268="","",IFERROR(VLOOKUP(BJ268,Projects!$A$5:$D$504,2,0),"Ref not in Projects"))</f>
        <v/>
      </c>
      <c r="BL268" s="10" t="str">
        <f aca="false">IF(BJ268="","",IFERROR(VLOOKUP(BJ268,Projects!$A$5:$D$504,4,0),"Ref not in Projects"))</f>
        <v/>
      </c>
      <c r="BM268" s="9"/>
      <c r="BN268" s="9"/>
      <c r="BO268" s="9"/>
      <c r="BP268" s="40"/>
      <c r="BQ268" s="9"/>
      <c r="BR268" s="40"/>
      <c r="BS268" s="9"/>
      <c r="BT268" s="40"/>
      <c r="BU268" s="9"/>
      <c r="BV268" s="9"/>
      <c r="BW268" s="9"/>
      <c r="BX268" s="40"/>
      <c r="BY268" s="40"/>
      <c r="BZ268" s="36" t="str">
        <f aca="false">IF(BY268="","",EDATE(BY268,SG_Criteria!$B$54*12))</f>
        <v/>
      </c>
      <c r="CA268" s="33" t="str">
        <f aca="true">IF(A268="","",IF(BY268="","NOTE: not reviewed yet",IF(TODAY()&gt;BZ268,"NOTE: review overdue","OK")))</f>
        <v/>
      </c>
      <c r="CB268" s="37" t="str">
        <f aca="false">IF(A268="","",ROUND((IF(LEN(D268)&gt;0,1,0)+IF(LEN(E268)&gt;0,1,0)+IF(LEN(F268)&gt;0,1,0)+IF(LEN(G268)&gt;0,1,0)+IF(LEN(I268)&gt;0,1,0)+IF(LEN(J268)&gt;0,1,0)+IF(LEN(K268)&gt;0,1,0)+IF(LEN(L268)&gt;0,1,0)+IF(LEN(M268)&gt;0,1,0)+IF(LEN(N268)&gt;0,1,0)+IF(LEN(Z268)&gt;0,1,0)+IF(LEN(AA268)&gt;0,1,0)+IF(LEN(Y268)&gt;0,1,0)+IF(LEN(AE268)&gt;0,1,0)+IF(LEN(AG268)&gt;0,1,0)+IF(LEN(AZ268)&gt;0,1,0)+IF(LEN(AK268)&gt;0,1,0)+IF(LEN(AM268)&gt;0,1,0)+IF(LEN(AN268)&gt;0,1,0)+IF(LEN(AO268)&gt;0,1,0)+IF(LEN(AP268)&gt;0,1,0)+IF(LEN(AY268)&gt;0,1,0)+IF(LEN(BJ268)&gt;0,1,0)+IF(LEN(BW268)&gt;0,1,0))/24,2))</f>
        <v/>
      </c>
      <c r="CC268" s="10" t="str">
        <f aca="false">IF(D268="","",IF(AND(AN268="Approved",ISERROR(SEARCH("FAIL",BG268))),"Y","N"))</f>
        <v/>
      </c>
      <c r="CD268" s="10" t="str">
        <f aca="false">IF(D268="","",D268&amp;"|"&amp;J268&amp;"|"&amp;G268&amp;"|"&amp;CC268)</f>
        <v/>
      </c>
    </row>
    <row r="269" customFormat="false" ht="15" hidden="false" customHeight="false" outlineLevel="0" collapsed="false">
      <c r="A269" s="10" t="str">
        <f aca="false">IF(D269="","","MH-"&amp;IFERROR(VLOOKUP(D269,Lists!$AB$4:$AC$20,2,0),"??")&amp;"-"&amp;TEXT(G269,"0000")&amp;IF(F269="Circular","D","x"&amp;TEXT(H269,"0000"))&amp;"-D"&amp;TEXT(J269*1000,"0000")&amp;"-"&amp;IFERROR(VLOOKUP(E269,Lists!$AE$4:$AF$16,2,0),"??")&amp;"-"&amp;AM269)</f>
        <v/>
      </c>
      <c r="B269" s="10" t="str">
        <f aca="false">IF(D269="","",D269&amp;", "&amp;E269&amp;", "&amp;IF(F269="Circular",G269&amp;" dia",G269&amp;" x "&amp;H269)&amp;", depth "&amp;TEXT(I269,"0.0")&amp;"-"&amp;TEXT(J269,"0.0")&amp;" m, pipe up to "&amp;K269&amp;" dia")</f>
        <v/>
      </c>
      <c r="C269" s="9"/>
      <c r="D269" s="9"/>
      <c r="E269" s="9"/>
      <c r="F269" s="9"/>
      <c r="G269" s="38"/>
      <c r="H269" s="38"/>
      <c r="I269" s="42"/>
      <c r="J269" s="42"/>
      <c r="K269" s="38"/>
      <c r="L269" s="38"/>
      <c r="M269" s="38"/>
      <c r="N269" s="38"/>
      <c r="O269" s="9"/>
      <c r="P269" s="9"/>
      <c r="Q269" s="9"/>
      <c r="R269" s="9"/>
      <c r="S269" s="9"/>
      <c r="T269" s="9"/>
      <c r="U269" s="9"/>
      <c r="V269" s="42"/>
      <c r="W269" s="9"/>
      <c r="X269" s="9"/>
      <c r="Y269" s="39"/>
      <c r="Z269" s="9"/>
      <c r="AA269" s="38"/>
      <c r="AB269" s="9"/>
      <c r="AC269" s="9"/>
      <c r="AD269" s="9"/>
      <c r="AE269" s="9"/>
      <c r="AF269" s="9"/>
      <c r="AG269" s="9"/>
      <c r="AH269" s="38"/>
      <c r="AI269" s="9"/>
      <c r="AJ269" s="39"/>
      <c r="AK269" s="9"/>
      <c r="AL269" s="9"/>
      <c r="AM269" s="9"/>
      <c r="AN269" s="9"/>
      <c r="AO269" s="9"/>
      <c r="AP269" s="9"/>
      <c r="AQ269" s="9"/>
      <c r="AR269" s="10" t="str">
        <f aca="false">IF(A269="","",SG_Criteria!$B$6&amp;SG_Criteria!$B$10&amp;"\"&amp;A269&amp;"\")</f>
        <v/>
      </c>
      <c r="AS269" s="10" t="str">
        <f aca="false">IF(A269="","",A269&amp;"_CAD.dwg")</f>
        <v/>
      </c>
      <c r="AT269" s="10" t="str">
        <f aca="false">IF(A269="","",A269&amp;"_DWG.pdf")</f>
        <v/>
      </c>
      <c r="AU269" s="10" t="str">
        <f aca="false">IF(A269="","",IF(AQ269="Y",A269&amp;"_STAAD.std","n/a"))</f>
        <v/>
      </c>
      <c r="AV269" s="10" t="str">
        <f aca="false">IF(A269="","",A269&amp;"_CALC.xlsx")</f>
        <v/>
      </c>
      <c r="AW269" s="10" t="str">
        <f aca="false">IF(A269="","",A269&amp;"_CALC.pdf")</f>
        <v/>
      </c>
      <c r="AX269" s="9"/>
      <c r="AY269" s="9"/>
      <c r="AZ269" s="39"/>
      <c r="BA269" s="39"/>
      <c r="BB269" s="39"/>
      <c r="BC269" s="39"/>
      <c r="BD269" s="39"/>
      <c r="BE269" s="12" t="str">
        <f aca="false">IF(A269="","",IF(COUNTIF(Rebar_Schedule!$A$5:$A$2004,A269)=0,"",ROUND(SUMIF(Rebar_Schedule!$A$5:$A$2004,A269,Rebar_Schedule!$K$5:$K$2004),1)))</f>
        <v/>
      </c>
      <c r="BF269" s="33" t="str">
        <f aca="false">IF(A269="","",IF(BE269="","No rebar schedule yet",IF(ABS(BE269-N(BA269))/MAX(N(BA269),1)&gt;SG_Criteria!$B$55,"NOTE: register rebar differs from schedule by "&amp;TEXT(ABS(BE269-N(BA269))/MAX(N(BA269),1),"0%"),"OK")))</f>
        <v/>
      </c>
      <c r="BG269" s="33" t="str">
        <f aca="false">IF(D269="","",IF(LEN(IF(AND(Z269&lt;&gt;"",IFERROR(VALUE(MID(Z269,2,2)),0)&lt;SG_Criteria!$B$19),"FAIL: grade below C"&amp;SG_Criteria!$B$19&amp;". ","")&amp;IF(AND(AA269&lt;&gt;"",AA269&lt;SG_Criteria!$B$20),"FAIL: cover &lt; "&amp;SG_Criteria!$B$20&amp;" mm. ","")&amp;IF(AND(I269&lt;&gt;"",I269&lt;SG_Criteria!$B$39),"NOTE: min depth below PUB "&amp;SG_Criteria!$B$39&amp;" m. ","")&amp;IF(AND(LEFT(D269,8)="Standard",J269&gt;SG_Criteria!$B$42),"FAIL: PUB 001C covers manholes up to "&amp;SG_Criteria!$B$42&amp;" m deep only. ","")&amp;IF(AND(LEFT(D269,11)="Rectangular",K269&lt;SG_Criteria!$B$43),"NOTE: 004C is for sewers &gt;= "&amp;SG_Criteria!$B$43&amp;" dia. ","")&amp;IF(AND(LEFT(D269,7)="Precast",J269&lt;=SG_Criteria!$B$42),"NOTE: 006C is for manholes &gt; "&amp;SG_Criteria!$B$42&amp;" m deep. ","")&amp;IF(AND(K269&lt;&gt;"",K269&lt;SG_Criteria!$B$40,D269&lt;&gt;"Inspection Chamber"),"NOTE: public sewer min dia "&amp;SG_Criteria!$B$40&amp;" mm. ","")&amp;IF(AND(Y269&lt;&gt;"",Y269&lt;SG_Criteria!$B$44),"FAIL: uplift FOS below "&amp;SG_Criteria!$B$44&amp;". ",""))=0,"OK",IF(AND(Z269&lt;&gt;"",IFERROR(VALUE(MID(Z269,2,2)),0)&lt;SG_Criteria!$B$19),"FAIL: grade below C"&amp;SG_Criteria!$B$19&amp;". ","")&amp;IF(AND(AA269&lt;&gt;"",AA269&lt;SG_Criteria!$B$20),"FAIL: cover &lt; "&amp;SG_Criteria!$B$20&amp;" mm. ","")&amp;IF(AND(I269&lt;&gt;"",I269&lt;SG_Criteria!$B$39),"NOTE: min depth below PUB "&amp;SG_Criteria!$B$39&amp;" m. ","")&amp;IF(AND(LEFT(D269,8)="Standard",J269&gt;SG_Criteria!$B$42),"FAIL: PUB 001C covers manholes up to "&amp;SG_Criteria!$B$42&amp;" m deep only. ","")&amp;IF(AND(LEFT(D269,11)="Rectangular",K269&lt;SG_Criteria!$B$43),"NOTE: 004C is for sewers &gt;= "&amp;SG_Criteria!$B$43&amp;" dia. ","")&amp;IF(AND(LEFT(D269,7)="Precast",J269&lt;=SG_Criteria!$B$42),"NOTE: 006C is for manholes &gt; "&amp;SG_Criteria!$B$42&amp;" m deep. ","")&amp;IF(AND(K269&lt;&gt;"",K269&lt;SG_Criteria!$B$40,D269&lt;&gt;"Inspection Chamber"),"NOTE: public sewer min dia "&amp;SG_Criteria!$B$40&amp;" mm. ","")&amp;IF(AND(Y269&lt;&gt;"",Y269&lt;SG_Criteria!$B$44),"FAIL: uplift FOS below "&amp;SG_Criteria!$B$44&amp;". ","")))</f>
        <v/>
      </c>
      <c r="BH269" s="9"/>
      <c r="BI269" s="9"/>
      <c r="BJ269" s="9"/>
      <c r="BK269" s="10" t="str">
        <f aca="false">IF(BJ269="","",IFERROR(VLOOKUP(BJ269,Projects!$A$5:$D$504,2,0),"Ref not in Projects"))</f>
        <v/>
      </c>
      <c r="BL269" s="10" t="str">
        <f aca="false">IF(BJ269="","",IFERROR(VLOOKUP(BJ269,Projects!$A$5:$D$504,4,0),"Ref not in Projects"))</f>
        <v/>
      </c>
      <c r="BM269" s="9"/>
      <c r="BN269" s="9"/>
      <c r="BO269" s="9"/>
      <c r="BP269" s="40"/>
      <c r="BQ269" s="9"/>
      <c r="BR269" s="40"/>
      <c r="BS269" s="9"/>
      <c r="BT269" s="40"/>
      <c r="BU269" s="9"/>
      <c r="BV269" s="9"/>
      <c r="BW269" s="9"/>
      <c r="BX269" s="40"/>
      <c r="BY269" s="40"/>
      <c r="BZ269" s="36" t="str">
        <f aca="false">IF(BY269="","",EDATE(BY269,SG_Criteria!$B$54*12))</f>
        <v/>
      </c>
      <c r="CA269" s="33" t="str">
        <f aca="true">IF(A269="","",IF(BY269="","NOTE: not reviewed yet",IF(TODAY()&gt;BZ269,"NOTE: review overdue","OK")))</f>
        <v/>
      </c>
      <c r="CB269" s="37" t="str">
        <f aca="false">IF(A269="","",ROUND((IF(LEN(D269)&gt;0,1,0)+IF(LEN(E269)&gt;0,1,0)+IF(LEN(F269)&gt;0,1,0)+IF(LEN(G269)&gt;0,1,0)+IF(LEN(I269)&gt;0,1,0)+IF(LEN(J269)&gt;0,1,0)+IF(LEN(K269)&gt;0,1,0)+IF(LEN(L269)&gt;0,1,0)+IF(LEN(M269)&gt;0,1,0)+IF(LEN(N269)&gt;0,1,0)+IF(LEN(Z269)&gt;0,1,0)+IF(LEN(AA269)&gt;0,1,0)+IF(LEN(Y269)&gt;0,1,0)+IF(LEN(AE269)&gt;0,1,0)+IF(LEN(AG269)&gt;0,1,0)+IF(LEN(AZ269)&gt;0,1,0)+IF(LEN(AK269)&gt;0,1,0)+IF(LEN(AM269)&gt;0,1,0)+IF(LEN(AN269)&gt;0,1,0)+IF(LEN(AO269)&gt;0,1,0)+IF(LEN(AP269)&gt;0,1,0)+IF(LEN(AY269)&gt;0,1,0)+IF(LEN(BJ269)&gt;0,1,0)+IF(LEN(BW269)&gt;0,1,0))/24,2))</f>
        <v/>
      </c>
      <c r="CC269" s="10" t="str">
        <f aca="false">IF(D269="","",IF(AND(AN269="Approved",ISERROR(SEARCH("FAIL",BG269))),"Y","N"))</f>
        <v/>
      </c>
      <c r="CD269" s="10" t="str">
        <f aca="false">IF(D269="","",D269&amp;"|"&amp;J269&amp;"|"&amp;G269&amp;"|"&amp;CC269)</f>
        <v/>
      </c>
    </row>
    <row r="270" customFormat="false" ht="15" hidden="false" customHeight="false" outlineLevel="0" collapsed="false">
      <c r="A270" s="10" t="str">
        <f aca="false">IF(D270="","","MH-"&amp;IFERROR(VLOOKUP(D270,Lists!$AB$4:$AC$20,2,0),"??")&amp;"-"&amp;TEXT(G270,"0000")&amp;IF(F270="Circular","D","x"&amp;TEXT(H270,"0000"))&amp;"-D"&amp;TEXT(J270*1000,"0000")&amp;"-"&amp;IFERROR(VLOOKUP(E270,Lists!$AE$4:$AF$16,2,0),"??")&amp;"-"&amp;AM270)</f>
        <v/>
      </c>
      <c r="B270" s="10" t="str">
        <f aca="false">IF(D270="","",D270&amp;", "&amp;E270&amp;", "&amp;IF(F270="Circular",G270&amp;" dia",G270&amp;" x "&amp;H270)&amp;", depth "&amp;TEXT(I270,"0.0")&amp;"-"&amp;TEXT(J270,"0.0")&amp;" m, pipe up to "&amp;K270&amp;" dia")</f>
        <v/>
      </c>
      <c r="C270" s="9"/>
      <c r="D270" s="9"/>
      <c r="E270" s="9"/>
      <c r="F270" s="9"/>
      <c r="G270" s="38"/>
      <c r="H270" s="38"/>
      <c r="I270" s="42"/>
      <c r="J270" s="42"/>
      <c r="K270" s="38"/>
      <c r="L270" s="38"/>
      <c r="M270" s="38"/>
      <c r="N270" s="38"/>
      <c r="O270" s="9"/>
      <c r="P270" s="9"/>
      <c r="Q270" s="9"/>
      <c r="R270" s="9"/>
      <c r="S270" s="9"/>
      <c r="T270" s="9"/>
      <c r="U270" s="9"/>
      <c r="V270" s="42"/>
      <c r="W270" s="9"/>
      <c r="X270" s="9"/>
      <c r="Y270" s="39"/>
      <c r="Z270" s="9"/>
      <c r="AA270" s="38"/>
      <c r="AB270" s="9"/>
      <c r="AC270" s="9"/>
      <c r="AD270" s="9"/>
      <c r="AE270" s="9"/>
      <c r="AF270" s="9"/>
      <c r="AG270" s="9"/>
      <c r="AH270" s="38"/>
      <c r="AI270" s="9"/>
      <c r="AJ270" s="39"/>
      <c r="AK270" s="9"/>
      <c r="AL270" s="9"/>
      <c r="AM270" s="9"/>
      <c r="AN270" s="9"/>
      <c r="AO270" s="9"/>
      <c r="AP270" s="9"/>
      <c r="AQ270" s="9"/>
      <c r="AR270" s="10" t="str">
        <f aca="false">IF(A270="","",SG_Criteria!$B$6&amp;SG_Criteria!$B$10&amp;"\"&amp;A270&amp;"\")</f>
        <v/>
      </c>
      <c r="AS270" s="10" t="str">
        <f aca="false">IF(A270="","",A270&amp;"_CAD.dwg")</f>
        <v/>
      </c>
      <c r="AT270" s="10" t="str">
        <f aca="false">IF(A270="","",A270&amp;"_DWG.pdf")</f>
        <v/>
      </c>
      <c r="AU270" s="10" t="str">
        <f aca="false">IF(A270="","",IF(AQ270="Y",A270&amp;"_STAAD.std","n/a"))</f>
        <v/>
      </c>
      <c r="AV270" s="10" t="str">
        <f aca="false">IF(A270="","",A270&amp;"_CALC.xlsx")</f>
        <v/>
      </c>
      <c r="AW270" s="10" t="str">
        <f aca="false">IF(A270="","",A270&amp;"_CALC.pdf")</f>
        <v/>
      </c>
      <c r="AX270" s="9"/>
      <c r="AY270" s="9"/>
      <c r="AZ270" s="39"/>
      <c r="BA270" s="39"/>
      <c r="BB270" s="39"/>
      <c r="BC270" s="39"/>
      <c r="BD270" s="39"/>
      <c r="BE270" s="12" t="str">
        <f aca="false">IF(A270="","",IF(COUNTIF(Rebar_Schedule!$A$5:$A$2004,A270)=0,"",ROUND(SUMIF(Rebar_Schedule!$A$5:$A$2004,A270,Rebar_Schedule!$K$5:$K$2004),1)))</f>
        <v/>
      </c>
      <c r="BF270" s="33" t="str">
        <f aca="false">IF(A270="","",IF(BE270="","No rebar schedule yet",IF(ABS(BE270-N(BA270))/MAX(N(BA270),1)&gt;SG_Criteria!$B$55,"NOTE: register rebar differs from schedule by "&amp;TEXT(ABS(BE270-N(BA270))/MAX(N(BA270),1),"0%"),"OK")))</f>
        <v/>
      </c>
      <c r="BG270" s="33" t="str">
        <f aca="false">IF(D270="","",IF(LEN(IF(AND(Z270&lt;&gt;"",IFERROR(VALUE(MID(Z270,2,2)),0)&lt;SG_Criteria!$B$19),"FAIL: grade below C"&amp;SG_Criteria!$B$19&amp;". ","")&amp;IF(AND(AA270&lt;&gt;"",AA270&lt;SG_Criteria!$B$20),"FAIL: cover &lt; "&amp;SG_Criteria!$B$20&amp;" mm. ","")&amp;IF(AND(I270&lt;&gt;"",I270&lt;SG_Criteria!$B$39),"NOTE: min depth below PUB "&amp;SG_Criteria!$B$39&amp;" m. ","")&amp;IF(AND(LEFT(D270,8)="Standard",J270&gt;SG_Criteria!$B$42),"FAIL: PUB 001C covers manholes up to "&amp;SG_Criteria!$B$42&amp;" m deep only. ","")&amp;IF(AND(LEFT(D270,11)="Rectangular",K270&lt;SG_Criteria!$B$43),"NOTE: 004C is for sewers &gt;= "&amp;SG_Criteria!$B$43&amp;" dia. ","")&amp;IF(AND(LEFT(D270,7)="Precast",J270&lt;=SG_Criteria!$B$42),"NOTE: 006C is for manholes &gt; "&amp;SG_Criteria!$B$42&amp;" m deep. ","")&amp;IF(AND(K270&lt;&gt;"",K270&lt;SG_Criteria!$B$40,D270&lt;&gt;"Inspection Chamber"),"NOTE: public sewer min dia "&amp;SG_Criteria!$B$40&amp;" mm. ","")&amp;IF(AND(Y270&lt;&gt;"",Y270&lt;SG_Criteria!$B$44),"FAIL: uplift FOS below "&amp;SG_Criteria!$B$44&amp;". ",""))=0,"OK",IF(AND(Z270&lt;&gt;"",IFERROR(VALUE(MID(Z270,2,2)),0)&lt;SG_Criteria!$B$19),"FAIL: grade below C"&amp;SG_Criteria!$B$19&amp;". ","")&amp;IF(AND(AA270&lt;&gt;"",AA270&lt;SG_Criteria!$B$20),"FAIL: cover &lt; "&amp;SG_Criteria!$B$20&amp;" mm. ","")&amp;IF(AND(I270&lt;&gt;"",I270&lt;SG_Criteria!$B$39),"NOTE: min depth below PUB "&amp;SG_Criteria!$B$39&amp;" m. ","")&amp;IF(AND(LEFT(D270,8)="Standard",J270&gt;SG_Criteria!$B$42),"FAIL: PUB 001C covers manholes up to "&amp;SG_Criteria!$B$42&amp;" m deep only. ","")&amp;IF(AND(LEFT(D270,11)="Rectangular",K270&lt;SG_Criteria!$B$43),"NOTE: 004C is for sewers &gt;= "&amp;SG_Criteria!$B$43&amp;" dia. ","")&amp;IF(AND(LEFT(D270,7)="Precast",J270&lt;=SG_Criteria!$B$42),"NOTE: 006C is for manholes &gt; "&amp;SG_Criteria!$B$42&amp;" m deep. ","")&amp;IF(AND(K270&lt;&gt;"",K270&lt;SG_Criteria!$B$40,D270&lt;&gt;"Inspection Chamber"),"NOTE: public sewer min dia "&amp;SG_Criteria!$B$40&amp;" mm. ","")&amp;IF(AND(Y270&lt;&gt;"",Y270&lt;SG_Criteria!$B$44),"FAIL: uplift FOS below "&amp;SG_Criteria!$B$44&amp;". ","")))</f>
        <v/>
      </c>
      <c r="BH270" s="9"/>
      <c r="BI270" s="9"/>
      <c r="BJ270" s="9"/>
      <c r="BK270" s="10" t="str">
        <f aca="false">IF(BJ270="","",IFERROR(VLOOKUP(BJ270,Projects!$A$5:$D$504,2,0),"Ref not in Projects"))</f>
        <v/>
      </c>
      <c r="BL270" s="10" t="str">
        <f aca="false">IF(BJ270="","",IFERROR(VLOOKUP(BJ270,Projects!$A$5:$D$504,4,0),"Ref not in Projects"))</f>
        <v/>
      </c>
      <c r="BM270" s="9"/>
      <c r="BN270" s="9"/>
      <c r="BO270" s="9"/>
      <c r="BP270" s="40"/>
      <c r="BQ270" s="9"/>
      <c r="BR270" s="40"/>
      <c r="BS270" s="9"/>
      <c r="BT270" s="40"/>
      <c r="BU270" s="9"/>
      <c r="BV270" s="9"/>
      <c r="BW270" s="9"/>
      <c r="BX270" s="40"/>
      <c r="BY270" s="40"/>
      <c r="BZ270" s="36" t="str">
        <f aca="false">IF(BY270="","",EDATE(BY270,SG_Criteria!$B$54*12))</f>
        <v/>
      </c>
      <c r="CA270" s="33" t="str">
        <f aca="true">IF(A270="","",IF(BY270="","NOTE: not reviewed yet",IF(TODAY()&gt;BZ270,"NOTE: review overdue","OK")))</f>
        <v/>
      </c>
      <c r="CB270" s="37" t="str">
        <f aca="false">IF(A270="","",ROUND((IF(LEN(D270)&gt;0,1,0)+IF(LEN(E270)&gt;0,1,0)+IF(LEN(F270)&gt;0,1,0)+IF(LEN(G270)&gt;0,1,0)+IF(LEN(I270)&gt;0,1,0)+IF(LEN(J270)&gt;0,1,0)+IF(LEN(K270)&gt;0,1,0)+IF(LEN(L270)&gt;0,1,0)+IF(LEN(M270)&gt;0,1,0)+IF(LEN(N270)&gt;0,1,0)+IF(LEN(Z270)&gt;0,1,0)+IF(LEN(AA270)&gt;0,1,0)+IF(LEN(Y270)&gt;0,1,0)+IF(LEN(AE270)&gt;0,1,0)+IF(LEN(AG270)&gt;0,1,0)+IF(LEN(AZ270)&gt;0,1,0)+IF(LEN(AK270)&gt;0,1,0)+IF(LEN(AM270)&gt;0,1,0)+IF(LEN(AN270)&gt;0,1,0)+IF(LEN(AO270)&gt;0,1,0)+IF(LEN(AP270)&gt;0,1,0)+IF(LEN(AY270)&gt;0,1,0)+IF(LEN(BJ270)&gt;0,1,0)+IF(LEN(BW270)&gt;0,1,0))/24,2))</f>
        <v/>
      </c>
      <c r="CC270" s="10" t="str">
        <f aca="false">IF(D270="","",IF(AND(AN270="Approved",ISERROR(SEARCH("FAIL",BG270))),"Y","N"))</f>
        <v/>
      </c>
      <c r="CD270" s="10" t="str">
        <f aca="false">IF(D270="","",D270&amp;"|"&amp;J270&amp;"|"&amp;G270&amp;"|"&amp;CC270)</f>
        <v/>
      </c>
    </row>
    <row r="271" customFormat="false" ht="15" hidden="false" customHeight="false" outlineLevel="0" collapsed="false">
      <c r="A271" s="10" t="str">
        <f aca="false">IF(D271="","","MH-"&amp;IFERROR(VLOOKUP(D271,Lists!$AB$4:$AC$20,2,0),"??")&amp;"-"&amp;TEXT(G271,"0000")&amp;IF(F271="Circular","D","x"&amp;TEXT(H271,"0000"))&amp;"-D"&amp;TEXT(J271*1000,"0000")&amp;"-"&amp;IFERROR(VLOOKUP(E271,Lists!$AE$4:$AF$16,2,0),"??")&amp;"-"&amp;AM271)</f>
        <v/>
      </c>
      <c r="B271" s="10" t="str">
        <f aca="false">IF(D271="","",D271&amp;", "&amp;E271&amp;", "&amp;IF(F271="Circular",G271&amp;" dia",G271&amp;" x "&amp;H271)&amp;", depth "&amp;TEXT(I271,"0.0")&amp;"-"&amp;TEXT(J271,"0.0")&amp;" m, pipe up to "&amp;K271&amp;" dia")</f>
        <v/>
      </c>
      <c r="C271" s="9"/>
      <c r="D271" s="9"/>
      <c r="E271" s="9"/>
      <c r="F271" s="9"/>
      <c r="G271" s="38"/>
      <c r="H271" s="38"/>
      <c r="I271" s="42"/>
      <c r="J271" s="42"/>
      <c r="K271" s="38"/>
      <c r="L271" s="38"/>
      <c r="M271" s="38"/>
      <c r="N271" s="38"/>
      <c r="O271" s="9"/>
      <c r="P271" s="9"/>
      <c r="Q271" s="9"/>
      <c r="R271" s="9"/>
      <c r="S271" s="9"/>
      <c r="T271" s="9"/>
      <c r="U271" s="9"/>
      <c r="V271" s="42"/>
      <c r="W271" s="9"/>
      <c r="X271" s="9"/>
      <c r="Y271" s="39"/>
      <c r="Z271" s="9"/>
      <c r="AA271" s="38"/>
      <c r="AB271" s="9"/>
      <c r="AC271" s="9"/>
      <c r="AD271" s="9"/>
      <c r="AE271" s="9"/>
      <c r="AF271" s="9"/>
      <c r="AG271" s="9"/>
      <c r="AH271" s="38"/>
      <c r="AI271" s="9"/>
      <c r="AJ271" s="39"/>
      <c r="AK271" s="9"/>
      <c r="AL271" s="9"/>
      <c r="AM271" s="9"/>
      <c r="AN271" s="9"/>
      <c r="AO271" s="9"/>
      <c r="AP271" s="9"/>
      <c r="AQ271" s="9"/>
      <c r="AR271" s="10" t="str">
        <f aca="false">IF(A271="","",SG_Criteria!$B$6&amp;SG_Criteria!$B$10&amp;"\"&amp;A271&amp;"\")</f>
        <v/>
      </c>
      <c r="AS271" s="10" t="str">
        <f aca="false">IF(A271="","",A271&amp;"_CAD.dwg")</f>
        <v/>
      </c>
      <c r="AT271" s="10" t="str">
        <f aca="false">IF(A271="","",A271&amp;"_DWG.pdf")</f>
        <v/>
      </c>
      <c r="AU271" s="10" t="str">
        <f aca="false">IF(A271="","",IF(AQ271="Y",A271&amp;"_STAAD.std","n/a"))</f>
        <v/>
      </c>
      <c r="AV271" s="10" t="str">
        <f aca="false">IF(A271="","",A271&amp;"_CALC.xlsx")</f>
        <v/>
      </c>
      <c r="AW271" s="10" t="str">
        <f aca="false">IF(A271="","",A271&amp;"_CALC.pdf")</f>
        <v/>
      </c>
      <c r="AX271" s="9"/>
      <c r="AY271" s="9"/>
      <c r="AZ271" s="39"/>
      <c r="BA271" s="39"/>
      <c r="BB271" s="39"/>
      <c r="BC271" s="39"/>
      <c r="BD271" s="39"/>
      <c r="BE271" s="12" t="str">
        <f aca="false">IF(A271="","",IF(COUNTIF(Rebar_Schedule!$A$5:$A$2004,A271)=0,"",ROUND(SUMIF(Rebar_Schedule!$A$5:$A$2004,A271,Rebar_Schedule!$K$5:$K$2004),1)))</f>
        <v/>
      </c>
      <c r="BF271" s="33" t="str">
        <f aca="false">IF(A271="","",IF(BE271="","No rebar schedule yet",IF(ABS(BE271-N(BA271))/MAX(N(BA271),1)&gt;SG_Criteria!$B$55,"NOTE: register rebar differs from schedule by "&amp;TEXT(ABS(BE271-N(BA271))/MAX(N(BA271),1),"0%"),"OK")))</f>
        <v/>
      </c>
      <c r="BG271" s="33" t="str">
        <f aca="false">IF(D271="","",IF(LEN(IF(AND(Z271&lt;&gt;"",IFERROR(VALUE(MID(Z271,2,2)),0)&lt;SG_Criteria!$B$19),"FAIL: grade below C"&amp;SG_Criteria!$B$19&amp;". ","")&amp;IF(AND(AA271&lt;&gt;"",AA271&lt;SG_Criteria!$B$20),"FAIL: cover &lt; "&amp;SG_Criteria!$B$20&amp;" mm. ","")&amp;IF(AND(I271&lt;&gt;"",I271&lt;SG_Criteria!$B$39),"NOTE: min depth below PUB "&amp;SG_Criteria!$B$39&amp;" m. ","")&amp;IF(AND(LEFT(D271,8)="Standard",J271&gt;SG_Criteria!$B$42),"FAIL: PUB 001C covers manholes up to "&amp;SG_Criteria!$B$42&amp;" m deep only. ","")&amp;IF(AND(LEFT(D271,11)="Rectangular",K271&lt;SG_Criteria!$B$43),"NOTE: 004C is for sewers &gt;= "&amp;SG_Criteria!$B$43&amp;" dia. ","")&amp;IF(AND(LEFT(D271,7)="Precast",J271&lt;=SG_Criteria!$B$42),"NOTE: 006C is for manholes &gt; "&amp;SG_Criteria!$B$42&amp;" m deep. ","")&amp;IF(AND(K271&lt;&gt;"",K271&lt;SG_Criteria!$B$40,D271&lt;&gt;"Inspection Chamber"),"NOTE: public sewer min dia "&amp;SG_Criteria!$B$40&amp;" mm. ","")&amp;IF(AND(Y271&lt;&gt;"",Y271&lt;SG_Criteria!$B$44),"FAIL: uplift FOS below "&amp;SG_Criteria!$B$44&amp;". ",""))=0,"OK",IF(AND(Z271&lt;&gt;"",IFERROR(VALUE(MID(Z271,2,2)),0)&lt;SG_Criteria!$B$19),"FAIL: grade below C"&amp;SG_Criteria!$B$19&amp;". ","")&amp;IF(AND(AA271&lt;&gt;"",AA271&lt;SG_Criteria!$B$20),"FAIL: cover &lt; "&amp;SG_Criteria!$B$20&amp;" mm. ","")&amp;IF(AND(I271&lt;&gt;"",I271&lt;SG_Criteria!$B$39),"NOTE: min depth below PUB "&amp;SG_Criteria!$B$39&amp;" m. ","")&amp;IF(AND(LEFT(D271,8)="Standard",J271&gt;SG_Criteria!$B$42),"FAIL: PUB 001C covers manholes up to "&amp;SG_Criteria!$B$42&amp;" m deep only. ","")&amp;IF(AND(LEFT(D271,11)="Rectangular",K271&lt;SG_Criteria!$B$43),"NOTE: 004C is for sewers &gt;= "&amp;SG_Criteria!$B$43&amp;" dia. ","")&amp;IF(AND(LEFT(D271,7)="Precast",J271&lt;=SG_Criteria!$B$42),"NOTE: 006C is for manholes &gt; "&amp;SG_Criteria!$B$42&amp;" m deep. ","")&amp;IF(AND(K271&lt;&gt;"",K271&lt;SG_Criteria!$B$40,D271&lt;&gt;"Inspection Chamber"),"NOTE: public sewer min dia "&amp;SG_Criteria!$B$40&amp;" mm. ","")&amp;IF(AND(Y271&lt;&gt;"",Y271&lt;SG_Criteria!$B$44),"FAIL: uplift FOS below "&amp;SG_Criteria!$B$44&amp;". ","")))</f>
        <v/>
      </c>
      <c r="BH271" s="9"/>
      <c r="BI271" s="9"/>
      <c r="BJ271" s="9"/>
      <c r="BK271" s="10" t="str">
        <f aca="false">IF(BJ271="","",IFERROR(VLOOKUP(BJ271,Projects!$A$5:$D$504,2,0),"Ref not in Projects"))</f>
        <v/>
      </c>
      <c r="BL271" s="10" t="str">
        <f aca="false">IF(BJ271="","",IFERROR(VLOOKUP(BJ271,Projects!$A$5:$D$504,4,0),"Ref not in Projects"))</f>
        <v/>
      </c>
      <c r="BM271" s="9"/>
      <c r="BN271" s="9"/>
      <c r="BO271" s="9"/>
      <c r="BP271" s="40"/>
      <c r="BQ271" s="9"/>
      <c r="BR271" s="40"/>
      <c r="BS271" s="9"/>
      <c r="BT271" s="40"/>
      <c r="BU271" s="9"/>
      <c r="BV271" s="9"/>
      <c r="BW271" s="9"/>
      <c r="BX271" s="40"/>
      <c r="BY271" s="40"/>
      <c r="BZ271" s="36" t="str">
        <f aca="false">IF(BY271="","",EDATE(BY271,SG_Criteria!$B$54*12))</f>
        <v/>
      </c>
      <c r="CA271" s="33" t="str">
        <f aca="true">IF(A271="","",IF(BY271="","NOTE: not reviewed yet",IF(TODAY()&gt;BZ271,"NOTE: review overdue","OK")))</f>
        <v/>
      </c>
      <c r="CB271" s="37" t="str">
        <f aca="false">IF(A271="","",ROUND((IF(LEN(D271)&gt;0,1,0)+IF(LEN(E271)&gt;0,1,0)+IF(LEN(F271)&gt;0,1,0)+IF(LEN(G271)&gt;0,1,0)+IF(LEN(I271)&gt;0,1,0)+IF(LEN(J271)&gt;0,1,0)+IF(LEN(K271)&gt;0,1,0)+IF(LEN(L271)&gt;0,1,0)+IF(LEN(M271)&gt;0,1,0)+IF(LEN(N271)&gt;0,1,0)+IF(LEN(Z271)&gt;0,1,0)+IF(LEN(AA271)&gt;0,1,0)+IF(LEN(Y271)&gt;0,1,0)+IF(LEN(AE271)&gt;0,1,0)+IF(LEN(AG271)&gt;0,1,0)+IF(LEN(AZ271)&gt;0,1,0)+IF(LEN(AK271)&gt;0,1,0)+IF(LEN(AM271)&gt;0,1,0)+IF(LEN(AN271)&gt;0,1,0)+IF(LEN(AO271)&gt;0,1,0)+IF(LEN(AP271)&gt;0,1,0)+IF(LEN(AY271)&gt;0,1,0)+IF(LEN(BJ271)&gt;0,1,0)+IF(LEN(BW271)&gt;0,1,0))/24,2))</f>
        <v/>
      </c>
      <c r="CC271" s="10" t="str">
        <f aca="false">IF(D271="","",IF(AND(AN271="Approved",ISERROR(SEARCH("FAIL",BG271))),"Y","N"))</f>
        <v/>
      </c>
      <c r="CD271" s="10" t="str">
        <f aca="false">IF(D271="","",D271&amp;"|"&amp;J271&amp;"|"&amp;G271&amp;"|"&amp;CC271)</f>
        <v/>
      </c>
    </row>
    <row r="272" customFormat="false" ht="15" hidden="false" customHeight="false" outlineLevel="0" collapsed="false">
      <c r="A272" s="10" t="str">
        <f aca="false">IF(D272="","","MH-"&amp;IFERROR(VLOOKUP(D272,Lists!$AB$4:$AC$20,2,0),"??")&amp;"-"&amp;TEXT(G272,"0000")&amp;IF(F272="Circular","D","x"&amp;TEXT(H272,"0000"))&amp;"-D"&amp;TEXT(J272*1000,"0000")&amp;"-"&amp;IFERROR(VLOOKUP(E272,Lists!$AE$4:$AF$16,2,0),"??")&amp;"-"&amp;AM272)</f>
        <v/>
      </c>
      <c r="B272" s="10" t="str">
        <f aca="false">IF(D272="","",D272&amp;", "&amp;E272&amp;", "&amp;IF(F272="Circular",G272&amp;" dia",G272&amp;" x "&amp;H272)&amp;", depth "&amp;TEXT(I272,"0.0")&amp;"-"&amp;TEXT(J272,"0.0")&amp;" m, pipe up to "&amp;K272&amp;" dia")</f>
        <v/>
      </c>
      <c r="C272" s="9"/>
      <c r="D272" s="9"/>
      <c r="E272" s="9"/>
      <c r="F272" s="9"/>
      <c r="G272" s="38"/>
      <c r="H272" s="38"/>
      <c r="I272" s="42"/>
      <c r="J272" s="42"/>
      <c r="K272" s="38"/>
      <c r="L272" s="38"/>
      <c r="M272" s="38"/>
      <c r="N272" s="38"/>
      <c r="O272" s="9"/>
      <c r="P272" s="9"/>
      <c r="Q272" s="9"/>
      <c r="R272" s="9"/>
      <c r="S272" s="9"/>
      <c r="T272" s="9"/>
      <c r="U272" s="9"/>
      <c r="V272" s="42"/>
      <c r="W272" s="9"/>
      <c r="X272" s="9"/>
      <c r="Y272" s="39"/>
      <c r="Z272" s="9"/>
      <c r="AA272" s="38"/>
      <c r="AB272" s="9"/>
      <c r="AC272" s="9"/>
      <c r="AD272" s="9"/>
      <c r="AE272" s="9"/>
      <c r="AF272" s="9"/>
      <c r="AG272" s="9"/>
      <c r="AH272" s="38"/>
      <c r="AI272" s="9"/>
      <c r="AJ272" s="39"/>
      <c r="AK272" s="9"/>
      <c r="AL272" s="9"/>
      <c r="AM272" s="9"/>
      <c r="AN272" s="9"/>
      <c r="AO272" s="9"/>
      <c r="AP272" s="9"/>
      <c r="AQ272" s="9"/>
      <c r="AR272" s="10" t="str">
        <f aca="false">IF(A272="","",SG_Criteria!$B$6&amp;SG_Criteria!$B$10&amp;"\"&amp;A272&amp;"\")</f>
        <v/>
      </c>
      <c r="AS272" s="10" t="str">
        <f aca="false">IF(A272="","",A272&amp;"_CAD.dwg")</f>
        <v/>
      </c>
      <c r="AT272" s="10" t="str">
        <f aca="false">IF(A272="","",A272&amp;"_DWG.pdf")</f>
        <v/>
      </c>
      <c r="AU272" s="10" t="str">
        <f aca="false">IF(A272="","",IF(AQ272="Y",A272&amp;"_STAAD.std","n/a"))</f>
        <v/>
      </c>
      <c r="AV272" s="10" t="str">
        <f aca="false">IF(A272="","",A272&amp;"_CALC.xlsx")</f>
        <v/>
      </c>
      <c r="AW272" s="10" t="str">
        <f aca="false">IF(A272="","",A272&amp;"_CALC.pdf")</f>
        <v/>
      </c>
      <c r="AX272" s="9"/>
      <c r="AY272" s="9"/>
      <c r="AZ272" s="39"/>
      <c r="BA272" s="39"/>
      <c r="BB272" s="39"/>
      <c r="BC272" s="39"/>
      <c r="BD272" s="39"/>
      <c r="BE272" s="12" t="str">
        <f aca="false">IF(A272="","",IF(COUNTIF(Rebar_Schedule!$A$5:$A$2004,A272)=0,"",ROUND(SUMIF(Rebar_Schedule!$A$5:$A$2004,A272,Rebar_Schedule!$K$5:$K$2004),1)))</f>
        <v/>
      </c>
      <c r="BF272" s="33" t="str">
        <f aca="false">IF(A272="","",IF(BE272="","No rebar schedule yet",IF(ABS(BE272-N(BA272))/MAX(N(BA272),1)&gt;SG_Criteria!$B$55,"NOTE: register rebar differs from schedule by "&amp;TEXT(ABS(BE272-N(BA272))/MAX(N(BA272),1),"0%"),"OK")))</f>
        <v/>
      </c>
      <c r="BG272" s="33" t="str">
        <f aca="false">IF(D272="","",IF(LEN(IF(AND(Z272&lt;&gt;"",IFERROR(VALUE(MID(Z272,2,2)),0)&lt;SG_Criteria!$B$19),"FAIL: grade below C"&amp;SG_Criteria!$B$19&amp;". ","")&amp;IF(AND(AA272&lt;&gt;"",AA272&lt;SG_Criteria!$B$20),"FAIL: cover &lt; "&amp;SG_Criteria!$B$20&amp;" mm. ","")&amp;IF(AND(I272&lt;&gt;"",I272&lt;SG_Criteria!$B$39),"NOTE: min depth below PUB "&amp;SG_Criteria!$B$39&amp;" m. ","")&amp;IF(AND(LEFT(D272,8)="Standard",J272&gt;SG_Criteria!$B$42),"FAIL: PUB 001C covers manholes up to "&amp;SG_Criteria!$B$42&amp;" m deep only. ","")&amp;IF(AND(LEFT(D272,11)="Rectangular",K272&lt;SG_Criteria!$B$43),"NOTE: 004C is for sewers &gt;= "&amp;SG_Criteria!$B$43&amp;" dia. ","")&amp;IF(AND(LEFT(D272,7)="Precast",J272&lt;=SG_Criteria!$B$42),"NOTE: 006C is for manholes &gt; "&amp;SG_Criteria!$B$42&amp;" m deep. ","")&amp;IF(AND(K272&lt;&gt;"",K272&lt;SG_Criteria!$B$40,D272&lt;&gt;"Inspection Chamber"),"NOTE: public sewer min dia "&amp;SG_Criteria!$B$40&amp;" mm. ","")&amp;IF(AND(Y272&lt;&gt;"",Y272&lt;SG_Criteria!$B$44),"FAIL: uplift FOS below "&amp;SG_Criteria!$B$44&amp;". ",""))=0,"OK",IF(AND(Z272&lt;&gt;"",IFERROR(VALUE(MID(Z272,2,2)),0)&lt;SG_Criteria!$B$19),"FAIL: grade below C"&amp;SG_Criteria!$B$19&amp;". ","")&amp;IF(AND(AA272&lt;&gt;"",AA272&lt;SG_Criteria!$B$20),"FAIL: cover &lt; "&amp;SG_Criteria!$B$20&amp;" mm. ","")&amp;IF(AND(I272&lt;&gt;"",I272&lt;SG_Criteria!$B$39),"NOTE: min depth below PUB "&amp;SG_Criteria!$B$39&amp;" m. ","")&amp;IF(AND(LEFT(D272,8)="Standard",J272&gt;SG_Criteria!$B$42),"FAIL: PUB 001C covers manholes up to "&amp;SG_Criteria!$B$42&amp;" m deep only. ","")&amp;IF(AND(LEFT(D272,11)="Rectangular",K272&lt;SG_Criteria!$B$43),"NOTE: 004C is for sewers &gt;= "&amp;SG_Criteria!$B$43&amp;" dia. ","")&amp;IF(AND(LEFT(D272,7)="Precast",J272&lt;=SG_Criteria!$B$42),"NOTE: 006C is for manholes &gt; "&amp;SG_Criteria!$B$42&amp;" m deep. ","")&amp;IF(AND(K272&lt;&gt;"",K272&lt;SG_Criteria!$B$40,D272&lt;&gt;"Inspection Chamber"),"NOTE: public sewer min dia "&amp;SG_Criteria!$B$40&amp;" mm. ","")&amp;IF(AND(Y272&lt;&gt;"",Y272&lt;SG_Criteria!$B$44),"FAIL: uplift FOS below "&amp;SG_Criteria!$B$44&amp;". ","")))</f>
        <v/>
      </c>
      <c r="BH272" s="9"/>
      <c r="BI272" s="9"/>
      <c r="BJ272" s="9"/>
      <c r="BK272" s="10" t="str">
        <f aca="false">IF(BJ272="","",IFERROR(VLOOKUP(BJ272,Projects!$A$5:$D$504,2,0),"Ref not in Projects"))</f>
        <v/>
      </c>
      <c r="BL272" s="10" t="str">
        <f aca="false">IF(BJ272="","",IFERROR(VLOOKUP(BJ272,Projects!$A$5:$D$504,4,0),"Ref not in Projects"))</f>
        <v/>
      </c>
      <c r="BM272" s="9"/>
      <c r="BN272" s="9"/>
      <c r="BO272" s="9"/>
      <c r="BP272" s="40"/>
      <c r="BQ272" s="9"/>
      <c r="BR272" s="40"/>
      <c r="BS272" s="9"/>
      <c r="BT272" s="40"/>
      <c r="BU272" s="9"/>
      <c r="BV272" s="9"/>
      <c r="BW272" s="9"/>
      <c r="BX272" s="40"/>
      <c r="BY272" s="40"/>
      <c r="BZ272" s="36" t="str">
        <f aca="false">IF(BY272="","",EDATE(BY272,SG_Criteria!$B$54*12))</f>
        <v/>
      </c>
      <c r="CA272" s="33" t="str">
        <f aca="true">IF(A272="","",IF(BY272="","NOTE: not reviewed yet",IF(TODAY()&gt;BZ272,"NOTE: review overdue","OK")))</f>
        <v/>
      </c>
      <c r="CB272" s="37" t="str">
        <f aca="false">IF(A272="","",ROUND((IF(LEN(D272)&gt;0,1,0)+IF(LEN(E272)&gt;0,1,0)+IF(LEN(F272)&gt;0,1,0)+IF(LEN(G272)&gt;0,1,0)+IF(LEN(I272)&gt;0,1,0)+IF(LEN(J272)&gt;0,1,0)+IF(LEN(K272)&gt;0,1,0)+IF(LEN(L272)&gt;0,1,0)+IF(LEN(M272)&gt;0,1,0)+IF(LEN(N272)&gt;0,1,0)+IF(LEN(Z272)&gt;0,1,0)+IF(LEN(AA272)&gt;0,1,0)+IF(LEN(Y272)&gt;0,1,0)+IF(LEN(AE272)&gt;0,1,0)+IF(LEN(AG272)&gt;0,1,0)+IF(LEN(AZ272)&gt;0,1,0)+IF(LEN(AK272)&gt;0,1,0)+IF(LEN(AM272)&gt;0,1,0)+IF(LEN(AN272)&gt;0,1,0)+IF(LEN(AO272)&gt;0,1,0)+IF(LEN(AP272)&gt;0,1,0)+IF(LEN(AY272)&gt;0,1,0)+IF(LEN(BJ272)&gt;0,1,0)+IF(LEN(BW272)&gt;0,1,0))/24,2))</f>
        <v/>
      </c>
      <c r="CC272" s="10" t="str">
        <f aca="false">IF(D272="","",IF(AND(AN272="Approved",ISERROR(SEARCH("FAIL",BG272))),"Y","N"))</f>
        <v/>
      </c>
      <c r="CD272" s="10" t="str">
        <f aca="false">IF(D272="","",D272&amp;"|"&amp;J272&amp;"|"&amp;G272&amp;"|"&amp;CC272)</f>
        <v/>
      </c>
    </row>
    <row r="273" customFormat="false" ht="15" hidden="false" customHeight="false" outlineLevel="0" collapsed="false">
      <c r="A273" s="10" t="str">
        <f aca="false">IF(D273="","","MH-"&amp;IFERROR(VLOOKUP(D273,Lists!$AB$4:$AC$20,2,0),"??")&amp;"-"&amp;TEXT(G273,"0000")&amp;IF(F273="Circular","D","x"&amp;TEXT(H273,"0000"))&amp;"-D"&amp;TEXT(J273*1000,"0000")&amp;"-"&amp;IFERROR(VLOOKUP(E273,Lists!$AE$4:$AF$16,2,0),"??")&amp;"-"&amp;AM273)</f>
        <v/>
      </c>
      <c r="B273" s="10" t="str">
        <f aca="false">IF(D273="","",D273&amp;", "&amp;E273&amp;", "&amp;IF(F273="Circular",G273&amp;" dia",G273&amp;" x "&amp;H273)&amp;", depth "&amp;TEXT(I273,"0.0")&amp;"-"&amp;TEXT(J273,"0.0")&amp;" m, pipe up to "&amp;K273&amp;" dia")</f>
        <v/>
      </c>
      <c r="C273" s="9"/>
      <c r="D273" s="9"/>
      <c r="E273" s="9"/>
      <c r="F273" s="9"/>
      <c r="G273" s="38"/>
      <c r="H273" s="38"/>
      <c r="I273" s="42"/>
      <c r="J273" s="42"/>
      <c r="K273" s="38"/>
      <c r="L273" s="38"/>
      <c r="M273" s="38"/>
      <c r="N273" s="38"/>
      <c r="O273" s="9"/>
      <c r="P273" s="9"/>
      <c r="Q273" s="9"/>
      <c r="R273" s="9"/>
      <c r="S273" s="9"/>
      <c r="T273" s="9"/>
      <c r="U273" s="9"/>
      <c r="V273" s="42"/>
      <c r="W273" s="9"/>
      <c r="X273" s="9"/>
      <c r="Y273" s="39"/>
      <c r="Z273" s="9"/>
      <c r="AA273" s="38"/>
      <c r="AB273" s="9"/>
      <c r="AC273" s="9"/>
      <c r="AD273" s="9"/>
      <c r="AE273" s="9"/>
      <c r="AF273" s="9"/>
      <c r="AG273" s="9"/>
      <c r="AH273" s="38"/>
      <c r="AI273" s="9"/>
      <c r="AJ273" s="39"/>
      <c r="AK273" s="9"/>
      <c r="AL273" s="9"/>
      <c r="AM273" s="9"/>
      <c r="AN273" s="9"/>
      <c r="AO273" s="9"/>
      <c r="AP273" s="9"/>
      <c r="AQ273" s="9"/>
      <c r="AR273" s="10" t="str">
        <f aca="false">IF(A273="","",SG_Criteria!$B$6&amp;SG_Criteria!$B$10&amp;"\"&amp;A273&amp;"\")</f>
        <v/>
      </c>
      <c r="AS273" s="10" t="str">
        <f aca="false">IF(A273="","",A273&amp;"_CAD.dwg")</f>
        <v/>
      </c>
      <c r="AT273" s="10" t="str">
        <f aca="false">IF(A273="","",A273&amp;"_DWG.pdf")</f>
        <v/>
      </c>
      <c r="AU273" s="10" t="str">
        <f aca="false">IF(A273="","",IF(AQ273="Y",A273&amp;"_STAAD.std","n/a"))</f>
        <v/>
      </c>
      <c r="AV273" s="10" t="str">
        <f aca="false">IF(A273="","",A273&amp;"_CALC.xlsx")</f>
        <v/>
      </c>
      <c r="AW273" s="10" t="str">
        <f aca="false">IF(A273="","",A273&amp;"_CALC.pdf")</f>
        <v/>
      </c>
      <c r="AX273" s="9"/>
      <c r="AY273" s="9"/>
      <c r="AZ273" s="39"/>
      <c r="BA273" s="39"/>
      <c r="BB273" s="39"/>
      <c r="BC273" s="39"/>
      <c r="BD273" s="39"/>
      <c r="BE273" s="12" t="str">
        <f aca="false">IF(A273="","",IF(COUNTIF(Rebar_Schedule!$A$5:$A$2004,A273)=0,"",ROUND(SUMIF(Rebar_Schedule!$A$5:$A$2004,A273,Rebar_Schedule!$K$5:$K$2004),1)))</f>
        <v/>
      </c>
      <c r="BF273" s="33" t="str">
        <f aca="false">IF(A273="","",IF(BE273="","No rebar schedule yet",IF(ABS(BE273-N(BA273))/MAX(N(BA273),1)&gt;SG_Criteria!$B$55,"NOTE: register rebar differs from schedule by "&amp;TEXT(ABS(BE273-N(BA273))/MAX(N(BA273),1),"0%"),"OK")))</f>
        <v/>
      </c>
      <c r="BG273" s="33" t="str">
        <f aca="false">IF(D273="","",IF(LEN(IF(AND(Z273&lt;&gt;"",IFERROR(VALUE(MID(Z273,2,2)),0)&lt;SG_Criteria!$B$19),"FAIL: grade below C"&amp;SG_Criteria!$B$19&amp;". ","")&amp;IF(AND(AA273&lt;&gt;"",AA273&lt;SG_Criteria!$B$20),"FAIL: cover &lt; "&amp;SG_Criteria!$B$20&amp;" mm. ","")&amp;IF(AND(I273&lt;&gt;"",I273&lt;SG_Criteria!$B$39),"NOTE: min depth below PUB "&amp;SG_Criteria!$B$39&amp;" m. ","")&amp;IF(AND(LEFT(D273,8)="Standard",J273&gt;SG_Criteria!$B$42),"FAIL: PUB 001C covers manholes up to "&amp;SG_Criteria!$B$42&amp;" m deep only. ","")&amp;IF(AND(LEFT(D273,11)="Rectangular",K273&lt;SG_Criteria!$B$43),"NOTE: 004C is for sewers &gt;= "&amp;SG_Criteria!$B$43&amp;" dia. ","")&amp;IF(AND(LEFT(D273,7)="Precast",J273&lt;=SG_Criteria!$B$42),"NOTE: 006C is for manholes &gt; "&amp;SG_Criteria!$B$42&amp;" m deep. ","")&amp;IF(AND(K273&lt;&gt;"",K273&lt;SG_Criteria!$B$40,D273&lt;&gt;"Inspection Chamber"),"NOTE: public sewer min dia "&amp;SG_Criteria!$B$40&amp;" mm. ","")&amp;IF(AND(Y273&lt;&gt;"",Y273&lt;SG_Criteria!$B$44),"FAIL: uplift FOS below "&amp;SG_Criteria!$B$44&amp;". ",""))=0,"OK",IF(AND(Z273&lt;&gt;"",IFERROR(VALUE(MID(Z273,2,2)),0)&lt;SG_Criteria!$B$19),"FAIL: grade below C"&amp;SG_Criteria!$B$19&amp;". ","")&amp;IF(AND(AA273&lt;&gt;"",AA273&lt;SG_Criteria!$B$20),"FAIL: cover &lt; "&amp;SG_Criteria!$B$20&amp;" mm. ","")&amp;IF(AND(I273&lt;&gt;"",I273&lt;SG_Criteria!$B$39),"NOTE: min depth below PUB "&amp;SG_Criteria!$B$39&amp;" m. ","")&amp;IF(AND(LEFT(D273,8)="Standard",J273&gt;SG_Criteria!$B$42),"FAIL: PUB 001C covers manholes up to "&amp;SG_Criteria!$B$42&amp;" m deep only. ","")&amp;IF(AND(LEFT(D273,11)="Rectangular",K273&lt;SG_Criteria!$B$43),"NOTE: 004C is for sewers &gt;= "&amp;SG_Criteria!$B$43&amp;" dia. ","")&amp;IF(AND(LEFT(D273,7)="Precast",J273&lt;=SG_Criteria!$B$42),"NOTE: 006C is for manholes &gt; "&amp;SG_Criteria!$B$42&amp;" m deep. ","")&amp;IF(AND(K273&lt;&gt;"",K273&lt;SG_Criteria!$B$40,D273&lt;&gt;"Inspection Chamber"),"NOTE: public sewer min dia "&amp;SG_Criteria!$B$40&amp;" mm. ","")&amp;IF(AND(Y273&lt;&gt;"",Y273&lt;SG_Criteria!$B$44),"FAIL: uplift FOS below "&amp;SG_Criteria!$B$44&amp;". ","")))</f>
        <v/>
      </c>
      <c r="BH273" s="9"/>
      <c r="BI273" s="9"/>
      <c r="BJ273" s="9"/>
      <c r="BK273" s="10" t="str">
        <f aca="false">IF(BJ273="","",IFERROR(VLOOKUP(BJ273,Projects!$A$5:$D$504,2,0),"Ref not in Projects"))</f>
        <v/>
      </c>
      <c r="BL273" s="10" t="str">
        <f aca="false">IF(BJ273="","",IFERROR(VLOOKUP(BJ273,Projects!$A$5:$D$504,4,0),"Ref not in Projects"))</f>
        <v/>
      </c>
      <c r="BM273" s="9"/>
      <c r="BN273" s="9"/>
      <c r="BO273" s="9"/>
      <c r="BP273" s="40"/>
      <c r="BQ273" s="9"/>
      <c r="BR273" s="40"/>
      <c r="BS273" s="9"/>
      <c r="BT273" s="40"/>
      <c r="BU273" s="9"/>
      <c r="BV273" s="9"/>
      <c r="BW273" s="9"/>
      <c r="BX273" s="40"/>
      <c r="BY273" s="40"/>
      <c r="BZ273" s="36" t="str">
        <f aca="false">IF(BY273="","",EDATE(BY273,SG_Criteria!$B$54*12))</f>
        <v/>
      </c>
      <c r="CA273" s="33" t="str">
        <f aca="true">IF(A273="","",IF(BY273="","NOTE: not reviewed yet",IF(TODAY()&gt;BZ273,"NOTE: review overdue","OK")))</f>
        <v/>
      </c>
      <c r="CB273" s="37" t="str">
        <f aca="false">IF(A273="","",ROUND((IF(LEN(D273)&gt;0,1,0)+IF(LEN(E273)&gt;0,1,0)+IF(LEN(F273)&gt;0,1,0)+IF(LEN(G273)&gt;0,1,0)+IF(LEN(I273)&gt;0,1,0)+IF(LEN(J273)&gt;0,1,0)+IF(LEN(K273)&gt;0,1,0)+IF(LEN(L273)&gt;0,1,0)+IF(LEN(M273)&gt;0,1,0)+IF(LEN(N273)&gt;0,1,0)+IF(LEN(Z273)&gt;0,1,0)+IF(LEN(AA273)&gt;0,1,0)+IF(LEN(Y273)&gt;0,1,0)+IF(LEN(AE273)&gt;0,1,0)+IF(LEN(AG273)&gt;0,1,0)+IF(LEN(AZ273)&gt;0,1,0)+IF(LEN(AK273)&gt;0,1,0)+IF(LEN(AM273)&gt;0,1,0)+IF(LEN(AN273)&gt;0,1,0)+IF(LEN(AO273)&gt;0,1,0)+IF(LEN(AP273)&gt;0,1,0)+IF(LEN(AY273)&gt;0,1,0)+IF(LEN(BJ273)&gt;0,1,0)+IF(LEN(BW273)&gt;0,1,0))/24,2))</f>
        <v/>
      </c>
      <c r="CC273" s="10" t="str">
        <f aca="false">IF(D273="","",IF(AND(AN273="Approved",ISERROR(SEARCH("FAIL",BG273))),"Y","N"))</f>
        <v/>
      </c>
      <c r="CD273" s="10" t="str">
        <f aca="false">IF(D273="","",D273&amp;"|"&amp;J273&amp;"|"&amp;G273&amp;"|"&amp;CC273)</f>
        <v/>
      </c>
    </row>
    <row r="274" customFormat="false" ht="15" hidden="false" customHeight="false" outlineLevel="0" collapsed="false">
      <c r="A274" s="10" t="str">
        <f aca="false">IF(D274="","","MH-"&amp;IFERROR(VLOOKUP(D274,Lists!$AB$4:$AC$20,2,0),"??")&amp;"-"&amp;TEXT(G274,"0000")&amp;IF(F274="Circular","D","x"&amp;TEXT(H274,"0000"))&amp;"-D"&amp;TEXT(J274*1000,"0000")&amp;"-"&amp;IFERROR(VLOOKUP(E274,Lists!$AE$4:$AF$16,2,0),"??")&amp;"-"&amp;AM274)</f>
        <v/>
      </c>
      <c r="B274" s="10" t="str">
        <f aca="false">IF(D274="","",D274&amp;", "&amp;E274&amp;", "&amp;IF(F274="Circular",G274&amp;" dia",G274&amp;" x "&amp;H274)&amp;", depth "&amp;TEXT(I274,"0.0")&amp;"-"&amp;TEXT(J274,"0.0")&amp;" m, pipe up to "&amp;K274&amp;" dia")</f>
        <v/>
      </c>
      <c r="C274" s="9"/>
      <c r="D274" s="9"/>
      <c r="E274" s="9"/>
      <c r="F274" s="9"/>
      <c r="G274" s="38"/>
      <c r="H274" s="38"/>
      <c r="I274" s="42"/>
      <c r="J274" s="42"/>
      <c r="K274" s="38"/>
      <c r="L274" s="38"/>
      <c r="M274" s="38"/>
      <c r="N274" s="38"/>
      <c r="O274" s="9"/>
      <c r="P274" s="9"/>
      <c r="Q274" s="9"/>
      <c r="R274" s="9"/>
      <c r="S274" s="9"/>
      <c r="T274" s="9"/>
      <c r="U274" s="9"/>
      <c r="V274" s="42"/>
      <c r="W274" s="9"/>
      <c r="X274" s="9"/>
      <c r="Y274" s="39"/>
      <c r="Z274" s="9"/>
      <c r="AA274" s="38"/>
      <c r="AB274" s="9"/>
      <c r="AC274" s="9"/>
      <c r="AD274" s="9"/>
      <c r="AE274" s="9"/>
      <c r="AF274" s="9"/>
      <c r="AG274" s="9"/>
      <c r="AH274" s="38"/>
      <c r="AI274" s="9"/>
      <c r="AJ274" s="39"/>
      <c r="AK274" s="9"/>
      <c r="AL274" s="9"/>
      <c r="AM274" s="9"/>
      <c r="AN274" s="9"/>
      <c r="AO274" s="9"/>
      <c r="AP274" s="9"/>
      <c r="AQ274" s="9"/>
      <c r="AR274" s="10" t="str">
        <f aca="false">IF(A274="","",SG_Criteria!$B$6&amp;SG_Criteria!$B$10&amp;"\"&amp;A274&amp;"\")</f>
        <v/>
      </c>
      <c r="AS274" s="10" t="str">
        <f aca="false">IF(A274="","",A274&amp;"_CAD.dwg")</f>
        <v/>
      </c>
      <c r="AT274" s="10" t="str">
        <f aca="false">IF(A274="","",A274&amp;"_DWG.pdf")</f>
        <v/>
      </c>
      <c r="AU274" s="10" t="str">
        <f aca="false">IF(A274="","",IF(AQ274="Y",A274&amp;"_STAAD.std","n/a"))</f>
        <v/>
      </c>
      <c r="AV274" s="10" t="str">
        <f aca="false">IF(A274="","",A274&amp;"_CALC.xlsx")</f>
        <v/>
      </c>
      <c r="AW274" s="10" t="str">
        <f aca="false">IF(A274="","",A274&amp;"_CALC.pdf")</f>
        <v/>
      </c>
      <c r="AX274" s="9"/>
      <c r="AY274" s="9"/>
      <c r="AZ274" s="39"/>
      <c r="BA274" s="39"/>
      <c r="BB274" s="39"/>
      <c r="BC274" s="39"/>
      <c r="BD274" s="39"/>
      <c r="BE274" s="12" t="str">
        <f aca="false">IF(A274="","",IF(COUNTIF(Rebar_Schedule!$A$5:$A$2004,A274)=0,"",ROUND(SUMIF(Rebar_Schedule!$A$5:$A$2004,A274,Rebar_Schedule!$K$5:$K$2004),1)))</f>
        <v/>
      </c>
      <c r="BF274" s="33" t="str">
        <f aca="false">IF(A274="","",IF(BE274="","No rebar schedule yet",IF(ABS(BE274-N(BA274))/MAX(N(BA274),1)&gt;SG_Criteria!$B$55,"NOTE: register rebar differs from schedule by "&amp;TEXT(ABS(BE274-N(BA274))/MAX(N(BA274),1),"0%"),"OK")))</f>
        <v/>
      </c>
      <c r="BG274" s="33" t="str">
        <f aca="false">IF(D274="","",IF(LEN(IF(AND(Z274&lt;&gt;"",IFERROR(VALUE(MID(Z274,2,2)),0)&lt;SG_Criteria!$B$19),"FAIL: grade below C"&amp;SG_Criteria!$B$19&amp;". ","")&amp;IF(AND(AA274&lt;&gt;"",AA274&lt;SG_Criteria!$B$20),"FAIL: cover &lt; "&amp;SG_Criteria!$B$20&amp;" mm. ","")&amp;IF(AND(I274&lt;&gt;"",I274&lt;SG_Criteria!$B$39),"NOTE: min depth below PUB "&amp;SG_Criteria!$B$39&amp;" m. ","")&amp;IF(AND(LEFT(D274,8)="Standard",J274&gt;SG_Criteria!$B$42),"FAIL: PUB 001C covers manholes up to "&amp;SG_Criteria!$B$42&amp;" m deep only. ","")&amp;IF(AND(LEFT(D274,11)="Rectangular",K274&lt;SG_Criteria!$B$43),"NOTE: 004C is for sewers &gt;= "&amp;SG_Criteria!$B$43&amp;" dia. ","")&amp;IF(AND(LEFT(D274,7)="Precast",J274&lt;=SG_Criteria!$B$42),"NOTE: 006C is for manholes &gt; "&amp;SG_Criteria!$B$42&amp;" m deep. ","")&amp;IF(AND(K274&lt;&gt;"",K274&lt;SG_Criteria!$B$40,D274&lt;&gt;"Inspection Chamber"),"NOTE: public sewer min dia "&amp;SG_Criteria!$B$40&amp;" mm. ","")&amp;IF(AND(Y274&lt;&gt;"",Y274&lt;SG_Criteria!$B$44),"FAIL: uplift FOS below "&amp;SG_Criteria!$B$44&amp;". ",""))=0,"OK",IF(AND(Z274&lt;&gt;"",IFERROR(VALUE(MID(Z274,2,2)),0)&lt;SG_Criteria!$B$19),"FAIL: grade below C"&amp;SG_Criteria!$B$19&amp;". ","")&amp;IF(AND(AA274&lt;&gt;"",AA274&lt;SG_Criteria!$B$20),"FAIL: cover &lt; "&amp;SG_Criteria!$B$20&amp;" mm. ","")&amp;IF(AND(I274&lt;&gt;"",I274&lt;SG_Criteria!$B$39),"NOTE: min depth below PUB "&amp;SG_Criteria!$B$39&amp;" m. ","")&amp;IF(AND(LEFT(D274,8)="Standard",J274&gt;SG_Criteria!$B$42),"FAIL: PUB 001C covers manholes up to "&amp;SG_Criteria!$B$42&amp;" m deep only. ","")&amp;IF(AND(LEFT(D274,11)="Rectangular",K274&lt;SG_Criteria!$B$43),"NOTE: 004C is for sewers &gt;= "&amp;SG_Criteria!$B$43&amp;" dia. ","")&amp;IF(AND(LEFT(D274,7)="Precast",J274&lt;=SG_Criteria!$B$42),"NOTE: 006C is for manholes &gt; "&amp;SG_Criteria!$B$42&amp;" m deep. ","")&amp;IF(AND(K274&lt;&gt;"",K274&lt;SG_Criteria!$B$40,D274&lt;&gt;"Inspection Chamber"),"NOTE: public sewer min dia "&amp;SG_Criteria!$B$40&amp;" mm. ","")&amp;IF(AND(Y274&lt;&gt;"",Y274&lt;SG_Criteria!$B$44),"FAIL: uplift FOS below "&amp;SG_Criteria!$B$44&amp;". ","")))</f>
        <v/>
      </c>
      <c r="BH274" s="9"/>
      <c r="BI274" s="9"/>
      <c r="BJ274" s="9"/>
      <c r="BK274" s="10" t="str">
        <f aca="false">IF(BJ274="","",IFERROR(VLOOKUP(BJ274,Projects!$A$5:$D$504,2,0),"Ref not in Projects"))</f>
        <v/>
      </c>
      <c r="BL274" s="10" t="str">
        <f aca="false">IF(BJ274="","",IFERROR(VLOOKUP(BJ274,Projects!$A$5:$D$504,4,0),"Ref not in Projects"))</f>
        <v/>
      </c>
      <c r="BM274" s="9"/>
      <c r="BN274" s="9"/>
      <c r="BO274" s="9"/>
      <c r="BP274" s="40"/>
      <c r="BQ274" s="9"/>
      <c r="BR274" s="40"/>
      <c r="BS274" s="9"/>
      <c r="BT274" s="40"/>
      <c r="BU274" s="9"/>
      <c r="BV274" s="9"/>
      <c r="BW274" s="9"/>
      <c r="BX274" s="40"/>
      <c r="BY274" s="40"/>
      <c r="BZ274" s="36" t="str">
        <f aca="false">IF(BY274="","",EDATE(BY274,SG_Criteria!$B$54*12))</f>
        <v/>
      </c>
      <c r="CA274" s="33" t="str">
        <f aca="true">IF(A274="","",IF(BY274="","NOTE: not reviewed yet",IF(TODAY()&gt;BZ274,"NOTE: review overdue","OK")))</f>
        <v/>
      </c>
      <c r="CB274" s="37" t="str">
        <f aca="false">IF(A274="","",ROUND((IF(LEN(D274)&gt;0,1,0)+IF(LEN(E274)&gt;0,1,0)+IF(LEN(F274)&gt;0,1,0)+IF(LEN(G274)&gt;0,1,0)+IF(LEN(I274)&gt;0,1,0)+IF(LEN(J274)&gt;0,1,0)+IF(LEN(K274)&gt;0,1,0)+IF(LEN(L274)&gt;0,1,0)+IF(LEN(M274)&gt;0,1,0)+IF(LEN(N274)&gt;0,1,0)+IF(LEN(Z274)&gt;0,1,0)+IF(LEN(AA274)&gt;0,1,0)+IF(LEN(Y274)&gt;0,1,0)+IF(LEN(AE274)&gt;0,1,0)+IF(LEN(AG274)&gt;0,1,0)+IF(LEN(AZ274)&gt;0,1,0)+IF(LEN(AK274)&gt;0,1,0)+IF(LEN(AM274)&gt;0,1,0)+IF(LEN(AN274)&gt;0,1,0)+IF(LEN(AO274)&gt;0,1,0)+IF(LEN(AP274)&gt;0,1,0)+IF(LEN(AY274)&gt;0,1,0)+IF(LEN(BJ274)&gt;0,1,0)+IF(LEN(BW274)&gt;0,1,0))/24,2))</f>
        <v/>
      </c>
      <c r="CC274" s="10" t="str">
        <f aca="false">IF(D274="","",IF(AND(AN274="Approved",ISERROR(SEARCH("FAIL",BG274))),"Y","N"))</f>
        <v/>
      </c>
      <c r="CD274" s="10" t="str">
        <f aca="false">IF(D274="","",D274&amp;"|"&amp;J274&amp;"|"&amp;G274&amp;"|"&amp;CC274)</f>
        <v/>
      </c>
    </row>
    <row r="275" customFormat="false" ht="15" hidden="false" customHeight="false" outlineLevel="0" collapsed="false">
      <c r="A275" s="10" t="str">
        <f aca="false">IF(D275="","","MH-"&amp;IFERROR(VLOOKUP(D275,Lists!$AB$4:$AC$20,2,0),"??")&amp;"-"&amp;TEXT(G275,"0000")&amp;IF(F275="Circular","D","x"&amp;TEXT(H275,"0000"))&amp;"-D"&amp;TEXT(J275*1000,"0000")&amp;"-"&amp;IFERROR(VLOOKUP(E275,Lists!$AE$4:$AF$16,2,0),"??")&amp;"-"&amp;AM275)</f>
        <v/>
      </c>
      <c r="B275" s="10" t="str">
        <f aca="false">IF(D275="","",D275&amp;", "&amp;E275&amp;", "&amp;IF(F275="Circular",G275&amp;" dia",G275&amp;" x "&amp;H275)&amp;", depth "&amp;TEXT(I275,"0.0")&amp;"-"&amp;TEXT(J275,"0.0")&amp;" m, pipe up to "&amp;K275&amp;" dia")</f>
        <v/>
      </c>
      <c r="C275" s="9"/>
      <c r="D275" s="9"/>
      <c r="E275" s="9"/>
      <c r="F275" s="9"/>
      <c r="G275" s="38"/>
      <c r="H275" s="38"/>
      <c r="I275" s="42"/>
      <c r="J275" s="42"/>
      <c r="K275" s="38"/>
      <c r="L275" s="38"/>
      <c r="M275" s="38"/>
      <c r="N275" s="38"/>
      <c r="O275" s="9"/>
      <c r="P275" s="9"/>
      <c r="Q275" s="9"/>
      <c r="R275" s="9"/>
      <c r="S275" s="9"/>
      <c r="T275" s="9"/>
      <c r="U275" s="9"/>
      <c r="V275" s="42"/>
      <c r="W275" s="9"/>
      <c r="X275" s="9"/>
      <c r="Y275" s="39"/>
      <c r="Z275" s="9"/>
      <c r="AA275" s="38"/>
      <c r="AB275" s="9"/>
      <c r="AC275" s="9"/>
      <c r="AD275" s="9"/>
      <c r="AE275" s="9"/>
      <c r="AF275" s="9"/>
      <c r="AG275" s="9"/>
      <c r="AH275" s="38"/>
      <c r="AI275" s="9"/>
      <c r="AJ275" s="39"/>
      <c r="AK275" s="9"/>
      <c r="AL275" s="9"/>
      <c r="AM275" s="9"/>
      <c r="AN275" s="9"/>
      <c r="AO275" s="9"/>
      <c r="AP275" s="9"/>
      <c r="AQ275" s="9"/>
      <c r="AR275" s="10" t="str">
        <f aca="false">IF(A275="","",SG_Criteria!$B$6&amp;SG_Criteria!$B$10&amp;"\"&amp;A275&amp;"\")</f>
        <v/>
      </c>
      <c r="AS275" s="10" t="str">
        <f aca="false">IF(A275="","",A275&amp;"_CAD.dwg")</f>
        <v/>
      </c>
      <c r="AT275" s="10" t="str">
        <f aca="false">IF(A275="","",A275&amp;"_DWG.pdf")</f>
        <v/>
      </c>
      <c r="AU275" s="10" t="str">
        <f aca="false">IF(A275="","",IF(AQ275="Y",A275&amp;"_STAAD.std","n/a"))</f>
        <v/>
      </c>
      <c r="AV275" s="10" t="str">
        <f aca="false">IF(A275="","",A275&amp;"_CALC.xlsx")</f>
        <v/>
      </c>
      <c r="AW275" s="10" t="str">
        <f aca="false">IF(A275="","",A275&amp;"_CALC.pdf")</f>
        <v/>
      </c>
      <c r="AX275" s="9"/>
      <c r="AY275" s="9"/>
      <c r="AZ275" s="39"/>
      <c r="BA275" s="39"/>
      <c r="BB275" s="39"/>
      <c r="BC275" s="39"/>
      <c r="BD275" s="39"/>
      <c r="BE275" s="12" t="str">
        <f aca="false">IF(A275="","",IF(COUNTIF(Rebar_Schedule!$A$5:$A$2004,A275)=0,"",ROUND(SUMIF(Rebar_Schedule!$A$5:$A$2004,A275,Rebar_Schedule!$K$5:$K$2004),1)))</f>
        <v/>
      </c>
      <c r="BF275" s="33" t="str">
        <f aca="false">IF(A275="","",IF(BE275="","No rebar schedule yet",IF(ABS(BE275-N(BA275))/MAX(N(BA275),1)&gt;SG_Criteria!$B$55,"NOTE: register rebar differs from schedule by "&amp;TEXT(ABS(BE275-N(BA275))/MAX(N(BA275),1),"0%"),"OK")))</f>
        <v/>
      </c>
      <c r="BG275" s="33" t="str">
        <f aca="false">IF(D275="","",IF(LEN(IF(AND(Z275&lt;&gt;"",IFERROR(VALUE(MID(Z275,2,2)),0)&lt;SG_Criteria!$B$19),"FAIL: grade below C"&amp;SG_Criteria!$B$19&amp;". ","")&amp;IF(AND(AA275&lt;&gt;"",AA275&lt;SG_Criteria!$B$20),"FAIL: cover &lt; "&amp;SG_Criteria!$B$20&amp;" mm. ","")&amp;IF(AND(I275&lt;&gt;"",I275&lt;SG_Criteria!$B$39),"NOTE: min depth below PUB "&amp;SG_Criteria!$B$39&amp;" m. ","")&amp;IF(AND(LEFT(D275,8)="Standard",J275&gt;SG_Criteria!$B$42),"FAIL: PUB 001C covers manholes up to "&amp;SG_Criteria!$B$42&amp;" m deep only. ","")&amp;IF(AND(LEFT(D275,11)="Rectangular",K275&lt;SG_Criteria!$B$43),"NOTE: 004C is for sewers &gt;= "&amp;SG_Criteria!$B$43&amp;" dia. ","")&amp;IF(AND(LEFT(D275,7)="Precast",J275&lt;=SG_Criteria!$B$42),"NOTE: 006C is for manholes &gt; "&amp;SG_Criteria!$B$42&amp;" m deep. ","")&amp;IF(AND(K275&lt;&gt;"",K275&lt;SG_Criteria!$B$40,D275&lt;&gt;"Inspection Chamber"),"NOTE: public sewer min dia "&amp;SG_Criteria!$B$40&amp;" mm. ","")&amp;IF(AND(Y275&lt;&gt;"",Y275&lt;SG_Criteria!$B$44),"FAIL: uplift FOS below "&amp;SG_Criteria!$B$44&amp;". ",""))=0,"OK",IF(AND(Z275&lt;&gt;"",IFERROR(VALUE(MID(Z275,2,2)),0)&lt;SG_Criteria!$B$19),"FAIL: grade below C"&amp;SG_Criteria!$B$19&amp;". ","")&amp;IF(AND(AA275&lt;&gt;"",AA275&lt;SG_Criteria!$B$20),"FAIL: cover &lt; "&amp;SG_Criteria!$B$20&amp;" mm. ","")&amp;IF(AND(I275&lt;&gt;"",I275&lt;SG_Criteria!$B$39),"NOTE: min depth below PUB "&amp;SG_Criteria!$B$39&amp;" m. ","")&amp;IF(AND(LEFT(D275,8)="Standard",J275&gt;SG_Criteria!$B$42),"FAIL: PUB 001C covers manholes up to "&amp;SG_Criteria!$B$42&amp;" m deep only. ","")&amp;IF(AND(LEFT(D275,11)="Rectangular",K275&lt;SG_Criteria!$B$43),"NOTE: 004C is for sewers &gt;= "&amp;SG_Criteria!$B$43&amp;" dia. ","")&amp;IF(AND(LEFT(D275,7)="Precast",J275&lt;=SG_Criteria!$B$42),"NOTE: 006C is for manholes &gt; "&amp;SG_Criteria!$B$42&amp;" m deep. ","")&amp;IF(AND(K275&lt;&gt;"",K275&lt;SG_Criteria!$B$40,D275&lt;&gt;"Inspection Chamber"),"NOTE: public sewer min dia "&amp;SG_Criteria!$B$40&amp;" mm. ","")&amp;IF(AND(Y275&lt;&gt;"",Y275&lt;SG_Criteria!$B$44),"FAIL: uplift FOS below "&amp;SG_Criteria!$B$44&amp;". ","")))</f>
        <v/>
      </c>
      <c r="BH275" s="9"/>
      <c r="BI275" s="9"/>
      <c r="BJ275" s="9"/>
      <c r="BK275" s="10" t="str">
        <f aca="false">IF(BJ275="","",IFERROR(VLOOKUP(BJ275,Projects!$A$5:$D$504,2,0),"Ref not in Projects"))</f>
        <v/>
      </c>
      <c r="BL275" s="10" t="str">
        <f aca="false">IF(BJ275="","",IFERROR(VLOOKUP(BJ275,Projects!$A$5:$D$504,4,0),"Ref not in Projects"))</f>
        <v/>
      </c>
      <c r="BM275" s="9"/>
      <c r="BN275" s="9"/>
      <c r="BO275" s="9"/>
      <c r="BP275" s="40"/>
      <c r="BQ275" s="9"/>
      <c r="BR275" s="40"/>
      <c r="BS275" s="9"/>
      <c r="BT275" s="40"/>
      <c r="BU275" s="9"/>
      <c r="BV275" s="9"/>
      <c r="BW275" s="9"/>
      <c r="BX275" s="40"/>
      <c r="BY275" s="40"/>
      <c r="BZ275" s="36" t="str">
        <f aca="false">IF(BY275="","",EDATE(BY275,SG_Criteria!$B$54*12))</f>
        <v/>
      </c>
      <c r="CA275" s="33" t="str">
        <f aca="true">IF(A275="","",IF(BY275="","NOTE: not reviewed yet",IF(TODAY()&gt;BZ275,"NOTE: review overdue","OK")))</f>
        <v/>
      </c>
      <c r="CB275" s="37" t="str">
        <f aca="false">IF(A275="","",ROUND((IF(LEN(D275)&gt;0,1,0)+IF(LEN(E275)&gt;0,1,0)+IF(LEN(F275)&gt;0,1,0)+IF(LEN(G275)&gt;0,1,0)+IF(LEN(I275)&gt;0,1,0)+IF(LEN(J275)&gt;0,1,0)+IF(LEN(K275)&gt;0,1,0)+IF(LEN(L275)&gt;0,1,0)+IF(LEN(M275)&gt;0,1,0)+IF(LEN(N275)&gt;0,1,0)+IF(LEN(Z275)&gt;0,1,0)+IF(LEN(AA275)&gt;0,1,0)+IF(LEN(Y275)&gt;0,1,0)+IF(LEN(AE275)&gt;0,1,0)+IF(LEN(AG275)&gt;0,1,0)+IF(LEN(AZ275)&gt;0,1,0)+IF(LEN(AK275)&gt;0,1,0)+IF(LEN(AM275)&gt;0,1,0)+IF(LEN(AN275)&gt;0,1,0)+IF(LEN(AO275)&gt;0,1,0)+IF(LEN(AP275)&gt;0,1,0)+IF(LEN(AY275)&gt;0,1,0)+IF(LEN(BJ275)&gt;0,1,0)+IF(LEN(BW275)&gt;0,1,0))/24,2))</f>
        <v/>
      </c>
      <c r="CC275" s="10" t="str">
        <f aca="false">IF(D275="","",IF(AND(AN275="Approved",ISERROR(SEARCH("FAIL",BG275))),"Y","N"))</f>
        <v/>
      </c>
      <c r="CD275" s="10" t="str">
        <f aca="false">IF(D275="","",D275&amp;"|"&amp;J275&amp;"|"&amp;G275&amp;"|"&amp;CC275)</f>
        <v/>
      </c>
    </row>
    <row r="276" customFormat="false" ht="15" hidden="false" customHeight="false" outlineLevel="0" collapsed="false">
      <c r="A276" s="10" t="str">
        <f aca="false">IF(D276="","","MH-"&amp;IFERROR(VLOOKUP(D276,Lists!$AB$4:$AC$20,2,0),"??")&amp;"-"&amp;TEXT(G276,"0000")&amp;IF(F276="Circular","D","x"&amp;TEXT(H276,"0000"))&amp;"-D"&amp;TEXT(J276*1000,"0000")&amp;"-"&amp;IFERROR(VLOOKUP(E276,Lists!$AE$4:$AF$16,2,0),"??")&amp;"-"&amp;AM276)</f>
        <v/>
      </c>
      <c r="B276" s="10" t="str">
        <f aca="false">IF(D276="","",D276&amp;", "&amp;E276&amp;", "&amp;IF(F276="Circular",G276&amp;" dia",G276&amp;" x "&amp;H276)&amp;", depth "&amp;TEXT(I276,"0.0")&amp;"-"&amp;TEXT(J276,"0.0")&amp;" m, pipe up to "&amp;K276&amp;" dia")</f>
        <v/>
      </c>
      <c r="C276" s="9"/>
      <c r="D276" s="9"/>
      <c r="E276" s="9"/>
      <c r="F276" s="9"/>
      <c r="G276" s="38"/>
      <c r="H276" s="38"/>
      <c r="I276" s="42"/>
      <c r="J276" s="42"/>
      <c r="K276" s="38"/>
      <c r="L276" s="38"/>
      <c r="M276" s="38"/>
      <c r="N276" s="38"/>
      <c r="O276" s="9"/>
      <c r="P276" s="9"/>
      <c r="Q276" s="9"/>
      <c r="R276" s="9"/>
      <c r="S276" s="9"/>
      <c r="T276" s="9"/>
      <c r="U276" s="9"/>
      <c r="V276" s="42"/>
      <c r="W276" s="9"/>
      <c r="X276" s="9"/>
      <c r="Y276" s="39"/>
      <c r="Z276" s="9"/>
      <c r="AA276" s="38"/>
      <c r="AB276" s="9"/>
      <c r="AC276" s="9"/>
      <c r="AD276" s="9"/>
      <c r="AE276" s="9"/>
      <c r="AF276" s="9"/>
      <c r="AG276" s="9"/>
      <c r="AH276" s="38"/>
      <c r="AI276" s="9"/>
      <c r="AJ276" s="39"/>
      <c r="AK276" s="9"/>
      <c r="AL276" s="9"/>
      <c r="AM276" s="9"/>
      <c r="AN276" s="9"/>
      <c r="AO276" s="9"/>
      <c r="AP276" s="9"/>
      <c r="AQ276" s="9"/>
      <c r="AR276" s="10" t="str">
        <f aca="false">IF(A276="","",SG_Criteria!$B$6&amp;SG_Criteria!$B$10&amp;"\"&amp;A276&amp;"\")</f>
        <v/>
      </c>
      <c r="AS276" s="10" t="str">
        <f aca="false">IF(A276="","",A276&amp;"_CAD.dwg")</f>
        <v/>
      </c>
      <c r="AT276" s="10" t="str">
        <f aca="false">IF(A276="","",A276&amp;"_DWG.pdf")</f>
        <v/>
      </c>
      <c r="AU276" s="10" t="str">
        <f aca="false">IF(A276="","",IF(AQ276="Y",A276&amp;"_STAAD.std","n/a"))</f>
        <v/>
      </c>
      <c r="AV276" s="10" t="str">
        <f aca="false">IF(A276="","",A276&amp;"_CALC.xlsx")</f>
        <v/>
      </c>
      <c r="AW276" s="10" t="str">
        <f aca="false">IF(A276="","",A276&amp;"_CALC.pdf")</f>
        <v/>
      </c>
      <c r="AX276" s="9"/>
      <c r="AY276" s="9"/>
      <c r="AZ276" s="39"/>
      <c r="BA276" s="39"/>
      <c r="BB276" s="39"/>
      <c r="BC276" s="39"/>
      <c r="BD276" s="39"/>
      <c r="BE276" s="12" t="str">
        <f aca="false">IF(A276="","",IF(COUNTIF(Rebar_Schedule!$A$5:$A$2004,A276)=0,"",ROUND(SUMIF(Rebar_Schedule!$A$5:$A$2004,A276,Rebar_Schedule!$K$5:$K$2004),1)))</f>
        <v/>
      </c>
      <c r="BF276" s="33" t="str">
        <f aca="false">IF(A276="","",IF(BE276="","No rebar schedule yet",IF(ABS(BE276-N(BA276))/MAX(N(BA276),1)&gt;SG_Criteria!$B$55,"NOTE: register rebar differs from schedule by "&amp;TEXT(ABS(BE276-N(BA276))/MAX(N(BA276),1),"0%"),"OK")))</f>
        <v/>
      </c>
      <c r="BG276" s="33" t="str">
        <f aca="false">IF(D276="","",IF(LEN(IF(AND(Z276&lt;&gt;"",IFERROR(VALUE(MID(Z276,2,2)),0)&lt;SG_Criteria!$B$19),"FAIL: grade below C"&amp;SG_Criteria!$B$19&amp;". ","")&amp;IF(AND(AA276&lt;&gt;"",AA276&lt;SG_Criteria!$B$20),"FAIL: cover &lt; "&amp;SG_Criteria!$B$20&amp;" mm. ","")&amp;IF(AND(I276&lt;&gt;"",I276&lt;SG_Criteria!$B$39),"NOTE: min depth below PUB "&amp;SG_Criteria!$B$39&amp;" m. ","")&amp;IF(AND(LEFT(D276,8)="Standard",J276&gt;SG_Criteria!$B$42),"FAIL: PUB 001C covers manholes up to "&amp;SG_Criteria!$B$42&amp;" m deep only. ","")&amp;IF(AND(LEFT(D276,11)="Rectangular",K276&lt;SG_Criteria!$B$43),"NOTE: 004C is for sewers &gt;= "&amp;SG_Criteria!$B$43&amp;" dia. ","")&amp;IF(AND(LEFT(D276,7)="Precast",J276&lt;=SG_Criteria!$B$42),"NOTE: 006C is for manholes &gt; "&amp;SG_Criteria!$B$42&amp;" m deep. ","")&amp;IF(AND(K276&lt;&gt;"",K276&lt;SG_Criteria!$B$40,D276&lt;&gt;"Inspection Chamber"),"NOTE: public sewer min dia "&amp;SG_Criteria!$B$40&amp;" mm. ","")&amp;IF(AND(Y276&lt;&gt;"",Y276&lt;SG_Criteria!$B$44),"FAIL: uplift FOS below "&amp;SG_Criteria!$B$44&amp;". ",""))=0,"OK",IF(AND(Z276&lt;&gt;"",IFERROR(VALUE(MID(Z276,2,2)),0)&lt;SG_Criteria!$B$19),"FAIL: grade below C"&amp;SG_Criteria!$B$19&amp;". ","")&amp;IF(AND(AA276&lt;&gt;"",AA276&lt;SG_Criteria!$B$20),"FAIL: cover &lt; "&amp;SG_Criteria!$B$20&amp;" mm. ","")&amp;IF(AND(I276&lt;&gt;"",I276&lt;SG_Criteria!$B$39),"NOTE: min depth below PUB "&amp;SG_Criteria!$B$39&amp;" m. ","")&amp;IF(AND(LEFT(D276,8)="Standard",J276&gt;SG_Criteria!$B$42),"FAIL: PUB 001C covers manholes up to "&amp;SG_Criteria!$B$42&amp;" m deep only. ","")&amp;IF(AND(LEFT(D276,11)="Rectangular",K276&lt;SG_Criteria!$B$43),"NOTE: 004C is for sewers &gt;= "&amp;SG_Criteria!$B$43&amp;" dia. ","")&amp;IF(AND(LEFT(D276,7)="Precast",J276&lt;=SG_Criteria!$B$42),"NOTE: 006C is for manholes &gt; "&amp;SG_Criteria!$B$42&amp;" m deep. ","")&amp;IF(AND(K276&lt;&gt;"",K276&lt;SG_Criteria!$B$40,D276&lt;&gt;"Inspection Chamber"),"NOTE: public sewer min dia "&amp;SG_Criteria!$B$40&amp;" mm. ","")&amp;IF(AND(Y276&lt;&gt;"",Y276&lt;SG_Criteria!$B$44),"FAIL: uplift FOS below "&amp;SG_Criteria!$B$44&amp;". ","")))</f>
        <v/>
      </c>
      <c r="BH276" s="9"/>
      <c r="BI276" s="9"/>
      <c r="BJ276" s="9"/>
      <c r="BK276" s="10" t="str">
        <f aca="false">IF(BJ276="","",IFERROR(VLOOKUP(BJ276,Projects!$A$5:$D$504,2,0),"Ref not in Projects"))</f>
        <v/>
      </c>
      <c r="BL276" s="10" t="str">
        <f aca="false">IF(BJ276="","",IFERROR(VLOOKUP(BJ276,Projects!$A$5:$D$504,4,0),"Ref not in Projects"))</f>
        <v/>
      </c>
      <c r="BM276" s="9"/>
      <c r="BN276" s="9"/>
      <c r="BO276" s="9"/>
      <c r="BP276" s="40"/>
      <c r="BQ276" s="9"/>
      <c r="BR276" s="40"/>
      <c r="BS276" s="9"/>
      <c r="BT276" s="40"/>
      <c r="BU276" s="9"/>
      <c r="BV276" s="9"/>
      <c r="BW276" s="9"/>
      <c r="BX276" s="40"/>
      <c r="BY276" s="40"/>
      <c r="BZ276" s="36" t="str">
        <f aca="false">IF(BY276="","",EDATE(BY276,SG_Criteria!$B$54*12))</f>
        <v/>
      </c>
      <c r="CA276" s="33" t="str">
        <f aca="true">IF(A276="","",IF(BY276="","NOTE: not reviewed yet",IF(TODAY()&gt;BZ276,"NOTE: review overdue","OK")))</f>
        <v/>
      </c>
      <c r="CB276" s="37" t="str">
        <f aca="false">IF(A276="","",ROUND((IF(LEN(D276)&gt;0,1,0)+IF(LEN(E276)&gt;0,1,0)+IF(LEN(F276)&gt;0,1,0)+IF(LEN(G276)&gt;0,1,0)+IF(LEN(I276)&gt;0,1,0)+IF(LEN(J276)&gt;0,1,0)+IF(LEN(K276)&gt;0,1,0)+IF(LEN(L276)&gt;0,1,0)+IF(LEN(M276)&gt;0,1,0)+IF(LEN(N276)&gt;0,1,0)+IF(LEN(Z276)&gt;0,1,0)+IF(LEN(AA276)&gt;0,1,0)+IF(LEN(Y276)&gt;0,1,0)+IF(LEN(AE276)&gt;0,1,0)+IF(LEN(AG276)&gt;0,1,0)+IF(LEN(AZ276)&gt;0,1,0)+IF(LEN(AK276)&gt;0,1,0)+IF(LEN(AM276)&gt;0,1,0)+IF(LEN(AN276)&gt;0,1,0)+IF(LEN(AO276)&gt;0,1,0)+IF(LEN(AP276)&gt;0,1,0)+IF(LEN(AY276)&gt;0,1,0)+IF(LEN(BJ276)&gt;0,1,0)+IF(LEN(BW276)&gt;0,1,0))/24,2))</f>
        <v/>
      </c>
      <c r="CC276" s="10" t="str">
        <f aca="false">IF(D276="","",IF(AND(AN276="Approved",ISERROR(SEARCH("FAIL",BG276))),"Y","N"))</f>
        <v/>
      </c>
      <c r="CD276" s="10" t="str">
        <f aca="false">IF(D276="","",D276&amp;"|"&amp;J276&amp;"|"&amp;G276&amp;"|"&amp;CC276)</f>
        <v/>
      </c>
    </row>
    <row r="277" customFormat="false" ht="15" hidden="false" customHeight="false" outlineLevel="0" collapsed="false">
      <c r="A277" s="10" t="str">
        <f aca="false">IF(D277="","","MH-"&amp;IFERROR(VLOOKUP(D277,Lists!$AB$4:$AC$20,2,0),"??")&amp;"-"&amp;TEXT(G277,"0000")&amp;IF(F277="Circular","D","x"&amp;TEXT(H277,"0000"))&amp;"-D"&amp;TEXT(J277*1000,"0000")&amp;"-"&amp;IFERROR(VLOOKUP(E277,Lists!$AE$4:$AF$16,2,0),"??")&amp;"-"&amp;AM277)</f>
        <v/>
      </c>
      <c r="B277" s="10" t="str">
        <f aca="false">IF(D277="","",D277&amp;", "&amp;E277&amp;", "&amp;IF(F277="Circular",G277&amp;" dia",G277&amp;" x "&amp;H277)&amp;", depth "&amp;TEXT(I277,"0.0")&amp;"-"&amp;TEXT(J277,"0.0")&amp;" m, pipe up to "&amp;K277&amp;" dia")</f>
        <v/>
      </c>
      <c r="C277" s="9"/>
      <c r="D277" s="9"/>
      <c r="E277" s="9"/>
      <c r="F277" s="9"/>
      <c r="G277" s="38"/>
      <c r="H277" s="38"/>
      <c r="I277" s="42"/>
      <c r="J277" s="42"/>
      <c r="K277" s="38"/>
      <c r="L277" s="38"/>
      <c r="M277" s="38"/>
      <c r="N277" s="38"/>
      <c r="O277" s="9"/>
      <c r="P277" s="9"/>
      <c r="Q277" s="9"/>
      <c r="R277" s="9"/>
      <c r="S277" s="9"/>
      <c r="T277" s="9"/>
      <c r="U277" s="9"/>
      <c r="V277" s="42"/>
      <c r="W277" s="9"/>
      <c r="X277" s="9"/>
      <c r="Y277" s="39"/>
      <c r="Z277" s="9"/>
      <c r="AA277" s="38"/>
      <c r="AB277" s="9"/>
      <c r="AC277" s="9"/>
      <c r="AD277" s="9"/>
      <c r="AE277" s="9"/>
      <c r="AF277" s="9"/>
      <c r="AG277" s="9"/>
      <c r="AH277" s="38"/>
      <c r="AI277" s="9"/>
      <c r="AJ277" s="39"/>
      <c r="AK277" s="9"/>
      <c r="AL277" s="9"/>
      <c r="AM277" s="9"/>
      <c r="AN277" s="9"/>
      <c r="AO277" s="9"/>
      <c r="AP277" s="9"/>
      <c r="AQ277" s="9"/>
      <c r="AR277" s="10" t="str">
        <f aca="false">IF(A277="","",SG_Criteria!$B$6&amp;SG_Criteria!$B$10&amp;"\"&amp;A277&amp;"\")</f>
        <v/>
      </c>
      <c r="AS277" s="10" t="str">
        <f aca="false">IF(A277="","",A277&amp;"_CAD.dwg")</f>
        <v/>
      </c>
      <c r="AT277" s="10" t="str">
        <f aca="false">IF(A277="","",A277&amp;"_DWG.pdf")</f>
        <v/>
      </c>
      <c r="AU277" s="10" t="str">
        <f aca="false">IF(A277="","",IF(AQ277="Y",A277&amp;"_STAAD.std","n/a"))</f>
        <v/>
      </c>
      <c r="AV277" s="10" t="str">
        <f aca="false">IF(A277="","",A277&amp;"_CALC.xlsx")</f>
        <v/>
      </c>
      <c r="AW277" s="10" t="str">
        <f aca="false">IF(A277="","",A277&amp;"_CALC.pdf")</f>
        <v/>
      </c>
      <c r="AX277" s="9"/>
      <c r="AY277" s="9"/>
      <c r="AZ277" s="39"/>
      <c r="BA277" s="39"/>
      <c r="BB277" s="39"/>
      <c r="BC277" s="39"/>
      <c r="BD277" s="39"/>
      <c r="BE277" s="12" t="str">
        <f aca="false">IF(A277="","",IF(COUNTIF(Rebar_Schedule!$A$5:$A$2004,A277)=0,"",ROUND(SUMIF(Rebar_Schedule!$A$5:$A$2004,A277,Rebar_Schedule!$K$5:$K$2004),1)))</f>
        <v/>
      </c>
      <c r="BF277" s="33" t="str">
        <f aca="false">IF(A277="","",IF(BE277="","No rebar schedule yet",IF(ABS(BE277-N(BA277))/MAX(N(BA277),1)&gt;SG_Criteria!$B$55,"NOTE: register rebar differs from schedule by "&amp;TEXT(ABS(BE277-N(BA277))/MAX(N(BA277),1),"0%"),"OK")))</f>
        <v/>
      </c>
      <c r="BG277" s="33" t="str">
        <f aca="false">IF(D277="","",IF(LEN(IF(AND(Z277&lt;&gt;"",IFERROR(VALUE(MID(Z277,2,2)),0)&lt;SG_Criteria!$B$19),"FAIL: grade below C"&amp;SG_Criteria!$B$19&amp;". ","")&amp;IF(AND(AA277&lt;&gt;"",AA277&lt;SG_Criteria!$B$20),"FAIL: cover &lt; "&amp;SG_Criteria!$B$20&amp;" mm. ","")&amp;IF(AND(I277&lt;&gt;"",I277&lt;SG_Criteria!$B$39),"NOTE: min depth below PUB "&amp;SG_Criteria!$B$39&amp;" m. ","")&amp;IF(AND(LEFT(D277,8)="Standard",J277&gt;SG_Criteria!$B$42),"FAIL: PUB 001C covers manholes up to "&amp;SG_Criteria!$B$42&amp;" m deep only. ","")&amp;IF(AND(LEFT(D277,11)="Rectangular",K277&lt;SG_Criteria!$B$43),"NOTE: 004C is for sewers &gt;= "&amp;SG_Criteria!$B$43&amp;" dia. ","")&amp;IF(AND(LEFT(D277,7)="Precast",J277&lt;=SG_Criteria!$B$42),"NOTE: 006C is for manholes &gt; "&amp;SG_Criteria!$B$42&amp;" m deep. ","")&amp;IF(AND(K277&lt;&gt;"",K277&lt;SG_Criteria!$B$40,D277&lt;&gt;"Inspection Chamber"),"NOTE: public sewer min dia "&amp;SG_Criteria!$B$40&amp;" mm. ","")&amp;IF(AND(Y277&lt;&gt;"",Y277&lt;SG_Criteria!$B$44),"FAIL: uplift FOS below "&amp;SG_Criteria!$B$44&amp;". ",""))=0,"OK",IF(AND(Z277&lt;&gt;"",IFERROR(VALUE(MID(Z277,2,2)),0)&lt;SG_Criteria!$B$19),"FAIL: grade below C"&amp;SG_Criteria!$B$19&amp;". ","")&amp;IF(AND(AA277&lt;&gt;"",AA277&lt;SG_Criteria!$B$20),"FAIL: cover &lt; "&amp;SG_Criteria!$B$20&amp;" mm. ","")&amp;IF(AND(I277&lt;&gt;"",I277&lt;SG_Criteria!$B$39),"NOTE: min depth below PUB "&amp;SG_Criteria!$B$39&amp;" m. ","")&amp;IF(AND(LEFT(D277,8)="Standard",J277&gt;SG_Criteria!$B$42),"FAIL: PUB 001C covers manholes up to "&amp;SG_Criteria!$B$42&amp;" m deep only. ","")&amp;IF(AND(LEFT(D277,11)="Rectangular",K277&lt;SG_Criteria!$B$43),"NOTE: 004C is for sewers &gt;= "&amp;SG_Criteria!$B$43&amp;" dia. ","")&amp;IF(AND(LEFT(D277,7)="Precast",J277&lt;=SG_Criteria!$B$42),"NOTE: 006C is for manholes &gt; "&amp;SG_Criteria!$B$42&amp;" m deep. ","")&amp;IF(AND(K277&lt;&gt;"",K277&lt;SG_Criteria!$B$40,D277&lt;&gt;"Inspection Chamber"),"NOTE: public sewer min dia "&amp;SG_Criteria!$B$40&amp;" mm. ","")&amp;IF(AND(Y277&lt;&gt;"",Y277&lt;SG_Criteria!$B$44),"FAIL: uplift FOS below "&amp;SG_Criteria!$B$44&amp;". ","")))</f>
        <v/>
      </c>
      <c r="BH277" s="9"/>
      <c r="BI277" s="9"/>
      <c r="BJ277" s="9"/>
      <c r="BK277" s="10" t="str">
        <f aca="false">IF(BJ277="","",IFERROR(VLOOKUP(BJ277,Projects!$A$5:$D$504,2,0),"Ref not in Projects"))</f>
        <v/>
      </c>
      <c r="BL277" s="10" t="str">
        <f aca="false">IF(BJ277="","",IFERROR(VLOOKUP(BJ277,Projects!$A$5:$D$504,4,0),"Ref not in Projects"))</f>
        <v/>
      </c>
      <c r="BM277" s="9"/>
      <c r="BN277" s="9"/>
      <c r="BO277" s="9"/>
      <c r="BP277" s="40"/>
      <c r="BQ277" s="9"/>
      <c r="BR277" s="40"/>
      <c r="BS277" s="9"/>
      <c r="BT277" s="40"/>
      <c r="BU277" s="9"/>
      <c r="BV277" s="9"/>
      <c r="BW277" s="9"/>
      <c r="BX277" s="40"/>
      <c r="BY277" s="40"/>
      <c r="BZ277" s="36" t="str">
        <f aca="false">IF(BY277="","",EDATE(BY277,SG_Criteria!$B$54*12))</f>
        <v/>
      </c>
      <c r="CA277" s="33" t="str">
        <f aca="true">IF(A277="","",IF(BY277="","NOTE: not reviewed yet",IF(TODAY()&gt;BZ277,"NOTE: review overdue","OK")))</f>
        <v/>
      </c>
      <c r="CB277" s="37" t="str">
        <f aca="false">IF(A277="","",ROUND((IF(LEN(D277)&gt;0,1,0)+IF(LEN(E277)&gt;0,1,0)+IF(LEN(F277)&gt;0,1,0)+IF(LEN(G277)&gt;0,1,0)+IF(LEN(I277)&gt;0,1,0)+IF(LEN(J277)&gt;0,1,0)+IF(LEN(K277)&gt;0,1,0)+IF(LEN(L277)&gt;0,1,0)+IF(LEN(M277)&gt;0,1,0)+IF(LEN(N277)&gt;0,1,0)+IF(LEN(Z277)&gt;0,1,0)+IF(LEN(AA277)&gt;0,1,0)+IF(LEN(Y277)&gt;0,1,0)+IF(LEN(AE277)&gt;0,1,0)+IF(LEN(AG277)&gt;0,1,0)+IF(LEN(AZ277)&gt;0,1,0)+IF(LEN(AK277)&gt;0,1,0)+IF(LEN(AM277)&gt;0,1,0)+IF(LEN(AN277)&gt;0,1,0)+IF(LEN(AO277)&gt;0,1,0)+IF(LEN(AP277)&gt;0,1,0)+IF(LEN(AY277)&gt;0,1,0)+IF(LEN(BJ277)&gt;0,1,0)+IF(LEN(BW277)&gt;0,1,0))/24,2))</f>
        <v/>
      </c>
      <c r="CC277" s="10" t="str">
        <f aca="false">IF(D277="","",IF(AND(AN277="Approved",ISERROR(SEARCH("FAIL",BG277))),"Y","N"))</f>
        <v/>
      </c>
      <c r="CD277" s="10" t="str">
        <f aca="false">IF(D277="","",D277&amp;"|"&amp;J277&amp;"|"&amp;G277&amp;"|"&amp;CC277)</f>
        <v/>
      </c>
    </row>
    <row r="278" customFormat="false" ht="15" hidden="false" customHeight="false" outlineLevel="0" collapsed="false">
      <c r="A278" s="10" t="str">
        <f aca="false">IF(D278="","","MH-"&amp;IFERROR(VLOOKUP(D278,Lists!$AB$4:$AC$20,2,0),"??")&amp;"-"&amp;TEXT(G278,"0000")&amp;IF(F278="Circular","D","x"&amp;TEXT(H278,"0000"))&amp;"-D"&amp;TEXT(J278*1000,"0000")&amp;"-"&amp;IFERROR(VLOOKUP(E278,Lists!$AE$4:$AF$16,2,0),"??")&amp;"-"&amp;AM278)</f>
        <v/>
      </c>
      <c r="B278" s="10" t="str">
        <f aca="false">IF(D278="","",D278&amp;", "&amp;E278&amp;", "&amp;IF(F278="Circular",G278&amp;" dia",G278&amp;" x "&amp;H278)&amp;", depth "&amp;TEXT(I278,"0.0")&amp;"-"&amp;TEXT(J278,"0.0")&amp;" m, pipe up to "&amp;K278&amp;" dia")</f>
        <v/>
      </c>
      <c r="C278" s="9"/>
      <c r="D278" s="9"/>
      <c r="E278" s="9"/>
      <c r="F278" s="9"/>
      <c r="G278" s="38"/>
      <c r="H278" s="38"/>
      <c r="I278" s="42"/>
      <c r="J278" s="42"/>
      <c r="K278" s="38"/>
      <c r="L278" s="38"/>
      <c r="M278" s="38"/>
      <c r="N278" s="38"/>
      <c r="O278" s="9"/>
      <c r="P278" s="9"/>
      <c r="Q278" s="9"/>
      <c r="R278" s="9"/>
      <c r="S278" s="9"/>
      <c r="T278" s="9"/>
      <c r="U278" s="9"/>
      <c r="V278" s="42"/>
      <c r="W278" s="9"/>
      <c r="X278" s="9"/>
      <c r="Y278" s="39"/>
      <c r="Z278" s="9"/>
      <c r="AA278" s="38"/>
      <c r="AB278" s="9"/>
      <c r="AC278" s="9"/>
      <c r="AD278" s="9"/>
      <c r="AE278" s="9"/>
      <c r="AF278" s="9"/>
      <c r="AG278" s="9"/>
      <c r="AH278" s="38"/>
      <c r="AI278" s="9"/>
      <c r="AJ278" s="39"/>
      <c r="AK278" s="9"/>
      <c r="AL278" s="9"/>
      <c r="AM278" s="9"/>
      <c r="AN278" s="9"/>
      <c r="AO278" s="9"/>
      <c r="AP278" s="9"/>
      <c r="AQ278" s="9"/>
      <c r="AR278" s="10" t="str">
        <f aca="false">IF(A278="","",SG_Criteria!$B$6&amp;SG_Criteria!$B$10&amp;"\"&amp;A278&amp;"\")</f>
        <v/>
      </c>
      <c r="AS278" s="10" t="str">
        <f aca="false">IF(A278="","",A278&amp;"_CAD.dwg")</f>
        <v/>
      </c>
      <c r="AT278" s="10" t="str">
        <f aca="false">IF(A278="","",A278&amp;"_DWG.pdf")</f>
        <v/>
      </c>
      <c r="AU278" s="10" t="str">
        <f aca="false">IF(A278="","",IF(AQ278="Y",A278&amp;"_STAAD.std","n/a"))</f>
        <v/>
      </c>
      <c r="AV278" s="10" t="str">
        <f aca="false">IF(A278="","",A278&amp;"_CALC.xlsx")</f>
        <v/>
      </c>
      <c r="AW278" s="10" t="str">
        <f aca="false">IF(A278="","",A278&amp;"_CALC.pdf")</f>
        <v/>
      </c>
      <c r="AX278" s="9"/>
      <c r="AY278" s="9"/>
      <c r="AZ278" s="39"/>
      <c r="BA278" s="39"/>
      <c r="BB278" s="39"/>
      <c r="BC278" s="39"/>
      <c r="BD278" s="39"/>
      <c r="BE278" s="12" t="str">
        <f aca="false">IF(A278="","",IF(COUNTIF(Rebar_Schedule!$A$5:$A$2004,A278)=0,"",ROUND(SUMIF(Rebar_Schedule!$A$5:$A$2004,A278,Rebar_Schedule!$K$5:$K$2004),1)))</f>
        <v/>
      </c>
      <c r="BF278" s="33" t="str">
        <f aca="false">IF(A278="","",IF(BE278="","No rebar schedule yet",IF(ABS(BE278-N(BA278))/MAX(N(BA278),1)&gt;SG_Criteria!$B$55,"NOTE: register rebar differs from schedule by "&amp;TEXT(ABS(BE278-N(BA278))/MAX(N(BA278),1),"0%"),"OK")))</f>
        <v/>
      </c>
      <c r="BG278" s="33" t="str">
        <f aca="false">IF(D278="","",IF(LEN(IF(AND(Z278&lt;&gt;"",IFERROR(VALUE(MID(Z278,2,2)),0)&lt;SG_Criteria!$B$19),"FAIL: grade below C"&amp;SG_Criteria!$B$19&amp;". ","")&amp;IF(AND(AA278&lt;&gt;"",AA278&lt;SG_Criteria!$B$20),"FAIL: cover &lt; "&amp;SG_Criteria!$B$20&amp;" mm. ","")&amp;IF(AND(I278&lt;&gt;"",I278&lt;SG_Criteria!$B$39),"NOTE: min depth below PUB "&amp;SG_Criteria!$B$39&amp;" m. ","")&amp;IF(AND(LEFT(D278,8)="Standard",J278&gt;SG_Criteria!$B$42),"FAIL: PUB 001C covers manholes up to "&amp;SG_Criteria!$B$42&amp;" m deep only. ","")&amp;IF(AND(LEFT(D278,11)="Rectangular",K278&lt;SG_Criteria!$B$43),"NOTE: 004C is for sewers &gt;= "&amp;SG_Criteria!$B$43&amp;" dia. ","")&amp;IF(AND(LEFT(D278,7)="Precast",J278&lt;=SG_Criteria!$B$42),"NOTE: 006C is for manholes &gt; "&amp;SG_Criteria!$B$42&amp;" m deep. ","")&amp;IF(AND(K278&lt;&gt;"",K278&lt;SG_Criteria!$B$40,D278&lt;&gt;"Inspection Chamber"),"NOTE: public sewer min dia "&amp;SG_Criteria!$B$40&amp;" mm. ","")&amp;IF(AND(Y278&lt;&gt;"",Y278&lt;SG_Criteria!$B$44),"FAIL: uplift FOS below "&amp;SG_Criteria!$B$44&amp;". ",""))=0,"OK",IF(AND(Z278&lt;&gt;"",IFERROR(VALUE(MID(Z278,2,2)),0)&lt;SG_Criteria!$B$19),"FAIL: grade below C"&amp;SG_Criteria!$B$19&amp;". ","")&amp;IF(AND(AA278&lt;&gt;"",AA278&lt;SG_Criteria!$B$20),"FAIL: cover &lt; "&amp;SG_Criteria!$B$20&amp;" mm. ","")&amp;IF(AND(I278&lt;&gt;"",I278&lt;SG_Criteria!$B$39),"NOTE: min depth below PUB "&amp;SG_Criteria!$B$39&amp;" m. ","")&amp;IF(AND(LEFT(D278,8)="Standard",J278&gt;SG_Criteria!$B$42),"FAIL: PUB 001C covers manholes up to "&amp;SG_Criteria!$B$42&amp;" m deep only. ","")&amp;IF(AND(LEFT(D278,11)="Rectangular",K278&lt;SG_Criteria!$B$43),"NOTE: 004C is for sewers &gt;= "&amp;SG_Criteria!$B$43&amp;" dia. ","")&amp;IF(AND(LEFT(D278,7)="Precast",J278&lt;=SG_Criteria!$B$42),"NOTE: 006C is for manholes &gt; "&amp;SG_Criteria!$B$42&amp;" m deep. ","")&amp;IF(AND(K278&lt;&gt;"",K278&lt;SG_Criteria!$B$40,D278&lt;&gt;"Inspection Chamber"),"NOTE: public sewer min dia "&amp;SG_Criteria!$B$40&amp;" mm. ","")&amp;IF(AND(Y278&lt;&gt;"",Y278&lt;SG_Criteria!$B$44),"FAIL: uplift FOS below "&amp;SG_Criteria!$B$44&amp;". ","")))</f>
        <v/>
      </c>
      <c r="BH278" s="9"/>
      <c r="BI278" s="9"/>
      <c r="BJ278" s="9"/>
      <c r="BK278" s="10" t="str">
        <f aca="false">IF(BJ278="","",IFERROR(VLOOKUP(BJ278,Projects!$A$5:$D$504,2,0),"Ref not in Projects"))</f>
        <v/>
      </c>
      <c r="BL278" s="10" t="str">
        <f aca="false">IF(BJ278="","",IFERROR(VLOOKUP(BJ278,Projects!$A$5:$D$504,4,0),"Ref not in Projects"))</f>
        <v/>
      </c>
      <c r="BM278" s="9"/>
      <c r="BN278" s="9"/>
      <c r="BO278" s="9"/>
      <c r="BP278" s="40"/>
      <c r="BQ278" s="9"/>
      <c r="BR278" s="40"/>
      <c r="BS278" s="9"/>
      <c r="BT278" s="40"/>
      <c r="BU278" s="9"/>
      <c r="BV278" s="9"/>
      <c r="BW278" s="9"/>
      <c r="BX278" s="40"/>
      <c r="BY278" s="40"/>
      <c r="BZ278" s="36" t="str">
        <f aca="false">IF(BY278="","",EDATE(BY278,SG_Criteria!$B$54*12))</f>
        <v/>
      </c>
      <c r="CA278" s="33" t="str">
        <f aca="true">IF(A278="","",IF(BY278="","NOTE: not reviewed yet",IF(TODAY()&gt;BZ278,"NOTE: review overdue","OK")))</f>
        <v/>
      </c>
      <c r="CB278" s="37" t="str">
        <f aca="false">IF(A278="","",ROUND((IF(LEN(D278)&gt;0,1,0)+IF(LEN(E278)&gt;0,1,0)+IF(LEN(F278)&gt;0,1,0)+IF(LEN(G278)&gt;0,1,0)+IF(LEN(I278)&gt;0,1,0)+IF(LEN(J278)&gt;0,1,0)+IF(LEN(K278)&gt;0,1,0)+IF(LEN(L278)&gt;0,1,0)+IF(LEN(M278)&gt;0,1,0)+IF(LEN(N278)&gt;0,1,0)+IF(LEN(Z278)&gt;0,1,0)+IF(LEN(AA278)&gt;0,1,0)+IF(LEN(Y278)&gt;0,1,0)+IF(LEN(AE278)&gt;0,1,0)+IF(LEN(AG278)&gt;0,1,0)+IF(LEN(AZ278)&gt;0,1,0)+IF(LEN(AK278)&gt;0,1,0)+IF(LEN(AM278)&gt;0,1,0)+IF(LEN(AN278)&gt;0,1,0)+IF(LEN(AO278)&gt;0,1,0)+IF(LEN(AP278)&gt;0,1,0)+IF(LEN(AY278)&gt;0,1,0)+IF(LEN(BJ278)&gt;0,1,0)+IF(LEN(BW278)&gt;0,1,0))/24,2))</f>
        <v/>
      </c>
      <c r="CC278" s="10" t="str">
        <f aca="false">IF(D278="","",IF(AND(AN278="Approved",ISERROR(SEARCH("FAIL",BG278))),"Y","N"))</f>
        <v/>
      </c>
      <c r="CD278" s="10" t="str">
        <f aca="false">IF(D278="","",D278&amp;"|"&amp;J278&amp;"|"&amp;G278&amp;"|"&amp;CC278)</f>
        <v/>
      </c>
    </row>
    <row r="279" customFormat="false" ht="15" hidden="false" customHeight="false" outlineLevel="0" collapsed="false">
      <c r="A279" s="10" t="str">
        <f aca="false">IF(D279="","","MH-"&amp;IFERROR(VLOOKUP(D279,Lists!$AB$4:$AC$20,2,0),"??")&amp;"-"&amp;TEXT(G279,"0000")&amp;IF(F279="Circular","D","x"&amp;TEXT(H279,"0000"))&amp;"-D"&amp;TEXT(J279*1000,"0000")&amp;"-"&amp;IFERROR(VLOOKUP(E279,Lists!$AE$4:$AF$16,2,0),"??")&amp;"-"&amp;AM279)</f>
        <v/>
      </c>
      <c r="B279" s="10" t="str">
        <f aca="false">IF(D279="","",D279&amp;", "&amp;E279&amp;", "&amp;IF(F279="Circular",G279&amp;" dia",G279&amp;" x "&amp;H279)&amp;", depth "&amp;TEXT(I279,"0.0")&amp;"-"&amp;TEXT(J279,"0.0")&amp;" m, pipe up to "&amp;K279&amp;" dia")</f>
        <v/>
      </c>
      <c r="C279" s="9"/>
      <c r="D279" s="9"/>
      <c r="E279" s="9"/>
      <c r="F279" s="9"/>
      <c r="G279" s="38"/>
      <c r="H279" s="38"/>
      <c r="I279" s="42"/>
      <c r="J279" s="42"/>
      <c r="K279" s="38"/>
      <c r="L279" s="38"/>
      <c r="M279" s="38"/>
      <c r="N279" s="38"/>
      <c r="O279" s="9"/>
      <c r="P279" s="9"/>
      <c r="Q279" s="9"/>
      <c r="R279" s="9"/>
      <c r="S279" s="9"/>
      <c r="T279" s="9"/>
      <c r="U279" s="9"/>
      <c r="V279" s="42"/>
      <c r="W279" s="9"/>
      <c r="X279" s="9"/>
      <c r="Y279" s="39"/>
      <c r="Z279" s="9"/>
      <c r="AA279" s="38"/>
      <c r="AB279" s="9"/>
      <c r="AC279" s="9"/>
      <c r="AD279" s="9"/>
      <c r="AE279" s="9"/>
      <c r="AF279" s="9"/>
      <c r="AG279" s="9"/>
      <c r="AH279" s="38"/>
      <c r="AI279" s="9"/>
      <c r="AJ279" s="39"/>
      <c r="AK279" s="9"/>
      <c r="AL279" s="9"/>
      <c r="AM279" s="9"/>
      <c r="AN279" s="9"/>
      <c r="AO279" s="9"/>
      <c r="AP279" s="9"/>
      <c r="AQ279" s="9"/>
      <c r="AR279" s="10" t="str">
        <f aca="false">IF(A279="","",SG_Criteria!$B$6&amp;SG_Criteria!$B$10&amp;"\"&amp;A279&amp;"\")</f>
        <v/>
      </c>
      <c r="AS279" s="10" t="str">
        <f aca="false">IF(A279="","",A279&amp;"_CAD.dwg")</f>
        <v/>
      </c>
      <c r="AT279" s="10" t="str">
        <f aca="false">IF(A279="","",A279&amp;"_DWG.pdf")</f>
        <v/>
      </c>
      <c r="AU279" s="10" t="str">
        <f aca="false">IF(A279="","",IF(AQ279="Y",A279&amp;"_STAAD.std","n/a"))</f>
        <v/>
      </c>
      <c r="AV279" s="10" t="str">
        <f aca="false">IF(A279="","",A279&amp;"_CALC.xlsx")</f>
        <v/>
      </c>
      <c r="AW279" s="10" t="str">
        <f aca="false">IF(A279="","",A279&amp;"_CALC.pdf")</f>
        <v/>
      </c>
      <c r="AX279" s="9"/>
      <c r="AY279" s="9"/>
      <c r="AZ279" s="39"/>
      <c r="BA279" s="39"/>
      <c r="BB279" s="39"/>
      <c r="BC279" s="39"/>
      <c r="BD279" s="39"/>
      <c r="BE279" s="12" t="str">
        <f aca="false">IF(A279="","",IF(COUNTIF(Rebar_Schedule!$A$5:$A$2004,A279)=0,"",ROUND(SUMIF(Rebar_Schedule!$A$5:$A$2004,A279,Rebar_Schedule!$K$5:$K$2004),1)))</f>
        <v/>
      </c>
      <c r="BF279" s="33" t="str">
        <f aca="false">IF(A279="","",IF(BE279="","No rebar schedule yet",IF(ABS(BE279-N(BA279))/MAX(N(BA279),1)&gt;SG_Criteria!$B$55,"NOTE: register rebar differs from schedule by "&amp;TEXT(ABS(BE279-N(BA279))/MAX(N(BA279),1),"0%"),"OK")))</f>
        <v/>
      </c>
      <c r="BG279" s="33" t="str">
        <f aca="false">IF(D279="","",IF(LEN(IF(AND(Z279&lt;&gt;"",IFERROR(VALUE(MID(Z279,2,2)),0)&lt;SG_Criteria!$B$19),"FAIL: grade below C"&amp;SG_Criteria!$B$19&amp;". ","")&amp;IF(AND(AA279&lt;&gt;"",AA279&lt;SG_Criteria!$B$20),"FAIL: cover &lt; "&amp;SG_Criteria!$B$20&amp;" mm. ","")&amp;IF(AND(I279&lt;&gt;"",I279&lt;SG_Criteria!$B$39),"NOTE: min depth below PUB "&amp;SG_Criteria!$B$39&amp;" m. ","")&amp;IF(AND(LEFT(D279,8)="Standard",J279&gt;SG_Criteria!$B$42),"FAIL: PUB 001C covers manholes up to "&amp;SG_Criteria!$B$42&amp;" m deep only. ","")&amp;IF(AND(LEFT(D279,11)="Rectangular",K279&lt;SG_Criteria!$B$43),"NOTE: 004C is for sewers &gt;= "&amp;SG_Criteria!$B$43&amp;" dia. ","")&amp;IF(AND(LEFT(D279,7)="Precast",J279&lt;=SG_Criteria!$B$42),"NOTE: 006C is for manholes &gt; "&amp;SG_Criteria!$B$42&amp;" m deep. ","")&amp;IF(AND(K279&lt;&gt;"",K279&lt;SG_Criteria!$B$40,D279&lt;&gt;"Inspection Chamber"),"NOTE: public sewer min dia "&amp;SG_Criteria!$B$40&amp;" mm. ","")&amp;IF(AND(Y279&lt;&gt;"",Y279&lt;SG_Criteria!$B$44),"FAIL: uplift FOS below "&amp;SG_Criteria!$B$44&amp;". ",""))=0,"OK",IF(AND(Z279&lt;&gt;"",IFERROR(VALUE(MID(Z279,2,2)),0)&lt;SG_Criteria!$B$19),"FAIL: grade below C"&amp;SG_Criteria!$B$19&amp;". ","")&amp;IF(AND(AA279&lt;&gt;"",AA279&lt;SG_Criteria!$B$20),"FAIL: cover &lt; "&amp;SG_Criteria!$B$20&amp;" mm. ","")&amp;IF(AND(I279&lt;&gt;"",I279&lt;SG_Criteria!$B$39),"NOTE: min depth below PUB "&amp;SG_Criteria!$B$39&amp;" m. ","")&amp;IF(AND(LEFT(D279,8)="Standard",J279&gt;SG_Criteria!$B$42),"FAIL: PUB 001C covers manholes up to "&amp;SG_Criteria!$B$42&amp;" m deep only. ","")&amp;IF(AND(LEFT(D279,11)="Rectangular",K279&lt;SG_Criteria!$B$43),"NOTE: 004C is for sewers &gt;= "&amp;SG_Criteria!$B$43&amp;" dia. ","")&amp;IF(AND(LEFT(D279,7)="Precast",J279&lt;=SG_Criteria!$B$42),"NOTE: 006C is for manholes &gt; "&amp;SG_Criteria!$B$42&amp;" m deep. ","")&amp;IF(AND(K279&lt;&gt;"",K279&lt;SG_Criteria!$B$40,D279&lt;&gt;"Inspection Chamber"),"NOTE: public sewer min dia "&amp;SG_Criteria!$B$40&amp;" mm. ","")&amp;IF(AND(Y279&lt;&gt;"",Y279&lt;SG_Criteria!$B$44),"FAIL: uplift FOS below "&amp;SG_Criteria!$B$44&amp;". ","")))</f>
        <v/>
      </c>
      <c r="BH279" s="9"/>
      <c r="BI279" s="9"/>
      <c r="BJ279" s="9"/>
      <c r="BK279" s="10" t="str">
        <f aca="false">IF(BJ279="","",IFERROR(VLOOKUP(BJ279,Projects!$A$5:$D$504,2,0),"Ref not in Projects"))</f>
        <v/>
      </c>
      <c r="BL279" s="10" t="str">
        <f aca="false">IF(BJ279="","",IFERROR(VLOOKUP(BJ279,Projects!$A$5:$D$504,4,0),"Ref not in Projects"))</f>
        <v/>
      </c>
      <c r="BM279" s="9"/>
      <c r="BN279" s="9"/>
      <c r="BO279" s="9"/>
      <c r="BP279" s="40"/>
      <c r="BQ279" s="9"/>
      <c r="BR279" s="40"/>
      <c r="BS279" s="9"/>
      <c r="BT279" s="40"/>
      <c r="BU279" s="9"/>
      <c r="BV279" s="9"/>
      <c r="BW279" s="9"/>
      <c r="BX279" s="40"/>
      <c r="BY279" s="40"/>
      <c r="BZ279" s="36" t="str">
        <f aca="false">IF(BY279="","",EDATE(BY279,SG_Criteria!$B$54*12))</f>
        <v/>
      </c>
      <c r="CA279" s="33" t="str">
        <f aca="true">IF(A279="","",IF(BY279="","NOTE: not reviewed yet",IF(TODAY()&gt;BZ279,"NOTE: review overdue","OK")))</f>
        <v/>
      </c>
      <c r="CB279" s="37" t="str">
        <f aca="false">IF(A279="","",ROUND((IF(LEN(D279)&gt;0,1,0)+IF(LEN(E279)&gt;0,1,0)+IF(LEN(F279)&gt;0,1,0)+IF(LEN(G279)&gt;0,1,0)+IF(LEN(I279)&gt;0,1,0)+IF(LEN(J279)&gt;0,1,0)+IF(LEN(K279)&gt;0,1,0)+IF(LEN(L279)&gt;0,1,0)+IF(LEN(M279)&gt;0,1,0)+IF(LEN(N279)&gt;0,1,0)+IF(LEN(Z279)&gt;0,1,0)+IF(LEN(AA279)&gt;0,1,0)+IF(LEN(Y279)&gt;0,1,0)+IF(LEN(AE279)&gt;0,1,0)+IF(LEN(AG279)&gt;0,1,0)+IF(LEN(AZ279)&gt;0,1,0)+IF(LEN(AK279)&gt;0,1,0)+IF(LEN(AM279)&gt;0,1,0)+IF(LEN(AN279)&gt;0,1,0)+IF(LEN(AO279)&gt;0,1,0)+IF(LEN(AP279)&gt;0,1,0)+IF(LEN(AY279)&gt;0,1,0)+IF(LEN(BJ279)&gt;0,1,0)+IF(LEN(BW279)&gt;0,1,0))/24,2))</f>
        <v/>
      </c>
      <c r="CC279" s="10" t="str">
        <f aca="false">IF(D279="","",IF(AND(AN279="Approved",ISERROR(SEARCH("FAIL",BG279))),"Y","N"))</f>
        <v/>
      </c>
      <c r="CD279" s="10" t="str">
        <f aca="false">IF(D279="","",D279&amp;"|"&amp;J279&amp;"|"&amp;G279&amp;"|"&amp;CC279)</f>
        <v/>
      </c>
    </row>
    <row r="280" customFormat="false" ht="15" hidden="false" customHeight="false" outlineLevel="0" collapsed="false">
      <c r="A280" s="10" t="str">
        <f aca="false">IF(D280="","","MH-"&amp;IFERROR(VLOOKUP(D280,Lists!$AB$4:$AC$20,2,0),"??")&amp;"-"&amp;TEXT(G280,"0000")&amp;IF(F280="Circular","D","x"&amp;TEXT(H280,"0000"))&amp;"-D"&amp;TEXT(J280*1000,"0000")&amp;"-"&amp;IFERROR(VLOOKUP(E280,Lists!$AE$4:$AF$16,2,0),"??")&amp;"-"&amp;AM280)</f>
        <v/>
      </c>
      <c r="B280" s="10" t="str">
        <f aca="false">IF(D280="","",D280&amp;", "&amp;E280&amp;", "&amp;IF(F280="Circular",G280&amp;" dia",G280&amp;" x "&amp;H280)&amp;", depth "&amp;TEXT(I280,"0.0")&amp;"-"&amp;TEXT(J280,"0.0")&amp;" m, pipe up to "&amp;K280&amp;" dia")</f>
        <v/>
      </c>
      <c r="C280" s="9"/>
      <c r="D280" s="9"/>
      <c r="E280" s="9"/>
      <c r="F280" s="9"/>
      <c r="G280" s="38"/>
      <c r="H280" s="38"/>
      <c r="I280" s="42"/>
      <c r="J280" s="42"/>
      <c r="K280" s="38"/>
      <c r="L280" s="38"/>
      <c r="M280" s="38"/>
      <c r="N280" s="38"/>
      <c r="O280" s="9"/>
      <c r="P280" s="9"/>
      <c r="Q280" s="9"/>
      <c r="R280" s="9"/>
      <c r="S280" s="9"/>
      <c r="T280" s="9"/>
      <c r="U280" s="9"/>
      <c r="V280" s="42"/>
      <c r="W280" s="9"/>
      <c r="X280" s="9"/>
      <c r="Y280" s="39"/>
      <c r="Z280" s="9"/>
      <c r="AA280" s="38"/>
      <c r="AB280" s="9"/>
      <c r="AC280" s="9"/>
      <c r="AD280" s="9"/>
      <c r="AE280" s="9"/>
      <c r="AF280" s="9"/>
      <c r="AG280" s="9"/>
      <c r="AH280" s="38"/>
      <c r="AI280" s="9"/>
      <c r="AJ280" s="39"/>
      <c r="AK280" s="9"/>
      <c r="AL280" s="9"/>
      <c r="AM280" s="9"/>
      <c r="AN280" s="9"/>
      <c r="AO280" s="9"/>
      <c r="AP280" s="9"/>
      <c r="AQ280" s="9"/>
      <c r="AR280" s="10" t="str">
        <f aca="false">IF(A280="","",SG_Criteria!$B$6&amp;SG_Criteria!$B$10&amp;"\"&amp;A280&amp;"\")</f>
        <v/>
      </c>
      <c r="AS280" s="10" t="str">
        <f aca="false">IF(A280="","",A280&amp;"_CAD.dwg")</f>
        <v/>
      </c>
      <c r="AT280" s="10" t="str">
        <f aca="false">IF(A280="","",A280&amp;"_DWG.pdf")</f>
        <v/>
      </c>
      <c r="AU280" s="10" t="str">
        <f aca="false">IF(A280="","",IF(AQ280="Y",A280&amp;"_STAAD.std","n/a"))</f>
        <v/>
      </c>
      <c r="AV280" s="10" t="str">
        <f aca="false">IF(A280="","",A280&amp;"_CALC.xlsx")</f>
        <v/>
      </c>
      <c r="AW280" s="10" t="str">
        <f aca="false">IF(A280="","",A280&amp;"_CALC.pdf")</f>
        <v/>
      </c>
      <c r="AX280" s="9"/>
      <c r="AY280" s="9"/>
      <c r="AZ280" s="39"/>
      <c r="BA280" s="39"/>
      <c r="BB280" s="39"/>
      <c r="BC280" s="39"/>
      <c r="BD280" s="39"/>
      <c r="BE280" s="12" t="str">
        <f aca="false">IF(A280="","",IF(COUNTIF(Rebar_Schedule!$A$5:$A$2004,A280)=0,"",ROUND(SUMIF(Rebar_Schedule!$A$5:$A$2004,A280,Rebar_Schedule!$K$5:$K$2004),1)))</f>
        <v/>
      </c>
      <c r="BF280" s="33" t="str">
        <f aca="false">IF(A280="","",IF(BE280="","No rebar schedule yet",IF(ABS(BE280-N(BA280))/MAX(N(BA280),1)&gt;SG_Criteria!$B$55,"NOTE: register rebar differs from schedule by "&amp;TEXT(ABS(BE280-N(BA280))/MAX(N(BA280),1),"0%"),"OK")))</f>
        <v/>
      </c>
      <c r="BG280" s="33" t="str">
        <f aca="false">IF(D280="","",IF(LEN(IF(AND(Z280&lt;&gt;"",IFERROR(VALUE(MID(Z280,2,2)),0)&lt;SG_Criteria!$B$19),"FAIL: grade below C"&amp;SG_Criteria!$B$19&amp;". ","")&amp;IF(AND(AA280&lt;&gt;"",AA280&lt;SG_Criteria!$B$20),"FAIL: cover &lt; "&amp;SG_Criteria!$B$20&amp;" mm. ","")&amp;IF(AND(I280&lt;&gt;"",I280&lt;SG_Criteria!$B$39),"NOTE: min depth below PUB "&amp;SG_Criteria!$B$39&amp;" m. ","")&amp;IF(AND(LEFT(D280,8)="Standard",J280&gt;SG_Criteria!$B$42),"FAIL: PUB 001C covers manholes up to "&amp;SG_Criteria!$B$42&amp;" m deep only. ","")&amp;IF(AND(LEFT(D280,11)="Rectangular",K280&lt;SG_Criteria!$B$43),"NOTE: 004C is for sewers &gt;= "&amp;SG_Criteria!$B$43&amp;" dia. ","")&amp;IF(AND(LEFT(D280,7)="Precast",J280&lt;=SG_Criteria!$B$42),"NOTE: 006C is for manholes &gt; "&amp;SG_Criteria!$B$42&amp;" m deep. ","")&amp;IF(AND(K280&lt;&gt;"",K280&lt;SG_Criteria!$B$40,D280&lt;&gt;"Inspection Chamber"),"NOTE: public sewer min dia "&amp;SG_Criteria!$B$40&amp;" mm. ","")&amp;IF(AND(Y280&lt;&gt;"",Y280&lt;SG_Criteria!$B$44),"FAIL: uplift FOS below "&amp;SG_Criteria!$B$44&amp;". ",""))=0,"OK",IF(AND(Z280&lt;&gt;"",IFERROR(VALUE(MID(Z280,2,2)),0)&lt;SG_Criteria!$B$19),"FAIL: grade below C"&amp;SG_Criteria!$B$19&amp;". ","")&amp;IF(AND(AA280&lt;&gt;"",AA280&lt;SG_Criteria!$B$20),"FAIL: cover &lt; "&amp;SG_Criteria!$B$20&amp;" mm. ","")&amp;IF(AND(I280&lt;&gt;"",I280&lt;SG_Criteria!$B$39),"NOTE: min depth below PUB "&amp;SG_Criteria!$B$39&amp;" m. ","")&amp;IF(AND(LEFT(D280,8)="Standard",J280&gt;SG_Criteria!$B$42),"FAIL: PUB 001C covers manholes up to "&amp;SG_Criteria!$B$42&amp;" m deep only. ","")&amp;IF(AND(LEFT(D280,11)="Rectangular",K280&lt;SG_Criteria!$B$43),"NOTE: 004C is for sewers &gt;= "&amp;SG_Criteria!$B$43&amp;" dia. ","")&amp;IF(AND(LEFT(D280,7)="Precast",J280&lt;=SG_Criteria!$B$42),"NOTE: 006C is for manholes &gt; "&amp;SG_Criteria!$B$42&amp;" m deep. ","")&amp;IF(AND(K280&lt;&gt;"",K280&lt;SG_Criteria!$B$40,D280&lt;&gt;"Inspection Chamber"),"NOTE: public sewer min dia "&amp;SG_Criteria!$B$40&amp;" mm. ","")&amp;IF(AND(Y280&lt;&gt;"",Y280&lt;SG_Criteria!$B$44),"FAIL: uplift FOS below "&amp;SG_Criteria!$B$44&amp;". ","")))</f>
        <v/>
      </c>
      <c r="BH280" s="9"/>
      <c r="BI280" s="9"/>
      <c r="BJ280" s="9"/>
      <c r="BK280" s="10" t="str">
        <f aca="false">IF(BJ280="","",IFERROR(VLOOKUP(BJ280,Projects!$A$5:$D$504,2,0),"Ref not in Projects"))</f>
        <v/>
      </c>
      <c r="BL280" s="10" t="str">
        <f aca="false">IF(BJ280="","",IFERROR(VLOOKUP(BJ280,Projects!$A$5:$D$504,4,0),"Ref not in Projects"))</f>
        <v/>
      </c>
      <c r="BM280" s="9"/>
      <c r="BN280" s="9"/>
      <c r="BO280" s="9"/>
      <c r="BP280" s="40"/>
      <c r="BQ280" s="9"/>
      <c r="BR280" s="40"/>
      <c r="BS280" s="9"/>
      <c r="BT280" s="40"/>
      <c r="BU280" s="9"/>
      <c r="BV280" s="9"/>
      <c r="BW280" s="9"/>
      <c r="BX280" s="40"/>
      <c r="BY280" s="40"/>
      <c r="BZ280" s="36" t="str">
        <f aca="false">IF(BY280="","",EDATE(BY280,SG_Criteria!$B$54*12))</f>
        <v/>
      </c>
      <c r="CA280" s="33" t="str">
        <f aca="true">IF(A280="","",IF(BY280="","NOTE: not reviewed yet",IF(TODAY()&gt;BZ280,"NOTE: review overdue","OK")))</f>
        <v/>
      </c>
      <c r="CB280" s="37" t="str">
        <f aca="false">IF(A280="","",ROUND((IF(LEN(D280)&gt;0,1,0)+IF(LEN(E280)&gt;0,1,0)+IF(LEN(F280)&gt;0,1,0)+IF(LEN(G280)&gt;0,1,0)+IF(LEN(I280)&gt;0,1,0)+IF(LEN(J280)&gt;0,1,0)+IF(LEN(K280)&gt;0,1,0)+IF(LEN(L280)&gt;0,1,0)+IF(LEN(M280)&gt;0,1,0)+IF(LEN(N280)&gt;0,1,0)+IF(LEN(Z280)&gt;0,1,0)+IF(LEN(AA280)&gt;0,1,0)+IF(LEN(Y280)&gt;0,1,0)+IF(LEN(AE280)&gt;0,1,0)+IF(LEN(AG280)&gt;0,1,0)+IF(LEN(AZ280)&gt;0,1,0)+IF(LEN(AK280)&gt;0,1,0)+IF(LEN(AM280)&gt;0,1,0)+IF(LEN(AN280)&gt;0,1,0)+IF(LEN(AO280)&gt;0,1,0)+IF(LEN(AP280)&gt;0,1,0)+IF(LEN(AY280)&gt;0,1,0)+IF(LEN(BJ280)&gt;0,1,0)+IF(LEN(BW280)&gt;0,1,0))/24,2))</f>
        <v/>
      </c>
      <c r="CC280" s="10" t="str">
        <f aca="false">IF(D280="","",IF(AND(AN280="Approved",ISERROR(SEARCH("FAIL",BG280))),"Y","N"))</f>
        <v/>
      </c>
      <c r="CD280" s="10" t="str">
        <f aca="false">IF(D280="","",D280&amp;"|"&amp;J280&amp;"|"&amp;G280&amp;"|"&amp;CC280)</f>
        <v/>
      </c>
    </row>
    <row r="281" customFormat="false" ht="15" hidden="false" customHeight="false" outlineLevel="0" collapsed="false">
      <c r="A281" s="10" t="str">
        <f aca="false">IF(D281="","","MH-"&amp;IFERROR(VLOOKUP(D281,Lists!$AB$4:$AC$20,2,0),"??")&amp;"-"&amp;TEXT(G281,"0000")&amp;IF(F281="Circular","D","x"&amp;TEXT(H281,"0000"))&amp;"-D"&amp;TEXT(J281*1000,"0000")&amp;"-"&amp;IFERROR(VLOOKUP(E281,Lists!$AE$4:$AF$16,2,0),"??")&amp;"-"&amp;AM281)</f>
        <v/>
      </c>
      <c r="B281" s="10" t="str">
        <f aca="false">IF(D281="","",D281&amp;", "&amp;E281&amp;", "&amp;IF(F281="Circular",G281&amp;" dia",G281&amp;" x "&amp;H281)&amp;", depth "&amp;TEXT(I281,"0.0")&amp;"-"&amp;TEXT(J281,"0.0")&amp;" m, pipe up to "&amp;K281&amp;" dia")</f>
        <v/>
      </c>
      <c r="C281" s="9"/>
      <c r="D281" s="9"/>
      <c r="E281" s="9"/>
      <c r="F281" s="9"/>
      <c r="G281" s="38"/>
      <c r="H281" s="38"/>
      <c r="I281" s="42"/>
      <c r="J281" s="42"/>
      <c r="K281" s="38"/>
      <c r="L281" s="38"/>
      <c r="M281" s="38"/>
      <c r="N281" s="38"/>
      <c r="O281" s="9"/>
      <c r="P281" s="9"/>
      <c r="Q281" s="9"/>
      <c r="R281" s="9"/>
      <c r="S281" s="9"/>
      <c r="T281" s="9"/>
      <c r="U281" s="9"/>
      <c r="V281" s="42"/>
      <c r="W281" s="9"/>
      <c r="X281" s="9"/>
      <c r="Y281" s="39"/>
      <c r="Z281" s="9"/>
      <c r="AA281" s="38"/>
      <c r="AB281" s="9"/>
      <c r="AC281" s="9"/>
      <c r="AD281" s="9"/>
      <c r="AE281" s="9"/>
      <c r="AF281" s="9"/>
      <c r="AG281" s="9"/>
      <c r="AH281" s="38"/>
      <c r="AI281" s="9"/>
      <c r="AJ281" s="39"/>
      <c r="AK281" s="9"/>
      <c r="AL281" s="9"/>
      <c r="AM281" s="9"/>
      <c r="AN281" s="9"/>
      <c r="AO281" s="9"/>
      <c r="AP281" s="9"/>
      <c r="AQ281" s="9"/>
      <c r="AR281" s="10" t="str">
        <f aca="false">IF(A281="","",SG_Criteria!$B$6&amp;SG_Criteria!$B$10&amp;"\"&amp;A281&amp;"\")</f>
        <v/>
      </c>
      <c r="AS281" s="10" t="str">
        <f aca="false">IF(A281="","",A281&amp;"_CAD.dwg")</f>
        <v/>
      </c>
      <c r="AT281" s="10" t="str">
        <f aca="false">IF(A281="","",A281&amp;"_DWG.pdf")</f>
        <v/>
      </c>
      <c r="AU281" s="10" t="str">
        <f aca="false">IF(A281="","",IF(AQ281="Y",A281&amp;"_STAAD.std","n/a"))</f>
        <v/>
      </c>
      <c r="AV281" s="10" t="str">
        <f aca="false">IF(A281="","",A281&amp;"_CALC.xlsx")</f>
        <v/>
      </c>
      <c r="AW281" s="10" t="str">
        <f aca="false">IF(A281="","",A281&amp;"_CALC.pdf")</f>
        <v/>
      </c>
      <c r="AX281" s="9"/>
      <c r="AY281" s="9"/>
      <c r="AZ281" s="39"/>
      <c r="BA281" s="39"/>
      <c r="BB281" s="39"/>
      <c r="BC281" s="39"/>
      <c r="BD281" s="39"/>
      <c r="BE281" s="12" t="str">
        <f aca="false">IF(A281="","",IF(COUNTIF(Rebar_Schedule!$A$5:$A$2004,A281)=0,"",ROUND(SUMIF(Rebar_Schedule!$A$5:$A$2004,A281,Rebar_Schedule!$K$5:$K$2004),1)))</f>
        <v/>
      </c>
      <c r="BF281" s="33" t="str">
        <f aca="false">IF(A281="","",IF(BE281="","No rebar schedule yet",IF(ABS(BE281-N(BA281))/MAX(N(BA281),1)&gt;SG_Criteria!$B$55,"NOTE: register rebar differs from schedule by "&amp;TEXT(ABS(BE281-N(BA281))/MAX(N(BA281),1),"0%"),"OK")))</f>
        <v/>
      </c>
      <c r="BG281" s="33" t="str">
        <f aca="false">IF(D281="","",IF(LEN(IF(AND(Z281&lt;&gt;"",IFERROR(VALUE(MID(Z281,2,2)),0)&lt;SG_Criteria!$B$19),"FAIL: grade below C"&amp;SG_Criteria!$B$19&amp;". ","")&amp;IF(AND(AA281&lt;&gt;"",AA281&lt;SG_Criteria!$B$20),"FAIL: cover &lt; "&amp;SG_Criteria!$B$20&amp;" mm. ","")&amp;IF(AND(I281&lt;&gt;"",I281&lt;SG_Criteria!$B$39),"NOTE: min depth below PUB "&amp;SG_Criteria!$B$39&amp;" m. ","")&amp;IF(AND(LEFT(D281,8)="Standard",J281&gt;SG_Criteria!$B$42),"FAIL: PUB 001C covers manholes up to "&amp;SG_Criteria!$B$42&amp;" m deep only. ","")&amp;IF(AND(LEFT(D281,11)="Rectangular",K281&lt;SG_Criteria!$B$43),"NOTE: 004C is for sewers &gt;= "&amp;SG_Criteria!$B$43&amp;" dia. ","")&amp;IF(AND(LEFT(D281,7)="Precast",J281&lt;=SG_Criteria!$B$42),"NOTE: 006C is for manholes &gt; "&amp;SG_Criteria!$B$42&amp;" m deep. ","")&amp;IF(AND(K281&lt;&gt;"",K281&lt;SG_Criteria!$B$40,D281&lt;&gt;"Inspection Chamber"),"NOTE: public sewer min dia "&amp;SG_Criteria!$B$40&amp;" mm. ","")&amp;IF(AND(Y281&lt;&gt;"",Y281&lt;SG_Criteria!$B$44),"FAIL: uplift FOS below "&amp;SG_Criteria!$B$44&amp;". ",""))=0,"OK",IF(AND(Z281&lt;&gt;"",IFERROR(VALUE(MID(Z281,2,2)),0)&lt;SG_Criteria!$B$19),"FAIL: grade below C"&amp;SG_Criteria!$B$19&amp;". ","")&amp;IF(AND(AA281&lt;&gt;"",AA281&lt;SG_Criteria!$B$20),"FAIL: cover &lt; "&amp;SG_Criteria!$B$20&amp;" mm. ","")&amp;IF(AND(I281&lt;&gt;"",I281&lt;SG_Criteria!$B$39),"NOTE: min depth below PUB "&amp;SG_Criteria!$B$39&amp;" m. ","")&amp;IF(AND(LEFT(D281,8)="Standard",J281&gt;SG_Criteria!$B$42),"FAIL: PUB 001C covers manholes up to "&amp;SG_Criteria!$B$42&amp;" m deep only. ","")&amp;IF(AND(LEFT(D281,11)="Rectangular",K281&lt;SG_Criteria!$B$43),"NOTE: 004C is for sewers &gt;= "&amp;SG_Criteria!$B$43&amp;" dia. ","")&amp;IF(AND(LEFT(D281,7)="Precast",J281&lt;=SG_Criteria!$B$42),"NOTE: 006C is for manholes &gt; "&amp;SG_Criteria!$B$42&amp;" m deep. ","")&amp;IF(AND(K281&lt;&gt;"",K281&lt;SG_Criteria!$B$40,D281&lt;&gt;"Inspection Chamber"),"NOTE: public sewer min dia "&amp;SG_Criteria!$B$40&amp;" mm. ","")&amp;IF(AND(Y281&lt;&gt;"",Y281&lt;SG_Criteria!$B$44),"FAIL: uplift FOS below "&amp;SG_Criteria!$B$44&amp;". ","")))</f>
        <v/>
      </c>
      <c r="BH281" s="9"/>
      <c r="BI281" s="9"/>
      <c r="BJ281" s="9"/>
      <c r="BK281" s="10" t="str">
        <f aca="false">IF(BJ281="","",IFERROR(VLOOKUP(BJ281,Projects!$A$5:$D$504,2,0),"Ref not in Projects"))</f>
        <v/>
      </c>
      <c r="BL281" s="10" t="str">
        <f aca="false">IF(BJ281="","",IFERROR(VLOOKUP(BJ281,Projects!$A$5:$D$504,4,0),"Ref not in Projects"))</f>
        <v/>
      </c>
      <c r="BM281" s="9"/>
      <c r="BN281" s="9"/>
      <c r="BO281" s="9"/>
      <c r="BP281" s="40"/>
      <c r="BQ281" s="9"/>
      <c r="BR281" s="40"/>
      <c r="BS281" s="9"/>
      <c r="BT281" s="40"/>
      <c r="BU281" s="9"/>
      <c r="BV281" s="9"/>
      <c r="BW281" s="9"/>
      <c r="BX281" s="40"/>
      <c r="BY281" s="40"/>
      <c r="BZ281" s="36" t="str">
        <f aca="false">IF(BY281="","",EDATE(BY281,SG_Criteria!$B$54*12))</f>
        <v/>
      </c>
      <c r="CA281" s="33" t="str">
        <f aca="true">IF(A281="","",IF(BY281="","NOTE: not reviewed yet",IF(TODAY()&gt;BZ281,"NOTE: review overdue","OK")))</f>
        <v/>
      </c>
      <c r="CB281" s="37" t="str">
        <f aca="false">IF(A281="","",ROUND((IF(LEN(D281)&gt;0,1,0)+IF(LEN(E281)&gt;0,1,0)+IF(LEN(F281)&gt;0,1,0)+IF(LEN(G281)&gt;0,1,0)+IF(LEN(I281)&gt;0,1,0)+IF(LEN(J281)&gt;0,1,0)+IF(LEN(K281)&gt;0,1,0)+IF(LEN(L281)&gt;0,1,0)+IF(LEN(M281)&gt;0,1,0)+IF(LEN(N281)&gt;0,1,0)+IF(LEN(Z281)&gt;0,1,0)+IF(LEN(AA281)&gt;0,1,0)+IF(LEN(Y281)&gt;0,1,0)+IF(LEN(AE281)&gt;0,1,0)+IF(LEN(AG281)&gt;0,1,0)+IF(LEN(AZ281)&gt;0,1,0)+IF(LEN(AK281)&gt;0,1,0)+IF(LEN(AM281)&gt;0,1,0)+IF(LEN(AN281)&gt;0,1,0)+IF(LEN(AO281)&gt;0,1,0)+IF(LEN(AP281)&gt;0,1,0)+IF(LEN(AY281)&gt;0,1,0)+IF(LEN(BJ281)&gt;0,1,0)+IF(LEN(BW281)&gt;0,1,0))/24,2))</f>
        <v/>
      </c>
      <c r="CC281" s="10" t="str">
        <f aca="false">IF(D281="","",IF(AND(AN281="Approved",ISERROR(SEARCH("FAIL",BG281))),"Y","N"))</f>
        <v/>
      </c>
      <c r="CD281" s="10" t="str">
        <f aca="false">IF(D281="","",D281&amp;"|"&amp;J281&amp;"|"&amp;G281&amp;"|"&amp;CC281)</f>
        <v/>
      </c>
    </row>
    <row r="282" customFormat="false" ht="15" hidden="false" customHeight="false" outlineLevel="0" collapsed="false">
      <c r="A282" s="10" t="str">
        <f aca="false">IF(D282="","","MH-"&amp;IFERROR(VLOOKUP(D282,Lists!$AB$4:$AC$20,2,0),"??")&amp;"-"&amp;TEXT(G282,"0000")&amp;IF(F282="Circular","D","x"&amp;TEXT(H282,"0000"))&amp;"-D"&amp;TEXT(J282*1000,"0000")&amp;"-"&amp;IFERROR(VLOOKUP(E282,Lists!$AE$4:$AF$16,2,0),"??")&amp;"-"&amp;AM282)</f>
        <v/>
      </c>
      <c r="B282" s="10" t="str">
        <f aca="false">IF(D282="","",D282&amp;", "&amp;E282&amp;", "&amp;IF(F282="Circular",G282&amp;" dia",G282&amp;" x "&amp;H282)&amp;", depth "&amp;TEXT(I282,"0.0")&amp;"-"&amp;TEXT(J282,"0.0")&amp;" m, pipe up to "&amp;K282&amp;" dia")</f>
        <v/>
      </c>
      <c r="C282" s="9"/>
      <c r="D282" s="9"/>
      <c r="E282" s="9"/>
      <c r="F282" s="9"/>
      <c r="G282" s="38"/>
      <c r="H282" s="38"/>
      <c r="I282" s="42"/>
      <c r="J282" s="42"/>
      <c r="K282" s="38"/>
      <c r="L282" s="38"/>
      <c r="M282" s="38"/>
      <c r="N282" s="38"/>
      <c r="O282" s="9"/>
      <c r="P282" s="9"/>
      <c r="Q282" s="9"/>
      <c r="R282" s="9"/>
      <c r="S282" s="9"/>
      <c r="T282" s="9"/>
      <c r="U282" s="9"/>
      <c r="V282" s="42"/>
      <c r="W282" s="9"/>
      <c r="X282" s="9"/>
      <c r="Y282" s="39"/>
      <c r="Z282" s="9"/>
      <c r="AA282" s="38"/>
      <c r="AB282" s="9"/>
      <c r="AC282" s="9"/>
      <c r="AD282" s="9"/>
      <c r="AE282" s="9"/>
      <c r="AF282" s="9"/>
      <c r="AG282" s="9"/>
      <c r="AH282" s="38"/>
      <c r="AI282" s="9"/>
      <c r="AJ282" s="39"/>
      <c r="AK282" s="9"/>
      <c r="AL282" s="9"/>
      <c r="AM282" s="9"/>
      <c r="AN282" s="9"/>
      <c r="AO282" s="9"/>
      <c r="AP282" s="9"/>
      <c r="AQ282" s="9"/>
      <c r="AR282" s="10" t="str">
        <f aca="false">IF(A282="","",SG_Criteria!$B$6&amp;SG_Criteria!$B$10&amp;"\"&amp;A282&amp;"\")</f>
        <v/>
      </c>
      <c r="AS282" s="10" t="str">
        <f aca="false">IF(A282="","",A282&amp;"_CAD.dwg")</f>
        <v/>
      </c>
      <c r="AT282" s="10" t="str">
        <f aca="false">IF(A282="","",A282&amp;"_DWG.pdf")</f>
        <v/>
      </c>
      <c r="AU282" s="10" t="str">
        <f aca="false">IF(A282="","",IF(AQ282="Y",A282&amp;"_STAAD.std","n/a"))</f>
        <v/>
      </c>
      <c r="AV282" s="10" t="str">
        <f aca="false">IF(A282="","",A282&amp;"_CALC.xlsx")</f>
        <v/>
      </c>
      <c r="AW282" s="10" t="str">
        <f aca="false">IF(A282="","",A282&amp;"_CALC.pdf")</f>
        <v/>
      </c>
      <c r="AX282" s="9"/>
      <c r="AY282" s="9"/>
      <c r="AZ282" s="39"/>
      <c r="BA282" s="39"/>
      <c r="BB282" s="39"/>
      <c r="BC282" s="39"/>
      <c r="BD282" s="39"/>
      <c r="BE282" s="12" t="str">
        <f aca="false">IF(A282="","",IF(COUNTIF(Rebar_Schedule!$A$5:$A$2004,A282)=0,"",ROUND(SUMIF(Rebar_Schedule!$A$5:$A$2004,A282,Rebar_Schedule!$K$5:$K$2004),1)))</f>
        <v/>
      </c>
      <c r="BF282" s="33" t="str">
        <f aca="false">IF(A282="","",IF(BE282="","No rebar schedule yet",IF(ABS(BE282-N(BA282))/MAX(N(BA282),1)&gt;SG_Criteria!$B$55,"NOTE: register rebar differs from schedule by "&amp;TEXT(ABS(BE282-N(BA282))/MAX(N(BA282),1),"0%"),"OK")))</f>
        <v/>
      </c>
      <c r="BG282" s="33" t="str">
        <f aca="false">IF(D282="","",IF(LEN(IF(AND(Z282&lt;&gt;"",IFERROR(VALUE(MID(Z282,2,2)),0)&lt;SG_Criteria!$B$19),"FAIL: grade below C"&amp;SG_Criteria!$B$19&amp;". ","")&amp;IF(AND(AA282&lt;&gt;"",AA282&lt;SG_Criteria!$B$20),"FAIL: cover &lt; "&amp;SG_Criteria!$B$20&amp;" mm. ","")&amp;IF(AND(I282&lt;&gt;"",I282&lt;SG_Criteria!$B$39),"NOTE: min depth below PUB "&amp;SG_Criteria!$B$39&amp;" m. ","")&amp;IF(AND(LEFT(D282,8)="Standard",J282&gt;SG_Criteria!$B$42),"FAIL: PUB 001C covers manholes up to "&amp;SG_Criteria!$B$42&amp;" m deep only. ","")&amp;IF(AND(LEFT(D282,11)="Rectangular",K282&lt;SG_Criteria!$B$43),"NOTE: 004C is for sewers &gt;= "&amp;SG_Criteria!$B$43&amp;" dia. ","")&amp;IF(AND(LEFT(D282,7)="Precast",J282&lt;=SG_Criteria!$B$42),"NOTE: 006C is for manholes &gt; "&amp;SG_Criteria!$B$42&amp;" m deep. ","")&amp;IF(AND(K282&lt;&gt;"",K282&lt;SG_Criteria!$B$40,D282&lt;&gt;"Inspection Chamber"),"NOTE: public sewer min dia "&amp;SG_Criteria!$B$40&amp;" mm. ","")&amp;IF(AND(Y282&lt;&gt;"",Y282&lt;SG_Criteria!$B$44),"FAIL: uplift FOS below "&amp;SG_Criteria!$B$44&amp;". ",""))=0,"OK",IF(AND(Z282&lt;&gt;"",IFERROR(VALUE(MID(Z282,2,2)),0)&lt;SG_Criteria!$B$19),"FAIL: grade below C"&amp;SG_Criteria!$B$19&amp;". ","")&amp;IF(AND(AA282&lt;&gt;"",AA282&lt;SG_Criteria!$B$20),"FAIL: cover &lt; "&amp;SG_Criteria!$B$20&amp;" mm. ","")&amp;IF(AND(I282&lt;&gt;"",I282&lt;SG_Criteria!$B$39),"NOTE: min depth below PUB "&amp;SG_Criteria!$B$39&amp;" m. ","")&amp;IF(AND(LEFT(D282,8)="Standard",J282&gt;SG_Criteria!$B$42),"FAIL: PUB 001C covers manholes up to "&amp;SG_Criteria!$B$42&amp;" m deep only. ","")&amp;IF(AND(LEFT(D282,11)="Rectangular",K282&lt;SG_Criteria!$B$43),"NOTE: 004C is for sewers &gt;= "&amp;SG_Criteria!$B$43&amp;" dia. ","")&amp;IF(AND(LEFT(D282,7)="Precast",J282&lt;=SG_Criteria!$B$42),"NOTE: 006C is for manholes &gt; "&amp;SG_Criteria!$B$42&amp;" m deep. ","")&amp;IF(AND(K282&lt;&gt;"",K282&lt;SG_Criteria!$B$40,D282&lt;&gt;"Inspection Chamber"),"NOTE: public sewer min dia "&amp;SG_Criteria!$B$40&amp;" mm. ","")&amp;IF(AND(Y282&lt;&gt;"",Y282&lt;SG_Criteria!$B$44),"FAIL: uplift FOS below "&amp;SG_Criteria!$B$44&amp;". ","")))</f>
        <v/>
      </c>
      <c r="BH282" s="9"/>
      <c r="BI282" s="9"/>
      <c r="BJ282" s="9"/>
      <c r="BK282" s="10" t="str">
        <f aca="false">IF(BJ282="","",IFERROR(VLOOKUP(BJ282,Projects!$A$5:$D$504,2,0),"Ref not in Projects"))</f>
        <v/>
      </c>
      <c r="BL282" s="10" t="str">
        <f aca="false">IF(BJ282="","",IFERROR(VLOOKUP(BJ282,Projects!$A$5:$D$504,4,0),"Ref not in Projects"))</f>
        <v/>
      </c>
      <c r="BM282" s="9"/>
      <c r="BN282" s="9"/>
      <c r="BO282" s="9"/>
      <c r="BP282" s="40"/>
      <c r="BQ282" s="9"/>
      <c r="BR282" s="40"/>
      <c r="BS282" s="9"/>
      <c r="BT282" s="40"/>
      <c r="BU282" s="9"/>
      <c r="BV282" s="9"/>
      <c r="BW282" s="9"/>
      <c r="BX282" s="40"/>
      <c r="BY282" s="40"/>
      <c r="BZ282" s="36" t="str">
        <f aca="false">IF(BY282="","",EDATE(BY282,SG_Criteria!$B$54*12))</f>
        <v/>
      </c>
      <c r="CA282" s="33" t="str">
        <f aca="true">IF(A282="","",IF(BY282="","NOTE: not reviewed yet",IF(TODAY()&gt;BZ282,"NOTE: review overdue","OK")))</f>
        <v/>
      </c>
      <c r="CB282" s="37" t="str">
        <f aca="false">IF(A282="","",ROUND((IF(LEN(D282)&gt;0,1,0)+IF(LEN(E282)&gt;0,1,0)+IF(LEN(F282)&gt;0,1,0)+IF(LEN(G282)&gt;0,1,0)+IF(LEN(I282)&gt;0,1,0)+IF(LEN(J282)&gt;0,1,0)+IF(LEN(K282)&gt;0,1,0)+IF(LEN(L282)&gt;0,1,0)+IF(LEN(M282)&gt;0,1,0)+IF(LEN(N282)&gt;0,1,0)+IF(LEN(Z282)&gt;0,1,0)+IF(LEN(AA282)&gt;0,1,0)+IF(LEN(Y282)&gt;0,1,0)+IF(LEN(AE282)&gt;0,1,0)+IF(LEN(AG282)&gt;0,1,0)+IF(LEN(AZ282)&gt;0,1,0)+IF(LEN(AK282)&gt;0,1,0)+IF(LEN(AM282)&gt;0,1,0)+IF(LEN(AN282)&gt;0,1,0)+IF(LEN(AO282)&gt;0,1,0)+IF(LEN(AP282)&gt;0,1,0)+IF(LEN(AY282)&gt;0,1,0)+IF(LEN(BJ282)&gt;0,1,0)+IF(LEN(BW282)&gt;0,1,0))/24,2))</f>
        <v/>
      </c>
      <c r="CC282" s="10" t="str">
        <f aca="false">IF(D282="","",IF(AND(AN282="Approved",ISERROR(SEARCH("FAIL",BG282))),"Y","N"))</f>
        <v/>
      </c>
      <c r="CD282" s="10" t="str">
        <f aca="false">IF(D282="","",D282&amp;"|"&amp;J282&amp;"|"&amp;G282&amp;"|"&amp;CC282)</f>
        <v/>
      </c>
    </row>
    <row r="283" customFormat="false" ht="15" hidden="false" customHeight="false" outlineLevel="0" collapsed="false">
      <c r="A283" s="10" t="str">
        <f aca="false">IF(D283="","","MH-"&amp;IFERROR(VLOOKUP(D283,Lists!$AB$4:$AC$20,2,0),"??")&amp;"-"&amp;TEXT(G283,"0000")&amp;IF(F283="Circular","D","x"&amp;TEXT(H283,"0000"))&amp;"-D"&amp;TEXT(J283*1000,"0000")&amp;"-"&amp;IFERROR(VLOOKUP(E283,Lists!$AE$4:$AF$16,2,0),"??")&amp;"-"&amp;AM283)</f>
        <v/>
      </c>
      <c r="B283" s="10" t="str">
        <f aca="false">IF(D283="","",D283&amp;", "&amp;E283&amp;", "&amp;IF(F283="Circular",G283&amp;" dia",G283&amp;" x "&amp;H283)&amp;", depth "&amp;TEXT(I283,"0.0")&amp;"-"&amp;TEXT(J283,"0.0")&amp;" m, pipe up to "&amp;K283&amp;" dia")</f>
        <v/>
      </c>
      <c r="C283" s="9"/>
      <c r="D283" s="9"/>
      <c r="E283" s="9"/>
      <c r="F283" s="9"/>
      <c r="G283" s="38"/>
      <c r="H283" s="38"/>
      <c r="I283" s="42"/>
      <c r="J283" s="42"/>
      <c r="K283" s="38"/>
      <c r="L283" s="38"/>
      <c r="M283" s="38"/>
      <c r="N283" s="38"/>
      <c r="O283" s="9"/>
      <c r="P283" s="9"/>
      <c r="Q283" s="9"/>
      <c r="R283" s="9"/>
      <c r="S283" s="9"/>
      <c r="T283" s="9"/>
      <c r="U283" s="9"/>
      <c r="V283" s="42"/>
      <c r="W283" s="9"/>
      <c r="X283" s="9"/>
      <c r="Y283" s="39"/>
      <c r="Z283" s="9"/>
      <c r="AA283" s="38"/>
      <c r="AB283" s="9"/>
      <c r="AC283" s="9"/>
      <c r="AD283" s="9"/>
      <c r="AE283" s="9"/>
      <c r="AF283" s="9"/>
      <c r="AG283" s="9"/>
      <c r="AH283" s="38"/>
      <c r="AI283" s="9"/>
      <c r="AJ283" s="39"/>
      <c r="AK283" s="9"/>
      <c r="AL283" s="9"/>
      <c r="AM283" s="9"/>
      <c r="AN283" s="9"/>
      <c r="AO283" s="9"/>
      <c r="AP283" s="9"/>
      <c r="AQ283" s="9"/>
      <c r="AR283" s="10" t="str">
        <f aca="false">IF(A283="","",SG_Criteria!$B$6&amp;SG_Criteria!$B$10&amp;"\"&amp;A283&amp;"\")</f>
        <v/>
      </c>
      <c r="AS283" s="10" t="str">
        <f aca="false">IF(A283="","",A283&amp;"_CAD.dwg")</f>
        <v/>
      </c>
      <c r="AT283" s="10" t="str">
        <f aca="false">IF(A283="","",A283&amp;"_DWG.pdf")</f>
        <v/>
      </c>
      <c r="AU283" s="10" t="str">
        <f aca="false">IF(A283="","",IF(AQ283="Y",A283&amp;"_STAAD.std","n/a"))</f>
        <v/>
      </c>
      <c r="AV283" s="10" t="str">
        <f aca="false">IF(A283="","",A283&amp;"_CALC.xlsx")</f>
        <v/>
      </c>
      <c r="AW283" s="10" t="str">
        <f aca="false">IF(A283="","",A283&amp;"_CALC.pdf")</f>
        <v/>
      </c>
      <c r="AX283" s="9"/>
      <c r="AY283" s="9"/>
      <c r="AZ283" s="39"/>
      <c r="BA283" s="39"/>
      <c r="BB283" s="39"/>
      <c r="BC283" s="39"/>
      <c r="BD283" s="39"/>
      <c r="BE283" s="12" t="str">
        <f aca="false">IF(A283="","",IF(COUNTIF(Rebar_Schedule!$A$5:$A$2004,A283)=0,"",ROUND(SUMIF(Rebar_Schedule!$A$5:$A$2004,A283,Rebar_Schedule!$K$5:$K$2004),1)))</f>
        <v/>
      </c>
      <c r="BF283" s="33" t="str">
        <f aca="false">IF(A283="","",IF(BE283="","No rebar schedule yet",IF(ABS(BE283-N(BA283))/MAX(N(BA283),1)&gt;SG_Criteria!$B$55,"NOTE: register rebar differs from schedule by "&amp;TEXT(ABS(BE283-N(BA283))/MAX(N(BA283),1),"0%"),"OK")))</f>
        <v/>
      </c>
      <c r="BG283" s="33" t="str">
        <f aca="false">IF(D283="","",IF(LEN(IF(AND(Z283&lt;&gt;"",IFERROR(VALUE(MID(Z283,2,2)),0)&lt;SG_Criteria!$B$19),"FAIL: grade below C"&amp;SG_Criteria!$B$19&amp;". ","")&amp;IF(AND(AA283&lt;&gt;"",AA283&lt;SG_Criteria!$B$20),"FAIL: cover &lt; "&amp;SG_Criteria!$B$20&amp;" mm. ","")&amp;IF(AND(I283&lt;&gt;"",I283&lt;SG_Criteria!$B$39),"NOTE: min depth below PUB "&amp;SG_Criteria!$B$39&amp;" m. ","")&amp;IF(AND(LEFT(D283,8)="Standard",J283&gt;SG_Criteria!$B$42),"FAIL: PUB 001C covers manholes up to "&amp;SG_Criteria!$B$42&amp;" m deep only. ","")&amp;IF(AND(LEFT(D283,11)="Rectangular",K283&lt;SG_Criteria!$B$43),"NOTE: 004C is for sewers &gt;= "&amp;SG_Criteria!$B$43&amp;" dia. ","")&amp;IF(AND(LEFT(D283,7)="Precast",J283&lt;=SG_Criteria!$B$42),"NOTE: 006C is for manholes &gt; "&amp;SG_Criteria!$B$42&amp;" m deep. ","")&amp;IF(AND(K283&lt;&gt;"",K283&lt;SG_Criteria!$B$40,D283&lt;&gt;"Inspection Chamber"),"NOTE: public sewer min dia "&amp;SG_Criteria!$B$40&amp;" mm. ","")&amp;IF(AND(Y283&lt;&gt;"",Y283&lt;SG_Criteria!$B$44),"FAIL: uplift FOS below "&amp;SG_Criteria!$B$44&amp;". ",""))=0,"OK",IF(AND(Z283&lt;&gt;"",IFERROR(VALUE(MID(Z283,2,2)),0)&lt;SG_Criteria!$B$19),"FAIL: grade below C"&amp;SG_Criteria!$B$19&amp;". ","")&amp;IF(AND(AA283&lt;&gt;"",AA283&lt;SG_Criteria!$B$20),"FAIL: cover &lt; "&amp;SG_Criteria!$B$20&amp;" mm. ","")&amp;IF(AND(I283&lt;&gt;"",I283&lt;SG_Criteria!$B$39),"NOTE: min depth below PUB "&amp;SG_Criteria!$B$39&amp;" m. ","")&amp;IF(AND(LEFT(D283,8)="Standard",J283&gt;SG_Criteria!$B$42),"FAIL: PUB 001C covers manholes up to "&amp;SG_Criteria!$B$42&amp;" m deep only. ","")&amp;IF(AND(LEFT(D283,11)="Rectangular",K283&lt;SG_Criteria!$B$43),"NOTE: 004C is for sewers &gt;= "&amp;SG_Criteria!$B$43&amp;" dia. ","")&amp;IF(AND(LEFT(D283,7)="Precast",J283&lt;=SG_Criteria!$B$42),"NOTE: 006C is for manholes &gt; "&amp;SG_Criteria!$B$42&amp;" m deep. ","")&amp;IF(AND(K283&lt;&gt;"",K283&lt;SG_Criteria!$B$40,D283&lt;&gt;"Inspection Chamber"),"NOTE: public sewer min dia "&amp;SG_Criteria!$B$40&amp;" mm. ","")&amp;IF(AND(Y283&lt;&gt;"",Y283&lt;SG_Criteria!$B$44),"FAIL: uplift FOS below "&amp;SG_Criteria!$B$44&amp;". ","")))</f>
        <v/>
      </c>
      <c r="BH283" s="9"/>
      <c r="BI283" s="9"/>
      <c r="BJ283" s="9"/>
      <c r="BK283" s="10" t="str">
        <f aca="false">IF(BJ283="","",IFERROR(VLOOKUP(BJ283,Projects!$A$5:$D$504,2,0),"Ref not in Projects"))</f>
        <v/>
      </c>
      <c r="BL283" s="10" t="str">
        <f aca="false">IF(BJ283="","",IFERROR(VLOOKUP(BJ283,Projects!$A$5:$D$504,4,0),"Ref not in Projects"))</f>
        <v/>
      </c>
      <c r="BM283" s="9"/>
      <c r="BN283" s="9"/>
      <c r="BO283" s="9"/>
      <c r="BP283" s="40"/>
      <c r="BQ283" s="9"/>
      <c r="BR283" s="40"/>
      <c r="BS283" s="9"/>
      <c r="BT283" s="40"/>
      <c r="BU283" s="9"/>
      <c r="BV283" s="9"/>
      <c r="BW283" s="9"/>
      <c r="BX283" s="40"/>
      <c r="BY283" s="40"/>
      <c r="BZ283" s="36" t="str">
        <f aca="false">IF(BY283="","",EDATE(BY283,SG_Criteria!$B$54*12))</f>
        <v/>
      </c>
      <c r="CA283" s="33" t="str">
        <f aca="true">IF(A283="","",IF(BY283="","NOTE: not reviewed yet",IF(TODAY()&gt;BZ283,"NOTE: review overdue","OK")))</f>
        <v/>
      </c>
      <c r="CB283" s="37" t="str">
        <f aca="false">IF(A283="","",ROUND((IF(LEN(D283)&gt;0,1,0)+IF(LEN(E283)&gt;0,1,0)+IF(LEN(F283)&gt;0,1,0)+IF(LEN(G283)&gt;0,1,0)+IF(LEN(I283)&gt;0,1,0)+IF(LEN(J283)&gt;0,1,0)+IF(LEN(K283)&gt;0,1,0)+IF(LEN(L283)&gt;0,1,0)+IF(LEN(M283)&gt;0,1,0)+IF(LEN(N283)&gt;0,1,0)+IF(LEN(Z283)&gt;0,1,0)+IF(LEN(AA283)&gt;0,1,0)+IF(LEN(Y283)&gt;0,1,0)+IF(LEN(AE283)&gt;0,1,0)+IF(LEN(AG283)&gt;0,1,0)+IF(LEN(AZ283)&gt;0,1,0)+IF(LEN(AK283)&gt;0,1,0)+IF(LEN(AM283)&gt;0,1,0)+IF(LEN(AN283)&gt;0,1,0)+IF(LEN(AO283)&gt;0,1,0)+IF(LEN(AP283)&gt;0,1,0)+IF(LEN(AY283)&gt;0,1,0)+IF(LEN(BJ283)&gt;0,1,0)+IF(LEN(BW283)&gt;0,1,0))/24,2))</f>
        <v/>
      </c>
      <c r="CC283" s="10" t="str">
        <f aca="false">IF(D283="","",IF(AND(AN283="Approved",ISERROR(SEARCH("FAIL",BG283))),"Y","N"))</f>
        <v/>
      </c>
      <c r="CD283" s="10" t="str">
        <f aca="false">IF(D283="","",D283&amp;"|"&amp;J283&amp;"|"&amp;G283&amp;"|"&amp;CC283)</f>
        <v/>
      </c>
    </row>
    <row r="284" customFormat="false" ht="15" hidden="false" customHeight="false" outlineLevel="0" collapsed="false">
      <c r="A284" s="10" t="str">
        <f aca="false">IF(D284="","","MH-"&amp;IFERROR(VLOOKUP(D284,Lists!$AB$4:$AC$20,2,0),"??")&amp;"-"&amp;TEXT(G284,"0000")&amp;IF(F284="Circular","D","x"&amp;TEXT(H284,"0000"))&amp;"-D"&amp;TEXT(J284*1000,"0000")&amp;"-"&amp;IFERROR(VLOOKUP(E284,Lists!$AE$4:$AF$16,2,0),"??")&amp;"-"&amp;AM284)</f>
        <v/>
      </c>
      <c r="B284" s="10" t="str">
        <f aca="false">IF(D284="","",D284&amp;", "&amp;E284&amp;", "&amp;IF(F284="Circular",G284&amp;" dia",G284&amp;" x "&amp;H284)&amp;", depth "&amp;TEXT(I284,"0.0")&amp;"-"&amp;TEXT(J284,"0.0")&amp;" m, pipe up to "&amp;K284&amp;" dia")</f>
        <v/>
      </c>
      <c r="C284" s="9"/>
      <c r="D284" s="9"/>
      <c r="E284" s="9"/>
      <c r="F284" s="9"/>
      <c r="G284" s="38"/>
      <c r="H284" s="38"/>
      <c r="I284" s="42"/>
      <c r="J284" s="42"/>
      <c r="K284" s="38"/>
      <c r="L284" s="38"/>
      <c r="M284" s="38"/>
      <c r="N284" s="38"/>
      <c r="O284" s="9"/>
      <c r="P284" s="9"/>
      <c r="Q284" s="9"/>
      <c r="R284" s="9"/>
      <c r="S284" s="9"/>
      <c r="T284" s="9"/>
      <c r="U284" s="9"/>
      <c r="V284" s="42"/>
      <c r="W284" s="9"/>
      <c r="X284" s="9"/>
      <c r="Y284" s="39"/>
      <c r="Z284" s="9"/>
      <c r="AA284" s="38"/>
      <c r="AB284" s="9"/>
      <c r="AC284" s="9"/>
      <c r="AD284" s="9"/>
      <c r="AE284" s="9"/>
      <c r="AF284" s="9"/>
      <c r="AG284" s="9"/>
      <c r="AH284" s="38"/>
      <c r="AI284" s="9"/>
      <c r="AJ284" s="39"/>
      <c r="AK284" s="9"/>
      <c r="AL284" s="9"/>
      <c r="AM284" s="9"/>
      <c r="AN284" s="9"/>
      <c r="AO284" s="9"/>
      <c r="AP284" s="9"/>
      <c r="AQ284" s="9"/>
      <c r="AR284" s="10" t="str">
        <f aca="false">IF(A284="","",SG_Criteria!$B$6&amp;SG_Criteria!$B$10&amp;"\"&amp;A284&amp;"\")</f>
        <v/>
      </c>
      <c r="AS284" s="10" t="str">
        <f aca="false">IF(A284="","",A284&amp;"_CAD.dwg")</f>
        <v/>
      </c>
      <c r="AT284" s="10" t="str">
        <f aca="false">IF(A284="","",A284&amp;"_DWG.pdf")</f>
        <v/>
      </c>
      <c r="AU284" s="10" t="str">
        <f aca="false">IF(A284="","",IF(AQ284="Y",A284&amp;"_STAAD.std","n/a"))</f>
        <v/>
      </c>
      <c r="AV284" s="10" t="str">
        <f aca="false">IF(A284="","",A284&amp;"_CALC.xlsx")</f>
        <v/>
      </c>
      <c r="AW284" s="10" t="str">
        <f aca="false">IF(A284="","",A284&amp;"_CALC.pdf")</f>
        <v/>
      </c>
      <c r="AX284" s="9"/>
      <c r="AY284" s="9"/>
      <c r="AZ284" s="39"/>
      <c r="BA284" s="39"/>
      <c r="BB284" s="39"/>
      <c r="BC284" s="39"/>
      <c r="BD284" s="39"/>
      <c r="BE284" s="12" t="str">
        <f aca="false">IF(A284="","",IF(COUNTIF(Rebar_Schedule!$A$5:$A$2004,A284)=0,"",ROUND(SUMIF(Rebar_Schedule!$A$5:$A$2004,A284,Rebar_Schedule!$K$5:$K$2004),1)))</f>
        <v/>
      </c>
      <c r="BF284" s="33" t="str">
        <f aca="false">IF(A284="","",IF(BE284="","No rebar schedule yet",IF(ABS(BE284-N(BA284))/MAX(N(BA284),1)&gt;SG_Criteria!$B$55,"NOTE: register rebar differs from schedule by "&amp;TEXT(ABS(BE284-N(BA284))/MAX(N(BA284),1),"0%"),"OK")))</f>
        <v/>
      </c>
      <c r="BG284" s="33" t="str">
        <f aca="false">IF(D284="","",IF(LEN(IF(AND(Z284&lt;&gt;"",IFERROR(VALUE(MID(Z284,2,2)),0)&lt;SG_Criteria!$B$19),"FAIL: grade below C"&amp;SG_Criteria!$B$19&amp;". ","")&amp;IF(AND(AA284&lt;&gt;"",AA284&lt;SG_Criteria!$B$20),"FAIL: cover &lt; "&amp;SG_Criteria!$B$20&amp;" mm. ","")&amp;IF(AND(I284&lt;&gt;"",I284&lt;SG_Criteria!$B$39),"NOTE: min depth below PUB "&amp;SG_Criteria!$B$39&amp;" m. ","")&amp;IF(AND(LEFT(D284,8)="Standard",J284&gt;SG_Criteria!$B$42),"FAIL: PUB 001C covers manholes up to "&amp;SG_Criteria!$B$42&amp;" m deep only. ","")&amp;IF(AND(LEFT(D284,11)="Rectangular",K284&lt;SG_Criteria!$B$43),"NOTE: 004C is for sewers &gt;= "&amp;SG_Criteria!$B$43&amp;" dia. ","")&amp;IF(AND(LEFT(D284,7)="Precast",J284&lt;=SG_Criteria!$B$42),"NOTE: 006C is for manholes &gt; "&amp;SG_Criteria!$B$42&amp;" m deep. ","")&amp;IF(AND(K284&lt;&gt;"",K284&lt;SG_Criteria!$B$40,D284&lt;&gt;"Inspection Chamber"),"NOTE: public sewer min dia "&amp;SG_Criteria!$B$40&amp;" mm. ","")&amp;IF(AND(Y284&lt;&gt;"",Y284&lt;SG_Criteria!$B$44),"FAIL: uplift FOS below "&amp;SG_Criteria!$B$44&amp;". ",""))=0,"OK",IF(AND(Z284&lt;&gt;"",IFERROR(VALUE(MID(Z284,2,2)),0)&lt;SG_Criteria!$B$19),"FAIL: grade below C"&amp;SG_Criteria!$B$19&amp;". ","")&amp;IF(AND(AA284&lt;&gt;"",AA284&lt;SG_Criteria!$B$20),"FAIL: cover &lt; "&amp;SG_Criteria!$B$20&amp;" mm. ","")&amp;IF(AND(I284&lt;&gt;"",I284&lt;SG_Criteria!$B$39),"NOTE: min depth below PUB "&amp;SG_Criteria!$B$39&amp;" m. ","")&amp;IF(AND(LEFT(D284,8)="Standard",J284&gt;SG_Criteria!$B$42),"FAIL: PUB 001C covers manholes up to "&amp;SG_Criteria!$B$42&amp;" m deep only. ","")&amp;IF(AND(LEFT(D284,11)="Rectangular",K284&lt;SG_Criteria!$B$43),"NOTE: 004C is for sewers &gt;= "&amp;SG_Criteria!$B$43&amp;" dia. ","")&amp;IF(AND(LEFT(D284,7)="Precast",J284&lt;=SG_Criteria!$B$42),"NOTE: 006C is for manholes &gt; "&amp;SG_Criteria!$B$42&amp;" m deep. ","")&amp;IF(AND(K284&lt;&gt;"",K284&lt;SG_Criteria!$B$40,D284&lt;&gt;"Inspection Chamber"),"NOTE: public sewer min dia "&amp;SG_Criteria!$B$40&amp;" mm. ","")&amp;IF(AND(Y284&lt;&gt;"",Y284&lt;SG_Criteria!$B$44),"FAIL: uplift FOS below "&amp;SG_Criteria!$B$44&amp;". ","")))</f>
        <v/>
      </c>
      <c r="BH284" s="9"/>
      <c r="BI284" s="9"/>
      <c r="BJ284" s="9"/>
      <c r="BK284" s="10" t="str">
        <f aca="false">IF(BJ284="","",IFERROR(VLOOKUP(BJ284,Projects!$A$5:$D$504,2,0),"Ref not in Projects"))</f>
        <v/>
      </c>
      <c r="BL284" s="10" t="str">
        <f aca="false">IF(BJ284="","",IFERROR(VLOOKUP(BJ284,Projects!$A$5:$D$504,4,0),"Ref not in Projects"))</f>
        <v/>
      </c>
      <c r="BM284" s="9"/>
      <c r="BN284" s="9"/>
      <c r="BO284" s="9"/>
      <c r="BP284" s="40"/>
      <c r="BQ284" s="9"/>
      <c r="BR284" s="40"/>
      <c r="BS284" s="9"/>
      <c r="BT284" s="40"/>
      <c r="BU284" s="9"/>
      <c r="BV284" s="9"/>
      <c r="BW284" s="9"/>
      <c r="BX284" s="40"/>
      <c r="BY284" s="40"/>
      <c r="BZ284" s="36" t="str">
        <f aca="false">IF(BY284="","",EDATE(BY284,SG_Criteria!$B$54*12))</f>
        <v/>
      </c>
      <c r="CA284" s="33" t="str">
        <f aca="true">IF(A284="","",IF(BY284="","NOTE: not reviewed yet",IF(TODAY()&gt;BZ284,"NOTE: review overdue","OK")))</f>
        <v/>
      </c>
      <c r="CB284" s="37" t="str">
        <f aca="false">IF(A284="","",ROUND((IF(LEN(D284)&gt;0,1,0)+IF(LEN(E284)&gt;0,1,0)+IF(LEN(F284)&gt;0,1,0)+IF(LEN(G284)&gt;0,1,0)+IF(LEN(I284)&gt;0,1,0)+IF(LEN(J284)&gt;0,1,0)+IF(LEN(K284)&gt;0,1,0)+IF(LEN(L284)&gt;0,1,0)+IF(LEN(M284)&gt;0,1,0)+IF(LEN(N284)&gt;0,1,0)+IF(LEN(Z284)&gt;0,1,0)+IF(LEN(AA284)&gt;0,1,0)+IF(LEN(Y284)&gt;0,1,0)+IF(LEN(AE284)&gt;0,1,0)+IF(LEN(AG284)&gt;0,1,0)+IF(LEN(AZ284)&gt;0,1,0)+IF(LEN(AK284)&gt;0,1,0)+IF(LEN(AM284)&gt;0,1,0)+IF(LEN(AN284)&gt;0,1,0)+IF(LEN(AO284)&gt;0,1,0)+IF(LEN(AP284)&gt;0,1,0)+IF(LEN(AY284)&gt;0,1,0)+IF(LEN(BJ284)&gt;0,1,0)+IF(LEN(BW284)&gt;0,1,0))/24,2))</f>
        <v/>
      </c>
      <c r="CC284" s="10" t="str">
        <f aca="false">IF(D284="","",IF(AND(AN284="Approved",ISERROR(SEARCH("FAIL",BG284))),"Y","N"))</f>
        <v/>
      </c>
      <c r="CD284" s="10" t="str">
        <f aca="false">IF(D284="","",D284&amp;"|"&amp;J284&amp;"|"&amp;G284&amp;"|"&amp;CC284)</f>
        <v/>
      </c>
    </row>
    <row r="285" customFormat="false" ht="15" hidden="false" customHeight="false" outlineLevel="0" collapsed="false">
      <c r="A285" s="10" t="str">
        <f aca="false">IF(D285="","","MH-"&amp;IFERROR(VLOOKUP(D285,Lists!$AB$4:$AC$20,2,0),"??")&amp;"-"&amp;TEXT(G285,"0000")&amp;IF(F285="Circular","D","x"&amp;TEXT(H285,"0000"))&amp;"-D"&amp;TEXT(J285*1000,"0000")&amp;"-"&amp;IFERROR(VLOOKUP(E285,Lists!$AE$4:$AF$16,2,0),"??")&amp;"-"&amp;AM285)</f>
        <v/>
      </c>
      <c r="B285" s="10" t="str">
        <f aca="false">IF(D285="","",D285&amp;", "&amp;E285&amp;", "&amp;IF(F285="Circular",G285&amp;" dia",G285&amp;" x "&amp;H285)&amp;", depth "&amp;TEXT(I285,"0.0")&amp;"-"&amp;TEXT(J285,"0.0")&amp;" m, pipe up to "&amp;K285&amp;" dia")</f>
        <v/>
      </c>
      <c r="C285" s="9"/>
      <c r="D285" s="9"/>
      <c r="E285" s="9"/>
      <c r="F285" s="9"/>
      <c r="G285" s="38"/>
      <c r="H285" s="38"/>
      <c r="I285" s="42"/>
      <c r="J285" s="42"/>
      <c r="K285" s="38"/>
      <c r="L285" s="38"/>
      <c r="M285" s="38"/>
      <c r="N285" s="38"/>
      <c r="O285" s="9"/>
      <c r="P285" s="9"/>
      <c r="Q285" s="9"/>
      <c r="R285" s="9"/>
      <c r="S285" s="9"/>
      <c r="T285" s="9"/>
      <c r="U285" s="9"/>
      <c r="V285" s="42"/>
      <c r="W285" s="9"/>
      <c r="X285" s="9"/>
      <c r="Y285" s="39"/>
      <c r="Z285" s="9"/>
      <c r="AA285" s="38"/>
      <c r="AB285" s="9"/>
      <c r="AC285" s="9"/>
      <c r="AD285" s="9"/>
      <c r="AE285" s="9"/>
      <c r="AF285" s="9"/>
      <c r="AG285" s="9"/>
      <c r="AH285" s="38"/>
      <c r="AI285" s="9"/>
      <c r="AJ285" s="39"/>
      <c r="AK285" s="9"/>
      <c r="AL285" s="9"/>
      <c r="AM285" s="9"/>
      <c r="AN285" s="9"/>
      <c r="AO285" s="9"/>
      <c r="AP285" s="9"/>
      <c r="AQ285" s="9"/>
      <c r="AR285" s="10" t="str">
        <f aca="false">IF(A285="","",SG_Criteria!$B$6&amp;SG_Criteria!$B$10&amp;"\"&amp;A285&amp;"\")</f>
        <v/>
      </c>
      <c r="AS285" s="10" t="str">
        <f aca="false">IF(A285="","",A285&amp;"_CAD.dwg")</f>
        <v/>
      </c>
      <c r="AT285" s="10" t="str">
        <f aca="false">IF(A285="","",A285&amp;"_DWG.pdf")</f>
        <v/>
      </c>
      <c r="AU285" s="10" t="str">
        <f aca="false">IF(A285="","",IF(AQ285="Y",A285&amp;"_STAAD.std","n/a"))</f>
        <v/>
      </c>
      <c r="AV285" s="10" t="str">
        <f aca="false">IF(A285="","",A285&amp;"_CALC.xlsx")</f>
        <v/>
      </c>
      <c r="AW285" s="10" t="str">
        <f aca="false">IF(A285="","",A285&amp;"_CALC.pdf")</f>
        <v/>
      </c>
      <c r="AX285" s="9"/>
      <c r="AY285" s="9"/>
      <c r="AZ285" s="39"/>
      <c r="BA285" s="39"/>
      <c r="BB285" s="39"/>
      <c r="BC285" s="39"/>
      <c r="BD285" s="39"/>
      <c r="BE285" s="12" t="str">
        <f aca="false">IF(A285="","",IF(COUNTIF(Rebar_Schedule!$A$5:$A$2004,A285)=0,"",ROUND(SUMIF(Rebar_Schedule!$A$5:$A$2004,A285,Rebar_Schedule!$K$5:$K$2004),1)))</f>
        <v/>
      </c>
      <c r="BF285" s="33" t="str">
        <f aca="false">IF(A285="","",IF(BE285="","No rebar schedule yet",IF(ABS(BE285-N(BA285))/MAX(N(BA285),1)&gt;SG_Criteria!$B$55,"NOTE: register rebar differs from schedule by "&amp;TEXT(ABS(BE285-N(BA285))/MAX(N(BA285),1),"0%"),"OK")))</f>
        <v/>
      </c>
      <c r="BG285" s="33" t="str">
        <f aca="false">IF(D285="","",IF(LEN(IF(AND(Z285&lt;&gt;"",IFERROR(VALUE(MID(Z285,2,2)),0)&lt;SG_Criteria!$B$19),"FAIL: grade below C"&amp;SG_Criteria!$B$19&amp;". ","")&amp;IF(AND(AA285&lt;&gt;"",AA285&lt;SG_Criteria!$B$20),"FAIL: cover &lt; "&amp;SG_Criteria!$B$20&amp;" mm. ","")&amp;IF(AND(I285&lt;&gt;"",I285&lt;SG_Criteria!$B$39),"NOTE: min depth below PUB "&amp;SG_Criteria!$B$39&amp;" m. ","")&amp;IF(AND(LEFT(D285,8)="Standard",J285&gt;SG_Criteria!$B$42),"FAIL: PUB 001C covers manholes up to "&amp;SG_Criteria!$B$42&amp;" m deep only. ","")&amp;IF(AND(LEFT(D285,11)="Rectangular",K285&lt;SG_Criteria!$B$43),"NOTE: 004C is for sewers &gt;= "&amp;SG_Criteria!$B$43&amp;" dia. ","")&amp;IF(AND(LEFT(D285,7)="Precast",J285&lt;=SG_Criteria!$B$42),"NOTE: 006C is for manholes &gt; "&amp;SG_Criteria!$B$42&amp;" m deep. ","")&amp;IF(AND(K285&lt;&gt;"",K285&lt;SG_Criteria!$B$40,D285&lt;&gt;"Inspection Chamber"),"NOTE: public sewer min dia "&amp;SG_Criteria!$B$40&amp;" mm. ","")&amp;IF(AND(Y285&lt;&gt;"",Y285&lt;SG_Criteria!$B$44),"FAIL: uplift FOS below "&amp;SG_Criteria!$B$44&amp;". ",""))=0,"OK",IF(AND(Z285&lt;&gt;"",IFERROR(VALUE(MID(Z285,2,2)),0)&lt;SG_Criteria!$B$19),"FAIL: grade below C"&amp;SG_Criteria!$B$19&amp;". ","")&amp;IF(AND(AA285&lt;&gt;"",AA285&lt;SG_Criteria!$B$20),"FAIL: cover &lt; "&amp;SG_Criteria!$B$20&amp;" mm. ","")&amp;IF(AND(I285&lt;&gt;"",I285&lt;SG_Criteria!$B$39),"NOTE: min depth below PUB "&amp;SG_Criteria!$B$39&amp;" m. ","")&amp;IF(AND(LEFT(D285,8)="Standard",J285&gt;SG_Criteria!$B$42),"FAIL: PUB 001C covers manholes up to "&amp;SG_Criteria!$B$42&amp;" m deep only. ","")&amp;IF(AND(LEFT(D285,11)="Rectangular",K285&lt;SG_Criteria!$B$43),"NOTE: 004C is for sewers &gt;= "&amp;SG_Criteria!$B$43&amp;" dia. ","")&amp;IF(AND(LEFT(D285,7)="Precast",J285&lt;=SG_Criteria!$B$42),"NOTE: 006C is for manholes &gt; "&amp;SG_Criteria!$B$42&amp;" m deep. ","")&amp;IF(AND(K285&lt;&gt;"",K285&lt;SG_Criteria!$B$40,D285&lt;&gt;"Inspection Chamber"),"NOTE: public sewer min dia "&amp;SG_Criteria!$B$40&amp;" mm. ","")&amp;IF(AND(Y285&lt;&gt;"",Y285&lt;SG_Criteria!$B$44),"FAIL: uplift FOS below "&amp;SG_Criteria!$B$44&amp;". ","")))</f>
        <v/>
      </c>
      <c r="BH285" s="9"/>
      <c r="BI285" s="9"/>
      <c r="BJ285" s="9"/>
      <c r="BK285" s="10" t="str">
        <f aca="false">IF(BJ285="","",IFERROR(VLOOKUP(BJ285,Projects!$A$5:$D$504,2,0),"Ref not in Projects"))</f>
        <v/>
      </c>
      <c r="BL285" s="10" t="str">
        <f aca="false">IF(BJ285="","",IFERROR(VLOOKUP(BJ285,Projects!$A$5:$D$504,4,0),"Ref not in Projects"))</f>
        <v/>
      </c>
      <c r="BM285" s="9"/>
      <c r="BN285" s="9"/>
      <c r="BO285" s="9"/>
      <c r="BP285" s="40"/>
      <c r="BQ285" s="9"/>
      <c r="BR285" s="40"/>
      <c r="BS285" s="9"/>
      <c r="BT285" s="40"/>
      <c r="BU285" s="9"/>
      <c r="BV285" s="9"/>
      <c r="BW285" s="9"/>
      <c r="BX285" s="40"/>
      <c r="BY285" s="40"/>
      <c r="BZ285" s="36" t="str">
        <f aca="false">IF(BY285="","",EDATE(BY285,SG_Criteria!$B$54*12))</f>
        <v/>
      </c>
      <c r="CA285" s="33" t="str">
        <f aca="true">IF(A285="","",IF(BY285="","NOTE: not reviewed yet",IF(TODAY()&gt;BZ285,"NOTE: review overdue","OK")))</f>
        <v/>
      </c>
      <c r="CB285" s="37" t="str">
        <f aca="false">IF(A285="","",ROUND((IF(LEN(D285)&gt;0,1,0)+IF(LEN(E285)&gt;0,1,0)+IF(LEN(F285)&gt;0,1,0)+IF(LEN(G285)&gt;0,1,0)+IF(LEN(I285)&gt;0,1,0)+IF(LEN(J285)&gt;0,1,0)+IF(LEN(K285)&gt;0,1,0)+IF(LEN(L285)&gt;0,1,0)+IF(LEN(M285)&gt;0,1,0)+IF(LEN(N285)&gt;0,1,0)+IF(LEN(Z285)&gt;0,1,0)+IF(LEN(AA285)&gt;0,1,0)+IF(LEN(Y285)&gt;0,1,0)+IF(LEN(AE285)&gt;0,1,0)+IF(LEN(AG285)&gt;0,1,0)+IF(LEN(AZ285)&gt;0,1,0)+IF(LEN(AK285)&gt;0,1,0)+IF(LEN(AM285)&gt;0,1,0)+IF(LEN(AN285)&gt;0,1,0)+IF(LEN(AO285)&gt;0,1,0)+IF(LEN(AP285)&gt;0,1,0)+IF(LEN(AY285)&gt;0,1,0)+IF(LEN(BJ285)&gt;0,1,0)+IF(LEN(BW285)&gt;0,1,0))/24,2))</f>
        <v/>
      </c>
      <c r="CC285" s="10" t="str">
        <f aca="false">IF(D285="","",IF(AND(AN285="Approved",ISERROR(SEARCH("FAIL",BG285))),"Y","N"))</f>
        <v/>
      </c>
      <c r="CD285" s="10" t="str">
        <f aca="false">IF(D285="","",D285&amp;"|"&amp;J285&amp;"|"&amp;G285&amp;"|"&amp;CC285)</f>
        <v/>
      </c>
    </row>
    <row r="286" customFormat="false" ht="15" hidden="false" customHeight="false" outlineLevel="0" collapsed="false">
      <c r="A286" s="10" t="str">
        <f aca="false">IF(D286="","","MH-"&amp;IFERROR(VLOOKUP(D286,Lists!$AB$4:$AC$20,2,0),"??")&amp;"-"&amp;TEXT(G286,"0000")&amp;IF(F286="Circular","D","x"&amp;TEXT(H286,"0000"))&amp;"-D"&amp;TEXT(J286*1000,"0000")&amp;"-"&amp;IFERROR(VLOOKUP(E286,Lists!$AE$4:$AF$16,2,0),"??")&amp;"-"&amp;AM286)</f>
        <v/>
      </c>
      <c r="B286" s="10" t="str">
        <f aca="false">IF(D286="","",D286&amp;", "&amp;E286&amp;", "&amp;IF(F286="Circular",G286&amp;" dia",G286&amp;" x "&amp;H286)&amp;", depth "&amp;TEXT(I286,"0.0")&amp;"-"&amp;TEXT(J286,"0.0")&amp;" m, pipe up to "&amp;K286&amp;" dia")</f>
        <v/>
      </c>
      <c r="C286" s="9"/>
      <c r="D286" s="9"/>
      <c r="E286" s="9"/>
      <c r="F286" s="9"/>
      <c r="G286" s="38"/>
      <c r="H286" s="38"/>
      <c r="I286" s="42"/>
      <c r="J286" s="42"/>
      <c r="K286" s="38"/>
      <c r="L286" s="38"/>
      <c r="M286" s="38"/>
      <c r="N286" s="38"/>
      <c r="O286" s="9"/>
      <c r="P286" s="9"/>
      <c r="Q286" s="9"/>
      <c r="R286" s="9"/>
      <c r="S286" s="9"/>
      <c r="T286" s="9"/>
      <c r="U286" s="9"/>
      <c r="V286" s="42"/>
      <c r="W286" s="9"/>
      <c r="X286" s="9"/>
      <c r="Y286" s="39"/>
      <c r="Z286" s="9"/>
      <c r="AA286" s="38"/>
      <c r="AB286" s="9"/>
      <c r="AC286" s="9"/>
      <c r="AD286" s="9"/>
      <c r="AE286" s="9"/>
      <c r="AF286" s="9"/>
      <c r="AG286" s="9"/>
      <c r="AH286" s="38"/>
      <c r="AI286" s="9"/>
      <c r="AJ286" s="39"/>
      <c r="AK286" s="9"/>
      <c r="AL286" s="9"/>
      <c r="AM286" s="9"/>
      <c r="AN286" s="9"/>
      <c r="AO286" s="9"/>
      <c r="AP286" s="9"/>
      <c r="AQ286" s="9"/>
      <c r="AR286" s="10" t="str">
        <f aca="false">IF(A286="","",SG_Criteria!$B$6&amp;SG_Criteria!$B$10&amp;"\"&amp;A286&amp;"\")</f>
        <v/>
      </c>
      <c r="AS286" s="10" t="str">
        <f aca="false">IF(A286="","",A286&amp;"_CAD.dwg")</f>
        <v/>
      </c>
      <c r="AT286" s="10" t="str">
        <f aca="false">IF(A286="","",A286&amp;"_DWG.pdf")</f>
        <v/>
      </c>
      <c r="AU286" s="10" t="str">
        <f aca="false">IF(A286="","",IF(AQ286="Y",A286&amp;"_STAAD.std","n/a"))</f>
        <v/>
      </c>
      <c r="AV286" s="10" t="str">
        <f aca="false">IF(A286="","",A286&amp;"_CALC.xlsx")</f>
        <v/>
      </c>
      <c r="AW286" s="10" t="str">
        <f aca="false">IF(A286="","",A286&amp;"_CALC.pdf")</f>
        <v/>
      </c>
      <c r="AX286" s="9"/>
      <c r="AY286" s="9"/>
      <c r="AZ286" s="39"/>
      <c r="BA286" s="39"/>
      <c r="BB286" s="39"/>
      <c r="BC286" s="39"/>
      <c r="BD286" s="39"/>
      <c r="BE286" s="12" t="str">
        <f aca="false">IF(A286="","",IF(COUNTIF(Rebar_Schedule!$A$5:$A$2004,A286)=0,"",ROUND(SUMIF(Rebar_Schedule!$A$5:$A$2004,A286,Rebar_Schedule!$K$5:$K$2004),1)))</f>
        <v/>
      </c>
      <c r="BF286" s="33" t="str">
        <f aca="false">IF(A286="","",IF(BE286="","No rebar schedule yet",IF(ABS(BE286-N(BA286))/MAX(N(BA286),1)&gt;SG_Criteria!$B$55,"NOTE: register rebar differs from schedule by "&amp;TEXT(ABS(BE286-N(BA286))/MAX(N(BA286),1),"0%"),"OK")))</f>
        <v/>
      </c>
      <c r="BG286" s="33" t="str">
        <f aca="false">IF(D286="","",IF(LEN(IF(AND(Z286&lt;&gt;"",IFERROR(VALUE(MID(Z286,2,2)),0)&lt;SG_Criteria!$B$19),"FAIL: grade below C"&amp;SG_Criteria!$B$19&amp;". ","")&amp;IF(AND(AA286&lt;&gt;"",AA286&lt;SG_Criteria!$B$20),"FAIL: cover &lt; "&amp;SG_Criteria!$B$20&amp;" mm. ","")&amp;IF(AND(I286&lt;&gt;"",I286&lt;SG_Criteria!$B$39),"NOTE: min depth below PUB "&amp;SG_Criteria!$B$39&amp;" m. ","")&amp;IF(AND(LEFT(D286,8)="Standard",J286&gt;SG_Criteria!$B$42),"FAIL: PUB 001C covers manholes up to "&amp;SG_Criteria!$B$42&amp;" m deep only. ","")&amp;IF(AND(LEFT(D286,11)="Rectangular",K286&lt;SG_Criteria!$B$43),"NOTE: 004C is for sewers &gt;= "&amp;SG_Criteria!$B$43&amp;" dia. ","")&amp;IF(AND(LEFT(D286,7)="Precast",J286&lt;=SG_Criteria!$B$42),"NOTE: 006C is for manholes &gt; "&amp;SG_Criteria!$B$42&amp;" m deep. ","")&amp;IF(AND(K286&lt;&gt;"",K286&lt;SG_Criteria!$B$40,D286&lt;&gt;"Inspection Chamber"),"NOTE: public sewer min dia "&amp;SG_Criteria!$B$40&amp;" mm. ","")&amp;IF(AND(Y286&lt;&gt;"",Y286&lt;SG_Criteria!$B$44),"FAIL: uplift FOS below "&amp;SG_Criteria!$B$44&amp;". ",""))=0,"OK",IF(AND(Z286&lt;&gt;"",IFERROR(VALUE(MID(Z286,2,2)),0)&lt;SG_Criteria!$B$19),"FAIL: grade below C"&amp;SG_Criteria!$B$19&amp;". ","")&amp;IF(AND(AA286&lt;&gt;"",AA286&lt;SG_Criteria!$B$20),"FAIL: cover &lt; "&amp;SG_Criteria!$B$20&amp;" mm. ","")&amp;IF(AND(I286&lt;&gt;"",I286&lt;SG_Criteria!$B$39),"NOTE: min depth below PUB "&amp;SG_Criteria!$B$39&amp;" m. ","")&amp;IF(AND(LEFT(D286,8)="Standard",J286&gt;SG_Criteria!$B$42),"FAIL: PUB 001C covers manholes up to "&amp;SG_Criteria!$B$42&amp;" m deep only. ","")&amp;IF(AND(LEFT(D286,11)="Rectangular",K286&lt;SG_Criteria!$B$43),"NOTE: 004C is for sewers &gt;= "&amp;SG_Criteria!$B$43&amp;" dia. ","")&amp;IF(AND(LEFT(D286,7)="Precast",J286&lt;=SG_Criteria!$B$42),"NOTE: 006C is for manholes &gt; "&amp;SG_Criteria!$B$42&amp;" m deep. ","")&amp;IF(AND(K286&lt;&gt;"",K286&lt;SG_Criteria!$B$40,D286&lt;&gt;"Inspection Chamber"),"NOTE: public sewer min dia "&amp;SG_Criteria!$B$40&amp;" mm. ","")&amp;IF(AND(Y286&lt;&gt;"",Y286&lt;SG_Criteria!$B$44),"FAIL: uplift FOS below "&amp;SG_Criteria!$B$44&amp;". ","")))</f>
        <v/>
      </c>
      <c r="BH286" s="9"/>
      <c r="BI286" s="9"/>
      <c r="BJ286" s="9"/>
      <c r="BK286" s="10" t="str">
        <f aca="false">IF(BJ286="","",IFERROR(VLOOKUP(BJ286,Projects!$A$5:$D$504,2,0),"Ref not in Projects"))</f>
        <v/>
      </c>
      <c r="BL286" s="10" t="str">
        <f aca="false">IF(BJ286="","",IFERROR(VLOOKUP(BJ286,Projects!$A$5:$D$504,4,0),"Ref not in Projects"))</f>
        <v/>
      </c>
      <c r="BM286" s="9"/>
      <c r="BN286" s="9"/>
      <c r="BO286" s="9"/>
      <c r="BP286" s="40"/>
      <c r="BQ286" s="9"/>
      <c r="BR286" s="40"/>
      <c r="BS286" s="9"/>
      <c r="BT286" s="40"/>
      <c r="BU286" s="9"/>
      <c r="BV286" s="9"/>
      <c r="BW286" s="9"/>
      <c r="BX286" s="40"/>
      <c r="BY286" s="40"/>
      <c r="BZ286" s="36" t="str">
        <f aca="false">IF(BY286="","",EDATE(BY286,SG_Criteria!$B$54*12))</f>
        <v/>
      </c>
      <c r="CA286" s="33" t="str">
        <f aca="true">IF(A286="","",IF(BY286="","NOTE: not reviewed yet",IF(TODAY()&gt;BZ286,"NOTE: review overdue","OK")))</f>
        <v/>
      </c>
      <c r="CB286" s="37" t="str">
        <f aca="false">IF(A286="","",ROUND((IF(LEN(D286)&gt;0,1,0)+IF(LEN(E286)&gt;0,1,0)+IF(LEN(F286)&gt;0,1,0)+IF(LEN(G286)&gt;0,1,0)+IF(LEN(I286)&gt;0,1,0)+IF(LEN(J286)&gt;0,1,0)+IF(LEN(K286)&gt;0,1,0)+IF(LEN(L286)&gt;0,1,0)+IF(LEN(M286)&gt;0,1,0)+IF(LEN(N286)&gt;0,1,0)+IF(LEN(Z286)&gt;0,1,0)+IF(LEN(AA286)&gt;0,1,0)+IF(LEN(Y286)&gt;0,1,0)+IF(LEN(AE286)&gt;0,1,0)+IF(LEN(AG286)&gt;0,1,0)+IF(LEN(AZ286)&gt;0,1,0)+IF(LEN(AK286)&gt;0,1,0)+IF(LEN(AM286)&gt;0,1,0)+IF(LEN(AN286)&gt;0,1,0)+IF(LEN(AO286)&gt;0,1,0)+IF(LEN(AP286)&gt;0,1,0)+IF(LEN(AY286)&gt;0,1,0)+IF(LEN(BJ286)&gt;0,1,0)+IF(LEN(BW286)&gt;0,1,0))/24,2))</f>
        <v/>
      </c>
      <c r="CC286" s="10" t="str">
        <f aca="false">IF(D286="","",IF(AND(AN286="Approved",ISERROR(SEARCH("FAIL",BG286))),"Y","N"))</f>
        <v/>
      </c>
      <c r="CD286" s="10" t="str">
        <f aca="false">IF(D286="","",D286&amp;"|"&amp;J286&amp;"|"&amp;G286&amp;"|"&amp;CC286)</f>
        <v/>
      </c>
    </row>
    <row r="287" customFormat="false" ht="15" hidden="false" customHeight="false" outlineLevel="0" collapsed="false">
      <c r="A287" s="10" t="str">
        <f aca="false">IF(D287="","","MH-"&amp;IFERROR(VLOOKUP(D287,Lists!$AB$4:$AC$20,2,0),"??")&amp;"-"&amp;TEXT(G287,"0000")&amp;IF(F287="Circular","D","x"&amp;TEXT(H287,"0000"))&amp;"-D"&amp;TEXT(J287*1000,"0000")&amp;"-"&amp;IFERROR(VLOOKUP(E287,Lists!$AE$4:$AF$16,2,0),"??")&amp;"-"&amp;AM287)</f>
        <v/>
      </c>
      <c r="B287" s="10" t="str">
        <f aca="false">IF(D287="","",D287&amp;", "&amp;E287&amp;", "&amp;IF(F287="Circular",G287&amp;" dia",G287&amp;" x "&amp;H287)&amp;", depth "&amp;TEXT(I287,"0.0")&amp;"-"&amp;TEXT(J287,"0.0")&amp;" m, pipe up to "&amp;K287&amp;" dia")</f>
        <v/>
      </c>
      <c r="C287" s="9"/>
      <c r="D287" s="9"/>
      <c r="E287" s="9"/>
      <c r="F287" s="9"/>
      <c r="G287" s="38"/>
      <c r="H287" s="38"/>
      <c r="I287" s="42"/>
      <c r="J287" s="42"/>
      <c r="K287" s="38"/>
      <c r="L287" s="38"/>
      <c r="M287" s="38"/>
      <c r="N287" s="38"/>
      <c r="O287" s="9"/>
      <c r="P287" s="9"/>
      <c r="Q287" s="9"/>
      <c r="R287" s="9"/>
      <c r="S287" s="9"/>
      <c r="T287" s="9"/>
      <c r="U287" s="9"/>
      <c r="V287" s="42"/>
      <c r="W287" s="9"/>
      <c r="X287" s="9"/>
      <c r="Y287" s="39"/>
      <c r="Z287" s="9"/>
      <c r="AA287" s="38"/>
      <c r="AB287" s="9"/>
      <c r="AC287" s="9"/>
      <c r="AD287" s="9"/>
      <c r="AE287" s="9"/>
      <c r="AF287" s="9"/>
      <c r="AG287" s="9"/>
      <c r="AH287" s="38"/>
      <c r="AI287" s="9"/>
      <c r="AJ287" s="39"/>
      <c r="AK287" s="9"/>
      <c r="AL287" s="9"/>
      <c r="AM287" s="9"/>
      <c r="AN287" s="9"/>
      <c r="AO287" s="9"/>
      <c r="AP287" s="9"/>
      <c r="AQ287" s="9"/>
      <c r="AR287" s="10" t="str">
        <f aca="false">IF(A287="","",SG_Criteria!$B$6&amp;SG_Criteria!$B$10&amp;"\"&amp;A287&amp;"\")</f>
        <v/>
      </c>
      <c r="AS287" s="10" t="str">
        <f aca="false">IF(A287="","",A287&amp;"_CAD.dwg")</f>
        <v/>
      </c>
      <c r="AT287" s="10" t="str">
        <f aca="false">IF(A287="","",A287&amp;"_DWG.pdf")</f>
        <v/>
      </c>
      <c r="AU287" s="10" t="str">
        <f aca="false">IF(A287="","",IF(AQ287="Y",A287&amp;"_STAAD.std","n/a"))</f>
        <v/>
      </c>
      <c r="AV287" s="10" t="str">
        <f aca="false">IF(A287="","",A287&amp;"_CALC.xlsx")</f>
        <v/>
      </c>
      <c r="AW287" s="10" t="str">
        <f aca="false">IF(A287="","",A287&amp;"_CALC.pdf")</f>
        <v/>
      </c>
      <c r="AX287" s="9"/>
      <c r="AY287" s="9"/>
      <c r="AZ287" s="39"/>
      <c r="BA287" s="39"/>
      <c r="BB287" s="39"/>
      <c r="BC287" s="39"/>
      <c r="BD287" s="39"/>
      <c r="BE287" s="12" t="str">
        <f aca="false">IF(A287="","",IF(COUNTIF(Rebar_Schedule!$A$5:$A$2004,A287)=0,"",ROUND(SUMIF(Rebar_Schedule!$A$5:$A$2004,A287,Rebar_Schedule!$K$5:$K$2004),1)))</f>
        <v/>
      </c>
      <c r="BF287" s="33" t="str">
        <f aca="false">IF(A287="","",IF(BE287="","No rebar schedule yet",IF(ABS(BE287-N(BA287))/MAX(N(BA287),1)&gt;SG_Criteria!$B$55,"NOTE: register rebar differs from schedule by "&amp;TEXT(ABS(BE287-N(BA287))/MAX(N(BA287),1),"0%"),"OK")))</f>
        <v/>
      </c>
      <c r="BG287" s="33" t="str">
        <f aca="false">IF(D287="","",IF(LEN(IF(AND(Z287&lt;&gt;"",IFERROR(VALUE(MID(Z287,2,2)),0)&lt;SG_Criteria!$B$19),"FAIL: grade below C"&amp;SG_Criteria!$B$19&amp;". ","")&amp;IF(AND(AA287&lt;&gt;"",AA287&lt;SG_Criteria!$B$20),"FAIL: cover &lt; "&amp;SG_Criteria!$B$20&amp;" mm. ","")&amp;IF(AND(I287&lt;&gt;"",I287&lt;SG_Criteria!$B$39),"NOTE: min depth below PUB "&amp;SG_Criteria!$B$39&amp;" m. ","")&amp;IF(AND(LEFT(D287,8)="Standard",J287&gt;SG_Criteria!$B$42),"FAIL: PUB 001C covers manholes up to "&amp;SG_Criteria!$B$42&amp;" m deep only. ","")&amp;IF(AND(LEFT(D287,11)="Rectangular",K287&lt;SG_Criteria!$B$43),"NOTE: 004C is for sewers &gt;= "&amp;SG_Criteria!$B$43&amp;" dia. ","")&amp;IF(AND(LEFT(D287,7)="Precast",J287&lt;=SG_Criteria!$B$42),"NOTE: 006C is for manholes &gt; "&amp;SG_Criteria!$B$42&amp;" m deep. ","")&amp;IF(AND(K287&lt;&gt;"",K287&lt;SG_Criteria!$B$40,D287&lt;&gt;"Inspection Chamber"),"NOTE: public sewer min dia "&amp;SG_Criteria!$B$40&amp;" mm. ","")&amp;IF(AND(Y287&lt;&gt;"",Y287&lt;SG_Criteria!$B$44),"FAIL: uplift FOS below "&amp;SG_Criteria!$B$44&amp;". ",""))=0,"OK",IF(AND(Z287&lt;&gt;"",IFERROR(VALUE(MID(Z287,2,2)),0)&lt;SG_Criteria!$B$19),"FAIL: grade below C"&amp;SG_Criteria!$B$19&amp;". ","")&amp;IF(AND(AA287&lt;&gt;"",AA287&lt;SG_Criteria!$B$20),"FAIL: cover &lt; "&amp;SG_Criteria!$B$20&amp;" mm. ","")&amp;IF(AND(I287&lt;&gt;"",I287&lt;SG_Criteria!$B$39),"NOTE: min depth below PUB "&amp;SG_Criteria!$B$39&amp;" m. ","")&amp;IF(AND(LEFT(D287,8)="Standard",J287&gt;SG_Criteria!$B$42),"FAIL: PUB 001C covers manholes up to "&amp;SG_Criteria!$B$42&amp;" m deep only. ","")&amp;IF(AND(LEFT(D287,11)="Rectangular",K287&lt;SG_Criteria!$B$43),"NOTE: 004C is for sewers &gt;= "&amp;SG_Criteria!$B$43&amp;" dia. ","")&amp;IF(AND(LEFT(D287,7)="Precast",J287&lt;=SG_Criteria!$B$42),"NOTE: 006C is for manholes &gt; "&amp;SG_Criteria!$B$42&amp;" m deep. ","")&amp;IF(AND(K287&lt;&gt;"",K287&lt;SG_Criteria!$B$40,D287&lt;&gt;"Inspection Chamber"),"NOTE: public sewer min dia "&amp;SG_Criteria!$B$40&amp;" mm. ","")&amp;IF(AND(Y287&lt;&gt;"",Y287&lt;SG_Criteria!$B$44),"FAIL: uplift FOS below "&amp;SG_Criteria!$B$44&amp;". ","")))</f>
        <v/>
      </c>
      <c r="BH287" s="9"/>
      <c r="BI287" s="9"/>
      <c r="BJ287" s="9"/>
      <c r="BK287" s="10" t="str">
        <f aca="false">IF(BJ287="","",IFERROR(VLOOKUP(BJ287,Projects!$A$5:$D$504,2,0),"Ref not in Projects"))</f>
        <v/>
      </c>
      <c r="BL287" s="10" t="str">
        <f aca="false">IF(BJ287="","",IFERROR(VLOOKUP(BJ287,Projects!$A$5:$D$504,4,0),"Ref not in Projects"))</f>
        <v/>
      </c>
      <c r="BM287" s="9"/>
      <c r="BN287" s="9"/>
      <c r="BO287" s="9"/>
      <c r="BP287" s="40"/>
      <c r="BQ287" s="9"/>
      <c r="BR287" s="40"/>
      <c r="BS287" s="9"/>
      <c r="BT287" s="40"/>
      <c r="BU287" s="9"/>
      <c r="BV287" s="9"/>
      <c r="BW287" s="9"/>
      <c r="BX287" s="40"/>
      <c r="BY287" s="40"/>
      <c r="BZ287" s="36" t="str">
        <f aca="false">IF(BY287="","",EDATE(BY287,SG_Criteria!$B$54*12))</f>
        <v/>
      </c>
      <c r="CA287" s="33" t="str">
        <f aca="true">IF(A287="","",IF(BY287="","NOTE: not reviewed yet",IF(TODAY()&gt;BZ287,"NOTE: review overdue","OK")))</f>
        <v/>
      </c>
      <c r="CB287" s="37" t="str">
        <f aca="false">IF(A287="","",ROUND((IF(LEN(D287)&gt;0,1,0)+IF(LEN(E287)&gt;0,1,0)+IF(LEN(F287)&gt;0,1,0)+IF(LEN(G287)&gt;0,1,0)+IF(LEN(I287)&gt;0,1,0)+IF(LEN(J287)&gt;0,1,0)+IF(LEN(K287)&gt;0,1,0)+IF(LEN(L287)&gt;0,1,0)+IF(LEN(M287)&gt;0,1,0)+IF(LEN(N287)&gt;0,1,0)+IF(LEN(Z287)&gt;0,1,0)+IF(LEN(AA287)&gt;0,1,0)+IF(LEN(Y287)&gt;0,1,0)+IF(LEN(AE287)&gt;0,1,0)+IF(LEN(AG287)&gt;0,1,0)+IF(LEN(AZ287)&gt;0,1,0)+IF(LEN(AK287)&gt;0,1,0)+IF(LEN(AM287)&gt;0,1,0)+IF(LEN(AN287)&gt;0,1,0)+IF(LEN(AO287)&gt;0,1,0)+IF(LEN(AP287)&gt;0,1,0)+IF(LEN(AY287)&gt;0,1,0)+IF(LEN(BJ287)&gt;0,1,0)+IF(LEN(BW287)&gt;0,1,0))/24,2))</f>
        <v/>
      </c>
      <c r="CC287" s="10" t="str">
        <f aca="false">IF(D287="","",IF(AND(AN287="Approved",ISERROR(SEARCH("FAIL",BG287))),"Y","N"))</f>
        <v/>
      </c>
      <c r="CD287" s="10" t="str">
        <f aca="false">IF(D287="","",D287&amp;"|"&amp;J287&amp;"|"&amp;G287&amp;"|"&amp;CC287)</f>
        <v/>
      </c>
    </row>
    <row r="288" customFormat="false" ht="15" hidden="false" customHeight="false" outlineLevel="0" collapsed="false">
      <c r="A288" s="10" t="str">
        <f aca="false">IF(D288="","","MH-"&amp;IFERROR(VLOOKUP(D288,Lists!$AB$4:$AC$20,2,0),"??")&amp;"-"&amp;TEXT(G288,"0000")&amp;IF(F288="Circular","D","x"&amp;TEXT(H288,"0000"))&amp;"-D"&amp;TEXT(J288*1000,"0000")&amp;"-"&amp;IFERROR(VLOOKUP(E288,Lists!$AE$4:$AF$16,2,0),"??")&amp;"-"&amp;AM288)</f>
        <v/>
      </c>
      <c r="B288" s="10" t="str">
        <f aca="false">IF(D288="","",D288&amp;", "&amp;E288&amp;", "&amp;IF(F288="Circular",G288&amp;" dia",G288&amp;" x "&amp;H288)&amp;", depth "&amp;TEXT(I288,"0.0")&amp;"-"&amp;TEXT(J288,"0.0")&amp;" m, pipe up to "&amp;K288&amp;" dia")</f>
        <v/>
      </c>
      <c r="C288" s="9"/>
      <c r="D288" s="9"/>
      <c r="E288" s="9"/>
      <c r="F288" s="9"/>
      <c r="G288" s="38"/>
      <c r="H288" s="38"/>
      <c r="I288" s="42"/>
      <c r="J288" s="42"/>
      <c r="K288" s="38"/>
      <c r="L288" s="38"/>
      <c r="M288" s="38"/>
      <c r="N288" s="38"/>
      <c r="O288" s="9"/>
      <c r="P288" s="9"/>
      <c r="Q288" s="9"/>
      <c r="R288" s="9"/>
      <c r="S288" s="9"/>
      <c r="T288" s="9"/>
      <c r="U288" s="9"/>
      <c r="V288" s="42"/>
      <c r="W288" s="9"/>
      <c r="X288" s="9"/>
      <c r="Y288" s="39"/>
      <c r="Z288" s="9"/>
      <c r="AA288" s="38"/>
      <c r="AB288" s="9"/>
      <c r="AC288" s="9"/>
      <c r="AD288" s="9"/>
      <c r="AE288" s="9"/>
      <c r="AF288" s="9"/>
      <c r="AG288" s="9"/>
      <c r="AH288" s="38"/>
      <c r="AI288" s="9"/>
      <c r="AJ288" s="39"/>
      <c r="AK288" s="9"/>
      <c r="AL288" s="9"/>
      <c r="AM288" s="9"/>
      <c r="AN288" s="9"/>
      <c r="AO288" s="9"/>
      <c r="AP288" s="9"/>
      <c r="AQ288" s="9"/>
      <c r="AR288" s="10" t="str">
        <f aca="false">IF(A288="","",SG_Criteria!$B$6&amp;SG_Criteria!$B$10&amp;"\"&amp;A288&amp;"\")</f>
        <v/>
      </c>
      <c r="AS288" s="10" t="str">
        <f aca="false">IF(A288="","",A288&amp;"_CAD.dwg")</f>
        <v/>
      </c>
      <c r="AT288" s="10" t="str">
        <f aca="false">IF(A288="","",A288&amp;"_DWG.pdf")</f>
        <v/>
      </c>
      <c r="AU288" s="10" t="str">
        <f aca="false">IF(A288="","",IF(AQ288="Y",A288&amp;"_STAAD.std","n/a"))</f>
        <v/>
      </c>
      <c r="AV288" s="10" t="str">
        <f aca="false">IF(A288="","",A288&amp;"_CALC.xlsx")</f>
        <v/>
      </c>
      <c r="AW288" s="10" t="str">
        <f aca="false">IF(A288="","",A288&amp;"_CALC.pdf")</f>
        <v/>
      </c>
      <c r="AX288" s="9"/>
      <c r="AY288" s="9"/>
      <c r="AZ288" s="39"/>
      <c r="BA288" s="39"/>
      <c r="BB288" s="39"/>
      <c r="BC288" s="39"/>
      <c r="BD288" s="39"/>
      <c r="BE288" s="12" t="str">
        <f aca="false">IF(A288="","",IF(COUNTIF(Rebar_Schedule!$A$5:$A$2004,A288)=0,"",ROUND(SUMIF(Rebar_Schedule!$A$5:$A$2004,A288,Rebar_Schedule!$K$5:$K$2004),1)))</f>
        <v/>
      </c>
      <c r="BF288" s="33" t="str">
        <f aca="false">IF(A288="","",IF(BE288="","No rebar schedule yet",IF(ABS(BE288-N(BA288))/MAX(N(BA288),1)&gt;SG_Criteria!$B$55,"NOTE: register rebar differs from schedule by "&amp;TEXT(ABS(BE288-N(BA288))/MAX(N(BA288),1),"0%"),"OK")))</f>
        <v/>
      </c>
      <c r="BG288" s="33" t="str">
        <f aca="false">IF(D288="","",IF(LEN(IF(AND(Z288&lt;&gt;"",IFERROR(VALUE(MID(Z288,2,2)),0)&lt;SG_Criteria!$B$19),"FAIL: grade below C"&amp;SG_Criteria!$B$19&amp;". ","")&amp;IF(AND(AA288&lt;&gt;"",AA288&lt;SG_Criteria!$B$20),"FAIL: cover &lt; "&amp;SG_Criteria!$B$20&amp;" mm. ","")&amp;IF(AND(I288&lt;&gt;"",I288&lt;SG_Criteria!$B$39),"NOTE: min depth below PUB "&amp;SG_Criteria!$B$39&amp;" m. ","")&amp;IF(AND(LEFT(D288,8)="Standard",J288&gt;SG_Criteria!$B$42),"FAIL: PUB 001C covers manholes up to "&amp;SG_Criteria!$B$42&amp;" m deep only. ","")&amp;IF(AND(LEFT(D288,11)="Rectangular",K288&lt;SG_Criteria!$B$43),"NOTE: 004C is for sewers &gt;= "&amp;SG_Criteria!$B$43&amp;" dia. ","")&amp;IF(AND(LEFT(D288,7)="Precast",J288&lt;=SG_Criteria!$B$42),"NOTE: 006C is for manholes &gt; "&amp;SG_Criteria!$B$42&amp;" m deep. ","")&amp;IF(AND(K288&lt;&gt;"",K288&lt;SG_Criteria!$B$40,D288&lt;&gt;"Inspection Chamber"),"NOTE: public sewer min dia "&amp;SG_Criteria!$B$40&amp;" mm. ","")&amp;IF(AND(Y288&lt;&gt;"",Y288&lt;SG_Criteria!$B$44),"FAIL: uplift FOS below "&amp;SG_Criteria!$B$44&amp;". ",""))=0,"OK",IF(AND(Z288&lt;&gt;"",IFERROR(VALUE(MID(Z288,2,2)),0)&lt;SG_Criteria!$B$19),"FAIL: grade below C"&amp;SG_Criteria!$B$19&amp;". ","")&amp;IF(AND(AA288&lt;&gt;"",AA288&lt;SG_Criteria!$B$20),"FAIL: cover &lt; "&amp;SG_Criteria!$B$20&amp;" mm. ","")&amp;IF(AND(I288&lt;&gt;"",I288&lt;SG_Criteria!$B$39),"NOTE: min depth below PUB "&amp;SG_Criteria!$B$39&amp;" m. ","")&amp;IF(AND(LEFT(D288,8)="Standard",J288&gt;SG_Criteria!$B$42),"FAIL: PUB 001C covers manholes up to "&amp;SG_Criteria!$B$42&amp;" m deep only. ","")&amp;IF(AND(LEFT(D288,11)="Rectangular",K288&lt;SG_Criteria!$B$43),"NOTE: 004C is for sewers &gt;= "&amp;SG_Criteria!$B$43&amp;" dia. ","")&amp;IF(AND(LEFT(D288,7)="Precast",J288&lt;=SG_Criteria!$B$42),"NOTE: 006C is for manholes &gt; "&amp;SG_Criteria!$B$42&amp;" m deep. ","")&amp;IF(AND(K288&lt;&gt;"",K288&lt;SG_Criteria!$B$40,D288&lt;&gt;"Inspection Chamber"),"NOTE: public sewer min dia "&amp;SG_Criteria!$B$40&amp;" mm. ","")&amp;IF(AND(Y288&lt;&gt;"",Y288&lt;SG_Criteria!$B$44),"FAIL: uplift FOS below "&amp;SG_Criteria!$B$44&amp;". ","")))</f>
        <v/>
      </c>
      <c r="BH288" s="9"/>
      <c r="BI288" s="9"/>
      <c r="BJ288" s="9"/>
      <c r="BK288" s="10" t="str">
        <f aca="false">IF(BJ288="","",IFERROR(VLOOKUP(BJ288,Projects!$A$5:$D$504,2,0),"Ref not in Projects"))</f>
        <v/>
      </c>
      <c r="BL288" s="10" t="str">
        <f aca="false">IF(BJ288="","",IFERROR(VLOOKUP(BJ288,Projects!$A$5:$D$504,4,0),"Ref not in Projects"))</f>
        <v/>
      </c>
      <c r="BM288" s="9"/>
      <c r="BN288" s="9"/>
      <c r="BO288" s="9"/>
      <c r="BP288" s="40"/>
      <c r="BQ288" s="9"/>
      <c r="BR288" s="40"/>
      <c r="BS288" s="9"/>
      <c r="BT288" s="40"/>
      <c r="BU288" s="9"/>
      <c r="BV288" s="9"/>
      <c r="BW288" s="9"/>
      <c r="BX288" s="40"/>
      <c r="BY288" s="40"/>
      <c r="BZ288" s="36" t="str">
        <f aca="false">IF(BY288="","",EDATE(BY288,SG_Criteria!$B$54*12))</f>
        <v/>
      </c>
      <c r="CA288" s="33" t="str">
        <f aca="true">IF(A288="","",IF(BY288="","NOTE: not reviewed yet",IF(TODAY()&gt;BZ288,"NOTE: review overdue","OK")))</f>
        <v/>
      </c>
      <c r="CB288" s="37" t="str">
        <f aca="false">IF(A288="","",ROUND((IF(LEN(D288)&gt;0,1,0)+IF(LEN(E288)&gt;0,1,0)+IF(LEN(F288)&gt;0,1,0)+IF(LEN(G288)&gt;0,1,0)+IF(LEN(I288)&gt;0,1,0)+IF(LEN(J288)&gt;0,1,0)+IF(LEN(K288)&gt;0,1,0)+IF(LEN(L288)&gt;0,1,0)+IF(LEN(M288)&gt;0,1,0)+IF(LEN(N288)&gt;0,1,0)+IF(LEN(Z288)&gt;0,1,0)+IF(LEN(AA288)&gt;0,1,0)+IF(LEN(Y288)&gt;0,1,0)+IF(LEN(AE288)&gt;0,1,0)+IF(LEN(AG288)&gt;0,1,0)+IF(LEN(AZ288)&gt;0,1,0)+IF(LEN(AK288)&gt;0,1,0)+IF(LEN(AM288)&gt;0,1,0)+IF(LEN(AN288)&gt;0,1,0)+IF(LEN(AO288)&gt;0,1,0)+IF(LEN(AP288)&gt;0,1,0)+IF(LEN(AY288)&gt;0,1,0)+IF(LEN(BJ288)&gt;0,1,0)+IF(LEN(BW288)&gt;0,1,0))/24,2))</f>
        <v/>
      </c>
      <c r="CC288" s="10" t="str">
        <f aca="false">IF(D288="","",IF(AND(AN288="Approved",ISERROR(SEARCH("FAIL",BG288))),"Y","N"))</f>
        <v/>
      </c>
      <c r="CD288" s="10" t="str">
        <f aca="false">IF(D288="","",D288&amp;"|"&amp;J288&amp;"|"&amp;G288&amp;"|"&amp;CC288)</f>
        <v/>
      </c>
    </row>
    <row r="289" customFormat="false" ht="15" hidden="false" customHeight="false" outlineLevel="0" collapsed="false">
      <c r="A289" s="10" t="str">
        <f aca="false">IF(D289="","","MH-"&amp;IFERROR(VLOOKUP(D289,Lists!$AB$4:$AC$20,2,0),"??")&amp;"-"&amp;TEXT(G289,"0000")&amp;IF(F289="Circular","D","x"&amp;TEXT(H289,"0000"))&amp;"-D"&amp;TEXT(J289*1000,"0000")&amp;"-"&amp;IFERROR(VLOOKUP(E289,Lists!$AE$4:$AF$16,2,0),"??")&amp;"-"&amp;AM289)</f>
        <v/>
      </c>
      <c r="B289" s="10" t="str">
        <f aca="false">IF(D289="","",D289&amp;", "&amp;E289&amp;", "&amp;IF(F289="Circular",G289&amp;" dia",G289&amp;" x "&amp;H289)&amp;", depth "&amp;TEXT(I289,"0.0")&amp;"-"&amp;TEXT(J289,"0.0")&amp;" m, pipe up to "&amp;K289&amp;" dia")</f>
        <v/>
      </c>
      <c r="C289" s="9"/>
      <c r="D289" s="9"/>
      <c r="E289" s="9"/>
      <c r="F289" s="9"/>
      <c r="G289" s="38"/>
      <c r="H289" s="38"/>
      <c r="I289" s="42"/>
      <c r="J289" s="42"/>
      <c r="K289" s="38"/>
      <c r="L289" s="38"/>
      <c r="M289" s="38"/>
      <c r="N289" s="38"/>
      <c r="O289" s="9"/>
      <c r="P289" s="9"/>
      <c r="Q289" s="9"/>
      <c r="R289" s="9"/>
      <c r="S289" s="9"/>
      <c r="T289" s="9"/>
      <c r="U289" s="9"/>
      <c r="V289" s="42"/>
      <c r="W289" s="9"/>
      <c r="X289" s="9"/>
      <c r="Y289" s="39"/>
      <c r="Z289" s="9"/>
      <c r="AA289" s="38"/>
      <c r="AB289" s="9"/>
      <c r="AC289" s="9"/>
      <c r="AD289" s="9"/>
      <c r="AE289" s="9"/>
      <c r="AF289" s="9"/>
      <c r="AG289" s="9"/>
      <c r="AH289" s="38"/>
      <c r="AI289" s="9"/>
      <c r="AJ289" s="39"/>
      <c r="AK289" s="9"/>
      <c r="AL289" s="9"/>
      <c r="AM289" s="9"/>
      <c r="AN289" s="9"/>
      <c r="AO289" s="9"/>
      <c r="AP289" s="9"/>
      <c r="AQ289" s="9"/>
      <c r="AR289" s="10" t="str">
        <f aca="false">IF(A289="","",SG_Criteria!$B$6&amp;SG_Criteria!$B$10&amp;"\"&amp;A289&amp;"\")</f>
        <v/>
      </c>
      <c r="AS289" s="10" t="str">
        <f aca="false">IF(A289="","",A289&amp;"_CAD.dwg")</f>
        <v/>
      </c>
      <c r="AT289" s="10" t="str">
        <f aca="false">IF(A289="","",A289&amp;"_DWG.pdf")</f>
        <v/>
      </c>
      <c r="AU289" s="10" t="str">
        <f aca="false">IF(A289="","",IF(AQ289="Y",A289&amp;"_STAAD.std","n/a"))</f>
        <v/>
      </c>
      <c r="AV289" s="10" t="str">
        <f aca="false">IF(A289="","",A289&amp;"_CALC.xlsx")</f>
        <v/>
      </c>
      <c r="AW289" s="10" t="str">
        <f aca="false">IF(A289="","",A289&amp;"_CALC.pdf")</f>
        <v/>
      </c>
      <c r="AX289" s="9"/>
      <c r="AY289" s="9"/>
      <c r="AZ289" s="39"/>
      <c r="BA289" s="39"/>
      <c r="BB289" s="39"/>
      <c r="BC289" s="39"/>
      <c r="BD289" s="39"/>
      <c r="BE289" s="12" t="str">
        <f aca="false">IF(A289="","",IF(COUNTIF(Rebar_Schedule!$A$5:$A$2004,A289)=0,"",ROUND(SUMIF(Rebar_Schedule!$A$5:$A$2004,A289,Rebar_Schedule!$K$5:$K$2004),1)))</f>
        <v/>
      </c>
      <c r="BF289" s="33" t="str">
        <f aca="false">IF(A289="","",IF(BE289="","No rebar schedule yet",IF(ABS(BE289-N(BA289))/MAX(N(BA289),1)&gt;SG_Criteria!$B$55,"NOTE: register rebar differs from schedule by "&amp;TEXT(ABS(BE289-N(BA289))/MAX(N(BA289),1),"0%"),"OK")))</f>
        <v/>
      </c>
      <c r="BG289" s="33" t="str">
        <f aca="false">IF(D289="","",IF(LEN(IF(AND(Z289&lt;&gt;"",IFERROR(VALUE(MID(Z289,2,2)),0)&lt;SG_Criteria!$B$19),"FAIL: grade below C"&amp;SG_Criteria!$B$19&amp;". ","")&amp;IF(AND(AA289&lt;&gt;"",AA289&lt;SG_Criteria!$B$20),"FAIL: cover &lt; "&amp;SG_Criteria!$B$20&amp;" mm. ","")&amp;IF(AND(I289&lt;&gt;"",I289&lt;SG_Criteria!$B$39),"NOTE: min depth below PUB "&amp;SG_Criteria!$B$39&amp;" m. ","")&amp;IF(AND(LEFT(D289,8)="Standard",J289&gt;SG_Criteria!$B$42),"FAIL: PUB 001C covers manholes up to "&amp;SG_Criteria!$B$42&amp;" m deep only. ","")&amp;IF(AND(LEFT(D289,11)="Rectangular",K289&lt;SG_Criteria!$B$43),"NOTE: 004C is for sewers &gt;= "&amp;SG_Criteria!$B$43&amp;" dia. ","")&amp;IF(AND(LEFT(D289,7)="Precast",J289&lt;=SG_Criteria!$B$42),"NOTE: 006C is for manholes &gt; "&amp;SG_Criteria!$B$42&amp;" m deep. ","")&amp;IF(AND(K289&lt;&gt;"",K289&lt;SG_Criteria!$B$40,D289&lt;&gt;"Inspection Chamber"),"NOTE: public sewer min dia "&amp;SG_Criteria!$B$40&amp;" mm. ","")&amp;IF(AND(Y289&lt;&gt;"",Y289&lt;SG_Criteria!$B$44),"FAIL: uplift FOS below "&amp;SG_Criteria!$B$44&amp;". ",""))=0,"OK",IF(AND(Z289&lt;&gt;"",IFERROR(VALUE(MID(Z289,2,2)),0)&lt;SG_Criteria!$B$19),"FAIL: grade below C"&amp;SG_Criteria!$B$19&amp;". ","")&amp;IF(AND(AA289&lt;&gt;"",AA289&lt;SG_Criteria!$B$20),"FAIL: cover &lt; "&amp;SG_Criteria!$B$20&amp;" mm. ","")&amp;IF(AND(I289&lt;&gt;"",I289&lt;SG_Criteria!$B$39),"NOTE: min depth below PUB "&amp;SG_Criteria!$B$39&amp;" m. ","")&amp;IF(AND(LEFT(D289,8)="Standard",J289&gt;SG_Criteria!$B$42),"FAIL: PUB 001C covers manholes up to "&amp;SG_Criteria!$B$42&amp;" m deep only. ","")&amp;IF(AND(LEFT(D289,11)="Rectangular",K289&lt;SG_Criteria!$B$43),"NOTE: 004C is for sewers &gt;= "&amp;SG_Criteria!$B$43&amp;" dia. ","")&amp;IF(AND(LEFT(D289,7)="Precast",J289&lt;=SG_Criteria!$B$42),"NOTE: 006C is for manholes &gt; "&amp;SG_Criteria!$B$42&amp;" m deep. ","")&amp;IF(AND(K289&lt;&gt;"",K289&lt;SG_Criteria!$B$40,D289&lt;&gt;"Inspection Chamber"),"NOTE: public sewer min dia "&amp;SG_Criteria!$B$40&amp;" mm. ","")&amp;IF(AND(Y289&lt;&gt;"",Y289&lt;SG_Criteria!$B$44),"FAIL: uplift FOS below "&amp;SG_Criteria!$B$44&amp;". ","")))</f>
        <v/>
      </c>
      <c r="BH289" s="9"/>
      <c r="BI289" s="9"/>
      <c r="BJ289" s="9"/>
      <c r="BK289" s="10" t="str">
        <f aca="false">IF(BJ289="","",IFERROR(VLOOKUP(BJ289,Projects!$A$5:$D$504,2,0),"Ref not in Projects"))</f>
        <v/>
      </c>
      <c r="BL289" s="10" t="str">
        <f aca="false">IF(BJ289="","",IFERROR(VLOOKUP(BJ289,Projects!$A$5:$D$504,4,0),"Ref not in Projects"))</f>
        <v/>
      </c>
      <c r="BM289" s="9"/>
      <c r="BN289" s="9"/>
      <c r="BO289" s="9"/>
      <c r="BP289" s="40"/>
      <c r="BQ289" s="9"/>
      <c r="BR289" s="40"/>
      <c r="BS289" s="9"/>
      <c r="BT289" s="40"/>
      <c r="BU289" s="9"/>
      <c r="BV289" s="9"/>
      <c r="BW289" s="9"/>
      <c r="BX289" s="40"/>
      <c r="BY289" s="40"/>
      <c r="BZ289" s="36" t="str">
        <f aca="false">IF(BY289="","",EDATE(BY289,SG_Criteria!$B$54*12))</f>
        <v/>
      </c>
      <c r="CA289" s="33" t="str">
        <f aca="true">IF(A289="","",IF(BY289="","NOTE: not reviewed yet",IF(TODAY()&gt;BZ289,"NOTE: review overdue","OK")))</f>
        <v/>
      </c>
      <c r="CB289" s="37" t="str">
        <f aca="false">IF(A289="","",ROUND((IF(LEN(D289)&gt;0,1,0)+IF(LEN(E289)&gt;0,1,0)+IF(LEN(F289)&gt;0,1,0)+IF(LEN(G289)&gt;0,1,0)+IF(LEN(I289)&gt;0,1,0)+IF(LEN(J289)&gt;0,1,0)+IF(LEN(K289)&gt;0,1,0)+IF(LEN(L289)&gt;0,1,0)+IF(LEN(M289)&gt;0,1,0)+IF(LEN(N289)&gt;0,1,0)+IF(LEN(Z289)&gt;0,1,0)+IF(LEN(AA289)&gt;0,1,0)+IF(LEN(Y289)&gt;0,1,0)+IF(LEN(AE289)&gt;0,1,0)+IF(LEN(AG289)&gt;0,1,0)+IF(LEN(AZ289)&gt;0,1,0)+IF(LEN(AK289)&gt;0,1,0)+IF(LEN(AM289)&gt;0,1,0)+IF(LEN(AN289)&gt;0,1,0)+IF(LEN(AO289)&gt;0,1,0)+IF(LEN(AP289)&gt;0,1,0)+IF(LEN(AY289)&gt;0,1,0)+IF(LEN(BJ289)&gt;0,1,0)+IF(LEN(BW289)&gt;0,1,0))/24,2))</f>
        <v/>
      </c>
      <c r="CC289" s="10" t="str">
        <f aca="false">IF(D289="","",IF(AND(AN289="Approved",ISERROR(SEARCH("FAIL",BG289))),"Y","N"))</f>
        <v/>
      </c>
      <c r="CD289" s="10" t="str">
        <f aca="false">IF(D289="","",D289&amp;"|"&amp;J289&amp;"|"&amp;G289&amp;"|"&amp;CC289)</f>
        <v/>
      </c>
    </row>
    <row r="290" customFormat="false" ht="15" hidden="false" customHeight="false" outlineLevel="0" collapsed="false">
      <c r="A290" s="10" t="str">
        <f aca="false">IF(D290="","","MH-"&amp;IFERROR(VLOOKUP(D290,Lists!$AB$4:$AC$20,2,0),"??")&amp;"-"&amp;TEXT(G290,"0000")&amp;IF(F290="Circular","D","x"&amp;TEXT(H290,"0000"))&amp;"-D"&amp;TEXT(J290*1000,"0000")&amp;"-"&amp;IFERROR(VLOOKUP(E290,Lists!$AE$4:$AF$16,2,0),"??")&amp;"-"&amp;AM290)</f>
        <v/>
      </c>
      <c r="B290" s="10" t="str">
        <f aca="false">IF(D290="","",D290&amp;", "&amp;E290&amp;", "&amp;IF(F290="Circular",G290&amp;" dia",G290&amp;" x "&amp;H290)&amp;", depth "&amp;TEXT(I290,"0.0")&amp;"-"&amp;TEXT(J290,"0.0")&amp;" m, pipe up to "&amp;K290&amp;" dia")</f>
        <v/>
      </c>
      <c r="C290" s="9"/>
      <c r="D290" s="9"/>
      <c r="E290" s="9"/>
      <c r="F290" s="9"/>
      <c r="G290" s="38"/>
      <c r="H290" s="38"/>
      <c r="I290" s="42"/>
      <c r="J290" s="42"/>
      <c r="K290" s="38"/>
      <c r="L290" s="38"/>
      <c r="M290" s="38"/>
      <c r="N290" s="38"/>
      <c r="O290" s="9"/>
      <c r="P290" s="9"/>
      <c r="Q290" s="9"/>
      <c r="R290" s="9"/>
      <c r="S290" s="9"/>
      <c r="T290" s="9"/>
      <c r="U290" s="9"/>
      <c r="V290" s="42"/>
      <c r="W290" s="9"/>
      <c r="X290" s="9"/>
      <c r="Y290" s="39"/>
      <c r="Z290" s="9"/>
      <c r="AA290" s="38"/>
      <c r="AB290" s="9"/>
      <c r="AC290" s="9"/>
      <c r="AD290" s="9"/>
      <c r="AE290" s="9"/>
      <c r="AF290" s="9"/>
      <c r="AG290" s="9"/>
      <c r="AH290" s="38"/>
      <c r="AI290" s="9"/>
      <c r="AJ290" s="39"/>
      <c r="AK290" s="9"/>
      <c r="AL290" s="9"/>
      <c r="AM290" s="9"/>
      <c r="AN290" s="9"/>
      <c r="AO290" s="9"/>
      <c r="AP290" s="9"/>
      <c r="AQ290" s="9"/>
      <c r="AR290" s="10" t="str">
        <f aca="false">IF(A290="","",SG_Criteria!$B$6&amp;SG_Criteria!$B$10&amp;"\"&amp;A290&amp;"\")</f>
        <v/>
      </c>
      <c r="AS290" s="10" t="str">
        <f aca="false">IF(A290="","",A290&amp;"_CAD.dwg")</f>
        <v/>
      </c>
      <c r="AT290" s="10" t="str">
        <f aca="false">IF(A290="","",A290&amp;"_DWG.pdf")</f>
        <v/>
      </c>
      <c r="AU290" s="10" t="str">
        <f aca="false">IF(A290="","",IF(AQ290="Y",A290&amp;"_STAAD.std","n/a"))</f>
        <v/>
      </c>
      <c r="AV290" s="10" t="str">
        <f aca="false">IF(A290="","",A290&amp;"_CALC.xlsx")</f>
        <v/>
      </c>
      <c r="AW290" s="10" t="str">
        <f aca="false">IF(A290="","",A290&amp;"_CALC.pdf")</f>
        <v/>
      </c>
      <c r="AX290" s="9"/>
      <c r="AY290" s="9"/>
      <c r="AZ290" s="39"/>
      <c r="BA290" s="39"/>
      <c r="BB290" s="39"/>
      <c r="BC290" s="39"/>
      <c r="BD290" s="39"/>
      <c r="BE290" s="12" t="str">
        <f aca="false">IF(A290="","",IF(COUNTIF(Rebar_Schedule!$A$5:$A$2004,A290)=0,"",ROUND(SUMIF(Rebar_Schedule!$A$5:$A$2004,A290,Rebar_Schedule!$K$5:$K$2004),1)))</f>
        <v/>
      </c>
      <c r="BF290" s="33" t="str">
        <f aca="false">IF(A290="","",IF(BE290="","No rebar schedule yet",IF(ABS(BE290-N(BA290))/MAX(N(BA290),1)&gt;SG_Criteria!$B$55,"NOTE: register rebar differs from schedule by "&amp;TEXT(ABS(BE290-N(BA290))/MAX(N(BA290),1),"0%"),"OK")))</f>
        <v/>
      </c>
      <c r="BG290" s="33" t="str">
        <f aca="false">IF(D290="","",IF(LEN(IF(AND(Z290&lt;&gt;"",IFERROR(VALUE(MID(Z290,2,2)),0)&lt;SG_Criteria!$B$19),"FAIL: grade below C"&amp;SG_Criteria!$B$19&amp;". ","")&amp;IF(AND(AA290&lt;&gt;"",AA290&lt;SG_Criteria!$B$20),"FAIL: cover &lt; "&amp;SG_Criteria!$B$20&amp;" mm. ","")&amp;IF(AND(I290&lt;&gt;"",I290&lt;SG_Criteria!$B$39),"NOTE: min depth below PUB "&amp;SG_Criteria!$B$39&amp;" m. ","")&amp;IF(AND(LEFT(D290,8)="Standard",J290&gt;SG_Criteria!$B$42),"FAIL: PUB 001C covers manholes up to "&amp;SG_Criteria!$B$42&amp;" m deep only. ","")&amp;IF(AND(LEFT(D290,11)="Rectangular",K290&lt;SG_Criteria!$B$43),"NOTE: 004C is for sewers &gt;= "&amp;SG_Criteria!$B$43&amp;" dia. ","")&amp;IF(AND(LEFT(D290,7)="Precast",J290&lt;=SG_Criteria!$B$42),"NOTE: 006C is for manholes &gt; "&amp;SG_Criteria!$B$42&amp;" m deep. ","")&amp;IF(AND(K290&lt;&gt;"",K290&lt;SG_Criteria!$B$40,D290&lt;&gt;"Inspection Chamber"),"NOTE: public sewer min dia "&amp;SG_Criteria!$B$40&amp;" mm. ","")&amp;IF(AND(Y290&lt;&gt;"",Y290&lt;SG_Criteria!$B$44),"FAIL: uplift FOS below "&amp;SG_Criteria!$B$44&amp;". ",""))=0,"OK",IF(AND(Z290&lt;&gt;"",IFERROR(VALUE(MID(Z290,2,2)),0)&lt;SG_Criteria!$B$19),"FAIL: grade below C"&amp;SG_Criteria!$B$19&amp;". ","")&amp;IF(AND(AA290&lt;&gt;"",AA290&lt;SG_Criteria!$B$20),"FAIL: cover &lt; "&amp;SG_Criteria!$B$20&amp;" mm. ","")&amp;IF(AND(I290&lt;&gt;"",I290&lt;SG_Criteria!$B$39),"NOTE: min depth below PUB "&amp;SG_Criteria!$B$39&amp;" m. ","")&amp;IF(AND(LEFT(D290,8)="Standard",J290&gt;SG_Criteria!$B$42),"FAIL: PUB 001C covers manholes up to "&amp;SG_Criteria!$B$42&amp;" m deep only. ","")&amp;IF(AND(LEFT(D290,11)="Rectangular",K290&lt;SG_Criteria!$B$43),"NOTE: 004C is for sewers &gt;= "&amp;SG_Criteria!$B$43&amp;" dia. ","")&amp;IF(AND(LEFT(D290,7)="Precast",J290&lt;=SG_Criteria!$B$42),"NOTE: 006C is for manholes &gt; "&amp;SG_Criteria!$B$42&amp;" m deep. ","")&amp;IF(AND(K290&lt;&gt;"",K290&lt;SG_Criteria!$B$40,D290&lt;&gt;"Inspection Chamber"),"NOTE: public sewer min dia "&amp;SG_Criteria!$B$40&amp;" mm. ","")&amp;IF(AND(Y290&lt;&gt;"",Y290&lt;SG_Criteria!$B$44),"FAIL: uplift FOS below "&amp;SG_Criteria!$B$44&amp;". ","")))</f>
        <v/>
      </c>
      <c r="BH290" s="9"/>
      <c r="BI290" s="9"/>
      <c r="BJ290" s="9"/>
      <c r="BK290" s="10" t="str">
        <f aca="false">IF(BJ290="","",IFERROR(VLOOKUP(BJ290,Projects!$A$5:$D$504,2,0),"Ref not in Projects"))</f>
        <v/>
      </c>
      <c r="BL290" s="10" t="str">
        <f aca="false">IF(BJ290="","",IFERROR(VLOOKUP(BJ290,Projects!$A$5:$D$504,4,0),"Ref not in Projects"))</f>
        <v/>
      </c>
      <c r="BM290" s="9"/>
      <c r="BN290" s="9"/>
      <c r="BO290" s="9"/>
      <c r="BP290" s="40"/>
      <c r="BQ290" s="9"/>
      <c r="BR290" s="40"/>
      <c r="BS290" s="9"/>
      <c r="BT290" s="40"/>
      <c r="BU290" s="9"/>
      <c r="BV290" s="9"/>
      <c r="BW290" s="9"/>
      <c r="BX290" s="40"/>
      <c r="BY290" s="40"/>
      <c r="BZ290" s="36" t="str">
        <f aca="false">IF(BY290="","",EDATE(BY290,SG_Criteria!$B$54*12))</f>
        <v/>
      </c>
      <c r="CA290" s="33" t="str">
        <f aca="true">IF(A290="","",IF(BY290="","NOTE: not reviewed yet",IF(TODAY()&gt;BZ290,"NOTE: review overdue","OK")))</f>
        <v/>
      </c>
      <c r="CB290" s="37" t="str">
        <f aca="false">IF(A290="","",ROUND((IF(LEN(D290)&gt;0,1,0)+IF(LEN(E290)&gt;0,1,0)+IF(LEN(F290)&gt;0,1,0)+IF(LEN(G290)&gt;0,1,0)+IF(LEN(I290)&gt;0,1,0)+IF(LEN(J290)&gt;0,1,0)+IF(LEN(K290)&gt;0,1,0)+IF(LEN(L290)&gt;0,1,0)+IF(LEN(M290)&gt;0,1,0)+IF(LEN(N290)&gt;0,1,0)+IF(LEN(Z290)&gt;0,1,0)+IF(LEN(AA290)&gt;0,1,0)+IF(LEN(Y290)&gt;0,1,0)+IF(LEN(AE290)&gt;0,1,0)+IF(LEN(AG290)&gt;0,1,0)+IF(LEN(AZ290)&gt;0,1,0)+IF(LEN(AK290)&gt;0,1,0)+IF(LEN(AM290)&gt;0,1,0)+IF(LEN(AN290)&gt;0,1,0)+IF(LEN(AO290)&gt;0,1,0)+IF(LEN(AP290)&gt;0,1,0)+IF(LEN(AY290)&gt;0,1,0)+IF(LEN(BJ290)&gt;0,1,0)+IF(LEN(BW290)&gt;0,1,0))/24,2))</f>
        <v/>
      </c>
      <c r="CC290" s="10" t="str">
        <f aca="false">IF(D290="","",IF(AND(AN290="Approved",ISERROR(SEARCH("FAIL",BG290))),"Y","N"))</f>
        <v/>
      </c>
      <c r="CD290" s="10" t="str">
        <f aca="false">IF(D290="","",D290&amp;"|"&amp;J290&amp;"|"&amp;G290&amp;"|"&amp;CC290)</f>
        <v/>
      </c>
    </row>
    <row r="291" customFormat="false" ht="15" hidden="false" customHeight="false" outlineLevel="0" collapsed="false">
      <c r="A291" s="10" t="str">
        <f aca="false">IF(D291="","","MH-"&amp;IFERROR(VLOOKUP(D291,Lists!$AB$4:$AC$20,2,0),"??")&amp;"-"&amp;TEXT(G291,"0000")&amp;IF(F291="Circular","D","x"&amp;TEXT(H291,"0000"))&amp;"-D"&amp;TEXT(J291*1000,"0000")&amp;"-"&amp;IFERROR(VLOOKUP(E291,Lists!$AE$4:$AF$16,2,0),"??")&amp;"-"&amp;AM291)</f>
        <v/>
      </c>
      <c r="B291" s="10" t="str">
        <f aca="false">IF(D291="","",D291&amp;", "&amp;E291&amp;", "&amp;IF(F291="Circular",G291&amp;" dia",G291&amp;" x "&amp;H291)&amp;", depth "&amp;TEXT(I291,"0.0")&amp;"-"&amp;TEXT(J291,"0.0")&amp;" m, pipe up to "&amp;K291&amp;" dia")</f>
        <v/>
      </c>
      <c r="C291" s="9"/>
      <c r="D291" s="9"/>
      <c r="E291" s="9"/>
      <c r="F291" s="9"/>
      <c r="G291" s="38"/>
      <c r="H291" s="38"/>
      <c r="I291" s="42"/>
      <c r="J291" s="42"/>
      <c r="K291" s="38"/>
      <c r="L291" s="38"/>
      <c r="M291" s="38"/>
      <c r="N291" s="38"/>
      <c r="O291" s="9"/>
      <c r="P291" s="9"/>
      <c r="Q291" s="9"/>
      <c r="R291" s="9"/>
      <c r="S291" s="9"/>
      <c r="T291" s="9"/>
      <c r="U291" s="9"/>
      <c r="V291" s="42"/>
      <c r="W291" s="9"/>
      <c r="X291" s="9"/>
      <c r="Y291" s="39"/>
      <c r="Z291" s="9"/>
      <c r="AA291" s="38"/>
      <c r="AB291" s="9"/>
      <c r="AC291" s="9"/>
      <c r="AD291" s="9"/>
      <c r="AE291" s="9"/>
      <c r="AF291" s="9"/>
      <c r="AG291" s="9"/>
      <c r="AH291" s="38"/>
      <c r="AI291" s="9"/>
      <c r="AJ291" s="39"/>
      <c r="AK291" s="9"/>
      <c r="AL291" s="9"/>
      <c r="AM291" s="9"/>
      <c r="AN291" s="9"/>
      <c r="AO291" s="9"/>
      <c r="AP291" s="9"/>
      <c r="AQ291" s="9"/>
      <c r="AR291" s="10" t="str">
        <f aca="false">IF(A291="","",SG_Criteria!$B$6&amp;SG_Criteria!$B$10&amp;"\"&amp;A291&amp;"\")</f>
        <v/>
      </c>
      <c r="AS291" s="10" t="str">
        <f aca="false">IF(A291="","",A291&amp;"_CAD.dwg")</f>
        <v/>
      </c>
      <c r="AT291" s="10" t="str">
        <f aca="false">IF(A291="","",A291&amp;"_DWG.pdf")</f>
        <v/>
      </c>
      <c r="AU291" s="10" t="str">
        <f aca="false">IF(A291="","",IF(AQ291="Y",A291&amp;"_STAAD.std","n/a"))</f>
        <v/>
      </c>
      <c r="AV291" s="10" t="str">
        <f aca="false">IF(A291="","",A291&amp;"_CALC.xlsx")</f>
        <v/>
      </c>
      <c r="AW291" s="10" t="str">
        <f aca="false">IF(A291="","",A291&amp;"_CALC.pdf")</f>
        <v/>
      </c>
      <c r="AX291" s="9"/>
      <c r="AY291" s="9"/>
      <c r="AZ291" s="39"/>
      <c r="BA291" s="39"/>
      <c r="BB291" s="39"/>
      <c r="BC291" s="39"/>
      <c r="BD291" s="39"/>
      <c r="BE291" s="12" t="str">
        <f aca="false">IF(A291="","",IF(COUNTIF(Rebar_Schedule!$A$5:$A$2004,A291)=0,"",ROUND(SUMIF(Rebar_Schedule!$A$5:$A$2004,A291,Rebar_Schedule!$K$5:$K$2004),1)))</f>
        <v/>
      </c>
      <c r="BF291" s="33" t="str">
        <f aca="false">IF(A291="","",IF(BE291="","No rebar schedule yet",IF(ABS(BE291-N(BA291))/MAX(N(BA291),1)&gt;SG_Criteria!$B$55,"NOTE: register rebar differs from schedule by "&amp;TEXT(ABS(BE291-N(BA291))/MAX(N(BA291),1),"0%"),"OK")))</f>
        <v/>
      </c>
      <c r="BG291" s="33" t="str">
        <f aca="false">IF(D291="","",IF(LEN(IF(AND(Z291&lt;&gt;"",IFERROR(VALUE(MID(Z291,2,2)),0)&lt;SG_Criteria!$B$19),"FAIL: grade below C"&amp;SG_Criteria!$B$19&amp;". ","")&amp;IF(AND(AA291&lt;&gt;"",AA291&lt;SG_Criteria!$B$20),"FAIL: cover &lt; "&amp;SG_Criteria!$B$20&amp;" mm. ","")&amp;IF(AND(I291&lt;&gt;"",I291&lt;SG_Criteria!$B$39),"NOTE: min depth below PUB "&amp;SG_Criteria!$B$39&amp;" m. ","")&amp;IF(AND(LEFT(D291,8)="Standard",J291&gt;SG_Criteria!$B$42),"FAIL: PUB 001C covers manholes up to "&amp;SG_Criteria!$B$42&amp;" m deep only. ","")&amp;IF(AND(LEFT(D291,11)="Rectangular",K291&lt;SG_Criteria!$B$43),"NOTE: 004C is for sewers &gt;= "&amp;SG_Criteria!$B$43&amp;" dia. ","")&amp;IF(AND(LEFT(D291,7)="Precast",J291&lt;=SG_Criteria!$B$42),"NOTE: 006C is for manholes &gt; "&amp;SG_Criteria!$B$42&amp;" m deep. ","")&amp;IF(AND(K291&lt;&gt;"",K291&lt;SG_Criteria!$B$40,D291&lt;&gt;"Inspection Chamber"),"NOTE: public sewer min dia "&amp;SG_Criteria!$B$40&amp;" mm. ","")&amp;IF(AND(Y291&lt;&gt;"",Y291&lt;SG_Criteria!$B$44),"FAIL: uplift FOS below "&amp;SG_Criteria!$B$44&amp;". ",""))=0,"OK",IF(AND(Z291&lt;&gt;"",IFERROR(VALUE(MID(Z291,2,2)),0)&lt;SG_Criteria!$B$19),"FAIL: grade below C"&amp;SG_Criteria!$B$19&amp;". ","")&amp;IF(AND(AA291&lt;&gt;"",AA291&lt;SG_Criteria!$B$20),"FAIL: cover &lt; "&amp;SG_Criteria!$B$20&amp;" mm. ","")&amp;IF(AND(I291&lt;&gt;"",I291&lt;SG_Criteria!$B$39),"NOTE: min depth below PUB "&amp;SG_Criteria!$B$39&amp;" m. ","")&amp;IF(AND(LEFT(D291,8)="Standard",J291&gt;SG_Criteria!$B$42),"FAIL: PUB 001C covers manholes up to "&amp;SG_Criteria!$B$42&amp;" m deep only. ","")&amp;IF(AND(LEFT(D291,11)="Rectangular",K291&lt;SG_Criteria!$B$43),"NOTE: 004C is for sewers &gt;= "&amp;SG_Criteria!$B$43&amp;" dia. ","")&amp;IF(AND(LEFT(D291,7)="Precast",J291&lt;=SG_Criteria!$B$42),"NOTE: 006C is for manholes &gt; "&amp;SG_Criteria!$B$42&amp;" m deep. ","")&amp;IF(AND(K291&lt;&gt;"",K291&lt;SG_Criteria!$B$40,D291&lt;&gt;"Inspection Chamber"),"NOTE: public sewer min dia "&amp;SG_Criteria!$B$40&amp;" mm. ","")&amp;IF(AND(Y291&lt;&gt;"",Y291&lt;SG_Criteria!$B$44),"FAIL: uplift FOS below "&amp;SG_Criteria!$B$44&amp;". ","")))</f>
        <v/>
      </c>
      <c r="BH291" s="9"/>
      <c r="BI291" s="9"/>
      <c r="BJ291" s="9"/>
      <c r="BK291" s="10" t="str">
        <f aca="false">IF(BJ291="","",IFERROR(VLOOKUP(BJ291,Projects!$A$5:$D$504,2,0),"Ref not in Projects"))</f>
        <v/>
      </c>
      <c r="BL291" s="10" t="str">
        <f aca="false">IF(BJ291="","",IFERROR(VLOOKUP(BJ291,Projects!$A$5:$D$504,4,0),"Ref not in Projects"))</f>
        <v/>
      </c>
      <c r="BM291" s="9"/>
      <c r="BN291" s="9"/>
      <c r="BO291" s="9"/>
      <c r="BP291" s="40"/>
      <c r="BQ291" s="9"/>
      <c r="BR291" s="40"/>
      <c r="BS291" s="9"/>
      <c r="BT291" s="40"/>
      <c r="BU291" s="9"/>
      <c r="BV291" s="9"/>
      <c r="BW291" s="9"/>
      <c r="BX291" s="40"/>
      <c r="BY291" s="40"/>
      <c r="BZ291" s="36" t="str">
        <f aca="false">IF(BY291="","",EDATE(BY291,SG_Criteria!$B$54*12))</f>
        <v/>
      </c>
      <c r="CA291" s="33" t="str">
        <f aca="true">IF(A291="","",IF(BY291="","NOTE: not reviewed yet",IF(TODAY()&gt;BZ291,"NOTE: review overdue","OK")))</f>
        <v/>
      </c>
      <c r="CB291" s="37" t="str">
        <f aca="false">IF(A291="","",ROUND((IF(LEN(D291)&gt;0,1,0)+IF(LEN(E291)&gt;0,1,0)+IF(LEN(F291)&gt;0,1,0)+IF(LEN(G291)&gt;0,1,0)+IF(LEN(I291)&gt;0,1,0)+IF(LEN(J291)&gt;0,1,0)+IF(LEN(K291)&gt;0,1,0)+IF(LEN(L291)&gt;0,1,0)+IF(LEN(M291)&gt;0,1,0)+IF(LEN(N291)&gt;0,1,0)+IF(LEN(Z291)&gt;0,1,0)+IF(LEN(AA291)&gt;0,1,0)+IF(LEN(Y291)&gt;0,1,0)+IF(LEN(AE291)&gt;0,1,0)+IF(LEN(AG291)&gt;0,1,0)+IF(LEN(AZ291)&gt;0,1,0)+IF(LEN(AK291)&gt;0,1,0)+IF(LEN(AM291)&gt;0,1,0)+IF(LEN(AN291)&gt;0,1,0)+IF(LEN(AO291)&gt;0,1,0)+IF(LEN(AP291)&gt;0,1,0)+IF(LEN(AY291)&gt;0,1,0)+IF(LEN(BJ291)&gt;0,1,0)+IF(LEN(BW291)&gt;0,1,0))/24,2))</f>
        <v/>
      </c>
      <c r="CC291" s="10" t="str">
        <f aca="false">IF(D291="","",IF(AND(AN291="Approved",ISERROR(SEARCH("FAIL",BG291))),"Y","N"))</f>
        <v/>
      </c>
      <c r="CD291" s="10" t="str">
        <f aca="false">IF(D291="","",D291&amp;"|"&amp;J291&amp;"|"&amp;G291&amp;"|"&amp;CC291)</f>
        <v/>
      </c>
    </row>
    <row r="292" customFormat="false" ht="15" hidden="false" customHeight="false" outlineLevel="0" collapsed="false">
      <c r="A292" s="10" t="str">
        <f aca="false">IF(D292="","","MH-"&amp;IFERROR(VLOOKUP(D292,Lists!$AB$4:$AC$20,2,0),"??")&amp;"-"&amp;TEXT(G292,"0000")&amp;IF(F292="Circular","D","x"&amp;TEXT(H292,"0000"))&amp;"-D"&amp;TEXT(J292*1000,"0000")&amp;"-"&amp;IFERROR(VLOOKUP(E292,Lists!$AE$4:$AF$16,2,0),"??")&amp;"-"&amp;AM292)</f>
        <v/>
      </c>
      <c r="B292" s="10" t="str">
        <f aca="false">IF(D292="","",D292&amp;", "&amp;E292&amp;", "&amp;IF(F292="Circular",G292&amp;" dia",G292&amp;" x "&amp;H292)&amp;", depth "&amp;TEXT(I292,"0.0")&amp;"-"&amp;TEXT(J292,"0.0")&amp;" m, pipe up to "&amp;K292&amp;" dia")</f>
        <v/>
      </c>
      <c r="C292" s="9"/>
      <c r="D292" s="9"/>
      <c r="E292" s="9"/>
      <c r="F292" s="9"/>
      <c r="G292" s="38"/>
      <c r="H292" s="38"/>
      <c r="I292" s="42"/>
      <c r="J292" s="42"/>
      <c r="K292" s="38"/>
      <c r="L292" s="38"/>
      <c r="M292" s="38"/>
      <c r="N292" s="38"/>
      <c r="O292" s="9"/>
      <c r="P292" s="9"/>
      <c r="Q292" s="9"/>
      <c r="R292" s="9"/>
      <c r="S292" s="9"/>
      <c r="T292" s="9"/>
      <c r="U292" s="9"/>
      <c r="V292" s="42"/>
      <c r="W292" s="9"/>
      <c r="X292" s="9"/>
      <c r="Y292" s="39"/>
      <c r="Z292" s="9"/>
      <c r="AA292" s="38"/>
      <c r="AB292" s="9"/>
      <c r="AC292" s="9"/>
      <c r="AD292" s="9"/>
      <c r="AE292" s="9"/>
      <c r="AF292" s="9"/>
      <c r="AG292" s="9"/>
      <c r="AH292" s="38"/>
      <c r="AI292" s="9"/>
      <c r="AJ292" s="39"/>
      <c r="AK292" s="9"/>
      <c r="AL292" s="9"/>
      <c r="AM292" s="9"/>
      <c r="AN292" s="9"/>
      <c r="AO292" s="9"/>
      <c r="AP292" s="9"/>
      <c r="AQ292" s="9"/>
      <c r="AR292" s="10" t="str">
        <f aca="false">IF(A292="","",SG_Criteria!$B$6&amp;SG_Criteria!$B$10&amp;"\"&amp;A292&amp;"\")</f>
        <v/>
      </c>
      <c r="AS292" s="10" t="str">
        <f aca="false">IF(A292="","",A292&amp;"_CAD.dwg")</f>
        <v/>
      </c>
      <c r="AT292" s="10" t="str">
        <f aca="false">IF(A292="","",A292&amp;"_DWG.pdf")</f>
        <v/>
      </c>
      <c r="AU292" s="10" t="str">
        <f aca="false">IF(A292="","",IF(AQ292="Y",A292&amp;"_STAAD.std","n/a"))</f>
        <v/>
      </c>
      <c r="AV292" s="10" t="str">
        <f aca="false">IF(A292="","",A292&amp;"_CALC.xlsx")</f>
        <v/>
      </c>
      <c r="AW292" s="10" t="str">
        <f aca="false">IF(A292="","",A292&amp;"_CALC.pdf")</f>
        <v/>
      </c>
      <c r="AX292" s="9"/>
      <c r="AY292" s="9"/>
      <c r="AZ292" s="39"/>
      <c r="BA292" s="39"/>
      <c r="BB292" s="39"/>
      <c r="BC292" s="39"/>
      <c r="BD292" s="39"/>
      <c r="BE292" s="12" t="str">
        <f aca="false">IF(A292="","",IF(COUNTIF(Rebar_Schedule!$A$5:$A$2004,A292)=0,"",ROUND(SUMIF(Rebar_Schedule!$A$5:$A$2004,A292,Rebar_Schedule!$K$5:$K$2004),1)))</f>
        <v/>
      </c>
      <c r="BF292" s="33" t="str">
        <f aca="false">IF(A292="","",IF(BE292="","No rebar schedule yet",IF(ABS(BE292-N(BA292))/MAX(N(BA292),1)&gt;SG_Criteria!$B$55,"NOTE: register rebar differs from schedule by "&amp;TEXT(ABS(BE292-N(BA292))/MAX(N(BA292),1),"0%"),"OK")))</f>
        <v/>
      </c>
      <c r="BG292" s="33" t="str">
        <f aca="false">IF(D292="","",IF(LEN(IF(AND(Z292&lt;&gt;"",IFERROR(VALUE(MID(Z292,2,2)),0)&lt;SG_Criteria!$B$19),"FAIL: grade below C"&amp;SG_Criteria!$B$19&amp;". ","")&amp;IF(AND(AA292&lt;&gt;"",AA292&lt;SG_Criteria!$B$20),"FAIL: cover &lt; "&amp;SG_Criteria!$B$20&amp;" mm. ","")&amp;IF(AND(I292&lt;&gt;"",I292&lt;SG_Criteria!$B$39),"NOTE: min depth below PUB "&amp;SG_Criteria!$B$39&amp;" m. ","")&amp;IF(AND(LEFT(D292,8)="Standard",J292&gt;SG_Criteria!$B$42),"FAIL: PUB 001C covers manholes up to "&amp;SG_Criteria!$B$42&amp;" m deep only. ","")&amp;IF(AND(LEFT(D292,11)="Rectangular",K292&lt;SG_Criteria!$B$43),"NOTE: 004C is for sewers &gt;= "&amp;SG_Criteria!$B$43&amp;" dia. ","")&amp;IF(AND(LEFT(D292,7)="Precast",J292&lt;=SG_Criteria!$B$42),"NOTE: 006C is for manholes &gt; "&amp;SG_Criteria!$B$42&amp;" m deep. ","")&amp;IF(AND(K292&lt;&gt;"",K292&lt;SG_Criteria!$B$40,D292&lt;&gt;"Inspection Chamber"),"NOTE: public sewer min dia "&amp;SG_Criteria!$B$40&amp;" mm. ","")&amp;IF(AND(Y292&lt;&gt;"",Y292&lt;SG_Criteria!$B$44),"FAIL: uplift FOS below "&amp;SG_Criteria!$B$44&amp;". ",""))=0,"OK",IF(AND(Z292&lt;&gt;"",IFERROR(VALUE(MID(Z292,2,2)),0)&lt;SG_Criteria!$B$19),"FAIL: grade below C"&amp;SG_Criteria!$B$19&amp;". ","")&amp;IF(AND(AA292&lt;&gt;"",AA292&lt;SG_Criteria!$B$20),"FAIL: cover &lt; "&amp;SG_Criteria!$B$20&amp;" mm. ","")&amp;IF(AND(I292&lt;&gt;"",I292&lt;SG_Criteria!$B$39),"NOTE: min depth below PUB "&amp;SG_Criteria!$B$39&amp;" m. ","")&amp;IF(AND(LEFT(D292,8)="Standard",J292&gt;SG_Criteria!$B$42),"FAIL: PUB 001C covers manholes up to "&amp;SG_Criteria!$B$42&amp;" m deep only. ","")&amp;IF(AND(LEFT(D292,11)="Rectangular",K292&lt;SG_Criteria!$B$43),"NOTE: 004C is for sewers &gt;= "&amp;SG_Criteria!$B$43&amp;" dia. ","")&amp;IF(AND(LEFT(D292,7)="Precast",J292&lt;=SG_Criteria!$B$42),"NOTE: 006C is for manholes &gt; "&amp;SG_Criteria!$B$42&amp;" m deep. ","")&amp;IF(AND(K292&lt;&gt;"",K292&lt;SG_Criteria!$B$40,D292&lt;&gt;"Inspection Chamber"),"NOTE: public sewer min dia "&amp;SG_Criteria!$B$40&amp;" mm. ","")&amp;IF(AND(Y292&lt;&gt;"",Y292&lt;SG_Criteria!$B$44),"FAIL: uplift FOS below "&amp;SG_Criteria!$B$44&amp;". ","")))</f>
        <v/>
      </c>
      <c r="BH292" s="9"/>
      <c r="BI292" s="9"/>
      <c r="BJ292" s="9"/>
      <c r="BK292" s="10" t="str">
        <f aca="false">IF(BJ292="","",IFERROR(VLOOKUP(BJ292,Projects!$A$5:$D$504,2,0),"Ref not in Projects"))</f>
        <v/>
      </c>
      <c r="BL292" s="10" t="str">
        <f aca="false">IF(BJ292="","",IFERROR(VLOOKUP(BJ292,Projects!$A$5:$D$504,4,0),"Ref not in Projects"))</f>
        <v/>
      </c>
      <c r="BM292" s="9"/>
      <c r="BN292" s="9"/>
      <c r="BO292" s="9"/>
      <c r="BP292" s="40"/>
      <c r="BQ292" s="9"/>
      <c r="BR292" s="40"/>
      <c r="BS292" s="9"/>
      <c r="BT292" s="40"/>
      <c r="BU292" s="9"/>
      <c r="BV292" s="9"/>
      <c r="BW292" s="9"/>
      <c r="BX292" s="40"/>
      <c r="BY292" s="40"/>
      <c r="BZ292" s="36" t="str">
        <f aca="false">IF(BY292="","",EDATE(BY292,SG_Criteria!$B$54*12))</f>
        <v/>
      </c>
      <c r="CA292" s="33" t="str">
        <f aca="true">IF(A292="","",IF(BY292="","NOTE: not reviewed yet",IF(TODAY()&gt;BZ292,"NOTE: review overdue","OK")))</f>
        <v/>
      </c>
      <c r="CB292" s="37" t="str">
        <f aca="false">IF(A292="","",ROUND((IF(LEN(D292)&gt;0,1,0)+IF(LEN(E292)&gt;0,1,0)+IF(LEN(F292)&gt;0,1,0)+IF(LEN(G292)&gt;0,1,0)+IF(LEN(I292)&gt;0,1,0)+IF(LEN(J292)&gt;0,1,0)+IF(LEN(K292)&gt;0,1,0)+IF(LEN(L292)&gt;0,1,0)+IF(LEN(M292)&gt;0,1,0)+IF(LEN(N292)&gt;0,1,0)+IF(LEN(Z292)&gt;0,1,0)+IF(LEN(AA292)&gt;0,1,0)+IF(LEN(Y292)&gt;0,1,0)+IF(LEN(AE292)&gt;0,1,0)+IF(LEN(AG292)&gt;0,1,0)+IF(LEN(AZ292)&gt;0,1,0)+IF(LEN(AK292)&gt;0,1,0)+IF(LEN(AM292)&gt;0,1,0)+IF(LEN(AN292)&gt;0,1,0)+IF(LEN(AO292)&gt;0,1,0)+IF(LEN(AP292)&gt;0,1,0)+IF(LEN(AY292)&gt;0,1,0)+IF(LEN(BJ292)&gt;0,1,0)+IF(LEN(BW292)&gt;0,1,0))/24,2))</f>
        <v/>
      </c>
      <c r="CC292" s="10" t="str">
        <f aca="false">IF(D292="","",IF(AND(AN292="Approved",ISERROR(SEARCH("FAIL",BG292))),"Y","N"))</f>
        <v/>
      </c>
      <c r="CD292" s="10" t="str">
        <f aca="false">IF(D292="","",D292&amp;"|"&amp;J292&amp;"|"&amp;G292&amp;"|"&amp;CC292)</f>
        <v/>
      </c>
    </row>
    <row r="293" customFormat="false" ht="15" hidden="false" customHeight="false" outlineLevel="0" collapsed="false">
      <c r="A293" s="10" t="str">
        <f aca="false">IF(D293="","","MH-"&amp;IFERROR(VLOOKUP(D293,Lists!$AB$4:$AC$20,2,0),"??")&amp;"-"&amp;TEXT(G293,"0000")&amp;IF(F293="Circular","D","x"&amp;TEXT(H293,"0000"))&amp;"-D"&amp;TEXT(J293*1000,"0000")&amp;"-"&amp;IFERROR(VLOOKUP(E293,Lists!$AE$4:$AF$16,2,0),"??")&amp;"-"&amp;AM293)</f>
        <v/>
      </c>
      <c r="B293" s="10" t="str">
        <f aca="false">IF(D293="","",D293&amp;", "&amp;E293&amp;", "&amp;IF(F293="Circular",G293&amp;" dia",G293&amp;" x "&amp;H293)&amp;", depth "&amp;TEXT(I293,"0.0")&amp;"-"&amp;TEXT(J293,"0.0")&amp;" m, pipe up to "&amp;K293&amp;" dia")</f>
        <v/>
      </c>
      <c r="C293" s="9"/>
      <c r="D293" s="9"/>
      <c r="E293" s="9"/>
      <c r="F293" s="9"/>
      <c r="G293" s="38"/>
      <c r="H293" s="38"/>
      <c r="I293" s="42"/>
      <c r="J293" s="42"/>
      <c r="K293" s="38"/>
      <c r="L293" s="38"/>
      <c r="M293" s="38"/>
      <c r="N293" s="38"/>
      <c r="O293" s="9"/>
      <c r="P293" s="9"/>
      <c r="Q293" s="9"/>
      <c r="R293" s="9"/>
      <c r="S293" s="9"/>
      <c r="T293" s="9"/>
      <c r="U293" s="9"/>
      <c r="V293" s="42"/>
      <c r="W293" s="9"/>
      <c r="X293" s="9"/>
      <c r="Y293" s="39"/>
      <c r="Z293" s="9"/>
      <c r="AA293" s="38"/>
      <c r="AB293" s="9"/>
      <c r="AC293" s="9"/>
      <c r="AD293" s="9"/>
      <c r="AE293" s="9"/>
      <c r="AF293" s="9"/>
      <c r="AG293" s="9"/>
      <c r="AH293" s="38"/>
      <c r="AI293" s="9"/>
      <c r="AJ293" s="39"/>
      <c r="AK293" s="9"/>
      <c r="AL293" s="9"/>
      <c r="AM293" s="9"/>
      <c r="AN293" s="9"/>
      <c r="AO293" s="9"/>
      <c r="AP293" s="9"/>
      <c r="AQ293" s="9"/>
      <c r="AR293" s="10" t="str">
        <f aca="false">IF(A293="","",SG_Criteria!$B$6&amp;SG_Criteria!$B$10&amp;"\"&amp;A293&amp;"\")</f>
        <v/>
      </c>
      <c r="AS293" s="10" t="str">
        <f aca="false">IF(A293="","",A293&amp;"_CAD.dwg")</f>
        <v/>
      </c>
      <c r="AT293" s="10" t="str">
        <f aca="false">IF(A293="","",A293&amp;"_DWG.pdf")</f>
        <v/>
      </c>
      <c r="AU293" s="10" t="str">
        <f aca="false">IF(A293="","",IF(AQ293="Y",A293&amp;"_STAAD.std","n/a"))</f>
        <v/>
      </c>
      <c r="AV293" s="10" t="str">
        <f aca="false">IF(A293="","",A293&amp;"_CALC.xlsx")</f>
        <v/>
      </c>
      <c r="AW293" s="10" t="str">
        <f aca="false">IF(A293="","",A293&amp;"_CALC.pdf")</f>
        <v/>
      </c>
      <c r="AX293" s="9"/>
      <c r="AY293" s="9"/>
      <c r="AZ293" s="39"/>
      <c r="BA293" s="39"/>
      <c r="BB293" s="39"/>
      <c r="BC293" s="39"/>
      <c r="BD293" s="39"/>
      <c r="BE293" s="12" t="str">
        <f aca="false">IF(A293="","",IF(COUNTIF(Rebar_Schedule!$A$5:$A$2004,A293)=0,"",ROUND(SUMIF(Rebar_Schedule!$A$5:$A$2004,A293,Rebar_Schedule!$K$5:$K$2004),1)))</f>
        <v/>
      </c>
      <c r="BF293" s="33" t="str">
        <f aca="false">IF(A293="","",IF(BE293="","No rebar schedule yet",IF(ABS(BE293-N(BA293))/MAX(N(BA293),1)&gt;SG_Criteria!$B$55,"NOTE: register rebar differs from schedule by "&amp;TEXT(ABS(BE293-N(BA293))/MAX(N(BA293),1),"0%"),"OK")))</f>
        <v/>
      </c>
      <c r="BG293" s="33" t="str">
        <f aca="false">IF(D293="","",IF(LEN(IF(AND(Z293&lt;&gt;"",IFERROR(VALUE(MID(Z293,2,2)),0)&lt;SG_Criteria!$B$19),"FAIL: grade below C"&amp;SG_Criteria!$B$19&amp;". ","")&amp;IF(AND(AA293&lt;&gt;"",AA293&lt;SG_Criteria!$B$20),"FAIL: cover &lt; "&amp;SG_Criteria!$B$20&amp;" mm. ","")&amp;IF(AND(I293&lt;&gt;"",I293&lt;SG_Criteria!$B$39),"NOTE: min depth below PUB "&amp;SG_Criteria!$B$39&amp;" m. ","")&amp;IF(AND(LEFT(D293,8)="Standard",J293&gt;SG_Criteria!$B$42),"FAIL: PUB 001C covers manholes up to "&amp;SG_Criteria!$B$42&amp;" m deep only. ","")&amp;IF(AND(LEFT(D293,11)="Rectangular",K293&lt;SG_Criteria!$B$43),"NOTE: 004C is for sewers &gt;= "&amp;SG_Criteria!$B$43&amp;" dia. ","")&amp;IF(AND(LEFT(D293,7)="Precast",J293&lt;=SG_Criteria!$B$42),"NOTE: 006C is for manholes &gt; "&amp;SG_Criteria!$B$42&amp;" m deep. ","")&amp;IF(AND(K293&lt;&gt;"",K293&lt;SG_Criteria!$B$40,D293&lt;&gt;"Inspection Chamber"),"NOTE: public sewer min dia "&amp;SG_Criteria!$B$40&amp;" mm. ","")&amp;IF(AND(Y293&lt;&gt;"",Y293&lt;SG_Criteria!$B$44),"FAIL: uplift FOS below "&amp;SG_Criteria!$B$44&amp;". ",""))=0,"OK",IF(AND(Z293&lt;&gt;"",IFERROR(VALUE(MID(Z293,2,2)),0)&lt;SG_Criteria!$B$19),"FAIL: grade below C"&amp;SG_Criteria!$B$19&amp;". ","")&amp;IF(AND(AA293&lt;&gt;"",AA293&lt;SG_Criteria!$B$20),"FAIL: cover &lt; "&amp;SG_Criteria!$B$20&amp;" mm. ","")&amp;IF(AND(I293&lt;&gt;"",I293&lt;SG_Criteria!$B$39),"NOTE: min depth below PUB "&amp;SG_Criteria!$B$39&amp;" m. ","")&amp;IF(AND(LEFT(D293,8)="Standard",J293&gt;SG_Criteria!$B$42),"FAIL: PUB 001C covers manholes up to "&amp;SG_Criteria!$B$42&amp;" m deep only. ","")&amp;IF(AND(LEFT(D293,11)="Rectangular",K293&lt;SG_Criteria!$B$43),"NOTE: 004C is for sewers &gt;= "&amp;SG_Criteria!$B$43&amp;" dia. ","")&amp;IF(AND(LEFT(D293,7)="Precast",J293&lt;=SG_Criteria!$B$42),"NOTE: 006C is for manholes &gt; "&amp;SG_Criteria!$B$42&amp;" m deep. ","")&amp;IF(AND(K293&lt;&gt;"",K293&lt;SG_Criteria!$B$40,D293&lt;&gt;"Inspection Chamber"),"NOTE: public sewer min dia "&amp;SG_Criteria!$B$40&amp;" mm. ","")&amp;IF(AND(Y293&lt;&gt;"",Y293&lt;SG_Criteria!$B$44),"FAIL: uplift FOS below "&amp;SG_Criteria!$B$44&amp;". ","")))</f>
        <v/>
      </c>
      <c r="BH293" s="9"/>
      <c r="BI293" s="9"/>
      <c r="BJ293" s="9"/>
      <c r="BK293" s="10" t="str">
        <f aca="false">IF(BJ293="","",IFERROR(VLOOKUP(BJ293,Projects!$A$5:$D$504,2,0),"Ref not in Projects"))</f>
        <v/>
      </c>
      <c r="BL293" s="10" t="str">
        <f aca="false">IF(BJ293="","",IFERROR(VLOOKUP(BJ293,Projects!$A$5:$D$504,4,0),"Ref not in Projects"))</f>
        <v/>
      </c>
      <c r="BM293" s="9"/>
      <c r="BN293" s="9"/>
      <c r="BO293" s="9"/>
      <c r="BP293" s="40"/>
      <c r="BQ293" s="9"/>
      <c r="BR293" s="40"/>
      <c r="BS293" s="9"/>
      <c r="BT293" s="40"/>
      <c r="BU293" s="9"/>
      <c r="BV293" s="9"/>
      <c r="BW293" s="9"/>
      <c r="BX293" s="40"/>
      <c r="BY293" s="40"/>
      <c r="BZ293" s="36" t="str">
        <f aca="false">IF(BY293="","",EDATE(BY293,SG_Criteria!$B$54*12))</f>
        <v/>
      </c>
      <c r="CA293" s="33" t="str">
        <f aca="true">IF(A293="","",IF(BY293="","NOTE: not reviewed yet",IF(TODAY()&gt;BZ293,"NOTE: review overdue","OK")))</f>
        <v/>
      </c>
      <c r="CB293" s="37" t="str">
        <f aca="false">IF(A293="","",ROUND((IF(LEN(D293)&gt;0,1,0)+IF(LEN(E293)&gt;0,1,0)+IF(LEN(F293)&gt;0,1,0)+IF(LEN(G293)&gt;0,1,0)+IF(LEN(I293)&gt;0,1,0)+IF(LEN(J293)&gt;0,1,0)+IF(LEN(K293)&gt;0,1,0)+IF(LEN(L293)&gt;0,1,0)+IF(LEN(M293)&gt;0,1,0)+IF(LEN(N293)&gt;0,1,0)+IF(LEN(Z293)&gt;0,1,0)+IF(LEN(AA293)&gt;0,1,0)+IF(LEN(Y293)&gt;0,1,0)+IF(LEN(AE293)&gt;0,1,0)+IF(LEN(AG293)&gt;0,1,0)+IF(LEN(AZ293)&gt;0,1,0)+IF(LEN(AK293)&gt;0,1,0)+IF(LEN(AM293)&gt;0,1,0)+IF(LEN(AN293)&gt;0,1,0)+IF(LEN(AO293)&gt;0,1,0)+IF(LEN(AP293)&gt;0,1,0)+IF(LEN(AY293)&gt;0,1,0)+IF(LEN(BJ293)&gt;0,1,0)+IF(LEN(BW293)&gt;0,1,0))/24,2))</f>
        <v/>
      </c>
      <c r="CC293" s="10" t="str">
        <f aca="false">IF(D293="","",IF(AND(AN293="Approved",ISERROR(SEARCH("FAIL",BG293))),"Y","N"))</f>
        <v/>
      </c>
      <c r="CD293" s="10" t="str">
        <f aca="false">IF(D293="","",D293&amp;"|"&amp;J293&amp;"|"&amp;G293&amp;"|"&amp;CC293)</f>
        <v/>
      </c>
    </row>
    <row r="294" customFormat="false" ht="15" hidden="false" customHeight="false" outlineLevel="0" collapsed="false">
      <c r="A294" s="10" t="str">
        <f aca="false">IF(D294="","","MH-"&amp;IFERROR(VLOOKUP(D294,Lists!$AB$4:$AC$20,2,0),"??")&amp;"-"&amp;TEXT(G294,"0000")&amp;IF(F294="Circular","D","x"&amp;TEXT(H294,"0000"))&amp;"-D"&amp;TEXT(J294*1000,"0000")&amp;"-"&amp;IFERROR(VLOOKUP(E294,Lists!$AE$4:$AF$16,2,0),"??")&amp;"-"&amp;AM294)</f>
        <v/>
      </c>
      <c r="B294" s="10" t="str">
        <f aca="false">IF(D294="","",D294&amp;", "&amp;E294&amp;", "&amp;IF(F294="Circular",G294&amp;" dia",G294&amp;" x "&amp;H294)&amp;", depth "&amp;TEXT(I294,"0.0")&amp;"-"&amp;TEXT(J294,"0.0")&amp;" m, pipe up to "&amp;K294&amp;" dia")</f>
        <v/>
      </c>
      <c r="C294" s="9"/>
      <c r="D294" s="9"/>
      <c r="E294" s="9"/>
      <c r="F294" s="9"/>
      <c r="G294" s="38"/>
      <c r="H294" s="38"/>
      <c r="I294" s="42"/>
      <c r="J294" s="42"/>
      <c r="K294" s="38"/>
      <c r="L294" s="38"/>
      <c r="M294" s="38"/>
      <c r="N294" s="38"/>
      <c r="O294" s="9"/>
      <c r="P294" s="9"/>
      <c r="Q294" s="9"/>
      <c r="R294" s="9"/>
      <c r="S294" s="9"/>
      <c r="T294" s="9"/>
      <c r="U294" s="9"/>
      <c r="V294" s="42"/>
      <c r="W294" s="9"/>
      <c r="X294" s="9"/>
      <c r="Y294" s="39"/>
      <c r="Z294" s="9"/>
      <c r="AA294" s="38"/>
      <c r="AB294" s="9"/>
      <c r="AC294" s="9"/>
      <c r="AD294" s="9"/>
      <c r="AE294" s="9"/>
      <c r="AF294" s="9"/>
      <c r="AG294" s="9"/>
      <c r="AH294" s="38"/>
      <c r="AI294" s="9"/>
      <c r="AJ294" s="39"/>
      <c r="AK294" s="9"/>
      <c r="AL294" s="9"/>
      <c r="AM294" s="9"/>
      <c r="AN294" s="9"/>
      <c r="AO294" s="9"/>
      <c r="AP294" s="9"/>
      <c r="AQ294" s="9"/>
      <c r="AR294" s="10" t="str">
        <f aca="false">IF(A294="","",SG_Criteria!$B$6&amp;SG_Criteria!$B$10&amp;"\"&amp;A294&amp;"\")</f>
        <v/>
      </c>
      <c r="AS294" s="10" t="str">
        <f aca="false">IF(A294="","",A294&amp;"_CAD.dwg")</f>
        <v/>
      </c>
      <c r="AT294" s="10" t="str">
        <f aca="false">IF(A294="","",A294&amp;"_DWG.pdf")</f>
        <v/>
      </c>
      <c r="AU294" s="10" t="str">
        <f aca="false">IF(A294="","",IF(AQ294="Y",A294&amp;"_STAAD.std","n/a"))</f>
        <v/>
      </c>
      <c r="AV294" s="10" t="str">
        <f aca="false">IF(A294="","",A294&amp;"_CALC.xlsx")</f>
        <v/>
      </c>
      <c r="AW294" s="10" t="str">
        <f aca="false">IF(A294="","",A294&amp;"_CALC.pdf")</f>
        <v/>
      </c>
      <c r="AX294" s="9"/>
      <c r="AY294" s="9"/>
      <c r="AZ294" s="39"/>
      <c r="BA294" s="39"/>
      <c r="BB294" s="39"/>
      <c r="BC294" s="39"/>
      <c r="BD294" s="39"/>
      <c r="BE294" s="12" t="str">
        <f aca="false">IF(A294="","",IF(COUNTIF(Rebar_Schedule!$A$5:$A$2004,A294)=0,"",ROUND(SUMIF(Rebar_Schedule!$A$5:$A$2004,A294,Rebar_Schedule!$K$5:$K$2004),1)))</f>
        <v/>
      </c>
      <c r="BF294" s="33" t="str">
        <f aca="false">IF(A294="","",IF(BE294="","No rebar schedule yet",IF(ABS(BE294-N(BA294))/MAX(N(BA294),1)&gt;SG_Criteria!$B$55,"NOTE: register rebar differs from schedule by "&amp;TEXT(ABS(BE294-N(BA294))/MAX(N(BA294),1),"0%"),"OK")))</f>
        <v/>
      </c>
      <c r="BG294" s="33" t="str">
        <f aca="false">IF(D294="","",IF(LEN(IF(AND(Z294&lt;&gt;"",IFERROR(VALUE(MID(Z294,2,2)),0)&lt;SG_Criteria!$B$19),"FAIL: grade below C"&amp;SG_Criteria!$B$19&amp;". ","")&amp;IF(AND(AA294&lt;&gt;"",AA294&lt;SG_Criteria!$B$20),"FAIL: cover &lt; "&amp;SG_Criteria!$B$20&amp;" mm. ","")&amp;IF(AND(I294&lt;&gt;"",I294&lt;SG_Criteria!$B$39),"NOTE: min depth below PUB "&amp;SG_Criteria!$B$39&amp;" m. ","")&amp;IF(AND(LEFT(D294,8)="Standard",J294&gt;SG_Criteria!$B$42),"FAIL: PUB 001C covers manholes up to "&amp;SG_Criteria!$B$42&amp;" m deep only. ","")&amp;IF(AND(LEFT(D294,11)="Rectangular",K294&lt;SG_Criteria!$B$43),"NOTE: 004C is for sewers &gt;= "&amp;SG_Criteria!$B$43&amp;" dia. ","")&amp;IF(AND(LEFT(D294,7)="Precast",J294&lt;=SG_Criteria!$B$42),"NOTE: 006C is for manholes &gt; "&amp;SG_Criteria!$B$42&amp;" m deep. ","")&amp;IF(AND(K294&lt;&gt;"",K294&lt;SG_Criteria!$B$40,D294&lt;&gt;"Inspection Chamber"),"NOTE: public sewer min dia "&amp;SG_Criteria!$B$40&amp;" mm. ","")&amp;IF(AND(Y294&lt;&gt;"",Y294&lt;SG_Criteria!$B$44),"FAIL: uplift FOS below "&amp;SG_Criteria!$B$44&amp;". ",""))=0,"OK",IF(AND(Z294&lt;&gt;"",IFERROR(VALUE(MID(Z294,2,2)),0)&lt;SG_Criteria!$B$19),"FAIL: grade below C"&amp;SG_Criteria!$B$19&amp;". ","")&amp;IF(AND(AA294&lt;&gt;"",AA294&lt;SG_Criteria!$B$20),"FAIL: cover &lt; "&amp;SG_Criteria!$B$20&amp;" mm. ","")&amp;IF(AND(I294&lt;&gt;"",I294&lt;SG_Criteria!$B$39),"NOTE: min depth below PUB "&amp;SG_Criteria!$B$39&amp;" m. ","")&amp;IF(AND(LEFT(D294,8)="Standard",J294&gt;SG_Criteria!$B$42),"FAIL: PUB 001C covers manholes up to "&amp;SG_Criteria!$B$42&amp;" m deep only. ","")&amp;IF(AND(LEFT(D294,11)="Rectangular",K294&lt;SG_Criteria!$B$43),"NOTE: 004C is for sewers &gt;= "&amp;SG_Criteria!$B$43&amp;" dia. ","")&amp;IF(AND(LEFT(D294,7)="Precast",J294&lt;=SG_Criteria!$B$42),"NOTE: 006C is for manholes &gt; "&amp;SG_Criteria!$B$42&amp;" m deep. ","")&amp;IF(AND(K294&lt;&gt;"",K294&lt;SG_Criteria!$B$40,D294&lt;&gt;"Inspection Chamber"),"NOTE: public sewer min dia "&amp;SG_Criteria!$B$40&amp;" mm. ","")&amp;IF(AND(Y294&lt;&gt;"",Y294&lt;SG_Criteria!$B$44),"FAIL: uplift FOS below "&amp;SG_Criteria!$B$44&amp;". ","")))</f>
        <v/>
      </c>
      <c r="BH294" s="9"/>
      <c r="BI294" s="9"/>
      <c r="BJ294" s="9"/>
      <c r="BK294" s="10" t="str">
        <f aca="false">IF(BJ294="","",IFERROR(VLOOKUP(BJ294,Projects!$A$5:$D$504,2,0),"Ref not in Projects"))</f>
        <v/>
      </c>
      <c r="BL294" s="10" t="str">
        <f aca="false">IF(BJ294="","",IFERROR(VLOOKUP(BJ294,Projects!$A$5:$D$504,4,0),"Ref not in Projects"))</f>
        <v/>
      </c>
      <c r="BM294" s="9"/>
      <c r="BN294" s="9"/>
      <c r="BO294" s="9"/>
      <c r="BP294" s="40"/>
      <c r="BQ294" s="9"/>
      <c r="BR294" s="40"/>
      <c r="BS294" s="9"/>
      <c r="BT294" s="40"/>
      <c r="BU294" s="9"/>
      <c r="BV294" s="9"/>
      <c r="BW294" s="9"/>
      <c r="BX294" s="40"/>
      <c r="BY294" s="40"/>
      <c r="BZ294" s="36" t="str">
        <f aca="false">IF(BY294="","",EDATE(BY294,SG_Criteria!$B$54*12))</f>
        <v/>
      </c>
      <c r="CA294" s="33" t="str">
        <f aca="true">IF(A294="","",IF(BY294="","NOTE: not reviewed yet",IF(TODAY()&gt;BZ294,"NOTE: review overdue","OK")))</f>
        <v/>
      </c>
      <c r="CB294" s="37" t="str">
        <f aca="false">IF(A294="","",ROUND((IF(LEN(D294)&gt;0,1,0)+IF(LEN(E294)&gt;0,1,0)+IF(LEN(F294)&gt;0,1,0)+IF(LEN(G294)&gt;0,1,0)+IF(LEN(I294)&gt;0,1,0)+IF(LEN(J294)&gt;0,1,0)+IF(LEN(K294)&gt;0,1,0)+IF(LEN(L294)&gt;0,1,0)+IF(LEN(M294)&gt;0,1,0)+IF(LEN(N294)&gt;0,1,0)+IF(LEN(Z294)&gt;0,1,0)+IF(LEN(AA294)&gt;0,1,0)+IF(LEN(Y294)&gt;0,1,0)+IF(LEN(AE294)&gt;0,1,0)+IF(LEN(AG294)&gt;0,1,0)+IF(LEN(AZ294)&gt;0,1,0)+IF(LEN(AK294)&gt;0,1,0)+IF(LEN(AM294)&gt;0,1,0)+IF(LEN(AN294)&gt;0,1,0)+IF(LEN(AO294)&gt;0,1,0)+IF(LEN(AP294)&gt;0,1,0)+IF(LEN(AY294)&gt;0,1,0)+IF(LEN(BJ294)&gt;0,1,0)+IF(LEN(BW294)&gt;0,1,0))/24,2))</f>
        <v/>
      </c>
      <c r="CC294" s="10" t="str">
        <f aca="false">IF(D294="","",IF(AND(AN294="Approved",ISERROR(SEARCH("FAIL",BG294))),"Y","N"))</f>
        <v/>
      </c>
      <c r="CD294" s="10" t="str">
        <f aca="false">IF(D294="","",D294&amp;"|"&amp;J294&amp;"|"&amp;G294&amp;"|"&amp;CC294)</f>
        <v/>
      </c>
    </row>
    <row r="295" customFormat="false" ht="15" hidden="false" customHeight="false" outlineLevel="0" collapsed="false">
      <c r="A295" s="10" t="str">
        <f aca="false">IF(D295="","","MH-"&amp;IFERROR(VLOOKUP(D295,Lists!$AB$4:$AC$20,2,0),"??")&amp;"-"&amp;TEXT(G295,"0000")&amp;IF(F295="Circular","D","x"&amp;TEXT(H295,"0000"))&amp;"-D"&amp;TEXT(J295*1000,"0000")&amp;"-"&amp;IFERROR(VLOOKUP(E295,Lists!$AE$4:$AF$16,2,0),"??")&amp;"-"&amp;AM295)</f>
        <v/>
      </c>
      <c r="B295" s="10" t="str">
        <f aca="false">IF(D295="","",D295&amp;", "&amp;E295&amp;", "&amp;IF(F295="Circular",G295&amp;" dia",G295&amp;" x "&amp;H295)&amp;", depth "&amp;TEXT(I295,"0.0")&amp;"-"&amp;TEXT(J295,"0.0")&amp;" m, pipe up to "&amp;K295&amp;" dia")</f>
        <v/>
      </c>
      <c r="C295" s="9"/>
      <c r="D295" s="9"/>
      <c r="E295" s="9"/>
      <c r="F295" s="9"/>
      <c r="G295" s="38"/>
      <c r="H295" s="38"/>
      <c r="I295" s="42"/>
      <c r="J295" s="42"/>
      <c r="K295" s="38"/>
      <c r="L295" s="38"/>
      <c r="M295" s="38"/>
      <c r="N295" s="38"/>
      <c r="O295" s="9"/>
      <c r="P295" s="9"/>
      <c r="Q295" s="9"/>
      <c r="R295" s="9"/>
      <c r="S295" s="9"/>
      <c r="T295" s="9"/>
      <c r="U295" s="9"/>
      <c r="V295" s="42"/>
      <c r="W295" s="9"/>
      <c r="X295" s="9"/>
      <c r="Y295" s="39"/>
      <c r="Z295" s="9"/>
      <c r="AA295" s="38"/>
      <c r="AB295" s="9"/>
      <c r="AC295" s="9"/>
      <c r="AD295" s="9"/>
      <c r="AE295" s="9"/>
      <c r="AF295" s="9"/>
      <c r="AG295" s="9"/>
      <c r="AH295" s="38"/>
      <c r="AI295" s="9"/>
      <c r="AJ295" s="39"/>
      <c r="AK295" s="9"/>
      <c r="AL295" s="9"/>
      <c r="AM295" s="9"/>
      <c r="AN295" s="9"/>
      <c r="AO295" s="9"/>
      <c r="AP295" s="9"/>
      <c r="AQ295" s="9"/>
      <c r="AR295" s="10" t="str">
        <f aca="false">IF(A295="","",SG_Criteria!$B$6&amp;SG_Criteria!$B$10&amp;"\"&amp;A295&amp;"\")</f>
        <v/>
      </c>
      <c r="AS295" s="10" t="str">
        <f aca="false">IF(A295="","",A295&amp;"_CAD.dwg")</f>
        <v/>
      </c>
      <c r="AT295" s="10" t="str">
        <f aca="false">IF(A295="","",A295&amp;"_DWG.pdf")</f>
        <v/>
      </c>
      <c r="AU295" s="10" t="str">
        <f aca="false">IF(A295="","",IF(AQ295="Y",A295&amp;"_STAAD.std","n/a"))</f>
        <v/>
      </c>
      <c r="AV295" s="10" t="str">
        <f aca="false">IF(A295="","",A295&amp;"_CALC.xlsx")</f>
        <v/>
      </c>
      <c r="AW295" s="10" t="str">
        <f aca="false">IF(A295="","",A295&amp;"_CALC.pdf")</f>
        <v/>
      </c>
      <c r="AX295" s="9"/>
      <c r="AY295" s="9"/>
      <c r="AZ295" s="39"/>
      <c r="BA295" s="39"/>
      <c r="BB295" s="39"/>
      <c r="BC295" s="39"/>
      <c r="BD295" s="39"/>
      <c r="BE295" s="12" t="str">
        <f aca="false">IF(A295="","",IF(COUNTIF(Rebar_Schedule!$A$5:$A$2004,A295)=0,"",ROUND(SUMIF(Rebar_Schedule!$A$5:$A$2004,A295,Rebar_Schedule!$K$5:$K$2004),1)))</f>
        <v/>
      </c>
      <c r="BF295" s="33" t="str">
        <f aca="false">IF(A295="","",IF(BE295="","No rebar schedule yet",IF(ABS(BE295-N(BA295))/MAX(N(BA295),1)&gt;SG_Criteria!$B$55,"NOTE: register rebar differs from schedule by "&amp;TEXT(ABS(BE295-N(BA295))/MAX(N(BA295),1),"0%"),"OK")))</f>
        <v/>
      </c>
      <c r="BG295" s="33" t="str">
        <f aca="false">IF(D295="","",IF(LEN(IF(AND(Z295&lt;&gt;"",IFERROR(VALUE(MID(Z295,2,2)),0)&lt;SG_Criteria!$B$19),"FAIL: grade below C"&amp;SG_Criteria!$B$19&amp;". ","")&amp;IF(AND(AA295&lt;&gt;"",AA295&lt;SG_Criteria!$B$20),"FAIL: cover &lt; "&amp;SG_Criteria!$B$20&amp;" mm. ","")&amp;IF(AND(I295&lt;&gt;"",I295&lt;SG_Criteria!$B$39),"NOTE: min depth below PUB "&amp;SG_Criteria!$B$39&amp;" m. ","")&amp;IF(AND(LEFT(D295,8)="Standard",J295&gt;SG_Criteria!$B$42),"FAIL: PUB 001C covers manholes up to "&amp;SG_Criteria!$B$42&amp;" m deep only. ","")&amp;IF(AND(LEFT(D295,11)="Rectangular",K295&lt;SG_Criteria!$B$43),"NOTE: 004C is for sewers &gt;= "&amp;SG_Criteria!$B$43&amp;" dia. ","")&amp;IF(AND(LEFT(D295,7)="Precast",J295&lt;=SG_Criteria!$B$42),"NOTE: 006C is for manholes &gt; "&amp;SG_Criteria!$B$42&amp;" m deep. ","")&amp;IF(AND(K295&lt;&gt;"",K295&lt;SG_Criteria!$B$40,D295&lt;&gt;"Inspection Chamber"),"NOTE: public sewer min dia "&amp;SG_Criteria!$B$40&amp;" mm. ","")&amp;IF(AND(Y295&lt;&gt;"",Y295&lt;SG_Criteria!$B$44),"FAIL: uplift FOS below "&amp;SG_Criteria!$B$44&amp;". ",""))=0,"OK",IF(AND(Z295&lt;&gt;"",IFERROR(VALUE(MID(Z295,2,2)),0)&lt;SG_Criteria!$B$19),"FAIL: grade below C"&amp;SG_Criteria!$B$19&amp;". ","")&amp;IF(AND(AA295&lt;&gt;"",AA295&lt;SG_Criteria!$B$20),"FAIL: cover &lt; "&amp;SG_Criteria!$B$20&amp;" mm. ","")&amp;IF(AND(I295&lt;&gt;"",I295&lt;SG_Criteria!$B$39),"NOTE: min depth below PUB "&amp;SG_Criteria!$B$39&amp;" m. ","")&amp;IF(AND(LEFT(D295,8)="Standard",J295&gt;SG_Criteria!$B$42),"FAIL: PUB 001C covers manholes up to "&amp;SG_Criteria!$B$42&amp;" m deep only. ","")&amp;IF(AND(LEFT(D295,11)="Rectangular",K295&lt;SG_Criteria!$B$43),"NOTE: 004C is for sewers &gt;= "&amp;SG_Criteria!$B$43&amp;" dia. ","")&amp;IF(AND(LEFT(D295,7)="Precast",J295&lt;=SG_Criteria!$B$42),"NOTE: 006C is for manholes &gt; "&amp;SG_Criteria!$B$42&amp;" m deep. ","")&amp;IF(AND(K295&lt;&gt;"",K295&lt;SG_Criteria!$B$40,D295&lt;&gt;"Inspection Chamber"),"NOTE: public sewer min dia "&amp;SG_Criteria!$B$40&amp;" mm. ","")&amp;IF(AND(Y295&lt;&gt;"",Y295&lt;SG_Criteria!$B$44),"FAIL: uplift FOS below "&amp;SG_Criteria!$B$44&amp;". ","")))</f>
        <v/>
      </c>
      <c r="BH295" s="9"/>
      <c r="BI295" s="9"/>
      <c r="BJ295" s="9"/>
      <c r="BK295" s="10" t="str">
        <f aca="false">IF(BJ295="","",IFERROR(VLOOKUP(BJ295,Projects!$A$5:$D$504,2,0),"Ref not in Projects"))</f>
        <v/>
      </c>
      <c r="BL295" s="10" t="str">
        <f aca="false">IF(BJ295="","",IFERROR(VLOOKUP(BJ295,Projects!$A$5:$D$504,4,0),"Ref not in Projects"))</f>
        <v/>
      </c>
      <c r="BM295" s="9"/>
      <c r="BN295" s="9"/>
      <c r="BO295" s="9"/>
      <c r="BP295" s="40"/>
      <c r="BQ295" s="9"/>
      <c r="BR295" s="40"/>
      <c r="BS295" s="9"/>
      <c r="BT295" s="40"/>
      <c r="BU295" s="9"/>
      <c r="BV295" s="9"/>
      <c r="BW295" s="9"/>
      <c r="BX295" s="40"/>
      <c r="BY295" s="40"/>
      <c r="BZ295" s="36" t="str">
        <f aca="false">IF(BY295="","",EDATE(BY295,SG_Criteria!$B$54*12))</f>
        <v/>
      </c>
      <c r="CA295" s="33" t="str">
        <f aca="true">IF(A295="","",IF(BY295="","NOTE: not reviewed yet",IF(TODAY()&gt;BZ295,"NOTE: review overdue","OK")))</f>
        <v/>
      </c>
      <c r="CB295" s="37" t="str">
        <f aca="false">IF(A295="","",ROUND((IF(LEN(D295)&gt;0,1,0)+IF(LEN(E295)&gt;0,1,0)+IF(LEN(F295)&gt;0,1,0)+IF(LEN(G295)&gt;0,1,0)+IF(LEN(I295)&gt;0,1,0)+IF(LEN(J295)&gt;0,1,0)+IF(LEN(K295)&gt;0,1,0)+IF(LEN(L295)&gt;0,1,0)+IF(LEN(M295)&gt;0,1,0)+IF(LEN(N295)&gt;0,1,0)+IF(LEN(Z295)&gt;0,1,0)+IF(LEN(AA295)&gt;0,1,0)+IF(LEN(Y295)&gt;0,1,0)+IF(LEN(AE295)&gt;0,1,0)+IF(LEN(AG295)&gt;0,1,0)+IF(LEN(AZ295)&gt;0,1,0)+IF(LEN(AK295)&gt;0,1,0)+IF(LEN(AM295)&gt;0,1,0)+IF(LEN(AN295)&gt;0,1,0)+IF(LEN(AO295)&gt;0,1,0)+IF(LEN(AP295)&gt;0,1,0)+IF(LEN(AY295)&gt;0,1,0)+IF(LEN(BJ295)&gt;0,1,0)+IF(LEN(BW295)&gt;0,1,0))/24,2))</f>
        <v/>
      </c>
      <c r="CC295" s="10" t="str">
        <f aca="false">IF(D295="","",IF(AND(AN295="Approved",ISERROR(SEARCH("FAIL",BG295))),"Y","N"))</f>
        <v/>
      </c>
      <c r="CD295" s="10" t="str">
        <f aca="false">IF(D295="","",D295&amp;"|"&amp;J295&amp;"|"&amp;G295&amp;"|"&amp;CC295)</f>
        <v/>
      </c>
    </row>
    <row r="296" customFormat="false" ht="15" hidden="false" customHeight="false" outlineLevel="0" collapsed="false">
      <c r="A296" s="10" t="str">
        <f aca="false">IF(D296="","","MH-"&amp;IFERROR(VLOOKUP(D296,Lists!$AB$4:$AC$20,2,0),"??")&amp;"-"&amp;TEXT(G296,"0000")&amp;IF(F296="Circular","D","x"&amp;TEXT(H296,"0000"))&amp;"-D"&amp;TEXT(J296*1000,"0000")&amp;"-"&amp;IFERROR(VLOOKUP(E296,Lists!$AE$4:$AF$16,2,0),"??")&amp;"-"&amp;AM296)</f>
        <v/>
      </c>
      <c r="B296" s="10" t="str">
        <f aca="false">IF(D296="","",D296&amp;", "&amp;E296&amp;", "&amp;IF(F296="Circular",G296&amp;" dia",G296&amp;" x "&amp;H296)&amp;", depth "&amp;TEXT(I296,"0.0")&amp;"-"&amp;TEXT(J296,"0.0")&amp;" m, pipe up to "&amp;K296&amp;" dia")</f>
        <v/>
      </c>
      <c r="C296" s="9"/>
      <c r="D296" s="9"/>
      <c r="E296" s="9"/>
      <c r="F296" s="9"/>
      <c r="G296" s="38"/>
      <c r="H296" s="38"/>
      <c r="I296" s="42"/>
      <c r="J296" s="42"/>
      <c r="K296" s="38"/>
      <c r="L296" s="38"/>
      <c r="M296" s="38"/>
      <c r="N296" s="38"/>
      <c r="O296" s="9"/>
      <c r="P296" s="9"/>
      <c r="Q296" s="9"/>
      <c r="R296" s="9"/>
      <c r="S296" s="9"/>
      <c r="T296" s="9"/>
      <c r="U296" s="9"/>
      <c r="V296" s="42"/>
      <c r="W296" s="9"/>
      <c r="X296" s="9"/>
      <c r="Y296" s="39"/>
      <c r="Z296" s="9"/>
      <c r="AA296" s="38"/>
      <c r="AB296" s="9"/>
      <c r="AC296" s="9"/>
      <c r="AD296" s="9"/>
      <c r="AE296" s="9"/>
      <c r="AF296" s="9"/>
      <c r="AG296" s="9"/>
      <c r="AH296" s="38"/>
      <c r="AI296" s="9"/>
      <c r="AJ296" s="39"/>
      <c r="AK296" s="9"/>
      <c r="AL296" s="9"/>
      <c r="AM296" s="9"/>
      <c r="AN296" s="9"/>
      <c r="AO296" s="9"/>
      <c r="AP296" s="9"/>
      <c r="AQ296" s="9"/>
      <c r="AR296" s="10" t="str">
        <f aca="false">IF(A296="","",SG_Criteria!$B$6&amp;SG_Criteria!$B$10&amp;"\"&amp;A296&amp;"\")</f>
        <v/>
      </c>
      <c r="AS296" s="10" t="str">
        <f aca="false">IF(A296="","",A296&amp;"_CAD.dwg")</f>
        <v/>
      </c>
      <c r="AT296" s="10" t="str">
        <f aca="false">IF(A296="","",A296&amp;"_DWG.pdf")</f>
        <v/>
      </c>
      <c r="AU296" s="10" t="str">
        <f aca="false">IF(A296="","",IF(AQ296="Y",A296&amp;"_STAAD.std","n/a"))</f>
        <v/>
      </c>
      <c r="AV296" s="10" t="str">
        <f aca="false">IF(A296="","",A296&amp;"_CALC.xlsx")</f>
        <v/>
      </c>
      <c r="AW296" s="10" t="str">
        <f aca="false">IF(A296="","",A296&amp;"_CALC.pdf")</f>
        <v/>
      </c>
      <c r="AX296" s="9"/>
      <c r="AY296" s="9"/>
      <c r="AZ296" s="39"/>
      <c r="BA296" s="39"/>
      <c r="BB296" s="39"/>
      <c r="BC296" s="39"/>
      <c r="BD296" s="39"/>
      <c r="BE296" s="12" t="str">
        <f aca="false">IF(A296="","",IF(COUNTIF(Rebar_Schedule!$A$5:$A$2004,A296)=0,"",ROUND(SUMIF(Rebar_Schedule!$A$5:$A$2004,A296,Rebar_Schedule!$K$5:$K$2004),1)))</f>
        <v/>
      </c>
      <c r="BF296" s="33" t="str">
        <f aca="false">IF(A296="","",IF(BE296="","No rebar schedule yet",IF(ABS(BE296-N(BA296))/MAX(N(BA296),1)&gt;SG_Criteria!$B$55,"NOTE: register rebar differs from schedule by "&amp;TEXT(ABS(BE296-N(BA296))/MAX(N(BA296),1),"0%"),"OK")))</f>
        <v/>
      </c>
      <c r="BG296" s="33" t="str">
        <f aca="false">IF(D296="","",IF(LEN(IF(AND(Z296&lt;&gt;"",IFERROR(VALUE(MID(Z296,2,2)),0)&lt;SG_Criteria!$B$19),"FAIL: grade below C"&amp;SG_Criteria!$B$19&amp;". ","")&amp;IF(AND(AA296&lt;&gt;"",AA296&lt;SG_Criteria!$B$20),"FAIL: cover &lt; "&amp;SG_Criteria!$B$20&amp;" mm. ","")&amp;IF(AND(I296&lt;&gt;"",I296&lt;SG_Criteria!$B$39),"NOTE: min depth below PUB "&amp;SG_Criteria!$B$39&amp;" m. ","")&amp;IF(AND(LEFT(D296,8)="Standard",J296&gt;SG_Criteria!$B$42),"FAIL: PUB 001C covers manholes up to "&amp;SG_Criteria!$B$42&amp;" m deep only. ","")&amp;IF(AND(LEFT(D296,11)="Rectangular",K296&lt;SG_Criteria!$B$43),"NOTE: 004C is for sewers &gt;= "&amp;SG_Criteria!$B$43&amp;" dia. ","")&amp;IF(AND(LEFT(D296,7)="Precast",J296&lt;=SG_Criteria!$B$42),"NOTE: 006C is for manholes &gt; "&amp;SG_Criteria!$B$42&amp;" m deep. ","")&amp;IF(AND(K296&lt;&gt;"",K296&lt;SG_Criteria!$B$40,D296&lt;&gt;"Inspection Chamber"),"NOTE: public sewer min dia "&amp;SG_Criteria!$B$40&amp;" mm. ","")&amp;IF(AND(Y296&lt;&gt;"",Y296&lt;SG_Criteria!$B$44),"FAIL: uplift FOS below "&amp;SG_Criteria!$B$44&amp;". ",""))=0,"OK",IF(AND(Z296&lt;&gt;"",IFERROR(VALUE(MID(Z296,2,2)),0)&lt;SG_Criteria!$B$19),"FAIL: grade below C"&amp;SG_Criteria!$B$19&amp;". ","")&amp;IF(AND(AA296&lt;&gt;"",AA296&lt;SG_Criteria!$B$20),"FAIL: cover &lt; "&amp;SG_Criteria!$B$20&amp;" mm. ","")&amp;IF(AND(I296&lt;&gt;"",I296&lt;SG_Criteria!$B$39),"NOTE: min depth below PUB "&amp;SG_Criteria!$B$39&amp;" m. ","")&amp;IF(AND(LEFT(D296,8)="Standard",J296&gt;SG_Criteria!$B$42),"FAIL: PUB 001C covers manholes up to "&amp;SG_Criteria!$B$42&amp;" m deep only. ","")&amp;IF(AND(LEFT(D296,11)="Rectangular",K296&lt;SG_Criteria!$B$43),"NOTE: 004C is for sewers &gt;= "&amp;SG_Criteria!$B$43&amp;" dia. ","")&amp;IF(AND(LEFT(D296,7)="Precast",J296&lt;=SG_Criteria!$B$42),"NOTE: 006C is for manholes &gt; "&amp;SG_Criteria!$B$42&amp;" m deep. ","")&amp;IF(AND(K296&lt;&gt;"",K296&lt;SG_Criteria!$B$40,D296&lt;&gt;"Inspection Chamber"),"NOTE: public sewer min dia "&amp;SG_Criteria!$B$40&amp;" mm. ","")&amp;IF(AND(Y296&lt;&gt;"",Y296&lt;SG_Criteria!$B$44),"FAIL: uplift FOS below "&amp;SG_Criteria!$B$44&amp;". ","")))</f>
        <v/>
      </c>
      <c r="BH296" s="9"/>
      <c r="BI296" s="9"/>
      <c r="BJ296" s="9"/>
      <c r="BK296" s="10" t="str">
        <f aca="false">IF(BJ296="","",IFERROR(VLOOKUP(BJ296,Projects!$A$5:$D$504,2,0),"Ref not in Projects"))</f>
        <v/>
      </c>
      <c r="BL296" s="10" t="str">
        <f aca="false">IF(BJ296="","",IFERROR(VLOOKUP(BJ296,Projects!$A$5:$D$504,4,0),"Ref not in Projects"))</f>
        <v/>
      </c>
      <c r="BM296" s="9"/>
      <c r="BN296" s="9"/>
      <c r="BO296" s="9"/>
      <c r="BP296" s="40"/>
      <c r="BQ296" s="9"/>
      <c r="BR296" s="40"/>
      <c r="BS296" s="9"/>
      <c r="BT296" s="40"/>
      <c r="BU296" s="9"/>
      <c r="BV296" s="9"/>
      <c r="BW296" s="9"/>
      <c r="BX296" s="40"/>
      <c r="BY296" s="40"/>
      <c r="BZ296" s="36" t="str">
        <f aca="false">IF(BY296="","",EDATE(BY296,SG_Criteria!$B$54*12))</f>
        <v/>
      </c>
      <c r="CA296" s="33" t="str">
        <f aca="true">IF(A296="","",IF(BY296="","NOTE: not reviewed yet",IF(TODAY()&gt;BZ296,"NOTE: review overdue","OK")))</f>
        <v/>
      </c>
      <c r="CB296" s="37" t="str">
        <f aca="false">IF(A296="","",ROUND((IF(LEN(D296)&gt;0,1,0)+IF(LEN(E296)&gt;0,1,0)+IF(LEN(F296)&gt;0,1,0)+IF(LEN(G296)&gt;0,1,0)+IF(LEN(I296)&gt;0,1,0)+IF(LEN(J296)&gt;0,1,0)+IF(LEN(K296)&gt;0,1,0)+IF(LEN(L296)&gt;0,1,0)+IF(LEN(M296)&gt;0,1,0)+IF(LEN(N296)&gt;0,1,0)+IF(LEN(Z296)&gt;0,1,0)+IF(LEN(AA296)&gt;0,1,0)+IF(LEN(Y296)&gt;0,1,0)+IF(LEN(AE296)&gt;0,1,0)+IF(LEN(AG296)&gt;0,1,0)+IF(LEN(AZ296)&gt;0,1,0)+IF(LEN(AK296)&gt;0,1,0)+IF(LEN(AM296)&gt;0,1,0)+IF(LEN(AN296)&gt;0,1,0)+IF(LEN(AO296)&gt;0,1,0)+IF(LEN(AP296)&gt;0,1,0)+IF(LEN(AY296)&gt;0,1,0)+IF(LEN(BJ296)&gt;0,1,0)+IF(LEN(BW296)&gt;0,1,0))/24,2))</f>
        <v/>
      </c>
      <c r="CC296" s="10" t="str">
        <f aca="false">IF(D296="","",IF(AND(AN296="Approved",ISERROR(SEARCH("FAIL",BG296))),"Y","N"))</f>
        <v/>
      </c>
      <c r="CD296" s="10" t="str">
        <f aca="false">IF(D296="","",D296&amp;"|"&amp;J296&amp;"|"&amp;G296&amp;"|"&amp;CC296)</f>
        <v/>
      </c>
    </row>
    <row r="297" customFormat="false" ht="15" hidden="false" customHeight="false" outlineLevel="0" collapsed="false">
      <c r="A297" s="10" t="str">
        <f aca="false">IF(D297="","","MH-"&amp;IFERROR(VLOOKUP(D297,Lists!$AB$4:$AC$20,2,0),"??")&amp;"-"&amp;TEXT(G297,"0000")&amp;IF(F297="Circular","D","x"&amp;TEXT(H297,"0000"))&amp;"-D"&amp;TEXT(J297*1000,"0000")&amp;"-"&amp;IFERROR(VLOOKUP(E297,Lists!$AE$4:$AF$16,2,0),"??")&amp;"-"&amp;AM297)</f>
        <v/>
      </c>
      <c r="B297" s="10" t="str">
        <f aca="false">IF(D297="","",D297&amp;", "&amp;E297&amp;", "&amp;IF(F297="Circular",G297&amp;" dia",G297&amp;" x "&amp;H297)&amp;", depth "&amp;TEXT(I297,"0.0")&amp;"-"&amp;TEXT(J297,"0.0")&amp;" m, pipe up to "&amp;K297&amp;" dia")</f>
        <v/>
      </c>
      <c r="C297" s="9"/>
      <c r="D297" s="9"/>
      <c r="E297" s="9"/>
      <c r="F297" s="9"/>
      <c r="G297" s="38"/>
      <c r="H297" s="38"/>
      <c r="I297" s="42"/>
      <c r="J297" s="42"/>
      <c r="K297" s="38"/>
      <c r="L297" s="38"/>
      <c r="M297" s="38"/>
      <c r="N297" s="38"/>
      <c r="O297" s="9"/>
      <c r="P297" s="9"/>
      <c r="Q297" s="9"/>
      <c r="R297" s="9"/>
      <c r="S297" s="9"/>
      <c r="T297" s="9"/>
      <c r="U297" s="9"/>
      <c r="V297" s="42"/>
      <c r="W297" s="9"/>
      <c r="X297" s="9"/>
      <c r="Y297" s="39"/>
      <c r="Z297" s="9"/>
      <c r="AA297" s="38"/>
      <c r="AB297" s="9"/>
      <c r="AC297" s="9"/>
      <c r="AD297" s="9"/>
      <c r="AE297" s="9"/>
      <c r="AF297" s="9"/>
      <c r="AG297" s="9"/>
      <c r="AH297" s="38"/>
      <c r="AI297" s="9"/>
      <c r="AJ297" s="39"/>
      <c r="AK297" s="9"/>
      <c r="AL297" s="9"/>
      <c r="AM297" s="9"/>
      <c r="AN297" s="9"/>
      <c r="AO297" s="9"/>
      <c r="AP297" s="9"/>
      <c r="AQ297" s="9"/>
      <c r="AR297" s="10" t="str">
        <f aca="false">IF(A297="","",SG_Criteria!$B$6&amp;SG_Criteria!$B$10&amp;"\"&amp;A297&amp;"\")</f>
        <v/>
      </c>
      <c r="AS297" s="10" t="str">
        <f aca="false">IF(A297="","",A297&amp;"_CAD.dwg")</f>
        <v/>
      </c>
      <c r="AT297" s="10" t="str">
        <f aca="false">IF(A297="","",A297&amp;"_DWG.pdf")</f>
        <v/>
      </c>
      <c r="AU297" s="10" t="str">
        <f aca="false">IF(A297="","",IF(AQ297="Y",A297&amp;"_STAAD.std","n/a"))</f>
        <v/>
      </c>
      <c r="AV297" s="10" t="str">
        <f aca="false">IF(A297="","",A297&amp;"_CALC.xlsx")</f>
        <v/>
      </c>
      <c r="AW297" s="10" t="str">
        <f aca="false">IF(A297="","",A297&amp;"_CALC.pdf")</f>
        <v/>
      </c>
      <c r="AX297" s="9"/>
      <c r="AY297" s="9"/>
      <c r="AZ297" s="39"/>
      <c r="BA297" s="39"/>
      <c r="BB297" s="39"/>
      <c r="BC297" s="39"/>
      <c r="BD297" s="39"/>
      <c r="BE297" s="12" t="str">
        <f aca="false">IF(A297="","",IF(COUNTIF(Rebar_Schedule!$A$5:$A$2004,A297)=0,"",ROUND(SUMIF(Rebar_Schedule!$A$5:$A$2004,A297,Rebar_Schedule!$K$5:$K$2004),1)))</f>
        <v/>
      </c>
      <c r="BF297" s="33" t="str">
        <f aca="false">IF(A297="","",IF(BE297="","No rebar schedule yet",IF(ABS(BE297-N(BA297))/MAX(N(BA297),1)&gt;SG_Criteria!$B$55,"NOTE: register rebar differs from schedule by "&amp;TEXT(ABS(BE297-N(BA297))/MAX(N(BA297),1),"0%"),"OK")))</f>
        <v/>
      </c>
      <c r="BG297" s="33" t="str">
        <f aca="false">IF(D297="","",IF(LEN(IF(AND(Z297&lt;&gt;"",IFERROR(VALUE(MID(Z297,2,2)),0)&lt;SG_Criteria!$B$19),"FAIL: grade below C"&amp;SG_Criteria!$B$19&amp;". ","")&amp;IF(AND(AA297&lt;&gt;"",AA297&lt;SG_Criteria!$B$20),"FAIL: cover &lt; "&amp;SG_Criteria!$B$20&amp;" mm. ","")&amp;IF(AND(I297&lt;&gt;"",I297&lt;SG_Criteria!$B$39),"NOTE: min depth below PUB "&amp;SG_Criteria!$B$39&amp;" m. ","")&amp;IF(AND(LEFT(D297,8)="Standard",J297&gt;SG_Criteria!$B$42),"FAIL: PUB 001C covers manholes up to "&amp;SG_Criteria!$B$42&amp;" m deep only. ","")&amp;IF(AND(LEFT(D297,11)="Rectangular",K297&lt;SG_Criteria!$B$43),"NOTE: 004C is for sewers &gt;= "&amp;SG_Criteria!$B$43&amp;" dia. ","")&amp;IF(AND(LEFT(D297,7)="Precast",J297&lt;=SG_Criteria!$B$42),"NOTE: 006C is for manholes &gt; "&amp;SG_Criteria!$B$42&amp;" m deep. ","")&amp;IF(AND(K297&lt;&gt;"",K297&lt;SG_Criteria!$B$40,D297&lt;&gt;"Inspection Chamber"),"NOTE: public sewer min dia "&amp;SG_Criteria!$B$40&amp;" mm. ","")&amp;IF(AND(Y297&lt;&gt;"",Y297&lt;SG_Criteria!$B$44),"FAIL: uplift FOS below "&amp;SG_Criteria!$B$44&amp;". ",""))=0,"OK",IF(AND(Z297&lt;&gt;"",IFERROR(VALUE(MID(Z297,2,2)),0)&lt;SG_Criteria!$B$19),"FAIL: grade below C"&amp;SG_Criteria!$B$19&amp;". ","")&amp;IF(AND(AA297&lt;&gt;"",AA297&lt;SG_Criteria!$B$20),"FAIL: cover &lt; "&amp;SG_Criteria!$B$20&amp;" mm. ","")&amp;IF(AND(I297&lt;&gt;"",I297&lt;SG_Criteria!$B$39),"NOTE: min depth below PUB "&amp;SG_Criteria!$B$39&amp;" m. ","")&amp;IF(AND(LEFT(D297,8)="Standard",J297&gt;SG_Criteria!$B$42),"FAIL: PUB 001C covers manholes up to "&amp;SG_Criteria!$B$42&amp;" m deep only. ","")&amp;IF(AND(LEFT(D297,11)="Rectangular",K297&lt;SG_Criteria!$B$43),"NOTE: 004C is for sewers &gt;= "&amp;SG_Criteria!$B$43&amp;" dia. ","")&amp;IF(AND(LEFT(D297,7)="Precast",J297&lt;=SG_Criteria!$B$42),"NOTE: 006C is for manholes &gt; "&amp;SG_Criteria!$B$42&amp;" m deep. ","")&amp;IF(AND(K297&lt;&gt;"",K297&lt;SG_Criteria!$B$40,D297&lt;&gt;"Inspection Chamber"),"NOTE: public sewer min dia "&amp;SG_Criteria!$B$40&amp;" mm. ","")&amp;IF(AND(Y297&lt;&gt;"",Y297&lt;SG_Criteria!$B$44),"FAIL: uplift FOS below "&amp;SG_Criteria!$B$44&amp;". ","")))</f>
        <v/>
      </c>
      <c r="BH297" s="9"/>
      <c r="BI297" s="9"/>
      <c r="BJ297" s="9"/>
      <c r="BK297" s="10" t="str">
        <f aca="false">IF(BJ297="","",IFERROR(VLOOKUP(BJ297,Projects!$A$5:$D$504,2,0),"Ref not in Projects"))</f>
        <v/>
      </c>
      <c r="BL297" s="10" t="str">
        <f aca="false">IF(BJ297="","",IFERROR(VLOOKUP(BJ297,Projects!$A$5:$D$504,4,0),"Ref not in Projects"))</f>
        <v/>
      </c>
      <c r="BM297" s="9"/>
      <c r="BN297" s="9"/>
      <c r="BO297" s="9"/>
      <c r="BP297" s="40"/>
      <c r="BQ297" s="9"/>
      <c r="BR297" s="40"/>
      <c r="BS297" s="9"/>
      <c r="BT297" s="40"/>
      <c r="BU297" s="9"/>
      <c r="BV297" s="9"/>
      <c r="BW297" s="9"/>
      <c r="BX297" s="40"/>
      <c r="BY297" s="40"/>
      <c r="BZ297" s="36" t="str">
        <f aca="false">IF(BY297="","",EDATE(BY297,SG_Criteria!$B$54*12))</f>
        <v/>
      </c>
      <c r="CA297" s="33" t="str">
        <f aca="true">IF(A297="","",IF(BY297="","NOTE: not reviewed yet",IF(TODAY()&gt;BZ297,"NOTE: review overdue","OK")))</f>
        <v/>
      </c>
      <c r="CB297" s="37" t="str">
        <f aca="false">IF(A297="","",ROUND((IF(LEN(D297)&gt;0,1,0)+IF(LEN(E297)&gt;0,1,0)+IF(LEN(F297)&gt;0,1,0)+IF(LEN(G297)&gt;0,1,0)+IF(LEN(I297)&gt;0,1,0)+IF(LEN(J297)&gt;0,1,0)+IF(LEN(K297)&gt;0,1,0)+IF(LEN(L297)&gt;0,1,0)+IF(LEN(M297)&gt;0,1,0)+IF(LEN(N297)&gt;0,1,0)+IF(LEN(Z297)&gt;0,1,0)+IF(LEN(AA297)&gt;0,1,0)+IF(LEN(Y297)&gt;0,1,0)+IF(LEN(AE297)&gt;0,1,0)+IF(LEN(AG297)&gt;0,1,0)+IF(LEN(AZ297)&gt;0,1,0)+IF(LEN(AK297)&gt;0,1,0)+IF(LEN(AM297)&gt;0,1,0)+IF(LEN(AN297)&gt;0,1,0)+IF(LEN(AO297)&gt;0,1,0)+IF(LEN(AP297)&gt;0,1,0)+IF(LEN(AY297)&gt;0,1,0)+IF(LEN(BJ297)&gt;0,1,0)+IF(LEN(BW297)&gt;0,1,0))/24,2))</f>
        <v/>
      </c>
      <c r="CC297" s="10" t="str">
        <f aca="false">IF(D297="","",IF(AND(AN297="Approved",ISERROR(SEARCH("FAIL",BG297))),"Y","N"))</f>
        <v/>
      </c>
      <c r="CD297" s="10" t="str">
        <f aca="false">IF(D297="","",D297&amp;"|"&amp;J297&amp;"|"&amp;G297&amp;"|"&amp;CC297)</f>
        <v/>
      </c>
    </row>
    <row r="298" customFormat="false" ht="15" hidden="false" customHeight="false" outlineLevel="0" collapsed="false">
      <c r="A298" s="10" t="str">
        <f aca="false">IF(D298="","","MH-"&amp;IFERROR(VLOOKUP(D298,Lists!$AB$4:$AC$20,2,0),"??")&amp;"-"&amp;TEXT(G298,"0000")&amp;IF(F298="Circular","D","x"&amp;TEXT(H298,"0000"))&amp;"-D"&amp;TEXT(J298*1000,"0000")&amp;"-"&amp;IFERROR(VLOOKUP(E298,Lists!$AE$4:$AF$16,2,0),"??")&amp;"-"&amp;AM298)</f>
        <v/>
      </c>
      <c r="B298" s="10" t="str">
        <f aca="false">IF(D298="","",D298&amp;", "&amp;E298&amp;", "&amp;IF(F298="Circular",G298&amp;" dia",G298&amp;" x "&amp;H298)&amp;", depth "&amp;TEXT(I298,"0.0")&amp;"-"&amp;TEXT(J298,"0.0")&amp;" m, pipe up to "&amp;K298&amp;" dia")</f>
        <v/>
      </c>
      <c r="C298" s="9"/>
      <c r="D298" s="9"/>
      <c r="E298" s="9"/>
      <c r="F298" s="9"/>
      <c r="G298" s="38"/>
      <c r="H298" s="38"/>
      <c r="I298" s="42"/>
      <c r="J298" s="42"/>
      <c r="K298" s="38"/>
      <c r="L298" s="38"/>
      <c r="M298" s="38"/>
      <c r="N298" s="38"/>
      <c r="O298" s="9"/>
      <c r="P298" s="9"/>
      <c r="Q298" s="9"/>
      <c r="R298" s="9"/>
      <c r="S298" s="9"/>
      <c r="T298" s="9"/>
      <c r="U298" s="9"/>
      <c r="V298" s="42"/>
      <c r="W298" s="9"/>
      <c r="X298" s="9"/>
      <c r="Y298" s="39"/>
      <c r="Z298" s="9"/>
      <c r="AA298" s="38"/>
      <c r="AB298" s="9"/>
      <c r="AC298" s="9"/>
      <c r="AD298" s="9"/>
      <c r="AE298" s="9"/>
      <c r="AF298" s="9"/>
      <c r="AG298" s="9"/>
      <c r="AH298" s="38"/>
      <c r="AI298" s="9"/>
      <c r="AJ298" s="39"/>
      <c r="AK298" s="9"/>
      <c r="AL298" s="9"/>
      <c r="AM298" s="9"/>
      <c r="AN298" s="9"/>
      <c r="AO298" s="9"/>
      <c r="AP298" s="9"/>
      <c r="AQ298" s="9"/>
      <c r="AR298" s="10" t="str">
        <f aca="false">IF(A298="","",SG_Criteria!$B$6&amp;SG_Criteria!$B$10&amp;"\"&amp;A298&amp;"\")</f>
        <v/>
      </c>
      <c r="AS298" s="10" t="str">
        <f aca="false">IF(A298="","",A298&amp;"_CAD.dwg")</f>
        <v/>
      </c>
      <c r="AT298" s="10" t="str">
        <f aca="false">IF(A298="","",A298&amp;"_DWG.pdf")</f>
        <v/>
      </c>
      <c r="AU298" s="10" t="str">
        <f aca="false">IF(A298="","",IF(AQ298="Y",A298&amp;"_STAAD.std","n/a"))</f>
        <v/>
      </c>
      <c r="AV298" s="10" t="str">
        <f aca="false">IF(A298="","",A298&amp;"_CALC.xlsx")</f>
        <v/>
      </c>
      <c r="AW298" s="10" t="str">
        <f aca="false">IF(A298="","",A298&amp;"_CALC.pdf")</f>
        <v/>
      </c>
      <c r="AX298" s="9"/>
      <c r="AY298" s="9"/>
      <c r="AZ298" s="39"/>
      <c r="BA298" s="39"/>
      <c r="BB298" s="39"/>
      <c r="BC298" s="39"/>
      <c r="BD298" s="39"/>
      <c r="BE298" s="12" t="str">
        <f aca="false">IF(A298="","",IF(COUNTIF(Rebar_Schedule!$A$5:$A$2004,A298)=0,"",ROUND(SUMIF(Rebar_Schedule!$A$5:$A$2004,A298,Rebar_Schedule!$K$5:$K$2004),1)))</f>
        <v/>
      </c>
      <c r="BF298" s="33" t="str">
        <f aca="false">IF(A298="","",IF(BE298="","No rebar schedule yet",IF(ABS(BE298-N(BA298))/MAX(N(BA298),1)&gt;SG_Criteria!$B$55,"NOTE: register rebar differs from schedule by "&amp;TEXT(ABS(BE298-N(BA298))/MAX(N(BA298),1),"0%"),"OK")))</f>
        <v/>
      </c>
      <c r="BG298" s="33" t="str">
        <f aca="false">IF(D298="","",IF(LEN(IF(AND(Z298&lt;&gt;"",IFERROR(VALUE(MID(Z298,2,2)),0)&lt;SG_Criteria!$B$19),"FAIL: grade below C"&amp;SG_Criteria!$B$19&amp;". ","")&amp;IF(AND(AA298&lt;&gt;"",AA298&lt;SG_Criteria!$B$20),"FAIL: cover &lt; "&amp;SG_Criteria!$B$20&amp;" mm. ","")&amp;IF(AND(I298&lt;&gt;"",I298&lt;SG_Criteria!$B$39),"NOTE: min depth below PUB "&amp;SG_Criteria!$B$39&amp;" m. ","")&amp;IF(AND(LEFT(D298,8)="Standard",J298&gt;SG_Criteria!$B$42),"FAIL: PUB 001C covers manholes up to "&amp;SG_Criteria!$B$42&amp;" m deep only. ","")&amp;IF(AND(LEFT(D298,11)="Rectangular",K298&lt;SG_Criteria!$B$43),"NOTE: 004C is for sewers &gt;= "&amp;SG_Criteria!$B$43&amp;" dia. ","")&amp;IF(AND(LEFT(D298,7)="Precast",J298&lt;=SG_Criteria!$B$42),"NOTE: 006C is for manholes &gt; "&amp;SG_Criteria!$B$42&amp;" m deep. ","")&amp;IF(AND(K298&lt;&gt;"",K298&lt;SG_Criteria!$B$40,D298&lt;&gt;"Inspection Chamber"),"NOTE: public sewer min dia "&amp;SG_Criteria!$B$40&amp;" mm. ","")&amp;IF(AND(Y298&lt;&gt;"",Y298&lt;SG_Criteria!$B$44),"FAIL: uplift FOS below "&amp;SG_Criteria!$B$44&amp;". ",""))=0,"OK",IF(AND(Z298&lt;&gt;"",IFERROR(VALUE(MID(Z298,2,2)),0)&lt;SG_Criteria!$B$19),"FAIL: grade below C"&amp;SG_Criteria!$B$19&amp;". ","")&amp;IF(AND(AA298&lt;&gt;"",AA298&lt;SG_Criteria!$B$20),"FAIL: cover &lt; "&amp;SG_Criteria!$B$20&amp;" mm. ","")&amp;IF(AND(I298&lt;&gt;"",I298&lt;SG_Criteria!$B$39),"NOTE: min depth below PUB "&amp;SG_Criteria!$B$39&amp;" m. ","")&amp;IF(AND(LEFT(D298,8)="Standard",J298&gt;SG_Criteria!$B$42),"FAIL: PUB 001C covers manholes up to "&amp;SG_Criteria!$B$42&amp;" m deep only. ","")&amp;IF(AND(LEFT(D298,11)="Rectangular",K298&lt;SG_Criteria!$B$43),"NOTE: 004C is for sewers &gt;= "&amp;SG_Criteria!$B$43&amp;" dia. ","")&amp;IF(AND(LEFT(D298,7)="Precast",J298&lt;=SG_Criteria!$B$42),"NOTE: 006C is for manholes &gt; "&amp;SG_Criteria!$B$42&amp;" m deep. ","")&amp;IF(AND(K298&lt;&gt;"",K298&lt;SG_Criteria!$B$40,D298&lt;&gt;"Inspection Chamber"),"NOTE: public sewer min dia "&amp;SG_Criteria!$B$40&amp;" mm. ","")&amp;IF(AND(Y298&lt;&gt;"",Y298&lt;SG_Criteria!$B$44),"FAIL: uplift FOS below "&amp;SG_Criteria!$B$44&amp;". ","")))</f>
        <v/>
      </c>
      <c r="BH298" s="9"/>
      <c r="BI298" s="9"/>
      <c r="BJ298" s="9"/>
      <c r="BK298" s="10" t="str">
        <f aca="false">IF(BJ298="","",IFERROR(VLOOKUP(BJ298,Projects!$A$5:$D$504,2,0),"Ref not in Projects"))</f>
        <v/>
      </c>
      <c r="BL298" s="10" t="str">
        <f aca="false">IF(BJ298="","",IFERROR(VLOOKUP(BJ298,Projects!$A$5:$D$504,4,0),"Ref not in Projects"))</f>
        <v/>
      </c>
      <c r="BM298" s="9"/>
      <c r="BN298" s="9"/>
      <c r="BO298" s="9"/>
      <c r="BP298" s="40"/>
      <c r="BQ298" s="9"/>
      <c r="BR298" s="40"/>
      <c r="BS298" s="9"/>
      <c r="BT298" s="40"/>
      <c r="BU298" s="9"/>
      <c r="BV298" s="9"/>
      <c r="BW298" s="9"/>
      <c r="BX298" s="40"/>
      <c r="BY298" s="40"/>
      <c r="BZ298" s="36" t="str">
        <f aca="false">IF(BY298="","",EDATE(BY298,SG_Criteria!$B$54*12))</f>
        <v/>
      </c>
      <c r="CA298" s="33" t="str">
        <f aca="true">IF(A298="","",IF(BY298="","NOTE: not reviewed yet",IF(TODAY()&gt;BZ298,"NOTE: review overdue","OK")))</f>
        <v/>
      </c>
      <c r="CB298" s="37" t="str">
        <f aca="false">IF(A298="","",ROUND((IF(LEN(D298)&gt;0,1,0)+IF(LEN(E298)&gt;0,1,0)+IF(LEN(F298)&gt;0,1,0)+IF(LEN(G298)&gt;0,1,0)+IF(LEN(I298)&gt;0,1,0)+IF(LEN(J298)&gt;0,1,0)+IF(LEN(K298)&gt;0,1,0)+IF(LEN(L298)&gt;0,1,0)+IF(LEN(M298)&gt;0,1,0)+IF(LEN(N298)&gt;0,1,0)+IF(LEN(Z298)&gt;0,1,0)+IF(LEN(AA298)&gt;0,1,0)+IF(LEN(Y298)&gt;0,1,0)+IF(LEN(AE298)&gt;0,1,0)+IF(LEN(AG298)&gt;0,1,0)+IF(LEN(AZ298)&gt;0,1,0)+IF(LEN(AK298)&gt;0,1,0)+IF(LEN(AM298)&gt;0,1,0)+IF(LEN(AN298)&gt;0,1,0)+IF(LEN(AO298)&gt;0,1,0)+IF(LEN(AP298)&gt;0,1,0)+IF(LEN(AY298)&gt;0,1,0)+IF(LEN(BJ298)&gt;0,1,0)+IF(LEN(BW298)&gt;0,1,0))/24,2))</f>
        <v/>
      </c>
      <c r="CC298" s="10" t="str">
        <f aca="false">IF(D298="","",IF(AND(AN298="Approved",ISERROR(SEARCH("FAIL",BG298))),"Y","N"))</f>
        <v/>
      </c>
      <c r="CD298" s="10" t="str">
        <f aca="false">IF(D298="","",D298&amp;"|"&amp;J298&amp;"|"&amp;G298&amp;"|"&amp;CC298)</f>
        <v/>
      </c>
    </row>
    <row r="299" customFormat="false" ht="15" hidden="false" customHeight="false" outlineLevel="0" collapsed="false">
      <c r="A299" s="10" t="str">
        <f aca="false">IF(D299="","","MH-"&amp;IFERROR(VLOOKUP(D299,Lists!$AB$4:$AC$20,2,0),"??")&amp;"-"&amp;TEXT(G299,"0000")&amp;IF(F299="Circular","D","x"&amp;TEXT(H299,"0000"))&amp;"-D"&amp;TEXT(J299*1000,"0000")&amp;"-"&amp;IFERROR(VLOOKUP(E299,Lists!$AE$4:$AF$16,2,0),"??")&amp;"-"&amp;AM299)</f>
        <v/>
      </c>
      <c r="B299" s="10" t="str">
        <f aca="false">IF(D299="","",D299&amp;", "&amp;E299&amp;", "&amp;IF(F299="Circular",G299&amp;" dia",G299&amp;" x "&amp;H299)&amp;", depth "&amp;TEXT(I299,"0.0")&amp;"-"&amp;TEXT(J299,"0.0")&amp;" m, pipe up to "&amp;K299&amp;" dia")</f>
        <v/>
      </c>
      <c r="C299" s="9"/>
      <c r="D299" s="9"/>
      <c r="E299" s="9"/>
      <c r="F299" s="9"/>
      <c r="G299" s="38"/>
      <c r="H299" s="38"/>
      <c r="I299" s="42"/>
      <c r="J299" s="42"/>
      <c r="K299" s="38"/>
      <c r="L299" s="38"/>
      <c r="M299" s="38"/>
      <c r="N299" s="38"/>
      <c r="O299" s="9"/>
      <c r="P299" s="9"/>
      <c r="Q299" s="9"/>
      <c r="R299" s="9"/>
      <c r="S299" s="9"/>
      <c r="T299" s="9"/>
      <c r="U299" s="9"/>
      <c r="V299" s="42"/>
      <c r="W299" s="9"/>
      <c r="X299" s="9"/>
      <c r="Y299" s="39"/>
      <c r="Z299" s="9"/>
      <c r="AA299" s="38"/>
      <c r="AB299" s="9"/>
      <c r="AC299" s="9"/>
      <c r="AD299" s="9"/>
      <c r="AE299" s="9"/>
      <c r="AF299" s="9"/>
      <c r="AG299" s="9"/>
      <c r="AH299" s="38"/>
      <c r="AI299" s="9"/>
      <c r="AJ299" s="39"/>
      <c r="AK299" s="9"/>
      <c r="AL299" s="9"/>
      <c r="AM299" s="9"/>
      <c r="AN299" s="9"/>
      <c r="AO299" s="9"/>
      <c r="AP299" s="9"/>
      <c r="AQ299" s="9"/>
      <c r="AR299" s="10" t="str">
        <f aca="false">IF(A299="","",SG_Criteria!$B$6&amp;SG_Criteria!$B$10&amp;"\"&amp;A299&amp;"\")</f>
        <v/>
      </c>
      <c r="AS299" s="10" t="str">
        <f aca="false">IF(A299="","",A299&amp;"_CAD.dwg")</f>
        <v/>
      </c>
      <c r="AT299" s="10" t="str">
        <f aca="false">IF(A299="","",A299&amp;"_DWG.pdf")</f>
        <v/>
      </c>
      <c r="AU299" s="10" t="str">
        <f aca="false">IF(A299="","",IF(AQ299="Y",A299&amp;"_STAAD.std","n/a"))</f>
        <v/>
      </c>
      <c r="AV299" s="10" t="str">
        <f aca="false">IF(A299="","",A299&amp;"_CALC.xlsx")</f>
        <v/>
      </c>
      <c r="AW299" s="10" t="str">
        <f aca="false">IF(A299="","",A299&amp;"_CALC.pdf")</f>
        <v/>
      </c>
      <c r="AX299" s="9"/>
      <c r="AY299" s="9"/>
      <c r="AZ299" s="39"/>
      <c r="BA299" s="39"/>
      <c r="BB299" s="39"/>
      <c r="BC299" s="39"/>
      <c r="BD299" s="39"/>
      <c r="BE299" s="12" t="str">
        <f aca="false">IF(A299="","",IF(COUNTIF(Rebar_Schedule!$A$5:$A$2004,A299)=0,"",ROUND(SUMIF(Rebar_Schedule!$A$5:$A$2004,A299,Rebar_Schedule!$K$5:$K$2004),1)))</f>
        <v/>
      </c>
      <c r="BF299" s="33" t="str">
        <f aca="false">IF(A299="","",IF(BE299="","No rebar schedule yet",IF(ABS(BE299-N(BA299))/MAX(N(BA299),1)&gt;SG_Criteria!$B$55,"NOTE: register rebar differs from schedule by "&amp;TEXT(ABS(BE299-N(BA299))/MAX(N(BA299),1),"0%"),"OK")))</f>
        <v/>
      </c>
      <c r="BG299" s="33" t="str">
        <f aca="false">IF(D299="","",IF(LEN(IF(AND(Z299&lt;&gt;"",IFERROR(VALUE(MID(Z299,2,2)),0)&lt;SG_Criteria!$B$19),"FAIL: grade below C"&amp;SG_Criteria!$B$19&amp;". ","")&amp;IF(AND(AA299&lt;&gt;"",AA299&lt;SG_Criteria!$B$20),"FAIL: cover &lt; "&amp;SG_Criteria!$B$20&amp;" mm. ","")&amp;IF(AND(I299&lt;&gt;"",I299&lt;SG_Criteria!$B$39),"NOTE: min depth below PUB "&amp;SG_Criteria!$B$39&amp;" m. ","")&amp;IF(AND(LEFT(D299,8)="Standard",J299&gt;SG_Criteria!$B$42),"FAIL: PUB 001C covers manholes up to "&amp;SG_Criteria!$B$42&amp;" m deep only. ","")&amp;IF(AND(LEFT(D299,11)="Rectangular",K299&lt;SG_Criteria!$B$43),"NOTE: 004C is for sewers &gt;= "&amp;SG_Criteria!$B$43&amp;" dia. ","")&amp;IF(AND(LEFT(D299,7)="Precast",J299&lt;=SG_Criteria!$B$42),"NOTE: 006C is for manholes &gt; "&amp;SG_Criteria!$B$42&amp;" m deep. ","")&amp;IF(AND(K299&lt;&gt;"",K299&lt;SG_Criteria!$B$40,D299&lt;&gt;"Inspection Chamber"),"NOTE: public sewer min dia "&amp;SG_Criteria!$B$40&amp;" mm. ","")&amp;IF(AND(Y299&lt;&gt;"",Y299&lt;SG_Criteria!$B$44),"FAIL: uplift FOS below "&amp;SG_Criteria!$B$44&amp;". ",""))=0,"OK",IF(AND(Z299&lt;&gt;"",IFERROR(VALUE(MID(Z299,2,2)),0)&lt;SG_Criteria!$B$19),"FAIL: grade below C"&amp;SG_Criteria!$B$19&amp;". ","")&amp;IF(AND(AA299&lt;&gt;"",AA299&lt;SG_Criteria!$B$20),"FAIL: cover &lt; "&amp;SG_Criteria!$B$20&amp;" mm. ","")&amp;IF(AND(I299&lt;&gt;"",I299&lt;SG_Criteria!$B$39),"NOTE: min depth below PUB "&amp;SG_Criteria!$B$39&amp;" m. ","")&amp;IF(AND(LEFT(D299,8)="Standard",J299&gt;SG_Criteria!$B$42),"FAIL: PUB 001C covers manholes up to "&amp;SG_Criteria!$B$42&amp;" m deep only. ","")&amp;IF(AND(LEFT(D299,11)="Rectangular",K299&lt;SG_Criteria!$B$43),"NOTE: 004C is for sewers &gt;= "&amp;SG_Criteria!$B$43&amp;" dia. ","")&amp;IF(AND(LEFT(D299,7)="Precast",J299&lt;=SG_Criteria!$B$42),"NOTE: 006C is for manholes &gt; "&amp;SG_Criteria!$B$42&amp;" m deep. ","")&amp;IF(AND(K299&lt;&gt;"",K299&lt;SG_Criteria!$B$40,D299&lt;&gt;"Inspection Chamber"),"NOTE: public sewer min dia "&amp;SG_Criteria!$B$40&amp;" mm. ","")&amp;IF(AND(Y299&lt;&gt;"",Y299&lt;SG_Criteria!$B$44),"FAIL: uplift FOS below "&amp;SG_Criteria!$B$44&amp;". ","")))</f>
        <v/>
      </c>
      <c r="BH299" s="9"/>
      <c r="BI299" s="9"/>
      <c r="BJ299" s="9"/>
      <c r="BK299" s="10" t="str">
        <f aca="false">IF(BJ299="","",IFERROR(VLOOKUP(BJ299,Projects!$A$5:$D$504,2,0),"Ref not in Projects"))</f>
        <v/>
      </c>
      <c r="BL299" s="10" t="str">
        <f aca="false">IF(BJ299="","",IFERROR(VLOOKUP(BJ299,Projects!$A$5:$D$504,4,0),"Ref not in Projects"))</f>
        <v/>
      </c>
      <c r="BM299" s="9"/>
      <c r="BN299" s="9"/>
      <c r="BO299" s="9"/>
      <c r="BP299" s="40"/>
      <c r="BQ299" s="9"/>
      <c r="BR299" s="40"/>
      <c r="BS299" s="9"/>
      <c r="BT299" s="40"/>
      <c r="BU299" s="9"/>
      <c r="BV299" s="9"/>
      <c r="BW299" s="9"/>
      <c r="BX299" s="40"/>
      <c r="BY299" s="40"/>
      <c r="BZ299" s="36" t="str">
        <f aca="false">IF(BY299="","",EDATE(BY299,SG_Criteria!$B$54*12))</f>
        <v/>
      </c>
      <c r="CA299" s="33" t="str">
        <f aca="true">IF(A299="","",IF(BY299="","NOTE: not reviewed yet",IF(TODAY()&gt;BZ299,"NOTE: review overdue","OK")))</f>
        <v/>
      </c>
      <c r="CB299" s="37" t="str">
        <f aca="false">IF(A299="","",ROUND((IF(LEN(D299)&gt;0,1,0)+IF(LEN(E299)&gt;0,1,0)+IF(LEN(F299)&gt;0,1,0)+IF(LEN(G299)&gt;0,1,0)+IF(LEN(I299)&gt;0,1,0)+IF(LEN(J299)&gt;0,1,0)+IF(LEN(K299)&gt;0,1,0)+IF(LEN(L299)&gt;0,1,0)+IF(LEN(M299)&gt;0,1,0)+IF(LEN(N299)&gt;0,1,0)+IF(LEN(Z299)&gt;0,1,0)+IF(LEN(AA299)&gt;0,1,0)+IF(LEN(Y299)&gt;0,1,0)+IF(LEN(AE299)&gt;0,1,0)+IF(LEN(AG299)&gt;0,1,0)+IF(LEN(AZ299)&gt;0,1,0)+IF(LEN(AK299)&gt;0,1,0)+IF(LEN(AM299)&gt;0,1,0)+IF(LEN(AN299)&gt;0,1,0)+IF(LEN(AO299)&gt;0,1,0)+IF(LEN(AP299)&gt;0,1,0)+IF(LEN(AY299)&gt;0,1,0)+IF(LEN(BJ299)&gt;0,1,0)+IF(LEN(BW299)&gt;0,1,0))/24,2))</f>
        <v/>
      </c>
      <c r="CC299" s="10" t="str">
        <f aca="false">IF(D299="","",IF(AND(AN299="Approved",ISERROR(SEARCH("FAIL",BG299))),"Y","N"))</f>
        <v/>
      </c>
      <c r="CD299" s="10" t="str">
        <f aca="false">IF(D299="","",D299&amp;"|"&amp;J299&amp;"|"&amp;G299&amp;"|"&amp;CC299)</f>
        <v/>
      </c>
    </row>
    <row r="300" customFormat="false" ht="15" hidden="false" customHeight="false" outlineLevel="0" collapsed="false">
      <c r="A300" s="10" t="str">
        <f aca="false">IF(D300="","","MH-"&amp;IFERROR(VLOOKUP(D300,Lists!$AB$4:$AC$20,2,0),"??")&amp;"-"&amp;TEXT(G300,"0000")&amp;IF(F300="Circular","D","x"&amp;TEXT(H300,"0000"))&amp;"-D"&amp;TEXT(J300*1000,"0000")&amp;"-"&amp;IFERROR(VLOOKUP(E300,Lists!$AE$4:$AF$16,2,0),"??")&amp;"-"&amp;AM300)</f>
        <v/>
      </c>
      <c r="B300" s="10" t="str">
        <f aca="false">IF(D300="","",D300&amp;", "&amp;E300&amp;", "&amp;IF(F300="Circular",G300&amp;" dia",G300&amp;" x "&amp;H300)&amp;", depth "&amp;TEXT(I300,"0.0")&amp;"-"&amp;TEXT(J300,"0.0")&amp;" m, pipe up to "&amp;K300&amp;" dia")</f>
        <v/>
      </c>
      <c r="C300" s="9"/>
      <c r="D300" s="9"/>
      <c r="E300" s="9"/>
      <c r="F300" s="9"/>
      <c r="G300" s="38"/>
      <c r="H300" s="38"/>
      <c r="I300" s="42"/>
      <c r="J300" s="42"/>
      <c r="K300" s="38"/>
      <c r="L300" s="38"/>
      <c r="M300" s="38"/>
      <c r="N300" s="38"/>
      <c r="O300" s="9"/>
      <c r="P300" s="9"/>
      <c r="Q300" s="9"/>
      <c r="R300" s="9"/>
      <c r="S300" s="9"/>
      <c r="T300" s="9"/>
      <c r="U300" s="9"/>
      <c r="V300" s="42"/>
      <c r="W300" s="9"/>
      <c r="X300" s="9"/>
      <c r="Y300" s="39"/>
      <c r="Z300" s="9"/>
      <c r="AA300" s="38"/>
      <c r="AB300" s="9"/>
      <c r="AC300" s="9"/>
      <c r="AD300" s="9"/>
      <c r="AE300" s="9"/>
      <c r="AF300" s="9"/>
      <c r="AG300" s="9"/>
      <c r="AH300" s="38"/>
      <c r="AI300" s="9"/>
      <c r="AJ300" s="39"/>
      <c r="AK300" s="9"/>
      <c r="AL300" s="9"/>
      <c r="AM300" s="9"/>
      <c r="AN300" s="9"/>
      <c r="AO300" s="9"/>
      <c r="AP300" s="9"/>
      <c r="AQ300" s="9"/>
      <c r="AR300" s="10" t="str">
        <f aca="false">IF(A300="","",SG_Criteria!$B$6&amp;SG_Criteria!$B$10&amp;"\"&amp;A300&amp;"\")</f>
        <v/>
      </c>
      <c r="AS300" s="10" t="str">
        <f aca="false">IF(A300="","",A300&amp;"_CAD.dwg")</f>
        <v/>
      </c>
      <c r="AT300" s="10" t="str">
        <f aca="false">IF(A300="","",A300&amp;"_DWG.pdf")</f>
        <v/>
      </c>
      <c r="AU300" s="10" t="str">
        <f aca="false">IF(A300="","",IF(AQ300="Y",A300&amp;"_STAAD.std","n/a"))</f>
        <v/>
      </c>
      <c r="AV300" s="10" t="str">
        <f aca="false">IF(A300="","",A300&amp;"_CALC.xlsx")</f>
        <v/>
      </c>
      <c r="AW300" s="10" t="str">
        <f aca="false">IF(A300="","",A300&amp;"_CALC.pdf")</f>
        <v/>
      </c>
      <c r="AX300" s="9"/>
      <c r="AY300" s="9"/>
      <c r="AZ300" s="39"/>
      <c r="BA300" s="39"/>
      <c r="BB300" s="39"/>
      <c r="BC300" s="39"/>
      <c r="BD300" s="39"/>
      <c r="BE300" s="12" t="str">
        <f aca="false">IF(A300="","",IF(COUNTIF(Rebar_Schedule!$A$5:$A$2004,A300)=0,"",ROUND(SUMIF(Rebar_Schedule!$A$5:$A$2004,A300,Rebar_Schedule!$K$5:$K$2004),1)))</f>
        <v/>
      </c>
      <c r="BF300" s="33" t="str">
        <f aca="false">IF(A300="","",IF(BE300="","No rebar schedule yet",IF(ABS(BE300-N(BA300))/MAX(N(BA300),1)&gt;SG_Criteria!$B$55,"NOTE: register rebar differs from schedule by "&amp;TEXT(ABS(BE300-N(BA300))/MAX(N(BA300),1),"0%"),"OK")))</f>
        <v/>
      </c>
      <c r="BG300" s="33" t="str">
        <f aca="false">IF(D300="","",IF(LEN(IF(AND(Z300&lt;&gt;"",IFERROR(VALUE(MID(Z300,2,2)),0)&lt;SG_Criteria!$B$19),"FAIL: grade below C"&amp;SG_Criteria!$B$19&amp;". ","")&amp;IF(AND(AA300&lt;&gt;"",AA300&lt;SG_Criteria!$B$20),"FAIL: cover &lt; "&amp;SG_Criteria!$B$20&amp;" mm. ","")&amp;IF(AND(I300&lt;&gt;"",I300&lt;SG_Criteria!$B$39),"NOTE: min depth below PUB "&amp;SG_Criteria!$B$39&amp;" m. ","")&amp;IF(AND(LEFT(D300,8)="Standard",J300&gt;SG_Criteria!$B$42),"FAIL: PUB 001C covers manholes up to "&amp;SG_Criteria!$B$42&amp;" m deep only. ","")&amp;IF(AND(LEFT(D300,11)="Rectangular",K300&lt;SG_Criteria!$B$43),"NOTE: 004C is for sewers &gt;= "&amp;SG_Criteria!$B$43&amp;" dia. ","")&amp;IF(AND(LEFT(D300,7)="Precast",J300&lt;=SG_Criteria!$B$42),"NOTE: 006C is for manholes &gt; "&amp;SG_Criteria!$B$42&amp;" m deep. ","")&amp;IF(AND(K300&lt;&gt;"",K300&lt;SG_Criteria!$B$40,D300&lt;&gt;"Inspection Chamber"),"NOTE: public sewer min dia "&amp;SG_Criteria!$B$40&amp;" mm. ","")&amp;IF(AND(Y300&lt;&gt;"",Y300&lt;SG_Criteria!$B$44),"FAIL: uplift FOS below "&amp;SG_Criteria!$B$44&amp;". ",""))=0,"OK",IF(AND(Z300&lt;&gt;"",IFERROR(VALUE(MID(Z300,2,2)),0)&lt;SG_Criteria!$B$19),"FAIL: grade below C"&amp;SG_Criteria!$B$19&amp;". ","")&amp;IF(AND(AA300&lt;&gt;"",AA300&lt;SG_Criteria!$B$20),"FAIL: cover &lt; "&amp;SG_Criteria!$B$20&amp;" mm. ","")&amp;IF(AND(I300&lt;&gt;"",I300&lt;SG_Criteria!$B$39),"NOTE: min depth below PUB "&amp;SG_Criteria!$B$39&amp;" m. ","")&amp;IF(AND(LEFT(D300,8)="Standard",J300&gt;SG_Criteria!$B$42),"FAIL: PUB 001C covers manholes up to "&amp;SG_Criteria!$B$42&amp;" m deep only. ","")&amp;IF(AND(LEFT(D300,11)="Rectangular",K300&lt;SG_Criteria!$B$43),"NOTE: 004C is for sewers &gt;= "&amp;SG_Criteria!$B$43&amp;" dia. ","")&amp;IF(AND(LEFT(D300,7)="Precast",J300&lt;=SG_Criteria!$B$42),"NOTE: 006C is for manholes &gt; "&amp;SG_Criteria!$B$42&amp;" m deep. ","")&amp;IF(AND(K300&lt;&gt;"",K300&lt;SG_Criteria!$B$40,D300&lt;&gt;"Inspection Chamber"),"NOTE: public sewer min dia "&amp;SG_Criteria!$B$40&amp;" mm. ","")&amp;IF(AND(Y300&lt;&gt;"",Y300&lt;SG_Criteria!$B$44),"FAIL: uplift FOS below "&amp;SG_Criteria!$B$44&amp;". ","")))</f>
        <v/>
      </c>
      <c r="BH300" s="9"/>
      <c r="BI300" s="9"/>
      <c r="BJ300" s="9"/>
      <c r="BK300" s="10" t="str">
        <f aca="false">IF(BJ300="","",IFERROR(VLOOKUP(BJ300,Projects!$A$5:$D$504,2,0),"Ref not in Projects"))</f>
        <v/>
      </c>
      <c r="BL300" s="10" t="str">
        <f aca="false">IF(BJ300="","",IFERROR(VLOOKUP(BJ300,Projects!$A$5:$D$504,4,0),"Ref not in Projects"))</f>
        <v/>
      </c>
      <c r="BM300" s="9"/>
      <c r="BN300" s="9"/>
      <c r="BO300" s="9"/>
      <c r="BP300" s="40"/>
      <c r="BQ300" s="9"/>
      <c r="BR300" s="40"/>
      <c r="BS300" s="9"/>
      <c r="BT300" s="40"/>
      <c r="BU300" s="9"/>
      <c r="BV300" s="9"/>
      <c r="BW300" s="9"/>
      <c r="BX300" s="40"/>
      <c r="BY300" s="40"/>
      <c r="BZ300" s="36" t="str">
        <f aca="false">IF(BY300="","",EDATE(BY300,SG_Criteria!$B$54*12))</f>
        <v/>
      </c>
      <c r="CA300" s="33" t="str">
        <f aca="true">IF(A300="","",IF(BY300="","NOTE: not reviewed yet",IF(TODAY()&gt;BZ300,"NOTE: review overdue","OK")))</f>
        <v/>
      </c>
      <c r="CB300" s="37" t="str">
        <f aca="false">IF(A300="","",ROUND((IF(LEN(D300)&gt;0,1,0)+IF(LEN(E300)&gt;0,1,0)+IF(LEN(F300)&gt;0,1,0)+IF(LEN(G300)&gt;0,1,0)+IF(LEN(I300)&gt;0,1,0)+IF(LEN(J300)&gt;0,1,0)+IF(LEN(K300)&gt;0,1,0)+IF(LEN(L300)&gt;0,1,0)+IF(LEN(M300)&gt;0,1,0)+IF(LEN(N300)&gt;0,1,0)+IF(LEN(Z300)&gt;0,1,0)+IF(LEN(AA300)&gt;0,1,0)+IF(LEN(Y300)&gt;0,1,0)+IF(LEN(AE300)&gt;0,1,0)+IF(LEN(AG300)&gt;0,1,0)+IF(LEN(AZ300)&gt;0,1,0)+IF(LEN(AK300)&gt;0,1,0)+IF(LEN(AM300)&gt;0,1,0)+IF(LEN(AN300)&gt;0,1,0)+IF(LEN(AO300)&gt;0,1,0)+IF(LEN(AP300)&gt;0,1,0)+IF(LEN(AY300)&gt;0,1,0)+IF(LEN(BJ300)&gt;0,1,0)+IF(LEN(BW300)&gt;0,1,0))/24,2))</f>
        <v/>
      </c>
      <c r="CC300" s="10" t="str">
        <f aca="false">IF(D300="","",IF(AND(AN300="Approved",ISERROR(SEARCH("FAIL",BG300))),"Y","N"))</f>
        <v/>
      </c>
      <c r="CD300" s="10" t="str">
        <f aca="false">IF(D300="","",D300&amp;"|"&amp;J300&amp;"|"&amp;G300&amp;"|"&amp;CC300)</f>
        <v/>
      </c>
    </row>
    <row r="301" customFormat="false" ht="15" hidden="false" customHeight="false" outlineLevel="0" collapsed="false">
      <c r="A301" s="10" t="str">
        <f aca="false">IF(D301="","","MH-"&amp;IFERROR(VLOOKUP(D301,Lists!$AB$4:$AC$20,2,0),"??")&amp;"-"&amp;TEXT(G301,"0000")&amp;IF(F301="Circular","D","x"&amp;TEXT(H301,"0000"))&amp;"-D"&amp;TEXT(J301*1000,"0000")&amp;"-"&amp;IFERROR(VLOOKUP(E301,Lists!$AE$4:$AF$16,2,0),"??")&amp;"-"&amp;AM301)</f>
        <v/>
      </c>
      <c r="B301" s="10" t="str">
        <f aca="false">IF(D301="","",D301&amp;", "&amp;E301&amp;", "&amp;IF(F301="Circular",G301&amp;" dia",G301&amp;" x "&amp;H301)&amp;", depth "&amp;TEXT(I301,"0.0")&amp;"-"&amp;TEXT(J301,"0.0")&amp;" m, pipe up to "&amp;K301&amp;" dia")</f>
        <v/>
      </c>
      <c r="C301" s="9"/>
      <c r="D301" s="9"/>
      <c r="E301" s="9"/>
      <c r="F301" s="9"/>
      <c r="G301" s="38"/>
      <c r="H301" s="38"/>
      <c r="I301" s="42"/>
      <c r="J301" s="42"/>
      <c r="K301" s="38"/>
      <c r="L301" s="38"/>
      <c r="M301" s="38"/>
      <c r="N301" s="38"/>
      <c r="O301" s="9"/>
      <c r="P301" s="9"/>
      <c r="Q301" s="9"/>
      <c r="R301" s="9"/>
      <c r="S301" s="9"/>
      <c r="T301" s="9"/>
      <c r="U301" s="9"/>
      <c r="V301" s="42"/>
      <c r="W301" s="9"/>
      <c r="X301" s="9"/>
      <c r="Y301" s="39"/>
      <c r="Z301" s="9"/>
      <c r="AA301" s="38"/>
      <c r="AB301" s="9"/>
      <c r="AC301" s="9"/>
      <c r="AD301" s="9"/>
      <c r="AE301" s="9"/>
      <c r="AF301" s="9"/>
      <c r="AG301" s="9"/>
      <c r="AH301" s="38"/>
      <c r="AI301" s="9"/>
      <c r="AJ301" s="39"/>
      <c r="AK301" s="9"/>
      <c r="AL301" s="9"/>
      <c r="AM301" s="9"/>
      <c r="AN301" s="9"/>
      <c r="AO301" s="9"/>
      <c r="AP301" s="9"/>
      <c r="AQ301" s="9"/>
      <c r="AR301" s="10" t="str">
        <f aca="false">IF(A301="","",SG_Criteria!$B$6&amp;SG_Criteria!$B$10&amp;"\"&amp;A301&amp;"\")</f>
        <v/>
      </c>
      <c r="AS301" s="10" t="str">
        <f aca="false">IF(A301="","",A301&amp;"_CAD.dwg")</f>
        <v/>
      </c>
      <c r="AT301" s="10" t="str">
        <f aca="false">IF(A301="","",A301&amp;"_DWG.pdf")</f>
        <v/>
      </c>
      <c r="AU301" s="10" t="str">
        <f aca="false">IF(A301="","",IF(AQ301="Y",A301&amp;"_STAAD.std","n/a"))</f>
        <v/>
      </c>
      <c r="AV301" s="10" t="str">
        <f aca="false">IF(A301="","",A301&amp;"_CALC.xlsx")</f>
        <v/>
      </c>
      <c r="AW301" s="10" t="str">
        <f aca="false">IF(A301="","",A301&amp;"_CALC.pdf")</f>
        <v/>
      </c>
      <c r="AX301" s="9"/>
      <c r="AY301" s="9"/>
      <c r="AZ301" s="39"/>
      <c r="BA301" s="39"/>
      <c r="BB301" s="39"/>
      <c r="BC301" s="39"/>
      <c r="BD301" s="39"/>
      <c r="BE301" s="12" t="str">
        <f aca="false">IF(A301="","",IF(COUNTIF(Rebar_Schedule!$A$5:$A$2004,A301)=0,"",ROUND(SUMIF(Rebar_Schedule!$A$5:$A$2004,A301,Rebar_Schedule!$K$5:$K$2004),1)))</f>
        <v/>
      </c>
      <c r="BF301" s="33" t="str">
        <f aca="false">IF(A301="","",IF(BE301="","No rebar schedule yet",IF(ABS(BE301-N(BA301))/MAX(N(BA301),1)&gt;SG_Criteria!$B$55,"NOTE: register rebar differs from schedule by "&amp;TEXT(ABS(BE301-N(BA301))/MAX(N(BA301),1),"0%"),"OK")))</f>
        <v/>
      </c>
      <c r="BG301" s="33" t="str">
        <f aca="false">IF(D301="","",IF(LEN(IF(AND(Z301&lt;&gt;"",IFERROR(VALUE(MID(Z301,2,2)),0)&lt;SG_Criteria!$B$19),"FAIL: grade below C"&amp;SG_Criteria!$B$19&amp;". ","")&amp;IF(AND(AA301&lt;&gt;"",AA301&lt;SG_Criteria!$B$20),"FAIL: cover &lt; "&amp;SG_Criteria!$B$20&amp;" mm. ","")&amp;IF(AND(I301&lt;&gt;"",I301&lt;SG_Criteria!$B$39),"NOTE: min depth below PUB "&amp;SG_Criteria!$B$39&amp;" m. ","")&amp;IF(AND(LEFT(D301,8)="Standard",J301&gt;SG_Criteria!$B$42),"FAIL: PUB 001C covers manholes up to "&amp;SG_Criteria!$B$42&amp;" m deep only. ","")&amp;IF(AND(LEFT(D301,11)="Rectangular",K301&lt;SG_Criteria!$B$43),"NOTE: 004C is for sewers &gt;= "&amp;SG_Criteria!$B$43&amp;" dia. ","")&amp;IF(AND(LEFT(D301,7)="Precast",J301&lt;=SG_Criteria!$B$42),"NOTE: 006C is for manholes &gt; "&amp;SG_Criteria!$B$42&amp;" m deep. ","")&amp;IF(AND(K301&lt;&gt;"",K301&lt;SG_Criteria!$B$40,D301&lt;&gt;"Inspection Chamber"),"NOTE: public sewer min dia "&amp;SG_Criteria!$B$40&amp;" mm. ","")&amp;IF(AND(Y301&lt;&gt;"",Y301&lt;SG_Criteria!$B$44),"FAIL: uplift FOS below "&amp;SG_Criteria!$B$44&amp;". ",""))=0,"OK",IF(AND(Z301&lt;&gt;"",IFERROR(VALUE(MID(Z301,2,2)),0)&lt;SG_Criteria!$B$19),"FAIL: grade below C"&amp;SG_Criteria!$B$19&amp;". ","")&amp;IF(AND(AA301&lt;&gt;"",AA301&lt;SG_Criteria!$B$20),"FAIL: cover &lt; "&amp;SG_Criteria!$B$20&amp;" mm. ","")&amp;IF(AND(I301&lt;&gt;"",I301&lt;SG_Criteria!$B$39),"NOTE: min depth below PUB "&amp;SG_Criteria!$B$39&amp;" m. ","")&amp;IF(AND(LEFT(D301,8)="Standard",J301&gt;SG_Criteria!$B$42),"FAIL: PUB 001C covers manholes up to "&amp;SG_Criteria!$B$42&amp;" m deep only. ","")&amp;IF(AND(LEFT(D301,11)="Rectangular",K301&lt;SG_Criteria!$B$43),"NOTE: 004C is for sewers &gt;= "&amp;SG_Criteria!$B$43&amp;" dia. ","")&amp;IF(AND(LEFT(D301,7)="Precast",J301&lt;=SG_Criteria!$B$42),"NOTE: 006C is for manholes &gt; "&amp;SG_Criteria!$B$42&amp;" m deep. ","")&amp;IF(AND(K301&lt;&gt;"",K301&lt;SG_Criteria!$B$40,D301&lt;&gt;"Inspection Chamber"),"NOTE: public sewer min dia "&amp;SG_Criteria!$B$40&amp;" mm. ","")&amp;IF(AND(Y301&lt;&gt;"",Y301&lt;SG_Criteria!$B$44),"FAIL: uplift FOS below "&amp;SG_Criteria!$B$44&amp;". ","")))</f>
        <v/>
      </c>
      <c r="BH301" s="9"/>
      <c r="BI301" s="9"/>
      <c r="BJ301" s="9"/>
      <c r="BK301" s="10" t="str">
        <f aca="false">IF(BJ301="","",IFERROR(VLOOKUP(BJ301,Projects!$A$5:$D$504,2,0),"Ref not in Projects"))</f>
        <v/>
      </c>
      <c r="BL301" s="10" t="str">
        <f aca="false">IF(BJ301="","",IFERROR(VLOOKUP(BJ301,Projects!$A$5:$D$504,4,0),"Ref not in Projects"))</f>
        <v/>
      </c>
      <c r="BM301" s="9"/>
      <c r="BN301" s="9"/>
      <c r="BO301" s="9"/>
      <c r="BP301" s="40"/>
      <c r="BQ301" s="9"/>
      <c r="BR301" s="40"/>
      <c r="BS301" s="9"/>
      <c r="BT301" s="40"/>
      <c r="BU301" s="9"/>
      <c r="BV301" s="9"/>
      <c r="BW301" s="9"/>
      <c r="BX301" s="40"/>
      <c r="BY301" s="40"/>
      <c r="BZ301" s="36" t="str">
        <f aca="false">IF(BY301="","",EDATE(BY301,SG_Criteria!$B$54*12))</f>
        <v/>
      </c>
      <c r="CA301" s="33" t="str">
        <f aca="true">IF(A301="","",IF(BY301="","NOTE: not reviewed yet",IF(TODAY()&gt;BZ301,"NOTE: review overdue","OK")))</f>
        <v/>
      </c>
      <c r="CB301" s="37" t="str">
        <f aca="false">IF(A301="","",ROUND((IF(LEN(D301)&gt;0,1,0)+IF(LEN(E301)&gt;0,1,0)+IF(LEN(F301)&gt;0,1,0)+IF(LEN(G301)&gt;0,1,0)+IF(LEN(I301)&gt;0,1,0)+IF(LEN(J301)&gt;0,1,0)+IF(LEN(K301)&gt;0,1,0)+IF(LEN(L301)&gt;0,1,0)+IF(LEN(M301)&gt;0,1,0)+IF(LEN(N301)&gt;0,1,0)+IF(LEN(Z301)&gt;0,1,0)+IF(LEN(AA301)&gt;0,1,0)+IF(LEN(Y301)&gt;0,1,0)+IF(LEN(AE301)&gt;0,1,0)+IF(LEN(AG301)&gt;0,1,0)+IF(LEN(AZ301)&gt;0,1,0)+IF(LEN(AK301)&gt;0,1,0)+IF(LEN(AM301)&gt;0,1,0)+IF(LEN(AN301)&gt;0,1,0)+IF(LEN(AO301)&gt;0,1,0)+IF(LEN(AP301)&gt;0,1,0)+IF(LEN(AY301)&gt;0,1,0)+IF(LEN(BJ301)&gt;0,1,0)+IF(LEN(BW301)&gt;0,1,0))/24,2))</f>
        <v/>
      </c>
      <c r="CC301" s="10" t="str">
        <f aca="false">IF(D301="","",IF(AND(AN301="Approved",ISERROR(SEARCH("FAIL",BG301))),"Y","N"))</f>
        <v/>
      </c>
      <c r="CD301" s="10" t="str">
        <f aca="false">IF(D301="","",D301&amp;"|"&amp;J301&amp;"|"&amp;G301&amp;"|"&amp;CC301)</f>
        <v/>
      </c>
    </row>
    <row r="302" customFormat="false" ht="15" hidden="false" customHeight="false" outlineLevel="0" collapsed="false">
      <c r="A302" s="10" t="str">
        <f aca="false">IF(D302="","","MH-"&amp;IFERROR(VLOOKUP(D302,Lists!$AB$4:$AC$20,2,0),"??")&amp;"-"&amp;TEXT(G302,"0000")&amp;IF(F302="Circular","D","x"&amp;TEXT(H302,"0000"))&amp;"-D"&amp;TEXT(J302*1000,"0000")&amp;"-"&amp;IFERROR(VLOOKUP(E302,Lists!$AE$4:$AF$16,2,0),"??")&amp;"-"&amp;AM302)</f>
        <v/>
      </c>
      <c r="B302" s="10" t="str">
        <f aca="false">IF(D302="","",D302&amp;", "&amp;E302&amp;", "&amp;IF(F302="Circular",G302&amp;" dia",G302&amp;" x "&amp;H302)&amp;", depth "&amp;TEXT(I302,"0.0")&amp;"-"&amp;TEXT(J302,"0.0")&amp;" m, pipe up to "&amp;K302&amp;" dia")</f>
        <v/>
      </c>
      <c r="C302" s="9"/>
      <c r="D302" s="9"/>
      <c r="E302" s="9"/>
      <c r="F302" s="9"/>
      <c r="G302" s="38"/>
      <c r="H302" s="38"/>
      <c r="I302" s="42"/>
      <c r="J302" s="42"/>
      <c r="K302" s="38"/>
      <c r="L302" s="38"/>
      <c r="M302" s="38"/>
      <c r="N302" s="38"/>
      <c r="O302" s="9"/>
      <c r="P302" s="9"/>
      <c r="Q302" s="9"/>
      <c r="R302" s="9"/>
      <c r="S302" s="9"/>
      <c r="T302" s="9"/>
      <c r="U302" s="9"/>
      <c r="V302" s="42"/>
      <c r="W302" s="9"/>
      <c r="X302" s="9"/>
      <c r="Y302" s="39"/>
      <c r="Z302" s="9"/>
      <c r="AA302" s="38"/>
      <c r="AB302" s="9"/>
      <c r="AC302" s="9"/>
      <c r="AD302" s="9"/>
      <c r="AE302" s="9"/>
      <c r="AF302" s="9"/>
      <c r="AG302" s="9"/>
      <c r="AH302" s="38"/>
      <c r="AI302" s="9"/>
      <c r="AJ302" s="39"/>
      <c r="AK302" s="9"/>
      <c r="AL302" s="9"/>
      <c r="AM302" s="9"/>
      <c r="AN302" s="9"/>
      <c r="AO302" s="9"/>
      <c r="AP302" s="9"/>
      <c r="AQ302" s="9"/>
      <c r="AR302" s="10" t="str">
        <f aca="false">IF(A302="","",SG_Criteria!$B$6&amp;SG_Criteria!$B$10&amp;"\"&amp;A302&amp;"\")</f>
        <v/>
      </c>
      <c r="AS302" s="10" t="str">
        <f aca="false">IF(A302="","",A302&amp;"_CAD.dwg")</f>
        <v/>
      </c>
      <c r="AT302" s="10" t="str">
        <f aca="false">IF(A302="","",A302&amp;"_DWG.pdf")</f>
        <v/>
      </c>
      <c r="AU302" s="10" t="str">
        <f aca="false">IF(A302="","",IF(AQ302="Y",A302&amp;"_STAAD.std","n/a"))</f>
        <v/>
      </c>
      <c r="AV302" s="10" t="str">
        <f aca="false">IF(A302="","",A302&amp;"_CALC.xlsx")</f>
        <v/>
      </c>
      <c r="AW302" s="10" t="str">
        <f aca="false">IF(A302="","",A302&amp;"_CALC.pdf")</f>
        <v/>
      </c>
      <c r="AX302" s="9"/>
      <c r="AY302" s="9"/>
      <c r="AZ302" s="39"/>
      <c r="BA302" s="39"/>
      <c r="BB302" s="39"/>
      <c r="BC302" s="39"/>
      <c r="BD302" s="39"/>
      <c r="BE302" s="12" t="str">
        <f aca="false">IF(A302="","",IF(COUNTIF(Rebar_Schedule!$A$5:$A$2004,A302)=0,"",ROUND(SUMIF(Rebar_Schedule!$A$5:$A$2004,A302,Rebar_Schedule!$K$5:$K$2004),1)))</f>
        <v/>
      </c>
      <c r="BF302" s="33" t="str">
        <f aca="false">IF(A302="","",IF(BE302="","No rebar schedule yet",IF(ABS(BE302-N(BA302))/MAX(N(BA302),1)&gt;SG_Criteria!$B$55,"NOTE: register rebar differs from schedule by "&amp;TEXT(ABS(BE302-N(BA302))/MAX(N(BA302),1),"0%"),"OK")))</f>
        <v/>
      </c>
      <c r="BG302" s="33" t="str">
        <f aca="false">IF(D302="","",IF(LEN(IF(AND(Z302&lt;&gt;"",IFERROR(VALUE(MID(Z302,2,2)),0)&lt;SG_Criteria!$B$19),"FAIL: grade below C"&amp;SG_Criteria!$B$19&amp;". ","")&amp;IF(AND(AA302&lt;&gt;"",AA302&lt;SG_Criteria!$B$20),"FAIL: cover &lt; "&amp;SG_Criteria!$B$20&amp;" mm. ","")&amp;IF(AND(I302&lt;&gt;"",I302&lt;SG_Criteria!$B$39),"NOTE: min depth below PUB "&amp;SG_Criteria!$B$39&amp;" m. ","")&amp;IF(AND(LEFT(D302,8)="Standard",J302&gt;SG_Criteria!$B$42),"FAIL: PUB 001C covers manholes up to "&amp;SG_Criteria!$B$42&amp;" m deep only. ","")&amp;IF(AND(LEFT(D302,11)="Rectangular",K302&lt;SG_Criteria!$B$43),"NOTE: 004C is for sewers &gt;= "&amp;SG_Criteria!$B$43&amp;" dia. ","")&amp;IF(AND(LEFT(D302,7)="Precast",J302&lt;=SG_Criteria!$B$42),"NOTE: 006C is for manholes &gt; "&amp;SG_Criteria!$B$42&amp;" m deep. ","")&amp;IF(AND(K302&lt;&gt;"",K302&lt;SG_Criteria!$B$40,D302&lt;&gt;"Inspection Chamber"),"NOTE: public sewer min dia "&amp;SG_Criteria!$B$40&amp;" mm. ","")&amp;IF(AND(Y302&lt;&gt;"",Y302&lt;SG_Criteria!$B$44),"FAIL: uplift FOS below "&amp;SG_Criteria!$B$44&amp;". ",""))=0,"OK",IF(AND(Z302&lt;&gt;"",IFERROR(VALUE(MID(Z302,2,2)),0)&lt;SG_Criteria!$B$19),"FAIL: grade below C"&amp;SG_Criteria!$B$19&amp;". ","")&amp;IF(AND(AA302&lt;&gt;"",AA302&lt;SG_Criteria!$B$20),"FAIL: cover &lt; "&amp;SG_Criteria!$B$20&amp;" mm. ","")&amp;IF(AND(I302&lt;&gt;"",I302&lt;SG_Criteria!$B$39),"NOTE: min depth below PUB "&amp;SG_Criteria!$B$39&amp;" m. ","")&amp;IF(AND(LEFT(D302,8)="Standard",J302&gt;SG_Criteria!$B$42),"FAIL: PUB 001C covers manholes up to "&amp;SG_Criteria!$B$42&amp;" m deep only. ","")&amp;IF(AND(LEFT(D302,11)="Rectangular",K302&lt;SG_Criteria!$B$43),"NOTE: 004C is for sewers &gt;= "&amp;SG_Criteria!$B$43&amp;" dia. ","")&amp;IF(AND(LEFT(D302,7)="Precast",J302&lt;=SG_Criteria!$B$42),"NOTE: 006C is for manholes &gt; "&amp;SG_Criteria!$B$42&amp;" m deep. ","")&amp;IF(AND(K302&lt;&gt;"",K302&lt;SG_Criteria!$B$40,D302&lt;&gt;"Inspection Chamber"),"NOTE: public sewer min dia "&amp;SG_Criteria!$B$40&amp;" mm. ","")&amp;IF(AND(Y302&lt;&gt;"",Y302&lt;SG_Criteria!$B$44),"FAIL: uplift FOS below "&amp;SG_Criteria!$B$44&amp;". ","")))</f>
        <v/>
      </c>
      <c r="BH302" s="9"/>
      <c r="BI302" s="9"/>
      <c r="BJ302" s="9"/>
      <c r="BK302" s="10" t="str">
        <f aca="false">IF(BJ302="","",IFERROR(VLOOKUP(BJ302,Projects!$A$5:$D$504,2,0),"Ref not in Projects"))</f>
        <v/>
      </c>
      <c r="BL302" s="10" t="str">
        <f aca="false">IF(BJ302="","",IFERROR(VLOOKUP(BJ302,Projects!$A$5:$D$504,4,0),"Ref not in Projects"))</f>
        <v/>
      </c>
      <c r="BM302" s="9"/>
      <c r="BN302" s="9"/>
      <c r="BO302" s="9"/>
      <c r="BP302" s="40"/>
      <c r="BQ302" s="9"/>
      <c r="BR302" s="40"/>
      <c r="BS302" s="9"/>
      <c r="BT302" s="40"/>
      <c r="BU302" s="9"/>
      <c r="BV302" s="9"/>
      <c r="BW302" s="9"/>
      <c r="BX302" s="40"/>
      <c r="BY302" s="40"/>
      <c r="BZ302" s="36" t="str">
        <f aca="false">IF(BY302="","",EDATE(BY302,SG_Criteria!$B$54*12))</f>
        <v/>
      </c>
      <c r="CA302" s="33" t="str">
        <f aca="true">IF(A302="","",IF(BY302="","NOTE: not reviewed yet",IF(TODAY()&gt;BZ302,"NOTE: review overdue","OK")))</f>
        <v/>
      </c>
      <c r="CB302" s="37" t="str">
        <f aca="false">IF(A302="","",ROUND((IF(LEN(D302)&gt;0,1,0)+IF(LEN(E302)&gt;0,1,0)+IF(LEN(F302)&gt;0,1,0)+IF(LEN(G302)&gt;0,1,0)+IF(LEN(I302)&gt;0,1,0)+IF(LEN(J302)&gt;0,1,0)+IF(LEN(K302)&gt;0,1,0)+IF(LEN(L302)&gt;0,1,0)+IF(LEN(M302)&gt;0,1,0)+IF(LEN(N302)&gt;0,1,0)+IF(LEN(Z302)&gt;0,1,0)+IF(LEN(AA302)&gt;0,1,0)+IF(LEN(Y302)&gt;0,1,0)+IF(LEN(AE302)&gt;0,1,0)+IF(LEN(AG302)&gt;0,1,0)+IF(LEN(AZ302)&gt;0,1,0)+IF(LEN(AK302)&gt;0,1,0)+IF(LEN(AM302)&gt;0,1,0)+IF(LEN(AN302)&gt;0,1,0)+IF(LEN(AO302)&gt;0,1,0)+IF(LEN(AP302)&gt;0,1,0)+IF(LEN(AY302)&gt;0,1,0)+IF(LEN(BJ302)&gt;0,1,0)+IF(LEN(BW302)&gt;0,1,0))/24,2))</f>
        <v/>
      </c>
      <c r="CC302" s="10" t="str">
        <f aca="false">IF(D302="","",IF(AND(AN302="Approved",ISERROR(SEARCH("FAIL",BG302))),"Y","N"))</f>
        <v/>
      </c>
      <c r="CD302" s="10" t="str">
        <f aca="false">IF(D302="","",D302&amp;"|"&amp;J302&amp;"|"&amp;G302&amp;"|"&amp;CC302)</f>
        <v/>
      </c>
    </row>
    <row r="303" customFormat="false" ht="15" hidden="false" customHeight="false" outlineLevel="0" collapsed="false">
      <c r="A303" s="10" t="str">
        <f aca="false">IF(D303="","","MH-"&amp;IFERROR(VLOOKUP(D303,Lists!$AB$4:$AC$20,2,0),"??")&amp;"-"&amp;TEXT(G303,"0000")&amp;IF(F303="Circular","D","x"&amp;TEXT(H303,"0000"))&amp;"-D"&amp;TEXT(J303*1000,"0000")&amp;"-"&amp;IFERROR(VLOOKUP(E303,Lists!$AE$4:$AF$16,2,0),"??")&amp;"-"&amp;AM303)</f>
        <v/>
      </c>
      <c r="B303" s="10" t="str">
        <f aca="false">IF(D303="","",D303&amp;", "&amp;E303&amp;", "&amp;IF(F303="Circular",G303&amp;" dia",G303&amp;" x "&amp;H303)&amp;", depth "&amp;TEXT(I303,"0.0")&amp;"-"&amp;TEXT(J303,"0.0")&amp;" m, pipe up to "&amp;K303&amp;" dia")</f>
        <v/>
      </c>
      <c r="C303" s="9"/>
      <c r="D303" s="9"/>
      <c r="E303" s="9"/>
      <c r="F303" s="9"/>
      <c r="G303" s="38"/>
      <c r="H303" s="38"/>
      <c r="I303" s="42"/>
      <c r="J303" s="42"/>
      <c r="K303" s="38"/>
      <c r="L303" s="38"/>
      <c r="M303" s="38"/>
      <c r="N303" s="38"/>
      <c r="O303" s="9"/>
      <c r="P303" s="9"/>
      <c r="Q303" s="9"/>
      <c r="R303" s="9"/>
      <c r="S303" s="9"/>
      <c r="T303" s="9"/>
      <c r="U303" s="9"/>
      <c r="V303" s="42"/>
      <c r="W303" s="9"/>
      <c r="X303" s="9"/>
      <c r="Y303" s="39"/>
      <c r="Z303" s="9"/>
      <c r="AA303" s="38"/>
      <c r="AB303" s="9"/>
      <c r="AC303" s="9"/>
      <c r="AD303" s="9"/>
      <c r="AE303" s="9"/>
      <c r="AF303" s="9"/>
      <c r="AG303" s="9"/>
      <c r="AH303" s="38"/>
      <c r="AI303" s="9"/>
      <c r="AJ303" s="39"/>
      <c r="AK303" s="9"/>
      <c r="AL303" s="9"/>
      <c r="AM303" s="9"/>
      <c r="AN303" s="9"/>
      <c r="AO303" s="9"/>
      <c r="AP303" s="9"/>
      <c r="AQ303" s="9"/>
      <c r="AR303" s="10" t="str">
        <f aca="false">IF(A303="","",SG_Criteria!$B$6&amp;SG_Criteria!$B$10&amp;"\"&amp;A303&amp;"\")</f>
        <v/>
      </c>
      <c r="AS303" s="10" t="str">
        <f aca="false">IF(A303="","",A303&amp;"_CAD.dwg")</f>
        <v/>
      </c>
      <c r="AT303" s="10" t="str">
        <f aca="false">IF(A303="","",A303&amp;"_DWG.pdf")</f>
        <v/>
      </c>
      <c r="AU303" s="10" t="str">
        <f aca="false">IF(A303="","",IF(AQ303="Y",A303&amp;"_STAAD.std","n/a"))</f>
        <v/>
      </c>
      <c r="AV303" s="10" t="str">
        <f aca="false">IF(A303="","",A303&amp;"_CALC.xlsx")</f>
        <v/>
      </c>
      <c r="AW303" s="10" t="str">
        <f aca="false">IF(A303="","",A303&amp;"_CALC.pdf")</f>
        <v/>
      </c>
      <c r="AX303" s="9"/>
      <c r="AY303" s="9"/>
      <c r="AZ303" s="39"/>
      <c r="BA303" s="39"/>
      <c r="BB303" s="39"/>
      <c r="BC303" s="39"/>
      <c r="BD303" s="39"/>
      <c r="BE303" s="12" t="str">
        <f aca="false">IF(A303="","",IF(COUNTIF(Rebar_Schedule!$A$5:$A$2004,A303)=0,"",ROUND(SUMIF(Rebar_Schedule!$A$5:$A$2004,A303,Rebar_Schedule!$K$5:$K$2004),1)))</f>
        <v/>
      </c>
      <c r="BF303" s="33" t="str">
        <f aca="false">IF(A303="","",IF(BE303="","No rebar schedule yet",IF(ABS(BE303-N(BA303))/MAX(N(BA303),1)&gt;SG_Criteria!$B$55,"NOTE: register rebar differs from schedule by "&amp;TEXT(ABS(BE303-N(BA303))/MAX(N(BA303),1),"0%"),"OK")))</f>
        <v/>
      </c>
      <c r="BG303" s="33" t="str">
        <f aca="false">IF(D303="","",IF(LEN(IF(AND(Z303&lt;&gt;"",IFERROR(VALUE(MID(Z303,2,2)),0)&lt;SG_Criteria!$B$19),"FAIL: grade below C"&amp;SG_Criteria!$B$19&amp;". ","")&amp;IF(AND(AA303&lt;&gt;"",AA303&lt;SG_Criteria!$B$20),"FAIL: cover &lt; "&amp;SG_Criteria!$B$20&amp;" mm. ","")&amp;IF(AND(I303&lt;&gt;"",I303&lt;SG_Criteria!$B$39),"NOTE: min depth below PUB "&amp;SG_Criteria!$B$39&amp;" m. ","")&amp;IF(AND(LEFT(D303,8)="Standard",J303&gt;SG_Criteria!$B$42),"FAIL: PUB 001C covers manholes up to "&amp;SG_Criteria!$B$42&amp;" m deep only. ","")&amp;IF(AND(LEFT(D303,11)="Rectangular",K303&lt;SG_Criteria!$B$43),"NOTE: 004C is for sewers &gt;= "&amp;SG_Criteria!$B$43&amp;" dia. ","")&amp;IF(AND(LEFT(D303,7)="Precast",J303&lt;=SG_Criteria!$B$42),"NOTE: 006C is for manholes &gt; "&amp;SG_Criteria!$B$42&amp;" m deep. ","")&amp;IF(AND(K303&lt;&gt;"",K303&lt;SG_Criteria!$B$40,D303&lt;&gt;"Inspection Chamber"),"NOTE: public sewer min dia "&amp;SG_Criteria!$B$40&amp;" mm. ","")&amp;IF(AND(Y303&lt;&gt;"",Y303&lt;SG_Criteria!$B$44),"FAIL: uplift FOS below "&amp;SG_Criteria!$B$44&amp;". ",""))=0,"OK",IF(AND(Z303&lt;&gt;"",IFERROR(VALUE(MID(Z303,2,2)),0)&lt;SG_Criteria!$B$19),"FAIL: grade below C"&amp;SG_Criteria!$B$19&amp;". ","")&amp;IF(AND(AA303&lt;&gt;"",AA303&lt;SG_Criteria!$B$20),"FAIL: cover &lt; "&amp;SG_Criteria!$B$20&amp;" mm. ","")&amp;IF(AND(I303&lt;&gt;"",I303&lt;SG_Criteria!$B$39),"NOTE: min depth below PUB "&amp;SG_Criteria!$B$39&amp;" m. ","")&amp;IF(AND(LEFT(D303,8)="Standard",J303&gt;SG_Criteria!$B$42),"FAIL: PUB 001C covers manholes up to "&amp;SG_Criteria!$B$42&amp;" m deep only. ","")&amp;IF(AND(LEFT(D303,11)="Rectangular",K303&lt;SG_Criteria!$B$43),"NOTE: 004C is for sewers &gt;= "&amp;SG_Criteria!$B$43&amp;" dia. ","")&amp;IF(AND(LEFT(D303,7)="Precast",J303&lt;=SG_Criteria!$B$42),"NOTE: 006C is for manholes &gt; "&amp;SG_Criteria!$B$42&amp;" m deep. ","")&amp;IF(AND(K303&lt;&gt;"",K303&lt;SG_Criteria!$B$40,D303&lt;&gt;"Inspection Chamber"),"NOTE: public sewer min dia "&amp;SG_Criteria!$B$40&amp;" mm. ","")&amp;IF(AND(Y303&lt;&gt;"",Y303&lt;SG_Criteria!$B$44),"FAIL: uplift FOS below "&amp;SG_Criteria!$B$44&amp;". ","")))</f>
        <v/>
      </c>
      <c r="BH303" s="9"/>
      <c r="BI303" s="9"/>
      <c r="BJ303" s="9"/>
      <c r="BK303" s="10" t="str">
        <f aca="false">IF(BJ303="","",IFERROR(VLOOKUP(BJ303,Projects!$A$5:$D$504,2,0),"Ref not in Projects"))</f>
        <v/>
      </c>
      <c r="BL303" s="10" t="str">
        <f aca="false">IF(BJ303="","",IFERROR(VLOOKUP(BJ303,Projects!$A$5:$D$504,4,0),"Ref not in Projects"))</f>
        <v/>
      </c>
      <c r="BM303" s="9"/>
      <c r="BN303" s="9"/>
      <c r="BO303" s="9"/>
      <c r="BP303" s="40"/>
      <c r="BQ303" s="9"/>
      <c r="BR303" s="40"/>
      <c r="BS303" s="9"/>
      <c r="BT303" s="40"/>
      <c r="BU303" s="9"/>
      <c r="BV303" s="9"/>
      <c r="BW303" s="9"/>
      <c r="BX303" s="40"/>
      <c r="BY303" s="40"/>
      <c r="BZ303" s="36" t="str">
        <f aca="false">IF(BY303="","",EDATE(BY303,SG_Criteria!$B$54*12))</f>
        <v/>
      </c>
      <c r="CA303" s="33" t="str">
        <f aca="true">IF(A303="","",IF(BY303="","NOTE: not reviewed yet",IF(TODAY()&gt;BZ303,"NOTE: review overdue","OK")))</f>
        <v/>
      </c>
      <c r="CB303" s="37" t="str">
        <f aca="false">IF(A303="","",ROUND((IF(LEN(D303)&gt;0,1,0)+IF(LEN(E303)&gt;0,1,0)+IF(LEN(F303)&gt;0,1,0)+IF(LEN(G303)&gt;0,1,0)+IF(LEN(I303)&gt;0,1,0)+IF(LEN(J303)&gt;0,1,0)+IF(LEN(K303)&gt;0,1,0)+IF(LEN(L303)&gt;0,1,0)+IF(LEN(M303)&gt;0,1,0)+IF(LEN(N303)&gt;0,1,0)+IF(LEN(Z303)&gt;0,1,0)+IF(LEN(AA303)&gt;0,1,0)+IF(LEN(Y303)&gt;0,1,0)+IF(LEN(AE303)&gt;0,1,0)+IF(LEN(AG303)&gt;0,1,0)+IF(LEN(AZ303)&gt;0,1,0)+IF(LEN(AK303)&gt;0,1,0)+IF(LEN(AM303)&gt;0,1,0)+IF(LEN(AN303)&gt;0,1,0)+IF(LEN(AO303)&gt;0,1,0)+IF(LEN(AP303)&gt;0,1,0)+IF(LEN(AY303)&gt;0,1,0)+IF(LEN(BJ303)&gt;0,1,0)+IF(LEN(BW303)&gt;0,1,0))/24,2))</f>
        <v/>
      </c>
      <c r="CC303" s="10" t="str">
        <f aca="false">IF(D303="","",IF(AND(AN303="Approved",ISERROR(SEARCH("FAIL",BG303))),"Y","N"))</f>
        <v/>
      </c>
      <c r="CD303" s="10" t="str">
        <f aca="false">IF(D303="","",D303&amp;"|"&amp;J303&amp;"|"&amp;G303&amp;"|"&amp;CC303)</f>
        <v/>
      </c>
    </row>
    <row r="304" customFormat="false" ht="15" hidden="false" customHeight="false" outlineLevel="0" collapsed="false">
      <c r="A304" s="10" t="str">
        <f aca="false">IF(D304="","","MH-"&amp;IFERROR(VLOOKUP(D304,Lists!$AB$4:$AC$20,2,0),"??")&amp;"-"&amp;TEXT(G304,"0000")&amp;IF(F304="Circular","D","x"&amp;TEXT(H304,"0000"))&amp;"-D"&amp;TEXT(J304*1000,"0000")&amp;"-"&amp;IFERROR(VLOOKUP(E304,Lists!$AE$4:$AF$16,2,0),"??")&amp;"-"&amp;AM304)</f>
        <v/>
      </c>
      <c r="B304" s="10" t="str">
        <f aca="false">IF(D304="","",D304&amp;", "&amp;E304&amp;", "&amp;IF(F304="Circular",G304&amp;" dia",G304&amp;" x "&amp;H304)&amp;", depth "&amp;TEXT(I304,"0.0")&amp;"-"&amp;TEXT(J304,"0.0")&amp;" m, pipe up to "&amp;K304&amp;" dia")</f>
        <v/>
      </c>
      <c r="C304" s="9"/>
      <c r="D304" s="9"/>
      <c r="E304" s="9"/>
      <c r="F304" s="9"/>
      <c r="G304" s="38"/>
      <c r="H304" s="38"/>
      <c r="I304" s="42"/>
      <c r="J304" s="42"/>
      <c r="K304" s="38"/>
      <c r="L304" s="38"/>
      <c r="M304" s="38"/>
      <c r="N304" s="38"/>
      <c r="O304" s="9"/>
      <c r="P304" s="9"/>
      <c r="Q304" s="9"/>
      <c r="R304" s="9"/>
      <c r="S304" s="9"/>
      <c r="T304" s="9"/>
      <c r="U304" s="9"/>
      <c r="V304" s="42"/>
      <c r="W304" s="9"/>
      <c r="X304" s="9"/>
      <c r="Y304" s="39"/>
      <c r="Z304" s="9"/>
      <c r="AA304" s="38"/>
      <c r="AB304" s="9"/>
      <c r="AC304" s="9"/>
      <c r="AD304" s="9"/>
      <c r="AE304" s="9"/>
      <c r="AF304" s="9"/>
      <c r="AG304" s="9"/>
      <c r="AH304" s="38"/>
      <c r="AI304" s="9"/>
      <c r="AJ304" s="39"/>
      <c r="AK304" s="9"/>
      <c r="AL304" s="9"/>
      <c r="AM304" s="9"/>
      <c r="AN304" s="9"/>
      <c r="AO304" s="9"/>
      <c r="AP304" s="9"/>
      <c r="AQ304" s="9"/>
      <c r="AR304" s="10" t="str">
        <f aca="false">IF(A304="","",SG_Criteria!$B$6&amp;SG_Criteria!$B$10&amp;"\"&amp;A304&amp;"\")</f>
        <v/>
      </c>
      <c r="AS304" s="10" t="str">
        <f aca="false">IF(A304="","",A304&amp;"_CAD.dwg")</f>
        <v/>
      </c>
      <c r="AT304" s="10" t="str">
        <f aca="false">IF(A304="","",A304&amp;"_DWG.pdf")</f>
        <v/>
      </c>
      <c r="AU304" s="10" t="str">
        <f aca="false">IF(A304="","",IF(AQ304="Y",A304&amp;"_STAAD.std","n/a"))</f>
        <v/>
      </c>
      <c r="AV304" s="10" t="str">
        <f aca="false">IF(A304="","",A304&amp;"_CALC.xlsx")</f>
        <v/>
      </c>
      <c r="AW304" s="10" t="str">
        <f aca="false">IF(A304="","",A304&amp;"_CALC.pdf")</f>
        <v/>
      </c>
      <c r="AX304" s="9"/>
      <c r="AY304" s="9"/>
      <c r="AZ304" s="39"/>
      <c r="BA304" s="39"/>
      <c r="BB304" s="39"/>
      <c r="BC304" s="39"/>
      <c r="BD304" s="39"/>
      <c r="BE304" s="12" t="str">
        <f aca="false">IF(A304="","",IF(COUNTIF(Rebar_Schedule!$A$5:$A$2004,A304)=0,"",ROUND(SUMIF(Rebar_Schedule!$A$5:$A$2004,A304,Rebar_Schedule!$K$5:$K$2004),1)))</f>
        <v/>
      </c>
      <c r="BF304" s="33" t="str">
        <f aca="false">IF(A304="","",IF(BE304="","No rebar schedule yet",IF(ABS(BE304-N(BA304))/MAX(N(BA304),1)&gt;SG_Criteria!$B$55,"NOTE: register rebar differs from schedule by "&amp;TEXT(ABS(BE304-N(BA304))/MAX(N(BA304),1),"0%"),"OK")))</f>
        <v/>
      </c>
      <c r="BG304" s="33" t="str">
        <f aca="false">IF(D304="","",IF(LEN(IF(AND(Z304&lt;&gt;"",IFERROR(VALUE(MID(Z304,2,2)),0)&lt;SG_Criteria!$B$19),"FAIL: grade below C"&amp;SG_Criteria!$B$19&amp;". ","")&amp;IF(AND(AA304&lt;&gt;"",AA304&lt;SG_Criteria!$B$20),"FAIL: cover &lt; "&amp;SG_Criteria!$B$20&amp;" mm. ","")&amp;IF(AND(I304&lt;&gt;"",I304&lt;SG_Criteria!$B$39),"NOTE: min depth below PUB "&amp;SG_Criteria!$B$39&amp;" m. ","")&amp;IF(AND(LEFT(D304,8)="Standard",J304&gt;SG_Criteria!$B$42),"FAIL: PUB 001C covers manholes up to "&amp;SG_Criteria!$B$42&amp;" m deep only. ","")&amp;IF(AND(LEFT(D304,11)="Rectangular",K304&lt;SG_Criteria!$B$43),"NOTE: 004C is for sewers &gt;= "&amp;SG_Criteria!$B$43&amp;" dia. ","")&amp;IF(AND(LEFT(D304,7)="Precast",J304&lt;=SG_Criteria!$B$42),"NOTE: 006C is for manholes &gt; "&amp;SG_Criteria!$B$42&amp;" m deep. ","")&amp;IF(AND(K304&lt;&gt;"",K304&lt;SG_Criteria!$B$40,D304&lt;&gt;"Inspection Chamber"),"NOTE: public sewer min dia "&amp;SG_Criteria!$B$40&amp;" mm. ","")&amp;IF(AND(Y304&lt;&gt;"",Y304&lt;SG_Criteria!$B$44),"FAIL: uplift FOS below "&amp;SG_Criteria!$B$44&amp;". ",""))=0,"OK",IF(AND(Z304&lt;&gt;"",IFERROR(VALUE(MID(Z304,2,2)),0)&lt;SG_Criteria!$B$19),"FAIL: grade below C"&amp;SG_Criteria!$B$19&amp;". ","")&amp;IF(AND(AA304&lt;&gt;"",AA304&lt;SG_Criteria!$B$20),"FAIL: cover &lt; "&amp;SG_Criteria!$B$20&amp;" mm. ","")&amp;IF(AND(I304&lt;&gt;"",I304&lt;SG_Criteria!$B$39),"NOTE: min depth below PUB "&amp;SG_Criteria!$B$39&amp;" m. ","")&amp;IF(AND(LEFT(D304,8)="Standard",J304&gt;SG_Criteria!$B$42),"FAIL: PUB 001C covers manholes up to "&amp;SG_Criteria!$B$42&amp;" m deep only. ","")&amp;IF(AND(LEFT(D304,11)="Rectangular",K304&lt;SG_Criteria!$B$43),"NOTE: 004C is for sewers &gt;= "&amp;SG_Criteria!$B$43&amp;" dia. ","")&amp;IF(AND(LEFT(D304,7)="Precast",J304&lt;=SG_Criteria!$B$42),"NOTE: 006C is for manholes &gt; "&amp;SG_Criteria!$B$42&amp;" m deep. ","")&amp;IF(AND(K304&lt;&gt;"",K304&lt;SG_Criteria!$B$40,D304&lt;&gt;"Inspection Chamber"),"NOTE: public sewer min dia "&amp;SG_Criteria!$B$40&amp;" mm. ","")&amp;IF(AND(Y304&lt;&gt;"",Y304&lt;SG_Criteria!$B$44),"FAIL: uplift FOS below "&amp;SG_Criteria!$B$44&amp;". ","")))</f>
        <v/>
      </c>
      <c r="BH304" s="9"/>
      <c r="BI304" s="9"/>
      <c r="BJ304" s="9"/>
      <c r="BK304" s="10" t="str">
        <f aca="false">IF(BJ304="","",IFERROR(VLOOKUP(BJ304,Projects!$A$5:$D$504,2,0),"Ref not in Projects"))</f>
        <v/>
      </c>
      <c r="BL304" s="10" t="str">
        <f aca="false">IF(BJ304="","",IFERROR(VLOOKUP(BJ304,Projects!$A$5:$D$504,4,0),"Ref not in Projects"))</f>
        <v/>
      </c>
      <c r="BM304" s="9"/>
      <c r="BN304" s="9"/>
      <c r="BO304" s="9"/>
      <c r="BP304" s="40"/>
      <c r="BQ304" s="9"/>
      <c r="BR304" s="40"/>
      <c r="BS304" s="9"/>
      <c r="BT304" s="40"/>
      <c r="BU304" s="9"/>
      <c r="BV304" s="9"/>
      <c r="BW304" s="9"/>
      <c r="BX304" s="40"/>
      <c r="BY304" s="40"/>
      <c r="BZ304" s="36" t="str">
        <f aca="false">IF(BY304="","",EDATE(BY304,SG_Criteria!$B$54*12))</f>
        <v/>
      </c>
      <c r="CA304" s="33" t="str">
        <f aca="true">IF(A304="","",IF(BY304="","NOTE: not reviewed yet",IF(TODAY()&gt;BZ304,"NOTE: review overdue","OK")))</f>
        <v/>
      </c>
      <c r="CB304" s="37" t="str">
        <f aca="false">IF(A304="","",ROUND((IF(LEN(D304)&gt;0,1,0)+IF(LEN(E304)&gt;0,1,0)+IF(LEN(F304)&gt;0,1,0)+IF(LEN(G304)&gt;0,1,0)+IF(LEN(I304)&gt;0,1,0)+IF(LEN(J304)&gt;0,1,0)+IF(LEN(K304)&gt;0,1,0)+IF(LEN(L304)&gt;0,1,0)+IF(LEN(M304)&gt;0,1,0)+IF(LEN(N304)&gt;0,1,0)+IF(LEN(Z304)&gt;0,1,0)+IF(LEN(AA304)&gt;0,1,0)+IF(LEN(Y304)&gt;0,1,0)+IF(LEN(AE304)&gt;0,1,0)+IF(LEN(AG304)&gt;0,1,0)+IF(LEN(AZ304)&gt;0,1,0)+IF(LEN(AK304)&gt;0,1,0)+IF(LEN(AM304)&gt;0,1,0)+IF(LEN(AN304)&gt;0,1,0)+IF(LEN(AO304)&gt;0,1,0)+IF(LEN(AP304)&gt;0,1,0)+IF(LEN(AY304)&gt;0,1,0)+IF(LEN(BJ304)&gt;0,1,0)+IF(LEN(BW304)&gt;0,1,0))/24,2))</f>
        <v/>
      </c>
      <c r="CC304" s="10" t="str">
        <f aca="false">IF(D304="","",IF(AND(AN304="Approved",ISERROR(SEARCH("FAIL",BG304))),"Y","N"))</f>
        <v/>
      </c>
      <c r="CD304" s="10" t="str">
        <f aca="false">IF(D304="","",D304&amp;"|"&amp;J304&amp;"|"&amp;G304&amp;"|"&amp;CC304)</f>
        <v/>
      </c>
    </row>
  </sheetData>
  <conditionalFormatting sqref="BG5:BG304">
    <cfRule type="expression" priority="2" aboveAverage="0" equalAverage="0" bottom="0" percent="0" rank="0" text="" dxfId="0">
      <formula>ISNUMBER(SEARCH("FAIL",BG5))</formula>
    </cfRule>
    <cfRule type="expression" priority="3" aboveAverage="0" equalAverage="0" bottom="0" percent="0" rank="0" text="" dxfId="16">
      <formula>ISNUMBER(SEARCH("NOTE",BG5))</formula>
    </cfRule>
    <cfRule type="expression" priority="4" aboveAverage="0" equalAverage="0" bottom="0" percent="0" rank="0" text="" dxfId="1">
      <formula>BG5="OK"</formula>
    </cfRule>
  </conditionalFormatting>
  <conditionalFormatting sqref="BF5:BF304">
    <cfRule type="expression" priority="5" aboveAverage="0" equalAverage="0" bottom="0" percent="0" rank="0" text="" dxfId="0">
      <formula>ISNUMBER(SEARCH("FAIL",BF5))</formula>
    </cfRule>
    <cfRule type="expression" priority="6" aboveAverage="0" equalAverage="0" bottom="0" percent="0" rank="0" text="" dxfId="16">
      <formula>ISNUMBER(SEARCH("NOTE",BF5))</formula>
    </cfRule>
    <cfRule type="expression" priority="7" aboveAverage="0" equalAverage="0" bottom="0" percent="0" rank="0" text="" dxfId="1">
      <formula>BF5="OK"</formula>
    </cfRule>
  </conditionalFormatting>
  <conditionalFormatting sqref="CA5:CA304">
    <cfRule type="expression" priority="8" aboveAverage="0" equalAverage="0" bottom="0" percent="0" rank="0" text="" dxfId="0">
      <formula>ISNUMBER(SEARCH("FAIL",CA5))</formula>
    </cfRule>
    <cfRule type="expression" priority="9" aboveAverage="0" equalAverage="0" bottom="0" percent="0" rank="0" text="" dxfId="16">
      <formula>ISNUMBER(SEARCH("NOTE",CA5))</formula>
    </cfRule>
    <cfRule type="expression" priority="10" aboveAverage="0" equalAverage="0" bottom="0" percent="0" rank="0" text="" dxfId="1">
      <formula>CA5="OK"</formula>
    </cfRule>
  </conditionalFormatting>
  <conditionalFormatting sqref="CB5:CB304">
    <cfRule type="expression" priority="11" aboveAverage="0" equalAverage="0" bottom="0" percent="0" rank="0" text="" dxfId="16">
      <formula>AND(CB5&lt;&gt;"",CB5&lt;SG_Criteria!$B$56)</formula>
    </cfRule>
    <cfRule type="expression" priority="12" aboveAverage="0" equalAverage="0" bottom="0" percent="0" rank="0" text="" dxfId="1">
      <formula>AND(CB5&lt;&gt;"",CB5&gt;=SG_Criteria!$B$56)</formula>
    </cfRule>
  </conditionalFormatting>
  <dataValidations count="14">
    <dataValidation allowBlank="true" error="Pick a value from the list (add new values on the Lists sheet)." errorStyle="stop" errorTitle="Not in list" operator="between" showDropDown="false" showErrorMessage="false" showInputMessage="false" sqref="D5:D304" type="list">
      <formula1>Lists!$AB$4:$AB$20</formula1>
      <formula2>0</formula2>
    </dataValidation>
    <dataValidation allowBlank="true" error="Pick a value from the list (add new values on the Lists sheet)." errorStyle="stop" errorTitle="Not in list" operator="between" showDropDown="false" showErrorMessage="false" showInputMessage="false" sqref="E5:E304" type="list">
      <formula1>Lists!$AE$4:$AE$16</formula1>
      <formula2>0</formula2>
    </dataValidation>
    <dataValidation allowBlank="true" error="Pick a value from the list (add new values on the Lists sheet)." errorStyle="stop" errorTitle="Not in list" operator="between" showDropDown="false" showErrorMessage="false" showInputMessage="false" sqref="F5:F304" type="list">
      <formula1>Lists!$AH$4:$AH$16</formula1>
      <formula2>0</formula2>
    </dataValidation>
    <dataValidation allowBlank="true" error="Pick a value from the list (add new values on the Lists sheet)." errorStyle="stop" errorTitle="Not in list" operator="between" showDropDown="false" showErrorMessage="false" showInputMessage="false" sqref="P5:P304" type="list">
      <formula1>Lists!$CG$4:$CG$20</formula1>
      <formula2>0</formula2>
    </dataValidation>
    <dataValidation allowBlank="true" error="Pick a value from the list (add new values on the Lists sheet)." errorStyle="stop" errorTitle="Not in list" operator="between" showDropDown="false" showErrorMessage="false" showInputMessage="false" sqref="X5:X304" type="list">
      <formula1>Lists!$J$4:$J$19</formula1>
      <formula2>0</formula2>
    </dataValidation>
    <dataValidation allowBlank="true" error="Pick a value from the list (add new values on the Lists sheet)." errorStyle="stop" errorTitle="Not in list" operator="between" showDropDown="false" showErrorMessage="false" showInputMessage="false" sqref="Z5:Z304" type="list">
      <formula1>Lists!$BO$4:$BO$20</formula1>
      <formula2>0</formula2>
    </dataValidation>
    <dataValidation allowBlank="true" error="Pick a value from the list (add new values on the Lists sheet)." errorStyle="stop" errorTitle="Not in list" operator="between" showDropDown="false" showErrorMessage="false" showInputMessage="false" sqref="AG5:AG304" type="list">
      <formula1>Lists!$BU$4:$BU$27</formula1>
      <formula2>0</formula2>
    </dataValidation>
    <dataValidation allowBlank="true" error="Pick a value from the list (add new values on the Lists sheet)." errorStyle="stop" errorTitle="Not in list" operator="between" showDropDown="false" showErrorMessage="false" showInputMessage="false" sqref="AI5:AI304" type="list">
      <formula1>Lists!$BX$4:$BX$18</formula1>
      <formula2>0</formula2>
    </dataValidation>
    <dataValidation allowBlank="true" error="Pick a value from the list (add new values on the Lists sheet)." errorStyle="stop" errorTitle="Not in list" operator="between" showDropDown="false" showErrorMessage="false" showInputMessage="false" sqref="AN5:AN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AP5:AP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AQ5:AQ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X5:AX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Y5:AY304" type="list">
      <formula1>Lists!$BL$4:$BL$19</formula1>
      <formula2>0</formula2>
    </dataValidation>
    <dataValidation allowBlank="true" error="Pick a Project Ref from the Projects sheet (add the project there first)." errorStyle="stop" errorTitle="Not in list" operator="between" showDropDown="false" showErrorMessage="false" showInputMessage="false" sqref="BJ5:BJ304" type="list">
      <formula1>Projects!$A$5:$A$504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BY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54"/>
    <col collapsed="false" customWidth="true" hidden="false" outlineLevel="0" max="3" min="3" style="0" width="24"/>
    <col collapsed="false" customWidth="true" hidden="false" outlineLevel="0" max="4" min="4" style="0" width="22"/>
    <col collapsed="false" customWidth="true" hidden="false" outlineLevel="0" max="5" min="5" style="0" width="14"/>
    <col collapsed="false" customWidth="true" hidden="false" outlineLevel="0" max="8" min="6" style="0" width="8"/>
    <col collapsed="false" customWidth="true" hidden="false" outlineLevel="0" max="9" min="9" style="0" width="22"/>
    <col collapsed="false" customWidth="true" hidden="false" outlineLevel="0" max="11" min="10" style="0" width="8"/>
    <col collapsed="false" customWidth="true" hidden="false" outlineLevel="0" max="12" min="12" style="0" width="14"/>
    <col collapsed="false" customWidth="true" hidden="false" outlineLevel="0" max="14" min="13" style="0" width="7"/>
    <col collapsed="false" customWidth="true" hidden="false" outlineLevel="0" max="15" min="15" style="0" width="6"/>
    <col collapsed="false" customWidth="true" hidden="false" outlineLevel="0" max="16" min="16" style="0" width="12"/>
    <col collapsed="false" customWidth="true" hidden="false" outlineLevel="0" max="17" min="17" style="0" width="14"/>
    <col collapsed="false" customWidth="true" hidden="false" outlineLevel="0" max="19" min="18" style="0" width="7"/>
    <col collapsed="false" customWidth="true" hidden="false" outlineLevel="0" max="20" min="20" style="0" width="9"/>
    <col collapsed="false" customWidth="true" hidden="false" outlineLevel="0" max="22" min="21" style="0" width="8"/>
    <col collapsed="false" customWidth="true" hidden="false" outlineLevel="0" max="24" min="23" style="0" width="16"/>
    <col collapsed="false" customWidth="true" hidden="false" outlineLevel="0" max="25" min="25" style="0" width="8"/>
    <col collapsed="false" customWidth="true" hidden="false" outlineLevel="0" max="26" min="26" style="0" width="18"/>
    <col collapsed="false" customWidth="true" hidden="false" outlineLevel="0" max="28" min="27" style="0" width="7"/>
    <col collapsed="false" customWidth="true" hidden="false" outlineLevel="0" max="29" min="29" style="0" width="13"/>
    <col collapsed="false" customWidth="true" hidden="false" outlineLevel="0" max="30" min="30" style="0" width="7"/>
    <col collapsed="false" customWidth="true" hidden="false" outlineLevel="0" max="31" min="31" style="0" width="30"/>
    <col collapsed="false" customWidth="true" hidden="false" outlineLevel="0" max="32" min="32" style="0" width="28"/>
    <col collapsed="false" customWidth="true" hidden="false" outlineLevel="0" max="33" min="33" style="0" width="5"/>
    <col collapsed="false" customWidth="true" hidden="false" outlineLevel="0" max="34" min="34" style="0" width="10"/>
    <col collapsed="false" customWidth="true" hidden="false" outlineLevel="0" max="35" min="35" style="0" width="14"/>
    <col collapsed="false" customWidth="true" hidden="false" outlineLevel="0" max="36" min="36" style="0" width="8"/>
    <col collapsed="false" customWidth="true" hidden="false" outlineLevel="0" max="37" min="37" style="0" width="9"/>
    <col collapsed="false" customWidth="true" hidden="false" outlineLevel="0" max="38" min="38" style="0" width="46"/>
    <col collapsed="false" customWidth="true" hidden="false" outlineLevel="0" max="43" min="39" style="0" width="30"/>
    <col collapsed="false" customWidth="true" hidden="false" outlineLevel="0" max="44" min="44" style="0" width="9"/>
    <col collapsed="false" customWidth="true" hidden="false" outlineLevel="0" max="45" min="45" style="0" width="6"/>
    <col collapsed="false" customWidth="true" hidden="false" outlineLevel="0" max="50" min="46" style="0" width="9"/>
    <col collapsed="false" customWidth="true" hidden="false" outlineLevel="0" max="51" min="51" style="0" width="10"/>
    <col collapsed="false" customWidth="true" hidden="false" outlineLevel="0" max="52" min="52" style="0" width="22"/>
    <col collapsed="false" customWidth="true" hidden="false" outlineLevel="0" max="53" min="53" style="0" width="24"/>
    <col collapsed="false" customWidth="true" hidden="false" outlineLevel="0" max="54" min="54" style="0" width="44"/>
    <col collapsed="false" customWidth="true" hidden="false" outlineLevel="0" max="55" min="55" style="0" width="36"/>
    <col collapsed="false" customWidth="true" hidden="false" outlineLevel="0" max="56" min="56" style="0" width="22"/>
    <col collapsed="false" customWidth="true" hidden="false" outlineLevel="0" max="57" min="57" style="0" width="11"/>
    <col collapsed="false" customWidth="true" hidden="false" outlineLevel="0" max="58" min="58" style="0" width="30"/>
    <col collapsed="false" customWidth="true" hidden="false" outlineLevel="0" max="59" min="59" style="0" width="10"/>
    <col collapsed="false" customWidth="true" hidden="false" outlineLevel="0" max="61" min="60" style="0" width="22"/>
    <col collapsed="false" customWidth="true" hidden="false" outlineLevel="0" max="65" min="62" style="0" width="11"/>
    <col collapsed="false" customWidth="true" hidden="false" outlineLevel="0" max="66" min="66" style="0" width="18"/>
    <col collapsed="false" customWidth="true" hidden="false" outlineLevel="0" max="67" min="67" style="0" width="11"/>
    <col collapsed="false" customWidth="true" hidden="false" outlineLevel="0" max="69" min="68" style="0" width="10"/>
    <col collapsed="false" customWidth="true" hidden="false" outlineLevel="0" max="73" min="70" style="0" width="11"/>
    <col collapsed="false" customWidth="true" hidden="false" outlineLevel="0" max="74" min="74" style="0" width="18"/>
    <col collapsed="false" customWidth="true" hidden="false" outlineLevel="0" max="75" min="75" style="0" width="9"/>
    <col collapsed="false" customWidth="true" hidden="false" outlineLevel="0" max="76" min="76" style="0" width="8"/>
    <col collapsed="false" customWidth="true" hidden="false" outlineLevel="0" max="77" min="77" style="0" width="40"/>
  </cols>
  <sheetData>
    <row r="1" customFormat="false" ht="17.35" hidden="false" customHeight="false" outlineLevel="0" collapsed="false">
      <c r="A1" s="5" t="s">
        <v>814</v>
      </c>
    </row>
    <row r="2" customFormat="false" ht="15" hidden="false" customHeight="false" outlineLevel="0" collapsed="false">
      <c r="A2" s="6" t="s">
        <v>815</v>
      </c>
    </row>
    <row r="3" customFormat="false" ht="15" hidden="false" customHeight="false" outlineLevel="0" collapsed="false">
      <c r="A3" s="6" t="s">
        <v>598</v>
      </c>
    </row>
    <row r="4" customFormat="false" ht="54" hidden="false" customHeight="true" outlineLevel="0" collapsed="false">
      <c r="A4" s="16" t="s">
        <v>102</v>
      </c>
      <c r="B4" s="16" t="s">
        <v>103</v>
      </c>
      <c r="C4" s="15" t="s">
        <v>279</v>
      </c>
      <c r="D4" s="15" t="s">
        <v>490</v>
      </c>
      <c r="E4" s="15" t="s">
        <v>1</v>
      </c>
      <c r="F4" s="15" t="s">
        <v>491</v>
      </c>
      <c r="G4" s="15" t="s">
        <v>492</v>
      </c>
      <c r="H4" s="15" t="s">
        <v>440</v>
      </c>
      <c r="I4" s="15" t="s">
        <v>442</v>
      </c>
      <c r="J4" s="15" t="s">
        <v>443</v>
      </c>
      <c r="K4" s="15" t="s">
        <v>77</v>
      </c>
      <c r="L4" s="15" t="s">
        <v>493</v>
      </c>
      <c r="M4" s="15" t="s">
        <v>494</v>
      </c>
      <c r="N4" s="15" t="s">
        <v>447</v>
      </c>
      <c r="O4" s="15" t="s">
        <v>495</v>
      </c>
      <c r="P4" s="15" t="s">
        <v>452</v>
      </c>
      <c r="Q4" s="15" t="s">
        <v>496</v>
      </c>
      <c r="R4" s="15" t="s">
        <v>497</v>
      </c>
      <c r="S4" s="15" t="s">
        <v>498</v>
      </c>
      <c r="T4" s="15" t="s">
        <v>456</v>
      </c>
      <c r="U4" s="15" t="s">
        <v>499</v>
      </c>
      <c r="V4" s="15" t="s">
        <v>501</v>
      </c>
      <c r="W4" s="15" t="s">
        <v>464</v>
      </c>
      <c r="X4" s="15" t="s">
        <v>502</v>
      </c>
      <c r="Y4" s="15" t="s">
        <v>454</v>
      </c>
      <c r="Z4" s="15" t="s">
        <v>503</v>
      </c>
      <c r="AA4" s="15" t="s">
        <v>320</v>
      </c>
      <c r="AB4" s="15" t="s">
        <v>322</v>
      </c>
      <c r="AC4" s="15" t="s">
        <v>325</v>
      </c>
      <c r="AD4" s="15" t="s">
        <v>327</v>
      </c>
      <c r="AE4" s="15" t="s">
        <v>329</v>
      </c>
      <c r="AF4" s="15" t="s">
        <v>333</v>
      </c>
      <c r="AG4" s="15" t="s">
        <v>131</v>
      </c>
      <c r="AH4" s="15" t="s">
        <v>132</v>
      </c>
      <c r="AI4" s="15" t="s">
        <v>133</v>
      </c>
      <c r="AJ4" s="15" t="s">
        <v>336</v>
      </c>
      <c r="AK4" s="15" t="s">
        <v>341</v>
      </c>
      <c r="AL4" s="30" t="s">
        <v>343</v>
      </c>
      <c r="AM4" s="30" t="s">
        <v>344</v>
      </c>
      <c r="AN4" s="30" t="s">
        <v>345</v>
      </c>
      <c r="AO4" s="30" t="s">
        <v>346</v>
      </c>
      <c r="AP4" s="30" t="s">
        <v>347</v>
      </c>
      <c r="AQ4" s="30" t="s">
        <v>348</v>
      </c>
      <c r="AR4" s="15" t="s">
        <v>349</v>
      </c>
      <c r="AS4" s="15" t="s">
        <v>351</v>
      </c>
      <c r="AT4" s="17" t="s">
        <v>355</v>
      </c>
      <c r="AU4" s="17" t="s">
        <v>357</v>
      </c>
      <c r="AV4" s="17" t="s">
        <v>359</v>
      </c>
      <c r="AW4" s="17" t="s">
        <v>360</v>
      </c>
      <c r="AX4" s="17" t="s">
        <v>362</v>
      </c>
      <c r="AY4" s="16" t="s">
        <v>363</v>
      </c>
      <c r="AZ4" s="16" t="s">
        <v>365</v>
      </c>
      <c r="BA4" s="16" t="s">
        <v>438</v>
      </c>
      <c r="BB4" s="16" t="s">
        <v>371</v>
      </c>
      <c r="BC4" s="15" t="s">
        <v>373</v>
      </c>
      <c r="BD4" s="15" t="s">
        <v>374</v>
      </c>
      <c r="BE4" s="15" t="s">
        <v>375</v>
      </c>
      <c r="BF4" s="16" t="s">
        <v>378</v>
      </c>
      <c r="BG4" s="16" t="s">
        <v>379</v>
      </c>
      <c r="BH4" s="15" t="s">
        <v>380</v>
      </c>
      <c r="BI4" s="15" t="s">
        <v>382</v>
      </c>
      <c r="BJ4" s="15" t="s">
        <v>384</v>
      </c>
      <c r="BK4" s="15" t="s">
        <v>386</v>
      </c>
      <c r="BL4" s="15" t="s">
        <v>387</v>
      </c>
      <c r="BM4" s="15" t="s">
        <v>389</v>
      </c>
      <c r="BN4" s="15" t="s">
        <v>390</v>
      </c>
      <c r="BO4" s="15" t="s">
        <v>392</v>
      </c>
      <c r="BP4" s="15" t="s">
        <v>393</v>
      </c>
      <c r="BQ4" s="15" t="s">
        <v>394</v>
      </c>
      <c r="BR4" s="15" t="s">
        <v>395</v>
      </c>
      <c r="BS4" s="15" t="s">
        <v>397</v>
      </c>
      <c r="BT4" s="15" t="s">
        <v>398</v>
      </c>
      <c r="BU4" s="16" t="s">
        <v>400</v>
      </c>
      <c r="BV4" s="16" t="s">
        <v>402</v>
      </c>
      <c r="BW4" s="16" t="s">
        <v>404</v>
      </c>
      <c r="BX4" s="16" t="s">
        <v>406</v>
      </c>
      <c r="BY4" s="16" t="s">
        <v>409</v>
      </c>
    </row>
    <row r="5" customFormat="false" ht="15" hidden="false" customHeight="false" outlineLevel="0" collapsed="false">
      <c r="A5" s="10" t="str">
        <f aca="false">IF(D5="","","ERSS-"&amp;IFERROR(VLOOKUP(D5,Lists!$AK$4:$AL$21,2,0),"??")&amp;"-"&amp;TEXT(F5,"0000")&amp;"x"&amp;TEXT(G5,"0000")&amp;"-D"&amp;TEXT(H5*1000,"0000")&amp;"-"&amp;IFERROR(VLOOKUP(I5,Lists!$Y$4:$Z$21,2,0),"??")&amp;"-"&amp;AG5)</f>
        <v>ERSS-TSB-3000x2500-D3000-FSC-A</v>
      </c>
      <c r="B5" s="10" t="str">
        <f aca="false">IF(D5="","",D5&amp;" for "&amp;E5&amp;", "&amp;F5&amp;" x "&amp;G5&amp;" pit, "&amp;TEXT(H5,"0.0")&amp;" m deep, "&amp;I5)</f>
        <v>Trench Shoring Box for Manhole, 3000 x 2500 pit, 3.0 m deep, Firm/stiff clay (general)</v>
      </c>
      <c r="C5" s="18" t="s">
        <v>816</v>
      </c>
      <c r="D5" s="18" t="s">
        <v>243</v>
      </c>
      <c r="E5" s="18" t="s">
        <v>263</v>
      </c>
      <c r="F5" s="31" t="n">
        <v>3000</v>
      </c>
      <c r="G5" s="31" t="n">
        <v>2500</v>
      </c>
      <c r="H5" s="41" t="n">
        <v>3</v>
      </c>
      <c r="I5" s="18" t="s">
        <v>681</v>
      </c>
      <c r="J5" s="41" t="n">
        <v>2</v>
      </c>
      <c r="K5" s="31" t="n">
        <v>10</v>
      </c>
      <c r="L5" s="18" t="s">
        <v>817</v>
      </c>
      <c r="M5" s="41"/>
      <c r="N5" s="41"/>
      <c r="O5" s="31" t="n">
        <v>0</v>
      </c>
      <c r="P5" s="18" t="s">
        <v>605</v>
      </c>
      <c r="Q5" s="18" t="s">
        <v>818</v>
      </c>
      <c r="R5" s="32" t="n">
        <v>2</v>
      </c>
      <c r="S5" s="32" t="n">
        <v>1.3</v>
      </c>
      <c r="T5" s="31"/>
      <c r="U5" s="31"/>
      <c r="V5" s="31"/>
      <c r="W5" s="18" t="s">
        <v>819</v>
      </c>
      <c r="X5" s="18" t="s">
        <v>820</v>
      </c>
      <c r="Y5" s="31" t="n">
        <v>10</v>
      </c>
      <c r="Z5" s="18" t="s">
        <v>821</v>
      </c>
      <c r="AA5" s="18"/>
      <c r="AB5" s="31" t="n">
        <v>2</v>
      </c>
      <c r="AC5" s="18" t="s">
        <v>609</v>
      </c>
      <c r="AD5" s="32" t="n">
        <v>0.3</v>
      </c>
      <c r="AE5" s="18" t="s">
        <v>822</v>
      </c>
      <c r="AF5" s="18" t="s">
        <v>823</v>
      </c>
      <c r="AG5" s="18" t="s">
        <v>612</v>
      </c>
      <c r="AH5" s="18" t="s">
        <v>254</v>
      </c>
      <c r="AI5" s="18" t="s">
        <v>824</v>
      </c>
      <c r="AJ5" s="18" t="n">
        <v>50</v>
      </c>
      <c r="AK5" s="18" t="s">
        <v>84</v>
      </c>
      <c r="AL5" s="10" t="str">
        <f aca="false">IF(A5="","",SG_Criteria!$B$6&amp;SG_Criteria!$B$11&amp;"\"&amp;A5&amp;"\")</f>
        <v>C:\Users\yourname\YourCompany\Design Library - Documents\05_ERSS_Pit\ERSS-TSB-3000x2500-D3000-FSC-A\</v>
      </c>
      <c r="AM5" s="10" t="str">
        <f aca="false">IF(A5="","",A5&amp;"_CAD.dwg")</f>
        <v>ERSS-TSB-3000x2500-D3000-FSC-A_CAD.dwg</v>
      </c>
      <c r="AN5" s="10" t="str">
        <f aca="false">IF(A5="","",A5&amp;"_DWG.pdf")</f>
        <v>ERSS-TSB-3000x2500-D3000-FSC-A_DWG.pdf</v>
      </c>
      <c r="AO5" s="10" t="str">
        <f aca="false">IF(A5="","",IF(AK5="Y",A5&amp;"_STAAD.std","n/a"))</f>
        <v>n/a</v>
      </c>
      <c r="AP5" s="10" t="str">
        <f aca="false">IF(A5="","",A5&amp;"_CALC.xlsx")</f>
        <v>ERSS-TSB-3000x2500-D3000-FSC-A_CALC.xlsx</v>
      </c>
      <c r="AQ5" s="10" t="str">
        <f aca="false">IF(A5="","",A5&amp;"_CALC.pdf")</f>
        <v>ERSS-TSB-3000x2500-D3000-FSC-A_CALC.pdf</v>
      </c>
      <c r="AR5" s="18" t="s">
        <v>84</v>
      </c>
      <c r="AS5" s="18" t="s">
        <v>673</v>
      </c>
      <c r="AT5" s="32" t="n">
        <v>0.3</v>
      </c>
      <c r="AU5" s="32" t="n">
        <v>0</v>
      </c>
      <c r="AV5" s="32" t="n">
        <v>0</v>
      </c>
      <c r="AW5" s="32" t="n">
        <v>0</v>
      </c>
      <c r="AX5" s="32" t="n">
        <v>25</v>
      </c>
      <c r="AY5" s="12" t="str">
        <f aca="false">IF(A5="","",IF(COUNTIF(Rebar_Schedule!$A$5:$A$2004,A5)=0,"",ROUND(SUMIF(Rebar_Schedule!$A$5:$A$2004,A5,Rebar_Schedule!$K$5:$K$2004),1)))</f>
        <v/>
      </c>
      <c r="AZ5" s="33" t="str">
        <f aca="false">IF(A5="","",IF(AY5="","No rebar schedule yet",IF(ABS(AY5-N(AU5))/MAX(N(AU5),1)&gt;SG_Criteria!$B$55,"NOTE: register rebar differs from schedule by "&amp;TEXT(ABS(AY5-N(AU5))/MAX(N(AU5),1),"0%"),"OK")))</f>
        <v>No rebar schedule yet</v>
      </c>
      <c r="BA5" s="33" t="str">
        <f aca="false">IF(OR(D5="",H5=""),"",IF(H5&lt;=IF(OR(D5="Soldier Pile &amp; Timber Lagging",D5="Trench Shoring Box",D5="Open Cut (battered)"),SG_Criteria!$B$34,SG_Criteria!$B$33),"No ERSS submission",IF(H5&lt;=SG_Criteria!$B$35,"QP(ST)",IF(H5&lt;=SG_Criteria!$B$36,"QP(ST) + AC","Geotechnical building works: QP(Geo) + AC"))))</f>
        <v>QP(ST)</v>
      </c>
      <c r="BB5" s="33" t="str">
        <f aca="false">IF(D5="","",IF(LEN(IF(AND(R5&lt;&gt;"",R5&lt;SG_Criteria!$B$37),"FAIL: base stability FOS &lt; "&amp;SG_Criteria!$B$37&amp;". ","")&amp;IF(AND(E5="Manhole",H5&gt;SG_Criteria!$B$36),"NOTE: BCA lists sewer manholes (pipe &lt;= 2 m dia) &gt; 6 m as non-GBW: QP(ST) + AC. ","")&amp;IF(AND(D5="Trench Shoring Box",I5="Kallang Formation (marine clay)"),"NOTE: check base heave / ground loss for shoring box in marine clay. ","")&amp;IF(AND(D5="Steel Sheet Pile Cofferdam",N(N5)&lt;H5*0.5),"NOTE: short toe embedment, check. ",""))=0,"OK",IF(AND(R5&lt;&gt;"",R5&lt;SG_Criteria!$B$37),"FAIL: base stability FOS &lt; "&amp;SG_Criteria!$B$37&amp;". ","")&amp;IF(AND(E5="Manhole",H5&gt;SG_Criteria!$B$36),"NOTE: BCA lists sewer manholes (pipe &lt;= 2 m dia) &gt; 6 m as non-GBW: QP(ST) + AC. ","")&amp;IF(AND(D5="Trench Shoring Box",I5="Kallang Formation (marine clay)"),"NOTE: check base heave / ground loss for shoring box in marine clay. ","")&amp;IF(AND(D5="Steel Sheet Pile Cofferdam",N(N5)&lt;H5*0.5),"NOTE: short toe embedment, check. ","")))</f>
        <v>OK</v>
      </c>
      <c r="BC5" s="18" t="s">
        <v>825</v>
      </c>
      <c r="BD5" s="18"/>
      <c r="BE5" s="18" t="s">
        <v>583</v>
      </c>
      <c r="BF5" s="10" t="str">
        <f aca="false">IF(BE5="","",IFERROR(VLOOKUP(BE5,Projects!$A$5:$D$504,2,0),"Ref not in Projects"))</f>
        <v>EXAMPLE Sewer renewal, Sector 12</v>
      </c>
      <c r="BG5" s="10" t="str">
        <f aca="false">IF(BE5="","",IFERROR(VLOOKUP(BE5,Projects!$A$5:$D$504,4,0),"Ref not in Projects"))</f>
        <v>PUB</v>
      </c>
      <c r="BH5" s="18" t="s">
        <v>795</v>
      </c>
      <c r="BI5" s="18" t="s">
        <v>616</v>
      </c>
      <c r="BJ5" s="18" t="s">
        <v>617</v>
      </c>
      <c r="BK5" s="35" t="n">
        <v>46309</v>
      </c>
      <c r="BL5" s="18" t="s">
        <v>617</v>
      </c>
      <c r="BM5" s="35" t="n">
        <v>46309</v>
      </c>
      <c r="BN5" s="18" t="s">
        <v>618</v>
      </c>
      <c r="BO5" s="35"/>
      <c r="BP5" s="18" t="s">
        <v>617</v>
      </c>
      <c r="BQ5" s="18" t="s">
        <v>617</v>
      </c>
      <c r="BR5" s="18" t="s">
        <v>617</v>
      </c>
      <c r="BS5" s="35" t="n">
        <v>46309</v>
      </c>
      <c r="BT5" s="35" t="n">
        <v>46309</v>
      </c>
      <c r="BU5" s="36" t="n">
        <f aca="false">IF(BT5="","",EDATE(BT5,SG_Criteria!$B$54*12))</f>
        <v>47405</v>
      </c>
      <c r="BV5" s="33" t="str">
        <f aca="true">IF(A5="","",IF(BT5="","NOTE: not reviewed yet",IF(TODAY()&gt;BU5,"NOTE: review overdue","OK")))</f>
        <v>OK</v>
      </c>
      <c r="BW5" s="37" t="n">
        <f aca="false">IF(A5="","",ROUND((IF(LEN(D5)&gt;0,1,0)+IF(LEN(E5)&gt;0,1,0)+IF(LEN(F5)&gt;0,1,0)+IF(LEN(G5)&gt;0,1,0)+IF(LEN(H5)&gt;0,1,0)+IF(LEN(I5)&gt;0,1,0)+IF(LEN(J5)&gt;0,1,0)+IF(LEN(L5)&gt;0,1,0)+IF(LEN(R5)&gt;0,1,0)+IF(LEN(Y5)&gt;0,1,0)+IF(LEN(AE5)&gt;0,1,0)+IF(LEN(AG5)&gt;0,1,0)+IF(LEN(AH5)&gt;0,1,0)+IF(LEN(AI5)&gt;0,1,0)+IF(LEN(AJ5)&gt;0,1,0)+IF(LEN(AS5)&gt;0,1,0)+IF(LEN(BE5)&gt;0,1,0)+IF(LEN(BR5)&gt;0,1,0))/18,2))</f>
        <v>1</v>
      </c>
      <c r="BX5" s="10" t="str">
        <f aca="false">IF(D5="","",IF(AND(AH5="Approved",ISERROR(SEARCH("FAIL",BB5))),"Y","N"))</f>
        <v>Y</v>
      </c>
      <c r="BY5" s="10" t="str">
        <f aca="false">IF(D5="","",D5&amp;"|"&amp;H5&amp;"|"&amp;F5&amp;"|"&amp;I5&amp;"|"&amp;BX5)</f>
        <v>Trench Shoring Box|3|3000|Firm/stiff clay (general)|Y</v>
      </c>
    </row>
    <row r="6" customFormat="false" ht="15" hidden="false" customHeight="false" outlineLevel="0" collapsed="false">
      <c r="A6" s="10" t="str">
        <f aca="false">IF(D6="","","ERSS-"&amp;IFERROR(VLOOKUP(D6,Lists!$AK$4:$AL$21,2,0),"??")&amp;"-"&amp;TEXT(F6,"0000")&amp;"x"&amp;TEXT(G6,"0000")&amp;"-D"&amp;TEXT(H6*1000,"0000")&amp;"-"&amp;IFERROR(VLOOKUP(I6,Lists!$Y$4:$Z$21,2,0),"??")&amp;"-"&amp;AG6)</f>
        <v>ERSS-SSP-4000x3500-D6000-KF-A</v>
      </c>
      <c r="B6" s="10" t="str">
        <f aca="false">IF(D6="","",D6&amp;" for "&amp;E6&amp;", "&amp;F6&amp;" x "&amp;G6&amp;" pit, "&amp;TEXT(H6,"0.0")&amp;" m deep, "&amp;I6)</f>
        <v>Steel Sheet Pile Cofferdam for Manhole, 4000 x 3500 pit, 6.0 m deep, Kallang Formation (marine clay)</v>
      </c>
      <c r="C6" s="18" t="s">
        <v>816</v>
      </c>
      <c r="D6" s="18" t="s">
        <v>242</v>
      </c>
      <c r="E6" s="18" t="s">
        <v>263</v>
      </c>
      <c r="F6" s="31" t="n">
        <v>4000</v>
      </c>
      <c r="G6" s="31" t="n">
        <v>3500</v>
      </c>
      <c r="H6" s="41" t="n">
        <v>6</v>
      </c>
      <c r="I6" s="18" t="s">
        <v>745</v>
      </c>
      <c r="J6" s="41" t="n">
        <v>1</v>
      </c>
      <c r="K6" s="31" t="n">
        <v>20</v>
      </c>
      <c r="L6" s="18" t="s">
        <v>826</v>
      </c>
      <c r="M6" s="41" t="n">
        <v>12</v>
      </c>
      <c r="N6" s="41" t="n">
        <v>6</v>
      </c>
      <c r="O6" s="31" t="n">
        <v>2</v>
      </c>
      <c r="P6" s="18" t="s">
        <v>758</v>
      </c>
      <c r="Q6" s="18" t="s">
        <v>827</v>
      </c>
      <c r="R6" s="32" t="n">
        <v>1.6</v>
      </c>
      <c r="S6" s="32" t="n">
        <v>1.3</v>
      </c>
      <c r="T6" s="31" t="n">
        <v>252</v>
      </c>
      <c r="U6" s="31" t="n">
        <v>960</v>
      </c>
      <c r="V6" s="31" t="n">
        <v>480</v>
      </c>
      <c r="W6" s="18" t="s">
        <v>760</v>
      </c>
      <c r="X6" s="18" t="s">
        <v>828</v>
      </c>
      <c r="Y6" s="31" t="n">
        <v>30</v>
      </c>
      <c r="Z6" s="18" t="s">
        <v>829</v>
      </c>
      <c r="AA6" s="18"/>
      <c r="AB6" s="31" t="n">
        <v>2</v>
      </c>
      <c r="AC6" s="18" t="s">
        <v>609</v>
      </c>
      <c r="AD6" s="32" t="n">
        <v>0.3</v>
      </c>
      <c r="AE6" s="18" t="s">
        <v>822</v>
      </c>
      <c r="AF6" s="18" t="s">
        <v>823</v>
      </c>
      <c r="AG6" s="18" t="s">
        <v>612</v>
      </c>
      <c r="AH6" s="18" t="s">
        <v>254</v>
      </c>
      <c r="AI6" s="18" t="s">
        <v>830</v>
      </c>
      <c r="AJ6" s="18" t="n">
        <v>50</v>
      </c>
      <c r="AK6" s="18" t="s">
        <v>284</v>
      </c>
      <c r="AL6" s="10" t="str">
        <f aca="false">IF(A6="","",SG_Criteria!$B$6&amp;SG_Criteria!$B$11&amp;"\"&amp;A6&amp;"\")</f>
        <v>C:\Users\yourname\YourCompany\Design Library - Documents\05_ERSS_Pit\ERSS-SSP-4000x3500-D6000-KF-A\</v>
      </c>
      <c r="AM6" s="10" t="str">
        <f aca="false">IF(A6="","",A6&amp;"_CAD.dwg")</f>
        <v>ERSS-SSP-4000x3500-D6000-KF-A_CAD.dwg</v>
      </c>
      <c r="AN6" s="10" t="str">
        <f aca="false">IF(A6="","",A6&amp;"_DWG.pdf")</f>
        <v>ERSS-SSP-4000x3500-D6000-KF-A_DWG.pdf</v>
      </c>
      <c r="AO6" s="10" t="str">
        <f aca="false">IF(A6="","",IF(AK6="Y",A6&amp;"_STAAD.std","n/a"))</f>
        <v>ERSS-SSP-4000x3500-D6000-KF-A_STAAD.std</v>
      </c>
      <c r="AP6" s="10" t="str">
        <f aca="false">IF(A6="","",A6&amp;"_CALC.xlsx")</f>
        <v>ERSS-SSP-4000x3500-D6000-KF-A_CALC.xlsx</v>
      </c>
      <c r="AQ6" s="10" t="str">
        <f aca="false">IF(A6="","",A6&amp;"_CALC.pdf")</f>
        <v>ERSS-SSP-4000x3500-D6000-KF-A_CALC.pdf</v>
      </c>
      <c r="AR6" s="18" t="s">
        <v>84</v>
      </c>
      <c r="AS6" s="18" t="s">
        <v>673</v>
      </c>
      <c r="AT6" s="32" t="n">
        <v>1.5</v>
      </c>
      <c r="AU6" s="32" t="n">
        <v>0</v>
      </c>
      <c r="AV6" s="32" t="n">
        <v>9800</v>
      </c>
      <c r="AW6" s="32" t="n">
        <v>0</v>
      </c>
      <c r="AX6" s="32" t="n">
        <v>90</v>
      </c>
      <c r="AY6" s="12" t="str">
        <f aca="false">IF(A6="","",IF(COUNTIF(Rebar_Schedule!$A$5:$A$2004,A6)=0,"",ROUND(SUMIF(Rebar_Schedule!$A$5:$A$2004,A6,Rebar_Schedule!$K$5:$K$2004),1)))</f>
        <v/>
      </c>
      <c r="AZ6" s="33" t="str">
        <f aca="false">IF(A6="","",IF(AY6="","No rebar schedule yet",IF(ABS(AY6-N(AU6))/MAX(N(AU6),1)&gt;SG_Criteria!$B$55,"NOTE: register rebar differs from schedule by "&amp;TEXT(ABS(AY6-N(AU6))/MAX(N(AU6),1),"0%"),"OK")))</f>
        <v>No rebar schedule yet</v>
      </c>
      <c r="BA6" s="33" t="str">
        <f aca="false">IF(OR(D6="",H6=""),"",IF(H6&lt;=IF(OR(D6="Soldier Pile &amp; Timber Lagging",D6="Trench Shoring Box",D6="Open Cut (battered)"),SG_Criteria!$B$34,SG_Criteria!$B$33),"No ERSS submission",IF(H6&lt;=SG_Criteria!$B$35,"QP(ST)",IF(H6&lt;=SG_Criteria!$B$36,"QP(ST) + AC","Geotechnical building works: QP(Geo) + AC"))))</f>
        <v>QP(ST) + AC</v>
      </c>
      <c r="BB6" s="33" t="str">
        <f aca="false">IF(D6="","",IF(LEN(IF(AND(R6&lt;&gt;"",R6&lt;SG_Criteria!$B$37),"FAIL: base stability FOS &lt; "&amp;SG_Criteria!$B$37&amp;". ","")&amp;IF(AND(E6="Manhole",H6&gt;SG_Criteria!$B$36),"NOTE: BCA lists sewer manholes (pipe &lt;= 2 m dia) &gt; 6 m as non-GBW: QP(ST) + AC. ","")&amp;IF(AND(D6="Trench Shoring Box",I6="Kallang Formation (marine clay)"),"NOTE: check base heave / ground loss for shoring box in marine clay. ","")&amp;IF(AND(D6="Steel Sheet Pile Cofferdam",N(N6)&lt;H6*0.5),"NOTE: short toe embedment, check. ",""))=0,"OK",IF(AND(R6&lt;&gt;"",R6&lt;SG_Criteria!$B$37),"FAIL: base stability FOS &lt; "&amp;SG_Criteria!$B$37&amp;". ","")&amp;IF(AND(E6="Manhole",H6&gt;SG_Criteria!$B$36),"NOTE: BCA lists sewer manholes (pipe &lt;= 2 m dia) &gt; 6 m as non-GBW: QP(ST) + AC. ","")&amp;IF(AND(D6="Trench Shoring Box",I6="Kallang Formation (marine clay)"),"NOTE: check base heave / ground loss for shoring box in marine clay. ","")&amp;IF(AND(D6="Steel Sheet Pile Cofferdam",N(N6)&lt;H6*0.5),"NOTE: short toe embedment, check. ","")))</f>
        <v>OK</v>
      </c>
      <c r="BC6" s="18" t="s">
        <v>831</v>
      </c>
      <c r="BD6" s="18"/>
      <c r="BE6" s="18" t="s">
        <v>583</v>
      </c>
      <c r="BF6" s="10" t="str">
        <f aca="false">IF(BE6="","",IFERROR(VLOOKUP(BE6,Projects!$A$5:$D$504,2,0),"Ref not in Projects"))</f>
        <v>EXAMPLE Sewer renewal, Sector 12</v>
      </c>
      <c r="BG6" s="10" t="str">
        <f aca="false">IF(BE6="","",IFERROR(VLOOKUP(BE6,Projects!$A$5:$D$504,4,0),"Ref not in Projects"))</f>
        <v>PUB</v>
      </c>
      <c r="BH6" s="18" t="s">
        <v>799</v>
      </c>
      <c r="BI6" s="18" t="s">
        <v>616</v>
      </c>
      <c r="BJ6" s="18" t="s">
        <v>617</v>
      </c>
      <c r="BK6" s="35" t="n">
        <v>46309</v>
      </c>
      <c r="BL6" s="18" t="s">
        <v>617</v>
      </c>
      <c r="BM6" s="35" t="n">
        <v>46309</v>
      </c>
      <c r="BN6" s="18" t="s">
        <v>618</v>
      </c>
      <c r="BO6" s="35"/>
      <c r="BP6" s="18" t="s">
        <v>617</v>
      </c>
      <c r="BQ6" s="18" t="s">
        <v>617</v>
      </c>
      <c r="BR6" s="18" t="s">
        <v>617</v>
      </c>
      <c r="BS6" s="35" t="n">
        <v>46309</v>
      </c>
      <c r="BT6" s="35" t="n">
        <v>46309</v>
      </c>
      <c r="BU6" s="36" t="n">
        <f aca="false">IF(BT6="","",EDATE(BT6,SG_Criteria!$B$54*12))</f>
        <v>47405</v>
      </c>
      <c r="BV6" s="33" t="str">
        <f aca="true">IF(A6="","",IF(BT6="","NOTE: not reviewed yet",IF(TODAY()&gt;BU6,"NOTE: review overdue","OK")))</f>
        <v>OK</v>
      </c>
      <c r="BW6" s="37" t="n">
        <f aca="false">IF(A6="","",ROUND((IF(LEN(D6)&gt;0,1,0)+IF(LEN(E6)&gt;0,1,0)+IF(LEN(F6)&gt;0,1,0)+IF(LEN(G6)&gt;0,1,0)+IF(LEN(H6)&gt;0,1,0)+IF(LEN(I6)&gt;0,1,0)+IF(LEN(J6)&gt;0,1,0)+IF(LEN(L6)&gt;0,1,0)+IF(LEN(R6)&gt;0,1,0)+IF(LEN(Y6)&gt;0,1,0)+IF(LEN(AE6)&gt;0,1,0)+IF(LEN(AG6)&gt;0,1,0)+IF(LEN(AH6)&gt;0,1,0)+IF(LEN(AI6)&gt;0,1,0)+IF(LEN(AJ6)&gt;0,1,0)+IF(LEN(AS6)&gt;0,1,0)+IF(LEN(BE6)&gt;0,1,0)+IF(LEN(BR6)&gt;0,1,0))/18,2))</f>
        <v>1</v>
      </c>
      <c r="BX6" s="10" t="str">
        <f aca="false">IF(D6="","",IF(AND(AH6="Approved",ISERROR(SEARCH("FAIL",BB6))),"Y","N"))</f>
        <v>Y</v>
      </c>
      <c r="BY6" s="10" t="str">
        <f aca="false">IF(D6="","",D6&amp;"|"&amp;H6&amp;"|"&amp;F6&amp;"|"&amp;I6&amp;"|"&amp;BX6)</f>
        <v>Steel Sheet Pile Cofferdam|6|4000|Kallang Formation (marine clay)|Y</v>
      </c>
    </row>
    <row r="7" customFormat="false" ht="15" hidden="false" customHeight="false" outlineLevel="0" collapsed="false">
      <c r="A7" s="10" t="str">
        <f aca="false">IF(D7="","","ERSS-"&amp;IFERROR(VLOOKUP(D7,Lists!$AK$4:$AL$21,2,0),"??")&amp;"-"&amp;TEXT(F7,"0000")&amp;"x"&amp;TEXT(G7,"0000")&amp;"-D"&amp;TEXT(H7*1000,"0000")&amp;"-"&amp;IFERROR(VLOOKUP(I7,Lists!$Y$4:$Z$21,2,0),"??")&amp;"-"&amp;AG7)</f>
        <v>ERSS-SSP-8000x5000-D7000-KF-A</v>
      </c>
      <c r="B7" s="10" t="str">
        <f aca="false">IF(D7="","",D7&amp;" for "&amp;E7&amp;", "&amp;F7&amp;" x "&amp;G7&amp;" pit, "&amp;TEXT(H7,"0.0")&amp;" m deep, "&amp;I7)</f>
        <v>Steel Sheet Pile Cofferdam for Jacking pit, 8000 x 5000 pit, 7.0 m deep, Kallang Formation (marine clay)</v>
      </c>
      <c r="C7" s="18" t="s">
        <v>816</v>
      </c>
      <c r="D7" s="18" t="s">
        <v>242</v>
      </c>
      <c r="E7" s="18" t="s">
        <v>832</v>
      </c>
      <c r="F7" s="31" t="n">
        <v>8000</v>
      </c>
      <c r="G7" s="31" t="n">
        <v>5000</v>
      </c>
      <c r="H7" s="41" t="n">
        <v>7</v>
      </c>
      <c r="I7" s="18" t="s">
        <v>745</v>
      </c>
      <c r="J7" s="41" t="n">
        <v>1</v>
      </c>
      <c r="K7" s="31" t="n">
        <v>20</v>
      </c>
      <c r="L7" s="18" t="s">
        <v>757</v>
      </c>
      <c r="M7" s="41" t="n">
        <v>15</v>
      </c>
      <c r="N7" s="41" t="n">
        <v>8</v>
      </c>
      <c r="O7" s="31" t="n">
        <v>2</v>
      </c>
      <c r="P7" s="18" t="s">
        <v>738</v>
      </c>
      <c r="Q7" s="18" t="s">
        <v>833</v>
      </c>
      <c r="R7" s="32" t="n">
        <v>1.5</v>
      </c>
      <c r="S7" s="32" t="n">
        <v>1.3</v>
      </c>
      <c r="T7" s="31" t="n">
        <v>343</v>
      </c>
      <c r="U7" s="31" t="n">
        <v>2240</v>
      </c>
      <c r="V7" s="31" t="n">
        <v>1120</v>
      </c>
      <c r="W7" s="18" t="s">
        <v>760</v>
      </c>
      <c r="X7" s="18" t="s">
        <v>834</v>
      </c>
      <c r="Y7" s="31" t="n">
        <v>35</v>
      </c>
      <c r="Z7" s="18" t="s">
        <v>835</v>
      </c>
      <c r="AA7" s="18"/>
      <c r="AB7" s="31" t="n">
        <v>2</v>
      </c>
      <c r="AC7" s="18" t="s">
        <v>609</v>
      </c>
      <c r="AD7" s="32" t="n">
        <v>0.3</v>
      </c>
      <c r="AE7" s="18" t="s">
        <v>822</v>
      </c>
      <c r="AF7" s="18" t="s">
        <v>823</v>
      </c>
      <c r="AG7" s="18" t="s">
        <v>612</v>
      </c>
      <c r="AH7" s="18" t="s">
        <v>254</v>
      </c>
      <c r="AI7" s="18" t="s">
        <v>836</v>
      </c>
      <c r="AJ7" s="18" t="n">
        <v>50</v>
      </c>
      <c r="AK7" s="18" t="s">
        <v>284</v>
      </c>
      <c r="AL7" s="10" t="str">
        <f aca="false">IF(A7="","",SG_Criteria!$B$6&amp;SG_Criteria!$B$11&amp;"\"&amp;A7&amp;"\")</f>
        <v>C:\Users\yourname\YourCompany\Design Library - Documents\05_ERSS_Pit\ERSS-SSP-8000x5000-D7000-KF-A\</v>
      </c>
      <c r="AM7" s="10" t="str">
        <f aca="false">IF(A7="","",A7&amp;"_CAD.dwg")</f>
        <v>ERSS-SSP-8000x5000-D7000-KF-A_CAD.dwg</v>
      </c>
      <c r="AN7" s="10" t="str">
        <f aca="false">IF(A7="","",A7&amp;"_DWG.pdf")</f>
        <v>ERSS-SSP-8000x5000-D7000-KF-A_DWG.pdf</v>
      </c>
      <c r="AO7" s="10" t="str">
        <f aca="false">IF(A7="","",IF(AK7="Y",A7&amp;"_STAAD.std","n/a"))</f>
        <v>ERSS-SSP-8000x5000-D7000-KF-A_STAAD.std</v>
      </c>
      <c r="AP7" s="10" t="str">
        <f aca="false">IF(A7="","",A7&amp;"_CALC.xlsx")</f>
        <v>ERSS-SSP-8000x5000-D7000-KF-A_CALC.xlsx</v>
      </c>
      <c r="AQ7" s="10" t="str">
        <f aca="false">IF(A7="","",A7&amp;"_CALC.pdf")</f>
        <v>ERSS-SSP-8000x5000-D7000-KF-A_CALC.pdf</v>
      </c>
      <c r="AR7" s="18" t="s">
        <v>84</v>
      </c>
      <c r="AS7" s="18" t="s">
        <v>673</v>
      </c>
      <c r="AT7" s="32" t="n">
        <v>12</v>
      </c>
      <c r="AU7" s="32" t="n">
        <v>900</v>
      </c>
      <c r="AV7" s="32" t="n">
        <v>24500</v>
      </c>
      <c r="AW7" s="32" t="n">
        <v>0</v>
      </c>
      <c r="AX7" s="32" t="n">
        <v>290</v>
      </c>
      <c r="AY7" s="12" t="str">
        <f aca="false">IF(A7="","",IF(COUNTIF(Rebar_Schedule!$A$5:$A$2004,A7)=0,"",ROUND(SUMIF(Rebar_Schedule!$A$5:$A$2004,A7,Rebar_Schedule!$K$5:$K$2004),1)))</f>
        <v/>
      </c>
      <c r="AZ7" s="33" t="str">
        <f aca="false">IF(A7="","",IF(AY7="","No rebar schedule yet",IF(ABS(AY7-N(AU7))/MAX(N(AU7),1)&gt;SG_Criteria!$B$55,"NOTE: register rebar differs from schedule by "&amp;TEXT(ABS(AY7-N(AU7))/MAX(N(AU7),1),"0%"),"OK")))</f>
        <v>No rebar schedule yet</v>
      </c>
      <c r="BA7" s="33" t="str">
        <f aca="false">IF(OR(D7="",H7=""),"",IF(H7&lt;=IF(OR(D7="Soldier Pile &amp; Timber Lagging",D7="Trench Shoring Box",D7="Open Cut (battered)"),SG_Criteria!$B$34,SG_Criteria!$B$33),"No ERSS submission",IF(H7&lt;=SG_Criteria!$B$35,"QP(ST)",IF(H7&lt;=SG_Criteria!$B$36,"QP(ST) + AC","Geotechnical building works: QP(Geo) + AC"))))</f>
        <v>Geotechnical building works: QP(Geo) + AC</v>
      </c>
      <c r="BB7" s="33" t="str">
        <f aca="false">IF(D7="","",IF(LEN(IF(AND(R7&lt;&gt;"",R7&lt;SG_Criteria!$B$37),"FAIL: base stability FOS &lt; "&amp;SG_Criteria!$B$37&amp;". ","")&amp;IF(AND(E7="Manhole",H7&gt;SG_Criteria!$B$36),"NOTE: BCA lists sewer manholes (pipe &lt;= 2 m dia) &gt; 6 m as non-GBW: QP(ST) + AC. ","")&amp;IF(AND(D7="Trench Shoring Box",I7="Kallang Formation (marine clay)"),"NOTE: check base heave / ground loss for shoring box in marine clay. ","")&amp;IF(AND(D7="Steel Sheet Pile Cofferdam",N(N7)&lt;H7*0.5),"NOTE: short toe embedment, check. ",""))=0,"OK",IF(AND(R7&lt;&gt;"",R7&lt;SG_Criteria!$B$37),"FAIL: base stability FOS &lt; "&amp;SG_Criteria!$B$37&amp;". ","")&amp;IF(AND(E7="Manhole",H7&gt;SG_Criteria!$B$36),"NOTE: BCA lists sewer manholes (pipe &lt;= 2 m dia) &gt; 6 m as non-GBW: QP(ST) + AC. ","")&amp;IF(AND(D7="Trench Shoring Box",I7="Kallang Formation (marine clay)"),"NOTE: check base heave / ground loss for shoring box in marine clay. ","")&amp;IF(AND(D7="Steel Sheet Pile Cofferdam",N(N7)&lt;H7*0.5),"NOTE: short toe embedment, check. ","")))</f>
        <v>OK</v>
      </c>
      <c r="BC7" s="18" t="s">
        <v>837</v>
      </c>
      <c r="BD7" s="18"/>
      <c r="BE7" s="18" t="s">
        <v>583</v>
      </c>
      <c r="BF7" s="10" t="str">
        <f aca="false">IF(BE7="","",IFERROR(VLOOKUP(BE7,Projects!$A$5:$D$504,2,0),"Ref not in Projects"))</f>
        <v>EXAMPLE Sewer renewal, Sector 12</v>
      </c>
      <c r="BG7" s="10" t="str">
        <f aca="false">IF(BE7="","",IFERROR(VLOOKUP(BE7,Projects!$A$5:$D$504,4,0),"Ref not in Projects"))</f>
        <v>PUB</v>
      </c>
      <c r="BH7" s="18" t="s">
        <v>802</v>
      </c>
      <c r="BI7" s="18" t="s">
        <v>616</v>
      </c>
      <c r="BJ7" s="18" t="s">
        <v>617</v>
      </c>
      <c r="BK7" s="35" t="n">
        <v>46309</v>
      </c>
      <c r="BL7" s="18" t="s">
        <v>617</v>
      </c>
      <c r="BM7" s="35" t="n">
        <v>46309</v>
      </c>
      <c r="BN7" s="18" t="s">
        <v>618</v>
      </c>
      <c r="BO7" s="35"/>
      <c r="BP7" s="18" t="s">
        <v>617</v>
      </c>
      <c r="BQ7" s="18" t="s">
        <v>617</v>
      </c>
      <c r="BR7" s="18" t="s">
        <v>617</v>
      </c>
      <c r="BS7" s="35" t="n">
        <v>46309</v>
      </c>
      <c r="BT7" s="35" t="n">
        <v>46309</v>
      </c>
      <c r="BU7" s="36" t="n">
        <f aca="false">IF(BT7="","",EDATE(BT7,SG_Criteria!$B$54*12))</f>
        <v>47405</v>
      </c>
      <c r="BV7" s="33" t="str">
        <f aca="true">IF(A7="","",IF(BT7="","NOTE: not reviewed yet",IF(TODAY()&gt;BU7,"NOTE: review overdue","OK")))</f>
        <v>OK</v>
      </c>
      <c r="BW7" s="37" t="n">
        <f aca="false">IF(A7="","",ROUND((IF(LEN(D7)&gt;0,1,0)+IF(LEN(E7)&gt;0,1,0)+IF(LEN(F7)&gt;0,1,0)+IF(LEN(G7)&gt;0,1,0)+IF(LEN(H7)&gt;0,1,0)+IF(LEN(I7)&gt;0,1,0)+IF(LEN(J7)&gt;0,1,0)+IF(LEN(L7)&gt;0,1,0)+IF(LEN(R7)&gt;0,1,0)+IF(LEN(Y7)&gt;0,1,0)+IF(LEN(AE7)&gt;0,1,0)+IF(LEN(AG7)&gt;0,1,0)+IF(LEN(AH7)&gt;0,1,0)+IF(LEN(AI7)&gt;0,1,0)+IF(LEN(AJ7)&gt;0,1,0)+IF(LEN(AS7)&gt;0,1,0)+IF(LEN(BE7)&gt;0,1,0)+IF(LEN(BR7)&gt;0,1,0))/18,2))</f>
        <v>1</v>
      </c>
      <c r="BX7" s="10" t="str">
        <f aca="false">IF(D7="","",IF(AND(AH7="Approved",ISERROR(SEARCH("FAIL",BB7))),"Y","N"))</f>
        <v>Y</v>
      </c>
      <c r="BY7" s="10" t="str">
        <f aca="false">IF(D7="","",D7&amp;"|"&amp;H7&amp;"|"&amp;F7&amp;"|"&amp;I7&amp;"|"&amp;BX7)</f>
        <v>Steel Sheet Pile Cofferdam|7|8000|Kallang Formation (marine clay)|Y</v>
      </c>
    </row>
    <row r="8" customFormat="false" ht="15" hidden="false" customHeight="false" outlineLevel="0" collapsed="false">
      <c r="A8" s="10" t="str">
        <f aca="false">IF(D8="","","ERSS-"&amp;IFERROR(VLOOKUP(D8,Lists!$AK$4:$AL$21,2,0),"??")&amp;"-"&amp;TEXT(F8,"0000")&amp;"x"&amp;TEXT(G8,"0000")&amp;"-D"&amp;TEXT(H8*1000,"0000")&amp;"-"&amp;IFERROR(VLOOKUP(I8,Lists!$Y$4:$Z$21,2,0),"??")&amp;"-"&amp;AG8)</f>
        <v>ERSS-SC-3000x3000-D10000-OA-A</v>
      </c>
      <c r="B8" s="10" t="str">
        <f aca="false">IF(D8="","",D8&amp;" for "&amp;E8&amp;", "&amp;F8&amp;" x "&amp;G8&amp;" pit, "&amp;TEXT(H8,"0.0")&amp;" m deep, "&amp;I8)</f>
        <v>Steel Caisson / Liner Plate for Manhole, 3000 x 3000 pit, 10.0 m deep, Old Alluvium</v>
      </c>
      <c r="C8" s="18" t="s">
        <v>816</v>
      </c>
      <c r="D8" s="18" t="s">
        <v>244</v>
      </c>
      <c r="E8" s="18" t="s">
        <v>263</v>
      </c>
      <c r="F8" s="31" t="n">
        <v>3000</v>
      </c>
      <c r="G8" s="31" t="n">
        <v>3000</v>
      </c>
      <c r="H8" s="41" t="n">
        <v>10</v>
      </c>
      <c r="I8" s="18" t="s">
        <v>86</v>
      </c>
      <c r="J8" s="41" t="n">
        <v>3</v>
      </c>
      <c r="K8" s="31" t="n">
        <v>20</v>
      </c>
      <c r="L8" s="18" t="s">
        <v>838</v>
      </c>
      <c r="M8" s="41"/>
      <c r="N8" s="41"/>
      <c r="O8" s="31" t="n">
        <v>0</v>
      </c>
      <c r="P8" s="18" t="s">
        <v>839</v>
      </c>
      <c r="Q8" s="18" t="s">
        <v>605</v>
      </c>
      <c r="R8" s="32" t="n">
        <v>1.8</v>
      </c>
      <c r="S8" s="32" t="n">
        <v>1.3</v>
      </c>
      <c r="T8" s="31"/>
      <c r="U8" s="31"/>
      <c r="V8" s="31"/>
      <c r="W8" s="18" t="s">
        <v>726</v>
      </c>
      <c r="X8" s="18" t="s">
        <v>840</v>
      </c>
      <c r="Y8" s="31" t="n">
        <v>15</v>
      </c>
      <c r="Z8" s="18" t="s">
        <v>841</v>
      </c>
      <c r="AA8" s="18"/>
      <c r="AB8" s="31" t="n">
        <v>2</v>
      </c>
      <c r="AC8" s="18" t="s">
        <v>609</v>
      </c>
      <c r="AD8" s="32" t="n">
        <v>0.3</v>
      </c>
      <c r="AE8" s="18" t="s">
        <v>822</v>
      </c>
      <c r="AF8" s="18" t="s">
        <v>823</v>
      </c>
      <c r="AG8" s="18" t="s">
        <v>612</v>
      </c>
      <c r="AH8" s="18" t="s">
        <v>255</v>
      </c>
      <c r="AI8" s="18" t="s">
        <v>842</v>
      </c>
      <c r="AJ8" s="18" t="n">
        <v>50</v>
      </c>
      <c r="AK8" s="18" t="s">
        <v>284</v>
      </c>
      <c r="AL8" s="10" t="str">
        <f aca="false">IF(A8="","",SG_Criteria!$B$6&amp;SG_Criteria!$B$11&amp;"\"&amp;A8&amp;"\")</f>
        <v>C:\Users\yourname\YourCompany\Design Library - Documents\05_ERSS_Pit\ERSS-SC-3000x3000-D10000-OA-A\</v>
      </c>
      <c r="AM8" s="10" t="str">
        <f aca="false">IF(A8="","",A8&amp;"_CAD.dwg")</f>
        <v>ERSS-SC-3000x3000-D10000-OA-A_CAD.dwg</v>
      </c>
      <c r="AN8" s="10" t="str">
        <f aca="false">IF(A8="","",A8&amp;"_DWG.pdf")</f>
        <v>ERSS-SC-3000x3000-D10000-OA-A_DWG.pdf</v>
      </c>
      <c r="AO8" s="10" t="str">
        <f aca="false">IF(A8="","",IF(AK8="Y",A8&amp;"_STAAD.std","n/a"))</f>
        <v>ERSS-SC-3000x3000-D10000-OA-A_STAAD.std</v>
      </c>
      <c r="AP8" s="10" t="str">
        <f aca="false">IF(A8="","",A8&amp;"_CALC.xlsx")</f>
        <v>ERSS-SC-3000x3000-D10000-OA-A_CALC.xlsx</v>
      </c>
      <c r="AQ8" s="10" t="str">
        <f aca="false">IF(A8="","",A8&amp;"_CALC.pdf")</f>
        <v>ERSS-SC-3000x3000-D10000-OA-A_CALC.pdf</v>
      </c>
      <c r="AR8" s="18" t="s">
        <v>84</v>
      </c>
      <c r="AS8" s="18" t="s">
        <v>673</v>
      </c>
      <c r="AT8" s="32" t="n">
        <v>2</v>
      </c>
      <c r="AU8" s="32" t="n">
        <v>0</v>
      </c>
      <c r="AV8" s="32" t="n">
        <v>7200</v>
      </c>
      <c r="AW8" s="32" t="n">
        <v>0</v>
      </c>
      <c r="AX8" s="32" t="n">
        <v>95</v>
      </c>
      <c r="AY8" s="12" t="str">
        <f aca="false">IF(A8="","",IF(COUNTIF(Rebar_Schedule!$A$5:$A$2004,A8)=0,"",ROUND(SUMIF(Rebar_Schedule!$A$5:$A$2004,A8,Rebar_Schedule!$K$5:$K$2004),1)))</f>
        <v/>
      </c>
      <c r="AZ8" s="33" t="str">
        <f aca="false">IF(A8="","",IF(AY8="","No rebar schedule yet",IF(ABS(AY8-N(AU8))/MAX(N(AU8),1)&gt;SG_Criteria!$B$55,"NOTE: register rebar differs from schedule by "&amp;TEXT(ABS(AY8-N(AU8))/MAX(N(AU8),1),"0%"),"OK")))</f>
        <v>No rebar schedule yet</v>
      </c>
      <c r="BA8" s="33" t="str">
        <f aca="false">IF(OR(D8="",H8=""),"",IF(H8&lt;=IF(OR(D8="Soldier Pile &amp; Timber Lagging",D8="Trench Shoring Box",D8="Open Cut (battered)"),SG_Criteria!$B$34,SG_Criteria!$B$33),"No ERSS submission",IF(H8&lt;=SG_Criteria!$B$35,"QP(ST)",IF(H8&lt;=SG_Criteria!$B$36,"QP(ST) + AC","Geotechnical building works: QP(Geo) + AC"))))</f>
        <v>Geotechnical building works: QP(Geo) + AC</v>
      </c>
      <c r="BB8" s="33" t="str">
        <f aca="false">IF(D8="","",IF(LEN(IF(AND(R8&lt;&gt;"",R8&lt;SG_Criteria!$B$37),"FAIL: base stability FOS &lt; "&amp;SG_Criteria!$B$37&amp;". ","")&amp;IF(AND(E8="Manhole",H8&gt;SG_Criteria!$B$36),"NOTE: BCA lists sewer manholes (pipe &lt;= 2 m dia) &gt; 6 m as non-GBW: QP(ST) + AC. ","")&amp;IF(AND(D8="Trench Shoring Box",I8="Kallang Formation (marine clay)"),"NOTE: check base heave / ground loss for shoring box in marine clay. ","")&amp;IF(AND(D8="Steel Sheet Pile Cofferdam",N(N8)&lt;H8*0.5),"NOTE: short toe embedment, check. ",""))=0,"OK",IF(AND(R8&lt;&gt;"",R8&lt;SG_Criteria!$B$37),"FAIL: base stability FOS &lt; "&amp;SG_Criteria!$B$37&amp;". ","")&amp;IF(AND(E8="Manhole",H8&gt;SG_Criteria!$B$36),"NOTE: BCA lists sewer manholes (pipe &lt;= 2 m dia) &gt; 6 m as non-GBW: QP(ST) + AC. ","")&amp;IF(AND(D8="Trench Shoring Box",I8="Kallang Formation (marine clay)"),"NOTE: check base heave / ground loss for shoring box in marine clay. ","")&amp;IF(AND(D8="Steel Sheet Pile Cofferdam",N(N8)&lt;H8*0.5),"NOTE: short toe embedment, check. ","")))</f>
        <v>NOTE: BCA lists sewer manholes (pipe &lt;= 2 m dia) &gt; 6 m as non-GBW: QP(ST) + AC. </v>
      </c>
      <c r="BC8" s="18" t="s">
        <v>639</v>
      </c>
      <c r="BD8" s="18"/>
      <c r="BE8" s="18" t="s">
        <v>583</v>
      </c>
      <c r="BF8" s="10" t="str">
        <f aca="false">IF(BE8="","",IFERROR(VLOOKUP(BE8,Projects!$A$5:$D$504,2,0),"Ref not in Projects"))</f>
        <v>EXAMPLE Sewer renewal, Sector 12</v>
      </c>
      <c r="BG8" s="10" t="str">
        <f aca="false">IF(BE8="","",IFERROR(VLOOKUP(BE8,Projects!$A$5:$D$504,4,0),"Ref not in Projects"))</f>
        <v>PUB</v>
      </c>
      <c r="BH8" s="18" t="s">
        <v>810</v>
      </c>
      <c r="BI8" s="18" t="s">
        <v>616</v>
      </c>
      <c r="BJ8" s="18" t="s">
        <v>617</v>
      </c>
      <c r="BK8" s="35" t="n">
        <v>46309</v>
      </c>
      <c r="BL8" s="18" t="s">
        <v>617</v>
      </c>
      <c r="BM8" s="35" t="n">
        <v>46309</v>
      </c>
      <c r="BN8" s="18"/>
      <c r="BO8" s="35"/>
      <c r="BP8" s="18" t="s">
        <v>617</v>
      </c>
      <c r="BQ8" s="18" t="s">
        <v>617</v>
      </c>
      <c r="BR8" s="18" t="s">
        <v>617</v>
      </c>
      <c r="BS8" s="35" t="n">
        <v>46309</v>
      </c>
      <c r="BT8" s="35" t="n">
        <v>46309</v>
      </c>
      <c r="BU8" s="36" t="n">
        <f aca="false">IF(BT8="","",EDATE(BT8,SG_Criteria!$B$54*12))</f>
        <v>47405</v>
      </c>
      <c r="BV8" s="33" t="str">
        <f aca="true">IF(A8="","",IF(BT8="","NOTE: not reviewed yet",IF(TODAY()&gt;BU8,"NOTE: review overdue","OK")))</f>
        <v>OK</v>
      </c>
      <c r="BW8" s="37" t="n">
        <f aca="false">IF(A8="","",ROUND((IF(LEN(D8)&gt;0,1,0)+IF(LEN(E8)&gt;0,1,0)+IF(LEN(F8)&gt;0,1,0)+IF(LEN(G8)&gt;0,1,0)+IF(LEN(H8)&gt;0,1,0)+IF(LEN(I8)&gt;0,1,0)+IF(LEN(J8)&gt;0,1,0)+IF(LEN(L8)&gt;0,1,0)+IF(LEN(R8)&gt;0,1,0)+IF(LEN(Y8)&gt;0,1,0)+IF(LEN(AE8)&gt;0,1,0)+IF(LEN(AG8)&gt;0,1,0)+IF(LEN(AH8)&gt;0,1,0)+IF(LEN(AI8)&gt;0,1,0)+IF(LEN(AJ8)&gt;0,1,0)+IF(LEN(AS8)&gt;0,1,0)+IF(LEN(BE8)&gt;0,1,0)+IF(LEN(BR8)&gt;0,1,0))/18,2))</f>
        <v>1</v>
      </c>
      <c r="BX8" s="10" t="str">
        <f aca="false">IF(D8="","",IF(AND(AH8="Approved",ISERROR(SEARCH("FAIL",BB8))),"Y","N"))</f>
        <v>N</v>
      </c>
      <c r="BY8" s="10" t="str">
        <f aca="false">IF(D8="","",D8&amp;"|"&amp;H8&amp;"|"&amp;F8&amp;"|"&amp;I8&amp;"|"&amp;BX8)</f>
        <v>Steel Caisson / Liner Plate|10|3000|Old Alluvium|N</v>
      </c>
    </row>
    <row r="9" customFormat="false" ht="15" hidden="false" customHeight="false" outlineLevel="0" collapsed="false">
      <c r="A9" s="10" t="str">
        <f aca="false">IF(D9="","","ERSS-"&amp;IFERROR(VLOOKUP(D9,Lists!$AK$4:$AL$21,2,0),"??")&amp;"-"&amp;TEXT(F9,"0000")&amp;"x"&amp;TEXT(G9,"0000")&amp;"-D"&amp;TEXT(H9*1000,"0000")&amp;"-"&amp;IFERROR(VLOOKUP(I9,Lists!$Y$4:$Z$21,2,0),"??")&amp;"-"&amp;AG9)</f>
        <v/>
      </c>
      <c r="B9" s="10" t="str">
        <f aca="false">IF(D9="","",D9&amp;" for "&amp;E9&amp;", "&amp;F9&amp;" x "&amp;G9&amp;" pit, "&amp;TEXT(H9,"0.0")&amp;" m deep, "&amp;I9)</f>
        <v/>
      </c>
      <c r="C9" s="9"/>
      <c r="D9" s="9"/>
      <c r="E9" s="9"/>
      <c r="F9" s="38"/>
      <c r="G9" s="38"/>
      <c r="H9" s="42"/>
      <c r="I9" s="9"/>
      <c r="J9" s="42"/>
      <c r="K9" s="38"/>
      <c r="L9" s="9"/>
      <c r="M9" s="42"/>
      <c r="N9" s="42"/>
      <c r="O9" s="38"/>
      <c r="P9" s="9"/>
      <c r="Q9" s="9"/>
      <c r="R9" s="39"/>
      <c r="S9" s="39"/>
      <c r="T9" s="38"/>
      <c r="U9" s="38"/>
      <c r="V9" s="38"/>
      <c r="W9" s="9"/>
      <c r="X9" s="9"/>
      <c r="Y9" s="38"/>
      <c r="Z9" s="9"/>
      <c r="AA9" s="9"/>
      <c r="AB9" s="38"/>
      <c r="AC9" s="9"/>
      <c r="AD9" s="39"/>
      <c r="AE9" s="9"/>
      <c r="AF9" s="9"/>
      <c r="AG9" s="9"/>
      <c r="AH9" s="9"/>
      <c r="AI9" s="9"/>
      <c r="AJ9" s="9"/>
      <c r="AK9" s="9"/>
      <c r="AL9" s="10" t="str">
        <f aca="false">IF(A9="","",SG_Criteria!$B$6&amp;SG_Criteria!$B$11&amp;"\"&amp;A9&amp;"\")</f>
        <v/>
      </c>
      <c r="AM9" s="10" t="str">
        <f aca="false">IF(A9="","",A9&amp;"_CAD.dwg")</f>
        <v/>
      </c>
      <c r="AN9" s="10" t="str">
        <f aca="false">IF(A9="","",A9&amp;"_DWG.pdf")</f>
        <v/>
      </c>
      <c r="AO9" s="10" t="str">
        <f aca="false">IF(A9="","",IF(AK9="Y",A9&amp;"_STAAD.std","n/a"))</f>
        <v/>
      </c>
      <c r="AP9" s="10" t="str">
        <f aca="false">IF(A9="","",A9&amp;"_CALC.xlsx")</f>
        <v/>
      </c>
      <c r="AQ9" s="10" t="str">
        <f aca="false">IF(A9="","",A9&amp;"_CALC.pdf")</f>
        <v/>
      </c>
      <c r="AR9" s="9"/>
      <c r="AS9" s="9"/>
      <c r="AT9" s="39"/>
      <c r="AU9" s="39"/>
      <c r="AV9" s="39"/>
      <c r="AW9" s="39"/>
      <c r="AX9" s="39"/>
      <c r="AY9" s="12" t="str">
        <f aca="false">IF(A9="","",IF(COUNTIF(Rebar_Schedule!$A$5:$A$2004,A9)=0,"",ROUND(SUMIF(Rebar_Schedule!$A$5:$A$2004,A9,Rebar_Schedule!$K$5:$K$2004),1)))</f>
        <v/>
      </c>
      <c r="AZ9" s="33" t="str">
        <f aca="false">IF(A9="","",IF(AY9="","No rebar schedule yet",IF(ABS(AY9-N(AU9))/MAX(N(AU9),1)&gt;SG_Criteria!$B$55,"NOTE: register rebar differs from schedule by "&amp;TEXT(ABS(AY9-N(AU9))/MAX(N(AU9),1),"0%"),"OK")))</f>
        <v/>
      </c>
      <c r="BA9" s="33" t="str">
        <f aca="false">IF(OR(D9="",H9=""),"",IF(H9&lt;=IF(OR(D9="Soldier Pile &amp; Timber Lagging",D9="Trench Shoring Box",D9="Open Cut (battered)"),SG_Criteria!$B$34,SG_Criteria!$B$33),"No ERSS submission",IF(H9&lt;=SG_Criteria!$B$35,"QP(ST)",IF(H9&lt;=SG_Criteria!$B$36,"QP(ST) + AC","Geotechnical building works: QP(Geo) + AC"))))</f>
        <v/>
      </c>
      <c r="BB9" s="33" t="str">
        <f aca="false">IF(D9="","",IF(LEN(IF(AND(R9&lt;&gt;"",R9&lt;SG_Criteria!$B$37),"FAIL: base stability FOS &lt; "&amp;SG_Criteria!$B$37&amp;". ","")&amp;IF(AND(E9="Manhole",H9&gt;SG_Criteria!$B$36),"NOTE: BCA lists sewer manholes (pipe &lt;= 2 m dia) &gt; 6 m as non-GBW: QP(ST) + AC. ","")&amp;IF(AND(D9="Trench Shoring Box",I9="Kallang Formation (marine clay)"),"NOTE: check base heave / ground loss for shoring box in marine clay. ","")&amp;IF(AND(D9="Steel Sheet Pile Cofferdam",N(N9)&lt;H9*0.5),"NOTE: short toe embedment, check. ",""))=0,"OK",IF(AND(R9&lt;&gt;"",R9&lt;SG_Criteria!$B$37),"FAIL: base stability FOS &lt; "&amp;SG_Criteria!$B$37&amp;". ","")&amp;IF(AND(E9="Manhole",H9&gt;SG_Criteria!$B$36),"NOTE: BCA lists sewer manholes (pipe &lt;= 2 m dia) &gt; 6 m as non-GBW: QP(ST) + AC. ","")&amp;IF(AND(D9="Trench Shoring Box",I9="Kallang Formation (marine clay)"),"NOTE: check base heave / ground loss for shoring box in marine clay. ","")&amp;IF(AND(D9="Steel Sheet Pile Cofferdam",N(N9)&lt;H9*0.5),"NOTE: short toe embedment, check. ","")))</f>
        <v/>
      </c>
      <c r="BC9" s="9"/>
      <c r="BD9" s="9"/>
      <c r="BE9" s="9"/>
      <c r="BF9" s="10" t="str">
        <f aca="false">IF(BE9="","",IFERROR(VLOOKUP(BE9,Projects!$A$5:$D$504,2,0),"Ref not in Projects"))</f>
        <v/>
      </c>
      <c r="BG9" s="10" t="str">
        <f aca="false">IF(BE9="","",IFERROR(VLOOKUP(BE9,Projects!$A$5:$D$504,4,0),"Ref not in Projects"))</f>
        <v/>
      </c>
      <c r="BH9" s="9"/>
      <c r="BI9" s="9"/>
      <c r="BJ9" s="9"/>
      <c r="BK9" s="40"/>
      <c r="BL9" s="9"/>
      <c r="BM9" s="40"/>
      <c r="BN9" s="9"/>
      <c r="BO9" s="40"/>
      <c r="BP9" s="9"/>
      <c r="BQ9" s="9"/>
      <c r="BR9" s="9"/>
      <c r="BS9" s="40"/>
      <c r="BT9" s="40"/>
      <c r="BU9" s="36" t="str">
        <f aca="false">IF(BT9="","",EDATE(BT9,SG_Criteria!$B$54*12))</f>
        <v/>
      </c>
      <c r="BV9" s="33" t="str">
        <f aca="true">IF(A9="","",IF(BT9="","NOTE: not reviewed yet",IF(TODAY()&gt;BU9,"NOTE: review overdue","OK")))</f>
        <v/>
      </c>
      <c r="BW9" s="37" t="str">
        <f aca="false">IF(A9="","",ROUND((IF(LEN(D9)&gt;0,1,0)+IF(LEN(E9)&gt;0,1,0)+IF(LEN(F9)&gt;0,1,0)+IF(LEN(G9)&gt;0,1,0)+IF(LEN(H9)&gt;0,1,0)+IF(LEN(I9)&gt;0,1,0)+IF(LEN(J9)&gt;0,1,0)+IF(LEN(L9)&gt;0,1,0)+IF(LEN(R9)&gt;0,1,0)+IF(LEN(Y9)&gt;0,1,0)+IF(LEN(AE9)&gt;0,1,0)+IF(LEN(AG9)&gt;0,1,0)+IF(LEN(AH9)&gt;0,1,0)+IF(LEN(AI9)&gt;0,1,0)+IF(LEN(AJ9)&gt;0,1,0)+IF(LEN(AS9)&gt;0,1,0)+IF(LEN(BE9)&gt;0,1,0)+IF(LEN(BR9)&gt;0,1,0))/18,2))</f>
        <v/>
      </c>
      <c r="BX9" s="10" t="str">
        <f aca="false">IF(D9="","",IF(AND(AH9="Approved",ISERROR(SEARCH("FAIL",BB9))),"Y","N"))</f>
        <v/>
      </c>
      <c r="BY9" s="10" t="str">
        <f aca="false">IF(D9="","",D9&amp;"|"&amp;H9&amp;"|"&amp;F9&amp;"|"&amp;I9&amp;"|"&amp;BX9)</f>
        <v/>
      </c>
    </row>
    <row r="10" customFormat="false" ht="15" hidden="false" customHeight="false" outlineLevel="0" collapsed="false">
      <c r="A10" s="10" t="str">
        <f aca="false">IF(D10="","","ERSS-"&amp;IFERROR(VLOOKUP(D10,Lists!$AK$4:$AL$21,2,0),"??")&amp;"-"&amp;TEXT(F10,"0000")&amp;"x"&amp;TEXT(G10,"0000")&amp;"-D"&amp;TEXT(H10*1000,"0000")&amp;"-"&amp;IFERROR(VLOOKUP(I10,Lists!$Y$4:$Z$21,2,0),"??")&amp;"-"&amp;AG10)</f>
        <v/>
      </c>
      <c r="B10" s="10" t="str">
        <f aca="false">IF(D10="","",D10&amp;" for "&amp;E10&amp;", "&amp;F10&amp;" x "&amp;G10&amp;" pit, "&amp;TEXT(H10,"0.0")&amp;" m deep, "&amp;I10)</f>
        <v/>
      </c>
      <c r="C10" s="9"/>
      <c r="D10" s="9"/>
      <c r="E10" s="9"/>
      <c r="F10" s="38"/>
      <c r="G10" s="38"/>
      <c r="H10" s="42"/>
      <c r="I10" s="9"/>
      <c r="J10" s="42"/>
      <c r="K10" s="38"/>
      <c r="L10" s="9"/>
      <c r="M10" s="42"/>
      <c r="N10" s="42"/>
      <c r="O10" s="38"/>
      <c r="P10" s="9"/>
      <c r="Q10" s="9"/>
      <c r="R10" s="39"/>
      <c r="S10" s="39"/>
      <c r="T10" s="38"/>
      <c r="U10" s="38"/>
      <c r="V10" s="38"/>
      <c r="W10" s="9"/>
      <c r="X10" s="9"/>
      <c r="Y10" s="38"/>
      <c r="Z10" s="9"/>
      <c r="AA10" s="9"/>
      <c r="AB10" s="38"/>
      <c r="AC10" s="9"/>
      <c r="AD10" s="39"/>
      <c r="AE10" s="9"/>
      <c r="AF10" s="9"/>
      <c r="AG10" s="9"/>
      <c r="AH10" s="9"/>
      <c r="AI10" s="9"/>
      <c r="AJ10" s="9"/>
      <c r="AK10" s="9"/>
      <c r="AL10" s="10" t="str">
        <f aca="false">IF(A10="","",SG_Criteria!$B$6&amp;SG_Criteria!$B$11&amp;"\"&amp;A10&amp;"\")</f>
        <v/>
      </c>
      <c r="AM10" s="10" t="str">
        <f aca="false">IF(A10="","",A10&amp;"_CAD.dwg")</f>
        <v/>
      </c>
      <c r="AN10" s="10" t="str">
        <f aca="false">IF(A10="","",A10&amp;"_DWG.pdf")</f>
        <v/>
      </c>
      <c r="AO10" s="10" t="str">
        <f aca="false">IF(A10="","",IF(AK10="Y",A10&amp;"_STAAD.std","n/a"))</f>
        <v/>
      </c>
      <c r="AP10" s="10" t="str">
        <f aca="false">IF(A10="","",A10&amp;"_CALC.xlsx")</f>
        <v/>
      </c>
      <c r="AQ10" s="10" t="str">
        <f aca="false">IF(A10="","",A10&amp;"_CALC.pdf")</f>
        <v/>
      </c>
      <c r="AR10" s="9"/>
      <c r="AS10" s="9"/>
      <c r="AT10" s="39"/>
      <c r="AU10" s="39"/>
      <c r="AV10" s="39"/>
      <c r="AW10" s="39"/>
      <c r="AX10" s="39"/>
      <c r="AY10" s="12" t="str">
        <f aca="false">IF(A10="","",IF(COUNTIF(Rebar_Schedule!$A$5:$A$2004,A10)=0,"",ROUND(SUMIF(Rebar_Schedule!$A$5:$A$2004,A10,Rebar_Schedule!$K$5:$K$2004),1)))</f>
        <v/>
      </c>
      <c r="AZ10" s="33" t="str">
        <f aca="false">IF(A10="","",IF(AY10="","No rebar schedule yet",IF(ABS(AY10-N(AU10))/MAX(N(AU10),1)&gt;SG_Criteria!$B$55,"NOTE: register rebar differs from schedule by "&amp;TEXT(ABS(AY10-N(AU10))/MAX(N(AU10),1),"0%"),"OK")))</f>
        <v/>
      </c>
      <c r="BA10" s="33" t="str">
        <f aca="false">IF(OR(D10="",H10=""),"",IF(H10&lt;=IF(OR(D10="Soldier Pile &amp; Timber Lagging",D10="Trench Shoring Box",D10="Open Cut (battered)"),SG_Criteria!$B$34,SG_Criteria!$B$33),"No ERSS submission",IF(H10&lt;=SG_Criteria!$B$35,"QP(ST)",IF(H10&lt;=SG_Criteria!$B$36,"QP(ST) + AC","Geotechnical building works: QP(Geo) + AC"))))</f>
        <v/>
      </c>
      <c r="BB10" s="33" t="str">
        <f aca="false">IF(D10="","",IF(LEN(IF(AND(R10&lt;&gt;"",R10&lt;SG_Criteria!$B$37),"FAIL: base stability FOS &lt; "&amp;SG_Criteria!$B$37&amp;". ","")&amp;IF(AND(E10="Manhole",H10&gt;SG_Criteria!$B$36),"NOTE: BCA lists sewer manholes (pipe &lt;= 2 m dia) &gt; 6 m as non-GBW: QP(ST) + AC. ","")&amp;IF(AND(D10="Trench Shoring Box",I10="Kallang Formation (marine clay)"),"NOTE: check base heave / ground loss for shoring box in marine clay. ","")&amp;IF(AND(D10="Steel Sheet Pile Cofferdam",N(N10)&lt;H10*0.5),"NOTE: short toe embedment, check. ",""))=0,"OK",IF(AND(R10&lt;&gt;"",R10&lt;SG_Criteria!$B$37),"FAIL: base stability FOS &lt; "&amp;SG_Criteria!$B$37&amp;". ","")&amp;IF(AND(E10="Manhole",H10&gt;SG_Criteria!$B$36),"NOTE: BCA lists sewer manholes (pipe &lt;= 2 m dia) &gt; 6 m as non-GBW: QP(ST) + AC. ","")&amp;IF(AND(D10="Trench Shoring Box",I10="Kallang Formation (marine clay)"),"NOTE: check base heave / ground loss for shoring box in marine clay. ","")&amp;IF(AND(D10="Steel Sheet Pile Cofferdam",N(N10)&lt;H10*0.5),"NOTE: short toe embedment, check. ","")))</f>
        <v/>
      </c>
      <c r="BC10" s="9"/>
      <c r="BD10" s="9"/>
      <c r="BE10" s="9"/>
      <c r="BF10" s="10" t="str">
        <f aca="false">IF(BE10="","",IFERROR(VLOOKUP(BE10,Projects!$A$5:$D$504,2,0),"Ref not in Projects"))</f>
        <v/>
      </c>
      <c r="BG10" s="10" t="str">
        <f aca="false">IF(BE10="","",IFERROR(VLOOKUP(BE10,Projects!$A$5:$D$504,4,0),"Ref not in Projects"))</f>
        <v/>
      </c>
      <c r="BH10" s="9"/>
      <c r="BI10" s="9"/>
      <c r="BJ10" s="9"/>
      <c r="BK10" s="40"/>
      <c r="BL10" s="9"/>
      <c r="BM10" s="40"/>
      <c r="BN10" s="9"/>
      <c r="BO10" s="40"/>
      <c r="BP10" s="9"/>
      <c r="BQ10" s="9"/>
      <c r="BR10" s="9"/>
      <c r="BS10" s="40"/>
      <c r="BT10" s="40"/>
      <c r="BU10" s="36" t="str">
        <f aca="false">IF(BT10="","",EDATE(BT10,SG_Criteria!$B$54*12))</f>
        <v/>
      </c>
      <c r="BV10" s="33" t="str">
        <f aca="true">IF(A10="","",IF(BT10="","NOTE: not reviewed yet",IF(TODAY()&gt;BU10,"NOTE: review overdue","OK")))</f>
        <v/>
      </c>
      <c r="BW10" s="37" t="str">
        <f aca="false">IF(A10="","",ROUND((IF(LEN(D10)&gt;0,1,0)+IF(LEN(E10)&gt;0,1,0)+IF(LEN(F10)&gt;0,1,0)+IF(LEN(G10)&gt;0,1,0)+IF(LEN(H10)&gt;0,1,0)+IF(LEN(I10)&gt;0,1,0)+IF(LEN(J10)&gt;0,1,0)+IF(LEN(L10)&gt;0,1,0)+IF(LEN(R10)&gt;0,1,0)+IF(LEN(Y10)&gt;0,1,0)+IF(LEN(AE10)&gt;0,1,0)+IF(LEN(AG10)&gt;0,1,0)+IF(LEN(AH10)&gt;0,1,0)+IF(LEN(AI10)&gt;0,1,0)+IF(LEN(AJ10)&gt;0,1,0)+IF(LEN(AS10)&gt;0,1,0)+IF(LEN(BE10)&gt;0,1,0)+IF(LEN(BR10)&gt;0,1,0))/18,2))</f>
        <v/>
      </c>
      <c r="BX10" s="10" t="str">
        <f aca="false">IF(D10="","",IF(AND(AH10="Approved",ISERROR(SEARCH("FAIL",BB10))),"Y","N"))</f>
        <v/>
      </c>
      <c r="BY10" s="10" t="str">
        <f aca="false">IF(D10="","",D10&amp;"|"&amp;H10&amp;"|"&amp;F10&amp;"|"&amp;I10&amp;"|"&amp;BX10)</f>
        <v/>
      </c>
    </row>
    <row r="11" customFormat="false" ht="15" hidden="false" customHeight="false" outlineLevel="0" collapsed="false">
      <c r="A11" s="10" t="str">
        <f aca="false">IF(D11="","","ERSS-"&amp;IFERROR(VLOOKUP(D11,Lists!$AK$4:$AL$21,2,0),"??")&amp;"-"&amp;TEXT(F11,"0000")&amp;"x"&amp;TEXT(G11,"0000")&amp;"-D"&amp;TEXT(H11*1000,"0000")&amp;"-"&amp;IFERROR(VLOOKUP(I11,Lists!$Y$4:$Z$21,2,0),"??")&amp;"-"&amp;AG11)</f>
        <v/>
      </c>
      <c r="B11" s="10" t="str">
        <f aca="false">IF(D11="","",D11&amp;" for "&amp;E11&amp;", "&amp;F11&amp;" x "&amp;G11&amp;" pit, "&amp;TEXT(H11,"0.0")&amp;" m deep, "&amp;I11)</f>
        <v/>
      </c>
      <c r="C11" s="9"/>
      <c r="D11" s="9"/>
      <c r="E11" s="9"/>
      <c r="F11" s="38"/>
      <c r="G11" s="38"/>
      <c r="H11" s="42"/>
      <c r="I11" s="9"/>
      <c r="J11" s="42"/>
      <c r="K11" s="38"/>
      <c r="L11" s="9"/>
      <c r="M11" s="42"/>
      <c r="N11" s="42"/>
      <c r="O11" s="38"/>
      <c r="P11" s="9"/>
      <c r="Q11" s="9"/>
      <c r="R11" s="39"/>
      <c r="S11" s="39"/>
      <c r="T11" s="38"/>
      <c r="U11" s="38"/>
      <c r="V11" s="38"/>
      <c r="W11" s="9"/>
      <c r="X11" s="9"/>
      <c r="Y11" s="38"/>
      <c r="Z11" s="9"/>
      <c r="AA11" s="9"/>
      <c r="AB11" s="38"/>
      <c r="AC11" s="9"/>
      <c r="AD11" s="39"/>
      <c r="AE11" s="9"/>
      <c r="AF11" s="9"/>
      <c r="AG11" s="9"/>
      <c r="AH11" s="9"/>
      <c r="AI11" s="9"/>
      <c r="AJ11" s="9"/>
      <c r="AK11" s="9"/>
      <c r="AL11" s="10" t="str">
        <f aca="false">IF(A11="","",SG_Criteria!$B$6&amp;SG_Criteria!$B$11&amp;"\"&amp;A11&amp;"\")</f>
        <v/>
      </c>
      <c r="AM11" s="10" t="str">
        <f aca="false">IF(A11="","",A11&amp;"_CAD.dwg")</f>
        <v/>
      </c>
      <c r="AN11" s="10" t="str">
        <f aca="false">IF(A11="","",A11&amp;"_DWG.pdf")</f>
        <v/>
      </c>
      <c r="AO11" s="10" t="str">
        <f aca="false">IF(A11="","",IF(AK11="Y",A11&amp;"_STAAD.std","n/a"))</f>
        <v/>
      </c>
      <c r="AP11" s="10" t="str">
        <f aca="false">IF(A11="","",A11&amp;"_CALC.xlsx")</f>
        <v/>
      </c>
      <c r="AQ11" s="10" t="str">
        <f aca="false">IF(A11="","",A11&amp;"_CALC.pdf")</f>
        <v/>
      </c>
      <c r="AR11" s="9"/>
      <c r="AS11" s="9"/>
      <c r="AT11" s="39"/>
      <c r="AU11" s="39"/>
      <c r="AV11" s="39"/>
      <c r="AW11" s="39"/>
      <c r="AX11" s="39"/>
      <c r="AY11" s="12" t="str">
        <f aca="false">IF(A11="","",IF(COUNTIF(Rebar_Schedule!$A$5:$A$2004,A11)=0,"",ROUND(SUMIF(Rebar_Schedule!$A$5:$A$2004,A11,Rebar_Schedule!$K$5:$K$2004),1)))</f>
        <v/>
      </c>
      <c r="AZ11" s="33" t="str">
        <f aca="false">IF(A11="","",IF(AY11="","No rebar schedule yet",IF(ABS(AY11-N(AU11))/MAX(N(AU11),1)&gt;SG_Criteria!$B$55,"NOTE: register rebar differs from schedule by "&amp;TEXT(ABS(AY11-N(AU11))/MAX(N(AU11),1),"0%"),"OK")))</f>
        <v/>
      </c>
      <c r="BA11" s="33" t="str">
        <f aca="false">IF(OR(D11="",H11=""),"",IF(H11&lt;=IF(OR(D11="Soldier Pile &amp; Timber Lagging",D11="Trench Shoring Box",D11="Open Cut (battered)"),SG_Criteria!$B$34,SG_Criteria!$B$33),"No ERSS submission",IF(H11&lt;=SG_Criteria!$B$35,"QP(ST)",IF(H11&lt;=SG_Criteria!$B$36,"QP(ST) + AC","Geotechnical building works: QP(Geo) + AC"))))</f>
        <v/>
      </c>
      <c r="BB11" s="33" t="str">
        <f aca="false">IF(D11="","",IF(LEN(IF(AND(R11&lt;&gt;"",R11&lt;SG_Criteria!$B$37),"FAIL: base stability FOS &lt; "&amp;SG_Criteria!$B$37&amp;". ","")&amp;IF(AND(E11="Manhole",H11&gt;SG_Criteria!$B$36),"NOTE: BCA lists sewer manholes (pipe &lt;= 2 m dia) &gt; 6 m as non-GBW: QP(ST) + AC. ","")&amp;IF(AND(D11="Trench Shoring Box",I11="Kallang Formation (marine clay)"),"NOTE: check base heave / ground loss for shoring box in marine clay. ","")&amp;IF(AND(D11="Steel Sheet Pile Cofferdam",N(N11)&lt;H11*0.5),"NOTE: short toe embedment, check. ",""))=0,"OK",IF(AND(R11&lt;&gt;"",R11&lt;SG_Criteria!$B$37),"FAIL: base stability FOS &lt; "&amp;SG_Criteria!$B$37&amp;". ","")&amp;IF(AND(E11="Manhole",H11&gt;SG_Criteria!$B$36),"NOTE: BCA lists sewer manholes (pipe &lt;= 2 m dia) &gt; 6 m as non-GBW: QP(ST) + AC. ","")&amp;IF(AND(D11="Trench Shoring Box",I11="Kallang Formation (marine clay)"),"NOTE: check base heave / ground loss for shoring box in marine clay. ","")&amp;IF(AND(D11="Steel Sheet Pile Cofferdam",N(N11)&lt;H11*0.5),"NOTE: short toe embedment, check. ","")))</f>
        <v/>
      </c>
      <c r="BC11" s="9"/>
      <c r="BD11" s="9"/>
      <c r="BE11" s="9"/>
      <c r="BF11" s="10" t="str">
        <f aca="false">IF(BE11="","",IFERROR(VLOOKUP(BE11,Projects!$A$5:$D$504,2,0),"Ref not in Projects"))</f>
        <v/>
      </c>
      <c r="BG11" s="10" t="str">
        <f aca="false">IF(BE11="","",IFERROR(VLOOKUP(BE11,Projects!$A$5:$D$504,4,0),"Ref not in Projects"))</f>
        <v/>
      </c>
      <c r="BH11" s="9"/>
      <c r="BI11" s="9"/>
      <c r="BJ11" s="9"/>
      <c r="BK11" s="40"/>
      <c r="BL11" s="9"/>
      <c r="BM11" s="40"/>
      <c r="BN11" s="9"/>
      <c r="BO11" s="40"/>
      <c r="BP11" s="9"/>
      <c r="BQ11" s="9"/>
      <c r="BR11" s="9"/>
      <c r="BS11" s="40"/>
      <c r="BT11" s="40"/>
      <c r="BU11" s="36" t="str">
        <f aca="false">IF(BT11="","",EDATE(BT11,SG_Criteria!$B$54*12))</f>
        <v/>
      </c>
      <c r="BV11" s="33" t="str">
        <f aca="true">IF(A11="","",IF(BT11="","NOTE: not reviewed yet",IF(TODAY()&gt;BU11,"NOTE: review overdue","OK")))</f>
        <v/>
      </c>
      <c r="BW11" s="37" t="str">
        <f aca="false">IF(A11="","",ROUND((IF(LEN(D11)&gt;0,1,0)+IF(LEN(E11)&gt;0,1,0)+IF(LEN(F11)&gt;0,1,0)+IF(LEN(G11)&gt;0,1,0)+IF(LEN(H11)&gt;0,1,0)+IF(LEN(I11)&gt;0,1,0)+IF(LEN(J11)&gt;0,1,0)+IF(LEN(L11)&gt;0,1,0)+IF(LEN(R11)&gt;0,1,0)+IF(LEN(Y11)&gt;0,1,0)+IF(LEN(AE11)&gt;0,1,0)+IF(LEN(AG11)&gt;0,1,0)+IF(LEN(AH11)&gt;0,1,0)+IF(LEN(AI11)&gt;0,1,0)+IF(LEN(AJ11)&gt;0,1,0)+IF(LEN(AS11)&gt;0,1,0)+IF(LEN(BE11)&gt;0,1,0)+IF(LEN(BR11)&gt;0,1,0))/18,2))</f>
        <v/>
      </c>
      <c r="BX11" s="10" t="str">
        <f aca="false">IF(D11="","",IF(AND(AH11="Approved",ISERROR(SEARCH("FAIL",BB11))),"Y","N"))</f>
        <v/>
      </c>
      <c r="BY11" s="10" t="str">
        <f aca="false">IF(D11="","",D11&amp;"|"&amp;H11&amp;"|"&amp;F11&amp;"|"&amp;I11&amp;"|"&amp;BX11)</f>
        <v/>
      </c>
    </row>
    <row r="12" customFormat="false" ht="15" hidden="false" customHeight="false" outlineLevel="0" collapsed="false">
      <c r="A12" s="10" t="str">
        <f aca="false">IF(D12="","","ERSS-"&amp;IFERROR(VLOOKUP(D12,Lists!$AK$4:$AL$21,2,0),"??")&amp;"-"&amp;TEXT(F12,"0000")&amp;"x"&amp;TEXT(G12,"0000")&amp;"-D"&amp;TEXT(H12*1000,"0000")&amp;"-"&amp;IFERROR(VLOOKUP(I12,Lists!$Y$4:$Z$21,2,0),"??")&amp;"-"&amp;AG12)</f>
        <v/>
      </c>
      <c r="B12" s="10" t="str">
        <f aca="false">IF(D12="","",D12&amp;" for "&amp;E12&amp;", "&amp;F12&amp;" x "&amp;G12&amp;" pit, "&amp;TEXT(H12,"0.0")&amp;" m deep, "&amp;I12)</f>
        <v/>
      </c>
      <c r="C12" s="9"/>
      <c r="D12" s="9"/>
      <c r="E12" s="9"/>
      <c r="F12" s="38"/>
      <c r="G12" s="38"/>
      <c r="H12" s="42"/>
      <c r="I12" s="9"/>
      <c r="J12" s="42"/>
      <c r="K12" s="38"/>
      <c r="L12" s="9"/>
      <c r="M12" s="42"/>
      <c r="N12" s="42"/>
      <c r="O12" s="38"/>
      <c r="P12" s="9"/>
      <c r="Q12" s="9"/>
      <c r="R12" s="39"/>
      <c r="S12" s="39"/>
      <c r="T12" s="38"/>
      <c r="U12" s="38"/>
      <c r="V12" s="38"/>
      <c r="W12" s="9"/>
      <c r="X12" s="9"/>
      <c r="Y12" s="38"/>
      <c r="Z12" s="9"/>
      <c r="AA12" s="9"/>
      <c r="AB12" s="38"/>
      <c r="AC12" s="9"/>
      <c r="AD12" s="39"/>
      <c r="AE12" s="9"/>
      <c r="AF12" s="9"/>
      <c r="AG12" s="9"/>
      <c r="AH12" s="9"/>
      <c r="AI12" s="9"/>
      <c r="AJ12" s="9"/>
      <c r="AK12" s="9"/>
      <c r="AL12" s="10" t="str">
        <f aca="false">IF(A12="","",SG_Criteria!$B$6&amp;SG_Criteria!$B$11&amp;"\"&amp;A12&amp;"\")</f>
        <v/>
      </c>
      <c r="AM12" s="10" t="str">
        <f aca="false">IF(A12="","",A12&amp;"_CAD.dwg")</f>
        <v/>
      </c>
      <c r="AN12" s="10" t="str">
        <f aca="false">IF(A12="","",A12&amp;"_DWG.pdf")</f>
        <v/>
      </c>
      <c r="AO12" s="10" t="str">
        <f aca="false">IF(A12="","",IF(AK12="Y",A12&amp;"_STAAD.std","n/a"))</f>
        <v/>
      </c>
      <c r="AP12" s="10" t="str">
        <f aca="false">IF(A12="","",A12&amp;"_CALC.xlsx")</f>
        <v/>
      </c>
      <c r="AQ12" s="10" t="str">
        <f aca="false">IF(A12="","",A12&amp;"_CALC.pdf")</f>
        <v/>
      </c>
      <c r="AR12" s="9"/>
      <c r="AS12" s="9"/>
      <c r="AT12" s="39"/>
      <c r="AU12" s="39"/>
      <c r="AV12" s="39"/>
      <c r="AW12" s="39"/>
      <c r="AX12" s="39"/>
      <c r="AY12" s="12" t="str">
        <f aca="false">IF(A12="","",IF(COUNTIF(Rebar_Schedule!$A$5:$A$2004,A12)=0,"",ROUND(SUMIF(Rebar_Schedule!$A$5:$A$2004,A12,Rebar_Schedule!$K$5:$K$2004),1)))</f>
        <v/>
      </c>
      <c r="AZ12" s="33" t="str">
        <f aca="false">IF(A12="","",IF(AY12="","No rebar schedule yet",IF(ABS(AY12-N(AU12))/MAX(N(AU12),1)&gt;SG_Criteria!$B$55,"NOTE: register rebar differs from schedule by "&amp;TEXT(ABS(AY12-N(AU12))/MAX(N(AU12),1),"0%"),"OK")))</f>
        <v/>
      </c>
      <c r="BA12" s="33" t="str">
        <f aca="false">IF(OR(D12="",H12=""),"",IF(H12&lt;=IF(OR(D12="Soldier Pile &amp; Timber Lagging",D12="Trench Shoring Box",D12="Open Cut (battered)"),SG_Criteria!$B$34,SG_Criteria!$B$33),"No ERSS submission",IF(H12&lt;=SG_Criteria!$B$35,"QP(ST)",IF(H12&lt;=SG_Criteria!$B$36,"QP(ST) + AC","Geotechnical building works: QP(Geo) + AC"))))</f>
        <v/>
      </c>
      <c r="BB12" s="33" t="str">
        <f aca="false">IF(D12="","",IF(LEN(IF(AND(R12&lt;&gt;"",R12&lt;SG_Criteria!$B$37),"FAIL: base stability FOS &lt; "&amp;SG_Criteria!$B$37&amp;". ","")&amp;IF(AND(E12="Manhole",H12&gt;SG_Criteria!$B$36),"NOTE: BCA lists sewer manholes (pipe &lt;= 2 m dia) &gt; 6 m as non-GBW: QP(ST) + AC. ","")&amp;IF(AND(D12="Trench Shoring Box",I12="Kallang Formation (marine clay)"),"NOTE: check base heave / ground loss for shoring box in marine clay. ","")&amp;IF(AND(D12="Steel Sheet Pile Cofferdam",N(N12)&lt;H12*0.5),"NOTE: short toe embedment, check. ",""))=0,"OK",IF(AND(R12&lt;&gt;"",R12&lt;SG_Criteria!$B$37),"FAIL: base stability FOS &lt; "&amp;SG_Criteria!$B$37&amp;". ","")&amp;IF(AND(E12="Manhole",H12&gt;SG_Criteria!$B$36),"NOTE: BCA lists sewer manholes (pipe &lt;= 2 m dia) &gt; 6 m as non-GBW: QP(ST) + AC. ","")&amp;IF(AND(D12="Trench Shoring Box",I12="Kallang Formation (marine clay)"),"NOTE: check base heave / ground loss for shoring box in marine clay. ","")&amp;IF(AND(D12="Steel Sheet Pile Cofferdam",N(N12)&lt;H12*0.5),"NOTE: short toe embedment, check. ","")))</f>
        <v/>
      </c>
      <c r="BC12" s="9"/>
      <c r="BD12" s="9"/>
      <c r="BE12" s="9"/>
      <c r="BF12" s="10" t="str">
        <f aca="false">IF(BE12="","",IFERROR(VLOOKUP(BE12,Projects!$A$5:$D$504,2,0),"Ref not in Projects"))</f>
        <v/>
      </c>
      <c r="BG12" s="10" t="str">
        <f aca="false">IF(BE12="","",IFERROR(VLOOKUP(BE12,Projects!$A$5:$D$504,4,0),"Ref not in Projects"))</f>
        <v/>
      </c>
      <c r="BH12" s="9"/>
      <c r="BI12" s="9"/>
      <c r="BJ12" s="9"/>
      <c r="BK12" s="40"/>
      <c r="BL12" s="9"/>
      <c r="BM12" s="40"/>
      <c r="BN12" s="9"/>
      <c r="BO12" s="40"/>
      <c r="BP12" s="9"/>
      <c r="BQ12" s="9"/>
      <c r="BR12" s="9"/>
      <c r="BS12" s="40"/>
      <c r="BT12" s="40"/>
      <c r="BU12" s="36" t="str">
        <f aca="false">IF(BT12="","",EDATE(BT12,SG_Criteria!$B$54*12))</f>
        <v/>
      </c>
      <c r="BV12" s="33" t="str">
        <f aca="true">IF(A12="","",IF(BT12="","NOTE: not reviewed yet",IF(TODAY()&gt;BU12,"NOTE: review overdue","OK")))</f>
        <v/>
      </c>
      <c r="BW12" s="37" t="str">
        <f aca="false">IF(A12="","",ROUND((IF(LEN(D12)&gt;0,1,0)+IF(LEN(E12)&gt;0,1,0)+IF(LEN(F12)&gt;0,1,0)+IF(LEN(G12)&gt;0,1,0)+IF(LEN(H12)&gt;0,1,0)+IF(LEN(I12)&gt;0,1,0)+IF(LEN(J12)&gt;0,1,0)+IF(LEN(L12)&gt;0,1,0)+IF(LEN(R12)&gt;0,1,0)+IF(LEN(Y12)&gt;0,1,0)+IF(LEN(AE12)&gt;0,1,0)+IF(LEN(AG12)&gt;0,1,0)+IF(LEN(AH12)&gt;0,1,0)+IF(LEN(AI12)&gt;0,1,0)+IF(LEN(AJ12)&gt;0,1,0)+IF(LEN(AS12)&gt;0,1,0)+IF(LEN(BE12)&gt;0,1,0)+IF(LEN(BR12)&gt;0,1,0))/18,2))</f>
        <v/>
      </c>
      <c r="BX12" s="10" t="str">
        <f aca="false">IF(D12="","",IF(AND(AH12="Approved",ISERROR(SEARCH("FAIL",BB12))),"Y","N"))</f>
        <v/>
      </c>
      <c r="BY12" s="10" t="str">
        <f aca="false">IF(D12="","",D12&amp;"|"&amp;H12&amp;"|"&amp;F12&amp;"|"&amp;I12&amp;"|"&amp;BX12)</f>
        <v/>
      </c>
    </row>
    <row r="13" customFormat="false" ht="15" hidden="false" customHeight="false" outlineLevel="0" collapsed="false">
      <c r="A13" s="10" t="str">
        <f aca="false">IF(D13="","","ERSS-"&amp;IFERROR(VLOOKUP(D13,Lists!$AK$4:$AL$21,2,0),"??")&amp;"-"&amp;TEXT(F13,"0000")&amp;"x"&amp;TEXT(G13,"0000")&amp;"-D"&amp;TEXT(H13*1000,"0000")&amp;"-"&amp;IFERROR(VLOOKUP(I13,Lists!$Y$4:$Z$21,2,0),"??")&amp;"-"&amp;AG13)</f>
        <v/>
      </c>
      <c r="B13" s="10" t="str">
        <f aca="false">IF(D13="","",D13&amp;" for "&amp;E13&amp;", "&amp;F13&amp;" x "&amp;G13&amp;" pit, "&amp;TEXT(H13,"0.0")&amp;" m deep, "&amp;I13)</f>
        <v/>
      </c>
      <c r="C13" s="9"/>
      <c r="D13" s="9"/>
      <c r="E13" s="9"/>
      <c r="F13" s="38"/>
      <c r="G13" s="38"/>
      <c r="H13" s="42"/>
      <c r="I13" s="9"/>
      <c r="J13" s="42"/>
      <c r="K13" s="38"/>
      <c r="L13" s="9"/>
      <c r="M13" s="42"/>
      <c r="N13" s="42"/>
      <c r="O13" s="38"/>
      <c r="P13" s="9"/>
      <c r="Q13" s="9"/>
      <c r="R13" s="39"/>
      <c r="S13" s="39"/>
      <c r="T13" s="38"/>
      <c r="U13" s="38"/>
      <c r="V13" s="38"/>
      <c r="W13" s="9"/>
      <c r="X13" s="9"/>
      <c r="Y13" s="38"/>
      <c r="Z13" s="9"/>
      <c r="AA13" s="9"/>
      <c r="AB13" s="38"/>
      <c r="AC13" s="9"/>
      <c r="AD13" s="39"/>
      <c r="AE13" s="9"/>
      <c r="AF13" s="9"/>
      <c r="AG13" s="9"/>
      <c r="AH13" s="9"/>
      <c r="AI13" s="9"/>
      <c r="AJ13" s="9"/>
      <c r="AK13" s="9"/>
      <c r="AL13" s="10" t="str">
        <f aca="false">IF(A13="","",SG_Criteria!$B$6&amp;SG_Criteria!$B$11&amp;"\"&amp;A13&amp;"\")</f>
        <v/>
      </c>
      <c r="AM13" s="10" t="str">
        <f aca="false">IF(A13="","",A13&amp;"_CAD.dwg")</f>
        <v/>
      </c>
      <c r="AN13" s="10" t="str">
        <f aca="false">IF(A13="","",A13&amp;"_DWG.pdf")</f>
        <v/>
      </c>
      <c r="AO13" s="10" t="str">
        <f aca="false">IF(A13="","",IF(AK13="Y",A13&amp;"_STAAD.std","n/a"))</f>
        <v/>
      </c>
      <c r="AP13" s="10" t="str">
        <f aca="false">IF(A13="","",A13&amp;"_CALC.xlsx")</f>
        <v/>
      </c>
      <c r="AQ13" s="10" t="str">
        <f aca="false">IF(A13="","",A13&amp;"_CALC.pdf")</f>
        <v/>
      </c>
      <c r="AR13" s="9"/>
      <c r="AS13" s="9"/>
      <c r="AT13" s="39"/>
      <c r="AU13" s="39"/>
      <c r="AV13" s="39"/>
      <c r="AW13" s="39"/>
      <c r="AX13" s="39"/>
      <c r="AY13" s="12" t="str">
        <f aca="false">IF(A13="","",IF(COUNTIF(Rebar_Schedule!$A$5:$A$2004,A13)=0,"",ROUND(SUMIF(Rebar_Schedule!$A$5:$A$2004,A13,Rebar_Schedule!$K$5:$K$2004),1)))</f>
        <v/>
      </c>
      <c r="AZ13" s="33" t="str">
        <f aca="false">IF(A13="","",IF(AY13="","No rebar schedule yet",IF(ABS(AY13-N(AU13))/MAX(N(AU13),1)&gt;SG_Criteria!$B$55,"NOTE: register rebar differs from schedule by "&amp;TEXT(ABS(AY13-N(AU13))/MAX(N(AU13),1),"0%"),"OK")))</f>
        <v/>
      </c>
      <c r="BA13" s="33" t="str">
        <f aca="false">IF(OR(D13="",H13=""),"",IF(H13&lt;=IF(OR(D13="Soldier Pile &amp; Timber Lagging",D13="Trench Shoring Box",D13="Open Cut (battered)"),SG_Criteria!$B$34,SG_Criteria!$B$33),"No ERSS submission",IF(H13&lt;=SG_Criteria!$B$35,"QP(ST)",IF(H13&lt;=SG_Criteria!$B$36,"QP(ST) + AC","Geotechnical building works: QP(Geo) + AC"))))</f>
        <v/>
      </c>
      <c r="BB13" s="33" t="str">
        <f aca="false">IF(D13="","",IF(LEN(IF(AND(R13&lt;&gt;"",R13&lt;SG_Criteria!$B$37),"FAIL: base stability FOS &lt; "&amp;SG_Criteria!$B$37&amp;". ","")&amp;IF(AND(E13="Manhole",H13&gt;SG_Criteria!$B$36),"NOTE: BCA lists sewer manholes (pipe &lt;= 2 m dia) &gt; 6 m as non-GBW: QP(ST) + AC. ","")&amp;IF(AND(D13="Trench Shoring Box",I13="Kallang Formation (marine clay)"),"NOTE: check base heave / ground loss for shoring box in marine clay. ","")&amp;IF(AND(D13="Steel Sheet Pile Cofferdam",N(N13)&lt;H13*0.5),"NOTE: short toe embedment, check. ",""))=0,"OK",IF(AND(R13&lt;&gt;"",R13&lt;SG_Criteria!$B$37),"FAIL: base stability FOS &lt; "&amp;SG_Criteria!$B$37&amp;". ","")&amp;IF(AND(E13="Manhole",H13&gt;SG_Criteria!$B$36),"NOTE: BCA lists sewer manholes (pipe &lt;= 2 m dia) &gt; 6 m as non-GBW: QP(ST) + AC. ","")&amp;IF(AND(D13="Trench Shoring Box",I13="Kallang Formation (marine clay)"),"NOTE: check base heave / ground loss for shoring box in marine clay. ","")&amp;IF(AND(D13="Steel Sheet Pile Cofferdam",N(N13)&lt;H13*0.5),"NOTE: short toe embedment, check. ","")))</f>
        <v/>
      </c>
      <c r="BC13" s="9"/>
      <c r="BD13" s="9"/>
      <c r="BE13" s="9"/>
      <c r="BF13" s="10" t="str">
        <f aca="false">IF(BE13="","",IFERROR(VLOOKUP(BE13,Projects!$A$5:$D$504,2,0),"Ref not in Projects"))</f>
        <v/>
      </c>
      <c r="BG13" s="10" t="str">
        <f aca="false">IF(BE13="","",IFERROR(VLOOKUP(BE13,Projects!$A$5:$D$504,4,0),"Ref not in Projects"))</f>
        <v/>
      </c>
      <c r="BH13" s="9"/>
      <c r="BI13" s="9"/>
      <c r="BJ13" s="9"/>
      <c r="BK13" s="40"/>
      <c r="BL13" s="9"/>
      <c r="BM13" s="40"/>
      <c r="BN13" s="9"/>
      <c r="BO13" s="40"/>
      <c r="BP13" s="9"/>
      <c r="BQ13" s="9"/>
      <c r="BR13" s="9"/>
      <c r="BS13" s="40"/>
      <c r="BT13" s="40"/>
      <c r="BU13" s="36" t="str">
        <f aca="false">IF(BT13="","",EDATE(BT13,SG_Criteria!$B$54*12))</f>
        <v/>
      </c>
      <c r="BV13" s="33" t="str">
        <f aca="true">IF(A13="","",IF(BT13="","NOTE: not reviewed yet",IF(TODAY()&gt;BU13,"NOTE: review overdue","OK")))</f>
        <v/>
      </c>
      <c r="BW13" s="37" t="str">
        <f aca="false">IF(A13="","",ROUND((IF(LEN(D13)&gt;0,1,0)+IF(LEN(E13)&gt;0,1,0)+IF(LEN(F13)&gt;0,1,0)+IF(LEN(G13)&gt;0,1,0)+IF(LEN(H13)&gt;0,1,0)+IF(LEN(I13)&gt;0,1,0)+IF(LEN(J13)&gt;0,1,0)+IF(LEN(L13)&gt;0,1,0)+IF(LEN(R13)&gt;0,1,0)+IF(LEN(Y13)&gt;0,1,0)+IF(LEN(AE13)&gt;0,1,0)+IF(LEN(AG13)&gt;0,1,0)+IF(LEN(AH13)&gt;0,1,0)+IF(LEN(AI13)&gt;0,1,0)+IF(LEN(AJ13)&gt;0,1,0)+IF(LEN(AS13)&gt;0,1,0)+IF(LEN(BE13)&gt;0,1,0)+IF(LEN(BR13)&gt;0,1,0))/18,2))</f>
        <v/>
      </c>
      <c r="BX13" s="10" t="str">
        <f aca="false">IF(D13="","",IF(AND(AH13="Approved",ISERROR(SEARCH("FAIL",BB13))),"Y","N"))</f>
        <v/>
      </c>
      <c r="BY13" s="10" t="str">
        <f aca="false">IF(D13="","",D13&amp;"|"&amp;H13&amp;"|"&amp;F13&amp;"|"&amp;I13&amp;"|"&amp;BX13)</f>
        <v/>
      </c>
    </row>
    <row r="14" customFormat="false" ht="15" hidden="false" customHeight="false" outlineLevel="0" collapsed="false">
      <c r="A14" s="10" t="str">
        <f aca="false">IF(D14="","","ERSS-"&amp;IFERROR(VLOOKUP(D14,Lists!$AK$4:$AL$21,2,0),"??")&amp;"-"&amp;TEXT(F14,"0000")&amp;"x"&amp;TEXT(G14,"0000")&amp;"-D"&amp;TEXT(H14*1000,"0000")&amp;"-"&amp;IFERROR(VLOOKUP(I14,Lists!$Y$4:$Z$21,2,0),"??")&amp;"-"&amp;AG14)</f>
        <v/>
      </c>
      <c r="B14" s="10" t="str">
        <f aca="false">IF(D14="","",D14&amp;" for "&amp;E14&amp;", "&amp;F14&amp;" x "&amp;G14&amp;" pit, "&amp;TEXT(H14,"0.0")&amp;" m deep, "&amp;I14)</f>
        <v/>
      </c>
      <c r="C14" s="9"/>
      <c r="D14" s="9"/>
      <c r="E14" s="9"/>
      <c r="F14" s="38"/>
      <c r="G14" s="38"/>
      <c r="H14" s="42"/>
      <c r="I14" s="9"/>
      <c r="J14" s="42"/>
      <c r="K14" s="38"/>
      <c r="L14" s="9"/>
      <c r="M14" s="42"/>
      <c r="N14" s="42"/>
      <c r="O14" s="38"/>
      <c r="P14" s="9"/>
      <c r="Q14" s="9"/>
      <c r="R14" s="39"/>
      <c r="S14" s="39"/>
      <c r="T14" s="38"/>
      <c r="U14" s="38"/>
      <c r="V14" s="38"/>
      <c r="W14" s="9"/>
      <c r="X14" s="9"/>
      <c r="Y14" s="38"/>
      <c r="Z14" s="9"/>
      <c r="AA14" s="9"/>
      <c r="AB14" s="38"/>
      <c r="AC14" s="9"/>
      <c r="AD14" s="39"/>
      <c r="AE14" s="9"/>
      <c r="AF14" s="9"/>
      <c r="AG14" s="9"/>
      <c r="AH14" s="9"/>
      <c r="AI14" s="9"/>
      <c r="AJ14" s="9"/>
      <c r="AK14" s="9"/>
      <c r="AL14" s="10" t="str">
        <f aca="false">IF(A14="","",SG_Criteria!$B$6&amp;SG_Criteria!$B$11&amp;"\"&amp;A14&amp;"\")</f>
        <v/>
      </c>
      <c r="AM14" s="10" t="str">
        <f aca="false">IF(A14="","",A14&amp;"_CAD.dwg")</f>
        <v/>
      </c>
      <c r="AN14" s="10" t="str">
        <f aca="false">IF(A14="","",A14&amp;"_DWG.pdf")</f>
        <v/>
      </c>
      <c r="AO14" s="10" t="str">
        <f aca="false">IF(A14="","",IF(AK14="Y",A14&amp;"_STAAD.std","n/a"))</f>
        <v/>
      </c>
      <c r="AP14" s="10" t="str">
        <f aca="false">IF(A14="","",A14&amp;"_CALC.xlsx")</f>
        <v/>
      </c>
      <c r="AQ14" s="10" t="str">
        <f aca="false">IF(A14="","",A14&amp;"_CALC.pdf")</f>
        <v/>
      </c>
      <c r="AR14" s="9"/>
      <c r="AS14" s="9"/>
      <c r="AT14" s="39"/>
      <c r="AU14" s="39"/>
      <c r="AV14" s="39"/>
      <c r="AW14" s="39"/>
      <c r="AX14" s="39"/>
      <c r="AY14" s="12" t="str">
        <f aca="false">IF(A14="","",IF(COUNTIF(Rebar_Schedule!$A$5:$A$2004,A14)=0,"",ROUND(SUMIF(Rebar_Schedule!$A$5:$A$2004,A14,Rebar_Schedule!$K$5:$K$2004),1)))</f>
        <v/>
      </c>
      <c r="AZ14" s="33" t="str">
        <f aca="false">IF(A14="","",IF(AY14="","No rebar schedule yet",IF(ABS(AY14-N(AU14))/MAX(N(AU14),1)&gt;SG_Criteria!$B$55,"NOTE: register rebar differs from schedule by "&amp;TEXT(ABS(AY14-N(AU14))/MAX(N(AU14),1),"0%"),"OK")))</f>
        <v/>
      </c>
      <c r="BA14" s="33" t="str">
        <f aca="false">IF(OR(D14="",H14=""),"",IF(H14&lt;=IF(OR(D14="Soldier Pile &amp; Timber Lagging",D14="Trench Shoring Box",D14="Open Cut (battered)"),SG_Criteria!$B$34,SG_Criteria!$B$33),"No ERSS submission",IF(H14&lt;=SG_Criteria!$B$35,"QP(ST)",IF(H14&lt;=SG_Criteria!$B$36,"QP(ST) + AC","Geotechnical building works: QP(Geo) + AC"))))</f>
        <v/>
      </c>
      <c r="BB14" s="33" t="str">
        <f aca="false">IF(D14="","",IF(LEN(IF(AND(R14&lt;&gt;"",R14&lt;SG_Criteria!$B$37),"FAIL: base stability FOS &lt; "&amp;SG_Criteria!$B$37&amp;". ","")&amp;IF(AND(E14="Manhole",H14&gt;SG_Criteria!$B$36),"NOTE: BCA lists sewer manholes (pipe &lt;= 2 m dia) &gt; 6 m as non-GBW: QP(ST) + AC. ","")&amp;IF(AND(D14="Trench Shoring Box",I14="Kallang Formation (marine clay)"),"NOTE: check base heave / ground loss for shoring box in marine clay. ","")&amp;IF(AND(D14="Steel Sheet Pile Cofferdam",N(N14)&lt;H14*0.5),"NOTE: short toe embedment, check. ",""))=0,"OK",IF(AND(R14&lt;&gt;"",R14&lt;SG_Criteria!$B$37),"FAIL: base stability FOS &lt; "&amp;SG_Criteria!$B$37&amp;". ","")&amp;IF(AND(E14="Manhole",H14&gt;SG_Criteria!$B$36),"NOTE: BCA lists sewer manholes (pipe &lt;= 2 m dia) &gt; 6 m as non-GBW: QP(ST) + AC. ","")&amp;IF(AND(D14="Trench Shoring Box",I14="Kallang Formation (marine clay)"),"NOTE: check base heave / ground loss for shoring box in marine clay. ","")&amp;IF(AND(D14="Steel Sheet Pile Cofferdam",N(N14)&lt;H14*0.5),"NOTE: short toe embedment, check. ","")))</f>
        <v/>
      </c>
      <c r="BC14" s="9"/>
      <c r="BD14" s="9"/>
      <c r="BE14" s="9"/>
      <c r="BF14" s="10" t="str">
        <f aca="false">IF(BE14="","",IFERROR(VLOOKUP(BE14,Projects!$A$5:$D$504,2,0),"Ref not in Projects"))</f>
        <v/>
      </c>
      <c r="BG14" s="10" t="str">
        <f aca="false">IF(BE14="","",IFERROR(VLOOKUP(BE14,Projects!$A$5:$D$504,4,0),"Ref not in Projects"))</f>
        <v/>
      </c>
      <c r="BH14" s="9"/>
      <c r="BI14" s="9"/>
      <c r="BJ14" s="9"/>
      <c r="BK14" s="40"/>
      <c r="BL14" s="9"/>
      <c r="BM14" s="40"/>
      <c r="BN14" s="9"/>
      <c r="BO14" s="40"/>
      <c r="BP14" s="9"/>
      <c r="BQ14" s="9"/>
      <c r="BR14" s="9"/>
      <c r="BS14" s="40"/>
      <c r="BT14" s="40"/>
      <c r="BU14" s="36" t="str">
        <f aca="false">IF(BT14="","",EDATE(BT14,SG_Criteria!$B$54*12))</f>
        <v/>
      </c>
      <c r="BV14" s="33" t="str">
        <f aca="true">IF(A14="","",IF(BT14="","NOTE: not reviewed yet",IF(TODAY()&gt;BU14,"NOTE: review overdue","OK")))</f>
        <v/>
      </c>
      <c r="BW14" s="37" t="str">
        <f aca="false">IF(A14="","",ROUND((IF(LEN(D14)&gt;0,1,0)+IF(LEN(E14)&gt;0,1,0)+IF(LEN(F14)&gt;0,1,0)+IF(LEN(G14)&gt;0,1,0)+IF(LEN(H14)&gt;0,1,0)+IF(LEN(I14)&gt;0,1,0)+IF(LEN(J14)&gt;0,1,0)+IF(LEN(L14)&gt;0,1,0)+IF(LEN(R14)&gt;0,1,0)+IF(LEN(Y14)&gt;0,1,0)+IF(LEN(AE14)&gt;0,1,0)+IF(LEN(AG14)&gt;0,1,0)+IF(LEN(AH14)&gt;0,1,0)+IF(LEN(AI14)&gt;0,1,0)+IF(LEN(AJ14)&gt;0,1,0)+IF(LEN(AS14)&gt;0,1,0)+IF(LEN(BE14)&gt;0,1,0)+IF(LEN(BR14)&gt;0,1,0))/18,2))</f>
        <v/>
      </c>
      <c r="BX14" s="10" t="str">
        <f aca="false">IF(D14="","",IF(AND(AH14="Approved",ISERROR(SEARCH("FAIL",BB14))),"Y","N"))</f>
        <v/>
      </c>
      <c r="BY14" s="10" t="str">
        <f aca="false">IF(D14="","",D14&amp;"|"&amp;H14&amp;"|"&amp;F14&amp;"|"&amp;I14&amp;"|"&amp;BX14)</f>
        <v/>
      </c>
    </row>
    <row r="15" customFormat="false" ht="15" hidden="false" customHeight="false" outlineLevel="0" collapsed="false">
      <c r="A15" s="10" t="str">
        <f aca="false">IF(D15="","","ERSS-"&amp;IFERROR(VLOOKUP(D15,Lists!$AK$4:$AL$21,2,0),"??")&amp;"-"&amp;TEXT(F15,"0000")&amp;"x"&amp;TEXT(G15,"0000")&amp;"-D"&amp;TEXT(H15*1000,"0000")&amp;"-"&amp;IFERROR(VLOOKUP(I15,Lists!$Y$4:$Z$21,2,0),"??")&amp;"-"&amp;AG15)</f>
        <v/>
      </c>
      <c r="B15" s="10" t="str">
        <f aca="false">IF(D15="","",D15&amp;" for "&amp;E15&amp;", "&amp;F15&amp;" x "&amp;G15&amp;" pit, "&amp;TEXT(H15,"0.0")&amp;" m deep, "&amp;I15)</f>
        <v/>
      </c>
      <c r="C15" s="9"/>
      <c r="D15" s="9"/>
      <c r="E15" s="9"/>
      <c r="F15" s="38"/>
      <c r="G15" s="38"/>
      <c r="H15" s="42"/>
      <c r="I15" s="9"/>
      <c r="J15" s="42"/>
      <c r="K15" s="38"/>
      <c r="L15" s="9"/>
      <c r="M15" s="42"/>
      <c r="N15" s="42"/>
      <c r="O15" s="38"/>
      <c r="P15" s="9"/>
      <c r="Q15" s="9"/>
      <c r="R15" s="39"/>
      <c r="S15" s="39"/>
      <c r="T15" s="38"/>
      <c r="U15" s="38"/>
      <c r="V15" s="38"/>
      <c r="W15" s="9"/>
      <c r="X15" s="9"/>
      <c r="Y15" s="38"/>
      <c r="Z15" s="9"/>
      <c r="AA15" s="9"/>
      <c r="AB15" s="38"/>
      <c r="AC15" s="9"/>
      <c r="AD15" s="39"/>
      <c r="AE15" s="9"/>
      <c r="AF15" s="9"/>
      <c r="AG15" s="9"/>
      <c r="AH15" s="9"/>
      <c r="AI15" s="9"/>
      <c r="AJ15" s="9"/>
      <c r="AK15" s="9"/>
      <c r="AL15" s="10" t="str">
        <f aca="false">IF(A15="","",SG_Criteria!$B$6&amp;SG_Criteria!$B$11&amp;"\"&amp;A15&amp;"\")</f>
        <v/>
      </c>
      <c r="AM15" s="10" t="str">
        <f aca="false">IF(A15="","",A15&amp;"_CAD.dwg")</f>
        <v/>
      </c>
      <c r="AN15" s="10" t="str">
        <f aca="false">IF(A15="","",A15&amp;"_DWG.pdf")</f>
        <v/>
      </c>
      <c r="AO15" s="10" t="str">
        <f aca="false">IF(A15="","",IF(AK15="Y",A15&amp;"_STAAD.std","n/a"))</f>
        <v/>
      </c>
      <c r="AP15" s="10" t="str">
        <f aca="false">IF(A15="","",A15&amp;"_CALC.xlsx")</f>
        <v/>
      </c>
      <c r="AQ15" s="10" t="str">
        <f aca="false">IF(A15="","",A15&amp;"_CALC.pdf")</f>
        <v/>
      </c>
      <c r="AR15" s="9"/>
      <c r="AS15" s="9"/>
      <c r="AT15" s="39"/>
      <c r="AU15" s="39"/>
      <c r="AV15" s="39"/>
      <c r="AW15" s="39"/>
      <c r="AX15" s="39"/>
      <c r="AY15" s="12" t="str">
        <f aca="false">IF(A15="","",IF(COUNTIF(Rebar_Schedule!$A$5:$A$2004,A15)=0,"",ROUND(SUMIF(Rebar_Schedule!$A$5:$A$2004,A15,Rebar_Schedule!$K$5:$K$2004),1)))</f>
        <v/>
      </c>
      <c r="AZ15" s="33" t="str">
        <f aca="false">IF(A15="","",IF(AY15="","No rebar schedule yet",IF(ABS(AY15-N(AU15))/MAX(N(AU15),1)&gt;SG_Criteria!$B$55,"NOTE: register rebar differs from schedule by "&amp;TEXT(ABS(AY15-N(AU15))/MAX(N(AU15),1),"0%"),"OK")))</f>
        <v/>
      </c>
      <c r="BA15" s="33" t="str">
        <f aca="false">IF(OR(D15="",H15=""),"",IF(H15&lt;=IF(OR(D15="Soldier Pile &amp; Timber Lagging",D15="Trench Shoring Box",D15="Open Cut (battered)"),SG_Criteria!$B$34,SG_Criteria!$B$33),"No ERSS submission",IF(H15&lt;=SG_Criteria!$B$35,"QP(ST)",IF(H15&lt;=SG_Criteria!$B$36,"QP(ST) + AC","Geotechnical building works: QP(Geo) + AC"))))</f>
        <v/>
      </c>
      <c r="BB15" s="33" t="str">
        <f aca="false">IF(D15="","",IF(LEN(IF(AND(R15&lt;&gt;"",R15&lt;SG_Criteria!$B$37),"FAIL: base stability FOS &lt; "&amp;SG_Criteria!$B$37&amp;". ","")&amp;IF(AND(E15="Manhole",H15&gt;SG_Criteria!$B$36),"NOTE: BCA lists sewer manholes (pipe &lt;= 2 m dia) &gt; 6 m as non-GBW: QP(ST) + AC. ","")&amp;IF(AND(D15="Trench Shoring Box",I15="Kallang Formation (marine clay)"),"NOTE: check base heave / ground loss for shoring box in marine clay. ","")&amp;IF(AND(D15="Steel Sheet Pile Cofferdam",N(N15)&lt;H15*0.5),"NOTE: short toe embedment, check. ",""))=0,"OK",IF(AND(R15&lt;&gt;"",R15&lt;SG_Criteria!$B$37),"FAIL: base stability FOS &lt; "&amp;SG_Criteria!$B$37&amp;". ","")&amp;IF(AND(E15="Manhole",H15&gt;SG_Criteria!$B$36),"NOTE: BCA lists sewer manholes (pipe &lt;= 2 m dia) &gt; 6 m as non-GBW: QP(ST) + AC. ","")&amp;IF(AND(D15="Trench Shoring Box",I15="Kallang Formation (marine clay)"),"NOTE: check base heave / ground loss for shoring box in marine clay. ","")&amp;IF(AND(D15="Steel Sheet Pile Cofferdam",N(N15)&lt;H15*0.5),"NOTE: short toe embedment, check. ","")))</f>
        <v/>
      </c>
      <c r="BC15" s="9"/>
      <c r="BD15" s="9"/>
      <c r="BE15" s="9"/>
      <c r="BF15" s="10" t="str">
        <f aca="false">IF(BE15="","",IFERROR(VLOOKUP(BE15,Projects!$A$5:$D$504,2,0),"Ref not in Projects"))</f>
        <v/>
      </c>
      <c r="BG15" s="10" t="str">
        <f aca="false">IF(BE15="","",IFERROR(VLOOKUP(BE15,Projects!$A$5:$D$504,4,0),"Ref not in Projects"))</f>
        <v/>
      </c>
      <c r="BH15" s="9"/>
      <c r="BI15" s="9"/>
      <c r="BJ15" s="9"/>
      <c r="BK15" s="40"/>
      <c r="BL15" s="9"/>
      <c r="BM15" s="40"/>
      <c r="BN15" s="9"/>
      <c r="BO15" s="40"/>
      <c r="BP15" s="9"/>
      <c r="BQ15" s="9"/>
      <c r="BR15" s="9"/>
      <c r="BS15" s="40"/>
      <c r="BT15" s="40"/>
      <c r="BU15" s="36" t="str">
        <f aca="false">IF(BT15="","",EDATE(BT15,SG_Criteria!$B$54*12))</f>
        <v/>
      </c>
      <c r="BV15" s="33" t="str">
        <f aca="true">IF(A15="","",IF(BT15="","NOTE: not reviewed yet",IF(TODAY()&gt;BU15,"NOTE: review overdue","OK")))</f>
        <v/>
      </c>
      <c r="BW15" s="37" t="str">
        <f aca="false">IF(A15="","",ROUND((IF(LEN(D15)&gt;0,1,0)+IF(LEN(E15)&gt;0,1,0)+IF(LEN(F15)&gt;0,1,0)+IF(LEN(G15)&gt;0,1,0)+IF(LEN(H15)&gt;0,1,0)+IF(LEN(I15)&gt;0,1,0)+IF(LEN(J15)&gt;0,1,0)+IF(LEN(L15)&gt;0,1,0)+IF(LEN(R15)&gt;0,1,0)+IF(LEN(Y15)&gt;0,1,0)+IF(LEN(AE15)&gt;0,1,0)+IF(LEN(AG15)&gt;0,1,0)+IF(LEN(AH15)&gt;0,1,0)+IF(LEN(AI15)&gt;0,1,0)+IF(LEN(AJ15)&gt;0,1,0)+IF(LEN(AS15)&gt;0,1,0)+IF(LEN(BE15)&gt;0,1,0)+IF(LEN(BR15)&gt;0,1,0))/18,2))</f>
        <v/>
      </c>
      <c r="BX15" s="10" t="str">
        <f aca="false">IF(D15="","",IF(AND(AH15="Approved",ISERROR(SEARCH("FAIL",BB15))),"Y","N"))</f>
        <v/>
      </c>
      <c r="BY15" s="10" t="str">
        <f aca="false">IF(D15="","",D15&amp;"|"&amp;H15&amp;"|"&amp;F15&amp;"|"&amp;I15&amp;"|"&amp;BX15)</f>
        <v/>
      </c>
    </row>
    <row r="16" customFormat="false" ht="15" hidden="false" customHeight="false" outlineLevel="0" collapsed="false">
      <c r="A16" s="10" t="str">
        <f aca="false">IF(D16="","","ERSS-"&amp;IFERROR(VLOOKUP(D16,Lists!$AK$4:$AL$21,2,0),"??")&amp;"-"&amp;TEXT(F16,"0000")&amp;"x"&amp;TEXT(G16,"0000")&amp;"-D"&amp;TEXT(H16*1000,"0000")&amp;"-"&amp;IFERROR(VLOOKUP(I16,Lists!$Y$4:$Z$21,2,0),"??")&amp;"-"&amp;AG16)</f>
        <v/>
      </c>
      <c r="B16" s="10" t="str">
        <f aca="false">IF(D16="","",D16&amp;" for "&amp;E16&amp;", "&amp;F16&amp;" x "&amp;G16&amp;" pit, "&amp;TEXT(H16,"0.0")&amp;" m deep, "&amp;I16)</f>
        <v/>
      </c>
      <c r="C16" s="9"/>
      <c r="D16" s="9"/>
      <c r="E16" s="9"/>
      <c r="F16" s="38"/>
      <c r="G16" s="38"/>
      <c r="H16" s="42"/>
      <c r="I16" s="9"/>
      <c r="J16" s="42"/>
      <c r="K16" s="38"/>
      <c r="L16" s="9"/>
      <c r="M16" s="42"/>
      <c r="N16" s="42"/>
      <c r="O16" s="38"/>
      <c r="P16" s="9"/>
      <c r="Q16" s="9"/>
      <c r="R16" s="39"/>
      <c r="S16" s="39"/>
      <c r="T16" s="38"/>
      <c r="U16" s="38"/>
      <c r="V16" s="38"/>
      <c r="W16" s="9"/>
      <c r="X16" s="9"/>
      <c r="Y16" s="38"/>
      <c r="Z16" s="9"/>
      <c r="AA16" s="9"/>
      <c r="AB16" s="38"/>
      <c r="AC16" s="9"/>
      <c r="AD16" s="39"/>
      <c r="AE16" s="9"/>
      <c r="AF16" s="9"/>
      <c r="AG16" s="9"/>
      <c r="AH16" s="9"/>
      <c r="AI16" s="9"/>
      <c r="AJ16" s="9"/>
      <c r="AK16" s="9"/>
      <c r="AL16" s="10" t="str">
        <f aca="false">IF(A16="","",SG_Criteria!$B$6&amp;SG_Criteria!$B$11&amp;"\"&amp;A16&amp;"\")</f>
        <v/>
      </c>
      <c r="AM16" s="10" t="str">
        <f aca="false">IF(A16="","",A16&amp;"_CAD.dwg")</f>
        <v/>
      </c>
      <c r="AN16" s="10" t="str">
        <f aca="false">IF(A16="","",A16&amp;"_DWG.pdf")</f>
        <v/>
      </c>
      <c r="AO16" s="10" t="str">
        <f aca="false">IF(A16="","",IF(AK16="Y",A16&amp;"_STAAD.std","n/a"))</f>
        <v/>
      </c>
      <c r="AP16" s="10" t="str">
        <f aca="false">IF(A16="","",A16&amp;"_CALC.xlsx")</f>
        <v/>
      </c>
      <c r="AQ16" s="10" t="str">
        <f aca="false">IF(A16="","",A16&amp;"_CALC.pdf")</f>
        <v/>
      </c>
      <c r="AR16" s="9"/>
      <c r="AS16" s="9"/>
      <c r="AT16" s="39"/>
      <c r="AU16" s="39"/>
      <c r="AV16" s="39"/>
      <c r="AW16" s="39"/>
      <c r="AX16" s="39"/>
      <c r="AY16" s="12" t="str">
        <f aca="false">IF(A16="","",IF(COUNTIF(Rebar_Schedule!$A$5:$A$2004,A16)=0,"",ROUND(SUMIF(Rebar_Schedule!$A$5:$A$2004,A16,Rebar_Schedule!$K$5:$K$2004),1)))</f>
        <v/>
      </c>
      <c r="AZ16" s="33" t="str">
        <f aca="false">IF(A16="","",IF(AY16="","No rebar schedule yet",IF(ABS(AY16-N(AU16))/MAX(N(AU16),1)&gt;SG_Criteria!$B$55,"NOTE: register rebar differs from schedule by "&amp;TEXT(ABS(AY16-N(AU16))/MAX(N(AU16),1),"0%"),"OK")))</f>
        <v/>
      </c>
      <c r="BA16" s="33" t="str">
        <f aca="false">IF(OR(D16="",H16=""),"",IF(H16&lt;=IF(OR(D16="Soldier Pile &amp; Timber Lagging",D16="Trench Shoring Box",D16="Open Cut (battered)"),SG_Criteria!$B$34,SG_Criteria!$B$33),"No ERSS submission",IF(H16&lt;=SG_Criteria!$B$35,"QP(ST)",IF(H16&lt;=SG_Criteria!$B$36,"QP(ST) + AC","Geotechnical building works: QP(Geo) + AC"))))</f>
        <v/>
      </c>
      <c r="BB16" s="33" t="str">
        <f aca="false">IF(D16="","",IF(LEN(IF(AND(R16&lt;&gt;"",R16&lt;SG_Criteria!$B$37),"FAIL: base stability FOS &lt; "&amp;SG_Criteria!$B$37&amp;". ","")&amp;IF(AND(E16="Manhole",H16&gt;SG_Criteria!$B$36),"NOTE: BCA lists sewer manholes (pipe &lt;= 2 m dia) &gt; 6 m as non-GBW: QP(ST) + AC. ","")&amp;IF(AND(D16="Trench Shoring Box",I16="Kallang Formation (marine clay)"),"NOTE: check base heave / ground loss for shoring box in marine clay. ","")&amp;IF(AND(D16="Steel Sheet Pile Cofferdam",N(N16)&lt;H16*0.5),"NOTE: short toe embedment, check. ",""))=0,"OK",IF(AND(R16&lt;&gt;"",R16&lt;SG_Criteria!$B$37),"FAIL: base stability FOS &lt; "&amp;SG_Criteria!$B$37&amp;". ","")&amp;IF(AND(E16="Manhole",H16&gt;SG_Criteria!$B$36),"NOTE: BCA lists sewer manholes (pipe &lt;= 2 m dia) &gt; 6 m as non-GBW: QP(ST) + AC. ","")&amp;IF(AND(D16="Trench Shoring Box",I16="Kallang Formation (marine clay)"),"NOTE: check base heave / ground loss for shoring box in marine clay. ","")&amp;IF(AND(D16="Steel Sheet Pile Cofferdam",N(N16)&lt;H16*0.5),"NOTE: short toe embedment, check. ","")))</f>
        <v/>
      </c>
      <c r="BC16" s="9"/>
      <c r="BD16" s="9"/>
      <c r="BE16" s="9"/>
      <c r="BF16" s="10" t="str">
        <f aca="false">IF(BE16="","",IFERROR(VLOOKUP(BE16,Projects!$A$5:$D$504,2,0),"Ref not in Projects"))</f>
        <v/>
      </c>
      <c r="BG16" s="10" t="str">
        <f aca="false">IF(BE16="","",IFERROR(VLOOKUP(BE16,Projects!$A$5:$D$504,4,0),"Ref not in Projects"))</f>
        <v/>
      </c>
      <c r="BH16" s="9"/>
      <c r="BI16" s="9"/>
      <c r="BJ16" s="9"/>
      <c r="BK16" s="40"/>
      <c r="BL16" s="9"/>
      <c r="BM16" s="40"/>
      <c r="BN16" s="9"/>
      <c r="BO16" s="40"/>
      <c r="BP16" s="9"/>
      <c r="BQ16" s="9"/>
      <c r="BR16" s="9"/>
      <c r="BS16" s="40"/>
      <c r="BT16" s="40"/>
      <c r="BU16" s="36" t="str">
        <f aca="false">IF(BT16="","",EDATE(BT16,SG_Criteria!$B$54*12))</f>
        <v/>
      </c>
      <c r="BV16" s="33" t="str">
        <f aca="true">IF(A16="","",IF(BT16="","NOTE: not reviewed yet",IF(TODAY()&gt;BU16,"NOTE: review overdue","OK")))</f>
        <v/>
      </c>
      <c r="BW16" s="37" t="str">
        <f aca="false">IF(A16="","",ROUND((IF(LEN(D16)&gt;0,1,0)+IF(LEN(E16)&gt;0,1,0)+IF(LEN(F16)&gt;0,1,0)+IF(LEN(G16)&gt;0,1,0)+IF(LEN(H16)&gt;0,1,0)+IF(LEN(I16)&gt;0,1,0)+IF(LEN(J16)&gt;0,1,0)+IF(LEN(L16)&gt;0,1,0)+IF(LEN(R16)&gt;0,1,0)+IF(LEN(Y16)&gt;0,1,0)+IF(LEN(AE16)&gt;0,1,0)+IF(LEN(AG16)&gt;0,1,0)+IF(LEN(AH16)&gt;0,1,0)+IF(LEN(AI16)&gt;0,1,0)+IF(LEN(AJ16)&gt;0,1,0)+IF(LEN(AS16)&gt;0,1,0)+IF(LEN(BE16)&gt;0,1,0)+IF(LEN(BR16)&gt;0,1,0))/18,2))</f>
        <v/>
      </c>
      <c r="BX16" s="10" t="str">
        <f aca="false">IF(D16="","",IF(AND(AH16="Approved",ISERROR(SEARCH("FAIL",BB16))),"Y","N"))</f>
        <v/>
      </c>
      <c r="BY16" s="10" t="str">
        <f aca="false">IF(D16="","",D16&amp;"|"&amp;H16&amp;"|"&amp;F16&amp;"|"&amp;I16&amp;"|"&amp;BX16)</f>
        <v/>
      </c>
    </row>
    <row r="17" customFormat="false" ht="15" hidden="false" customHeight="false" outlineLevel="0" collapsed="false">
      <c r="A17" s="10" t="str">
        <f aca="false">IF(D17="","","ERSS-"&amp;IFERROR(VLOOKUP(D17,Lists!$AK$4:$AL$21,2,0),"??")&amp;"-"&amp;TEXT(F17,"0000")&amp;"x"&amp;TEXT(G17,"0000")&amp;"-D"&amp;TEXT(H17*1000,"0000")&amp;"-"&amp;IFERROR(VLOOKUP(I17,Lists!$Y$4:$Z$21,2,0),"??")&amp;"-"&amp;AG17)</f>
        <v/>
      </c>
      <c r="B17" s="10" t="str">
        <f aca="false">IF(D17="","",D17&amp;" for "&amp;E17&amp;", "&amp;F17&amp;" x "&amp;G17&amp;" pit, "&amp;TEXT(H17,"0.0")&amp;" m deep, "&amp;I17)</f>
        <v/>
      </c>
      <c r="C17" s="9"/>
      <c r="D17" s="9"/>
      <c r="E17" s="9"/>
      <c r="F17" s="38"/>
      <c r="G17" s="38"/>
      <c r="H17" s="42"/>
      <c r="I17" s="9"/>
      <c r="J17" s="42"/>
      <c r="K17" s="38"/>
      <c r="L17" s="9"/>
      <c r="M17" s="42"/>
      <c r="N17" s="42"/>
      <c r="O17" s="38"/>
      <c r="P17" s="9"/>
      <c r="Q17" s="9"/>
      <c r="R17" s="39"/>
      <c r="S17" s="39"/>
      <c r="T17" s="38"/>
      <c r="U17" s="38"/>
      <c r="V17" s="38"/>
      <c r="W17" s="9"/>
      <c r="X17" s="9"/>
      <c r="Y17" s="38"/>
      <c r="Z17" s="9"/>
      <c r="AA17" s="9"/>
      <c r="AB17" s="38"/>
      <c r="AC17" s="9"/>
      <c r="AD17" s="39"/>
      <c r="AE17" s="9"/>
      <c r="AF17" s="9"/>
      <c r="AG17" s="9"/>
      <c r="AH17" s="9"/>
      <c r="AI17" s="9"/>
      <c r="AJ17" s="9"/>
      <c r="AK17" s="9"/>
      <c r="AL17" s="10" t="str">
        <f aca="false">IF(A17="","",SG_Criteria!$B$6&amp;SG_Criteria!$B$11&amp;"\"&amp;A17&amp;"\")</f>
        <v/>
      </c>
      <c r="AM17" s="10" t="str">
        <f aca="false">IF(A17="","",A17&amp;"_CAD.dwg")</f>
        <v/>
      </c>
      <c r="AN17" s="10" t="str">
        <f aca="false">IF(A17="","",A17&amp;"_DWG.pdf")</f>
        <v/>
      </c>
      <c r="AO17" s="10" t="str">
        <f aca="false">IF(A17="","",IF(AK17="Y",A17&amp;"_STAAD.std","n/a"))</f>
        <v/>
      </c>
      <c r="AP17" s="10" t="str">
        <f aca="false">IF(A17="","",A17&amp;"_CALC.xlsx")</f>
        <v/>
      </c>
      <c r="AQ17" s="10" t="str">
        <f aca="false">IF(A17="","",A17&amp;"_CALC.pdf")</f>
        <v/>
      </c>
      <c r="AR17" s="9"/>
      <c r="AS17" s="9"/>
      <c r="AT17" s="39"/>
      <c r="AU17" s="39"/>
      <c r="AV17" s="39"/>
      <c r="AW17" s="39"/>
      <c r="AX17" s="39"/>
      <c r="AY17" s="12" t="str">
        <f aca="false">IF(A17="","",IF(COUNTIF(Rebar_Schedule!$A$5:$A$2004,A17)=0,"",ROUND(SUMIF(Rebar_Schedule!$A$5:$A$2004,A17,Rebar_Schedule!$K$5:$K$2004),1)))</f>
        <v/>
      </c>
      <c r="AZ17" s="33" t="str">
        <f aca="false">IF(A17="","",IF(AY17="","No rebar schedule yet",IF(ABS(AY17-N(AU17))/MAX(N(AU17),1)&gt;SG_Criteria!$B$55,"NOTE: register rebar differs from schedule by "&amp;TEXT(ABS(AY17-N(AU17))/MAX(N(AU17),1),"0%"),"OK")))</f>
        <v/>
      </c>
      <c r="BA17" s="33" t="str">
        <f aca="false">IF(OR(D17="",H17=""),"",IF(H17&lt;=IF(OR(D17="Soldier Pile &amp; Timber Lagging",D17="Trench Shoring Box",D17="Open Cut (battered)"),SG_Criteria!$B$34,SG_Criteria!$B$33),"No ERSS submission",IF(H17&lt;=SG_Criteria!$B$35,"QP(ST)",IF(H17&lt;=SG_Criteria!$B$36,"QP(ST) + AC","Geotechnical building works: QP(Geo) + AC"))))</f>
        <v/>
      </c>
      <c r="BB17" s="33" t="str">
        <f aca="false">IF(D17="","",IF(LEN(IF(AND(R17&lt;&gt;"",R17&lt;SG_Criteria!$B$37),"FAIL: base stability FOS &lt; "&amp;SG_Criteria!$B$37&amp;". ","")&amp;IF(AND(E17="Manhole",H17&gt;SG_Criteria!$B$36),"NOTE: BCA lists sewer manholes (pipe &lt;= 2 m dia) &gt; 6 m as non-GBW: QP(ST) + AC. ","")&amp;IF(AND(D17="Trench Shoring Box",I17="Kallang Formation (marine clay)"),"NOTE: check base heave / ground loss for shoring box in marine clay. ","")&amp;IF(AND(D17="Steel Sheet Pile Cofferdam",N(N17)&lt;H17*0.5),"NOTE: short toe embedment, check. ",""))=0,"OK",IF(AND(R17&lt;&gt;"",R17&lt;SG_Criteria!$B$37),"FAIL: base stability FOS &lt; "&amp;SG_Criteria!$B$37&amp;". ","")&amp;IF(AND(E17="Manhole",H17&gt;SG_Criteria!$B$36),"NOTE: BCA lists sewer manholes (pipe &lt;= 2 m dia) &gt; 6 m as non-GBW: QP(ST) + AC. ","")&amp;IF(AND(D17="Trench Shoring Box",I17="Kallang Formation (marine clay)"),"NOTE: check base heave / ground loss for shoring box in marine clay. ","")&amp;IF(AND(D17="Steel Sheet Pile Cofferdam",N(N17)&lt;H17*0.5),"NOTE: short toe embedment, check. ","")))</f>
        <v/>
      </c>
      <c r="BC17" s="9"/>
      <c r="BD17" s="9"/>
      <c r="BE17" s="9"/>
      <c r="BF17" s="10" t="str">
        <f aca="false">IF(BE17="","",IFERROR(VLOOKUP(BE17,Projects!$A$5:$D$504,2,0),"Ref not in Projects"))</f>
        <v/>
      </c>
      <c r="BG17" s="10" t="str">
        <f aca="false">IF(BE17="","",IFERROR(VLOOKUP(BE17,Projects!$A$5:$D$504,4,0),"Ref not in Projects"))</f>
        <v/>
      </c>
      <c r="BH17" s="9"/>
      <c r="BI17" s="9"/>
      <c r="BJ17" s="9"/>
      <c r="BK17" s="40"/>
      <c r="BL17" s="9"/>
      <c r="BM17" s="40"/>
      <c r="BN17" s="9"/>
      <c r="BO17" s="40"/>
      <c r="BP17" s="9"/>
      <c r="BQ17" s="9"/>
      <c r="BR17" s="9"/>
      <c r="BS17" s="40"/>
      <c r="BT17" s="40"/>
      <c r="BU17" s="36" t="str">
        <f aca="false">IF(BT17="","",EDATE(BT17,SG_Criteria!$B$54*12))</f>
        <v/>
      </c>
      <c r="BV17" s="33" t="str">
        <f aca="true">IF(A17="","",IF(BT17="","NOTE: not reviewed yet",IF(TODAY()&gt;BU17,"NOTE: review overdue","OK")))</f>
        <v/>
      </c>
      <c r="BW17" s="37" t="str">
        <f aca="false">IF(A17="","",ROUND((IF(LEN(D17)&gt;0,1,0)+IF(LEN(E17)&gt;0,1,0)+IF(LEN(F17)&gt;0,1,0)+IF(LEN(G17)&gt;0,1,0)+IF(LEN(H17)&gt;0,1,0)+IF(LEN(I17)&gt;0,1,0)+IF(LEN(J17)&gt;0,1,0)+IF(LEN(L17)&gt;0,1,0)+IF(LEN(R17)&gt;0,1,0)+IF(LEN(Y17)&gt;0,1,0)+IF(LEN(AE17)&gt;0,1,0)+IF(LEN(AG17)&gt;0,1,0)+IF(LEN(AH17)&gt;0,1,0)+IF(LEN(AI17)&gt;0,1,0)+IF(LEN(AJ17)&gt;0,1,0)+IF(LEN(AS17)&gt;0,1,0)+IF(LEN(BE17)&gt;0,1,0)+IF(LEN(BR17)&gt;0,1,0))/18,2))</f>
        <v/>
      </c>
      <c r="BX17" s="10" t="str">
        <f aca="false">IF(D17="","",IF(AND(AH17="Approved",ISERROR(SEARCH("FAIL",BB17))),"Y","N"))</f>
        <v/>
      </c>
      <c r="BY17" s="10" t="str">
        <f aca="false">IF(D17="","",D17&amp;"|"&amp;H17&amp;"|"&amp;F17&amp;"|"&amp;I17&amp;"|"&amp;BX17)</f>
        <v/>
      </c>
    </row>
    <row r="18" customFormat="false" ht="15" hidden="false" customHeight="false" outlineLevel="0" collapsed="false">
      <c r="A18" s="10" t="str">
        <f aca="false">IF(D18="","","ERSS-"&amp;IFERROR(VLOOKUP(D18,Lists!$AK$4:$AL$21,2,0),"??")&amp;"-"&amp;TEXT(F18,"0000")&amp;"x"&amp;TEXT(G18,"0000")&amp;"-D"&amp;TEXT(H18*1000,"0000")&amp;"-"&amp;IFERROR(VLOOKUP(I18,Lists!$Y$4:$Z$21,2,0),"??")&amp;"-"&amp;AG18)</f>
        <v/>
      </c>
      <c r="B18" s="10" t="str">
        <f aca="false">IF(D18="","",D18&amp;" for "&amp;E18&amp;", "&amp;F18&amp;" x "&amp;G18&amp;" pit, "&amp;TEXT(H18,"0.0")&amp;" m deep, "&amp;I18)</f>
        <v/>
      </c>
      <c r="C18" s="9"/>
      <c r="D18" s="9"/>
      <c r="E18" s="9"/>
      <c r="F18" s="38"/>
      <c r="G18" s="38"/>
      <c r="H18" s="42"/>
      <c r="I18" s="9"/>
      <c r="J18" s="42"/>
      <c r="K18" s="38"/>
      <c r="L18" s="9"/>
      <c r="M18" s="42"/>
      <c r="N18" s="42"/>
      <c r="O18" s="38"/>
      <c r="P18" s="9"/>
      <c r="Q18" s="9"/>
      <c r="R18" s="39"/>
      <c r="S18" s="39"/>
      <c r="T18" s="38"/>
      <c r="U18" s="38"/>
      <c r="V18" s="38"/>
      <c r="W18" s="9"/>
      <c r="X18" s="9"/>
      <c r="Y18" s="38"/>
      <c r="Z18" s="9"/>
      <c r="AA18" s="9"/>
      <c r="AB18" s="38"/>
      <c r="AC18" s="9"/>
      <c r="AD18" s="39"/>
      <c r="AE18" s="9"/>
      <c r="AF18" s="9"/>
      <c r="AG18" s="9"/>
      <c r="AH18" s="9"/>
      <c r="AI18" s="9"/>
      <c r="AJ18" s="9"/>
      <c r="AK18" s="9"/>
      <c r="AL18" s="10" t="str">
        <f aca="false">IF(A18="","",SG_Criteria!$B$6&amp;SG_Criteria!$B$11&amp;"\"&amp;A18&amp;"\")</f>
        <v/>
      </c>
      <c r="AM18" s="10" t="str">
        <f aca="false">IF(A18="","",A18&amp;"_CAD.dwg")</f>
        <v/>
      </c>
      <c r="AN18" s="10" t="str">
        <f aca="false">IF(A18="","",A18&amp;"_DWG.pdf")</f>
        <v/>
      </c>
      <c r="AO18" s="10" t="str">
        <f aca="false">IF(A18="","",IF(AK18="Y",A18&amp;"_STAAD.std","n/a"))</f>
        <v/>
      </c>
      <c r="AP18" s="10" t="str">
        <f aca="false">IF(A18="","",A18&amp;"_CALC.xlsx")</f>
        <v/>
      </c>
      <c r="AQ18" s="10" t="str">
        <f aca="false">IF(A18="","",A18&amp;"_CALC.pdf")</f>
        <v/>
      </c>
      <c r="AR18" s="9"/>
      <c r="AS18" s="9"/>
      <c r="AT18" s="39"/>
      <c r="AU18" s="39"/>
      <c r="AV18" s="39"/>
      <c r="AW18" s="39"/>
      <c r="AX18" s="39"/>
      <c r="AY18" s="12" t="str">
        <f aca="false">IF(A18="","",IF(COUNTIF(Rebar_Schedule!$A$5:$A$2004,A18)=0,"",ROUND(SUMIF(Rebar_Schedule!$A$5:$A$2004,A18,Rebar_Schedule!$K$5:$K$2004),1)))</f>
        <v/>
      </c>
      <c r="AZ18" s="33" t="str">
        <f aca="false">IF(A18="","",IF(AY18="","No rebar schedule yet",IF(ABS(AY18-N(AU18))/MAX(N(AU18),1)&gt;SG_Criteria!$B$55,"NOTE: register rebar differs from schedule by "&amp;TEXT(ABS(AY18-N(AU18))/MAX(N(AU18),1),"0%"),"OK")))</f>
        <v/>
      </c>
      <c r="BA18" s="33" t="str">
        <f aca="false">IF(OR(D18="",H18=""),"",IF(H18&lt;=IF(OR(D18="Soldier Pile &amp; Timber Lagging",D18="Trench Shoring Box",D18="Open Cut (battered)"),SG_Criteria!$B$34,SG_Criteria!$B$33),"No ERSS submission",IF(H18&lt;=SG_Criteria!$B$35,"QP(ST)",IF(H18&lt;=SG_Criteria!$B$36,"QP(ST) + AC","Geotechnical building works: QP(Geo) + AC"))))</f>
        <v/>
      </c>
      <c r="BB18" s="33" t="str">
        <f aca="false">IF(D18="","",IF(LEN(IF(AND(R18&lt;&gt;"",R18&lt;SG_Criteria!$B$37),"FAIL: base stability FOS &lt; "&amp;SG_Criteria!$B$37&amp;". ","")&amp;IF(AND(E18="Manhole",H18&gt;SG_Criteria!$B$36),"NOTE: BCA lists sewer manholes (pipe &lt;= 2 m dia) &gt; 6 m as non-GBW: QP(ST) + AC. ","")&amp;IF(AND(D18="Trench Shoring Box",I18="Kallang Formation (marine clay)"),"NOTE: check base heave / ground loss for shoring box in marine clay. ","")&amp;IF(AND(D18="Steel Sheet Pile Cofferdam",N(N18)&lt;H18*0.5),"NOTE: short toe embedment, check. ",""))=0,"OK",IF(AND(R18&lt;&gt;"",R18&lt;SG_Criteria!$B$37),"FAIL: base stability FOS &lt; "&amp;SG_Criteria!$B$37&amp;". ","")&amp;IF(AND(E18="Manhole",H18&gt;SG_Criteria!$B$36),"NOTE: BCA lists sewer manholes (pipe &lt;= 2 m dia) &gt; 6 m as non-GBW: QP(ST) + AC. ","")&amp;IF(AND(D18="Trench Shoring Box",I18="Kallang Formation (marine clay)"),"NOTE: check base heave / ground loss for shoring box in marine clay. ","")&amp;IF(AND(D18="Steel Sheet Pile Cofferdam",N(N18)&lt;H18*0.5),"NOTE: short toe embedment, check. ","")))</f>
        <v/>
      </c>
      <c r="BC18" s="9"/>
      <c r="BD18" s="9"/>
      <c r="BE18" s="9"/>
      <c r="BF18" s="10" t="str">
        <f aca="false">IF(BE18="","",IFERROR(VLOOKUP(BE18,Projects!$A$5:$D$504,2,0),"Ref not in Projects"))</f>
        <v/>
      </c>
      <c r="BG18" s="10" t="str">
        <f aca="false">IF(BE18="","",IFERROR(VLOOKUP(BE18,Projects!$A$5:$D$504,4,0),"Ref not in Projects"))</f>
        <v/>
      </c>
      <c r="BH18" s="9"/>
      <c r="BI18" s="9"/>
      <c r="BJ18" s="9"/>
      <c r="BK18" s="40"/>
      <c r="BL18" s="9"/>
      <c r="BM18" s="40"/>
      <c r="BN18" s="9"/>
      <c r="BO18" s="40"/>
      <c r="BP18" s="9"/>
      <c r="BQ18" s="9"/>
      <c r="BR18" s="9"/>
      <c r="BS18" s="40"/>
      <c r="BT18" s="40"/>
      <c r="BU18" s="36" t="str">
        <f aca="false">IF(BT18="","",EDATE(BT18,SG_Criteria!$B$54*12))</f>
        <v/>
      </c>
      <c r="BV18" s="33" t="str">
        <f aca="true">IF(A18="","",IF(BT18="","NOTE: not reviewed yet",IF(TODAY()&gt;BU18,"NOTE: review overdue","OK")))</f>
        <v/>
      </c>
      <c r="BW18" s="37" t="str">
        <f aca="false">IF(A18="","",ROUND((IF(LEN(D18)&gt;0,1,0)+IF(LEN(E18)&gt;0,1,0)+IF(LEN(F18)&gt;0,1,0)+IF(LEN(G18)&gt;0,1,0)+IF(LEN(H18)&gt;0,1,0)+IF(LEN(I18)&gt;0,1,0)+IF(LEN(J18)&gt;0,1,0)+IF(LEN(L18)&gt;0,1,0)+IF(LEN(R18)&gt;0,1,0)+IF(LEN(Y18)&gt;0,1,0)+IF(LEN(AE18)&gt;0,1,0)+IF(LEN(AG18)&gt;0,1,0)+IF(LEN(AH18)&gt;0,1,0)+IF(LEN(AI18)&gt;0,1,0)+IF(LEN(AJ18)&gt;0,1,0)+IF(LEN(AS18)&gt;0,1,0)+IF(LEN(BE18)&gt;0,1,0)+IF(LEN(BR18)&gt;0,1,0))/18,2))</f>
        <v/>
      </c>
      <c r="BX18" s="10" t="str">
        <f aca="false">IF(D18="","",IF(AND(AH18="Approved",ISERROR(SEARCH("FAIL",BB18))),"Y","N"))</f>
        <v/>
      </c>
      <c r="BY18" s="10" t="str">
        <f aca="false">IF(D18="","",D18&amp;"|"&amp;H18&amp;"|"&amp;F18&amp;"|"&amp;I18&amp;"|"&amp;BX18)</f>
        <v/>
      </c>
    </row>
    <row r="19" customFormat="false" ht="15" hidden="false" customHeight="false" outlineLevel="0" collapsed="false">
      <c r="A19" s="10" t="str">
        <f aca="false">IF(D19="","","ERSS-"&amp;IFERROR(VLOOKUP(D19,Lists!$AK$4:$AL$21,2,0),"??")&amp;"-"&amp;TEXT(F19,"0000")&amp;"x"&amp;TEXT(G19,"0000")&amp;"-D"&amp;TEXT(H19*1000,"0000")&amp;"-"&amp;IFERROR(VLOOKUP(I19,Lists!$Y$4:$Z$21,2,0),"??")&amp;"-"&amp;AG19)</f>
        <v/>
      </c>
      <c r="B19" s="10" t="str">
        <f aca="false">IF(D19="","",D19&amp;" for "&amp;E19&amp;", "&amp;F19&amp;" x "&amp;G19&amp;" pit, "&amp;TEXT(H19,"0.0")&amp;" m deep, "&amp;I19)</f>
        <v/>
      </c>
      <c r="C19" s="9"/>
      <c r="D19" s="9"/>
      <c r="E19" s="9"/>
      <c r="F19" s="38"/>
      <c r="G19" s="38"/>
      <c r="H19" s="42"/>
      <c r="I19" s="9"/>
      <c r="J19" s="42"/>
      <c r="K19" s="38"/>
      <c r="L19" s="9"/>
      <c r="M19" s="42"/>
      <c r="N19" s="42"/>
      <c r="O19" s="38"/>
      <c r="P19" s="9"/>
      <c r="Q19" s="9"/>
      <c r="R19" s="39"/>
      <c r="S19" s="39"/>
      <c r="T19" s="38"/>
      <c r="U19" s="38"/>
      <c r="V19" s="38"/>
      <c r="W19" s="9"/>
      <c r="X19" s="9"/>
      <c r="Y19" s="38"/>
      <c r="Z19" s="9"/>
      <c r="AA19" s="9"/>
      <c r="AB19" s="38"/>
      <c r="AC19" s="9"/>
      <c r="AD19" s="39"/>
      <c r="AE19" s="9"/>
      <c r="AF19" s="9"/>
      <c r="AG19" s="9"/>
      <c r="AH19" s="9"/>
      <c r="AI19" s="9"/>
      <c r="AJ19" s="9"/>
      <c r="AK19" s="9"/>
      <c r="AL19" s="10" t="str">
        <f aca="false">IF(A19="","",SG_Criteria!$B$6&amp;SG_Criteria!$B$11&amp;"\"&amp;A19&amp;"\")</f>
        <v/>
      </c>
      <c r="AM19" s="10" t="str">
        <f aca="false">IF(A19="","",A19&amp;"_CAD.dwg")</f>
        <v/>
      </c>
      <c r="AN19" s="10" t="str">
        <f aca="false">IF(A19="","",A19&amp;"_DWG.pdf")</f>
        <v/>
      </c>
      <c r="AO19" s="10" t="str">
        <f aca="false">IF(A19="","",IF(AK19="Y",A19&amp;"_STAAD.std","n/a"))</f>
        <v/>
      </c>
      <c r="AP19" s="10" t="str">
        <f aca="false">IF(A19="","",A19&amp;"_CALC.xlsx")</f>
        <v/>
      </c>
      <c r="AQ19" s="10" t="str">
        <f aca="false">IF(A19="","",A19&amp;"_CALC.pdf")</f>
        <v/>
      </c>
      <c r="AR19" s="9"/>
      <c r="AS19" s="9"/>
      <c r="AT19" s="39"/>
      <c r="AU19" s="39"/>
      <c r="AV19" s="39"/>
      <c r="AW19" s="39"/>
      <c r="AX19" s="39"/>
      <c r="AY19" s="12" t="str">
        <f aca="false">IF(A19="","",IF(COUNTIF(Rebar_Schedule!$A$5:$A$2004,A19)=0,"",ROUND(SUMIF(Rebar_Schedule!$A$5:$A$2004,A19,Rebar_Schedule!$K$5:$K$2004),1)))</f>
        <v/>
      </c>
      <c r="AZ19" s="33" t="str">
        <f aca="false">IF(A19="","",IF(AY19="","No rebar schedule yet",IF(ABS(AY19-N(AU19))/MAX(N(AU19),1)&gt;SG_Criteria!$B$55,"NOTE: register rebar differs from schedule by "&amp;TEXT(ABS(AY19-N(AU19))/MAX(N(AU19),1),"0%"),"OK")))</f>
        <v/>
      </c>
      <c r="BA19" s="33" t="str">
        <f aca="false">IF(OR(D19="",H19=""),"",IF(H19&lt;=IF(OR(D19="Soldier Pile &amp; Timber Lagging",D19="Trench Shoring Box",D19="Open Cut (battered)"),SG_Criteria!$B$34,SG_Criteria!$B$33),"No ERSS submission",IF(H19&lt;=SG_Criteria!$B$35,"QP(ST)",IF(H19&lt;=SG_Criteria!$B$36,"QP(ST) + AC","Geotechnical building works: QP(Geo) + AC"))))</f>
        <v/>
      </c>
      <c r="BB19" s="33" t="str">
        <f aca="false">IF(D19="","",IF(LEN(IF(AND(R19&lt;&gt;"",R19&lt;SG_Criteria!$B$37),"FAIL: base stability FOS &lt; "&amp;SG_Criteria!$B$37&amp;". ","")&amp;IF(AND(E19="Manhole",H19&gt;SG_Criteria!$B$36),"NOTE: BCA lists sewer manholes (pipe &lt;= 2 m dia) &gt; 6 m as non-GBW: QP(ST) + AC. ","")&amp;IF(AND(D19="Trench Shoring Box",I19="Kallang Formation (marine clay)"),"NOTE: check base heave / ground loss for shoring box in marine clay. ","")&amp;IF(AND(D19="Steel Sheet Pile Cofferdam",N(N19)&lt;H19*0.5),"NOTE: short toe embedment, check. ",""))=0,"OK",IF(AND(R19&lt;&gt;"",R19&lt;SG_Criteria!$B$37),"FAIL: base stability FOS &lt; "&amp;SG_Criteria!$B$37&amp;". ","")&amp;IF(AND(E19="Manhole",H19&gt;SG_Criteria!$B$36),"NOTE: BCA lists sewer manholes (pipe &lt;= 2 m dia) &gt; 6 m as non-GBW: QP(ST) + AC. ","")&amp;IF(AND(D19="Trench Shoring Box",I19="Kallang Formation (marine clay)"),"NOTE: check base heave / ground loss for shoring box in marine clay. ","")&amp;IF(AND(D19="Steel Sheet Pile Cofferdam",N(N19)&lt;H19*0.5),"NOTE: short toe embedment, check. ","")))</f>
        <v/>
      </c>
      <c r="BC19" s="9"/>
      <c r="BD19" s="9"/>
      <c r="BE19" s="9"/>
      <c r="BF19" s="10" t="str">
        <f aca="false">IF(BE19="","",IFERROR(VLOOKUP(BE19,Projects!$A$5:$D$504,2,0),"Ref not in Projects"))</f>
        <v/>
      </c>
      <c r="BG19" s="10" t="str">
        <f aca="false">IF(BE19="","",IFERROR(VLOOKUP(BE19,Projects!$A$5:$D$504,4,0),"Ref not in Projects"))</f>
        <v/>
      </c>
      <c r="BH19" s="9"/>
      <c r="BI19" s="9"/>
      <c r="BJ19" s="9"/>
      <c r="BK19" s="40"/>
      <c r="BL19" s="9"/>
      <c r="BM19" s="40"/>
      <c r="BN19" s="9"/>
      <c r="BO19" s="40"/>
      <c r="BP19" s="9"/>
      <c r="BQ19" s="9"/>
      <c r="BR19" s="9"/>
      <c r="BS19" s="40"/>
      <c r="BT19" s="40"/>
      <c r="BU19" s="36" t="str">
        <f aca="false">IF(BT19="","",EDATE(BT19,SG_Criteria!$B$54*12))</f>
        <v/>
      </c>
      <c r="BV19" s="33" t="str">
        <f aca="true">IF(A19="","",IF(BT19="","NOTE: not reviewed yet",IF(TODAY()&gt;BU19,"NOTE: review overdue","OK")))</f>
        <v/>
      </c>
      <c r="BW19" s="37" t="str">
        <f aca="false">IF(A19="","",ROUND((IF(LEN(D19)&gt;0,1,0)+IF(LEN(E19)&gt;0,1,0)+IF(LEN(F19)&gt;0,1,0)+IF(LEN(G19)&gt;0,1,0)+IF(LEN(H19)&gt;0,1,0)+IF(LEN(I19)&gt;0,1,0)+IF(LEN(J19)&gt;0,1,0)+IF(LEN(L19)&gt;0,1,0)+IF(LEN(R19)&gt;0,1,0)+IF(LEN(Y19)&gt;0,1,0)+IF(LEN(AE19)&gt;0,1,0)+IF(LEN(AG19)&gt;0,1,0)+IF(LEN(AH19)&gt;0,1,0)+IF(LEN(AI19)&gt;0,1,0)+IF(LEN(AJ19)&gt;0,1,0)+IF(LEN(AS19)&gt;0,1,0)+IF(LEN(BE19)&gt;0,1,0)+IF(LEN(BR19)&gt;0,1,0))/18,2))</f>
        <v/>
      </c>
      <c r="BX19" s="10" t="str">
        <f aca="false">IF(D19="","",IF(AND(AH19="Approved",ISERROR(SEARCH("FAIL",BB19))),"Y","N"))</f>
        <v/>
      </c>
      <c r="BY19" s="10" t="str">
        <f aca="false">IF(D19="","",D19&amp;"|"&amp;H19&amp;"|"&amp;F19&amp;"|"&amp;I19&amp;"|"&amp;BX19)</f>
        <v/>
      </c>
    </row>
    <row r="20" customFormat="false" ht="15" hidden="false" customHeight="false" outlineLevel="0" collapsed="false">
      <c r="A20" s="10" t="str">
        <f aca="false">IF(D20="","","ERSS-"&amp;IFERROR(VLOOKUP(D20,Lists!$AK$4:$AL$21,2,0),"??")&amp;"-"&amp;TEXT(F20,"0000")&amp;"x"&amp;TEXT(G20,"0000")&amp;"-D"&amp;TEXT(H20*1000,"0000")&amp;"-"&amp;IFERROR(VLOOKUP(I20,Lists!$Y$4:$Z$21,2,0),"??")&amp;"-"&amp;AG20)</f>
        <v/>
      </c>
      <c r="B20" s="10" t="str">
        <f aca="false">IF(D20="","",D20&amp;" for "&amp;E20&amp;", "&amp;F20&amp;" x "&amp;G20&amp;" pit, "&amp;TEXT(H20,"0.0")&amp;" m deep, "&amp;I20)</f>
        <v/>
      </c>
      <c r="C20" s="9"/>
      <c r="D20" s="9"/>
      <c r="E20" s="9"/>
      <c r="F20" s="38"/>
      <c r="G20" s="38"/>
      <c r="H20" s="42"/>
      <c r="I20" s="9"/>
      <c r="J20" s="42"/>
      <c r="K20" s="38"/>
      <c r="L20" s="9"/>
      <c r="M20" s="42"/>
      <c r="N20" s="42"/>
      <c r="O20" s="38"/>
      <c r="P20" s="9"/>
      <c r="Q20" s="9"/>
      <c r="R20" s="39"/>
      <c r="S20" s="39"/>
      <c r="T20" s="38"/>
      <c r="U20" s="38"/>
      <c r="V20" s="38"/>
      <c r="W20" s="9"/>
      <c r="X20" s="9"/>
      <c r="Y20" s="38"/>
      <c r="Z20" s="9"/>
      <c r="AA20" s="9"/>
      <c r="AB20" s="38"/>
      <c r="AC20" s="9"/>
      <c r="AD20" s="39"/>
      <c r="AE20" s="9"/>
      <c r="AF20" s="9"/>
      <c r="AG20" s="9"/>
      <c r="AH20" s="9"/>
      <c r="AI20" s="9"/>
      <c r="AJ20" s="9"/>
      <c r="AK20" s="9"/>
      <c r="AL20" s="10" t="str">
        <f aca="false">IF(A20="","",SG_Criteria!$B$6&amp;SG_Criteria!$B$11&amp;"\"&amp;A20&amp;"\")</f>
        <v/>
      </c>
      <c r="AM20" s="10" t="str">
        <f aca="false">IF(A20="","",A20&amp;"_CAD.dwg")</f>
        <v/>
      </c>
      <c r="AN20" s="10" t="str">
        <f aca="false">IF(A20="","",A20&amp;"_DWG.pdf")</f>
        <v/>
      </c>
      <c r="AO20" s="10" t="str">
        <f aca="false">IF(A20="","",IF(AK20="Y",A20&amp;"_STAAD.std","n/a"))</f>
        <v/>
      </c>
      <c r="AP20" s="10" t="str">
        <f aca="false">IF(A20="","",A20&amp;"_CALC.xlsx")</f>
        <v/>
      </c>
      <c r="AQ20" s="10" t="str">
        <f aca="false">IF(A20="","",A20&amp;"_CALC.pdf")</f>
        <v/>
      </c>
      <c r="AR20" s="9"/>
      <c r="AS20" s="9"/>
      <c r="AT20" s="39"/>
      <c r="AU20" s="39"/>
      <c r="AV20" s="39"/>
      <c r="AW20" s="39"/>
      <c r="AX20" s="39"/>
      <c r="AY20" s="12" t="str">
        <f aca="false">IF(A20="","",IF(COUNTIF(Rebar_Schedule!$A$5:$A$2004,A20)=0,"",ROUND(SUMIF(Rebar_Schedule!$A$5:$A$2004,A20,Rebar_Schedule!$K$5:$K$2004),1)))</f>
        <v/>
      </c>
      <c r="AZ20" s="33" t="str">
        <f aca="false">IF(A20="","",IF(AY20="","No rebar schedule yet",IF(ABS(AY20-N(AU20))/MAX(N(AU20),1)&gt;SG_Criteria!$B$55,"NOTE: register rebar differs from schedule by "&amp;TEXT(ABS(AY20-N(AU20))/MAX(N(AU20),1),"0%"),"OK")))</f>
        <v/>
      </c>
      <c r="BA20" s="33" t="str">
        <f aca="false">IF(OR(D20="",H20=""),"",IF(H20&lt;=IF(OR(D20="Soldier Pile &amp; Timber Lagging",D20="Trench Shoring Box",D20="Open Cut (battered)"),SG_Criteria!$B$34,SG_Criteria!$B$33),"No ERSS submission",IF(H20&lt;=SG_Criteria!$B$35,"QP(ST)",IF(H20&lt;=SG_Criteria!$B$36,"QP(ST) + AC","Geotechnical building works: QP(Geo) + AC"))))</f>
        <v/>
      </c>
      <c r="BB20" s="33" t="str">
        <f aca="false">IF(D20="","",IF(LEN(IF(AND(R20&lt;&gt;"",R20&lt;SG_Criteria!$B$37),"FAIL: base stability FOS &lt; "&amp;SG_Criteria!$B$37&amp;". ","")&amp;IF(AND(E20="Manhole",H20&gt;SG_Criteria!$B$36),"NOTE: BCA lists sewer manholes (pipe &lt;= 2 m dia) &gt; 6 m as non-GBW: QP(ST) + AC. ","")&amp;IF(AND(D20="Trench Shoring Box",I20="Kallang Formation (marine clay)"),"NOTE: check base heave / ground loss for shoring box in marine clay. ","")&amp;IF(AND(D20="Steel Sheet Pile Cofferdam",N(N20)&lt;H20*0.5),"NOTE: short toe embedment, check. ",""))=0,"OK",IF(AND(R20&lt;&gt;"",R20&lt;SG_Criteria!$B$37),"FAIL: base stability FOS &lt; "&amp;SG_Criteria!$B$37&amp;". ","")&amp;IF(AND(E20="Manhole",H20&gt;SG_Criteria!$B$36),"NOTE: BCA lists sewer manholes (pipe &lt;= 2 m dia) &gt; 6 m as non-GBW: QP(ST) + AC. ","")&amp;IF(AND(D20="Trench Shoring Box",I20="Kallang Formation (marine clay)"),"NOTE: check base heave / ground loss for shoring box in marine clay. ","")&amp;IF(AND(D20="Steel Sheet Pile Cofferdam",N(N20)&lt;H20*0.5),"NOTE: short toe embedment, check. ","")))</f>
        <v/>
      </c>
      <c r="BC20" s="9"/>
      <c r="BD20" s="9"/>
      <c r="BE20" s="9"/>
      <c r="BF20" s="10" t="str">
        <f aca="false">IF(BE20="","",IFERROR(VLOOKUP(BE20,Projects!$A$5:$D$504,2,0),"Ref not in Projects"))</f>
        <v/>
      </c>
      <c r="BG20" s="10" t="str">
        <f aca="false">IF(BE20="","",IFERROR(VLOOKUP(BE20,Projects!$A$5:$D$504,4,0),"Ref not in Projects"))</f>
        <v/>
      </c>
      <c r="BH20" s="9"/>
      <c r="BI20" s="9"/>
      <c r="BJ20" s="9"/>
      <c r="BK20" s="40"/>
      <c r="BL20" s="9"/>
      <c r="BM20" s="40"/>
      <c r="BN20" s="9"/>
      <c r="BO20" s="40"/>
      <c r="BP20" s="9"/>
      <c r="BQ20" s="9"/>
      <c r="BR20" s="9"/>
      <c r="BS20" s="40"/>
      <c r="BT20" s="40"/>
      <c r="BU20" s="36" t="str">
        <f aca="false">IF(BT20="","",EDATE(BT20,SG_Criteria!$B$54*12))</f>
        <v/>
      </c>
      <c r="BV20" s="33" t="str">
        <f aca="true">IF(A20="","",IF(BT20="","NOTE: not reviewed yet",IF(TODAY()&gt;BU20,"NOTE: review overdue","OK")))</f>
        <v/>
      </c>
      <c r="BW20" s="37" t="str">
        <f aca="false">IF(A20="","",ROUND((IF(LEN(D20)&gt;0,1,0)+IF(LEN(E20)&gt;0,1,0)+IF(LEN(F20)&gt;0,1,0)+IF(LEN(G20)&gt;0,1,0)+IF(LEN(H20)&gt;0,1,0)+IF(LEN(I20)&gt;0,1,0)+IF(LEN(J20)&gt;0,1,0)+IF(LEN(L20)&gt;0,1,0)+IF(LEN(R20)&gt;0,1,0)+IF(LEN(Y20)&gt;0,1,0)+IF(LEN(AE20)&gt;0,1,0)+IF(LEN(AG20)&gt;0,1,0)+IF(LEN(AH20)&gt;0,1,0)+IF(LEN(AI20)&gt;0,1,0)+IF(LEN(AJ20)&gt;0,1,0)+IF(LEN(AS20)&gt;0,1,0)+IF(LEN(BE20)&gt;0,1,0)+IF(LEN(BR20)&gt;0,1,0))/18,2))</f>
        <v/>
      </c>
      <c r="BX20" s="10" t="str">
        <f aca="false">IF(D20="","",IF(AND(AH20="Approved",ISERROR(SEARCH("FAIL",BB20))),"Y","N"))</f>
        <v/>
      </c>
      <c r="BY20" s="10" t="str">
        <f aca="false">IF(D20="","",D20&amp;"|"&amp;H20&amp;"|"&amp;F20&amp;"|"&amp;I20&amp;"|"&amp;BX20)</f>
        <v/>
      </c>
    </row>
    <row r="21" customFormat="false" ht="15" hidden="false" customHeight="false" outlineLevel="0" collapsed="false">
      <c r="A21" s="10" t="str">
        <f aca="false">IF(D21="","","ERSS-"&amp;IFERROR(VLOOKUP(D21,Lists!$AK$4:$AL$21,2,0),"??")&amp;"-"&amp;TEXT(F21,"0000")&amp;"x"&amp;TEXT(G21,"0000")&amp;"-D"&amp;TEXT(H21*1000,"0000")&amp;"-"&amp;IFERROR(VLOOKUP(I21,Lists!$Y$4:$Z$21,2,0),"??")&amp;"-"&amp;AG21)</f>
        <v/>
      </c>
      <c r="B21" s="10" t="str">
        <f aca="false">IF(D21="","",D21&amp;" for "&amp;E21&amp;", "&amp;F21&amp;" x "&amp;G21&amp;" pit, "&amp;TEXT(H21,"0.0")&amp;" m deep, "&amp;I21)</f>
        <v/>
      </c>
      <c r="C21" s="9"/>
      <c r="D21" s="9"/>
      <c r="E21" s="9"/>
      <c r="F21" s="38"/>
      <c r="G21" s="38"/>
      <c r="H21" s="42"/>
      <c r="I21" s="9"/>
      <c r="J21" s="42"/>
      <c r="K21" s="38"/>
      <c r="L21" s="9"/>
      <c r="M21" s="42"/>
      <c r="N21" s="42"/>
      <c r="O21" s="38"/>
      <c r="P21" s="9"/>
      <c r="Q21" s="9"/>
      <c r="R21" s="39"/>
      <c r="S21" s="39"/>
      <c r="T21" s="38"/>
      <c r="U21" s="38"/>
      <c r="V21" s="38"/>
      <c r="W21" s="9"/>
      <c r="X21" s="9"/>
      <c r="Y21" s="38"/>
      <c r="Z21" s="9"/>
      <c r="AA21" s="9"/>
      <c r="AB21" s="38"/>
      <c r="AC21" s="9"/>
      <c r="AD21" s="39"/>
      <c r="AE21" s="9"/>
      <c r="AF21" s="9"/>
      <c r="AG21" s="9"/>
      <c r="AH21" s="9"/>
      <c r="AI21" s="9"/>
      <c r="AJ21" s="9"/>
      <c r="AK21" s="9"/>
      <c r="AL21" s="10" t="str">
        <f aca="false">IF(A21="","",SG_Criteria!$B$6&amp;SG_Criteria!$B$11&amp;"\"&amp;A21&amp;"\")</f>
        <v/>
      </c>
      <c r="AM21" s="10" t="str">
        <f aca="false">IF(A21="","",A21&amp;"_CAD.dwg")</f>
        <v/>
      </c>
      <c r="AN21" s="10" t="str">
        <f aca="false">IF(A21="","",A21&amp;"_DWG.pdf")</f>
        <v/>
      </c>
      <c r="AO21" s="10" t="str">
        <f aca="false">IF(A21="","",IF(AK21="Y",A21&amp;"_STAAD.std","n/a"))</f>
        <v/>
      </c>
      <c r="AP21" s="10" t="str">
        <f aca="false">IF(A21="","",A21&amp;"_CALC.xlsx")</f>
        <v/>
      </c>
      <c r="AQ21" s="10" t="str">
        <f aca="false">IF(A21="","",A21&amp;"_CALC.pdf")</f>
        <v/>
      </c>
      <c r="AR21" s="9"/>
      <c r="AS21" s="9"/>
      <c r="AT21" s="39"/>
      <c r="AU21" s="39"/>
      <c r="AV21" s="39"/>
      <c r="AW21" s="39"/>
      <c r="AX21" s="39"/>
      <c r="AY21" s="12" t="str">
        <f aca="false">IF(A21="","",IF(COUNTIF(Rebar_Schedule!$A$5:$A$2004,A21)=0,"",ROUND(SUMIF(Rebar_Schedule!$A$5:$A$2004,A21,Rebar_Schedule!$K$5:$K$2004),1)))</f>
        <v/>
      </c>
      <c r="AZ21" s="33" t="str">
        <f aca="false">IF(A21="","",IF(AY21="","No rebar schedule yet",IF(ABS(AY21-N(AU21))/MAX(N(AU21),1)&gt;SG_Criteria!$B$55,"NOTE: register rebar differs from schedule by "&amp;TEXT(ABS(AY21-N(AU21))/MAX(N(AU21),1),"0%"),"OK")))</f>
        <v/>
      </c>
      <c r="BA21" s="33" t="str">
        <f aca="false">IF(OR(D21="",H21=""),"",IF(H21&lt;=IF(OR(D21="Soldier Pile &amp; Timber Lagging",D21="Trench Shoring Box",D21="Open Cut (battered)"),SG_Criteria!$B$34,SG_Criteria!$B$33),"No ERSS submission",IF(H21&lt;=SG_Criteria!$B$35,"QP(ST)",IF(H21&lt;=SG_Criteria!$B$36,"QP(ST) + AC","Geotechnical building works: QP(Geo) + AC"))))</f>
        <v/>
      </c>
      <c r="BB21" s="33" t="str">
        <f aca="false">IF(D21="","",IF(LEN(IF(AND(R21&lt;&gt;"",R21&lt;SG_Criteria!$B$37),"FAIL: base stability FOS &lt; "&amp;SG_Criteria!$B$37&amp;". ","")&amp;IF(AND(E21="Manhole",H21&gt;SG_Criteria!$B$36),"NOTE: BCA lists sewer manholes (pipe &lt;= 2 m dia) &gt; 6 m as non-GBW: QP(ST) + AC. ","")&amp;IF(AND(D21="Trench Shoring Box",I21="Kallang Formation (marine clay)"),"NOTE: check base heave / ground loss for shoring box in marine clay. ","")&amp;IF(AND(D21="Steel Sheet Pile Cofferdam",N(N21)&lt;H21*0.5),"NOTE: short toe embedment, check. ",""))=0,"OK",IF(AND(R21&lt;&gt;"",R21&lt;SG_Criteria!$B$37),"FAIL: base stability FOS &lt; "&amp;SG_Criteria!$B$37&amp;". ","")&amp;IF(AND(E21="Manhole",H21&gt;SG_Criteria!$B$36),"NOTE: BCA lists sewer manholes (pipe &lt;= 2 m dia) &gt; 6 m as non-GBW: QP(ST) + AC. ","")&amp;IF(AND(D21="Trench Shoring Box",I21="Kallang Formation (marine clay)"),"NOTE: check base heave / ground loss for shoring box in marine clay. ","")&amp;IF(AND(D21="Steel Sheet Pile Cofferdam",N(N21)&lt;H21*0.5),"NOTE: short toe embedment, check. ","")))</f>
        <v/>
      </c>
      <c r="BC21" s="9"/>
      <c r="BD21" s="9"/>
      <c r="BE21" s="9"/>
      <c r="BF21" s="10" t="str">
        <f aca="false">IF(BE21="","",IFERROR(VLOOKUP(BE21,Projects!$A$5:$D$504,2,0),"Ref not in Projects"))</f>
        <v/>
      </c>
      <c r="BG21" s="10" t="str">
        <f aca="false">IF(BE21="","",IFERROR(VLOOKUP(BE21,Projects!$A$5:$D$504,4,0),"Ref not in Projects"))</f>
        <v/>
      </c>
      <c r="BH21" s="9"/>
      <c r="BI21" s="9"/>
      <c r="BJ21" s="9"/>
      <c r="BK21" s="40"/>
      <c r="BL21" s="9"/>
      <c r="BM21" s="40"/>
      <c r="BN21" s="9"/>
      <c r="BO21" s="40"/>
      <c r="BP21" s="9"/>
      <c r="BQ21" s="9"/>
      <c r="BR21" s="9"/>
      <c r="BS21" s="40"/>
      <c r="BT21" s="40"/>
      <c r="BU21" s="36" t="str">
        <f aca="false">IF(BT21="","",EDATE(BT21,SG_Criteria!$B$54*12))</f>
        <v/>
      </c>
      <c r="BV21" s="33" t="str">
        <f aca="true">IF(A21="","",IF(BT21="","NOTE: not reviewed yet",IF(TODAY()&gt;BU21,"NOTE: review overdue","OK")))</f>
        <v/>
      </c>
      <c r="BW21" s="37" t="str">
        <f aca="false">IF(A21="","",ROUND((IF(LEN(D21)&gt;0,1,0)+IF(LEN(E21)&gt;0,1,0)+IF(LEN(F21)&gt;0,1,0)+IF(LEN(G21)&gt;0,1,0)+IF(LEN(H21)&gt;0,1,0)+IF(LEN(I21)&gt;0,1,0)+IF(LEN(J21)&gt;0,1,0)+IF(LEN(L21)&gt;0,1,0)+IF(LEN(R21)&gt;0,1,0)+IF(LEN(Y21)&gt;0,1,0)+IF(LEN(AE21)&gt;0,1,0)+IF(LEN(AG21)&gt;0,1,0)+IF(LEN(AH21)&gt;0,1,0)+IF(LEN(AI21)&gt;0,1,0)+IF(LEN(AJ21)&gt;0,1,0)+IF(LEN(AS21)&gt;0,1,0)+IF(LEN(BE21)&gt;0,1,0)+IF(LEN(BR21)&gt;0,1,0))/18,2))</f>
        <v/>
      </c>
      <c r="BX21" s="10" t="str">
        <f aca="false">IF(D21="","",IF(AND(AH21="Approved",ISERROR(SEARCH("FAIL",BB21))),"Y","N"))</f>
        <v/>
      </c>
      <c r="BY21" s="10" t="str">
        <f aca="false">IF(D21="","",D21&amp;"|"&amp;H21&amp;"|"&amp;F21&amp;"|"&amp;I21&amp;"|"&amp;BX21)</f>
        <v/>
      </c>
    </row>
    <row r="22" customFormat="false" ht="15" hidden="false" customHeight="false" outlineLevel="0" collapsed="false">
      <c r="A22" s="10" t="str">
        <f aca="false">IF(D22="","","ERSS-"&amp;IFERROR(VLOOKUP(D22,Lists!$AK$4:$AL$21,2,0),"??")&amp;"-"&amp;TEXT(F22,"0000")&amp;"x"&amp;TEXT(G22,"0000")&amp;"-D"&amp;TEXT(H22*1000,"0000")&amp;"-"&amp;IFERROR(VLOOKUP(I22,Lists!$Y$4:$Z$21,2,0),"??")&amp;"-"&amp;AG22)</f>
        <v/>
      </c>
      <c r="B22" s="10" t="str">
        <f aca="false">IF(D22="","",D22&amp;" for "&amp;E22&amp;", "&amp;F22&amp;" x "&amp;G22&amp;" pit, "&amp;TEXT(H22,"0.0")&amp;" m deep, "&amp;I22)</f>
        <v/>
      </c>
      <c r="C22" s="9"/>
      <c r="D22" s="9"/>
      <c r="E22" s="9"/>
      <c r="F22" s="38"/>
      <c r="G22" s="38"/>
      <c r="H22" s="42"/>
      <c r="I22" s="9"/>
      <c r="J22" s="42"/>
      <c r="K22" s="38"/>
      <c r="L22" s="9"/>
      <c r="M22" s="42"/>
      <c r="N22" s="42"/>
      <c r="O22" s="38"/>
      <c r="P22" s="9"/>
      <c r="Q22" s="9"/>
      <c r="R22" s="39"/>
      <c r="S22" s="39"/>
      <c r="T22" s="38"/>
      <c r="U22" s="38"/>
      <c r="V22" s="38"/>
      <c r="W22" s="9"/>
      <c r="X22" s="9"/>
      <c r="Y22" s="38"/>
      <c r="Z22" s="9"/>
      <c r="AA22" s="9"/>
      <c r="AB22" s="38"/>
      <c r="AC22" s="9"/>
      <c r="AD22" s="39"/>
      <c r="AE22" s="9"/>
      <c r="AF22" s="9"/>
      <c r="AG22" s="9"/>
      <c r="AH22" s="9"/>
      <c r="AI22" s="9"/>
      <c r="AJ22" s="9"/>
      <c r="AK22" s="9"/>
      <c r="AL22" s="10" t="str">
        <f aca="false">IF(A22="","",SG_Criteria!$B$6&amp;SG_Criteria!$B$11&amp;"\"&amp;A22&amp;"\")</f>
        <v/>
      </c>
      <c r="AM22" s="10" t="str">
        <f aca="false">IF(A22="","",A22&amp;"_CAD.dwg")</f>
        <v/>
      </c>
      <c r="AN22" s="10" t="str">
        <f aca="false">IF(A22="","",A22&amp;"_DWG.pdf")</f>
        <v/>
      </c>
      <c r="AO22" s="10" t="str">
        <f aca="false">IF(A22="","",IF(AK22="Y",A22&amp;"_STAAD.std","n/a"))</f>
        <v/>
      </c>
      <c r="AP22" s="10" t="str">
        <f aca="false">IF(A22="","",A22&amp;"_CALC.xlsx")</f>
        <v/>
      </c>
      <c r="AQ22" s="10" t="str">
        <f aca="false">IF(A22="","",A22&amp;"_CALC.pdf")</f>
        <v/>
      </c>
      <c r="AR22" s="9"/>
      <c r="AS22" s="9"/>
      <c r="AT22" s="39"/>
      <c r="AU22" s="39"/>
      <c r="AV22" s="39"/>
      <c r="AW22" s="39"/>
      <c r="AX22" s="39"/>
      <c r="AY22" s="12" t="str">
        <f aca="false">IF(A22="","",IF(COUNTIF(Rebar_Schedule!$A$5:$A$2004,A22)=0,"",ROUND(SUMIF(Rebar_Schedule!$A$5:$A$2004,A22,Rebar_Schedule!$K$5:$K$2004),1)))</f>
        <v/>
      </c>
      <c r="AZ22" s="33" t="str">
        <f aca="false">IF(A22="","",IF(AY22="","No rebar schedule yet",IF(ABS(AY22-N(AU22))/MAX(N(AU22),1)&gt;SG_Criteria!$B$55,"NOTE: register rebar differs from schedule by "&amp;TEXT(ABS(AY22-N(AU22))/MAX(N(AU22),1),"0%"),"OK")))</f>
        <v/>
      </c>
      <c r="BA22" s="33" t="str">
        <f aca="false">IF(OR(D22="",H22=""),"",IF(H22&lt;=IF(OR(D22="Soldier Pile &amp; Timber Lagging",D22="Trench Shoring Box",D22="Open Cut (battered)"),SG_Criteria!$B$34,SG_Criteria!$B$33),"No ERSS submission",IF(H22&lt;=SG_Criteria!$B$35,"QP(ST)",IF(H22&lt;=SG_Criteria!$B$36,"QP(ST) + AC","Geotechnical building works: QP(Geo) + AC"))))</f>
        <v/>
      </c>
      <c r="BB22" s="33" t="str">
        <f aca="false">IF(D22="","",IF(LEN(IF(AND(R22&lt;&gt;"",R22&lt;SG_Criteria!$B$37),"FAIL: base stability FOS &lt; "&amp;SG_Criteria!$B$37&amp;". ","")&amp;IF(AND(E22="Manhole",H22&gt;SG_Criteria!$B$36),"NOTE: BCA lists sewer manholes (pipe &lt;= 2 m dia) &gt; 6 m as non-GBW: QP(ST) + AC. ","")&amp;IF(AND(D22="Trench Shoring Box",I22="Kallang Formation (marine clay)"),"NOTE: check base heave / ground loss for shoring box in marine clay. ","")&amp;IF(AND(D22="Steel Sheet Pile Cofferdam",N(N22)&lt;H22*0.5),"NOTE: short toe embedment, check. ",""))=0,"OK",IF(AND(R22&lt;&gt;"",R22&lt;SG_Criteria!$B$37),"FAIL: base stability FOS &lt; "&amp;SG_Criteria!$B$37&amp;". ","")&amp;IF(AND(E22="Manhole",H22&gt;SG_Criteria!$B$36),"NOTE: BCA lists sewer manholes (pipe &lt;= 2 m dia) &gt; 6 m as non-GBW: QP(ST) + AC. ","")&amp;IF(AND(D22="Trench Shoring Box",I22="Kallang Formation (marine clay)"),"NOTE: check base heave / ground loss for shoring box in marine clay. ","")&amp;IF(AND(D22="Steel Sheet Pile Cofferdam",N(N22)&lt;H22*0.5),"NOTE: short toe embedment, check. ","")))</f>
        <v/>
      </c>
      <c r="BC22" s="9"/>
      <c r="BD22" s="9"/>
      <c r="BE22" s="9"/>
      <c r="BF22" s="10" t="str">
        <f aca="false">IF(BE22="","",IFERROR(VLOOKUP(BE22,Projects!$A$5:$D$504,2,0),"Ref not in Projects"))</f>
        <v/>
      </c>
      <c r="BG22" s="10" t="str">
        <f aca="false">IF(BE22="","",IFERROR(VLOOKUP(BE22,Projects!$A$5:$D$504,4,0),"Ref not in Projects"))</f>
        <v/>
      </c>
      <c r="BH22" s="9"/>
      <c r="BI22" s="9"/>
      <c r="BJ22" s="9"/>
      <c r="BK22" s="40"/>
      <c r="BL22" s="9"/>
      <c r="BM22" s="40"/>
      <c r="BN22" s="9"/>
      <c r="BO22" s="40"/>
      <c r="BP22" s="9"/>
      <c r="BQ22" s="9"/>
      <c r="BR22" s="9"/>
      <c r="BS22" s="40"/>
      <c r="BT22" s="40"/>
      <c r="BU22" s="36" t="str">
        <f aca="false">IF(BT22="","",EDATE(BT22,SG_Criteria!$B$54*12))</f>
        <v/>
      </c>
      <c r="BV22" s="33" t="str">
        <f aca="true">IF(A22="","",IF(BT22="","NOTE: not reviewed yet",IF(TODAY()&gt;BU22,"NOTE: review overdue","OK")))</f>
        <v/>
      </c>
      <c r="BW22" s="37" t="str">
        <f aca="false">IF(A22="","",ROUND((IF(LEN(D22)&gt;0,1,0)+IF(LEN(E22)&gt;0,1,0)+IF(LEN(F22)&gt;0,1,0)+IF(LEN(G22)&gt;0,1,0)+IF(LEN(H22)&gt;0,1,0)+IF(LEN(I22)&gt;0,1,0)+IF(LEN(J22)&gt;0,1,0)+IF(LEN(L22)&gt;0,1,0)+IF(LEN(R22)&gt;0,1,0)+IF(LEN(Y22)&gt;0,1,0)+IF(LEN(AE22)&gt;0,1,0)+IF(LEN(AG22)&gt;0,1,0)+IF(LEN(AH22)&gt;0,1,0)+IF(LEN(AI22)&gt;0,1,0)+IF(LEN(AJ22)&gt;0,1,0)+IF(LEN(AS22)&gt;0,1,0)+IF(LEN(BE22)&gt;0,1,0)+IF(LEN(BR22)&gt;0,1,0))/18,2))</f>
        <v/>
      </c>
      <c r="BX22" s="10" t="str">
        <f aca="false">IF(D22="","",IF(AND(AH22="Approved",ISERROR(SEARCH("FAIL",BB22))),"Y","N"))</f>
        <v/>
      </c>
      <c r="BY22" s="10" t="str">
        <f aca="false">IF(D22="","",D22&amp;"|"&amp;H22&amp;"|"&amp;F22&amp;"|"&amp;I22&amp;"|"&amp;BX22)</f>
        <v/>
      </c>
    </row>
    <row r="23" customFormat="false" ht="15" hidden="false" customHeight="false" outlineLevel="0" collapsed="false">
      <c r="A23" s="10" t="str">
        <f aca="false">IF(D23="","","ERSS-"&amp;IFERROR(VLOOKUP(D23,Lists!$AK$4:$AL$21,2,0),"??")&amp;"-"&amp;TEXT(F23,"0000")&amp;"x"&amp;TEXT(G23,"0000")&amp;"-D"&amp;TEXT(H23*1000,"0000")&amp;"-"&amp;IFERROR(VLOOKUP(I23,Lists!$Y$4:$Z$21,2,0),"??")&amp;"-"&amp;AG23)</f>
        <v/>
      </c>
      <c r="B23" s="10" t="str">
        <f aca="false">IF(D23="","",D23&amp;" for "&amp;E23&amp;", "&amp;F23&amp;" x "&amp;G23&amp;" pit, "&amp;TEXT(H23,"0.0")&amp;" m deep, "&amp;I23)</f>
        <v/>
      </c>
      <c r="C23" s="9"/>
      <c r="D23" s="9"/>
      <c r="E23" s="9"/>
      <c r="F23" s="38"/>
      <c r="G23" s="38"/>
      <c r="H23" s="42"/>
      <c r="I23" s="9"/>
      <c r="J23" s="42"/>
      <c r="K23" s="38"/>
      <c r="L23" s="9"/>
      <c r="M23" s="42"/>
      <c r="N23" s="42"/>
      <c r="O23" s="38"/>
      <c r="P23" s="9"/>
      <c r="Q23" s="9"/>
      <c r="R23" s="39"/>
      <c r="S23" s="39"/>
      <c r="T23" s="38"/>
      <c r="U23" s="38"/>
      <c r="V23" s="38"/>
      <c r="W23" s="9"/>
      <c r="X23" s="9"/>
      <c r="Y23" s="38"/>
      <c r="Z23" s="9"/>
      <c r="AA23" s="9"/>
      <c r="AB23" s="38"/>
      <c r="AC23" s="9"/>
      <c r="AD23" s="39"/>
      <c r="AE23" s="9"/>
      <c r="AF23" s="9"/>
      <c r="AG23" s="9"/>
      <c r="AH23" s="9"/>
      <c r="AI23" s="9"/>
      <c r="AJ23" s="9"/>
      <c r="AK23" s="9"/>
      <c r="AL23" s="10" t="str">
        <f aca="false">IF(A23="","",SG_Criteria!$B$6&amp;SG_Criteria!$B$11&amp;"\"&amp;A23&amp;"\")</f>
        <v/>
      </c>
      <c r="AM23" s="10" t="str">
        <f aca="false">IF(A23="","",A23&amp;"_CAD.dwg")</f>
        <v/>
      </c>
      <c r="AN23" s="10" t="str">
        <f aca="false">IF(A23="","",A23&amp;"_DWG.pdf")</f>
        <v/>
      </c>
      <c r="AO23" s="10" t="str">
        <f aca="false">IF(A23="","",IF(AK23="Y",A23&amp;"_STAAD.std","n/a"))</f>
        <v/>
      </c>
      <c r="AP23" s="10" t="str">
        <f aca="false">IF(A23="","",A23&amp;"_CALC.xlsx")</f>
        <v/>
      </c>
      <c r="AQ23" s="10" t="str">
        <f aca="false">IF(A23="","",A23&amp;"_CALC.pdf")</f>
        <v/>
      </c>
      <c r="AR23" s="9"/>
      <c r="AS23" s="9"/>
      <c r="AT23" s="39"/>
      <c r="AU23" s="39"/>
      <c r="AV23" s="39"/>
      <c r="AW23" s="39"/>
      <c r="AX23" s="39"/>
      <c r="AY23" s="12" t="str">
        <f aca="false">IF(A23="","",IF(COUNTIF(Rebar_Schedule!$A$5:$A$2004,A23)=0,"",ROUND(SUMIF(Rebar_Schedule!$A$5:$A$2004,A23,Rebar_Schedule!$K$5:$K$2004),1)))</f>
        <v/>
      </c>
      <c r="AZ23" s="33" t="str">
        <f aca="false">IF(A23="","",IF(AY23="","No rebar schedule yet",IF(ABS(AY23-N(AU23))/MAX(N(AU23),1)&gt;SG_Criteria!$B$55,"NOTE: register rebar differs from schedule by "&amp;TEXT(ABS(AY23-N(AU23))/MAX(N(AU23),1),"0%"),"OK")))</f>
        <v/>
      </c>
      <c r="BA23" s="33" t="str">
        <f aca="false">IF(OR(D23="",H23=""),"",IF(H23&lt;=IF(OR(D23="Soldier Pile &amp; Timber Lagging",D23="Trench Shoring Box",D23="Open Cut (battered)"),SG_Criteria!$B$34,SG_Criteria!$B$33),"No ERSS submission",IF(H23&lt;=SG_Criteria!$B$35,"QP(ST)",IF(H23&lt;=SG_Criteria!$B$36,"QP(ST) + AC","Geotechnical building works: QP(Geo) + AC"))))</f>
        <v/>
      </c>
      <c r="BB23" s="33" t="str">
        <f aca="false">IF(D23="","",IF(LEN(IF(AND(R23&lt;&gt;"",R23&lt;SG_Criteria!$B$37),"FAIL: base stability FOS &lt; "&amp;SG_Criteria!$B$37&amp;". ","")&amp;IF(AND(E23="Manhole",H23&gt;SG_Criteria!$B$36),"NOTE: BCA lists sewer manholes (pipe &lt;= 2 m dia) &gt; 6 m as non-GBW: QP(ST) + AC. ","")&amp;IF(AND(D23="Trench Shoring Box",I23="Kallang Formation (marine clay)"),"NOTE: check base heave / ground loss for shoring box in marine clay. ","")&amp;IF(AND(D23="Steel Sheet Pile Cofferdam",N(N23)&lt;H23*0.5),"NOTE: short toe embedment, check. ",""))=0,"OK",IF(AND(R23&lt;&gt;"",R23&lt;SG_Criteria!$B$37),"FAIL: base stability FOS &lt; "&amp;SG_Criteria!$B$37&amp;". ","")&amp;IF(AND(E23="Manhole",H23&gt;SG_Criteria!$B$36),"NOTE: BCA lists sewer manholes (pipe &lt;= 2 m dia) &gt; 6 m as non-GBW: QP(ST) + AC. ","")&amp;IF(AND(D23="Trench Shoring Box",I23="Kallang Formation (marine clay)"),"NOTE: check base heave / ground loss for shoring box in marine clay. ","")&amp;IF(AND(D23="Steel Sheet Pile Cofferdam",N(N23)&lt;H23*0.5),"NOTE: short toe embedment, check. ","")))</f>
        <v/>
      </c>
      <c r="BC23" s="9"/>
      <c r="BD23" s="9"/>
      <c r="BE23" s="9"/>
      <c r="BF23" s="10" t="str">
        <f aca="false">IF(BE23="","",IFERROR(VLOOKUP(BE23,Projects!$A$5:$D$504,2,0),"Ref not in Projects"))</f>
        <v/>
      </c>
      <c r="BG23" s="10" t="str">
        <f aca="false">IF(BE23="","",IFERROR(VLOOKUP(BE23,Projects!$A$5:$D$504,4,0),"Ref not in Projects"))</f>
        <v/>
      </c>
      <c r="BH23" s="9"/>
      <c r="BI23" s="9"/>
      <c r="BJ23" s="9"/>
      <c r="BK23" s="40"/>
      <c r="BL23" s="9"/>
      <c r="BM23" s="40"/>
      <c r="BN23" s="9"/>
      <c r="BO23" s="40"/>
      <c r="BP23" s="9"/>
      <c r="BQ23" s="9"/>
      <c r="BR23" s="9"/>
      <c r="BS23" s="40"/>
      <c r="BT23" s="40"/>
      <c r="BU23" s="36" t="str">
        <f aca="false">IF(BT23="","",EDATE(BT23,SG_Criteria!$B$54*12))</f>
        <v/>
      </c>
      <c r="BV23" s="33" t="str">
        <f aca="true">IF(A23="","",IF(BT23="","NOTE: not reviewed yet",IF(TODAY()&gt;BU23,"NOTE: review overdue","OK")))</f>
        <v/>
      </c>
      <c r="BW23" s="37" t="str">
        <f aca="false">IF(A23="","",ROUND((IF(LEN(D23)&gt;0,1,0)+IF(LEN(E23)&gt;0,1,0)+IF(LEN(F23)&gt;0,1,0)+IF(LEN(G23)&gt;0,1,0)+IF(LEN(H23)&gt;0,1,0)+IF(LEN(I23)&gt;0,1,0)+IF(LEN(J23)&gt;0,1,0)+IF(LEN(L23)&gt;0,1,0)+IF(LEN(R23)&gt;0,1,0)+IF(LEN(Y23)&gt;0,1,0)+IF(LEN(AE23)&gt;0,1,0)+IF(LEN(AG23)&gt;0,1,0)+IF(LEN(AH23)&gt;0,1,0)+IF(LEN(AI23)&gt;0,1,0)+IF(LEN(AJ23)&gt;0,1,0)+IF(LEN(AS23)&gt;0,1,0)+IF(LEN(BE23)&gt;0,1,0)+IF(LEN(BR23)&gt;0,1,0))/18,2))</f>
        <v/>
      </c>
      <c r="BX23" s="10" t="str">
        <f aca="false">IF(D23="","",IF(AND(AH23="Approved",ISERROR(SEARCH("FAIL",BB23))),"Y","N"))</f>
        <v/>
      </c>
      <c r="BY23" s="10" t="str">
        <f aca="false">IF(D23="","",D23&amp;"|"&amp;H23&amp;"|"&amp;F23&amp;"|"&amp;I23&amp;"|"&amp;BX23)</f>
        <v/>
      </c>
    </row>
    <row r="24" customFormat="false" ht="15" hidden="false" customHeight="false" outlineLevel="0" collapsed="false">
      <c r="A24" s="10" t="str">
        <f aca="false">IF(D24="","","ERSS-"&amp;IFERROR(VLOOKUP(D24,Lists!$AK$4:$AL$21,2,0),"??")&amp;"-"&amp;TEXT(F24,"0000")&amp;"x"&amp;TEXT(G24,"0000")&amp;"-D"&amp;TEXT(H24*1000,"0000")&amp;"-"&amp;IFERROR(VLOOKUP(I24,Lists!$Y$4:$Z$21,2,0),"??")&amp;"-"&amp;AG24)</f>
        <v/>
      </c>
      <c r="B24" s="10" t="str">
        <f aca="false">IF(D24="","",D24&amp;" for "&amp;E24&amp;", "&amp;F24&amp;" x "&amp;G24&amp;" pit, "&amp;TEXT(H24,"0.0")&amp;" m deep, "&amp;I24)</f>
        <v/>
      </c>
      <c r="C24" s="9"/>
      <c r="D24" s="9"/>
      <c r="E24" s="9"/>
      <c r="F24" s="38"/>
      <c r="G24" s="38"/>
      <c r="H24" s="42"/>
      <c r="I24" s="9"/>
      <c r="J24" s="42"/>
      <c r="K24" s="38"/>
      <c r="L24" s="9"/>
      <c r="M24" s="42"/>
      <c r="N24" s="42"/>
      <c r="O24" s="38"/>
      <c r="P24" s="9"/>
      <c r="Q24" s="9"/>
      <c r="R24" s="39"/>
      <c r="S24" s="39"/>
      <c r="T24" s="38"/>
      <c r="U24" s="38"/>
      <c r="V24" s="38"/>
      <c r="W24" s="9"/>
      <c r="X24" s="9"/>
      <c r="Y24" s="38"/>
      <c r="Z24" s="9"/>
      <c r="AA24" s="9"/>
      <c r="AB24" s="38"/>
      <c r="AC24" s="9"/>
      <c r="AD24" s="39"/>
      <c r="AE24" s="9"/>
      <c r="AF24" s="9"/>
      <c r="AG24" s="9"/>
      <c r="AH24" s="9"/>
      <c r="AI24" s="9"/>
      <c r="AJ24" s="9"/>
      <c r="AK24" s="9"/>
      <c r="AL24" s="10" t="str">
        <f aca="false">IF(A24="","",SG_Criteria!$B$6&amp;SG_Criteria!$B$11&amp;"\"&amp;A24&amp;"\")</f>
        <v/>
      </c>
      <c r="AM24" s="10" t="str">
        <f aca="false">IF(A24="","",A24&amp;"_CAD.dwg")</f>
        <v/>
      </c>
      <c r="AN24" s="10" t="str">
        <f aca="false">IF(A24="","",A24&amp;"_DWG.pdf")</f>
        <v/>
      </c>
      <c r="AO24" s="10" t="str">
        <f aca="false">IF(A24="","",IF(AK24="Y",A24&amp;"_STAAD.std","n/a"))</f>
        <v/>
      </c>
      <c r="AP24" s="10" t="str">
        <f aca="false">IF(A24="","",A24&amp;"_CALC.xlsx")</f>
        <v/>
      </c>
      <c r="AQ24" s="10" t="str">
        <f aca="false">IF(A24="","",A24&amp;"_CALC.pdf")</f>
        <v/>
      </c>
      <c r="AR24" s="9"/>
      <c r="AS24" s="9"/>
      <c r="AT24" s="39"/>
      <c r="AU24" s="39"/>
      <c r="AV24" s="39"/>
      <c r="AW24" s="39"/>
      <c r="AX24" s="39"/>
      <c r="AY24" s="12" t="str">
        <f aca="false">IF(A24="","",IF(COUNTIF(Rebar_Schedule!$A$5:$A$2004,A24)=0,"",ROUND(SUMIF(Rebar_Schedule!$A$5:$A$2004,A24,Rebar_Schedule!$K$5:$K$2004),1)))</f>
        <v/>
      </c>
      <c r="AZ24" s="33" t="str">
        <f aca="false">IF(A24="","",IF(AY24="","No rebar schedule yet",IF(ABS(AY24-N(AU24))/MAX(N(AU24),1)&gt;SG_Criteria!$B$55,"NOTE: register rebar differs from schedule by "&amp;TEXT(ABS(AY24-N(AU24))/MAX(N(AU24),1),"0%"),"OK")))</f>
        <v/>
      </c>
      <c r="BA24" s="33" t="str">
        <f aca="false">IF(OR(D24="",H24=""),"",IF(H24&lt;=IF(OR(D24="Soldier Pile &amp; Timber Lagging",D24="Trench Shoring Box",D24="Open Cut (battered)"),SG_Criteria!$B$34,SG_Criteria!$B$33),"No ERSS submission",IF(H24&lt;=SG_Criteria!$B$35,"QP(ST)",IF(H24&lt;=SG_Criteria!$B$36,"QP(ST) + AC","Geotechnical building works: QP(Geo) + AC"))))</f>
        <v/>
      </c>
      <c r="BB24" s="33" t="str">
        <f aca="false">IF(D24="","",IF(LEN(IF(AND(R24&lt;&gt;"",R24&lt;SG_Criteria!$B$37),"FAIL: base stability FOS &lt; "&amp;SG_Criteria!$B$37&amp;". ","")&amp;IF(AND(E24="Manhole",H24&gt;SG_Criteria!$B$36),"NOTE: BCA lists sewer manholes (pipe &lt;= 2 m dia) &gt; 6 m as non-GBW: QP(ST) + AC. ","")&amp;IF(AND(D24="Trench Shoring Box",I24="Kallang Formation (marine clay)"),"NOTE: check base heave / ground loss for shoring box in marine clay. ","")&amp;IF(AND(D24="Steel Sheet Pile Cofferdam",N(N24)&lt;H24*0.5),"NOTE: short toe embedment, check. ",""))=0,"OK",IF(AND(R24&lt;&gt;"",R24&lt;SG_Criteria!$B$37),"FAIL: base stability FOS &lt; "&amp;SG_Criteria!$B$37&amp;". ","")&amp;IF(AND(E24="Manhole",H24&gt;SG_Criteria!$B$36),"NOTE: BCA lists sewer manholes (pipe &lt;= 2 m dia) &gt; 6 m as non-GBW: QP(ST) + AC. ","")&amp;IF(AND(D24="Trench Shoring Box",I24="Kallang Formation (marine clay)"),"NOTE: check base heave / ground loss for shoring box in marine clay. ","")&amp;IF(AND(D24="Steel Sheet Pile Cofferdam",N(N24)&lt;H24*0.5),"NOTE: short toe embedment, check. ","")))</f>
        <v/>
      </c>
      <c r="BC24" s="9"/>
      <c r="BD24" s="9"/>
      <c r="BE24" s="9"/>
      <c r="BF24" s="10" t="str">
        <f aca="false">IF(BE24="","",IFERROR(VLOOKUP(BE24,Projects!$A$5:$D$504,2,0),"Ref not in Projects"))</f>
        <v/>
      </c>
      <c r="BG24" s="10" t="str">
        <f aca="false">IF(BE24="","",IFERROR(VLOOKUP(BE24,Projects!$A$5:$D$504,4,0),"Ref not in Projects"))</f>
        <v/>
      </c>
      <c r="BH24" s="9"/>
      <c r="BI24" s="9"/>
      <c r="BJ24" s="9"/>
      <c r="BK24" s="40"/>
      <c r="BL24" s="9"/>
      <c r="BM24" s="40"/>
      <c r="BN24" s="9"/>
      <c r="BO24" s="40"/>
      <c r="BP24" s="9"/>
      <c r="BQ24" s="9"/>
      <c r="BR24" s="9"/>
      <c r="BS24" s="40"/>
      <c r="BT24" s="40"/>
      <c r="BU24" s="36" t="str">
        <f aca="false">IF(BT24="","",EDATE(BT24,SG_Criteria!$B$54*12))</f>
        <v/>
      </c>
      <c r="BV24" s="33" t="str">
        <f aca="true">IF(A24="","",IF(BT24="","NOTE: not reviewed yet",IF(TODAY()&gt;BU24,"NOTE: review overdue","OK")))</f>
        <v/>
      </c>
      <c r="BW24" s="37" t="str">
        <f aca="false">IF(A24="","",ROUND((IF(LEN(D24)&gt;0,1,0)+IF(LEN(E24)&gt;0,1,0)+IF(LEN(F24)&gt;0,1,0)+IF(LEN(G24)&gt;0,1,0)+IF(LEN(H24)&gt;0,1,0)+IF(LEN(I24)&gt;0,1,0)+IF(LEN(J24)&gt;0,1,0)+IF(LEN(L24)&gt;0,1,0)+IF(LEN(R24)&gt;0,1,0)+IF(LEN(Y24)&gt;0,1,0)+IF(LEN(AE24)&gt;0,1,0)+IF(LEN(AG24)&gt;0,1,0)+IF(LEN(AH24)&gt;0,1,0)+IF(LEN(AI24)&gt;0,1,0)+IF(LEN(AJ24)&gt;0,1,0)+IF(LEN(AS24)&gt;0,1,0)+IF(LEN(BE24)&gt;0,1,0)+IF(LEN(BR24)&gt;0,1,0))/18,2))</f>
        <v/>
      </c>
      <c r="BX24" s="10" t="str">
        <f aca="false">IF(D24="","",IF(AND(AH24="Approved",ISERROR(SEARCH("FAIL",BB24))),"Y","N"))</f>
        <v/>
      </c>
      <c r="BY24" s="10" t="str">
        <f aca="false">IF(D24="","",D24&amp;"|"&amp;H24&amp;"|"&amp;F24&amp;"|"&amp;I24&amp;"|"&amp;BX24)</f>
        <v/>
      </c>
    </row>
    <row r="25" customFormat="false" ht="15" hidden="false" customHeight="false" outlineLevel="0" collapsed="false">
      <c r="A25" s="10" t="str">
        <f aca="false">IF(D25="","","ERSS-"&amp;IFERROR(VLOOKUP(D25,Lists!$AK$4:$AL$21,2,0),"??")&amp;"-"&amp;TEXT(F25,"0000")&amp;"x"&amp;TEXT(G25,"0000")&amp;"-D"&amp;TEXT(H25*1000,"0000")&amp;"-"&amp;IFERROR(VLOOKUP(I25,Lists!$Y$4:$Z$21,2,0),"??")&amp;"-"&amp;AG25)</f>
        <v/>
      </c>
      <c r="B25" s="10" t="str">
        <f aca="false">IF(D25="","",D25&amp;" for "&amp;E25&amp;", "&amp;F25&amp;" x "&amp;G25&amp;" pit, "&amp;TEXT(H25,"0.0")&amp;" m deep, "&amp;I25)</f>
        <v/>
      </c>
      <c r="C25" s="9"/>
      <c r="D25" s="9"/>
      <c r="E25" s="9"/>
      <c r="F25" s="38"/>
      <c r="G25" s="38"/>
      <c r="H25" s="42"/>
      <c r="I25" s="9"/>
      <c r="J25" s="42"/>
      <c r="K25" s="38"/>
      <c r="L25" s="9"/>
      <c r="M25" s="42"/>
      <c r="N25" s="42"/>
      <c r="O25" s="38"/>
      <c r="P25" s="9"/>
      <c r="Q25" s="9"/>
      <c r="R25" s="39"/>
      <c r="S25" s="39"/>
      <c r="T25" s="38"/>
      <c r="U25" s="38"/>
      <c r="V25" s="38"/>
      <c r="W25" s="9"/>
      <c r="X25" s="9"/>
      <c r="Y25" s="38"/>
      <c r="Z25" s="9"/>
      <c r="AA25" s="9"/>
      <c r="AB25" s="38"/>
      <c r="AC25" s="9"/>
      <c r="AD25" s="39"/>
      <c r="AE25" s="9"/>
      <c r="AF25" s="9"/>
      <c r="AG25" s="9"/>
      <c r="AH25" s="9"/>
      <c r="AI25" s="9"/>
      <c r="AJ25" s="9"/>
      <c r="AK25" s="9"/>
      <c r="AL25" s="10" t="str">
        <f aca="false">IF(A25="","",SG_Criteria!$B$6&amp;SG_Criteria!$B$11&amp;"\"&amp;A25&amp;"\")</f>
        <v/>
      </c>
      <c r="AM25" s="10" t="str">
        <f aca="false">IF(A25="","",A25&amp;"_CAD.dwg")</f>
        <v/>
      </c>
      <c r="AN25" s="10" t="str">
        <f aca="false">IF(A25="","",A25&amp;"_DWG.pdf")</f>
        <v/>
      </c>
      <c r="AO25" s="10" t="str">
        <f aca="false">IF(A25="","",IF(AK25="Y",A25&amp;"_STAAD.std","n/a"))</f>
        <v/>
      </c>
      <c r="AP25" s="10" t="str">
        <f aca="false">IF(A25="","",A25&amp;"_CALC.xlsx")</f>
        <v/>
      </c>
      <c r="AQ25" s="10" t="str">
        <f aca="false">IF(A25="","",A25&amp;"_CALC.pdf")</f>
        <v/>
      </c>
      <c r="AR25" s="9"/>
      <c r="AS25" s="9"/>
      <c r="AT25" s="39"/>
      <c r="AU25" s="39"/>
      <c r="AV25" s="39"/>
      <c r="AW25" s="39"/>
      <c r="AX25" s="39"/>
      <c r="AY25" s="12" t="str">
        <f aca="false">IF(A25="","",IF(COUNTIF(Rebar_Schedule!$A$5:$A$2004,A25)=0,"",ROUND(SUMIF(Rebar_Schedule!$A$5:$A$2004,A25,Rebar_Schedule!$K$5:$K$2004),1)))</f>
        <v/>
      </c>
      <c r="AZ25" s="33" t="str">
        <f aca="false">IF(A25="","",IF(AY25="","No rebar schedule yet",IF(ABS(AY25-N(AU25))/MAX(N(AU25),1)&gt;SG_Criteria!$B$55,"NOTE: register rebar differs from schedule by "&amp;TEXT(ABS(AY25-N(AU25))/MAX(N(AU25),1),"0%"),"OK")))</f>
        <v/>
      </c>
      <c r="BA25" s="33" t="str">
        <f aca="false">IF(OR(D25="",H25=""),"",IF(H25&lt;=IF(OR(D25="Soldier Pile &amp; Timber Lagging",D25="Trench Shoring Box",D25="Open Cut (battered)"),SG_Criteria!$B$34,SG_Criteria!$B$33),"No ERSS submission",IF(H25&lt;=SG_Criteria!$B$35,"QP(ST)",IF(H25&lt;=SG_Criteria!$B$36,"QP(ST) + AC","Geotechnical building works: QP(Geo) + AC"))))</f>
        <v/>
      </c>
      <c r="BB25" s="33" t="str">
        <f aca="false">IF(D25="","",IF(LEN(IF(AND(R25&lt;&gt;"",R25&lt;SG_Criteria!$B$37),"FAIL: base stability FOS &lt; "&amp;SG_Criteria!$B$37&amp;". ","")&amp;IF(AND(E25="Manhole",H25&gt;SG_Criteria!$B$36),"NOTE: BCA lists sewer manholes (pipe &lt;= 2 m dia) &gt; 6 m as non-GBW: QP(ST) + AC. ","")&amp;IF(AND(D25="Trench Shoring Box",I25="Kallang Formation (marine clay)"),"NOTE: check base heave / ground loss for shoring box in marine clay. ","")&amp;IF(AND(D25="Steel Sheet Pile Cofferdam",N(N25)&lt;H25*0.5),"NOTE: short toe embedment, check. ",""))=0,"OK",IF(AND(R25&lt;&gt;"",R25&lt;SG_Criteria!$B$37),"FAIL: base stability FOS &lt; "&amp;SG_Criteria!$B$37&amp;". ","")&amp;IF(AND(E25="Manhole",H25&gt;SG_Criteria!$B$36),"NOTE: BCA lists sewer manholes (pipe &lt;= 2 m dia) &gt; 6 m as non-GBW: QP(ST) + AC. ","")&amp;IF(AND(D25="Trench Shoring Box",I25="Kallang Formation (marine clay)"),"NOTE: check base heave / ground loss for shoring box in marine clay. ","")&amp;IF(AND(D25="Steel Sheet Pile Cofferdam",N(N25)&lt;H25*0.5),"NOTE: short toe embedment, check. ","")))</f>
        <v/>
      </c>
      <c r="BC25" s="9"/>
      <c r="BD25" s="9"/>
      <c r="BE25" s="9"/>
      <c r="BF25" s="10" t="str">
        <f aca="false">IF(BE25="","",IFERROR(VLOOKUP(BE25,Projects!$A$5:$D$504,2,0),"Ref not in Projects"))</f>
        <v/>
      </c>
      <c r="BG25" s="10" t="str">
        <f aca="false">IF(BE25="","",IFERROR(VLOOKUP(BE25,Projects!$A$5:$D$504,4,0),"Ref not in Projects"))</f>
        <v/>
      </c>
      <c r="BH25" s="9"/>
      <c r="BI25" s="9"/>
      <c r="BJ25" s="9"/>
      <c r="BK25" s="40"/>
      <c r="BL25" s="9"/>
      <c r="BM25" s="40"/>
      <c r="BN25" s="9"/>
      <c r="BO25" s="40"/>
      <c r="BP25" s="9"/>
      <c r="BQ25" s="9"/>
      <c r="BR25" s="9"/>
      <c r="BS25" s="40"/>
      <c r="BT25" s="40"/>
      <c r="BU25" s="36" t="str">
        <f aca="false">IF(BT25="","",EDATE(BT25,SG_Criteria!$B$54*12))</f>
        <v/>
      </c>
      <c r="BV25" s="33" t="str">
        <f aca="true">IF(A25="","",IF(BT25="","NOTE: not reviewed yet",IF(TODAY()&gt;BU25,"NOTE: review overdue","OK")))</f>
        <v/>
      </c>
      <c r="BW25" s="37" t="str">
        <f aca="false">IF(A25="","",ROUND((IF(LEN(D25)&gt;0,1,0)+IF(LEN(E25)&gt;0,1,0)+IF(LEN(F25)&gt;0,1,0)+IF(LEN(G25)&gt;0,1,0)+IF(LEN(H25)&gt;0,1,0)+IF(LEN(I25)&gt;0,1,0)+IF(LEN(J25)&gt;0,1,0)+IF(LEN(L25)&gt;0,1,0)+IF(LEN(R25)&gt;0,1,0)+IF(LEN(Y25)&gt;0,1,0)+IF(LEN(AE25)&gt;0,1,0)+IF(LEN(AG25)&gt;0,1,0)+IF(LEN(AH25)&gt;0,1,0)+IF(LEN(AI25)&gt;0,1,0)+IF(LEN(AJ25)&gt;0,1,0)+IF(LEN(AS25)&gt;0,1,0)+IF(LEN(BE25)&gt;0,1,0)+IF(LEN(BR25)&gt;0,1,0))/18,2))</f>
        <v/>
      </c>
      <c r="BX25" s="10" t="str">
        <f aca="false">IF(D25="","",IF(AND(AH25="Approved",ISERROR(SEARCH("FAIL",BB25))),"Y","N"))</f>
        <v/>
      </c>
      <c r="BY25" s="10" t="str">
        <f aca="false">IF(D25="","",D25&amp;"|"&amp;H25&amp;"|"&amp;F25&amp;"|"&amp;I25&amp;"|"&amp;BX25)</f>
        <v/>
      </c>
    </row>
    <row r="26" customFormat="false" ht="15" hidden="false" customHeight="false" outlineLevel="0" collapsed="false">
      <c r="A26" s="10" t="str">
        <f aca="false">IF(D26="","","ERSS-"&amp;IFERROR(VLOOKUP(D26,Lists!$AK$4:$AL$21,2,0),"??")&amp;"-"&amp;TEXT(F26,"0000")&amp;"x"&amp;TEXT(G26,"0000")&amp;"-D"&amp;TEXT(H26*1000,"0000")&amp;"-"&amp;IFERROR(VLOOKUP(I26,Lists!$Y$4:$Z$21,2,0),"??")&amp;"-"&amp;AG26)</f>
        <v/>
      </c>
      <c r="B26" s="10" t="str">
        <f aca="false">IF(D26="","",D26&amp;" for "&amp;E26&amp;", "&amp;F26&amp;" x "&amp;G26&amp;" pit, "&amp;TEXT(H26,"0.0")&amp;" m deep, "&amp;I26)</f>
        <v/>
      </c>
      <c r="C26" s="9"/>
      <c r="D26" s="9"/>
      <c r="E26" s="9"/>
      <c r="F26" s="38"/>
      <c r="G26" s="38"/>
      <c r="H26" s="42"/>
      <c r="I26" s="9"/>
      <c r="J26" s="42"/>
      <c r="K26" s="38"/>
      <c r="L26" s="9"/>
      <c r="M26" s="42"/>
      <c r="N26" s="42"/>
      <c r="O26" s="38"/>
      <c r="P26" s="9"/>
      <c r="Q26" s="9"/>
      <c r="R26" s="39"/>
      <c r="S26" s="39"/>
      <c r="T26" s="38"/>
      <c r="U26" s="38"/>
      <c r="V26" s="38"/>
      <c r="W26" s="9"/>
      <c r="X26" s="9"/>
      <c r="Y26" s="38"/>
      <c r="Z26" s="9"/>
      <c r="AA26" s="9"/>
      <c r="AB26" s="38"/>
      <c r="AC26" s="9"/>
      <c r="AD26" s="39"/>
      <c r="AE26" s="9"/>
      <c r="AF26" s="9"/>
      <c r="AG26" s="9"/>
      <c r="AH26" s="9"/>
      <c r="AI26" s="9"/>
      <c r="AJ26" s="9"/>
      <c r="AK26" s="9"/>
      <c r="AL26" s="10" t="str">
        <f aca="false">IF(A26="","",SG_Criteria!$B$6&amp;SG_Criteria!$B$11&amp;"\"&amp;A26&amp;"\")</f>
        <v/>
      </c>
      <c r="AM26" s="10" t="str">
        <f aca="false">IF(A26="","",A26&amp;"_CAD.dwg")</f>
        <v/>
      </c>
      <c r="AN26" s="10" t="str">
        <f aca="false">IF(A26="","",A26&amp;"_DWG.pdf")</f>
        <v/>
      </c>
      <c r="AO26" s="10" t="str">
        <f aca="false">IF(A26="","",IF(AK26="Y",A26&amp;"_STAAD.std","n/a"))</f>
        <v/>
      </c>
      <c r="AP26" s="10" t="str">
        <f aca="false">IF(A26="","",A26&amp;"_CALC.xlsx")</f>
        <v/>
      </c>
      <c r="AQ26" s="10" t="str">
        <f aca="false">IF(A26="","",A26&amp;"_CALC.pdf")</f>
        <v/>
      </c>
      <c r="AR26" s="9"/>
      <c r="AS26" s="9"/>
      <c r="AT26" s="39"/>
      <c r="AU26" s="39"/>
      <c r="AV26" s="39"/>
      <c r="AW26" s="39"/>
      <c r="AX26" s="39"/>
      <c r="AY26" s="12" t="str">
        <f aca="false">IF(A26="","",IF(COUNTIF(Rebar_Schedule!$A$5:$A$2004,A26)=0,"",ROUND(SUMIF(Rebar_Schedule!$A$5:$A$2004,A26,Rebar_Schedule!$K$5:$K$2004),1)))</f>
        <v/>
      </c>
      <c r="AZ26" s="33" t="str">
        <f aca="false">IF(A26="","",IF(AY26="","No rebar schedule yet",IF(ABS(AY26-N(AU26))/MAX(N(AU26),1)&gt;SG_Criteria!$B$55,"NOTE: register rebar differs from schedule by "&amp;TEXT(ABS(AY26-N(AU26))/MAX(N(AU26),1),"0%"),"OK")))</f>
        <v/>
      </c>
      <c r="BA26" s="33" t="str">
        <f aca="false">IF(OR(D26="",H26=""),"",IF(H26&lt;=IF(OR(D26="Soldier Pile &amp; Timber Lagging",D26="Trench Shoring Box",D26="Open Cut (battered)"),SG_Criteria!$B$34,SG_Criteria!$B$33),"No ERSS submission",IF(H26&lt;=SG_Criteria!$B$35,"QP(ST)",IF(H26&lt;=SG_Criteria!$B$36,"QP(ST) + AC","Geotechnical building works: QP(Geo) + AC"))))</f>
        <v/>
      </c>
      <c r="BB26" s="33" t="str">
        <f aca="false">IF(D26="","",IF(LEN(IF(AND(R26&lt;&gt;"",R26&lt;SG_Criteria!$B$37),"FAIL: base stability FOS &lt; "&amp;SG_Criteria!$B$37&amp;". ","")&amp;IF(AND(E26="Manhole",H26&gt;SG_Criteria!$B$36),"NOTE: BCA lists sewer manholes (pipe &lt;= 2 m dia) &gt; 6 m as non-GBW: QP(ST) + AC. ","")&amp;IF(AND(D26="Trench Shoring Box",I26="Kallang Formation (marine clay)"),"NOTE: check base heave / ground loss for shoring box in marine clay. ","")&amp;IF(AND(D26="Steel Sheet Pile Cofferdam",N(N26)&lt;H26*0.5),"NOTE: short toe embedment, check. ",""))=0,"OK",IF(AND(R26&lt;&gt;"",R26&lt;SG_Criteria!$B$37),"FAIL: base stability FOS &lt; "&amp;SG_Criteria!$B$37&amp;". ","")&amp;IF(AND(E26="Manhole",H26&gt;SG_Criteria!$B$36),"NOTE: BCA lists sewer manholes (pipe &lt;= 2 m dia) &gt; 6 m as non-GBW: QP(ST) + AC. ","")&amp;IF(AND(D26="Trench Shoring Box",I26="Kallang Formation (marine clay)"),"NOTE: check base heave / ground loss for shoring box in marine clay. ","")&amp;IF(AND(D26="Steel Sheet Pile Cofferdam",N(N26)&lt;H26*0.5),"NOTE: short toe embedment, check. ","")))</f>
        <v/>
      </c>
      <c r="BC26" s="9"/>
      <c r="BD26" s="9"/>
      <c r="BE26" s="9"/>
      <c r="BF26" s="10" t="str">
        <f aca="false">IF(BE26="","",IFERROR(VLOOKUP(BE26,Projects!$A$5:$D$504,2,0),"Ref not in Projects"))</f>
        <v/>
      </c>
      <c r="BG26" s="10" t="str">
        <f aca="false">IF(BE26="","",IFERROR(VLOOKUP(BE26,Projects!$A$5:$D$504,4,0),"Ref not in Projects"))</f>
        <v/>
      </c>
      <c r="BH26" s="9"/>
      <c r="BI26" s="9"/>
      <c r="BJ26" s="9"/>
      <c r="BK26" s="40"/>
      <c r="BL26" s="9"/>
      <c r="BM26" s="40"/>
      <c r="BN26" s="9"/>
      <c r="BO26" s="40"/>
      <c r="BP26" s="9"/>
      <c r="BQ26" s="9"/>
      <c r="BR26" s="9"/>
      <c r="BS26" s="40"/>
      <c r="BT26" s="40"/>
      <c r="BU26" s="36" t="str">
        <f aca="false">IF(BT26="","",EDATE(BT26,SG_Criteria!$B$54*12))</f>
        <v/>
      </c>
      <c r="BV26" s="33" t="str">
        <f aca="true">IF(A26="","",IF(BT26="","NOTE: not reviewed yet",IF(TODAY()&gt;BU26,"NOTE: review overdue","OK")))</f>
        <v/>
      </c>
      <c r="BW26" s="37" t="str">
        <f aca="false">IF(A26="","",ROUND((IF(LEN(D26)&gt;0,1,0)+IF(LEN(E26)&gt;0,1,0)+IF(LEN(F26)&gt;0,1,0)+IF(LEN(G26)&gt;0,1,0)+IF(LEN(H26)&gt;0,1,0)+IF(LEN(I26)&gt;0,1,0)+IF(LEN(J26)&gt;0,1,0)+IF(LEN(L26)&gt;0,1,0)+IF(LEN(R26)&gt;0,1,0)+IF(LEN(Y26)&gt;0,1,0)+IF(LEN(AE26)&gt;0,1,0)+IF(LEN(AG26)&gt;0,1,0)+IF(LEN(AH26)&gt;0,1,0)+IF(LEN(AI26)&gt;0,1,0)+IF(LEN(AJ26)&gt;0,1,0)+IF(LEN(AS26)&gt;0,1,0)+IF(LEN(BE26)&gt;0,1,0)+IF(LEN(BR26)&gt;0,1,0))/18,2))</f>
        <v/>
      </c>
      <c r="BX26" s="10" t="str">
        <f aca="false">IF(D26="","",IF(AND(AH26="Approved",ISERROR(SEARCH("FAIL",BB26))),"Y","N"))</f>
        <v/>
      </c>
      <c r="BY26" s="10" t="str">
        <f aca="false">IF(D26="","",D26&amp;"|"&amp;H26&amp;"|"&amp;F26&amp;"|"&amp;I26&amp;"|"&amp;BX26)</f>
        <v/>
      </c>
    </row>
    <row r="27" customFormat="false" ht="15" hidden="false" customHeight="false" outlineLevel="0" collapsed="false">
      <c r="A27" s="10" t="str">
        <f aca="false">IF(D27="","","ERSS-"&amp;IFERROR(VLOOKUP(D27,Lists!$AK$4:$AL$21,2,0),"??")&amp;"-"&amp;TEXT(F27,"0000")&amp;"x"&amp;TEXT(G27,"0000")&amp;"-D"&amp;TEXT(H27*1000,"0000")&amp;"-"&amp;IFERROR(VLOOKUP(I27,Lists!$Y$4:$Z$21,2,0),"??")&amp;"-"&amp;AG27)</f>
        <v/>
      </c>
      <c r="B27" s="10" t="str">
        <f aca="false">IF(D27="","",D27&amp;" for "&amp;E27&amp;", "&amp;F27&amp;" x "&amp;G27&amp;" pit, "&amp;TEXT(H27,"0.0")&amp;" m deep, "&amp;I27)</f>
        <v/>
      </c>
      <c r="C27" s="9"/>
      <c r="D27" s="9"/>
      <c r="E27" s="9"/>
      <c r="F27" s="38"/>
      <c r="G27" s="38"/>
      <c r="H27" s="42"/>
      <c r="I27" s="9"/>
      <c r="J27" s="42"/>
      <c r="K27" s="38"/>
      <c r="L27" s="9"/>
      <c r="M27" s="42"/>
      <c r="N27" s="42"/>
      <c r="O27" s="38"/>
      <c r="P27" s="9"/>
      <c r="Q27" s="9"/>
      <c r="R27" s="39"/>
      <c r="S27" s="39"/>
      <c r="T27" s="38"/>
      <c r="U27" s="38"/>
      <c r="V27" s="38"/>
      <c r="W27" s="9"/>
      <c r="X27" s="9"/>
      <c r="Y27" s="38"/>
      <c r="Z27" s="9"/>
      <c r="AA27" s="9"/>
      <c r="AB27" s="38"/>
      <c r="AC27" s="9"/>
      <c r="AD27" s="39"/>
      <c r="AE27" s="9"/>
      <c r="AF27" s="9"/>
      <c r="AG27" s="9"/>
      <c r="AH27" s="9"/>
      <c r="AI27" s="9"/>
      <c r="AJ27" s="9"/>
      <c r="AK27" s="9"/>
      <c r="AL27" s="10" t="str">
        <f aca="false">IF(A27="","",SG_Criteria!$B$6&amp;SG_Criteria!$B$11&amp;"\"&amp;A27&amp;"\")</f>
        <v/>
      </c>
      <c r="AM27" s="10" t="str">
        <f aca="false">IF(A27="","",A27&amp;"_CAD.dwg")</f>
        <v/>
      </c>
      <c r="AN27" s="10" t="str">
        <f aca="false">IF(A27="","",A27&amp;"_DWG.pdf")</f>
        <v/>
      </c>
      <c r="AO27" s="10" t="str">
        <f aca="false">IF(A27="","",IF(AK27="Y",A27&amp;"_STAAD.std","n/a"))</f>
        <v/>
      </c>
      <c r="AP27" s="10" t="str">
        <f aca="false">IF(A27="","",A27&amp;"_CALC.xlsx")</f>
        <v/>
      </c>
      <c r="AQ27" s="10" t="str">
        <f aca="false">IF(A27="","",A27&amp;"_CALC.pdf")</f>
        <v/>
      </c>
      <c r="AR27" s="9"/>
      <c r="AS27" s="9"/>
      <c r="AT27" s="39"/>
      <c r="AU27" s="39"/>
      <c r="AV27" s="39"/>
      <c r="AW27" s="39"/>
      <c r="AX27" s="39"/>
      <c r="AY27" s="12" t="str">
        <f aca="false">IF(A27="","",IF(COUNTIF(Rebar_Schedule!$A$5:$A$2004,A27)=0,"",ROUND(SUMIF(Rebar_Schedule!$A$5:$A$2004,A27,Rebar_Schedule!$K$5:$K$2004),1)))</f>
        <v/>
      </c>
      <c r="AZ27" s="33" t="str">
        <f aca="false">IF(A27="","",IF(AY27="","No rebar schedule yet",IF(ABS(AY27-N(AU27))/MAX(N(AU27),1)&gt;SG_Criteria!$B$55,"NOTE: register rebar differs from schedule by "&amp;TEXT(ABS(AY27-N(AU27))/MAX(N(AU27),1),"0%"),"OK")))</f>
        <v/>
      </c>
      <c r="BA27" s="33" t="str">
        <f aca="false">IF(OR(D27="",H27=""),"",IF(H27&lt;=IF(OR(D27="Soldier Pile &amp; Timber Lagging",D27="Trench Shoring Box",D27="Open Cut (battered)"),SG_Criteria!$B$34,SG_Criteria!$B$33),"No ERSS submission",IF(H27&lt;=SG_Criteria!$B$35,"QP(ST)",IF(H27&lt;=SG_Criteria!$B$36,"QP(ST) + AC","Geotechnical building works: QP(Geo) + AC"))))</f>
        <v/>
      </c>
      <c r="BB27" s="33" t="str">
        <f aca="false">IF(D27="","",IF(LEN(IF(AND(R27&lt;&gt;"",R27&lt;SG_Criteria!$B$37),"FAIL: base stability FOS &lt; "&amp;SG_Criteria!$B$37&amp;". ","")&amp;IF(AND(E27="Manhole",H27&gt;SG_Criteria!$B$36),"NOTE: BCA lists sewer manholes (pipe &lt;= 2 m dia) &gt; 6 m as non-GBW: QP(ST) + AC. ","")&amp;IF(AND(D27="Trench Shoring Box",I27="Kallang Formation (marine clay)"),"NOTE: check base heave / ground loss for shoring box in marine clay. ","")&amp;IF(AND(D27="Steel Sheet Pile Cofferdam",N(N27)&lt;H27*0.5),"NOTE: short toe embedment, check. ",""))=0,"OK",IF(AND(R27&lt;&gt;"",R27&lt;SG_Criteria!$B$37),"FAIL: base stability FOS &lt; "&amp;SG_Criteria!$B$37&amp;". ","")&amp;IF(AND(E27="Manhole",H27&gt;SG_Criteria!$B$36),"NOTE: BCA lists sewer manholes (pipe &lt;= 2 m dia) &gt; 6 m as non-GBW: QP(ST) + AC. ","")&amp;IF(AND(D27="Trench Shoring Box",I27="Kallang Formation (marine clay)"),"NOTE: check base heave / ground loss for shoring box in marine clay. ","")&amp;IF(AND(D27="Steel Sheet Pile Cofferdam",N(N27)&lt;H27*0.5),"NOTE: short toe embedment, check. ","")))</f>
        <v/>
      </c>
      <c r="BC27" s="9"/>
      <c r="BD27" s="9"/>
      <c r="BE27" s="9"/>
      <c r="BF27" s="10" t="str">
        <f aca="false">IF(BE27="","",IFERROR(VLOOKUP(BE27,Projects!$A$5:$D$504,2,0),"Ref not in Projects"))</f>
        <v/>
      </c>
      <c r="BG27" s="10" t="str">
        <f aca="false">IF(BE27="","",IFERROR(VLOOKUP(BE27,Projects!$A$5:$D$504,4,0),"Ref not in Projects"))</f>
        <v/>
      </c>
      <c r="BH27" s="9"/>
      <c r="BI27" s="9"/>
      <c r="BJ27" s="9"/>
      <c r="BK27" s="40"/>
      <c r="BL27" s="9"/>
      <c r="BM27" s="40"/>
      <c r="BN27" s="9"/>
      <c r="BO27" s="40"/>
      <c r="BP27" s="9"/>
      <c r="BQ27" s="9"/>
      <c r="BR27" s="9"/>
      <c r="BS27" s="40"/>
      <c r="BT27" s="40"/>
      <c r="BU27" s="36" t="str">
        <f aca="false">IF(BT27="","",EDATE(BT27,SG_Criteria!$B$54*12))</f>
        <v/>
      </c>
      <c r="BV27" s="33" t="str">
        <f aca="true">IF(A27="","",IF(BT27="","NOTE: not reviewed yet",IF(TODAY()&gt;BU27,"NOTE: review overdue","OK")))</f>
        <v/>
      </c>
      <c r="BW27" s="37" t="str">
        <f aca="false">IF(A27="","",ROUND((IF(LEN(D27)&gt;0,1,0)+IF(LEN(E27)&gt;0,1,0)+IF(LEN(F27)&gt;0,1,0)+IF(LEN(G27)&gt;0,1,0)+IF(LEN(H27)&gt;0,1,0)+IF(LEN(I27)&gt;0,1,0)+IF(LEN(J27)&gt;0,1,0)+IF(LEN(L27)&gt;0,1,0)+IF(LEN(R27)&gt;0,1,0)+IF(LEN(Y27)&gt;0,1,0)+IF(LEN(AE27)&gt;0,1,0)+IF(LEN(AG27)&gt;0,1,0)+IF(LEN(AH27)&gt;0,1,0)+IF(LEN(AI27)&gt;0,1,0)+IF(LEN(AJ27)&gt;0,1,0)+IF(LEN(AS27)&gt;0,1,0)+IF(LEN(BE27)&gt;0,1,0)+IF(LEN(BR27)&gt;0,1,0))/18,2))</f>
        <v/>
      </c>
      <c r="BX27" s="10" t="str">
        <f aca="false">IF(D27="","",IF(AND(AH27="Approved",ISERROR(SEARCH("FAIL",BB27))),"Y","N"))</f>
        <v/>
      </c>
      <c r="BY27" s="10" t="str">
        <f aca="false">IF(D27="","",D27&amp;"|"&amp;H27&amp;"|"&amp;F27&amp;"|"&amp;I27&amp;"|"&amp;BX27)</f>
        <v/>
      </c>
    </row>
    <row r="28" customFormat="false" ht="15" hidden="false" customHeight="false" outlineLevel="0" collapsed="false">
      <c r="A28" s="10" t="str">
        <f aca="false">IF(D28="","","ERSS-"&amp;IFERROR(VLOOKUP(D28,Lists!$AK$4:$AL$21,2,0),"??")&amp;"-"&amp;TEXT(F28,"0000")&amp;"x"&amp;TEXT(G28,"0000")&amp;"-D"&amp;TEXT(H28*1000,"0000")&amp;"-"&amp;IFERROR(VLOOKUP(I28,Lists!$Y$4:$Z$21,2,0),"??")&amp;"-"&amp;AG28)</f>
        <v/>
      </c>
      <c r="B28" s="10" t="str">
        <f aca="false">IF(D28="","",D28&amp;" for "&amp;E28&amp;", "&amp;F28&amp;" x "&amp;G28&amp;" pit, "&amp;TEXT(H28,"0.0")&amp;" m deep, "&amp;I28)</f>
        <v/>
      </c>
      <c r="C28" s="9"/>
      <c r="D28" s="9"/>
      <c r="E28" s="9"/>
      <c r="F28" s="38"/>
      <c r="G28" s="38"/>
      <c r="H28" s="42"/>
      <c r="I28" s="9"/>
      <c r="J28" s="42"/>
      <c r="K28" s="38"/>
      <c r="L28" s="9"/>
      <c r="M28" s="42"/>
      <c r="N28" s="42"/>
      <c r="O28" s="38"/>
      <c r="P28" s="9"/>
      <c r="Q28" s="9"/>
      <c r="R28" s="39"/>
      <c r="S28" s="39"/>
      <c r="T28" s="38"/>
      <c r="U28" s="38"/>
      <c r="V28" s="38"/>
      <c r="W28" s="9"/>
      <c r="X28" s="9"/>
      <c r="Y28" s="38"/>
      <c r="Z28" s="9"/>
      <c r="AA28" s="9"/>
      <c r="AB28" s="38"/>
      <c r="AC28" s="9"/>
      <c r="AD28" s="39"/>
      <c r="AE28" s="9"/>
      <c r="AF28" s="9"/>
      <c r="AG28" s="9"/>
      <c r="AH28" s="9"/>
      <c r="AI28" s="9"/>
      <c r="AJ28" s="9"/>
      <c r="AK28" s="9"/>
      <c r="AL28" s="10" t="str">
        <f aca="false">IF(A28="","",SG_Criteria!$B$6&amp;SG_Criteria!$B$11&amp;"\"&amp;A28&amp;"\")</f>
        <v/>
      </c>
      <c r="AM28" s="10" t="str">
        <f aca="false">IF(A28="","",A28&amp;"_CAD.dwg")</f>
        <v/>
      </c>
      <c r="AN28" s="10" t="str">
        <f aca="false">IF(A28="","",A28&amp;"_DWG.pdf")</f>
        <v/>
      </c>
      <c r="AO28" s="10" t="str">
        <f aca="false">IF(A28="","",IF(AK28="Y",A28&amp;"_STAAD.std","n/a"))</f>
        <v/>
      </c>
      <c r="AP28" s="10" t="str">
        <f aca="false">IF(A28="","",A28&amp;"_CALC.xlsx")</f>
        <v/>
      </c>
      <c r="AQ28" s="10" t="str">
        <f aca="false">IF(A28="","",A28&amp;"_CALC.pdf")</f>
        <v/>
      </c>
      <c r="AR28" s="9"/>
      <c r="AS28" s="9"/>
      <c r="AT28" s="39"/>
      <c r="AU28" s="39"/>
      <c r="AV28" s="39"/>
      <c r="AW28" s="39"/>
      <c r="AX28" s="39"/>
      <c r="AY28" s="12" t="str">
        <f aca="false">IF(A28="","",IF(COUNTIF(Rebar_Schedule!$A$5:$A$2004,A28)=0,"",ROUND(SUMIF(Rebar_Schedule!$A$5:$A$2004,A28,Rebar_Schedule!$K$5:$K$2004),1)))</f>
        <v/>
      </c>
      <c r="AZ28" s="33" t="str">
        <f aca="false">IF(A28="","",IF(AY28="","No rebar schedule yet",IF(ABS(AY28-N(AU28))/MAX(N(AU28),1)&gt;SG_Criteria!$B$55,"NOTE: register rebar differs from schedule by "&amp;TEXT(ABS(AY28-N(AU28))/MAX(N(AU28),1),"0%"),"OK")))</f>
        <v/>
      </c>
      <c r="BA28" s="33" t="str">
        <f aca="false">IF(OR(D28="",H28=""),"",IF(H28&lt;=IF(OR(D28="Soldier Pile &amp; Timber Lagging",D28="Trench Shoring Box",D28="Open Cut (battered)"),SG_Criteria!$B$34,SG_Criteria!$B$33),"No ERSS submission",IF(H28&lt;=SG_Criteria!$B$35,"QP(ST)",IF(H28&lt;=SG_Criteria!$B$36,"QP(ST) + AC","Geotechnical building works: QP(Geo) + AC"))))</f>
        <v/>
      </c>
      <c r="BB28" s="33" t="str">
        <f aca="false">IF(D28="","",IF(LEN(IF(AND(R28&lt;&gt;"",R28&lt;SG_Criteria!$B$37),"FAIL: base stability FOS &lt; "&amp;SG_Criteria!$B$37&amp;". ","")&amp;IF(AND(E28="Manhole",H28&gt;SG_Criteria!$B$36),"NOTE: BCA lists sewer manholes (pipe &lt;= 2 m dia) &gt; 6 m as non-GBW: QP(ST) + AC. ","")&amp;IF(AND(D28="Trench Shoring Box",I28="Kallang Formation (marine clay)"),"NOTE: check base heave / ground loss for shoring box in marine clay. ","")&amp;IF(AND(D28="Steel Sheet Pile Cofferdam",N(N28)&lt;H28*0.5),"NOTE: short toe embedment, check. ",""))=0,"OK",IF(AND(R28&lt;&gt;"",R28&lt;SG_Criteria!$B$37),"FAIL: base stability FOS &lt; "&amp;SG_Criteria!$B$37&amp;". ","")&amp;IF(AND(E28="Manhole",H28&gt;SG_Criteria!$B$36),"NOTE: BCA lists sewer manholes (pipe &lt;= 2 m dia) &gt; 6 m as non-GBW: QP(ST) + AC. ","")&amp;IF(AND(D28="Trench Shoring Box",I28="Kallang Formation (marine clay)"),"NOTE: check base heave / ground loss for shoring box in marine clay. ","")&amp;IF(AND(D28="Steel Sheet Pile Cofferdam",N(N28)&lt;H28*0.5),"NOTE: short toe embedment, check. ","")))</f>
        <v/>
      </c>
      <c r="BC28" s="9"/>
      <c r="BD28" s="9"/>
      <c r="BE28" s="9"/>
      <c r="BF28" s="10" t="str">
        <f aca="false">IF(BE28="","",IFERROR(VLOOKUP(BE28,Projects!$A$5:$D$504,2,0),"Ref not in Projects"))</f>
        <v/>
      </c>
      <c r="BG28" s="10" t="str">
        <f aca="false">IF(BE28="","",IFERROR(VLOOKUP(BE28,Projects!$A$5:$D$504,4,0),"Ref not in Projects"))</f>
        <v/>
      </c>
      <c r="BH28" s="9"/>
      <c r="BI28" s="9"/>
      <c r="BJ28" s="9"/>
      <c r="BK28" s="40"/>
      <c r="BL28" s="9"/>
      <c r="BM28" s="40"/>
      <c r="BN28" s="9"/>
      <c r="BO28" s="40"/>
      <c r="BP28" s="9"/>
      <c r="BQ28" s="9"/>
      <c r="BR28" s="9"/>
      <c r="BS28" s="40"/>
      <c r="BT28" s="40"/>
      <c r="BU28" s="36" t="str">
        <f aca="false">IF(BT28="","",EDATE(BT28,SG_Criteria!$B$54*12))</f>
        <v/>
      </c>
      <c r="BV28" s="33" t="str">
        <f aca="true">IF(A28="","",IF(BT28="","NOTE: not reviewed yet",IF(TODAY()&gt;BU28,"NOTE: review overdue","OK")))</f>
        <v/>
      </c>
      <c r="BW28" s="37" t="str">
        <f aca="false">IF(A28="","",ROUND((IF(LEN(D28)&gt;0,1,0)+IF(LEN(E28)&gt;0,1,0)+IF(LEN(F28)&gt;0,1,0)+IF(LEN(G28)&gt;0,1,0)+IF(LEN(H28)&gt;0,1,0)+IF(LEN(I28)&gt;0,1,0)+IF(LEN(J28)&gt;0,1,0)+IF(LEN(L28)&gt;0,1,0)+IF(LEN(R28)&gt;0,1,0)+IF(LEN(Y28)&gt;0,1,0)+IF(LEN(AE28)&gt;0,1,0)+IF(LEN(AG28)&gt;0,1,0)+IF(LEN(AH28)&gt;0,1,0)+IF(LEN(AI28)&gt;0,1,0)+IF(LEN(AJ28)&gt;0,1,0)+IF(LEN(AS28)&gt;0,1,0)+IF(LEN(BE28)&gt;0,1,0)+IF(LEN(BR28)&gt;0,1,0))/18,2))</f>
        <v/>
      </c>
      <c r="BX28" s="10" t="str">
        <f aca="false">IF(D28="","",IF(AND(AH28="Approved",ISERROR(SEARCH("FAIL",BB28))),"Y","N"))</f>
        <v/>
      </c>
      <c r="BY28" s="10" t="str">
        <f aca="false">IF(D28="","",D28&amp;"|"&amp;H28&amp;"|"&amp;F28&amp;"|"&amp;I28&amp;"|"&amp;BX28)</f>
        <v/>
      </c>
    </row>
    <row r="29" customFormat="false" ht="15" hidden="false" customHeight="false" outlineLevel="0" collapsed="false">
      <c r="A29" s="10" t="str">
        <f aca="false">IF(D29="","","ERSS-"&amp;IFERROR(VLOOKUP(D29,Lists!$AK$4:$AL$21,2,0),"??")&amp;"-"&amp;TEXT(F29,"0000")&amp;"x"&amp;TEXT(G29,"0000")&amp;"-D"&amp;TEXT(H29*1000,"0000")&amp;"-"&amp;IFERROR(VLOOKUP(I29,Lists!$Y$4:$Z$21,2,0),"??")&amp;"-"&amp;AG29)</f>
        <v/>
      </c>
      <c r="B29" s="10" t="str">
        <f aca="false">IF(D29="","",D29&amp;" for "&amp;E29&amp;", "&amp;F29&amp;" x "&amp;G29&amp;" pit, "&amp;TEXT(H29,"0.0")&amp;" m deep, "&amp;I29)</f>
        <v/>
      </c>
      <c r="C29" s="9"/>
      <c r="D29" s="9"/>
      <c r="E29" s="9"/>
      <c r="F29" s="38"/>
      <c r="G29" s="38"/>
      <c r="H29" s="42"/>
      <c r="I29" s="9"/>
      <c r="J29" s="42"/>
      <c r="K29" s="38"/>
      <c r="L29" s="9"/>
      <c r="M29" s="42"/>
      <c r="N29" s="42"/>
      <c r="O29" s="38"/>
      <c r="P29" s="9"/>
      <c r="Q29" s="9"/>
      <c r="R29" s="39"/>
      <c r="S29" s="39"/>
      <c r="T29" s="38"/>
      <c r="U29" s="38"/>
      <c r="V29" s="38"/>
      <c r="W29" s="9"/>
      <c r="X29" s="9"/>
      <c r="Y29" s="38"/>
      <c r="Z29" s="9"/>
      <c r="AA29" s="9"/>
      <c r="AB29" s="38"/>
      <c r="AC29" s="9"/>
      <c r="AD29" s="39"/>
      <c r="AE29" s="9"/>
      <c r="AF29" s="9"/>
      <c r="AG29" s="9"/>
      <c r="AH29" s="9"/>
      <c r="AI29" s="9"/>
      <c r="AJ29" s="9"/>
      <c r="AK29" s="9"/>
      <c r="AL29" s="10" t="str">
        <f aca="false">IF(A29="","",SG_Criteria!$B$6&amp;SG_Criteria!$B$11&amp;"\"&amp;A29&amp;"\")</f>
        <v/>
      </c>
      <c r="AM29" s="10" t="str">
        <f aca="false">IF(A29="","",A29&amp;"_CAD.dwg")</f>
        <v/>
      </c>
      <c r="AN29" s="10" t="str">
        <f aca="false">IF(A29="","",A29&amp;"_DWG.pdf")</f>
        <v/>
      </c>
      <c r="AO29" s="10" t="str">
        <f aca="false">IF(A29="","",IF(AK29="Y",A29&amp;"_STAAD.std","n/a"))</f>
        <v/>
      </c>
      <c r="AP29" s="10" t="str">
        <f aca="false">IF(A29="","",A29&amp;"_CALC.xlsx")</f>
        <v/>
      </c>
      <c r="AQ29" s="10" t="str">
        <f aca="false">IF(A29="","",A29&amp;"_CALC.pdf")</f>
        <v/>
      </c>
      <c r="AR29" s="9"/>
      <c r="AS29" s="9"/>
      <c r="AT29" s="39"/>
      <c r="AU29" s="39"/>
      <c r="AV29" s="39"/>
      <c r="AW29" s="39"/>
      <c r="AX29" s="39"/>
      <c r="AY29" s="12" t="str">
        <f aca="false">IF(A29="","",IF(COUNTIF(Rebar_Schedule!$A$5:$A$2004,A29)=0,"",ROUND(SUMIF(Rebar_Schedule!$A$5:$A$2004,A29,Rebar_Schedule!$K$5:$K$2004),1)))</f>
        <v/>
      </c>
      <c r="AZ29" s="33" t="str">
        <f aca="false">IF(A29="","",IF(AY29="","No rebar schedule yet",IF(ABS(AY29-N(AU29))/MAX(N(AU29),1)&gt;SG_Criteria!$B$55,"NOTE: register rebar differs from schedule by "&amp;TEXT(ABS(AY29-N(AU29))/MAX(N(AU29),1),"0%"),"OK")))</f>
        <v/>
      </c>
      <c r="BA29" s="33" t="str">
        <f aca="false">IF(OR(D29="",H29=""),"",IF(H29&lt;=IF(OR(D29="Soldier Pile &amp; Timber Lagging",D29="Trench Shoring Box",D29="Open Cut (battered)"),SG_Criteria!$B$34,SG_Criteria!$B$33),"No ERSS submission",IF(H29&lt;=SG_Criteria!$B$35,"QP(ST)",IF(H29&lt;=SG_Criteria!$B$36,"QP(ST) + AC","Geotechnical building works: QP(Geo) + AC"))))</f>
        <v/>
      </c>
      <c r="BB29" s="33" t="str">
        <f aca="false">IF(D29="","",IF(LEN(IF(AND(R29&lt;&gt;"",R29&lt;SG_Criteria!$B$37),"FAIL: base stability FOS &lt; "&amp;SG_Criteria!$B$37&amp;". ","")&amp;IF(AND(E29="Manhole",H29&gt;SG_Criteria!$B$36),"NOTE: BCA lists sewer manholes (pipe &lt;= 2 m dia) &gt; 6 m as non-GBW: QP(ST) + AC. ","")&amp;IF(AND(D29="Trench Shoring Box",I29="Kallang Formation (marine clay)"),"NOTE: check base heave / ground loss for shoring box in marine clay. ","")&amp;IF(AND(D29="Steel Sheet Pile Cofferdam",N(N29)&lt;H29*0.5),"NOTE: short toe embedment, check. ",""))=0,"OK",IF(AND(R29&lt;&gt;"",R29&lt;SG_Criteria!$B$37),"FAIL: base stability FOS &lt; "&amp;SG_Criteria!$B$37&amp;". ","")&amp;IF(AND(E29="Manhole",H29&gt;SG_Criteria!$B$36),"NOTE: BCA lists sewer manholes (pipe &lt;= 2 m dia) &gt; 6 m as non-GBW: QP(ST) + AC. ","")&amp;IF(AND(D29="Trench Shoring Box",I29="Kallang Formation (marine clay)"),"NOTE: check base heave / ground loss for shoring box in marine clay. ","")&amp;IF(AND(D29="Steel Sheet Pile Cofferdam",N(N29)&lt;H29*0.5),"NOTE: short toe embedment, check. ","")))</f>
        <v/>
      </c>
      <c r="BC29" s="9"/>
      <c r="BD29" s="9"/>
      <c r="BE29" s="9"/>
      <c r="BF29" s="10" t="str">
        <f aca="false">IF(BE29="","",IFERROR(VLOOKUP(BE29,Projects!$A$5:$D$504,2,0),"Ref not in Projects"))</f>
        <v/>
      </c>
      <c r="BG29" s="10" t="str">
        <f aca="false">IF(BE29="","",IFERROR(VLOOKUP(BE29,Projects!$A$5:$D$504,4,0),"Ref not in Projects"))</f>
        <v/>
      </c>
      <c r="BH29" s="9"/>
      <c r="BI29" s="9"/>
      <c r="BJ29" s="9"/>
      <c r="BK29" s="40"/>
      <c r="BL29" s="9"/>
      <c r="BM29" s="40"/>
      <c r="BN29" s="9"/>
      <c r="BO29" s="40"/>
      <c r="BP29" s="9"/>
      <c r="BQ29" s="9"/>
      <c r="BR29" s="9"/>
      <c r="BS29" s="40"/>
      <c r="BT29" s="40"/>
      <c r="BU29" s="36" t="str">
        <f aca="false">IF(BT29="","",EDATE(BT29,SG_Criteria!$B$54*12))</f>
        <v/>
      </c>
      <c r="BV29" s="33" t="str">
        <f aca="true">IF(A29="","",IF(BT29="","NOTE: not reviewed yet",IF(TODAY()&gt;BU29,"NOTE: review overdue","OK")))</f>
        <v/>
      </c>
      <c r="BW29" s="37" t="str">
        <f aca="false">IF(A29="","",ROUND((IF(LEN(D29)&gt;0,1,0)+IF(LEN(E29)&gt;0,1,0)+IF(LEN(F29)&gt;0,1,0)+IF(LEN(G29)&gt;0,1,0)+IF(LEN(H29)&gt;0,1,0)+IF(LEN(I29)&gt;0,1,0)+IF(LEN(J29)&gt;0,1,0)+IF(LEN(L29)&gt;0,1,0)+IF(LEN(R29)&gt;0,1,0)+IF(LEN(Y29)&gt;0,1,0)+IF(LEN(AE29)&gt;0,1,0)+IF(LEN(AG29)&gt;0,1,0)+IF(LEN(AH29)&gt;0,1,0)+IF(LEN(AI29)&gt;0,1,0)+IF(LEN(AJ29)&gt;0,1,0)+IF(LEN(AS29)&gt;0,1,0)+IF(LEN(BE29)&gt;0,1,0)+IF(LEN(BR29)&gt;0,1,0))/18,2))</f>
        <v/>
      </c>
      <c r="BX29" s="10" t="str">
        <f aca="false">IF(D29="","",IF(AND(AH29="Approved",ISERROR(SEARCH("FAIL",BB29))),"Y","N"))</f>
        <v/>
      </c>
      <c r="BY29" s="10" t="str">
        <f aca="false">IF(D29="","",D29&amp;"|"&amp;H29&amp;"|"&amp;F29&amp;"|"&amp;I29&amp;"|"&amp;BX29)</f>
        <v/>
      </c>
    </row>
    <row r="30" customFormat="false" ht="15" hidden="false" customHeight="false" outlineLevel="0" collapsed="false">
      <c r="A30" s="10" t="str">
        <f aca="false">IF(D30="","","ERSS-"&amp;IFERROR(VLOOKUP(D30,Lists!$AK$4:$AL$21,2,0),"??")&amp;"-"&amp;TEXT(F30,"0000")&amp;"x"&amp;TEXT(G30,"0000")&amp;"-D"&amp;TEXT(H30*1000,"0000")&amp;"-"&amp;IFERROR(VLOOKUP(I30,Lists!$Y$4:$Z$21,2,0),"??")&amp;"-"&amp;AG30)</f>
        <v/>
      </c>
      <c r="B30" s="10" t="str">
        <f aca="false">IF(D30="","",D30&amp;" for "&amp;E30&amp;", "&amp;F30&amp;" x "&amp;G30&amp;" pit, "&amp;TEXT(H30,"0.0")&amp;" m deep, "&amp;I30)</f>
        <v/>
      </c>
      <c r="C30" s="9"/>
      <c r="D30" s="9"/>
      <c r="E30" s="9"/>
      <c r="F30" s="38"/>
      <c r="G30" s="38"/>
      <c r="H30" s="42"/>
      <c r="I30" s="9"/>
      <c r="J30" s="42"/>
      <c r="K30" s="38"/>
      <c r="L30" s="9"/>
      <c r="M30" s="42"/>
      <c r="N30" s="42"/>
      <c r="O30" s="38"/>
      <c r="P30" s="9"/>
      <c r="Q30" s="9"/>
      <c r="R30" s="39"/>
      <c r="S30" s="39"/>
      <c r="T30" s="38"/>
      <c r="U30" s="38"/>
      <c r="V30" s="38"/>
      <c r="W30" s="9"/>
      <c r="X30" s="9"/>
      <c r="Y30" s="38"/>
      <c r="Z30" s="9"/>
      <c r="AA30" s="9"/>
      <c r="AB30" s="38"/>
      <c r="AC30" s="9"/>
      <c r="AD30" s="39"/>
      <c r="AE30" s="9"/>
      <c r="AF30" s="9"/>
      <c r="AG30" s="9"/>
      <c r="AH30" s="9"/>
      <c r="AI30" s="9"/>
      <c r="AJ30" s="9"/>
      <c r="AK30" s="9"/>
      <c r="AL30" s="10" t="str">
        <f aca="false">IF(A30="","",SG_Criteria!$B$6&amp;SG_Criteria!$B$11&amp;"\"&amp;A30&amp;"\")</f>
        <v/>
      </c>
      <c r="AM30" s="10" t="str">
        <f aca="false">IF(A30="","",A30&amp;"_CAD.dwg")</f>
        <v/>
      </c>
      <c r="AN30" s="10" t="str">
        <f aca="false">IF(A30="","",A30&amp;"_DWG.pdf")</f>
        <v/>
      </c>
      <c r="AO30" s="10" t="str">
        <f aca="false">IF(A30="","",IF(AK30="Y",A30&amp;"_STAAD.std","n/a"))</f>
        <v/>
      </c>
      <c r="AP30" s="10" t="str">
        <f aca="false">IF(A30="","",A30&amp;"_CALC.xlsx")</f>
        <v/>
      </c>
      <c r="AQ30" s="10" t="str">
        <f aca="false">IF(A30="","",A30&amp;"_CALC.pdf")</f>
        <v/>
      </c>
      <c r="AR30" s="9"/>
      <c r="AS30" s="9"/>
      <c r="AT30" s="39"/>
      <c r="AU30" s="39"/>
      <c r="AV30" s="39"/>
      <c r="AW30" s="39"/>
      <c r="AX30" s="39"/>
      <c r="AY30" s="12" t="str">
        <f aca="false">IF(A30="","",IF(COUNTIF(Rebar_Schedule!$A$5:$A$2004,A30)=0,"",ROUND(SUMIF(Rebar_Schedule!$A$5:$A$2004,A30,Rebar_Schedule!$K$5:$K$2004),1)))</f>
        <v/>
      </c>
      <c r="AZ30" s="33" t="str">
        <f aca="false">IF(A30="","",IF(AY30="","No rebar schedule yet",IF(ABS(AY30-N(AU30))/MAX(N(AU30),1)&gt;SG_Criteria!$B$55,"NOTE: register rebar differs from schedule by "&amp;TEXT(ABS(AY30-N(AU30))/MAX(N(AU30),1),"0%"),"OK")))</f>
        <v/>
      </c>
      <c r="BA30" s="33" t="str">
        <f aca="false">IF(OR(D30="",H30=""),"",IF(H30&lt;=IF(OR(D30="Soldier Pile &amp; Timber Lagging",D30="Trench Shoring Box",D30="Open Cut (battered)"),SG_Criteria!$B$34,SG_Criteria!$B$33),"No ERSS submission",IF(H30&lt;=SG_Criteria!$B$35,"QP(ST)",IF(H30&lt;=SG_Criteria!$B$36,"QP(ST) + AC","Geotechnical building works: QP(Geo) + AC"))))</f>
        <v/>
      </c>
      <c r="BB30" s="33" t="str">
        <f aca="false">IF(D30="","",IF(LEN(IF(AND(R30&lt;&gt;"",R30&lt;SG_Criteria!$B$37),"FAIL: base stability FOS &lt; "&amp;SG_Criteria!$B$37&amp;". ","")&amp;IF(AND(E30="Manhole",H30&gt;SG_Criteria!$B$36),"NOTE: BCA lists sewer manholes (pipe &lt;= 2 m dia) &gt; 6 m as non-GBW: QP(ST) + AC. ","")&amp;IF(AND(D30="Trench Shoring Box",I30="Kallang Formation (marine clay)"),"NOTE: check base heave / ground loss for shoring box in marine clay. ","")&amp;IF(AND(D30="Steel Sheet Pile Cofferdam",N(N30)&lt;H30*0.5),"NOTE: short toe embedment, check. ",""))=0,"OK",IF(AND(R30&lt;&gt;"",R30&lt;SG_Criteria!$B$37),"FAIL: base stability FOS &lt; "&amp;SG_Criteria!$B$37&amp;". ","")&amp;IF(AND(E30="Manhole",H30&gt;SG_Criteria!$B$36),"NOTE: BCA lists sewer manholes (pipe &lt;= 2 m dia) &gt; 6 m as non-GBW: QP(ST) + AC. ","")&amp;IF(AND(D30="Trench Shoring Box",I30="Kallang Formation (marine clay)"),"NOTE: check base heave / ground loss for shoring box in marine clay. ","")&amp;IF(AND(D30="Steel Sheet Pile Cofferdam",N(N30)&lt;H30*0.5),"NOTE: short toe embedment, check. ","")))</f>
        <v/>
      </c>
      <c r="BC30" s="9"/>
      <c r="BD30" s="9"/>
      <c r="BE30" s="9"/>
      <c r="BF30" s="10" t="str">
        <f aca="false">IF(BE30="","",IFERROR(VLOOKUP(BE30,Projects!$A$5:$D$504,2,0),"Ref not in Projects"))</f>
        <v/>
      </c>
      <c r="BG30" s="10" t="str">
        <f aca="false">IF(BE30="","",IFERROR(VLOOKUP(BE30,Projects!$A$5:$D$504,4,0),"Ref not in Projects"))</f>
        <v/>
      </c>
      <c r="BH30" s="9"/>
      <c r="BI30" s="9"/>
      <c r="BJ30" s="9"/>
      <c r="BK30" s="40"/>
      <c r="BL30" s="9"/>
      <c r="BM30" s="40"/>
      <c r="BN30" s="9"/>
      <c r="BO30" s="40"/>
      <c r="BP30" s="9"/>
      <c r="BQ30" s="9"/>
      <c r="BR30" s="9"/>
      <c r="BS30" s="40"/>
      <c r="BT30" s="40"/>
      <c r="BU30" s="36" t="str">
        <f aca="false">IF(BT30="","",EDATE(BT30,SG_Criteria!$B$54*12))</f>
        <v/>
      </c>
      <c r="BV30" s="33" t="str">
        <f aca="true">IF(A30="","",IF(BT30="","NOTE: not reviewed yet",IF(TODAY()&gt;BU30,"NOTE: review overdue","OK")))</f>
        <v/>
      </c>
      <c r="BW30" s="37" t="str">
        <f aca="false">IF(A30="","",ROUND((IF(LEN(D30)&gt;0,1,0)+IF(LEN(E30)&gt;0,1,0)+IF(LEN(F30)&gt;0,1,0)+IF(LEN(G30)&gt;0,1,0)+IF(LEN(H30)&gt;0,1,0)+IF(LEN(I30)&gt;0,1,0)+IF(LEN(J30)&gt;0,1,0)+IF(LEN(L30)&gt;0,1,0)+IF(LEN(R30)&gt;0,1,0)+IF(LEN(Y30)&gt;0,1,0)+IF(LEN(AE30)&gt;0,1,0)+IF(LEN(AG30)&gt;0,1,0)+IF(LEN(AH30)&gt;0,1,0)+IF(LEN(AI30)&gt;0,1,0)+IF(LEN(AJ30)&gt;0,1,0)+IF(LEN(AS30)&gt;0,1,0)+IF(LEN(BE30)&gt;0,1,0)+IF(LEN(BR30)&gt;0,1,0))/18,2))</f>
        <v/>
      </c>
      <c r="BX30" s="10" t="str">
        <f aca="false">IF(D30="","",IF(AND(AH30="Approved",ISERROR(SEARCH("FAIL",BB30))),"Y","N"))</f>
        <v/>
      </c>
      <c r="BY30" s="10" t="str">
        <f aca="false">IF(D30="","",D30&amp;"|"&amp;H30&amp;"|"&amp;F30&amp;"|"&amp;I30&amp;"|"&amp;BX30)</f>
        <v/>
      </c>
    </row>
    <row r="31" customFormat="false" ht="15" hidden="false" customHeight="false" outlineLevel="0" collapsed="false">
      <c r="A31" s="10" t="str">
        <f aca="false">IF(D31="","","ERSS-"&amp;IFERROR(VLOOKUP(D31,Lists!$AK$4:$AL$21,2,0),"??")&amp;"-"&amp;TEXT(F31,"0000")&amp;"x"&amp;TEXT(G31,"0000")&amp;"-D"&amp;TEXT(H31*1000,"0000")&amp;"-"&amp;IFERROR(VLOOKUP(I31,Lists!$Y$4:$Z$21,2,0),"??")&amp;"-"&amp;AG31)</f>
        <v/>
      </c>
      <c r="B31" s="10" t="str">
        <f aca="false">IF(D31="","",D31&amp;" for "&amp;E31&amp;", "&amp;F31&amp;" x "&amp;G31&amp;" pit, "&amp;TEXT(H31,"0.0")&amp;" m deep, "&amp;I31)</f>
        <v/>
      </c>
      <c r="C31" s="9"/>
      <c r="D31" s="9"/>
      <c r="E31" s="9"/>
      <c r="F31" s="38"/>
      <c r="G31" s="38"/>
      <c r="H31" s="42"/>
      <c r="I31" s="9"/>
      <c r="J31" s="42"/>
      <c r="K31" s="38"/>
      <c r="L31" s="9"/>
      <c r="M31" s="42"/>
      <c r="N31" s="42"/>
      <c r="O31" s="38"/>
      <c r="P31" s="9"/>
      <c r="Q31" s="9"/>
      <c r="R31" s="39"/>
      <c r="S31" s="39"/>
      <c r="T31" s="38"/>
      <c r="U31" s="38"/>
      <c r="V31" s="38"/>
      <c r="W31" s="9"/>
      <c r="X31" s="9"/>
      <c r="Y31" s="38"/>
      <c r="Z31" s="9"/>
      <c r="AA31" s="9"/>
      <c r="AB31" s="38"/>
      <c r="AC31" s="9"/>
      <c r="AD31" s="39"/>
      <c r="AE31" s="9"/>
      <c r="AF31" s="9"/>
      <c r="AG31" s="9"/>
      <c r="AH31" s="9"/>
      <c r="AI31" s="9"/>
      <c r="AJ31" s="9"/>
      <c r="AK31" s="9"/>
      <c r="AL31" s="10" t="str">
        <f aca="false">IF(A31="","",SG_Criteria!$B$6&amp;SG_Criteria!$B$11&amp;"\"&amp;A31&amp;"\")</f>
        <v/>
      </c>
      <c r="AM31" s="10" t="str">
        <f aca="false">IF(A31="","",A31&amp;"_CAD.dwg")</f>
        <v/>
      </c>
      <c r="AN31" s="10" t="str">
        <f aca="false">IF(A31="","",A31&amp;"_DWG.pdf")</f>
        <v/>
      </c>
      <c r="AO31" s="10" t="str">
        <f aca="false">IF(A31="","",IF(AK31="Y",A31&amp;"_STAAD.std","n/a"))</f>
        <v/>
      </c>
      <c r="AP31" s="10" t="str">
        <f aca="false">IF(A31="","",A31&amp;"_CALC.xlsx")</f>
        <v/>
      </c>
      <c r="AQ31" s="10" t="str">
        <f aca="false">IF(A31="","",A31&amp;"_CALC.pdf")</f>
        <v/>
      </c>
      <c r="AR31" s="9"/>
      <c r="AS31" s="9"/>
      <c r="AT31" s="39"/>
      <c r="AU31" s="39"/>
      <c r="AV31" s="39"/>
      <c r="AW31" s="39"/>
      <c r="AX31" s="39"/>
      <c r="AY31" s="12" t="str">
        <f aca="false">IF(A31="","",IF(COUNTIF(Rebar_Schedule!$A$5:$A$2004,A31)=0,"",ROUND(SUMIF(Rebar_Schedule!$A$5:$A$2004,A31,Rebar_Schedule!$K$5:$K$2004),1)))</f>
        <v/>
      </c>
      <c r="AZ31" s="33" t="str">
        <f aca="false">IF(A31="","",IF(AY31="","No rebar schedule yet",IF(ABS(AY31-N(AU31))/MAX(N(AU31),1)&gt;SG_Criteria!$B$55,"NOTE: register rebar differs from schedule by "&amp;TEXT(ABS(AY31-N(AU31))/MAX(N(AU31),1),"0%"),"OK")))</f>
        <v/>
      </c>
      <c r="BA31" s="33" t="str">
        <f aca="false">IF(OR(D31="",H31=""),"",IF(H31&lt;=IF(OR(D31="Soldier Pile &amp; Timber Lagging",D31="Trench Shoring Box",D31="Open Cut (battered)"),SG_Criteria!$B$34,SG_Criteria!$B$33),"No ERSS submission",IF(H31&lt;=SG_Criteria!$B$35,"QP(ST)",IF(H31&lt;=SG_Criteria!$B$36,"QP(ST) + AC","Geotechnical building works: QP(Geo) + AC"))))</f>
        <v/>
      </c>
      <c r="BB31" s="33" t="str">
        <f aca="false">IF(D31="","",IF(LEN(IF(AND(R31&lt;&gt;"",R31&lt;SG_Criteria!$B$37),"FAIL: base stability FOS &lt; "&amp;SG_Criteria!$B$37&amp;". ","")&amp;IF(AND(E31="Manhole",H31&gt;SG_Criteria!$B$36),"NOTE: BCA lists sewer manholes (pipe &lt;= 2 m dia) &gt; 6 m as non-GBW: QP(ST) + AC. ","")&amp;IF(AND(D31="Trench Shoring Box",I31="Kallang Formation (marine clay)"),"NOTE: check base heave / ground loss for shoring box in marine clay. ","")&amp;IF(AND(D31="Steel Sheet Pile Cofferdam",N(N31)&lt;H31*0.5),"NOTE: short toe embedment, check. ",""))=0,"OK",IF(AND(R31&lt;&gt;"",R31&lt;SG_Criteria!$B$37),"FAIL: base stability FOS &lt; "&amp;SG_Criteria!$B$37&amp;". ","")&amp;IF(AND(E31="Manhole",H31&gt;SG_Criteria!$B$36),"NOTE: BCA lists sewer manholes (pipe &lt;= 2 m dia) &gt; 6 m as non-GBW: QP(ST) + AC. ","")&amp;IF(AND(D31="Trench Shoring Box",I31="Kallang Formation (marine clay)"),"NOTE: check base heave / ground loss for shoring box in marine clay. ","")&amp;IF(AND(D31="Steel Sheet Pile Cofferdam",N(N31)&lt;H31*0.5),"NOTE: short toe embedment, check. ","")))</f>
        <v/>
      </c>
      <c r="BC31" s="9"/>
      <c r="BD31" s="9"/>
      <c r="BE31" s="9"/>
      <c r="BF31" s="10" t="str">
        <f aca="false">IF(BE31="","",IFERROR(VLOOKUP(BE31,Projects!$A$5:$D$504,2,0),"Ref not in Projects"))</f>
        <v/>
      </c>
      <c r="BG31" s="10" t="str">
        <f aca="false">IF(BE31="","",IFERROR(VLOOKUP(BE31,Projects!$A$5:$D$504,4,0),"Ref not in Projects"))</f>
        <v/>
      </c>
      <c r="BH31" s="9"/>
      <c r="BI31" s="9"/>
      <c r="BJ31" s="9"/>
      <c r="BK31" s="40"/>
      <c r="BL31" s="9"/>
      <c r="BM31" s="40"/>
      <c r="BN31" s="9"/>
      <c r="BO31" s="40"/>
      <c r="BP31" s="9"/>
      <c r="BQ31" s="9"/>
      <c r="BR31" s="9"/>
      <c r="BS31" s="40"/>
      <c r="BT31" s="40"/>
      <c r="BU31" s="36" t="str">
        <f aca="false">IF(BT31="","",EDATE(BT31,SG_Criteria!$B$54*12))</f>
        <v/>
      </c>
      <c r="BV31" s="33" t="str">
        <f aca="true">IF(A31="","",IF(BT31="","NOTE: not reviewed yet",IF(TODAY()&gt;BU31,"NOTE: review overdue","OK")))</f>
        <v/>
      </c>
      <c r="BW31" s="37" t="str">
        <f aca="false">IF(A31="","",ROUND((IF(LEN(D31)&gt;0,1,0)+IF(LEN(E31)&gt;0,1,0)+IF(LEN(F31)&gt;0,1,0)+IF(LEN(G31)&gt;0,1,0)+IF(LEN(H31)&gt;0,1,0)+IF(LEN(I31)&gt;0,1,0)+IF(LEN(J31)&gt;0,1,0)+IF(LEN(L31)&gt;0,1,0)+IF(LEN(R31)&gt;0,1,0)+IF(LEN(Y31)&gt;0,1,0)+IF(LEN(AE31)&gt;0,1,0)+IF(LEN(AG31)&gt;0,1,0)+IF(LEN(AH31)&gt;0,1,0)+IF(LEN(AI31)&gt;0,1,0)+IF(LEN(AJ31)&gt;0,1,0)+IF(LEN(AS31)&gt;0,1,0)+IF(LEN(BE31)&gt;0,1,0)+IF(LEN(BR31)&gt;0,1,0))/18,2))</f>
        <v/>
      </c>
      <c r="BX31" s="10" t="str">
        <f aca="false">IF(D31="","",IF(AND(AH31="Approved",ISERROR(SEARCH("FAIL",BB31))),"Y","N"))</f>
        <v/>
      </c>
      <c r="BY31" s="10" t="str">
        <f aca="false">IF(D31="","",D31&amp;"|"&amp;H31&amp;"|"&amp;F31&amp;"|"&amp;I31&amp;"|"&amp;BX31)</f>
        <v/>
      </c>
    </row>
    <row r="32" customFormat="false" ht="15" hidden="false" customHeight="false" outlineLevel="0" collapsed="false">
      <c r="A32" s="10" t="str">
        <f aca="false">IF(D32="","","ERSS-"&amp;IFERROR(VLOOKUP(D32,Lists!$AK$4:$AL$21,2,0),"??")&amp;"-"&amp;TEXT(F32,"0000")&amp;"x"&amp;TEXT(G32,"0000")&amp;"-D"&amp;TEXT(H32*1000,"0000")&amp;"-"&amp;IFERROR(VLOOKUP(I32,Lists!$Y$4:$Z$21,2,0),"??")&amp;"-"&amp;AG32)</f>
        <v/>
      </c>
      <c r="B32" s="10" t="str">
        <f aca="false">IF(D32="","",D32&amp;" for "&amp;E32&amp;", "&amp;F32&amp;" x "&amp;G32&amp;" pit, "&amp;TEXT(H32,"0.0")&amp;" m deep, "&amp;I32)</f>
        <v/>
      </c>
      <c r="C32" s="9"/>
      <c r="D32" s="9"/>
      <c r="E32" s="9"/>
      <c r="F32" s="38"/>
      <c r="G32" s="38"/>
      <c r="H32" s="42"/>
      <c r="I32" s="9"/>
      <c r="J32" s="42"/>
      <c r="K32" s="38"/>
      <c r="L32" s="9"/>
      <c r="M32" s="42"/>
      <c r="N32" s="42"/>
      <c r="O32" s="38"/>
      <c r="P32" s="9"/>
      <c r="Q32" s="9"/>
      <c r="R32" s="39"/>
      <c r="S32" s="39"/>
      <c r="T32" s="38"/>
      <c r="U32" s="38"/>
      <c r="V32" s="38"/>
      <c r="W32" s="9"/>
      <c r="X32" s="9"/>
      <c r="Y32" s="38"/>
      <c r="Z32" s="9"/>
      <c r="AA32" s="9"/>
      <c r="AB32" s="38"/>
      <c r="AC32" s="9"/>
      <c r="AD32" s="39"/>
      <c r="AE32" s="9"/>
      <c r="AF32" s="9"/>
      <c r="AG32" s="9"/>
      <c r="AH32" s="9"/>
      <c r="AI32" s="9"/>
      <c r="AJ32" s="9"/>
      <c r="AK32" s="9"/>
      <c r="AL32" s="10" t="str">
        <f aca="false">IF(A32="","",SG_Criteria!$B$6&amp;SG_Criteria!$B$11&amp;"\"&amp;A32&amp;"\")</f>
        <v/>
      </c>
      <c r="AM32" s="10" t="str">
        <f aca="false">IF(A32="","",A32&amp;"_CAD.dwg")</f>
        <v/>
      </c>
      <c r="AN32" s="10" t="str">
        <f aca="false">IF(A32="","",A32&amp;"_DWG.pdf")</f>
        <v/>
      </c>
      <c r="AO32" s="10" t="str">
        <f aca="false">IF(A32="","",IF(AK32="Y",A32&amp;"_STAAD.std","n/a"))</f>
        <v/>
      </c>
      <c r="AP32" s="10" t="str">
        <f aca="false">IF(A32="","",A32&amp;"_CALC.xlsx")</f>
        <v/>
      </c>
      <c r="AQ32" s="10" t="str">
        <f aca="false">IF(A32="","",A32&amp;"_CALC.pdf")</f>
        <v/>
      </c>
      <c r="AR32" s="9"/>
      <c r="AS32" s="9"/>
      <c r="AT32" s="39"/>
      <c r="AU32" s="39"/>
      <c r="AV32" s="39"/>
      <c r="AW32" s="39"/>
      <c r="AX32" s="39"/>
      <c r="AY32" s="12" t="str">
        <f aca="false">IF(A32="","",IF(COUNTIF(Rebar_Schedule!$A$5:$A$2004,A32)=0,"",ROUND(SUMIF(Rebar_Schedule!$A$5:$A$2004,A32,Rebar_Schedule!$K$5:$K$2004),1)))</f>
        <v/>
      </c>
      <c r="AZ32" s="33" t="str">
        <f aca="false">IF(A32="","",IF(AY32="","No rebar schedule yet",IF(ABS(AY32-N(AU32))/MAX(N(AU32),1)&gt;SG_Criteria!$B$55,"NOTE: register rebar differs from schedule by "&amp;TEXT(ABS(AY32-N(AU32))/MAX(N(AU32),1),"0%"),"OK")))</f>
        <v/>
      </c>
      <c r="BA32" s="33" t="str">
        <f aca="false">IF(OR(D32="",H32=""),"",IF(H32&lt;=IF(OR(D32="Soldier Pile &amp; Timber Lagging",D32="Trench Shoring Box",D32="Open Cut (battered)"),SG_Criteria!$B$34,SG_Criteria!$B$33),"No ERSS submission",IF(H32&lt;=SG_Criteria!$B$35,"QP(ST)",IF(H32&lt;=SG_Criteria!$B$36,"QP(ST) + AC","Geotechnical building works: QP(Geo) + AC"))))</f>
        <v/>
      </c>
      <c r="BB32" s="33" t="str">
        <f aca="false">IF(D32="","",IF(LEN(IF(AND(R32&lt;&gt;"",R32&lt;SG_Criteria!$B$37),"FAIL: base stability FOS &lt; "&amp;SG_Criteria!$B$37&amp;". ","")&amp;IF(AND(E32="Manhole",H32&gt;SG_Criteria!$B$36),"NOTE: BCA lists sewer manholes (pipe &lt;= 2 m dia) &gt; 6 m as non-GBW: QP(ST) + AC. ","")&amp;IF(AND(D32="Trench Shoring Box",I32="Kallang Formation (marine clay)"),"NOTE: check base heave / ground loss for shoring box in marine clay. ","")&amp;IF(AND(D32="Steel Sheet Pile Cofferdam",N(N32)&lt;H32*0.5),"NOTE: short toe embedment, check. ",""))=0,"OK",IF(AND(R32&lt;&gt;"",R32&lt;SG_Criteria!$B$37),"FAIL: base stability FOS &lt; "&amp;SG_Criteria!$B$37&amp;". ","")&amp;IF(AND(E32="Manhole",H32&gt;SG_Criteria!$B$36),"NOTE: BCA lists sewer manholes (pipe &lt;= 2 m dia) &gt; 6 m as non-GBW: QP(ST) + AC. ","")&amp;IF(AND(D32="Trench Shoring Box",I32="Kallang Formation (marine clay)"),"NOTE: check base heave / ground loss for shoring box in marine clay. ","")&amp;IF(AND(D32="Steel Sheet Pile Cofferdam",N(N32)&lt;H32*0.5),"NOTE: short toe embedment, check. ","")))</f>
        <v/>
      </c>
      <c r="BC32" s="9"/>
      <c r="BD32" s="9"/>
      <c r="BE32" s="9"/>
      <c r="BF32" s="10" t="str">
        <f aca="false">IF(BE32="","",IFERROR(VLOOKUP(BE32,Projects!$A$5:$D$504,2,0),"Ref not in Projects"))</f>
        <v/>
      </c>
      <c r="BG32" s="10" t="str">
        <f aca="false">IF(BE32="","",IFERROR(VLOOKUP(BE32,Projects!$A$5:$D$504,4,0),"Ref not in Projects"))</f>
        <v/>
      </c>
      <c r="BH32" s="9"/>
      <c r="BI32" s="9"/>
      <c r="BJ32" s="9"/>
      <c r="BK32" s="40"/>
      <c r="BL32" s="9"/>
      <c r="BM32" s="40"/>
      <c r="BN32" s="9"/>
      <c r="BO32" s="40"/>
      <c r="BP32" s="9"/>
      <c r="BQ32" s="9"/>
      <c r="BR32" s="9"/>
      <c r="BS32" s="40"/>
      <c r="BT32" s="40"/>
      <c r="BU32" s="36" t="str">
        <f aca="false">IF(BT32="","",EDATE(BT32,SG_Criteria!$B$54*12))</f>
        <v/>
      </c>
      <c r="BV32" s="33" t="str">
        <f aca="true">IF(A32="","",IF(BT32="","NOTE: not reviewed yet",IF(TODAY()&gt;BU32,"NOTE: review overdue","OK")))</f>
        <v/>
      </c>
      <c r="BW32" s="37" t="str">
        <f aca="false">IF(A32="","",ROUND((IF(LEN(D32)&gt;0,1,0)+IF(LEN(E32)&gt;0,1,0)+IF(LEN(F32)&gt;0,1,0)+IF(LEN(G32)&gt;0,1,0)+IF(LEN(H32)&gt;0,1,0)+IF(LEN(I32)&gt;0,1,0)+IF(LEN(J32)&gt;0,1,0)+IF(LEN(L32)&gt;0,1,0)+IF(LEN(R32)&gt;0,1,0)+IF(LEN(Y32)&gt;0,1,0)+IF(LEN(AE32)&gt;0,1,0)+IF(LEN(AG32)&gt;0,1,0)+IF(LEN(AH32)&gt;0,1,0)+IF(LEN(AI32)&gt;0,1,0)+IF(LEN(AJ32)&gt;0,1,0)+IF(LEN(AS32)&gt;0,1,0)+IF(LEN(BE32)&gt;0,1,0)+IF(LEN(BR32)&gt;0,1,0))/18,2))</f>
        <v/>
      </c>
      <c r="BX32" s="10" t="str">
        <f aca="false">IF(D32="","",IF(AND(AH32="Approved",ISERROR(SEARCH("FAIL",BB32))),"Y","N"))</f>
        <v/>
      </c>
      <c r="BY32" s="10" t="str">
        <f aca="false">IF(D32="","",D32&amp;"|"&amp;H32&amp;"|"&amp;F32&amp;"|"&amp;I32&amp;"|"&amp;BX32)</f>
        <v/>
      </c>
    </row>
    <row r="33" customFormat="false" ht="15" hidden="false" customHeight="false" outlineLevel="0" collapsed="false">
      <c r="A33" s="10" t="str">
        <f aca="false">IF(D33="","","ERSS-"&amp;IFERROR(VLOOKUP(D33,Lists!$AK$4:$AL$21,2,0),"??")&amp;"-"&amp;TEXT(F33,"0000")&amp;"x"&amp;TEXT(G33,"0000")&amp;"-D"&amp;TEXT(H33*1000,"0000")&amp;"-"&amp;IFERROR(VLOOKUP(I33,Lists!$Y$4:$Z$21,2,0),"??")&amp;"-"&amp;AG33)</f>
        <v/>
      </c>
      <c r="B33" s="10" t="str">
        <f aca="false">IF(D33="","",D33&amp;" for "&amp;E33&amp;", "&amp;F33&amp;" x "&amp;G33&amp;" pit, "&amp;TEXT(H33,"0.0")&amp;" m deep, "&amp;I33)</f>
        <v/>
      </c>
      <c r="C33" s="9"/>
      <c r="D33" s="9"/>
      <c r="E33" s="9"/>
      <c r="F33" s="38"/>
      <c r="G33" s="38"/>
      <c r="H33" s="42"/>
      <c r="I33" s="9"/>
      <c r="J33" s="42"/>
      <c r="K33" s="38"/>
      <c r="L33" s="9"/>
      <c r="M33" s="42"/>
      <c r="N33" s="42"/>
      <c r="O33" s="38"/>
      <c r="P33" s="9"/>
      <c r="Q33" s="9"/>
      <c r="R33" s="39"/>
      <c r="S33" s="39"/>
      <c r="T33" s="38"/>
      <c r="U33" s="38"/>
      <c r="V33" s="38"/>
      <c r="W33" s="9"/>
      <c r="X33" s="9"/>
      <c r="Y33" s="38"/>
      <c r="Z33" s="9"/>
      <c r="AA33" s="9"/>
      <c r="AB33" s="38"/>
      <c r="AC33" s="9"/>
      <c r="AD33" s="39"/>
      <c r="AE33" s="9"/>
      <c r="AF33" s="9"/>
      <c r="AG33" s="9"/>
      <c r="AH33" s="9"/>
      <c r="AI33" s="9"/>
      <c r="AJ33" s="9"/>
      <c r="AK33" s="9"/>
      <c r="AL33" s="10" t="str">
        <f aca="false">IF(A33="","",SG_Criteria!$B$6&amp;SG_Criteria!$B$11&amp;"\"&amp;A33&amp;"\")</f>
        <v/>
      </c>
      <c r="AM33" s="10" t="str">
        <f aca="false">IF(A33="","",A33&amp;"_CAD.dwg")</f>
        <v/>
      </c>
      <c r="AN33" s="10" t="str">
        <f aca="false">IF(A33="","",A33&amp;"_DWG.pdf")</f>
        <v/>
      </c>
      <c r="AO33" s="10" t="str">
        <f aca="false">IF(A33="","",IF(AK33="Y",A33&amp;"_STAAD.std","n/a"))</f>
        <v/>
      </c>
      <c r="AP33" s="10" t="str">
        <f aca="false">IF(A33="","",A33&amp;"_CALC.xlsx")</f>
        <v/>
      </c>
      <c r="AQ33" s="10" t="str">
        <f aca="false">IF(A33="","",A33&amp;"_CALC.pdf")</f>
        <v/>
      </c>
      <c r="AR33" s="9"/>
      <c r="AS33" s="9"/>
      <c r="AT33" s="39"/>
      <c r="AU33" s="39"/>
      <c r="AV33" s="39"/>
      <c r="AW33" s="39"/>
      <c r="AX33" s="39"/>
      <c r="AY33" s="12" t="str">
        <f aca="false">IF(A33="","",IF(COUNTIF(Rebar_Schedule!$A$5:$A$2004,A33)=0,"",ROUND(SUMIF(Rebar_Schedule!$A$5:$A$2004,A33,Rebar_Schedule!$K$5:$K$2004),1)))</f>
        <v/>
      </c>
      <c r="AZ33" s="33" t="str">
        <f aca="false">IF(A33="","",IF(AY33="","No rebar schedule yet",IF(ABS(AY33-N(AU33))/MAX(N(AU33),1)&gt;SG_Criteria!$B$55,"NOTE: register rebar differs from schedule by "&amp;TEXT(ABS(AY33-N(AU33))/MAX(N(AU33),1),"0%"),"OK")))</f>
        <v/>
      </c>
      <c r="BA33" s="33" t="str">
        <f aca="false">IF(OR(D33="",H33=""),"",IF(H33&lt;=IF(OR(D33="Soldier Pile &amp; Timber Lagging",D33="Trench Shoring Box",D33="Open Cut (battered)"),SG_Criteria!$B$34,SG_Criteria!$B$33),"No ERSS submission",IF(H33&lt;=SG_Criteria!$B$35,"QP(ST)",IF(H33&lt;=SG_Criteria!$B$36,"QP(ST) + AC","Geotechnical building works: QP(Geo) + AC"))))</f>
        <v/>
      </c>
      <c r="BB33" s="33" t="str">
        <f aca="false">IF(D33="","",IF(LEN(IF(AND(R33&lt;&gt;"",R33&lt;SG_Criteria!$B$37),"FAIL: base stability FOS &lt; "&amp;SG_Criteria!$B$37&amp;". ","")&amp;IF(AND(E33="Manhole",H33&gt;SG_Criteria!$B$36),"NOTE: BCA lists sewer manholes (pipe &lt;= 2 m dia) &gt; 6 m as non-GBW: QP(ST) + AC. ","")&amp;IF(AND(D33="Trench Shoring Box",I33="Kallang Formation (marine clay)"),"NOTE: check base heave / ground loss for shoring box in marine clay. ","")&amp;IF(AND(D33="Steel Sheet Pile Cofferdam",N(N33)&lt;H33*0.5),"NOTE: short toe embedment, check. ",""))=0,"OK",IF(AND(R33&lt;&gt;"",R33&lt;SG_Criteria!$B$37),"FAIL: base stability FOS &lt; "&amp;SG_Criteria!$B$37&amp;". ","")&amp;IF(AND(E33="Manhole",H33&gt;SG_Criteria!$B$36),"NOTE: BCA lists sewer manholes (pipe &lt;= 2 m dia) &gt; 6 m as non-GBW: QP(ST) + AC. ","")&amp;IF(AND(D33="Trench Shoring Box",I33="Kallang Formation (marine clay)"),"NOTE: check base heave / ground loss for shoring box in marine clay. ","")&amp;IF(AND(D33="Steel Sheet Pile Cofferdam",N(N33)&lt;H33*0.5),"NOTE: short toe embedment, check. ","")))</f>
        <v/>
      </c>
      <c r="BC33" s="9"/>
      <c r="BD33" s="9"/>
      <c r="BE33" s="9"/>
      <c r="BF33" s="10" t="str">
        <f aca="false">IF(BE33="","",IFERROR(VLOOKUP(BE33,Projects!$A$5:$D$504,2,0),"Ref not in Projects"))</f>
        <v/>
      </c>
      <c r="BG33" s="10" t="str">
        <f aca="false">IF(BE33="","",IFERROR(VLOOKUP(BE33,Projects!$A$5:$D$504,4,0),"Ref not in Projects"))</f>
        <v/>
      </c>
      <c r="BH33" s="9"/>
      <c r="BI33" s="9"/>
      <c r="BJ33" s="9"/>
      <c r="BK33" s="40"/>
      <c r="BL33" s="9"/>
      <c r="BM33" s="40"/>
      <c r="BN33" s="9"/>
      <c r="BO33" s="40"/>
      <c r="BP33" s="9"/>
      <c r="BQ33" s="9"/>
      <c r="BR33" s="9"/>
      <c r="BS33" s="40"/>
      <c r="BT33" s="40"/>
      <c r="BU33" s="36" t="str">
        <f aca="false">IF(BT33="","",EDATE(BT33,SG_Criteria!$B$54*12))</f>
        <v/>
      </c>
      <c r="BV33" s="33" t="str">
        <f aca="true">IF(A33="","",IF(BT33="","NOTE: not reviewed yet",IF(TODAY()&gt;BU33,"NOTE: review overdue","OK")))</f>
        <v/>
      </c>
      <c r="BW33" s="37" t="str">
        <f aca="false">IF(A33="","",ROUND((IF(LEN(D33)&gt;0,1,0)+IF(LEN(E33)&gt;0,1,0)+IF(LEN(F33)&gt;0,1,0)+IF(LEN(G33)&gt;0,1,0)+IF(LEN(H33)&gt;0,1,0)+IF(LEN(I33)&gt;0,1,0)+IF(LEN(J33)&gt;0,1,0)+IF(LEN(L33)&gt;0,1,0)+IF(LEN(R33)&gt;0,1,0)+IF(LEN(Y33)&gt;0,1,0)+IF(LEN(AE33)&gt;0,1,0)+IF(LEN(AG33)&gt;0,1,0)+IF(LEN(AH33)&gt;0,1,0)+IF(LEN(AI33)&gt;0,1,0)+IF(LEN(AJ33)&gt;0,1,0)+IF(LEN(AS33)&gt;0,1,0)+IF(LEN(BE33)&gt;0,1,0)+IF(LEN(BR33)&gt;0,1,0))/18,2))</f>
        <v/>
      </c>
      <c r="BX33" s="10" t="str">
        <f aca="false">IF(D33="","",IF(AND(AH33="Approved",ISERROR(SEARCH("FAIL",BB33))),"Y","N"))</f>
        <v/>
      </c>
      <c r="BY33" s="10" t="str">
        <f aca="false">IF(D33="","",D33&amp;"|"&amp;H33&amp;"|"&amp;F33&amp;"|"&amp;I33&amp;"|"&amp;BX33)</f>
        <v/>
      </c>
    </row>
    <row r="34" customFormat="false" ht="15" hidden="false" customHeight="false" outlineLevel="0" collapsed="false">
      <c r="A34" s="10" t="str">
        <f aca="false">IF(D34="","","ERSS-"&amp;IFERROR(VLOOKUP(D34,Lists!$AK$4:$AL$21,2,0),"??")&amp;"-"&amp;TEXT(F34,"0000")&amp;"x"&amp;TEXT(G34,"0000")&amp;"-D"&amp;TEXT(H34*1000,"0000")&amp;"-"&amp;IFERROR(VLOOKUP(I34,Lists!$Y$4:$Z$21,2,0),"??")&amp;"-"&amp;AG34)</f>
        <v/>
      </c>
      <c r="B34" s="10" t="str">
        <f aca="false">IF(D34="","",D34&amp;" for "&amp;E34&amp;", "&amp;F34&amp;" x "&amp;G34&amp;" pit, "&amp;TEXT(H34,"0.0")&amp;" m deep, "&amp;I34)</f>
        <v/>
      </c>
      <c r="C34" s="9"/>
      <c r="D34" s="9"/>
      <c r="E34" s="9"/>
      <c r="F34" s="38"/>
      <c r="G34" s="38"/>
      <c r="H34" s="42"/>
      <c r="I34" s="9"/>
      <c r="J34" s="42"/>
      <c r="K34" s="38"/>
      <c r="L34" s="9"/>
      <c r="M34" s="42"/>
      <c r="N34" s="42"/>
      <c r="O34" s="38"/>
      <c r="P34" s="9"/>
      <c r="Q34" s="9"/>
      <c r="R34" s="39"/>
      <c r="S34" s="39"/>
      <c r="T34" s="38"/>
      <c r="U34" s="38"/>
      <c r="V34" s="38"/>
      <c r="W34" s="9"/>
      <c r="X34" s="9"/>
      <c r="Y34" s="38"/>
      <c r="Z34" s="9"/>
      <c r="AA34" s="9"/>
      <c r="AB34" s="38"/>
      <c r="AC34" s="9"/>
      <c r="AD34" s="39"/>
      <c r="AE34" s="9"/>
      <c r="AF34" s="9"/>
      <c r="AG34" s="9"/>
      <c r="AH34" s="9"/>
      <c r="AI34" s="9"/>
      <c r="AJ34" s="9"/>
      <c r="AK34" s="9"/>
      <c r="AL34" s="10" t="str">
        <f aca="false">IF(A34="","",SG_Criteria!$B$6&amp;SG_Criteria!$B$11&amp;"\"&amp;A34&amp;"\")</f>
        <v/>
      </c>
      <c r="AM34" s="10" t="str">
        <f aca="false">IF(A34="","",A34&amp;"_CAD.dwg")</f>
        <v/>
      </c>
      <c r="AN34" s="10" t="str">
        <f aca="false">IF(A34="","",A34&amp;"_DWG.pdf")</f>
        <v/>
      </c>
      <c r="AO34" s="10" t="str">
        <f aca="false">IF(A34="","",IF(AK34="Y",A34&amp;"_STAAD.std","n/a"))</f>
        <v/>
      </c>
      <c r="AP34" s="10" t="str">
        <f aca="false">IF(A34="","",A34&amp;"_CALC.xlsx")</f>
        <v/>
      </c>
      <c r="AQ34" s="10" t="str">
        <f aca="false">IF(A34="","",A34&amp;"_CALC.pdf")</f>
        <v/>
      </c>
      <c r="AR34" s="9"/>
      <c r="AS34" s="9"/>
      <c r="AT34" s="39"/>
      <c r="AU34" s="39"/>
      <c r="AV34" s="39"/>
      <c r="AW34" s="39"/>
      <c r="AX34" s="39"/>
      <c r="AY34" s="12" t="str">
        <f aca="false">IF(A34="","",IF(COUNTIF(Rebar_Schedule!$A$5:$A$2004,A34)=0,"",ROUND(SUMIF(Rebar_Schedule!$A$5:$A$2004,A34,Rebar_Schedule!$K$5:$K$2004),1)))</f>
        <v/>
      </c>
      <c r="AZ34" s="33" t="str">
        <f aca="false">IF(A34="","",IF(AY34="","No rebar schedule yet",IF(ABS(AY34-N(AU34))/MAX(N(AU34),1)&gt;SG_Criteria!$B$55,"NOTE: register rebar differs from schedule by "&amp;TEXT(ABS(AY34-N(AU34))/MAX(N(AU34),1),"0%"),"OK")))</f>
        <v/>
      </c>
      <c r="BA34" s="33" t="str">
        <f aca="false">IF(OR(D34="",H34=""),"",IF(H34&lt;=IF(OR(D34="Soldier Pile &amp; Timber Lagging",D34="Trench Shoring Box",D34="Open Cut (battered)"),SG_Criteria!$B$34,SG_Criteria!$B$33),"No ERSS submission",IF(H34&lt;=SG_Criteria!$B$35,"QP(ST)",IF(H34&lt;=SG_Criteria!$B$36,"QP(ST) + AC","Geotechnical building works: QP(Geo) + AC"))))</f>
        <v/>
      </c>
      <c r="BB34" s="33" t="str">
        <f aca="false">IF(D34="","",IF(LEN(IF(AND(R34&lt;&gt;"",R34&lt;SG_Criteria!$B$37),"FAIL: base stability FOS &lt; "&amp;SG_Criteria!$B$37&amp;". ","")&amp;IF(AND(E34="Manhole",H34&gt;SG_Criteria!$B$36),"NOTE: BCA lists sewer manholes (pipe &lt;= 2 m dia) &gt; 6 m as non-GBW: QP(ST) + AC. ","")&amp;IF(AND(D34="Trench Shoring Box",I34="Kallang Formation (marine clay)"),"NOTE: check base heave / ground loss for shoring box in marine clay. ","")&amp;IF(AND(D34="Steel Sheet Pile Cofferdam",N(N34)&lt;H34*0.5),"NOTE: short toe embedment, check. ",""))=0,"OK",IF(AND(R34&lt;&gt;"",R34&lt;SG_Criteria!$B$37),"FAIL: base stability FOS &lt; "&amp;SG_Criteria!$B$37&amp;". ","")&amp;IF(AND(E34="Manhole",H34&gt;SG_Criteria!$B$36),"NOTE: BCA lists sewer manholes (pipe &lt;= 2 m dia) &gt; 6 m as non-GBW: QP(ST) + AC. ","")&amp;IF(AND(D34="Trench Shoring Box",I34="Kallang Formation (marine clay)"),"NOTE: check base heave / ground loss for shoring box in marine clay. ","")&amp;IF(AND(D34="Steel Sheet Pile Cofferdam",N(N34)&lt;H34*0.5),"NOTE: short toe embedment, check. ","")))</f>
        <v/>
      </c>
      <c r="BC34" s="9"/>
      <c r="BD34" s="9"/>
      <c r="BE34" s="9"/>
      <c r="BF34" s="10" t="str">
        <f aca="false">IF(BE34="","",IFERROR(VLOOKUP(BE34,Projects!$A$5:$D$504,2,0),"Ref not in Projects"))</f>
        <v/>
      </c>
      <c r="BG34" s="10" t="str">
        <f aca="false">IF(BE34="","",IFERROR(VLOOKUP(BE34,Projects!$A$5:$D$504,4,0),"Ref not in Projects"))</f>
        <v/>
      </c>
      <c r="BH34" s="9"/>
      <c r="BI34" s="9"/>
      <c r="BJ34" s="9"/>
      <c r="BK34" s="40"/>
      <c r="BL34" s="9"/>
      <c r="BM34" s="40"/>
      <c r="BN34" s="9"/>
      <c r="BO34" s="40"/>
      <c r="BP34" s="9"/>
      <c r="BQ34" s="9"/>
      <c r="BR34" s="9"/>
      <c r="BS34" s="40"/>
      <c r="BT34" s="40"/>
      <c r="BU34" s="36" t="str">
        <f aca="false">IF(BT34="","",EDATE(BT34,SG_Criteria!$B$54*12))</f>
        <v/>
      </c>
      <c r="BV34" s="33" t="str">
        <f aca="true">IF(A34="","",IF(BT34="","NOTE: not reviewed yet",IF(TODAY()&gt;BU34,"NOTE: review overdue","OK")))</f>
        <v/>
      </c>
      <c r="BW34" s="37" t="str">
        <f aca="false">IF(A34="","",ROUND((IF(LEN(D34)&gt;0,1,0)+IF(LEN(E34)&gt;0,1,0)+IF(LEN(F34)&gt;0,1,0)+IF(LEN(G34)&gt;0,1,0)+IF(LEN(H34)&gt;0,1,0)+IF(LEN(I34)&gt;0,1,0)+IF(LEN(J34)&gt;0,1,0)+IF(LEN(L34)&gt;0,1,0)+IF(LEN(R34)&gt;0,1,0)+IF(LEN(Y34)&gt;0,1,0)+IF(LEN(AE34)&gt;0,1,0)+IF(LEN(AG34)&gt;0,1,0)+IF(LEN(AH34)&gt;0,1,0)+IF(LEN(AI34)&gt;0,1,0)+IF(LEN(AJ34)&gt;0,1,0)+IF(LEN(AS34)&gt;0,1,0)+IF(LEN(BE34)&gt;0,1,0)+IF(LEN(BR34)&gt;0,1,0))/18,2))</f>
        <v/>
      </c>
      <c r="BX34" s="10" t="str">
        <f aca="false">IF(D34="","",IF(AND(AH34="Approved",ISERROR(SEARCH("FAIL",BB34))),"Y","N"))</f>
        <v/>
      </c>
      <c r="BY34" s="10" t="str">
        <f aca="false">IF(D34="","",D34&amp;"|"&amp;H34&amp;"|"&amp;F34&amp;"|"&amp;I34&amp;"|"&amp;BX34)</f>
        <v/>
      </c>
    </row>
    <row r="35" customFormat="false" ht="15" hidden="false" customHeight="false" outlineLevel="0" collapsed="false">
      <c r="A35" s="10" t="str">
        <f aca="false">IF(D35="","","ERSS-"&amp;IFERROR(VLOOKUP(D35,Lists!$AK$4:$AL$21,2,0),"??")&amp;"-"&amp;TEXT(F35,"0000")&amp;"x"&amp;TEXT(G35,"0000")&amp;"-D"&amp;TEXT(H35*1000,"0000")&amp;"-"&amp;IFERROR(VLOOKUP(I35,Lists!$Y$4:$Z$21,2,0),"??")&amp;"-"&amp;AG35)</f>
        <v/>
      </c>
      <c r="B35" s="10" t="str">
        <f aca="false">IF(D35="","",D35&amp;" for "&amp;E35&amp;", "&amp;F35&amp;" x "&amp;G35&amp;" pit, "&amp;TEXT(H35,"0.0")&amp;" m deep, "&amp;I35)</f>
        <v/>
      </c>
      <c r="C35" s="9"/>
      <c r="D35" s="9"/>
      <c r="E35" s="9"/>
      <c r="F35" s="38"/>
      <c r="G35" s="38"/>
      <c r="H35" s="42"/>
      <c r="I35" s="9"/>
      <c r="J35" s="42"/>
      <c r="K35" s="38"/>
      <c r="L35" s="9"/>
      <c r="M35" s="42"/>
      <c r="N35" s="42"/>
      <c r="O35" s="38"/>
      <c r="P35" s="9"/>
      <c r="Q35" s="9"/>
      <c r="R35" s="39"/>
      <c r="S35" s="39"/>
      <c r="T35" s="38"/>
      <c r="U35" s="38"/>
      <c r="V35" s="38"/>
      <c r="W35" s="9"/>
      <c r="X35" s="9"/>
      <c r="Y35" s="38"/>
      <c r="Z35" s="9"/>
      <c r="AA35" s="9"/>
      <c r="AB35" s="38"/>
      <c r="AC35" s="9"/>
      <c r="AD35" s="39"/>
      <c r="AE35" s="9"/>
      <c r="AF35" s="9"/>
      <c r="AG35" s="9"/>
      <c r="AH35" s="9"/>
      <c r="AI35" s="9"/>
      <c r="AJ35" s="9"/>
      <c r="AK35" s="9"/>
      <c r="AL35" s="10" t="str">
        <f aca="false">IF(A35="","",SG_Criteria!$B$6&amp;SG_Criteria!$B$11&amp;"\"&amp;A35&amp;"\")</f>
        <v/>
      </c>
      <c r="AM35" s="10" t="str">
        <f aca="false">IF(A35="","",A35&amp;"_CAD.dwg")</f>
        <v/>
      </c>
      <c r="AN35" s="10" t="str">
        <f aca="false">IF(A35="","",A35&amp;"_DWG.pdf")</f>
        <v/>
      </c>
      <c r="AO35" s="10" t="str">
        <f aca="false">IF(A35="","",IF(AK35="Y",A35&amp;"_STAAD.std","n/a"))</f>
        <v/>
      </c>
      <c r="AP35" s="10" t="str">
        <f aca="false">IF(A35="","",A35&amp;"_CALC.xlsx")</f>
        <v/>
      </c>
      <c r="AQ35" s="10" t="str">
        <f aca="false">IF(A35="","",A35&amp;"_CALC.pdf")</f>
        <v/>
      </c>
      <c r="AR35" s="9"/>
      <c r="AS35" s="9"/>
      <c r="AT35" s="39"/>
      <c r="AU35" s="39"/>
      <c r="AV35" s="39"/>
      <c r="AW35" s="39"/>
      <c r="AX35" s="39"/>
      <c r="AY35" s="12" t="str">
        <f aca="false">IF(A35="","",IF(COUNTIF(Rebar_Schedule!$A$5:$A$2004,A35)=0,"",ROUND(SUMIF(Rebar_Schedule!$A$5:$A$2004,A35,Rebar_Schedule!$K$5:$K$2004),1)))</f>
        <v/>
      </c>
      <c r="AZ35" s="33" t="str">
        <f aca="false">IF(A35="","",IF(AY35="","No rebar schedule yet",IF(ABS(AY35-N(AU35))/MAX(N(AU35),1)&gt;SG_Criteria!$B$55,"NOTE: register rebar differs from schedule by "&amp;TEXT(ABS(AY35-N(AU35))/MAX(N(AU35),1),"0%"),"OK")))</f>
        <v/>
      </c>
      <c r="BA35" s="33" t="str">
        <f aca="false">IF(OR(D35="",H35=""),"",IF(H35&lt;=IF(OR(D35="Soldier Pile &amp; Timber Lagging",D35="Trench Shoring Box",D35="Open Cut (battered)"),SG_Criteria!$B$34,SG_Criteria!$B$33),"No ERSS submission",IF(H35&lt;=SG_Criteria!$B$35,"QP(ST)",IF(H35&lt;=SG_Criteria!$B$36,"QP(ST) + AC","Geotechnical building works: QP(Geo) + AC"))))</f>
        <v/>
      </c>
      <c r="BB35" s="33" t="str">
        <f aca="false">IF(D35="","",IF(LEN(IF(AND(R35&lt;&gt;"",R35&lt;SG_Criteria!$B$37),"FAIL: base stability FOS &lt; "&amp;SG_Criteria!$B$37&amp;". ","")&amp;IF(AND(E35="Manhole",H35&gt;SG_Criteria!$B$36),"NOTE: BCA lists sewer manholes (pipe &lt;= 2 m dia) &gt; 6 m as non-GBW: QP(ST) + AC. ","")&amp;IF(AND(D35="Trench Shoring Box",I35="Kallang Formation (marine clay)"),"NOTE: check base heave / ground loss for shoring box in marine clay. ","")&amp;IF(AND(D35="Steel Sheet Pile Cofferdam",N(N35)&lt;H35*0.5),"NOTE: short toe embedment, check. ",""))=0,"OK",IF(AND(R35&lt;&gt;"",R35&lt;SG_Criteria!$B$37),"FAIL: base stability FOS &lt; "&amp;SG_Criteria!$B$37&amp;". ","")&amp;IF(AND(E35="Manhole",H35&gt;SG_Criteria!$B$36),"NOTE: BCA lists sewer manholes (pipe &lt;= 2 m dia) &gt; 6 m as non-GBW: QP(ST) + AC. ","")&amp;IF(AND(D35="Trench Shoring Box",I35="Kallang Formation (marine clay)"),"NOTE: check base heave / ground loss for shoring box in marine clay. ","")&amp;IF(AND(D35="Steel Sheet Pile Cofferdam",N(N35)&lt;H35*0.5),"NOTE: short toe embedment, check. ","")))</f>
        <v/>
      </c>
      <c r="BC35" s="9"/>
      <c r="BD35" s="9"/>
      <c r="BE35" s="9"/>
      <c r="BF35" s="10" t="str">
        <f aca="false">IF(BE35="","",IFERROR(VLOOKUP(BE35,Projects!$A$5:$D$504,2,0),"Ref not in Projects"))</f>
        <v/>
      </c>
      <c r="BG35" s="10" t="str">
        <f aca="false">IF(BE35="","",IFERROR(VLOOKUP(BE35,Projects!$A$5:$D$504,4,0),"Ref not in Projects"))</f>
        <v/>
      </c>
      <c r="BH35" s="9"/>
      <c r="BI35" s="9"/>
      <c r="BJ35" s="9"/>
      <c r="BK35" s="40"/>
      <c r="BL35" s="9"/>
      <c r="BM35" s="40"/>
      <c r="BN35" s="9"/>
      <c r="BO35" s="40"/>
      <c r="BP35" s="9"/>
      <c r="BQ35" s="9"/>
      <c r="BR35" s="9"/>
      <c r="BS35" s="40"/>
      <c r="BT35" s="40"/>
      <c r="BU35" s="36" t="str">
        <f aca="false">IF(BT35="","",EDATE(BT35,SG_Criteria!$B$54*12))</f>
        <v/>
      </c>
      <c r="BV35" s="33" t="str">
        <f aca="true">IF(A35="","",IF(BT35="","NOTE: not reviewed yet",IF(TODAY()&gt;BU35,"NOTE: review overdue","OK")))</f>
        <v/>
      </c>
      <c r="BW35" s="37" t="str">
        <f aca="false">IF(A35="","",ROUND((IF(LEN(D35)&gt;0,1,0)+IF(LEN(E35)&gt;0,1,0)+IF(LEN(F35)&gt;0,1,0)+IF(LEN(G35)&gt;0,1,0)+IF(LEN(H35)&gt;0,1,0)+IF(LEN(I35)&gt;0,1,0)+IF(LEN(J35)&gt;0,1,0)+IF(LEN(L35)&gt;0,1,0)+IF(LEN(R35)&gt;0,1,0)+IF(LEN(Y35)&gt;0,1,0)+IF(LEN(AE35)&gt;0,1,0)+IF(LEN(AG35)&gt;0,1,0)+IF(LEN(AH35)&gt;0,1,0)+IF(LEN(AI35)&gt;0,1,0)+IF(LEN(AJ35)&gt;0,1,0)+IF(LEN(AS35)&gt;0,1,0)+IF(LEN(BE35)&gt;0,1,0)+IF(LEN(BR35)&gt;0,1,0))/18,2))</f>
        <v/>
      </c>
      <c r="BX35" s="10" t="str">
        <f aca="false">IF(D35="","",IF(AND(AH35="Approved",ISERROR(SEARCH("FAIL",BB35))),"Y","N"))</f>
        <v/>
      </c>
      <c r="BY35" s="10" t="str">
        <f aca="false">IF(D35="","",D35&amp;"|"&amp;H35&amp;"|"&amp;F35&amp;"|"&amp;I35&amp;"|"&amp;BX35)</f>
        <v/>
      </c>
    </row>
    <row r="36" customFormat="false" ht="15" hidden="false" customHeight="false" outlineLevel="0" collapsed="false">
      <c r="A36" s="10" t="str">
        <f aca="false">IF(D36="","","ERSS-"&amp;IFERROR(VLOOKUP(D36,Lists!$AK$4:$AL$21,2,0),"??")&amp;"-"&amp;TEXT(F36,"0000")&amp;"x"&amp;TEXT(G36,"0000")&amp;"-D"&amp;TEXT(H36*1000,"0000")&amp;"-"&amp;IFERROR(VLOOKUP(I36,Lists!$Y$4:$Z$21,2,0),"??")&amp;"-"&amp;AG36)</f>
        <v/>
      </c>
      <c r="B36" s="10" t="str">
        <f aca="false">IF(D36="","",D36&amp;" for "&amp;E36&amp;", "&amp;F36&amp;" x "&amp;G36&amp;" pit, "&amp;TEXT(H36,"0.0")&amp;" m deep, "&amp;I36)</f>
        <v/>
      </c>
      <c r="C36" s="9"/>
      <c r="D36" s="9"/>
      <c r="E36" s="9"/>
      <c r="F36" s="38"/>
      <c r="G36" s="38"/>
      <c r="H36" s="42"/>
      <c r="I36" s="9"/>
      <c r="J36" s="42"/>
      <c r="K36" s="38"/>
      <c r="L36" s="9"/>
      <c r="M36" s="42"/>
      <c r="N36" s="42"/>
      <c r="O36" s="38"/>
      <c r="P36" s="9"/>
      <c r="Q36" s="9"/>
      <c r="R36" s="39"/>
      <c r="S36" s="39"/>
      <c r="T36" s="38"/>
      <c r="U36" s="38"/>
      <c r="V36" s="38"/>
      <c r="W36" s="9"/>
      <c r="X36" s="9"/>
      <c r="Y36" s="38"/>
      <c r="Z36" s="9"/>
      <c r="AA36" s="9"/>
      <c r="AB36" s="38"/>
      <c r="AC36" s="9"/>
      <c r="AD36" s="39"/>
      <c r="AE36" s="9"/>
      <c r="AF36" s="9"/>
      <c r="AG36" s="9"/>
      <c r="AH36" s="9"/>
      <c r="AI36" s="9"/>
      <c r="AJ36" s="9"/>
      <c r="AK36" s="9"/>
      <c r="AL36" s="10" t="str">
        <f aca="false">IF(A36="","",SG_Criteria!$B$6&amp;SG_Criteria!$B$11&amp;"\"&amp;A36&amp;"\")</f>
        <v/>
      </c>
      <c r="AM36" s="10" t="str">
        <f aca="false">IF(A36="","",A36&amp;"_CAD.dwg")</f>
        <v/>
      </c>
      <c r="AN36" s="10" t="str">
        <f aca="false">IF(A36="","",A36&amp;"_DWG.pdf")</f>
        <v/>
      </c>
      <c r="AO36" s="10" t="str">
        <f aca="false">IF(A36="","",IF(AK36="Y",A36&amp;"_STAAD.std","n/a"))</f>
        <v/>
      </c>
      <c r="AP36" s="10" t="str">
        <f aca="false">IF(A36="","",A36&amp;"_CALC.xlsx")</f>
        <v/>
      </c>
      <c r="AQ36" s="10" t="str">
        <f aca="false">IF(A36="","",A36&amp;"_CALC.pdf")</f>
        <v/>
      </c>
      <c r="AR36" s="9"/>
      <c r="AS36" s="9"/>
      <c r="AT36" s="39"/>
      <c r="AU36" s="39"/>
      <c r="AV36" s="39"/>
      <c r="AW36" s="39"/>
      <c r="AX36" s="39"/>
      <c r="AY36" s="12" t="str">
        <f aca="false">IF(A36="","",IF(COUNTIF(Rebar_Schedule!$A$5:$A$2004,A36)=0,"",ROUND(SUMIF(Rebar_Schedule!$A$5:$A$2004,A36,Rebar_Schedule!$K$5:$K$2004),1)))</f>
        <v/>
      </c>
      <c r="AZ36" s="33" t="str">
        <f aca="false">IF(A36="","",IF(AY36="","No rebar schedule yet",IF(ABS(AY36-N(AU36))/MAX(N(AU36),1)&gt;SG_Criteria!$B$55,"NOTE: register rebar differs from schedule by "&amp;TEXT(ABS(AY36-N(AU36))/MAX(N(AU36),1),"0%"),"OK")))</f>
        <v/>
      </c>
      <c r="BA36" s="33" t="str">
        <f aca="false">IF(OR(D36="",H36=""),"",IF(H36&lt;=IF(OR(D36="Soldier Pile &amp; Timber Lagging",D36="Trench Shoring Box",D36="Open Cut (battered)"),SG_Criteria!$B$34,SG_Criteria!$B$33),"No ERSS submission",IF(H36&lt;=SG_Criteria!$B$35,"QP(ST)",IF(H36&lt;=SG_Criteria!$B$36,"QP(ST) + AC","Geotechnical building works: QP(Geo) + AC"))))</f>
        <v/>
      </c>
      <c r="BB36" s="33" t="str">
        <f aca="false">IF(D36="","",IF(LEN(IF(AND(R36&lt;&gt;"",R36&lt;SG_Criteria!$B$37),"FAIL: base stability FOS &lt; "&amp;SG_Criteria!$B$37&amp;". ","")&amp;IF(AND(E36="Manhole",H36&gt;SG_Criteria!$B$36),"NOTE: BCA lists sewer manholes (pipe &lt;= 2 m dia) &gt; 6 m as non-GBW: QP(ST) + AC. ","")&amp;IF(AND(D36="Trench Shoring Box",I36="Kallang Formation (marine clay)"),"NOTE: check base heave / ground loss for shoring box in marine clay. ","")&amp;IF(AND(D36="Steel Sheet Pile Cofferdam",N(N36)&lt;H36*0.5),"NOTE: short toe embedment, check. ",""))=0,"OK",IF(AND(R36&lt;&gt;"",R36&lt;SG_Criteria!$B$37),"FAIL: base stability FOS &lt; "&amp;SG_Criteria!$B$37&amp;". ","")&amp;IF(AND(E36="Manhole",H36&gt;SG_Criteria!$B$36),"NOTE: BCA lists sewer manholes (pipe &lt;= 2 m dia) &gt; 6 m as non-GBW: QP(ST) + AC. ","")&amp;IF(AND(D36="Trench Shoring Box",I36="Kallang Formation (marine clay)"),"NOTE: check base heave / ground loss for shoring box in marine clay. ","")&amp;IF(AND(D36="Steel Sheet Pile Cofferdam",N(N36)&lt;H36*0.5),"NOTE: short toe embedment, check. ","")))</f>
        <v/>
      </c>
      <c r="BC36" s="9"/>
      <c r="BD36" s="9"/>
      <c r="BE36" s="9"/>
      <c r="BF36" s="10" t="str">
        <f aca="false">IF(BE36="","",IFERROR(VLOOKUP(BE36,Projects!$A$5:$D$504,2,0),"Ref not in Projects"))</f>
        <v/>
      </c>
      <c r="BG36" s="10" t="str">
        <f aca="false">IF(BE36="","",IFERROR(VLOOKUP(BE36,Projects!$A$5:$D$504,4,0),"Ref not in Projects"))</f>
        <v/>
      </c>
      <c r="BH36" s="9"/>
      <c r="BI36" s="9"/>
      <c r="BJ36" s="9"/>
      <c r="BK36" s="40"/>
      <c r="BL36" s="9"/>
      <c r="BM36" s="40"/>
      <c r="BN36" s="9"/>
      <c r="BO36" s="40"/>
      <c r="BP36" s="9"/>
      <c r="BQ36" s="9"/>
      <c r="BR36" s="9"/>
      <c r="BS36" s="40"/>
      <c r="BT36" s="40"/>
      <c r="BU36" s="36" t="str">
        <f aca="false">IF(BT36="","",EDATE(BT36,SG_Criteria!$B$54*12))</f>
        <v/>
      </c>
      <c r="BV36" s="33" t="str">
        <f aca="true">IF(A36="","",IF(BT36="","NOTE: not reviewed yet",IF(TODAY()&gt;BU36,"NOTE: review overdue","OK")))</f>
        <v/>
      </c>
      <c r="BW36" s="37" t="str">
        <f aca="false">IF(A36="","",ROUND((IF(LEN(D36)&gt;0,1,0)+IF(LEN(E36)&gt;0,1,0)+IF(LEN(F36)&gt;0,1,0)+IF(LEN(G36)&gt;0,1,0)+IF(LEN(H36)&gt;0,1,0)+IF(LEN(I36)&gt;0,1,0)+IF(LEN(J36)&gt;0,1,0)+IF(LEN(L36)&gt;0,1,0)+IF(LEN(R36)&gt;0,1,0)+IF(LEN(Y36)&gt;0,1,0)+IF(LEN(AE36)&gt;0,1,0)+IF(LEN(AG36)&gt;0,1,0)+IF(LEN(AH36)&gt;0,1,0)+IF(LEN(AI36)&gt;0,1,0)+IF(LEN(AJ36)&gt;0,1,0)+IF(LEN(AS36)&gt;0,1,0)+IF(LEN(BE36)&gt;0,1,0)+IF(LEN(BR36)&gt;0,1,0))/18,2))</f>
        <v/>
      </c>
      <c r="BX36" s="10" t="str">
        <f aca="false">IF(D36="","",IF(AND(AH36="Approved",ISERROR(SEARCH("FAIL",BB36))),"Y","N"))</f>
        <v/>
      </c>
      <c r="BY36" s="10" t="str">
        <f aca="false">IF(D36="","",D36&amp;"|"&amp;H36&amp;"|"&amp;F36&amp;"|"&amp;I36&amp;"|"&amp;BX36)</f>
        <v/>
      </c>
    </row>
    <row r="37" customFormat="false" ht="15" hidden="false" customHeight="false" outlineLevel="0" collapsed="false">
      <c r="A37" s="10" t="str">
        <f aca="false">IF(D37="","","ERSS-"&amp;IFERROR(VLOOKUP(D37,Lists!$AK$4:$AL$21,2,0),"??")&amp;"-"&amp;TEXT(F37,"0000")&amp;"x"&amp;TEXT(G37,"0000")&amp;"-D"&amp;TEXT(H37*1000,"0000")&amp;"-"&amp;IFERROR(VLOOKUP(I37,Lists!$Y$4:$Z$21,2,0),"??")&amp;"-"&amp;AG37)</f>
        <v/>
      </c>
      <c r="B37" s="10" t="str">
        <f aca="false">IF(D37="","",D37&amp;" for "&amp;E37&amp;", "&amp;F37&amp;" x "&amp;G37&amp;" pit, "&amp;TEXT(H37,"0.0")&amp;" m deep, "&amp;I37)</f>
        <v/>
      </c>
      <c r="C37" s="9"/>
      <c r="D37" s="9"/>
      <c r="E37" s="9"/>
      <c r="F37" s="38"/>
      <c r="G37" s="38"/>
      <c r="H37" s="42"/>
      <c r="I37" s="9"/>
      <c r="J37" s="42"/>
      <c r="K37" s="38"/>
      <c r="L37" s="9"/>
      <c r="M37" s="42"/>
      <c r="N37" s="42"/>
      <c r="O37" s="38"/>
      <c r="P37" s="9"/>
      <c r="Q37" s="9"/>
      <c r="R37" s="39"/>
      <c r="S37" s="39"/>
      <c r="T37" s="38"/>
      <c r="U37" s="38"/>
      <c r="V37" s="38"/>
      <c r="W37" s="9"/>
      <c r="X37" s="9"/>
      <c r="Y37" s="38"/>
      <c r="Z37" s="9"/>
      <c r="AA37" s="9"/>
      <c r="AB37" s="38"/>
      <c r="AC37" s="9"/>
      <c r="AD37" s="39"/>
      <c r="AE37" s="9"/>
      <c r="AF37" s="9"/>
      <c r="AG37" s="9"/>
      <c r="AH37" s="9"/>
      <c r="AI37" s="9"/>
      <c r="AJ37" s="9"/>
      <c r="AK37" s="9"/>
      <c r="AL37" s="10" t="str">
        <f aca="false">IF(A37="","",SG_Criteria!$B$6&amp;SG_Criteria!$B$11&amp;"\"&amp;A37&amp;"\")</f>
        <v/>
      </c>
      <c r="AM37" s="10" t="str">
        <f aca="false">IF(A37="","",A37&amp;"_CAD.dwg")</f>
        <v/>
      </c>
      <c r="AN37" s="10" t="str">
        <f aca="false">IF(A37="","",A37&amp;"_DWG.pdf")</f>
        <v/>
      </c>
      <c r="AO37" s="10" t="str">
        <f aca="false">IF(A37="","",IF(AK37="Y",A37&amp;"_STAAD.std","n/a"))</f>
        <v/>
      </c>
      <c r="AP37" s="10" t="str">
        <f aca="false">IF(A37="","",A37&amp;"_CALC.xlsx")</f>
        <v/>
      </c>
      <c r="AQ37" s="10" t="str">
        <f aca="false">IF(A37="","",A37&amp;"_CALC.pdf")</f>
        <v/>
      </c>
      <c r="AR37" s="9"/>
      <c r="AS37" s="9"/>
      <c r="AT37" s="39"/>
      <c r="AU37" s="39"/>
      <c r="AV37" s="39"/>
      <c r="AW37" s="39"/>
      <c r="AX37" s="39"/>
      <c r="AY37" s="12" t="str">
        <f aca="false">IF(A37="","",IF(COUNTIF(Rebar_Schedule!$A$5:$A$2004,A37)=0,"",ROUND(SUMIF(Rebar_Schedule!$A$5:$A$2004,A37,Rebar_Schedule!$K$5:$K$2004),1)))</f>
        <v/>
      </c>
      <c r="AZ37" s="33" t="str">
        <f aca="false">IF(A37="","",IF(AY37="","No rebar schedule yet",IF(ABS(AY37-N(AU37))/MAX(N(AU37),1)&gt;SG_Criteria!$B$55,"NOTE: register rebar differs from schedule by "&amp;TEXT(ABS(AY37-N(AU37))/MAX(N(AU37),1),"0%"),"OK")))</f>
        <v/>
      </c>
      <c r="BA37" s="33" t="str">
        <f aca="false">IF(OR(D37="",H37=""),"",IF(H37&lt;=IF(OR(D37="Soldier Pile &amp; Timber Lagging",D37="Trench Shoring Box",D37="Open Cut (battered)"),SG_Criteria!$B$34,SG_Criteria!$B$33),"No ERSS submission",IF(H37&lt;=SG_Criteria!$B$35,"QP(ST)",IF(H37&lt;=SG_Criteria!$B$36,"QP(ST) + AC","Geotechnical building works: QP(Geo) + AC"))))</f>
        <v/>
      </c>
      <c r="BB37" s="33" t="str">
        <f aca="false">IF(D37="","",IF(LEN(IF(AND(R37&lt;&gt;"",R37&lt;SG_Criteria!$B$37),"FAIL: base stability FOS &lt; "&amp;SG_Criteria!$B$37&amp;". ","")&amp;IF(AND(E37="Manhole",H37&gt;SG_Criteria!$B$36),"NOTE: BCA lists sewer manholes (pipe &lt;= 2 m dia) &gt; 6 m as non-GBW: QP(ST) + AC. ","")&amp;IF(AND(D37="Trench Shoring Box",I37="Kallang Formation (marine clay)"),"NOTE: check base heave / ground loss for shoring box in marine clay. ","")&amp;IF(AND(D37="Steel Sheet Pile Cofferdam",N(N37)&lt;H37*0.5),"NOTE: short toe embedment, check. ",""))=0,"OK",IF(AND(R37&lt;&gt;"",R37&lt;SG_Criteria!$B$37),"FAIL: base stability FOS &lt; "&amp;SG_Criteria!$B$37&amp;". ","")&amp;IF(AND(E37="Manhole",H37&gt;SG_Criteria!$B$36),"NOTE: BCA lists sewer manholes (pipe &lt;= 2 m dia) &gt; 6 m as non-GBW: QP(ST) + AC. ","")&amp;IF(AND(D37="Trench Shoring Box",I37="Kallang Formation (marine clay)"),"NOTE: check base heave / ground loss for shoring box in marine clay. ","")&amp;IF(AND(D37="Steel Sheet Pile Cofferdam",N(N37)&lt;H37*0.5),"NOTE: short toe embedment, check. ","")))</f>
        <v/>
      </c>
      <c r="BC37" s="9"/>
      <c r="BD37" s="9"/>
      <c r="BE37" s="9"/>
      <c r="BF37" s="10" t="str">
        <f aca="false">IF(BE37="","",IFERROR(VLOOKUP(BE37,Projects!$A$5:$D$504,2,0),"Ref not in Projects"))</f>
        <v/>
      </c>
      <c r="BG37" s="10" t="str">
        <f aca="false">IF(BE37="","",IFERROR(VLOOKUP(BE37,Projects!$A$5:$D$504,4,0),"Ref not in Projects"))</f>
        <v/>
      </c>
      <c r="BH37" s="9"/>
      <c r="BI37" s="9"/>
      <c r="BJ37" s="9"/>
      <c r="BK37" s="40"/>
      <c r="BL37" s="9"/>
      <c r="BM37" s="40"/>
      <c r="BN37" s="9"/>
      <c r="BO37" s="40"/>
      <c r="BP37" s="9"/>
      <c r="BQ37" s="9"/>
      <c r="BR37" s="9"/>
      <c r="BS37" s="40"/>
      <c r="BT37" s="40"/>
      <c r="BU37" s="36" t="str">
        <f aca="false">IF(BT37="","",EDATE(BT37,SG_Criteria!$B$54*12))</f>
        <v/>
      </c>
      <c r="BV37" s="33" t="str">
        <f aca="true">IF(A37="","",IF(BT37="","NOTE: not reviewed yet",IF(TODAY()&gt;BU37,"NOTE: review overdue","OK")))</f>
        <v/>
      </c>
      <c r="BW37" s="37" t="str">
        <f aca="false">IF(A37="","",ROUND((IF(LEN(D37)&gt;0,1,0)+IF(LEN(E37)&gt;0,1,0)+IF(LEN(F37)&gt;0,1,0)+IF(LEN(G37)&gt;0,1,0)+IF(LEN(H37)&gt;0,1,0)+IF(LEN(I37)&gt;0,1,0)+IF(LEN(J37)&gt;0,1,0)+IF(LEN(L37)&gt;0,1,0)+IF(LEN(R37)&gt;0,1,0)+IF(LEN(Y37)&gt;0,1,0)+IF(LEN(AE37)&gt;0,1,0)+IF(LEN(AG37)&gt;0,1,0)+IF(LEN(AH37)&gt;0,1,0)+IF(LEN(AI37)&gt;0,1,0)+IF(LEN(AJ37)&gt;0,1,0)+IF(LEN(AS37)&gt;0,1,0)+IF(LEN(BE37)&gt;0,1,0)+IF(LEN(BR37)&gt;0,1,0))/18,2))</f>
        <v/>
      </c>
      <c r="BX37" s="10" t="str">
        <f aca="false">IF(D37="","",IF(AND(AH37="Approved",ISERROR(SEARCH("FAIL",BB37))),"Y","N"))</f>
        <v/>
      </c>
      <c r="BY37" s="10" t="str">
        <f aca="false">IF(D37="","",D37&amp;"|"&amp;H37&amp;"|"&amp;F37&amp;"|"&amp;I37&amp;"|"&amp;BX37)</f>
        <v/>
      </c>
    </row>
    <row r="38" customFormat="false" ht="15" hidden="false" customHeight="false" outlineLevel="0" collapsed="false">
      <c r="A38" s="10" t="str">
        <f aca="false">IF(D38="","","ERSS-"&amp;IFERROR(VLOOKUP(D38,Lists!$AK$4:$AL$21,2,0),"??")&amp;"-"&amp;TEXT(F38,"0000")&amp;"x"&amp;TEXT(G38,"0000")&amp;"-D"&amp;TEXT(H38*1000,"0000")&amp;"-"&amp;IFERROR(VLOOKUP(I38,Lists!$Y$4:$Z$21,2,0),"??")&amp;"-"&amp;AG38)</f>
        <v/>
      </c>
      <c r="B38" s="10" t="str">
        <f aca="false">IF(D38="","",D38&amp;" for "&amp;E38&amp;", "&amp;F38&amp;" x "&amp;G38&amp;" pit, "&amp;TEXT(H38,"0.0")&amp;" m deep, "&amp;I38)</f>
        <v/>
      </c>
      <c r="C38" s="9"/>
      <c r="D38" s="9"/>
      <c r="E38" s="9"/>
      <c r="F38" s="38"/>
      <c r="G38" s="38"/>
      <c r="H38" s="42"/>
      <c r="I38" s="9"/>
      <c r="J38" s="42"/>
      <c r="K38" s="38"/>
      <c r="L38" s="9"/>
      <c r="M38" s="42"/>
      <c r="N38" s="42"/>
      <c r="O38" s="38"/>
      <c r="P38" s="9"/>
      <c r="Q38" s="9"/>
      <c r="R38" s="39"/>
      <c r="S38" s="39"/>
      <c r="T38" s="38"/>
      <c r="U38" s="38"/>
      <c r="V38" s="38"/>
      <c r="W38" s="9"/>
      <c r="X38" s="9"/>
      <c r="Y38" s="38"/>
      <c r="Z38" s="9"/>
      <c r="AA38" s="9"/>
      <c r="AB38" s="38"/>
      <c r="AC38" s="9"/>
      <c r="AD38" s="39"/>
      <c r="AE38" s="9"/>
      <c r="AF38" s="9"/>
      <c r="AG38" s="9"/>
      <c r="AH38" s="9"/>
      <c r="AI38" s="9"/>
      <c r="AJ38" s="9"/>
      <c r="AK38" s="9"/>
      <c r="AL38" s="10" t="str">
        <f aca="false">IF(A38="","",SG_Criteria!$B$6&amp;SG_Criteria!$B$11&amp;"\"&amp;A38&amp;"\")</f>
        <v/>
      </c>
      <c r="AM38" s="10" t="str">
        <f aca="false">IF(A38="","",A38&amp;"_CAD.dwg")</f>
        <v/>
      </c>
      <c r="AN38" s="10" t="str">
        <f aca="false">IF(A38="","",A38&amp;"_DWG.pdf")</f>
        <v/>
      </c>
      <c r="AO38" s="10" t="str">
        <f aca="false">IF(A38="","",IF(AK38="Y",A38&amp;"_STAAD.std","n/a"))</f>
        <v/>
      </c>
      <c r="AP38" s="10" t="str">
        <f aca="false">IF(A38="","",A38&amp;"_CALC.xlsx")</f>
        <v/>
      </c>
      <c r="AQ38" s="10" t="str">
        <f aca="false">IF(A38="","",A38&amp;"_CALC.pdf")</f>
        <v/>
      </c>
      <c r="AR38" s="9"/>
      <c r="AS38" s="9"/>
      <c r="AT38" s="39"/>
      <c r="AU38" s="39"/>
      <c r="AV38" s="39"/>
      <c r="AW38" s="39"/>
      <c r="AX38" s="39"/>
      <c r="AY38" s="12" t="str">
        <f aca="false">IF(A38="","",IF(COUNTIF(Rebar_Schedule!$A$5:$A$2004,A38)=0,"",ROUND(SUMIF(Rebar_Schedule!$A$5:$A$2004,A38,Rebar_Schedule!$K$5:$K$2004),1)))</f>
        <v/>
      </c>
      <c r="AZ38" s="33" t="str">
        <f aca="false">IF(A38="","",IF(AY38="","No rebar schedule yet",IF(ABS(AY38-N(AU38))/MAX(N(AU38),1)&gt;SG_Criteria!$B$55,"NOTE: register rebar differs from schedule by "&amp;TEXT(ABS(AY38-N(AU38))/MAX(N(AU38),1),"0%"),"OK")))</f>
        <v/>
      </c>
      <c r="BA38" s="33" t="str">
        <f aca="false">IF(OR(D38="",H38=""),"",IF(H38&lt;=IF(OR(D38="Soldier Pile &amp; Timber Lagging",D38="Trench Shoring Box",D38="Open Cut (battered)"),SG_Criteria!$B$34,SG_Criteria!$B$33),"No ERSS submission",IF(H38&lt;=SG_Criteria!$B$35,"QP(ST)",IF(H38&lt;=SG_Criteria!$B$36,"QP(ST) + AC","Geotechnical building works: QP(Geo) + AC"))))</f>
        <v/>
      </c>
      <c r="BB38" s="33" t="str">
        <f aca="false">IF(D38="","",IF(LEN(IF(AND(R38&lt;&gt;"",R38&lt;SG_Criteria!$B$37),"FAIL: base stability FOS &lt; "&amp;SG_Criteria!$B$37&amp;". ","")&amp;IF(AND(E38="Manhole",H38&gt;SG_Criteria!$B$36),"NOTE: BCA lists sewer manholes (pipe &lt;= 2 m dia) &gt; 6 m as non-GBW: QP(ST) + AC. ","")&amp;IF(AND(D38="Trench Shoring Box",I38="Kallang Formation (marine clay)"),"NOTE: check base heave / ground loss for shoring box in marine clay. ","")&amp;IF(AND(D38="Steel Sheet Pile Cofferdam",N(N38)&lt;H38*0.5),"NOTE: short toe embedment, check. ",""))=0,"OK",IF(AND(R38&lt;&gt;"",R38&lt;SG_Criteria!$B$37),"FAIL: base stability FOS &lt; "&amp;SG_Criteria!$B$37&amp;". ","")&amp;IF(AND(E38="Manhole",H38&gt;SG_Criteria!$B$36),"NOTE: BCA lists sewer manholes (pipe &lt;= 2 m dia) &gt; 6 m as non-GBW: QP(ST) + AC. ","")&amp;IF(AND(D38="Trench Shoring Box",I38="Kallang Formation (marine clay)"),"NOTE: check base heave / ground loss for shoring box in marine clay. ","")&amp;IF(AND(D38="Steel Sheet Pile Cofferdam",N(N38)&lt;H38*0.5),"NOTE: short toe embedment, check. ","")))</f>
        <v/>
      </c>
      <c r="BC38" s="9"/>
      <c r="BD38" s="9"/>
      <c r="BE38" s="9"/>
      <c r="BF38" s="10" t="str">
        <f aca="false">IF(BE38="","",IFERROR(VLOOKUP(BE38,Projects!$A$5:$D$504,2,0),"Ref not in Projects"))</f>
        <v/>
      </c>
      <c r="BG38" s="10" t="str">
        <f aca="false">IF(BE38="","",IFERROR(VLOOKUP(BE38,Projects!$A$5:$D$504,4,0),"Ref not in Projects"))</f>
        <v/>
      </c>
      <c r="BH38" s="9"/>
      <c r="BI38" s="9"/>
      <c r="BJ38" s="9"/>
      <c r="BK38" s="40"/>
      <c r="BL38" s="9"/>
      <c r="BM38" s="40"/>
      <c r="BN38" s="9"/>
      <c r="BO38" s="40"/>
      <c r="BP38" s="9"/>
      <c r="BQ38" s="9"/>
      <c r="BR38" s="9"/>
      <c r="BS38" s="40"/>
      <c r="BT38" s="40"/>
      <c r="BU38" s="36" t="str">
        <f aca="false">IF(BT38="","",EDATE(BT38,SG_Criteria!$B$54*12))</f>
        <v/>
      </c>
      <c r="BV38" s="33" t="str">
        <f aca="true">IF(A38="","",IF(BT38="","NOTE: not reviewed yet",IF(TODAY()&gt;BU38,"NOTE: review overdue","OK")))</f>
        <v/>
      </c>
      <c r="BW38" s="37" t="str">
        <f aca="false">IF(A38="","",ROUND((IF(LEN(D38)&gt;0,1,0)+IF(LEN(E38)&gt;0,1,0)+IF(LEN(F38)&gt;0,1,0)+IF(LEN(G38)&gt;0,1,0)+IF(LEN(H38)&gt;0,1,0)+IF(LEN(I38)&gt;0,1,0)+IF(LEN(J38)&gt;0,1,0)+IF(LEN(L38)&gt;0,1,0)+IF(LEN(R38)&gt;0,1,0)+IF(LEN(Y38)&gt;0,1,0)+IF(LEN(AE38)&gt;0,1,0)+IF(LEN(AG38)&gt;0,1,0)+IF(LEN(AH38)&gt;0,1,0)+IF(LEN(AI38)&gt;0,1,0)+IF(LEN(AJ38)&gt;0,1,0)+IF(LEN(AS38)&gt;0,1,0)+IF(LEN(BE38)&gt;0,1,0)+IF(LEN(BR38)&gt;0,1,0))/18,2))</f>
        <v/>
      </c>
      <c r="BX38" s="10" t="str">
        <f aca="false">IF(D38="","",IF(AND(AH38="Approved",ISERROR(SEARCH("FAIL",BB38))),"Y","N"))</f>
        <v/>
      </c>
      <c r="BY38" s="10" t="str">
        <f aca="false">IF(D38="","",D38&amp;"|"&amp;H38&amp;"|"&amp;F38&amp;"|"&amp;I38&amp;"|"&amp;BX38)</f>
        <v/>
      </c>
    </row>
    <row r="39" customFormat="false" ht="15" hidden="false" customHeight="false" outlineLevel="0" collapsed="false">
      <c r="A39" s="10" t="str">
        <f aca="false">IF(D39="","","ERSS-"&amp;IFERROR(VLOOKUP(D39,Lists!$AK$4:$AL$21,2,0),"??")&amp;"-"&amp;TEXT(F39,"0000")&amp;"x"&amp;TEXT(G39,"0000")&amp;"-D"&amp;TEXT(H39*1000,"0000")&amp;"-"&amp;IFERROR(VLOOKUP(I39,Lists!$Y$4:$Z$21,2,0),"??")&amp;"-"&amp;AG39)</f>
        <v/>
      </c>
      <c r="B39" s="10" t="str">
        <f aca="false">IF(D39="","",D39&amp;" for "&amp;E39&amp;", "&amp;F39&amp;" x "&amp;G39&amp;" pit, "&amp;TEXT(H39,"0.0")&amp;" m deep, "&amp;I39)</f>
        <v/>
      </c>
      <c r="C39" s="9"/>
      <c r="D39" s="9"/>
      <c r="E39" s="9"/>
      <c r="F39" s="38"/>
      <c r="G39" s="38"/>
      <c r="H39" s="42"/>
      <c r="I39" s="9"/>
      <c r="J39" s="42"/>
      <c r="K39" s="38"/>
      <c r="L39" s="9"/>
      <c r="M39" s="42"/>
      <c r="N39" s="42"/>
      <c r="O39" s="38"/>
      <c r="P39" s="9"/>
      <c r="Q39" s="9"/>
      <c r="R39" s="39"/>
      <c r="S39" s="39"/>
      <c r="T39" s="38"/>
      <c r="U39" s="38"/>
      <c r="V39" s="38"/>
      <c r="W39" s="9"/>
      <c r="X39" s="9"/>
      <c r="Y39" s="38"/>
      <c r="Z39" s="9"/>
      <c r="AA39" s="9"/>
      <c r="AB39" s="38"/>
      <c r="AC39" s="9"/>
      <c r="AD39" s="39"/>
      <c r="AE39" s="9"/>
      <c r="AF39" s="9"/>
      <c r="AG39" s="9"/>
      <c r="AH39" s="9"/>
      <c r="AI39" s="9"/>
      <c r="AJ39" s="9"/>
      <c r="AK39" s="9"/>
      <c r="AL39" s="10" t="str">
        <f aca="false">IF(A39="","",SG_Criteria!$B$6&amp;SG_Criteria!$B$11&amp;"\"&amp;A39&amp;"\")</f>
        <v/>
      </c>
      <c r="AM39" s="10" t="str">
        <f aca="false">IF(A39="","",A39&amp;"_CAD.dwg")</f>
        <v/>
      </c>
      <c r="AN39" s="10" t="str">
        <f aca="false">IF(A39="","",A39&amp;"_DWG.pdf")</f>
        <v/>
      </c>
      <c r="AO39" s="10" t="str">
        <f aca="false">IF(A39="","",IF(AK39="Y",A39&amp;"_STAAD.std","n/a"))</f>
        <v/>
      </c>
      <c r="AP39" s="10" t="str">
        <f aca="false">IF(A39="","",A39&amp;"_CALC.xlsx")</f>
        <v/>
      </c>
      <c r="AQ39" s="10" t="str">
        <f aca="false">IF(A39="","",A39&amp;"_CALC.pdf")</f>
        <v/>
      </c>
      <c r="AR39" s="9"/>
      <c r="AS39" s="9"/>
      <c r="AT39" s="39"/>
      <c r="AU39" s="39"/>
      <c r="AV39" s="39"/>
      <c r="AW39" s="39"/>
      <c r="AX39" s="39"/>
      <c r="AY39" s="12" t="str">
        <f aca="false">IF(A39="","",IF(COUNTIF(Rebar_Schedule!$A$5:$A$2004,A39)=0,"",ROUND(SUMIF(Rebar_Schedule!$A$5:$A$2004,A39,Rebar_Schedule!$K$5:$K$2004),1)))</f>
        <v/>
      </c>
      <c r="AZ39" s="33" t="str">
        <f aca="false">IF(A39="","",IF(AY39="","No rebar schedule yet",IF(ABS(AY39-N(AU39))/MAX(N(AU39),1)&gt;SG_Criteria!$B$55,"NOTE: register rebar differs from schedule by "&amp;TEXT(ABS(AY39-N(AU39))/MAX(N(AU39),1),"0%"),"OK")))</f>
        <v/>
      </c>
      <c r="BA39" s="33" t="str">
        <f aca="false">IF(OR(D39="",H39=""),"",IF(H39&lt;=IF(OR(D39="Soldier Pile &amp; Timber Lagging",D39="Trench Shoring Box",D39="Open Cut (battered)"),SG_Criteria!$B$34,SG_Criteria!$B$33),"No ERSS submission",IF(H39&lt;=SG_Criteria!$B$35,"QP(ST)",IF(H39&lt;=SG_Criteria!$B$36,"QP(ST) + AC","Geotechnical building works: QP(Geo) + AC"))))</f>
        <v/>
      </c>
      <c r="BB39" s="33" t="str">
        <f aca="false">IF(D39="","",IF(LEN(IF(AND(R39&lt;&gt;"",R39&lt;SG_Criteria!$B$37),"FAIL: base stability FOS &lt; "&amp;SG_Criteria!$B$37&amp;". ","")&amp;IF(AND(E39="Manhole",H39&gt;SG_Criteria!$B$36),"NOTE: BCA lists sewer manholes (pipe &lt;= 2 m dia) &gt; 6 m as non-GBW: QP(ST) + AC. ","")&amp;IF(AND(D39="Trench Shoring Box",I39="Kallang Formation (marine clay)"),"NOTE: check base heave / ground loss for shoring box in marine clay. ","")&amp;IF(AND(D39="Steel Sheet Pile Cofferdam",N(N39)&lt;H39*0.5),"NOTE: short toe embedment, check. ",""))=0,"OK",IF(AND(R39&lt;&gt;"",R39&lt;SG_Criteria!$B$37),"FAIL: base stability FOS &lt; "&amp;SG_Criteria!$B$37&amp;". ","")&amp;IF(AND(E39="Manhole",H39&gt;SG_Criteria!$B$36),"NOTE: BCA lists sewer manholes (pipe &lt;= 2 m dia) &gt; 6 m as non-GBW: QP(ST) + AC. ","")&amp;IF(AND(D39="Trench Shoring Box",I39="Kallang Formation (marine clay)"),"NOTE: check base heave / ground loss for shoring box in marine clay. ","")&amp;IF(AND(D39="Steel Sheet Pile Cofferdam",N(N39)&lt;H39*0.5),"NOTE: short toe embedment, check. ","")))</f>
        <v/>
      </c>
      <c r="BC39" s="9"/>
      <c r="BD39" s="9"/>
      <c r="BE39" s="9"/>
      <c r="BF39" s="10" t="str">
        <f aca="false">IF(BE39="","",IFERROR(VLOOKUP(BE39,Projects!$A$5:$D$504,2,0),"Ref not in Projects"))</f>
        <v/>
      </c>
      <c r="BG39" s="10" t="str">
        <f aca="false">IF(BE39="","",IFERROR(VLOOKUP(BE39,Projects!$A$5:$D$504,4,0),"Ref not in Projects"))</f>
        <v/>
      </c>
      <c r="BH39" s="9"/>
      <c r="BI39" s="9"/>
      <c r="BJ39" s="9"/>
      <c r="BK39" s="40"/>
      <c r="BL39" s="9"/>
      <c r="BM39" s="40"/>
      <c r="BN39" s="9"/>
      <c r="BO39" s="40"/>
      <c r="BP39" s="9"/>
      <c r="BQ39" s="9"/>
      <c r="BR39" s="9"/>
      <c r="BS39" s="40"/>
      <c r="BT39" s="40"/>
      <c r="BU39" s="36" t="str">
        <f aca="false">IF(BT39="","",EDATE(BT39,SG_Criteria!$B$54*12))</f>
        <v/>
      </c>
      <c r="BV39" s="33" t="str">
        <f aca="true">IF(A39="","",IF(BT39="","NOTE: not reviewed yet",IF(TODAY()&gt;BU39,"NOTE: review overdue","OK")))</f>
        <v/>
      </c>
      <c r="BW39" s="37" t="str">
        <f aca="false">IF(A39="","",ROUND((IF(LEN(D39)&gt;0,1,0)+IF(LEN(E39)&gt;0,1,0)+IF(LEN(F39)&gt;0,1,0)+IF(LEN(G39)&gt;0,1,0)+IF(LEN(H39)&gt;0,1,0)+IF(LEN(I39)&gt;0,1,0)+IF(LEN(J39)&gt;0,1,0)+IF(LEN(L39)&gt;0,1,0)+IF(LEN(R39)&gt;0,1,0)+IF(LEN(Y39)&gt;0,1,0)+IF(LEN(AE39)&gt;0,1,0)+IF(LEN(AG39)&gt;0,1,0)+IF(LEN(AH39)&gt;0,1,0)+IF(LEN(AI39)&gt;0,1,0)+IF(LEN(AJ39)&gt;0,1,0)+IF(LEN(AS39)&gt;0,1,0)+IF(LEN(BE39)&gt;0,1,0)+IF(LEN(BR39)&gt;0,1,0))/18,2))</f>
        <v/>
      </c>
      <c r="BX39" s="10" t="str">
        <f aca="false">IF(D39="","",IF(AND(AH39="Approved",ISERROR(SEARCH("FAIL",BB39))),"Y","N"))</f>
        <v/>
      </c>
      <c r="BY39" s="10" t="str">
        <f aca="false">IF(D39="","",D39&amp;"|"&amp;H39&amp;"|"&amp;F39&amp;"|"&amp;I39&amp;"|"&amp;BX39)</f>
        <v/>
      </c>
    </row>
    <row r="40" customFormat="false" ht="15" hidden="false" customHeight="false" outlineLevel="0" collapsed="false">
      <c r="A40" s="10" t="str">
        <f aca="false">IF(D40="","","ERSS-"&amp;IFERROR(VLOOKUP(D40,Lists!$AK$4:$AL$21,2,0),"??")&amp;"-"&amp;TEXT(F40,"0000")&amp;"x"&amp;TEXT(G40,"0000")&amp;"-D"&amp;TEXT(H40*1000,"0000")&amp;"-"&amp;IFERROR(VLOOKUP(I40,Lists!$Y$4:$Z$21,2,0),"??")&amp;"-"&amp;AG40)</f>
        <v/>
      </c>
      <c r="B40" s="10" t="str">
        <f aca="false">IF(D40="","",D40&amp;" for "&amp;E40&amp;", "&amp;F40&amp;" x "&amp;G40&amp;" pit, "&amp;TEXT(H40,"0.0")&amp;" m deep, "&amp;I40)</f>
        <v/>
      </c>
      <c r="C40" s="9"/>
      <c r="D40" s="9"/>
      <c r="E40" s="9"/>
      <c r="F40" s="38"/>
      <c r="G40" s="38"/>
      <c r="H40" s="42"/>
      <c r="I40" s="9"/>
      <c r="J40" s="42"/>
      <c r="K40" s="38"/>
      <c r="L40" s="9"/>
      <c r="M40" s="42"/>
      <c r="N40" s="42"/>
      <c r="O40" s="38"/>
      <c r="P40" s="9"/>
      <c r="Q40" s="9"/>
      <c r="R40" s="39"/>
      <c r="S40" s="39"/>
      <c r="T40" s="38"/>
      <c r="U40" s="38"/>
      <c r="V40" s="38"/>
      <c r="W40" s="9"/>
      <c r="X40" s="9"/>
      <c r="Y40" s="38"/>
      <c r="Z40" s="9"/>
      <c r="AA40" s="9"/>
      <c r="AB40" s="38"/>
      <c r="AC40" s="9"/>
      <c r="AD40" s="39"/>
      <c r="AE40" s="9"/>
      <c r="AF40" s="9"/>
      <c r="AG40" s="9"/>
      <c r="AH40" s="9"/>
      <c r="AI40" s="9"/>
      <c r="AJ40" s="9"/>
      <c r="AK40" s="9"/>
      <c r="AL40" s="10" t="str">
        <f aca="false">IF(A40="","",SG_Criteria!$B$6&amp;SG_Criteria!$B$11&amp;"\"&amp;A40&amp;"\")</f>
        <v/>
      </c>
      <c r="AM40" s="10" t="str">
        <f aca="false">IF(A40="","",A40&amp;"_CAD.dwg")</f>
        <v/>
      </c>
      <c r="AN40" s="10" t="str">
        <f aca="false">IF(A40="","",A40&amp;"_DWG.pdf")</f>
        <v/>
      </c>
      <c r="AO40" s="10" t="str">
        <f aca="false">IF(A40="","",IF(AK40="Y",A40&amp;"_STAAD.std","n/a"))</f>
        <v/>
      </c>
      <c r="AP40" s="10" t="str">
        <f aca="false">IF(A40="","",A40&amp;"_CALC.xlsx")</f>
        <v/>
      </c>
      <c r="AQ40" s="10" t="str">
        <f aca="false">IF(A40="","",A40&amp;"_CALC.pdf")</f>
        <v/>
      </c>
      <c r="AR40" s="9"/>
      <c r="AS40" s="9"/>
      <c r="AT40" s="39"/>
      <c r="AU40" s="39"/>
      <c r="AV40" s="39"/>
      <c r="AW40" s="39"/>
      <c r="AX40" s="39"/>
      <c r="AY40" s="12" t="str">
        <f aca="false">IF(A40="","",IF(COUNTIF(Rebar_Schedule!$A$5:$A$2004,A40)=0,"",ROUND(SUMIF(Rebar_Schedule!$A$5:$A$2004,A40,Rebar_Schedule!$K$5:$K$2004),1)))</f>
        <v/>
      </c>
      <c r="AZ40" s="33" t="str">
        <f aca="false">IF(A40="","",IF(AY40="","No rebar schedule yet",IF(ABS(AY40-N(AU40))/MAX(N(AU40),1)&gt;SG_Criteria!$B$55,"NOTE: register rebar differs from schedule by "&amp;TEXT(ABS(AY40-N(AU40))/MAX(N(AU40),1),"0%"),"OK")))</f>
        <v/>
      </c>
      <c r="BA40" s="33" t="str">
        <f aca="false">IF(OR(D40="",H40=""),"",IF(H40&lt;=IF(OR(D40="Soldier Pile &amp; Timber Lagging",D40="Trench Shoring Box",D40="Open Cut (battered)"),SG_Criteria!$B$34,SG_Criteria!$B$33),"No ERSS submission",IF(H40&lt;=SG_Criteria!$B$35,"QP(ST)",IF(H40&lt;=SG_Criteria!$B$36,"QP(ST) + AC","Geotechnical building works: QP(Geo) + AC"))))</f>
        <v/>
      </c>
      <c r="BB40" s="33" t="str">
        <f aca="false">IF(D40="","",IF(LEN(IF(AND(R40&lt;&gt;"",R40&lt;SG_Criteria!$B$37),"FAIL: base stability FOS &lt; "&amp;SG_Criteria!$B$37&amp;". ","")&amp;IF(AND(E40="Manhole",H40&gt;SG_Criteria!$B$36),"NOTE: BCA lists sewer manholes (pipe &lt;= 2 m dia) &gt; 6 m as non-GBW: QP(ST) + AC. ","")&amp;IF(AND(D40="Trench Shoring Box",I40="Kallang Formation (marine clay)"),"NOTE: check base heave / ground loss for shoring box in marine clay. ","")&amp;IF(AND(D40="Steel Sheet Pile Cofferdam",N(N40)&lt;H40*0.5),"NOTE: short toe embedment, check. ",""))=0,"OK",IF(AND(R40&lt;&gt;"",R40&lt;SG_Criteria!$B$37),"FAIL: base stability FOS &lt; "&amp;SG_Criteria!$B$37&amp;". ","")&amp;IF(AND(E40="Manhole",H40&gt;SG_Criteria!$B$36),"NOTE: BCA lists sewer manholes (pipe &lt;= 2 m dia) &gt; 6 m as non-GBW: QP(ST) + AC. ","")&amp;IF(AND(D40="Trench Shoring Box",I40="Kallang Formation (marine clay)"),"NOTE: check base heave / ground loss for shoring box in marine clay. ","")&amp;IF(AND(D40="Steel Sheet Pile Cofferdam",N(N40)&lt;H40*0.5),"NOTE: short toe embedment, check. ","")))</f>
        <v/>
      </c>
      <c r="BC40" s="9"/>
      <c r="BD40" s="9"/>
      <c r="BE40" s="9"/>
      <c r="BF40" s="10" t="str">
        <f aca="false">IF(BE40="","",IFERROR(VLOOKUP(BE40,Projects!$A$5:$D$504,2,0),"Ref not in Projects"))</f>
        <v/>
      </c>
      <c r="BG40" s="10" t="str">
        <f aca="false">IF(BE40="","",IFERROR(VLOOKUP(BE40,Projects!$A$5:$D$504,4,0),"Ref not in Projects"))</f>
        <v/>
      </c>
      <c r="BH40" s="9"/>
      <c r="BI40" s="9"/>
      <c r="BJ40" s="9"/>
      <c r="BK40" s="40"/>
      <c r="BL40" s="9"/>
      <c r="BM40" s="40"/>
      <c r="BN40" s="9"/>
      <c r="BO40" s="40"/>
      <c r="BP40" s="9"/>
      <c r="BQ40" s="9"/>
      <c r="BR40" s="9"/>
      <c r="BS40" s="40"/>
      <c r="BT40" s="40"/>
      <c r="BU40" s="36" t="str">
        <f aca="false">IF(BT40="","",EDATE(BT40,SG_Criteria!$B$54*12))</f>
        <v/>
      </c>
      <c r="BV40" s="33" t="str">
        <f aca="true">IF(A40="","",IF(BT40="","NOTE: not reviewed yet",IF(TODAY()&gt;BU40,"NOTE: review overdue","OK")))</f>
        <v/>
      </c>
      <c r="BW40" s="37" t="str">
        <f aca="false">IF(A40="","",ROUND((IF(LEN(D40)&gt;0,1,0)+IF(LEN(E40)&gt;0,1,0)+IF(LEN(F40)&gt;0,1,0)+IF(LEN(G40)&gt;0,1,0)+IF(LEN(H40)&gt;0,1,0)+IF(LEN(I40)&gt;0,1,0)+IF(LEN(J40)&gt;0,1,0)+IF(LEN(L40)&gt;0,1,0)+IF(LEN(R40)&gt;0,1,0)+IF(LEN(Y40)&gt;0,1,0)+IF(LEN(AE40)&gt;0,1,0)+IF(LEN(AG40)&gt;0,1,0)+IF(LEN(AH40)&gt;0,1,0)+IF(LEN(AI40)&gt;0,1,0)+IF(LEN(AJ40)&gt;0,1,0)+IF(LEN(AS40)&gt;0,1,0)+IF(LEN(BE40)&gt;0,1,0)+IF(LEN(BR40)&gt;0,1,0))/18,2))</f>
        <v/>
      </c>
      <c r="BX40" s="10" t="str">
        <f aca="false">IF(D40="","",IF(AND(AH40="Approved",ISERROR(SEARCH("FAIL",BB40))),"Y","N"))</f>
        <v/>
      </c>
      <c r="BY40" s="10" t="str">
        <f aca="false">IF(D40="","",D40&amp;"|"&amp;H40&amp;"|"&amp;F40&amp;"|"&amp;I40&amp;"|"&amp;BX40)</f>
        <v/>
      </c>
    </row>
    <row r="41" customFormat="false" ht="15" hidden="false" customHeight="false" outlineLevel="0" collapsed="false">
      <c r="A41" s="10" t="str">
        <f aca="false">IF(D41="","","ERSS-"&amp;IFERROR(VLOOKUP(D41,Lists!$AK$4:$AL$21,2,0),"??")&amp;"-"&amp;TEXT(F41,"0000")&amp;"x"&amp;TEXT(G41,"0000")&amp;"-D"&amp;TEXT(H41*1000,"0000")&amp;"-"&amp;IFERROR(VLOOKUP(I41,Lists!$Y$4:$Z$21,2,0),"??")&amp;"-"&amp;AG41)</f>
        <v/>
      </c>
      <c r="B41" s="10" t="str">
        <f aca="false">IF(D41="","",D41&amp;" for "&amp;E41&amp;", "&amp;F41&amp;" x "&amp;G41&amp;" pit, "&amp;TEXT(H41,"0.0")&amp;" m deep, "&amp;I41)</f>
        <v/>
      </c>
      <c r="C41" s="9"/>
      <c r="D41" s="9"/>
      <c r="E41" s="9"/>
      <c r="F41" s="38"/>
      <c r="G41" s="38"/>
      <c r="H41" s="42"/>
      <c r="I41" s="9"/>
      <c r="J41" s="42"/>
      <c r="K41" s="38"/>
      <c r="L41" s="9"/>
      <c r="M41" s="42"/>
      <c r="N41" s="42"/>
      <c r="O41" s="38"/>
      <c r="P41" s="9"/>
      <c r="Q41" s="9"/>
      <c r="R41" s="39"/>
      <c r="S41" s="39"/>
      <c r="T41" s="38"/>
      <c r="U41" s="38"/>
      <c r="V41" s="38"/>
      <c r="W41" s="9"/>
      <c r="X41" s="9"/>
      <c r="Y41" s="38"/>
      <c r="Z41" s="9"/>
      <c r="AA41" s="9"/>
      <c r="AB41" s="38"/>
      <c r="AC41" s="9"/>
      <c r="AD41" s="39"/>
      <c r="AE41" s="9"/>
      <c r="AF41" s="9"/>
      <c r="AG41" s="9"/>
      <c r="AH41" s="9"/>
      <c r="AI41" s="9"/>
      <c r="AJ41" s="9"/>
      <c r="AK41" s="9"/>
      <c r="AL41" s="10" t="str">
        <f aca="false">IF(A41="","",SG_Criteria!$B$6&amp;SG_Criteria!$B$11&amp;"\"&amp;A41&amp;"\")</f>
        <v/>
      </c>
      <c r="AM41" s="10" t="str">
        <f aca="false">IF(A41="","",A41&amp;"_CAD.dwg")</f>
        <v/>
      </c>
      <c r="AN41" s="10" t="str">
        <f aca="false">IF(A41="","",A41&amp;"_DWG.pdf")</f>
        <v/>
      </c>
      <c r="AO41" s="10" t="str">
        <f aca="false">IF(A41="","",IF(AK41="Y",A41&amp;"_STAAD.std","n/a"))</f>
        <v/>
      </c>
      <c r="AP41" s="10" t="str">
        <f aca="false">IF(A41="","",A41&amp;"_CALC.xlsx")</f>
        <v/>
      </c>
      <c r="AQ41" s="10" t="str">
        <f aca="false">IF(A41="","",A41&amp;"_CALC.pdf")</f>
        <v/>
      </c>
      <c r="AR41" s="9"/>
      <c r="AS41" s="9"/>
      <c r="AT41" s="39"/>
      <c r="AU41" s="39"/>
      <c r="AV41" s="39"/>
      <c r="AW41" s="39"/>
      <c r="AX41" s="39"/>
      <c r="AY41" s="12" t="str">
        <f aca="false">IF(A41="","",IF(COUNTIF(Rebar_Schedule!$A$5:$A$2004,A41)=0,"",ROUND(SUMIF(Rebar_Schedule!$A$5:$A$2004,A41,Rebar_Schedule!$K$5:$K$2004),1)))</f>
        <v/>
      </c>
      <c r="AZ41" s="33" t="str">
        <f aca="false">IF(A41="","",IF(AY41="","No rebar schedule yet",IF(ABS(AY41-N(AU41))/MAX(N(AU41),1)&gt;SG_Criteria!$B$55,"NOTE: register rebar differs from schedule by "&amp;TEXT(ABS(AY41-N(AU41))/MAX(N(AU41),1),"0%"),"OK")))</f>
        <v/>
      </c>
      <c r="BA41" s="33" t="str">
        <f aca="false">IF(OR(D41="",H41=""),"",IF(H41&lt;=IF(OR(D41="Soldier Pile &amp; Timber Lagging",D41="Trench Shoring Box",D41="Open Cut (battered)"),SG_Criteria!$B$34,SG_Criteria!$B$33),"No ERSS submission",IF(H41&lt;=SG_Criteria!$B$35,"QP(ST)",IF(H41&lt;=SG_Criteria!$B$36,"QP(ST) + AC","Geotechnical building works: QP(Geo) + AC"))))</f>
        <v/>
      </c>
      <c r="BB41" s="33" t="str">
        <f aca="false">IF(D41="","",IF(LEN(IF(AND(R41&lt;&gt;"",R41&lt;SG_Criteria!$B$37),"FAIL: base stability FOS &lt; "&amp;SG_Criteria!$B$37&amp;". ","")&amp;IF(AND(E41="Manhole",H41&gt;SG_Criteria!$B$36),"NOTE: BCA lists sewer manholes (pipe &lt;= 2 m dia) &gt; 6 m as non-GBW: QP(ST) + AC. ","")&amp;IF(AND(D41="Trench Shoring Box",I41="Kallang Formation (marine clay)"),"NOTE: check base heave / ground loss for shoring box in marine clay. ","")&amp;IF(AND(D41="Steel Sheet Pile Cofferdam",N(N41)&lt;H41*0.5),"NOTE: short toe embedment, check. ",""))=0,"OK",IF(AND(R41&lt;&gt;"",R41&lt;SG_Criteria!$B$37),"FAIL: base stability FOS &lt; "&amp;SG_Criteria!$B$37&amp;". ","")&amp;IF(AND(E41="Manhole",H41&gt;SG_Criteria!$B$36),"NOTE: BCA lists sewer manholes (pipe &lt;= 2 m dia) &gt; 6 m as non-GBW: QP(ST) + AC. ","")&amp;IF(AND(D41="Trench Shoring Box",I41="Kallang Formation (marine clay)"),"NOTE: check base heave / ground loss for shoring box in marine clay. ","")&amp;IF(AND(D41="Steel Sheet Pile Cofferdam",N(N41)&lt;H41*0.5),"NOTE: short toe embedment, check. ","")))</f>
        <v/>
      </c>
      <c r="BC41" s="9"/>
      <c r="BD41" s="9"/>
      <c r="BE41" s="9"/>
      <c r="BF41" s="10" t="str">
        <f aca="false">IF(BE41="","",IFERROR(VLOOKUP(BE41,Projects!$A$5:$D$504,2,0),"Ref not in Projects"))</f>
        <v/>
      </c>
      <c r="BG41" s="10" t="str">
        <f aca="false">IF(BE41="","",IFERROR(VLOOKUP(BE41,Projects!$A$5:$D$504,4,0),"Ref not in Projects"))</f>
        <v/>
      </c>
      <c r="BH41" s="9"/>
      <c r="BI41" s="9"/>
      <c r="BJ41" s="9"/>
      <c r="BK41" s="40"/>
      <c r="BL41" s="9"/>
      <c r="BM41" s="40"/>
      <c r="BN41" s="9"/>
      <c r="BO41" s="40"/>
      <c r="BP41" s="9"/>
      <c r="BQ41" s="9"/>
      <c r="BR41" s="9"/>
      <c r="BS41" s="40"/>
      <c r="BT41" s="40"/>
      <c r="BU41" s="36" t="str">
        <f aca="false">IF(BT41="","",EDATE(BT41,SG_Criteria!$B$54*12))</f>
        <v/>
      </c>
      <c r="BV41" s="33" t="str">
        <f aca="true">IF(A41="","",IF(BT41="","NOTE: not reviewed yet",IF(TODAY()&gt;BU41,"NOTE: review overdue","OK")))</f>
        <v/>
      </c>
      <c r="BW41" s="37" t="str">
        <f aca="false">IF(A41="","",ROUND((IF(LEN(D41)&gt;0,1,0)+IF(LEN(E41)&gt;0,1,0)+IF(LEN(F41)&gt;0,1,0)+IF(LEN(G41)&gt;0,1,0)+IF(LEN(H41)&gt;0,1,0)+IF(LEN(I41)&gt;0,1,0)+IF(LEN(J41)&gt;0,1,0)+IF(LEN(L41)&gt;0,1,0)+IF(LEN(R41)&gt;0,1,0)+IF(LEN(Y41)&gt;0,1,0)+IF(LEN(AE41)&gt;0,1,0)+IF(LEN(AG41)&gt;0,1,0)+IF(LEN(AH41)&gt;0,1,0)+IF(LEN(AI41)&gt;0,1,0)+IF(LEN(AJ41)&gt;0,1,0)+IF(LEN(AS41)&gt;0,1,0)+IF(LEN(BE41)&gt;0,1,0)+IF(LEN(BR41)&gt;0,1,0))/18,2))</f>
        <v/>
      </c>
      <c r="BX41" s="10" t="str">
        <f aca="false">IF(D41="","",IF(AND(AH41="Approved",ISERROR(SEARCH("FAIL",BB41))),"Y","N"))</f>
        <v/>
      </c>
      <c r="BY41" s="10" t="str">
        <f aca="false">IF(D41="","",D41&amp;"|"&amp;H41&amp;"|"&amp;F41&amp;"|"&amp;I41&amp;"|"&amp;BX41)</f>
        <v/>
      </c>
    </row>
    <row r="42" customFormat="false" ht="15" hidden="false" customHeight="false" outlineLevel="0" collapsed="false">
      <c r="A42" s="10" t="str">
        <f aca="false">IF(D42="","","ERSS-"&amp;IFERROR(VLOOKUP(D42,Lists!$AK$4:$AL$21,2,0),"??")&amp;"-"&amp;TEXT(F42,"0000")&amp;"x"&amp;TEXT(G42,"0000")&amp;"-D"&amp;TEXT(H42*1000,"0000")&amp;"-"&amp;IFERROR(VLOOKUP(I42,Lists!$Y$4:$Z$21,2,0),"??")&amp;"-"&amp;AG42)</f>
        <v/>
      </c>
      <c r="B42" s="10" t="str">
        <f aca="false">IF(D42="","",D42&amp;" for "&amp;E42&amp;", "&amp;F42&amp;" x "&amp;G42&amp;" pit, "&amp;TEXT(H42,"0.0")&amp;" m deep, "&amp;I42)</f>
        <v/>
      </c>
      <c r="C42" s="9"/>
      <c r="D42" s="9"/>
      <c r="E42" s="9"/>
      <c r="F42" s="38"/>
      <c r="G42" s="38"/>
      <c r="H42" s="42"/>
      <c r="I42" s="9"/>
      <c r="J42" s="42"/>
      <c r="K42" s="38"/>
      <c r="L42" s="9"/>
      <c r="M42" s="42"/>
      <c r="N42" s="42"/>
      <c r="O42" s="38"/>
      <c r="P42" s="9"/>
      <c r="Q42" s="9"/>
      <c r="R42" s="39"/>
      <c r="S42" s="39"/>
      <c r="T42" s="38"/>
      <c r="U42" s="38"/>
      <c r="V42" s="38"/>
      <c r="W42" s="9"/>
      <c r="X42" s="9"/>
      <c r="Y42" s="38"/>
      <c r="Z42" s="9"/>
      <c r="AA42" s="9"/>
      <c r="AB42" s="38"/>
      <c r="AC42" s="9"/>
      <c r="AD42" s="39"/>
      <c r="AE42" s="9"/>
      <c r="AF42" s="9"/>
      <c r="AG42" s="9"/>
      <c r="AH42" s="9"/>
      <c r="AI42" s="9"/>
      <c r="AJ42" s="9"/>
      <c r="AK42" s="9"/>
      <c r="AL42" s="10" t="str">
        <f aca="false">IF(A42="","",SG_Criteria!$B$6&amp;SG_Criteria!$B$11&amp;"\"&amp;A42&amp;"\")</f>
        <v/>
      </c>
      <c r="AM42" s="10" t="str">
        <f aca="false">IF(A42="","",A42&amp;"_CAD.dwg")</f>
        <v/>
      </c>
      <c r="AN42" s="10" t="str">
        <f aca="false">IF(A42="","",A42&amp;"_DWG.pdf")</f>
        <v/>
      </c>
      <c r="AO42" s="10" t="str">
        <f aca="false">IF(A42="","",IF(AK42="Y",A42&amp;"_STAAD.std","n/a"))</f>
        <v/>
      </c>
      <c r="AP42" s="10" t="str">
        <f aca="false">IF(A42="","",A42&amp;"_CALC.xlsx")</f>
        <v/>
      </c>
      <c r="AQ42" s="10" t="str">
        <f aca="false">IF(A42="","",A42&amp;"_CALC.pdf")</f>
        <v/>
      </c>
      <c r="AR42" s="9"/>
      <c r="AS42" s="9"/>
      <c r="AT42" s="39"/>
      <c r="AU42" s="39"/>
      <c r="AV42" s="39"/>
      <c r="AW42" s="39"/>
      <c r="AX42" s="39"/>
      <c r="AY42" s="12" t="str">
        <f aca="false">IF(A42="","",IF(COUNTIF(Rebar_Schedule!$A$5:$A$2004,A42)=0,"",ROUND(SUMIF(Rebar_Schedule!$A$5:$A$2004,A42,Rebar_Schedule!$K$5:$K$2004),1)))</f>
        <v/>
      </c>
      <c r="AZ42" s="33" t="str">
        <f aca="false">IF(A42="","",IF(AY42="","No rebar schedule yet",IF(ABS(AY42-N(AU42))/MAX(N(AU42),1)&gt;SG_Criteria!$B$55,"NOTE: register rebar differs from schedule by "&amp;TEXT(ABS(AY42-N(AU42))/MAX(N(AU42),1),"0%"),"OK")))</f>
        <v/>
      </c>
      <c r="BA42" s="33" t="str">
        <f aca="false">IF(OR(D42="",H42=""),"",IF(H42&lt;=IF(OR(D42="Soldier Pile &amp; Timber Lagging",D42="Trench Shoring Box",D42="Open Cut (battered)"),SG_Criteria!$B$34,SG_Criteria!$B$33),"No ERSS submission",IF(H42&lt;=SG_Criteria!$B$35,"QP(ST)",IF(H42&lt;=SG_Criteria!$B$36,"QP(ST) + AC","Geotechnical building works: QP(Geo) + AC"))))</f>
        <v/>
      </c>
      <c r="BB42" s="33" t="str">
        <f aca="false">IF(D42="","",IF(LEN(IF(AND(R42&lt;&gt;"",R42&lt;SG_Criteria!$B$37),"FAIL: base stability FOS &lt; "&amp;SG_Criteria!$B$37&amp;". ","")&amp;IF(AND(E42="Manhole",H42&gt;SG_Criteria!$B$36),"NOTE: BCA lists sewer manholes (pipe &lt;= 2 m dia) &gt; 6 m as non-GBW: QP(ST) + AC. ","")&amp;IF(AND(D42="Trench Shoring Box",I42="Kallang Formation (marine clay)"),"NOTE: check base heave / ground loss for shoring box in marine clay. ","")&amp;IF(AND(D42="Steel Sheet Pile Cofferdam",N(N42)&lt;H42*0.5),"NOTE: short toe embedment, check. ",""))=0,"OK",IF(AND(R42&lt;&gt;"",R42&lt;SG_Criteria!$B$37),"FAIL: base stability FOS &lt; "&amp;SG_Criteria!$B$37&amp;". ","")&amp;IF(AND(E42="Manhole",H42&gt;SG_Criteria!$B$36),"NOTE: BCA lists sewer manholes (pipe &lt;= 2 m dia) &gt; 6 m as non-GBW: QP(ST) + AC. ","")&amp;IF(AND(D42="Trench Shoring Box",I42="Kallang Formation (marine clay)"),"NOTE: check base heave / ground loss for shoring box in marine clay. ","")&amp;IF(AND(D42="Steel Sheet Pile Cofferdam",N(N42)&lt;H42*0.5),"NOTE: short toe embedment, check. ","")))</f>
        <v/>
      </c>
      <c r="BC42" s="9"/>
      <c r="BD42" s="9"/>
      <c r="BE42" s="9"/>
      <c r="BF42" s="10" t="str">
        <f aca="false">IF(BE42="","",IFERROR(VLOOKUP(BE42,Projects!$A$5:$D$504,2,0),"Ref not in Projects"))</f>
        <v/>
      </c>
      <c r="BG42" s="10" t="str">
        <f aca="false">IF(BE42="","",IFERROR(VLOOKUP(BE42,Projects!$A$5:$D$504,4,0),"Ref not in Projects"))</f>
        <v/>
      </c>
      <c r="BH42" s="9"/>
      <c r="BI42" s="9"/>
      <c r="BJ42" s="9"/>
      <c r="BK42" s="40"/>
      <c r="BL42" s="9"/>
      <c r="BM42" s="40"/>
      <c r="BN42" s="9"/>
      <c r="BO42" s="40"/>
      <c r="BP42" s="9"/>
      <c r="BQ42" s="9"/>
      <c r="BR42" s="9"/>
      <c r="BS42" s="40"/>
      <c r="BT42" s="40"/>
      <c r="BU42" s="36" t="str">
        <f aca="false">IF(BT42="","",EDATE(BT42,SG_Criteria!$B$54*12))</f>
        <v/>
      </c>
      <c r="BV42" s="33" t="str">
        <f aca="true">IF(A42="","",IF(BT42="","NOTE: not reviewed yet",IF(TODAY()&gt;BU42,"NOTE: review overdue","OK")))</f>
        <v/>
      </c>
      <c r="BW42" s="37" t="str">
        <f aca="false">IF(A42="","",ROUND((IF(LEN(D42)&gt;0,1,0)+IF(LEN(E42)&gt;0,1,0)+IF(LEN(F42)&gt;0,1,0)+IF(LEN(G42)&gt;0,1,0)+IF(LEN(H42)&gt;0,1,0)+IF(LEN(I42)&gt;0,1,0)+IF(LEN(J42)&gt;0,1,0)+IF(LEN(L42)&gt;0,1,0)+IF(LEN(R42)&gt;0,1,0)+IF(LEN(Y42)&gt;0,1,0)+IF(LEN(AE42)&gt;0,1,0)+IF(LEN(AG42)&gt;0,1,0)+IF(LEN(AH42)&gt;0,1,0)+IF(LEN(AI42)&gt;0,1,0)+IF(LEN(AJ42)&gt;0,1,0)+IF(LEN(AS42)&gt;0,1,0)+IF(LEN(BE42)&gt;0,1,0)+IF(LEN(BR42)&gt;0,1,0))/18,2))</f>
        <v/>
      </c>
      <c r="BX42" s="10" t="str">
        <f aca="false">IF(D42="","",IF(AND(AH42="Approved",ISERROR(SEARCH("FAIL",BB42))),"Y","N"))</f>
        <v/>
      </c>
      <c r="BY42" s="10" t="str">
        <f aca="false">IF(D42="","",D42&amp;"|"&amp;H42&amp;"|"&amp;F42&amp;"|"&amp;I42&amp;"|"&amp;BX42)</f>
        <v/>
      </c>
    </row>
    <row r="43" customFormat="false" ht="15" hidden="false" customHeight="false" outlineLevel="0" collapsed="false">
      <c r="A43" s="10" t="str">
        <f aca="false">IF(D43="","","ERSS-"&amp;IFERROR(VLOOKUP(D43,Lists!$AK$4:$AL$21,2,0),"??")&amp;"-"&amp;TEXT(F43,"0000")&amp;"x"&amp;TEXT(G43,"0000")&amp;"-D"&amp;TEXT(H43*1000,"0000")&amp;"-"&amp;IFERROR(VLOOKUP(I43,Lists!$Y$4:$Z$21,2,0),"??")&amp;"-"&amp;AG43)</f>
        <v/>
      </c>
      <c r="B43" s="10" t="str">
        <f aca="false">IF(D43="","",D43&amp;" for "&amp;E43&amp;", "&amp;F43&amp;" x "&amp;G43&amp;" pit, "&amp;TEXT(H43,"0.0")&amp;" m deep, "&amp;I43)</f>
        <v/>
      </c>
      <c r="C43" s="9"/>
      <c r="D43" s="9"/>
      <c r="E43" s="9"/>
      <c r="F43" s="38"/>
      <c r="G43" s="38"/>
      <c r="H43" s="42"/>
      <c r="I43" s="9"/>
      <c r="J43" s="42"/>
      <c r="K43" s="38"/>
      <c r="L43" s="9"/>
      <c r="M43" s="42"/>
      <c r="N43" s="42"/>
      <c r="O43" s="38"/>
      <c r="P43" s="9"/>
      <c r="Q43" s="9"/>
      <c r="R43" s="39"/>
      <c r="S43" s="39"/>
      <c r="T43" s="38"/>
      <c r="U43" s="38"/>
      <c r="V43" s="38"/>
      <c r="W43" s="9"/>
      <c r="X43" s="9"/>
      <c r="Y43" s="38"/>
      <c r="Z43" s="9"/>
      <c r="AA43" s="9"/>
      <c r="AB43" s="38"/>
      <c r="AC43" s="9"/>
      <c r="AD43" s="39"/>
      <c r="AE43" s="9"/>
      <c r="AF43" s="9"/>
      <c r="AG43" s="9"/>
      <c r="AH43" s="9"/>
      <c r="AI43" s="9"/>
      <c r="AJ43" s="9"/>
      <c r="AK43" s="9"/>
      <c r="AL43" s="10" t="str">
        <f aca="false">IF(A43="","",SG_Criteria!$B$6&amp;SG_Criteria!$B$11&amp;"\"&amp;A43&amp;"\")</f>
        <v/>
      </c>
      <c r="AM43" s="10" t="str">
        <f aca="false">IF(A43="","",A43&amp;"_CAD.dwg")</f>
        <v/>
      </c>
      <c r="AN43" s="10" t="str">
        <f aca="false">IF(A43="","",A43&amp;"_DWG.pdf")</f>
        <v/>
      </c>
      <c r="AO43" s="10" t="str">
        <f aca="false">IF(A43="","",IF(AK43="Y",A43&amp;"_STAAD.std","n/a"))</f>
        <v/>
      </c>
      <c r="AP43" s="10" t="str">
        <f aca="false">IF(A43="","",A43&amp;"_CALC.xlsx")</f>
        <v/>
      </c>
      <c r="AQ43" s="10" t="str">
        <f aca="false">IF(A43="","",A43&amp;"_CALC.pdf")</f>
        <v/>
      </c>
      <c r="AR43" s="9"/>
      <c r="AS43" s="9"/>
      <c r="AT43" s="39"/>
      <c r="AU43" s="39"/>
      <c r="AV43" s="39"/>
      <c r="AW43" s="39"/>
      <c r="AX43" s="39"/>
      <c r="AY43" s="12" t="str">
        <f aca="false">IF(A43="","",IF(COUNTIF(Rebar_Schedule!$A$5:$A$2004,A43)=0,"",ROUND(SUMIF(Rebar_Schedule!$A$5:$A$2004,A43,Rebar_Schedule!$K$5:$K$2004),1)))</f>
        <v/>
      </c>
      <c r="AZ43" s="33" t="str">
        <f aca="false">IF(A43="","",IF(AY43="","No rebar schedule yet",IF(ABS(AY43-N(AU43))/MAX(N(AU43),1)&gt;SG_Criteria!$B$55,"NOTE: register rebar differs from schedule by "&amp;TEXT(ABS(AY43-N(AU43))/MAX(N(AU43),1),"0%"),"OK")))</f>
        <v/>
      </c>
      <c r="BA43" s="33" t="str">
        <f aca="false">IF(OR(D43="",H43=""),"",IF(H43&lt;=IF(OR(D43="Soldier Pile &amp; Timber Lagging",D43="Trench Shoring Box",D43="Open Cut (battered)"),SG_Criteria!$B$34,SG_Criteria!$B$33),"No ERSS submission",IF(H43&lt;=SG_Criteria!$B$35,"QP(ST)",IF(H43&lt;=SG_Criteria!$B$36,"QP(ST) + AC","Geotechnical building works: QP(Geo) + AC"))))</f>
        <v/>
      </c>
      <c r="BB43" s="33" t="str">
        <f aca="false">IF(D43="","",IF(LEN(IF(AND(R43&lt;&gt;"",R43&lt;SG_Criteria!$B$37),"FAIL: base stability FOS &lt; "&amp;SG_Criteria!$B$37&amp;". ","")&amp;IF(AND(E43="Manhole",H43&gt;SG_Criteria!$B$36),"NOTE: BCA lists sewer manholes (pipe &lt;= 2 m dia) &gt; 6 m as non-GBW: QP(ST) + AC. ","")&amp;IF(AND(D43="Trench Shoring Box",I43="Kallang Formation (marine clay)"),"NOTE: check base heave / ground loss for shoring box in marine clay. ","")&amp;IF(AND(D43="Steel Sheet Pile Cofferdam",N(N43)&lt;H43*0.5),"NOTE: short toe embedment, check. ",""))=0,"OK",IF(AND(R43&lt;&gt;"",R43&lt;SG_Criteria!$B$37),"FAIL: base stability FOS &lt; "&amp;SG_Criteria!$B$37&amp;". ","")&amp;IF(AND(E43="Manhole",H43&gt;SG_Criteria!$B$36),"NOTE: BCA lists sewer manholes (pipe &lt;= 2 m dia) &gt; 6 m as non-GBW: QP(ST) + AC. ","")&amp;IF(AND(D43="Trench Shoring Box",I43="Kallang Formation (marine clay)"),"NOTE: check base heave / ground loss for shoring box in marine clay. ","")&amp;IF(AND(D43="Steel Sheet Pile Cofferdam",N(N43)&lt;H43*0.5),"NOTE: short toe embedment, check. ","")))</f>
        <v/>
      </c>
      <c r="BC43" s="9"/>
      <c r="BD43" s="9"/>
      <c r="BE43" s="9"/>
      <c r="BF43" s="10" t="str">
        <f aca="false">IF(BE43="","",IFERROR(VLOOKUP(BE43,Projects!$A$5:$D$504,2,0),"Ref not in Projects"))</f>
        <v/>
      </c>
      <c r="BG43" s="10" t="str">
        <f aca="false">IF(BE43="","",IFERROR(VLOOKUP(BE43,Projects!$A$5:$D$504,4,0),"Ref not in Projects"))</f>
        <v/>
      </c>
      <c r="BH43" s="9"/>
      <c r="BI43" s="9"/>
      <c r="BJ43" s="9"/>
      <c r="BK43" s="40"/>
      <c r="BL43" s="9"/>
      <c r="BM43" s="40"/>
      <c r="BN43" s="9"/>
      <c r="BO43" s="40"/>
      <c r="BP43" s="9"/>
      <c r="BQ43" s="9"/>
      <c r="BR43" s="9"/>
      <c r="BS43" s="40"/>
      <c r="BT43" s="40"/>
      <c r="BU43" s="36" t="str">
        <f aca="false">IF(BT43="","",EDATE(BT43,SG_Criteria!$B$54*12))</f>
        <v/>
      </c>
      <c r="BV43" s="33" t="str">
        <f aca="true">IF(A43="","",IF(BT43="","NOTE: not reviewed yet",IF(TODAY()&gt;BU43,"NOTE: review overdue","OK")))</f>
        <v/>
      </c>
      <c r="BW43" s="37" t="str">
        <f aca="false">IF(A43="","",ROUND((IF(LEN(D43)&gt;0,1,0)+IF(LEN(E43)&gt;0,1,0)+IF(LEN(F43)&gt;0,1,0)+IF(LEN(G43)&gt;0,1,0)+IF(LEN(H43)&gt;0,1,0)+IF(LEN(I43)&gt;0,1,0)+IF(LEN(J43)&gt;0,1,0)+IF(LEN(L43)&gt;0,1,0)+IF(LEN(R43)&gt;0,1,0)+IF(LEN(Y43)&gt;0,1,0)+IF(LEN(AE43)&gt;0,1,0)+IF(LEN(AG43)&gt;0,1,0)+IF(LEN(AH43)&gt;0,1,0)+IF(LEN(AI43)&gt;0,1,0)+IF(LEN(AJ43)&gt;0,1,0)+IF(LEN(AS43)&gt;0,1,0)+IF(LEN(BE43)&gt;0,1,0)+IF(LEN(BR43)&gt;0,1,0))/18,2))</f>
        <v/>
      </c>
      <c r="BX43" s="10" t="str">
        <f aca="false">IF(D43="","",IF(AND(AH43="Approved",ISERROR(SEARCH("FAIL",BB43))),"Y","N"))</f>
        <v/>
      </c>
      <c r="BY43" s="10" t="str">
        <f aca="false">IF(D43="","",D43&amp;"|"&amp;H43&amp;"|"&amp;F43&amp;"|"&amp;I43&amp;"|"&amp;BX43)</f>
        <v/>
      </c>
    </row>
    <row r="44" customFormat="false" ht="15" hidden="false" customHeight="false" outlineLevel="0" collapsed="false">
      <c r="A44" s="10" t="str">
        <f aca="false">IF(D44="","","ERSS-"&amp;IFERROR(VLOOKUP(D44,Lists!$AK$4:$AL$21,2,0),"??")&amp;"-"&amp;TEXT(F44,"0000")&amp;"x"&amp;TEXT(G44,"0000")&amp;"-D"&amp;TEXT(H44*1000,"0000")&amp;"-"&amp;IFERROR(VLOOKUP(I44,Lists!$Y$4:$Z$21,2,0),"??")&amp;"-"&amp;AG44)</f>
        <v/>
      </c>
      <c r="B44" s="10" t="str">
        <f aca="false">IF(D44="","",D44&amp;" for "&amp;E44&amp;", "&amp;F44&amp;" x "&amp;G44&amp;" pit, "&amp;TEXT(H44,"0.0")&amp;" m deep, "&amp;I44)</f>
        <v/>
      </c>
      <c r="C44" s="9"/>
      <c r="D44" s="9"/>
      <c r="E44" s="9"/>
      <c r="F44" s="38"/>
      <c r="G44" s="38"/>
      <c r="H44" s="42"/>
      <c r="I44" s="9"/>
      <c r="J44" s="42"/>
      <c r="K44" s="38"/>
      <c r="L44" s="9"/>
      <c r="M44" s="42"/>
      <c r="N44" s="42"/>
      <c r="O44" s="38"/>
      <c r="P44" s="9"/>
      <c r="Q44" s="9"/>
      <c r="R44" s="39"/>
      <c r="S44" s="39"/>
      <c r="T44" s="38"/>
      <c r="U44" s="38"/>
      <c r="V44" s="38"/>
      <c r="W44" s="9"/>
      <c r="X44" s="9"/>
      <c r="Y44" s="38"/>
      <c r="Z44" s="9"/>
      <c r="AA44" s="9"/>
      <c r="AB44" s="38"/>
      <c r="AC44" s="9"/>
      <c r="AD44" s="39"/>
      <c r="AE44" s="9"/>
      <c r="AF44" s="9"/>
      <c r="AG44" s="9"/>
      <c r="AH44" s="9"/>
      <c r="AI44" s="9"/>
      <c r="AJ44" s="9"/>
      <c r="AK44" s="9"/>
      <c r="AL44" s="10" t="str">
        <f aca="false">IF(A44="","",SG_Criteria!$B$6&amp;SG_Criteria!$B$11&amp;"\"&amp;A44&amp;"\")</f>
        <v/>
      </c>
      <c r="AM44" s="10" t="str">
        <f aca="false">IF(A44="","",A44&amp;"_CAD.dwg")</f>
        <v/>
      </c>
      <c r="AN44" s="10" t="str">
        <f aca="false">IF(A44="","",A44&amp;"_DWG.pdf")</f>
        <v/>
      </c>
      <c r="AO44" s="10" t="str">
        <f aca="false">IF(A44="","",IF(AK44="Y",A44&amp;"_STAAD.std","n/a"))</f>
        <v/>
      </c>
      <c r="AP44" s="10" t="str">
        <f aca="false">IF(A44="","",A44&amp;"_CALC.xlsx")</f>
        <v/>
      </c>
      <c r="AQ44" s="10" t="str">
        <f aca="false">IF(A44="","",A44&amp;"_CALC.pdf")</f>
        <v/>
      </c>
      <c r="AR44" s="9"/>
      <c r="AS44" s="9"/>
      <c r="AT44" s="39"/>
      <c r="AU44" s="39"/>
      <c r="AV44" s="39"/>
      <c r="AW44" s="39"/>
      <c r="AX44" s="39"/>
      <c r="AY44" s="12" t="str">
        <f aca="false">IF(A44="","",IF(COUNTIF(Rebar_Schedule!$A$5:$A$2004,A44)=0,"",ROUND(SUMIF(Rebar_Schedule!$A$5:$A$2004,A44,Rebar_Schedule!$K$5:$K$2004),1)))</f>
        <v/>
      </c>
      <c r="AZ44" s="33" t="str">
        <f aca="false">IF(A44="","",IF(AY44="","No rebar schedule yet",IF(ABS(AY44-N(AU44))/MAX(N(AU44),1)&gt;SG_Criteria!$B$55,"NOTE: register rebar differs from schedule by "&amp;TEXT(ABS(AY44-N(AU44))/MAX(N(AU44),1),"0%"),"OK")))</f>
        <v/>
      </c>
      <c r="BA44" s="33" t="str">
        <f aca="false">IF(OR(D44="",H44=""),"",IF(H44&lt;=IF(OR(D44="Soldier Pile &amp; Timber Lagging",D44="Trench Shoring Box",D44="Open Cut (battered)"),SG_Criteria!$B$34,SG_Criteria!$B$33),"No ERSS submission",IF(H44&lt;=SG_Criteria!$B$35,"QP(ST)",IF(H44&lt;=SG_Criteria!$B$36,"QP(ST) + AC","Geotechnical building works: QP(Geo) + AC"))))</f>
        <v/>
      </c>
      <c r="BB44" s="33" t="str">
        <f aca="false">IF(D44="","",IF(LEN(IF(AND(R44&lt;&gt;"",R44&lt;SG_Criteria!$B$37),"FAIL: base stability FOS &lt; "&amp;SG_Criteria!$B$37&amp;". ","")&amp;IF(AND(E44="Manhole",H44&gt;SG_Criteria!$B$36),"NOTE: BCA lists sewer manholes (pipe &lt;= 2 m dia) &gt; 6 m as non-GBW: QP(ST) + AC. ","")&amp;IF(AND(D44="Trench Shoring Box",I44="Kallang Formation (marine clay)"),"NOTE: check base heave / ground loss for shoring box in marine clay. ","")&amp;IF(AND(D44="Steel Sheet Pile Cofferdam",N(N44)&lt;H44*0.5),"NOTE: short toe embedment, check. ",""))=0,"OK",IF(AND(R44&lt;&gt;"",R44&lt;SG_Criteria!$B$37),"FAIL: base stability FOS &lt; "&amp;SG_Criteria!$B$37&amp;". ","")&amp;IF(AND(E44="Manhole",H44&gt;SG_Criteria!$B$36),"NOTE: BCA lists sewer manholes (pipe &lt;= 2 m dia) &gt; 6 m as non-GBW: QP(ST) + AC. ","")&amp;IF(AND(D44="Trench Shoring Box",I44="Kallang Formation (marine clay)"),"NOTE: check base heave / ground loss for shoring box in marine clay. ","")&amp;IF(AND(D44="Steel Sheet Pile Cofferdam",N(N44)&lt;H44*0.5),"NOTE: short toe embedment, check. ","")))</f>
        <v/>
      </c>
      <c r="BC44" s="9"/>
      <c r="BD44" s="9"/>
      <c r="BE44" s="9"/>
      <c r="BF44" s="10" t="str">
        <f aca="false">IF(BE44="","",IFERROR(VLOOKUP(BE44,Projects!$A$5:$D$504,2,0),"Ref not in Projects"))</f>
        <v/>
      </c>
      <c r="BG44" s="10" t="str">
        <f aca="false">IF(BE44="","",IFERROR(VLOOKUP(BE44,Projects!$A$5:$D$504,4,0),"Ref not in Projects"))</f>
        <v/>
      </c>
      <c r="BH44" s="9"/>
      <c r="BI44" s="9"/>
      <c r="BJ44" s="9"/>
      <c r="BK44" s="40"/>
      <c r="BL44" s="9"/>
      <c r="BM44" s="40"/>
      <c r="BN44" s="9"/>
      <c r="BO44" s="40"/>
      <c r="BP44" s="9"/>
      <c r="BQ44" s="9"/>
      <c r="BR44" s="9"/>
      <c r="BS44" s="40"/>
      <c r="BT44" s="40"/>
      <c r="BU44" s="36" t="str">
        <f aca="false">IF(BT44="","",EDATE(BT44,SG_Criteria!$B$54*12))</f>
        <v/>
      </c>
      <c r="BV44" s="33" t="str">
        <f aca="true">IF(A44="","",IF(BT44="","NOTE: not reviewed yet",IF(TODAY()&gt;BU44,"NOTE: review overdue","OK")))</f>
        <v/>
      </c>
      <c r="BW44" s="37" t="str">
        <f aca="false">IF(A44="","",ROUND((IF(LEN(D44)&gt;0,1,0)+IF(LEN(E44)&gt;0,1,0)+IF(LEN(F44)&gt;0,1,0)+IF(LEN(G44)&gt;0,1,0)+IF(LEN(H44)&gt;0,1,0)+IF(LEN(I44)&gt;0,1,0)+IF(LEN(J44)&gt;0,1,0)+IF(LEN(L44)&gt;0,1,0)+IF(LEN(R44)&gt;0,1,0)+IF(LEN(Y44)&gt;0,1,0)+IF(LEN(AE44)&gt;0,1,0)+IF(LEN(AG44)&gt;0,1,0)+IF(LEN(AH44)&gt;0,1,0)+IF(LEN(AI44)&gt;0,1,0)+IF(LEN(AJ44)&gt;0,1,0)+IF(LEN(AS44)&gt;0,1,0)+IF(LEN(BE44)&gt;0,1,0)+IF(LEN(BR44)&gt;0,1,0))/18,2))</f>
        <v/>
      </c>
      <c r="BX44" s="10" t="str">
        <f aca="false">IF(D44="","",IF(AND(AH44="Approved",ISERROR(SEARCH("FAIL",BB44))),"Y","N"))</f>
        <v/>
      </c>
      <c r="BY44" s="10" t="str">
        <f aca="false">IF(D44="","",D44&amp;"|"&amp;H44&amp;"|"&amp;F44&amp;"|"&amp;I44&amp;"|"&amp;BX44)</f>
        <v/>
      </c>
    </row>
    <row r="45" customFormat="false" ht="15" hidden="false" customHeight="false" outlineLevel="0" collapsed="false">
      <c r="A45" s="10" t="str">
        <f aca="false">IF(D45="","","ERSS-"&amp;IFERROR(VLOOKUP(D45,Lists!$AK$4:$AL$21,2,0),"??")&amp;"-"&amp;TEXT(F45,"0000")&amp;"x"&amp;TEXT(G45,"0000")&amp;"-D"&amp;TEXT(H45*1000,"0000")&amp;"-"&amp;IFERROR(VLOOKUP(I45,Lists!$Y$4:$Z$21,2,0),"??")&amp;"-"&amp;AG45)</f>
        <v/>
      </c>
      <c r="B45" s="10" t="str">
        <f aca="false">IF(D45="","",D45&amp;" for "&amp;E45&amp;", "&amp;F45&amp;" x "&amp;G45&amp;" pit, "&amp;TEXT(H45,"0.0")&amp;" m deep, "&amp;I45)</f>
        <v/>
      </c>
      <c r="C45" s="9"/>
      <c r="D45" s="9"/>
      <c r="E45" s="9"/>
      <c r="F45" s="38"/>
      <c r="G45" s="38"/>
      <c r="H45" s="42"/>
      <c r="I45" s="9"/>
      <c r="J45" s="42"/>
      <c r="K45" s="38"/>
      <c r="L45" s="9"/>
      <c r="M45" s="42"/>
      <c r="N45" s="42"/>
      <c r="O45" s="38"/>
      <c r="P45" s="9"/>
      <c r="Q45" s="9"/>
      <c r="R45" s="39"/>
      <c r="S45" s="39"/>
      <c r="T45" s="38"/>
      <c r="U45" s="38"/>
      <c r="V45" s="38"/>
      <c r="W45" s="9"/>
      <c r="X45" s="9"/>
      <c r="Y45" s="38"/>
      <c r="Z45" s="9"/>
      <c r="AA45" s="9"/>
      <c r="AB45" s="38"/>
      <c r="AC45" s="9"/>
      <c r="AD45" s="39"/>
      <c r="AE45" s="9"/>
      <c r="AF45" s="9"/>
      <c r="AG45" s="9"/>
      <c r="AH45" s="9"/>
      <c r="AI45" s="9"/>
      <c r="AJ45" s="9"/>
      <c r="AK45" s="9"/>
      <c r="AL45" s="10" t="str">
        <f aca="false">IF(A45="","",SG_Criteria!$B$6&amp;SG_Criteria!$B$11&amp;"\"&amp;A45&amp;"\")</f>
        <v/>
      </c>
      <c r="AM45" s="10" t="str">
        <f aca="false">IF(A45="","",A45&amp;"_CAD.dwg")</f>
        <v/>
      </c>
      <c r="AN45" s="10" t="str">
        <f aca="false">IF(A45="","",A45&amp;"_DWG.pdf")</f>
        <v/>
      </c>
      <c r="AO45" s="10" t="str">
        <f aca="false">IF(A45="","",IF(AK45="Y",A45&amp;"_STAAD.std","n/a"))</f>
        <v/>
      </c>
      <c r="AP45" s="10" t="str">
        <f aca="false">IF(A45="","",A45&amp;"_CALC.xlsx")</f>
        <v/>
      </c>
      <c r="AQ45" s="10" t="str">
        <f aca="false">IF(A45="","",A45&amp;"_CALC.pdf")</f>
        <v/>
      </c>
      <c r="AR45" s="9"/>
      <c r="AS45" s="9"/>
      <c r="AT45" s="39"/>
      <c r="AU45" s="39"/>
      <c r="AV45" s="39"/>
      <c r="AW45" s="39"/>
      <c r="AX45" s="39"/>
      <c r="AY45" s="12" t="str">
        <f aca="false">IF(A45="","",IF(COUNTIF(Rebar_Schedule!$A$5:$A$2004,A45)=0,"",ROUND(SUMIF(Rebar_Schedule!$A$5:$A$2004,A45,Rebar_Schedule!$K$5:$K$2004),1)))</f>
        <v/>
      </c>
      <c r="AZ45" s="33" t="str">
        <f aca="false">IF(A45="","",IF(AY45="","No rebar schedule yet",IF(ABS(AY45-N(AU45))/MAX(N(AU45),1)&gt;SG_Criteria!$B$55,"NOTE: register rebar differs from schedule by "&amp;TEXT(ABS(AY45-N(AU45))/MAX(N(AU45),1),"0%"),"OK")))</f>
        <v/>
      </c>
      <c r="BA45" s="33" t="str">
        <f aca="false">IF(OR(D45="",H45=""),"",IF(H45&lt;=IF(OR(D45="Soldier Pile &amp; Timber Lagging",D45="Trench Shoring Box",D45="Open Cut (battered)"),SG_Criteria!$B$34,SG_Criteria!$B$33),"No ERSS submission",IF(H45&lt;=SG_Criteria!$B$35,"QP(ST)",IF(H45&lt;=SG_Criteria!$B$36,"QP(ST) + AC","Geotechnical building works: QP(Geo) + AC"))))</f>
        <v/>
      </c>
      <c r="BB45" s="33" t="str">
        <f aca="false">IF(D45="","",IF(LEN(IF(AND(R45&lt;&gt;"",R45&lt;SG_Criteria!$B$37),"FAIL: base stability FOS &lt; "&amp;SG_Criteria!$B$37&amp;". ","")&amp;IF(AND(E45="Manhole",H45&gt;SG_Criteria!$B$36),"NOTE: BCA lists sewer manholes (pipe &lt;= 2 m dia) &gt; 6 m as non-GBW: QP(ST) + AC. ","")&amp;IF(AND(D45="Trench Shoring Box",I45="Kallang Formation (marine clay)"),"NOTE: check base heave / ground loss for shoring box in marine clay. ","")&amp;IF(AND(D45="Steel Sheet Pile Cofferdam",N(N45)&lt;H45*0.5),"NOTE: short toe embedment, check. ",""))=0,"OK",IF(AND(R45&lt;&gt;"",R45&lt;SG_Criteria!$B$37),"FAIL: base stability FOS &lt; "&amp;SG_Criteria!$B$37&amp;". ","")&amp;IF(AND(E45="Manhole",H45&gt;SG_Criteria!$B$36),"NOTE: BCA lists sewer manholes (pipe &lt;= 2 m dia) &gt; 6 m as non-GBW: QP(ST) + AC. ","")&amp;IF(AND(D45="Trench Shoring Box",I45="Kallang Formation (marine clay)"),"NOTE: check base heave / ground loss for shoring box in marine clay. ","")&amp;IF(AND(D45="Steel Sheet Pile Cofferdam",N(N45)&lt;H45*0.5),"NOTE: short toe embedment, check. ","")))</f>
        <v/>
      </c>
      <c r="BC45" s="9"/>
      <c r="BD45" s="9"/>
      <c r="BE45" s="9"/>
      <c r="BF45" s="10" t="str">
        <f aca="false">IF(BE45="","",IFERROR(VLOOKUP(BE45,Projects!$A$5:$D$504,2,0),"Ref not in Projects"))</f>
        <v/>
      </c>
      <c r="BG45" s="10" t="str">
        <f aca="false">IF(BE45="","",IFERROR(VLOOKUP(BE45,Projects!$A$5:$D$504,4,0),"Ref not in Projects"))</f>
        <v/>
      </c>
      <c r="BH45" s="9"/>
      <c r="BI45" s="9"/>
      <c r="BJ45" s="9"/>
      <c r="BK45" s="40"/>
      <c r="BL45" s="9"/>
      <c r="BM45" s="40"/>
      <c r="BN45" s="9"/>
      <c r="BO45" s="40"/>
      <c r="BP45" s="9"/>
      <c r="BQ45" s="9"/>
      <c r="BR45" s="9"/>
      <c r="BS45" s="40"/>
      <c r="BT45" s="40"/>
      <c r="BU45" s="36" t="str">
        <f aca="false">IF(BT45="","",EDATE(BT45,SG_Criteria!$B$54*12))</f>
        <v/>
      </c>
      <c r="BV45" s="33" t="str">
        <f aca="true">IF(A45="","",IF(BT45="","NOTE: not reviewed yet",IF(TODAY()&gt;BU45,"NOTE: review overdue","OK")))</f>
        <v/>
      </c>
      <c r="BW45" s="37" t="str">
        <f aca="false">IF(A45="","",ROUND((IF(LEN(D45)&gt;0,1,0)+IF(LEN(E45)&gt;0,1,0)+IF(LEN(F45)&gt;0,1,0)+IF(LEN(G45)&gt;0,1,0)+IF(LEN(H45)&gt;0,1,0)+IF(LEN(I45)&gt;0,1,0)+IF(LEN(J45)&gt;0,1,0)+IF(LEN(L45)&gt;0,1,0)+IF(LEN(R45)&gt;0,1,0)+IF(LEN(Y45)&gt;0,1,0)+IF(LEN(AE45)&gt;0,1,0)+IF(LEN(AG45)&gt;0,1,0)+IF(LEN(AH45)&gt;0,1,0)+IF(LEN(AI45)&gt;0,1,0)+IF(LEN(AJ45)&gt;0,1,0)+IF(LEN(AS45)&gt;0,1,0)+IF(LEN(BE45)&gt;0,1,0)+IF(LEN(BR45)&gt;0,1,0))/18,2))</f>
        <v/>
      </c>
      <c r="BX45" s="10" t="str">
        <f aca="false">IF(D45="","",IF(AND(AH45="Approved",ISERROR(SEARCH("FAIL",BB45))),"Y","N"))</f>
        <v/>
      </c>
      <c r="BY45" s="10" t="str">
        <f aca="false">IF(D45="","",D45&amp;"|"&amp;H45&amp;"|"&amp;F45&amp;"|"&amp;I45&amp;"|"&amp;BX45)</f>
        <v/>
      </c>
    </row>
    <row r="46" customFormat="false" ht="15" hidden="false" customHeight="false" outlineLevel="0" collapsed="false">
      <c r="A46" s="10" t="str">
        <f aca="false">IF(D46="","","ERSS-"&amp;IFERROR(VLOOKUP(D46,Lists!$AK$4:$AL$21,2,0),"??")&amp;"-"&amp;TEXT(F46,"0000")&amp;"x"&amp;TEXT(G46,"0000")&amp;"-D"&amp;TEXT(H46*1000,"0000")&amp;"-"&amp;IFERROR(VLOOKUP(I46,Lists!$Y$4:$Z$21,2,0),"??")&amp;"-"&amp;AG46)</f>
        <v/>
      </c>
      <c r="B46" s="10" t="str">
        <f aca="false">IF(D46="","",D46&amp;" for "&amp;E46&amp;", "&amp;F46&amp;" x "&amp;G46&amp;" pit, "&amp;TEXT(H46,"0.0")&amp;" m deep, "&amp;I46)</f>
        <v/>
      </c>
      <c r="C46" s="9"/>
      <c r="D46" s="9"/>
      <c r="E46" s="9"/>
      <c r="F46" s="38"/>
      <c r="G46" s="38"/>
      <c r="H46" s="42"/>
      <c r="I46" s="9"/>
      <c r="J46" s="42"/>
      <c r="K46" s="38"/>
      <c r="L46" s="9"/>
      <c r="M46" s="42"/>
      <c r="N46" s="42"/>
      <c r="O46" s="38"/>
      <c r="P46" s="9"/>
      <c r="Q46" s="9"/>
      <c r="R46" s="39"/>
      <c r="S46" s="39"/>
      <c r="T46" s="38"/>
      <c r="U46" s="38"/>
      <c r="V46" s="38"/>
      <c r="W46" s="9"/>
      <c r="X46" s="9"/>
      <c r="Y46" s="38"/>
      <c r="Z46" s="9"/>
      <c r="AA46" s="9"/>
      <c r="AB46" s="38"/>
      <c r="AC46" s="9"/>
      <c r="AD46" s="39"/>
      <c r="AE46" s="9"/>
      <c r="AF46" s="9"/>
      <c r="AG46" s="9"/>
      <c r="AH46" s="9"/>
      <c r="AI46" s="9"/>
      <c r="AJ46" s="9"/>
      <c r="AK46" s="9"/>
      <c r="AL46" s="10" t="str">
        <f aca="false">IF(A46="","",SG_Criteria!$B$6&amp;SG_Criteria!$B$11&amp;"\"&amp;A46&amp;"\")</f>
        <v/>
      </c>
      <c r="AM46" s="10" t="str">
        <f aca="false">IF(A46="","",A46&amp;"_CAD.dwg")</f>
        <v/>
      </c>
      <c r="AN46" s="10" t="str">
        <f aca="false">IF(A46="","",A46&amp;"_DWG.pdf")</f>
        <v/>
      </c>
      <c r="AO46" s="10" t="str">
        <f aca="false">IF(A46="","",IF(AK46="Y",A46&amp;"_STAAD.std","n/a"))</f>
        <v/>
      </c>
      <c r="AP46" s="10" t="str">
        <f aca="false">IF(A46="","",A46&amp;"_CALC.xlsx")</f>
        <v/>
      </c>
      <c r="AQ46" s="10" t="str">
        <f aca="false">IF(A46="","",A46&amp;"_CALC.pdf")</f>
        <v/>
      </c>
      <c r="AR46" s="9"/>
      <c r="AS46" s="9"/>
      <c r="AT46" s="39"/>
      <c r="AU46" s="39"/>
      <c r="AV46" s="39"/>
      <c r="AW46" s="39"/>
      <c r="AX46" s="39"/>
      <c r="AY46" s="12" t="str">
        <f aca="false">IF(A46="","",IF(COUNTIF(Rebar_Schedule!$A$5:$A$2004,A46)=0,"",ROUND(SUMIF(Rebar_Schedule!$A$5:$A$2004,A46,Rebar_Schedule!$K$5:$K$2004),1)))</f>
        <v/>
      </c>
      <c r="AZ46" s="33" t="str">
        <f aca="false">IF(A46="","",IF(AY46="","No rebar schedule yet",IF(ABS(AY46-N(AU46))/MAX(N(AU46),1)&gt;SG_Criteria!$B$55,"NOTE: register rebar differs from schedule by "&amp;TEXT(ABS(AY46-N(AU46))/MAX(N(AU46),1),"0%"),"OK")))</f>
        <v/>
      </c>
      <c r="BA46" s="33" t="str">
        <f aca="false">IF(OR(D46="",H46=""),"",IF(H46&lt;=IF(OR(D46="Soldier Pile &amp; Timber Lagging",D46="Trench Shoring Box",D46="Open Cut (battered)"),SG_Criteria!$B$34,SG_Criteria!$B$33),"No ERSS submission",IF(H46&lt;=SG_Criteria!$B$35,"QP(ST)",IF(H46&lt;=SG_Criteria!$B$36,"QP(ST) + AC","Geotechnical building works: QP(Geo) + AC"))))</f>
        <v/>
      </c>
      <c r="BB46" s="33" t="str">
        <f aca="false">IF(D46="","",IF(LEN(IF(AND(R46&lt;&gt;"",R46&lt;SG_Criteria!$B$37),"FAIL: base stability FOS &lt; "&amp;SG_Criteria!$B$37&amp;". ","")&amp;IF(AND(E46="Manhole",H46&gt;SG_Criteria!$B$36),"NOTE: BCA lists sewer manholes (pipe &lt;= 2 m dia) &gt; 6 m as non-GBW: QP(ST) + AC. ","")&amp;IF(AND(D46="Trench Shoring Box",I46="Kallang Formation (marine clay)"),"NOTE: check base heave / ground loss for shoring box in marine clay. ","")&amp;IF(AND(D46="Steel Sheet Pile Cofferdam",N(N46)&lt;H46*0.5),"NOTE: short toe embedment, check. ",""))=0,"OK",IF(AND(R46&lt;&gt;"",R46&lt;SG_Criteria!$B$37),"FAIL: base stability FOS &lt; "&amp;SG_Criteria!$B$37&amp;". ","")&amp;IF(AND(E46="Manhole",H46&gt;SG_Criteria!$B$36),"NOTE: BCA lists sewer manholes (pipe &lt;= 2 m dia) &gt; 6 m as non-GBW: QP(ST) + AC. ","")&amp;IF(AND(D46="Trench Shoring Box",I46="Kallang Formation (marine clay)"),"NOTE: check base heave / ground loss for shoring box in marine clay. ","")&amp;IF(AND(D46="Steel Sheet Pile Cofferdam",N(N46)&lt;H46*0.5),"NOTE: short toe embedment, check. ","")))</f>
        <v/>
      </c>
      <c r="BC46" s="9"/>
      <c r="BD46" s="9"/>
      <c r="BE46" s="9"/>
      <c r="BF46" s="10" t="str">
        <f aca="false">IF(BE46="","",IFERROR(VLOOKUP(BE46,Projects!$A$5:$D$504,2,0),"Ref not in Projects"))</f>
        <v/>
      </c>
      <c r="BG46" s="10" t="str">
        <f aca="false">IF(BE46="","",IFERROR(VLOOKUP(BE46,Projects!$A$5:$D$504,4,0),"Ref not in Projects"))</f>
        <v/>
      </c>
      <c r="BH46" s="9"/>
      <c r="BI46" s="9"/>
      <c r="BJ46" s="9"/>
      <c r="BK46" s="40"/>
      <c r="BL46" s="9"/>
      <c r="BM46" s="40"/>
      <c r="BN46" s="9"/>
      <c r="BO46" s="40"/>
      <c r="BP46" s="9"/>
      <c r="BQ46" s="9"/>
      <c r="BR46" s="9"/>
      <c r="BS46" s="40"/>
      <c r="BT46" s="40"/>
      <c r="BU46" s="36" t="str">
        <f aca="false">IF(BT46="","",EDATE(BT46,SG_Criteria!$B$54*12))</f>
        <v/>
      </c>
      <c r="BV46" s="33" t="str">
        <f aca="true">IF(A46="","",IF(BT46="","NOTE: not reviewed yet",IF(TODAY()&gt;BU46,"NOTE: review overdue","OK")))</f>
        <v/>
      </c>
      <c r="BW46" s="37" t="str">
        <f aca="false">IF(A46="","",ROUND((IF(LEN(D46)&gt;0,1,0)+IF(LEN(E46)&gt;0,1,0)+IF(LEN(F46)&gt;0,1,0)+IF(LEN(G46)&gt;0,1,0)+IF(LEN(H46)&gt;0,1,0)+IF(LEN(I46)&gt;0,1,0)+IF(LEN(J46)&gt;0,1,0)+IF(LEN(L46)&gt;0,1,0)+IF(LEN(R46)&gt;0,1,0)+IF(LEN(Y46)&gt;0,1,0)+IF(LEN(AE46)&gt;0,1,0)+IF(LEN(AG46)&gt;0,1,0)+IF(LEN(AH46)&gt;0,1,0)+IF(LEN(AI46)&gt;0,1,0)+IF(LEN(AJ46)&gt;0,1,0)+IF(LEN(AS46)&gt;0,1,0)+IF(LEN(BE46)&gt;0,1,0)+IF(LEN(BR46)&gt;0,1,0))/18,2))</f>
        <v/>
      </c>
      <c r="BX46" s="10" t="str">
        <f aca="false">IF(D46="","",IF(AND(AH46="Approved",ISERROR(SEARCH("FAIL",BB46))),"Y","N"))</f>
        <v/>
      </c>
      <c r="BY46" s="10" t="str">
        <f aca="false">IF(D46="","",D46&amp;"|"&amp;H46&amp;"|"&amp;F46&amp;"|"&amp;I46&amp;"|"&amp;BX46)</f>
        <v/>
      </c>
    </row>
    <row r="47" customFormat="false" ht="15" hidden="false" customHeight="false" outlineLevel="0" collapsed="false">
      <c r="A47" s="10" t="str">
        <f aca="false">IF(D47="","","ERSS-"&amp;IFERROR(VLOOKUP(D47,Lists!$AK$4:$AL$21,2,0),"??")&amp;"-"&amp;TEXT(F47,"0000")&amp;"x"&amp;TEXT(G47,"0000")&amp;"-D"&amp;TEXT(H47*1000,"0000")&amp;"-"&amp;IFERROR(VLOOKUP(I47,Lists!$Y$4:$Z$21,2,0),"??")&amp;"-"&amp;AG47)</f>
        <v/>
      </c>
      <c r="B47" s="10" t="str">
        <f aca="false">IF(D47="","",D47&amp;" for "&amp;E47&amp;", "&amp;F47&amp;" x "&amp;G47&amp;" pit, "&amp;TEXT(H47,"0.0")&amp;" m deep, "&amp;I47)</f>
        <v/>
      </c>
      <c r="C47" s="9"/>
      <c r="D47" s="9"/>
      <c r="E47" s="9"/>
      <c r="F47" s="38"/>
      <c r="G47" s="38"/>
      <c r="H47" s="42"/>
      <c r="I47" s="9"/>
      <c r="J47" s="42"/>
      <c r="K47" s="38"/>
      <c r="L47" s="9"/>
      <c r="M47" s="42"/>
      <c r="N47" s="42"/>
      <c r="O47" s="38"/>
      <c r="P47" s="9"/>
      <c r="Q47" s="9"/>
      <c r="R47" s="39"/>
      <c r="S47" s="39"/>
      <c r="T47" s="38"/>
      <c r="U47" s="38"/>
      <c r="V47" s="38"/>
      <c r="W47" s="9"/>
      <c r="X47" s="9"/>
      <c r="Y47" s="38"/>
      <c r="Z47" s="9"/>
      <c r="AA47" s="9"/>
      <c r="AB47" s="38"/>
      <c r="AC47" s="9"/>
      <c r="AD47" s="39"/>
      <c r="AE47" s="9"/>
      <c r="AF47" s="9"/>
      <c r="AG47" s="9"/>
      <c r="AH47" s="9"/>
      <c r="AI47" s="9"/>
      <c r="AJ47" s="9"/>
      <c r="AK47" s="9"/>
      <c r="AL47" s="10" t="str">
        <f aca="false">IF(A47="","",SG_Criteria!$B$6&amp;SG_Criteria!$B$11&amp;"\"&amp;A47&amp;"\")</f>
        <v/>
      </c>
      <c r="AM47" s="10" t="str">
        <f aca="false">IF(A47="","",A47&amp;"_CAD.dwg")</f>
        <v/>
      </c>
      <c r="AN47" s="10" t="str">
        <f aca="false">IF(A47="","",A47&amp;"_DWG.pdf")</f>
        <v/>
      </c>
      <c r="AO47" s="10" t="str">
        <f aca="false">IF(A47="","",IF(AK47="Y",A47&amp;"_STAAD.std","n/a"))</f>
        <v/>
      </c>
      <c r="AP47" s="10" t="str">
        <f aca="false">IF(A47="","",A47&amp;"_CALC.xlsx")</f>
        <v/>
      </c>
      <c r="AQ47" s="10" t="str">
        <f aca="false">IF(A47="","",A47&amp;"_CALC.pdf")</f>
        <v/>
      </c>
      <c r="AR47" s="9"/>
      <c r="AS47" s="9"/>
      <c r="AT47" s="39"/>
      <c r="AU47" s="39"/>
      <c r="AV47" s="39"/>
      <c r="AW47" s="39"/>
      <c r="AX47" s="39"/>
      <c r="AY47" s="12" t="str">
        <f aca="false">IF(A47="","",IF(COUNTIF(Rebar_Schedule!$A$5:$A$2004,A47)=0,"",ROUND(SUMIF(Rebar_Schedule!$A$5:$A$2004,A47,Rebar_Schedule!$K$5:$K$2004),1)))</f>
        <v/>
      </c>
      <c r="AZ47" s="33" t="str">
        <f aca="false">IF(A47="","",IF(AY47="","No rebar schedule yet",IF(ABS(AY47-N(AU47))/MAX(N(AU47),1)&gt;SG_Criteria!$B$55,"NOTE: register rebar differs from schedule by "&amp;TEXT(ABS(AY47-N(AU47))/MAX(N(AU47),1),"0%"),"OK")))</f>
        <v/>
      </c>
      <c r="BA47" s="33" t="str">
        <f aca="false">IF(OR(D47="",H47=""),"",IF(H47&lt;=IF(OR(D47="Soldier Pile &amp; Timber Lagging",D47="Trench Shoring Box",D47="Open Cut (battered)"),SG_Criteria!$B$34,SG_Criteria!$B$33),"No ERSS submission",IF(H47&lt;=SG_Criteria!$B$35,"QP(ST)",IF(H47&lt;=SG_Criteria!$B$36,"QP(ST) + AC","Geotechnical building works: QP(Geo) + AC"))))</f>
        <v/>
      </c>
      <c r="BB47" s="33" t="str">
        <f aca="false">IF(D47="","",IF(LEN(IF(AND(R47&lt;&gt;"",R47&lt;SG_Criteria!$B$37),"FAIL: base stability FOS &lt; "&amp;SG_Criteria!$B$37&amp;". ","")&amp;IF(AND(E47="Manhole",H47&gt;SG_Criteria!$B$36),"NOTE: BCA lists sewer manholes (pipe &lt;= 2 m dia) &gt; 6 m as non-GBW: QP(ST) + AC. ","")&amp;IF(AND(D47="Trench Shoring Box",I47="Kallang Formation (marine clay)"),"NOTE: check base heave / ground loss for shoring box in marine clay. ","")&amp;IF(AND(D47="Steel Sheet Pile Cofferdam",N(N47)&lt;H47*0.5),"NOTE: short toe embedment, check. ",""))=0,"OK",IF(AND(R47&lt;&gt;"",R47&lt;SG_Criteria!$B$37),"FAIL: base stability FOS &lt; "&amp;SG_Criteria!$B$37&amp;". ","")&amp;IF(AND(E47="Manhole",H47&gt;SG_Criteria!$B$36),"NOTE: BCA lists sewer manholes (pipe &lt;= 2 m dia) &gt; 6 m as non-GBW: QP(ST) + AC. ","")&amp;IF(AND(D47="Trench Shoring Box",I47="Kallang Formation (marine clay)"),"NOTE: check base heave / ground loss for shoring box in marine clay. ","")&amp;IF(AND(D47="Steel Sheet Pile Cofferdam",N(N47)&lt;H47*0.5),"NOTE: short toe embedment, check. ","")))</f>
        <v/>
      </c>
      <c r="BC47" s="9"/>
      <c r="BD47" s="9"/>
      <c r="BE47" s="9"/>
      <c r="BF47" s="10" t="str">
        <f aca="false">IF(BE47="","",IFERROR(VLOOKUP(BE47,Projects!$A$5:$D$504,2,0),"Ref not in Projects"))</f>
        <v/>
      </c>
      <c r="BG47" s="10" t="str">
        <f aca="false">IF(BE47="","",IFERROR(VLOOKUP(BE47,Projects!$A$5:$D$504,4,0),"Ref not in Projects"))</f>
        <v/>
      </c>
      <c r="BH47" s="9"/>
      <c r="BI47" s="9"/>
      <c r="BJ47" s="9"/>
      <c r="BK47" s="40"/>
      <c r="BL47" s="9"/>
      <c r="BM47" s="40"/>
      <c r="BN47" s="9"/>
      <c r="BO47" s="40"/>
      <c r="BP47" s="9"/>
      <c r="BQ47" s="9"/>
      <c r="BR47" s="9"/>
      <c r="BS47" s="40"/>
      <c r="BT47" s="40"/>
      <c r="BU47" s="36" t="str">
        <f aca="false">IF(BT47="","",EDATE(BT47,SG_Criteria!$B$54*12))</f>
        <v/>
      </c>
      <c r="BV47" s="33" t="str">
        <f aca="true">IF(A47="","",IF(BT47="","NOTE: not reviewed yet",IF(TODAY()&gt;BU47,"NOTE: review overdue","OK")))</f>
        <v/>
      </c>
      <c r="BW47" s="37" t="str">
        <f aca="false">IF(A47="","",ROUND((IF(LEN(D47)&gt;0,1,0)+IF(LEN(E47)&gt;0,1,0)+IF(LEN(F47)&gt;0,1,0)+IF(LEN(G47)&gt;0,1,0)+IF(LEN(H47)&gt;0,1,0)+IF(LEN(I47)&gt;0,1,0)+IF(LEN(J47)&gt;0,1,0)+IF(LEN(L47)&gt;0,1,0)+IF(LEN(R47)&gt;0,1,0)+IF(LEN(Y47)&gt;0,1,0)+IF(LEN(AE47)&gt;0,1,0)+IF(LEN(AG47)&gt;0,1,0)+IF(LEN(AH47)&gt;0,1,0)+IF(LEN(AI47)&gt;0,1,0)+IF(LEN(AJ47)&gt;0,1,0)+IF(LEN(AS47)&gt;0,1,0)+IF(LEN(BE47)&gt;0,1,0)+IF(LEN(BR47)&gt;0,1,0))/18,2))</f>
        <v/>
      </c>
      <c r="BX47" s="10" t="str">
        <f aca="false">IF(D47="","",IF(AND(AH47="Approved",ISERROR(SEARCH("FAIL",BB47))),"Y","N"))</f>
        <v/>
      </c>
      <c r="BY47" s="10" t="str">
        <f aca="false">IF(D47="","",D47&amp;"|"&amp;H47&amp;"|"&amp;F47&amp;"|"&amp;I47&amp;"|"&amp;BX47)</f>
        <v/>
      </c>
    </row>
    <row r="48" customFormat="false" ht="15" hidden="false" customHeight="false" outlineLevel="0" collapsed="false">
      <c r="A48" s="10" t="str">
        <f aca="false">IF(D48="","","ERSS-"&amp;IFERROR(VLOOKUP(D48,Lists!$AK$4:$AL$21,2,0),"??")&amp;"-"&amp;TEXT(F48,"0000")&amp;"x"&amp;TEXT(G48,"0000")&amp;"-D"&amp;TEXT(H48*1000,"0000")&amp;"-"&amp;IFERROR(VLOOKUP(I48,Lists!$Y$4:$Z$21,2,0),"??")&amp;"-"&amp;AG48)</f>
        <v/>
      </c>
      <c r="B48" s="10" t="str">
        <f aca="false">IF(D48="","",D48&amp;" for "&amp;E48&amp;", "&amp;F48&amp;" x "&amp;G48&amp;" pit, "&amp;TEXT(H48,"0.0")&amp;" m deep, "&amp;I48)</f>
        <v/>
      </c>
      <c r="C48" s="9"/>
      <c r="D48" s="9"/>
      <c r="E48" s="9"/>
      <c r="F48" s="38"/>
      <c r="G48" s="38"/>
      <c r="H48" s="42"/>
      <c r="I48" s="9"/>
      <c r="J48" s="42"/>
      <c r="K48" s="38"/>
      <c r="L48" s="9"/>
      <c r="M48" s="42"/>
      <c r="N48" s="42"/>
      <c r="O48" s="38"/>
      <c r="P48" s="9"/>
      <c r="Q48" s="9"/>
      <c r="R48" s="39"/>
      <c r="S48" s="39"/>
      <c r="T48" s="38"/>
      <c r="U48" s="38"/>
      <c r="V48" s="38"/>
      <c r="W48" s="9"/>
      <c r="X48" s="9"/>
      <c r="Y48" s="38"/>
      <c r="Z48" s="9"/>
      <c r="AA48" s="9"/>
      <c r="AB48" s="38"/>
      <c r="AC48" s="9"/>
      <c r="AD48" s="39"/>
      <c r="AE48" s="9"/>
      <c r="AF48" s="9"/>
      <c r="AG48" s="9"/>
      <c r="AH48" s="9"/>
      <c r="AI48" s="9"/>
      <c r="AJ48" s="9"/>
      <c r="AK48" s="9"/>
      <c r="AL48" s="10" t="str">
        <f aca="false">IF(A48="","",SG_Criteria!$B$6&amp;SG_Criteria!$B$11&amp;"\"&amp;A48&amp;"\")</f>
        <v/>
      </c>
      <c r="AM48" s="10" t="str">
        <f aca="false">IF(A48="","",A48&amp;"_CAD.dwg")</f>
        <v/>
      </c>
      <c r="AN48" s="10" t="str">
        <f aca="false">IF(A48="","",A48&amp;"_DWG.pdf")</f>
        <v/>
      </c>
      <c r="AO48" s="10" t="str">
        <f aca="false">IF(A48="","",IF(AK48="Y",A48&amp;"_STAAD.std","n/a"))</f>
        <v/>
      </c>
      <c r="AP48" s="10" t="str">
        <f aca="false">IF(A48="","",A48&amp;"_CALC.xlsx")</f>
        <v/>
      </c>
      <c r="AQ48" s="10" t="str">
        <f aca="false">IF(A48="","",A48&amp;"_CALC.pdf")</f>
        <v/>
      </c>
      <c r="AR48" s="9"/>
      <c r="AS48" s="9"/>
      <c r="AT48" s="39"/>
      <c r="AU48" s="39"/>
      <c r="AV48" s="39"/>
      <c r="AW48" s="39"/>
      <c r="AX48" s="39"/>
      <c r="AY48" s="12" t="str">
        <f aca="false">IF(A48="","",IF(COUNTIF(Rebar_Schedule!$A$5:$A$2004,A48)=0,"",ROUND(SUMIF(Rebar_Schedule!$A$5:$A$2004,A48,Rebar_Schedule!$K$5:$K$2004),1)))</f>
        <v/>
      </c>
      <c r="AZ48" s="33" t="str">
        <f aca="false">IF(A48="","",IF(AY48="","No rebar schedule yet",IF(ABS(AY48-N(AU48))/MAX(N(AU48),1)&gt;SG_Criteria!$B$55,"NOTE: register rebar differs from schedule by "&amp;TEXT(ABS(AY48-N(AU48))/MAX(N(AU48),1),"0%"),"OK")))</f>
        <v/>
      </c>
      <c r="BA48" s="33" t="str">
        <f aca="false">IF(OR(D48="",H48=""),"",IF(H48&lt;=IF(OR(D48="Soldier Pile &amp; Timber Lagging",D48="Trench Shoring Box",D48="Open Cut (battered)"),SG_Criteria!$B$34,SG_Criteria!$B$33),"No ERSS submission",IF(H48&lt;=SG_Criteria!$B$35,"QP(ST)",IF(H48&lt;=SG_Criteria!$B$36,"QP(ST) + AC","Geotechnical building works: QP(Geo) + AC"))))</f>
        <v/>
      </c>
      <c r="BB48" s="33" t="str">
        <f aca="false">IF(D48="","",IF(LEN(IF(AND(R48&lt;&gt;"",R48&lt;SG_Criteria!$B$37),"FAIL: base stability FOS &lt; "&amp;SG_Criteria!$B$37&amp;". ","")&amp;IF(AND(E48="Manhole",H48&gt;SG_Criteria!$B$36),"NOTE: BCA lists sewer manholes (pipe &lt;= 2 m dia) &gt; 6 m as non-GBW: QP(ST) + AC. ","")&amp;IF(AND(D48="Trench Shoring Box",I48="Kallang Formation (marine clay)"),"NOTE: check base heave / ground loss for shoring box in marine clay. ","")&amp;IF(AND(D48="Steel Sheet Pile Cofferdam",N(N48)&lt;H48*0.5),"NOTE: short toe embedment, check. ",""))=0,"OK",IF(AND(R48&lt;&gt;"",R48&lt;SG_Criteria!$B$37),"FAIL: base stability FOS &lt; "&amp;SG_Criteria!$B$37&amp;". ","")&amp;IF(AND(E48="Manhole",H48&gt;SG_Criteria!$B$36),"NOTE: BCA lists sewer manholes (pipe &lt;= 2 m dia) &gt; 6 m as non-GBW: QP(ST) + AC. ","")&amp;IF(AND(D48="Trench Shoring Box",I48="Kallang Formation (marine clay)"),"NOTE: check base heave / ground loss for shoring box in marine clay. ","")&amp;IF(AND(D48="Steel Sheet Pile Cofferdam",N(N48)&lt;H48*0.5),"NOTE: short toe embedment, check. ","")))</f>
        <v/>
      </c>
      <c r="BC48" s="9"/>
      <c r="BD48" s="9"/>
      <c r="BE48" s="9"/>
      <c r="BF48" s="10" t="str">
        <f aca="false">IF(BE48="","",IFERROR(VLOOKUP(BE48,Projects!$A$5:$D$504,2,0),"Ref not in Projects"))</f>
        <v/>
      </c>
      <c r="BG48" s="10" t="str">
        <f aca="false">IF(BE48="","",IFERROR(VLOOKUP(BE48,Projects!$A$5:$D$504,4,0),"Ref not in Projects"))</f>
        <v/>
      </c>
      <c r="BH48" s="9"/>
      <c r="BI48" s="9"/>
      <c r="BJ48" s="9"/>
      <c r="BK48" s="40"/>
      <c r="BL48" s="9"/>
      <c r="BM48" s="40"/>
      <c r="BN48" s="9"/>
      <c r="BO48" s="40"/>
      <c r="BP48" s="9"/>
      <c r="BQ48" s="9"/>
      <c r="BR48" s="9"/>
      <c r="BS48" s="40"/>
      <c r="BT48" s="40"/>
      <c r="BU48" s="36" t="str">
        <f aca="false">IF(BT48="","",EDATE(BT48,SG_Criteria!$B$54*12))</f>
        <v/>
      </c>
      <c r="BV48" s="33" t="str">
        <f aca="true">IF(A48="","",IF(BT48="","NOTE: not reviewed yet",IF(TODAY()&gt;BU48,"NOTE: review overdue","OK")))</f>
        <v/>
      </c>
      <c r="BW48" s="37" t="str">
        <f aca="false">IF(A48="","",ROUND((IF(LEN(D48)&gt;0,1,0)+IF(LEN(E48)&gt;0,1,0)+IF(LEN(F48)&gt;0,1,0)+IF(LEN(G48)&gt;0,1,0)+IF(LEN(H48)&gt;0,1,0)+IF(LEN(I48)&gt;0,1,0)+IF(LEN(J48)&gt;0,1,0)+IF(LEN(L48)&gt;0,1,0)+IF(LEN(R48)&gt;0,1,0)+IF(LEN(Y48)&gt;0,1,0)+IF(LEN(AE48)&gt;0,1,0)+IF(LEN(AG48)&gt;0,1,0)+IF(LEN(AH48)&gt;0,1,0)+IF(LEN(AI48)&gt;0,1,0)+IF(LEN(AJ48)&gt;0,1,0)+IF(LEN(AS48)&gt;0,1,0)+IF(LEN(BE48)&gt;0,1,0)+IF(LEN(BR48)&gt;0,1,0))/18,2))</f>
        <v/>
      </c>
      <c r="BX48" s="10" t="str">
        <f aca="false">IF(D48="","",IF(AND(AH48="Approved",ISERROR(SEARCH("FAIL",BB48))),"Y","N"))</f>
        <v/>
      </c>
      <c r="BY48" s="10" t="str">
        <f aca="false">IF(D48="","",D48&amp;"|"&amp;H48&amp;"|"&amp;F48&amp;"|"&amp;I48&amp;"|"&amp;BX48)</f>
        <v/>
      </c>
    </row>
    <row r="49" customFormat="false" ht="15" hidden="false" customHeight="false" outlineLevel="0" collapsed="false">
      <c r="A49" s="10" t="str">
        <f aca="false">IF(D49="","","ERSS-"&amp;IFERROR(VLOOKUP(D49,Lists!$AK$4:$AL$21,2,0),"??")&amp;"-"&amp;TEXT(F49,"0000")&amp;"x"&amp;TEXT(G49,"0000")&amp;"-D"&amp;TEXT(H49*1000,"0000")&amp;"-"&amp;IFERROR(VLOOKUP(I49,Lists!$Y$4:$Z$21,2,0),"??")&amp;"-"&amp;AG49)</f>
        <v/>
      </c>
      <c r="B49" s="10" t="str">
        <f aca="false">IF(D49="","",D49&amp;" for "&amp;E49&amp;", "&amp;F49&amp;" x "&amp;G49&amp;" pit, "&amp;TEXT(H49,"0.0")&amp;" m deep, "&amp;I49)</f>
        <v/>
      </c>
      <c r="C49" s="9"/>
      <c r="D49" s="9"/>
      <c r="E49" s="9"/>
      <c r="F49" s="38"/>
      <c r="G49" s="38"/>
      <c r="H49" s="42"/>
      <c r="I49" s="9"/>
      <c r="J49" s="42"/>
      <c r="K49" s="38"/>
      <c r="L49" s="9"/>
      <c r="M49" s="42"/>
      <c r="N49" s="42"/>
      <c r="O49" s="38"/>
      <c r="P49" s="9"/>
      <c r="Q49" s="9"/>
      <c r="R49" s="39"/>
      <c r="S49" s="39"/>
      <c r="T49" s="38"/>
      <c r="U49" s="38"/>
      <c r="V49" s="38"/>
      <c r="W49" s="9"/>
      <c r="X49" s="9"/>
      <c r="Y49" s="38"/>
      <c r="Z49" s="9"/>
      <c r="AA49" s="9"/>
      <c r="AB49" s="38"/>
      <c r="AC49" s="9"/>
      <c r="AD49" s="39"/>
      <c r="AE49" s="9"/>
      <c r="AF49" s="9"/>
      <c r="AG49" s="9"/>
      <c r="AH49" s="9"/>
      <c r="AI49" s="9"/>
      <c r="AJ49" s="9"/>
      <c r="AK49" s="9"/>
      <c r="AL49" s="10" t="str">
        <f aca="false">IF(A49="","",SG_Criteria!$B$6&amp;SG_Criteria!$B$11&amp;"\"&amp;A49&amp;"\")</f>
        <v/>
      </c>
      <c r="AM49" s="10" t="str">
        <f aca="false">IF(A49="","",A49&amp;"_CAD.dwg")</f>
        <v/>
      </c>
      <c r="AN49" s="10" t="str">
        <f aca="false">IF(A49="","",A49&amp;"_DWG.pdf")</f>
        <v/>
      </c>
      <c r="AO49" s="10" t="str">
        <f aca="false">IF(A49="","",IF(AK49="Y",A49&amp;"_STAAD.std","n/a"))</f>
        <v/>
      </c>
      <c r="AP49" s="10" t="str">
        <f aca="false">IF(A49="","",A49&amp;"_CALC.xlsx")</f>
        <v/>
      </c>
      <c r="AQ49" s="10" t="str">
        <f aca="false">IF(A49="","",A49&amp;"_CALC.pdf")</f>
        <v/>
      </c>
      <c r="AR49" s="9"/>
      <c r="AS49" s="9"/>
      <c r="AT49" s="39"/>
      <c r="AU49" s="39"/>
      <c r="AV49" s="39"/>
      <c r="AW49" s="39"/>
      <c r="AX49" s="39"/>
      <c r="AY49" s="12" t="str">
        <f aca="false">IF(A49="","",IF(COUNTIF(Rebar_Schedule!$A$5:$A$2004,A49)=0,"",ROUND(SUMIF(Rebar_Schedule!$A$5:$A$2004,A49,Rebar_Schedule!$K$5:$K$2004),1)))</f>
        <v/>
      </c>
      <c r="AZ49" s="33" t="str">
        <f aca="false">IF(A49="","",IF(AY49="","No rebar schedule yet",IF(ABS(AY49-N(AU49))/MAX(N(AU49),1)&gt;SG_Criteria!$B$55,"NOTE: register rebar differs from schedule by "&amp;TEXT(ABS(AY49-N(AU49))/MAX(N(AU49),1),"0%"),"OK")))</f>
        <v/>
      </c>
      <c r="BA49" s="33" t="str">
        <f aca="false">IF(OR(D49="",H49=""),"",IF(H49&lt;=IF(OR(D49="Soldier Pile &amp; Timber Lagging",D49="Trench Shoring Box",D49="Open Cut (battered)"),SG_Criteria!$B$34,SG_Criteria!$B$33),"No ERSS submission",IF(H49&lt;=SG_Criteria!$B$35,"QP(ST)",IF(H49&lt;=SG_Criteria!$B$36,"QP(ST) + AC","Geotechnical building works: QP(Geo) + AC"))))</f>
        <v/>
      </c>
      <c r="BB49" s="33" t="str">
        <f aca="false">IF(D49="","",IF(LEN(IF(AND(R49&lt;&gt;"",R49&lt;SG_Criteria!$B$37),"FAIL: base stability FOS &lt; "&amp;SG_Criteria!$B$37&amp;". ","")&amp;IF(AND(E49="Manhole",H49&gt;SG_Criteria!$B$36),"NOTE: BCA lists sewer manholes (pipe &lt;= 2 m dia) &gt; 6 m as non-GBW: QP(ST) + AC. ","")&amp;IF(AND(D49="Trench Shoring Box",I49="Kallang Formation (marine clay)"),"NOTE: check base heave / ground loss for shoring box in marine clay. ","")&amp;IF(AND(D49="Steel Sheet Pile Cofferdam",N(N49)&lt;H49*0.5),"NOTE: short toe embedment, check. ",""))=0,"OK",IF(AND(R49&lt;&gt;"",R49&lt;SG_Criteria!$B$37),"FAIL: base stability FOS &lt; "&amp;SG_Criteria!$B$37&amp;". ","")&amp;IF(AND(E49="Manhole",H49&gt;SG_Criteria!$B$36),"NOTE: BCA lists sewer manholes (pipe &lt;= 2 m dia) &gt; 6 m as non-GBW: QP(ST) + AC. ","")&amp;IF(AND(D49="Trench Shoring Box",I49="Kallang Formation (marine clay)"),"NOTE: check base heave / ground loss for shoring box in marine clay. ","")&amp;IF(AND(D49="Steel Sheet Pile Cofferdam",N(N49)&lt;H49*0.5),"NOTE: short toe embedment, check. ","")))</f>
        <v/>
      </c>
      <c r="BC49" s="9"/>
      <c r="BD49" s="9"/>
      <c r="BE49" s="9"/>
      <c r="BF49" s="10" t="str">
        <f aca="false">IF(BE49="","",IFERROR(VLOOKUP(BE49,Projects!$A$5:$D$504,2,0),"Ref not in Projects"))</f>
        <v/>
      </c>
      <c r="BG49" s="10" t="str">
        <f aca="false">IF(BE49="","",IFERROR(VLOOKUP(BE49,Projects!$A$5:$D$504,4,0),"Ref not in Projects"))</f>
        <v/>
      </c>
      <c r="BH49" s="9"/>
      <c r="BI49" s="9"/>
      <c r="BJ49" s="9"/>
      <c r="BK49" s="40"/>
      <c r="BL49" s="9"/>
      <c r="BM49" s="40"/>
      <c r="BN49" s="9"/>
      <c r="BO49" s="40"/>
      <c r="BP49" s="9"/>
      <c r="BQ49" s="9"/>
      <c r="BR49" s="9"/>
      <c r="BS49" s="40"/>
      <c r="BT49" s="40"/>
      <c r="BU49" s="36" t="str">
        <f aca="false">IF(BT49="","",EDATE(BT49,SG_Criteria!$B$54*12))</f>
        <v/>
      </c>
      <c r="BV49" s="33" t="str">
        <f aca="true">IF(A49="","",IF(BT49="","NOTE: not reviewed yet",IF(TODAY()&gt;BU49,"NOTE: review overdue","OK")))</f>
        <v/>
      </c>
      <c r="BW49" s="37" t="str">
        <f aca="false">IF(A49="","",ROUND((IF(LEN(D49)&gt;0,1,0)+IF(LEN(E49)&gt;0,1,0)+IF(LEN(F49)&gt;0,1,0)+IF(LEN(G49)&gt;0,1,0)+IF(LEN(H49)&gt;0,1,0)+IF(LEN(I49)&gt;0,1,0)+IF(LEN(J49)&gt;0,1,0)+IF(LEN(L49)&gt;0,1,0)+IF(LEN(R49)&gt;0,1,0)+IF(LEN(Y49)&gt;0,1,0)+IF(LEN(AE49)&gt;0,1,0)+IF(LEN(AG49)&gt;0,1,0)+IF(LEN(AH49)&gt;0,1,0)+IF(LEN(AI49)&gt;0,1,0)+IF(LEN(AJ49)&gt;0,1,0)+IF(LEN(AS49)&gt;0,1,0)+IF(LEN(BE49)&gt;0,1,0)+IF(LEN(BR49)&gt;0,1,0))/18,2))</f>
        <v/>
      </c>
      <c r="BX49" s="10" t="str">
        <f aca="false">IF(D49="","",IF(AND(AH49="Approved",ISERROR(SEARCH("FAIL",BB49))),"Y","N"))</f>
        <v/>
      </c>
      <c r="BY49" s="10" t="str">
        <f aca="false">IF(D49="","",D49&amp;"|"&amp;H49&amp;"|"&amp;F49&amp;"|"&amp;I49&amp;"|"&amp;BX49)</f>
        <v/>
      </c>
    </row>
    <row r="50" customFormat="false" ht="15" hidden="false" customHeight="false" outlineLevel="0" collapsed="false">
      <c r="A50" s="10" t="str">
        <f aca="false">IF(D50="","","ERSS-"&amp;IFERROR(VLOOKUP(D50,Lists!$AK$4:$AL$21,2,0),"??")&amp;"-"&amp;TEXT(F50,"0000")&amp;"x"&amp;TEXT(G50,"0000")&amp;"-D"&amp;TEXT(H50*1000,"0000")&amp;"-"&amp;IFERROR(VLOOKUP(I50,Lists!$Y$4:$Z$21,2,0),"??")&amp;"-"&amp;AG50)</f>
        <v/>
      </c>
      <c r="B50" s="10" t="str">
        <f aca="false">IF(D50="","",D50&amp;" for "&amp;E50&amp;", "&amp;F50&amp;" x "&amp;G50&amp;" pit, "&amp;TEXT(H50,"0.0")&amp;" m deep, "&amp;I50)</f>
        <v/>
      </c>
      <c r="C50" s="9"/>
      <c r="D50" s="9"/>
      <c r="E50" s="9"/>
      <c r="F50" s="38"/>
      <c r="G50" s="38"/>
      <c r="H50" s="42"/>
      <c r="I50" s="9"/>
      <c r="J50" s="42"/>
      <c r="K50" s="38"/>
      <c r="L50" s="9"/>
      <c r="M50" s="42"/>
      <c r="N50" s="42"/>
      <c r="O50" s="38"/>
      <c r="P50" s="9"/>
      <c r="Q50" s="9"/>
      <c r="R50" s="39"/>
      <c r="S50" s="39"/>
      <c r="T50" s="38"/>
      <c r="U50" s="38"/>
      <c r="V50" s="38"/>
      <c r="W50" s="9"/>
      <c r="X50" s="9"/>
      <c r="Y50" s="38"/>
      <c r="Z50" s="9"/>
      <c r="AA50" s="9"/>
      <c r="AB50" s="38"/>
      <c r="AC50" s="9"/>
      <c r="AD50" s="39"/>
      <c r="AE50" s="9"/>
      <c r="AF50" s="9"/>
      <c r="AG50" s="9"/>
      <c r="AH50" s="9"/>
      <c r="AI50" s="9"/>
      <c r="AJ50" s="9"/>
      <c r="AK50" s="9"/>
      <c r="AL50" s="10" t="str">
        <f aca="false">IF(A50="","",SG_Criteria!$B$6&amp;SG_Criteria!$B$11&amp;"\"&amp;A50&amp;"\")</f>
        <v/>
      </c>
      <c r="AM50" s="10" t="str">
        <f aca="false">IF(A50="","",A50&amp;"_CAD.dwg")</f>
        <v/>
      </c>
      <c r="AN50" s="10" t="str">
        <f aca="false">IF(A50="","",A50&amp;"_DWG.pdf")</f>
        <v/>
      </c>
      <c r="AO50" s="10" t="str">
        <f aca="false">IF(A50="","",IF(AK50="Y",A50&amp;"_STAAD.std","n/a"))</f>
        <v/>
      </c>
      <c r="AP50" s="10" t="str">
        <f aca="false">IF(A50="","",A50&amp;"_CALC.xlsx")</f>
        <v/>
      </c>
      <c r="AQ50" s="10" t="str">
        <f aca="false">IF(A50="","",A50&amp;"_CALC.pdf")</f>
        <v/>
      </c>
      <c r="AR50" s="9"/>
      <c r="AS50" s="9"/>
      <c r="AT50" s="39"/>
      <c r="AU50" s="39"/>
      <c r="AV50" s="39"/>
      <c r="AW50" s="39"/>
      <c r="AX50" s="39"/>
      <c r="AY50" s="12" t="str">
        <f aca="false">IF(A50="","",IF(COUNTIF(Rebar_Schedule!$A$5:$A$2004,A50)=0,"",ROUND(SUMIF(Rebar_Schedule!$A$5:$A$2004,A50,Rebar_Schedule!$K$5:$K$2004),1)))</f>
        <v/>
      </c>
      <c r="AZ50" s="33" t="str">
        <f aca="false">IF(A50="","",IF(AY50="","No rebar schedule yet",IF(ABS(AY50-N(AU50))/MAX(N(AU50),1)&gt;SG_Criteria!$B$55,"NOTE: register rebar differs from schedule by "&amp;TEXT(ABS(AY50-N(AU50))/MAX(N(AU50),1),"0%"),"OK")))</f>
        <v/>
      </c>
      <c r="BA50" s="33" t="str">
        <f aca="false">IF(OR(D50="",H50=""),"",IF(H50&lt;=IF(OR(D50="Soldier Pile &amp; Timber Lagging",D50="Trench Shoring Box",D50="Open Cut (battered)"),SG_Criteria!$B$34,SG_Criteria!$B$33),"No ERSS submission",IF(H50&lt;=SG_Criteria!$B$35,"QP(ST)",IF(H50&lt;=SG_Criteria!$B$36,"QP(ST) + AC","Geotechnical building works: QP(Geo) + AC"))))</f>
        <v/>
      </c>
      <c r="BB50" s="33" t="str">
        <f aca="false">IF(D50="","",IF(LEN(IF(AND(R50&lt;&gt;"",R50&lt;SG_Criteria!$B$37),"FAIL: base stability FOS &lt; "&amp;SG_Criteria!$B$37&amp;". ","")&amp;IF(AND(E50="Manhole",H50&gt;SG_Criteria!$B$36),"NOTE: BCA lists sewer manholes (pipe &lt;= 2 m dia) &gt; 6 m as non-GBW: QP(ST) + AC. ","")&amp;IF(AND(D50="Trench Shoring Box",I50="Kallang Formation (marine clay)"),"NOTE: check base heave / ground loss for shoring box in marine clay. ","")&amp;IF(AND(D50="Steel Sheet Pile Cofferdam",N(N50)&lt;H50*0.5),"NOTE: short toe embedment, check. ",""))=0,"OK",IF(AND(R50&lt;&gt;"",R50&lt;SG_Criteria!$B$37),"FAIL: base stability FOS &lt; "&amp;SG_Criteria!$B$37&amp;". ","")&amp;IF(AND(E50="Manhole",H50&gt;SG_Criteria!$B$36),"NOTE: BCA lists sewer manholes (pipe &lt;= 2 m dia) &gt; 6 m as non-GBW: QP(ST) + AC. ","")&amp;IF(AND(D50="Trench Shoring Box",I50="Kallang Formation (marine clay)"),"NOTE: check base heave / ground loss for shoring box in marine clay. ","")&amp;IF(AND(D50="Steel Sheet Pile Cofferdam",N(N50)&lt;H50*0.5),"NOTE: short toe embedment, check. ","")))</f>
        <v/>
      </c>
      <c r="BC50" s="9"/>
      <c r="BD50" s="9"/>
      <c r="BE50" s="9"/>
      <c r="BF50" s="10" t="str">
        <f aca="false">IF(BE50="","",IFERROR(VLOOKUP(BE50,Projects!$A$5:$D$504,2,0),"Ref not in Projects"))</f>
        <v/>
      </c>
      <c r="BG50" s="10" t="str">
        <f aca="false">IF(BE50="","",IFERROR(VLOOKUP(BE50,Projects!$A$5:$D$504,4,0),"Ref not in Projects"))</f>
        <v/>
      </c>
      <c r="BH50" s="9"/>
      <c r="BI50" s="9"/>
      <c r="BJ50" s="9"/>
      <c r="BK50" s="40"/>
      <c r="BL50" s="9"/>
      <c r="BM50" s="40"/>
      <c r="BN50" s="9"/>
      <c r="BO50" s="40"/>
      <c r="BP50" s="9"/>
      <c r="BQ50" s="9"/>
      <c r="BR50" s="9"/>
      <c r="BS50" s="40"/>
      <c r="BT50" s="40"/>
      <c r="BU50" s="36" t="str">
        <f aca="false">IF(BT50="","",EDATE(BT50,SG_Criteria!$B$54*12))</f>
        <v/>
      </c>
      <c r="BV50" s="33" t="str">
        <f aca="true">IF(A50="","",IF(BT50="","NOTE: not reviewed yet",IF(TODAY()&gt;BU50,"NOTE: review overdue","OK")))</f>
        <v/>
      </c>
      <c r="BW50" s="37" t="str">
        <f aca="false">IF(A50="","",ROUND((IF(LEN(D50)&gt;0,1,0)+IF(LEN(E50)&gt;0,1,0)+IF(LEN(F50)&gt;0,1,0)+IF(LEN(G50)&gt;0,1,0)+IF(LEN(H50)&gt;0,1,0)+IF(LEN(I50)&gt;0,1,0)+IF(LEN(J50)&gt;0,1,0)+IF(LEN(L50)&gt;0,1,0)+IF(LEN(R50)&gt;0,1,0)+IF(LEN(Y50)&gt;0,1,0)+IF(LEN(AE50)&gt;0,1,0)+IF(LEN(AG50)&gt;0,1,0)+IF(LEN(AH50)&gt;0,1,0)+IF(LEN(AI50)&gt;0,1,0)+IF(LEN(AJ50)&gt;0,1,0)+IF(LEN(AS50)&gt;0,1,0)+IF(LEN(BE50)&gt;0,1,0)+IF(LEN(BR50)&gt;0,1,0))/18,2))</f>
        <v/>
      </c>
      <c r="BX50" s="10" t="str">
        <f aca="false">IF(D50="","",IF(AND(AH50="Approved",ISERROR(SEARCH("FAIL",BB50))),"Y","N"))</f>
        <v/>
      </c>
      <c r="BY50" s="10" t="str">
        <f aca="false">IF(D50="","",D50&amp;"|"&amp;H50&amp;"|"&amp;F50&amp;"|"&amp;I50&amp;"|"&amp;BX50)</f>
        <v/>
      </c>
    </row>
    <row r="51" customFormat="false" ht="15" hidden="false" customHeight="false" outlineLevel="0" collapsed="false">
      <c r="A51" s="10" t="str">
        <f aca="false">IF(D51="","","ERSS-"&amp;IFERROR(VLOOKUP(D51,Lists!$AK$4:$AL$21,2,0),"??")&amp;"-"&amp;TEXT(F51,"0000")&amp;"x"&amp;TEXT(G51,"0000")&amp;"-D"&amp;TEXT(H51*1000,"0000")&amp;"-"&amp;IFERROR(VLOOKUP(I51,Lists!$Y$4:$Z$21,2,0),"??")&amp;"-"&amp;AG51)</f>
        <v/>
      </c>
      <c r="B51" s="10" t="str">
        <f aca="false">IF(D51="","",D51&amp;" for "&amp;E51&amp;", "&amp;F51&amp;" x "&amp;G51&amp;" pit, "&amp;TEXT(H51,"0.0")&amp;" m deep, "&amp;I51)</f>
        <v/>
      </c>
      <c r="C51" s="9"/>
      <c r="D51" s="9"/>
      <c r="E51" s="9"/>
      <c r="F51" s="38"/>
      <c r="G51" s="38"/>
      <c r="H51" s="42"/>
      <c r="I51" s="9"/>
      <c r="J51" s="42"/>
      <c r="K51" s="38"/>
      <c r="L51" s="9"/>
      <c r="M51" s="42"/>
      <c r="N51" s="42"/>
      <c r="O51" s="38"/>
      <c r="P51" s="9"/>
      <c r="Q51" s="9"/>
      <c r="R51" s="39"/>
      <c r="S51" s="39"/>
      <c r="T51" s="38"/>
      <c r="U51" s="38"/>
      <c r="V51" s="38"/>
      <c r="W51" s="9"/>
      <c r="X51" s="9"/>
      <c r="Y51" s="38"/>
      <c r="Z51" s="9"/>
      <c r="AA51" s="9"/>
      <c r="AB51" s="38"/>
      <c r="AC51" s="9"/>
      <c r="AD51" s="39"/>
      <c r="AE51" s="9"/>
      <c r="AF51" s="9"/>
      <c r="AG51" s="9"/>
      <c r="AH51" s="9"/>
      <c r="AI51" s="9"/>
      <c r="AJ51" s="9"/>
      <c r="AK51" s="9"/>
      <c r="AL51" s="10" t="str">
        <f aca="false">IF(A51="","",SG_Criteria!$B$6&amp;SG_Criteria!$B$11&amp;"\"&amp;A51&amp;"\")</f>
        <v/>
      </c>
      <c r="AM51" s="10" t="str">
        <f aca="false">IF(A51="","",A51&amp;"_CAD.dwg")</f>
        <v/>
      </c>
      <c r="AN51" s="10" t="str">
        <f aca="false">IF(A51="","",A51&amp;"_DWG.pdf")</f>
        <v/>
      </c>
      <c r="AO51" s="10" t="str">
        <f aca="false">IF(A51="","",IF(AK51="Y",A51&amp;"_STAAD.std","n/a"))</f>
        <v/>
      </c>
      <c r="AP51" s="10" t="str">
        <f aca="false">IF(A51="","",A51&amp;"_CALC.xlsx")</f>
        <v/>
      </c>
      <c r="AQ51" s="10" t="str">
        <f aca="false">IF(A51="","",A51&amp;"_CALC.pdf")</f>
        <v/>
      </c>
      <c r="AR51" s="9"/>
      <c r="AS51" s="9"/>
      <c r="AT51" s="39"/>
      <c r="AU51" s="39"/>
      <c r="AV51" s="39"/>
      <c r="AW51" s="39"/>
      <c r="AX51" s="39"/>
      <c r="AY51" s="12" t="str">
        <f aca="false">IF(A51="","",IF(COUNTIF(Rebar_Schedule!$A$5:$A$2004,A51)=0,"",ROUND(SUMIF(Rebar_Schedule!$A$5:$A$2004,A51,Rebar_Schedule!$K$5:$K$2004),1)))</f>
        <v/>
      </c>
      <c r="AZ51" s="33" t="str">
        <f aca="false">IF(A51="","",IF(AY51="","No rebar schedule yet",IF(ABS(AY51-N(AU51))/MAX(N(AU51),1)&gt;SG_Criteria!$B$55,"NOTE: register rebar differs from schedule by "&amp;TEXT(ABS(AY51-N(AU51))/MAX(N(AU51),1),"0%"),"OK")))</f>
        <v/>
      </c>
      <c r="BA51" s="33" t="str">
        <f aca="false">IF(OR(D51="",H51=""),"",IF(H51&lt;=IF(OR(D51="Soldier Pile &amp; Timber Lagging",D51="Trench Shoring Box",D51="Open Cut (battered)"),SG_Criteria!$B$34,SG_Criteria!$B$33),"No ERSS submission",IF(H51&lt;=SG_Criteria!$B$35,"QP(ST)",IF(H51&lt;=SG_Criteria!$B$36,"QP(ST) + AC","Geotechnical building works: QP(Geo) + AC"))))</f>
        <v/>
      </c>
      <c r="BB51" s="33" t="str">
        <f aca="false">IF(D51="","",IF(LEN(IF(AND(R51&lt;&gt;"",R51&lt;SG_Criteria!$B$37),"FAIL: base stability FOS &lt; "&amp;SG_Criteria!$B$37&amp;". ","")&amp;IF(AND(E51="Manhole",H51&gt;SG_Criteria!$B$36),"NOTE: BCA lists sewer manholes (pipe &lt;= 2 m dia) &gt; 6 m as non-GBW: QP(ST) + AC. ","")&amp;IF(AND(D51="Trench Shoring Box",I51="Kallang Formation (marine clay)"),"NOTE: check base heave / ground loss for shoring box in marine clay. ","")&amp;IF(AND(D51="Steel Sheet Pile Cofferdam",N(N51)&lt;H51*0.5),"NOTE: short toe embedment, check. ",""))=0,"OK",IF(AND(R51&lt;&gt;"",R51&lt;SG_Criteria!$B$37),"FAIL: base stability FOS &lt; "&amp;SG_Criteria!$B$37&amp;". ","")&amp;IF(AND(E51="Manhole",H51&gt;SG_Criteria!$B$36),"NOTE: BCA lists sewer manholes (pipe &lt;= 2 m dia) &gt; 6 m as non-GBW: QP(ST) + AC. ","")&amp;IF(AND(D51="Trench Shoring Box",I51="Kallang Formation (marine clay)"),"NOTE: check base heave / ground loss for shoring box in marine clay. ","")&amp;IF(AND(D51="Steel Sheet Pile Cofferdam",N(N51)&lt;H51*0.5),"NOTE: short toe embedment, check. ","")))</f>
        <v/>
      </c>
      <c r="BC51" s="9"/>
      <c r="BD51" s="9"/>
      <c r="BE51" s="9"/>
      <c r="BF51" s="10" t="str">
        <f aca="false">IF(BE51="","",IFERROR(VLOOKUP(BE51,Projects!$A$5:$D$504,2,0),"Ref not in Projects"))</f>
        <v/>
      </c>
      <c r="BG51" s="10" t="str">
        <f aca="false">IF(BE51="","",IFERROR(VLOOKUP(BE51,Projects!$A$5:$D$504,4,0),"Ref not in Projects"))</f>
        <v/>
      </c>
      <c r="BH51" s="9"/>
      <c r="BI51" s="9"/>
      <c r="BJ51" s="9"/>
      <c r="BK51" s="40"/>
      <c r="BL51" s="9"/>
      <c r="BM51" s="40"/>
      <c r="BN51" s="9"/>
      <c r="BO51" s="40"/>
      <c r="BP51" s="9"/>
      <c r="BQ51" s="9"/>
      <c r="BR51" s="9"/>
      <c r="BS51" s="40"/>
      <c r="BT51" s="40"/>
      <c r="BU51" s="36" t="str">
        <f aca="false">IF(BT51="","",EDATE(BT51,SG_Criteria!$B$54*12))</f>
        <v/>
      </c>
      <c r="BV51" s="33" t="str">
        <f aca="true">IF(A51="","",IF(BT51="","NOTE: not reviewed yet",IF(TODAY()&gt;BU51,"NOTE: review overdue","OK")))</f>
        <v/>
      </c>
      <c r="BW51" s="37" t="str">
        <f aca="false">IF(A51="","",ROUND((IF(LEN(D51)&gt;0,1,0)+IF(LEN(E51)&gt;0,1,0)+IF(LEN(F51)&gt;0,1,0)+IF(LEN(G51)&gt;0,1,0)+IF(LEN(H51)&gt;0,1,0)+IF(LEN(I51)&gt;0,1,0)+IF(LEN(J51)&gt;0,1,0)+IF(LEN(L51)&gt;0,1,0)+IF(LEN(R51)&gt;0,1,0)+IF(LEN(Y51)&gt;0,1,0)+IF(LEN(AE51)&gt;0,1,0)+IF(LEN(AG51)&gt;0,1,0)+IF(LEN(AH51)&gt;0,1,0)+IF(LEN(AI51)&gt;0,1,0)+IF(LEN(AJ51)&gt;0,1,0)+IF(LEN(AS51)&gt;0,1,0)+IF(LEN(BE51)&gt;0,1,0)+IF(LEN(BR51)&gt;0,1,0))/18,2))</f>
        <v/>
      </c>
      <c r="BX51" s="10" t="str">
        <f aca="false">IF(D51="","",IF(AND(AH51="Approved",ISERROR(SEARCH("FAIL",BB51))),"Y","N"))</f>
        <v/>
      </c>
      <c r="BY51" s="10" t="str">
        <f aca="false">IF(D51="","",D51&amp;"|"&amp;H51&amp;"|"&amp;F51&amp;"|"&amp;I51&amp;"|"&amp;BX51)</f>
        <v/>
      </c>
    </row>
    <row r="52" customFormat="false" ht="15" hidden="false" customHeight="false" outlineLevel="0" collapsed="false">
      <c r="A52" s="10" t="str">
        <f aca="false">IF(D52="","","ERSS-"&amp;IFERROR(VLOOKUP(D52,Lists!$AK$4:$AL$21,2,0),"??")&amp;"-"&amp;TEXT(F52,"0000")&amp;"x"&amp;TEXT(G52,"0000")&amp;"-D"&amp;TEXT(H52*1000,"0000")&amp;"-"&amp;IFERROR(VLOOKUP(I52,Lists!$Y$4:$Z$21,2,0),"??")&amp;"-"&amp;AG52)</f>
        <v/>
      </c>
      <c r="B52" s="10" t="str">
        <f aca="false">IF(D52="","",D52&amp;" for "&amp;E52&amp;", "&amp;F52&amp;" x "&amp;G52&amp;" pit, "&amp;TEXT(H52,"0.0")&amp;" m deep, "&amp;I52)</f>
        <v/>
      </c>
      <c r="C52" s="9"/>
      <c r="D52" s="9"/>
      <c r="E52" s="9"/>
      <c r="F52" s="38"/>
      <c r="G52" s="38"/>
      <c r="H52" s="42"/>
      <c r="I52" s="9"/>
      <c r="J52" s="42"/>
      <c r="K52" s="38"/>
      <c r="L52" s="9"/>
      <c r="M52" s="42"/>
      <c r="N52" s="42"/>
      <c r="O52" s="38"/>
      <c r="P52" s="9"/>
      <c r="Q52" s="9"/>
      <c r="R52" s="39"/>
      <c r="S52" s="39"/>
      <c r="T52" s="38"/>
      <c r="U52" s="38"/>
      <c r="V52" s="38"/>
      <c r="W52" s="9"/>
      <c r="X52" s="9"/>
      <c r="Y52" s="38"/>
      <c r="Z52" s="9"/>
      <c r="AA52" s="9"/>
      <c r="AB52" s="38"/>
      <c r="AC52" s="9"/>
      <c r="AD52" s="39"/>
      <c r="AE52" s="9"/>
      <c r="AF52" s="9"/>
      <c r="AG52" s="9"/>
      <c r="AH52" s="9"/>
      <c r="AI52" s="9"/>
      <c r="AJ52" s="9"/>
      <c r="AK52" s="9"/>
      <c r="AL52" s="10" t="str">
        <f aca="false">IF(A52="","",SG_Criteria!$B$6&amp;SG_Criteria!$B$11&amp;"\"&amp;A52&amp;"\")</f>
        <v/>
      </c>
      <c r="AM52" s="10" t="str">
        <f aca="false">IF(A52="","",A52&amp;"_CAD.dwg")</f>
        <v/>
      </c>
      <c r="AN52" s="10" t="str">
        <f aca="false">IF(A52="","",A52&amp;"_DWG.pdf")</f>
        <v/>
      </c>
      <c r="AO52" s="10" t="str">
        <f aca="false">IF(A52="","",IF(AK52="Y",A52&amp;"_STAAD.std","n/a"))</f>
        <v/>
      </c>
      <c r="AP52" s="10" t="str">
        <f aca="false">IF(A52="","",A52&amp;"_CALC.xlsx")</f>
        <v/>
      </c>
      <c r="AQ52" s="10" t="str">
        <f aca="false">IF(A52="","",A52&amp;"_CALC.pdf")</f>
        <v/>
      </c>
      <c r="AR52" s="9"/>
      <c r="AS52" s="9"/>
      <c r="AT52" s="39"/>
      <c r="AU52" s="39"/>
      <c r="AV52" s="39"/>
      <c r="AW52" s="39"/>
      <c r="AX52" s="39"/>
      <c r="AY52" s="12" t="str">
        <f aca="false">IF(A52="","",IF(COUNTIF(Rebar_Schedule!$A$5:$A$2004,A52)=0,"",ROUND(SUMIF(Rebar_Schedule!$A$5:$A$2004,A52,Rebar_Schedule!$K$5:$K$2004),1)))</f>
        <v/>
      </c>
      <c r="AZ52" s="33" t="str">
        <f aca="false">IF(A52="","",IF(AY52="","No rebar schedule yet",IF(ABS(AY52-N(AU52))/MAX(N(AU52),1)&gt;SG_Criteria!$B$55,"NOTE: register rebar differs from schedule by "&amp;TEXT(ABS(AY52-N(AU52))/MAX(N(AU52),1),"0%"),"OK")))</f>
        <v/>
      </c>
      <c r="BA52" s="33" t="str">
        <f aca="false">IF(OR(D52="",H52=""),"",IF(H52&lt;=IF(OR(D52="Soldier Pile &amp; Timber Lagging",D52="Trench Shoring Box",D52="Open Cut (battered)"),SG_Criteria!$B$34,SG_Criteria!$B$33),"No ERSS submission",IF(H52&lt;=SG_Criteria!$B$35,"QP(ST)",IF(H52&lt;=SG_Criteria!$B$36,"QP(ST) + AC","Geotechnical building works: QP(Geo) + AC"))))</f>
        <v/>
      </c>
      <c r="BB52" s="33" t="str">
        <f aca="false">IF(D52="","",IF(LEN(IF(AND(R52&lt;&gt;"",R52&lt;SG_Criteria!$B$37),"FAIL: base stability FOS &lt; "&amp;SG_Criteria!$B$37&amp;". ","")&amp;IF(AND(E52="Manhole",H52&gt;SG_Criteria!$B$36),"NOTE: BCA lists sewer manholes (pipe &lt;= 2 m dia) &gt; 6 m as non-GBW: QP(ST) + AC. ","")&amp;IF(AND(D52="Trench Shoring Box",I52="Kallang Formation (marine clay)"),"NOTE: check base heave / ground loss for shoring box in marine clay. ","")&amp;IF(AND(D52="Steel Sheet Pile Cofferdam",N(N52)&lt;H52*0.5),"NOTE: short toe embedment, check. ",""))=0,"OK",IF(AND(R52&lt;&gt;"",R52&lt;SG_Criteria!$B$37),"FAIL: base stability FOS &lt; "&amp;SG_Criteria!$B$37&amp;". ","")&amp;IF(AND(E52="Manhole",H52&gt;SG_Criteria!$B$36),"NOTE: BCA lists sewer manholes (pipe &lt;= 2 m dia) &gt; 6 m as non-GBW: QP(ST) + AC. ","")&amp;IF(AND(D52="Trench Shoring Box",I52="Kallang Formation (marine clay)"),"NOTE: check base heave / ground loss for shoring box in marine clay. ","")&amp;IF(AND(D52="Steel Sheet Pile Cofferdam",N(N52)&lt;H52*0.5),"NOTE: short toe embedment, check. ","")))</f>
        <v/>
      </c>
      <c r="BC52" s="9"/>
      <c r="BD52" s="9"/>
      <c r="BE52" s="9"/>
      <c r="BF52" s="10" t="str">
        <f aca="false">IF(BE52="","",IFERROR(VLOOKUP(BE52,Projects!$A$5:$D$504,2,0),"Ref not in Projects"))</f>
        <v/>
      </c>
      <c r="BG52" s="10" t="str">
        <f aca="false">IF(BE52="","",IFERROR(VLOOKUP(BE52,Projects!$A$5:$D$504,4,0),"Ref not in Projects"))</f>
        <v/>
      </c>
      <c r="BH52" s="9"/>
      <c r="BI52" s="9"/>
      <c r="BJ52" s="9"/>
      <c r="BK52" s="40"/>
      <c r="BL52" s="9"/>
      <c r="BM52" s="40"/>
      <c r="BN52" s="9"/>
      <c r="BO52" s="40"/>
      <c r="BP52" s="9"/>
      <c r="BQ52" s="9"/>
      <c r="BR52" s="9"/>
      <c r="BS52" s="40"/>
      <c r="BT52" s="40"/>
      <c r="BU52" s="36" t="str">
        <f aca="false">IF(BT52="","",EDATE(BT52,SG_Criteria!$B$54*12))</f>
        <v/>
      </c>
      <c r="BV52" s="33" t="str">
        <f aca="true">IF(A52="","",IF(BT52="","NOTE: not reviewed yet",IF(TODAY()&gt;BU52,"NOTE: review overdue","OK")))</f>
        <v/>
      </c>
      <c r="BW52" s="37" t="str">
        <f aca="false">IF(A52="","",ROUND((IF(LEN(D52)&gt;0,1,0)+IF(LEN(E52)&gt;0,1,0)+IF(LEN(F52)&gt;0,1,0)+IF(LEN(G52)&gt;0,1,0)+IF(LEN(H52)&gt;0,1,0)+IF(LEN(I52)&gt;0,1,0)+IF(LEN(J52)&gt;0,1,0)+IF(LEN(L52)&gt;0,1,0)+IF(LEN(R52)&gt;0,1,0)+IF(LEN(Y52)&gt;0,1,0)+IF(LEN(AE52)&gt;0,1,0)+IF(LEN(AG52)&gt;0,1,0)+IF(LEN(AH52)&gt;0,1,0)+IF(LEN(AI52)&gt;0,1,0)+IF(LEN(AJ52)&gt;0,1,0)+IF(LEN(AS52)&gt;0,1,0)+IF(LEN(BE52)&gt;0,1,0)+IF(LEN(BR52)&gt;0,1,0))/18,2))</f>
        <v/>
      </c>
      <c r="BX52" s="10" t="str">
        <f aca="false">IF(D52="","",IF(AND(AH52="Approved",ISERROR(SEARCH("FAIL",BB52))),"Y","N"))</f>
        <v/>
      </c>
      <c r="BY52" s="10" t="str">
        <f aca="false">IF(D52="","",D52&amp;"|"&amp;H52&amp;"|"&amp;F52&amp;"|"&amp;I52&amp;"|"&amp;BX52)</f>
        <v/>
      </c>
    </row>
    <row r="53" customFormat="false" ht="15" hidden="false" customHeight="false" outlineLevel="0" collapsed="false">
      <c r="A53" s="10" t="str">
        <f aca="false">IF(D53="","","ERSS-"&amp;IFERROR(VLOOKUP(D53,Lists!$AK$4:$AL$21,2,0),"??")&amp;"-"&amp;TEXT(F53,"0000")&amp;"x"&amp;TEXT(G53,"0000")&amp;"-D"&amp;TEXT(H53*1000,"0000")&amp;"-"&amp;IFERROR(VLOOKUP(I53,Lists!$Y$4:$Z$21,2,0),"??")&amp;"-"&amp;AG53)</f>
        <v/>
      </c>
      <c r="B53" s="10" t="str">
        <f aca="false">IF(D53="","",D53&amp;" for "&amp;E53&amp;", "&amp;F53&amp;" x "&amp;G53&amp;" pit, "&amp;TEXT(H53,"0.0")&amp;" m deep, "&amp;I53)</f>
        <v/>
      </c>
      <c r="C53" s="9"/>
      <c r="D53" s="9"/>
      <c r="E53" s="9"/>
      <c r="F53" s="38"/>
      <c r="G53" s="38"/>
      <c r="H53" s="42"/>
      <c r="I53" s="9"/>
      <c r="J53" s="42"/>
      <c r="K53" s="38"/>
      <c r="L53" s="9"/>
      <c r="M53" s="42"/>
      <c r="N53" s="42"/>
      <c r="O53" s="38"/>
      <c r="P53" s="9"/>
      <c r="Q53" s="9"/>
      <c r="R53" s="39"/>
      <c r="S53" s="39"/>
      <c r="T53" s="38"/>
      <c r="U53" s="38"/>
      <c r="V53" s="38"/>
      <c r="W53" s="9"/>
      <c r="X53" s="9"/>
      <c r="Y53" s="38"/>
      <c r="Z53" s="9"/>
      <c r="AA53" s="9"/>
      <c r="AB53" s="38"/>
      <c r="AC53" s="9"/>
      <c r="AD53" s="39"/>
      <c r="AE53" s="9"/>
      <c r="AF53" s="9"/>
      <c r="AG53" s="9"/>
      <c r="AH53" s="9"/>
      <c r="AI53" s="9"/>
      <c r="AJ53" s="9"/>
      <c r="AK53" s="9"/>
      <c r="AL53" s="10" t="str">
        <f aca="false">IF(A53="","",SG_Criteria!$B$6&amp;SG_Criteria!$B$11&amp;"\"&amp;A53&amp;"\")</f>
        <v/>
      </c>
      <c r="AM53" s="10" t="str">
        <f aca="false">IF(A53="","",A53&amp;"_CAD.dwg")</f>
        <v/>
      </c>
      <c r="AN53" s="10" t="str">
        <f aca="false">IF(A53="","",A53&amp;"_DWG.pdf")</f>
        <v/>
      </c>
      <c r="AO53" s="10" t="str">
        <f aca="false">IF(A53="","",IF(AK53="Y",A53&amp;"_STAAD.std","n/a"))</f>
        <v/>
      </c>
      <c r="AP53" s="10" t="str">
        <f aca="false">IF(A53="","",A53&amp;"_CALC.xlsx")</f>
        <v/>
      </c>
      <c r="AQ53" s="10" t="str">
        <f aca="false">IF(A53="","",A53&amp;"_CALC.pdf")</f>
        <v/>
      </c>
      <c r="AR53" s="9"/>
      <c r="AS53" s="9"/>
      <c r="AT53" s="39"/>
      <c r="AU53" s="39"/>
      <c r="AV53" s="39"/>
      <c r="AW53" s="39"/>
      <c r="AX53" s="39"/>
      <c r="AY53" s="12" t="str">
        <f aca="false">IF(A53="","",IF(COUNTIF(Rebar_Schedule!$A$5:$A$2004,A53)=0,"",ROUND(SUMIF(Rebar_Schedule!$A$5:$A$2004,A53,Rebar_Schedule!$K$5:$K$2004),1)))</f>
        <v/>
      </c>
      <c r="AZ53" s="33" t="str">
        <f aca="false">IF(A53="","",IF(AY53="","No rebar schedule yet",IF(ABS(AY53-N(AU53))/MAX(N(AU53),1)&gt;SG_Criteria!$B$55,"NOTE: register rebar differs from schedule by "&amp;TEXT(ABS(AY53-N(AU53))/MAX(N(AU53),1),"0%"),"OK")))</f>
        <v/>
      </c>
      <c r="BA53" s="33" t="str">
        <f aca="false">IF(OR(D53="",H53=""),"",IF(H53&lt;=IF(OR(D53="Soldier Pile &amp; Timber Lagging",D53="Trench Shoring Box",D53="Open Cut (battered)"),SG_Criteria!$B$34,SG_Criteria!$B$33),"No ERSS submission",IF(H53&lt;=SG_Criteria!$B$35,"QP(ST)",IF(H53&lt;=SG_Criteria!$B$36,"QP(ST) + AC","Geotechnical building works: QP(Geo) + AC"))))</f>
        <v/>
      </c>
      <c r="BB53" s="33" t="str">
        <f aca="false">IF(D53="","",IF(LEN(IF(AND(R53&lt;&gt;"",R53&lt;SG_Criteria!$B$37),"FAIL: base stability FOS &lt; "&amp;SG_Criteria!$B$37&amp;". ","")&amp;IF(AND(E53="Manhole",H53&gt;SG_Criteria!$B$36),"NOTE: BCA lists sewer manholes (pipe &lt;= 2 m dia) &gt; 6 m as non-GBW: QP(ST) + AC. ","")&amp;IF(AND(D53="Trench Shoring Box",I53="Kallang Formation (marine clay)"),"NOTE: check base heave / ground loss for shoring box in marine clay. ","")&amp;IF(AND(D53="Steel Sheet Pile Cofferdam",N(N53)&lt;H53*0.5),"NOTE: short toe embedment, check. ",""))=0,"OK",IF(AND(R53&lt;&gt;"",R53&lt;SG_Criteria!$B$37),"FAIL: base stability FOS &lt; "&amp;SG_Criteria!$B$37&amp;". ","")&amp;IF(AND(E53="Manhole",H53&gt;SG_Criteria!$B$36),"NOTE: BCA lists sewer manholes (pipe &lt;= 2 m dia) &gt; 6 m as non-GBW: QP(ST) + AC. ","")&amp;IF(AND(D53="Trench Shoring Box",I53="Kallang Formation (marine clay)"),"NOTE: check base heave / ground loss for shoring box in marine clay. ","")&amp;IF(AND(D53="Steel Sheet Pile Cofferdam",N(N53)&lt;H53*0.5),"NOTE: short toe embedment, check. ","")))</f>
        <v/>
      </c>
      <c r="BC53" s="9"/>
      <c r="BD53" s="9"/>
      <c r="BE53" s="9"/>
      <c r="BF53" s="10" t="str">
        <f aca="false">IF(BE53="","",IFERROR(VLOOKUP(BE53,Projects!$A$5:$D$504,2,0),"Ref not in Projects"))</f>
        <v/>
      </c>
      <c r="BG53" s="10" t="str">
        <f aca="false">IF(BE53="","",IFERROR(VLOOKUP(BE53,Projects!$A$5:$D$504,4,0),"Ref not in Projects"))</f>
        <v/>
      </c>
      <c r="BH53" s="9"/>
      <c r="BI53" s="9"/>
      <c r="BJ53" s="9"/>
      <c r="BK53" s="40"/>
      <c r="BL53" s="9"/>
      <c r="BM53" s="40"/>
      <c r="BN53" s="9"/>
      <c r="BO53" s="40"/>
      <c r="BP53" s="9"/>
      <c r="BQ53" s="9"/>
      <c r="BR53" s="9"/>
      <c r="BS53" s="40"/>
      <c r="BT53" s="40"/>
      <c r="BU53" s="36" t="str">
        <f aca="false">IF(BT53="","",EDATE(BT53,SG_Criteria!$B$54*12))</f>
        <v/>
      </c>
      <c r="BV53" s="33" t="str">
        <f aca="true">IF(A53="","",IF(BT53="","NOTE: not reviewed yet",IF(TODAY()&gt;BU53,"NOTE: review overdue","OK")))</f>
        <v/>
      </c>
      <c r="BW53" s="37" t="str">
        <f aca="false">IF(A53="","",ROUND((IF(LEN(D53)&gt;0,1,0)+IF(LEN(E53)&gt;0,1,0)+IF(LEN(F53)&gt;0,1,0)+IF(LEN(G53)&gt;0,1,0)+IF(LEN(H53)&gt;0,1,0)+IF(LEN(I53)&gt;0,1,0)+IF(LEN(J53)&gt;0,1,0)+IF(LEN(L53)&gt;0,1,0)+IF(LEN(R53)&gt;0,1,0)+IF(LEN(Y53)&gt;0,1,0)+IF(LEN(AE53)&gt;0,1,0)+IF(LEN(AG53)&gt;0,1,0)+IF(LEN(AH53)&gt;0,1,0)+IF(LEN(AI53)&gt;0,1,0)+IF(LEN(AJ53)&gt;0,1,0)+IF(LEN(AS53)&gt;0,1,0)+IF(LEN(BE53)&gt;0,1,0)+IF(LEN(BR53)&gt;0,1,0))/18,2))</f>
        <v/>
      </c>
      <c r="BX53" s="10" t="str">
        <f aca="false">IF(D53="","",IF(AND(AH53="Approved",ISERROR(SEARCH("FAIL",BB53))),"Y","N"))</f>
        <v/>
      </c>
      <c r="BY53" s="10" t="str">
        <f aca="false">IF(D53="","",D53&amp;"|"&amp;H53&amp;"|"&amp;F53&amp;"|"&amp;I53&amp;"|"&amp;BX53)</f>
        <v/>
      </c>
    </row>
    <row r="54" customFormat="false" ht="15" hidden="false" customHeight="false" outlineLevel="0" collapsed="false">
      <c r="A54" s="10" t="str">
        <f aca="false">IF(D54="","","ERSS-"&amp;IFERROR(VLOOKUP(D54,Lists!$AK$4:$AL$21,2,0),"??")&amp;"-"&amp;TEXT(F54,"0000")&amp;"x"&amp;TEXT(G54,"0000")&amp;"-D"&amp;TEXT(H54*1000,"0000")&amp;"-"&amp;IFERROR(VLOOKUP(I54,Lists!$Y$4:$Z$21,2,0),"??")&amp;"-"&amp;AG54)</f>
        <v/>
      </c>
      <c r="B54" s="10" t="str">
        <f aca="false">IF(D54="","",D54&amp;" for "&amp;E54&amp;", "&amp;F54&amp;" x "&amp;G54&amp;" pit, "&amp;TEXT(H54,"0.0")&amp;" m deep, "&amp;I54)</f>
        <v/>
      </c>
      <c r="C54" s="9"/>
      <c r="D54" s="9"/>
      <c r="E54" s="9"/>
      <c r="F54" s="38"/>
      <c r="G54" s="38"/>
      <c r="H54" s="42"/>
      <c r="I54" s="9"/>
      <c r="J54" s="42"/>
      <c r="K54" s="38"/>
      <c r="L54" s="9"/>
      <c r="M54" s="42"/>
      <c r="N54" s="42"/>
      <c r="O54" s="38"/>
      <c r="P54" s="9"/>
      <c r="Q54" s="9"/>
      <c r="R54" s="39"/>
      <c r="S54" s="39"/>
      <c r="T54" s="38"/>
      <c r="U54" s="38"/>
      <c r="V54" s="38"/>
      <c r="W54" s="9"/>
      <c r="X54" s="9"/>
      <c r="Y54" s="38"/>
      <c r="Z54" s="9"/>
      <c r="AA54" s="9"/>
      <c r="AB54" s="38"/>
      <c r="AC54" s="9"/>
      <c r="AD54" s="39"/>
      <c r="AE54" s="9"/>
      <c r="AF54" s="9"/>
      <c r="AG54" s="9"/>
      <c r="AH54" s="9"/>
      <c r="AI54" s="9"/>
      <c r="AJ54" s="9"/>
      <c r="AK54" s="9"/>
      <c r="AL54" s="10" t="str">
        <f aca="false">IF(A54="","",SG_Criteria!$B$6&amp;SG_Criteria!$B$11&amp;"\"&amp;A54&amp;"\")</f>
        <v/>
      </c>
      <c r="AM54" s="10" t="str">
        <f aca="false">IF(A54="","",A54&amp;"_CAD.dwg")</f>
        <v/>
      </c>
      <c r="AN54" s="10" t="str">
        <f aca="false">IF(A54="","",A54&amp;"_DWG.pdf")</f>
        <v/>
      </c>
      <c r="AO54" s="10" t="str">
        <f aca="false">IF(A54="","",IF(AK54="Y",A54&amp;"_STAAD.std","n/a"))</f>
        <v/>
      </c>
      <c r="AP54" s="10" t="str">
        <f aca="false">IF(A54="","",A54&amp;"_CALC.xlsx")</f>
        <v/>
      </c>
      <c r="AQ54" s="10" t="str">
        <f aca="false">IF(A54="","",A54&amp;"_CALC.pdf")</f>
        <v/>
      </c>
      <c r="AR54" s="9"/>
      <c r="AS54" s="9"/>
      <c r="AT54" s="39"/>
      <c r="AU54" s="39"/>
      <c r="AV54" s="39"/>
      <c r="AW54" s="39"/>
      <c r="AX54" s="39"/>
      <c r="AY54" s="12" t="str">
        <f aca="false">IF(A54="","",IF(COUNTIF(Rebar_Schedule!$A$5:$A$2004,A54)=0,"",ROUND(SUMIF(Rebar_Schedule!$A$5:$A$2004,A54,Rebar_Schedule!$K$5:$K$2004),1)))</f>
        <v/>
      </c>
      <c r="AZ54" s="33" t="str">
        <f aca="false">IF(A54="","",IF(AY54="","No rebar schedule yet",IF(ABS(AY54-N(AU54))/MAX(N(AU54),1)&gt;SG_Criteria!$B$55,"NOTE: register rebar differs from schedule by "&amp;TEXT(ABS(AY54-N(AU54))/MAX(N(AU54),1),"0%"),"OK")))</f>
        <v/>
      </c>
      <c r="BA54" s="33" t="str">
        <f aca="false">IF(OR(D54="",H54=""),"",IF(H54&lt;=IF(OR(D54="Soldier Pile &amp; Timber Lagging",D54="Trench Shoring Box",D54="Open Cut (battered)"),SG_Criteria!$B$34,SG_Criteria!$B$33),"No ERSS submission",IF(H54&lt;=SG_Criteria!$B$35,"QP(ST)",IF(H54&lt;=SG_Criteria!$B$36,"QP(ST) + AC","Geotechnical building works: QP(Geo) + AC"))))</f>
        <v/>
      </c>
      <c r="BB54" s="33" t="str">
        <f aca="false">IF(D54="","",IF(LEN(IF(AND(R54&lt;&gt;"",R54&lt;SG_Criteria!$B$37),"FAIL: base stability FOS &lt; "&amp;SG_Criteria!$B$37&amp;". ","")&amp;IF(AND(E54="Manhole",H54&gt;SG_Criteria!$B$36),"NOTE: BCA lists sewer manholes (pipe &lt;= 2 m dia) &gt; 6 m as non-GBW: QP(ST) + AC. ","")&amp;IF(AND(D54="Trench Shoring Box",I54="Kallang Formation (marine clay)"),"NOTE: check base heave / ground loss for shoring box in marine clay. ","")&amp;IF(AND(D54="Steel Sheet Pile Cofferdam",N(N54)&lt;H54*0.5),"NOTE: short toe embedment, check. ",""))=0,"OK",IF(AND(R54&lt;&gt;"",R54&lt;SG_Criteria!$B$37),"FAIL: base stability FOS &lt; "&amp;SG_Criteria!$B$37&amp;". ","")&amp;IF(AND(E54="Manhole",H54&gt;SG_Criteria!$B$36),"NOTE: BCA lists sewer manholes (pipe &lt;= 2 m dia) &gt; 6 m as non-GBW: QP(ST) + AC. ","")&amp;IF(AND(D54="Trench Shoring Box",I54="Kallang Formation (marine clay)"),"NOTE: check base heave / ground loss for shoring box in marine clay. ","")&amp;IF(AND(D54="Steel Sheet Pile Cofferdam",N(N54)&lt;H54*0.5),"NOTE: short toe embedment, check. ","")))</f>
        <v/>
      </c>
      <c r="BC54" s="9"/>
      <c r="BD54" s="9"/>
      <c r="BE54" s="9"/>
      <c r="BF54" s="10" t="str">
        <f aca="false">IF(BE54="","",IFERROR(VLOOKUP(BE54,Projects!$A$5:$D$504,2,0),"Ref not in Projects"))</f>
        <v/>
      </c>
      <c r="BG54" s="10" t="str">
        <f aca="false">IF(BE54="","",IFERROR(VLOOKUP(BE54,Projects!$A$5:$D$504,4,0),"Ref not in Projects"))</f>
        <v/>
      </c>
      <c r="BH54" s="9"/>
      <c r="BI54" s="9"/>
      <c r="BJ54" s="9"/>
      <c r="BK54" s="40"/>
      <c r="BL54" s="9"/>
      <c r="BM54" s="40"/>
      <c r="BN54" s="9"/>
      <c r="BO54" s="40"/>
      <c r="BP54" s="9"/>
      <c r="BQ54" s="9"/>
      <c r="BR54" s="9"/>
      <c r="BS54" s="40"/>
      <c r="BT54" s="40"/>
      <c r="BU54" s="36" t="str">
        <f aca="false">IF(BT54="","",EDATE(BT54,SG_Criteria!$B$54*12))</f>
        <v/>
      </c>
      <c r="BV54" s="33" t="str">
        <f aca="true">IF(A54="","",IF(BT54="","NOTE: not reviewed yet",IF(TODAY()&gt;BU54,"NOTE: review overdue","OK")))</f>
        <v/>
      </c>
      <c r="BW54" s="37" t="str">
        <f aca="false">IF(A54="","",ROUND((IF(LEN(D54)&gt;0,1,0)+IF(LEN(E54)&gt;0,1,0)+IF(LEN(F54)&gt;0,1,0)+IF(LEN(G54)&gt;0,1,0)+IF(LEN(H54)&gt;0,1,0)+IF(LEN(I54)&gt;0,1,0)+IF(LEN(J54)&gt;0,1,0)+IF(LEN(L54)&gt;0,1,0)+IF(LEN(R54)&gt;0,1,0)+IF(LEN(Y54)&gt;0,1,0)+IF(LEN(AE54)&gt;0,1,0)+IF(LEN(AG54)&gt;0,1,0)+IF(LEN(AH54)&gt;0,1,0)+IF(LEN(AI54)&gt;0,1,0)+IF(LEN(AJ54)&gt;0,1,0)+IF(LEN(AS54)&gt;0,1,0)+IF(LEN(BE54)&gt;0,1,0)+IF(LEN(BR54)&gt;0,1,0))/18,2))</f>
        <v/>
      </c>
      <c r="BX54" s="10" t="str">
        <f aca="false">IF(D54="","",IF(AND(AH54="Approved",ISERROR(SEARCH("FAIL",BB54))),"Y","N"))</f>
        <v/>
      </c>
      <c r="BY54" s="10" t="str">
        <f aca="false">IF(D54="","",D54&amp;"|"&amp;H54&amp;"|"&amp;F54&amp;"|"&amp;I54&amp;"|"&amp;BX54)</f>
        <v/>
      </c>
    </row>
    <row r="55" customFormat="false" ht="15" hidden="false" customHeight="false" outlineLevel="0" collapsed="false">
      <c r="A55" s="10" t="str">
        <f aca="false">IF(D55="","","ERSS-"&amp;IFERROR(VLOOKUP(D55,Lists!$AK$4:$AL$21,2,0),"??")&amp;"-"&amp;TEXT(F55,"0000")&amp;"x"&amp;TEXT(G55,"0000")&amp;"-D"&amp;TEXT(H55*1000,"0000")&amp;"-"&amp;IFERROR(VLOOKUP(I55,Lists!$Y$4:$Z$21,2,0),"??")&amp;"-"&amp;AG55)</f>
        <v/>
      </c>
      <c r="B55" s="10" t="str">
        <f aca="false">IF(D55="","",D55&amp;" for "&amp;E55&amp;", "&amp;F55&amp;" x "&amp;G55&amp;" pit, "&amp;TEXT(H55,"0.0")&amp;" m deep, "&amp;I55)</f>
        <v/>
      </c>
      <c r="C55" s="9"/>
      <c r="D55" s="9"/>
      <c r="E55" s="9"/>
      <c r="F55" s="38"/>
      <c r="G55" s="38"/>
      <c r="H55" s="42"/>
      <c r="I55" s="9"/>
      <c r="J55" s="42"/>
      <c r="K55" s="38"/>
      <c r="L55" s="9"/>
      <c r="M55" s="42"/>
      <c r="N55" s="42"/>
      <c r="O55" s="38"/>
      <c r="P55" s="9"/>
      <c r="Q55" s="9"/>
      <c r="R55" s="39"/>
      <c r="S55" s="39"/>
      <c r="T55" s="38"/>
      <c r="U55" s="38"/>
      <c r="V55" s="38"/>
      <c r="W55" s="9"/>
      <c r="X55" s="9"/>
      <c r="Y55" s="38"/>
      <c r="Z55" s="9"/>
      <c r="AA55" s="9"/>
      <c r="AB55" s="38"/>
      <c r="AC55" s="9"/>
      <c r="AD55" s="39"/>
      <c r="AE55" s="9"/>
      <c r="AF55" s="9"/>
      <c r="AG55" s="9"/>
      <c r="AH55" s="9"/>
      <c r="AI55" s="9"/>
      <c r="AJ55" s="9"/>
      <c r="AK55" s="9"/>
      <c r="AL55" s="10" t="str">
        <f aca="false">IF(A55="","",SG_Criteria!$B$6&amp;SG_Criteria!$B$11&amp;"\"&amp;A55&amp;"\")</f>
        <v/>
      </c>
      <c r="AM55" s="10" t="str">
        <f aca="false">IF(A55="","",A55&amp;"_CAD.dwg")</f>
        <v/>
      </c>
      <c r="AN55" s="10" t="str">
        <f aca="false">IF(A55="","",A55&amp;"_DWG.pdf")</f>
        <v/>
      </c>
      <c r="AO55" s="10" t="str">
        <f aca="false">IF(A55="","",IF(AK55="Y",A55&amp;"_STAAD.std","n/a"))</f>
        <v/>
      </c>
      <c r="AP55" s="10" t="str">
        <f aca="false">IF(A55="","",A55&amp;"_CALC.xlsx")</f>
        <v/>
      </c>
      <c r="AQ55" s="10" t="str">
        <f aca="false">IF(A55="","",A55&amp;"_CALC.pdf")</f>
        <v/>
      </c>
      <c r="AR55" s="9"/>
      <c r="AS55" s="9"/>
      <c r="AT55" s="39"/>
      <c r="AU55" s="39"/>
      <c r="AV55" s="39"/>
      <c r="AW55" s="39"/>
      <c r="AX55" s="39"/>
      <c r="AY55" s="12" t="str">
        <f aca="false">IF(A55="","",IF(COUNTIF(Rebar_Schedule!$A$5:$A$2004,A55)=0,"",ROUND(SUMIF(Rebar_Schedule!$A$5:$A$2004,A55,Rebar_Schedule!$K$5:$K$2004),1)))</f>
        <v/>
      </c>
      <c r="AZ55" s="33" t="str">
        <f aca="false">IF(A55="","",IF(AY55="","No rebar schedule yet",IF(ABS(AY55-N(AU55))/MAX(N(AU55),1)&gt;SG_Criteria!$B$55,"NOTE: register rebar differs from schedule by "&amp;TEXT(ABS(AY55-N(AU55))/MAX(N(AU55),1),"0%"),"OK")))</f>
        <v/>
      </c>
      <c r="BA55" s="33" t="str">
        <f aca="false">IF(OR(D55="",H55=""),"",IF(H55&lt;=IF(OR(D55="Soldier Pile &amp; Timber Lagging",D55="Trench Shoring Box",D55="Open Cut (battered)"),SG_Criteria!$B$34,SG_Criteria!$B$33),"No ERSS submission",IF(H55&lt;=SG_Criteria!$B$35,"QP(ST)",IF(H55&lt;=SG_Criteria!$B$36,"QP(ST) + AC","Geotechnical building works: QP(Geo) + AC"))))</f>
        <v/>
      </c>
      <c r="BB55" s="33" t="str">
        <f aca="false">IF(D55="","",IF(LEN(IF(AND(R55&lt;&gt;"",R55&lt;SG_Criteria!$B$37),"FAIL: base stability FOS &lt; "&amp;SG_Criteria!$B$37&amp;". ","")&amp;IF(AND(E55="Manhole",H55&gt;SG_Criteria!$B$36),"NOTE: BCA lists sewer manholes (pipe &lt;= 2 m dia) &gt; 6 m as non-GBW: QP(ST) + AC. ","")&amp;IF(AND(D55="Trench Shoring Box",I55="Kallang Formation (marine clay)"),"NOTE: check base heave / ground loss for shoring box in marine clay. ","")&amp;IF(AND(D55="Steel Sheet Pile Cofferdam",N(N55)&lt;H55*0.5),"NOTE: short toe embedment, check. ",""))=0,"OK",IF(AND(R55&lt;&gt;"",R55&lt;SG_Criteria!$B$37),"FAIL: base stability FOS &lt; "&amp;SG_Criteria!$B$37&amp;". ","")&amp;IF(AND(E55="Manhole",H55&gt;SG_Criteria!$B$36),"NOTE: BCA lists sewer manholes (pipe &lt;= 2 m dia) &gt; 6 m as non-GBW: QP(ST) + AC. ","")&amp;IF(AND(D55="Trench Shoring Box",I55="Kallang Formation (marine clay)"),"NOTE: check base heave / ground loss for shoring box in marine clay. ","")&amp;IF(AND(D55="Steel Sheet Pile Cofferdam",N(N55)&lt;H55*0.5),"NOTE: short toe embedment, check. ","")))</f>
        <v/>
      </c>
      <c r="BC55" s="9"/>
      <c r="BD55" s="9"/>
      <c r="BE55" s="9"/>
      <c r="BF55" s="10" t="str">
        <f aca="false">IF(BE55="","",IFERROR(VLOOKUP(BE55,Projects!$A$5:$D$504,2,0),"Ref not in Projects"))</f>
        <v/>
      </c>
      <c r="BG55" s="10" t="str">
        <f aca="false">IF(BE55="","",IFERROR(VLOOKUP(BE55,Projects!$A$5:$D$504,4,0),"Ref not in Projects"))</f>
        <v/>
      </c>
      <c r="BH55" s="9"/>
      <c r="BI55" s="9"/>
      <c r="BJ55" s="9"/>
      <c r="BK55" s="40"/>
      <c r="BL55" s="9"/>
      <c r="BM55" s="40"/>
      <c r="BN55" s="9"/>
      <c r="BO55" s="40"/>
      <c r="BP55" s="9"/>
      <c r="BQ55" s="9"/>
      <c r="BR55" s="9"/>
      <c r="BS55" s="40"/>
      <c r="BT55" s="40"/>
      <c r="BU55" s="36" t="str">
        <f aca="false">IF(BT55="","",EDATE(BT55,SG_Criteria!$B$54*12))</f>
        <v/>
      </c>
      <c r="BV55" s="33" t="str">
        <f aca="true">IF(A55="","",IF(BT55="","NOTE: not reviewed yet",IF(TODAY()&gt;BU55,"NOTE: review overdue","OK")))</f>
        <v/>
      </c>
      <c r="BW55" s="37" t="str">
        <f aca="false">IF(A55="","",ROUND((IF(LEN(D55)&gt;0,1,0)+IF(LEN(E55)&gt;0,1,0)+IF(LEN(F55)&gt;0,1,0)+IF(LEN(G55)&gt;0,1,0)+IF(LEN(H55)&gt;0,1,0)+IF(LEN(I55)&gt;0,1,0)+IF(LEN(J55)&gt;0,1,0)+IF(LEN(L55)&gt;0,1,0)+IF(LEN(R55)&gt;0,1,0)+IF(LEN(Y55)&gt;0,1,0)+IF(LEN(AE55)&gt;0,1,0)+IF(LEN(AG55)&gt;0,1,0)+IF(LEN(AH55)&gt;0,1,0)+IF(LEN(AI55)&gt;0,1,0)+IF(LEN(AJ55)&gt;0,1,0)+IF(LEN(AS55)&gt;0,1,0)+IF(LEN(BE55)&gt;0,1,0)+IF(LEN(BR55)&gt;0,1,0))/18,2))</f>
        <v/>
      </c>
      <c r="BX55" s="10" t="str">
        <f aca="false">IF(D55="","",IF(AND(AH55="Approved",ISERROR(SEARCH("FAIL",BB55))),"Y","N"))</f>
        <v/>
      </c>
      <c r="BY55" s="10" t="str">
        <f aca="false">IF(D55="","",D55&amp;"|"&amp;H55&amp;"|"&amp;F55&amp;"|"&amp;I55&amp;"|"&amp;BX55)</f>
        <v/>
      </c>
    </row>
    <row r="56" customFormat="false" ht="15" hidden="false" customHeight="false" outlineLevel="0" collapsed="false">
      <c r="A56" s="10" t="str">
        <f aca="false">IF(D56="","","ERSS-"&amp;IFERROR(VLOOKUP(D56,Lists!$AK$4:$AL$21,2,0),"??")&amp;"-"&amp;TEXT(F56,"0000")&amp;"x"&amp;TEXT(G56,"0000")&amp;"-D"&amp;TEXT(H56*1000,"0000")&amp;"-"&amp;IFERROR(VLOOKUP(I56,Lists!$Y$4:$Z$21,2,0),"??")&amp;"-"&amp;AG56)</f>
        <v/>
      </c>
      <c r="B56" s="10" t="str">
        <f aca="false">IF(D56="","",D56&amp;" for "&amp;E56&amp;", "&amp;F56&amp;" x "&amp;G56&amp;" pit, "&amp;TEXT(H56,"0.0")&amp;" m deep, "&amp;I56)</f>
        <v/>
      </c>
      <c r="C56" s="9"/>
      <c r="D56" s="9"/>
      <c r="E56" s="9"/>
      <c r="F56" s="38"/>
      <c r="G56" s="38"/>
      <c r="H56" s="42"/>
      <c r="I56" s="9"/>
      <c r="J56" s="42"/>
      <c r="K56" s="38"/>
      <c r="L56" s="9"/>
      <c r="M56" s="42"/>
      <c r="N56" s="42"/>
      <c r="O56" s="38"/>
      <c r="P56" s="9"/>
      <c r="Q56" s="9"/>
      <c r="R56" s="39"/>
      <c r="S56" s="39"/>
      <c r="T56" s="38"/>
      <c r="U56" s="38"/>
      <c r="V56" s="38"/>
      <c r="W56" s="9"/>
      <c r="X56" s="9"/>
      <c r="Y56" s="38"/>
      <c r="Z56" s="9"/>
      <c r="AA56" s="9"/>
      <c r="AB56" s="38"/>
      <c r="AC56" s="9"/>
      <c r="AD56" s="39"/>
      <c r="AE56" s="9"/>
      <c r="AF56" s="9"/>
      <c r="AG56" s="9"/>
      <c r="AH56" s="9"/>
      <c r="AI56" s="9"/>
      <c r="AJ56" s="9"/>
      <c r="AK56" s="9"/>
      <c r="AL56" s="10" t="str">
        <f aca="false">IF(A56="","",SG_Criteria!$B$6&amp;SG_Criteria!$B$11&amp;"\"&amp;A56&amp;"\")</f>
        <v/>
      </c>
      <c r="AM56" s="10" t="str">
        <f aca="false">IF(A56="","",A56&amp;"_CAD.dwg")</f>
        <v/>
      </c>
      <c r="AN56" s="10" t="str">
        <f aca="false">IF(A56="","",A56&amp;"_DWG.pdf")</f>
        <v/>
      </c>
      <c r="AO56" s="10" t="str">
        <f aca="false">IF(A56="","",IF(AK56="Y",A56&amp;"_STAAD.std","n/a"))</f>
        <v/>
      </c>
      <c r="AP56" s="10" t="str">
        <f aca="false">IF(A56="","",A56&amp;"_CALC.xlsx")</f>
        <v/>
      </c>
      <c r="AQ56" s="10" t="str">
        <f aca="false">IF(A56="","",A56&amp;"_CALC.pdf")</f>
        <v/>
      </c>
      <c r="AR56" s="9"/>
      <c r="AS56" s="9"/>
      <c r="AT56" s="39"/>
      <c r="AU56" s="39"/>
      <c r="AV56" s="39"/>
      <c r="AW56" s="39"/>
      <c r="AX56" s="39"/>
      <c r="AY56" s="12" t="str">
        <f aca="false">IF(A56="","",IF(COUNTIF(Rebar_Schedule!$A$5:$A$2004,A56)=0,"",ROUND(SUMIF(Rebar_Schedule!$A$5:$A$2004,A56,Rebar_Schedule!$K$5:$K$2004),1)))</f>
        <v/>
      </c>
      <c r="AZ56" s="33" t="str">
        <f aca="false">IF(A56="","",IF(AY56="","No rebar schedule yet",IF(ABS(AY56-N(AU56))/MAX(N(AU56),1)&gt;SG_Criteria!$B$55,"NOTE: register rebar differs from schedule by "&amp;TEXT(ABS(AY56-N(AU56))/MAX(N(AU56),1),"0%"),"OK")))</f>
        <v/>
      </c>
      <c r="BA56" s="33" t="str">
        <f aca="false">IF(OR(D56="",H56=""),"",IF(H56&lt;=IF(OR(D56="Soldier Pile &amp; Timber Lagging",D56="Trench Shoring Box",D56="Open Cut (battered)"),SG_Criteria!$B$34,SG_Criteria!$B$33),"No ERSS submission",IF(H56&lt;=SG_Criteria!$B$35,"QP(ST)",IF(H56&lt;=SG_Criteria!$B$36,"QP(ST) + AC","Geotechnical building works: QP(Geo) + AC"))))</f>
        <v/>
      </c>
      <c r="BB56" s="33" t="str">
        <f aca="false">IF(D56="","",IF(LEN(IF(AND(R56&lt;&gt;"",R56&lt;SG_Criteria!$B$37),"FAIL: base stability FOS &lt; "&amp;SG_Criteria!$B$37&amp;". ","")&amp;IF(AND(E56="Manhole",H56&gt;SG_Criteria!$B$36),"NOTE: BCA lists sewer manholes (pipe &lt;= 2 m dia) &gt; 6 m as non-GBW: QP(ST) + AC. ","")&amp;IF(AND(D56="Trench Shoring Box",I56="Kallang Formation (marine clay)"),"NOTE: check base heave / ground loss for shoring box in marine clay. ","")&amp;IF(AND(D56="Steel Sheet Pile Cofferdam",N(N56)&lt;H56*0.5),"NOTE: short toe embedment, check. ",""))=0,"OK",IF(AND(R56&lt;&gt;"",R56&lt;SG_Criteria!$B$37),"FAIL: base stability FOS &lt; "&amp;SG_Criteria!$B$37&amp;". ","")&amp;IF(AND(E56="Manhole",H56&gt;SG_Criteria!$B$36),"NOTE: BCA lists sewer manholes (pipe &lt;= 2 m dia) &gt; 6 m as non-GBW: QP(ST) + AC. ","")&amp;IF(AND(D56="Trench Shoring Box",I56="Kallang Formation (marine clay)"),"NOTE: check base heave / ground loss for shoring box in marine clay. ","")&amp;IF(AND(D56="Steel Sheet Pile Cofferdam",N(N56)&lt;H56*0.5),"NOTE: short toe embedment, check. ","")))</f>
        <v/>
      </c>
      <c r="BC56" s="9"/>
      <c r="BD56" s="9"/>
      <c r="BE56" s="9"/>
      <c r="BF56" s="10" t="str">
        <f aca="false">IF(BE56="","",IFERROR(VLOOKUP(BE56,Projects!$A$5:$D$504,2,0),"Ref not in Projects"))</f>
        <v/>
      </c>
      <c r="BG56" s="10" t="str">
        <f aca="false">IF(BE56="","",IFERROR(VLOOKUP(BE56,Projects!$A$5:$D$504,4,0),"Ref not in Projects"))</f>
        <v/>
      </c>
      <c r="BH56" s="9"/>
      <c r="BI56" s="9"/>
      <c r="BJ56" s="9"/>
      <c r="BK56" s="40"/>
      <c r="BL56" s="9"/>
      <c r="BM56" s="40"/>
      <c r="BN56" s="9"/>
      <c r="BO56" s="40"/>
      <c r="BP56" s="9"/>
      <c r="BQ56" s="9"/>
      <c r="BR56" s="9"/>
      <c r="BS56" s="40"/>
      <c r="BT56" s="40"/>
      <c r="BU56" s="36" t="str">
        <f aca="false">IF(BT56="","",EDATE(BT56,SG_Criteria!$B$54*12))</f>
        <v/>
      </c>
      <c r="BV56" s="33" t="str">
        <f aca="true">IF(A56="","",IF(BT56="","NOTE: not reviewed yet",IF(TODAY()&gt;BU56,"NOTE: review overdue","OK")))</f>
        <v/>
      </c>
      <c r="BW56" s="37" t="str">
        <f aca="false">IF(A56="","",ROUND((IF(LEN(D56)&gt;0,1,0)+IF(LEN(E56)&gt;0,1,0)+IF(LEN(F56)&gt;0,1,0)+IF(LEN(G56)&gt;0,1,0)+IF(LEN(H56)&gt;0,1,0)+IF(LEN(I56)&gt;0,1,0)+IF(LEN(J56)&gt;0,1,0)+IF(LEN(L56)&gt;0,1,0)+IF(LEN(R56)&gt;0,1,0)+IF(LEN(Y56)&gt;0,1,0)+IF(LEN(AE56)&gt;0,1,0)+IF(LEN(AG56)&gt;0,1,0)+IF(LEN(AH56)&gt;0,1,0)+IF(LEN(AI56)&gt;0,1,0)+IF(LEN(AJ56)&gt;0,1,0)+IF(LEN(AS56)&gt;0,1,0)+IF(LEN(BE56)&gt;0,1,0)+IF(LEN(BR56)&gt;0,1,0))/18,2))</f>
        <v/>
      </c>
      <c r="BX56" s="10" t="str">
        <f aca="false">IF(D56="","",IF(AND(AH56="Approved",ISERROR(SEARCH("FAIL",BB56))),"Y","N"))</f>
        <v/>
      </c>
      <c r="BY56" s="10" t="str">
        <f aca="false">IF(D56="","",D56&amp;"|"&amp;H56&amp;"|"&amp;F56&amp;"|"&amp;I56&amp;"|"&amp;BX56)</f>
        <v/>
      </c>
    </row>
    <row r="57" customFormat="false" ht="15" hidden="false" customHeight="false" outlineLevel="0" collapsed="false">
      <c r="A57" s="10" t="str">
        <f aca="false">IF(D57="","","ERSS-"&amp;IFERROR(VLOOKUP(D57,Lists!$AK$4:$AL$21,2,0),"??")&amp;"-"&amp;TEXT(F57,"0000")&amp;"x"&amp;TEXT(G57,"0000")&amp;"-D"&amp;TEXT(H57*1000,"0000")&amp;"-"&amp;IFERROR(VLOOKUP(I57,Lists!$Y$4:$Z$21,2,0),"??")&amp;"-"&amp;AG57)</f>
        <v/>
      </c>
      <c r="B57" s="10" t="str">
        <f aca="false">IF(D57="","",D57&amp;" for "&amp;E57&amp;", "&amp;F57&amp;" x "&amp;G57&amp;" pit, "&amp;TEXT(H57,"0.0")&amp;" m deep, "&amp;I57)</f>
        <v/>
      </c>
      <c r="C57" s="9"/>
      <c r="D57" s="9"/>
      <c r="E57" s="9"/>
      <c r="F57" s="38"/>
      <c r="G57" s="38"/>
      <c r="H57" s="42"/>
      <c r="I57" s="9"/>
      <c r="J57" s="42"/>
      <c r="K57" s="38"/>
      <c r="L57" s="9"/>
      <c r="M57" s="42"/>
      <c r="N57" s="42"/>
      <c r="O57" s="38"/>
      <c r="P57" s="9"/>
      <c r="Q57" s="9"/>
      <c r="R57" s="39"/>
      <c r="S57" s="39"/>
      <c r="T57" s="38"/>
      <c r="U57" s="38"/>
      <c r="V57" s="38"/>
      <c r="W57" s="9"/>
      <c r="X57" s="9"/>
      <c r="Y57" s="38"/>
      <c r="Z57" s="9"/>
      <c r="AA57" s="9"/>
      <c r="AB57" s="38"/>
      <c r="AC57" s="9"/>
      <c r="AD57" s="39"/>
      <c r="AE57" s="9"/>
      <c r="AF57" s="9"/>
      <c r="AG57" s="9"/>
      <c r="AH57" s="9"/>
      <c r="AI57" s="9"/>
      <c r="AJ57" s="9"/>
      <c r="AK57" s="9"/>
      <c r="AL57" s="10" t="str">
        <f aca="false">IF(A57="","",SG_Criteria!$B$6&amp;SG_Criteria!$B$11&amp;"\"&amp;A57&amp;"\")</f>
        <v/>
      </c>
      <c r="AM57" s="10" t="str">
        <f aca="false">IF(A57="","",A57&amp;"_CAD.dwg")</f>
        <v/>
      </c>
      <c r="AN57" s="10" t="str">
        <f aca="false">IF(A57="","",A57&amp;"_DWG.pdf")</f>
        <v/>
      </c>
      <c r="AO57" s="10" t="str">
        <f aca="false">IF(A57="","",IF(AK57="Y",A57&amp;"_STAAD.std","n/a"))</f>
        <v/>
      </c>
      <c r="AP57" s="10" t="str">
        <f aca="false">IF(A57="","",A57&amp;"_CALC.xlsx")</f>
        <v/>
      </c>
      <c r="AQ57" s="10" t="str">
        <f aca="false">IF(A57="","",A57&amp;"_CALC.pdf")</f>
        <v/>
      </c>
      <c r="AR57" s="9"/>
      <c r="AS57" s="9"/>
      <c r="AT57" s="39"/>
      <c r="AU57" s="39"/>
      <c r="AV57" s="39"/>
      <c r="AW57" s="39"/>
      <c r="AX57" s="39"/>
      <c r="AY57" s="12" t="str">
        <f aca="false">IF(A57="","",IF(COUNTIF(Rebar_Schedule!$A$5:$A$2004,A57)=0,"",ROUND(SUMIF(Rebar_Schedule!$A$5:$A$2004,A57,Rebar_Schedule!$K$5:$K$2004),1)))</f>
        <v/>
      </c>
      <c r="AZ57" s="33" t="str">
        <f aca="false">IF(A57="","",IF(AY57="","No rebar schedule yet",IF(ABS(AY57-N(AU57))/MAX(N(AU57),1)&gt;SG_Criteria!$B$55,"NOTE: register rebar differs from schedule by "&amp;TEXT(ABS(AY57-N(AU57))/MAX(N(AU57),1),"0%"),"OK")))</f>
        <v/>
      </c>
      <c r="BA57" s="33" t="str">
        <f aca="false">IF(OR(D57="",H57=""),"",IF(H57&lt;=IF(OR(D57="Soldier Pile &amp; Timber Lagging",D57="Trench Shoring Box",D57="Open Cut (battered)"),SG_Criteria!$B$34,SG_Criteria!$B$33),"No ERSS submission",IF(H57&lt;=SG_Criteria!$B$35,"QP(ST)",IF(H57&lt;=SG_Criteria!$B$36,"QP(ST) + AC","Geotechnical building works: QP(Geo) + AC"))))</f>
        <v/>
      </c>
      <c r="BB57" s="33" t="str">
        <f aca="false">IF(D57="","",IF(LEN(IF(AND(R57&lt;&gt;"",R57&lt;SG_Criteria!$B$37),"FAIL: base stability FOS &lt; "&amp;SG_Criteria!$B$37&amp;". ","")&amp;IF(AND(E57="Manhole",H57&gt;SG_Criteria!$B$36),"NOTE: BCA lists sewer manholes (pipe &lt;= 2 m dia) &gt; 6 m as non-GBW: QP(ST) + AC. ","")&amp;IF(AND(D57="Trench Shoring Box",I57="Kallang Formation (marine clay)"),"NOTE: check base heave / ground loss for shoring box in marine clay. ","")&amp;IF(AND(D57="Steel Sheet Pile Cofferdam",N(N57)&lt;H57*0.5),"NOTE: short toe embedment, check. ",""))=0,"OK",IF(AND(R57&lt;&gt;"",R57&lt;SG_Criteria!$B$37),"FAIL: base stability FOS &lt; "&amp;SG_Criteria!$B$37&amp;". ","")&amp;IF(AND(E57="Manhole",H57&gt;SG_Criteria!$B$36),"NOTE: BCA lists sewer manholes (pipe &lt;= 2 m dia) &gt; 6 m as non-GBW: QP(ST) + AC. ","")&amp;IF(AND(D57="Trench Shoring Box",I57="Kallang Formation (marine clay)"),"NOTE: check base heave / ground loss for shoring box in marine clay. ","")&amp;IF(AND(D57="Steel Sheet Pile Cofferdam",N(N57)&lt;H57*0.5),"NOTE: short toe embedment, check. ","")))</f>
        <v/>
      </c>
      <c r="BC57" s="9"/>
      <c r="BD57" s="9"/>
      <c r="BE57" s="9"/>
      <c r="BF57" s="10" t="str">
        <f aca="false">IF(BE57="","",IFERROR(VLOOKUP(BE57,Projects!$A$5:$D$504,2,0),"Ref not in Projects"))</f>
        <v/>
      </c>
      <c r="BG57" s="10" t="str">
        <f aca="false">IF(BE57="","",IFERROR(VLOOKUP(BE57,Projects!$A$5:$D$504,4,0),"Ref not in Projects"))</f>
        <v/>
      </c>
      <c r="BH57" s="9"/>
      <c r="BI57" s="9"/>
      <c r="BJ57" s="9"/>
      <c r="BK57" s="40"/>
      <c r="BL57" s="9"/>
      <c r="BM57" s="40"/>
      <c r="BN57" s="9"/>
      <c r="BO57" s="40"/>
      <c r="BP57" s="9"/>
      <c r="BQ57" s="9"/>
      <c r="BR57" s="9"/>
      <c r="BS57" s="40"/>
      <c r="BT57" s="40"/>
      <c r="BU57" s="36" t="str">
        <f aca="false">IF(BT57="","",EDATE(BT57,SG_Criteria!$B$54*12))</f>
        <v/>
      </c>
      <c r="BV57" s="33" t="str">
        <f aca="true">IF(A57="","",IF(BT57="","NOTE: not reviewed yet",IF(TODAY()&gt;BU57,"NOTE: review overdue","OK")))</f>
        <v/>
      </c>
      <c r="BW57" s="37" t="str">
        <f aca="false">IF(A57="","",ROUND((IF(LEN(D57)&gt;0,1,0)+IF(LEN(E57)&gt;0,1,0)+IF(LEN(F57)&gt;0,1,0)+IF(LEN(G57)&gt;0,1,0)+IF(LEN(H57)&gt;0,1,0)+IF(LEN(I57)&gt;0,1,0)+IF(LEN(J57)&gt;0,1,0)+IF(LEN(L57)&gt;0,1,0)+IF(LEN(R57)&gt;0,1,0)+IF(LEN(Y57)&gt;0,1,0)+IF(LEN(AE57)&gt;0,1,0)+IF(LEN(AG57)&gt;0,1,0)+IF(LEN(AH57)&gt;0,1,0)+IF(LEN(AI57)&gt;0,1,0)+IF(LEN(AJ57)&gt;0,1,0)+IF(LEN(AS57)&gt;0,1,0)+IF(LEN(BE57)&gt;0,1,0)+IF(LEN(BR57)&gt;0,1,0))/18,2))</f>
        <v/>
      </c>
      <c r="BX57" s="10" t="str">
        <f aca="false">IF(D57="","",IF(AND(AH57="Approved",ISERROR(SEARCH("FAIL",BB57))),"Y","N"))</f>
        <v/>
      </c>
      <c r="BY57" s="10" t="str">
        <f aca="false">IF(D57="","",D57&amp;"|"&amp;H57&amp;"|"&amp;F57&amp;"|"&amp;I57&amp;"|"&amp;BX57)</f>
        <v/>
      </c>
    </row>
    <row r="58" customFormat="false" ht="15" hidden="false" customHeight="false" outlineLevel="0" collapsed="false">
      <c r="A58" s="10" t="str">
        <f aca="false">IF(D58="","","ERSS-"&amp;IFERROR(VLOOKUP(D58,Lists!$AK$4:$AL$21,2,0),"??")&amp;"-"&amp;TEXT(F58,"0000")&amp;"x"&amp;TEXT(G58,"0000")&amp;"-D"&amp;TEXT(H58*1000,"0000")&amp;"-"&amp;IFERROR(VLOOKUP(I58,Lists!$Y$4:$Z$21,2,0),"??")&amp;"-"&amp;AG58)</f>
        <v/>
      </c>
      <c r="B58" s="10" t="str">
        <f aca="false">IF(D58="","",D58&amp;" for "&amp;E58&amp;", "&amp;F58&amp;" x "&amp;G58&amp;" pit, "&amp;TEXT(H58,"0.0")&amp;" m deep, "&amp;I58)</f>
        <v/>
      </c>
      <c r="C58" s="9"/>
      <c r="D58" s="9"/>
      <c r="E58" s="9"/>
      <c r="F58" s="38"/>
      <c r="G58" s="38"/>
      <c r="H58" s="42"/>
      <c r="I58" s="9"/>
      <c r="J58" s="42"/>
      <c r="K58" s="38"/>
      <c r="L58" s="9"/>
      <c r="M58" s="42"/>
      <c r="N58" s="42"/>
      <c r="O58" s="38"/>
      <c r="P58" s="9"/>
      <c r="Q58" s="9"/>
      <c r="R58" s="39"/>
      <c r="S58" s="39"/>
      <c r="T58" s="38"/>
      <c r="U58" s="38"/>
      <c r="V58" s="38"/>
      <c r="W58" s="9"/>
      <c r="X58" s="9"/>
      <c r="Y58" s="38"/>
      <c r="Z58" s="9"/>
      <c r="AA58" s="9"/>
      <c r="AB58" s="38"/>
      <c r="AC58" s="9"/>
      <c r="AD58" s="39"/>
      <c r="AE58" s="9"/>
      <c r="AF58" s="9"/>
      <c r="AG58" s="9"/>
      <c r="AH58" s="9"/>
      <c r="AI58" s="9"/>
      <c r="AJ58" s="9"/>
      <c r="AK58" s="9"/>
      <c r="AL58" s="10" t="str">
        <f aca="false">IF(A58="","",SG_Criteria!$B$6&amp;SG_Criteria!$B$11&amp;"\"&amp;A58&amp;"\")</f>
        <v/>
      </c>
      <c r="AM58" s="10" t="str">
        <f aca="false">IF(A58="","",A58&amp;"_CAD.dwg")</f>
        <v/>
      </c>
      <c r="AN58" s="10" t="str">
        <f aca="false">IF(A58="","",A58&amp;"_DWG.pdf")</f>
        <v/>
      </c>
      <c r="AO58" s="10" t="str">
        <f aca="false">IF(A58="","",IF(AK58="Y",A58&amp;"_STAAD.std","n/a"))</f>
        <v/>
      </c>
      <c r="AP58" s="10" t="str">
        <f aca="false">IF(A58="","",A58&amp;"_CALC.xlsx")</f>
        <v/>
      </c>
      <c r="AQ58" s="10" t="str">
        <f aca="false">IF(A58="","",A58&amp;"_CALC.pdf")</f>
        <v/>
      </c>
      <c r="AR58" s="9"/>
      <c r="AS58" s="9"/>
      <c r="AT58" s="39"/>
      <c r="AU58" s="39"/>
      <c r="AV58" s="39"/>
      <c r="AW58" s="39"/>
      <c r="AX58" s="39"/>
      <c r="AY58" s="12" t="str">
        <f aca="false">IF(A58="","",IF(COUNTIF(Rebar_Schedule!$A$5:$A$2004,A58)=0,"",ROUND(SUMIF(Rebar_Schedule!$A$5:$A$2004,A58,Rebar_Schedule!$K$5:$K$2004),1)))</f>
        <v/>
      </c>
      <c r="AZ58" s="33" t="str">
        <f aca="false">IF(A58="","",IF(AY58="","No rebar schedule yet",IF(ABS(AY58-N(AU58))/MAX(N(AU58),1)&gt;SG_Criteria!$B$55,"NOTE: register rebar differs from schedule by "&amp;TEXT(ABS(AY58-N(AU58))/MAX(N(AU58),1),"0%"),"OK")))</f>
        <v/>
      </c>
      <c r="BA58" s="33" t="str">
        <f aca="false">IF(OR(D58="",H58=""),"",IF(H58&lt;=IF(OR(D58="Soldier Pile &amp; Timber Lagging",D58="Trench Shoring Box",D58="Open Cut (battered)"),SG_Criteria!$B$34,SG_Criteria!$B$33),"No ERSS submission",IF(H58&lt;=SG_Criteria!$B$35,"QP(ST)",IF(H58&lt;=SG_Criteria!$B$36,"QP(ST) + AC","Geotechnical building works: QP(Geo) + AC"))))</f>
        <v/>
      </c>
      <c r="BB58" s="33" t="str">
        <f aca="false">IF(D58="","",IF(LEN(IF(AND(R58&lt;&gt;"",R58&lt;SG_Criteria!$B$37),"FAIL: base stability FOS &lt; "&amp;SG_Criteria!$B$37&amp;". ","")&amp;IF(AND(E58="Manhole",H58&gt;SG_Criteria!$B$36),"NOTE: BCA lists sewer manholes (pipe &lt;= 2 m dia) &gt; 6 m as non-GBW: QP(ST) + AC. ","")&amp;IF(AND(D58="Trench Shoring Box",I58="Kallang Formation (marine clay)"),"NOTE: check base heave / ground loss for shoring box in marine clay. ","")&amp;IF(AND(D58="Steel Sheet Pile Cofferdam",N(N58)&lt;H58*0.5),"NOTE: short toe embedment, check. ",""))=0,"OK",IF(AND(R58&lt;&gt;"",R58&lt;SG_Criteria!$B$37),"FAIL: base stability FOS &lt; "&amp;SG_Criteria!$B$37&amp;". ","")&amp;IF(AND(E58="Manhole",H58&gt;SG_Criteria!$B$36),"NOTE: BCA lists sewer manholes (pipe &lt;= 2 m dia) &gt; 6 m as non-GBW: QP(ST) + AC. ","")&amp;IF(AND(D58="Trench Shoring Box",I58="Kallang Formation (marine clay)"),"NOTE: check base heave / ground loss for shoring box in marine clay. ","")&amp;IF(AND(D58="Steel Sheet Pile Cofferdam",N(N58)&lt;H58*0.5),"NOTE: short toe embedment, check. ","")))</f>
        <v/>
      </c>
      <c r="BC58" s="9"/>
      <c r="BD58" s="9"/>
      <c r="BE58" s="9"/>
      <c r="BF58" s="10" t="str">
        <f aca="false">IF(BE58="","",IFERROR(VLOOKUP(BE58,Projects!$A$5:$D$504,2,0),"Ref not in Projects"))</f>
        <v/>
      </c>
      <c r="BG58" s="10" t="str">
        <f aca="false">IF(BE58="","",IFERROR(VLOOKUP(BE58,Projects!$A$5:$D$504,4,0),"Ref not in Projects"))</f>
        <v/>
      </c>
      <c r="BH58" s="9"/>
      <c r="BI58" s="9"/>
      <c r="BJ58" s="9"/>
      <c r="BK58" s="40"/>
      <c r="BL58" s="9"/>
      <c r="BM58" s="40"/>
      <c r="BN58" s="9"/>
      <c r="BO58" s="40"/>
      <c r="BP58" s="9"/>
      <c r="BQ58" s="9"/>
      <c r="BR58" s="9"/>
      <c r="BS58" s="40"/>
      <c r="BT58" s="40"/>
      <c r="BU58" s="36" t="str">
        <f aca="false">IF(BT58="","",EDATE(BT58,SG_Criteria!$B$54*12))</f>
        <v/>
      </c>
      <c r="BV58" s="33" t="str">
        <f aca="true">IF(A58="","",IF(BT58="","NOTE: not reviewed yet",IF(TODAY()&gt;BU58,"NOTE: review overdue","OK")))</f>
        <v/>
      </c>
      <c r="BW58" s="37" t="str">
        <f aca="false">IF(A58="","",ROUND((IF(LEN(D58)&gt;0,1,0)+IF(LEN(E58)&gt;0,1,0)+IF(LEN(F58)&gt;0,1,0)+IF(LEN(G58)&gt;0,1,0)+IF(LEN(H58)&gt;0,1,0)+IF(LEN(I58)&gt;0,1,0)+IF(LEN(J58)&gt;0,1,0)+IF(LEN(L58)&gt;0,1,0)+IF(LEN(R58)&gt;0,1,0)+IF(LEN(Y58)&gt;0,1,0)+IF(LEN(AE58)&gt;0,1,0)+IF(LEN(AG58)&gt;0,1,0)+IF(LEN(AH58)&gt;0,1,0)+IF(LEN(AI58)&gt;0,1,0)+IF(LEN(AJ58)&gt;0,1,0)+IF(LEN(AS58)&gt;0,1,0)+IF(LEN(BE58)&gt;0,1,0)+IF(LEN(BR58)&gt;0,1,0))/18,2))</f>
        <v/>
      </c>
      <c r="BX58" s="10" t="str">
        <f aca="false">IF(D58="","",IF(AND(AH58="Approved",ISERROR(SEARCH("FAIL",BB58))),"Y","N"))</f>
        <v/>
      </c>
      <c r="BY58" s="10" t="str">
        <f aca="false">IF(D58="","",D58&amp;"|"&amp;H58&amp;"|"&amp;F58&amp;"|"&amp;I58&amp;"|"&amp;BX58)</f>
        <v/>
      </c>
    </row>
    <row r="59" customFormat="false" ht="15" hidden="false" customHeight="false" outlineLevel="0" collapsed="false">
      <c r="A59" s="10" t="str">
        <f aca="false">IF(D59="","","ERSS-"&amp;IFERROR(VLOOKUP(D59,Lists!$AK$4:$AL$21,2,0),"??")&amp;"-"&amp;TEXT(F59,"0000")&amp;"x"&amp;TEXT(G59,"0000")&amp;"-D"&amp;TEXT(H59*1000,"0000")&amp;"-"&amp;IFERROR(VLOOKUP(I59,Lists!$Y$4:$Z$21,2,0),"??")&amp;"-"&amp;AG59)</f>
        <v/>
      </c>
      <c r="B59" s="10" t="str">
        <f aca="false">IF(D59="","",D59&amp;" for "&amp;E59&amp;", "&amp;F59&amp;" x "&amp;G59&amp;" pit, "&amp;TEXT(H59,"0.0")&amp;" m deep, "&amp;I59)</f>
        <v/>
      </c>
      <c r="C59" s="9"/>
      <c r="D59" s="9"/>
      <c r="E59" s="9"/>
      <c r="F59" s="38"/>
      <c r="G59" s="38"/>
      <c r="H59" s="42"/>
      <c r="I59" s="9"/>
      <c r="J59" s="42"/>
      <c r="K59" s="38"/>
      <c r="L59" s="9"/>
      <c r="M59" s="42"/>
      <c r="N59" s="42"/>
      <c r="O59" s="38"/>
      <c r="P59" s="9"/>
      <c r="Q59" s="9"/>
      <c r="R59" s="39"/>
      <c r="S59" s="39"/>
      <c r="T59" s="38"/>
      <c r="U59" s="38"/>
      <c r="V59" s="38"/>
      <c r="W59" s="9"/>
      <c r="X59" s="9"/>
      <c r="Y59" s="38"/>
      <c r="Z59" s="9"/>
      <c r="AA59" s="9"/>
      <c r="AB59" s="38"/>
      <c r="AC59" s="9"/>
      <c r="AD59" s="39"/>
      <c r="AE59" s="9"/>
      <c r="AF59" s="9"/>
      <c r="AG59" s="9"/>
      <c r="AH59" s="9"/>
      <c r="AI59" s="9"/>
      <c r="AJ59" s="9"/>
      <c r="AK59" s="9"/>
      <c r="AL59" s="10" t="str">
        <f aca="false">IF(A59="","",SG_Criteria!$B$6&amp;SG_Criteria!$B$11&amp;"\"&amp;A59&amp;"\")</f>
        <v/>
      </c>
      <c r="AM59" s="10" t="str">
        <f aca="false">IF(A59="","",A59&amp;"_CAD.dwg")</f>
        <v/>
      </c>
      <c r="AN59" s="10" t="str">
        <f aca="false">IF(A59="","",A59&amp;"_DWG.pdf")</f>
        <v/>
      </c>
      <c r="AO59" s="10" t="str">
        <f aca="false">IF(A59="","",IF(AK59="Y",A59&amp;"_STAAD.std","n/a"))</f>
        <v/>
      </c>
      <c r="AP59" s="10" t="str">
        <f aca="false">IF(A59="","",A59&amp;"_CALC.xlsx")</f>
        <v/>
      </c>
      <c r="AQ59" s="10" t="str">
        <f aca="false">IF(A59="","",A59&amp;"_CALC.pdf")</f>
        <v/>
      </c>
      <c r="AR59" s="9"/>
      <c r="AS59" s="9"/>
      <c r="AT59" s="39"/>
      <c r="AU59" s="39"/>
      <c r="AV59" s="39"/>
      <c r="AW59" s="39"/>
      <c r="AX59" s="39"/>
      <c r="AY59" s="12" t="str">
        <f aca="false">IF(A59="","",IF(COUNTIF(Rebar_Schedule!$A$5:$A$2004,A59)=0,"",ROUND(SUMIF(Rebar_Schedule!$A$5:$A$2004,A59,Rebar_Schedule!$K$5:$K$2004),1)))</f>
        <v/>
      </c>
      <c r="AZ59" s="33" t="str">
        <f aca="false">IF(A59="","",IF(AY59="","No rebar schedule yet",IF(ABS(AY59-N(AU59))/MAX(N(AU59),1)&gt;SG_Criteria!$B$55,"NOTE: register rebar differs from schedule by "&amp;TEXT(ABS(AY59-N(AU59))/MAX(N(AU59),1),"0%"),"OK")))</f>
        <v/>
      </c>
      <c r="BA59" s="33" t="str">
        <f aca="false">IF(OR(D59="",H59=""),"",IF(H59&lt;=IF(OR(D59="Soldier Pile &amp; Timber Lagging",D59="Trench Shoring Box",D59="Open Cut (battered)"),SG_Criteria!$B$34,SG_Criteria!$B$33),"No ERSS submission",IF(H59&lt;=SG_Criteria!$B$35,"QP(ST)",IF(H59&lt;=SG_Criteria!$B$36,"QP(ST) + AC","Geotechnical building works: QP(Geo) + AC"))))</f>
        <v/>
      </c>
      <c r="BB59" s="33" t="str">
        <f aca="false">IF(D59="","",IF(LEN(IF(AND(R59&lt;&gt;"",R59&lt;SG_Criteria!$B$37),"FAIL: base stability FOS &lt; "&amp;SG_Criteria!$B$37&amp;". ","")&amp;IF(AND(E59="Manhole",H59&gt;SG_Criteria!$B$36),"NOTE: BCA lists sewer manholes (pipe &lt;= 2 m dia) &gt; 6 m as non-GBW: QP(ST) + AC. ","")&amp;IF(AND(D59="Trench Shoring Box",I59="Kallang Formation (marine clay)"),"NOTE: check base heave / ground loss for shoring box in marine clay. ","")&amp;IF(AND(D59="Steel Sheet Pile Cofferdam",N(N59)&lt;H59*0.5),"NOTE: short toe embedment, check. ",""))=0,"OK",IF(AND(R59&lt;&gt;"",R59&lt;SG_Criteria!$B$37),"FAIL: base stability FOS &lt; "&amp;SG_Criteria!$B$37&amp;". ","")&amp;IF(AND(E59="Manhole",H59&gt;SG_Criteria!$B$36),"NOTE: BCA lists sewer manholes (pipe &lt;= 2 m dia) &gt; 6 m as non-GBW: QP(ST) + AC. ","")&amp;IF(AND(D59="Trench Shoring Box",I59="Kallang Formation (marine clay)"),"NOTE: check base heave / ground loss for shoring box in marine clay. ","")&amp;IF(AND(D59="Steel Sheet Pile Cofferdam",N(N59)&lt;H59*0.5),"NOTE: short toe embedment, check. ","")))</f>
        <v/>
      </c>
      <c r="BC59" s="9"/>
      <c r="BD59" s="9"/>
      <c r="BE59" s="9"/>
      <c r="BF59" s="10" t="str">
        <f aca="false">IF(BE59="","",IFERROR(VLOOKUP(BE59,Projects!$A$5:$D$504,2,0),"Ref not in Projects"))</f>
        <v/>
      </c>
      <c r="BG59" s="10" t="str">
        <f aca="false">IF(BE59="","",IFERROR(VLOOKUP(BE59,Projects!$A$5:$D$504,4,0),"Ref not in Projects"))</f>
        <v/>
      </c>
      <c r="BH59" s="9"/>
      <c r="BI59" s="9"/>
      <c r="BJ59" s="9"/>
      <c r="BK59" s="40"/>
      <c r="BL59" s="9"/>
      <c r="BM59" s="40"/>
      <c r="BN59" s="9"/>
      <c r="BO59" s="40"/>
      <c r="BP59" s="9"/>
      <c r="BQ59" s="9"/>
      <c r="BR59" s="9"/>
      <c r="BS59" s="40"/>
      <c r="BT59" s="40"/>
      <c r="BU59" s="36" t="str">
        <f aca="false">IF(BT59="","",EDATE(BT59,SG_Criteria!$B$54*12))</f>
        <v/>
      </c>
      <c r="BV59" s="33" t="str">
        <f aca="true">IF(A59="","",IF(BT59="","NOTE: not reviewed yet",IF(TODAY()&gt;BU59,"NOTE: review overdue","OK")))</f>
        <v/>
      </c>
      <c r="BW59" s="37" t="str">
        <f aca="false">IF(A59="","",ROUND((IF(LEN(D59)&gt;0,1,0)+IF(LEN(E59)&gt;0,1,0)+IF(LEN(F59)&gt;0,1,0)+IF(LEN(G59)&gt;0,1,0)+IF(LEN(H59)&gt;0,1,0)+IF(LEN(I59)&gt;0,1,0)+IF(LEN(J59)&gt;0,1,0)+IF(LEN(L59)&gt;0,1,0)+IF(LEN(R59)&gt;0,1,0)+IF(LEN(Y59)&gt;0,1,0)+IF(LEN(AE59)&gt;0,1,0)+IF(LEN(AG59)&gt;0,1,0)+IF(LEN(AH59)&gt;0,1,0)+IF(LEN(AI59)&gt;0,1,0)+IF(LEN(AJ59)&gt;0,1,0)+IF(LEN(AS59)&gt;0,1,0)+IF(LEN(BE59)&gt;0,1,0)+IF(LEN(BR59)&gt;0,1,0))/18,2))</f>
        <v/>
      </c>
      <c r="BX59" s="10" t="str">
        <f aca="false">IF(D59="","",IF(AND(AH59="Approved",ISERROR(SEARCH("FAIL",BB59))),"Y","N"))</f>
        <v/>
      </c>
      <c r="BY59" s="10" t="str">
        <f aca="false">IF(D59="","",D59&amp;"|"&amp;H59&amp;"|"&amp;F59&amp;"|"&amp;I59&amp;"|"&amp;BX59)</f>
        <v/>
      </c>
    </row>
    <row r="60" customFormat="false" ht="15" hidden="false" customHeight="false" outlineLevel="0" collapsed="false">
      <c r="A60" s="10" t="str">
        <f aca="false">IF(D60="","","ERSS-"&amp;IFERROR(VLOOKUP(D60,Lists!$AK$4:$AL$21,2,0),"??")&amp;"-"&amp;TEXT(F60,"0000")&amp;"x"&amp;TEXT(G60,"0000")&amp;"-D"&amp;TEXT(H60*1000,"0000")&amp;"-"&amp;IFERROR(VLOOKUP(I60,Lists!$Y$4:$Z$21,2,0),"??")&amp;"-"&amp;AG60)</f>
        <v/>
      </c>
      <c r="B60" s="10" t="str">
        <f aca="false">IF(D60="","",D60&amp;" for "&amp;E60&amp;", "&amp;F60&amp;" x "&amp;G60&amp;" pit, "&amp;TEXT(H60,"0.0")&amp;" m deep, "&amp;I60)</f>
        <v/>
      </c>
      <c r="C60" s="9"/>
      <c r="D60" s="9"/>
      <c r="E60" s="9"/>
      <c r="F60" s="38"/>
      <c r="G60" s="38"/>
      <c r="H60" s="42"/>
      <c r="I60" s="9"/>
      <c r="J60" s="42"/>
      <c r="K60" s="38"/>
      <c r="L60" s="9"/>
      <c r="M60" s="42"/>
      <c r="N60" s="42"/>
      <c r="O60" s="38"/>
      <c r="P60" s="9"/>
      <c r="Q60" s="9"/>
      <c r="R60" s="39"/>
      <c r="S60" s="39"/>
      <c r="T60" s="38"/>
      <c r="U60" s="38"/>
      <c r="V60" s="38"/>
      <c r="W60" s="9"/>
      <c r="X60" s="9"/>
      <c r="Y60" s="38"/>
      <c r="Z60" s="9"/>
      <c r="AA60" s="9"/>
      <c r="AB60" s="38"/>
      <c r="AC60" s="9"/>
      <c r="AD60" s="39"/>
      <c r="AE60" s="9"/>
      <c r="AF60" s="9"/>
      <c r="AG60" s="9"/>
      <c r="AH60" s="9"/>
      <c r="AI60" s="9"/>
      <c r="AJ60" s="9"/>
      <c r="AK60" s="9"/>
      <c r="AL60" s="10" t="str">
        <f aca="false">IF(A60="","",SG_Criteria!$B$6&amp;SG_Criteria!$B$11&amp;"\"&amp;A60&amp;"\")</f>
        <v/>
      </c>
      <c r="AM60" s="10" t="str">
        <f aca="false">IF(A60="","",A60&amp;"_CAD.dwg")</f>
        <v/>
      </c>
      <c r="AN60" s="10" t="str">
        <f aca="false">IF(A60="","",A60&amp;"_DWG.pdf")</f>
        <v/>
      </c>
      <c r="AO60" s="10" t="str">
        <f aca="false">IF(A60="","",IF(AK60="Y",A60&amp;"_STAAD.std","n/a"))</f>
        <v/>
      </c>
      <c r="AP60" s="10" t="str">
        <f aca="false">IF(A60="","",A60&amp;"_CALC.xlsx")</f>
        <v/>
      </c>
      <c r="AQ60" s="10" t="str">
        <f aca="false">IF(A60="","",A60&amp;"_CALC.pdf")</f>
        <v/>
      </c>
      <c r="AR60" s="9"/>
      <c r="AS60" s="9"/>
      <c r="AT60" s="39"/>
      <c r="AU60" s="39"/>
      <c r="AV60" s="39"/>
      <c r="AW60" s="39"/>
      <c r="AX60" s="39"/>
      <c r="AY60" s="12" t="str">
        <f aca="false">IF(A60="","",IF(COUNTIF(Rebar_Schedule!$A$5:$A$2004,A60)=0,"",ROUND(SUMIF(Rebar_Schedule!$A$5:$A$2004,A60,Rebar_Schedule!$K$5:$K$2004),1)))</f>
        <v/>
      </c>
      <c r="AZ60" s="33" t="str">
        <f aca="false">IF(A60="","",IF(AY60="","No rebar schedule yet",IF(ABS(AY60-N(AU60))/MAX(N(AU60),1)&gt;SG_Criteria!$B$55,"NOTE: register rebar differs from schedule by "&amp;TEXT(ABS(AY60-N(AU60))/MAX(N(AU60),1),"0%"),"OK")))</f>
        <v/>
      </c>
      <c r="BA60" s="33" t="str">
        <f aca="false">IF(OR(D60="",H60=""),"",IF(H60&lt;=IF(OR(D60="Soldier Pile &amp; Timber Lagging",D60="Trench Shoring Box",D60="Open Cut (battered)"),SG_Criteria!$B$34,SG_Criteria!$B$33),"No ERSS submission",IF(H60&lt;=SG_Criteria!$B$35,"QP(ST)",IF(H60&lt;=SG_Criteria!$B$36,"QP(ST) + AC","Geotechnical building works: QP(Geo) + AC"))))</f>
        <v/>
      </c>
      <c r="BB60" s="33" t="str">
        <f aca="false">IF(D60="","",IF(LEN(IF(AND(R60&lt;&gt;"",R60&lt;SG_Criteria!$B$37),"FAIL: base stability FOS &lt; "&amp;SG_Criteria!$B$37&amp;". ","")&amp;IF(AND(E60="Manhole",H60&gt;SG_Criteria!$B$36),"NOTE: BCA lists sewer manholes (pipe &lt;= 2 m dia) &gt; 6 m as non-GBW: QP(ST) + AC. ","")&amp;IF(AND(D60="Trench Shoring Box",I60="Kallang Formation (marine clay)"),"NOTE: check base heave / ground loss for shoring box in marine clay. ","")&amp;IF(AND(D60="Steel Sheet Pile Cofferdam",N(N60)&lt;H60*0.5),"NOTE: short toe embedment, check. ",""))=0,"OK",IF(AND(R60&lt;&gt;"",R60&lt;SG_Criteria!$B$37),"FAIL: base stability FOS &lt; "&amp;SG_Criteria!$B$37&amp;". ","")&amp;IF(AND(E60="Manhole",H60&gt;SG_Criteria!$B$36),"NOTE: BCA lists sewer manholes (pipe &lt;= 2 m dia) &gt; 6 m as non-GBW: QP(ST) + AC. ","")&amp;IF(AND(D60="Trench Shoring Box",I60="Kallang Formation (marine clay)"),"NOTE: check base heave / ground loss for shoring box in marine clay. ","")&amp;IF(AND(D60="Steel Sheet Pile Cofferdam",N(N60)&lt;H60*0.5),"NOTE: short toe embedment, check. ","")))</f>
        <v/>
      </c>
      <c r="BC60" s="9"/>
      <c r="BD60" s="9"/>
      <c r="BE60" s="9"/>
      <c r="BF60" s="10" t="str">
        <f aca="false">IF(BE60="","",IFERROR(VLOOKUP(BE60,Projects!$A$5:$D$504,2,0),"Ref not in Projects"))</f>
        <v/>
      </c>
      <c r="BG60" s="10" t="str">
        <f aca="false">IF(BE60="","",IFERROR(VLOOKUP(BE60,Projects!$A$5:$D$504,4,0),"Ref not in Projects"))</f>
        <v/>
      </c>
      <c r="BH60" s="9"/>
      <c r="BI60" s="9"/>
      <c r="BJ60" s="9"/>
      <c r="BK60" s="40"/>
      <c r="BL60" s="9"/>
      <c r="BM60" s="40"/>
      <c r="BN60" s="9"/>
      <c r="BO60" s="40"/>
      <c r="BP60" s="9"/>
      <c r="BQ60" s="9"/>
      <c r="BR60" s="9"/>
      <c r="BS60" s="40"/>
      <c r="BT60" s="40"/>
      <c r="BU60" s="36" t="str">
        <f aca="false">IF(BT60="","",EDATE(BT60,SG_Criteria!$B$54*12))</f>
        <v/>
      </c>
      <c r="BV60" s="33" t="str">
        <f aca="true">IF(A60="","",IF(BT60="","NOTE: not reviewed yet",IF(TODAY()&gt;BU60,"NOTE: review overdue","OK")))</f>
        <v/>
      </c>
      <c r="BW60" s="37" t="str">
        <f aca="false">IF(A60="","",ROUND((IF(LEN(D60)&gt;0,1,0)+IF(LEN(E60)&gt;0,1,0)+IF(LEN(F60)&gt;0,1,0)+IF(LEN(G60)&gt;0,1,0)+IF(LEN(H60)&gt;0,1,0)+IF(LEN(I60)&gt;0,1,0)+IF(LEN(J60)&gt;0,1,0)+IF(LEN(L60)&gt;0,1,0)+IF(LEN(R60)&gt;0,1,0)+IF(LEN(Y60)&gt;0,1,0)+IF(LEN(AE60)&gt;0,1,0)+IF(LEN(AG60)&gt;0,1,0)+IF(LEN(AH60)&gt;0,1,0)+IF(LEN(AI60)&gt;0,1,0)+IF(LEN(AJ60)&gt;0,1,0)+IF(LEN(AS60)&gt;0,1,0)+IF(LEN(BE60)&gt;0,1,0)+IF(LEN(BR60)&gt;0,1,0))/18,2))</f>
        <v/>
      </c>
      <c r="BX60" s="10" t="str">
        <f aca="false">IF(D60="","",IF(AND(AH60="Approved",ISERROR(SEARCH("FAIL",BB60))),"Y","N"))</f>
        <v/>
      </c>
      <c r="BY60" s="10" t="str">
        <f aca="false">IF(D60="","",D60&amp;"|"&amp;H60&amp;"|"&amp;F60&amp;"|"&amp;I60&amp;"|"&amp;BX60)</f>
        <v/>
      </c>
    </row>
    <row r="61" customFormat="false" ht="15" hidden="false" customHeight="false" outlineLevel="0" collapsed="false">
      <c r="A61" s="10" t="str">
        <f aca="false">IF(D61="","","ERSS-"&amp;IFERROR(VLOOKUP(D61,Lists!$AK$4:$AL$21,2,0),"??")&amp;"-"&amp;TEXT(F61,"0000")&amp;"x"&amp;TEXT(G61,"0000")&amp;"-D"&amp;TEXT(H61*1000,"0000")&amp;"-"&amp;IFERROR(VLOOKUP(I61,Lists!$Y$4:$Z$21,2,0),"??")&amp;"-"&amp;AG61)</f>
        <v/>
      </c>
      <c r="B61" s="10" t="str">
        <f aca="false">IF(D61="","",D61&amp;" for "&amp;E61&amp;", "&amp;F61&amp;" x "&amp;G61&amp;" pit, "&amp;TEXT(H61,"0.0")&amp;" m deep, "&amp;I61)</f>
        <v/>
      </c>
      <c r="C61" s="9"/>
      <c r="D61" s="9"/>
      <c r="E61" s="9"/>
      <c r="F61" s="38"/>
      <c r="G61" s="38"/>
      <c r="H61" s="42"/>
      <c r="I61" s="9"/>
      <c r="J61" s="42"/>
      <c r="K61" s="38"/>
      <c r="L61" s="9"/>
      <c r="M61" s="42"/>
      <c r="N61" s="42"/>
      <c r="O61" s="38"/>
      <c r="P61" s="9"/>
      <c r="Q61" s="9"/>
      <c r="R61" s="39"/>
      <c r="S61" s="39"/>
      <c r="T61" s="38"/>
      <c r="U61" s="38"/>
      <c r="V61" s="38"/>
      <c r="W61" s="9"/>
      <c r="X61" s="9"/>
      <c r="Y61" s="38"/>
      <c r="Z61" s="9"/>
      <c r="AA61" s="9"/>
      <c r="AB61" s="38"/>
      <c r="AC61" s="9"/>
      <c r="AD61" s="39"/>
      <c r="AE61" s="9"/>
      <c r="AF61" s="9"/>
      <c r="AG61" s="9"/>
      <c r="AH61" s="9"/>
      <c r="AI61" s="9"/>
      <c r="AJ61" s="9"/>
      <c r="AK61" s="9"/>
      <c r="AL61" s="10" t="str">
        <f aca="false">IF(A61="","",SG_Criteria!$B$6&amp;SG_Criteria!$B$11&amp;"\"&amp;A61&amp;"\")</f>
        <v/>
      </c>
      <c r="AM61" s="10" t="str">
        <f aca="false">IF(A61="","",A61&amp;"_CAD.dwg")</f>
        <v/>
      </c>
      <c r="AN61" s="10" t="str">
        <f aca="false">IF(A61="","",A61&amp;"_DWG.pdf")</f>
        <v/>
      </c>
      <c r="AO61" s="10" t="str">
        <f aca="false">IF(A61="","",IF(AK61="Y",A61&amp;"_STAAD.std","n/a"))</f>
        <v/>
      </c>
      <c r="AP61" s="10" t="str">
        <f aca="false">IF(A61="","",A61&amp;"_CALC.xlsx")</f>
        <v/>
      </c>
      <c r="AQ61" s="10" t="str">
        <f aca="false">IF(A61="","",A61&amp;"_CALC.pdf")</f>
        <v/>
      </c>
      <c r="AR61" s="9"/>
      <c r="AS61" s="9"/>
      <c r="AT61" s="39"/>
      <c r="AU61" s="39"/>
      <c r="AV61" s="39"/>
      <c r="AW61" s="39"/>
      <c r="AX61" s="39"/>
      <c r="AY61" s="12" t="str">
        <f aca="false">IF(A61="","",IF(COUNTIF(Rebar_Schedule!$A$5:$A$2004,A61)=0,"",ROUND(SUMIF(Rebar_Schedule!$A$5:$A$2004,A61,Rebar_Schedule!$K$5:$K$2004),1)))</f>
        <v/>
      </c>
      <c r="AZ61" s="33" t="str">
        <f aca="false">IF(A61="","",IF(AY61="","No rebar schedule yet",IF(ABS(AY61-N(AU61))/MAX(N(AU61),1)&gt;SG_Criteria!$B$55,"NOTE: register rebar differs from schedule by "&amp;TEXT(ABS(AY61-N(AU61))/MAX(N(AU61),1),"0%"),"OK")))</f>
        <v/>
      </c>
      <c r="BA61" s="33" t="str">
        <f aca="false">IF(OR(D61="",H61=""),"",IF(H61&lt;=IF(OR(D61="Soldier Pile &amp; Timber Lagging",D61="Trench Shoring Box",D61="Open Cut (battered)"),SG_Criteria!$B$34,SG_Criteria!$B$33),"No ERSS submission",IF(H61&lt;=SG_Criteria!$B$35,"QP(ST)",IF(H61&lt;=SG_Criteria!$B$36,"QP(ST) + AC","Geotechnical building works: QP(Geo) + AC"))))</f>
        <v/>
      </c>
      <c r="BB61" s="33" t="str">
        <f aca="false">IF(D61="","",IF(LEN(IF(AND(R61&lt;&gt;"",R61&lt;SG_Criteria!$B$37),"FAIL: base stability FOS &lt; "&amp;SG_Criteria!$B$37&amp;". ","")&amp;IF(AND(E61="Manhole",H61&gt;SG_Criteria!$B$36),"NOTE: BCA lists sewer manholes (pipe &lt;= 2 m dia) &gt; 6 m as non-GBW: QP(ST) + AC. ","")&amp;IF(AND(D61="Trench Shoring Box",I61="Kallang Formation (marine clay)"),"NOTE: check base heave / ground loss for shoring box in marine clay. ","")&amp;IF(AND(D61="Steel Sheet Pile Cofferdam",N(N61)&lt;H61*0.5),"NOTE: short toe embedment, check. ",""))=0,"OK",IF(AND(R61&lt;&gt;"",R61&lt;SG_Criteria!$B$37),"FAIL: base stability FOS &lt; "&amp;SG_Criteria!$B$37&amp;". ","")&amp;IF(AND(E61="Manhole",H61&gt;SG_Criteria!$B$36),"NOTE: BCA lists sewer manholes (pipe &lt;= 2 m dia) &gt; 6 m as non-GBW: QP(ST) + AC. ","")&amp;IF(AND(D61="Trench Shoring Box",I61="Kallang Formation (marine clay)"),"NOTE: check base heave / ground loss for shoring box in marine clay. ","")&amp;IF(AND(D61="Steel Sheet Pile Cofferdam",N(N61)&lt;H61*0.5),"NOTE: short toe embedment, check. ","")))</f>
        <v/>
      </c>
      <c r="BC61" s="9"/>
      <c r="BD61" s="9"/>
      <c r="BE61" s="9"/>
      <c r="BF61" s="10" t="str">
        <f aca="false">IF(BE61="","",IFERROR(VLOOKUP(BE61,Projects!$A$5:$D$504,2,0),"Ref not in Projects"))</f>
        <v/>
      </c>
      <c r="BG61" s="10" t="str">
        <f aca="false">IF(BE61="","",IFERROR(VLOOKUP(BE61,Projects!$A$5:$D$504,4,0),"Ref not in Projects"))</f>
        <v/>
      </c>
      <c r="BH61" s="9"/>
      <c r="BI61" s="9"/>
      <c r="BJ61" s="9"/>
      <c r="BK61" s="40"/>
      <c r="BL61" s="9"/>
      <c r="BM61" s="40"/>
      <c r="BN61" s="9"/>
      <c r="BO61" s="40"/>
      <c r="BP61" s="9"/>
      <c r="BQ61" s="9"/>
      <c r="BR61" s="9"/>
      <c r="BS61" s="40"/>
      <c r="BT61" s="40"/>
      <c r="BU61" s="36" t="str">
        <f aca="false">IF(BT61="","",EDATE(BT61,SG_Criteria!$B$54*12))</f>
        <v/>
      </c>
      <c r="BV61" s="33" t="str">
        <f aca="true">IF(A61="","",IF(BT61="","NOTE: not reviewed yet",IF(TODAY()&gt;BU61,"NOTE: review overdue","OK")))</f>
        <v/>
      </c>
      <c r="BW61" s="37" t="str">
        <f aca="false">IF(A61="","",ROUND((IF(LEN(D61)&gt;0,1,0)+IF(LEN(E61)&gt;0,1,0)+IF(LEN(F61)&gt;0,1,0)+IF(LEN(G61)&gt;0,1,0)+IF(LEN(H61)&gt;0,1,0)+IF(LEN(I61)&gt;0,1,0)+IF(LEN(J61)&gt;0,1,0)+IF(LEN(L61)&gt;0,1,0)+IF(LEN(R61)&gt;0,1,0)+IF(LEN(Y61)&gt;0,1,0)+IF(LEN(AE61)&gt;0,1,0)+IF(LEN(AG61)&gt;0,1,0)+IF(LEN(AH61)&gt;0,1,0)+IF(LEN(AI61)&gt;0,1,0)+IF(LEN(AJ61)&gt;0,1,0)+IF(LEN(AS61)&gt;0,1,0)+IF(LEN(BE61)&gt;0,1,0)+IF(LEN(BR61)&gt;0,1,0))/18,2))</f>
        <v/>
      </c>
      <c r="BX61" s="10" t="str">
        <f aca="false">IF(D61="","",IF(AND(AH61="Approved",ISERROR(SEARCH("FAIL",BB61))),"Y","N"))</f>
        <v/>
      </c>
      <c r="BY61" s="10" t="str">
        <f aca="false">IF(D61="","",D61&amp;"|"&amp;H61&amp;"|"&amp;F61&amp;"|"&amp;I61&amp;"|"&amp;BX61)</f>
        <v/>
      </c>
    </row>
    <row r="62" customFormat="false" ht="15" hidden="false" customHeight="false" outlineLevel="0" collapsed="false">
      <c r="A62" s="10" t="str">
        <f aca="false">IF(D62="","","ERSS-"&amp;IFERROR(VLOOKUP(D62,Lists!$AK$4:$AL$21,2,0),"??")&amp;"-"&amp;TEXT(F62,"0000")&amp;"x"&amp;TEXT(G62,"0000")&amp;"-D"&amp;TEXT(H62*1000,"0000")&amp;"-"&amp;IFERROR(VLOOKUP(I62,Lists!$Y$4:$Z$21,2,0),"??")&amp;"-"&amp;AG62)</f>
        <v/>
      </c>
      <c r="B62" s="10" t="str">
        <f aca="false">IF(D62="","",D62&amp;" for "&amp;E62&amp;", "&amp;F62&amp;" x "&amp;G62&amp;" pit, "&amp;TEXT(H62,"0.0")&amp;" m deep, "&amp;I62)</f>
        <v/>
      </c>
      <c r="C62" s="9"/>
      <c r="D62" s="9"/>
      <c r="E62" s="9"/>
      <c r="F62" s="38"/>
      <c r="G62" s="38"/>
      <c r="H62" s="42"/>
      <c r="I62" s="9"/>
      <c r="J62" s="42"/>
      <c r="K62" s="38"/>
      <c r="L62" s="9"/>
      <c r="M62" s="42"/>
      <c r="N62" s="42"/>
      <c r="O62" s="38"/>
      <c r="P62" s="9"/>
      <c r="Q62" s="9"/>
      <c r="R62" s="39"/>
      <c r="S62" s="39"/>
      <c r="T62" s="38"/>
      <c r="U62" s="38"/>
      <c r="V62" s="38"/>
      <c r="W62" s="9"/>
      <c r="X62" s="9"/>
      <c r="Y62" s="38"/>
      <c r="Z62" s="9"/>
      <c r="AA62" s="9"/>
      <c r="AB62" s="38"/>
      <c r="AC62" s="9"/>
      <c r="AD62" s="39"/>
      <c r="AE62" s="9"/>
      <c r="AF62" s="9"/>
      <c r="AG62" s="9"/>
      <c r="AH62" s="9"/>
      <c r="AI62" s="9"/>
      <c r="AJ62" s="9"/>
      <c r="AK62" s="9"/>
      <c r="AL62" s="10" t="str">
        <f aca="false">IF(A62="","",SG_Criteria!$B$6&amp;SG_Criteria!$B$11&amp;"\"&amp;A62&amp;"\")</f>
        <v/>
      </c>
      <c r="AM62" s="10" t="str">
        <f aca="false">IF(A62="","",A62&amp;"_CAD.dwg")</f>
        <v/>
      </c>
      <c r="AN62" s="10" t="str">
        <f aca="false">IF(A62="","",A62&amp;"_DWG.pdf")</f>
        <v/>
      </c>
      <c r="AO62" s="10" t="str">
        <f aca="false">IF(A62="","",IF(AK62="Y",A62&amp;"_STAAD.std","n/a"))</f>
        <v/>
      </c>
      <c r="AP62" s="10" t="str">
        <f aca="false">IF(A62="","",A62&amp;"_CALC.xlsx")</f>
        <v/>
      </c>
      <c r="AQ62" s="10" t="str">
        <f aca="false">IF(A62="","",A62&amp;"_CALC.pdf")</f>
        <v/>
      </c>
      <c r="AR62" s="9"/>
      <c r="AS62" s="9"/>
      <c r="AT62" s="39"/>
      <c r="AU62" s="39"/>
      <c r="AV62" s="39"/>
      <c r="AW62" s="39"/>
      <c r="AX62" s="39"/>
      <c r="AY62" s="12" t="str">
        <f aca="false">IF(A62="","",IF(COUNTIF(Rebar_Schedule!$A$5:$A$2004,A62)=0,"",ROUND(SUMIF(Rebar_Schedule!$A$5:$A$2004,A62,Rebar_Schedule!$K$5:$K$2004),1)))</f>
        <v/>
      </c>
      <c r="AZ62" s="33" t="str">
        <f aca="false">IF(A62="","",IF(AY62="","No rebar schedule yet",IF(ABS(AY62-N(AU62))/MAX(N(AU62),1)&gt;SG_Criteria!$B$55,"NOTE: register rebar differs from schedule by "&amp;TEXT(ABS(AY62-N(AU62))/MAX(N(AU62),1),"0%"),"OK")))</f>
        <v/>
      </c>
      <c r="BA62" s="33" t="str">
        <f aca="false">IF(OR(D62="",H62=""),"",IF(H62&lt;=IF(OR(D62="Soldier Pile &amp; Timber Lagging",D62="Trench Shoring Box",D62="Open Cut (battered)"),SG_Criteria!$B$34,SG_Criteria!$B$33),"No ERSS submission",IF(H62&lt;=SG_Criteria!$B$35,"QP(ST)",IF(H62&lt;=SG_Criteria!$B$36,"QP(ST) + AC","Geotechnical building works: QP(Geo) + AC"))))</f>
        <v/>
      </c>
      <c r="BB62" s="33" t="str">
        <f aca="false">IF(D62="","",IF(LEN(IF(AND(R62&lt;&gt;"",R62&lt;SG_Criteria!$B$37),"FAIL: base stability FOS &lt; "&amp;SG_Criteria!$B$37&amp;". ","")&amp;IF(AND(E62="Manhole",H62&gt;SG_Criteria!$B$36),"NOTE: BCA lists sewer manholes (pipe &lt;= 2 m dia) &gt; 6 m as non-GBW: QP(ST) + AC. ","")&amp;IF(AND(D62="Trench Shoring Box",I62="Kallang Formation (marine clay)"),"NOTE: check base heave / ground loss for shoring box in marine clay. ","")&amp;IF(AND(D62="Steel Sheet Pile Cofferdam",N(N62)&lt;H62*0.5),"NOTE: short toe embedment, check. ",""))=0,"OK",IF(AND(R62&lt;&gt;"",R62&lt;SG_Criteria!$B$37),"FAIL: base stability FOS &lt; "&amp;SG_Criteria!$B$37&amp;". ","")&amp;IF(AND(E62="Manhole",H62&gt;SG_Criteria!$B$36),"NOTE: BCA lists sewer manholes (pipe &lt;= 2 m dia) &gt; 6 m as non-GBW: QP(ST) + AC. ","")&amp;IF(AND(D62="Trench Shoring Box",I62="Kallang Formation (marine clay)"),"NOTE: check base heave / ground loss for shoring box in marine clay. ","")&amp;IF(AND(D62="Steel Sheet Pile Cofferdam",N(N62)&lt;H62*0.5),"NOTE: short toe embedment, check. ","")))</f>
        <v/>
      </c>
      <c r="BC62" s="9"/>
      <c r="BD62" s="9"/>
      <c r="BE62" s="9"/>
      <c r="BF62" s="10" t="str">
        <f aca="false">IF(BE62="","",IFERROR(VLOOKUP(BE62,Projects!$A$5:$D$504,2,0),"Ref not in Projects"))</f>
        <v/>
      </c>
      <c r="BG62" s="10" t="str">
        <f aca="false">IF(BE62="","",IFERROR(VLOOKUP(BE62,Projects!$A$5:$D$504,4,0),"Ref not in Projects"))</f>
        <v/>
      </c>
      <c r="BH62" s="9"/>
      <c r="BI62" s="9"/>
      <c r="BJ62" s="9"/>
      <c r="BK62" s="40"/>
      <c r="BL62" s="9"/>
      <c r="BM62" s="40"/>
      <c r="BN62" s="9"/>
      <c r="BO62" s="40"/>
      <c r="BP62" s="9"/>
      <c r="BQ62" s="9"/>
      <c r="BR62" s="9"/>
      <c r="BS62" s="40"/>
      <c r="BT62" s="40"/>
      <c r="BU62" s="36" t="str">
        <f aca="false">IF(BT62="","",EDATE(BT62,SG_Criteria!$B$54*12))</f>
        <v/>
      </c>
      <c r="BV62" s="33" t="str">
        <f aca="true">IF(A62="","",IF(BT62="","NOTE: not reviewed yet",IF(TODAY()&gt;BU62,"NOTE: review overdue","OK")))</f>
        <v/>
      </c>
      <c r="BW62" s="37" t="str">
        <f aca="false">IF(A62="","",ROUND((IF(LEN(D62)&gt;0,1,0)+IF(LEN(E62)&gt;0,1,0)+IF(LEN(F62)&gt;0,1,0)+IF(LEN(G62)&gt;0,1,0)+IF(LEN(H62)&gt;0,1,0)+IF(LEN(I62)&gt;0,1,0)+IF(LEN(J62)&gt;0,1,0)+IF(LEN(L62)&gt;0,1,0)+IF(LEN(R62)&gt;0,1,0)+IF(LEN(Y62)&gt;0,1,0)+IF(LEN(AE62)&gt;0,1,0)+IF(LEN(AG62)&gt;0,1,0)+IF(LEN(AH62)&gt;0,1,0)+IF(LEN(AI62)&gt;0,1,0)+IF(LEN(AJ62)&gt;0,1,0)+IF(LEN(AS62)&gt;0,1,0)+IF(LEN(BE62)&gt;0,1,0)+IF(LEN(BR62)&gt;0,1,0))/18,2))</f>
        <v/>
      </c>
      <c r="BX62" s="10" t="str">
        <f aca="false">IF(D62="","",IF(AND(AH62="Approved",ISERROR(SEARCH("FAIL",BB62))),"Y","N"))</f>
        <v/>
      </c>
      <c r="BY62" s="10" t="str">
        <f aca="false">IF(D62="","",D62&amp;"|"&amp;H62&amp;"|"&amp;F62&amp;"|"&amp;I62&amp;"|"&amp;BX62)</f>
        <v/>
      </c>
    </row>
    <row r="63" customFormat="false" ht="15" hidden="false" customHeight="false" outlineLevel="0" collapsed="false">
      <c r="A63" s="10" t="str">
        <f aca="false">IF(D63="","","ERSS-"&amp;IFERROR(VLOOKUP(D63,Lists!$AK$4:$AL$21,2,0),"??")&amp;"-"&amp;TEXT(F63,"0000")&amp;"x"&amp;TEXT(G63,"0000")&amp;"-D"&amp;TEXT(H63*1000,"0000")&amp;"-"&amp;IFERROR(VLOOKUP(I63,Lists!$Y$4:$Z$21,2,0),"??")&amp;"-"&amp;AG63)</f>
        <v/>
      </c>
      <c r="B63" s="10" t="str">
        <f aca="false">IF(D63="","",D63&amp;" for "&amp;E63&amp;", "&amp;F63&amp;" x "&amp;G63&amp;" pit, "&amp;TEXT(H63,"0.0")&amp;" m deep, "&amp;I63)</f>
        <v/>
      </c>
      <c r="C63" s="9"/>
      <c r="D63" s="9"/>
      <c r="E63" s="9"/>
      <c r="F63" s="38"/>
      <c r="G63" s="38"/>
      <c r="H63" s="42"/>
      <c r="I63" s="9"/>
      <c r="J63" s="42"/>
      <c r="K63" s="38"/>
      <c r="L63" s="9"/>
      <c r="M63" s="42"/>
      <c r="N63" s="42"/>
      <c r="O63" s="38"/>
      <c r="P63" s="9"/>
      <c r="Q63" s="9"/>
      <c r="R63" s="39"/>
      <c r="S63" s="39"/>
      <c r="T63" s="38"/>
      <c r="U63" s="38"/>
      <c r="V63" s="38"/>
      <c r="W63" s="9"/>
      <c r="X63" s="9"/>
      <c r="Y63" s="38"/>
      <c r="Z63" s="9"/>
      <c r="AA63" s="9"/>
      <c r="AB63" s="38"/>
      <c r="AC63" s="9"/>
      <c r="AD63" s="39"/>
      <c r="AE63" s="9"/>
      <c r="AF63" s="9"/>
      <c r="AG63" s="9"/>
      <c r="AH63" s="9"/>
      <c r="AI63" s="9"/>
      <c r="AJ63" s="9"/>
      <c r="AK63" s="9"/>
      <c r="AL63" s="10" t="str">
        <f aca="false">IF(A63="","",SG_Criteria!$B$6&amp;SG_Criteria!$B$11&amp;"\"&amp;A63&amp;"\")</f>
        <v/>
      </c>
      <c r="AM63" s="10" t="str">
        <f aca="false">IF(A63="","",A63&amp;"_CAD.dwg")</f>
        <v/>
      </c>
      <c r="AN63" s="10" t="str">
        <f aca="false">IF(A63="","",A63&amp;"_DWG.pdf")</f>
        <v/>
      </c>
      <c r="AO63" s="10" t="str">
        <f aca="false">IF(A63="","",IF(AK63="Y",A63&amp;"_STAAD.std","n/a"))</f>
        <v/>
      </c>
      <c r="AP63" s="10" t="str">
        <f aca="false">IF(A63="","",A63&amp;"_CALC.xlsx")</f>
        <v/>
      </c>
      <c r="AQ63" s="10" t="str">
        <f aca="false">IF(A63="","",A63&amp;"_CALC.pdf")</f>
        <v/>
      </c>
      <c r="AR63" s="9"/>
      <c r="AS63" s="9"/>
      <c r="AT63" s="39"/>
      <c r="AU63" s="39"/>
      <c r="AV63" s="39"/>
      <c r="AW63" s="39"/>
      <c r="AX63" s="39"/>
      <c r="AY63" s="12" t="str">
        <f aca="false">IF(A63="","",IF(COUNTIF(Rebar_Schedule!$A$5:$A$2004,A63)=0,"",ROUND(SUMIF(Rebar_Schedule!$A$5:$A$2004,A63,Rebar_Schedule!$K$5:$K$2004),1)))</f>
        <v/>
      </c>
      <c r="AZ63" s="33" t="str">
        <f aca="false">IF(A63="","",IF(AY63="","No rebar schedule yet",IF(ABS(AY63-N(AU63))/MAX(N(AU63),1)&gt;SG_Criteria!$B$55,"NOTE: register rebar differs from schedule by "&amp;TEXT(ABS(AY63-N(AU63))/MAX(N(AU63),1),"0%"),"OK")))</f>
        <v/>
      </c>
      <c r="BA63" s="33" t="str">
        <f aca="false">IF(OR(D63="",H63=""),"",IF(H63&lt;=IF(OR(D63="Soldier Pile &amp; Timber Lagging",D63="Trench Shoring Box",D63="Open Cut (battered)"),SG_Criteria!$B$34,SG_Criteria!$B$33),"No ERSS submission",IF(H63&lt;=SG_Criteria!$B$35,"QP(ST)",IF(H63&lt;=SG_Criteria!$B$36,"QP(ST) + AC","Geotechnical building works: QP(Geo) + AC"))))</f>
        <v/>
      </c>
      <c r="BB63" s="33" t="str">
        <f aca="false">IF(D63="","",IF(LEN(IF(AND(R63&lt;&gt;"",R63&lt;SG_Criteria!$B$37),"FAIL: base stability FOS &lt; "&amp;SG_Criteria!$B$37&amp;". ","")&amp;IF(AND(E63="Manhole",H63&gt;SG_Criteria!$B$36),"NOTE: BCA lists sewer manholes (pipe &lt;= 2 m dia) &gt; 6 m as non-GBW: QP(ST) + AC. ","")&amp;IF(AND(D63="Trench Shoring Box",I63="Kallang Formation (marine clay)"),"NOTE: check base heave / ground loss for shoring box in marine clay. ","")&amp;IF(AND(D63="Steel Sheet Pile Cofferdam",N(N63)&lt;H63*0.5),"NOTE: short toe embedment, check. ",""))=0,"OK",IF(AND(R63&lt;&gt;"",R63&lt;SG_Criteria!$B$37),"FAIL: base stability FOS &lt; "&amp;SG_Criteria!$B$37&amp;". ","")&amp;IF(AND(E63="Manhole",H63&gt;SG_Criteria!$B$36),"NOTE: BCA lists sewer manholes (pipe &lt;= 2 m dia) &gt; 6 m as non-GBW: QP(ST) + AC. ","")&amp;IF(AND(D63="Trench Shoring Box",I63="Kallang Formation (marine clay)"),"NOTE: check base heave / ground loss for shoring box in marine clay. ","")&amp;IF(AND(D63="Steel Sheet Pile Cofferdam",N(N63)&lt;H63*0.5),"NOTE: short toe embedment, check. ","")))</f>
        <v/>
      </c>
      <c r="BC63" s="9"/>
      <c r="BD63" s="9"/>
      <c r="BE63" s="9"/>
      <c r="BF63" s="10" t="str">
        <f aca="false">IF(BE63="","",IFERROR(VLOOKUP(BE63,Projects!$A$5:$D$504,2,0),"Ref not in Projects"))</f>
        <v/>
      </c>
      <c r="BG63" s="10" t="str">
        <f aca="false">IF(BE63="","",IFERROR(VLOOKUP(BE63,Projects!$A$5:$D$504,4,0),"Ref not in Projects"))</f>
        <v/>
      </c>
      <c r="BH63" s="9"/>
      <c r="BI63" s="9"/>
      <c r="BJ63" s="9"/>
      <c r="BK63" s="40"/>
      <c r="BL63" s="9"/>
      <c r="BM63" s="40"/>
      <c r="BN63" s="9"/>
      <c r="BO63" s="40"/>
      <c r="BP63" s="9"/>
      <c r="BQ63" s="9"/>
      <c r="BR63" s="9"/>
      <c r="BS63" s="40"/>
      <c r="BT63" s="40"/>
      <c r="BU63" s="36" t="str">
        <f aca="false">IF(BT63="","",EDATE(BT63,SG_Criteria!$B$54*12))</f>
        <v/>
      </c>
      <c r="BV63" s="33" t="str">
        <f aca="true">IF(A63="","",IF(BT63="","NOTE: not reviewed yet",IF(TODAY()&gt;BU63,"NOTE: review overdue","OK")))</f>
        <v/>
      </c>
      <c r="BW63" s="37" t="str">
        <f aca="false">IF(A63="","",ROUND((IF(LEN(D63)&gt;0,1,0)+IF(LEN(E63)&gt;0,1,0)+IF(LEN(F63)&gt;0,1,0)+IF(LEN(G63)&gt;0,1,0)+IF(LEN(H63)&gt;0,1,0)+IF(LEN(I63)&gt;0,1,0)+IF(LEN(J63)&gt;0,1,0)+IF(LEN(L63)&gt;0,1,0)+IF(LEN(R63)&gt;0,1,0)+IF(LEN(Y63)&gt;0,1,0)+IF(LEN(AE63)&gt;0,1,0)+IF(LEN(AG63)&gt;0,1,0)+IF(LEN(AH63)&gt;0,1,0)+IF(LEN(AI63)&gt;0,1,0)+IF(LEN(AJ63)&gt;0,1,0)+IF(LEN(AS63)&gt;0,1,0)+IF(LEN(BE63)&gt;0,1,0)+IF(LEN(BR63)&gt;0,1,0))/18,2))</f>
        <v/>
      </c>
      <c r="BX63" s="10" t="str">
        <f aca="false">IF(D63="","",IF(AND(AH63="Approved",ISERROR(SEARCH("FAIL",BB63))),"Y","N"))</f>
        <v/>
      </c>
      <c r="BY63" s="10" t="str">
        <f aca="false">IF(D63="","",D63&amp;"|"&amp;H63&amp;"|"&amp;F63&amp;"|"&amp;I63&amp;"|"&amp;BX63)</f>
        <v/>
      </c>
    </row>
    <row r="64" customFormat="false" ht="15" hidden="false" customHeight="false" outlineLevel="0" collapsed="false">
      <c r="A64" s="10" t="str">
        <f aca="false">IF(D64="","","ERSS-"&amp;IFERROR(VLOOKUP(D64,Lists!$AK$4:$AL$21,2,0),"??")&amp;"-"&amp;TEXT(F64,"0000")&amp;"x"&amp;TEXT(G64,"0000")&amp;"-D"&amp;TEXT(H64*1000,"0000")&amp;"-"&amp;IFERROR(VLOOKUP(I64,Lists!$Y$4:$Z$21,2,0),"??")&amp;"-"&amp;AG64)</f>
        <v/>
      </c>
      <c r="B64" s="10" t="str">
        <f aca="false">IF(D64="","",D64&amp;" for "&amp;E64&amp;", "&amp;F64&amp;" x "&amp;G64&amp;" pit, "&amp;TEXT(H64,"0.0")&amp;" m deep, "&amp;I64)</f>
        <v/>
      </c>
      <c r="C64" s="9"/>
      <c r="D64" s="9"/>
      <c r="E64" s="9"/>
      <c r="F64" s="38"/>
      <c r="G64" s="38"/>
      <c r="H64" s="42"/>
      <c r="I64" s="9"/>
      <c r="J64" s="42"/>
      <c r="K64" s="38"/>
      <c r="L64" s="9"/>
      <c r="M64" s="42"/>
      <c r="N64" s="42"/>
      <c r="O64" s="38"/>
      <c r="P64" s="9"/>
      <c r="Q64" s="9"/>
      <c r="R64" s="39"/>
      <c r="S64" s="39"/>
      <c r="T64" s="38"/>
      <c r="U64" s="38"/>
      <c r="V64" s="38"/>
      <c r="W64" s="9"/>
      <c r="X64" s="9"/>
      <c r="Y64" s="38"/>
      <c r="Z64" s="9"/>
      <c r="AA64" s="9"/>
      <c r="AB64" s="38"/>
      <c r="AC64" s="9"/>
      <c r="AD64" s="39"/>
      <c r="AE64" s="9"/>
      <c r="AF64" s="9"/>
      <c r="AG64" s="9"/>
      <c r="AH64" s="9"/>
      <c r="AI64" s="9"/>
      <c r="AJ64" s="9"/>
      <c r="AK64" s="9"/>
      <c r="AL64" s="10" t="str">
        <f aca="false">IF(A64="","",SG_Criteria!$B$6&amp;SG_Criteria!$B$11&amp;"\"&amp;A64&amp;"\")</f>
        <v/>
      </c>
      <c r="AM64" s="10" t="str">
        <f aca="false">IF(A64="","",A64&amp;"_CAD.dwg")</f>
        <v/>
      </c>
      <c r="AN64" s="10" t="str">
        <f aca="false">IF(A64="","",A64&amp;"_DWG.pdf")</f>
        <v/>
      </c>
      <c r="AO64" s="10" t="str">
        <f aca="false">IF(A64="","",IF(AK64="Y",A64&amp;"_STAAD.std","n/a"))</f>
        <v/>
      </c>
      <c r="AP64" s="10" t="str">
        <f aca="false">IF(A64="","",A64&amp;"_CALC.xlsx")</f>
        <v/>
      </c>
      <c r="AQ64" s="10" t="str">
        <f aca="false">IF(A64="","",A64&amp;"_CALC.pdf")</f>
        <v/>
      </c>
      <c r="AR64" s="9"/>
      <c r="AS64" s="9"/>
      <c r="AT64" s="39"/>
      <c r="AU64" s="39"/>
      <c r="AV64" s="39"/>
      <c r="AW64" s="39"/>
      <c r="AX64" s="39"/>
      <c r="AY64" s="12" t="str">
        <f aca="false">IF(A64="","",IF(COUNTIF(Rebar_Schedule!$A$5:$A$2004,A64)=0,"",ROUND(SUMIF(Rebar_Schedule!$A$5:$A$2004,A64,Rebar_Schedule!$K$5:$K$2004),1)))</f>
        <v/>
      </c>
      <c r="AZ64" s="33" t="str">
        <f aca="false">IF(A64="","",IF(AY64="","No rebar schedule yet",IF(ABS(AY64-N(AU64))/MAX(N(AU64),1)&gt;SG_Criteria!$B$55,"NOTE: register rebar differs from schedule by "&amp;TEXT(ABS(AY64-N(AU64))/MAX(N(AU64),1),"0%"),"OK")))</f>
        <v/>
      </c>
      <c r="BA64" s="33" t="str">
        <f aca="false">IF(OR(D64="",H64=""),"",IF(H64&lt;=IF(OR(D64="Soldier Pile &amp; Timber Lagging",D64="Trench Shoring Box",D64="Open Cut (battered)"),SG_Criteria!$B$34,SG_Criteria!$B$33),"No ERSS submission",IF(H64&lt;=SG_Criteria!$B$35,"QP(ST)",IF(H64&lt;=SG_Criteria!$B$36,"QP(ST) + AC","Geotechnical building works: QP(Geo) + AC"))))</f>
        <v/>
      </c>
      <c r="BB64" s="33" t="str">
        <f aca="false">IF(D64="","",IF(LEN(IF(AND(R64&lt;&gt;"",R64&lt;SG_Criteria!$B$37),"FAIL: base stability FOS &lt; "&amp;SG_Criteria!$B$37&amp;". ","")&amp;IF(AND(E64="Manhole",H64&gt;SG_Criteria!$B$36),"NOTE: BCA lists sewer manholes (pipe &lt;= 2 m dia) &gt; 6 m as non-GBW: QP(ST) + AC. ","")&amp;IF(AND(D64="Trench Shoring Box",I64="Kallang Formation (marine clay)"),"NOTE: check base heave / ground loss for shoring box in marine clay. ","")&amp;IF(AND(D64="Steel Sheet Pile Cofferdam",N(N64)&lt;H64*0.5),"NOTE: short toe embedment, check. ",""))=0,"OK",IF(AND(R64&lt;&gt;"",R64&lt;SG_Criteria!$B$37),"FAIL: base stability FOS &lt; "&amp;SG_Criteria!$B$37&amp;". ","")&amp;IF(AND(E64="Manhole",H64&gt;SG_Criteria!$B$36),"NOTE: BCA lists sewer manholes (pipe &lt;= 2 m dia) &gt; 6 m as non-GBW: QP(ST) + AC. ","")&amp;IF(AND(D64="Trench Shoring Box",I64="Kallang Formation (marine clay)"),"NOTE: check base heave / ground loss for shoring box in marine clay. ","")&amp;IF(AND(D64="Steel Sheet Pile Cofferdam",N(N64)&lt;H64*0.5),"NOTE: short toe embedment, check. ","")))</f>
        <v/>
      </c>
      <c r="BC64" s="9"/>
      <c r="BD64" s="9"/>
      <c r="BE64" s="9"/>
      <c r="BF64" s="10" t="str">
        <f aca="false">IF(BE64="","",IFERROR(VLOOKUP(BE64,Projects!$A$5:$D$504,2,0),"Ref not in Projects"))</f>
        <v/>
      </c>
      <c r="BG64" s="10" t="str">
        <f aca="false">IF(BE64="","",IFERROR(VLOOKUP(BE64,Projects!$A$5:$D$504,4,0),"Ref not in Projects"))</f>
        <v/>
      </c>
      <c r="BH64" s="9"/>
      <c r="BI64" s="9"/>
      <c r="BJ64" s="9"/>
      <c r="BK64" s="40"/>
      <c r="BL64" s="9"/>
      <c r="BM64" s="40"/>
      <c r="BN64" s="9"/>
      <c r="BO64" s="40"/>
      <c r="BP64" s="9"/>
      <c r="BQ64" s="9"/>
      <c r="BR64" s="9"/>
      <c r="BS64" s="40"/>
      <c r="BT64" s="40"/>
      <c r="BU64" s="36" t="str">
        <f aca="false">IF(BT64="","",EDATE(BT64,SG_Criteria!$B$54*12))</f>
        <v/>
      </c>
      <c r="BV64" s="33" t="str">
        <f aca="true">IF(A64="","",IF(BT64="","NOTE: not reviewed yet",IF(TODAY()&gt;BU64,"NOTE: review overdue","OK")))</f>
        <v/>
      </c>
      <c r="BW64" s="37" t="str">
        <f aca="false">IF(A64="","",ROUND((IF(LEN(D64)&gt;0,1,0)+IF(LEN(E64)&gt;0,1,0)+IF(LEN(F64)&gt;0,1,0)+IF(LEN(G64)&gt;0,1,0)+IF(LEN(H64)&gt;0,1,0)+IF(LEN(I64)&gt;0,1,0)+IF(LEN(J64)&gt;0,1,0)+IF(LEN(L64)&gt;0,1,0)+IF(LEN(R64)&gt;0,1,0)+IF(LEN(Y64)&gt;0,1,0)+IF(LEN(AE64)&gt;0,1,0)+IF(LEN(AG64)&gt;0,1,0)+IF(LEN(AH64)&gt;0,1,0)+IF(LEN(AI64)&gt;0,1,0)+IF(LEN(AJ64)&gt;0,1,0)+IF(LEN(AS64)&gt;0,1,0)+IF(LEN(BE64)&gt;0,1,0)+IF(LEN(BR64)&gt;0,1,0))/18,2))</f>
        <v/>
      </c>
      <c r="BX64" s="10" t="str">
        <f aca="false">IF(D64="","",IF(AND(AH64="Approved",ISERROR(SEARCH("FAIL",BB64))),"Y","N"))</f>
        <v/>
      </c>
      <c r="BY64" s="10" t="str">
        <f aca="false">IF(D64="","",D64&amp;"|"&amp;H64&amp;"|"&amp;F64&amp;"|"&amp;I64&amp;"|"&amp;BX64)</f>
        <v/>
      </c>
    </row>
    <row r="65" customFormat="false" ht="15" hidden="false" customHeight="false" outlineLevel="0" collapsed="false">
      <c r="A65" s="10" t="str">
        <f aca="false">IF(D65="","","ERSS-"&amp;IFERROR(VLOOKUP(D65,Lists!$AK$4:$AL$21,2,0),"??")&amp;"-"&amp;TEXT(F65,"0000")&amp;"x"&amp;TEXT(G65,"0000")&amp;"-D"&amp;TEXT(H65*1000,"0000")&amp;"-"&amp;IFERROR(VLOOKUP(I65,Lists!$Y$4:$Z$21,2,0),"??")&amp;"-"&amp;AG65)</f>
        <v/>
      </c>
      <c r="B65" s="10" t="str">
        <f aca="false">IF(D65="","",D65&amp;" for "&amp;E65&amp;", "&amp;F65&amp;" x "&amp;G65&amp;" pit, "&amp;TEXT(H65,"0.0")&amp;" m deep, "&amp;I65)</f>
        <v/>
      </c>
      <c r="C65" s="9"/>
      <c r="D65" s="9"/>
      <c r="E65" s="9"/>
      <c r="F65" s="38"/>
      <c r="G65" s="38"/>
      <c r="H65" s="42"/>
      <c r="I65" s="9"/>
      <c r="J65" s="42"/>
      <c r="K65" s="38"/>
      <c r="L65" s="9"/>
      <c r="M65" s="42"/>
      <c r="N65" s="42"/>
      <c r="O65" s="38"/>
      <c r="P65" s="9"/>
      <c r="Q65" s="9"/>
      <c r="R65" s="39"/>
      <c r="S65" s="39"/>
      <c r="T65" s="38"/>
      <c r="U65" s="38"/>
      <c r="V65" s="38"/>
      <c r="W65" s="9"/>
      <c r="X65" s="9"/>
      <c r="Y65" s="38"/>
      <c r="Z65" s="9"/>
      <c r="AA65" s="9"/>
      <c r="AB65" s="38"/>
      <c r="AC65" s="9"/>
      <c r="AD65" s="39"/>
      <c r="AE65" s="9"/>
      <c r="AF65" s="9"/>
      <c r="AG65" s="9"/>
      <c r="AH65" s="9"/>
      <c r="AI65" s="9"/>
      <c r="AJ65" s="9"/>
      <c r="AK65" s="9"/>
      <c r="AL65" s="10" t="str">
        <f aca="false">IF(A65="","",SG_Criteria!$B$6&amp;SG_Criteria!$B$11&amp;"\"&amp;A65&amp;"\")</f>
        <v/>
      </c>
      <c r="AM65" s="10" t="str">
        <f aca="false">IF(A65="","",A65&amp;"_CAD.dwg")</f>
        <v/>
      </c>
      <c r="AN65" s="10" t="str">
        <f aca="false">IF(A65="","",A65&amp;"_DWG.pdf")</f>
        <v/>
      </c>
      <c r="AO65" s="10" t="str">
        <f aca="false">IF(A65="","",IF(AK65="Y",A65&amp;"_STAAD.std","n/a"))</f>
        <v/>
      </c>
      <c r="AP65" s="10" t="str">
        <f aca="false">IF(A65="","",A65&amp;"_CALC.xlsx")</f>
        <v/>
      </c>
      <c r="AQ65" s="10" t="str">
        <f aca="false">IF(A65="","",A65&amp;"_CALC.pdf")</f>
        <v/>
      </c>
      <c r="AR65" s="9"/>
      <c r="AS65" s="9"/>
      <c r="AT65" s="39"/>
      <c r="AU65" s="39"/>
      <c r="AV65" s="39"/>
      <c r="AW65" s="39"/>
      <c r="AX65" s="39"/>
      <c r="AY65" s="12" t="str">
        <f aca="false">IF(A65="","",IF(COUNTIF(Rebar_Schedule!$A$5:$A$2004,A65)=0,"",ROUND(SUMIF(Rebar_Schedule!$A$5:$A$2004,A65,Rebar_Schedule!$K$5:$K$2004),1)))</f>
        <v/>
      </c>
      <c r="AZ65" s="33" t="str">
        <f aca="false">IF(A65="","",IF(AY65="","No rebar schedule yet",IF(ABS(AY65-N(AU65))/MAX(N(AU65),1)&gt;SG_Criteria!$B$55,"NOTE: register rebar differs from schedule by "&amp;TEXT(ABS(AY65-N(AU65))/MAX(N(AU65),1),"0%"),"OK")))</f>
        <v/>
      </c>
      <c r="BA65" s="33" t="str">
        <f aca="false">IF(OR(D65="",H65=""),"",IF(H65&lt;=IF(OR(D65="Soldier Pile &amp; Timber Lagging",D65="Trench Shoring Box",D65="Open Cut (battered)"),SG_Criteria!$B$34,SG_Criteria!$B$33),"No ERSS submission",IF(H65&lt;=SG_Criteria!$B$35,"QP(ST)",IF(H65&lt;=SG_Criteria!$B$36,"QP(ST) + AC","Geotechnical building works: QP(Geo) + AC"))))</f>
        <v/>
      </c>
      <c r="BB65" s="33" t="str">
        <f aca="false">IF(D65="","",IF(LEN(IF(AND(R65&lt;&gt;"",R65&lt;SG_Criteria!$B$37),"FAIL: base stability FOS &lt; "&amp;SG_Criteria!$B$37&amp;". ","")&amp;IF(AND(E65="Manhole",H65&gt;SG_Criteria!$B$36),"NOTE: BCA lists sewer manholes (pipe &lt;= 2 m dia) &gt; 6 m as non-GBW: QP(ST) + AC. ","")&amp;IF(AND(D65="Trench Shoring Box",I65="Kallang Formation (marine clay)"),"NOTE: check base heave / ground loss for shoring box in marine clay. ","")&amp;IF(AND(D65="Steel Sheet Pile Cofferdam",N(N65)&lt;H65*0.5),"NOTE: short toe embedment, check. ",""))=0,"OK",IF(AND(R65&lt;&gt;"",R65&lt;SG_Criteria!$B$37),"FAIL: base stability FOS &lt; "&amp;SG_Criteria!$B$37&amp;". ","")&amp;IF(AND(E65="Manhole",H65&gt;SG_Criteria!$B$36),"NOTE: BCA lists sewer manholes (pipe &lt;= 2 m dia) &gt; 6 m as non-GBW: QP(ST) + AC. ","")&amp;IF(AND(D65="Trench Shoring Box",I65="Kallang Formation (marine clay)"),"NOTE: check base heave / ground loss for shoring box in marine clay. ","")&amp;IF(AND(D65="Steel Sheet Pile Cofferdam",N(N65)&lt;H65*0.5),"NOTE: short toe embedment, check. ","")))</f>
        <v/>
      </c>
      <c r="BC65" s="9"/>
      <c r="BD65" s="9"/>
      <c r="BE65" s="9"/>
      <c r="BF65" s="10" t="str">
        <f aca="false">IF(BE65="","",IFERROR(VLOOKUP(BE65,Projects!$A$5:$D$504,2,0),"Ref not in Projects"))</f>
        <v/>
      </c>
      <c r="BG65" s="10" t="str">
        <f aca="false">IF(BE65="","",IFERROR(VLOOKUP(BE65,Projects!$A$5:$D$504,4,0),"Ref not in Projects"))</f>
        <v/>
      </c>
      <c r="BH65" s="9"/>
      <c r="BI65" s="9"/>
      <c r="BJ65" s="9"/>
      <c r="BK65" s="40"/>
      <c r="BL65" s="9"/>
      <c r="BM65" s="40"/>
      <c r="BN65" s="9"/>
      <c r="BO65" s="40"/>
      <c r="BP65" s="9"/>
      <c r="BQ65" s="9"/>
      <c r="BR65" s="9"/>
      <c r="BS65" s="40"/>
      <c r="BT65" s="40"/>
      <c r="BU65" s="36" t="str">
        <f aca="false">IF(BT65="","",EDATE(BT65,SG_Criteria!$B$54*12))</f>
        <v/>
      </c>
      <c r="BV65" s="33" t="str">
        <f aca="true">IF(A65="","",IF(BT65="","NOTE: not reviewed yet",IF(TODAY()&gt;BU65,"NOTE: review overdue","OK")))</f>
        <v/>
      </c>
      <c r="BW65" s="37" t="str">
        <f aca="false">IF(A65="","",ROUND((IF(LEN(D65)&gt;0,1,0)+IF(LEN(E65)&gt;0,1,0)+IF(LEN(F65)&gt;0,1,0)+IF(LEN(G65)&gt;0,1,0)+IF(LEN(H65)&gt;0,1,0)+IF(LEN(I65)&gt;0,1,0)+IF(LEN(J65)&gt;0,1,0)+IF(LEN(L65)&gt;0,1,0)+IF(LEN(R65)&gt;0,1,0)+IF(LEN(Y65)&gt;0,1,0)+IF(LEN(AE65)&gt;0,1,0)+IF(LEN(AG65)&gt;0,1,0)+IF(LEN(AH65)&gt;0,1,0)+IF(LEN(AI65)&gt;0,1,0)+IF(LEN(AJ65)&gt;0,1,0)+IF(LEN(AS65)&gt;0,1,0)+IF(LEN(BE65)&gt;0,1,0)+IF(LEN(BR65)&gt;0,1,0))/18,2))</f>
        <v/>
      </c>
      <c r="BX65" s="10" t="str">
        <f aca="false">IF(D65="","",IF(AND(AH65="Approved",ISERROR(SEARCH("FAIL",BB65))),"Y","N"))</f>
        <v/>
      </c>
      <c r="BY65" s="10" t="str">
        <f aca="false">IF(D65="","",D65&amp;"|"&amp;H65&amp;"|"&amp;F65&amp;"|"&amp;I65&amp;"|"&amp;BX65)</f>
        <v/>
      </c>
    </row>
    <row r="66" customFormat="false" ht="15" hidden="false" customHeight="false" outlineLevel="0" collapsed="false">
      <c r="A66" s="10" t="str">
        <f aca="false">IF(D66="","","ERSS-"&amp;IFERROR(VLOOKUP(D66,Lists!$AK$4:$AL$21,2,0),"??")&amp;"-"&amp;TEXT(F66,"0000")&amp;"x"&amp;TEXT(G66,"0000")&amp;"-D"&amp;TEXT(H66*1000,"0000")&amp;"-"&amp;IFERROR(VLOOKUP(I66,Lists!$Y$4:$Z$21,2,0),"??")&amp;"-"&amp;AG66)</f>
        <v/>
      </c>
      <c r="B66" s="10" t="str">
        <f aca="false">IF(D66="","",D66&amp;" for "&amp;E66&amp;", "&amp;F66&amp;" x "&amp;G66&amp;" pit, "&amp;TEXT(H66,"0.0")&amp;" m deep, "&amp;I66)</f>
        <v/>
      </c>
      <c r="C66" s="9"/>
      <c r="D66" s="9"/>
      <c r="E66" s="9"/>
      <c r="F66" s="38"/>
      <c r="G66" s="38"/>
      <c r="H66" s="42"/>
      <c r="I66" s="9"/>
      <c r="J66" s="42"/>
      <c r="K66" s="38"/>
      <c r="L66" s="9"/>
      <c r="M66" s="42"/>
      <c r="N66" s="42"/>
      <c r="O66" s="38"/>
      <c r="P66" s="9"/>
      <c r="Q66" s="9"/>
      <c r="R66" s="39"/>
      <c r="S66" s="39"/>
      <c r="T66" s="38"/>
      <c r="U66" s="38"/>
      <c r="V66" s="38"/>
      <c r="W66" s="9"/>
      <c r="X66" s="9"/>
      <c r="Y66" s="38"/>
      <c r="Z66" s="9"/>
      <c r="AA66" s="9"/>
      <c r="AB66" s="38"/>
      <c r="AC66" s="9"/>
      <c r="AD66" s="39"/>
      <c r="AE66" s="9"/>
      <c r="AF66" s="9"/>
      <c r="AG66" s="9"/>
      <c r="AH66" s="9"/>
      <c r="AI66" s="9"/>
      <c r="AJ66" s="9"/>
      <c r="AK66" s="9"/>
      <c r="AL66" s="10" t="str">
        <f aca="false">IF(A66="","",SG_Criteria!$B$6&amp;SG_Criteria!$B$11&amp;"\"&amp;A66&amp;"\")</f>
        <v/>
      </c>
      <c r="AM66" s="10" t="str">
        <f aca="false">IF(A66="","",A66&amp;"_CAD.dwg")</f>
        <v/>
      </c>
      <c r="AN66" s="10" t="str">
        <f aca="false">IF(A66="","",A66&amp;"_DWG.pdf")</f>
        <v/>
      </c>
      <c r="AO66" s="10" t="str">
        <f aca="false">IF(A66="","",IF(AK66="Y",A66&amp;"_STAAD.std","n/a"))</f>
        <v/>
      </c>
      <c r="AP66" s="10" t="str">
        <f aca="false">IF(A66="","",A66&amp;"_CALC.xlsx")</f>
        <v/>
      </c>
      <c r="AQ66" s="10" t="str">
        <f aca="false">IF(A66="","",A66&amp;"_CALC.pdf")</f>
        <v/>
      </c>
      <c r="AR66" s="9"/>
      <c r="AS66" s="9"/>
      <c r="AT66" s="39"/>
      <c r="AU66" s="39"/>
      <c r="AV66" s="39"/>
      <c r="AW66" s="39"/>
      <c r="AX66" s="39"/>
      <c r="AY66" s="12" t="str">
        <f aca="false">IF(A66="","",IF(COUNTIF(Rebar_Schedule!$A$5:$A$2004,A66)=0,"",ROUND(SUMIF(Rebar_Schedule!$A$5:$A$2004,A66,Rebar_Schedule!$K$5:$K$2004),1)))</f>
        <v/>
      </c>
      <c r="AZ66" s="33" t="str">
        <f aca="false">IF(A66="","",IF(AY66="","No rebar schedule yet",IF(ABS(AY66-N(AU66))/MAX(N(AU66),1)&gt;SG_Criteria!$B$55,"NOTE: register rebar differs from schedule by "&amp;TEXT(ABS(AY66-N(AU66))/MAX(N(AU66),1),"0%"),"OK")))</f>
        <v/>
      </c>
      <c r="BA66" s="33" t="str">
        <f aca="false">IF(OR(D66="",H66=""),"",IF(H66&lt;=IF(OR(D66="Soldier Pile &amp; Timber Lagging",D66="Trench Shoring Box",D66="Open Cut (battered)"),SG_Criteria!$B$34,SG_Criteria!$B$33),"No ERSS submission",IF(H66&lt;=SG_Criteria!$B$35,"QP(ST)",IF(H66&lt;=SG_Criteria!$B$36,"QP(ST) + AC","Geotechnical building works: QP(Geo) + AC"))))</f>
        <v/>
      </c>
      <c r="BB66" s="33" t="str">
        <f aca="false">IF(D66="","",IF(LEN(IF(AND(R66&lt;&gt;"",R66&lt;SG_Criteria!$B$37),"FAIL: base stability FOS &lt; "&amp;SG_Criteria!$B$37&amp;". ","")&amp;IF(AND(E66="Manhole",H66&gt;SG_Criteria!$B$36),"NOTE: BCA lists sewer manholes (pipe &lt;= 2 m dia) &gt; 6 m as non-GBW: QP(ST) + AC. ","")&amp;IF(AND(D66="Trench Shoring Box",I66="Kallang Formation (marine clay)"),"NOTE: check base heave / ground loss for shoring box in marine clay. ","")&amp;IF(AND(D66="Steel Sheet Pile Cofferdam",N(N66)&lt;H66*0.5),"NOTE: short toe embedment, check. ",""))=0,"OK",IF(AND(R66&lt;&gt;"",R66&lt;SG_Criteria!$B$37),"FAIL: base stability FOS &lt; "&amp;SG_Criteria!$B$37&amp;". ","")&amp;IF(AND(E66="Manhole",H66&gt;SG_Criteria!$B$36),"NOTE: BCA lists sewer manholes (pipe &lt;= 2 m dia) &gt; 6 m as non-GBW: QP(ST) + AC. ","")&amp;IF(AND(D66="Trench Shoring Box",I66="Kallang Formation (marine clay)"),"NOTE: check base heave / ground loss for shoring box in marine clay. ","")&amp;IF(AND(D66="Steel Sheet Pile Cofferdam",N(N66)&lt;H66*0.5),"NOTE: short toe embedment, check. ","")))</f>
        <v/>
      </c>
      <c r="BC66" s="9"/>
      <c r="BD66" s="9"/>
      <c r="BE66" s="9"/>
      <c r="BF66" s="10" t="str">
        <f aca="false">IF(BE66="","",IFERROR(VLOOKUP(BE66,Projects!$A$5:$D$504,2,0),"Ref not in Projects"))</f>
        <v/>
      </c>
      <c r="BG66" s="10" t="str">
        <f aca="false">IF(BE66="","",IFERROR(VLOOKUP(BE66,Projects!$A$5:$D$504,4,0),"Ref not in Projects"))</f>
        <v/>
      </c>
      <c r="BH66" s="9"/>
      <c r="BI66" s="9"/>
      <c r="BJ66" s="9"/>
      <c r="BK66" s="40"/>
      <c r="BL66" s="9"/>
      <c r="BM66" s="40"/>
      <c r="BN66" s="9"/>
      <c r="BO66" s="40"/>
      <c r="BP66" s="9"/>
      <c r="BQ66" s="9"/>
      <c r="BR66" s="9"/>
      <c r="BS66" s="40"/>
      <c r="BT66" s="40"/>
      <c r="BU66" s="36" t="str">
        <f aca="false">IF(BT66="","",EDATE(BT66,SG_Criteria!$B$54*12))</f>
        <v/>
      </c>
      <c r="BV66" s="33" t="str">
        <f aca="true">IF(A66="","",IF(BT66="","NOTE: not reviewed yet",IF(TODAY()&gt;BU66,"NOTE: review overdue","OK")))</f>
        <v/>
      </c>
      <c r="BW66" s="37" t="str">
        <f aca="false">IF(A66="","",ROUND((IF(LEN(D66)&gt;0,1,0)+IF(LEN(E66)&gt;0,1,0)+IF(LEN(F66)&gt;0,1,0)+IF(LEN(G66)&gt;0,1,0)+IF(LEN(H66)&gt;0,1,0)+IF(LEN(I66)&gt;0,1,0)+IF(LEN(J66)&gt;0,1,0)+IF(LEN(L66)&gt;0,1,0)+IF(LEN(R66)&gt;0,1,0)+IF(LEN(Y66)&gt;0,1,0)+IF(LEN(AE66)&gt;0,1,0)+IF(LEN(AG66)&gt;0,1,0)+IF(LEN(AH66)&gt;0,1,0)+IF(LEN(AI66)&gt;0,1,0)+IF(LEN(AJ66)&gt;0,1,0)+IF(LEN(AS66)&gt;0,1,0)+IF(LEN(BE66)&gt;0,1,0)+IF(LEN(BR66)&gt;0,1,0))/18,2))</f>
        <v/>
      </c>
      <c r="BX66" s="10" t="str">
        <f aca="false">IF(D66="","",IF(AND(AH66="Approved",ISERROR(SEARCH("FAIL",BB66))),"Y","N"))</f>
        <v/>
      </c>
      <c r="BY66" s="10" t="str">
        <f aca="false">IF(D66="","",D66&amp;"|"&amp;H66&amp;"|"&amp;F66&amp;"|"&amp;I66&amp;"|"&amp;BX66)</f>
        <v/>
      </c>
    </row>
    <row r="67" customFormat="false" ht="15" hidden="false" customHeight="false" outlineLevel="0" collapsed="false">
      <c r="A67" s="10" t="str">
        <f aca="false">IF(D67="","","ERSS-"&amp;IFERROR(VLOOKUP(D67,Lists!$AK$4:$AL$21,2,0),"??")&amp;"-"&amp;TEXT(F67,"0000")&amp;"x"&amp;TEXT(G67,"0000")&amp;"-D"&amp;TEXT(H67*1000,"0000")&amp;"-"&amp;IFERROR(VLOOKUP(I67,Lists!$Y$4:$Z$21,2,0),"??")&amp;"-"&amp;AG67)</f>
        <v/>
      </c>
      <c r="B67" s="10" t="str">
        <f aca="false">IF(D67="","",D67&amp;" for "&amp;E67&amp;", "&amp;F67&amp;" x "&amp;G67&amp;" pit, "&amp;TEXT(H67,"0.0")&amp;" m deep, "&amp;I67)</f>
        <v/>
      </c>
      <c r="C67" s="9"/>
      <c r="D67" s="9"/>
      <c r="E67" s="9"/>
      <c r="F67" s="38"/>
      <c r="G67" s="38"/>
      <c r="H67" s="42"/>
      <c r="I67" s="9"/>
      <c r="J67" s="42"/>
      <c r="K67" s="38"/>
      <c r="L67" s="9"/>
      <c r="M67" s="42"/>
      <c r="N67" s="42"/>
      <c r="O67" s="38"/>
      <c r="P67" s="9"/>
      <c r="Q67" s="9"/>
      <c r="R67" s="39"/>
      <c r="S67" s="39"/>
      <c r="T67" s="38"/>
      <c r="U67" s="38"/>
      <c r="V67" s="38"/>
      <c r="W67" s="9"/>
      <c r="X67" s="9"/>
      <c r="Y67" s="38"/>
      <c r="Z67" s="9"/>
      <c r="AA67" s="9"/>
      <c r="AB67" s="38"/>
      <c r="AC67" s="9"/>
      <c r="AD67" s="39"/>
      <c r="AE67" s="9"/>
      <c r="AF67" s="9"/>
      <c r="AG67" s="9"/>
      <c r="AH67" s="9"/>
      <c r="AI67" s="9"/>
      <c r="AJ67" s="9"/>
      <c r="AK67" s="9"/>
      <c r="AL67" s="10" t="str">
        <f aca="false">IF(A67="","",SG_Criteria!$B$6&amp;SG_Criteria!$B$11&amp;"\"&amp;A67&amp;"\")</f>
        <v/>
      </c>
      <c r="AM67" s="10" t="str">
        <f aca="false">IF(A67="","",A67&amp;"_CAD.dwg")</f>
        <v/>
      </c>
      <c r="AN67" s="10" t="str">
        <f aca="false">IF(A67="","",A67&amp;"_DWG.pdf")</f>
        <v/>
      </c>
      <c r="AO67" s="10" t="str">
        <f aca="false">IF(A67="","",IF(AK67="Y",A67&amp;"_STAAD.std","n/a"))</f>
        <v/>
      </c>
      <c r="AP67" s="10" t="str">
        <f aca="false">IF(A67="","",A67&amp;"_CALC.xlsx")</f>
        <v/>
      </c>
      <c r="AQ67" s="10" t="str">
        <f aca="false">IF(A67="","",A67&amp;"_CALC.pdf")</f>
        <v/>
      </c>
      <c r="AR67" s="9"/>
      <c r="AS67" s="9"/>
      <c r="AT67" s="39"/>
      <c r="AU67" s="39"/>
      <c r="AV67" s="39"/>
      <c r="AW67" s="39"/>
      <c r="AX67" s="39"/>
      <c r="AY67" s="12" t="str">
        <f aca="false">IF(A67="","",IF(COUNTIF(Rebar_Schedule!$A$5:$A$2004,A67)=0,"",ROUND(SUMIF(Rebar_Schedule!$A$5:$A$2004,A67,Rebar_Schedule!$K$5:$K$2004),1)))</f>
        <v/>
      </c>
      <c r="AZ67" s="33" t="str">
        <f aca="false">IF(A67="","",IF(AY67="","No rebar schedule yet",IF(ABS(AY67-N(AU67))/MAX(N(AU67),1)&gt;SG_Criteria!$B$55,"NOTE: register rebar differs from schedule by "&amp;TEXT(ABS(AY67-N(AU67))/MAX(N(AU67),1),"0%"),"OK")))</f>
        <v/>
      </c>
      <c r="BA67" s="33" t="str">
        <f aca="false">IF(OR(D67="",H67=""),"",IF(H67&lt;=IF(OR(D67="Soldier Pile &amp; Timber Lagging",D67="Trench Shoring Box",D67="Open Cut (battered)"),SG_Criteria!$B$34,SG_Criteria!$B$33),"No ERSS submission",IF(H67&lt;=SG_Criteria!$B$35,"QP(ST)",IF(H67&lt;=SG_Criteria!$B$36,"QP(ST) + AC","Geotechnical building works: QP(Geo) + AC"))))</f>
        <v/>
      </c>
      <c r="BB67" s="33" t="str">
        <f aca="false">IF(D67="","",IF(LEN(IF(AND(R67&lt;&gt;"",R67&lt;SG_Criteria!$B$37),"FAIL: base stability FOS &lt; "&amp;SG_Criteria!$B$37&amp;". ","")&amp;IF(AND(E67="Manhole",H67&gt;SG_Criteria!$B$36),"NOTE: BCA lists sewer manholes (pipe &lt;= 2 m dia) &gt; 6 m as non-GBW: QP(ST) + AC. ","")&amp;IF(AND(D67="Trench Shoring Box",I67="Kallang Formation (marine clay)"),"NOTE: check base heave / ground loss for shoring box in marine clay. ","")&amp;IF(AND(D67="Steel Sheet Pile Cofferdam",N(N67)&lt;H67*0.5),"NOTE: short toe embedment, check. ",""))=0,"OK",IF(AND(R67&lt;&gt;"",R67&lt;SG_Criteria!$B$37),"FAIL: base stability FOS &lt; "&amp;SG_Criteria!$B$37&amp;". ","")&amp;IF(AND(E67="Manhole",H67&gt;SG_Criteria!$B$36),"NOTE: BCA lists sewer manholes (pipe &lt;= 2 m dia) &gt; 6 m as non-GBW: QP(ST) + AC. ","")&amp;IF(AND(D67="Trench Shoring Box",I67="Kallang Formation (marine clay)"),"NOTE: check base heave / ground loss for shoring box in marine clay. ","")&amp;IF(AND(D67="Steel Sheet Pile Cofferdam",N(N67)&lt;H67*0.5),"NOTE: short toe embedment, check. ","")))</f>
        <v/>
      </c>
      <c r="BC67" s="9"/>
      <c r="BD67" s="9"/>
      <c r="BE67" s="9"/>
      <c r="BF67" s="10" t="str">
        <f aca="false">IF(BE67="","",IFERROR(VLOOKUP(BE67,Projects!$A$5:$D$504,2,0),"Ref not in Projects"))</f>
        <v/>
      </c>
      <c r="BG67" s="10" t="str">
        <f aca="false">IF(BE67="","",IFERROR(VLOOKUP(BE67,Projects!$A$5:$D$504,4,0),"Ref not in Projects"))</f>
        <v/>
      </c>
      <c r="BH67" s="9"/>
      <c r="BI67" s="9"/>
      <c r="BJ67" s="9"/>
      <c r="BK67" s="40"/>
      <c r="BL67" s="9"/>
      <c r="BM67" s="40"/>
      <c r="BN67" s="9"/>
      <c r="BO67" s="40"/>
      <c r="BP67" s="9"/>
      <c r="BQ67" s="9"/>
      <c r="BR67" s="9"/>
      <c r="BS67" s="40"/>
      <c r="BT67" s="40"/>
      <c r="BU67" s="36" t="str">
        <f aca="false">IF(BT67="","",EDATE(BT67,SG_Criteria!$B$54*12))</f>
        <v/>
      </c>
      <c r="BV67" s="33" t="str">
        <f aca="true">IF(A67="","",IF(BT67="","NOTE: not reviewed yet",IF(TODAY()&gt;BU67,"NOTE: review overdue","OK")))</f>
        <v/>
      </c>
      <c r="BW67" s="37" t="str">
        <f aca="false">IF(A67="","",ROUND((IF(LEN(D67)&gt;0,1,0)+IF(LEN(E67)&gt;0,1,0)+IF(LEN(F67)&gt;0,1,0)+IF(LEN(G67)&gt;0,1,0)+IF(LEN(H67)&gt;0,1,0)+IF(LEN(I67)&gt;0,1,0)+IF(LEN(J67)&gt;0,1,0)+IF(LEN(L67)&gt;0,1,0)+IF(LEN(R67)&gt;0,1,0)+IF(LEN(Y67)&gt;0,1,0)+IF(LEN(AE67)&gt;0,1,0)+IF(LEN(AG67)&gt;0,1,0)+IF(LEN(AH67)&gt;0,1,0)+IF(LEN(AI67)&gt;0,1,0)+IF(LEN(AJ67)&gt;0,1,0)+IF(LEN(AS67)&gt;0,1,0)+IF(LEN(BE67)&gt;0,1,0)+IF(LEN(BR67)&gt;0,1,0))/18,2))</f>
        <v/>
      </c>
      <c r="BX67" s="10" t="str">
        <f aca="false">IF(D67="","",IF(AND(AH67="Approved",ISERROR(SEARCH("FAIL",BB67))),"Y","N"))</f>
        <v/>
      </c>
      <c r="BY67" s="10" t="str">
        <f aca="false">IF(D67="","",D67&amp;"|"&amp;H67&amp;"|"&amp;F67&amp;"|"&amp;I67&amp;"|"&amp;BX67)</f>
        <v/>
      </c>
    </row>
    <row r="68" customFormat="false" ht="15" hidden="false" customHeight="false" outlineLevel="0" collapsed="false">
      <c r="A68" s="10" t="str">
        <f aca="false">IF(D68="","","ERSS-"&amp;IFERROR(VLOOKUP(D68,Lists!$AK$4:$AL$21,2,0),"??")&amp;"-"&amp;TEXT(F68,"0000")&amp;"x"&amp;TEXT(G68,"0000")&amp;"-D"&amp;TEXT(H68*1000,"0000")&amp;"-"&amp;IFERROR(VLOOKUP(I68,Lists!$Y$4:$Z$21,2,0),"??")&amp;"-"&amp;AG68)</f>
        <v/>
      </c>
      <c r="B68" s="10" t="str">
        <f aca="false">IF(D68="","",D68&amp;" for "&amp;E68&amp;", "&amp;F68&amp;" x "&amp;G68&amp;" pit, "&amp;TEXT(H68,"0.0")&amp;" m deep, "&amp;I68)</f>
        <v/>
      </c>
      <c r="C68" s="9"/>
      <c r="D68" s="9"/>
      <c r="E68" s="9"/>
      <c r="F68" s="38"/>
      <c r="G68" s="38"/>
      <c r="H68" s="42"/>
      <c r="I68" s="9"/>
      <c r="J68" s="42"/>
      <c r="K68" s="38"/>
      <c r="L68" s="9"/>
      <c r="M68" s="42"/>
      <c r="N68" s="42"/>
      <c r="O68" s="38"/>
      <c r="P68" s="9"/>
      <c r="Q68" s="9"/>
      <c r="R68" s="39"/>
      <c r="S68" s="39"/>
      <c r="T68" s="38"/>
      <c r="U68" s="38"/>
      <c r="V68" s="38"/>
      <c r="W68" s="9"/>
      <c r="X68" s="9"/>
      <c r="Y68" s="38"/>
      <c r="Z68" s="9"/>
      <c r="AA68" s="9"/>
      <c r="AB68" s="38"/>
      <c r="AC68" s="9"/>
      <c r="AD68" s="39"/>
      <c r="AE68" s="9"/>
      <c r="AF68" s="9"/>
      <c r="AG68" s="9"/>
      <c r="AH68" s="9"/>
      <c r="AI68" s="9"/>
      <c r="AJ68" s="9"/>
      <c r="AK68" s="9"/>
      <c r="AL68" s="10" t="str">
        <f aca="false">IF(A68="","",SG_Criteria!$B$6&amp;SG_Criteria!$B$11&amp;"\"&amp;A68&amp;"\")</f>
        <v/>
      </c>
      <c r="AM68" s="10" t="str">
        <f aca="false">IF(A68="","",A68&amp;"_CAD.dwg")</f>
        <v/>
      </c>
      <c r="AN68" s="10" t="str">
        <f aca="false">IF(A68="","",A68&amp;"_DWG.pdf")</f>
        <v/>
      </c>
      <c r="AO68" s="10" t="str">
        <f aca="false">IF(A68="","",IF(AK68="Y",A68&amp;"_STAAD.std","n/a"))</f>
        <v/>
      </c>
      <c r="AP68" s="10" t="str">
        <f aca="false">IF(A68="","",A68&amp;"_CALC.xlsx")</f>
        <v/>
      </c>
      <c r="AQ68" s="10" t="str">
        <f aca="false">IF(A68="","",A68&amp;"_CALC.pdf")</f>
        <v/>
      </c>
      <c r="AR68" s="9"/>
      <c r="AS68" s="9"/>
      <c r="AT68" s="39"/>
      <c r="AU68" s="39"/>
      <c r="AV68" s="39"/>
      <c r="AW68" s="39"/>
      <c r="AX68" s="39"/>
      <c r="AY68" s="12" t="str">
        <f aca="false">IF(A68="","",IF(COUNTIF(Rebar_Schedule!$A$5:$A$2004,A68)=0,"",ROUND(SUMIF(Rebar_Schedule!$A$5:$A$2004,A68,Rebar_Schedule!$K$5:$K$2004),1)))</f>
        <v/>
      </c>
      <c r="AZ68" s="33" t="str">
        <f aca="false">IF(A68="","",IF(AY68="","No rebar schedule yet",IF(ABS(AY68-N(AU68))/MAX(N(AU68),1)&gt;SG_Criteria!$B$55,"NOTE: register rebar differs from schedule by "&amp;TEXT(ABS(AY68-N(AU68))/MAX(N(AU68),1),"0%"),"OK")))</f>
        <v/>
      </c>
      <c r="BA68" s="33" t="str">
        <f aca="false">IF(OR(D68="",H68=""),"",IF(H68&lt;=IF(OR(D68="Soldier Pile &amp; Timber Lagging",D68="Trench Shoring Box",D68="Open Cut (battered)"),SG_Criteria!$B$34,SG_Criteria!$B$33),"No ERSS submission",IF(H68&lt;=SG_Criteria!$B$35,"QP(ST)",IF(H68&lt;=SG_Criteria!$B$36,"QP(ST) + AC","Geotechnical building works: QP(Geo) + AC"))))</f>
        <v/>
      </c>
      <c r="BB68" s="33" t="str">
        <f aca="false">IF(D68="","",IF(LEN(IF(AND(R68&lt;&gt;"",R68&lt;SG_Criteria!$B$37),"FAIL: base stability FOS &lt; "&amp;SG_Criteria!$B$37&amp;". ","")&amp;IF(AND(E68="Manhole",H68&gt;SG_Criteria!$B$36),"NOTE: BCA lists sewer manholes (pipe &lt;= 2 m dia) &gt; 6 m as non-GBW: QP(ST) + AC. ","")&amp;IF(AND(D68="Trench Shoring Box",I68="Kallang Formation (marine clay)"),"NOTE: check base heave / ground loss for shoring box in marine clay. ","")&amp;IF(AND(D68="Steel Sheet Pile Cofferdam",N(N68)&lt;H68*0.5),"NOTE: short toe embedment, check. ",""))=0,"OK",IF(AND(R68&lt;&gt;"",R68&lt;SG_Criteria!$B$37),"FAIL: base stability FOS &lt; "&amp;SG_Criteria!$B$37&amp;". ","")&amp;IF(AND(E68="Manhole",H68&gt;SG_Criteria!$B$36),"NOTE: BCA lists sewer manholes (pipe &lt;= 2 m dia) &gt; 6 m as non-GBW: QP(ST) + AC. ","")&amp;IF(AND(D68="Trench Shoring Box",I68="Kallang Formation (marine clay)"),"NOTE: check base heave / ground loss for shoring box in marine clay. ","")&amp;IF(AND(D68="Steel Sheet Pile Cofferdam",N(N68)&lt;H68*0.5),"NOTE: short toe embedment, check. ","")))</f>
        <v/>
      </c>
      <c r="BC68" s="9"/>
      <c r="BD68" s="9"/>
      <c r="BE68" s="9"/>
      <c r="BF68" s="10" t="str">
        <f aca="false">IF(BE68="","",IFERROR(VLOOKUP(BE68,Projects!$A$5:$D$504,2,0),"Ref not in Projects"))</f>
        <v/>
      </c>
      <c r="BG68" s="10" t="str">
        <f aca="false">IF(BE68="","",IFERROR(VLOOKUP(BE68,Projects!$A$5:$D$504,4,0),"Ref not in Projects"))</f>
        <v/>
      </c>
      <c r="BH68" s="9"/>
      <c r="BI68" s="9"/>
      <c r="BJ68" s="9"/>
      <c r="BK68" s="40"/>
      <c r="BL68" s="9"/>
      <c r="BM68" s="40"/>
      <c r="BN68" s="9"/>
      <c r="BO68" s="40"/>
      <c r="BP68" s="9"/>
      <c r="BQ68" s="9"/>
      <c r="BR68" s="9"/>
      <c r="BS68" s="40"/>
      <c r="BT68" s="40"/>
      <c r="BU68" s="36" t="str">
        <f aca="false">IF(BT68="","",EDATE(BT68,SG_Criteria!$B$54*12))</f>
        <v/>
      </c>
      <c r="BV68" s="33" t="str">
        <f aca="true">IF(A68="","",IF(BT68="","NOTE: not reviewed yet",IF(TODAY()&gt;BU68,"NOTE: review overdue","OK")))</f>
        <v/>
      </c>
      <c r="BW68" s="37" t="str">
        <f aca="false">IF(A68="","",ROUND((IF(LEN(D68)&gt;0,1,0)+IF(LEN(E68)&gt;0,1,0)+IF(LEN(F68)&gt;0,1,0)+IF(LEN(G68)&gt;0,1,0)+IF(LEN(H68)&gt;0,1,0)+IF(LEN(I68)&gt;0,1,0)+IF(LEN(J68)&gt;0,1,0)+IF(LEN(L68)&gt;0,1,0)+IF(LEN(R68)&gt;0,1,0)+IF(LEN(Y68)&gt;0,1,0)+IF(LEN(AE68)&gt;0,1,0)+IF(LEN(AG68)&gt;0,1,0)+IF(LEN(AH68)&gt;0,1,0)+IF(LEN(AI68)&gt;0,1,0)+IF(LEN(AJ68)&gt;0,1,0)+IF(LEN(AS68)&gt;0,1,0)+IF(LEN(BE68)&gt;0,1,0)+IF(LEN(BR68)&gt;0,1,0))/18,2))</f>
        <v/>
      </c>
      <c r="BX68" s="10" t="str">
        <f aca="false">IF(D68="","",IF(AND(AH68="Approved",ISERROR(SEARCH("FAIL",BB68))),"Y","N"))</f>
        <v/>
      </c>
      <c r="BY68" s="10" t="str">
        <f aca="false">IF(D68="","",D68&amp;"|"&amp;H68&amp;"|"&amp;F68&amp;"|"&amp;I68&amp;"|"&amp;BX68)</f>
        <v/>
      </c>
    </row>
    <row r="69" customFormat="false" ht="15" hidden="false" customHeight="false" outlineLevel="0" collapsed="false">
      <c r="A69" s="10" t="str">
        <f aca="false">IF(D69="","","ERSS-"&amp;IFERROR(VLOOKUP(D69,Lists!$AK$4:$AL$21,2,0),"??")&amp;"-"&amp;TEXT(F69,"0000")&amp;"x"&amp;TEXT(G69,"0000")&amp;"-D"&amp;TEXT(H69*1000,"0000")&amp;"-"&amp;IFERROR(VLOOKUP(I69,Lists!$Y$4:$Z$21,2,0),"??")&amp;"-"&amp;AG69)</f>
        <v/>
      </c>
      <c r="B69" s="10" t="str">
        <f aca="false">IF(D69="","",D69&amp;" for "&amp;E69&amp;", "&amp;F69&amp;" x "&amp;G69&amp;" pit, "&amp;TEXT(H69,"0.0")&amp;" m deep, "&amp;I69)</f>
        <v/>
      </c>
      <c r="C69" s="9"/>
      <c r="D69" s="9"/>
      <c r="E69" s="9"/>
      <c r="F69" s="38"/>
      <c r="G69" s="38"/>
      <c r="H69" s="42"/>
      <c r="I69" s="9"/>
      <c r="J69" s="42"/>
      <c r="K69" s="38"/>
      <c r="L69" s="9"/>
      <c r="M69" s="42"/>
      <c r="N69" s="42"/>
      <c r="O69" s="38"/>
      <c r="P69" s="9"/>
      <c r="Q69" s="9"/>
      <c r="R69" s="39"/>
      <c r="S69" s="39"/>
      <c r="T69" s="38"/>
      <c r="U69" s="38"/>
      <c r="V69" s="38"/>
      <c r="W69" s="9"/>
      <c r="X69" s="9"/>
      <c r="Y69" s="38"/>
      <c r="Z69" s="9"/>
      <c r="AA69" s="9"/>
      <c r="AB69" s="38"/>
      <c r="AC69" s="9"/>
      <c r="AD69" s="39"/>
      <c r="AE69" s="9"/>
      <c r="AF69" s="9"/>
      <c r="AG69" s="9"/>
      <c r="AH69" s="9"/>
      <c r="AI69" s="9"/>
      <c r="AJ69" s="9"/>
      <c r="AK69" s="9"/>
      <c r="AL69" s="10" t="str">
        <f aca="false">IF(A69="","",SG_Criteria!$B$6&amp;SG_Criteria!$B$11&amp;"\"&amp;A69&amp;"\")</f>
        <v/>
      </c>
      <c r="AM69" s="10" t="str">
        <f aca="false">IF(A69="","",A69&amp;"_CAD.dwg")</f>
        <v/>
      </c>
      <c r="AN69" s="10" t="str">
        <f aca="false">IF(A69="","",A69&amp;"_DWG.pdf")</f>
        <v/>
      </c>
      <c r="AO69" s="10" t="str">
        <f aca="false">IF(A69="","",IF(AK69="Y",A69&amp;"_STAAD.std","n/a"))</f>
        <v/>
      </c>
      <c r="AP69" s="10" t="str">
        <f aca="false">IF(A69="","",A69&amp;"_CALC.xlsx")</f>
        <v/>
      </c>
      <c r="AQ69" s="10" t="str">
        <f aca="false">IF(A69="","",A69&amp;"_CALC.pdf")</f>
        <v/>
      </c>
      <c r="AR69" s="9"/>
      <c r="AS69" s="9"/>
      <c r="AT69" s="39"/>
      <c r="AU69" s="39"/>
      <c r="AV69" s="39"/>
      <c r="AW69" s="39"/>
      <c r="AX69" s="39"/>
      <c r="AY69" s="12" t="str">
        <f aca="false">IF(A69="","",IF(COUNTIF(Rebar_Schedule!$A$5:$A$2004,A69)=0,"",ROUND(SUMIF(Rebar_Schedule!$A$5:$A$2004,A69,Rebar_Schedule!$K$5:$K$2004),1)))</f>
        <v/>
      </c>
      <c r="AZ69" s="33" t="str">
        <f aca="false">IF(A69="","",IF(AY69="","No rebar schedule yet",IF(ABS(AY69-N(AU69))/MAX(N(AU69),1)&gt;SG_Criteria!$B$55,"NOTE: register rebar differs from schedule by "&amp;TEXT(ABS(AY69-N(AU69))/MAX(N(AU69),1),"0%"),"OK")))</f>
        <v/>
      </c>
      <c r="BA69" s="33" t="str">
        <f aca="false">IF(OR(D69="",H69=""),"",IF(H69&lt;=IF(OR(D69="Soldier Pile &amp; Timber Lagging",D69="Trench Shoring Box",D69="Open Cut (battered)"),SG_Criteria!$B$34,SG_Criteria!$B$33),"No ERSS submission",IF(H69&lt;=SG_Criteria!$B$35,"QP(ST)",IF(H69&lt;=SG_Criteria!$B$36,"QP(ST) + AC","Geotechnical building works: QP(Geo) + AC"))))</f>
        <v/>
      </c>
      <c r="BB69" s="33" t="str">
        <f aca="false">IF(D69="","",IF(LEN(IF(AND(R69&lt;&gt;"",R69&lt;SG_Criteria!$B$37),"FAIL: base stability FOS &lt; "&amp;SG_Criteria!$B$37&amp;". ","")&amp;IF(AND(E69="Manhole",H69&gt;SG_Criteria!$B$36),"NOTE: BCA lists sewer manholes (pipe &lt;= 2 m dia) &gt; 6 m as non-GBW: QP(ST) + AC. ","")&amp;IF(AND(D69="Trench Shoring Box",I69="Kallang Formation (marine clay)"),"NOTE: check base heave / ground loss for shoring box in marine clay. ","")&amp;IF(AND(D69="Steel Sheet Pile Cofferdam",N(N69)&lt;H69*0.5),"NOTE: short toe embedment, check. ",""))=0,"OK",IF(AND(R69&lt;&gt;"",R69&lt;SG_Criteria!$B$37),"FAIL: base stability FOS &lt; "&amp;SG_Criteria!$B$37&amp;". ","")&amp;IF(AND(E69="Manhole",H69&gt;SG_Criteria!$B$36),"NOTE: BCA lists sewer manholes (pipe &lt;= 2 m dia) &gt; 6 m as non-GBW: QP(ST) + AC. ","")&amp;IF(AND(D69="Trench Shoring Box",I69="Kallang Formation (marine clay)"),"NOTE: check base heave / ground loss for shoring box in marine clay. ","")&amp;IF(AND(D69="Steel Sheet Pile Cofferdam",N(N69)&lt;H69*0.5),"NOTE: short toe embedment, check. ","")))</f>
        <v/>
      </c>
      <c r="BC69" s="9"/>
      <c r="BD69" s="9"/>
      <c r="BE69" s="9"/>
      <c r="BF69" s="10" t="str">
        <f aca="false">IF(BE69="","",IFERROR(VLOOKUP(BE69,Projects!$A$5:$D$504,2,0),"Ref not in Projects"))</f>
        <v/>
      </c>
      <c r="BG69" s="10" t="str">
        <f aca="false">IF(BE69="","",IFERROR(VLOOKUP(BE69,Projects!$A$5:$D$504,4,0),"Ref not in Projects"))</f>
        <v/>
      </c>
      <c r="BH69" s="9"/>
      <c r="BI69" s="9"/>
      <c r="BJ69" s="9"/>
      <c r="BK69" s="40"/>
      <c r="BL69" s="9"/>
      <c r="BM69" s="40"/>
      <c r="BN69" s="9"/>
      <c r="BO69" s="40"/>
      <c r="BP69" s="9"/>
      <c r="BQ69" s="9"/>
      <c r="BR69" s="9"/>
      <c r="BS69" s="40"/>
      <c r="BT69" s="40"/>
      <c r="BU69" s="36" t="str">
        <f aca="false">IF(BT69="","",EDATE(BT69,SG_Criteria!$B$54*12))</f>
        <v/>
      </c>
      <c r="BV69" s="33" t="str">
        <f aca="true">IF(A69="","",IF(BT69="","NOTE: not reviewed yet",IF(TODAY()&gt;BU69,"NOTE: review overdue","OK")))</f>
        <v/>
      </c>
      <c r="BW69" s="37" t="str">
        <f aca="false">IF(A69="","",ROUND((IF(LEN(D69)&gt;0,1,0)+IF(LEN(E69)&gt;0,1,0)+IF(LEN(F69)&gt;0,1,0)+IF(LEN(G69)&gt;0,1,0)+IF(LEN(H69)&gt;0,1,0)+IF(LEN(I69)&gt;0,1,0)+IF(LEN(J69)&gt;0,1,0)+IF(LEN(L69)&gt;0,1,0)+IF(LEN(R69)&gt;0,1,0)+IF(LEN(Y69)&gt;0,1,0)+IF(LEN(AE69)&gt;0,1,0)+IF(LEN(AG69)&gt;0,1,0)+IF(LEN(AH69)&gt;0,1,0)+IF(LEN(AI69)&gt;0,1,0)+IF(LEN(AJ69)&gt;0,1,0)+IF(LEN(AS69)&gt;0,1,0)+IF(LEN(BE69)&gt;0,1,0)+IF(LEN(BR69)&gt;0,1,0))/18,2))</f>
        <v/>
      </c>
      <c r="BX69" s="10" t="str">
        <f aca="false">IF(D69="","",IF(AND(AH69="Approved",ISERROR(SEARCH("FAIL",BB69))),"Y","N"))</f>
        <v/>
      </c>
      <c r="BY69" s="10" t="str">
        <f aca="false">IF(D69="","",D69&amp;"|"&amp;H69&amp;"|"&amp;F69&amp;"|"&amp;I69&amp;"|"&amp;BX69)</f>
        <v/>
      </c>
    </row>
    <row r="70" customFormat="false" ht="15" hidden="false" customHeight="false" outlineLevel="0" collapsed="false">
      <c r="A70" s="10" t="str">
        <f aca="false">IF(D70="","","ERSS-"&amp;IFERROR(VLOOKUP(D70,Lists!$AK$4:$AL$21,2,0),"??")&amp;"-"&amp;TEXT(F70,"0000")&amp;"x"&amp;TEXT(G70,"0000")&amp;"-D"&amp;TEXT(H70*1000,"0000")&amp;"-"&amp;IFERROR(VLOOKUP(I70,Lists!$Y$4:$Z$21,2,0),"??")&amp;"-"&amp;AG70)</f>
        <v/>
      </c>
      <c r="B70" s="10" t="str">
        <f aca="false">IF(D70="","",D70&amp;" for "&amp;E70&amp;", "&amp;F70&amp;" x "&amp;G70&amp;" pit, "&amp;TEXT(H70,"0.0")&amp;" m deep, "&amp;I70)</f>
        <v/>
      </c>
      <c r="C70" s="9"/>
      <c r="D70" s="9"/>
      <c r="E70" s="9"/>
      <c r="F70" s="38"/>
      <c r="G70" s="38"/>
      <c r="H70" s="42"/>
      <c r="I70" s="9"/>
      <c r="J70" s="42"/>
      <c r="K70" s="38"/>
      <c r="L70" s="9"/>
      <c r="M70" s="42"/>
      <c r="N70" s="42"/>
      <c r="O70" s="38"/>
      <c r="P70" s="9"/>
      <c r="Q70" s="9"/>
      <c r="R70" s="39"/>
      <c r="S70" s="39"/>
      <c r="T70" s="38"/>
      <c r="U70" s="38"/>
      <c r="V70" s="38"/>
      <c r="W70" s="9"/>
      <c r="X70" s="9"/>
      <c r="Y70" s="38"/>
      <c r="Z70" s="9"/>
      <c r="AA70" s="9"/>
      <c r="AB70" s="38"/>
      <c r="AC70" s="9"/>
      <c r="AD70" s="39"/>
      <c r="AE70" s="9"/>
      <c r="AF70" s="9"/>
      <c r="AG70" s="9"/>
      <c r="AH70" s="9"/>
      <c r="AI70" s="9"/>
      <c r="AJ70" s="9"/>
      <c r="AK70" s="9"/>
      <c r="AL70" s="10" t="str">
        <f aca="false">IF(A70="","",SG_Criteria!$B$6&amp;SG_Criteria!$B$11&amp;"\"&amp;A70&amp;"\")</f>
        <v/>
      </c>
      <c r="AM70" s="10" t="str">
        <f aca="false">IF(A70="","",A70&amp;"_CAD.dwg")</f>
        <v/>
      </c>
      <c r="AN70" s="10" t="str">
        <f aca="false">IF(A70="","",A70&amp;"_DWG.pdf")</f>
        <v/>
      </c>
      <c r="AO70" s="10" t="str">
        <f aca="false">IF(A70="","",IF(AK70="Y",A70&amp;"_STAAD.std","n/a"))</f>
        <v/>
      </c>
      <c r="AP70" s="10" t="str">
        <f aca="false">IF(A70="","",A70&amp;"_CALC.xlsx")</f>
        <v/>
      </c>
      <c r="AQ70" s="10" t="str">
        <f aca="false">IF(A70="","",A70&amp;"_CALC.pdf")</f>
        <v/>
      </c>
      <c r="AR70" s="9"/>
      <c r="AS70" s="9"/>
      <c r="AT70" s="39"/>
      <c r="AU70" s="39"/>
      <c r="AV70" s="39"/>
      <c r="AW70" s="39"/>
      <c r="AX70" s="39"/>
      <c r="AY70" s="12" t="str">
        <f aca="false">IF(A70="","",IF(COUNTIF(Rebar_Schedule!$A$5:$A$2004,A70)=0,"",ROUND(SUMIF(Rebar_Schedule!$A$5:$A$2004,A70,Rebar_Schedule!$K$5:$K$2004),1)))</f>
        <v/>
      </c>
      <c r="AZ70" s="33" t="str">
        <f aca="false">IF(A70="","",IF(AY70="","No rebar schedule yet",IF(ABS(AY70-N(AU70))/MAX(N(AU70),1)&gt;SG_Criteria!$B$55,"NOTE: register rebar differs from schedule by "&amp;TEXT(ABS(AY70-N(AU70))/MAX(N(AU70),1),"0%"),"OK")))</f>
        <v/>
      </c>
      <c r="BA70" s="33" t="str">
        <f aca="false">IF(OR(D70="",H70=""),"",IF(H70&lt;=IF(OR(D70="Soldier Pile &amp; Timber Lagging",D70="Trench Shoring Box",D70="Open Cut (battered)"),SG_Criteria!$B$34,SG_Criteria!$B$33),"No ERSS submission",IF(H70&lt;=SG_Criteria!$B$35,"QP(ST)",IF(H70&lt;=SG_Criteria!$B$36,"QP(ST) + AC","Geotechnical building works: QP(Geo) + AC"))))</f>
        <v/>
      </c>
      <c r="BB70" s="33" t="str">
        <f aca="false">IF(D70="","",IF(LEN(IF(AND(R70&lt;&gt;"",R70&lt;SG_Criteria!$B$37),"FAIL: base stability FOS &lt; "&amp;SG_Criteria!$B$37&amp;". ","")&amp;IF(AND(E70="Manhole",H70&gt;SG_Criteria!$B$36),"NOTE: BCA lists sewer manholes (pipe &lt;= 2 m dia) &gt; 6 m as non-GBW: QP(ST) + AC. ","")&amp;IF(AND(D70="Trench Shoring Box",I70="Kallang Formation (marine clay)"),"NOTE: check base heave / ground loss for shoring box in marine clay. ","")&amp;IF(AND(D70="Steel Sheet Pile Cofferdam",N(N70)&lt;H70*0.5),"NOTE: short toe embedment, check. ",""))=0,"OK",IF(AND(R70&lt;&gt;"",R70&lt;SG_Criteria!$B$37),"FAIL: base stability FOS &lt; "&amp;SG_Criteria!$B$37&amp;". ","")&amp;IF(AND(E70="Manhole",H70&gt;SG_Criteria!$B$36),"NOTE: BCA lists sewer manholes (pipe &lt;= 2 m dia) &gt; 6 m as non-GBW: QP(ST) + AC. ","")&amp;IF(AND(D70="Trench Shoring Box",I70="Kallang Formation (marine clay)"),"NOTE: check base heave / ground loss for shoring box in marine clay. ","")&amp;IF(AND(D70="Steel Sheet Pile Cofferdam",N(N70)&lt;H70*0.5),"NOTE: short toe embedment, check. ","")))</f>
        <v/>
      </c>
      <c r="BC70" s="9"/>
      <c r="BD70" s="9"/>
      <c r="BE70" s="9"/>
      <c r="BF70" s="10" t="str">
        <f aca="false">IF(BE70="","",IFERROR(VLOOKUP(BE70,Projects!$A$5:$D$504,2,0),"Ref not in Projects"))</f>
        <v/>
      </c>
      <c r="BG70" s="10" t="str">
        <f aca="false">IF(BE70="","",IFERROR(VLOOKUP(BE70,Projects!$A$5:$D$504,4,0),"Ref not in Projects"))</f>
        <v/>
      </c>
      <c r="BH70" s="9"/>
      <c r="BI70" s="9"/>
      <c r="BJ70" s="9"/>
      <c r="BK70" s="40"/>
      <c r="BL70" s="9"/>
      <c r="BM70" s="40"/>
      <c r="BN70" s="9"/>
      <c r="BO70" s="40"/>
      <c r="BP70" s="9"/>
      <c r="BQ70" s="9"/>
      <c r="BR70" s="9"/>
      <c r="BS70" s="40"/>
      <c r="BT70" s="40"/>
      <c r="BU70" s="36" t="str">
        <f aca="false">IF(BT70="","",EDATE(BT70,SG_Criteria!$B$54*12))</f>
        <v/>
      </c>
      <c r="BV70" s="33" t="str">
        <f aca="true">IF(A70="","",IF(BT70="","NOTE: not reviewed yet",IF(TODAY()&gt;BU70,"NOTE: review overdue","OK")))</f>
        <v/>
      </c>
      <c r="BW70" s="37" t="str">
        <f aca="false">IF(A70="","",ROUND((IF(LEN(D70)&gt;0,1,0)+IF(LEN(E70)&gt;0,1,0)+IF(LEN(F70)&gt;0,1,0)+IF(LEN(G70)&gt;0,1,0)+IF(LEN(H70)&gt;0,1,0)+IF(LEN(I70)&gt;0,1,0)+IF(LEN(J70)&gt;0,1,0)+IF(LEN(L70)&gt;0,1,0)+IF(LEN(R70)&gt;0,1,0)+IF(LEN(Y70)&gt;0,1,0)+IF(LEN(AE70)&gt;0,1,0)+IF(LEN(AG70)&gt;0,1,0)+IF(LEN(AH70)&gt;0,1,0)+IF(LEN(AI70)&gt;0,1,0)+IF(LEN(AJ70)&gt;0,1,0)+IF(LEN(AS70)&gt;0,1,0)+IF(LEN(BE70)&gt;0,1,0)+IF(LEN(BR70)&gt;0,1,0))/18,2))</f>
        <v/>
      </c>
      <c r="BX70" s="10" t="str">
        <f aca="false">IF(D70="","",IF(AND(AH70="Approved",ISERROR(SEARCH("FAIL",BB70))),"Y","N"))</f>
        <v/>
      </c>
      <c r="BY70" s="10" t="str">
        <f aca="false">IF(D70="","",D70&amp;"|"&amp;H70&amp;"|"&amp;F70&amp;"|"&amp;I70&amp;"|"&amp;BX70)</f>
        <v/>
      </c>
    </row>
    <row r="71" customFormat="false" ht="15" hidden="false" customHeight="false" outlineLevel="0" collapsed="false">
      <c r="A71" s="10" t="str">
        <f aca="false">IF(D71="","","ERSS-"&amp;IFERROR(VLOOKUP(D71,Lists!$AK$4:$AL$21,2,0),"??")&amp;"-"&amp;TEXT(F71,"0000")&amp;"x"&amp;TEXT(G71,"0000")&amp;"-D"&amp;TEXT(H71*1000,"0000")&amp;"-"&amp;IFERROR(VLOOKUP(I71,Lists!$Y$4:$Z$21,2,0),"??")&amp;"-"&amp;AG71)</f>
        <v/>
      </c>
      <c r="B71" s="10" t="str">
        <f aca="false">IF(D71="","",D71&amp;" for "&amp;E71&amp;", "&amp;F71&amp;" x "&amp;G71&amp;" pit, "&amp;TEXT(H71,"0.0")&amp;" m deep, "&amp;I71)</f>
        <v/>
      </c>
      <c r="C71" s="9"/>
      <c r="D71" s="9"/>
      <c r="E71" s="9"/>
      <c r="F71" s="38"/>
      <c r="G71" s="38"/>
      <c r="H71" s="42"/>
      <c r="I71" s="9"/>
      <c r="J71" s="42"/>
      <c r="K71" s="38"/>
      <c r="L71" s="9"/>
      <c r="M71" s="42"/>
      <c r="N71" s="42"/>
      <c r="O71" s="38"/>
      <c r="P71" s="9"/>
      <c r="Q71" s="9"/>
      <c r="R71" s="39"/>
      <c r="S71" s="39"/>
      <c r="T71" s="38"/>
      <c r="U71" s="38"/>
      <c r="V71" s="38"/>
      <c r="W71" s="9"/>
      <c r="X71" s="9"/>
      <c r="Y71" s="38"/>
      <c r="Z71" s="9"/>
      <c r="AA71" s="9"/>
      <c r="AB71" s="38"/>
      <c r="AC71" s="9"/>
      <c r="AD71" s="39"/>
      <c r="AE71" s="9"/>
      <c r="AF71" s="9"/>
      <c r="AG71" s="9"/>
      <c r="AH71" s="9"/>
      <c r="AI71" s="9"/>
      <c r="AJ71" s="9"/>
      <c r="AK71" s="9"/>
      <c r="AL71" s="10" t="str">
        <f aca="false">IF(A71="","",SG_Criteria!$B$6&amp;SG_Criteria!$B$11&amp;"\"&amp;A71&amp;"\")</f>
        <v/>
      </c>
      <c r="AM71" s="10" t="str">
        <f aca="false">IF(A71="","",A71&amp;"_CAD.dwg")</f>
        <v/>
      </c>
      <c r="AN71" s="10" t="str">
        <f aca="false">IF(A71="","",A71&amp;"_DWG.pdf")</f>
        <v/>
      </c>
      <c r="AO71" s="10" t="str">
        <f aca="false">IF(A71="","",IF(AK71="Y",A71&amp;"_STAAD.std","n/a"))</f>
        <v/>
      </c>
      <c r="AP71" s="10" t="str">
        <f aca="false">IF(A71="","",A71&amp;"_CALC.xlsx")</f>
        <v/>
      </c>
      <c r="AQ71" s="10" t="str">
        <f aca="false">IF(A71="","",A71&amp;"_CALC.pdf")</f>
        <v/>
      </c>
      <c r="AR71" s="9"/>
      <c r="AS71" s="9"/>
      <c r="AT71" s="39"/>
      <c r="AU71" s="39"/>
      <c r="AV71" s="39"/>
      <c r="AW71" s="39"/>
      <c r="AX71" s="39"/>
      <c r="AY71" s="12" t="str">
        <f aca="false">IF(A71="","",IF(COUNTIF(Rebar_Schedule!$A$5:$A$2004,A71)=0,"",ROUND(SUMIF(Rebar_Schedule!$A$5:$A$2004,A71,Rebar_Schedule!$K$5:$K$2004),1)))</f>
        <v/>
      </c>
      <c r="AZ71" s="33" t="str">
        <f aca="false">IF(A71="","",IF(AY71="","No rebar schedule yet",IF(ABS(AY71-N(AU71))/MAX(N(AU71),1)&gt;SG_Criteria!$B$55,"NOTE: register rebar differs from schedule by "&amp;TEXT(ABS(AY71-N(AU71))/MAX(N(AU71),1),"0%"),"OK")))</f>
        <v/>
      </c>
      <c r="BA71" s="33" t="str">
        <f aca="false">IF(OR(D71="",H71=""),"",IF(H71&lt;=IF(OR(D71="Soldier Pile &amp; Timber Lagging",D71="Trench Shoring Box",D71="Open Cut (battered)"),SG_Criteria!$B$34,SG_Criteria!$B$33),"No ERSS submission",IF(H71&lt;=SG_Criteria!$B$35,"QP(ST)",IF(H71&lt;=SG_Criteria!$B$36,"QP(ST) + AC","Geotechnical building works: QP(Geo) + AC"))))</f>
        <v/>
      </c>
      <c r="BB71" s="33" t="str">
        <f aca="false">IF(D71="","",IF(LEN(IF(AND(R71&lt;&gt;"",R71&lt;SG_Criteria!$B$37),"FAIL: base stability FOS &lt; "&amp;SG_Criteria!$B$37&amp;". ","")&amp;IF(AND(E71="Manhole",H71&gt;SG_Criteria!$B$36),"NOTE: BCA lists sewer manholes (pipe &lt;= 2 m dia) &gt; 6 m as non-GBW: QP(ST) + AC. ","")&amp;IF(AND(D71="Trench Shoring Box",I71="Kallang Formation (marine clay)"),"NOTE: check base heave / ground loss for shoring box in marine clay. ","")&amp;IF(AND(D71="Steel Sheet Pile Cofferdam",N(N71)&lt;H71*0.5),"NOTE: short toe embedment, check. ",""))=0,"OK",IF(AND(R71&lt;&gt;"",R71&lt;SG_Criteria!$B$37),"FAIL: base stability FOS &lt; "&amp;SG_Criteria!$B$37&amp;". ","")&amp;IF(AND(E71="Manhole",H71&gt;SG_Criteria!$B$36),"NOTE: BCA lists sewer manholes (pipe &lt;= 2 m dia) &gt; 6 m as non-GBW: QP(ST) + AC. ","")&amp;IF(AND(D71="Trench Shoring Box",I71="Kallang Formation (marine clay)"),"NOTE: check base heave / ground loss for shoring box in marine clay. ","")&amp;IF(AND(D71="Steel Sheet Pile Cofferdam",N(N71)&lt;H71*0.5),"NOTE: short toe embedment, check. ","")))</f>
        <v/>
      </c>
      <c r="BC71" s="9"/>
      <c r="BD71" s="9"/>
      <c r="BE71" s="9"/>
      <c r="BF71" s="10" t="str">
        <f aca="false">IF(BE71="","",IFERROR(VLOOKUP(BE71,Projects!$A$5:$D$504,2,0),"Ref not in Projects"))</f>
        <v/>
      </c>
      <c r="BG71" s="10" t="str">
        <f aca="false">IF(BE71="","",IFERROR(VLOOKUP(BE71,Projects!$A$5:$D$504,4,0),"Ref not in Projects"))</f>
        <v/>
      </c>
      <c r="BH71" s="9"/>
      <c r="BI71" s="9"/>
      <c r="BJ71" s="9"/>
      <c r="BK71" s="40"/>
      <c r="BL71" s="9"/>
      <c r="BM71" s="40"/>
      <c r="BN71" s="9"/>
      <c r="BO71" s="40"/>
      <c r="BP71" s="9"/>
      <c r="BQ71" s="9"/>
      <c r="BR71" s="9"/>
      <c r="BS71" s="40"/>
      <c r="BT71" s="40"/>
      <c r="BU71" s="36" t="str">
        <f aca="false">IF(BT71="","",EDATE(BT71,SG_Criteria!$B$54*12))</f>
        <v/>
      </c>
      <c r="BV71" s="33" t="str">
        <f aca="true">IF(A71="","",IF(BT71="","NOTE: not reviewed yet",IF(TODAY()&gt;BU71,"NOTE: review overdue","OK")))</f>
        <v/>
      </c>
      <c r="BW71" s="37" t="str">
        <f aca="false">IF(A71="","",ROUND((IF(LEN(D71)&gt;0,1,0)+IF(LEN(E71)&gt;0,1,0)+IF(LEN(F71)&gt;0,1,0)+IF(LEN(G71)&gt;0,1,0)+IF(LEN(H71)&gt;0,1,0)+IF(LEN(I71)&gt;0,1,0)+IF(LEN(J71)&gt;0,1,0)+IF(LEN(L71)&gt;0,1,0)+IF(LEN(R71)&gt;0,1,0)+IF(LEN(Y71)&gt;0,1,0)+IF(LEN(AE71)&gt;0,1,0)+IF(LEN(AG71)&gt;0,1,0)+IF(LEN(AH71)&gt;0,1,0)+IF(LEN(AI71)&gt;0,1,0)+IF(LEN(AJ71)&gt;0,1,0)+IF(LEN(AS71)&gt;0,1,0)+IF(LEN(BE71)&gt;0,1,0)+IF(LEN(BR71)&gt;0,1,0))/18,2))</f>
        <v/>
      </c>
      <c r="BX71" s="10" t="str">
        <f aca="false">IF(D71="","",IF(AND(AH71="Approved",ISERROR(SEARCH("FAIL",BB71))),"Y","N"))</f>
        <v/>
      </c>
      <c r="BY71" s="10" t="str">
        <f aca="false">IF(D71="","",D71&amp;"|"&amp;H71&amp;"|"&amp;F71&amp;"|"&amp;I71&amp;"|"&amp;BX71)</f>
        <v/>
      </c>
    </row>
    <row r="72" customFormat="false" ht="15" hidden="false" customHeight="false" outlineLevel="0" collapsed="false">
      <c r="A72" s="10" t="str">
        <f aca="false">IF(D72="","","ERSS-"&amp;IFERROR(VLOOKUP(D72,Lists!$AK$4:$AL$21,2,0),"??")&amp;"-"&amp;TEXT(F72,"0000")&amp;"x"&amp;TEXT(G72,"0000")&amp;"-D"&amp;TEXT(H72*1000,"0000")&amp;"-"&amp;IFERROR(VLOOKUP(I72,Lists!$Y$4:$Z$21,2,0),"??")&amp;"-"&amp;AG72)</f>
        <v/>
      </c>
      <c r="B72" s="10" t="str">
        <f aca="false">IF(D72="","",D72&amp;" for "&amp;E72&amp;", "&amp;F72&amp;" x "&amp;G72&amp;" pit, "&amp;TEXT(H72,"0.0")&amp;" m deep, "&amp;I72)</f>
        <v/>
      </c>
      <c r="C72" s="9"/>
      <c r="D72" s="9"/>
      <c r="E72" s="9"/>
      <c r="F72" s="38"/>
      <c r="G72" s="38"/>
      <c r="H72" s="42"/>
      <c r="I72" s="9"/>
      <c r="J72" s="42"/>
      <c r="K72" s="38"/>
      <c r="L72" s="9"/>
      <c r="M72" s="42"/>
      <c r="N72" s="42"/>
      <c r="O72" s="38"/>
      <c r="P72" s="9"/>
      <c r="Q72" s="9"/>
      <c r="R72" s="39"/>
      <c r="S72" s="39"/>
      <c r="T72" s="38"/>
      <c r="U72" s="38"/>
      <c r="V72" s="38"/>
      <c r="W72" s="9"/>
      <c r="X72" s="9"/>
      <c r="Y72" s="38"/>
      <c r="Z72" s="9"/>
      <c r="AA72" s="9"/>
      <c r="AB72" s="38"/>
      <c r="AC72" s="9"/>
      <c r="AD72" s="39"/>
      <c r="AE72" s="9"/>
      <c r="AF72" s="9"/>
      <c r="AG72" s="9"/>
      <c r="AH72" s="9"/>
      <c r="AI72" s="9"/>
      <c r="AJ72" s="9"/>
      <c r="AK72" s="9"/>
      <c r="AL72" s="10" t="str">
        <f aca="false">IF(A72="","",SG_Criteria!$B$6&amp;SG_Criteria!$B$11&amp;"\"&amp;A72&amp;"\")</f>
        <v/>
      </c>
      <c r="AM72" s="10" t="str">
        <f aca="false">IF(A72="","",A72&amp;"_CAD.dwg")</f>
        <v/>
      </c>
      <c r="AN72" s="10" t="str">
        <f aca="false">IF(A72="","",A72&amp;"_DWG.pdf")</f>
        <v/>
      </c>
      <c r="AO72" s="10" t="str">
        <f aca="false">IF(A72="","",IF(AK72="Y",A72&amp;"_STAAD.std","n/a"))</f>
        <v/>
      </c>
      <c r="AP72" s="10" t="str">
        <f aca="false">IF(A72="","",A72&amp;"_CALC.xlsx")</f>
        <v/>
      </c>
      <c r="AQ72" s="10" t="str">
        <f aca="false">IF(A72="","",A72&amp;"_CALC.pdf")</f>
        <v/>
      </c>
      <c r="AR72" s="9"/>
      <c r="AS72" s="9"/>
      <c r="AT72" s="39"/>
      <c r="AU72" s="39"/>
      <c r="AV72" s="39"/>
      <c r="AW72" s="39"/>
      <c r="AX72" s="39"/>
      <c r="AY72" s="12" t="str">
        <f aca="false">IF(A72="","",IF(COUNTIF(Rebar_Schedule!$A$5:$A$2004,A72)=0,"",ROUND(SUMIF(Rebar_Schedule!$A$5:$A$2004,A72,Rebar_Schedule!$K$5:$K$2004),1)))</f>
        <v/>
      </c>
      <c r="AZ72" s="33" t="str">
        <f aca="false">IF(A72="","",IF(AY72="","No rebar schedule yet",IF(ABS(AY72-N(AU72))/MAX(N(AU72),1)&gt;SG_Criteria!$B$55,"NOTE: register rebar differs from schedule by "&amp;TEXT(ABS(AY72-N(AU72))/MAX(N(AU72),1),"0%"),"OK")))</f>
        <v/>
      </c>
      <c r="BA72" s="33" t="str">
        <f aca="false">IF(OR(D72="",H72=""),"",IF(H72&lt;=IF(OR(D72="Soldier Pile &amp; Timber Lagging",D72="Trench Shoring Box",D72="Open Cut (battered)"),SG_Criteria!$B$34,SG_Criteria!$B$33),"No ERSS submission",IF(H72&lt;=SG_Criteria!$B$35,"QP(ST)",IF(H72&lt;=SG_Criteria!$B$36,"QP(ST) + AC","Geotechnical building works: QP(Geo) + AC"))))</f>
        <v/>
      </c>
      <c r="BB72" s="33" t="str">
        <f aca="false">IF(D72="","",IF(LEN(IF(AND(R72&lt;&gt;"",R72&lt;SG_Criteria!$B$37),"FAIL: base stability FOS &lt; "&amp;SG_Criteria!$B$37&amp;". ","")&amp;IF(AND(E72="Manhole",H72&gt;SG_Criteria!$B$36),"NOTE: BCA lists sewer manholes (pipe &lt;= 2 m dia) &gt; 6 m as non-GBW: QP(ST) + AC. ","")&amp;IF(AND(D72="Trench Shoring Box",I72="Kallang Formation (marine clay)"),"NOTE: check base heave / ground loss for shoring box in marine clay. ","")&amp;IF(AND(D72="Steel Sheet Pile Cofferdam",N(N72)&lt;H72*0.5),"NOTE: short toe embedment, check. ",""))=0,"OK",IF(AND(R72&lt;&gt;"",R72&lt;SG_Criteria!$B$37),"FAIL: base stability FOS &lt; "&amp;SG_Criteria!$B$37&amp;". ","")&amp;IF(AND(E72="Manhole",H72&gt;SG_Criteria!$B$36),"NOTE: BCA lists sewer manholes (pipe &lt;= 2 m dia) &gt; 6 m as non-GBW: QP(ST) + AC. ","")&amp;IF(AND(D72="Trench Shoring Box",I72="Kallang Formation (marine clay)"),"NOTE: check base heave / ground loss for shoring box in marine clay. ","")&amp;IF(AND(D72="Steel Sheet Pile Cofferdam",N(N72)&lt;H72*0.5),"NOTE: short toe embedment, check. ","")))</f>
        <v/>
      </c>
      <c r="BC72" s="9"/>
      <c r="BD72" s="9"/>
      <c r="BE72" s="9"/>
      <c r="BF72" s="10" t="str">
        <f aca="false">IF(BE72="","",IFERROR(VLOOKUP(BE72,Projects!$A$5:$D$504,2,0),"Ref not in Projects"))</f>
        <v/>
      </c>
      <c r="BG72" s="10" t="str">
        <f aca="false">IF(BE72="","",IFERROR(VLOOKUP(BE72,Projects!$A$5:$D$504,4,0),"Ref not in Projects"))</f>
        <v/>
      </c>
      <c r="BH72" s="9"/>
      <c r="BI72" s="9"/>
      <c r="BJ72" s="9"/>
      <c r="BK72" s="40"/>
      <c r="BL72" s="9"/>
      <c r="BM72" s="40"/>
      <c r="BN72" s="9"/>
      <c r="BO72" s="40"/>
      <c r="BP72" s="9"/>
      <c r="BQ72" s="9"/>
      <c r="BR72" s="9"/>
      <c r="BS72" s="40"/>
      <c r="BT72" s="40"/>
      <c r="BU72" s="36" t="str">
        <f aca="false">IF(BT72="","",EDATE(BT72,SG_Criteria!$B$54*12))</f>
        <v/>
      </c>
      <c r="BV72" s="33" t="str">
        <f aca="true">IF(A72="","",IF(BT72="","NOTE: not reviewed yet",IF(TODAY()&gt;BU72,"NOTE: review overdue","OK")))</f>
        <v/>
      </c>
      <c r="BW72" s="37" t="str">
        <f aca="false">IF(A72="","",ROUND((IF(LEN(D72)&gt;0,1,0)+IF(LEN(E72)&gt;0,1,0)+IF(LEN(F72)&gt;0,1,0)+IF(LEN(G72)&gt;0,1,0)+IF(LEN(H72)&gt;0,1,0)+IF(LEN(I72)&gt;0,1,0)+IF(LEN(J72)&gt;0,1,0)+IF(LEN(L72)&gt;0,1,0)+IF(LEN(R72)&gt;0,1,0)+IF(LEN(Y72)&gt;0,1,0)+IF(LEN(AE72)&gt;0,1,0)+IF(LEN(AG72)&gt;0,1,0)+IF(LEN(AH72)&gt;0,1,0)+IF(LEN(AI72)&gt;0,1,0)+IF(LEN(AJ72)&gt;0,1,0)+IF(LEN(AS72)&gt;0,1,0)+IF(LEN(BE72)&gt;0,1,0)+IF(LEN(BR72)&gt;0,1,0))/18,2))</f>
        <v/>
      </c>
      <c r="BX72" s="10" t="str">
        <f aca="false">IF(D72="","",IF(AND(AH72="Approved",ISERROR(SEARCH("FAIL",BB72))),"Y","N"))</f>
        <v/>
      </c>
      <c r="BY72" s="10" t="str">
        <f aca="false">IF(D72="","",D72&amp;"|"&amp;H72&amp;"|"&amp;F72&amp;"|"&amp;I72&amp;"|"&amp;BX72)</f>
        <v/>
      </c>
    </row>
    <row r="73" customFormat="false" ht="15" hidden="false" customHeight="false" outlineLevel="0" collapsed="false">
      <c r="A73" s="10" t="str">
        <f aca="false">IF(D73="","","ERSS-"&amp;IFERROR(VLOOKUP(D73,Lists!$AK$4:$AL$21,2,0),"??")&amp;"-"&amp;TEXT(F73,"0000")&amp;"x"&amp;TEXT(G73,"0000")&amp;"-D"&amp;TEXT(H73*1000,"0000")&amp;"-"&amp;IFERROR(VLOOKUP(I73,Lists!$Y$4:$Z$21,2,0),"??")&amp;"-"&amp;AG73)</f>
        <v/>
      </c>
      <c r="B73" s="10" t="str">
        <f aca="false">IF(D73="","",D73&amp;" for "&amp;E73&amp;", "&amp;F73&amp;" x "&amp;G73&amp;" pit, "&amp;TEXT(H73,"0.0")&amp;" m deep, "&amp;I73)</f>
        <v/>
      </c>
      <c r="C73" s="9"/>
      <c r="D73" s="9"/>
      <c r="E73" s="9"/>
      <c r="F73" s="38"/>
      <c r="G73" s="38"/>
      <c r="H73" s="42"/>
      <c r="I73" s="9"/>
      <c r="J73" s="42"/>
      <c r="K73" s="38"/>
      <c r="L73" s="9"/>
      <c r="M73" s="42"/>
      <c r="N73" s="42"/>
      <c r="O73" s="38"/>
      <c r="P73" s="9"/>
      <c r="Q73" s="9"/>
      <c r="R73" s="39"/>
      <c r="S73" s="39"/>
      <c r="T73" s="38"/>
      <c r="U73" s="38"/>
      <c r="V73" s="38"/>
      <c r="W73" s="9"/>
      <c r="X73" s="9"/>
      <c r="Y73" s="38"/>
      <c r="Z73" s="9"/>
      <c r="AA73" s="9"/>
      <c r="AB73" s="38"/>
      <c r="AC73" s="9"/>
      <c r="AD73" s="39"/>
      <c r="AE73" s="9"/>
      <c r="AF73" s="9"/>
      <c r="AG73" s="9"/>
      <c r="AH73" s="9"/>
      <c r="AI73" s="9"/>
      <c r="AJ73" s="9"/>
      <c r="AK73" s="9"/>
      <c r="AL73" s="10" t="str">
        <f aca="false">IF(A73="","",SG_Criteria!$B$6&amp;SG_Criteria!$B$11&amp;"\"&amp;A73&amp;"\")</f>
        <v/>
      </c>
      <c r="AM73" s="10" t="str">
        <f aca="false">IF(A73="","",A73&amp;"_CAD.dwg")</f>
        <v/>
      </c>
      <c r="AN73" s="10" t="str">
        <f aca="false">IF(A73="","",A73&amp;"_DWG.pdf")</f>
        <v/>
      </c>
      <c r="AO73" s="10" t="str">
        <f aca="false">IF(A73="","",IF(AK73="Y",A73&amp;"_STAAD.std","n/a"))</f>
        <v/>
      </c>
      <c r="AP73" s="10" t="str">
        <f aca="false">IF(A73="","",A73&amp;"_CALC.xlsx")</f>
        <v/>
      </c>
      <c r="AQ73" s="10" t="str">
        <f aca="false">IF(A73="","",A73&amp;"_CALC.pdf")</f>
        <v/>
      </c>
      <c r="AR73" s="9"/>
      <c r="AS73" s="9"/>
      <c r="AT73" s="39"/>
      <c r="AU73" s="39"/>
      <c r="AV73" s="39"/>
      <c r="AW73" s="39"/>
      <c r="AX73" s="39"/>
      <c r="AY73" s="12" t="str">
        <f aca="false">IF(A73="","",IF(COUNTIF(Rebar_Schedule!$A$5:$A$2004,A73)=0,"",ROUND(SUMIF(Rebar_Schedule!$A$5:$A$2004,A73,Rebar_Schedule!$K$5:$K$2004),1)))</f>
        <v/>
      </c>
      <c r="AZ73" s="33" t="str">
        <f aca="false">IF(A73="","",IF(AY73="","No rebar schedule yet",IF(ABS(AY73-N(AU73))/MAX(N(AU73),1)&gt;SG_Criteria!$B$55,"NOTE: register rebar differs from schedule by "&amp;TEXT(ABS(AY73-N(AU73))/MAX(N(AU73),1),"0%"),"OK")))</f>
        <v/>
      </c>
      <c r="BA73" s="33" t="str">
        <f aca="false">IF(OR(D73="",H73=""),"",IF(H73&lt;=IF(OR(D73="Soldier Pile &amp; Timber Lagging",D73="Trench Shoring Box",D73="Open Cut (battered)"),SG_Criteria!$B$34,SG_Criteria!$B$33),"No ERSS submission",IF(H73&lt;=SG_Criteria!$B$35,"QP(ST)",IF(H73&lt;=SG_Criteria!$B$36,"QP(ST) + AC","Geotechnical building works: QP(Geo) + AC"))))</f>
        <v/>
      </c>
      <c r="BB73" s="33" t="str">
        <f aca="false">IF(D73="","",IF(LEN(IF(AND(R73&lt;&gt;"",R73&lt;SG_Criteria!$B$37),"FAIL: base stability FOS &lt; "&amp;SG_Criteria!$B$37&amp;". ","")&amp;IF(AND(E73="Manhole",H73&gt;SG_Criteria!$B$36),"NOTE: BCA lists sewer manholes (pipe &lt;= 2 m dia) &gt; 6 m as non-GBW: QP(ST) + AC. ","")&amp;IF(AND(D73="Trench Shoring Box",I73="Kallang Formation (marine clay)"),"NOTE: check base heave / ground loss for shoring box in marine clay. ","")&amp;IF(AND(D73="Steel Sheet Pile Cofferdam",N(N73)&lt;H73*0.5),"NOTE: short toe embedment, check. ",""))=0,"OK",IF(AND(R73&lt;&gt;"",R73&lt;SG_Criteria!$B$37),"FAIL: base stability FOS &lt; "&amp;SG_Criteria!$B$37&amp;". ","")&amp;IF(AND(E73="Manhole",H73&gt;SG_Criteria!$B$36),"NOTE: BCA lists sewer manholes (pipe &lt;= 2 m dia) &gt; 6 m as non-GBW: QP(ST) + AC. ","")&amp;IF(AND(D73="Trench Shoring Box",I73="Kallang Formation (marine clay)"),"NOTE: check base heave / ground loss for shoring box in marine clay. ","")&amp;IF(AND(D73="Steel Sheet Pile Cofferdam",N(N73)&lt;H73*0.5),"NOTE: short toe embedment, check. ","")))</f>
        <v/>
      </c>
      <c r="BC73" s="9"/>
      <c r="BD73" s="9"/>
      <c r="BE73" s="9"/>
      <c r="BF73" s="10" t="str">
        <f aca="false">IF(BE73="","",IFERROR(VLOOKUP(BE73,Projects!$A$5:$D$504,2,0),"Ref not in Projects"))</f>
        <v/>
      </c>
      <c r="BG73" s="10" t="str">
        <f aca="false">IF(BE73="","",IFERROR(VLOOKUP(BE73,Projects!$A$5:$D$504,4,0),"Ref not in Projects"))</f>
        <v/>
      </c>
      <c r="BH73" s="9"/>
      <c r="BI73" s="9"/>
      <c r="BJ73" s="9"/>
      <c r="BK73" s="40"/>
      <c r="BL73" s="9"/>
      <c r="BM73" s="40"/>
      <c r="BN73" s="9"/>
      <c r="BO73" s="40"/>
      <c r="BP73" s="9"/>
      <c r="BQ73" s="9"/>
      <c r="BR73" s="9"/>
      <c r="BS73" s="40"/>
      <c r="BT73" s="40"/>
      <c r="BU73" s="36" t="str">
        <f aca="false">IF(BT73="","",EDATE(BT73,SG_Criteria!$B$54*12))</f>
        <v/>
      </c>
      <c r="BV73" s="33" t="str">
        <f aca="true">IF(A73="","",IF(BT73="","NOTE: not reviewed yet",IF(TODAY()&gt;BU73,"NOTE: review overdue","OK")))</f>
        <v/>
      </c>
      <c r="BW73" s="37" t="str">
        <f aca="false">IF(A73="","",ROUND((IF(LEN(D73)&gt;0,1,0)+IF(LEN(E73)&gt;0,1,0)+IF(LEN(F73)&gt;0,1,0)+IF(LEN(G73)&gt;0,1,0)+IF(LEN(H73)&gt;0,1,0)+IF(LEN(I73)&gt;0,1,0)+IF(LEN(J73)&gt;0,1,0)+IF(LEN(L73)&gt;0,1,0)+IF(LEN(R73)&gt;0,1,0)+IF(LEN(Y73)&gt;0,1,0)+IF(LEN(AE73)&gt;0,1,0)+IF(LEN(AG73)&gt;0,1,0)+IF(LEN(AH73)&gt;0,1,0)+IF(LEN(AI73)&gt;0,1,0)+IF(LEN(AJ73)&gt;0,1,0)+IF(LEN(AS73)&gt;0,1,0)+IF(LEN(BE73)&gt;0,1,0)+IF(LEN(BR73)&gt;0,1,0))/18,2))</f>
        <v/>
      </c>
      <c r="BX73" s="10" t="str">
        <f aca="false">IF(D73="","",IF(AND(AH73="Approved",ISERROR(SEARCH("FAIL",BB73))),"Y","N"))</f>
        <v/>
      </c>
      <c r="BY73" s="10" t="str">
        <f aca="false">IF(D73="","",D73&amp;"|"&amp;H73&amp;"|"&amp;F73&amp;"|"&amp;I73&amp;"|"&amp;BX73)</f>
        <v/>
      </c>
    </row>
    <row r="74" customFormat="false" ht="15" hidden="false" customHeight="false" outlineLevel="0" collapsed="false">
      <c r="A74" s="10" t="str">
        <f aca="false">IF(D74="","","ERSS-"&amp;IFERROR(VLOOKUP(D74,Lists!$AK$4:$AL$21,2,0),"??")&amp;"-"&amp;TEXT(F74,"0000")&amp;"x"&amp;TEXT(G74,"0000")&amp;"-D"&amp;TEXT(H74*1000,"0000")&amp;"-"&amp;IFERROR(VLOOKUP(I74,Lists!$Y$4:$Z$21,2,0),"??")&amp;"-"&amp;AG74)</f>
        <v/>
      </c>
      <c r="B74" s="10" t="str">
        <f aca="false">IF(D74="","",D74&amp;" for "&amp;E74&amp;", "&amp;F74&amp;" x "&amp;G74&amp;" pit, "&amp;TEXT(H74,"0.0")&amp;" m deep, "&amp;I74)</f>
        <v/>
      </c>
      <c r="C74" s="9"/>
      <c r="D74" s="9"/>
      <c r="E74" s="9"/>
      <c r="F74" s="38"/>
      <c r="G74" s="38"/>
      <c r="H74" s="42"/>
      <c r="I74" s="9"/>
      <c r="J74" s="42"/>
      <c r="K74" s="38"/>
      <c r="L74" s="9"/>
      <c r="M74" s="42"/>
      <c r="N74" s="42"/>
      <c r="O74" s="38"/>
      <c r="P74" s="9"/>
      <c r="Q74" s="9"/>
      <c r="R74" s="39"/>
      <c r="S74" s="39"/>
      <c r="T74" s="38"/>
      <c r="U74" s="38"/>
      <c r="V74" s="38"/>
      <c r="W74" s="9"/>
      <c r="X74" s="9"/>
      <c r="Y74" s="38"/>
      <c r="Z74" s="9"/>
      <c r="AA74" s="9"/>
      <c r="AB74" s="38"/>
      <c r="AC74" s="9"/>
      <c r="AD74" s="39"/>
      <c r="AE74" s="9"/>
      <c r="AF74" s="9"/>
      <c r="AG74" s="9"/>
      <c r="AH74" s="9"/>
      <c r="AI74" s="9"/>
      <c r="AJ74" s="9"/>
      <c r="AK74" s="9"/>
      <c r="AL74" s="10" t="str">
        <f aca="false">IF(A74="","",SG_Criteria!$B$6&amp;SG_Criteria!$B$11&amp;"\"&amp;A74&amp;"\")</f>
        <v/>
      </c>
      <c r="AM74" s="10" t="str">
        <f aca="false">IF(A74="","",A74&amp;"_CAD.dwg")</f>
        <v/>
      </c>
      <c r="AN74" s="10" t="str">
        <f aca="false">IF(A74="","",A74&amp;"_DWG.pdf")</f>
        <v/>
      </c>
      <c r="AO74" s="10" t="str">
        <f aca="false">IF(A74="","",IF(AK74="Y",A74&amp;"_STAAD.std","n/a"))</f>
        <v/>
      </c>
      <c r="AP74" s="10" t="str">
        <f aca="false">IF(A74="","",A74&amp;"_CALC.xlsx")</f>
        <v/>
      </c>
      <c r="AQ74" s="10" t="str">
        <f aca="false">IF(A74="","",A74&amp;"_CALC.pdf")</f>
        <v/>
      </c>
      <c r="AR74" s="9"/>
      <c r="AS74" s="9"/>
      <c r="AT74" s="39"/>
      <c r="AU74" s="39"/>
      <c r="AV74" s="39"/>
      <c r="AW74" s="39"/>
      <c r="AX74" s="39"/>
      <c r="AY74" s="12" t="str">
        <f aca="false">IF(A74="","",IF(COUNTIF(Rebar_Schedule!$A$5:$A$2004,A74)=0,"",ROUND(SUMIF(Rebar_Schedule!$A$5:$A$2004,A74,Rebar_Schedule!$K$5:$K$2004),1)))</f>
        <v/>
      </c>
      <c r="AZ74" s="33" t="str">
        <f aca="false">IF(A74="","",IF(AY74="","No rebar schedule yet",IF(ABS(AY74-N(AU74))/MAX(N(AU74),1)&gt;SG_Criteria!$B$55,"NOTE: register rebar differs from schedule by "&amp;TEXT(ABS(AY74-N(AU74))/MAX(N(AU74),1),"0%"),"OK")))</f>
        <v/>
      </c>
      <c r="BA74" s="33" t="str">
        <f aca="false">IF(OR(D74="",H74=""),"",IF(H74&lt;=IF(OR(D74="Soldier Pile &amp; Timber Lagging",D74="Trench Shoring Box",D74="Open Cut (battered)"),SG_Criteria!$B$34,SG_Criteria!$B$33),"No ERSS submission",IF(H74&lt;=SG_Criteria!$B$35,"QP(ST)",IF(H74&lt;=SG_Criteria!$B$36,"QP(ST) + AC","Geotechnical building works: QP(Geo) + AC"))))</f>
        <v/>
      </c>
      <c r="BB74" s="33" t="str">
        <f aca="false">IF(D74="","",IF(LEN(IF(AND(R74&lt;&gt;"",R74&lt;SG_Criteria!$B$37),"FAIL: base stability FOS &lt; "&amp;SG_Criteria!$B$37&amp;". ","")&amp;IF(AND(E74="Manhole",H74&gt;SG_Criteria!$B$36),"NOTE: BCA lists sewer manholes (pipe &lt;= 2 m dia) &gt; 6 m as non-GBW: QP(ST) + AC. ","")&amp;IF(AND(D74="Trench Shoring Box",I74="Kallang Formation (marine clay)"),"NOTE: check base heave / ground loss for shoring box in marine clay. ","")&amp;IF(AND(D74="Steel Sheet Pile Cofferdam",N(N74)&lt;H74*0.5),"NOTE: short toe embedment, check. ",""))=0,"OK",IF(AND(R74&lt;&gt;"",R74&lt;SG_Criteria!$B$37),"FAIL: base stability FOS &lt; "&amp;SG_Criteria!$B$37&amp;". ","")&amp;IF(AND(E74="Manhole",H74&gt;SG_Criteria!$B$36),"NOTE: BCA lists sewer manholes (pipe &lt;= 2 m dia) &gt; 6 m as non-GBW: QP(ST) + AC. ","")&amp;IF(AND(D74="Trench Shoring Box",I74="Kallang Formation (marine clay)"),"NOTE: check base heave / ground loss for shoring box in marine clay. ","")&amp;IF(AND(D74="Steel Sheet Pile Cofferdam",N(N74)&lt;H74*0.5),"NOTE: short toe embedment, check. ","")))</f>
        <v/>
      </c>
      <c r="BC74" s="9"/>
      <c r="BD74" s="9"/>
      <c r="BE74" s="9"/>
      <c r="BF74" s="10" t="str">
        <f aca="false">IF(BE74="","",IFERROR(VLOOKUP(BE74,Projects!$A$5:$D$504,2,0),"Ref not in Projects"))</f>
        <v/>
      </c>
      <c r="BG74" s="10" t="str">
        <f aca="false">IF(BE74="","",IFERROR(VLOOKUP(BE74,Projects!$A$5:$D$504,4,0),"Ref not in Projects"))</f>
        <v/>
      </c>
      <c r="BH74" s="9"/>
      <c r="BI74" s="9"/>
      <c r="BJ74" s="9"/>
      <c r="BK74" s="40"/>
      <c r="BL74" s="9"/>
      <c r="BM74" s="40"/>
      <c r="BN74" s="9"/>
      <c r="BO74" s="40"/>
      <c r="BP74" s="9"/>
      <c r="BQ74" s="9"/>
      <c r="BR74" s="9"/>
      <c r="BS74" s="40"/>
      <c r="BT74" s="40"/>
      <c r="BU74" s="36" t="str">
        <f aca="false">IF(BT74="","",EDATE(BT74,SG_Criteria!$B$54*12))</f>
        <v/>
      </c>
      <c r="BV74" s="33" t="str">
        <f aca="true">IF(A74="","",IF(BT74="","NOTE: not reviewed yet",IF(TODAY()&gt;BU74,"NOTE: review overdue","OK")))</f>
        <v/>
      </c>
      <c r="BW74" s="37" t="str">
        <f aca="false">IF(A74="","",ROUND((IF(LEN(D74)&gt;0,1,0)+IF(LEN(E74)&gt;0,1,0)+IF(LEN(F74)&gt;0,1,0)+IF(LEN(G74)&gt;0,1,0)+IF(LEN(H74)&gt;0,1,0)+IF(LEN(I74)&gt;0,1,0)+IF(LEN(J74)&gt;0,1,0)+IF(LEN(L74)&gt;0,1,0)+IF(LEN(R74)&gt;0,1,0)+IF(LEN(Y74)&gt;0,1,0)+IF(LEN(AE74)&gt;0,1,0)+IF(LEN(AG74)&gt;0,1,0)+IF(LEN(AH74)&gt;0,1,0)+IF(LEN(AI74)&gt;0,1,0)+IF(LEN(AJ74)&gt;0,1,0)+IF(LEN(AS74)&gt;0,1,0)+IF(LEN(BE74)&gt;0,1,0)+IF(LEN(BR74)&gt;0,1,0))/18,2))</f>
        <v/>
      </c>
      <c r="BX74" s="10" t="str">
        <f aca="false">IF(D74="","",IF(AND(AH74="Approved",ISERROR(SEARCH("FAIL",BB74))),"Y","N"))</f>
        <v/>
      </c>
      <c r="BY74" s="10" t="str">
        <f aca="false">IF(D74="","",D74&amp;"|"&amp;H74&amp;"|"&amp;F74&amp;"|"&amp;I74&amp;"|"&amp;BX74)</f>
        <v/>
      </c>
    </row>
    <row r="75" customFormat="false" ht="15" hidden="false" customHeight="false" outlineLevel="0" collapsed="false">
      <c r="A75" s="10" t="str">
        <f aca="false">IF(D75="","","ERSS-"&amp;IFERROR(VLOOKUP(D75,Lists!$AK$4:$AL$21,2,0),"??")&amp;"-"&amp;TEXT(F75,"0000")&amp;"x"&amp;TEXT(G75,"0000")&amp;"-D"&amp;TEXT(H75*1000,"0000")&amp;"-"&amp;IFERROR(VLOOKUP(I75,Lists!$Y$4:$Z$21,2,0),"??")&amp;"-"&amp;AG75)</f>
        <v/>
      </c>
      <c r="B75" s="10" t="str">
        <f aca="false">IF(D75="","",D75&amp;" for "&amp;E75&amp;", "&amp;F75&amp;" x "&amp;G75&amp;" pit, "&amp;TEXT(H75,"0.0")&amp;" m deep, "&amp;I75)</f>
        <v/>
      </c>
      <c r="C75" s="9"/>
      <c r="D75" s="9"/>
      <c r="E75" s="9"/>
      <c r="F75" s="38"/>
      <c r="G75" s="38"/>
      <c r="H75" s="42"/>
      <c r="I75" s="9"/>
      <c r="J75" s="42"/>
      <c r="K75" s="38"/>
      <c r="L75" s="9"/>
      <c r="M75" s="42"/>
      <c r="N75" s="42"/>
      <c r="O75" s="38"/>
      <c r="P75" s="9"/>
      <c r="Q75" s="9"/>
      <c r="R75" s="39"/>
      <c r="S75" s="39"/>
      <c r="T75" s="38"/>
      <c r="U75" s="38"/>
      <c r="V75" s="38"/>
      <c r="W75" s="9"/>
      <c r="X75" s="9"/>
      <c r="Y75" s="38"/>
      <c r="Z75" s="9"/>
      <c r="AA75" s="9"/>
      <c r="AB75" s="38"/>
      <c r="AC75" s="9"/>
      <c r="AD75" s="39"/>
      <c r="AE75" s="9"/>
      <c r="AF75" s="9"/>
      <c r="AG75" s="9"/>
      <c r="AH75" s="9"/>
      <c r="AI75" s="9"/>
      <c r="AJ75" s="9"/>
      <c r="AK75" s="9"/>
      <c r="AL75" s="10" t="str">
        <f aca="false">IF(A75="","",SG_Criteria!$B$6&amp;SG_Criteria!$B$11&amp;"\"&amp;A75&amp;"\")</f>
        <v/>
      </c>
      <c r="AM75" s="10" t="str">
        <f aca="false">IF(A75="","",A75&amp;"_CAD.dwg")</f>
        <v/>
      </c>
      <c r="AN75" s="10" t="str">
        <f aca="false">IF(A75="","",A75&amp;"_DWG.pdf")</f>
        <v/>
      </c>
      <c r="AO75" s="10" t="str">
        <f aca="false">IF(A75="","",IF(AK75="Y",A75&amp;"_STAAD.std","n/a"))</f>
        <v/>
      </c>
      <c r="AP75" s="10" t="str">
        <f aca="false">IF(A75="","",A75&amp;"_CALC.xlsx")</f>
        <v/>
      </c>
      <c r="AQ75" s="10" t="str">
        <f aca="false">IF(A75="","",A75&amp;"_CALC.pdf")</f>
        <v/>
      </c>
      <c r="AR75" s="9"/>
      <c r="AS75" s="9"/>
      <c r="AT75" s="39"/>
      <c r="AU75" s="39"/>
      <c r="AV75" s="39"/>
      <c r="AW75" s="39"/>
      <c r="AX75" s="39"/>
      <c r="AY75" s="12" t="str">
        <f aca="false">IF(A75="","",IF(COUNTIF(Rebar_Schedule!$A$5:$A$2004,A75)=0,"",ROUND(SUMIF(Rebar_Schedule!$A$5:$A$2004,A75,Rebar_Schedule!$K$5:$K$2004),1)))</f>
        <v/>
      </c>
      <c r="AZ75" s="33" t="str">
        <f aca="false">IF(A75="","",IF(AY75="","No rebar schedule yet",IF(ABS(AY75-N(AU75))/MAX(N(AU75),1)&gt;SG_Criteria!$B$55,"NOTE: register rebar differs from schedule by "&amp;TEXT(ABS(AY75-N(AU75))/MAX(N(AU75),1),"0%"),"OK")))</f>
        <v/>
      </c>
      <c r="BA75" s="33" t="str">
        <f aca="false">IF(OR(D75="",H75=""),"",IF(H75&lt;=IF(OR(D75="Soldier Pile &amp; Timber Lagging",D75="Trench Shoring Box",D75="Open Cut (battered)"),SG_Criteria!$B$34,SG_Criteria!$B$33),"No ERSS submission",IF(H75&lt;=SG_Criteria!$B$35,"QP(ST)",IF(H75&lt;=SG_Criteria!$B$36,"QP(ST) + AC","Geotechnical building works: QP(Geo) + AC"))))</f>
        <v/>
      </c>
      <c r="BB75" s="33" t="str">
        <f aca="false">IF(D75="","",IF(LEN(IF(AND(R75&lt;&gt;"",R75&lt;SG_Criteria!$B$37),"FAIL: base stability FOS &lt; "&amp;SG_Criteria!$B$37&amp;". ","")&amp;IF(AND(E75="Manhole",H75&gt;SG_Criteria!$B$36),"NOTE: BCA lists sewer manholes (pipe &lt;= 2 m dia) &gt; 6 m as non-GBW: QP(ST) + AC. ","")&amp;IF(AND(D75="Trench Shoring Box",I75="Kallang Formation (marine clay)"),"NOTE: check base heave / ground loss for shoring box in marine clay. ","")&amp;IF(AND(D75="Steel Sheet Pile Cofferdam",N(N75)&lt;H75*0.5),"NOTE: short toe embedment, check. ",""))=0,"OK",IF(AND(R75&lt;&gt;"",R75&lt;SG_Criteria!$B$37),"FAIL: base stability FOS &lt; "&amp;SG_Criteria!$B$37&amp;". ","")&amp;IF(AND(E75="Manhole",H75&gt;SG_Criteria!$B$36),"NOTE: BCA lists sewer manholes (pipe &lt;= 2 m dia) &gt; 6 m as non-GBW: QP(ST) + AC. ","")&amp;IF(AND(D75="Trench Shoring Box",I75="Kallang Formation (marine clay)"),"NOTE: check base heave / ground loss for shoring box in marine clay. ","")&amp;IF(AND(D75="Steel Sheet Pile Cofferdam",N(N75)&lt;H75*0.5),"NOTE: short toe embedment, check. ","")))</f>
        <v/>
      </c>
      <c r="BC75" s="9"/>
      <c r="BD75" s="9"/>
      <c r="BE75" s="9"/>
      <c r="BF75" s="10" t="str">
        <f aca="false">IF(BE75="","",IFERROR(VLOOKUP(BE75,Projects!$A$5:$D$504,2,0),"Ref not in Projects"))</f>
        <v/>
      </c>
      <c r="BG75" s="10" t="str">
        <f aca="false">IF(BE75="","",IFERROR(VLOOKUP(BE75,Projects!$A$5:$D$504,4,0),"Ref not in Projects"))</f>
        <v/>
      </c>
      <c r="BH75" s="9"/>
      <c r="BI75" s="9"/>
      <c r="BJ75" s="9"/>
      <c r="BK75" s="40"/>
      <c r="BL75" s="9"/>
      <c r="BM75" s="40"/>
      <c r="BN75" s="9"/>
      <c r="BO75" s="40"/>
      <c r="BP75" s="9"/>
      <c r="BQ75" s="9"/>
      <c r="BR75" s="9"/>
      <c r="BS75" s="40"/>
      <c r="BT75" s="40"/>
      <c r="BU75" s="36" t="str">
        <f aca="false">IF(BT75="","",EDATE(BT75,SG_Criteria!$B$54*12))</f>
        <v/>
      </c>
      <c r="BV75" s="33" t="str">
        <f aca="true">IF(A75="","",IF(BT75="","NOTE: not reviewed yet",IF(TODAY()&gt;BU75,"NOTE: review overdue","OK")))</f>
        <v/>
      </c>
      <c r="BW75" s="37" t="str">
        <f aca="false">IF(A75="","",ROUND((IF(LEN(D75)&gt;0,1,0)+IF(LEN(E75)&gt;0,1,0)+IF(LEN(F75)&gt;0,1,0)+IF(LEN(G75)&gt;0,1,0)+IF(LEN(H75)&gt;0,1,0)+IF(LEN(I75)&gt;0,1,0)+IF(LEN(J75)&gt;0,1,0)+IF(LEN(L75)&gt;0,1,0)+IF(LEN(R75)&gt;0,1,0)+IF(LEN(Y75)&gt;0,1,0)+IF(LEN(AE75)&gt;0,1,0)+IF(LEN(AG75)&gt;0,1,0)+IF(LEN(AH75)&gt;0,1,0)+IF(LEN(AI75)&gt;0,1,0)+IF(LEN(AJ75)&gt;0,1,0)+IF(LEN(AS75)&gt;0,1,0)+IF(LEN(BE75)&gt;0,1,0)+IF(LEN(BR75)&gt;0,1,0))/18,2))</f>
        <v/>
      </c>
      <c r="BX75" s="10" t="str">
        <f aca="false">IF(D75="","",IF(AND(AH75="Approved",ISERROR(SEARCH("FAIL",BB75))),"Y","N"))</f>
        <v/>
      </c>
      <c r="BY75" s="10" t="str">
        <f aca="false">IF(D75="","",D75&amp;"|"&amp;H75&amp;"|"&amp;F75&amp;"|"&amp;I75&amp;"|"&amp;BX75)</f>
        <v/>
      </c>
    </row>
    <row r="76" customFormat="false" ht="15" hidden="false" customHeight="false" outlineLevel="0" collapsed="false">
      <c r="A76" s="10" t="str">
        <f aca="false">IF(D76="","","ERSS-"&amp;IFERROR(VLOOKUP(D76,Lists!$AK$4:$AL$21,2,0),"??")&amp;"-"&amp;TEXT(F76,"0000")&amp;"x"&amp;TEXT(G76,"0000")&amp;"-D"&amp;TEXT(H76*1000,"0000")&amp;"-"&amp;IFERROR(VLOOKUP(I76,Lists!$Y$4:$Z$21,2,0),"??")&amp;"-"&amp;AG76)</f>
        <v/>
      </c>
      <c r="B76" s="10" t="str">
        <f aca="false">IF(D76="","",D76&amp;" for "&amp;E76&amp;", "&amp;F76&amp;" x "&amp;G76&amp;" pit, "&amp;TEXT(H76,"0.0")&amp;" m deep, "&amp;I76)</f>
        <v/>
      </c>
      <c r="C76" s="9"/>
      <c r="D76" s="9"/>
      <c r="E76" s="9"/>
      <c r="F76" s="38"/>
      <c r="G76" s="38"/>
      <c r="H76" s="42"/>
      <c r="I76" s="9"/>
      <c r="J76" s="42"/>
      <c r="K76" s="38"/>
      <c r="L76" s="9"/>
      <c r="M76" s="42"/>
      <c r="N76" s="42"/>
      <c r="O76" s="38"/>
      <c r="P76" s="9"/>
      <c r="Q76" s="9"/>
      <c r="R76" s="39"/>
      <c r="S76" s="39"/>
      <c r="T76" s="38"/>
      <c r="U76" s="38"/>
      <c r="V76" s="38"/>
      <c r="W76" s="9"/>
      <c r="X76" s="9"/>
      <c r="Y76" s="38"/>
      <c r="Z76" s="9"/>
      <c r="AA76" s="9"/>
      <c r="AB76" s="38"/>
      <c r="AC76" s="9"/>
      <c r="AD76" s="39"/>
      <c r="AE76" s="9"/>
      <c r="AF76" s="9"/>
      <c r="AG76" s="9"/>
      <c r="AH76" s="9"/>
      <c r="AI76" s="9"/>
      <c r="AJ76" s="9"/>
      <c r="AK76" s="9"/>
      <c r="AL76" s="10" t="str">
        <f aca="false">IF(A76="","",SG_Criteria!$B$6&amp;SG_Criteria!$B$11&amp;"\"&amp;A76&amp;"\")</f>
        <v/>
      </c>
      <c r="AM76" s="10" t="str">
        <f aca="false">IF(A76="","",A76&amp;"_CAD.dwg")</f>
        <v/>
      </c>
      <c r="AN76" s="10" t="str">
        <f aca="false">IF(A76="","",A76&amp;"_DWG.pdf")</f>
        <v/>
      </c>
      <c r="AO76" s="10" t="str">
        <f aca="false">IF(A76="","",IF(AK76="Y",A76&amp;"_STAAD.std","n/a"))</f>
        <v/>
      </c>
      <c r="AP76" s="10" t="str">
        <f aca="false">IF(A76="","",A76&amp;"_CALC.xlsx")</f>
        <v/>
      </c>
      <c r="AQ76" s="10" t="str">
        <f aca="false">IF(A76="","",A76&amp;"_CALC.pdf")</f>
        <v/>
      </c>
      <c r="AR76" s="9"/>
      <c r="AS76" s="9"/>
      <c r="AT76" s="39"/>
      <c r="AU76" s="39"/>
      <c r="AV76" s="39"/>
      <c r="AW76" s="39"/>
      <c r="AX76" s="39"/>
      <c r="AY76" s="12" t="str">
        <f aca="false">IF(A76="","",IF(COUNTIF(Rebar_Schedule!$A$5:$A$2004,A76)=0,"",ROUND(SUMIF(Rebar_Schedule!$A$5:$A$2004,A76,Rebar_Schedule!$K$5:$K$2004),1)))</f>
        <v/>
      </c>
      <c r="AZ76" s="33" t="str">
        <f aca="false">IF(A76="","",IF(AY76="","No rebar schedule yet",IF(ABS(AY76-N(AU76))/MAX(N(AU76),1)&gt;SG_Criteria!$B$55,"NOTE: register rebar differs from schedule by "&amp;TEXT(ABS(AY76-N(AU76))/MAX(N(AU76),1),"0%"),"OK")))</f>
        <v/>
      </c>
      <c r="BA76" s="33" t="str">
        <f aca="false">IF(OR(D76="",H76=""),"",IF(H76&lt;=IF(OR(D76="Soldier Pile &amp; Timber Lagging",D76="Trench Shoring Box",D76="Open Cut (battered)"),SG_Criteria!$B$34,SG_Criteria!$B$33),"No ERSS submission",IF(H76&lt;=SG_Criteria!$B$35,"QP(ST)",IF(H76&lt;=SG_Criteria!$B$36,"QP(ST) + AC","Geotechnical building works: QP(Geo) + AC"))))</f>
        <v/>
      </c>
      <c r="BB76" s="33" t="str">
        <f aca="false">IF(D76="","",IF(LEN(IF(AND(R76&lt;&gt;"",R76&lt;SG_Criteria!$B$37),"FAIL: base stability FOS &lt; "&amp;SG_Criteria!$B$37&amp;". ","")&amp;IF(AND(E76="Manhole",H76&gt;SG_Criteria!$B$36),"NOTE: BCA lists sewer manholes (pipe &lt;= 2 m dia) &gt; 6 m as non-GBW: QP(ST) + AC. ","")&amp;IF(AND(D76="Trench Shoring Box",I76="Kallang Formation (marine clay)"),"NOTE: check base heave / ground loss for shoring box in marine clay. ","")&amp;IF(AND(D76="Steel Sheet Pile Cofferdam",N(N76)&lt;H76*0.5),"NOTE: short toe embedment, check. ",""))=0,"OK",IF(AND(R76&lt;&gt;"",R76&lt;SG_Criteria!$B$37),"FAIL: base stability FOS &lt; "&amp;SG_Criteria!$B$37&amp;". ","")&amp;IF(AND(E76="Manhole",H76&gt;SG_Criteria!$B$36),"NOTE: BCA lists sewer manholes (pipe &lt;= 2 m dia) &gt; 6 m as non-GBW: QP(ST) + AC. ","")&amp;IF(AND(D76="Trench Shoring Box",I76="Kallang Formation (marine clay)"),"NOTE: check base heave / ground loss for shoring box in marine clay. ","")&amp;IF(AND(D76="Steel Sheet Pile Cofferdam",N(N76)&lt;H76*0.5),"NOTE: short toe embedment, check. ","")))</f>
        <v/>
      </c>
      <c r="BC76" s="9"/>
      <c r="BD76" s="9"/>
      <c r="BE76" s="9"/>
      <c r="BF76" s="10" t="str">
        <f aca="false">IF(BE76="","",IFERROR(VLOOKUP(BE76,Projects!$A$5:$D$504,2,0),"Ref not in Projects"))</f>
        <v/>
      </c>
      <c r="BG76" s="10" t="str">
        <f aca="false">IF(BE76="","",IFERROR(VLOOKUP(BE76,Projects!$A$5:$D$504,4,0),"Ref not in Projects"))</f>
        <v/>
      </c>
      <c r="BH76" s="9"/>
      <c r="BI76" s="9"/>
      <c r="BJ76" s="9"/>
      <c r="BK76" s="40"/>
      <c r="BL76" s="9"/>
      <c r="BM76" s="40"/>
      <c r="BN76" s="9"/>
      <c r="BO76" s="40"/>
      <c r="BP76" s="9"/>
      <c r="BQ76" s="9"/>
      <c r="BR76" s="9"/>
      <c r="BS76" s="40"/>
      <c r="BT76" s="40"/>
      <c r="BU76" s="36" t="str">
        <f aca="false">IF(BT76="","",EDATE(BT76,SG_Criteria!$B$54*12))</f>
        <v/>
      </c>
      <c r="BV76" s="33" t="str">
        <f aca="true">IF(A76="","",IF(BT76="","NOTE: not reviewed yet",IF(TODAY()&gt;BU76,"NOTE: review overdue","OK")))</f>
        <v/>
      </c>
      <c r="BW76" s="37" t="str">
        <f aca="false">IF(A76="","",ROUND((IF(LEN(D76)&gt;0,1,0)+IF(LEN(E76)&gt;0,1,0)+IF(LEN(F76)&gt;0,1,0)+IF(LEN(G76)&gt;0,1,0)+IF(LEN(H76)&gt;0,1,0)+IF(LEN(I76)&gt;0,1,0)+IF(LEN(J76)&gt;0,1,0)+IF(LEN(L76)&gt;0,1,0)+IF(LEN(R76)&gt;0,1,0)+IF(LEN(Y76)&gt;0,1,0)+IF(LEN(AE76)&gt;0,1,0)+IF(LEN(AG76)&gt;0,1,0)+IF(LEN(AH76)&gt;0,1,0)+IF(LEN(AI76)&gt;0,1,0)+IF(LEN(AJ76)&gt;0,1,0)+IF(LEN(AS76)&gt;0,1,0)+IF(LEN(BE76)&gt;0,1,0)+IF(LEN(BR76)&gt;0,1,0))/18,2))</f>
        <v/>
      </c>
      <c r="BX76" s="10" t="str">
        <f aca="false">IF(D76="","",IF(AND(AH76="Approved",ISERROR(SEARCH("FAIL",BB76))),"Y","N"))</f>
        <v/>
      </c>
      <c r="BY76" s="10" t="str">
        <f aca="false">IF(D76="","",D76&amp;"|"&amp;H76&amp;"|"&amp;F76&amp;"|"&amp;I76&amp;"|"&amp;BX76)</f>
        <v/>
      </c>
    </row>
    <row r="77" customFormat="false" ht="15" hidden="false" customHeight="false" outlineLevel="0" collapsed="false">
      <c r="A77" s="10" t="str">
        <f aca="false">IF(D77="","","ERSS-"&amp;IFERROR(VLOOKUP(D77,Lists!$AK$4:$AL$21,2,0),"??")&amp;"-"&amp;TEXT(F77,"0000")&amp;"x"&amp;TEXT(G77,"0000")&amp;"-D"&amp;TEXT(H77*1000,"0000")&amp;"-"&amp;IFERROR(VLOOKUP(I77,Lists!$Y$4:$Z$21,2,0),"??")&amp;"-"&amp;AG77)</f>
        <v/>
      </c>
      <c r="B77" s="10" t="str">
        <f aca="false">IF(D77="","",D77&amp;" for "&amp;E77&amp;", "&amp;F77&amp;" x "&amp;G77&amp;" pit, "&amp;TEXT(H77,"0.0")&amp;" m deep, "&amp;I77)</f>
        <v/>
      </c>
      <c r="C77" s="9"/>
      <c r="D77" s="9"/>
      <c r="E77" s="9"/>
      <c r="F77" s="38"/>
      <c r="G77" s="38"/>
      <c r="H77" s="42"/>
      <c r="I77" s="9"/>
      <c r="J77" s="42"/>
      <c r="K77" s="38"/>
      <c r="L77" s="9"/>
      <c r="M77" s="42"/>
      <c r="N77" s="42"/>
      <c r="O77" s="38"/>
      <c r="P77" s="9"/>
      <c r="Q77" s="9"/>
      <c r="R77" s="39"/>
      <c r="S77" s="39"/>
      <c r="T77" s="38"/>
      <c r="U77" s="38"/>
      <c r="V77" s="38"/>
      <c r="W77" s="9"/>
      <c r="X77" s="9"/>
      <c r="Y77" s="38"/>
      <c r="Z77" s="9"/>
      <c r="AA77" s="9"/>
      <c r="AB77" s="38"/>
      <c r="AC77" s="9"/>
      <c r="AD77" s="39"/>
      <c r="AE77" s="9"/>
      <c r="AF77" s="9"/>
      <c r="AG77" s="9"/>
      <c r="AH77" s="9"/>
      <c r="AI77" s="9"/>
      <c r="AJ77" s="9"/>
      <c r="AK77" s="9"/>
      <c r="AL77" s="10" t="str">
        <f aca="false">IF(A77="","",SG_Criteria!$B$6&amp;SG_Criteria!$B$11&amp;"\"&amp;A77&amp;"\")</f>
        <v/>
      </c>
      <c r="AM77" s="10" t="str">
        <f aca="false">IF(A77="","",A77&amp;"_CAD.dwg")</f>
        <v/>
      </c>
      <c r="AN77" s="10" t="str">
        <f aca="false">IF(A77="","",A77&amp;"_DWG.pdf")</f>
        <v/>
      </c>
      <c r="AO77" s="10" t="str">
        <f aca="false">IF(A77="","",IF(AK77="Y",A77&amp;"_STAAD.std","n/a"))</f>
        <v/>
      </c>
      <c r="AP77" s="10" t="str">
        <f aca="false">IF(A77="","",A77&amp;"_CALC.xlsx")</f>
        <v/>
      </c>
      <c r="AQ77" s="10" t="str">
        <f aca="false">IF(A77="","",A77&amp;"_CALC.pdf")</f>
        <v/>
      </c>
      <c r="AR77" s="9"/>
      <c r="AS77" s="9"/>
      <c r="AT77" s="39"/>
      <c r="AU77" s="39"/>
      <c r="AV77" s="39"/>
      <c r="AW77" s="39"/>
      <c r="AX77" s="39"/>
      <c r="AY77" s="12" t="str">
        <f aca="false">IF(A77="","",IF(COUNTIF(Rebar_Schedule!$A$5:$A$2004,A77)=0,"",ROUND(SUMIF(Rebar_Schedule!$A$5:$A$2004,A77,Rebar_Schedule!$K$5:$K$2004),1)))</f>
        <v/>
      </c>
      <c r="AZ77" s="33" t="str">
        <f aca="false">IF(A77="","",IF(AY77="","No rebar schedule yet",IF(ABS(AY77-N(AU77))/MAX(N(AU77),1)&gt;SG_Criteria!$B$55,"NOTE: register rebar differs from schedule by "&amp;TEXT(ABS(AY77-N(AU77))/MAX(N(AU77),1),"0%"),"OK")))</f>
        <v/>
      </c>
      <c r="BA77" s="33" t="str">
        <f aca="false">IF(OR(D77="",H77=""),"",IF(H77&lt;=IF(OR(D77="Soldier Pile &amp; Timber Lagging",D77="Trench Shoring Box",D77="Open Cut (battered)"),SG_Criteria!$B$34,SG_Criteria!$B$33),"No ERSS submission",IF(H77&lt;=SG_Criteria!$B$35,"QP(ST)",IF(H77&lt;=SG_Criteria!$B$36,"QP(ST) + AC","Geotechnical building works: QP(Geo) + AC"))))</f>
        <v/>
      </c>
      <c r="BB77" s="33" t="str">
        <f aca="false">IF(D77="","",IF(LEN(IF(AND(R77&lt;&gt;"",R77&lt;SG_Criteria!$B$37),"FAIL: base stability FOS &lt; "&amp;SG_Criteria!$B$37&amp;". ","")&amp;IF(AND(E77="Manhole",H77&gt;SG_Criteria!$B$36),"NOTE: BCA lists sewer manholes (pipe &lt;= 2 m dia) &gt; 6 m as non-GBW: QP(ST) + AC. ","")&amp;IF(AND(D77="Trench Shoring Box",I77="Kallang Formation (marine clay)"),"NOTE: check base heave / ground loss for shoring box in marine clay. ","")&amp;IF(AND(D77="Steel Sheet Pile Cofferdam",N(N77)&lt;H77*0.5),"NOTE: short toe embedment, check. ",""))=0,"OK",IF(AND(R77&lt;&gt;"",R77&lt;SG_Criteria!$B$37),"FAIL: base stability FOS &lt; "&amp;SG_Criteria!$B$37&amp;". ","")&amp;IF(AND(E77="Manhole",H77&gt;SG_Criteria!$B$36),"NOTE: BCA lists sewer manholes (pipe &lt;= 2 m dia) &gt; 6 m as non-GBW: QP(ST) + AC. ","")&amp;IF(AND(D77="Trench Shoring Box",I77="Kallang Formation (marine clay)"),"NOTE: check base heave / ground loss for shoring box in marine clay. ","")&amp;IF(AND(D77="Steel Sheet Pile Cofferdam",N(N77)&lt;H77*0.5),"NOTE: short toe embedment, check. ","")))</f>
        <v/>
      </c>
      <c r="BC77" s="9"/>
      <c r="BD77" s="9"/>
      <c r="BE77" s="9"/>
      <c r="BF77" s="10" t="str">
        <f aca="false">IF(BE77="","",IFERROR(VLOOKUP(BE77,Projects!$A$5:$D$504,2,0),"Ref not in Projects"))</f>
        <v/>
      </c>
      <c r="BG77" s="10" t="str">
        <f aca="false">IF(BE77="","",IFERROR(VLOOKUP(BE77,Projects!$A$5:$D$504,4,0),"Ref not in Projects"))</f>
        <v/>
      </c>
      <c r="BH77" s="9"/>
      <c r="BI77" s="9"/>
      <c r="BJ77" s="9"/>
      <c r="BK77" s="40"/>
      <c r="BL77" s="9"/>
      <c r="BM77" s="40"/>
      <c r="BN77" s="9"/>
      <c r="BO77" s="40"/>
      <c r="BP77" s="9"/>
      <c r="BQ77" s="9"/>
      <c r="BR77" s="9"/>
      <c r="BS77" s="40"/>
      <c r="BT77" s="40"/>
      <c r="BU77" s="36" t="str">
        <f aca="false">IF(BT77="","",EDATE(BT77,SG_Criteria!$B$54*12))</f>
        <v/>
      </c>
      <c r="BV77" s="33" t="str">
        <f aca="true">IF(A77="","",IF(BT77="","NOTE: not reviewed yet",IF(TODAY()&gt;BU77,"NOTE: review overdue","OK")))</f>
        <v/>
      </c>
      <c r="BW77" s="37" t="str">
        <f aca="false">IF(A77="","",ROUND((IF(LEN(D77)&gt;0,1,0)+IF(LEN(E77)&gt;0,1,0)+IF(LEN(F77)&gt;0,1,0)+IF(LEN(G77)&gt;0,1,0)+IF(LEN(H77)&gt;0,1,0)+IF(LEN(I77)&gt;0,1,0)+IF(LEN(J77)&gt;0,1,0)+IF(LEN(L77)&gt;0,1,0)+IF(LEN(R77)&gt;0,1,0)+IF(LEN(Y77)&gt;0,1,0)+IF(LEN(AE77)&gt;0,1,0)+IF(LEN(AG77)&gt;0,1,0)+IF(LEN(AH77)&gt;0,1,0)+IF(LEN(AI77)&gt;0,1,0)+IF(LEN(AJ77)&gt;0,1,0)+IF(LEN(AS77)&gt;0,1,0)+IF(LEN(BE77)&gt;0,1,0)+IF(LEN(BR77)&gt;0,1,0))/18,2))</f>
        <v/>
      </c>
      <c r="BX77" s="10" t="str">
        <f aca="false">IF(D77="","",IF(AND(AH77="Approved",ISERROR(SEARCH("FAIL",BB77))),"Y","N"))</f>
        <v/>
      </c>
      <c r="BY77" s="10" t="str">
        <f aca="false">IF(D77="","",D77&amp;"|"&amp;H77&amp;"|"&amp;F77&amp;"|"&amp;I77&amp;"|"&amp;BX77)</f>
        <v/>
      </c>
    </row>
    <row r="78" customFormat="false" ht="15" hidden="false" customHeight="false" outlineLevel="0" collapsed="false">
      <c r="A78" s="10" t="str">
        <f aca="false">IF(D78="","","ERSS-"&amp;IFERROR(VLOOKUP(D78,Lists!$AK$4:$AL$21,2,0),"??")&amp;"-"&amp;TEXT(F78,"0000")&amp;"x"&amp;TEXT(G78,"0000")&amp;"-D"&amp;TEXT(H78*1000,"0000")&amp;"-"&amp;IFERROR(VLOOKUP(I78,Lists!$Y$4:$Z$21,2,0),"??")&amp;"-"&amp;AG78)</f>
        <v/>
      </c>
      <c r="B78" s="10" t="str">
        <f aca="false">IF(D78="","",D78&amp;" for "&amp;E78&amp;", "&amp;F78&amp;" x "&amp;G78&amp;" pit, "&amp;TEXT(H78,"0.0")&amp;" m deep, "&amp;I78)</f>
        <v/>
      </c>
      <c r="C78" s="9"/>
      <c r="D78" s="9"/>
      <c r="E78" s="9"/>
      <c r="F78" s="38"/>
      <c r="G78" s="38"/>
      <c r="H78" s="42"/>
      <c r="I78" s="9"/>
      <c r="J78" s="42"/>
      <c r="K78" s="38"/>
      <c r="L78" s="9"/>
      <c r="M78" s="42"/>
      <c r="N78" s="42"/>
      <c r="O78" s="38"/>
      <c r="P78" s="9"/>
      <c r="Q78" s="9"/>
      <c r="R78" s="39"/>
      <c r="S78" s="39"/>
      <c r="T78" s="38"/>
      <c r="U78" s="38"/>
      <c r="V78" s="38"/>
      <c r="W78" s="9"/>
      <c r="X78" s="9"/>
      <c r="Y78" s="38"/>
      <c r="Z78" s="9"/>
      <c r="AA78" s="9"/>
      <c r="AB78" s="38"/>
      <c r="AC78" s="9"/>
      <c r="AD78" s="39"/>
      <c r="AE78" s="9"/>
      <c r="AF78" s="9"/>
      <c r="AG78" s="9"/>
      <c r="AH78" s="9"/>
      <c r="AI78" s="9"/>
      <c r="AJ78" s="9"/>
      <c r="AK78" s="9"/>
      <c r="AL78" s="10" t="str">
        <f aca="false">IF(A78="","",SG_Criteria!$B$6&amp;SG_Criteria!$B$11&amp;"\"&amp;A78&amp;"\")</f>
        <v/>
      </c>
      <c r="AM78" s="10" t="str">
        <f aca="false">IF(A78="","",A78&amp;"_CAD.dwg")</f>
        <v/>
      </c>
      <c r="AN78" s="10" t="str">
        <f aca="false">IF(A78="","",A78&amp;"_DWG.pdf")</f>
        <v/>
      </c>
      <c r="AO78" s="10" t="str">
        <f aca="false">IF(A78="","",IF(AK78="Y",A78&amp;"_STAAD.std","n/a"))</f>
        <v/>
      </c>
      <c r="AP78" s="10" t="str">
        <f aca="false">IF(A78="","",A78&amp;"_CALC.xlsx")</f>
        <v/>
      </c>
      <c r="AQ78" s="10" t="str">
        <f aca="false">IF(A78="","",A78&amp;"_CALC.pdf")</f>
        <v/>
      </c>
      <c r="AR78" s="9"/>
      <c r="AS78" s="9"/>
      <c r="AT78" s="39"/>
      <c r="AU78" s="39"/>
      <c r="AV78" s="39"/>
      <c r="AW78" s="39"/>
      <c r="AX78" s="39"/>
      <c r="AY78" s="12" t="str">
        <f aca="false">IF(A78="","",IF(COUNTIF(Rebar_Schedule!$A$5:$A$2004,A78)=0,"",ROUND(SUMIF(Rebar_Schedule!$A$5:$A$2004,A78,Rebar_Schedule!$K$5:$K$2004),1)))</f>
        <v/>
      </c>
      <c r="AZ78" s="33" t="str">
        <f aca="false">IF(A78="","",IF(AY78="","No rebar schedule yet",IF(ABS(AY78-N(AU78))/MAX(N(AU78),1)&gt;SG_Criteria!$B$55,"NOTE: register rebar differs from schedule by "&amp;TEXT(ABS(AY78-N(AU78))/MAX(N(AU78),1),"0%"),"OK")))</f>
        <v/>
      </c>
      <c r="BA78" s="33" t="str">
        <f aca="false">IF(OR(D78="",H78=""),"",IF(H78&lt;=IF(OR(D78="Soldier Pile &amp; Timber Lagging",D78="Trench Shoring Box",D78="Open Cut (battered)"),SG_Criteria!$B$34,SG_Criteria!$B$33),"No ERSS submission",IF(H78&lt;=SG_Criteria!$B$35,"QP(ST)",IF(H78&lt;=SG_Criteria!$B$36,"QP(ST) + AC","Geotechnical building works: QP(Geo) + AC"))))</f>
        <v/>
      </c>
      <c r="BB78" s="33" t="str">
        <f aca="false">IF(D78="","",IF(LEN(IF(AND(R78&lt;&gt;"",R78&lt;SG_Criteria!$B$37),"FAIL: base stability FOS &lt; "&amp;SG_Criteria!$B$37&amp;". ","")&amp;IF(AND(E78="Manhole",H78&gt;SG_Criteria!$B$36),"NOTE: BCA lists sewer manholes (pipe &lt;= 2 m dia) &gt; 6 m as non-GBW: QP(ST) + AC. ","")&amp;IF(AND(D78="Trench Shoring Box",I78="Kallang Formation (marine clay)"),"NOTE: check base heave / ground loss for shoring box in marine clay. ","")&amp;IF(AND(D78="Steel Sheet Pile Cofferdam",N(N78)&lt;H78*0.5),"NOTE: short toe embedment, check. ",""))=0,"OK",IF(AND(R78&lt;&gt;"",R78&lt;SG_Criteria!$B$37),"FAIL: base stability FOS &lt; "&amp;SG_Criteria!$B$37&amp;". ","")&amp;IF(AND(E78="Manhole",H78&gt;SG_Criteria!$B$36),"NOTE: BCA lists sewer manholes (pipe &lt;= 2 m dia) &gt; 6 m as non-GBW: QP(ST) + AC. ","")&amp;IF(AND(D78="Trench Shoring Box",I78="Kallang Formation (marine clay)"),"NOTE: check base heave / ground loss for shoring box in marine clay. ","")&amp;IF(AND(D78="Steel Sheet Pile Cofferdam",N(N78)&lt;H78*0.5),"NOTE: short toe embedment, check. ","")))</f>
        <v/>
      </c>
      <c r="BC78" s="9"/>
      <c r="BD78" s="9"/>
      <c r="BE78" s="9"/>
      <c r="BF78" s="10" t="str">
        <f aca="false">IF(BE78="","",IFERROR(VLOOKUP(BE78,Projects!$A$5:$D$504,2,0),"Ref not in Projects"))</f>
        <v/>
      </c>
      <c r="BG78" s="10" t="str">
        <f aca="false">IF(BE78="","",IFERROR(VLOOKUP(BE78,Projects!$A$5:$D$504,4,0),"Ref not in Projects"))</f>
        <v/>
      </c>
      <c r="BH78" s="9"/>
      <c r="BI78" s="9"/>
      <c r="BJ78" s="9"/>
      <c r="BK78" s="40"/>
      <c r="BL78" s="9"/>
      <c r="BM78" s="40"/>
      <c r="BN78" s="9"/>
      <c r="BO78" s="40"/>
      <c r="BP78" s="9"/>
      <c r="BQ78" s="9"/>
      <c r="BR78" s="9"/>
      <c r="BS78" s="40"/>
      <c r="BT78" s="40"/>
      <c r="BU78" s="36" t="str">
        <f aca="false">IF(BT78="","",EDATE(BT78,SG_Criteria!$B$54*12))</f>
        <v/>
      </c>
      <c r="BV78" s="33" t="str">
        <f aca="true">IF(A78="","",IF(BT78="","NOTE: not reviewed yet",IF(TODAY()&gt;BU78,"NOTE: review overdue","OK")))</f>
        <v/>
      </c>
      <c r="BW78" s="37" t="str">
        <f aca="false">IF(A78="","",ROUND((IF(LEN(D78)&gt;0,1,0)+IF(LEN(E78)&gt;0,1,0)+IF(LEN(F78)&gt;0,1,0)+IF(LEN(G78)&gt;0,1,0)+IF(LEN(H78)&gt;0,1,0)+IF(LEN(I78)&gt;0,1,0)+IF(LEN(J78)&gt;0,1,0)+IF(LEN(L78)&gt;0,1,0)+IF(LEN(R78)&gt;0,1,0)+IF(LEN(Y78)&gt;0,1,0)+IF(LEN(AE78)&gt;0,1,0)+IF(LEN(AG78)&gt;0,1,0)+IF(LEN(AH78)&gt;0,1,0)+IF(LEN(AI78)&gt;0,1,0)+IF(LEN(AJ78)&gt;0,1,0)+IF(LEN(AS78)&gt;0,1,0)+IF(LEN(BE78)&gt;0,1,0)+IF(LEN(BR78)&gt;0,1,0))/18,2))</f>
        <v/>
      </c>
      <c r="BX78" s="10" t="str">
        <f aca="false">IF(D78="","",IF(AND(AH78="Approved",ISERROR(SEARCH("FAIL",BB78))),"Y","N"))</f>
        <v/>
      </c>
      <c r="BY78" s="10" t="str">
        <f aca="false">IF(D78="","",D78&amp;"|"&amp;H78&amp;"|"&amp;F78&amp;"|"&amp;I78&amp;"|"&amp;BX78)</f>
        <v/>
      </c>
    </row>
    <row r="79" customFormat="false" ht="15" hidden="false" customHeight="false" outlineLevel="0" collapsed="false">
      <c r="A79" s="10" t="str">
        <f aca="false">IF(D79="","","ERSS-"&amp;IFERROR(VLOOKUP(D79,Lists!$AK$4:$AL$21,2,0),"??")&amp;"-"&amp;TEXT(F79,"0000")&amp;"x"&amp;TEXT(G79,"0000")&amp;"-D"&amp;TEXT(H79*1000,"0000")&amp;"-"&amp;IFERROR(VLOOKUP(I79,Lists!$Y$4:$Z$21,2,0),"??")&amp;"-"&amp;AG79)</f>
        <v/>
      </c>
      <c r="B79" s="10" t="str">
        <f aca="false">IF(D79="","",D79&amp;" for "&amp;E79&amp;", "&amp;F79&amp;" x "&amp;G79&amp;" pit, "&amp;TEXT(H79,"0.0")&amp;" m deep, "&amp;I79)</f>
        <v/>
      </c>
      <c r="C79" s="9"/>
      <c r="D79" s="9"/>
      <c r="E79" s="9"/>
      <c r="F79" s="38"/>
      <c r="G79" s="38"/>
      <c r="H79" s="42"/>
      <c r="I79" s="9"/>
      <c r="J79" s="42"/>
      <c r="K79" s="38"/>
      <c r="L79" s="9"/>
      <c r="M79" s="42"/>
      <c r="N79" s="42"/>
      <c r="O79" s="38"/>
      <c r="P79" s="9"/>
      <c r="Q79" s="9"/>
      <c r="R79" s="39"/>
      <c r="S79" s="39"/>
      <c r="T79" s="38"/>
      <c r="U79" s="38"/>
      <c r="V79" s="38"/>
      <c r="W79" s="9"/>
      <c r="X79" s="9"/>
      <c r="Y79" s="38"/>
      <c r="Z79" s="9"/>
      <c r="AA79" s="9"/>
      <c r="AB79" s="38"/>
      <c r="AC79" s="9"/>
      <c r="AD79" s="39"/>
      <c r="AE79" s="9"/>
      <c r="AF79" s="9"/>
      <c r="AG79" s="9"/>
      <c r="AH79" s="9"/>
      <c r="AI79" s="9"/>
      <c r="AJ79" s="9"/>
      <c r="AK79" s="9"/>
      <c r="AL79" s="10" t="str">
        <f aca="false">IF(A79="","",SG_Criteria!$B$6&amp;SG_Criteria!$B$11&amp;"\"&amp;A79&amp;"\")</f>
        <v/>
      </c>
      <c r="AM79" s="10" t="str">
        <f aca="false">IF(A79="","",A79&amp;"_CAD.dwg")</f>
        <v/>
      </c>
      <c r="AN79" s="10" t="str">
        <f aca="false">IF(A79="","",A79&amp;"_DWG.pdf")</f>
        <v/>
      </c>
      <c r="AO79" s="10" t="str">
        <f aca="false">IF(A79="","",IF(AK79="Y",A79&amp;"_STAAD.std","n/a"))</f>
        <v/>
      </c>
      <c r="AP79" s="10" t="str">
        <f aca="false">IF(A79="","",A79&amp;"_CALC.xlsx")</f>
        <v/>
      </c>
      <c r="AQ79" s="10" t="str">
        <f aca="false">IF(A79="","",A79&amp;"_CALC.pdf")</f>
        <v/>
      </c>
      <c r="AR79" s="9"/>
      <c r="AS79" s="9"/>
      <c r="AT79" s="39"/>
      <c r="AU79" s="39"/>
      <c r="AV79" s="39"/>
      <c r="AW79" s="39"/>
      <c r="AX79" s="39"/>
      <c r="AY79" s="12" t="str">
        <f aca="false">IF(A79="","",IF(COUNTIF(Rebar_Schedule!$A$5:$A$2004,A79)=0,"",ROUND(SUMIF(Rebar_Schedule!$A$5:$A$2004,A79,Rebar_Schedule!$K$5:$K$2004),1)))</f>
        <v/>
      </c>
      <c r="AZ79" s="33" t="str">
        <f aca="false">IF(A79="","",IF(AY79="","No rebar schedule yet",IF(ABS(AY79-N(AU79))/MAX(N(AU79),1)&gt;SG_Criteria!$B$55,"NOTE: register rebar differs from schedule by "&amp;TEXT(ABS(AY79-N(AU79))/MAX(N(AU79),1),"0%"),"OK")))</f>
        <v/>
      </c>
      <c r="BA79" s="33" t="str">
        <f aca="false">IF(OR(D79="",H79=""),"",IF(H79&lt;=IF(OR(D79="Soldier Pile &amp; Timber Lagging",D79="Trench Shoring Box",D79="Open Cut (battered)"),SG_Criteria!$B$34,SG_Criteria!$B$33),"No ERSS submission",IF(H79&lt;=SG_Criteria!$B$35,"QP(ST)",IF(H79&lt;=SG_Criteria!$B$36,"QP(ST) + AC","Geotechnical building works: QP(Geo) + AC"))))</f>
        <v/>
      </c>
      <c r="BB79" s="33" t="str">
        <f aca="false">IF(D79="","",IF(LEN(IF(AND(R79&lt;&gt;"",R79&lt;SG_Criteria!$B$37),"FAIL: base stability FOS &lt; "&amp;SG_Criteria!$B$37&amp;". ","")&amp;IF(AND(E79="Manhole",H79&gt;SG_Criteria!$B$36),"NOTE: BCA lists sewer manholes (pipe &lt;= 2 m dia) &gt; 6 m as non-GBW: QP(ST) + AC. ","")&amp;IF(AND(D79="Trench Shoring Box",I79="Kallang Formation (marine clay)"),"NOTE: check base heave / ground loss for shoring box in marine clay. ","")&amp;IF(AND(D79="Steel Sheet Pile Cofferdam",N(N79)&lt;H79*0.5),"NOTE: short toe embedment, check. ",""))=0,"OK",IF(AND(R79&lt;&gt;"",R79&lt;SG_Criteria!$B$37),"FAIL: base stability FOS &lt; "&amp;SG_Criteria!$B$37&amp;". ","")&amp;IF(AND(E79="Manhole",H79&gt;SG_Criteria!$B$36),"NOTE: BCA lists sewer manholes (pipe &lt;= 2 m dia) &gt; 6 m as non-GBW: QP(ST) + AC. ","")&amp;IF(AND(D79="Trench Shoring Box",I79="Kallang Formation (marine clay)"),"NOTE: check base heave / ground loss for shoring box in marine clay. ","")&amp;IF(AND(D79="Steel Sheet Pile Cofferdam",N(N79)&lt;H79*0.5),"NOTE: short toe embedment, check. ","")))</f>
        <v/>
      </c>
      <c r="BC79" s="9"/>
      <c r="BD79" s="9"/>
      <c r="BE79" s="9"/>
      <c r="BF79" s="10" t="str">
        <f aca="false">IF(BE79="","",IFERROR(VLOOKUP(BE79,Projects!$A$5:$D$504,2,0),"Ref not in Projects"))</f>
        <v/>
      </c>
      <c r="BG79" s="10" t="str">
        <f aca="false">IF(BE79="","",IFERROR(VLOOKUP(BE79,Projects!$A$5:$D$504,4,0),"Ref not in Projects"))</f>
        <v/>
      </c>
      <c r="BH79" s="9"/>
      <c r="BI79" s="9"/>
      <c r="BJ79" s="9"/>
      <c r="BK79" s="40"/>
      <c r="BL79" s="9"/>
      <c r="BM79" s="40"/>
      <c r="BN79" s="9"/>
      <c r="BO79" s="40"/>
      <c r="BP79" s="9"/>
      <c r="BQ79" s="9"/>
      <c r="BR79" s="9"/>
      <c r="BS79" s="40"/>
      <c r="BT79" s="40"/>
      <c r="BU79" s="36" t="str">
        <f aca="false">IF(BT79="","",EDATE(BT79,SG_Criteria!$B$54*12))</f>
        <v/>
      </c>
      <c r="BV79" s="33" t="str">
        <f aca="true">IF(A79="","",IF(BT79="","NOTE: not reviewed yet",IF(TODAY()&gt;BU79,"NOTE: review overdue","OK")))</f>
        <v/>
      </c>
      <c r="BW79" s="37" t="str">
        <f aca="false">IF(A79="","",ROUND((IF(LEN(D79)&gt;0,1,0)+IF(LEN(E79)&gt;0,1,0)+IF(LEN(F79)&gt;0,1,0)+IF(LEN(G79)&gt;0,1,0)+IF(LEN(H79)&gt;0,1,0)+IF(LEN(I79)&gt;0,1,0)+IF(LEN(J79)&gt;0,1,0)+IF(LEN(L79)&gt;0,1,0)+IF(LEN(R79)&gt;0,1,0)+IF(LEN(Y79)&gt;0,1,0)+IF(LEN(AE79)&gt;0,1,0)+IF(LEN(AG79)&gt;0,1,0)+IF(LEN(AH79)&gt;0,1,0)+IF(LEN(AI79)&gt;0,1,0)+IF(LEN(AJ79)&gt;0,1,0)+IF(LEN(AS79)&gt;0,1,0)+IF(LEN(BE79)&gt;0,1,0)+IF(LEN(BR79)&gt;0,1,0))/18,2))</f>
        <v/>
      </c>
      <c r="BX79" s="10" t="str">
        <f aca="false">IF(D79="","",IF(AND(AH79="Approved",ISERROR(SEARCH("FAIL",BB79))),"Y","N"))</f>
        <v/>
      </c>
      <c r="BY79" s="10" t="str">
        <f aca="false">IF(D79="","",D79&amp;"|"&amp;H79&amp;"|"&amp;F79&amp;"|"&amp;I79&amp;"|"&amp;BX79)</f>
        <v/>
      </c>
    </row>
    <row r="80" customFormat="false" ht="15" hidden="false" customHeight="false" outlineLevel="0" collapsed="false">
      <c r="A80" s="10" t="str">
        <f aca="false">IF(D80="","","ERSS-"&amp;IFERROR(VLOOKUP(D80,Lists!$AK$4:$AL$21,2,0),"??")&amp;"-"&amp;TEXT(F80,"0000")&amp;"x"&amp;TEXT(G80,"0000")&amp;"-D"&amp;TEXT(H80*1000,"0000")&amp;"-"&amp;IFERROR(VLOOKUP(I80,Lists!$Y$4:$Z$21,2,0),"??")&amp;"-"&amp;AG80)</f>
        <v/>
      </c>
      <c r="B80" s="10" t="str">
        <f aca="false">IF(D80="","",D80&amp;" for "&amp;E80&amp;", "&amp;F80&amp;" x "&amp;G80&amp;" pit, "&amp;TEXT(H80,"0.0")&amp;" m deep, "&amp;I80)</f>
        <v/>
      </c>
      <c r="C80" s="9"/>
      <c r="D80" s="9"/>
      <c r="E80" s="9"/>
      <c r="F80" s="38"/>
      <c r="G80" s="38"/>
      <c r="H80" s="42"/>
      <c r="I80" s="9"/>
      <c r="J80" s="42"/>
      <c r="K80" s="38"/>
      <c r="L80" s="9"/>
      <c r="M80" s="42"/>
      <c r="N80" s="42"/>
      <c r="O80" s="38"/>
      <c r="P80" s="9"/>
      <c r="Q80" s="9"/>
      <c r="R80" s="39"/>
      <c r="S80" s="39"/>
      <c r="T80" s="38"/>
      <c r="U80" s="38"/>
      <c r="V80" s="38"/>
      <c r="W80" s="9"/>
      <c r="X80" s="9"/>
      <c r="Y80" s="38"/>
      <c r="Z80" s="9"/>
      <c r="AA80" s="9"/>
      <c r="AB80" s="38"/>
      <c r="AC80" s="9"/>
      <c r="AD80" s="39"/>
      <c r="AE80" s="9"/>
      <c r="AF80" s="9"/>
      <c r="AG80" s="9"/>
      <c r="AH80" s="9"/>
      <c r="AI80" s="9"/>
      <c r="AJ80" s="9"/>
      <c r="AK80" s="9"/>
      <c r="AL80" s="10" t="str">
        <f aca="false">IF(A80="","",SG_Criteria!$B$6&amp;SG_Criteria!$B$11&amp;"\"&amp;A80&amp;"\")</f>
        <v/>
      </c>
      <c r="AM80" s="10" t="str">
        <f aca="false">IF(A80="","",A80&amp;"_CAD.dwg")</f>
        <v/>
      </c>
      <c r="AN80" s="10" t="str">
        <f aca="false">IF(A80="","",A80&amp;"_DWG.pdf")</f>
        <v/>
      </c>
      <c r="AO80" s="10" t="str">
        <f aca="false">IF(A80="","",IF(AK80="Y",A80&amp;"_STAAD.std","n/a"))</f>
        <v/>
      </c>
      <c r="AP80" s="10" t="str">
        <f aca="false">IF(A80="","",A80&amp;"_CALC.xlsx")</f>
        <v/>
      </c>
      <c r="AQ80" s="10" t="str">
        <f aca="false">IF(A80="","",A80&amp;"_CALC.pdf")</f>
        <v/>
      </c>
      <c r="AR80" s="9"/>
      <c r="AS80" s="9"/>
      <c r="AT80" s="39"/>
      <c r="AU80" s="39"/>
      <c r="AV80" s="39"/>
      <c r="AW80" s="39"/>
      <c r="AX80" s="39"/>
      <c r="AY80" s="12" t="str">
        <f aca="false">IF(A80="","",IF(COUNTIF(Rebar_Schedule!$A$5:$A$2004,A80)=0,"",ROUND(SUMIF(Rebar_Schedule!$A$5:$A$2004,A80,Rebar_Schedule!$K$5:$K$2004),1)))</f>
        <v/>
      </c>
      <c r="AZ80" s="33" t="str">
        <f aca="false">IF(A80="","",IF(AY80="","No rebar schedule yet",IF(ABS(AY80-N(AU80))/MAX(N(AU80),1)&gt;SG_Criteria!$B$55,"NOTE: register rebar differs from schedule by "&amp;TEXT(ABS(AY80-N(AU80))/MAX(N(AU80),1),"0%"),"OK")))</f>
        <v/>
      </c>
      <c r="BA80" s="33" t="str">
        <f aca="false">IF(OR(D80="",H80=""),"",IF(H80&lt;=IF(OR(D80="Soldier Pile &amp; Timber Lagging",D80="Trench Shoring Box",D80="Open Cut (battered)"),SG_Criteria!$B$34,SG_Criteria!$B$33),"No ERSS submission",IF(H80&lt;=SG_Criteria!$B$35,"QP(ST)",IF(H80&lt;=SG_Criteria!$B$36,"QP(ST) + AC","Geotechnical building works: QP(Geo) + AC"))))</f>
        <v/>
      </c>
      <c r="BB80" s="33" t="str">
        <f aca="false">IF(D80="","",IF(LEN(IF(AND(R80&lt;&gt;"",R80&lt;SG_Criteria!$B$37),"FAIL: base stability FOS &lt; "&amp;SG_Criteria!$B$37&amp;". ","")&amp;IF(AND(E80="Manhole",H80&gt;SG_Criteria!$B$36),"NOTE: BCA lists sewer manholes (pipe &lt;= 2 m dia) &gt; 6 m as non-GBW: QP(ST) + AC. ","")&amp;IF(AND(D80="Trench Shoring Box",I80="Kallang Formation (marine clay)"),"NOTE: check base heave / ground loss for shoring box in marine clay. ","")&amp;IF(AND(D80="Steel Sheet Pile Cofferdam",N(N80)&lt;H80*0.5),"NOTE: short toe embedment, check. ",""))=0,"OK",IF(AND(R80&lt;&gt;"",R80&lt;SG_Criteria!$B$37),"FAIL: base stability FOS &lt; "&amp;SG_Criteria!$B$37&amp;". ","")&amp;IF(AND(E80="Manhole",H80&gt;SG_Criteria!$B$36),"NOTE: BCA lists sewer manholes (pipe &lt;= 2 m dia) &gt; 6 m as non-GBW: QP(ST) + AC. ","")&amp;IF(AND(D80="Trench Shoring Box",I80="Kallang Formation (marine clay)"),"NOTE: check base heave / ground loss for shoring box in marine clay. ","")&amp;IF(AND(D80="Steel Sheet Pile Cofferdam",N(N80)&lt;H80*0.5),"NOTE: short toe embedment, check. ","")))</f>
        <v/>
      </c>
      <c r="BC80" s="9"/>
      <c r="BD80" s="9"/>
      <c r="BE80" s="9"/>
      <c r="BF80" s="10" t="str">
        <f aca="false">IF(BE80="","",IFERROR(VLOOKUP(BE80,Projects!$A$5:$D$504,2,0),"Ref not in Projects"))</f>
        <v/>
      </c>
      <c r="BG80" s="10" t="str">
        <f aca="false">IF(BE80="","",IFERROR(VLOOKUP(BE80,Projects!$A$5:$D$504,4,0),"Ref not in Projects"))</f>
        <v/>
      </c>
      <c r="BH80" s="9"/>
      <c r="BI80" s="9"/>
      <c r="BJ80" s="9"/>
      <c r="BK80" s="40"/>
      <c r="BL80" s="9"/>
      <c r="BM80" s="40"/>
      <c r="BN80" s="9"/>
      <c r="BO80" s="40"/>
      <c r="BP80" s="9"/>
      <c r="BQ80" s="9"/>
      <c r="BR80" s="9"/>
      <c r="BS80" s="40"/>
      <c r="BT80" s="40"/>
      <c r="BU80" s="36" t="str">
        <f aca="false">IF(BT80="","",EDATE(BT80,SG_Criteria!$B$54*12))</f>
        <v/>
      </c>
      <c r="BV80" s="33" t="str">
        <f aca="true">IF(A80="","",IF(BT80="","NOTE: not reviewed yet",IF(TODAY()&gt;BU80,"NOTE: review overdue","OK")))</f>
        <v/>
      </c>
      <c r="BW80" s="37" t="str">
        <f aca="false">IF(A80="","",ROUND((IF(LEN(D80)&gt;0,1,0)+IF(LEN(E80)&gt;0,1,0)+IF(LEN(F80)&gt;0,1,0)+IF(LEN(G80)&gt;0,1,0)+IF(LEN(H80)&gt;0,1,0)+IF(LEN(I80)&gt;0,1,0)+IF(LEN(J80)&gt;0,1,0)+IF(LEN(L80)&gt;0,1,0)+IF(LEN(R80)&gt;0,1,0)+IF(LEN(Y80)&gt;0,1,0)+IF(LEN(AE80)&gt;0,1,0)+IF(LEN(AG80)&gt;0,1,0)+IF(LEN(AH80)&gt;0,1,0)+IF(LEN(AI80)&gt;0,1,0)+IF(LEN(AJ80)&gt;0,1,0)+IF(LEN(AS80)&gt;0,1,0)+IF(LEN(BE80)&gt;0,1,0)+IF(LEN(BR80)&gt;0,1,0))/18,2))</f>
        <v/>
      </c>
      <c r="BX80" s="10" t="str">
        <f aca="false">IF(D80="","",IF(AND(AH80="Approved",ISERROR(SEARCH("FAIL",BB80))),"Y","N"))</f>
        <v/>
      </c>
      <c r="BY80" s="10" t="str">
        <f aca="false">IF(D80="","",D80&amp;"|"&amp;H80&amp;"|"&amp;F80&amp;"|"&amp;I80&amp;"|"&amp;BX80)</f>
        <v/>
      </c>
    </row>
    <row r="81" customFormat="false" ht="15" hidden="false" customHeight="false" outlineLevel="0" collapsed="false">
      <c r="A81" s="10" t="str">
        <f aca="false">IF(D81="","","ERSS-"&amp;IFERROR(VLOOKUP(D81,Lists!$AK$4:$AL$21,2,0),"??")&amp;"-"&amp;TEXT(F81,"0000")&amp;"x"&amp;TEXT(G81,"0000")&amp;"-D"&amp;TEXT(H81*1000,"0000")&amp;"-"&amp;IFERROR(VLOOKUP(I81,Lists!$Y$4:$Z$21,2,0),"??")&amp;"-"&amp;AG81)</f>
        <v/>
      </c>
      <c r="B81" s="10" t="str">
        <f aca="false">IF(D81="","",D81&amp;" for "&amp;E81&amp;", "&amp;F81&amp;" x "&amp;G81&amp;" pit, "&amp;TEXT(H81,"0.0")&amp;" m deep, "&amp;I81)</f>
        <v/>
      </c>
      <c r="C81" s="9"/>
      <c r="D81" s="9"/>
      <c r="E81" s="9"/>
      <c r="F81" s="38"/>
      <c r="G81" s="38"/>
      <c r="H81" s="42"/>
      <c r="I81" s="9"/>
      <c r="J81" s="42"/>
      <c r="K81" s="38"/>
      <c r="L81" s="9"/>
      <c r="M81" s="42"/>
      <c r="N81" s="42"/>
      <c r="O81" s="38"/>
      <c r="P81" s="9"/>
      <c r="Q81" s="9"/>
      <c r="R81" s="39"/>
      <c r="S81" s="39"/>
      <c r="T81" s="38"/>
      <c r="U81" s="38"/>
      <c r="V81" s="38"/>
      <c r="W81" s="9"/>
      <c r="X81" s="9"/>
      <c r="Y81" s="38"/>
      <c r="Z81" s="9"/>
      <c r="AA81" s="9"/>
      <c r="AB81" s="38"/>
      <c r="AC81" s="9"/>
      <c r="AD81" s="39"/>
      <c r="AE81" s="9"/>
      <c r="AF81" s="9"/>
      <c r="AG81" s="9"/>
      <c r="AH81" s="9"/>
      <c r="AI81" s="9"/>
      <c r="AJ81" s="9"/>
      <c r="AK81" s="9"/>
      <c r="AL81" s="10" t="str">
        <f aca="false">IF(A81="","",SG_Criteria!$B$6&amp;SG_Criteria!$B$11&amp;"\"&amp;A81&amp;"\")</f>
        <v/>
      </c>
      <c r="AM81" s="10" t="str">
        <f aca="false">IF(A81="","",A81&amp;"_CAD.dwg")</f>
        <v/>
      </c>
      <c r="AN81" s="10" t="str">
        <f aca="false">IF(A81="","",A81&amp;"_DWG.pdf")</f>
        <v/>
      </c>
      <c r="AO81" s="10" t="str">
        <f aca="false">IF(A81="","",IF(AK81="Y",A81&amp;"_STAAD.std","n/a"))</f>
        <v/>
      </c>
      <c r="AP81" s="10" t="str">
        <f aca="false">IF(A81="","",A81&amp;"_CALC.xlsx")</f>
        <v/>
      </c>
      <c r="AQ81" s="10" t="str">
        <f aca="false">IF(A81="","",A81&amp;"_CALC.pdf")</f>
        <v/>
      </c>
      <c r="AR81" s="9"/>
      <c r="AS81" s="9"/>
      <c r="AT81" s="39"/>
      <c r="AU81" s="39"/>
      <c r="AV81" s="39"/>
      <c r="AW81" s="39"/>
      <c r="AX81" s="39"/>
      <c r="AY81" s="12" t="str">
        <f aca="false">IF(A81="","",IF(COUNTIF(Rebar_Schedule!$A$5:$A$2004,A81)=0,"",ROUND(SUMIF(Rebar_Schedule!$A$5:$A$2004,A81,Rebar_Schedule!$K$5:$K$2004),1)))</f>
        <v/>
      </c>
      <c r="AZ81" s="33" t="str">
        <f aca="false">IF(A81="","",IF(AY81="","No rebar schedule yet",IF(ABS(AY81-N(AU81))/MAX(N(AU81),1)&gt;SG_Criteria!$B$55,"NOTE: register rebar differs from schedule by "&amp;TEXT(ABS(AY81-N(AU81))/MAX(N(AU81),1),"0%"),"OK")))</f>
        <v/>
      </c>
      <c r="BA81" s="33" t="str">
        <f aca="false">IF(OR(D81="",H81=""),"",IF(H81&lt;=IF(OR(D81="Soldier Pile &amp; Timber Lagging",D81="Trench Shoring Box",D81="Open Cut (battered)"),SG_Criteria!$B$34,SG_Criteria!$B$33),"No ERSS submission",IF(H81&lt;=SG_Criteria!$B$35,"QP(ST)",IF(H81&lt;=SG_Criteria!$B$36,"QP(ST) + AC","Geotechnical building works: QP(Geo) + AC"))))</f>
        <v/>
      </c>
      <c r="BB81" s="33" t="str">
        <f aca="false">IF(D81="","",IF(LEN(IF(AND(R81&lt;&gt;"",R81&lt;SG_Criteria!$B$37),"FAIL: base stability FOS &lt; "&amp;SG_Criteria!$B$37&amp;". ","")&amp;IF(AND(E81="Manhole",H81&gt;SG_Criteria!$B$36),"NOTE: BCA lists sewer manholes (pipe &lt;= 2 m dia) &gt; 6 m as non-GBW: QP(ST) + AC. ","")&amp;IF(AND(D81="Trench Shoring Box",I81="Kallang Formation (marine clay)"),"NOTE: check base heave / ground loss for shoring box in marine clay. ","")&amp;IF(AND(D81="Steel Sheet Pile Cofferdam",N(N81)&lt;H81*0.5),"NOTE: short toe embedment, check. ",""))=0,"OK",IF(AND(R81&lt;&gt;"",R81&lt;SG_Criteria!$B$37),"FAIL: base stability FOS &lt; "&amp;SG_Criteria!$B$37&amp;". ","")&amp;IF(AND(E81="Manhole",H81&gt;SG_Criteria!$B$36),"NOTE: BCA lists sewer manholes (pipe &lt;= 2 m dia) &gt; 6 m as non-GBW: QP(ST) + AC. ","")&amp;IF(AND(D81="Trench Shoring Box",I81="Kallang Formation (marine clay)"),"NOTE: check base heave / ground loss for shoring box in marine clay. ","")&amp;IF(AND(D81="Steel Sheet Pile Cofferdam",N(N81)&lt;H81*0.5),"NOTE: short toe embedment, check. ","")))</f>
        <v/>
      </c>
      <c r="BC81" s="9"/>
      <c r="BD81" s="9"/>
      <c r="BE81" s="9"/>
      <c r="BF81" s="10" t="str">
        <f aca="false">IF(BE81="","",IFERROR(VLOOKUP(BE81,Projects!$A$5:$D$504,2,0),"Ref not in Projects"))</f>
        <v/>
      </c>
      <c r="BG81" s="10" t="str">
        <f aca="false">IF(BE81="","",IFERROR(VLOOKUP(BE81,Projects!$A$5:$D$504,4,0),"Ref not in Projects"))</f>
        <v/>
      </c>
      <c r="BH81" s="9"/>
      <c r="BI81" s="9"/>
      <c r="BJ81" s="9"/>
      <c r="BK81" s="40"/>
      <c r="BL81" s="9"/>
      <c r="BM81" s="40"/>
      <c r="BN81" s="9"/>
      <c r="BO81" s="40"/>
      <c r="BP81" s="9"/>
      <c r="BQ81" s="9"/>
      <c r="BR81" s="9"/>
      <c r="BS81" s="40"/>
      <c r="BT81" s="40"/>
      <c r="BU81" s="36" t="str">
        <f aca="false">IF(BT81="","",EDATE(BT81,SG_Criteria!$B$54*12))</f>
        <v/>
      </c>
      <c r="BV81" s="33" t="str">
        <f aca="true">IF(A81="","",IF(BT81="","NOTE: not reviewed yet",IF(TODAY()&gt;BU81,"NOTE: review overdue","OK")))</f>
        <v/>
      </c>
      <c r="BW81" s="37" t="str">
        <f aca="false">IF(A81="","",ROUND((IF(LEN(D81)&gt;0,1,0)+IF(LEN(E81)&gt;0,1,0)+IF(LEN(F81)&gt;0,1,0)+IF(LEN(G81)&gt;0,1,0)+IF(LEN(H81)&gt;0,1,0)+IF(LEN(I81)&gt;0,1,0)+IF(LEN(J81)&gt;0,1,0)+IF(LEN(L81)&gt;0,1,0)+IF(LEN(R81)&gt;0,1,0)+IF(LEN(Y81)&gt;0,1,0)+IF(LEN(AE81)&gt;0,1,0)+IF(LEN(AG81)&gt;0,1,0)+IF(LEN(AH81)&gt;0,1,0)+IF(LEN(AI81)&gt;0,1,0)+IF(LEN(AJ81)&gt;0,1,0)+IF(LEN(AS81)&gt;0,1,0)+IF(LEN(BE81)&gt;0,1,0)+IF(LEN(BR81)&gt;0,1,0))/18,2))</f>
        <v/>
      </c>
      <c r="BX81" s="10" t="str">
        <f aca="false">IF(D81="","",IF(AND(AH81="Approved",ISERROR(SEARCH("FAIL",BB81))),"Y","N"))</f>
        <v/>
      </c>
      <c r="BY81" s="10" t="str">
        <f aca="false">IF(D81="","",D81&amp;"|"&amp;H81&amp;"|"&amp;F81&amp;"|"&amp;I81&amp;"|"&amp;BX81)</f>
        <v/>
      </c>
    </row>
    <row r="82" customFormat="false" ht="15" hidden="false" customHeight="false" outlineLevel="0" collapsed="false">
      <c r="A82" s="10" t="str">
        <f aca="false">IF(D82="","","ERSS-"&amp;IFERROR(VLOOKUP(D82,Lists!$AK$4:$AL$21,2,0),"??")&amp;"-"&amp;TEXT(F82,"0000")&amp;"x"&amp;TEXT(G82,"0000")&amp;"-D"&amp;TEXT(H82*1000,"0000")&amp;"-"&amp;IFERROR(VLOOKUP(I82,Lists!$Y$4:$Z$21,2,0),"??")&amp;"-"&amp;AG82)</f>
        <v/>
      </c>
      <c r="B82" s="10" t="str">
        <f aca="false">IF(D82="","",D82&amp;" for "&amp;E82&amp;", "&amp;F82&amp;" x "&amp;G82&amp;" pit, "&amp;TEXT(H82,"0.0")&amp;" m deep, "&amp;I82)</f>
        <v/>
      </c>
      <c r="C82" s="9"/>
      <c r="D82" s="9"/>
      <c r="E82" s="9"/>
      <c r="F82" s="38"/>
      <c r="G82" s="38"/>
      <c r="H82" s="42"/>
      <c r="I82" s="9"/>
      <c r="J82" s="42"/>
      <c r="K82" s="38"/>
      <c r="L82" s="9"/>
      <c r="M82" s="42"/>
      <c r="N82" s="42"/>
      <c r="O82" s="38"/>
      <c r="P82" s="9"/>
      <c r="Q82" s="9"/>
      <c r="R82" s="39"/>
      <c r="S82" s="39"/>
      <c r="T82" s="38"/>
      <c r="U82" s="38"/>
      <c r="V82" s="38"/>
      <c r="W82" s="9"/>
      <c r="X82" s="9"/>
      <c r="Y82" s="38"/>
      <c r="Z82" s="9"/>
      <c r="AA82" s="9"/>
      <c r="AB82" s="38"/>
      <c r="AC82" s="9"/>
      <c r="AD82" s="39"/>
      <c r="AE82" s="9"/>
      <c r="AF82" s="9"/>
      <c r="AG82" s="9"/>
      <c r="AH82" s="9"/>
      <c r="AI82" s="9"/>
      <c r="AJ82" s="9"/>
      <c r="AK82" s="9"/>
      <c r="AL82" s="10" t="str">
        <f aca="false">IF(A82="","",SG_Criteria!$B$6&amp;SG_Criteria!$B$11&amp;"\"&amp;A82&amp;"\")</f>
        <v/>
      </c>
      <c r="AM82" s="10" t="str">
        <f aca="false">IF(A82="","",A82&amp;"_CAD.dwg")</f>
        <v/>
      </c>
      <c r="AN82" s="10" t="str">
        <f aca="false">IF(A82="","",A82&amp;"_DWG.pdf")</f>
        <v/>
      </c>
      <c r="AO82" s="10" t="str">
        <f aca="false">IF(A82="","",IF(AK82="Y",A82&amp;"_STAAD.std","n/a"))</f>
        <v/>
      </c>
      <c r="AP82" s="10" t="str">
        <f aca="false">IF(A82="","",A82&amp;"_CALC.xlsx")</f>
        <v/>
      </c>
      <c r="AQ82" s="10" t="str">
        <f aca="false">IF(A82="","",A82&amp;"_CALC.pdf")</f>
        <v/>
      </c>
      <c r="AR82" s="9"/>
      <c r="AS82" s="9"/>
      <c r="AT82" s="39"/>
      <c r="AU82" s="39"/>
      <c r="AV82" s="39"/>
      <c r="AW82" s="39"/>
      <c r="AX82" s="39"/>
      <c r="AY82" s="12" t="str">
        <f aca="false">IF(A82="","",IF(COUNTIF(Rebar_Schedule!$A$5:$A$2004,A82)=0,"",ROUND(SUMIF(Rebar_Schedule!$A$5:$A$2004,A82,Rebar_Schedule!$K$5:$K$2004),1)))</f>
        <v/>
      </c>
      <c r="AZ82" s="33" t="str">
        <f aca="false">IF(A82="","",IF(AY82="","No rebar schedule yet",IF(ABS(AY82-N(AU82))/MAX(N(AU82),1)&gt;SG_Criteria!$B$55,"NOTE: register rebar differs from schedule by "&amp;TEXT(ABS(AY82-N(AU82))/MAX(N(AU82),1),"0%"),"OK")))</f>
        <v/>
      </c>
      <c r="BA82" s="33" t="str">
        <f aca="false">IF(OR(D82="",H82=""),"",IF(H82&lt;=IF(OR(D82="Soldier Pile &amp; Timber Lagging",D82="Trench Shoring Box",D82="Open Cut (battered)"),SG_Criteria!$B$34,SG_Criteria!$B$33),"No ERSS submission",IF(H82&lt;=SG_Criteria!$B$35,"QP(ST)",IF(H82&lt;=SG_Criteria!$B$36,"QP(ST) + AC","Geotechnical building works: QP(Geo) + AC"))))</f>
        <v/>
      </c>
      <c r="BB82" s="33" t="str">
        <f aca="false">IF(D82="","",IF(LEN(IF(AND(R82&lt;&gt;"",R82&lt;SG_Criteria!$B$37),"FAIL: base stability FOS &lt; "&amp;SG_Criteria!$B$37&amp;". ","")&amp;IF(AND(E82="Manhole",H82&gt;SG_Criteria!$B$36),"NOTE: BCA lists sewer manholes (pipe &lt;= 2 m dia) &gt; 6 m as non-GBW: QP(ST) + AC. ","")&amp;IF(AND(D82="Trench Shoring Box",I82="Kallang Formation (marine clay)"),"NOTE: check base heave / ground loss for shoring box in marine clay. ","")&amp;IF(AND(D82="Steel Sheet Pile Cofferdam",N(N82)&lt;H82*0.5),"NOTE: short toe embedment, check. ",""))=0,"OK",IF(AND(R82&lt;&gt;"",R82&lt;SG_Criteria!$B$37),"FAIL: base stability FOS &lt; "&amp;SG_Criteria!$B$37&amp;". ","")&amp;IF(AND(E82="Manhole",H82&gt;SG_Criteria!$B$36),"NOTE: BCA lists sewer manholes (pipe &lt;= 2 m dia) &gt; 6 m as non-GBW: QP(ST) + AC. ","")&amp;IF(AND(D82="Trench Shoring Box",I82="Kallang Formation (marine clay)"),"NOTE: check base heave / ground loss for shoring box in marine clay. ","")&amp;IF(AND(D82="Steel Sheet Pile Cofferdam",N(N82)&lt;H82*0.5),"NOTE: short toe embedment, check. ","")))</f>
        <v/>
      </c>
      <c r="BC82" s="9"/>
      <c r="BD82" s="9"/>
      <c r="BE82" s="9"/>
      <c r="BF82" s="10" t="str">
        <f aca="false">IF(BE82="","",IFERROR(VLOOKUP(BE82,Projects!$A$5:$D$504,2,0),"Ref not in Projects"))</f>
        <v/>
      </c>
      <c r="BG82" s="10" t="str">
        <f aca="false">IF(BE82="","",IFERROR(VLOOKUP(BE82,Projects!$A$5:$D$504,4,0),"Ref not in Projects"))</f>
        <v/>
      </c>
      <c r="BH82" s="9"/>
      <c r="BI82" s="9"/>
      <c r="BJ82" s="9"/>
      <c r="BK82" s="40"/>
      <c r="BL82" s="9"/>
      <c r="BM82" s="40"/>
      <c r="BN82" s="9"/>
      <c r="BO82" s="40"/>
      <c r="BP82" s="9"/>
      <c r="BQ82" s="9"/>
      <c r="BR82" s="9"/>
      <c r="BS82" s="40"/>
      <c r="BT82" s="40"/>
      <c r="BU82" s="36" t="str">
        <f aca="false">IF(BT82="","",EDATE(BT82,SG_Criteria!$B$54*12))</f>
        <v/>
      </c>
      <c r="BV82" s="33" t="str">
        <f aca="true">IF(A82="","",IF(BT82="","NOTE: not reviewed yet",IF(TODAY()&gt;BU82,"NOTE: review overdue","OK")))</f>
        <v/>
      </c>
      <c r="BW82" s="37" t="str">
        <f aca="false">IF(A82="","",ROUND((IF(LEN(D82)&gt;0,1,0)+IF(LEN(E82)&gt;0,1,0)+IF(LEN(F82)&gt;0,1,0)+IF(LEN(G82)&gt;0,1,0)+IF(LEN(H82)&gt;0,1,0)+IF(LEN(I82)&gt;0,1,0)+IF(LEN(J82)&gt;0,1,0)+IF(LEN(L82)&gt;0,1,0)+IF(LEN(R82)&gt;0,1,0)+IF(LEN(Y82)&gt;0,1,0)+IF(LEN(AE82)&gt;0,1,0)+IF(LEN(AG82)&gt;0,1,0)+IF(LEN(AH82)&gt;0,1,0)+IF(LEN(AI82)&gt;0,1,0)+IF(LEN(AJ82)&gt;0,1,0)+IF(LEN(AS82)&gt;0,1,0)+IF(LEN(BE82)&gt;0,1,0)+IF(LEN(BR82)&gt;0,1,0))/18,2))</f>
        <v/>
      </c>
      <c r="BX82" s="10" t="str">
        <f aca="false">IF(D82="","",IF(AND(AH82="Approved",ISERROR(SEARCH("FAIL",BB82))),"Y","N"))</f>
        <v/>
      </c>
      <c r="BY82" s="10" t="str">
        <f aca="false">IF(D82="","",D82&amp;"|"&amp;H82&amp;"|"&amp;F82&amp;"|"&amp;I82&amp;"|"&amp;BX82)</f>
        <v/>
      </c>
    </row>
    <row r="83" customFormat="false" ht="15" hidden="false" customHeight="false" outlineLevel="0" collapsed="false">
      <c r="A83" s="10" t="str">
        <f aca="false">IF(D83="","","ERSS-"&amp;IFERROR(VLOOKUP(D83,Lists!$AK$4:$AL$21,2,0),"??")&amp;"-"&amp;TEXT(F83,"0000")&amp;"x"&amp;TEXT(G83,"0000")&amp;"-D"&amp;TEXT(H83*1000,"0000")&amp;"-"&amp;IFERROR(VLOOKUP(I83,Lists!$Y$4:$Z$21,2,0),"??")&amp;"-"&amp;AG83)</f>
        <v/>
      </c>
      <c r="B83" s="10" t="str">
        <f aca="false">IF(D83="","",D83&amp;" for "&amp;E83&amp;", "&amp;F83&amp;" x "&amp;G83&amp;" pit, "&amp;TEXT(H83,"0.0")&amp;" m deep, "&amp;I83)</f>
        <v/>
      </c>
      <c r="C83" s="9"/>
      <c r="D83" s="9"/>
      <c r="E83" s="9"/>
      <c r="F83" s="38"/>
      <c r="G83" s="38"/>
      <c r="H83" s="42"/>
      <c r="I83" s="9"/>
      <c r="J83" s="42"/>
      <c r="K83" s="38"/>
      <c r="L83" s="9"/>
      <c r="M83" s="42"/>
      <c r="N83" s="42"/>
      <c r="O83" s="38"/>
      <c r="P83" s="9"/>
      <c r="Q83" s="9"/>
      <c r="R83" s="39"/>
      <c r="S83" s="39"/>
      <c r="T83" s="38"/>
      <c r="U83" s="38"/>
      <c r="V83" s="38"/>
      <c r="W83" s="9"/>
      <c r="X83" s="9"/>
      <c r="Y83" s="38"/>
      <c r="Z83" s="9"/>
      <c r="AA83" s="9"/>
      <c r="AB83" s="38"/>
      <c r="AC83" s="9"/>
      <c r="AD83" s="39"/>
      <c r="AE83" s="9"/>
      <c r="AF83" s="9"/>
      <c r="AG83" s="9"/>
      <c r="AH83" s="9"/>
      <c r="AI83" s="9"/>
      <c r="AJ83" s="9"/>
      <c r="AK83" s="9"/>
      <c r="AL83" s="10" t="str">
        <f aca="false">IF(A83="","",SG_Criteria!$B$6&amp;SG_Criteria!$B$11&amp;"\"&amp;A83&amp;"\")</f>
        <v/>
      </c>
      <c r="AM83" s="10" t="str">
        <f aca="false">IF(A83="","",A83&amp;"_CAD.dwg")</f>
        <v/>
      </c>
      <c r="AN83" s="10" t="str">
        <f aca="false">IF(A83="","",A83&amp;"_DWG.pdf")</f>
        <v/>
      </c>
      <c r="AO83" s="10" t="str">
        <f aca="false">IF(A83="","",IF(AK83="Y",A83&amp;"_STAAD.std","n/a"))</f>
        <v/>
      </c>
      <c r="AP83" s="10" t="str">
        <f aca="false">IF(A83="","",A83&amp;"_CALC.xlsx")</f>
        <v/>
      </c>
      <c r="AQ83" s="10" t="str">
        <f aca="false">IF(A83="","",A83&amp;"_CALC.pdf")</f>
        <v/>
      </c>
      <c r="AR83" s="9"/>
      <c r="AS83" s="9"/>
      <c r="AT83" s="39"/>
      <c r="AU83" s="39"/>
      <c r="AV83" s="39"/>
      <c r="AW83" s="39"/>
      <c r="AX83" s="39"/>
      <c r="AY83" s="12" t="str">
        <f aca="false">IF(A83="","",IF(COUNTIF(Rebar_Schedule!$A$5:$A$2004,A83)=0,"",ROUND(SUMIF(Rebar_Schedule!$A$5:$A$2004,A83,Rebar_Schedule!$K$5:$K$2004),1)))</f>
        <v/>
      </c>
      <c r="AZ83" s="33" t="str">
        <f aca="false">IF(A83="","",IF(AY83="","No rebar schedule yet",IF(ABS(AY83-N(AU83))/MAX(N(AU83),1)&gt;SG_Criteria!$B$55,"NOTE: register rebar differs from schedule by "&amp;TEXT(ABS(AY83-N(AU83))/MAX(N(AU83),1),"0%"),"OK")))</f>
        <v/>
      </c>
      <c r="BA83" s="33" t="str">
        <f aca="false">IF(OR(D83="",H83=""),"",IF(H83&lt;=IF(OR(D83="Soldier Pile &amp; Timber Lagging",D83="Trench Shoring Box",D83="Open Cut (battered)"),SG_Criteria!$B$34,SG_Criteria!$B$33),"No ERSS submission",IF(H83&lt;=SG_Criteria!$B$35,"QP(ST)",IF(H83&lt;=SG_Criteria!$B$36,"QP(ST) + AC","Geotechnical building works: QP(Geo) + AC"))))</f>
        <v/>
      </c>
      <c r="BB83" s="33" t="str">
        <f aca="false">IF(D83="","",IF(LEN(IF(AND(R83&lt;&gt;"",R83&lt;SG_Criteria!$B$37),"FAIL: base stability FOS &lt; "&amp;SG_Criteria!$B$37&amp;". ","")&amp;IF(AND(E83="Manhole",H83&gt;SG_Criteria!$B$36),"NOTE: BCA lists sewer manholes (pipe &lt;= 2 m dia) &gt; 6 m as non-GBW: QP(ST) + AC. ","")&amp;IF(AND(D83="Trench Shoring Box",I83="Kallang Formation (marine clay)"),"NOTE: check base heave / ground loss for shoring box in marine clay. ","")&amp;IF(AND(D83="Steel Sheet Pile Cofferdam",N(N83)&lt;H83*0.5),"NOTE: short toe embedment, check. ",""))=0,"OK",IF(AND(R83&lt;&gt;"",R83&lt;SG_Criteria!$B$37),"FAIL: base stability FOS &lt; "&amp;SG_Criteria!$B$37&amp;". ","")&amp;IF(AND(E83="Manhole",H83&gt;SG_Criteria!$B$36),"NOTE: BCA lists sewer manholes (pipe &lt;= 2 m dia) &gt; 6 m as non-GBW: QP(ST) + AC. ","")&amp;IF(AND(D83="Trench Shoring Box",I83="Kallang Formation (marine clay)"),"NOTE: check base heave / ground loss for shoring box in marine clay. ","")&amp;IF(AND(D83="Steel Sheet Pile Cofferdam",N(N83)&lt;H83*0.5),"NOTE: short toe embedment, check. ","")))</f>
        <v/>
      </c>
      <c r="BC83" s="9"/>
      <c r="BD83" s="9"/>
      <c r="BE83" s="9"/>
      <c r="BF83" s="10" t="str">
        <f aca="false">IF(BE83="","",IFERROR(VLOOKUP(BE83,Projects!$A$5:$D$504,2,0),"Ref not in Projects"))</f>
        <v/>
      </c>
      <c r="BG83" s="10" t="str">
        <f aca="false">IF(BE83="","",IFERROR(VLOOKUP(BE83,Projects!$A$5:$D$504,4,0),"Ref not in Projects"))</f>
        <v/>
      </c>
      <c r="BH83" s="9"/>
      <c r="BI83" s="9"/>
      <c r="BJ83" s="9"/>
      <c r="BK83" s="40"/>
      <c r="BL83" s="9"/>
      <c r="BM83" s="40"/>
      <c r="BN83" s="9"/>
      <c r="BO83" s="40"/>
      <c r="BP83" s="9"/>
      <c r="BQ83" s="9"/>
      <c r="BR83" s="9"/>
      <c r="BS83" s="40"/>
      <c r="BT83" s="40"/>
      <c r="BU83" s="36" t="str">
        <f aca="false">IF(BT83="","",EDATE(BT83,SG_Criteria!$B$54*12))</f>
        <v/>
      </c>
      <c r="BV83" s="33" t="str">
        <f aca="true">IF(A83="","",IF(BT83="","NOTE: not reviewed yet",IF(TODAY()&gt;BU83,"NOTE: review overdue","OK")))</f>
        <v/>
      </c>
      <c r="BW83" s="37" t="str">
        <f aca="false">IF(A83="","",ROUND((IF(LEN(D83)&gt;0,1,0)+IF(LEN(E83)&gt;0,1,0)+IF(LEN(F83)&gt;0,1,0)+IF(LEN(G83)&gt;0,1,0)+IF(LEN(H83)&gt;0,1,0)+IF(LEN(I83)&gt;0,1,0)+IF(LEN(J83)&gt;0,1,0)+IF(LEN(L83)&gt;0,1,0)+IF(LEN(R83)&gt;0,1,0)+IF(LEN(Y83)&gt;0,1,0)+IF(LEN(AE83)&gt;0,1,0)+IF(LEN(AG83)&gt;0,1,0)+IF(LEN(AH83)&gt;0,1,0)+IF(LEN(AI83)&gt;0,1,0)+IF(LEN(AJ83)&gt;0,1,0)+IF(LEN(AS83)&gt;0,1,0)+IF(LEN(BE83)&gt;0,1,0)+IF(LEN(BR83)&gt;0,1,0))/18,2))</f>
        <v/>
      </c>
      <c r="BX83" s="10" t="str">
        <f aca="false">IF(D83="","",IF(AND(AH83="Approved",ISERROR(SEARCH("FAIL",BB83))),"Y","N"))</f>
        <v/>
      </c>
      <c r="BY83" s="10" t="str">
        <f aca="false">IF(D83="","",D83&amp;"|"&amp;H83&amp;"|"&amp;F83&amp;"|"&amp;I83&amp;"|"&amp;BX83)</f>
        <v/>
      </c>
    </row>
    <row r="84" customFormat="false" ht="15" hidden="false" customHeight="false" outlineLevel="0" collapsed="false">
      <c r="A84" s="10" t="str">
        <f aca="false">IF(D84="","","ERSS-"&amp;IFERROR(VLOOKUP(D84,Lists!$AK$4:$AL$21,2,0),"??")&amp;"-"&amp;TEXT(F84,"0000")&amp;"x"&amp;TEXT(G84,"0000")&amp;"-D"&amp;TEXT(H84*1000,"0000")&amp;"-"&amp;IFERROR(VLOOKUP(I84,Lists!$Y$4:$Z$21,2,0),"??")&amp;"-"&amp;AG84)</f>
        <v/>
      </c>
      <c r="B84" s="10" t="str">
        <f aca="false">IF(D84="","",D84&amp;" for "&amp;E84&amp;", "&amp;F84&amp;" x "&amp;G84&amp;" pit, "&amp;TEXT(H84,"0.0")&amp;" m deep, "&amp;I84)</f>
        <v/>
      </c>
      <c r="C84" s="9"/>
      <c r="D84" s="9"/>
      <c r="E84" s="9"/>
      <c r="F84" s="38"/>
      <c r="G84" s="38"/>
      <c r="H84" s="42"/>
      <c r="I84" s="9"/>
      <c r="J84" s="42"/>
      <c r="K84" s="38"/>
      <c r="L84" s="9"/>
      <c r="M84" s="42"/>
      <c r="N84" s="42"/>
      <c r="O84" s="38"/>
      <c r="P84" s="9"/>
      <c r="Q84" s="9"/>
      <c r="R84" s="39"/>
      <c r="S84" s="39"/>
      <c r="T84" s="38"/>
      <c r="U84" s="38"/>
      <c r="V84" s="38"/>
      <c r="W84" s="9"/>
      <c r="X84" s="9"/>
      <c r="Y84" s="38"/>
      <c r="Z84" s="9"/>
      <c r="AA84" s="9"/>
      <c r="AB84" s="38"/>
      <c r="AC84" s="9"/>
      <c r="AD84" s="39"/>
      <c r="AE84" s="9"/>
      <c r="AF84" s="9"/>
      <c r="AG84" s="9"/>
      <c r="AH84" s="9"/>
      <c r="AI84" s="9"/>
      <c r="AJ84" s="9"/>
      <c r="AK84" s="9"/>
      <c r="AL84" s="10" t="str">
        <f aca="false">IF(A84="","",SG_Criteria!$B$6&amp;SG_Criteria!$B$11&amp;"\"&amp;A84&amp;"\")</f>
        <v/>
      </c>
      <c r="AM84" s="10" t="str">
        <f aca="false">IF(A84="","",A84&amp;"_CAD.dwg")</f>
        <v/>
      </c>
      <c r="AN84" s="10" t="str">
        <f aca="false">IF(A84="","",A84&amp;"_DWG.pdf")</f>
        <v/>
      </c>
      <c r="AO84" s="10" t="str">
        <f aca="false">IF(A84="","",IF(AK84="Y",A84&amp;"_STAAD.std","n/a"))</f>
        <v/>
      </c>
      <c r="AP84" s="10" t="str">
        <f aca="false">IF(A84="","",A84&amp;"_CALC.xlsx")</f>
        <v/>
      </c>
      <c r="AQ84" s="10" t="str">
        <f aca="false">IF(A84="","",A84&amp;"_CALC.pdf")</f>
        <v/>
      </c>
      <c r="AR84" s="9"/>
      <c r="AS84" s="9"/>
      <c r="AT84" s="39"/>
      <c r="AU84" s="39"/>
      <c r="AV84" s="39"/>
      <c r="AW84" s="39"/>
      <c r="AX84" s="39"/>
      <c r="AY84" s="12" t="str">
        <f aca="false">IF(A84="","",IF(COUNTIF(Rebar_Schedule!$A$5:$A$2004,A84)=0,"",ROUND(SUMIF(Rebar_Schedule!$A$5:$A$2004,A84,Rebar_Schedule!$K$5:$K$2004),1)))</f>
        <v/>
      </c>
      <c r="AZ84" s="33" t="str">
        <f aca="false">IF(A84="","",IF(AY84="","No rebar schedule yet",IF(ABS(AY84-N(AU84))/MAX(N(AU84),1)&gt;SG_Criteria!$B$55,"NOTE: register rebar differs from schedule by "&amp;TEXT(ABS(AY84-N(AU84))/MAX(N(AU84),1),"0%"),"OK")))</f>
        <v/>
      </c>
      <c r="BA84" s="33" t="str">
        <f aca="false">IF(OR(D84="",H84=""),"",IF(H84&lt;=IF(OR(D84="Soldier Pile &amp; Timber Lagging",D84="Trench Shoring Box",D84="Open Cut (battered)"),SG_Criteria!$B$34,SG_Criteria!$B$33),"No ERSS submission",IF(H84&lt;=SG_Criteria!$B$35,"QP(ST)",IF(H84&lt;=SG_Criteria!$B$36,"QP(ST) + AC","Geotechnical building works: QP(Geo) + AC"))))</f>
        <v/>
      </c>
      <c r="BB84" s="33" t="str">
        <f aca="false">IF(D84="","",IF(LEN(IF(AND(R84&lt;&gt;"",R84&lt;SG_Criteria!$B$37),"FAIL: base stability FOS &lt; "&amp;SG_Criteria!$B$37&amp;". ","")&amp;IF(AND(E84="Manhole",H84&gt;SG_Criteria!$B$36),"NOTE: BCA lists sewer manholes (pipe &lt;= 2 m dia) &gt; 6 m as non-GBW: QP(ST) + AC. ","")&amp;IF(AND(D84="Trench Shoring Box",I84="Kallang Formation (marine clay)"),"NOTE: check base heave / ground loss for shoring box in marine clay. ","")&amp;IF(AND(D84="Steel Sheet Pile Cofferdam",N(N84)&lt;H84*0.5),"NOTE: short toe embedment, check. ",""))=0,"OK",IF(AND(R84&lt;&gt;"",R84&lt;SG_Criteria!$B$37),"FAIL: base stability FOS &lt; "&amp;SG_Criteria!$B$37&amp;". ","")&amp;IF(AND(E84="Manhole",H84&gt;SG_Criteria!$B$36),"NOTE: BCA lists sewer manholes (pipe &lt;= 2 m dia) &gt; 6 m as non-GBW: QP(ST) + AC. ","")&amp;IF(AND(D84="Trench Shoring Box",I84="Kallang Formation (marine clay)"),"NOTE: check base heave / ground loss for shoring box in marine clay. ","")&amp;IF(AND(D84="Steel Sheet Pile Cofferdam",N(N84)&lt;H84*0.5),"NOTE: short toe embedment, check. ","")))</f>
        <v/>
      </c>
      <c r="BC84" s="9"/>
      <c r="BD84" s="9"/>
      <c r="BE84" s="9"/>
      <c r="BF84" s="10" t="str">
        <f aca="false">IF(BE84="","",IFERROR(VLOOKUP(BE84,Projects!$A$5:$D$504,2,0),"Ref not in Projects"))</f>
        <v/>
      </c>
      <c r="BG84" s="10" t="str">
        <f aca="false">IF(BE84="","",IFERROR(VLOOKUP(BE84,Projects!$A$5:$D$504,4,0),"Ref not in Projects"))</f>
        <v/>
      </c>
      <c r="BH84" s="9"/>
      <c r="BI84" s="9"/>
      <c r="BJ84" s="9"/>
      <c r="BK84" s="40"/>
      <c r="BL84" s="9"/>
      <c r="BM84" s="40"/>
      <c r="BN84" s="9"/>
      <c r="BO84" s="40"/>
      <c r="BP84" s="9"/>
      <c r="BQ84" s="9"/>
      <c r="BR84" s="9"/>
      <c r="BS84" s="40"/>
      <c r="BT84" s="40"/>
      <c r="BU84" s="36" t="str">
        <f aca="false">IF(BT84="","",EDATE(BT84,SG_Criteria!$B$54*12))</f>
        <v/>
      </c>
      <c r="BV84" s="33" t="str">
        <f aca="true">IF(A84="","",IF(BT84="","NOTE: not reviewed yet",IF(TODAY()&gt;BU84,"NOTE: review overdue","OK")))</f>
        <v/>
      </c>
      <c r="BW84" s="37" t="str">
        <f aca="false">IF(A84="","",ROUND((IF(LEN(D84)&gt;0,1,0)+IF(LEN(E84)&gt;0,1,0)+IF(LEN(F84)&gt;0,1,0)+IF(LEN(G84)&gt;0,1,0)+IF(LEN(H84)&gt;0,1,0)+IF(LEN(I84)&gt;0,1,0)+IF(LEN(J84)&gt;0,1,0)+IF(LEN(L84)&gt;0,1,0)+IF(LEN(R84)&gt;0,1,0)+IF(LEN(Y84)&gt;0,1,0)+IF(LEN(AE84)&gt;0,1,0)+IF(LEN(AG84)&gt;0,1,0)+IF(LEN(AH84)&gt;0,1,0)+IF(LEN(AI84)&gt;0,1,0)+IF(LEN(AJ84)&gt;0,1,0)+IF(LEN(AS84)&gt;0,1,0)+IF(LEN(BE84)&gt;0,1,0)+IF(LEN(BR84)&gt;0,1,0))/18,2))</f>
        <v/>
      </c>
      <c r="BX84" s="10" t="str">
        <f aca="false">IF(D84="","",IF(AND(AH84="Approved",ISERROR(SEARCH("FAIL",BB84))),"Y","N"))</f>
        <v/>
      </c>
      <c r="BY84" s="10" t="str">
        <f aca="false">IF(D84="","",D84&amp;"|"&amp;H84&amp;"|"&amp;F84&amp;"|"&amp;I84&amp;"|"&amp;BX84)</f>
        <v/>
      </c>
    </row>
    <row r="85" customFormat="false" ht="15" hidden="false" customHeight="false" outlineLevel="0" collapsed="false">
      <c r="A85" s="10" t="str">
        <f aca="false">IF(D85="","","ERSS-"&amp;IFERROR(VLOOKUP(D85,Lists!$AK$4:$AL$21,2,0),"??")&amp;"-"&amp;TEXT(F85,"0000")&amp;"x"&amp;TEXT(G85,"0000")&amp;"-D"&amp;TEXT(H85*1000,"0000")&amp;"-"&amp;IFERROR(VLOOKUP(I85,Lists!$Y$4:$Z$21,2,0),"??")&amp;"-"&amp;AG85)</f>
        <v/>
      </c>
      <c r="B85" s="10" t="str">
        <f aca="false">IF(D85="","",D85&amp;" for "&amp;E85&amp;", "&amp;F85&amp;" x "&amp;G85&amp;" pit, "&amp;TEXT(H85,"0.0")&amp;" m deep, "&amp;I85)</f>
        <v/>
      </c>
      <c r="C85" s="9"/>
      <c r="D85" s="9"/>
      <c r="E85" s="9"/>
      <c r="F85" s="38"/>
      <c r="G85" s="38"/>
      <c r="H85" s="42"/>
      <c r="I85" s="9"/>
      <c r="J85" s="42"/>
      <c r="K85" s="38"/>
      <c r="L85" s="9"/>
      <c r="M85" s="42"/>
      <c r="N85" s="42"/>
      <c r="O85" s="38"/>
      <c r="P85" s="9"/>
      <c r="Q85" s="9"/>
      <c r="R85" s="39"/>
      <c r="S85" s="39"/>
      <c r="T85" s="38"/>
      <c r="U85" s="38"/>
      <c r="V85" s="38"/>
      <c r="W85" s="9"/>
      <c r="X85" s="9"/>
      <c r="Y85" s="38"/>
      <c r="Z85" s="9"/>
      <c r="AA85" s="9"/>
      <c r="AB85" s="38"/>
      <c r="AC85" s="9"/>
      <c r="AD85" s="39"/>
      <c r="AE85" s="9"/>
      <c r="AF85" s="9"/>
      <c r="AG85" s="9"/>
      <c r="AH85" s="9"/>
      <c r="AI85" s="9"/>
      <c r="AJ85" s="9"/>
      <c r="AK85" s="9"/>
      <c r="AL85" s="10" t="str">
        <f aca="false">IF(A85="","",SG_Criteria!$B$6&amp;SG_Criteria!$B$11&amp;"\"&amp;A85&amp;"\")</f>
        <v/>
      </c>
      <c r="AM85" s="10" t="str">
        <f aca="false">IF(A85="","",A85&amp;"_CAD.dwg")</f>
        <v/>
      </c>
      <c r="AN85" s="10" t="str">
        <f aca="false">IF(A85="","",A85&amp;"_DWG.pdf")</f>
        <v/>
      </c>
      <c r="AO85" s="10" t="str">
        <f aca="false">IF(A85="","",IF(AK85="Y",A85&amp;"_STAAD.std","n/a"))</f>
        <v/>
      </c>
      <c r="AP85" s="10" t="str">
        <f aca="false">IF(A85="","",A85&amp;"_CALC.xlsx")</f>
        <v/>
      </c>
      <c r="AQ85" s="10" t="str">
        <f aca="false">IF(A85="","",A85&amp;"_CALC.pdf")</f>
        <v/>
      </c>
      <c r="AR85" s="9"/>
      <c r="AS85" s="9"/>
      <c r="AT85" s="39"/>
      <c r="AU85" s="39"/>
      <c r="AV85" s="39"/>
      <c r="AW85" s="39"/>
      <c r="AX85" s="39"/>
      <c r="AY85" s="12" t="str">
        <f aca="false">IF(A85="","",IF(COUNTIF(Rebar_Schedule!$A$5:$A$2004,A85)=0,"",ROUND(SUMIF(Rebar_Schedule!$A$5:$A$2004,A85,Rebar_Schedule!$K$5:$K$2004),1)))</f>
        <v/>
      </c>
      <c r="AZ85" s="33" t="str">
        <f aca="false">IF(A85="","",IF(AY85="","No rebar schedule yet",IF(ABS(AY85-N(AU85))/MAX(N(AU85),1)&gt;SG_Criteria!$B$55,"NOTE: register rebar differs from schedule by "&amp;TEXT(ABS(AY85-N(AU85))/MAX(N(AU85),1),"0%"),"OK")))</f>
        <v/>
      </c>
      <c r="BA85" s="33" t="str">
        <f aca="false">IF(OR(D85="",H85=""),"",IF(H85&lt;=IF(OR(D85="Soldier Pile &amp; Timber Lagging",D85="Trench Shoring Box",D85="Open Cut (battered)"),SG_Criteria!$B$34,SG_Criteria!$B$33),"No ERSS submission",IF(H85&lt;=SG_Criteria!$B$35,"QP(ST)",IF(H85&lt;=SG_Criteria!$B$36,"QP(ST) + AC","Geotechnical building works: QP(Geo) + AC"))))</f>
        <v/>
      </c>
      <c r="BB85" s="33" t="str">
        <f aca="false">IF(D85="","",IF(LEN(IF(AND(R85&lt;&gt;"",R85&lt;SG_Criteria!$B$37),"FAIL: base stability FOS &lt; "&amp;SG_Criteria!$B$37&amp;". ","")&amp;IF(AND(E85="Manhole",H85&gt;SG_Criteria!$B$36),"NOTE: BCA lists sewer manholes (pipe &lt;= 2 m dia) &gt; 6 m as non-GBW: QP(ST) + AC. ","")&amp;IF(AND(D85="Trench Shoring Box",I85="Kallang Formation (marine clay)"),"NOTE: check base heave / ground loss for shoring box in marine clay. ","")&amp;IF(AND(D85="Steel Sheet Pile Cofferdam",N(N85)&lt;H85*0.5),"NOTE: short toe embedment, check. ",""))=0,"OK",IF(AND(R85&lt;&gt;"",R85&lt;SG_Criteria!$B$37),"FAIL: base stability FOS &lt; "&amp;SG_Criteria!$B$37&amp;". ","")&amp;IF(AND(E85="Manhole",H85&gt;SG_Criteria!$B$36),"NOTE: BCA lists sewer manholes (pipe &lt;= 2 m dia) &gt; 6 m as non-GBW: QP(ST) + AC. ","")&amp;IF(AND(D85="Trench Shoring Box",I85="Kallang Formation (marine clay)"),"NOTE: check base heave / ground loss for shoring box in marine clay. ","")&amp;IF(AND(D85="Steel Sheet Pile Cofferdam",N(N85)&lt;H85*0.5),"NOTE: short toe embedment, check. ","")))</f>
        <v/>
      </c>
      <c r="BC85" s="9"/>
      <c r="BD85" s="9"/>
      <c r="BE85" s="9"/>
      <c r="BF85" s="10" t="str">
        <f aca="false">IF(BE85="","",IFERROR(VLOOKUP(BE85,Projects!$A$5:$D$504,2,0),"Ref not in Projects"))</f>
        <v/>
      </c>
      <c r="BG85" s="10" t="str">
        <f aca="false">IF(BE85="","",IFERROR(VLOOKUP(BE85,Projects!$A$5:$D$504,4,0),"Ref not in Projects"))</f>
        <v/>
      </c>
      <c r="BH85" s="9"/>
      <c r="BI85" s="9"/>
      <c r="BJ85" s="9"/>
      <c r="BK85" s="40"/>
      <c r="BL85" s="9"/>
      <c r="BM85" s="40"/>
      <c r="BN85" s="9"/>
      <c r="BO85" s="40"/>
      <c r="BP85" s="9"/>
      <c r="BQ85" s="9"/>
      <c r="BR85" s="9"/>
      <c r="BS85" s="40"/>
      <c r="BT85" s="40"/>
      <c r="BU85" s="36" t="str">
        <f aca="false">IF(BT85="","",EDATE(BT85,SG_Criteria!$B$54*12))</f>
        <v/>
      </c>
      <c r="BV85" s="33" t="str">
        <f aca="true">IF(A85="","",IF(BT85="","NOTE: not reviewed yet",IF(TODAY()&gt;BU85,"NOTE: review overdue","OK")))</f>
        <v/>
      </c>
      <c r="BW85" s="37" t="str">
        <f aca="false">IF(A85="","",ROUND((IF(LEN(D85)&gt;0,1,0)+IF(LEN(E85)&gt;0,1,0)+IF(LEN(F85)&gt;0,1,0)+IF(LEN(G85)&gt;0,1,0)+IF(LEN(H85)&gt;0,1,0)+IF(LEN(I85)&gt;0,1,0)+IF(LEN(J85)&gt;0,1,0)+IF(LEN(L85)&gt;0,1,0)+IF(LEN(R85)&gt;0,1,0)+IF(LEN(Y85)&gt;0,1,0)+IF(LEN(AE85)&gt;0,1,0)+IF(LEN(AG85)&gt;0,1,0)+IF(LEN(AH85)&gt;0,1,0)+IF(LEN(AI85)&gt;0,1,0)+IF(LEN(AJ85)&gt;0,1,0)+IF(LEN(AS85)&gt;0,1,0)+IF(LEN(BE85)&gt;0,1,0)+IF(LEN(BR85)&gt;0,1,0))/18,2))</f>
        <v/>
      </c>
      <c r="BX85" s="10" t="str">
        <f aca="false">IF(D85="","",IF(AND(AH85="Approved",ISERROR(SEARCH("FAIL",BB85))),"Y","N"))</f>
        <v/>
      </c>
      <c r="BY85" s="10" t="str">
        <f aca="false">IF(D85="","",D85&amp;"|"&amp;H85&amp;"|"&amp;F85&amp;"|"&amp;I85&amp;"|"&amp;BX85)</f>
        <v/>
      </c>
    </row>
    <row r="86" customFormat="false" ht="15" hidden="false" customHeight="false" outlineLevel="0" collapsed="false">
      <c r="A86" s="10" t="str">
        <f aca="false">IF(D86="","","ERSS-"&amp;IFERROR(VLOOKUP(D86,Lists!$AK$4:$AL$21,2,0),"??")&amp;"-"&amp;TEXT(F86,"0000")&amp;"x"&amp;TEXT(G86,"0000")&amp;"-D"&amp;TEXT(H86*1000,"0000")&amp;"-"&amp;IFERROR(VLOOKUP(I86,Lists!$Y$4:$Z$21,2,0),"??")&amp;"-"&amp;AG86)</f>
        <v/>
      </c>
      <c r="B86" s="10" t="str">
        <f aca="false">IF(D86="","",D86&amp;" for "&amp;E86&amp;", "&amp;F86&amp;" x "&amp;G86&amp;" pit, "&amp;TEXT(H86,"0.0")&amp;" m deep, "&amp;I86)</f>
        <v/>
      </c>
      <c r="C86" s="9"/>
      <c r="D86" s="9"/>
      <c r="E86" s="9"/>
      <c r="F86" s="38"/>
      <c r="G86" s="38"/>
      <c r="H86" s="42"/>
      <c r="I86" s="9"/>
      <c r="J86" s="42"/>
      <c r="K86" s="38"/>
      <c r="L86" s="9"/>
      <c r="M86" s="42"/>
      <c r="N86" s="42"/>
      <c r="O86" s="38"/>
      <c r="P86" s="9"/>
      <c r="Q86" s="9"/>
      <c r="R86" s="39"/>
      <c r="S86" s="39"/>
      <c r="T86" s="38"/>
      <c r="U86" s="38"/>
      <c r="V86" s="38"/>
      <c r="W86" s="9"/>
      <c r="X86" s="9"/>
      <c r="Y86" s="38"/>
      <c r="Z86" s="9"/>
      <c r="AA86" s="9"/>
      <c r="AB86" s="38"/>
      <c r="AC86" s="9"/>
      <c r="AD86" s="39"/>
      <c r="AE86" s="9"/>
      <c r="AF86" s="9"/>
      <c r="AG86" s="9"/>
      <c r="AH86" s="9"/>
      <c r="AI86" s="9"/>
      <c r="AJ86" s="9"/>
      <c r="AK86" s="9"/>
      <c r="AL86" s="10" t="str">
        <f aca="false">IF(A86="","",SG_Criteria!$B$6&amp;SG_Criteria!$B$11&amp;"\"&amp;A86&amp;"\")</f>
        <v/>
      </c>
      <c r="AM86" s="10" t="str">
        <f aca="false">IF(A86="","",A86&amp;"_CAD.dwg")</f>
        <v/>
      </c>
      <c r="AN86" s="10" t="str">
        <f aca="false">IF(A86="","",A86&amp;"_DWG.pdf")</f>
        <v/>
      </c>
      <c r="AO86" s="10" t="str">
        <f aca="false">IF(A86="","",IF(AK86="Y",A86&amp;"_STAAD.std","n/a"))</f>
        <v/>
      </c>
      <c r="AP86" s="10" t="str">
        <f aca="false">IF(A86="","",A86&amp;"_CALC.xlsx")</f>
        <v/>
      </c>
      <c r="AQ86" s="10" t="str">
        <f aca="false">IF(A86="","",A86&amp;"_CALC.pdf")</f>
        <v/>
      </c>
      <c r="AR86" s="9"/>
      <c r="AS86" s="9"/>
      <c r="AT86" s="39"/>
      <c r="AU86" s="39"/>
      <c r="AV86" s="39"/>
      <c r="AW86" s="39"/>
      <c r="AX86" s="39"/>
      <c r="AY86" s="12" t="str">
        <f aca="false">IF(A86="","",IF(COUNTIF(Rebar_Schedule!$A$5:$A$2004,A86)=0,"",ROUND(SUMIF(Rebar_Schedule!$A$5:$A$2004,A86,Rebar_Schedule!$K$5:$K$2004),1)))</f>
        <v/>
      </c>
      <c r="AZ86" s="33" t="str">
        <f aca="false">IF(A86="","",IF(AY86="","No rebar schedule yet",IF(ABS(AY86-N(AU86))/MAX(N(AU86),1)&gt;SG_Criteria!$B$55,"NOTE: register rebar differs from schedule by "&amp;TEXT(ABS(AY86-N(AU86))/MAX(N(AU86),1),"0%"),"OK")))</f>
        <v/>
      </c>
      <c r="BA86" s="33" t="str">
        <f aca="false">IF(OR(D86="",H86=""),"",IF(H86&lt;=IF(OR(D86="Soldier Pile &amp; Timber Lagging",D86="Trench Shoring Box",D86="Open Cut (battered)"),SG_Criteria!$B$34,SG_Criteria!$B$33),"No ERSS submission",IF(H86&lt;=SG_Criteria!$B$35,"QP(ST)",IF(H86&lt;=SG_Criteria!$B$36,"QP(ST) + AC","Geotechnical building works: QP(Geo) + AC"))))</f>
        <v/>
      </c>
      <c r="BB86" s="33" t="str">
        <f aca="false">IF(D86="","",IF(LEN(IF(AND(R86&lt;&gt;"",R86&lt;SG_Criteria!$B$37),"FAIL: base stability FOS &lt; "&amp;SG_Criteria!$B$37&amp;". ","")&amp;IF(AND(E86="Manhole",H86&gt;SG_Criteria!$B$36),"NOTE: BCA lists sewer manholes (pipe &lt;= 2 m dia) &gt; 6 m as non-GBW: QP(ST) + AC. ","")&amp;IF(AND(D86="Trench Shoring Box",I86="Kallang Formation (marine clay)"),"NOTE: check base heave / ground loss for shoring box in marine clay. ","")&amp;IF(AND(D86="Steel Sheet Pile Cofferdam",N(N86)&lt;H86*0.5),"NOTE: short toe embedment, check. ",""))=0,"OK",IF(AND(R86&lt;&gt;"",R86&lt;SG_Criteria!$B$37),"FAIL: base stability FOS &lt; "&amp;SG_Criteria!$B$37&amp;". ","")&amp;IF(AND(E86="Manhole",H86&gt;SG_Criteria!$B$36),"NOTE: BCA lists sewer manholes (pipe &lt;= 2 m dia) &gt; 6 m as non-GBW: QP(ST) + AC. ","")&amp;IF(AND(D86="Trench Shoring Box",I86="Kallang Formation (marine clay)"),"NOTE: check base heave / ground loss for shoring box in marine clay. ","")&amp;IF(AND(D86="Steel Sheet Pile Cofferdam",N(N86)&lt;H86*0.5),"NOTE: short toe embedment, check. ","")))</f>
        <v/>
      </c>
      <c r="BC86" s="9"/>
      <c r="BD86" s="9"/>
      <c r="BE86" s="9"/>
      <c r="BF86" s="10" t="str">
        <f aca="false">IF(BE86="","",IFERROR(VLOOKUP(BE86,Projects!$A$5:$D$504,2,0),"Ref not in Projects"))</f>
        <v/>
      </c>
      <c r="BG86" s="10" t="str">
        <f aca="false">IF(BE86="","",IFERROR(VLOOKUP(BE86,Projects!$A$5:$D$504,4,0),"Ref not in Projects"))</f>
        <v/>
      </c>
      <c r="BH86" s="9"/>
      <c r="BI86" s="9"/>
      <c r="BJ86" s="9"/>
      <c r="BK86" s="40"/>
      <c r="BL86" s="9"/>
      <c r="BM86" s="40"/>
      <c r="BN86" s="9"/>
      <c r="BO86" s="40"/>
      <c r="BP86" s="9"/>
      <c r="BQ86" s="9"/>
      <c r="BR86" s="9"/>
      <c r="BS86" s="40"/>
      <c r="BT86" s="40"/>
      <c r="BU86" s="36" t="str">
        <f aca="false">IF(BT86="","",EDATE(BT86,SG_Criteria!$B$54*12))</f>
        <v/>
      </c>
      <c r="BV86" s="33" t="str">
        <f aca="true">IF(A86="","",IF(BT86="","NOTE: not reviewed yet",IF(TODAY()&gt;BU86,"NOTE: review overdue","OK")))</f>
        <v/>
      </c>
      <c r="BW86" s="37" t="str">
        <f aca="false">IF(A86="","",ROUND((IF(LEN(D86)&gt;0,1,0)+IF(LEN(E86)&gt;0,1,0)+IF(LEN(F86)&gt;0,1,0)+IF(LEN(G86)&gt;0,1,0)+IF(LEN(H86)&gt;0,1,0)+IF(LEN(I86)&gt;0,1,0)+IF(LEN(J86)&gt;0,1,0)+IF(LEN(L86)&gt;0,1,0)+IF(LEN(R86)&gt;0,1,0)+IF(LEN(Y86)&gt;0,1,0)+IF(LEN(AE86)&gt;0,1,0)+IF(LEN(AG86)&gt;0,1,0)+IF(LEN(AH86)&gt;0,1,0)+IF(LEN(AI86)&gt;0,1,0)+IF(LEN(AJ86)&gt;0,1,0)+IF(LEN(AS86)&gt;0,1,0)+IF(LEN(BE86)&gt;0,1,0)+IF(LEN(BR86)&gt;0,1,0))/18,2))</f>
        <v/>
      </c>
      <c r="BX86" s="10" t="str">
        <f aca="false">IF(D86="","",IF(AND(AH86="Approved",ISERROR(SEARCH("FAIL",BB86))),"Y","N"))</f>
        <v/>
      </c>
      <c r="BY86" s="10" t="str">
        <f aca="false">IF(D86="","",D86&amp;"|"&amp;H86&amp;"|"&amp;F86&amp;"|"&amp;I86&amp;"|"&amp;BX86)</f>
        <v/>
      </c>
    </row>
    <row r="87" customFormat="false" ht="15" hidden="false" customHeight="false" outlineLevel="0" collapsed="false">
      <c r="A87" s="10" t="str">
        <f aca="false">IF(D87="","","ERSS-"&amp;IFERROR(VLOOKUP(D87,Lists!$AK$4:$AL$21,2,0),"??")&amp;"-"&amp;TEXT(F87,"0000")&amp;"x"&amp;TEXT(G87,"0000")&amp;"-D"&amp;TEXT(H87*1000,"0000")&amp;"-"&amp;IFERROR(VLOOKUP(I87,Lists!$Y$4:$Z$21,2,0),"??")&amp;"-"&amp;AG87)</f>
        <v/>
      </c>
      <c r="B87" s="10" t="str">
        <f aca="false">IF(D87="","",D87&amp;" for "&amp;E87&amp;", "&amp;F87&amp;" x "&amp;G87&amp;" pit, "&amp;TEXT(H87,"0.0")&amp;" m deep, "&amp;I87)</f>
        <v/>
      </c>
      <c r="C87" s="9"/>
      <c r="D87" s="9"/>
      <c r="E87" s="9"/>
      <c r="F87" s="38"/>
      <c r="G87" s="38"/>
      <c r="H87" s="42"/>
      <c r="I87" s="9"/>
      <c r="J87" s="42"/>
      <c r="K87" s="38"/>
      <c r="L87" s="9"/>
      <c r="M87" s="42"/>
      <c r="N87" s="42"/>
      <c r="O87" s="38"/>
      <c r="P87" s="9"/>
      <c r="Q87" s="9"/>
      <c r="R87" s="39"/>
      <c r="S87" s="39"/>
      <c r="T87" s="38"/>
      <c r="U87" s="38"/>
      <c r="V87" s="38"/>
      <c r="W87" s="9"/>
      <c r="X87" s="9"/>
      <c r="Y87" s="38"/>
      <c r="Z87" s="9"/>
      <c r="AA87" s="9"/>
      <c r="AB87" s="38"/>
      <c r="AC87" s="9"/>
      <c r="AD87" s="39"/>
      <c r="AE87" s="9"/>
      <c r="AF87" s="9"/>
      <c r="AG87" s="9"/>
      <c r="AH87" s="9"/>
      <c r="AI87" s="9"/>
      <c r="AJ87" s="9"/>
      <c r="AK87" s="9"/>
      <c r="AL87" s="10" t="str">
        <f aca="false">IF(A87="","",SG_Criteria!$B$6&amp;SG_Criteria!$B$11&amp;"\"&amp;A87&amp;"\")</f>
        <v/>
      </c>
      <c r="AM87" s="10" t="str">
        <f aca="false">IF(A87="","",A87&amp;"_CAD.dwg")</f>
        <v/>
      </c>
      <c r="AN87" s="10" t="str">
        <f aca="false">IF(A87="","",A87&amp;"_DWG.pdf")</f>
        <v/>
      </c>
      <c r="AO87" s="10" t="str">
        <f aca="false">IF(A87="","",IF(AK87="Y",A87&amp;"_STAAD.std","n/a"))</f>
        <v/>
      </c>
      <c r="AP87" s="10" t="str">
        <f aca="false">IF(A87="","",A87&amp;"_CALC.xlsx")</f>
        <v/>
      </c>
      <c r="AQ87" s="10" t="str">
        <f aca="false">IF(A87="","",A87&amp;"_CALC.pdf")</f>
        <v/>
      </c>
      <c r="AR87" s="9"/>
      <c r="AS87" s="9"/>
      <c r="AT87" s="39"/>
      <c r="AU87" s="39"/>
      <c r="AV87" s="39"/>
      <c r="AW87" s="39"/>
      <c r="AX87" s="39"/>
      <c r="AY87" s="12" t="str">
        <f aca="false">IF(A87="","",IF(COUNTIF(Rebar_Schedule!$A$5:$A$2004,A87)=0,"",ROUND(SUMIF(Rebar_Schedule!$A$5:$A$2004,A87,Rebar_Schedule!$K$5:$K$2004),1)))</f>
        <v/>
      </c>
      <c r="AZ87" s="33" t="str">
        <f aca="false">IF(A87="","",IF(AY87="","No rebar schedule yet",IF(ABS(AY87-N(AU87))/MAX(N(AU87),1)&gt;SG_Criteria!$B$55,"NOTE: register rebar differs from schedule by "&amp;TEXT(ABS(AY87-N(AU87))/MAX(N(AU87),1),"0%"),"OK")))</f>
        <v/>
      </c>
      <c r="BA87" s="33" t="str">
        <f aca="false">IF(OR(D87="",H87=""),"",IF(H87&lt;=IF(OR(D87="Soldier Pile &amp; Timber Lagging",D87="Trench Shoring Box",D87="Open Cut (battered)"),SG_Criteria!$B$34,SG_Criteria!$B$33),"No ERSS submission",IF(H87&lt;=SG_Criteria!$B$35,"QP(ST)",IF(H87&lt;=SG_Criteria!$B$36,"QP(ST) + AC","Geotechnical building works: QP(Geo) + AC"))))</f>
        <v/>
      </c>
      <c r="BB87" s="33" t="str">
        <f aca="false">IF(D87="","",IF(LEN(IF(AND(R87&lt;&gt;"",R87&lt;SG_Criteria!$B$37),"FAIL: base stability FOS &lt; "&amp;SG_Criteria!$B$37&amp;". ","")&amp;IF(AND(E87="Manhole",H87&gt;SG_Criteria!$B$36),"NOTE: BCA lists sewer manholes (pipe &lt;= 2 m dia) &gt; 6 m as non-GBW: QP(ST) + AC. ","")&amp;IF(AND(D87="Trench Shoring Box",I87="Kallang Formation (marine clay)"),"NOTE: check base heave / ground loss for shoring box in marine clay. ","")&amp;IF(AND(D87="Steel Sheet Pile Cofferdam",N(N87)&lt;H87*0.5),"NOTE: short toe embedment, check. ",""))=0,"OK",IF(AND(R87&lt;&gt;"",R87&lt;SG_Criteria!$B$37),"FAIL: base stability FOS &lt; "&amp;SG_Criteria!$B$37&amp;". ","")&amp;IF(AND(E87="Manhole",H87&gt;SG_Criteria!$B$36),"NOTE: BCA lists sewer manholes (pipe &lt;= 2 m dia) &gt; 6 m as non-GBW: QP(ST) + AC. ","")&amp;IF(AND(D87="Trench Shoring Box",I87="Kallang Formation (marine clay)"),"NOTE: check base heave / ground loss for shoring box in marine clay. ","")&amp;IF(AND(D87="Steel Sheet Pile Cofferdam",N(N87)&lt;H87*0.5),"NOTE: short toe embedment, check. ","")))</f>
        <v/>
      </c>
      <c r="BC87" s="9"/>
      <c r="BD87" s="9"/>
      <c r="BE87" s="9"/>
      <c r="BF87" s="10" t="str">
        <f aca="false">IF(BE87="","",IFERROR(VLOOKUP(BE87,Projects!$A$5:$D$504,2,0),"Ref not in Projects"))</f>
        <v/>
      </c>
      <c r="BG87" s="10" t="str">
        <f aca="false">IF(BE87="","",IFERROR(VLOOKUP(BE87,Projects!$A$5:$D$504,4,0),"Ref not in Projects"))</f>
        <v/>
      </c>
      <c r="BH87" s="9"/>
      <c r="BI87" s="9"/>
      <c r="BJ87" s="9"/>
      <c r="BK87" s="40"/>
      <c r="BL87" s="9"/>
      <c r="BM87" s="40"/>
      <c r="BN87" s="9"/>
      <c r="BO87" s="40"/>
      <c r="BP87" s="9"/>
      <c r="BQ87" s="9"/>
      <c r="BR87" s="9"/>
      <c r="BS87" s="40"/>
      <c r="BT87" s="40"/>
      <c r="BU87" s="36" t="str">
        <f aca="false">IF(BT87="","",EDATE(BT87,SG_Criteria!$B$54*12))</f>
        <v/>
      </c>
      <c r="BV87" s="33" t="str">
        <f aca="true">IF(A87="","",IF(BT87="","NOTE: not reviewed yet",IF(TODAY()&gt;BU87,"NOTE: review overdue","OK")))</f>
        <v/>
      </c>
      <c r="BW87" s="37" t="str">
        <f aca="false">IF(A87="","",ROUND((IF(LEN(D87)&gt;0,1,0)+IF(LEN(E87)&gt;0,1,0)+IF(LEN(F87)&gt;0,1,0)+IF(LEN(G87)&gt;0,1,0)+IF(LEN(H87)&gt;0,1,0)+IF(LEN(I87)&gt;0,1,0)+IF(LEN(J87)&gt;0,1,0)+IF(LEN(L87)&gt;0,1,0)+IF(LEN(R87)&gt;0,1,0)+IF(LEN(Y87)&gt;0,1,0)+IF(LEN(AE87)&gt;0,1,0)+IF(LEN(AG87)&gt;0,1,0)+IF(LEN(AH87)&gt;0,1,0)+IF(LEN(AI87)&gt;0,1,0)+IF(LEN(AJ87)&gt;0,1,0)+IF(LEN(AS87)&gt;0,1,0)+IF(LEN(BE87)&gt;0,1,0)+IF(LEN(BR87)&gt;0,1,0))/18,2))</f>
        <v/>
      </c>
      <c r="BX87" s="10" t="str">
        <f aca="false">IF(D87="","",IF(AND(AH87="Approved",ISERROR(SEARCH("FAIL",BB87))),"Y","N"))</f>
        <v/>
      </c>
      <c r="BY87" s="10" t="str">
        <f aca="false">IF(D87="","",D87&amp;"|"&amp;H87&amp;"|"&amp;F87&amp;"|"&amp;I87&amp;"|"&amp;BX87)</f>
        <v/>
      </c>
    </row>
    <row r="88" customFormat="false" ht="15" hidden="false" customHeight="false" outlineLevel="0" collapsed="false">
      <c r="A88" s="10" t="str">
        <f aca="false">IF(D88="","","ERSS-"&amp;IFERROR(VLOOKUP(D88,Lists!$AK$4:$AL$21,2,0),"??")&amp;"-"&amp;TEXT(F88,"0000")&amp;"x"&amp;TEXT(G88,"0000")&amp;"-D"&amp;TEXT(H88*1000,"0000")&amp;"-"&amp;IFERROR(VLOOKUP(I88,Lists!$Y$4:$Z$21,2,0),"??")&amp;"-"&amp;AG88)</f>
        <v/>
      </c>
      <c r="B88" s="10" t="str">
        <f aca="false">IF(D88="","",D88&amp;" for "&amp;E88&amp;", "&amp;F88&amp;" x "&amp;G88&amp;" pit, "&amp;TEXT(H88,"0.0")&amp;" m deep, "&amp;I88)</f>
        <v/>
      </c>
      <c r="C88" s="9"/>
      <c r="D88" s="9"/>
      <c r="E88" s="9"/>
      <c r="F88" s="38"/>
      <c r="G88" s="38"/>
      <c r="H88" s="42"/>
      <c r="I88" s="9"/>
      <c r="J88" s="42"/>
      <c r="K88" s="38"/>
      <c r="L88" s="9"/>
      <c r="M88" s="42"/>
      <c r="N88" s="42"/>
      <c r="O88" s="38"/>
      <c r="P88" s="9"/>
      <c r="Q88" s="9"/>
      <c r="R88" s="39"/>
      <c r="S88" s="39"/>
      <c r="T88" s="38"/>
      <c r="U88" s="38"/>
      <c r="V88" s="38"/>
      <c r="W88" s="9"/>
      <c r="X88" s="9"/>
      <c r="Y88" s="38"/>
      <c r="Z88" s="9"/>
      <c r="AA88" s="9"/>
      <c r="AB88" s="38"/>
      <c r="AC88" s="9"/>
      <c r="AD88" s="39"/>
      <c r="AE88" s="9"/>
      <c r="AF88" s="9"/>
      <c r="AG88" s="9"/>
      <c r="AH88" s="9"/>
      <c r="AI88" s="9"/>
      <c r="AJ88" s="9"/>
      <c r="AK88" s="9"/>
      <c r="AL88" s="10" t="str">
        <f aca="false">IF(A88="","",SG_Criteria!$B$6&amp;SG_Criteria!$B$11&amp;"\"&amp;A88&amp;"\")</f>
        <v/>
      </c>
      <c r="AM88" s="10" t="str">
        <f aca="false">IF(A88="","",A88&amp;"_CAD.dwg")</f>
        <v/>
      </c>
      <c r="AN88" s="10" t="str">
        <f aca="false">IF(A88="","",A88&amp;"_DWG.pdf")</f>
        <v/>
      </c>
      <c r="AO88" s="10" t="str">
        <f aca="false">IF(A88="","",IF(AK88="Y",A88&amp;"_STAAD.std","n/a"))</f>
        <v/>
      </c>
      <c r="AP88" s="10" t="str">
        <f aca="false">IF(A88="","",A88&amp;"_CALC.xlsx")</f>
        <v/>
      </c>
      <c r="AQ88" s="10" t="str">
        <f aca="false">IF(A88="","",A88&amp;"_CALC.pdf")</f>
        <v/>
      </c>
      <c r="AR88" s="9"/>
      <c r="AS88" s="9"/>
      <c r="AT88" s="39"/>
      <c r="AU88" s="39"/>
      <c r="AV88" s="39"/>
      <c r="AW88" s="39"/>
      <c r="AX88" s="39"/>
      <c r="AY88" s="12" t="str">
        <f aca="false">IF(A88="","",IF(COUNTIF(Rebar_Schedule!$A$5:$A$2004,A88)=0,"",ROUND(SUMIF(Rebar_Schedule!$A$5:$A$2004,A88,Rebar_Schedule!$K$5:$K$2004),1)))</f>
        <v/>
      </c>
      <c r="AZ88" s="33" t="str">
        <f aca="false">IF(A88="","",IF(AY88="","No rebar schedule yet",IF(ABS(AY88-N(AU88))/MAX(N(AU88),1)&gt;SG_Criteria!$B$55,"NOTE: register rebar differs from schedule by "&amp;TEXT(ABS(AY88-N(AU88))/MAX(N(AU88),1),"0%"),"OK")))</f>
        <v/>
      </c>
      <c r="BA88" s="33" t="str">
        <f aca="false">IF(OR(D88="",H88=""),"",IF(H88&lt;=IF(OR(D88="Soldier Pile &amp; Timber Lagging",D88="Trench Shoring Box",D88="Open Cut (battered)"),SG_Criteria!$B$34,SG_Criteria!$B$33),"No ERSS submission",IF(H88&lt;=SG_Criteria!$B$35,"QP(ST)",IF(H88&lt;=SG_Criteria!$B$36,"QP(ST) + AC","Geotechnical building works: QP(Geo) + AC"))))</f>
        <v/>
      </c>
      <c r="BB88" s="33" t="str">
        <f aca="false">IF(D88="","",IF(LEN(IF(AND(R88&lt;&gt;"",R88&lt;SG_Criteria!$B$37),"FAIL: base stability FOS &lt; "&amp;SG_Criteria!$B$37&amp;". ","")&amp;IF(AND(E88="Manhole",H88&gt;SG_Criteria!$B$36),"NOTE: BCA lists sewer manholes (pipe &lt;= 2 m dia) &gt; 6 m as non-GBW: QP(ST) + AC. ","")&amp;IF(AND(D88="Trench Shoring Box",I88="Kallang Formation (marine clay)"),"NOTE: check base heave / ground loss for shoring box in marine clay. ","")&amp;IF(AND(D88="Steel Sheet Pile Cofferdam",N(N88)&lt;H88*0.5),"NOTE: short toe embedment, check. ",""))=0,"OK",IF(AND(R88&lt;&gt;"",R88&lt;SG_Criteria!$B$37),"FAIL: base stability FOS &lt; "&amp;SG_Criteria!$B$37&amp;". ","")&amp;IF(AND(E88="Manhole",H88&gt;SG_Criteria!$B$36),"NOTE: BCA lists sewer manholes (pipe &lt;= 2 m dia) &gt; 6 m as non-GBW: QP(ST) + AC. ","")&amp;IF(AND(D88="Trench Shoring Box",I88="Kallang Formation (marine clay)"),"NOTE: check base heave / ground loss for shoring box in marine clay. ","")&amp;IF(AND(D88="Steel Sheet Pile Cofferdam",N(N88)&lt;H88*0.5),"NOTE: short toe embedment, check. ","")))</f>
        <v/>
      </c>
      <c r="BC88" s="9"/>
      <c r="BD88" s="9"/>
      <c r="BE88" s="9"/>
      <c r="BF88" s="10" t="str">
        <f aca="false">IF(BE88="","",IFERROR(VLOOKUP(BE88,Projects!$A$5:$D$504,2,0),"Ref not in Projects"))</f>
        <v/>
      </c>
      <c r="BG88" s="10" t="str">
        <f aca="false">IF(BE88="","",IFERROR(VLOOKUP(BE88,Projects!$A$5:$D$504,4,0),"Ref not in Projects"))</f>
        <v/>
      </c>
      <c r="BH88" s="9"/>
      <c r="BI88" s="9"/>
      <c r="BJ88" s="9"/>
      <c r="BK88" s="40"/>
      <c r="BL88" s="9"/>
      <c r="BM88" s="40"/>
      <c r="BN88" s="9"/>
      <c r="BO88" s="40"/>
      <c r="BP88" s="9"/>
      <c r="BQ88" s="9"/>
      <c r="BR88" s="9"/>
      <c r="BS88" s="40"/>
      <c r="BT88" s="40"/>
      <c r="BU88" s="36" t="str">
        <f aca="false">IF(BT88="","",EDATE(BT88,SG_Criteria!$B$54*12))</f>
        <v/>
      </c>
      <c r="BV88" s="33" t="str">
        <f aca="true">IF(A88="","",IF(BT88="","NOTE: not reviewed yet",IF(TODAY()&gt;BU88,"NOTE: review overdue","OK")))</f>
        <v/>
      </c>
      <c r="BW88" s="37" t="str">
        <f aca="false">IF(A88="","",ROUND((IF(LEN(D88)&gt;0,1,0)+IF(LEN(E88)&gt;0,1,0)+IF(LEN(F88)&gt;0,1,0)+IF(LEN(G88)&gt;0,1,0)+IF(LEN(H88)&gt;0,1,0)+IF(LEN(I88)&gt;0,1,0)+IF(LEN(J88)&gt;0,1,0)+IF(LEN(L88)&gt;0,1,0)+IF(LEN(R88)&gt;0,1,0)+IF(LEN(Y88)&gt;0,1,0)+IF(LEN(AE88)&gt;0,1,0)+IF(LEN(AG88)&gt;0,1,0)+IF(LEN(AH88)&gt;0,1,0)+IF(LEN(AI88)&gt;0,1,0)+IF(LEN(AJ88)&gt;0,1,0)+IF(LEN(AS88)&gt;0,1,0)+IF(LEN(BE88)&gt;0,1,0)+IF(LEN(BR88)&gt;0,1,0))/18,2))</f>
        <v/>
      </c>
      <c r="BX88" s="10" t="str">
        <f aca="false">IF(D88="","",IF(AND(AH88="Approved",ISERROR(SEARCH("FAIL",BB88))),"Y","N"))</f>
        <v/>
      </c>
      <c r="BY88" s="10" t="str">
        <f aca="false">IF(D88="","",D88&amp;"|"&amp;H88&amp;"|"&amp;F88&amp;"|"&amp;I88&amp;"|"&amp;BX88)</f>
        <v/>
      </c>
    </row>
    <row r="89" customFormat="false" ht="15" hidden="false" customHeight="false" outlineLevel="0" collapsed="false">
      <c r="A89" s="10" t="str">
        <f aca="false">IF(D89="","","ERSS-"&amp;IFERROR(VLOOKUP(D89,Lists!$AK$4:$AL$21,2,0),"??")&amp;"-"&amp;TEXT(F89,"0000")&amp;"x"&amp;TEXT(G89,"0000")&amp;"-D"&amp;TEXT(H89*1000,"0000")&amp;"-"&amp;IFERROR(VLOOKUP(I89,Lists!$Y$4:$Z$21,2,0),"??")&amp;"-"&amp;AG89)</f>
        <v/>
      </c>
      <c r="B89" s="10" t="str">
        <f aca="false">IF(D89="","",D89&amp;" for "&amp;E89&amp;", "&amp;F89&amp;" x "&amp;G89&amp;" pit, "&amp;TEXT(H89,"0.0")&amp;" m deep, "&amp;I89)</f>
        <v/>
      </c>
      <c r="C89" s="9"/>
      <c r="D89" s="9"/>
      <c r="E89" s="9"/>
      <c r="F89" s="38"/>
      <c r="G89" s="38"/>
      <c r="H89" s="42"/>
      <c r="I89" s="9"/>
      <c r="J89" s="42"/>
      <c r="K89" s="38"/>
      <c r="L89" s="9"/>
      <c r="M89" s="42"/>
      <c r="N89" s="42"/>
      <c r="O89" s="38"/>
      <c r="P89" s="9"/>
      <c r="Q89" s="9"/>
      <c r="R89" s="39"/>
      <c r="S89" s="39"/>
      <c r="T89" s="38"/>
      <c r="U89" s="38"/>
      <c r="V89" s="38"/>
      <c r="W89" s="9"/>
      <c r="X89" s="9"/>
      <c r="Y89" s="38"/>
      <c r="Z89" s="9"/>
      <c r="AA89" s="9"/>
      <c r="AB89" s="38"/>
      <c r="AC89" s="9"/>
      <c r="AD89" s="39"/>
      <c r="AE89" s="9"/>
      <c r="AF89" s="9"/>
      <c r="AG89" s="9"/>
      <c r="AH89" s="9"/>
      <c r="AI89" s="9"/>
      <c r="AJ89" s="9"/>
      <c r="AK89" s="9"/>
      <c r="AL89" s="10" t="str">
        <f aca="false">IF(A89="","",SG_Criteria!$B$6&amp;SG_Criteria!$B$11&amp;"\"&amp;A89&amp;"\")</f>
        <v/>
      </c>
      <c r="AM89" s="10" t="str">
        <f aca="false">IF(A89="","",A89&amp;"_CAD.dwg")</f>
        <v/>
      </c>
      <c r="AN89" s="10" t="str">
        <f aca="false">IF(A89="","",A89&amp;"_DWG.pdf")</f>
        <v/>
      </c>
      <c r="AO89" s="10" t="str">
        <f aca="false">IF(A89="","",IF(AK89="Y",A89&amp;"_STAAD.std","n/a"))</f>
        <v/>
      </c>
      <c r="AP89" s="10" t="str">
        <f aca="false">IF(A89="","",A89&amp;"_CALC.xlsx")</f>
        <v/>
      </c>
      <c r="AQ89" s="10" t="str">
        <f aca="false">IF(A89="","",A89&amp;"_CALC.pdf")</f>
        <v/>
      </c>
      <c r="AR89" s="9"/>
      <c r="AS89" s="9"/>
      <c r="AT89" s="39"/>
      <c r="AU89" s="39"/>
      <c r="AV89" s="39"/>
      <c r="AW89" s="39"/>
      <c r="AX89" s="39"/>
      <c r="AY89" s="12" t="str">
        <f aca="false">IF(A89="","",IF(COUNTIF(Rebar_Schedule!$A$5:$A$2004,A89)=0,"",ROUND(SUMIF(Rebar_Schedule!$A$5:$A$2004,A89,Rebar_Schedule!$K$5:$K$2004),1)))</f>
        <v/>
      </c>
      <c r="AZ89" s="33" t="str">
        <f aca="false">IF(A89="","",IF(AY89="","No rebar schedule yet",IF(ABS(AY89-N(AU89))/MAX(N(AU89),1)&gt;SG_Criteria!$B$55,"NOTE: register rebar differs from schedule by "&amp;TEXT(ABS(AY89-N(AU89))/MAX(N(AU89),1),"0%"),"OK")))</f>
        <v/>
      </c>
      <c r="BA89" s="33" t="str">
        <f aca="false">IF(OR(D89="",H89=""),"",IF(H89&lt;=IF(OR(D89="Soldier Pile &amp; Timber Lagging",D89="Trench Shoring Box",D89="Open Cut (battered)"),SG_Criteria!$B$34,SG_Criteria!$B$33),"No ERSS submission",IF(H89&lt;=SG_Criteria!$B$35,"QP(ST)",IF(H89&lt;=SG_Criteria!$B$36,"QP(ST) + AC","Geotechnical building works: QP(Geo) + AC"))))</f>
        <v/>
      </c>
      <c r="BB89" s="33" t="str">
        <f aca="false">IF(D89="","",IF(LEN(IF(AND(R89&lt;&gt;"",R89&lt;SG_Criteria!$B$37),"FAIL: base stability FOS &lt; "&amp;SG_Criteria!$B$37&amp;". ","")&amp;IF(AND(E89="Manhole",H89&gt;SG_Criteria!$B$36),"NOTE: BCA lists sewer manholes (pipe &lt;= 2 m dia) &gt; 6 m as non-GBW: QP(ST) + AC. ","")&amp;IF(AND(D89="Trench Shoring Box",I89="Kallang Formation (marine clay)"),"NOTE: check base heave / ground loss for shoring box in marine clay. ","")&amp;IF(AND(D89="Steel Sheet Pile Cofferdam",N(N89)&lt;H89*0.5),"NOTE: short toe embedment, check. ",""))=0,"OK",IF(AND(R89&lt;&gt;"",R89&lt;SG_Criteria!$B$37),"FAIL: base stability FOS &lt; "&amp;SG_Criteria!$B$37&amp;". ","")&amp;IF(AND(E89="Manhole",H89&gt;SG_Criteria!$B$36),"NOTE: BCA lists sewer manholes (pipe &lt;= 2 m dia) &gt; 6 m as non-GBW: QP(ST) + AC. ","")&amp;IF(AND(D89="Trench Shoring Box",I89="Kallang Formation (marine clay)"),"NOTE: check base heave / ground loss for shoring box in marine clay. ","")&amp;IF(AND(D89="Steel Sheet Pile Cofferdam",N(N89)&lt;H89*0.5),"NOTE: short toe embedment, check. ","")))</f>
        <v/>
      </c>
      <c r="BC89" s="9"/>
      <c r="BD89" s="9"/>
      <c r="BE89" s="9"/>
      <c r="BF89" s="10" t="str">
        <f aca="false">IF(BE89="","",IFERROR(VLOOKUP(BE89,Projects!$A$5:$D$504,2,0),"Ref not in Projects"))</f>
        <v/>
      </c>
      <c r="BG89" s="10" t="str">
        <f aca="false">IF(BE89="","",IFERROR(VLOOKUP(BE89,Projects!$A$5:$D$504,4,0),"Ref not in Projects"))</f>
        <v/>
      </c>
      <c r="BH89" s="9"/>
      <c r="BI89" s="9"/>
      <c r="BJ89" s="9"/>
      <c r="BK89" s="40"/>
      <c r="BL89" s="9"/>
      <c r="BM89" s="40"/>
      <c r="BN89" s="9"/>
      <c r="BO89" s="40"/>
      <c r="BP89" s="9"/>
      <c r="BQ89" s="9"/>
      <c r="BR89" s="9"/>
      <c r="BS89" s="40"/>
      <c r="BT89" s="40"/>
      <c r="BU89" s="36" t="str">
        <f aca="false">IF(BT89="","",EDATE(BT89,SG_Criteria!$B$54*12))</f>
        <v/>
      </c>
      <c r="BV89" s="33" t="str">
        <f aca="true">IF(A89="","",IF(BT89="","NOTE: not reviewed yet",IF(TODAY()&gt;BU89,"NOTE: review overdue","OK")))</f>
        <v/>
      </c>
      <c r="BW89" s="37" t="str">
        <f aca="false">IF(A89="","",ROUND((IF(LEN(D89)&gt;0,1,0)+IF(LEN(E89)&gt;0,1,0)+IF(LEN(F89)&gt;0,1,0)+IF(LEN(G89)&gt;0,1,0)+IF(LEN(H89)&gt;0,1,0)+IF(LEN(I89)&gt;0,1,0)+IF(LEN(J89)&gt;0,1,0)+IF(LEN(L89)&gt;0,1,0)+IF(LEN(R89)&gt;0,1,0)+IF(LEN(Y89)&gt;0,1,0)+IF(LEN(AE89)&gt;0,1,0)+IF(LEN(AG89)&gt;0,1,0)+IF(LEN(AH89)&gt;0,1,0)+IF(LEN(AI89)&gt;0,1,0)+IF(LEN(AJ89)&gt;0,1,0)+IF(LEN(AS89)&gt;0,1,0)+IF(LEN(BE89)&gt;0,1,0)+IF(LEN(BR89)&gt;0,1,0))/18,2))</f>
        <v/>
      </c>
      <c r="BX89" s="10" t="str">
        <f aca="false">IF(D89="","",IF(AND(AH89="Approved",ISERROR(SEARCH("FAIL",BB89))),"Y","N"))</f>
        <v/>
      </c>
      <c r="BY89" s="10" t="str">
        <f aca="false">IF(D89="","",D89&amp;"|"&amp;H89&amp;"|"&amp;F89&amp;"|"&amp;I89&amp;"|"&amp;BX89)</f>
        <v/>
      </c>
    </row>
    <row r="90" customFormat="false" ht="15" hidden="false" customHeight="false" outlineLevel="0" collapsed="false">
      <c r="A90" s="10" t="str">
        <f aca="false">IF(D90="","","ERSS-"&amp;IFERROR(VLOOKUP(D90,Lists!$AK$4:$AL$21,2,0),"??")&amp;"-"&amp;TEXT(F90,"0000")&amp;"x"&amp;TEXT(G90,"0000")&amp;"-D"&amp;TEXT(H90*1000,"0000")&amp;"-"&amp;IFERROR(VLOOKUP(I90,Lists!$Y$4:$Z$21,2,0),"??")&amp;"-"&amp;AG90)</f>
        <v/>
      </c>
      <c r="B90" s="10" t="str">
        <f aca="false">IF(D90="","",D90&amp;" for "&amp;E90&amp;", "&amp;F90&amp;" x "&amp;G90&amp;" pit, "&amp;TEXT(H90,"0.0")&amp;" m deep, "&amp;I90)</f>
        <v/>
      </c>
      <c r="C90" s="9"/>
      <c r="D90" s="9"/>
      <c r="E90" s="9"/>
      <c r="F90" s="38"/>
      <c r="G90" s="38"/>
      <c r="H90" s="42"/>
      <c r="I90" s="9"/>
      <c r="J90" s="42"/>
      <c r="K90" s="38"/>
      <c r="L90" s="9"/>
      <c r="M90" s="42"/>
      <c r="N90" s="42"/>
      <c r="O90" s="38"/>
      <c r="P90" s="9"/>
      <c r="Q90" s="9"/>
      <c r="R90" s="39"/>
      <c r="S90" s="39"/>
      <c r="T90" s="38"/>
      <c r="U90" s="38"/>
      <c r="V90" s="38"/>
      <c r="W90" s="9"/>
      <c r="X90" s="9"/>
      <c r="Y90" s="38"/>
      <c r="Z90" s="9"/>
      <c r="AA90" s="9"/>
      <c r="AB90" s="38"/>
      <c r="AC90" s="9"/>
      <c r="AD90" s="39"/>
      <c r="AE90" s="9"/>
      <c r="AF90" s="9"/>
      <c r="AG90" s="9"/>
      <c r="AH90" s="9"/>
      <c r="AI90" s="9"/>
      <c r="AJ90" s="9"/>
      <c r="AK90" s="9"/>
      <c r="AL90" s="10" t="str">
        <f aca="false">IF(A90="","",SG_Criteria!$B$6&amp;SG_Criteria!$B$11&amp;"\"&amp;A90&amp;"\")</f>
        <v/>
      </c>
      <c r="AM90" s="10" t="str">
        <f aca="false">IF(A90="","",A90&amp;"_CAD.dwg")</f>
        <v/>
      </c>
      <c r="AN90" s="10" t="str">
        <f aca="false">IF(A90="","",A90&amp;"_DWG.pdf")</f>
        <v/>
      </c>
      <c r="AO90" s="10" t="str">
        <f aca="false">IF(A90="","",IF(AK90="Y",A90&amp;"_STAAD.std","n/a"))</f>
        <v/>
      </c>
      <c r="AP90" s="10" t="str">
        <f aca="false">IF(A90="","",A90&amp;"_CALC.xlsx")</f>
        <v/>
      </c>
      <c r="AQ90" s="10" t="str">
        <f aca="false">IF(A90="","",A90&amp;"_CALC.pdf")</f>
        <v/>
      </c>
      <c r="AR90" s="9"/>
      <c r="AS90" s="9"/>
      <c r="AT90" s="39"/>
      <c r="AU90" s="39"/>
      <c r="AV90" s="39"/>
      <c r="AW90" s="39"/>
      <c r="AX90" s="39"/>
      <c r="AY90" s="12" t="str">
        <f aca="false">IF(A90="","",IF(COUNTIF(Rebar_Schedule!$A$5:$A$2004,A90)=0,"",ROUND(SUMIF(Rebar_Schedule!$A$5:$A$2004,A90,Rebar_Schedule!$K$5:$K$2004),1)))</f>
        <v/>
      </c>
      <c r="AZ90" s="33" t="str">
        <f aca="false">IF(A90="","",IF(AY90="","No rebar schedule yet",IF(ABS(AY90-N(AU90))/MAX(N(AU90),1)&gt;SG_Criteria!$B$55,"NOTE: register rebar differs from schedule by "&amp;TEXT(ABS(AY90-N(AU90))/MAX(N(AU90),1),"0%"),"OK")))</f>
        <v/>
      </c>
      <c r="BA90" s="33" t="str">
        <f aca="false">IF(OR(D90="",H90=""),"",IF(H90&lt;=IF(OR(D90="Soldier Pile &amp; Timber Lagging",D90="Trench Shoring Box",D90="Open Cut (battered)"),SG_Criteria!$B$34,SG_Criteria!$B$33),"No ERSS submission",IF(H90&lt;=SG_Criteria!$B$35,"QP(ST)",IF(H90&lt;=SG_Criteria!$B$36,"QP(ST) + AC","Geotechnical building works: QP(Geo) + AC"))))</f>
        <v/>
      </c>
      <c r="BB90" s="33" t="str">
        <f aca="false">IF(D90="","",IF(LEN(IF(AND(R90&lt;&gt;"",R90&lt;SG_Criteria!$B$37),"FAIL: base stability FOS &lt; "&amp;SG_Criteria!$B$37&amp;". ","")&amp;IF(AND(E90="Manhole",H90&gt;SG_Criteria!$B$36),"NOTE: BCA lists sewer manholes (pipe &lt;= 2 m dia) &gt; 6 m as non-GBW: QP(ST) + AC. ","")&amp;IF(AND(D90="Trench Shoring Box",I90="Kallang Formation (marine clay)"),"NOTE: check base heave / ground loss for shoring box in marine clay. ","")&amp;IF(AND(D90="Steel Sheet Pile Cofferdam",N(N90)&lt;H90*0.5),"NOTE: short toe embedment, check. ",""))=0,"OK",IF(AND(R90&lt;&gt;"",R90&lt;SG_Criteria!$B$37),"FAIL: base stability FOS &lt; "&amp;SG_Criteria!$B$37&amp;". ","")&amp;IF(AND(E90="Manhole",H90&gt;SG_Criteria!$B$36),"NOTE: BCA lists sewer manholes (pipe &lt;= 2 m dia) &gt; 6 m as non-GBW: QP(ST) + AC. ","")&amp;IF(AND(D90="Trench Shoring Box",I90="Kallang Formation (marine clay)"),"NOTE: check base heave / ground loss for shoring box in marine clay. ","")&amp;IF(AND(D90="Steel Sheet Pile Cofferdam",N(N90)&lt;H90*0.5),"NOTE: short toe embedment, check. ","")))</f>
        <v/>
      </c>
      <c r="BC90" s="9"/>
      <c r="BD90" s="9"/>
      <c r="BE90" s="9"/>
      <c r="BF90" s="10" t="str">
        <f aca="false">IF(BE90="","",IFERROR(VLOOKUP(BE90,Projects!$A$5:$D$504,2,0),"Ref not in Projects"))</f>
        <v/>
      </c>
      <c r="BG90" s="10" t="str">
        <f aca="false">IF(BE90="","",IFERROR(VLOOKUP(BE90,Projects!$A$5:$D$504,4,0),"Ref not in Projects"))</f>
        <v/>
      </c>
      <c r="BH90" s="9"/>
      <c r="BI90" s="9"/>
      <c r="BJ90" s="9"/>
      <c r="BK90" s="40"/>
      <c r="BL90" s="9"/>
      <c r="BM90" s="40"/>
      <c r="BN90" s="9"/>
      <c r="BO90" s="40"/>
      <c r="BP90" s="9"/>
      <c r="BQ90" s="9"/>
      <c r="BR90" s="9"/>
      <c r="BS90" s="40"/>
      <c r="BT90" s="40"/>
      <c r="BU90" s="36" t="str">
        <f aca="false">IF(BT90="","",EDATE(BT90,SG_Criteria!$B$54*12))</f>
        <v/>
      </c>
      <c r="BV90" s="33" t="str">
        <f aca="true">IF(A90="","",IF(BT90="","NOTE: not reviewed yet",IF(TODAY()&gt;BU90,"NOTE: review overdue","OK")))</f>
        <v/>
      </c>
      <c r="BW90" s="37" t="str">
        <f aca="false">IF(A90="","",ROUND((IF(LEN(D90)&gt;0,1,0)+IF(LEN(E90)&gt;0,1,0)+IF(LEN(F90)&gt;0,1,0)+IF(LEN(G90)&gt;0,1,0)+IF(LEN(H90)&gt;0,1,0)+IF(LEN(I90)&gt;0,1,0)+IF(LEN(J90)&gt;0,1,0)+IF(LEN(L90)&gt;0,1,0)+IF(LEN(R90)&gt;0,1,0)+IF(LEN(Y90)&gt;0,1,0)+IF(LEN(AE90)&gt;0,1,0)+IF(LEN(AG90)&gt;0,1,0)+IF(LEN(AH90)&gt;0,1,0)+IF(LEN(AI90)&gt;0,1,0)+IF(LEN(AJ90)&gt;0,1,0)+IF(LEN(AS90)&gt;0,1,0)+IF(LEN(BE90)&gt;0,1,0)+IF(LEN(BR90)&gt;0,1,0))/18,2))</f>
        <v/>
      </c>
      <c r="BX90" s="10" t="str">
        <f aca="false">IF(D90="","",IF(AND(AH90="Approved",ISERROR(SEARCH("FAIL",BB90))),"Y","N"))</f>
        <v/>
      </c>
      <c r="BY90" s="10" t="str">
        <f aca="false">IF(D90="","",D90&amp;"|"&amp;H90&amp;"|"&amp;F90&amp;"|"&amp;I90&amp;"|"&amp;BX90)</f>
        <v/>
      </c>
    </row>
    <row r="91" customFormat="false" ht="15" hidden="false" customHeight="false" outlineLevel="0" collapsed="false">
      <c r="A91" s="10" t="str">
        <f aca="false">IF(D91="","","ERSS-"&amp;IFERROR(VLOOKUP(D91,Lists!$AK$4:$AL$21,2,0),"??")&amp;"-"&amp;TEXT(F91,"0000")&amp;"x"&amp;TEXT(G91,"0000")&amp;"-D"&amp;TEXT(H91*1000,"0000")&amp;"-"&amp;IFERROR(VLOOKUP(I91,Lists!$Y$4:$Z$21,2,0),"??")&amp;"-"&amp;AG91)</f>
        <v/>
      </c>
      <c r="B91" s="10" t="str">
        <f aca="false">IF(D91="","",D91&amp;" for "&amp;E91&amp;", "&amp;F91&amp;" x "&amp;G91&amp;" pit, "&amp;TEXT(H91,"0.0")&amp;" m deep, "&amp;I91)</f>
        <v/>
      </c>
      <c r="C91" s="9"/>
      <c r="D91" s="9"/>
      <c r="E91" s="9"/>
      <c r="F91" s="38"/>
      <c r="G91" s="38"/>
      <c r="H91" s="42"/>
      <c r="I91" s="9"/>
      <c r="J91" s="42"/>
      <c r="K91" s="38"/>
      <c r="L91" s="9"/>
      <c r="M91" s="42"/>
      <c r="N91" s="42"/>
      <c r="O91" s="38"/>
      <c r="P91" s="9"/>
      <c r="Q91" s="9"/>
      <c r="R91" s="39"/>
      <c r="S91" s="39"/>
      <c r="T91" s="38"/>
      <c r="U91" s="38"/>
      <c r="V91" s="38"/>
      <c r="W91" s="9"/>
      <c r="X91" s="9"/>
      <c r="Y91" s="38"/>
      <c r="Z91" s="9"/>
      <c r="AA91" s="9"/>
      <c r="AB91" s="38"/>
      <c r="AC91" s="9"/>
      <c r="AD91" s="39"/>
      <c r="AE91" s="9"/>
      <c r="AF91" s="9"/>
      <c r="AG91" s="9"/>
      <c r="AH91" s="9"/>
      <c r="AI91" s="9"/>
      <c r="AJ91" s="9"/>
      <c r="AK91" s="9"/>
      <c r="AL91" s="10" t="str">
        <f aca="false">IF(A91="","",SG_Criteria!$B$6&amp;SG_Criteria!$B$11&amp;"\"&amp;A91&amp;"\")</f>
        <v/>
      </c>
      <c r="AM91" s="10" t="str">
        <f aca="false">IF(A91="","",A91&amp;"_CAD.dwg")</f>
        <v/>
      </c>
      <c r="AN91" s="10" t="str">
        <f aca="false">IF(A91="","",A91&amp;"_DWG.pdf")</f>
        <v/>
      </c>
      <c r="AO91" s="10" t="str">
        <f aca="false">IF(A91="","",IF(AK91="Y",A91&amp;"_STAAD.std","n/a"))</f>
        <v/>
      </c>
      <c r="AP91" s="10" t="str">
        <f aca="false">IF(A91="","",A91&amp;"_CALC.xlsx")</f>
        <v/>
      </c>
      <c r="AQ91" s="10" t="str">
        <f aca="false">IF(A91="","",A91&amp;"_CALC.pdf")</f>
        <v/>
      </c>
      <c r="AR91" s="9"/>
      <c r="AS91" s="9"/>
      <c r="AT91" s="39"/>
      <c r="AU91" s="39"/>
      <c r="AV91" s="39"/>
      <c r="AW91" s="39"/>
      <c r="AX91" s="39"/>
      <c r="AY91" s="12" t="str">
        <f aca="false">IF(A91="","",IF(COUNTIF(Rebar_Schedule!$A$5:$A$2004,A91)=0,"",ROUND(SUMIF(Rebar_Schedule!$A$5:$A$2004,A91,Rebar_Schedule!$K$5:$K$2004),1)))</f>
        <v/>
      </c>
      <c r="AZ91" s="33" t="str">
        <f aca="false">IF(A91="","",IF(AY91="","No rebar schedule yet",IF(ABS(AY91-N(AU91))/MAX(N(AU91),1)&gt;SG_Criteria!$B$55,"NOTE: register rebar differs from schedule by "&amp;TEXT(ABS(AY91-N(AU91))/MAX(N(AU91),1),"0%"),"OK")))</f>
        <v/>
      </c>
      <c r="BA91" s="33" t="str">
        <f aca="false">IF(OR(D91="",H91=""),"",IF(H91&lt;=IF(OR(D91="Soldier Pile &amp; Timber Lagging",D91="Trench Shoring Box",D91="Open Cut (battered)"),SG_Criteria!$B$34,SG_Criteria!$B$33),"No ERSS submission",IF(H91&lt;=SG_Criteria!$B$35,"QP(ST)",IF(H91&lt;=SG_Criteria!$B$36,"QP(ST) + AC","Geotechnical building works: QP(Geo) + AC"))))</f>
        <v/>
      </c>
      <c r="BB91" s="33" t="str">
        <f aca="false">IF(D91="","",IF(LEN(IF(AND(R91&lt;&gt;"",R91&lt;SG_Criteria!$B$37),"FAIL: base stability FOS &lt; "&amp;SG_Criteria!$B$37&amp;". ","")&amp;IF(AND(E91="Manhole",H91&gt;SG_Criteria!$B$36),"NOTE: BCA lists sewer manholes (pipe &lt;= 2 m dia) &gt; 6 m as non-GBW: QP(ST) + AC. ","")&amp;IF(AND(D91="Trench Shoring Box",I91="Kallang Formation (marine clay)"),"NOTE: check base heave / ground loss for shoring box in marine clay. ","")&amp;IF(AND(D91="Steel Sheet Pile Cofferdam",N(N91)&lt;H91*0.5),"NOTE: short toe embedment, check. ",""))=0,"OK",IF(AND(R91&lt;&gt;"",R91&lt;SG_Criteria!$B$37),"FAIL: base stability FOS &lt; "&amp;SG_Criteria!$B$37&amp;". ","")&amp;IF(AND(E91="Manhole",H91&gt;SG_Criteria!$B$36),"NOTE: BCA lists sewer manholes (pipe &lt;= 2 m dia) &gt; 6 m as non-GBW: QP(ST) + AC. ","")&amp;IF(AND(D91="Trench Shoring Box",I91="Kallang Formation (marine clay)"),"NOTE: check base heave / ground loss for shoring box in marine clay. ","")&amp;IF(AND(D91="Steel Sheet Pile Cofferdam",N(N91)&lt;H91*0.5),"NOTE: short toe embedment, check. ","")))</f>
        <v/>
      </c>
      <c r="BC91" s="9"/>
      <c r="BD91" s="9"/>
      <c r="BE91" s="9"/>
      <c r="BF91" s="10" t="str">
        <f aca="false">IF(BE91="","",IFERROR(VLOOKUP(BE91,Projects!$A$5:$D$504,2,0),"Ref not in Projects"))</f>
        <v/>
      </c>
      <c r="BG91" s="10" t="str">
        <f aca="false">IF(BE91="","",IFERROR(VLOOKUP(BE91,Projects!$A$5:$D$504,4,0),"Ref not in Projects"))</f>
        <v/>
      </c>
      <c r="BH91" s="9"/>
      <c r="BI91" s="9"/>
      <c r="BJ91" s="9"/>
      <c r="BK91" s="40"/>
      <c r="BL91" s="9"/>
      <c r="BM91" s="40"/>
      <c r="BN91" s="9"/>
      <c r="BO91" s="40"/>
      <c r="BP91" s="9"/>
      <c r="BQ91" s="9"/>
      <c r="BR91" s="9"/>
      <c r="BS91" s="40"/>
      <c r="BT91" s="40"/>
      <c r="BU91" s="36" t="str">
        <f aca="false">IF(BT91="","",EDATE(BT91,SG_Criteria!$B$54*12))</f>
        <v/>
      </c>
      <c r="BV91" s="33" t="str">
        <f aca="true">IF(A91="","",IF(BT91="","NOTE: not reviewed yet",IF(TODAY()&gt;BU91,"NOTE: review overdue","OK")))</f>
        <v/>
      </c>
      <c r="BW91" s="37" t="str">
        <f aca="false">IF(A91="","",ROUND((IF(LEN(D91)&gt;0,1,0)+IF(LEN(E91)&gt;0,1,0)+IF(LEN(F91)&gt;0,1,0)+IF(LEN(G91)&gt;0,1,0)+IF(LEN(H91)&gt;0,1,0)+IF(LEN(I91)&gt;0,1,0)+IF(LEN(J91)&gt;0,1,0)+IF(LEN(L91)&gt;0,1,0)+IF(LEN(R91)&gt;0,1,0)+IF(LEN(Y91)&gt;0,1,0)+IF(LEN(AE91)&gt;0,1,0)+IF(LEN(AG91)&gt;0,1,0)+IF(LEN(AH91)&gt;0,1,0)+IF(LEN(AI91)&gt;0,1,0)+IF(LEN(AJ91)&gt;0,1,0)+IF(LEN(AS91)&gt;0,1,0)+IF(LEN(BE91)&gt;0,1,0)+IF(LEN(BR91)&gt;0,1,0))/18,2))</f>
        <v/>
      </c>
      <c r="BX91" s="10" t="str">
        <f aca="false">IF(D91="","",IF(AND(AH91="Approved",ISERROR(SEARCH("FAIL",BB91))),"Y","N"))</f>
        <v/>
      </c>
      <c r="BY91" s="10" t="str">
        <f aca="false">IF(D91="","",D91&amp;"|"&amp;H91&amp;"|"&amp;F91&amp;"|"&amp;I91&amp;"|"&amp;BX91)</f>
        <v/>
      </c>
    </row>
    <row r="92" customFormat="false" ht="15" hidden="false" customHeight="false" outlineLevel="0" collapsed="false">
      <c r="A92" s="10" t="str">
        <f aca="false">IF(D92="","","ERSS-"&amp;IFERROR(VLOOKUP(D92,Lists!$AK$4:$AL$21,2,0),"??")&amp;"-"&amp;TEXT(F92,"0000")&amp;"x"&amp;TEXT(G92,"0000")&amp;"-D"&amp;TEXT(H92*1000,"0000")&amp;"-"&amp;IFERROR(VLOOKUP(I92,Lists!$Y$4:$Z$21,2,0),"??")&amp;"-"&amp;AG92)</f>
        <v/>
      </c>
      <c r="B92" s="10" t="str">
        <f aca="false">IF(D92="","",D92&amp;" for "&amp;E92&amp;", "&amp;F92&amp;" x "&amp;G92&amp;" pit, "&amp;TEXT(H92,"0.0")&amp;" m deep, "&amp;I92)</f>
        <v/>
      </c>
      <c r="C92" s="9"/>
      <c r="D92" s="9"/>
      <c r="E92" s="9"/>
      <c r="F92" s="38"/>
      <c r="G92" s="38"/>
      <c r="H92" s="42"/>
      <c r="I92" s="9"/>
      <c r="J92" s="42"/>
      <c r="K92" s="38"/>
      <c r="L92" s="9"/>
      <c r="M92" s="42"/>
      <c r="N92" s="42"/>
      <c r="O92" s="38"/>
      <c r="P92" s="9"/>
      <c r="Q92" s="9"/>
      <c r="R92" s="39"/>
      <c r="S92" s="39"/>
      <c r="T92" s="38"/>
      <c r="U92" s="38"/>
      <c r="V92" s="38"/>
      <c r="W92" s="9"/>
      <c r="X92" s="9"/>
      <c r="Y92" s="38"/>
      <c r="Z92" s="9"/>
      <c r="AA92" s="9"/>
      <c r="AB92" s="38"/>
      <c r="AC92" s="9"/>
      <c r="AD92" s="39"/>
      <c r="AE92" s="9"/>
      <c r="AF92" s="9"/>
      <c r="AG92" s="9"/>
      <c r="AH92" s="9"/>
      <c r="AI92" s="9"/>
      <c r="AJ92" s="9"/>
      <c r="AK92" s="9"/>
      <c r="AL92" s="10" t="str">
        <f aca="false">IF(A92="","",SG_Criteria!$B$6&amp;SG_Criteria!$B$11&amp;"\"&amp;A92&amp;"\")</f>
        <v/>
      </c>
      <c r="AM92" s="10" t="str">
        <f aca="false">IF(A92="","",A92&amp;"_CAD.dwg")</f>
        <v/>
      </c>
      <c r="AN92" s="10" t="str">
        <f aca="false">IF(A92="","",A92&amp;"_DWG.pdf")</f>
        <v/>
      </c>
      <c r="AO92" s="10" t="str">
        <f aca="false">IF(A92="","",IF(AK92="Y",A92&amp;"_STAAD.std","n/a"))</f>
        <v/>
      </c>
      <c r="AP92" s="10" t="str">
        <f aca="false">IF(A92="","",A92&amp;"_CALC.xlsx")</f>
        <v/>
      </c>
      <c r="AQ92" s="10" t="str">
        <f aca="false">IF(A92="","",A92&amp;"_CALC.pdf")</f>
        <v/>
      </c>
      <c r="AR92" s="9"/>
      <c r="AS92" s="9"/>
      <c r="AT92" s="39"/>
      <c r="AU92" s="39"/>
      <c r="AV92" s="39"/>
      <c r="AW92" s="39"/>
      <c r="AX92" s="39"/>
      <c r="AY92" s="12" t="str">
        <f aca="false">IF(A92="","",IF(COUNTIF(Rebar_Schedule!$A$5:$A$2004,A92)=0,"",ROUND(SUMIF(Rebar_Schedule!$A$5:$A$2004,A92,Rebar_Schedule!$K$5:$K$2004),1)))</f>
        <v/>
      </c>
      <c r="AZ92" s="33" t="str">
        <f aca="false">IF(A92="","",IF(AY92="","No rebar schedule yet",IF(ABS(AY92-N(AU92))/MAX(N(AU92),1)&gt;SG_Criteria!$B$55,"NOTE: register rebar differs from schedule by "&amp;TEXT(ABS(AY92-N(AU92))/MAX(N(AU92),1),"0%"),"OK")))</f>
        <v/>
      </c>
      <c r="BA92" s="33" t="str">
        <f aca="false">IF(OR(D92="",H92=""),"",IF(H92&lt;=IF(OR(D92="Soldier Pile &amp; Timber Lagging",D92="Trench Shoring Box",D92="Open Cut (battered)"),SG_Criteria!$B$34,SG_Criteria!$B$33),"No ERSS submission",IF(H92&lt;=SG_Criteria!$B$35,"QP(ST)",IF(H92&lt;=SG_Criteria!$B$36,"QP(ST) + AC","Geotechnical building works: QP(Geo) + AC"))))</f>
        <v/>
      </c>
      <c r="BB92" s="33" t="str">
        <f aca="false">IF(D92="","",IF(LEN(IF(AND(R92&lt;&gt;"",R92&lt;SG_Criteria!$B$37),"FAIL: base stability FOS &lt; "&amp;SG_Criteria!$B$37&amp;". ","")&amp;IF(AND(E92="Manhole",H92&gt;SG_Criteria!$B$36),"NOTE: BCA lists sewer manholes (pipe &lt;= 2 m dia) &gt; 6 m as non-GBW: QP(ST) + AC. ","")&amp;IF(AND(D92="Trench Shoring Box",I92="Kallang Formation (marine clay)"),"NOTE: check base heave / ground loss for shoring box in marine clay. ","")&amp;IF(AND(D92="Steel Sheet Pile Cofferdam",N(N92)&lt;H92*0.5),"NOTE: short toe embedment, check. ",""))=0,"OK",IF(AND(R92&lt;&gt;"",R92&lt;SG_Criteria!$B$37),"FAIL: base stability FOS &lt; "&amp;SG_Criteria!$B$37&amp;". ","")&amp;IF(AND(E92="Manhole",H92&gt;SG_Criteria!$B$36),"NOTE: BCA lists sewer manholes (pipe &lt;= 2 m dia) &gt; 6 m as non-GBW: QP(ST) + AC. ","")&amp;IF(AND(D92="Trench Shoring Box",I92="Kallang Formation (marine clay)"),"NOTE: check base heave / ground loss for shoring box in marine clay. ","")&amp;IF(AND(D92="Steel Sheet Pile Cofferdam",N(N92)&lt;H92*0.5),"NOTE: short toe embedment, check. ","")))</f>
        <v/>
      </c>
      <c r="BC92" s="9"/>
      <c r="BD92" s="9"/>
      <c r="BE92" s="9"/>
      <c r="BF92" s="10" t="str">
        <f aca="false">IF(BE92="","",IFERROR(VLOOKUP(BE92,Projects!$A$5:$D$504,2,0),"Ref not in Projects"))</f>
        <v/>
      </c>
      <c r="BG92" s="10" t="str">
        <f aca="false">IF(BE92="","",IFERROR(VLOOKUP(BE92,Projects!$A$5:$D$504,4,0),"Ref not in Projects"))</f>
        <v/>
      </c>
      <c r="BH92" s="9"/>
      <c r="BI92" s="9"/>
      <c r="BJ92" s="9"/>
      <c r="BK92" s="40"/>
      <c r="BL92" s="9"/>
      <c r="BM92" s="40"/>
      <c r="BN92" s="9"/>
      <c r="BO92" s="40"/>
      <c r="BP92" s="9"/>
      <c r="BQ92" s="9"/>
      <c r="BR92" s="9"/>
      <c r="BS92" s="40"/>
      <c r="BT92" s="40"/>
      <c r="BU92" s="36" t="str">
        <f aca="false">IF(BT92="","",EDATE(BT92,SG_Criteria!$B$54*12))</f>
        <v/>
      </c>
      <c r="BV92" s="33" t="str">
        <f aca="true">IF(A92="","",IF(BT92="","NOTE: not reviewed yet",IF(TODAY()&gt;BU92,"NOTE: review overdue","OK")))</f>
        <v/>
      </c>
      <c r="BW92" s="37" t="str">
        <f aca="false">IF(A92="","",ROUND((IF(LEN(D92)&gt;0,1,0)+IF(LEN(E92)&gt;0,1,0)+IF(LEN(F92)&gt;0,1,0)+IF(LEN(G92)&gt;0,1,0)+IF(LEN(H92)&gt;0,1,0)+IF(LEN(I92)&gt;0,1,0)+IF(LEN(J92)&gt;0,1,0)+IF(LEN(L92)&gt;0,1,0)+IF(LEN(R92)&gt;0,1,0)+IF(LEN(Y92)&gt;0,1,0)+IF(LEN(AE92)&gt;0,1,0)+IF(LEN(AG92)&gt;0,1,0)+IF(LEN(AH92)&gt;0,1,0)+IF(LEN(AI92)&gt;0,1,0)+IF(LEN(AJ92)&gt;0,1,0)+IF(LEN(AS92)&gt;0,1,0)+IF(LEN(BE92)&gt;0,1,0)+IF(LEN(BR92)&gt;0,1,0))/18,2))</f>
        <v/>
      </c>
      <c r="BX92" s="10" t="str">
        <f aca="false">IF(D92="","",IF(AND(AH92="Approved",ISERROR(SEARCH("FAIL",BB92))),"Y","N"))</f>
        <v/>
      </c>
      <c r="BY92" s="10" t="str">
        <f aca="false">IF(D92="","",D92&amp;"|"&amp;H92&amp;"|"&amp;F92&amp;"|"&amp;I92&amp;"|"&amp;BX92)</f>
        <v/>
      </c>
    </row>
    <row r="93" customFormat="false" ht="15" hidden="false" customHeight="false" outlineLevel="0" collapsed="false">
      <c r="A93" s="10" t="str">
        <f aca="false">IF(D93="","","ERSS-"&amp;IFERROR(VLOOKUP(D93,Lists!$AK$4:$AL$21,2,0),"??")&amp;"-"&amp;TEXT(F93,"0000")&amp;"x"&amp;TEXT(G93,"0000")&amp;"-D"&amp;TEXT(H93*1000,"0000")&amp;"-"&amp;IFERROR(VLOOKUP(I93,Lists!$Y$4:$Z$21,2,0),"??")&amp;"-"&amp;AG93)</f>
        <v/>
      </c>
      <c r="B93" s="10" t="str">
        <f aca="false">IF(D93="","",D93&amp;" for "&amp;E93&amp;", "&amp;F93&amp;" x "&amp;G93&amp;" pit, "&amp;TEXT(H93,"0.0")&amp;" m deep, "&amp;I93)</f>
        <v/>
      </c>
      <c r="C93" s="9"/>
      <c r="D93" s="9"/>
      <c r="E93" s="9"/>
      <c r="F93" s="38"/>
      <c r="G93" s="38"/>
      <c r="H93" s="42"/>
      <c r="I93" s="9"/>
      <c r="J93" s="42"/>
      <c r="K93" s="38"/>
      <c r="L93" s="9"/>
      <c r="M93" s="42"/>
      <c r="N93" s="42"/>
      <c r="O93" s="38"/>
      <c r="P93" s="9"/>
      <c r="Q93" s="9"/>
      <c r="R93" s="39"/>
      <c r="S93" s="39"/>
      <c r="T93" s="38"/>
      <c r="U93" s="38"/>
      <c r="V93" s="38"/>
      <c r="W93" s="9"/>
      <c r="X93" s="9"/>
      <c r="Y93" s="38"/>
      <c r="Z93" s="9"/>
      <c r="AA93" s="9"/>
      <c r="AB93" s="38"/>
      <c r="AC93" s="9"/>
      <c r="AD93" s="39"/>
      <c r="AE93" s="9"/>
      <c r="AF93" s="9"/>
      <c r="AG93" s="9"/>
      <c r="AH93" s="9"/>
      <c r="AI93" s="9"/>
      <c r="AJ93" s="9"/>
      <c r="AK93" s="9"/>
      <c r="AL93" s="10" t="str">
        <f aca="false">IF(A93="","",SG_Criteria!$B$6&amp;SG_Criteria!$B$11&amp;"\"&amp;A93&amp;"\")</f>
        <v/>
      </c>
      <c r="AM93" s="10" t="str">
        <f aca="false">IF(A93="","",A93&amp;"_CAD.dwg")</f>
        <v/>
      </c>
      <c r="AN93" s="10" t="str">
        <f aca="false">IF(A93="","",A93&amp;"_DWG.pdf")</f>
        <v/>
      </c>
      <c r="AO93" s="10" t="str">
        <f aca="false">IF(A93="","",IF(AK93="Y",A93&amp;"_STAAD.std","n/a"))</f>
        <v/>
      </c>
      <c r="AP93" s="10" t="str">
        <f aca="false">IF(A93="","",A93&amp;"_CALC.xlsx")</f>
        <v/>
      </c>
      <c r="AQ93" s="10" t="str">
        <f aca="false">IF(A93="","",A93&amp;"_CALC.pdf")</f>
        <v/>
      </c>
      <c r="AR93" s="9"/>
      <c r="AS93" s="9"/>
      <c r="AT93" s="39"/>
      <c r="AU93" s="39"/>
      <c r="AV93" s="39"/>
      <c r="AW93" s="39"/>
      <c r="AX93" s="39"/>
      <c r="AY93" s="12" t="str">
        <f aca="false">IF(A93="","",IF(COUNTIF(Rebar_Schedule!$A$5:$A$2004,A93)=0,"",ROUND(SUMIF(Rebar_Schedule!$A$5:$A$2004,A93,Rebar_Schedule!$K$5:$K$2004),1)))</f>
        <v/>
      </c>
      <c r="AZ93" s="33" t="str">
        <f aca="false">IF(A93="","",IF(AY93="","No rebar schedule yet",IF(ABS(AY93-N(AU93))/MAX(N(AU93),1)&gt;SG_Criteria!$B$55,"NOTE: register rebar differs from schedule by "&amp;TEXT(ABS(AY93-N(AU93))/MAX(N(AU93),1),"0%"),"OK")))</f>
        <v/>
      </c>
      <c r="BA93" s="33" t="str">
        <f aca="false">IF(OR(D93="",H93=""),"",IF(H93&lt;=IF(OR(D93="Soldier Pile &amp; Timber Lagging",D93="Trench Shoring Box",D93="Open Cut (battered)"),SG_Criteria!$B$34,SG_Criteria!$B$33),"No ERSS submission",IF(H93&lt;=SG_Criteria!$B$35,"QP(ST)",IF(H93&lt;=SG_Criteria!$B$36,"QP(ST) + AC","Geotechnical building works: QP(Geo) + AC"))))</f>
        <v/>
      </c>
      <c r="BB93" s="33" t="str">
        <f aca="false">IF(D93="","",IF(LEN(IF(AND(R93&lt;&gt;"",R93&lt;SG_Criteria!$B$37),"FAIL: base stability FOS &lt; "&amp;SG_Criteria!$B$37&amp;". ","")&amp;IF(AND(E93="Manhole",H93&gt;SG_Criteria!$B$36),"NOTE: BCA lists sewer manholes (pipe &lt;= 2 m dia) &gt; 6 m as non-GBW: QP(ST) + AC. ","")&amp;IF(AND(D93="Trench Shoring Box",I93="Kallang Formation (marine clay)"),"NOTE: check base heave / ground loss for shoring box in marine clay. ","")&amp;IF(AND(D93="Steel Sheet Pile Cofferdam",N(N93)&lt;H93*0.5),"NOTE: short toe embedment, check. ",""))=0,"OK",IF(AND(R93&lt;&gt;"",R93&lt;SG_Criteria!$B$37),"FAIL: base stability FOS &lt; "&amp;SG_Criteria!$B$37&amp;". ","")&amp;IF(AND(E93="Manhole",H93&gt;SG_Criteria!$B$36),"NOTE: BCA lists sewer manholes (pipe &lt;= 2 m dia) &gt; 6 m as non-GBW: QP(ST) + AC. ","")&amp;IF(AND(D93="Trench Shoring Box",I93="Kallang Formation (marine clay)"),"NOTE: check base heave / ground loss for shoring box in marine clay. ","")&amp;IF(AND(D93="Steel Sheet Pile Cofferdam",N(N93)&lt;H93*0.5),"NOTE: short toe embedment, check. ","")))</f>
        <v/>
      </c>
      <c r="BC93" s="9"/>
      <c r="BD93" s="9"/>
      <c r="BE93" s="9"/>
      <c r="BF93" s="10" t="str">
        <f aca="false">IF(BE93="","",IFERROR(VLOOKUP(BE93,Projects!$A$5:$D$504,2,0),"Ref not in Projects"))</f>
        <v/>
      </c>
      <c r="BG93" s="10" t="str">
        <f aca="false">IF(BE93="","",IFERROR(VLOOKUP(BE93,Projects!$A$5:$D$504,4,0),"Ref not in Projects"))</f>
        <v/>
      </c>
      <c r="BH93" s="9"/>
      <c r="BI93" s="9"/>
      <c r="BJ93" s="9"/>
      <c r="BK93" s="40"/>
      <c r="BL93" s="9"/>
      <c r="BM93" s="40"/>
      <c r="BN93" s="9"/>
      <c r="BO93" s="40"/>
      <c r="BP93" s="9"/>
      <c r="BQ93" s="9"/>
      <c r="BR93" s="9"/>
      <c r="BS93" s="40"/>
      <c r="BT93" s="40"/>
      <c r="BU93" s="36" t="str">
        <f aca="false">IF(BT93="","",EDATE(BT93,SG_Criteria!$B$54*12))</f>
        <v/>
      </c>
      <c r="BV93" s="33" t="str">
        <f aca="true">IF(A93="","",IF(BT93="","NOTE: not reviewed yet",IF(TODAY()&gt;BU93,"NOTE: review overdue","OK")))</f>
        <v/>
      </c>
      <c r="BW93" s="37" t="str">
        <f aca="false">IF(A93="","",ROUND((IF(LEN(D93)&gt;0,1,0)+IF(LEN(E93)&gt;0,1,0)+IF(LEN(F93)&gt;0,1,0)+IF(LEN(G93)&gt;0,1,0)+IF(LEN(H93)&gt;0,1,0)+IF(LEN(I93)&gt;0,1,0)+IF(LEN(J93)&gt;0,1,0)+IF(LEN(L93)&gt;0,1,0)+IF(LEN(R93)&gt;0,1,0)+IF(LEN(Y93)&gt;0,1,0)+IF(LEN(AE93)&gt;0,1,0)+IF(LEN(AG93)&gt;0,1,0)+IF(LEN(AH93)&gt;0,1,0)+IF(LEN(AI93)&gt;0,1,0)+IF(LEN(AJ93)&gt;0,1,0)+IF(LEN(AS93)&gt;0,1,0)+IF(LEN(BE93)&gt;0,1,0)+IF(LEN(BR93)&gt;0,1,0))/18,2))</f>
        <v/>
      </c>
      <c r="BX93" s="10" t="str">
        <f aca="false">IF(D93="","",IF(AND(AH93="Approved",ISERROR(SEARCH("FAIL",BB93))),"Y","N"))</f>
        <v/>
      </c>
      <c r="BY93" s="10" t="str">
        <f aca="false">IF(D93="","",D93&amp;"|"&amp;H93&amp;"|"&amp;F93&amp;"|"&amp;I93&amp;"|"&amp;BX93)</f>
        <v/>
      </c>
    </row>
    <row r="94" customFormat="false" ht="15" hidden="false" customHeight="false" outlineLevel="0" collapsed="false">
      <c r="A94" s="10" t="str">
        <f aca="false">IF(D94="","","ERSS-"&amp;IFERROR(VLOOKUP(D94,Lists!$AK$4:$AL$21,2,0),"??")&amp;"-"&amp;TEXT(F94,"0000")&amp;"x"&amp;TEXT(G94,"0000")&amp;"-D"&amp;TEXT(H94*1000,"0000")&amp;"-"&amp;IFERROR(VLOOKUP(I94,Lists!$Y$4:$Z$21,2,0),"??")&amp;"-"&amp;AG94)</f>
        <v/>
      </c>
      <c r="B94" s="10" t="str">
        <f aca="false">IF(D94="","",D94&amp;" for "&amp;E94&amp;", "&amp;F94&amp;" x "&amp;G94&amp;" pit, "&amp;TEXT(H94,"0.0")&amp;" m deep, "&amp;I94)</f>
        <v/>
      </c>
      <c r="C94" s="9"/>
      <c r="D94" s="9"/>
      <c r="E94" s="9"/>
      <c r="F94" s="38"/>
      <c r="G94" s="38"/>
      <c r="H94" s="42"/>
      <c r="I94" s="9"/>
      <c r="J94" s="42"/>
      <c r="K94" s="38"/>
      <c r="L94" s="9"/>
      <c r="M94" s="42"/>
      <c r="N94" s="42"/>
      <c r="O94" s="38"/>
      <c r="P94" s="9"/>
      <c r="Q94" s="9"/>
      <c r="R94" s="39"/>
      <c r="S94" s="39"/>
      <c r="T94" s="38"/>
      <c r="U94" s="38"/>
      <c r="V94" s="38"/>
      <c r="W94" s="9"/>
      <c r="X94" s="9"/>
      <c r="Y94" s="38"/>
      <c r="Z94" s="9"/>
      <c r="AA94" s="9"/>
      <c r="AB94" s="38"/>
      <c r="AC94" s="9"/>
      <c r="AD94" s="39"/>
      <c r="AE94" s="9"/>
      <c r="AF94" s="9"/>
      <c r="AG94" s="9"/>
      <c r="AH94" s="9"/>
      <c r="AI94" s="9"/>
      <c r="AJ94" s="9"/>
      <c r="AK94" s="9"/>
      <c r="AL94" s="10" t="str">
        <f aca="false">IF(A94="","",SG_Criteria!$B$6&amp;SG_Criteria!$B$11&amp;"\"&amp;A94&amp;"\")</f>
        <v/>
      </c>
      <c r="AM94" s="10" t="str">
        <f aca="false">IF(A94="","",A94&amp;"_CAD.dwg")</f>
        <v/>
      </c>
      <c r="AN94" s="10" t="str">
        <f aca="false">IF(A94="","",A94&amp;"_DWG.pdf")</f>
        <v/>
      </c>
      <c r="AO94" s="10" t="str">
        <f aca="false">IF(A94="","",IF(AK94="Y",A94&amp;"_STAAD.std","n/a"))</f>
        <v/>
      </c>
      <c r="AP94" s="10" t="str">
        <f aca="false">IF(A94="","",A94&amp;"_CALC.xlsx")</f>
        <v/>
      </c>
      <c r="AQ94" s="10" t="str">
        <f aca="false">IF(A94="","",A94&amp;"_CALC.pdf")</f>
        <v/>
      </c>
      <c r="AR94" s="9"/>
      <c r="AS94" s="9"/>
      <c r="AT94" s="39"/>
      <c r="AU94" s="39"/>
      <c r="AV94" s="39"/>
      <c r="AW94" s="39"/>
      <c r="AX94" s="39"/>
      <c r="AY94" s="12" t="str">
        <f aca="false">IF(A94="","",IF(COUNTIF(Rebar_Schedule!$A$5:$A$2004,A94)=0,"",ROUND(SUMIF(Rebar_Schedule!$A$5:$A$2004,A94,Rebar_Schedule!$K$5:$K$2004),1)))</f>
        <v/>
      </c>
      <c r="AZ94" s="33" t="str">
        <f aca="false">IF(A94="","",IF(AY94="","No rebar schedule yet",IF(ABS(AY94-N(AU94))/MAX(N(AU94),1)&gt;SG_Criteria!$B$55,"NOTE: register rebar differs from schedule by "&amp;TEXT(ABS(AY94-N(AU94))/MAX(N(AU94),1),"0%"),"OK")))</f>
        <v/>
      </c>
      <c r="BA94" s="33" t="str">
        <f aca="false">IF(OR(D94="",H94=""),"",IF(H94&lt;=IF(OR(D94="Soldier Pile &amp; Timber Lagging",D94="Trench Shoring Box",D94="Open Cut (battered)"),SG_Criteria!$B$34,SG_Criteria!$B$33),"No ERSS submission",IF(H94&lt;=SG_Criteria!$B$35,"QP(ST)",IF(H94&lt;=SG_Criteria!$B$36,"QP(ST) + AC","Geotechnical building works: QP(Geo) + AC"))))</f>
        <v/>
      </c>
      <c r="BB94" s="33" t="str">
        <f aca="false">IF(D94="","",IF(LEN(IF(AND(R94&lt;&gt;"",R94&lt;SG_Criteria!$B$37),"FAIL: base stability FOS &lt; "&amp;SG_Criteria!$B$37&amp;". ","")&amp;IF(AND(E94="Manhole",H94&gt;SG_Criteria!$B$36),"NOTE: BCA lists sewer manholes (pipe &lt;= 2 m dia) &gt; 6 m as non-GBW: QP(ST) + AC. ","")&amp;IF(AND(D94="Trench Shoring Box",I94="Kallang Formation (marine clay)"),"NOTE: check base heave / ground loss for shoring box in marine clay. ","")&amp;IF(AND(D94="Steel Sheet Pile Cofferdam",N(N94)&lt;H94*0.5),"NOTE: short toe embedment, check. ",""))=0,"OK",IF(AND(R94&lt;&gt;"",R94&lt;SG_Criteria!$B$37),"FAIL: base stability FOS &lt; "&amp;SG_Criteria!$B$37&amp;". ","")&amp;IF(AND(E94="Manhole",H94&gt;SG_Criteria!$B$36),"NOTE: BCA lists sewer manholes (pipe &lt;= 2 m dia) &gt; 6 m as non-GBW: QP(ST) + AC. ","")&amp;IF(AND(D94="Trench Shoring Box",I94="Kallang Formation (marine clay)"),"NOTE: check base heave / ground loss for shoring box in marine clay. ","")&amp;IF(AND(D94="Steel Sheet Pile Cofferdam",N(N94)&lt;H94*0.5),"NOTE: short toe embedment, check. ","")))</f>
        <v/>
      </c>
      <c r="BC94" s="9"/>
      <c r="BD94" s="9"/>
      <c r="BE94" s="9"/>
      <c r="BF94" s="10" t="str">
        <f aca="false">IF(BE94="","",IFERROR(VLOOKUP(BE94,Projects!$A$5:$D$504,2,0),"Ref not in Projects"))</f>
        <v/>
      </c>
      <c r="BG94" s="10" t="str">
        <f aca="false">IF(BE94="","",IFERROR(VLOOKUP(BE94,Projects!$A$5:$D$504,4,0),"Ref not in Projects"))</f>
        <v/>
      </c>
      <c r="BH94" s="9"/>
      <c r="BI94" s="9"/>
      <c r="BJ94" s="9"/>
      <c r="BK94" s="40"/>
      <c r="BL94" s="9"/>
      <c r="BM94" s="40"/>
      <c r="BN94" s="9"/>
      <c r="BO94" s="40"/>
      <c r="BP94" s="9"/>
      <c r="BQ94" s="9"/>
      <c r="BR94" s="9"/>
      <c r="BS94" s="40"/>
      <c r="BT94" s="40"/>
      <c r="BU94" s="36" t="str">
        <f aca="false">IF(BT94="","",EDATE(BT94,SG_Criteria!$B$54*12))</f>
        <v/>
      </c>
      <c r="BV94" s="33" t="str">
        <f aca="true">IF(A94="","",IF(BT94="","NOTE: not reviewed yet",IF(TODAY()&gt;BU94,"NOTE: review overdue","OK")))</f>
        <v/>
      </c>
      <c r="BW94" s="37" t="str">
        <f aca="false">IF(A94="","",ROUND((IF(LEN(D94)&gt;0,1,0)+IF(LEN(E94)&gt;0,1,0)+IF(LEN(F94)&gt;0,1,0)+IF(LEN(G94)&gt;0,1,0)+IF(LEN(H94)&gt;0,1,0)+IF(LEN(I94)&gt;0,1,0)+IF(LEN(J94)&gt;0,1,0)+IF(LEN(L94)&gt;0,1,0)+IF(LEN(R94)&gt;0,1,0)+IF(LEN(Y94)&gt;0,1,0)+IF(LEN(AE94)&gt;0,1,0)+IF(LEN(AG94)&gt;0,1,0)+IF(LEN(AH94)&gt;0,1,0)+IF(LEN(AI94)&gt;0,1,0)+IF(LEN(AJ94)&gt;0,1,0)+IF(LEN(AS94)&gt;0,1,0)+IF(LEN(BE94)&gt;0,1,0)+IF(LEN(BR94)&gt;0,1,0))/18,2))</f>
        <v/>
      </c>
      <c r="BX94" s="10" t="str">
        <f aca="false">IF(D94="","",IF(AND(AH94="Approved",ISERROR(SEARCH("FAIL",BB94))),"Y","N"))</f>
        <v/>
      </c>
      <c r="BY94" s="10" t="str">
        <f aca="false">IF(D94="","",D94&amp;"|"&amp;H94&amp;"|"&amp;F94&amp;"|"&amp;I94&amp;"|"&amp;BX94)</f>
        <v/>
      </c>
    </row>
    <row r="95" customFormat="false" ht="15" hidden="false" customHeight="false" outlineLevel="0" collapsed="false">
      <c r="A95" s="10" t="str">
        <f aca="false">IF(D95="","","ERSS-"&amp;IFERROR(VLOOKUP(D95,Lists!$AK$4:$AL$21,2,0),"??")&amp;"-"&amp;TEXT(F95,"0000")&amp;"x"&amp;TEXT(G95,"0000")&amp;"-D"&amp;TEXT(H95*1000,"0000")&amp;"-"&amp;IFERROR(VLOOKUP(I95,Lists!$Y$4:$Z$21,2,0),"??")&amp;"-"&amp;AG95)</f>
        <v/>
      </c>
      <c r="B95" s="10" t="str">
        <f aca="false">IF(D95="","",D95&amp;" for "&amp;E95&amp;", "&amp;F95&amp;" x "&amp;G95&amp;" pit, "&amp;TEXT(H95,"0.0")&amp;" m deep, "&amp;I95)</f>
        <v/>
      </c>
      <c r="C95" s="9"/>
      <c r="D95" s="9"/>
      <c r="E95" s="9"/>
      <c r="F95" s="38"/>
      <c r="G95" s="38"/>
      <c r="H95" s="42"/>
      <c r="I95" s="9"/>
      <c r="J95" s="42"/>
      <c r="K95" s="38"/>
      <c r="L95" s="9"/>
      <c r="M95" s="42"/>
      <c r="N95" s="42"/>
      <c r="O95" s="38"/>
      <c r="P95" s="9"/>
      <c r="Q95" s="9"/>
      <c r="R95" s="39"/>
      <c r="S95" s="39"/>
      <c r="T95" s="38"/>
      <c r="U95" s="38"/>
      <c r="V95" s="38"/>
      <c r="W95" s="9"/>
      <c r="X95" s="9"/>
      <c r="Y95" s="38"/>
      <c r="Z95" s="9"/>
      <c r="AA95" s="9"/>
      <c r="AB95" s="38"/>
      <c r="AC95" s="9"/>
      <c r="AD95" s="39"/>
      <c r="AE95" s="9"/>
      <c r="AF95" s="9"/>
      <c r="AG95" s="9"/>
      <c r="AH95" s="9"/>
      <c r="AI95" s="9"/>
      <c r="AJ95" s="9"/>
      <c r="AK95" s="9"/>
      <c r="AL95" s="10" t="str">
        <f aca="false">IF(A95="","",SG_Criteria!$B$6&amp;SG_Criteria!$B$11&amp;"\"&amp;A95&amp;"\")</f>
        <v/>
      </c>
      <c r="AM95" s="10" t="str">
        <f aca="false">IF(A95="","",A95&amp;"_CAD.dwg")</f>
        <v/>
      </c>
      <c r="AN95" s="10" t="str">
        <f aca="false">IF(A95="","",A95&amp;"_DWG.pdf")</f>
        <v/>
      </c>
      <c r="AO95" s="10" t="str">
        <f aca="false">IF(A95="","",IF(AK95="Y",A95&amp;"_STAAD.std","n/a"))</f>
        <v/>
      </c>
      <c r="AP95" s="10" t="str">
        <f aca="false">IF(A95="","",A95&amp;"_CALC.xlsx")</f>
        <v/>
      </c>
      <c r="AQ95" s="10" t="str">
        <f aca="false">IF(A95="","",A95&amp;"_CALC.pdf")</f>
        <v/>
      </c>
      <c r="AR95" s="9"/>
      <c r="AS95" s="9"/>
      <c r="AT95" s="39"/>
      <c r="AU95" s="39"/>
      <c r="AV95" s="39"/>
      <c r="AW95" s="39"/>
      <c r="AX95" s="39"/>
      <c r="AY95" s="12" t="str">
        <f aca="false">IF(A95="","",IF(COUNTIF(Rebar_Schedule!$A$5:$A$2004,A95)=0,"",ROUND(SUMIF(Rebar_Schedule!$A$5:$A$2004,A95,Rebar_Schedule!$K$5:$K$2004),1)))</f>
        <v/>
      </c>
      <c r="AZ95" s="33" t="str">
        <f aca="false">IF(A95="","",IF(AY95="","No rebar schedule yet",IF(ABS(AY95-N(AU95))/MAX(N(AU95),1)&gt;SG_Criteria!$B$55,"NOTE: register rebar differs from schedule by "&amp;TEXT(ABS(AY95-N(AU95))/MAX(N(AU95),1),"0%"),"OK")))</f>
        <v/>
      </c>
      <c r="BA95" s="33" t="str">
        <f aca="false">IF(OR(D95="",H95=""),"",IF(H95&lt;=IF(OR(D95="Soldier Pile &amp; Timber Lagging",D95="Trench Shoring Box",D95="Open Cut (battered)"),SG_Criteria!$B$34,SG_Criteria!$B$33),"No ERSS submission",IF(H95&lt;=SG_Criteria!$B$35,"QP(ST)",IF(H95&lt;=SG_Criteria!$B$36,"QP(ST) + AC","Geotechnical building works: QP(Geo) + AC"))))</f>
        <v/>
      </c>
      <c r="BB95" s="33" t="str">
        <f aca="false">IF(D95="","",IF(LEN(IF(AND(R95&lt;&gt;"",R95&lt;SG_Criteria!$B$37),"FAIL: base stability FOS &lt; "&amp;SG_Criteria!$B$37&amp;". ","")&amp;IF(AND(E95="Manhole",H95&gt;SG_Criteria!$B$36),"NOTE: BCA lists sewer manholes (pipe &lt;= 2 m dia) &gt; 6 m as non-GBW: QP(ST) + AC. ","")&amp;IF(AND(D95="Trench Shoring Box",I95="Kallang Formation (marine clay)"),"NOTE: check base heave / ground loss for shoring box in marine clay. ","")&amp;IF(AND(D95="Steel Sheet Pile Cofferdam",N(N95)&lt;H95*0.5),"NOTE: short toe embedment, check. ",""))=0,"OK",IF(AND(R95&lt;&gt;"",R95&lt;SG_Criteria!$B$37),"FAIL: base stability FOS &lt; "&amp;SG_Criteria!$B$37&amp;". ","")&amp;IF(AND(E95="Manhole",H95&gt;SG_Criteria!$B$36),"NOTE: BCA lists sewer manholes (pipe &lt;= 2 m dia) &gt; 6 m as non-GBW: QP(ST) + AC. ","")&amp;IF(AND(D95="Trench Shoring Box",I95="Kallang Formation (marine clay)"),"NOTE: check base heave / ground loss for shoring box in marine clay. ","")&amp;IF(AND(D95="Steel Sheet Pile Cofferdam",N(N95)&lt;H95*0.5),"NOTE: short toe embedment, check. ","")))</f>
        <v/>
      </c>
      <c r="BC95" s="9"/>
      <c r="BD95" s="9"/>
      <c r="BE95" s="9"/>
      <c r="BF95" s="10" t="str">
        <f aca="false">IF(BE95="","",IFERROR(VLOOKUP(BE95,Projects!$A$5:$D$504,2,0),"Ref not in Projects"))</f>
        <v/>
      </c>
      <c r="BG95" s="10" t="str">
        <f aca="false">IF(BE95="","",IFERROR(VLOOKUP(BE95,Projects!$A$5:$D$504,4,0),"Ref not in Projects"))</f>
        <v/>
      </c>
      <c r="BH95" s="9"/>
      <c r="BI95" s="9"/>
      <c r="BJ95" s="9"/>
      <c r="BK95" s="40"/>
      <c r="BL95" s="9"/>
      <c r="BM95" s="40"/>
      <c r="BN95" s="9"/>
      <c r="BO95" s="40"/>
      <c r="BP95" s="9"/>
      <c r="BQ95" s="9"/>
      <c r="BR95" s="9"/>
      <c r="BS95" s="40"/>
      <c r="BT95" s="40"/>
      <c r="BU95" s="36" t="str">
        <f aca="false">IF(BT95="","",EDATE(BT95,SG_Criteria!$B$54*12))</f>
        <v/>
      </c>
      <c r="BV95" s="33" t="str">
        <f aca="true">IF(A95="","",IF(BT95="","NOTE: not reviewed yet",IF(TODAY()&gt;BU95,"NOTE: review overdue","OK")))</f>
        <v/>
      </c>
      <c r="BW95" s="37" t="str">
        <f aca="false">IF(A95="","",ROUND((IF(LEN(D95)&gt;0,1,0)+IF(LEN(E95)&gt;0,1,0)+IF(LEN(F95)&gt;0,1,0)+IF(LEN(G95)&gt;0,1,0)+IF(LEN(H95)&gt;0,1,0)+IF(LEN(I95)&gt;0,1,0)+IF(LEN(J95)&gt;0,1,0)+IF(LEN(L95)&gt;0,1,0)+IF(LEN(R95)&gt;0,1,0)+IF(LEN(Y95)&gt;0,1,0)+IF(LEN(AE95)&gt;0,1,0)+IF(LEN(AG95)&gt;0,1,0)+IF(LEN(AH95)&gt;0,1,0)+IF(LEN(AI95)&gt;0,1,0)+IF(LEN(AJ95)&gt;0,1,0)+IF(LEN(AS95)&gt;0,1,0)+IF(LEN(BE95)&gt;0,1,0)+IF(LEN(BR95)&gt;0,1,0))/18,2))</f>
        <v/>
      </c>
      <c r="BX95" s="10" t="str">
        <f aca="false">IF(D95="","",IF(AND(AH95="Approved",ISERROR(SEARCH("FAIL",BB95))),"Y","N"))</f>
        <v/>
      </c>
      <c r="BY95" s="10" t="str">
        <f aca="false">IF(D95="","",D95&amp;"|"&amp;H95&amp;"|"&amp;F95&amp;"|"&amp;I95&amp;"|"&amp;BX95)</f>
        <v/>
      </c>
    </row>
    <row r="96" customFormat="false" ht="15" hidden="false" customHeight="false" outlineLevel="0" collapsed="false">
      <c r="A96" s="10" t="str">
        <f aca="false">IF(D96="","","ERSS-"&amp;IFERROR(VLOOKUP(D96,Lists!$AK$4:$AL$21,2,0),"??")&amp;"-"&amp;TEXT(F96,"0000")&amp;"x"&amp;TEXT(G96,"0000")&amp;"-D"&amp;TEXT(H96*1000,"0000")&amp;"-"&amp;IFERROR(VLOOKUP(I96,Lists!$Y$4:$Z$21,2,0),"??")&amp;"-"&amp;AG96)</f>
        <v/>
      </c>
      <c r="B96" s="10" t="str">
        <f aca="false">IF(D96="","",D96&amp;" for "&amp;E96&amp;", "&amp;F96&amp;" x "&amp;G96&amp;" pit, "&amp;TEXT(H96,"0.0")&amp;" m deep, "&amp;I96)</f>
        <v/>
      </c>
      <c r="C96" s="9"/>
      <c r="D96" s="9"/>
      <c r="E96" s="9"/>
      <c r="F96" s="38"/>
      <c r="G96" s="38"/>
      <c r="H96" s="42"/>
      <c r="I96" s="9"/>
      <c r="J96" s="42"/>
      <c r="K96" s="38"/>
      <c r="L96" s="9"/>
      <c r="M96" s="42"/>
      <c r="N96" s="42"/>
      <c r="O96" s="38"/>
      <c r="P96" s="9"/>
      <c r="Q96" s="9"/>
      <c r="R96" s="39"/>
      <c r="S96" s="39"/>
      <c r="T96" s="38"/>
      <c r="U96" s="38"/>
      <c r="V96" s="38"/>
      <c r="W96" s="9"/>
      <c r="X96" s="9"/>
      <c r="Y96" s="38"/>
      <c r="Z96" s="9"/>
      <c r="AA96" s="9"/>
      <c r="AB96" s="38"/>
      <c r="AC96" s="9"/>
      <c r="AD96" s="39"/>
      <c r="AE96" s="9"/>
      <c r="AF96" s="9"/>
      <c r="AG96" s="9"/>
      <c r="AH96" s="9"/>
      <c r="AI96" s="9"/>
      <c r="AJ96" s="9"/>
      <c r="AK96" s="9"/>
      <c r="AL96" s="10" t="str">
        <f aca="false">IF(A96="","",SG_Criteria!$B$6&amp;SG_Criteria!$B$11&amp;"\"&amp;A96&amp;"\")</f>
        <v/>
      </c>
      <c r="AM96" s="10" t="str">
        <f aca="false">IF(A96="","",A96&amp;"_CAD.dwg")</f>
        <v/>
      </c>
      <c r="AN96" s="10" t="str">
        <f aca="false">IF(A96="","",A96&amp;"_DWG.pdf")</f>
        <v/>
      </c>
      <c r="AO96" s="10" t="str">
        <f aca="false">IF(A96="","",IF(AK96="Y",A96&amp;"_STAAD.std","n/a"))</f>
        <v/>
      </c>
      <c r="AP96" s="10" t="str">
        <f aca="false">IF(A96="","",A96&amp;"_CALC.xlsx")</f>
        <v/>
      </c>
      <c r="AQ96" s="10" t="str">
        <f aca="false">IF(A96="","",A96&amp;"_CALC.pdf")</f>
        <v/>
      </c>
      <c r="AR96" s="9"/>
      <c r="AS96" s="9"/>
      <c r="AT96" s="39"/>
      <c r="AU96" s="39"/>
      <c r="AV96" s="39"/>
      <c r="AW96" s="39"/>
      <c r="AX96" s="39"/>
      <c r="AY96" s="12" t="str">
        <f aca="false">IF(A96="","",IF(COUNTIF(Rebar_Schedule!$A$5:$A$2004,A96)=0,"",ROUND(SUMIF(Rebar_Schedule!$A$5:$A$2004,A96,Rebar_Schedule!$K$5:$K$2004),1)))</f>
        <v/>
      </c>
      <c r="AZ96" s="33" t="str">
        <f aca="false">IF(A96="","",IF(AY96="","No rebar schedule yet",IF(ABS(AY96-N(AU96))/MAX(N(AU96),1)&gt;SG_Criteria!$B$55,"NOTE: register rebar differs from schedule by "&amp;TEXT(ABS(AY96-N(AU96))/MAX(N(AU96),1),"0%"),"OK")))</f>
        <v/>
      </c>
      <c r="BA96" s="33" t="str">
        <f aca="false">IF(OR(D96="",H96=""),"",IF(H96&lt;=IF(OR(D96="Soldier Pile &amp; Timber Lagging",D96="Trench Shoring Box",D96="Open Cut (battered)"),SG_Criteria!$B$34,SG_Criteria!$B$33),"No ERSS submission",IF(H96&lt;=SG_Criteria!$B$35,"QP(ST)",IF(H96&lt;=SG_Criteria!$B$36,"QP(ST) + AC","Geotechnical building works: QP(Geo) + AC"))))</f>
        <v/>
      </c>
      <c r="BB96" s="33" t="str">
        <f aca="false">IF(D96="","",IF(LEN(IF(AND(R96&lt;&gt;"",R96&lt;SG_Criteria!$B$37),"FAIL: base stability FOS &lt; "&amp;SG_Criteria!$B$37&amp;". ","")&amp;IF(AND(E96="Manhole",H96&gt;SG_Criteria!$B$36),"NOTE: BCA lists sewer manholes (pipe &lt;= 2 m dia) &gt; 6 m as non-GBW: QP(ST) + AC. ","")&amp;IF(AND(D96="Trench Shoring Box",I96="Kallang Formation (marine clay)"),"NOTE: check base heave / ground loss for shoring box in marine clay. ","")&amp;IF(AND(D96="Steel Sheet Pile Cofferdam",N(N96)&lt;H96*0.5),"NOTE: short toe embedment, check. ",""))=0,"OK",IF(AND(R96&lt;&gt;"",R96&lt;SG_Criteria!$B$37),"FAIL: base stability FOS &lt; "&amp;SG_Criteria!$B$37&amp;". ","")&amp;IF(AND(E96="Manhole",H96&gt;SG_Criteria!$B$36),"NOTE: BCA lists sewer manholes (pipe &lt;= 2 m dia) &gt; 6 m as non-GBW: QP(ST) + AC. ","")&amp;IF(AND(D96="Trench Shoring Box",I96="Kallang Formation (marine clay)"),"NOTE: check base heave / ground loss for shoring box in marine clay. ","")&amp;IF(AND(D96="Steel Sheet Pile Cofferdam",N(N96)&lt;H96*0.5),"NOTE: short toe embedment, check. ","")))</f>
        <v/>
      </c>
      <c r="BC96" s="9"/>
      <c r="BD96" s="9"/>
      <c r="BE96" s="9"/>
      <c r="BF96" s="10" t="str">
        <f aca="false">IF(BE96="","",IFERROR(VLOOKUP(BE96,Projects!$A$5:$D$504,2,0),"Ref not in Projects"))</f>
        <v/>
      </c>
      <c r="BG96" s="10" t="str">
        <f aca="false">IF(BE96="","",IFERROR(VLOOKUP(BE96,Projects!$A$5:$D$504,4,0),"Ref not in Projects"))</f>
        <v/>
      </c>
      <c r="BH96" s="9"/>
      <c r="BI96" s="9"/>
      <c r="BJ96" s="9"/>
      <c r="BK96" s="40"/>
      <c r="BL96" s="9"/>
      <c r="BM96" s="40"/>
      <c r="BN96" s="9"/>
      <c r="BO96" s="40"/>
      <c r="BP96" s="9"/>
      <c r="BQ96" s="9"/>
      <c r="BR96" s="9"/>
      <c r="BS96" s="40"/>
      <c r="BT96" s="40"/>
      <c r="BU96" s="36" t="str">
        <f aca="false">IF(BT96="","",EDATE(BT96,SG_Criteria!$B$54*12))</f>
        <v/>
      </c>
      <c r="BV96" s="33" t="str">
        <f aca="true">IF(A96="","",IF(BT96="","NOTE: not reviewed yet",IF(TODAY()&gt;BU96,"NOTE: review overdue","OK")))</f>
        <v/>
      </c>
      <c r="BW96" s="37" t="str">
        <f aca="false">IF(A96="","",ROUND((IF(LEN(D96)&gt;0,1,0)+IF(LEN(E96)&gt;0,1,0)+IF(LEN(F96)&gt;0,1,0)+IF(LEN(G96)&gt;0,1,0)+IF(LEN(H96)&gt;0,1,0)+IF(LEN(I96)&gt;0,1,0)+IF(LEN(J96)&gt;0,1,0)+IF(LEN(L96)&gt;0,1,0)+IF(LEN(R96)&gt;0,1,0)+IF(LEN(Y96)&gt;0,1,0)+IF(LEN(AE96)&gt;0,1,0)+IF(LEN(AG96)&gt;0,1,0)+IF(LEN(AH96)&gt;0,1,0)+IF(LEN(AI96)&gt;0,1,0)+IF(LEN(AJ96)&gt;0,1,0)+IF(LEN(AS96)&gt;0,1,0)+IF(LEN(BE96)&gt;0,1,0)+IF(LEN(BR96)&gt;0,1,0))/18,2))</f>
        <v/>
      </c>
      <c r="BX96" s="10" t="str">
        <f aca="false">IF(D96="","",IF(AND(AH96="Approved",ISERROR(SEARCH("FAIL",BB96))),"Y","N"))</f>
        <v/>
      </c>
      <c r="BY96" s="10" t="str">
        <f aca="false">IF(D96="","",D96&amp;"|"&amp;H96&amp;"|"&amp;F96&amp;"|"&amp;I96&amp;"|"&amp;BX96)</f>
        <v/>
      </c>
    </row>
    <row r="97" customFormat="false" ht="15" hidden="false" customHeight="false" outlineLevel="0" collapsed="false">
      <c r="A97" s="10" t="str">
        <f aca="false">IF(D97="","","ERSS-"&amp;IFERROR(VLOOKUP(D97,Lists!$AK$4:$AL$21,2,0),"??")&amp;"-"&amp;TEXT(F97,"0000")&amp;"x"&amp;TEXT(G97,"0000")&amp;"-D"&amp;TEXT(H97*1000,"0000")&amp;"-"&amp;IFERROR(VLOOKUP(I97,Lists!$Y$4:$Z$21,2,0),"??")&amp;"-"&amp;AG97)</f>
        <v/>
      </c>
      <c r="B97" s="10" t="str">
        <f aca="false">IF(D97="","",D97&amp;" for "&amp;E97&amp;", "&amp;F97&amp;" x "&amp;G97&amp;" pit, "&amp;TEXT(H97,"0.0")&amp;" m deep, "&amp;I97)</f>
        <v/>
      </c>
      <c r="C97" s="9"/>
      <c r="D97" s="9"/>
      <c r="E97" s="9"/>
      <c r="F97" s="38"/>
      <c r="G97" s="38"/>
      <c r="H97" s="42"/>
      <c r="I97" s="9"/>
      <c r="J97" s="42"/>
      <c r="K97" s="38"/>
      <c r="L97" s="9"/>
      <c r="M97" s="42"/>
      <c r="N97" s="42"/>
      <c r="O97" s="38"/>
      <c r="P97" s="9"/>
      <c r="Q97" s="9"/>
      <c r="R97" s="39"/>
      <c r="S97" s="39"/>
      <c r="T97" s="38"/>
      <c r="U97" s="38"/>
      <c r="V97" s="38"/>
      <c r="W97" s="9"/>
      <c r="X97" s="9"/>
      <c r="Y97" s="38"/>
      <c r="Z97" s="9"/>
      <c r="AA97" s="9"/>
      <c r="AB97" s="38"/>
      <c r="AC97" s="9"/>
      <c r="AD97" s="39"/>
      <c r="AE97" s="9"/>
      <c r="AF97" s="9"/>
      <c r="AG97" s="9"/>
      <c r="AH97" s="9"/>
      <c r="AI97" s="9"/>
      <c r="AJ97" s="9"/>
      <c r="AK97" s="9"/>
      <c r="AL97" s="10" t="str">
        <f aca="false">IF(A97="","",SG_Criteria!$B$6&amp;SG_Criteria!$B$11&amp;"\"&amp;A97&amp;"\")</f>
        <v/>
      </c>
      <c r="AM97" s="10" t="str">
        <f aca="false">IF(A97="","",A97&amp;"_CAD.dwg")</f>
        <v/>
      </c>
      <c r="AN97" s="10" t="str">
        <f aca="false">IF(A97="","",A97&amp;"_DWG.pdf")</f>
        <v/>
      </c>
      <c r="AO97" s="10" t="str">
        <f aca="false">IF(A97="","",IF(AK97="Y",A97&amp;"_STAAD.std","n/a"))</f>
        <v/>
      </c>
      <c r="AP97" s="10" t="str">
        <f aca="false">IF(A97="","",A97&amp;"_CALC.xlsx")</f>
        <v/>
      </c>
      <c r="AQ97" s="10" t="str">
        <f aca="false">IF(A97="","",A97&amp;"_CALC.pdf")</f>
        <v/>
      </c>
      <c r="AR97" s="9"/>
      <c r="AS97" s="9"/>
      <c r="AT97" s="39"/>
      <c r="AU97" s="39"/>
      <c r="AV97" s="39"/>
      <c r="AW97" s="39"/>
      <c r="AX97" s="39"/>
      <c r="AY97" s="12" t="str">
        <f aca="false">IF(A97="","",IF(COUNTIF(Rebar_Schedule!$A$5:$A$2004,A97)=0,"",ROUND(SUMIF(Rebar_Schedule!$A$5:$A$2004,A97,Rebar_Schedule!$K$5:$K$2004),1)))</f>
        <v/>
      </c>
      <c r="AZ97" s="33" t="str">
        <f aca="false">IF(A97="","",IF(AY97="","No rebar schedule yet",IF(ABS(AY97-N(AU97))/MAX(N(AU97),1)&gt;SG_Criteria!$B$55,"NOTE: register rebar differs from schedule by "&amp;TEXT(ABS(AY97-N(AU97))/MAX(N(AU97),1),"0%"),"OK")))</f>
        <v/>
      </c>
      <c r="BA97" s="33" t="str">
        <f aca="false">IF(OR(D97="",H97=""),"",IF(H97&lt;=IF(OR(D97="Soldier Pile &amp; Timber Lagging",D97="Trench Shoring Box",D97="Open Cut (battered)"),SG_Criteria!$B$34,SG_Criteria!$B$33),"No ERSS submission",IF(H97&lt;=SG_Criteria!$B$35,"QP(ST)",IF(H97&lt;=SG_Criteria!$B$36,"QP(ST) + AC","Geotechnical building works: QP(Geo) + AC"))))</f>
        <v/>
      </c>
      <c r="BB97" s="33" t="str">
        <f aca="false">IF(D97="","",IF(LEN(IF(AND(R97&lt;&gt;"",R97&lt;SG_Criteria!$B$37),"FAIL: base stability FOS &lt; "&amp;SG_Criteria!$B$37&amp;". ","")&amp;IF(AND(E97="Manhole",H97&gt;SG_Criteria!$B$36),"NOTE: BCA lists sewer manholes (pipe &lt;= 2 m dia) &gt; 6 m as non-GBW: QP(ST) + AC. ","")&amp;IF(AND(D97="Trench Shoring Box",I97="Kallang Formation (marine clay)"),"NOTE: check base heave / ground loss for shoring box in marine clay. ","")&amp;IF(AND(D97="Steel Sheet Pile Cofferdam",N(N97)&lt;H97*0.5),"NOTE: short toe embedment, check. ",""))=0,"OK",IF(AND(R97&lt;&gt;"",R97&lt;SG_Criteria!$B$37),"FAIL: base stability FOS &lt; "&amp;SG_Criteria!$B$37&amp;". ","")&amp;IF(AND(E97="Manhole",H97&gt;SG_Criteria!$B$36),"NOTE: BCA lists sewer manholes (pipe &lt;= 2 m dia) &gt; 6 m as non-GBW: QP(ST) + AC. ","")&amp;IF(AND(D97="Trench Shoring Box",I97="Kallang Formation (marine clay)"),"NOTE: check base heave / ground loss for shoring box in marine clay. ","")&amp;IF(AND(D97="Steel Sheet Pile Cofferdam",N(N97)&lt;H97*0.5),"NOTE: short toe embedment, check. ","")))</f>
        <v/>
      </c>
      <c r="BC97" s="9"/>
      <c r="BD97" s="9"/>
      <c r="BE97" s="9"/>
      <c r="BF97" s="10" t="str">
        <f aca="false">IF(BE97="","",IFERROR(VLOOKUP(BE97,Projects!$A$5:$D$504,2,0),"Ref not in Projects"))</f>
        <v/>
      </c>
      <c r="BG97" s="10" t="str">
        <f aca="false">IF(BE97="","",IFERROR(VLOOKUP(BE97,Projects!$A$5:$D$504,4,0),"Ref not in Projects"))</f>
        <v/>
      </c>
      <c r="BH97" s="9"/>
      <c r="BI97" s="9"/>
      <c r="BJ97" s="9"/>
      <c r="BK97" s="40"/>
      <c r="BL97" s="9"/>
      <c r="BM97" s="40"/>
      <c r="BN97" s="9"/>
      <c r="BO97" s="40"/>
      <c r="BP97" s="9"/>
      <c r="BQ97" s="9"/>
      <c r="BR97" s="9"/>
      <c r="BS97" s="40"/>
      <c r="BT97" s="40"/>
      <c r="BU97" s="36" t="str">
        <f aca="false">IF(BT97="","",EDATE(BT97,SG_Criteria!$B$54*12))</f>
        <v/>
      </c>
      <c r="BV97" s="33" t="str">
        <f aca="true">IF(A97="","",IF(BT97="","NOTE: not reviewed yet",IF(TODAY()&gt;BU97,"NOTE: review overdue","OK")))</f>
        <v/>
      </c>
      <c r="BW97" s="37" t="str">
        <f aca="false">IF(A97="","",ROUND((IF(LEN(D97)&gt;0,1,0)+IF(LEN(E97)&gt;0,1,0)+IF(LEN(F97)&gt;0,1,0)+IF(LEN(G97)&gt;0,1,0)+IF(LEN(H97)&gt;0,1,0)+IF(LEN(I97)&gt;0,1,0)+IF(LEN(J97)&gt;0,1,0)+IF(LEN(L97)&gt;0,1,0)+IF(LEN(R97)&gt;0,1,0)+IF(LEN(Y97)&gt;0,1,0)+IF(LEN(AE97)&gt;0,1,0)+IF(LEN(AG97)&gt;0,1,0)+IF(LEN(AH97)&gt;0,1,0)+IF(LEN(AI97)&gt;0,1,0)+IF(LEN(AJ97)&gt;0,1,0)+IF(LEN(AS97)&gt;0,1,0)+IF(LEN(BE97)&gt;0,1,0)+IF(LEN(BR97)&gt;0,1,0))/18,2))</f>
        <v/>
      </c>
      <c r="BX97" s="10" t="str">
        <f aca="false">IF(D97="","",IF(AND(AH97="Approved",ISERROR(SEARCH("FAIL",BB97))),"Y","N"))</f>
        <v/>
      </c>
      <c r="BY97" s="10" t="str">
        <f aca="false">IF(D97="","",D97&amp;"|"&amp;H97&amp;"|"&amp;F97&amp;"|"&amp;I97&amp;"|"&amp;BX97)</f>
        <v/>
      </c>
    </row>
    <row r="98" customFormat="false" ht="15" hidden="false" customHeight="false" outlineLevel="0" collapsed="false">
      <c r="A98" s="10" t="str">
        <f aca="false">IF(D98="","","ERSS-"&amp;IFERROR(VLOOKUP(D98,Lists!$AK$4:$AL$21,2,0),"??")&amp;"-"&amp;TEXT(F98,"0000")&amp;"x"&amp;TEXT(G98,"0000")&amp;"-D"&amp;TEXT(H98*1000,"0000")&amp;"-"&amp;IFERROR(VLOOKUP(I98,Lists!$Y$4:$Z$21,2,0),"??")&amp;"-"&amp;AG98)</f>
        <v/>
      </c>
      <c r="B98" s="10" t="str">
        <f aca="false">IF(D98="","",D98&amp;" for "&amp;E98&amp;", "&amp;F98&amp;" x "&amp;G98&amp;" pit, "&amp;TEXT(H98,"0.0")&amp;" m deep, "&amp;I98)</f>
        <v/>
      </c>
      <c r="C98" s="9"/>
      <c r="D98" s="9"/>
      <c r="E98" s="9"/>
      <c r="F98" s="38"/>
      <c r="G98" s="38"/>
      <c r="H98" s="42"/>
      <c r="I98" s="9"/>
      <c r="J98" s="42"/>
      <c r="K98" s="38"/>
      <c r="L98" s="9"/>
      <c r="M98" s="42"/>
      <c r="N98" s="42"/>
      <c r="O98" s="38"/>
      <c r="P98" s="9"/>
      <c r="Q98" s="9"/>
      <c r="R98" s="39"/>
      <c r="S98" s="39"/>
      <c r="T98" s="38"/>
      <c r="U98" s="38"/>
      <c r="V98" s="38"/>
      <c r="W98" s="9"/>
      <c r="X98" s="9"/>
      <c r="Y98" s="38"/>
      <c r="Z98" s="9"/>
      <c r="AA98" s="9"/>
      <c r="AB98" s="38"/>
      <c r="AC98" s="9"/>
      <c r="AD98" s="39"/>
      <c r="AE98" s="9"/>
      <c r="AF98" s="9"/>
      <c r="AG98" s="9"/>
      <c r="AH98" s="9"/>
      <c r="AI98" s="9"/>
      <c r="AJ98" s="9"/>
      <c r="AK98" s="9"/>
      <c r="AL98" s="10" t="str">
        <f aca="false">IF(A98="","",SG_Criteria!$B$6&amp;SG_Criteria!$B$11&amp;"\"&amp;A98&amp;"\")</f>
        <v/>
      </c>
      <c r="AM98" s="10" t="str">
        <f aca="false">IF(A98="","",A98&amp;"_CAD.dwg")</f>
        <v/>
      </c>
      <c r="AN98" s="10" t="str">
        <f aca="false">IF(A98="","",A98&amp;"_DWG.pdf")</f>
        <v/>
      </c>
      <c r="AO98" s="10" t="str">
        <f aca="false">IF(A98="","",IF(AK98="Y",A98&amp;"_STAAD.std","n/a"))</f>
        <v/>
      </c>
      <c r="AP98" s="10" t="str">
        <f aca="false">IF(A98="","",A98&amp;"_CALC.xlsx")</f>
        <v/>
      </c>
      <c r="AQ98" s="10" t="str">
        <f aca="false">IF(A98="","",A98&amp;"_CALC.pdf")</f>
        <v/>
      </c>
      <c r="AR98" s="9"/>
      <c r="AS98" s="9"/>
      <c r="AT98" s="39"/>
      <c r="AU98" s="39"/>
      <c r="AV98" s="39"/>
      <c r="AW98" s="39"/>
      <c r="AX98" s="39"/>
      <c r="AY98" s="12" t="str">
        <f aca="false">IF(A98="","",IF(COUNTIF(Rebar_Schedule!$A$5:$A$2004,A98)=0,"",ROUND(SUMIF(Rebar_Schedule!$A$5:$A$2004,A98,Rebar_Schedule!$K$5:$K$2004),1)))</f>
        <v/>
      </c>
      <c r="AZ98" s="33" t="str">
        <f aca="false">IF(A98="","",IF(AY98="","No rebar schedule yet",IF(ABS(AY98-N(AU98))/MAX(N(AU98),1)&gt;SG_Criteria!$B$55,"NOTE: register rebar differs from schedule by "&amp;TEXT(ABS(AY98-N(AU98))/MAX(N(AU98),1),"0%"),"OK")))</f>
        <v/>
      </c>
      <c r="BA98" s="33" t="str">
        <f aca="false">IF(OR(D98="",H98=""),"",IF(H98&lt;=IF(OR(D98="Soldier Pile &amp; Timber Lagging",D98="Trench Shoring Box",D98="Open Cut (battered)"),SG_Criteria!$B$34,SG_Criteria!$B$33),"No ERSS submission",IF(H98&lt;=SG_Criteria!$B$35,"QP(ST)",IF(H98&lt;=SG_Criteria!$B$36,"QP(ST) + AC","Geotechnical building works: QP(Geo) + AC"))))</f>
        <v/>
      </c>
      <c r="BB98" s="33" t="str">
        <f aca="false">IF(D98="","",IF(LEN(IF(AND(R98&lt;&gt;"",R98&lt;SG_Criteria!$B$37),"FAIL: base stability FOS &lt; "&amp;SG_Criteria!$B$37&amp;". ","")&amp;IF(AND(E98="Manhole",H98&gt;SG_Criteria!$B$36),"NOTE: BCA lists sewer manholes (pipe &lt;= 2 m dia) &gt; 6 m as non-GBW: QP(ST) + AC. ","")&amp;IF(AND(D98="Trench Shoring Box",I98="Kallang Formation (marine clay)"),"NOTE: check base heave / ground loss for shoring box in marine clay. ","")&amp;IF(AND(D98="Steel Sheet Pile Cofferdam",N(N98)&lt;H98*0.5),"NOTE: short toe embedment, check. ",""))=0,"OK",IF(AND(R98&lt;&gt;"",R98&lt;SG_Criteria!$B$37),"FAIL: base stability FOS &lt; "&amp;SG_Criteria!$B$37&amp;". ","")&amp;IF(AND(E98="Manhole",H98&gt;SG_Criteria!$B$36),"NOTE: BCA lists sewer manholes (pipe &lt;= 2 m dia) &gt; 6 m as non-GBW: QP(ST) + AC. ","")&amp;IF(AND(D98="Trench Shoring Box",I98="Kallang Formation (marine clay)"),"NOTE: check base heave / ground loss for shoring box in marine clay. ","")&amp;IF(AND(D98="Steel Sheet Pile Cofferdam",N(N98)&lt;H98*0.5),"NOTE: short toe embedment, check. ","")))</f>
        <v/>
      </c>
      <c r="BC98" s="9"/>
      <c r="BD98" s="9"/>
      <c r="BE98" s="9"/>
      <c r="BF98" s="10" t="str">
        <f aca="false">IF(BE98="","",IFERROR(VLOOKUP(BE98,Projects!$A$5:$D$504,2,0),"Ref not in Projects"))</f>
        <v/>
      </c>
      <c r="BG98" s="10" t="str">
        <f aca="false">IF(BE98="","",IFERROR(VLOOKUP(BE98,Projects!$A$5:$D$504,4,0),"Ref not in Projects"))</f>
        <v/>
      </c>
      <c r="BH98" s="9"/>
      <c r="BI98" s="9"/>
      <c r="BJ98" s="9"/>
      <c r="BK98" s="40"/>
      <c r="BL98" s="9"/>
      <c r="BM98" s="40"/>
      <c r="BN98" s="9"/>
      <c r="BO98" s="40"/>
      <c r="BP98" s="9"/>
      <c r="BQ98" s="9"/>
      <c r="BR98" s="9"/>
      <c r="BS98" s="40"/>
      <c r="BT98" s="40"/>
      <c r="BU98" s="36" t="str">
        <f aca="false">IF(BT98="","",EDATE(BT98,SG_Criteria!$B$54*12))</f>
        <v/>
      </c>
      <c r="BV98" s="33" t="str">
        <f aca="true">IF(A98="","",IF(BT98="","NOTE: not reviewed yet",IF(TODAY()&gt;BU98,"NOTE: review overdue","OK")))</f>
        <v/>
      </c>
      <c r="BW98" s="37" t="str">
        <f aca="false">IF(A98="","",ROUND((IF(LEN(D98)&gt;0,1,0)+IF(LEN(E98)&gt;0,1,0)+IF(LEN(F98)&gt;0,1,0)+IF(LEN(G98)&gt;0,1,0)+IF(LEN(H98)&gt;0,1,0)+IF(LEN(I98)&gt;0,1,0)+IF(LEN(J98)&gt;0,1,0)+IF(LEN(L98)&gt;0,1,0)+IF(LEN(R98)&gt;0,1,0)+IF(LEN(Y98)&gt;0,1,0)+IF(LEN(AE98)&gt;0,1,0)+IF(LEN(AG98)&gt;0,1,0)+IF(LEN(AH98)&gt;0,1,0)+IF(LEN(AI98)&gt;0,1,0)+IF(LEN(AJ98)&gt;0,1,0)+IF(LEN(AS98)&gt;0,1,0)+IF(LEN(BE98)&gt;0,1,0)+IF(LEN(BR98)&gt;0,1,0))/18,2))</f>
        <v/>
      </c>
      <c r="BX98" s="10" t="str">
        <f aca="false">IF(D98="","",IF(AND(AH98="Approved",ISERROR(SEARCH("FAIL",BB98))),"Y","N"))</f>
        <v/>
      </c>
      <c r="BY98" s="10" t="str">
        <f aca="false">IF(D98="","",D98&amp;"|"&amp;H98&amp;"|"&amp;F98&amp;"|"&amp;I98&amp;"|"&amp;BX98)</f>
        <v/>
      </c>
    </row>
    <row r="99" customFormat="false" ht="15" hidden="false" customHeight="false" outlineLevel="0" collapsed="false">
      <c r="A99" s="10" t="str">
        <f aca="false">IF(D99="","","ERSS-"&amp;IFERROR(VLOOKUP(D99,Lists!$AK$4:$AL$21,2,0),"??")&amp;"-"&amp;TEXT(F99,"0000")&amp;"x"&amp;TEXT(G99,"0000")&amp;"-D"&amp;TEXT(H99*1000,"0000")&amp;"-"&amp;IFERROR(VLOOKUP(I99,Lists!$Y$4:$Z$21,2,0),"??")&amp;"-"&amp;AG99)</f>
        <v/>
      </c>
      <c r="B99" s="10" t="str">
        <f aca="false">IF(D99="","",D99&amp;" for "&amp;E99&amp;", "&amp;F99&amp;" x "&amp;G99&amp;" pit, "&amp;TEXT(H99,"0.0")&amp;" m deep, "&amp;I99)</f>
        <v/>
      </c>
      <c r="C99" s="9"/>
      <c r="D99" s="9"/>
      <c r="E99" s="9"/>
      <c r="F99" s="38"/>
      <c r="G99" s="38"/>
      <c r="H99" s="42"/>
      <c r="I99" s="9"/>
      <c r="J99" s="42"/>
      <c r="K99" s="38"/>
      <c r="L99" s="9"/>
      <c r="M99" s="42"/>
      <c r="N99" s="42"/>
      <c r="O99" s="38"/>
      <c r="P99" s="9"/>
      <c r="Q99" s="9"/>
      <c r="R99" s="39"/>
      <c r="S99" s="39"/>
      <c r="T99" s="38"/>
      <c r="U99" s="38"/>
      <c r="V99" s="38"/>
      <c r="W99" s="9"/>
      <c r="X99" s="9"/>
      <c r="Y99" s="38"/>
      <c r="Z99" s="9"/>
      <c r="AA99" s="9"/>
      <c r="AB99" s="38"/>
      <c r="AC99" s="9"/>
      <c r="AD99" s="39"/>
      <c r="AE99" s="9"/>
      <c r="AF99" s="9"/>
      <c r="AG99" s="9"/>
      <c r="AH99" s="9"/>
      <c r="AI99" s="9"/>
      <c r="AJ99" s="9"/>
      <c r="AK99" s="9"/>
      <c r="AL99" s="10" t="str">
        <f aca="false">IF(A99="","",SG_Criteria!$B$6&amp;SG_Criteria!$B$11&amp;"\"&amp;A99&amp;"\")</f>
        <v/>
      </c>
      <c r="AM99" s="10" t="str">
        <f aca="false">IF(A99="","",A99&amp;"_CAD.dwg")</f>
        <v/>
      </c>
      <c r="AN99" s="10" t="str">
        <f aca="false">IF(A99="","",A99&amp;"_DWG.pdf")</f>
        <v/>
      </c>
      <c r="AO99" s="10" t="str">
        <f aca="false">IF(A99="","",IF(AK99="Y",A99&amp;"_STAAD.std","n/a"))</f>
        <v/>
      </c>
      <c r="AP99" s="10" t="str">
        <f aca="false">IF(A99="","",A99&amp;"_CALC.xlsx")</f>
        <v/>
      </c>
      <c r="AQ99" s="10" t="str">
        <f aca="false">IF(A99="","",A99&amp;"_CALC.pdf")</f>
        <v/>
      </c>
      <c r="AR99" s="9"/>
      <c r="AS99" s="9"/>
      <c r="AT99" s="39"/>
      <c r="AU99" s="39"/>
      <c r="AV99" s="39"/>
      <c r="AW99" s="39"/>
      <c r="AX99" s="39"/>
      <c r="AY99" s="12" t="str">
        <f aca="false">IF(A99="","",IF(COUNTIF(Rebar_Schedule!$A$5:$A$2004,A99)=0,"",ROUND(SUMIF(Rebar_Schedule!$A$5:$A$2004,A99,Rebar_Schedule!$K$5:$K$2004),1)))</f>
        <v/>
      </c>
      <c r="AZ99" s="33" t="str">
        <f aca="false">IF(A99="","",IF(AY99="","No rebar schedule yet",IF(ABS(AY99-N(AU99))/MAX(N(AU99),1)&gt;SG_Criteria!$B$55,"NOTE: register rebar differs from schedule by "&amp;TEXT(ABS(AY99-N(AU99))/MAX(N(AU99),1),"0%"),"OK")))</f>
        <v/>
      </c>
      <c r="BA99" s="33" t="str">
        <f aca="false">IF(OR(D99="",H99=""),"",IF(H99&lt;=IF(OR(D99="Soldier Pile &amp; Timber Lagging",D99="Trench Shoring Box",D99="Open Cut (battered)"),SG_Criteria!$B$34,SG_Criteria!$B$33),"No ERSS submission",IF(H99&lt;=SG_Criteria!$B$35,"QP(ST)",IF(H99&lt;=SG_Criteria!$B$36,"QP(ST) + AC","Geotechnical building works: QP(Geo) + AC"))))</f>
        <v/>
      </c>
      <c r="BB99" s="33" t="str">
        <f aca="false">IF(D99="","",IF(LEN(IF(AND(R99&lt;&gt;"",R99&lt;SG_Criteria!$B$37),"FAIL: base stability FOS &lt; "&amp;SG_Criteria!$B$37&amp;". ","")&amp;IF(AND(E99="Manhole",H99&gt;SG_Criteria!$B$36),"NOTE: BCA lists sewer manholes (pipe &lt;= 2 m dia) &gt; 6 m as non-GBW: QP(ST) + AC. ","")&amp;IF(AND(D99="Trench Shoring Box",I99="Kallang Formation (marine clay)"),"NOTE: check base heave / ground loss for shoring box in marine clay. ","")&amp;IF(AND(D99="Steel Sheet Pile Cofferdam",N(N99)&lt;H99*0.5),"NOTE: short toe embedment, check. ",""))=0,"OK",IF(AND(R99&lt;&gt;"",R99&lt;SG_Criteria!$B$37),"FAIL: base stability FOS &lt; "&amp;SG_Criteria!$B$37&amp;". ","")&amp;IF(AND(E99="Manhole",H99&gt;SG_Criteria!$B$36),"NOTE: BCA lists sewer manholes (pipe &lt;= 2 m dia) &gt; 6 m as non-GBW: QP(ST) + AC. ","")&amp;IF(AND(D99="Trench Shoring Box",I99="Kallang Formation (marine clay)"),"NOTE: check base heave / ground loss for shoring box in marine clay. ","")&amp;IF(AND(D99="Steel Sheet Pile Cofferdam",N(N99)&lt;H99*0.5),"NOTE: short toe embedment, check. ","")))</f>
        <v/>
      </c>
      <c r="BC99" s="9"/>
      <c r="BD99" s="9"/>
      <c r="BE99" s="9"/>
      <c r="BF99" s="10" t="str">
        <f aca="false">IF(BE99="","",IFERROR(VLOOKUP(BE99,Projects!$A$5:$D$504,2,0),"Ref not in Projects"))</f>
        <v/>
      </c>
      <c r="BG99" s="10" t="str">
        <f aca="false">IF(BE99="","",IFERROR(VLOOKUP(BE99,Projects!$A$5:$D$504,4,0),"Ref not in Projects"))</f>
        <v/>
      </c>
      <c r="BH99" s="9"/>
      <c r="BI99" s="9"/>
      <c r="BJ99" s="9"/>
      <c r="BK99" s="40"/>
      <c r="BL99" s="9"/>
      <c r="BM99" s="40"/>
      <c r="BN99" s="9"/>
      <c r="BO99" s="40"/>
      <c r="BP99" s="9"/>
      <c r="BQ99" s="9"/>
      <c r="BR99" s="9"/>
      <c r="BS99" s="40"/>
      <c r="BT99" s="40"/>
      <c r="BU99" s="36" t="str">
        <f aca="false">IF(BT99="","",EDATE(BT99,SG_Criteria!$B$54*12))</f>
        <v/>
      </c>
      <c r="BV99" s="33" t="str">
        <f aca="true">IF(A99="","",IF(BT99="","NOTE: not reviewed yet",IF(TODAY()&gt;BU99,"NOTE: review overdue","OK")))</f>
        <v/>
      </c>
      <c r="BW99" s="37" t="str">
        <f aca="false">IF(A99="","",ROUND((IF(LEN(D99)&gt;0,1,0)+IF(LEN(E99)&gt;0,1,0)+IF(LEN(F99)&gt;0,1,0)+IF(LEN(G99)&gt;0,1,0)+IF(LEN(H99)&gt;0,1,0)+IF(LEN(I99)&gt;0,1,0)+IF(LEN(J99)&gt;0,1,0)+IF(LEN(L99)&gt;0,1,0)+IF(LEN(R99)&gt;0,1,0)+IF(LEN(Y99)&gt;0,1,0)+IF(LEN(AE99)&gt;0,1,0)+IF(LEN(AG99)&gt;0,1,0)+IF(LEN(AH99)&gt;0,1,0)+IF(LEN(AI99)&gt;0,1,0)+IF(LEN(AJ99)&gt;0,1,0)+IF(LEN(AS99)&gt;0,1,0)+IF(LEN(BE99)&gt;0,1,0)+IF(LEN(BR99)&gt;0,1,0))/18,2))</f>
        <v/>
      </c>
      <c r="BX99" s="10" t="str">
        <f aca="false">IF(D99="","",IF(AND(AH99="Approved",ISERROR(SEARCH("FAIL",BB99))),"Y","N"))</f>
        <v/>
      </c>
      <c r="BY99" s="10" t="str">
        <f aca="false">IF(D99="","",D99&amp;"|"&amp;H99&amp;"|"&amp;F99&amp;"|"&amp;I99&amp;"|"&amp;BX99)</f>
        <v/>
      </c>
    </row>
    <row r="100" customFormat="false" ht="15" hidden="false" customHeight="false" outlineLevel="0" collapsed="false">
      <c r="A100" s="10" t="str">
        <f aca="false">IF(D100="","","ERSS-"&amp;IFERROR(VLOOKUP(D100,Lists!$AK$4:$AL$21,2,0),"??")&amp;"-"&amp;TEXT(F100,"0000")&amp;"x"&amp;TEXT(G100,"0000")&amp;"-D"&amp;TEXT(H100*1000,"0000")&amp;"-"&amp;IFERROR(VLOOKUP(I100,Lists!$Y$4:$Z$21,2,0),"??")&amp;"-"&amp;AG100)</f>
        <v/>
      </c>
      <c r="B100" s="10" t="str">
        <f aca="false">IF(D100="","",D100&amp;" for "&amp;E100&amp;", "&amp;F100&amp;" x "&amp;G100&amp;" pit, "&amp;TEXT(H100,"0.0")&amp;" m deep, "&amp;I100)</f>
        <v/>
      </c>
      <c r="C100" s="9"/>
      <c r="D100" s="9"/>
      <c r="E100" s="9"/>
      <c r="F100" s="38"/>
      <c r="G100" s="38"/>
      <c r="H100" s="42"/>
      <c r="I100" s="9"/>
      <c r="J100" s="42"/>
      <c r="K100" s="38"/>
      <c r="L100" s="9"/>
      <c r="M100" s="42"/>
      <c r="N100" s="42"/>
      <c r="O100" s="38"/>
      <c r="P100" s="9"/>
      <c r="Q100" s="9"/>
      <c r="R100" s="39"/>
      <c r="S100" s="39"/>
      <c r="T100" s="38"/>
      <c r="U100" s="38"/>
      <c r="V100" s="38"/>
      <c r="W100" s="9"/>
      <c r="X100" s="9"/>
      <c r="Y100" s="38"/>
      <c r="Z100" s="9"/>
      <c r="AA100" s="9"/>
      <c r="AB100" s="38"/>
      <c r="AC100" s="9"/>
      <c r="AD100" s="39"/>
      <c r="AE100" s="9"/>
      <c r="AF100" s="9"/>
      <c r="AG100" s="9"/>
      <c r="AH100" s="9"/>
      <c r="AI100" s="9"/>
      <c r="AJ100" s="9"/>
      <c r="AK100" s="9"/>
      <c r="AL100" s="10" t="str">
        <f aca="false">IF(A100="","",SG_Criteria!$B$6&amp;SG_Criteria!$B$11&amp;"\"&amp;A100&amp;"\")</f>
        <v/>
      </c>
      <c r="AM100" s="10" t="str">
        <f aca="false">IF(A100="","",A100&amp;"_CAD.dwg")</f>
        <v/>
      </c>
      <c r="AN100" s="10" t="str">
        <f aca="false">IF(A100="","",A100&amp;"_DWG.pdf")</f>
        <v/>
      </c>
      <c r="AO100" s="10" t="str">
        <f aca="false">IF(A100="","",IF(AK100="Y",A100&amp;"_STAAD.std","n/a"))</f>
        <v/>
      </c>
      <c r="AP100" s="10" t="str">
        <f aca="false">IF(A100="","",A100&amp;"_CALC.xlsx")</f>
        <v/>
      </c>
      <c r="AQ100" s="10" t="str">
        <f aca="false">IF(A100="","",A100&amp;"_CALC.pdf")</f>
        <v/>
      </c>
      <c r="AR100" s="9"/>
      <c r="AS100" s="9"/>
      <c r="AT100" s="39"/>
      <c r="AU100" s="39"/>
      <c r="AV100" s="39"/>
      <c r="AW100" s="39"/>
      <c r="AX100" s="39"/>
      <c r="AY100" s="12" t="str">
        <f aca="false">IF(A100="","",IF(COUNTIF(Rebar_Schedule!$A$5:$A$2004,A100)=0,"",ROUND(SUMIF(Rebar_Schedule!$A$5:$A$2004,A100,Rebar_Schedule!$K$5:$K$2004),1)))</f>
        <v/>
      </c>
      <c r="AZ100" s="33" t="str">
        <f aca="false">IF(A100="","",IF(AY100="","No rebar schedule yet",IF(ABS(AY100-N(AU100))/MAX(N(AU100),1)&gt;SG_Criteria!$B$55,"NOTE: register rebar differs from schedule by "&amp;TEXT(ABS(AY100-N(AU100))/MAX(N(AU100),1),"0%"),"OK")))</f>
        <v/>
      </c>
      <c r="BA100" s="33" t="str">
        <f aca="false">IF(OR(D100="",H100=""),"",IF(H100&lt;=IF(OR(D100="Soldier Pile &amp; Timber Lagging",D100="Trench Shoring Box",D100="Open Cut (battered)"),SG_Criteria!$B$34,SG_Criteria!$B$33),"No ERSS submission",IF(H100&lt;=SG_Criteria!$B$35,"QP(ST)",IF(H100&lt;=SG_Criteria!$B$36,"QP(ST) + AC","Geotechnical building works: QP(Geo) + AC"))))</f>
        <v/>
      </c>
      <c r="BB100" s="33" t="str">
        <f aca="false">IF(D100="","",IF(LEN(IF(AND(R100&lt;&gt;"",R100&lt;SG_Criteria!$B$37),"FAIL: base stability FOS &lt; "&amp;SG_Criteria!$B$37&amp;". ","")&amp;IF(AND(E100="Manhole",H100&gt;SG_Criteria!$B$36),"NOTE: BCA lists sewer manholes (pipe &lt;= 2 m dia) &gt; 6 m as non-GBW: QP(ST) + AC. ","")&amp;IF(AND(D100="Trench Shoring Box",I100="Kallang Formation (marine clay)"),"NOTE: check base heave / ground loss for shoring box in marine clay. ","")&amp;IF(AND(D100="Steel Sheet Pile Cofferdam",N(N100)&lt;H100*0.5),"NOTE: short toe embedment, check. ",""))=0,"OK",IF(AND(R100&lt;&gt;"",R100&lt;SG_Criteria!$B$37),"FAIL: base stability FOS &lt; "&amp;SG_Criteria!$B$37&amp;". ","")&amp;IF(AND(E100="Manhole",H100&gt;SG_Criteria!$B$36),"NOTE: BCA lists sewer manholes (pipe &lt;= 2 m dia) &gt; 6 m as non-GBW: QP(ST) + AC. ","")&amp;IF(AND(D100="Trench Shoring Box",I100="Kallang Formation (marine clay)"),"NOTE: check base heave / ground loss for shoring box in marine clay. ","")&amp;IF(AND(D100="Steel Sheet Pile Cofferdam",N(N100)&lt;H100*0.5),"NOTE: short toe embedment, check. ","")))</f>
        <v/>
      </c>
      <c r="BC100" s="9"/>
      <c r="BD100" s="9"/>
      <c r="BE100" s="9"/>
      <c r="BF100" s="10" t="str">
        <f aca="false">IF(BE100="","",IFERROR(VLOOKUP(BE100,Projects!$A$5:$D$504,2,0),"Ref not in Projects"))</f>
        <v/>
      </c>
      <c r="BG100" s="10" t="str">
        <f aca="false">IF(BE100="","",IFERROR(VLOOKUP(BE100,Projects!$A$5:$D$504,4,0),"Ref not in Projects"))</f>
        <v/>
      </c>
      <c r="BH100" s="9"/>
      <c r="BI100" s="9"/>
      <c r="BJ100" s="9"/>
      <c r="BK100" s="40"/>
      <c r="BL100" s="9"/>
      <c r="BM100" s="40"/>
      <c r="BN100" s="9"/>
      <c r="BO100" s="40"/>
      <c r="BP100" s="9"/>
      <c r="BQ100" s="9"/>
      <c r="BR100" s="9"/>
      <c r="BS100" s="40"/>
      <c r="BT100" s="40"/>
      <c r="BU100" s="36" t="str">
        <f aca="false">IF(BT100="","",EDATE(BT100,SG_Criteria!$B$54*12))</f>
        <v/>
      </c>
      <c r="BV100" s="33" t="str">
        <f aca="true">IF(A100="","",IF(BT100="","NOTE: not reviewed yet",IF(TODAY()&gt;BU100,"NOTE: review overdue","OK")))</f>
        <v/>
      </c>
      <c r="BW100" s="37" t="str">
        <f aca="false">IF(A100="","",ROUND((IF(LEN(D100)&gt;0,1,0)+IF(LEN(E100)&gt;0,1,0)+IF(LEN(F100)&gt;0,1,0)+IF(LEN(G100)&gt;0,1,0)+IF(LEN(H100)&gt;0,1,0)+IF(LEN(I100)&gt;0,1,0)+IF(LEN(J100)&gt;0,1,0)+IF(LEN(L100)&gt;0,1,0)+IF(LEN(R100)&gt;0,1,0)+IF(LEN(Y100)&gt;0,1,0)+IF(LEN(AE100)&gt;0,1,0)+IF(LEN(AG100)&gt;0,1,0)+IF(LEN(AH100)&gt;0,1,0)+IF(LEN(AI100)&gt;0,1,0)+IF(LEN(AJ100)&gt;0,1,0)+IF(LEN(AS100)&gt;0,1,0)+IF(LEN(BE100)&gt;0,1,0)+IF(LEN(BR100)&gt;0,1,0))/18,2))</f>
        <v/>
      </c>
      <c r="BX100" s="10" t="str">
        <f aca="false">IF(D100="","",IF(AND(AH100="Approved",ISERROR(SEARCH("FAIL",BB100))),"Y","N"))</f>
        <v/>
      </c>
      <c r="BY100" s="10" t="str">
        <f aca="false">IF(D100="","",D100&amp;"|"&amp;H100&amp;"|"&amp;F100&amp;"|"&amp;I100&amp;"|"&amp;BX100)</f>
        <v/>
      </c>
    </row>
    <row r="101" customFormat="false" ht="15" hidden="false" customHeight="false" outlineLevel="0" collapsed="false">
      <c r="A101" s="10" t="str">
        <f aca="false">IF(D101="","","ERSS-"&amp;IFERROR(VLOOKUP(D101,Lists!$AK$4:$AL$21,2,0),"??")&amp;"-"&amp;TEXT(F101,"0000")&amp;"x"&amp;TEXT(G101,"0000")&amp;"-D"&amp;TEXT(H101*1000,"0000")&amp;"-"&amp;IFERROR(VLOOKUP(I101,Lists!$Y$4:$Z$21,2,0),"??")&amp;"-"&amp;AG101)</f>
        <v/>
      </c>
      <c r="B101" s="10" t="str">
        <f aca="false">IF(D101="","",D101&amp;" for "&amp;E101&amp;", "&amp;F101&amp;" x "&amp;G101&amp;" pit, "&amp;TEXT(H101,"0.0")&amp;" m deep, "&amp;I101)</f>
        <v/>
      </c>
      <c r="C101" s="9"/>
      <c r="D101" s="9"/>
      <c r="E101" s="9"/>
      <c r="F101" s="38"/>
      <c r="G101" s="38"/>
      <c r="H101" s="42"/>
      <c r="I101" s="9"/>
      <c r="J101" s="42"/>
      <c r="K101" s="38"/>
      <c r="L101" s="9"/>
      <c r="M101" s="42"/>
      <c r="N101" s="42"/>
      <c r="O101" s="38"/>
      <c r="P101" s="9"/>
      <c r="Q101" s="9"/>
      <c r="R101" s="39"/>
      <c r="S101" s="39"/>
      <c r="T101" s="38"/>
      <c r="U101" s="38"/>
      <c r="V101" s="38"/>
      <c r="W101" s="9"/>
      <c r="X101" s="9"/>
      <c r="Y101" s="38"/>
      <c r="Z101" s="9"/>
      <c r="AA101" s="9"/>
      <c r="AB101" s="38"/>
      <c r="AC101" s="9"/>
      <c r="AD101" s="39"/>
      <c r="AE101" s="9"/>
      <c r="AF101" s="9"/>
      <c r="AG101" s="9"/>
      <c r="AH101" s="9"/>
      <c r="AI101" s="9"/>
      <c r="AJ101" s="9"/>
      <c r="AK101" s="9"/>
      <c r="AL101" s="10" t="str">
        <f aca="false">IF(A101="","",SG_Criteria!$B$6&amp;SG_Criteria!$B$11&amp;"\"&amp;A101&amp;"\")</f>
        <v/>
      </c>
      <c r="AM101" s="10" t="str">
        <f aca="false">IF(A101="","",A101&amp;"_CAD.dwg")</f>
        <v/>
      </c>
      <c r="AN101" s="10" t="str">
        <f aca="false">IF(A101="","",A101&amp;"_DWG.pdf")</f>
        <v/>
      </c>
      <c r="AO101" s="10" t="str">
        <f aca="false">IF(A101="","",IF(AK101="Y",A101&amp;"_STAAD.std","n/a"))</f>
        <v/>
      </c>
      <c r="AP101" s="10" t="str">
        <f aca="false">IF(A101="","",A101&amp;"_CALC.xlsx")</f>
        <v/>
      </c>
      <c r="AQ101" s="10" t="str">
        <f aca="false">IF(A101="","",A101&amp;"_CALC.pdf")</f>
        <v/>
      </c>
      <c r="AR101" s="9"/>
      <c r="AS101" s="9"/>
      <c r="AT101" s="39"/>
      <c r="AU101" s="39"/>
      <c r="AV101" s="39"/>
      <c r="AW101" s="39"/>
      <c r="AX101" s="39"/>
      <c r="AY101" s="12" t="str">
        <f aca="false">IF(A101="","",IF(COUNTIF(Rebar_Schedule!$A$5:$A$2004,A101)=0,"",ROUND(SUMIF(Rebar_Schedule!$A$5:$A$2004,A101,Rebar_Schedule!$K$5:$K$2004),1)))</f>
        <v/>
      </c>
      <c r="AZ101" s="33" t="str">
        <f aca="false">IF(A101="","",IF(AY101="","No rebar schedule yet",IF(ABS(AY101-N(AU101))/MAX(N(AU101),1)&gt;SG_Criteria!$B$55,"NOTE: register rebar differs from schedule by "&amp;TEXT(ABS(AY101-N(AU101))/MAX(N(AU101),1),"0%"),"OK")))</f>
        <v/>
      </c>
      <c r="BA101" s="33" t="str">
        <f aca="false">IF(OR(D101="",H101=""),"",IF(H101&lt;=IF(OR(D101="Soldier Pile &amp; Timber Lagging",D101="Trench Shoring Box",D101="Open Cut (battered)"),SG_Criteria!$B$34,SG_Criteria!$B$33),"No ERSS submission",IF(H101&lt;=SG_Criteria!$B$35,"QP(ST)",IF(H101&lt;=SG_Criteria!$B$36,"QP(ST) + AC","Geotechnical building works: QP(Geo) + AC"))))</f>
        <v/>
      </c>
      <c r="BB101" s="33" t="str">
        <f aca="false">IF(D101="","",IF(LEN(IF(AND(R101&lt;&gt;"",R101&lt;SG_Criteria!$B$37),"FAIL: base stability FOS &lt; "&amp;SG_Criteria!$B$37&amp;". ","")&amp;IF(AND(E101="Manhole",H101&gt;SG_Criteria!$B$36),"NOTE: BCA lists sewer manholes (pipe &lt;= 2 m dia) &gt; 6 m as non-GBW: QP(ST) + AC. ","")&amp;IF(AND(D101="Trench Shoring Box",I101="Kallang Formation (marine clay)"),"NOTE: check base heave / ground loss for shoring box in marine clay. ","")&amp;IF(AND(D101="Steel Sheet Pile Cofferdam",N(N101)&lt;H101*0.5),"NOTE: short toe embedment, check. ",""))=0,"OK",IF(AND(R101&lt;&gt;"",R101&lt;SG_Criteria!$B$37),"FAIL: base stability FOS &lt; "&amp;SG_Criteria!$B$37&amp;". ","")&amp;IF(AND(E101="Manhole",H101&gt;SG_Criteria!$B$36),"NOTE: BCA lists sewer manholes (pipe &lt;= 2 m dia) &gt; 6 m as non-GBW: QP(ST) + AC. ","")&amp;IF(AND(D101="Trench Shoring Box",I101="Kallang Formation (marine clay)"),"NOTE: check base heave / ground loss for shoring box in marine clay. ","")&amp;IF(AND(D101="Steel Sheet Pile Cofferdam",N(N101)&lt;H101*0.5),"NOTE: short toe embedment, check. ","")))</f>
        <v/>
      </c>
      <c r="BC101" s="9"/>
      <c r="BD101" s="9"/>
      <c r="BE101" s="9"/>
      <c r="BF101" s="10" t="str">
        <f aca="false">IF(BE101="","",IFERROR(VLOOKUP(BE101,Projects!$A$5:$D$504,2,0),"Ref not in Projects"))</f>
        <v/>
      </c>
      <c r="BG101" s="10" t="str">
        <f aca="false">IF(BE101="","",IFERROR(VLOOKUP(BE101,Projects!$A$5:$D$504,4,0),"Ref not in Projects"))</f>
        <v/>
      </c>
      <c r="BH101" s="9"/>
      <c r="BI101" s="9"/>
      <c r="BJ101" s="9"/>
      <c r="BK101" s="40"/>
      <c r="BL101" s="9"/>
      <c r="BM101" s="40"/>
      <c r="BN101" s="9"/>
      <c r="BO101" s="40"/>
      <c r="BP101" s="9"/>
      <c r="BQ101" s="9"/>
      <c r="BR101" s="9"/>
      <c r="BS101" s="40"/>
      <c r="BT101" s="40"/>
      <c r="BU101" s="36" t="str">
        <f aca="false">IF(BT101="","",EDATE(BT101,SG_Criteria!$B$54*12))</f>
        <v/>
      </c>
      <c r="BV101" s="33" t="str">
        <f aca="true">IF(A101="","",IF(BT101="","NOTE: not reviewed yet",IF(TODAY()&gt;BU101,"NOTE: review overdue","OK")))</f>
        <v/>
      </c>
      <c r="BW101" s="37" t="str">
        <f aca="false">IF(A101="","",ROUND((IF(LEN(D101)&gt;0,1,0)+IF(LEN(E101)&gt;0,1,0)+IF(LEN(F101)&gt;0,1,0)+IF(LEN(G101)&gt;0,1,0)+IF(LEN(H101)&gt;0,1,0)+IF(LEN(I101)&gt;0,1,0)+IF(LEN(J101)&gt;0,1,0)+IF(LEN(L101)&gt;0,1,0)+IF(LEN(R101)&gt;0,1,0)+IF(LEN(Y101)&gt;0,1,0)+IF(LEN(AE101)&gt;0,1,0)+IF(LEN(AG101)&gt;0,1,0)+IF(LEN(AH101)&gt;0,1,0)+IF(LEN(AI101)&gt;0,1,0)+IF(LEN(AJ101)&gt;0,1,0)+IF(LEN(AS101)&gt;0,1,0)+IF(LEN(BE101)&gt;0,1,0)+IF(LEN(BR101)&gt;0,1,0))/18,2))</f>
        <v/>
      </c>
      <c r="BX101" s="10" t="str">
        <f aca="false">IF(D101="","",IF(AND(AH101="Approved",ISERROR(SEARCH("FAIL",BB101))),"Y","N"))</f>
        <v/>
      </c>
      <c r="BY101" s="10" t="str">
        <f aca="false">IF(D101="","",D101&amp;"|"&amp;H101&amp;"|"&amp;F101&amp;"|"&amp;I101&amp;"|"&amp;BX101)</f>
        <v/>
      </c>
    </row>
    <row r="102" customFormat="false" ht="15" hidden="false" customHeight="false" outlineLevel="0" collapsed="false">
      <c r="A102" s="10" t="str">
        <f aca="false">IF(D102="","","ERSS-"&amp;IFERROR(VLOOKUP(D102,Lists!$AK$4:$AL$21,2,0),"??")&amp;"-"&amp;TEXT(F102,"0000")&amp;"x"&amp;TEXT(G102,"0000")&amp;"-D"&amp;TEXT(H102*1000,"0000")&amp;"-"&amp;IFERROR(VLOOKUP(I102,Lists!$Y$4:$Z$21,2,0),"??")&amp;"-"&amp;AG102)</f>
        <v/>
      </c>
      <c r="B102" s="10" t="str">
        <f aca="false">IF(D102="","",D102&amp;" for "&amp;E102&amp;", "&amp;F102&amp;" x "&amp;G102&amp;" pit, "&amp;TEXT(H102,"0.0")&amp;" m deep, "&amp;I102)</f>
        <v/>
      </c>
      <c r="C102" s="9"/>
      <c r="D102" s="9"/>
      <c r="E102" s="9"/>
      <c r="F102" s="38"/>
      <c r="G102" s="38"/>
      <c r="H102" s="42"/>
      <c r="I102" s="9"/>
      <c r="J102" s="42"/>
      <c r="K102" s="38"/>
      <c r="L102" s="9"/>
      <c r="M102" s="42"/>
      <c r="N102" s="42"/>
      <c r="O102" s="38"/>
      <c r="P102" s="9"/>
      <c r="Q102" s="9"/>
      <c r="R102" s="39"/>
      <c r="S102" s="39"/>
      <c r="T102" s="38"/>
      <c r="U102" s="38"/>
      <c r="V102" s="38"/>
      <c r="W102" s="9"/>
      <c r="X102" s="9"/>
      <c r="Y102" s="38"/>
      <c r="Z102" s="9"/>
      <c r="AA102" s="9"/>
      <c r="AB102" s="38"/>
      <c r="AC102" s="9"/>
      <c r="AD102" s="39"/>
      <c r="AE102" s="9"/>
      <c r="AF102" s="9"/>
      <c r="AG102" s="9"/>
      <c r="AH102" s="9"/>
      <c r="AI102" s="9"/>
      <c r="AJ102" s="9"/>
      <c r="AK102" s="9"/>
      <c r="AL102" s="10" t="str">
        <f aca="false">IF(A102="","",SG_Criteria!$B$6&amp;SG_Criteria!$B$11&amp;"\"&amp;A102&amp;"\")</f>
        <v/>
      </c>
      <c r="AM102" s="10" t="str">
        <f aca="false">IF(A102="","",A102&amp;"_CAD.dwg")</f>
        <v/>
      </c>
      <c r="AN102" s="10" t="str">
        <f aca="false">IF(A102="","",A102&amp;"_DWG.pdf")</f>
        <v/>
      </c>
      <c r="AO102" s="10" t="str">
        <f aca="false">IF(A102="","",IF(AK102="Y",A102&amp;"_STAAD.std","n/a"))</f>
        <v/>
      </c>
      <c r="AP102" s="10" t="str">
        <f aca="false">IF(A102="","",A102&amp;"_CALC.xlsx")</f>
        <v/>
      </c>
      <c r="AQ102" s="10" t="str">
        <f aca="false">IF(A102="","",A102&amp;"_CALC.pdf")</f>
        <v/>
      </c>
      <c r="AR102" s="9"/>
      <c r="AS102" s="9"/>
      <c r="AT102" s="39"/>
      <c r="AU102" s="39"/>
      <c r="AV102" s="39"/>
      <c r="AW102" s="39"/>
      <c r="AX102" s="39"/>
      <c r="AY102" s="12" t="str">
        <f aca="false">IF(A102="","",IF(COUNTIF(Rebar_Schedule!$A$5:$A$2004,A102)=0,"",ROUND(SUMIF(Rebar_Schedule!$A$5:$A$2004,A102,Rebar_Schedule!$K$5:$K$2004),1)))</f>
        <v/>
      </c>
      <c r="AZ102" s="33" t="str">
        <f aca="false">IF(A102="","",IF(AY102="","No rebar schedule yet",IF(ABS(AY102-N(AU102))/MAX(N(AU102),1)&gt;SG_Criteria!$B$55,"NOTE: register rebar differs from schedule by "&amp;TEXT(ABS(AY102-N(AU102))/MAX(N(AU102),1),"0%"),"OK")))</f>
        <v/>
      </c>
      <c r="BA102" s="33" t="str">
        <f aca="false">IF(OR(D102="",H102=""),"",IF(H102&lt;=IF(OR(D102="Soldier Pile &amp; Timber Lagging",D102="Trench Shoring Box",D102="Open Cut (battered)"),SG_Criteria!$B$34,SG_Criteria!$B$33),"No ERSS submission",IF(H102&lt;=SG_Criteria!$B$35,"QP(ST)",IF(H102&lt;=SG_Criteria!$B$36,"QP(ST) + AC","Geotechnical building works: QP(Geo) + AC"))))</f>
        <v/>
      </c>
      <c r="BB102" s="33" t="str">
        <f aca="false">IF(D102="","",IF(LEN(IF(AND(R102&lt;&gt;"",R102&lt;SG_Criteria!$B$37),"FAIL: base stability FOS &lt; "&amp;SG_Criteria!$B$37&amp;". ","")&amp;IF(AND(E102="Manhole",H102&gt;SG_Criteria!$B$36),"NOTE: BCA lists sewer manholes (pipe &lt;= 2 m dia) &gt; 6 m as non-GBW: QP(ST) + AC. ","")&amp;IF(AND(D102="Trench Shoring Box",I102="Kallang Formation (marine clay)"),"NOTE: check base heave / ground loss for shoring box in marine clay. ","")&amp;IF(AND(D102="Steel Sheet Pile Cofferdam",N(N102)&lt;H102*0.5),"NOTE: short toe embedment, check. ",""))=0,"OK",IF(AND(R102&lt;&gt;"",R102&lt;SG_Criteria!$B$37),"FAIL: base stability FOS &lt; "&amp;SG_Criteria!$B$37&amp;". ","")&amp;IF(AND(E102="Manhole",H102&gt;SG_Criteria!$B$36),"NOTE: BCA lists sewer manholes (pipe &lt;= 2 m dia) &gt; 6 m as non-GBW: QP(ST) + AC. ","")&amp;IF(AND(D102="Trench Shoring Box",I102="Kallang Formation (marine clay)"),"NOTE: check base heave / ground loss for shoring box in marine clay. ","")&amp;IF(AND(D102="Steel Sheet Pile Cofferdam",N(N102)&lt;H102*0.5),"NOTE: short toe embedment, check. ","")))</f>
        <v/>
      </c>
      <c r="BC102" s="9"/>
      <c r="BD102" s="9"/>
      <c r="BE102" s="9"/>
      <c r="BF102" s="10" t="str">
        <f aca="false">IF(BE102="","",IFERROR(VLOOKUP(BE102,Projects!$A$5:$D$504,2,0),"Ref not in Projects"))</f>
        <v/>
      </c>
      <c r="BG102" s="10" t="str">
        <f aca="false">IF(BE102="","",IFERROR(VLOOKUP(BE102,Projects!$A$5:$D$504,4,0),"Ref not in Projects"))</f>
        <v/>
      </c>
      <c r="BH102" s="9"/>
      <c r="BI102" s="9"/>
      <c r="BJ102" s="9"/>
      <c r="BK102" s="40"/>
      <c r="BL102" s="9"/>
      <c r="BM102" s="40"/>
      <c r="BN102" s="9"/>
      <c r="BO102" s="40"/>
      <c r="BP102" s="9"/>
      <c r="BQ102" s="9"/>
      <c r="BR102" s="9"/>
      <c r="BS102" s="40"/>
      <c r="BT102" s="40"/>
      <c r="BU102" s="36" t="str">
        <f aca="false">IF(BT102="","",EDATE(BT102,SG_Criteria!$B$54*12))</f>
        <v/>
      </c>
      <c r="BV102" s="33" t="str">
        <f aca="true">IF(A102="","",IF(BT102="","NOTE: not reviewed yet",IF(TODAY()&gt;BU102,"NOTE: review overdue","OK")))</f>
        <v/>
      </c>
      <c r="BW102" s="37" t="str">
        <f aca="false">IF(A102="","",ROUND((IF(LEN(D102)&gt;0,1,0)+IF(LEN(E102)&gt;0,1,0)+IF(LEN(F102)&gt;0,1,0)+IF(LEN(G102)&gt;0,1,0)+IF(LEN(H102)&gt;0,1,0)+IF(LEN(I102)&gt;0,1,0)+IF(LEN(J102)&gt;0,1,0)+IF(LEN(L102)&gt;0,1,0)+IF(LEN(R102)&gt;0,1,0)+IF(LEN(Y102)&gt;0,1,0)+IF(LEN(AE102)&gt;0,1,0)+IF(LEN(AG102)&gt;0,1,0)+IF(LEN(AH102)&gt;0,1,0)+IF(LEN(AI102)&gt;0,1,0)+IF(LEN(AJ102)&gt;0,1,0)+IF(LEN(AS102)&gt;0,1,0)+IF(LEN(BE102)&gt;0,1,0)+IF(LEN(BR102)&gt;0,1,0))/18,2))</f>
        <v/>
      </c>
      <c r="BX102" s="10" t="str">
        <f aca="false">IF(D102="","",IF(AND(AH102="Approved",ISERROR(SEARCH("FAIL",BB102))),"Y","N"))</f>
        <v/>
      </c>
      <c r="BY102" s="10" t="str">
        <f aca="false">IF(D102="","",D102&amp;"|"&amp;H102&amp;"|"&amp;F102&amp;"|"&amp;I102&amp;"|"&amp;BX102)</f>
        <v/>
      </c>
    </row>
    <row r="103" customFormat="false" ht="15" hidden="false" customHeight="false" outlineLevel="0" collapsed="false">
      <c r="A103" s="10" t="str">
        <f aca="false">IF(D103="","","ERSS-"&amp;IFERROR(VLOOKUP(D103,Lists!$AK$4:$AL$21,2,0),"??")&amp;"-"&amp;TEXT(F103,"0000")&amp;"x"&amp;TEXT(G103,"0000")&amp;"-D"&amp;TEXT(H103*1000,"0000")&amp;"-"&amp;IFERROR(VLOOKUP(I103,Lists!$Y$4:$Z$21,2,0),"??")&amp;"-"&amp;AG103)</f>
        <v/>
      </c>
      <c r="B103" s="10" t="str">
        <f aca="false">IF(D103="","",D103&amp;" for "&amp;E103&amp;", "&amp;F103&amp;" x "&amp;G103&amp;" pit, "&amp;TEXT(H103,"0.0")&amp;" m deep, "&amp;I103)</f>
        <v/>
      </c>
      <c r="C103" s="9"/>
      <c r="D103" s="9"/>
      <c r="E103" s="9"/>
      <c r="F103" s="38"/>
      <c r="G103" s="38"/>
      <c r="H103" s="42"/>
      <c r="I103" s="9"/>
      <c r="J103" s="42"/>
      <c r="K103" s="38"/>
      <c r="L103" s="9"/>
      <c r="M103" s="42"/>
      <c r="N103" s="42"/>
      <c r="O103" s="38"/>
      <c r="P103" s="9"/>
      <c r="Q103" s="9"/>
      <c r="R103" s="39"/>
      <c r="S103" s="39"/>
      <c r="T103" s="38"/>
      <c r="U103" s="38"/>
      <c r="V103" s="38"/>
      <c r="W103" s="9"/>
      <c r="X103" s="9"/>
      <c r="Y103" s="38"/>
      <c r="Z103" s="9"/>
      <c r="AA103" s="9"/>
      <c r="AB103" s="38"/>
      <c r="AC103" s="9"/>
      <c r="AD103" s="39"/>
      <c r="AE103" s="9"/>
      <c r="AF103" s="9"/>
      <c r="AG103" s="9"/>
      <c r="AH103" s="9"/>
      <c r="AI103" s="9"/>
      <c r="AJ103" s="9"/>
      <c r="AK103" s="9"/>
      <c r="AL103" s="10" t="str">
        <f aca="false">IF(A103="","",SG_Criteria!$B$6&amp;SG_Criteria!$B$11&amp;"\"&amp;A103&amp;"\")</f>
        <v/>
      </c>
      <c r="AM103" s="10" t="str">
        <f aca="false">IF(A103="","",A103&amp;"_CAD.dwg")</f>
        <v/>
      </c>
      <c r="AN103" s="10" t="str">
        <f aca="false">IF(A103="","",A103&amp;"_DWG.pdf")</f>
        <v/>
      </c>
      <c r="AO103" s="10" t="str">
        <f aca="false">IF(A103="","",IF(AK103="Y",A103&amp;"_STAAD.std","n/a"))</f>
        <v/>
      </c>
      <c r="AP103" s="10" t="str">
        <f aca="false">IF(A103="","",A103&amp;"_CALC.xlsx")</f>
        <v/>
      </c>
      <c r="AQ103" s="10" t="str">
        <f aca="false">IF(A103="","",A103&amp;"_CALC.pdf")</f>
        <v/>
      </c>
      <c r="AR103" s="9"/>
      <c r="AS103" s="9"/>
      <c r="AT103" s="39"/>
      <c r="AU103" s="39"/>
      <c r="AV103" s="39"/>
      <c r="AW103" s="39"/>
      <c r="AX103" s="39"/>
      <c r="AY103" s="12" t="str">
        <f aca="false">IF(A103="","",IF(COUNTIF(Rebar_Schedule!$A$5:$A$2004,A103)=0,"",ROUND(SUMIF(Rebar_Schedule!$A$5:$A$2004,A103,Rebar_Schedule!$K$5:$K$2004),1)))</f>
        <v/>
      </c>
      <c r="AZ103" s="33" t="str">
        <f aca="false">IF(A103="","",IF(AY103="","No rebar schedule yet",IF(ABS(AY103-N(AU103))/MAX(N(AU103),1)&gt;SG_Criteria!$B$55,"NOTE: register rebar differs from schedule by "&amp;TEXT(ABS(AY103-N(AU103))/MAX(N(AU103),1),"0%"),"OK")))</f>
        <v/>
      </c>
      <c r="BA103" s="33" t="str">
        <f aca="false">IF(OR(D103="",H103=""),"",IF(H103&lt;=IF(OR(D103="Soldier Pile &amp; Timber Lagging",D103="Trench Shoring Box",D103="Open Cut (battered)"),SG_Criteria!$B$34,SG_Criteria!$B$33),"No ERSS submission",IF(H103&lt;=SG_Criteria!$B$35,"QP(ST)",IF(H103&lt;=SG_Criteria!$B$36,"QP(ST) + AC","Geotechnical building works: QP(Geo) + AC"))))</f>
        <v/>
      </c>
      <c r="BB103" s="33" t="str">
        <f aca="false">IF(D103="","",IF(LEN(IF(AND(R103&lt;&gt;"",R103&lt;SG_Criteria!$B$37),"FAIL: base stability FOS &lt; "&amp;SG_Criteria!$B$37&amp;". ","")&amp;IF(AND(E103="Manhole",H103&gt;SG_Criteria!$B$36),"NOTE: BCA lists sewer manholes (pipe &lt;= 2 m dia) &gt; 6 m as non-GBW: QP(ST) + AC. ","")&amp;IF(AND(D103="Trench Shoring Box",I103="Kallang Formation (marine clay)"),"NOTE: check base heave / ground loss for shoring box in marine clay. ","")&amp;IF(AND(D103="Steel Sheet Pile Cofferdam",N(N103)&lt;H103*0.5),"NOTE: short toe embedment, check. ",""))=0,"OK",IF(AND(R103&lt;&gt;"",R103&lt;SG_Criteria!$B$37),"FAIL: base stability FOS &lt; "&amp;SG_Criteria!$B$37&amp;". ","")&amp;IF(AND(E103="Manhole",H103&gt;SG_Criteria!$B$36),"NOTE: BCA lists sewer manholes (pipe &lt;= 2 m dia) &gt; 6 m as non-GBW: QP(ST) + AC. ","")&amp;IF(AND(D103="Trench Shoring Box",I103="Kallang Formation (marine clay)"),"NOTE: check base heave / ground loss for shoring box in marine clay. ","")&amp;IF(AND(D103="Steel Sheet Pile Cofferdam",N(N103)&lt;H103*0.5),"NOTE: short toe embedment, check. ","")))</f>
        <v/>
      </c>
      <c r="BC103" s="9"/>
      <c r="BD103" s="9"/>
      <c r="BE103" s="9"/>
      <c r="BF103" s="10" t="str">
        <f aca="false">IF(BE103="","",IFERROR(VLOOKUP(BE103,Projects!$A$5:$D$504,2,0),"Ref not in Projects"))</f>
        <v/>
      </c>
      <c r="BG103" s="10" t="str">
        <f aca="false">IF(BE103="","",IFERROR(VLOOKUP(BE103,Projects!$A$5:$D$504,4,0),"Ref not in Projects"))</f>
        <v/>
      </c>
      <c r="BH103" s="9"/>
      <c r="BI103" s="9"/>
      <c r="BJ103" s="9"/>
      <c r="BK103" s="40"/>
      <c r="BL103" s="9"/>
      <c r="BM103" s="40"/>
      <c r="BN103" s="9"/>
      <c r="BO103" s="40"/>
      <c r="BP103" s="9"/>
      <c r="BQ103" s="9"/>
      <c r="BR103" s="9"/>
      <c r="BS103" s="40"/>
      <c r="BT103" s="40"/>
      <c r="BU103" s="36" t="str">
        <f aca="false">IF(BT103="","",EDATE(BT103,SG_Criteria!$B$54*12))</f>
        <v/>
      </c>
      <c r="BV103" s="33" t="str">
        <f aca="true">IF(A103="","",IF(BT103="","NOTE: not reviewed yet",IF(TODAY()&gt;BU103,"NOTE: review overdue","OK")))</f>
        <v/>
      </c>
      <c r="BW103" s="37" t="str">
        <f aca="false">IF(A103="","",ROUND((IF(LEN(D103)&gt;0,1,0)+IF(LEN(E103)&gt;0,1,0)+IF(LEN(F103)&gt;0,1,0)+IF(LEN(G103)&gt;0,1,0)+IF(LEN(H103)&gt;0,1,0)+IF(LEN(I103)&gt;0,1,0)+IF(LEN(J103)&gt;0,1,0)+IF(LEN(L103)&gt;0,1,0)+IF(LEN(R103)&gt;0,1,0)+IF(LEN(Y103)&gt;0,1,0)+IF(LEN(AE103)&gt;0,1,0)+IF(LEN(AG103)&gt;0,1,0)+IF(LEN(AH103)&gt;0,1,0)+IF(LEN(AI103)&gt;0,1,0)+IF(LEN(AJ103)&gt;0,1,0)+IF(LEN(AS103)&gt;0,1,0)+IF(LEN(BE103)&gt;0,1,0)+IF(LEN(BR103)&gt;0,1,0))/18,2))</f>
        <v/>
      </c>
      <c r="BX103" s="10" t="str">
        <f aca="false">IF(D103="","",IF(AND(AH103="Approved",ISERROR(SEARCH("FAIL",BB103))),"Y","N"))</f>
        <v/>
      </c>
      <c r="BY103" s="10" t="str">
        <f aca="false">IF(D103="","",D103&amp;"|"&amp;H103&amp;"|"&amp;F103&amp;"|"&amp;I103&amp;"|"&amp;BX103)</f>
        <v/>
      </c>
    </row>
    <row r="104" customFormat="false" ht="15" hidden="false" customHeight="false" outlineLevel="0" collapsed="false">
      <c r="A104" s="10" t="str">
        <f aca="false">IF(D104="","","ERSS-"&amp;IFERROR(VLOOKUP(D104,Lists!$AK$4:$AL$21,2,0),"??")&amp;"-"&amp;TEXT(F104,"0000")&amp;"x"&amp;TEXT(G104,"0000")&amp;"-D"&amp;TEXT(H104*1000,"0000")&amp;"-"&amp;IFERROR(VLOOKUP(I104,Lists!$Y$4:$Z$21,2,0),"??")&amp;"-"&amp;AG104)</f>
        <v/>
      </c>
      <c r="B104" s="10" t="str">
        <f aca="false">IF(D104="","",D104&amp;" for "&amp;E104&amp;", "&amp;F104&amp;" x "&amp;G104&amp;" pit, "&amp;TEXT(H104,"0.0")&amp;" m deep, "&amp;I104)</f>
        <v/>
      </c>
      <c r="C104" s="9"/>
      <c r="D104" s="9"/>
      <c r="E104" s="9"/>
      <c r="F104" s="38"/>
      <c r="G104" s="38"/>
      <c r="H104" s="42"/>
      <c r="I104" s="9"/>
      <c r="J104" s="42"/>
      <c r="K104" s="38"/>
      <c r="L104" s="9"/>
      <c r="M104" s="42"/>
      <c r="N104" s="42"/>
      <c r="O104" s="38"/>
      <c r="P104" s="9"/>
      <c r="Q104" s="9"/>
      <c r="R104" s="39"/>
      <c r="S104" s="39"/>
      <c r="T104" s="38"/>
      <c r="U104" s="38"/>
      <c r="V104" s="38"/>
      <c r="W104" s="9"/>
      <c r="X104" s="9"/>
      <c r="Y104" s="38"/>
      <c r="Z104" s="9"/>
      <c r="AA104" s="9"/>
      <c r="AB104" s="38"/>
      <c r="AC104" s="9"/>
      <c r="AD104" s="39"/>
      <c r="AE104" s="9"/>
      <c r="AF104" s="9"/>
      <c r="AG104" s="9"/>
      <c r="AH104" s="9"/>
      <c r="AI104" s="9"/>
      <c r="AJ104" s="9"/>
      <c r="AK104" s="9"/>
      <c r="AL104" s="10" t="str">
        <f aca="false">IF(A104="","",SG_Criteria!$B$6&amp;SG_Criteria!$B$11&amp;"\"&amp;A104&amp;"\")</f>
        <v/>
      </c>
      <c r="AM104" s="10" t="str">
        <f aca="false">IF(A104="","",A104&amp;"_CAD.dwg")</f>
        <v/>
      </c>
      <c r="AN104" s="10" t="str">
        <f aca="false">IF(A104="","",A104&amp;"_DWG.pdf")</f>
        <v/>
      </c>
      <c r="AO104" s="10" t="str">
        <f aca="false">IF(A104="","",IF(AK104="Y",A104&amp;"_STAAD.std","n/a"))</f>
        <v/>
      </c>
      <c r="AP104" s="10" t="str">
        <f aca="false">IF(A104="","",A104&amp;"_CALC.xlsx")</f>
        <v/>
      </c>
      <c r="AQ104" s="10" t="str">
        <f aca="false">IF(A104="","",A104&amp;"_CALC.pdf")</f>
        <v/>
      </c>
      <c r="AR104" s="9"/>
      <c r="AS104" s="9"/>
      <c r="AT104" s="39"/>
      <c r="AU104" s="39"/>
      <c r="AV104" s="39"/>
      <c r="AW104" s="39"/>
      <c r="AX104" s="39"/>
      <c r="AY104" s="12" t="str">
        <f aca="false">IF(A104="","",IF(COUNTIF(Rebar_Schedule!$A$5:$A$2004,A104)=0,"",ROUND(SUMIF(Rebar_Schedule!$A$5:$A$2004,A104,Rebar_Schedule!$K$5:$K$2004),1)))</f>
        <v/>
      </c>
      <c r="AZ104" s="33" t="str">
        <f aca="false">IF(A104="","",IF(AY104="","No rebar schedule yet",IF(ABS(AY104-N(AU104))/MAX(N(AU104),1)&gt;SG_Criteria!$B$55,"NOTE: register rebar differs from schedule by "&amp;TEXT(ABS(AY104-N(AU104))/MAX(N(AU104),1),"0%"),"OK")))</f>
        <v/>
      </c>
      <c r="BA104" s="33" t="str">
        <f aca="false">IF(OR(D104="",H104=""),"",IF(H104&lt;=IF(OR(D104="Soldier Pile &amp; Timber Lagging",D104="Trench Shoring Box",D104="Open Cut (battered)"),SG_Criteria!$B$34,SG_Criteria!$B$33),"No ERSS submission",IF(H104&lt;=SG_Criteria!$B$35,"QP(ST)",IF(H104&lt;=SG_Criteria!$B$36,"QP(ST) + AC","Geotechnical building works: QP(Geo) + AC"))))</f>
        <v/>
      </c>
      <c r="BB104" s="33" t="str">
        <f aca="false">IF(D104="","",IF(LEN(IF(AND(R104&lt;&gt;"",R104&lt;SG_Criteria!$B$37),"FAIL: base stability FOS &lt; "&amp;SG_Criteria!$B$37&amp;". ","")&amp;IF(AND(E104="Manhole",H104&gt;SG_Criteria!$B$36),"NOTE: BCA lists sewer manholes (pipe &lt;= 2 m dia) &gt; 6 m as non-GBW: QP(ST) + AC. ","")&amp;IF(AND(D104="Trench Shoring Box",I104="Kallang Formation (marine clay)"),"NOTE: check base heave / ground loss for shoring box in marine clay. ","")&amp;IF(AND(D104="Steel Sheet Pile Cofferdam",N(N104)&lt;H104*0.5),"NOTE: short toe embedment, check. ",""))=0,"OK",IF(AND(R104&lt;&gt;"",R104&lt;SG_Criteria!$B$37),"FAIL: base stability FOS &lt; "&amp;SG_Criteria!$B$37&amp;". ","")&amp;IF(AND(E104="Manhole",H104&gt;SG_Criteria!$B$36),"NOTE: BCA lists sewer manholes (pipe &lt;= 2 m dia) &gt; 6 m as non-GBW: QP(ST) + AC. ","")&amp;IF(AND(D104="Trench Shoring Box",I104="Kallang Formation (marine clay)"),"NOTE: check base heave / ground loss for shoring box in marine clay. ","")&amp;IF(AND(D104="Steel Sheet Pile Cofferdam",N(N104)&lt;H104*0.5),"NOTE: short toe embedment, check. ","")))</f>
        <v/>
      </c>
      <c r="BC104" s="9"/>
      <c r="BD104" s="9"/>
      <c r="BE104" s="9"/>
      <c r="BF104" s="10" t="str">
        <f aca="false">IF(BE104="","",IFERROR(VLOOKUP(BE104,Projects!$A$5:$D$504,2,0),"Ref not in Projects"))</f>
        <v/>
      </c>
      <c r="BG104" s="10" t="str">
        <f aca="false">IF(BE104="","",IFERROR(VLOOKUP(BE104,Projects!$A$5:$D$504,4,0),"Ref not in Projects"))</f>
        <v/>
      </c>
      <c r="BH104" s="9"/>
      <c r="BI104" s="9"/>
      <c r="BJ104" s="9"/>
      <c r="BK104" s="40"/>
      <c r="BL104" s="9"/>
      <c r="BM104" s="40"/>
      <c r="BN104" s="9"/>
      <c r="BO104" s="40"/>
      <c r="BP104" s="9"/>
      <c r="BQ104" s="9"/>
      <c r="BR104" s="9"/>
      <c r="BS104" s="40"/>
      <c r="BT104" s="40"/>
      <c r="BU104" s="36" t="str">
        <f aca="false">IF(BT104="","",EDATE(BT104,SG_Criteria!$B$54*12))</f>
        <v/>
      </c>
      <c r="BV104" s="33" t="str">
        <f aca="true">IF(A104="","",IF(BT104="","NOTE: not reviewed yet",IF(TODAY()&gt;BU104,"NOTE: review overdue","OK")))</f>
        <v/>
      </c>
      <c r="BW104" s="37" t="str">
        <f aca="false">IF(A104="","",ROUND((IF(LEN(D104)&gt;0,1,0)+IF(LEN(E104)&gt;0,1,0)+IF(LEN(F104)&gt;0,1,0)+IF(LEN(G104)&gt;0,1,0)+IF(LEN(H104)&gt;0,1,0)+IF(LEN(I104)&gt;0,1,0)+IF(LEN(J104)&gt;0,1,0)+IF(LEN(L104)&gt;0,1,0)+IF(LEN(R104)&gt;0,1,0)+IF(LEN(Y104)&gt;0,1,0)+IF(LEN(AE104)&gt;0,1,0)+IF(LEN(AG104)&gt;0,1,0)+IF(LEN(AH104)&gt;0,1,0)+IF(LEN(AI104)&gt;0,1,0)+IF(LEN(AJ104)&gt;0,1,0)+IF(LEN(AS104)&gt;0,1,0)+IF(LEN(BE104)&gt;0,1,0)+IF(LEN(BR104)&gt;0,1,0))/18,2))</f>
        <v/>
      </c>
      <c r="BX104" s="10" t="str">
        <f aca="false">IF(D104="","",IF(AND(AH104="Approved",ISERROR(SEARCH("FAIL",BB104))),"Y","N"))</f>
        <v/>
      </c>
      <c r="BY104" s="10" t="str">
        <f aca="false">IF(D104="","",D104&amp;"|"&amp;H104&amp;"|"&amp;F104&amp;"|"&amp;I104&amp;"|"&amp;BX104)</f>
        <v/>
      </c>
    </row>
    <row r="105" customFormat="false" ht="15" hidden="false" customHeight="false" outlineLevel="0" collapsed="false">
      <c r="A105" s="10" t="str">
        <f aca="false">IF(D105="","","ERSS-"&amp;IFERROR(VLOOKUP(D105,Lists!$AK$4:$AL$21,2,0),"??")&amp;"-"&amp;TEXT(F105,"0000")&amp;"x"&amp;TEXT(G105,"0000")&amp;"-D"&amp;TEXT(H105*1000,"0000")&amp;"-"&amp;IFERROR(VLOOKUP(I105,Lists!$Y$4:$Z$21,2,0),"??")&amp;"-"&amp;AG105)</f>
        <v/>
      </c>
      <c r="B105" s="10" t="str">
        <f aca="false">IF(D105="","",D105&amp;" for "&amp;E105&amp;", "&amp;F105&amp;" x "&amp;G105&amp;" pit, "&amp;TEXT(H105,"0.0")&amp;" m deep, "&amp;I105)</f>
        <v/>
      </c>
      <c r="C105" s="9"/>
      <c r="D105" s="9"/>
      <c r="E105" s="9"/>
      <c r="F105" s="38"/>
      <c r="G105" s="38"/>
      <c r="H105" s="42"/>
      <c r="I105" s="9"/>
      <c r="J105" s="42"/>
      <c r="K105" s="38"/>
      <c r="L105" s="9"/>
      <c r="M105" s="42"/>
      <c r="N105" s="42"/>
      <c r="O105" s="38"/>
      <c r="P105" s="9"/>
      <c r="Q105" s="9"/>
      <c r="R105" s="39"/>
      <c r="S105" s="39"/>
      <c r="T105" s="38"/>
      <c r="U105" s="38"/>
      <c r="V105" s="38"/>
      <c r="W105" s="9"/>
      <c r="X105" s="9"/>
      <c r="Y105" s="38"/>
      <c r="Z105" s="9"/>
      <c r="AA105" s="9"/>
      <c r="AB105" s="38"/>
      <c r="AC105" s="9"/>
      <c r="AD105" s="39"/>
      <c r="AE105" s="9"/>
      <c r="AF105" s="9"/>
      <c r="AG105" s="9"/>
      <c r="AH105" s="9"/>
      <c r="AI105" s="9"/>
      <c r="AJ105" s="9"/>
      <c r="AK105" s="9"/>
      <c r="AL105" s="10" t="str">
        <f aca="false">IF(A105="","",SG_Criteria!$B$6&amp;SG_Criteria!$B$11&amp;"\"&amp;A105&amp;"\")</f>
        <v/>
      </c>
      <c r="AM105" s="10" t="str">
        <f aca="false">IF(A105="","",A105&amp;"_CAD.dwg")</f>
        <v/>
      </c>
      <c r="AN105" s="10" t="str">
        <f aca="false">IF(A105="","",A105&amp;"_DWG.pdf")</f>
        <v/>
      </c>
      <c r="AO105" s="10" t="str">
        <f aca="false">IF(A105="","",IF(AK105="Y",A105&amp;"_STAAD.std","n/a"))</f>
        <v/>
      </c>
      <c r="AP105" s="10" t="str">
        <f aca="false">IF(A105="","",A105&amp;"_CALC.xlsx")</f>
        <v/>
      </c>
      <c r="AQ105" s="10" t="str">
        <f aca="false">IF(A105="","",A105&amp;"_CALC.pdf")</f>
        <v/>
      </c>
      <c r="AR105" s="9"/>
      <c r="AS105" s="9"/>
      <c r="AT105" s="39"/>
      <c r="AU105" s="39"/>
      <c r="AV105" s="39"/>
      <c r="AW105" s="39"/>
      <c r="AX105" s="39"/>
      <c r="AY105" s="12" t="str">
        <f aca="false">IF(A105="","",IF(COUNTIF(Rebar_Schedule!$A$5:$A$2004,A105)=0,"",ROUND(SUMIF(Rebar_Schedule!$A$5:$A$2004,A105,Rebar_Schedule!$K$5:$K$2004),1)))</f>
        <v/>
      </c>
      <c r="AZ105" s="33" t="str">
        <f aca="false">IF(A105="","",IF(AY105="","No rebar schedule yet",IF(ABS(AY105-N(AU105))/MAX(N(AU105),1)&gt;SG_Criteria!$B$55,"NOTE: register rebar differs from schedule by "&amp;TEXT(ABS(AY105-N(AU105))/MAX(N(AU105),1),"0%"),"OK")))</f>
        <v/>
      </c>
      <c r="BA105" s="33" t="str">
        <f aca="false">IF(OR(D105="",H105=""),"",IF(H105&lt;=IF(OR(D105="Soldier Pile &amp; Timber Lagging",D105="Trench Shoring Box",D105="Open Cut (battered)"),SG_Criteria!$B$34,SG_Criteria!$B$33),"No ERSS submission",IF(H105&lt;=SG_Criteria!$B$35,"QP(ST)",IF(H105&lt;=SG_Criteria!$B$36,"QP(ST) + AC","Geotechnical building works: QP(Geo) + AC"))))</f>
        <v/>
      </c>
      <c r="BB105" s="33" t="str">
        <f aca="false">IF(D105="","",IF(LEN(IF(AND(R105&lt;&gt;"",R105&lt;SG_Criteria!$B$37),"FAIL: base stability FOS &lt; "&amp;SG_Criteria!$B$37&amp;". ","")&amp;IF(AND(E105="Manhole",H105&gt;SG_Criteria!$B$36),"NOTE: BCA lists sewer manholes (pipe &lt;= 2 m dia) &gt; 6 m as non-GBW: QP(ST) + AC. ","")&amp;IF(AND(D105="Trench Shoring Box",I105="Kallang Formation (marine clay)"),"NOTE: check base heave / ground loss for shoring box in marine clay. ","")&amp;IF(AND(D105="Steel Sheet Pile Cofferdam",N(N105)&lt;H105*0.5),"NOTE: short toe embedment, check. ",""))=0,"OK",IF(AND(R105&lt;&gt;"",R105&lt;SG_Criteria!$B$37),"FAIL: base stability FOS &lt; "&amp;SG_Criteria!$B$37&amp;". ","")&amp;IF(AND(E105="Manhole",H105&gt;SG_Criteria!$B$36),"NOTE: BCA lists sewer manholes (pipe &lt;= 2 m dia) &gt; 6 m as non-GBW: QP(ST) + AC. ","")&amp;IF(AND(D105="Trench Shoring Box",I105="Kallang Formation (marine clay)"),"NOTE: check base heave / ground loss for shoring box in marine clay. ","")&amp;IF(AND(D105="Steel Sheet Pile Cofferdam",N(N105)&lt;H105*0.5),"NOTE: short toe embedment, check. ","")))</f>
        <v/>
      </c>
      <c r="BC105" s="9"/>
      <c r="BD105" s="9"/>
      <c r="BE105" s="9"/>
      <c r="BF105" s="10" t="str">
        <f aca="false">IF(BE105="","",IFERROR(VLOOKUP(BE105,Projects!$A$5:$D$504,2,0),"Ref not in Projects"))</f>
        <v/>
      </c>
      <c r="BG105" s="10" t="str">
        <f aca="false">IF(BE105="","",IFERROR(VLOOKUP(BE105,Projects!$A$5:$D$504,4,0),"Ref not in Projects"))</f>
        <v/>
      </c>
      <c r="BH105" s="9"/>
      <c r="BI105" s="9"/>
      <c r="BJ105" s="9"/>
      <c r="BK105" s="40"/>
      <c r="BL105" s="9"/>
      <c r="BM105" s="40"/>
      <c r="BN105" s="9"/>
      <c r="BO105" s="40"/>
      <c r="BP105" s="9"/>
      <c r="BQ105" s="9"/>
      <c r="BR105" s="9"/>
      <c r="BS105" s="40"/>
      <c r="BT105" s="40"/>
      <c r="BU105" s="36" t="str">
        <f aca="false">IF(BT105="","",EDATE(BT105,SG_Criteria!$B$54*12))</f>
        <v/>
      </c>
      <c r="BV105" s="33" t="str">
        <f aca="true">IF(A105="","",IF(BT105="","NOTE: not reviewed yet",IF(TODAY()&gt;BU105,"NOTE: review overdue","OK")))</f>
        <v/>
      </c>
      <c r="BW105" s="37" t="str">
        <f aca="false">IF(A105="","",ROUND((IF(LEN(D105)&gt;0,1,0)+IF(LEN(E105)&gt;0,1,0)+IF(LEN(F105)&gt;0,1,0)+IF(LEN(G105)&gt;0,1,0)+IF(LEN(H105)&gt;0,1,0)+IF(LEN(I105)&gt;0,1,0)+IF(LEN(J105)&gt;0,1,0)+IF(LEN(L105)&gt;0,1,0)+IF(LEN(R105)&gt;0,1,0)+IF(LEN(Y105)&gt;0,1,0)+IF(LEN(AE105)&gt;0,1,0)+IF(LEN(AG105)&gt;0,1,0)+IF(LEN(AH105)&gt;0,1,0)+IF(LEN(AI105)&gt;0,1,0)+IF(LEN(AJ105)&gt;0,1,0)+IF(LEN(AS105)&gt;0,1,0)+IF(LEN(BE105)&gt;0,1,0)+IF(LEN(BR105)&gt;0,1,0))/18,2))</f>
        <v/>
      </c>
      <c r="BX105" s="10" t="str">
        <f aca="false">IF(D105="","",IF(AND(AH105="Approved",ISERROR(SEARCH("FAIL",BB105))),"Y","N"))</f>
        <v/>
      </c>
      <c r="BY105" s="10" t="str">
        <f aca="false">IF(D105="","",D105&amp;"|"&amp;H105&amp;"|"&amp;F105&amp;"|"&amp;I105&amp;"|"&amp;BX105)</f>
        <v/>
      </c>
    </row>
    <row r="106" customFormat="false" ht="15" hidden="false" customHeight="false" outlineLevel="0" collapsed="false">
      <c r="A106" s="10" t="str">
        <f aca="false">IF(D106="","","ERSS-"&amp;IFERROR(VLOOKUP(D106,Lists!$AK$4:$AL$21,2,0),"??")&amp;"-"&amp;TEXT(F106,"0000")&amp;"x"&amp;TEXT(G106,"0000")&amp;"-D"&amp;TEXT(H106*1000,"0000")&amp;"-"&amp;IFERROR(VLOOKUP(I106,Lists!$Y$4:$Z$21,2,0),"??")&amp;"-"&amp;AG106)</f>
        <v/>
      </c>
      <c r="B106" s="10" t="str">
        <f aca="false">IF(D106="","",D106&amp;" for "&amp;E106&amp;", "&amp;F106&amp;" x "&amp;G106&amp;" pit, "&amp;TEXT(H106,"0.0")&amp;" m deep, "&amp;I106)</f>
        <v/>
      </c>
      <c r="C106" s="9"/>
      <c r="D106" s="9"/>
      <c r="E106" s="9"/>
      <c r="F106" s="38"/>
      <c r="G106" s="38"/>
      <c r="H106" s="42"/>
      <c r="I106" s="9"/>
      <c r="J106" s="42"/>
      <c r="K106" s="38"/>
      <c r="L106" s="9"/>
      <c r="M106" s="42"/>
      <c r="N106" s="42"/>
      <c r="O106" s="38"/>
      <c r="P106" s="9"/>
      <c r="Q106" s="9"/>
      <c r="R106" s="39"/>
      <c r="S106" s="39"/>
      <c r="T106" s="38"/>
      <c r="U106" s="38"/>
      <c r="V106" s="38"/>
      <c r="W106" s="9"/>
      <c r="X106" s="9"/>
      <c r="Y106" s="38"/>
      <c r="Z106" s="9"/>
      <c r="AA106" s="9"/>
      <c r="AB106" s="38"/>
      <c r="AC106" s="9"/>
      <c r="AD106" s="39"/>
      <c r="AE106" s="9"/>
      <c r="AF106" s="9"/>
      <c r="AG106" s="9"/>
      <c r="AH106" s="9"/>
      <c r="AI106" s="9"/>
      <c r="AJ106" s="9"/>
      <c r="AK106" s="9"/>
      <c r="AL106" s="10" t="str">
        <f aca="false">IF(A106="","",SG_Criteria!$B$6&amp;SG_Criteria!$B$11&amp;"\"&amp;A106&amp;"\")</f>
        <v/>
      </c>
      <c r="AM106" s="10" t="str">
        <f aca="false">IF(A106="","",A106&amp;"_CAD.dwg")</f>
        <v/>
      </c>
      <c r="AN106" s="10" t="str">
        <f aca="false">IF(A106="","",A106&amp;"_DWG.pdf")</f>
        <v/>
      </c>
      <c r="AO106" s="10" t="str">
        <f aca="false">IF(A106="","",IF(AK106="Y",A106&amp;"_STAAD.std","n/a"))</f>
        <v/>
      </c>
      <c r="AP106" s="10" t="str">
        <f aca="false">IF(A106="","",A106&amp;"_CALC.xlsx")</f>
        <v/>
      </c>
      <c r="AQ106" s="10" t="str">
        <f aca="false">IF(A106="","",A106&amp;"_CALC.pdf")</f>
        <v/>
      </c>
      <c r="AR106" s="9"/>
      <c r="AS106" s="9"/>
      <c r="AT106" s="39"/>
      <c r="AU106" s="39"/>
      <c r="AV106" s="39"/>
      <c r="AW106" s="39"/>
      <c r="AX106" s="39"/>
      <c r="AY106" s="12" t="str">
        <f aca="false">IF(A106="","",IF(COUNTIF(Rebar_Schedule!$A$5:$A$2004,A106)=0,"",ROUND(SUMIF(Rebar_Schedule!$A$5:$A$2004,A106,Rebar_Schedule!$K$5:$K$2004),1)))</f>
        <v/>
      </c>
      <c r="AZ106" s="33" t="str">
        <f aca="false">IF(A106="","",IF(AY106="","No rebar schedule yet",IF(ABS(AY106-N(AU106))/MAX(N(AU106),1)&gt;SG_Criteria!$B$55,"NOTE: register rebar differs from schedule by "&amp;TEXT(ABS(AY106-N(AU106))/MAX(N(AU106),1),"0%"),"OK")))</f>
        <v/>
      </c>
      <c r="BA106" s="33" t="str">
        <f aca="false">IF(OR(D106="",H106=""),"",IF(H106&lt;=IF(OR(D106="Soldier Pile &amp; Timber Lagging",D106="Trench Shoring Box",D106="Open Cut (battered)"),SG_Criteria!$B$34,SG_Criteria!$B$33),"No ERSS submission",IF(H106&lt;=SG_Criteria!$B$35,"QP(ST)",IF(H106&lt;=SG_Criteria!$B$36,"QP(ST) + AC","Geotechnical building works: QP(Geo) + AC"))))</f>
        <v/>
      </c>
      <c r="BB106" s="33" t="str">
        <f aca="false">IF(D106="","",IF(LEN(IF(AND(R106&lt;&gt;"",R106&lt;SG_Criteria!$B$37),"FAIL: base stability FOS &lt; "&amp;SG_Criteria!$B$37&amp;". ","")&amp;IF(AND(E106="Manhole",H106&gt;SG_Criteria!$B$36),"NOTE: BCA lists sewer manholes (pipe &lt;= 2 m dia) &gt; 6 m as non-GBW: QP(ST) + AC. ","")&amp;IF(AND(D106="Trench Shoring Box",I106="Kallang Formation (marine clay)"),"NOTE: check base heave / ground loss for shoring box in marine clay. ","")&amp;IF(AND(D106="Steel Sheet Pile Cofferdam",N(N106)&lt;H106*0.5),"NOTE: short toe embedment, check. ",""))=0,"OK",IF(AND(R106&lt;&gt;"",R106&lt;SG_Criteria!$B$37),"FAIL: base stability FOS &lt; "&amp;SG_Criteria!$B$37&amp;". ","")&amp;IF(AND(E106="Manhole",H106&gt;SG_Criteria!$B$36),"NOTE: BCA lists sewer manholes (pipe &lt;= 2 m dia) &gt; 6 m as non-GBW: QP(ST) + AC. ","")&amp;IF(AND(D106="Trench Shoring Box",I106="Kallang Formation (marine clay)"),"NOTE: check base heave / ground loss for shoring box in marine clay. ","")&amp;IF(AND(D106="Steel Sheet Pile Cofferdam",N(N106)&lt;H106*0.5),"NOTE: short toe embedment, check. ","")))</f>
        <v/>
      </c>
      <c r="BC106" s="9"/>
      <c r="BD106" s="9"/>
      <c r="BE106" s="9"/>
      <c r="BF106" s="10" t="str">
        <f aca="false">IF(BE106="","",IFERROR(VLOOKUP(BE106,Projects!$A$5:$D$504,2,0),"Ref not in Projects"))</f>
        <v/>
      </c>
      <c r="BG106" s="10" t="str">
        <f aca="false">IF(BE106="","",IFERROR(VLOOKUP(BE106,Projects!$A$5:$D$504,4,0),"Ref not in Projects"))</f>
        <v/>
      </c>
      <c r="BH106" s="9"/>
      <c r="BI106" s="9"/>
      <c r="BJ106" s="9"/>
      <c r="BK106" s="40"/>
      <c r="BL106" s="9"/>
      <c r="BM106" s="40"/>
      <c r="BN106" s="9"/>
      <c r="BO106" s="40"/>
      <c r="BP106" s="9"/>
      <c r="BQ106" s="9"/>
      <c r="BR106" s="9"/>
      <c r="BS106" s="40"/>
      <c r="BT106" s="40"/>
      <c r="BU106" s="36" t="str">
        <f aca="false">IF(BT106="","",EDATE(BT106,SG_Criteria!$B$54*12))</f>
        <v/>
      </c>
      <c r="BV106" s="33" t="str">
        <f aca="true">IF(A106="","",IF(BT106="","NOTE: not reviewed yet",IF(TODAY()&gt;BU106,"NOTE: review overdue","OK")))</f>
        <v/>
      </c>
      <c r="BW106" s="37" t="str">
        <f aca="false">IF(A106="","",ROUND((IF(LEN(D106)&gt;0,1,0)+IF(LEN(E106)&gt;0,1,0)+IF(LEN(F106)&gt;0,1,0)+IF(LEN(G106)&gt;0,1,0)+IF(LEN(H106)&gt;0,1,0)+IF(LEN(I106)&gt;0,1,0)+IF(LEN(J106)&gt;0,1,0)+IF(LEN(L106)&gt;0,1,0)+IF(LEN(R106)&gt;0,1,0)+IF(LEN(Y106)&gt;0,1,0)+IF(LEN(AE106)&gt;0,1,0)+IF(LEN(AG106)&gt;0,1,0)+IF(LEN(AH106)&gt;0,1,0)+IF(LEN(AI106)&gt;0,1,0)+IF(LEN(AJ106)&gt;0,1,0)+IF(LEN(AS106)&gt;0,1,0)+IF(LEN(BE106)&gt;0,1,0)+IF(LEN(BR106)&gt;0,1,0))/18,2))</f>
        <v/>
      </c>
      <c r="BX106" s="10" t="str">
        <f aca="false">IF(D106="","",IF(AND(AH106="Approved",ISERROR(SEARCH("FAIL",BB106))),"Y","N"))</f>
        <v/>
      </c>
      <c r="BY106" s="10" t="str">
        <f aca="false">IF(D106="","",D106&amp;"|"&amp;H106&amp;"|"&amp;F106&amp;"|"&amp;I106&amp;"|"&amp;BX106)</f>
        <v/>
      </c>
    </row>
    <row r="107" customFormat="false" ht="15" hidden="false" customHeight="false" outlineLevel="0" collapsed="false">
      <c r="A107" s="10" t="str">
        <f aca="false">IF(D107="","","ERSS-"&amp;IFERROR(VLOOKUP(D107,Lists!$AK$4:$AL$21,2,0),"??")&amp;"-"&amp;TEXT(F107,"0000")&amp;"x"&amp;TEXT(G107,"0000")&amp;"-D"&amp;TEXT(H107*1000,"0000")&amp;"-"&amp;IFERROR(VLOOKUP(I107,Lists!$Y$4:$Z$21,2,0),"??")&amp;"-"&amp;AG107)</f>
        <v/>
      </c>
      <c r="B107" s="10" t="str">
        <f aca="false">IF(D107="","",D107&amp;" for "&amp;E107&amp;", "&amp;F107&amp;" x "&amp;G107&amp;" pit, "&amp;TEXT(H107,"0.0")&amp;" m deep, "&amp;I107)</f>
        <v/>
      </c>
      <c r="C107" s="9"/>
      <c r="D107" s="9"/>
      <c r="E107" s="9"/>
      <c r="F107" s="38"/>
      <c r="G107" s="38"/>
      <c r="H107" s="42"/>
      <c r="I107" s="9"/>
      <c r="J107" s="42"/>
      <c r="K107" s="38"/>
      <c r="L107" s="9"/>
      <c r="M107" s="42"/>
      <c r="N107" s="42"/>
      <c r="O107" s="38"/>
      <c r="P107" s="9"/>
      <c r="Q107" s="9"/>
      <c r="R107" s="39"/>
      <c r="S107" s="39"/>
      <c r="T107" s="38"/>
      <c r="U107" s="38"/>
      <c r="V107" s="38"/>
      <c r="W107" s="9"/>
      <c r="X107" s="9"/>
      <c r="Y107" s="38"/>
      <c r="Z107" s="9"/>
      <c r="AA107" s="9"/>
      <c r="AB107" s="38"/>
      <c r="AC107" s="9"/>
      <c r="AD107" s="39"/>
      <c r="AE107" s="9"/>
      <c r="AF107" s="9"/>
      <c r="AG107" s="9"/>
      <c r="AH107" s="9"/>
      <c r="AI107" s="9"/>
      <c r="AJ107" s="9"/>
      <c r="AK107" s="9"/>
      <c r="AL107" s="10" t="str">
        <f aca="false">IF(A107="","",SG_Criteria!$B$6&amp;SG_Criteria!$B$11&amp;"\"&amp;A107&amp;"\")</f>
        <v/>
      </c>
      <c r="AM107" s="10" t="str">
        <f aca="false">IF(A107="","",A107&amp;"_CAD.dwg")</f>
        <v/>
      </c>
      <c r="AN107" s="10" t="str">
        <f aca="false">IF(A107="","",A107&amp;"_DWG.pdf")</f>
        <v/>
      </c>
      <c r="AO107" s="10" t="str">
        <f aca="false">IF(A107="","",IF(AK107="Y",A107&amp;"_STAAD.std","n/a"))</f>
        <v/>
      </c>
      <c r="AP107" s="10" t="str">
        <f aca="false">IF(A107="","",A107&amp;"_CALC.xlsx")</f>
        <v/>
      </c>
      <c r="AQ107" s="10" t="str">
        <f aca="false">IF(A107="","",A107&amp;"_CALC.pdf")</f>
        <v/>
      </c>
      <c r="AR107" s="9"/>
      <c r="AS107" s="9"/>
      <c r="AT107" s="39"/>
      <c r="AU107" s="39"/>
      <c r="AV107" s="39"/>
      <c r="AW107" s="39"/>
      <c r="AX107" s="39"/>
      <c r="AY107" s="12" t="str">
        <f aca="false">IF(A107="","",IF(COUNTIF(Rebar_Schedule!$A$5:$A$2004,A107)=0,"",ROUND(SUMIF(Rebar_Schedule!$A$5:$A$2004,A107,Rebar_Schedule!$K$5:$K$2004),1)))</f>
        <v/>
      </c>
      <c r="AZ107" s="33" t="str">
        <f aca="false">IF(A107="","",IF(AY107="","No rebar schedule yet",IF(ABS(AY107-N(AU107))/MAX(N(AU107),1)&gt;SG_Criteria!$B$55,"NOTE: register rebar differs from schedule by "&amp;TEXT(ABS(AY107-N(AU107))/MAX(N(AU107),1),"0%"),"OK")))</f>
        <v/>
      </c>
      <c r="BA107" s="33" t="str">
        <f aca="false">IF(OR(D107="",H107=""),"",IF(H107&lt;=IF(OR(D107="Soldier Pile &amp; Timber Lagging",D107="Trench Shoring Box",D107="Open Cut (battered)"),SG_Criteria!$B$34,SG_Criteria!$B$33),"No ERSS submission",IF(H107&lt;=SG_Criteria!$B$35,"QP(ST)",IF(H107&lt;=SG_Criteria!$B$36,"QP(ST) + AC","Geotechnical building works: QP(Geo) + AC"))))</f>
        <v/>
      </c>
      <c r="BB107" s="33" t="str">
        <f aca="false">IF(D107="","",IF(LEN(IF(AND(R107&lt;&gt;"",R107&lt;SG_Criteria!$B$37),"FAIL: base stability FOS &lt; "&amp;SG_Criteria!$B$37&amp;". ","")&amp;IF(AND(E107="Manhole",H107&gt;SG_Criteria!$B$36),"NOTE: BCA lists sewer manholes (pipe &lt;= 2 m dia) &gt; 6 m as non-GBW: QP(ST) + AC. ","")&amp;IF(AND(D107="Trench Shoring Box",I107="Kallang Formation (marine clay)"),"NOTE: check base heave / ground loss for shoring box in marine clay. ","")&amp;IF(AND(D107="Steel Sheet Pile Cofferdam",N(N107)&lt;H107*0.5),"NOTE: short toe embedment, check. ",""))=0,"OK",IF(AND(R107&lt;&gt;"",R107&lt;SG_Criteria!$B$37),"FAIL: base stability FOS &lt; "&amp;SG_Criteria!$B$37&amp;". ","")&amp;IF(AND(E107="Manhole",H107&gt;SG_Criteria!$B$36),"NOTE: BCA lists sewer manholes (pipe &lt;= 2 m dia) &gt; 6 m as non-GBW: QP(ST) + AC. ","")&amp;IF(AND(D107="Trench Shoring Box",I107="Kallang Formation (marine clay)"),"NOTE: check base heave / ground loss for shoring box in marine clay. ","")&amp;IF(AND(D107="Steel Sheet Pile Cofferdam",N(N107)&lt;H107*0.5),"NOTE: short toe embedment, check. ","")))</f>
        <v/>
      </c>
      <c r="BC107" s="9"/>
      <c r="BD107" s="9"/>
      <c r="BE107" s="9"/>
      <c r="BF107" s="10" t="str">
        <f aca="false">IF(BE107="","",IFERROR(VLOOKUP(BE107,Projects!$A$5:$D$504,2,0),"Ref not in Projects"))</f>
        <v/>
      </c>
      <c r="BG107" s="10" t="str">
        <f aca="false">IF(BE107="","",IFERROR(VLOOKUP(BE107,Projects!$A$5:$D$504,4,0),"Ref not in Projects"))</f>
        <v/>
      </c>
      <c r="BH107" s="9"/>
      <c r="BI107" s="9"/>
      <c r="BJ107" s="9"/>
      <c r="BK107" s="40"/>
      <c r="BL107" s="9"/>
      <c r="BM107" s="40"/>
      <c r="BN107" s="9"/>
      <c r="BO107" s="40"/>
      <c r="BP107" s="9"/>
      <c r="BQ107" s="9"/>
      <c r="BR107" s="9"/>
      <c r="BS107" s="40"/>
      <c r="BT107" s="40"/>
      <c r="BU107" s="36" t="str">
        <f aca="false">IF(BT107="","",EDATE(BT107,SG_Criteria!$B$54*12))</f>
        <v/>
      </c>
      <c r="BV107" s="33" t="str">
        <f aca="true">IF(A107="","",IF(BT107="","NOTE: not reviewed yet",IF(TODAY()&gt;BU107,"NOTE: review overdue","OK")))</f>
        <v/>
      </c>
      <c r="BW107" s="37" t="str">
        <f aca="false">IF(A107="","",ROUND((IF(LEN(D107)&gt;0,1,0)+IF(LEN(E107)&gt;0,1,0)+IF(LEN(F107)&gt;0,1,0)+IF(LEN(G107)&gt;0,1,0)+IF(LEN(H107)&gt;0,1,0)+IF(LEN(I107)&gt;0,1,0)+IF(LEN(J107)&gt;0,1,0)+IF(LEN(L107)&gt;0,1,0)+IF(LEN(R107)&gt;0,1,0)+IF(LEN(Y107)&gt;0,1,0)+IF(LEN(AE107)&gt;0,1,0)+IF(LEN(AG107)&gt;0,1,0)+IF(LEN(AH107)&gt;0,1,0)+IF(LEN(AI107)&gt;0,1,0)+IF(LEN(AJ107)&gt;0,1,0)+IF(LEN(AS107)&gt;0,1,0)+IF(LEN(BE107)&gt;0,1,0)+IF(LEN(BR107)&gt;0,1,0))/18,2))</f>
        <v/>
      </c>
      <c r="BX107" s="10" t="str">
        <f aca="false">IF(D107="","",IF(AND(AH107="Approved",ISERROR(SEARCH("FAIL",BB107))),"Y","N"))</f>
        <v/>
      </c>
      <c r="BY107" s="10" t="str">
        <f aca="false">IF(D107="","",D107&amp;"|"&amp;H107&amp;"|"&amp;F107&amp;"|"&amp;I107&amp;"|"&amp;BX107)</f>
        <v/>
      </c>
    </row>
    <row r="108" customFormat="false" ht="15" hidden="false" customHeight="false" outlineLevel="0" collapsed="false">
      <c r="A108" s="10" t="str">
        <f aca="false">IF(D108="","","ERSS-"&amp;IFERROR(VLOOKUP(D108,Lists!$AK$4:$AL$21,2,0),"??")&amp;"-"&amp;TEXT(F108,"0000")&amp;"x"&amp;TEXT(G108,"0000")&amp;"-D"&amp;TEXT(H108*1000,"0000")&amp;"-"&amp;IFERROR(VLOOKUP(I108,Lists!$Y$4:$Z$21,2,0),"??")&amp;"-"&amp;AG108)</f>
        <v/>
      </c>
      <c r="B108" s="10" t="str">
        <f aca="false">IF(D108="","",D108&amp;" for "&amp;E108&amp;", "&amp;F108&amp;" x "&amp;G108&amp;" pit, "&amp;TEXT(H108,"0.0")&amp;" m deep, "&amp;I108)</f>
        <v/>
      </c>
      <c r="C108" s="9"/>
      <c r="D108" s="9"/>
      <c r="E108" s="9"/>
      <c r="F108" s="38"/>
      <c r="G108" s="38"/>
      <c r="H108" s="42"/>
      <c r="I108" s="9"/>
      <c r="J108" s="42"/>
      <c r="K108" s="38"/>
      <c r="L108" s="9"/>
      <c r="M108" s="42"/>
      <c r="N108" s="42"/>
      <c r="O108" s="38"/>
      <c r="P108" s="9"/>
      <c r="Q108" s="9"/>
      <c r="R108" s="39"/>
      <c r="S108" s="39"/>
      <c r="T108" s="38"/>
      <c r="U108" s="38"/>
      <c r="V108" s="38"/>
      <c r="W108" s="9"/>
      <c r="X108" s="9"/>
      <c r="Y108" s="38"/>
      <c r="Z108" s="9"/>
      <c r="AA108" s="9"/>
      <c r="AB108" s="38"/>
      <c r="AC108" s="9"/>
      <c r="AD108" s="39"/>
      <c r="AE108" s="9"/>
      <c r="AF108" s="9"/>
      <c r="AG108" s="9"/>
      <c r="AH108" s="9"/>
      <c r="AI108" s="9"/>
      <c r="AJ108" s="9"/>
      <c r="AK108" s="9"/>
      <c r="AL108" s="10" t="str">
        <f aca="false">IF(A108="","",SG_Criteria!$B$6&amp;SG_Criteria!$B$11&amp;"\"&amp;A108&amp;"\")</f>
        <v/>
      </c>
      <c r="AM108" s="10" t="str">
        <f aca="false">IF(A108="","",A108&amp;"_CAD.dwg")</f>
        <v/>
      </c>
      <c r="AN108" s="10" t="str">
        <f aca="false">IF(A108="","",A108&amp;"_DWG.pdf")</f>
        <v/>
      </c>
      <c r="AO108" s="10" t="str">
        <f aca="false">IF(A108="","",IF(AK108="Y",A108&amp;"_STAAD.std","n/a"))</f>
        <v/>
      </c>
      <c r="AP108" s="10" t="str">
        <f aca="false">IF(A108="","",A108&amp;"_CALC.xlsx")</f>
        <v/>
      </c>
      <c r="AQ108" s="10" t="str">
        <f aca="false">IF(A108="","",A108&amp;"_CALC.pdf")</f>
        <v/>
      </c>
      <c r="AR108" s="9"/>
      <c r="AS108" s="9"/>
      <c r="AT108" s="39"/>
      <c r="AU108" s="39"/>
      <c r="AV108" s="39"/>
      <c r="AW108" s="39"/>
      <c r="AX108" s="39"/>
      <c r="AY108" s="12" t="str">
        <f aca="false">IF(A108="","",IF(COUNTIF(Rebar_Schedule!$A$5:$A$2004,A108)=0,"",ROUND(SUMIF(Rebar_Schedule!$A$5:$A$2004,A108,Rebar_Schedule!$K$5:$K$2004),1)))</f>
        <v/>
      </c>
      <c r="AZ108" s="33" t="str">
        <f aca="false">IF(A108="","",IF(AY108="","No rebar schedule yet",IF(ABS(AY108-N(AU108))/MAX(N(AU108),1)&gt;SG_Criteria!$B$55,"NOTE: register rebar differs from schedule by "&amp;TEXT(ABS(AY108-N(AU108))/MAX(N(AU108),1),"0%"),"OK")))</f>
        <v/>
      </c>
      <c r="BA108" s="33" t="str">
        <f aca="false">IF(OR(D108="",H108=""),"",IF(H108&lt;=IF(OR(D108="Soldier Pile &amp; Timber Lagging",D108="Trench Shoring Box",D108="Open Cut (battered)"),SG_Criteria!$B$34,SG_Criteria!$B$33),"No ERSS submission",IF(H108&lt;=SG_Criteria!$B$35,"QP(ST)",IF(H108&lt;=SG_Criteria!$B$36,"QP(ST) + AC","Geotechnical building works: QP(Geo) + AC"))))</f>
        <v/>
      </c>
      <c r="BB108" s="33" t="str">
        <f aca="false">IF(D108="","",IF(LEN(IF(AND(R108&lt;&gt;"",R108&lt;SG_Criteria!$B$37),"FAIL: base stability FOS &lt; "&amp;SG_Criteria!$B$37&amp;". ","")&amp;IF(AND(E108="Manhole",H108&gt;SG_Criteria!$B$36),"NOTE: BCA lists sewer manholes (pipe &lt;= 2 m dia) &gt; 6 m as non-GBW: QP(ST) + AC. ","")&amp;IF(AND(D108="Trench Shoring Box",I108="Kallang Formation (marine clay)"),"NOTE: check base heave / ground loss for shoring box in marine clay. ","")&amp;IF(AND(D108="Steel Sheet Pile Cofferdam",N(N108)&lt;H108*0.5),"NOTE: short toe embedment, check. ",""))=0,"OK",IF(AND(R108&lt;&gt;"",R108&lt;SG_Criteria!$B$37),"FAIL: base stability FOS &lt; "&amp;SG_Criteria!$B$37&amp;". ","")&amp;IF(AND(E108="Manhole",H108&gt;SG_Criteria!$B$36),"NOTE: BCA lists sewer manholes (pipe &lt;= 2 m dia) &gt; 6 m as non-GBW: QP(ST) + AC. ","")&amp;IF(AND(D108="Trench Shoring Box",I108="Kallang Formation (marine clay)"),"NOTE: check base heave / ground loss for shoring box in marine clay. ","")&amp;IF(AND(D108="Steel Sheet Pile Cofferdam",N(N108)&lt;H108*0.5),"NOTE: short toe embedment, check. ","")))</f>
        <v/>
      </c>
      <c r="BC108" s="9"/>
      <c r="BD108" s="9"/>
      <c r="BE108" s="9"/>
      <c r="BF108" s="10" t="str">
        <f aca="false">IF(BE108="","",IFERROR(VLOOKUP(BE108,Projects!$A$5:$D$504,2,0),"Ref not in Projects"))</f>
        <v/>
      </c>
      <c r="BG108" s="10" t="str">
        <f aca="false">IF(BE108="","",IFERROR(VLOOKUP(BE108,Projects!$A$5:$D$504,4,0),"Ref not in Projects"))</f>
        <v/>
      </c>
      <c r="BH108" s="9"/>
      <c r="BI108" s="9"/>
      <c r="BJ108" s="9"/>
      <c r="BK108" s="40"/>
      <c r="BL108" s="9"/>
      <c r="BM108" s="40"/>
      <c r="BN108" s="9"/>
      <c r="BO108" s="40"/>
      <c r="BP108" s="9"/>
      <c r="BQ108" s="9"/>
      <c r="BR108" s="9"/>
      <c r="BS108" s="40"/>
      <c r="BT108" s="40"/>
      <c r="BU108" s="36" t="str">
        <f aca="false">IF(BT108="","",EDATE(BT108,SG_Criteria!$B$54*12))</f>
        <v/>
      </c>
      <c r="BV108" s="33" t="str">
        <f aca="true">IF(A108="","",IF(BT108="","NOTE: not reviewed yet",IF(TODAY()&gt;BU108,"NOTE: review overdue","OK")))</f>
        <v/>
      </c>
      <c r="BW108" s="37" t="str">
        <f aca="false">IF(A108="","",ROUND((IF(LEN(D108)&gt;0,1,0)+IF(LEN(E108)&gt;0,1,0)+IF(LEN(F108)&gt;0,1,0)+IF(LEN(G108)&gt;0,1,0)+IF(LEN(H108)&gt;0,1,0)+IF(LEN(I108)&gt;0,1,0)+IF(LEN(J108)&gt;0,1,0)+IF(LEN(L108)&gt;0,1,0)+IF(LEN(R108)&gt;0,1,0)+IF(LEN(Y108)&gt;0,1,0)+IF(LEN(AE108)&gt;0,1,0)+IF(LEN(AG108)&gt;0,1,0)+IF(LEN(AH108)&gt;0,1,0)+IF(LEN(AI108)&gt;0,1,0)+IF(LEN(AJ108)&gt;0,1,0)+IF(LEN(AS108)&gt;0,1,0)+IF(LEN(BE108)&gt;0,1,0)+IF(LEN(BR108)&gt;0,1,0))/18,2))</f>
        <v/>
      </c>
      <c r="BX108" s="10" t="str">
        <f aca="false">IF(D108="","",IF(AND(AH108="Approved",ISERROR(SEARCH("FAIL",BB108))),"Y","N"))</f>
        <v/>
      </c>
      <c r="BY108" s="10" t="str">
        <f aca="false">IF(D108="","",D108&amp;"|"&amp;H108&amp;"|"&amp;F108&amp;"|"&amp;I108&amp;"|"&amp;BX108)</f>
        <v/>
      </c>
    </row>
    <row r="109" customFormat="false" ht="15" hidden="false" customHeight="false" outlineLevel="0" collapsed="false">
      <c r="A109" s="10" t="str">
        <f aca="false">IF(D109="","","ERSS-"&amp;IFERROR(VLOOKUP(D109,Lists!$AK$4:$AL$21,2,0),"??")&amp;"-"&amp;TEXT(F109,"0000")&amp;"x"&amp;TEXT(G109,"0000")&amp;"-D"&amp;TEXT(H109*1000,"0000")&amp;"-"&amp;IFERROR(VLOOKUP(I109,Lists!$Y$4:$Z$21,2,0),"??")&amp;"-"&amp;AG109)</f>
        <v/>
      </c>
      <c r="B109" s="10" t="str">
        <f aca="false">IF(D109="","",D109&amp;" for "&amp;E109&amp;", "&amp;F109&amp;" x "&amp;G109&amp;" pit, "&amp;TEXT(H109,"0.0")&amp;" m deep, "&amp;I109)</f>
        <v/>
      </c>
      <c r="C109" s="9"/>
      <c r="D109" s="9"/>
      <c r="E109" s="9"/>
      <c r="F109" s="38"/>
      <c r="G109" s="38"/>
      <c r="H109" s="42"/>
      <c r="I109" s="9"/>
      <c r="J109" s="42"/>
      <c r="K109" s="38"/>
      <c r="L109" s="9"/>
      <c r="M109" s="42"/>
      <c r="N109" s="42"/>
      <c r="O109" s="38"/>
      <c r="P109" s="9"/>
      <c r="Q109" s="9"/>
      <c r="R109" s="39"/>
      <c r="S109" s="39"/>
      <c r="T109" s="38"/>
      <c r="U109" s="38"/>
      <c r="V109" s="38"/>
      <c r="W109" s="9"/>
      <c r="X109" s="9"/>
      <c r="Y109" s="38"/>
      <c r="Z109" s="9"/>
      <c r="AA109" s="9"/>
      <c r="AB109" s="38"/>
      <c r="AC109" s="9"/>
      <c r="AD109" s="39"/>
      <c r="AE109" s="9"/>
      <c r="AF109" s="9"/>
      <c r="AG109" s="9"/>
      <c r="AH109" s="9"/>
      <c r="AI109" s="9"/>
      <c r="AJ109" s="9"/>
      <c r="AK109" s="9"/>
      <c r="AL109" s="10" t="str">
        <f aca="false">IF(A109="","",SG_Criteria!$B$6&amp;SG_Criteria!$B$11&amp;"\"&amp;A109&amp;"\")</f>
        <v/>
      </c>
      <c r="AM109" s="10" t="str">
        <f aca="false">IF(A109="","",A109&amp;"_CAD.dwg")</f>
        <v/>
      </c>
      <c r="AN109" s="10" t="str">
        <f aca="false">IF(A109="","",A109&amp;"_DWG.pdf")</f>
        <v/>
      </c>
      <c r="AO109" s="10" t="str">
        <f aca="false">IF(A109="","",IF(AK109="Y",A109&amp;"_STAAD.std","n/a"))</f>
        <v/>
      </c>
      <c r="AP109" s="10" t="str">
        <f aca="false">IF(A109="","",A109&amp;"_CALC.xlsx")</f>
        <v/>
      </c>
      <c r="AQ109" s="10" t="str">
        <f aca="false">IF(A109="","",A109&amp;"_CALC.pdf")</f>
        <v/>
      </c>
      <c r="AR109" s="9"/>
      <c r="AS109" s="9"/>
      <c r="AT109" s="39"/>
      <c r="AU109" s="39"/>
      <c r="AV109" s="39"/>
      <c r="AW109" s="39"/>
      <c r="AX109" s="39"/>
      <c r="AY109" s="12" t="str">
        <f aca="false">IF(A109="","",IF(COUNTIF(Rebar_Schedule!$A$5:$A$2004,A109)=0,"",ROUND(SUMIF(Rebar_Schedule!$A$5:$A$2004,A109,Rebar_Schedule!$K$5:$K$2004),1)))</f>
        <v/>
      </c>
      <c r="AZ109" s="33" t="str">
        <f aca="false">IF(A109="","",IF(AY109="","No rebar schedule yet",IF(ABS(AY109-N(AU109))/MAX(N(AU109),1)&gt;SG_Criteria!$B$55,"NOTE: register rebar differs from schedule by "&amp;TEXT(ABS(AY109-N(AU109))/MAX(N(AU109),1),"0%"),"OK")))</f>
        <v/>
      </c>
      <c r="BA109" s="33" t="str">
        <f aca="false">IF(OR(D109="",H109=""),"",IF(H109&lt;=IF(OR(D109="Soldier Pile &amp; Timber Lagging",D109="Trench Shoring Box",D109="Open Cut (battered)"),SG_Criteria!$B$34,SG_Criteria!$B$33),"No ERSS submission",IF(H109&lt;=SG_Criteria!$B$35,"QP(ST)",IF(H109&lt;=SG_Criteria!$B$36,"QP(ST) + AC","Geotechnical building works: QP(Geo) + AC"))))</f>
        <v/>
      </c>
      <c r="BB109" s="33" t="str">
        <f aca="false">IF(D109="","",IF(LEN(IF(AND(R109&lt;&gt;"",R109&lt;SG_Criteria!$B$37),"FAIL: base stability FOS &lt; "&amp;SG_Criteria!$B$37&amp;". ","")&amp;IF(AND(E109="Manhole",H109&gt;SG_Criteria!$B$36),"NOTE: BCA lists sewer manholes (pipe &lt;= 2 m dia) &gt; 6 m as non-GBW: QP(ST) + AC. ","")&amp;IF(AND(D109="Trench Shoring Box",I109="Kallang Formation (marine clay)"),"NOTE: check base heave / ground loss for shoring box in marine clay. ","")&amp;IF(AND(D109="Steel Sheet Pile Cofferdam",N(N109)&lt;H109*0.5),"NOTE: short toe embedment, check. ",""))=0,"OK",IF(AND(R109&lt;&gt;"",R109&lt;SG_Criteria!$B$37),"FAIL: base stability FOS &lt; "&amp;SG_Criteria!$B$37&amp;". ","")&amp;IF(AND(E109="Manhole",H109&gt;SG_Criteria!$B$36),"NOTE: BCA lists sewer manholes (pipe &lt;= 2 m dia) &gt; 6 m as non-GBW: QP(ST) + AC. ","")&amp;IF(AND(D109="Trench Shoring Box",I109="Kallang Formation (marine clay)"),"NOTE: check base heave / ground loss for shoring box in marine clay. ","")&amp;IF(AND(D109="Steel Sheet Pile Cofferdam",N(N109)&lt;H109*0.5),"NOTE: short toe embedment, check. ","")))</f>
        <v/>
      </c>
      <c r="BC109" s="9"/>
      <c r="BD109" s="9"/>
      <c r="BE109" s="9"/>
      <c r="BF109" s="10" t="str">
        <f aca="false">IF(BE109="","",IFERROR(VLOOKUP(BE109,Projects!$A$5:$D$504,2,0),"Ref not in Projects"))</f>
        <v/>
      </c>
      <c r="BG109" s="10" t="str">
        <f aca="false">IF(BE109="","",IFERROR(VLOOKUP(BE109,Projects!$A$5:$D$504,4,0),"Ref not in Projects"))</f>
        <v/>
      </c>
      <c r="BH109" s="9"/>
      <c r="BI109" s="9"/>
      <c r="BJ109" s="9"/>
      <c r="BK109" s="40"/>
      <c r="BL109" s="9"/>
      <c r="BM109" s="40"/>
      <c r="BN109" s="9"/>
      <c r="BO109" s="40"/>
      <c r="BP109" s="9"/>
      <c r="BQ109" s="9"/>
      <c r="BR109" s="9"/>
      <c r="BS109" s="40"/>
      <c r="BT109" s="40"/>
      <c r="BU109" s="36" t="str">
        <f aca="false">IF(BT109="","",EDATE(BT109,SG_Criteria!$B$54*12))</f>
        <v/>
      </c>
      <c r="BV109" s="33" t="str">
        <f aca="true">IF(A109="","",IF(BT109="","NOTE: not reviewed yet",IF(TODAY()&gt;BU109,"NOTE: review overdue","OK")))</f>
        <v/>
      </c>
      <c r="BW109" s="37" t="str">
        <f aca="false">IF(A109="","",ROUND((IF(LEN(D109)&gt;0,1,0)+IF(LEN(E109)&gt;0,1,0)+IF(LEN(F109)&gt;0,1,0)+IF(LEN(G109)&gt;0,1,0)+IF(LEN(H109)&gt;0,1,0)+IF(LEN(I109)&gt;0,1,0)+IF(LEN(J109)&gt;0,1,0)+IF(LEN(L109)&gt;0,1,0)+IF(LEN(R109)&gt;0,1,0)+IF(LEN(Y109)&gt;0,1,0)+IF(LEN(AE109)&gt;0,1,0)+IF(LEN(AG109)&gt;0,1,0)+IF(LEN(AH109)&gt;0,1,0)+IF(LEN(AI109)&gt;0,1,0)+IF(LEN(AJ109)&gt;0,1,0)+IF(LEN(AS109)&gt;0,1,0)+IF(LEN(BE109)&gt;0,1,0)+IF(LEN(BR109)&gt;0,1,0))/18,2))</f>
        <v/>
      </c>
      <c r="BX109" s="10" t="str">
        <f aca="false">IF(D109="","",IF(AND(AH109="Approved",ISERROR(SEARCH("FAIL",BB109))),"Y","N"))</f>
        <v/>
      </c>
      <c r="BY109" s="10" t="str">
        <f aca="false">IF(D109="","",D109&amp;"|"&amp;H109&amp;"|"&amp;F109&amp;"|"&amp;I109&amp;"|"&amp;BX109)</f>
        <v/>
      </c>
    </row>
    <row r="110" customFormat="false" ht="15" hidden="false" customHeight="false" outlineLevel="0" collapsed="false">
      <c r="A110" s="10" t="str">
        <f aca="false">IF(D110="","","ERSS-"&amp;IFERROR(VLOOKUP(D110,Lists!$AK$4:$AL$21,2,0),"??")&amp;"-"&amp;TEXT(F110,"0000")&amp;"x"&amp;TEXT(G110,"0000")&amp;"-D"&amp;TEXT(H110*1000,"0000")&amp;"-"&amp;IFERROR(VLOOKUP(I110,Lists!$Y$4:$Z$21,2,0),"??")&amp;"-"&amp;AG110)</f>
        <v/>
      </c>
      <c r="B110" s="10" t="str">
        <f aca="false">IF(D110="","",D110&amp;" for "&amp;E110&amp;", "&amp;F110&amp;" x "&amp;G110&amp;" pit, "&amp;TEXT(H110,"0.0")&amp;" m deep, "&amp;I110)</f>
        <v/>
      </c>
      <c r="C110" s="9"/>
      <c r="D110" s="9"/>
      <c r="E110" s="9"/>
      <c r="F110" s="38"/>
      <c r="G110" s="38"/>
      <c r="H110" s="42"/>
      <c r="I110" s="9"/>
      <c r="J110" s="42"/>
      <c r="K110" s="38"/>
      <c r="L110" s="9"/>
      <c r="M110" s="42"/>
      <c r="N110" s="42"/>
      <c r="O110" s="38"/>
      <c r="P110" s="9"/>
      <c r="Q110" s="9"/>
      <c r="R110" s="39"/>
      <c r="S110" s="39"/>
      <c r="T110" s="38"/>
      <c r="U110" s="38"/>
      <c r="V110" s="38"/>
      <c r="W110" s="9"/>
      <c r="X110" s="9"/>
      <c r="Y110" s="38"/>
      <c r="Z110" s="9"/>
      <c r="AA110" s="9"/>
      <c r="AB110" s="38"/>
      <c r="AC110" s="9"/>
      <c r="AD110" s="39"/>
      <c r="AE110" s="9"/>
      <c r="AF110" s="9"/>
      <c r="AG110" s="9"/>
      <c r="AH110" s="9"/>
      <c r="AI110" s="9"/>
      <c r="AJ110" s="9"/>
      <c r="AK110" s="9"/>
      <c r="AL110" s="10" t="str">
        <f aca="false">IF(A110="","",SG_Criteria!$B$6&amp;SG_Criteria!$B$11&amp;"\"&amp;A110&amp;"\")</f>
        <v/>
      </c>
      <c r="AM110" s="10" t="str">
        <f aca="false">IF(A110="","",A110&amp;"_CAD.dwg")</f>
        <v/>
      </c>
      <c r="AN110" s="10" t="str">
        <f aca="false">IF(A110="","",A110&amp;"_DWG.pdf")</f>
        <v/>
      </c>
      <c r="AO110" s="10" t="str">
        <f aca="false">IF(A110="","",IF(AK110="Y",A110&amp;"_STAAD.std","n/a"))</f>
        <v/>
      </c>
      <c r="AP110" s="10" t="str">
        <f aca="false">IF(A110="","",A110&amp;"_CALC.xlsx")</f>
        <v/>
      </c>
      <c r="AQ110" s="10" t="str">
        <f aca="false">IF(A110="","",A110&amp;"_CALC.pdf")</f>
        <v/>
      </c>
      <c r="AR110" s="9"/>
      <c r="AS110" s="9"/>
      <c r="AT110" s="39"/>
      <c r="AU110" s="39"/>
      <c r="AV110" s="39"/>
      <c r="AW110" s="39"/>
      <c r="AX110" s="39"/>
      <c r="AY110" s="12" t="str">
        <f aca="false">IF(A110="","",IF(COUNTIF(Rebar_Schedule!$A$5:$A$2004,A110)=0,"",ROUND(SUMIF(Rebar_Schedule!$A$5:$A$2004,A110,Rebar_Schedule!$K$5:$K$2004),1)))</f>
        <v/>
      </c>
      <c r="AZ110" s="33" t="str">
        <f aca="false">IF(A110="","",IF(AY110="","No rebar schedule yet",IF(ABS(AY110-N(AU110))/MAX(N(AU110),1)&gt;SG_Criteria!$B$55,"NOTE: register rebar differs from schedule by "&amp;TEXT(ABS(AY110-N(AU110))/MAX(N(AU110),1),"0%"),"OK")))</f>
        <v/>
      </c>
      <c r="BA110" s="33" t="str">
        <f aca="false">IF(OR(D110="",H110=""),"",IF(H110&lt;=IF(OR(D110="Soldier Pile &amp; Timber Lagging",D110="Trench Shoring Box",D110="Open Cut (battered)"),SG_Criteria!$B$34,SG_Criteria!$B$33),"No ERSS submission",IF(H110&lt;=SG_Criteria!$B$35,"QP(ST)",IF(H110&lt;=SG_Criteria!$B$36,"QP(ST) + AC","Geotechnical building works: QP(Geo) + AC"))))</f>
        <v/>
      </c>
      <c r="BB110" s="33" t="str">
        <f aca="false">IF(D110="","",IF(LEN(IF(AND(R110&lt;&gt;"",R110&lt;SG_Criteria!$B$37),"FAIL: base stability FOS &lt; "&amp;SG_Criteria!$B$37&amp;". ","")&amp;IF(AND(E110="Manhole",H110&gt;SG_Criteria!$B$36),"NOTE: BCA lists sewer manholes (pipe &lt;= 2 m dia) &gt; 6 m as non-GBW: QP(ST) + AC. ","")&amp;IF(AND(D110="Trench Shoring Box",I110="Kallang Formation (marine clay)"),"NOTE: check base heave / ground loss for shoring box in marine clay. ","")&amp;IF(AND(D110="Steel Sheet Pile Cofferdam",N(N110)&lt;H110*0.5),"NOTE: short toe embedment, check. ",""))=0,"OK",IF(AND(R110&lt;&gt;"",R110&lt;SG_Criteria!$B$37),"FAIL: base stability FOS &lt; "&amp;SG_Criteria!$B$37&amp;". ","")&amp;IF(AND(E110="Manhole",H110&gt;SG_Criteria!$B$36),"NOTE: BCA lists sewer manholes (pipe &lt;= 2 m dia) &gt; 6 m as non-GBW: QP(ST) + AC. ","")&amp;IF(AND(D110="Trench Shoring Box",I110="Kallang Formation (marine clay)"),"NOTE: check base heave / ground loss for shoring box in marine clay. ","")&amp;IF(AND(D110="Steel Sheet Pile Cofferdam",N(N110)&lt;H110*0.5),"NOTE: short toe embedment, check. ","")))</f>
        <v/>
      </c>
      <c r="BC110" s="9"/>
      <c r="BD110" s="9"/>
      <c r="BE110" s="9"/>
      <c r="BF110" s="10" t="str">
        <f aca="false">IF(BE110="","",IFERROR(VLOOKUP(BE110,Projects!$A$5:$D$504,2,0),"Ref not in Projects"))</f>
        <v/>
      </c>
      <c r="BG110" s="10" t="str">
        <f aca="false">IF(BE110="","",IFERROR(VLOOKUP(BE110,Projects!$A$5:$D$504,4,0),"Ref not in Projects"))</f>
        <v/>
      </c>
      <c r="BH110" s="9"/>
      <c r="BI110" s="9"/>
      <c r="BJ110" s="9"/>
      <c r="BK110" s="40"/>
      <c r="BL110" s="9"/>
      <c r="BM110" s="40"/>
      <c r="BN110" s="9"/>
      <c r="BO110" s="40"/>
      <c r="BP110" s="9"/>
      <c r="BQ110" s="9"/>
      <c r="BR110" s="9"/>
      <c r="BS110" s="40"/>
      <c r="BT110" s="40"/>
      <c r="BU110" s="36" t="str">
        <f aca="false">IF(BT110="","",EDATE(BT110,SG_Criteria!$B$54*12))</f>
        <v/>
      </c>
      <c r="BV110" s="33" t="str">
        <f aca="true">IF(A110="","",IF(BT110="","NOTE: not reviewed yet",IF(TODAY()&gt;BU110,"NOTE: review overdue","OK")))</f>
        <v/>
      </c>
      <c r="BW110" s="37" t="str">
        <f aca="false">IF(A110="","",ROUND((IF(LEN(D110)&gt;0,1,0)+IF(LEN(E110)&gt;0,1,0)+IF(LEN(F110)&gt;0,1,0)+IF(LEN(G110)&gt;0,1,0)+IF(LEN(H110)&gt;0,1,0)+IF(LEN(I110)&gt;0,1,0)+IF(LEN(J110)&gt;0,1,0)+IF(LEN(L110)&gt;0,1,0)+IF(LEN(R110)&gt;0,1,0)+IF(LEN(Y110)&gt;0,1,0)+IF(LEN(AE110)&gt;0,1,0)+IF(LEN(AG110)&gt;0,1,0)+IF(LEN(AH110)&gt;0,1,0)+IF(LEN(AI110)&gt;0,1,0)+IF(LEN(AJ110)&gt;0,1,0)+IF(LEN(AS110)&gt;0,1,0)+IF(LEN(BE110)&gt;0,1,0)+IF(LEN(BR110)&gt;0,1,0))/18,2))</f>
        <v/>
      </c>
      <c r="BX110" s="10" t="str">
        <f aca="false">IF(D110="","",IF(AND(AH110="Approved",ISERROR(SEARCH("FAIL",BB110))),"Y","N"))</f>
        <v/>
      </c>
      <c r="BY110" s="10" t="str">
        <f aca="false">IF(D110="","",D110&amp;"|"&amp;H110&amp;"|"&amp;F110&amp;"|"&amp;I110&amp;"|"&amp;BX110)</f>
        <v/>
      </c>
    </row>
    <row r="111" customFormat="false" ht="15" hidden="false" customHeight="false" outlineLevel="0" collapsed="false">
      <c r="A111" s="10" t="str">
        <f aca="false">IF(D111="","","ERSS-"&amp;IFERROR(VLOOKUP(D111,Lists!$AK$4:$AL$21,2,0),"??")&amp;"-"&amp;TEXT(F111,"0000")&amp;"x"&amp;TEXT(G111,"0000")&amp;"-D"&amp;TEXT(H111*1000,"0000")&amp;"-"&amp;IFERROR(VLOOKUP(I111,Lists!$Y$4:$Z$21,2,0),"??")&amp;"-"&amp;AG111)</f>
        <v/>
      </c>
      <c r="B111" s="10" t="str">
        <f aca="false">IF(D111="","",D111&amp;" for "&amp;E111&amp;", "&amp;F111&amp;" x "&amp;G111&amp;" pit, "&amp;TEXT(H111,"0.0")&amp;" m deep, "&amp;I111)</f>
        <v/>
      </c>
      <c r="C111" s="9"/>
      <c r="D111" s="9"/>
      <c r="E111" s="9"/>
      <c r="F111" s="38"/>
      <c r="G111" s="38"/>
      <c r="H111" s="42"/>
      <c r="I111" s="9"/>
      <c r="J111" s="42"/>
      <c r="K111" s="38"/>
      <c r="L111" s="9"/>
      <c r="M111" s="42"/>
      <c r="N111" s="42"/>
      <c r="O111" s="38"/>
      <c r="P111" s="9"/>
      <c r="Q111" s="9"/>
      <c r="R111" s="39"/>
      <c r="S111" s="39"/>
      <c r="T111" s="38"/>
      <c r="U111" s="38"/>
      <c r="V111" s="38"/>
      <c r="W111" s="9"/>
      <c r="X111" s="9"/>
      <c r="Y111" s="38"/>
      <c r="Z111" s="9"/>
      <c r="AA111" s="9"/>
      <c r="AB111" s="38"/>
      <c r="AC111" s="9"/>
      <c r="AD111" s="39"/>
      <c r="AE111" s="9"/>
      <c r="AF111" s="9"/>
      <c r="AG111" s="9"/>
      <c r="AH111" s="9"/>
      <c r="AI111" s="9"/>
      <c r="AJ111" s="9"/>
      <c r="AK111" s="9"/>
      <c r="AL111" s="10" t="str">
        <f aca="false">IF(A111="","",SG_Criteria!$B$6&amp;SG_Criteria!$B$11&amp;"\"&amp;A111&amp;"\")</f>
        <v/>
      </c>
      <c r="AM111" s="10" t="str">
        <f aca="false">IF(A111="","",A111&amp;"_CAD.dwg")</f>
        <v/>
      </c>
      <c r="AN111" s="10" t="str">
        <f aca="false">IF(A111="","",A111&amp;"_DWG.pdf")</f>
        <v/>
      </c>
      <c r="AO111" s="10" t="str">
        <f aca="false">IF(A111="","",IF(AK111="Y",A111&amp;"_STAAD.std","n/a"))</f>
        <v/>
      </c>
      <c r="AP111" s="10" t="str">
        <f aca="false">IF(A111="","",A111&amp;"_CALC.xlsx")</f>
        <v/>
      </c>
      <c r="AQ111" s="10" t="str">
        <f aca="false">IF(A111="","",A111&amp;"_CALC.pdf")</f>
        <v/>
      </c>
      <c r="AR111" s="9"/>
      <c r="AS111" s="9"/>
      <c r="AT111" s="39"/>
      <c r="AU111" s="39"/>
      <c r="AV111" s="39"/>
      <c r="AW111" s="39"/>
      <c r="AX111" s="39"/>
      <c r="AY111" s="12" t="str">
        <f aca="false">IF(A111="","",IF(COUNTIF(Rebar_Schedule!$A$5:$A$2004,A111)=0,"",ROUND(SUMIF(Rebar_Schedule!$A$5:$A$2004,A111,Rebar_Schedule!$K$5:$K$2004),1)))</f>
        <v/>
      </c>
      <c r="AZ111" s="33" t="str">
        <f aca="false">IF(A111="","",IF(AY111="","No rebar schedule yet",IF(ABS(AY111-N(AU111))/MAX(N(AU111),1)&gt;SG_Criteria!$B$55,"NOTE: register rebar differs from schedule by "&amp;TEXT(ABS(AY111-N(AU111))/MAX(N(AU111),1),"0%"),"OK")))</f>
        <v/>
      </c>
      <c r="BA111" s="33" t="str">
        <f aca="false">IF(OR(D111="",H111=""),"",IF(H111&lt;=IF(OR(D111="Soldier Pile &amp; Timber Lagging",D111="Trench Shoring Box",D111="Open Cut (battered)"),SG_Criteria!$B$34,SG_Criteria!$B$33),"No ERSS submission",IF(H111&lt;=SG_Criteria!$B$35,"QP(ST)",IF(H111&lt;=SG_Criteria!$B$36,"QP(ST) + AC","Geotechnical building works: QP(Geo) + AC"))))</f>
        <v/>
      </c>
      <c r="BB111" s="33" t="str">
        <f aca="false">IF(D111="","",IF(LEN(IF(AND(R111&lt;&gt;"",R111&lt;SG_Criteria!$B$37),"FAIL: base stability FOS &lt; "&amp;SG_Criteria!$B$37&amp;". ","")&amp;IF(AND(E111="Manhole",H111&gt;SG_Criteria!$B$36),"NOTE: BCA lists sewer manholes (pipe &lt;= 2 m dia) &gt; 6 m as non-GBW: QP(ST) + AC. ","")&amp;IF(AND(D111="Trench Shoring Box",I111="Kallang Formation (marine clay)"),"NOTE: check base heave / ground loss for shoring box in marine clay. ","")&amp;IF(AND(D111="Steel Sheet Pile Cofferdam",N(N111)&lt;H111*0.5),"NOTE: short toe embedment, check. ",""))=0,"OK",IF(AND(R111&lt;&gt;"",R111&lt;SG_Criteria!$B$37),"FAIL: base stability FOS &lt; "&amp;SG_Criteria!$B$37&amp;". ","")&amp;IF(AND(E111="Manhole",H111&gt;SG_Criteria!$B$36),"NOTE: BCA lists sewer manholes (pipe &lt;= 2 m dia) &gt; 6 m as non-GBW: QP(ST) + AC. ","")&amp;IF(AND(D111="Trench Shoring Box",I111="Kallang Formation (marine clay)"),"NOTE: check base heave / ground loss for shoring box in marine clay. ","")&amp;IF(AND(D111="Steel Sheet Pile Cofferdam",N(N111)&lt;H111*0.5),"NOTE: short toe embedment, check. ","")))</f>
        <v/>
      </c>
      <c r="BC111" s="9"/>
      <c r="BD111" s="9"/>
      <c r="BE111" s="9"/>
      <c r="BF111" s="10" t="str">
        <f aca="false">IF(BE111="","",IFERROR(VLOOKUP(BE111,Projects!$A$5:$D$504,2,0),"Ref not in Projects"))</f>
        <v/>
      </c>
      <c r="BG111" s="10" t="str">
        <f aca="false">IF(BE111="","",IFERROR(VLOOKUP(BE111,Projects!$A$5:$D$504,4,0),"Ref not in Projects"))</f>
        <v/>
      </c>
      <c r="BH111" s="9"/>
      <c r="BI111" s="9"/>
      <c r="BJ111" s="9"/>
      <c r="BK111" s="40"/>
      <c r="BL111" s="9"/>
      <c r="BM111" s="40"/>
      <c r="BN111" s="9"/>
      <c r="BO111" s="40"/>
      <c r="BP111" s="9"/>
      <c r="BQ111" s="9"/>
      <c r="BR111" s="9"/>
      <c r="BS111" s="40"/>
      <c r="BT111" s="40"/>
      <c r="BU111" s="36" t="str">
        <f aca="false">IF(BT111="","",EDATE(BT111,SG_Criteria!$B$54*12))</f>
        <v/>
      </c>
      <c r="BV111" s="33" t="str">
        <f aca="true">IF(A111="","",IF(BT111="","NOTE: not reviewed yet",IF(TODAY()&gt;BU111,"NOTE: review overdue","OK")))</f>
        <v/>
      </c>
      <c r="BW111" s="37" t="str">
        <f aca="false">IF(A111="","",ROUND((IF(LEN(D111)&gt;0,1,0)+IF(LEN(E111)&gt;0,1,0)+IF(LEN(F111)&gt;0,1,0)+IF(LEN(G111)&gt;0,1,0)+IF(LEN(H111)&gt;0,1,0)+IF(LEN(I111)&gt;0,1,0)+IF(LEN(J111)&gt;0,1,0)+IF(LEN(L111)&gt;0,1,0)+IF(LEN(R111)&gt;0,1,0)+IF(LEN(Y111)&gt;0,1,0)+IF(LEN(AE111)&gt;0,1,0)+IF(LEN(AG111)&gt;0,1,0)+IF(LEN(AH111)&gt;0,1,0)+IF(LEN(AI111)&gt;0,1,0)+IF(LEN(AJ111)&gt;0,1,0)+IF(LEN(AS111)&gt;0,1,0)+IF(LEN(BE111)&gt;0,1,0)+IF(LEN(BR111)&gt;0,1,0))/18,2))</f>
        <v/>
      </c>
      <c r="BX111" s="10" t="str">
        <f aca="false">IF(D111="","",IF(AND(AH111="Approved",ISERROR(SEARCH("FAIL",BB111))),"Y","N"))</f>
        <v/>
      </c>
      <c r="BY111" s="10" t="str">
        <f aca="false">IF(D111="","",D111&amp;"|"&amp;H111&amp;"|"&amp;F111&amp;"|"&amp;I111&amp;"|"&amp;BX111)</f>
        <v/>
      </c>
    </row>
    <row r="112" customFormat="false" ht="15" hidden="false" customHeight="false" outlineLevel="0" collapsed="false">
      <c r="A112" s="10" t="str">
        <f aca="false">IF(D112="","","ERSS-"&amp;IFERROR(VLOOKUP(D112,Lists!$AK$4:$AL$21,2,0),"??")&amp;"-"&amp;TEXT(F112,"0000")&amp;"x"&amp;TEXT(G112,"0000")&amp;"-D"&amp;TEXT(H112*1000,"0000")&amp;"-"&amp;IFERROR(VLOOKUP(I112,Lists!$Y$4:$Z$21,2,0),"??")&amp;"-"&amp;AG112)</f>
        <v/>
      </c>
      <c r="B112" s="10" t="str">
        <f aca="false">IF(D112="","",D112&amp;" for "&amp;E112&amp;", "&amp;F112&amp;" x "&amp;G112&amp;" pit, "&amp;TEXT(H112,"0.0")&amp;" m deep, "&amp;I112)</f>
        <v/>
      </c>
      <c r="C112" s="9"/>
      <c r="D112" s="9"/>
      <c r="E112" s="9"/>
      <c r="F112" s="38"/>
      <c r="G112" s="38"/>
      <c r="H112" s="42"/>
      <c r="I112" s="9"/>
      <c r="J112" s="42"/>
      <c r="K112" s="38"/>
      <c r="L112" s="9"/>
      <c r="M112" s="42"/>
      <c r="N112" s="42"/>
      <c r="O112" s="38"/>
      <c r="P112" s="9"/>
      <c r="Q112" s="9"/>
      <c r="R112" s="39"/>
      <c r="S112" s="39"/>
      <c r="T112" s="38"/>
      <c r="U112" s="38"/>
      <c r="V112" s="38"/>
      <c r="W112" s="9"/>
      <c r="X112" s="9"/>
      <c r="Y112" s="38"/>
      <c r="Z112" s="9"/>
      <c r="AA112" s="9"/>
      <c r="AB112" s="38"/>
      <c r="AC112" s="9"/>
      <c r="AD112" s="39"/>
      <c r="AE112" s="9"/>
      <c r="AF112" s="9"/>
      <c r="AG112" s="9"/>
      <c r="AH112" s="9"/>
      <c r="AI112" s="9"/>
      <c r="AJ112" s="9"/>
      <c r="AK112" s="9"/>
      <c r="AL112" s="10" t="str">
        <f aca="false">IF(A112="","",SG_Criteria!$B$6&amp;SG_Criteria!$B$11&amp;"\"&amp;A112&amp;"\")</f>
        <v/>
      </c>
      <c r="AM112" s="10" t="str">
        <f aca="false">IF(A112="","",A112&amp;"_CAD.dwg")</f>
        <v/>
      </c>
      <c r="AN112" s="10" t="str">
        <f aca="false">IF(A112="","",A112&amp;"_DWG.pdf")</f>
        <v/>
      </c>
      <c r="AO112" s="10" t="str">
        <f aca="false">IF(A112="","",IF(AK112="Y",A112&amp;"_STAAD.std","n/a"))</f>
        <v/>
      </c>
      <c r="AP112" s="10" t="str">
        <f aca="false">IF(A112="","",A112&amp;"_CALC.xlsx")</f>
        <v/>
      </c>
      <c r="AQ112" s="10" t="str">
        <f aca="false">IF(A112="","",A112&amp;"_CALC.pdf")</f>
        <v/>
      </c>
      <c r="AR112" s="9"/>
      <c r="AS112" s="9"/>
      <c r="AT112" s="39"/>
      <c r="AU112" s="39"/>
      <c r="AV112" s="39"/>
      <c r="AW112" s="39"/>
      <c r="AX112" s="39"/>
      <c r="AY112" s="12" t="str">
        <f aca="false">IF(A112="","",IF(COUNTIF(Rebar_Schedule!$A$5:$A$2004,A112)=0,"",ROUND(SUMIF(Rebar_Schedule!$A$5:$A$2004,A112,Rebar_Schedule!$K$5:$K$2004),1)))</f>
        <v/>
      </c>
      <c r="AZ112" s="33" t="str">
        <f aca="false">IF(A112="","",IF(AY112="","No rebar schedule yet",IF(ABS(AY112-N(AU112))/MAX(N(AU112),1)&gt;SG_Criteria!$B$55,"NOTE: register rebar differs from schedule by "&amp;TEXT(ABS(AY112-N(AU112))/MAX(N(AU112),1),"0%"),"OK")))</f>
        <v/>
      </c>
      <c r="BA112" s="33" t="str">
        <f aca="false">IF(OR(D112="",H112=""),"",IF(H112&lt;=IF(OR(D112="Soldier Pile &amp; Timber Lagging",D112="Trench Shoring Box",D112="Open Cut (battered)"),SG_Criteria!$B$34,SG_Criteria!$B$33),"No ERSS submission",IF(H112&lt;=SG_Criteria!$B$35,"QP(ST)",IF(H112&lt;=SG_Criteria!$B$36,"QP(ST) + AC","Geotechnical building works: QP(Geo) + AC"))))</f>
        <v/>
      </c>
      <c r="BB112" s="33" t="str">
        <f aca="false">IF(D112="","",IF(LEN(IF(AND(R112&lt;&gt;"",R112&lt;SG_Criteria!$B$37),"FAIL: base stability FOS &lt; "&amp;SG_Criteria!$B$37&amp;". ","")&amp;IF(AND(E112="Manhole",H112&gt;SG_Criteria!$B$36),"NOTE: BCA lists sewer manholes (pipe &lt;= 2 m dia) &gt; 6 m as non-GBW: QP(ST) + AC. ","")&amp;IF(AND(D112="Trench Shoring Box",I112="Kallang Formation (marine clay)"),"NOTE: check base heave / ground loss for shoring box in marine clay. ","")&amp;IF(AND(D112="Steel Sheet Pile Cofferdam",N(N112)&lt;H112*0.5),"NOTE: short toe embedment, check. ",""))=0,"OK",IF(AND(R112&lt;&gt;"",R112&lt;SG_Criteria!$B$37),"FAIL: base stability FOS &lt; "&amp;SG_Criteria!$B$37&amp;". ","")&amp;IF(AND(E112="Manhole",H112&gt;SG_Criteria!$B$36),"NOTE: BCA lists sewer manholes (pipe &lt;= 2 m dia) &gt; 6 m as non-GBW: QP(ST) + AC. ","")&amp;IF(AND(D112="Trench Shoring Box",I112="Kallang Formation (marine clay)"),"NOTE: check base heave / ground loss for shoring box in marine clay. ","")&amp;IF(AND(D112="Steel Sheet Pile Cofferdam",N(N112)&lt;H112*0.5),"NOTE: short toe embedment, check. ","")))</f>
        <v/>
      </c>
      <c r="BC112" s="9"/>
      <c r="BD112" s="9"/>
      <c r="BE112" s="9"/>
      <c r="BF112" s="10" t="str">
        <f aca="false">IF(BE112="","",IFERROR(VLOOKUP(BE112,Projects!$A$5:$D$504,2,0),"Ref not in Projects"))</f>
        <v/>
      </c>
      <c r="BG112" s="10" t="str">
        <f aca="false">IF(BE112="","",IFERROR(VLOOKUP(BE112,Projects!$A$5:$D$504,4,0),"Ref not in Projects"))</f>
        <v/>
      </c>
      <c r="BH112" s="9"/>
      <c r="BI112" s="9"/>
      <c r="BJ112" s="9"/>
      <c r="BK112" s="40"/>
      <c r="BL112" s="9"/>
      <c r="BM112" s="40"/>
      <c r="BN112" s="9"/>
      <c r="BO112" s="40"/>
      <c r="BP112" s="9"/>
      <c r="BQ112" s="9"/>
      <c r="BR112" s="9"/>
      <c r="BS112" s="40"/>
      <c r="BT112" s="40"/>
      <c r="BU112" s="36" t="str">
        <f aca="false">IF(BT112="","",EDATE(BT112,SG_Criteria!$B$54*12))</f>
        <v/>
      </c>
      <c r="BV112" s="33" t="str">
        <f aca="true">IF(A112="","",IF(BT112="","NOTE: not reviewed yet",IF(TODAY()&gt;BU112,"NOTE: review overdue","OK")))</f>
        <v/>
      </c>
      <c r="BW112" s="37" t="str">
        <f aca="false">IF(A112="","",ROUND((IF(LEN(D112)&gt;0,1,0)+IF(LEN(E112)&gt;0,1,0)+IF(LEN(F112)&gt;0,1,0)+IF(LEN(G112)&gt;0,1,0)+IF(LEN(H112)&gt;0,1,0)+IF(LEN(I112)&gt;0,1,0)+IF(LEN(J112)&gt;0,1,0)+IF(LEN(L112)&gt;0,1,0)+IF(LEN(R112)&gt;0,1,0)+IF(LEN(Y112)&gt;0,1,0)+IF(LEN(AE112)&gt;0,1,0)+IF(LEN(AG112)&gt;0,1,0)+IF(LEN(AH112)&gt;0,1,0)+IF(LEN(AI112)&gt;0,1,0)+IF(LEN(AJ112)&gt;0,1,0)+IF(LEN(AS112)&gt;0,1,0)+IF(LEN(BE112)&gt;0,1,0)+IF(LEN(BR112)&gt;0,1,0))/18,2))</f>
        <v/>
      </c>
      <c r="BX112" s="10" t="str">
        <f aca="false">IF(D112="","",IF(AND(AH112="Approved",ISERROR(SEARCH("FAIL",BB112))),"Y","N"))</f>
        <v/>
      </c>
      <c r="BY112" s="10" t="str">
        <f aca="false">IF(D112="","",D112&amp;"|"&amp;H112&amp;"|"&amp;F112&amp;"|"&amp;I112&amp;"|"&amp;BX112)</f>
        <v/>
      </c>
    </row>
    <row r="113" customFormat="false" ht="15" hidden="false" customHeight="false" outlineLevel="0" collapsed="false">
      <c r="A113" s="10" t="str">
        <f aca="false">IF(D113="","","ERSS-"&amp;IFERROR(VLOOKUP(D113,Lists!$AK$4:$AL$21,2,0),"??")&amp;"-"&amp;TEXT(F113,"0000")&amp;"x"&amp;TEXT(G113,"0000")&amp;"-D"&amp;TEXT(H113*1000,"0000")&amp;"-"&amp;IFERROR(VLOOKUP(I113,Lists!$Y$4:$Z$21,2,0),"??")&amp;"-"&amp;AG113)</f>
        <v/>
      </c>
      <c r="B113" s="10" t="str">
        <f aca="false">IF(D113="","",D113&amp;" for "&amp;E113&amp;", "&amp;F113&amp;" x "&amp;G113&amp;" pit, "&amp;TEXT(H113,"0.0")&amp;" m deep, "&amp;I113)</f>
        <v/>
      </c>
      <c r="C113" s="9"/>
      <c r="D113" s="9"/>
      <c r="E113" s="9"/>
      <c r="F113" s="38"/>
      <c r="G113" s="38"/>
      <c r="H113" s="42"/>
      <c r="I113" s="9"/>
      <c r="J113" s="42"/>
      <c r="K113" s="38"/>
      <c r="L113" s="9"/>
      <c r="M113" s="42"/>
      <c r="N113" s="42"/>
      <c r="O113" s="38"/>
      <c r="P113" s="9"/>
      <c r="Q113" s="9"/>
      <c r="R113" s="39"/>
      <c r="S113" s="39"/>
      <c r="T113" s="38"/>
      <c r="U113" s="38"/>
      <c r="V113" s="38"/>
      <c r="W113" s="9"/>
      <c r="X113" s="9"/>
      <c r="Y113" s="38"/>
      <c r="Z113" s="9"/>
      <c r="AA113" s="9"/>
      <c r="AB113" s="38"/>
      <c r="AC113" s="9"/>
      <c r="AD113" s="39"/>
      <c r="AE113" s="9"/>
      <c r="AF113" s="9"/>
      <c r="AG113" s="9"/>
      <c r="AH113" s="9"/>
      <c r="AI113" s="9"/>
      <c r="AJ113" s="9"/>
      <c r="AK113" s="9"/>
      <c r="AL113" s="10" t="str">
        <f aca="false">IF(A113="","",SG_Criteria!$B$6&amp;SG_Criteria!$B$11&amp;"\"&amp;A113&amp;"\")</f>
        <v/>
      </c>
      <c r="AM113" s="10" t="str">
        <f aca="false">IF(A113="","",A113&amp;"_CAD.dwg")</f>
        <v/>
      </c>
      <c r="AN113" s="10" t="str">
        <f aca="false">IF(A113="","",A113&amp;"_DWG.pdf")</f>
        <v/>
      </c>
      <c r="AO113" s="10" t="str">
        <f aca="false">IF(A113="","",IF(AK113="Y",A113&amp;"_STAAD.std","n/a"))</f>
        <v/>
      </c>
      <c r="AP113" s="10" t="str">
        <f aca="false">IF(A113="","",A113&amp;"_CALC.xlsx")</f>
        <v/>
      </c>
      <c r="AQ113" s="10" t="str">
        <f aca="false">IF(A113="","",A113&amp;"_CALC.pdf")</f>
        <v/>
      </c>
      <c r="AR113" s="9"/>
      <c r="AS113" s="9"/>
      <c r="AT113" s="39"/>
      <c r="AU113" s="39"/>
      <c r="AV113" s="39"/>
      <c r="AW113" s="39"/>
      <c r="AX113" s="39"/>
      <c r="AY113" s="12" t="str">
        <f aca="false">IF(A113="","",IF(COUNTIF(Rebar_Schedule!$A$5:$A$2004,A113)=0,"",ROUND(SUMIF(Rebar_Schedule!$A$5:$A$2004,A113,Rebar_Schedule!$K$5:$K$2004),1)))</f>
        <v/>
      </c>
      <c r="AZ113" s="33" t="str">
        <f aca="false">IF(A113="","",IF(AY113="","No rebar schedule yet",IF(ABS(AY113-N(AU113))/MAX(N(AU113),1)&gt;SG_Criteria!$B$55,"NOTE: register rebar differs from schedule by "&amp;TEXT(ABS(AY113-N(AU113))/MAX(N(AU113),1),"0%"),"OK")))</f>
        <v/>
      </c>
      <c r="BA113" s="33" t="str">
        <f aca="false">IF(OR(D113="",H113=""),"",IF(H113&lt;=IF(OR(D113="Soldier Pile &amp; Timber Lagging",D113="Trench Shoring Box",D113="Open Cut (battered)"),SG_Criteria!$B$34,SG_Criteria!$B$33),"No ERSS submission",IF(H113&lt;=SG_Criteria!$B$35,"QP(ST)",IF(H113&lt;=SG_Criteria!$B$36,"QP(ST) + AC","Geotechnical building works: QP(Geo) + AC"))))</f>
        <v/>
      </c>
      <c r="BB113" s="33" t="str">
        <f aca="false">IF(D113="","",IF(LEN(IF(AND(R113&lt;&gt;"",R113&lt;SG_Criteria!$B$37),"FAIL: base stability FOS &lt; "&amp;SG_Criteria!$B$37&amp;". ","")&amp;IF(AND(E113="Manhole",H113&gt;SG_Criteria!$B$36),"NOTE: BCA lists sewer manholes (pipe &lt;= 2 m dia) &gt; 6 m as non-GBW: QP(ST) + AC. ","")&amp;IF(AND(D113="Trench Shoring Box",I113="Kallang Formation (marine clay)"),"NOTE: check base heave / ground loss for shoring box in marine clay. ","")&amp;IF(AND(D113="Steel Sheet Pile Cofferdam",N(N113)&lt;H113*0.5),"NOTE: short toe embedment, check. ",""))=0,"OK",IF(AND(R113&lt;&gt;"",R113&lt;SG_Criteria!$B$37),"FAIL: base stability FOS &lt; "&amp;SG_Criteria!$B$37&amp;". ","")&amp;IF(AND(E113="Manhole",H113&gt;SG_Criteria!$B$36),"NOTE: BCA lists sewer manholes (pipe &lt;= 2 m dia) &gt; 6 m as non-GBW: QP(ST) + AC. ","")&amp;IF(AND(D113="Trench Shoring Box",I113="Kallang Formation (marine clay)"),"NOTE: check base heave / ground loss for shoring box in marine clay. ","")&amp;IF(AND(D113="Steel Sheet Pile Cofferdam",N(N113)&lt;H113*0.5),"NOTE: short toe embedment, check. ","")))</f>
        <v/>
      </c>
      <c r="BC113" s="9"/>
      <c r="BD113" s="9"/>
      <c r="BE113" s="9"/>
      <c r="BF113" s="10" t="str">
        <f aca="false">IF(BE113="","",IFERROR(VLOOKUP(BE113,Projects!$A$5:$D$504,2,0),"Ref not in Projects"))</f>
        <v/>
      </c>
      <c r="BG113" s="10" t="str">
        <f aca="false">IF(BE113="","",IFERROR(VLOOKUP(BE113,Projects!$A$5:$D$504,4,0),"Ref not in Projects"))</f>
        <v/>
      </c>
      <c r="BH113" s="9"/>
      <c r="BI113" s="9"/>
      <c r="BJ113" s="9"/>
      <c r="BK113" s="40"/>
      <c r="BL113" s="9"/>
      <c r="BM113" s="40"/>
      <c r="BN113" s="9"/>
      <c r="BO113" s="40"/>
      <c r="BP113" s="9"/>
      <c r="BQ113" s="9"/>
      <c r="BR113" s="9"/>
      <c r="BS113" s="40"/>
      <c r="BT113" s="40"/>
      <c r="BU113" s="36" t="str">
        <f aca="false">IF(BT113="","",EDATE(BT113,SG_Criteria!$B$54*12))</f>
        <v/>
      </c>
      <c r="BV113" s="33" t="str">
        <f aca="true">IF(A113="","",IF(BT113="","NOTE: not reviewed yet",IF(TODAY()&gt;BU113,"NOTE: review overdue","OK")))</f>
        <v/>
      </c>
      <c r="BW113" s="37" t="str">
        <f aca="false">IF(A113="","",ROUND((IF(LEN(D113)&gt;0,1,0)+IF(LEN(E113)&gt;0,1,0)+IF(LEN(F113)&gt;0,1,0)+IF(LEN(G113)&gt;0,1,0)+IF(LEN(H113)&gt;0,1,0)+IF(LEN(I113)&gt;0,1,0)+IF(LEN(J113)&gt;0,1,0)+IF(LEN(L113)&gt;0,1,0)+IF(LEN(R113)&gt;0,1,0)+IF(LEN(Y113)&gt;0,1,0)+IF(LEN(AE113)&gt;0,1,0)+IF(LEN(AG113)&gt;0,1,0)+IF(LEN(AH113)&gt;0,1,0)+IF(LEN(AI113)&gt;0,1,0)+IF(LEN(AJ113)&gt;0,1,0)+IF(LEN(AS113)&gt;0,1,0)+IF(LEN(BE113)&gt;0,1,0)+IF(LEN(BR113)&gt;0,1,0))/18,2))</f>
        <v/>
      </c>
      <c r="BX113" s="10" t="str">
        <f aca="false">IF(D113="","",IF(AND(AH113="Approved",ISERROR(SEARCH("FAIL",BB113))),"Y","N"))</f>
        <v/>
      </c>
      <c r="BY113" s="10" t="str">
        <f aca="false">IF(D113="","",D113&amp;"|"&amp;H113&amp;"|"&amp;F113&amp;"|"&amp;I113&amp;"|"&amp;BX113)</f>
        <v/>
      </c>
    </row>
    <row r="114" customFormat="false" ht="15" hidden="false" customHeight="false" outlineLevel="0" collapsed="false">
      <c r="A114" s="10" t="str">
        <f aca="false">IF(D114="","","ERSS-"&amp;IFERROR(VLOOKUP(D114,Lists!$AK$4:$AL$21,2,0),"??")&amp;"-"&amp;TEXT(F114,"0000")&amp;"x"&amp;TEXT(G114,"0000")&amp;"-D"&amp;TEXT(H114*1000,"0000")&amp;"-"&amp;IFERROR(VLOOKUP(I114,Lists!$Y$4:$Z$21,2,0),"??")&amp;"-"&amp;AG114)</f>
        <v/>
      </c>
      <c r="B114" s="10" t="str">
        <f aca="false">IF(D114="","",D114&amp;" for "&amp;E114&amp;", "&amp;F114&amp;" x "&amp;G114&amp;" pit, "&amp;TEXT(H114,"0.0")&amp;" m deep, "&amp;I114)</f>
        <v/>
      </c>
      <c r="C114" s="9"/>
      <c r="D114" s="9"/>
      <c r="E114" s="9"/>
      <c r="F114" s="38"/>
      <c r="G114" s="38"/>
      <c r="H114" s="42"/>
      <c r="I114" s="9"/>
      <c r="J114" s="42"/>
      <c r="K114" s="38"/>
      <c r="L114" s="9"/>
      <c r="M114" s="42"/>
      <c r="N114" s="42"/>
      <c r="O114" s="38"/>
      <c r="P114" s="9"/>
      <c r="Q114" s="9"/>
      <c r="R114" s="39"/>
      <c r="S114" s="39"/>
      <c r="T114" s="38"/>
      <c r="U114" s="38"/>
      <c r="V114" s="38"/>
      <c r="W114" s="9"/>
      <c r="X114" s="9"/>
      <c r="Y114" s="38"/>
      <c r="Z114" s="9"/>
      <c r="AA114" s="9"/>
      <c r="AB114" s="38"/>
      <c r="AC114" s="9"/>
      <c r="AD114" s="39"/>
      <c r="AE114" s="9"/>
      <c r="AF114" s="9"/>
      <c r="AG114" s="9"/>
      <c r="AH114" s="9"/>
      <c r="AI114" s="9"/>
      <c r="AJ114" s="9"/>
      <c r="AK114" s="9"/>
      <c r="AL114" s="10" t="str">
        <f aca="false">IF(A114="","",SG_Criteria!$B$6&amp;SG_Criteria!$B$11&amp;"\"&amp;A114&amp;"\")</f>
        <v/>
      </c>
      <c r="AM114" s="10" t="str">
        <f aca="false">IF(A114="","",A114&amp;"_CAD.dwg")</f>
        <v/>
      </c>
      <c r="AN114" s="10" t="str">
        <f aca="false">IF(A114="","",A114&amp;"_DWG.pdf")</f>
        <v/>
      </c>
      <c r="AO114" s="10" t="str">
        <f aca="false">IF(A114="","",IF(AK114="Y",A114&amp;"_STAAD.std","n/a"))</f>
        <v/>
      </c>
      <c r="AP114" s="10" t="str">
        <f aca="false">IF(A114="","",A114&amp;"_CALC.xlsx")</f>
        <v/>
      </c>
      <c r="AQ114" s="10" t="str">
        <f aca="false">IF(A114="","",A114&amp;"_CALC.pdf")</f>
        <v/>
      </c>
      <c r="AR114" s="9"/>
      <c r="AS114" s="9"/>
      <c r="AT114" s="39"/>
      <c r="AU114" s="39"/>
      <c r="AV114" s="39"/>
      <c r="AW114" s="39"/>
      <c r="AX114" s="39"/>
      <c r="AY114" s="12" t="str">
        <f aca="false">IF(A114="","",IF(COUNTIF(Rebar_Schedule!$A$5:$A$2004,A114)=0,"",ROUND(SUMIF(Rebar_Schedule!$A$5:$A$2004,A114,Rebar_Schedule!$K$5:$K$2004),1)))</f>
        <v/>
      </c>
      <c r="AZ114" s="33" t="str">
        <f aca="false">IF(A114="","",IF(AY114="","No rebar schedule yet",IF(ABS(AY114-N(AU114))/MAX(N(AU114),1)&gt;SG_Criteria!$B$55,"NOTE: register rebar differs from schedule by "&amp;TEXT(ABS(AY114-N(AU114))/MAX(N(AU114),1),"0%"),"OK")))</f>
        <v/>
      </c>
      <c r="BA114" s="33" t="str">
        <f aca="false">IF(OR(D114="",H114=""),"",IF(H114&lt;=IF(OR(D114="Soldier Pile &amp; Timber Lagging",D114="Trench Shoring Box",D114="Open Cut (battered)"),SG_Criteria!$B$34,SG_Criteria!$B$33),"No ERSS submission",IF(H114&lt;=SG_Criteria!$B$35,"QP(ST)",IF(H114&lt;=SG_Criteria!$B$36,"QP(ST) + AC","Geotechnical building works: QP(Geo) + AC"))))</f>
        <v/>
      </c>
      <c r="BB114" s="33" t="str">
        <f aca="false">IF(D114="","",IF(LEN(IF(AND(R114&lt;&gt;"",R114&lt;SG_Criteria!$B$37),"FAIL: base stability FOS &lt; "&amp;SG_Criteria!$B$37&amp;". ","")&amp;IF(AND(E114="Manhole",H114&gt;SG_Criteria!$B$36),"NOTE: BCA lists sewer manholes (pipe &lt;= 2 m dia) &gt; 6 m as non-GBW: QP(ST) + AC. ","")&amp;IF(AND(D114="Trench Shoring Box",I114="Kallang Formation (marine clay)"),"NOTE: check base heave / ground loss for shoring box in marine clay. ","")&amp;IF(AND(D114="Steel Sheet Pile Cofferdam",N(N114)&lt;H114*0.5),"NOTE: short toe embedment, check. ",""))=0,"OK",IF(AND(R114&lt;&gt;"",R114&lt;SG_Criteria!$B$37),"FAIL: base stability FOS &lt; "&amp;SG_Criteria!$B$37&amp;". ","")&amp;IF(AND(E114="Manhole",H114&gt;SG_Criteria!$B$36),"NOTE: BCA lists sewer manholes (pipe &lt;= 2 m dia) &gt; 6 m as non-GBW: QP(ST) + AC. ","")&amp;IF(AND(D114="Trench Shoring Box",I114="Kallang Formation (marine clay)"),"NOTE: check base heave / ground loss for shoring box in marine clay. ","")&amp;IF(AND(D114="Steel Sheet Pile Cofferdam",N(N114)&lt;H114*0.5),"NOTE: short toe embedment, check. ","")))</f>
        <v/>
      </c>
      <c r="BC114" s="9"/>
      <c r="BD114" s="9"/>
      <c r="BE114" s="9"/>
      <c r="BF114" s="10" t="str">
        <f aca="false">IF(BE114="","",IFERROR(VLOOKUP(BE114,Projects!$A$5:$D$504,2,0),"Ref not in Projects"))</f>
        <v/>
      </c>
      <c r="BG114" s="10" t="str">
        <f aca="false">IF(BE114="","",IFERROR(VLOOKUP(BE114,Projects!$A$5:$D$504,4,0),"Ref not in Projects"))</f>
        <v/>
      </c>
      <c r="BH114" s="9"/>
      <c r="BI114" s="9"/>
      <c r="BJ114" s="9"/>
      <c r="BK114" s="40"/>
      <c r="BL114" s="9"/>
      <c r="BM114" s="40"/>
      <c r="BN114" s="9"/>
      <c r="BO114" s="40"/>
      <c r="BP114" s="9"/>
      <c r="BQ114" s="9"/>
      <c r="BR114" s="9"/>
      <c r="BS114" s="40"/>
      <c r="BT114" s="40"/>
      <c r="BU114" s="36" t="str">
        <f aca="false">IF(BT114="","",EDATE(BT114,SG_Criteria!$B$54*12))</f>
        <v/>
      </c>
      <c r="BV114" s="33" t="str">
        <f aca="true">IF(A114="","",IF(BT114="","NOTE: not reviewed yet",IF(TODAY()&gt;BU114,"NOTE: review overdue","OK")))</f>
        <v/>
      </c>
      <c r="BW114" s="37" t="str">
        <f aca="false">IF(A114="","",ROUND((IF(LEN(D114)&gt;0,1,0)+IF(LEN(E114)&gt;0,1,0)+IF(LEN(F114)&gt;0,1,0)+IF(LEN(G114)&gt;0,1,0)+IF(LEN(H114)&gt;0,1,0)+IF(LEN(I114)&gt;0,1,0)+IF(LEN(J114)&gt;0,1,0)+IF(LEN(L114)&gt;0,1,0)+IF(LEN(R114)&gt;0,1,0)+IF(LEN(Y114)&gt;0,1,0)+IF(LEN(AE114)&gt;0,1,0)+IF(LEN(AG114)&gt;0,1,0)+IF(LEN(AH114)&gt;0,1,0)+IF(LEN(AI114)&gt;0,1,0)+IF(LEN(AJ114)&gt;0,1,0)+IF(LEN(AS114)&gt;0,1,0)+IF(LEN(BE114)&gt;0,1,0)+IF(LEN(BR114)&gt;0,1,0))/18,2))</f>
        <v/>
      </c>
      <c r="BX114" s="10" t="str">
        <f aca="false">IF(D114="","",IF(AND(AH114="Approved",ISERROR(SEARCH("FAIL",BB114))),"Y","N"))</f>
        <v/>
      </c>
      <c r="BY114" s="10" t="str">
        <f aca="false">IF(D114="","",D114&amp;"|"&amp;H114&amp;"|"&amp;F114&amp;"|"&amp;I114&amp;"|"&amp;BX114)</f>
        <v/>
      </c>
    </row>
    <row r="115" customFormat="false" ht="15" hidden="false" customHeight="false" outlineLevel="0" collapsed="false">
      <c r="A115" s="10" t="str">
        <f aca="false">IF(D115="","","ERSS-"&amp;IFERROR(VLOOKUP(D115,Lists!$AK$4:$AL$21,2,0),"??")&amp;"-"&amp;TEXT(F115,"0000")&amp;"x"&amp;TEXT(G115,"0000")&amp;"-D"&amp;TEXT(H115*1000,"0000")&amp;"-"&amp;IFERROR(VLOOKUP(I115,Lists!$Y$4:$Z$21,2,0),"??")&amp;"-"&amp;AG115)</f>
        <v/>
      </c>
      <c r="B115" s="10" t="str">
        <f aca="false">IF(D115="","",D115&amp;" for "&amp;E115&amp;", "&amp;F115&amp;" x "&amp;G115&amp;" pit, "&amp;TEXT(H115,"0.0")&amp;" m deep, "&amp;I115)</f>
        <v/>
      </c>
      <c r="C115" s="9"/>
      <c r="D115" s="9"/>
      <c r="E115" s="9"/>
      <c r="F115" s="38"/>
      <c r="G115" s="38"/>
      <c r="H115" s="42"/>
      <c r="I115" s="9"/>
      <c r="J115" s="42"/>
      <c r="K115" s="38"/>
      <c r="L115" s="9"/>
      <c r="M115" s="42"/>
      <c r="N115" s="42"/>
      <c r="O115" s="38"/>
      <c r="P115" s="9"/>
      <c r="Q115" s="9"/>
      <c r="R115" s="39"/>
      <c r="S115" s="39"/>
      <c r="T115" s="38"/>
      <c r="U115" s="38"/>
      <c r="V115" s="38"/>
      <c r="W115" s="9"/>
      <c r="X115" s="9"/>
      <c r="Y115" s="38"/>
      <c r="Z115" s="9"/>
      <c r="AA115" s="9"/>
      <c r="AB115" s="38"/>
      <c r="AC115" s="9"/>
      <c r="AD115" s="39"/>
      <c r="AE115" s="9"/>
      <c r="AF115" s="9"/>
      <c r="AG115" s="9"/>
      <c r="AH115" s="9"/>
      <c r="AI115" s="9"/>
      <c r="AJ115" s="9"/>
      <c r="AK115" s="9"/>
      <c r="AL115" s="10" t="str">
        <f aca="false">IF(A115="","",SG_Criteria!$B$6&amp;SG_Criteria!$B$11&amp;"\"&amp;A115&amp;"\")</f>
        <v/>
      </c>
      <c r="AM115" s="10" t="str">
        <f aca="false">IF(A115="","",A115&amp;"_CAD.dwg")</f>
        <v/>
      </c>
      <c r="AN115" s="10" t="str">
        <f aca="false">IF(A115="","",A115&amp;"_DWG.pdf")</f>
        <v/>
      </c>
      <c r="AO115" s="10" t="str">
        <f aca="false">IF(A115="","",IF(AK115="Y",A115&amp;"_STAAD.std","n/a"))</f>
        <v/>
      </c>
      <c r="AP115" s="10" t="str">
        <f aca="false">IF(A115="","",A115&amp;"_CALC.xlsx")</f>
        <v/>
      </c>
      <c r="AQ115" s="10" t="str">
        <f aca="false">IF(A115="","",A115&amp;"_CALC.pdf")</f>
        <v/>
      </c>
      <c r="AR115" s="9"/>
      <c r="AS115" s="9"/>
      <c r="AT115" s="39"/>
      <c r="AU115" s="39"/>
      <c r="AV115" s="39"/>
      <c r="AW115" s="39"/>
      <c r="AX115" s="39"/>
      <c r="AY115" s="12" t="str">
        <f aca="false">IF(A115="","",IF(COUNTIF(Rebar_Schedule!$A$5:$A$2004,A115)=0,"",ROUND(SUMIF(Rebar_Schedule!$A$5:$A$2004,A115,Rebar_Schedule!$K$5:$K$2004),1)))</f>
        <v/>
      </c>
      <c r="AZ115" s="33" t="str">
        <f aca="false">IF(A115="","",IF(AY115="","No rebar schedule yet",IF(ABS(AY115-N(AU115))/MAX(N(AU115),1)&gt;SG_Criteria!$B$55,"NOTE: register rebar differs from schedule by "&amp;TEXT(ABS(AY115-N(AU115))/MAX(N(AU115),1),"0%"),"OK")))</f>
        <v/>
      </c>
      <c r="BA115" s="33" t="str">
        <f aca="false">IF(OR(D115="",H115=""),"",IF(H115&lt;=IF(OR(D115="Soldier Pile &amp; Timber Lagging",D115="Trench Shoring Box",D115="Open Cut (battered)"),SG_Criteria!$B$34,SG_Criteria!$B$33),"No ERSS submission",IF(H115&lt;=SG_Criteria!$B$35,"QP(ST)",IF(H115&lt;=SG_Criteria!$B$36,"QP(ST) + AC","Geotechnical building works: QP(Geo) + AC"))))</f>
        <v/>
      </c>
      <c r="BB115" s="33" t="str">
        <f aca="false">IF(D115="","",IF(LEN(IF(AND(R115&lt;&gt;"",R115&lt;SG_Criteria!$B$37),"FAIL: base stability FOS &lt; "&amp;SG_Criteria!$B$37&amp;". ","")&amp;IF(AND(E115="Manhole",H115&gt;SG_Criteria!$B$36),"NOTE: BCA lists sewer manholes (pipe &lt;= 2 m dia) &gt; 6 m as non-GBW: QP(ST) + AC. ","")&amp;IF(AND(D115="Trench Shoring Box",I115="Kallang Formation (marine clay)"),"NOTE: check base heave / ground loss for shoring box in marine clay. ","")&amp;IF(AND(D115="Steel Sheet Pile Cofferdam",N(N115)&lt;H115*0.5),"NOTE: short toe embedment, check. ",""))=0,"OK",IF(AND(R115&lt;&gt;"",R115&lt;SG_Criteria!$B$37),"FAIL: base stability FOS &lt; "&amp;SG_Criteria!$B$37&amp;". ","")&amp;IF(AND(E115="Manhole",H115&gt;SG_Criteria!$B$36),"NOTE: BCA lists sewer manholes (pipe &lt;= 2 m dia) &gt; 6 m as non-GBW: QP(ST) + AC. ","")&amp;IF(AND(D115="Trench Shoring Box",I115="Kallang Formation (marine clay)"),"NOTE: check base heave / ground loss for shoring box in marine clay. ","")&amp;IF(AND(D115="Steel Sheet Pile Cofferdam",N(N115)&lt;H115*0.5),"NOTE: short toe embedment, check. ","")))</f>
        <v/>
      </c>
      <c r="BC115" s="9"/>
      <c r="BD115" s="9"/>
      <c r="BE115" s="9"/>
      <c r="BF115" s="10" t="str">
        <f aca="false">IF(BE115="","",IFERROR(VLOOKUP(BE115,Projects!$A$5:$D$504,2,0),"Ref not in Projects"))</f>
        <v/>
      </c>
      <c r="BG115" s="10" t="str">
        <f aca="false">IF(BE115="","",IFERROR(VLOOKUP(BE115,Projects!$A$5:$D$504,4,0),"Ref not in Projects"))</f>
        <v/>
      </c>
      <c r="BH115" s="9"/>
      <c r="BI115" s="9"/>
      <c r="BJ115" s="9"/>
      <c r="BK115" s="40"/>
      <c r="BL115" s="9"/>
      <c r="BM115" s="40"/>
      <c r="BN115" s="9"/>
      <c r="BO115" s="40"/>
      <c r="BP115" s="9"/>
      <c r="BQ115" s="9"/>
      <c r="BR115" s="9"/>
      <c r="BS115" s="40"/>
      <c r="BT115" s="40"/>
      <c r="BU115" s="36" t="str">
        <f aca="false">IF(BT115="","",EDATE(BT115,SG_Criteria!$B$54*12))</f>
        <v/>
      </c>
      <c r="BV115" s="33" t="str">
        <f aca="true">IF(A115="","",IF(BT115="","NOTE: not reviewed yet",IF(TODAY()&gt;BU115,"NOTE: review overdue","OK")))</f>
        <v/>
      </c>
      <c r="BW115" s="37" t="str">
        <f aca="false">IF(A115="","",ROUND((IF(LEN(D115)&gt;0,1,0)+IF(LEN(E115)&gt;0,1,0)+IF(LEN(F115)&gt;0,1,0)+IF(LEN(G115)&gt;0,1,0)+IF(LEN(H115)&gt;0,1,0)+IF(LEN(I115)&gt;0,1,0)+IF(LEN(J115)&gt;0,1,0)+IF(LEN(L115)&gt;0,1,0)+IF(LEN(R115)&gt;0,1,0)+IF(LEN(Y115)&gt;0,1,0)+IF(LEN(AE115)&gt;0,1,0)+IF(LEN(AG115)&gt;0,1,0)+IF(LEN(AH115)&gt;0,1,0)+IF(LEN(AI115)&gt;0,1,0)+IF(LEN(AJ115)&gt;0,1,0)+IF(LEN(AS115)&gt;0,1,0)+IF(LEN(BE115)&gt;0,1,0)+IF(LEN(BR115)&gt;0,1,0))/18,2))</f>
        <v/>
      </c>
      <c r="BX115" s="10" t="str">
        <f aca="false">IF(D115="","",IF(AND(AH115="Approved",ISERROR(SEARCH("FAIL",BB115))),"Y","N"))</f>
        <v/>
      </c>
      <c r="BY115" s="10" t="str">
        <f aca="false">IF(D115="","",D115&amp;"|"&amp;H115&amp;"|"&amp;F115&amp;"|"&amp;I115&amp;"|"&amp;BX115)</f>
        <v/>
      </c>
    </row>
    <row r="116" customFormat="false" ht="15" hidden="false" customHeight="false" outlineLevel="0" collapsed="false">
      <c r="A116" s="10" t="str">
        <f aca="false">IF(D116="","","ERSS-"&amp;IFERROR(VLOOKUP(D116,Lists!$AK$4:$AL$21,2,0),"??")&amp;"-"&amp;TEXT(F116,"0000")&amp;"x"&amp;TEXT(G116,"0000")&amp;"-D"&amp;TEXT(H116*1000,"0000")&amp;"-"&amp;IFERROR(VLOOKUP(I116,Lists!$Y$4:$Z$21,2,0),"??")&amp;"-"&amp;AG116)</f>
        <v/>
      </c>
      <c r="B116" s="10" t="str">
        <f aca="false">IF(D116="","",D116&amp;" for "&amp;E116&amp;", "&amp;F116&amp;" x "&amp;G116&amp;" pit, "&amp;TEXT(H116,"0.0")&amp;" m deep, "&amp;I116)</f>
        <v/>
      </c>
      <c r="C116" s="9"/>
      <c r="D116" s="9"/>
      <c r="E116" s="9"/>
      <c r="F116" s="38"/>
      <c r="G116" s="38"/>
      <c r="H116" s="42"/>
      <c r="I116" s="9"/>
      <c r="J116" s="42"/>
      <c r="K116" s="38"/>
      <c r="L116" s="9"/>
      <c r="M116" s="42"/>
      <c r="N116" s="42"/>
      <c r="O116" s="38"/>
      <c r="P116" s="9"/>
      <c r="Q116" s="9"/>
      <c r="R116" s="39"/>
      <c r="S116" s="39"/>
      <c r="T116" s="38"/>
      <c r="U116" s="38"/>
      <c r="V116" s="38"/>
      <c r="W116" s="9"/>
      <c r="X116" s="9"/>
      <c r="Y116" s="38"/>
      <c r="Z116" s="9"/>
      <c r="AA116" s="9"/>
      <c r="AB116" s="38"/>
      <c r="AC116" s="9"/>
      <c r="AD116" s="39"/>
      <c r="AE116" s="9"/>
      <c r="AF116" s="9"/>
      <c r="AG116" s="9"/>
      <c r="AH116" s="9"/>
      <c r="AI116" s="9"/>
      <c r="AJ116" s="9"/>
      <c r="AK116" s="9"/>
      <c r="AL116" s="10" t="str">
        <f aca="false">IF(A116="","",SG_Criteria!$B$6&amp;SG_Criteria!$B$11&amp;"\"&amp;A116&amp;"\")</f>
        <v/>
      </c>
      <c r="AM116" s="10" t="str">
        <f aca="false">IF(A116="","",A116&amp;"_CAD.dwg")</f>
        <v/>
      </c>
      <c r="AN116" s="10" t="str">
        <f aca="false">IF(A116="","",A116&amp;"_DWG.pdf")</f>
        <v/>
      </c>
      <c r="AO116" s="10" t="str">
        <f aca="false">IF(A116="","",IF(AK116="Y",A116&amp;"_STAAD.std","n/a"))</f>
        <v/>
      </c>
      <c r="AP116" s="10" t="str">
        <f aca="false">IF(A116="","",A116&amp;"_CALC.xlsx")</f>
        <v/>
      </c>
      <c r="AQ116" s="10" t="str">
        <f aca="false">IF(A116="","",A116&amp;"_CALC.pdf")</f>
        <v/>
      </c>
      <c r="AR116" s="9"/>
      <c r="AS116" s="9"/>
      <c r="AT116" s="39"/>
      <c r="AU116" s="39"/>
      <c r="AV116" s="39"/>
      <c r="AW116" s="39"/>
      <c r="AX116" s="39"/>
      <c r="AY116" s="12" t="str">
        <f aca="false">IF(A116="","",IF(COUNTIF(Rebar_Schedule!$A$5:$A$2004,A116)=0,"",ROUND(SUMIF(Rebar_Schedule!$A$5:$A$2004,A116,Rebar_Schedule!$K$5:$K$2004),1)))</f>
        <v/>
      </c>
      <c r="AZ116" s="33" t="str">
        <f aca="false">IF(A116="","",IF(AY116="","No rebar schedule yet",IF(ABS(AY116-N(AU116))/MAX(N(AU116),1)&gt;SG_Criteria!$B$55,"NOTE: register rebar differs from schedule by "&amp;TEXT(ABS(AY116-N(AU116))/MAX(N(AU116),1),"0%"),"OK")))</f>
        <v/>
      </c>
      <c r="BA116" s="33" t="str">
        <f aca="false">IF(OR(D116="",H116=""),"",IF(H116&lt;=IF(OR(D116="Soldier Pile &amp; Timber Lagging",D116="Trench Shoring Box",D116="Open Cut (battered)"),SG_Criteria!$B$34,SG_Criteria!$B$33),"No ERSS submission",IF(H116&lt;=SG_Criteria!$B$35,"QP(ST)",IF(H116&lt;=SG_Criteria!$B$36,"QP(ST) + AC","Geotechnical building works: QP(Geo) + AC"))))</f>
        <v/>
      </c>
      <c r="BB116" s="33" t="str">
        <f aca="false">IF(D116="","",IF(LEN(IF(AND(R116&lt;&gt;"",R116&lt;SG_Criteria!$B$37),"FAIL: base stability FOS &lt; "&amp;SG_Criteria!$B$37&amp;". ","")&amp;IF(AND(E116="Manhole",H116&gt;SG_Criteria!$B$36),"NOTE: BCA lists sewer manholes (pipe &lt;= 2 m dia) &gt; 6 m as non-GBW: QP(ST) + AC. ","")&amp;IF(AND(D116="Trench Shoring Box",I116="Kallang Formation (marine clay)"),"NOTE: check base heave / ground loss for shoring box in marine clay. ","")&amp;IF(AND(D116="Steel Sheet Pile Cofferdam",N(N116)&lt;H116*0.5),"NOTE: short toe embedment, check. ",""))=0,"OK",IF(AND(R116&lt;&gt;"",R116&lt;SG_Criteria!$B$37),"FAIL: base stability FOS &lt; "&amp;SG_Criteria!$B$37&amp;". ","")&amp;IF(AND(E116="Manhole",H116&gt;SG_Criteria!$B$36),"NOTE: BCA lists sewer manholes (pipe &lt;= 2 m dia) &gt; 6 m as non-GBW: QP(ST) + AC. ","")&amp;IF(AND(D116="Trench Shoring Box",I116="Kallang Formation (marine clay)"),"NOTE: check base heave / ground loss for shoring box in marine clay. ","")&amp;IF(AND(D116="Steel Sheet Pile Cofferdam",N(N116)&lt;H116*0.5),"NOTE: short toe embedment, check. ","")))</f>
        <v/>
      </c>
      <c r="BC116" s="9"/>
      <c r="BD116" s="9"/>
      <c r="BE116" s="9"/>
      <c r="BF116" s="10" t="str">
        <f aca="false">IF(BE116="","",IFERROR(VLOOKUP(BE116,Projects!$A$5:$D$504,2,0),"Ref not in Projects"))</f>
        <v/>
      </c>
      <c r="BG116" s="10" t="str">
        <f aca="false">IF(BE116="","",IFERROR(VLOOKUP(BE116,Projects!$A$5:$D$504,4,0),"Ref not in Projects"))</f>
        <v/>
      </c>
      <c r="BH116" s="9"/>
      <c r="BI116" s="9"/>
      <c r="BJ116" s="9"/>
      <c r="BK116" s="40"/>
      <c r="BL116" s="9"/>
      <c r="BM116" s="40"/>
      <c r="BN116" s="9"/>
      <c r="BO116" s="40"/>
      <c r="BP116" s="9"/>
      <c r="BQ116" s="9"/>
      <c r="BR116" s="9"/>
      <c r="BS116" s="40"/>
      <c r="BT116" s="40"/>
      <c r="BU116" s="36" t="str">
        <f aca="false">IF(BT116="","",EDATE(BT116,SG_Criteria!$B$54*12))</f>
        <v/>
      </c>
      <c r="BV116" s="33" t="str">
        <f aca="true">IF(A116="","",IF(BT116="","NOTE: not reviewed yet",IF(TODAY()&gt;BU116,"NOTE: review overdue","OK")))</f>
        <v/>
      </c>
      <c r="BW116" s="37" t="str">
        <f aca="false">IF(A116="","",ROUND((IF(LEN(D116)&gt;0,1,0)+IF(LEN(E116)&gt;0,1,0)+IF(LEN(F116)&gt;0,1,0)+IF(LEN(G116)&gt;0,1,0)+IF(LEN(H116)&gt;0,1,0)+IF(LEN(I116)&gt;0,1,0)+IF(LEN(J116)&gt;0,1,0)+IF(LEN(L116)&gt;0,1,0)+IF(LEN(R116)&gt;0,1,0)+IF(LEN(Y116)&gt;0,1,0)+IF(LEN(AE116)&gt;0,1,0)+IF(LEN(AG116)&gt;0,1,0)+IF(LEN(AH116)&gt;0,1,0)+IF(LEN(AI116)&gt;0,1,0)+IF(LEN(AJ116)&gt;0,1,0)+IF(LEN(AS116)&gt;0,1,0)+IF(LEN(BE116)&gt;0,1,0)+IF(LEN(BR116)&gt;0,1,0))/18,2))</f>
        <v/>
      </c>
      <c r="BX116" s="10" t="str">
        <f aca="false">IF(D116="","",IF(AND(AH116="Approved",ISERROR(SEARCH("FAIL",BB116))),"Y","N"))</f>
        <v/>
      </c>
      <c r="BY116" s="10" t="str">
        <f aca="false">IF(D116="","",D116&amp;"|"&amp;H116&amp;"|"&amp;F116&amp;"|"&amp;I116&amp;"|"&amp;BX116)</f>
        <v/>
      </c>
    </row>
    <row r="117" customFormat="false" ht="15" hidden="false" customHeight="false" outlineLevel="0" collapsed="false">
      <c r="A117" s="10" t="str">
        <f aca="false">IF(D117="","","ERSS-"&amp;IFERROR(VLOOKUP(D117,Lists!$AK$4:$AL$21,2,0),"??")&amp;"-"&amp;TEXT(F117,"0000")&amp;"x"&amp;TEXT(G117,"0000")&amp;"-D"&amp;TEXT(H117*1000,"0000")&amp;"-"&amp;IFERROR(VLOOKUP(I117,Lists!$Y$4:$Z$21,2,0),"??")&amp;"-"&amp;AG117)</f>
        <v/>
      </c>
      <c r="B117" s="10" t="str">
        <f aca="false">IF(D117="","",D117&amp;" for "&amp;E117&amp;", "&amp;F117&amp;" x "&amp;G117&amp;" pit, "&amp;TEXT(H117,"0.0")&amp;" m deep, "&amp;I117)</f>
        <v/>
      </c>
      <c r="C117" s="9"/>
      <c r="D117" s="9"/>
      <c r="E117" s="9"/>
      <c r="F117" s="38"/>
      <c r="G117" s="38"/>
      <c r="H117" s="42"/>
      <c r="I117" s="9"/>
      <c r="J117" s="42"/>
      <c r="K117" s="38"/>
      <c r="L117" s="9"/>
      <c r="M117" s="42"/>
      <c r="N117" s="42"/>
      <c r="O117" s="38"/>
      <c r="P117" s="9"/>
      <c r="Q117" s="9"/>
      <c r="R117" s="39"/>
      <c r="S117" s="39"/>
      <c r="T117" s="38"/>
      <c r="U117" s="38"/>
      <c r="V117" s="38"/>
      <c r="W117" s="9"/>
      <c r="X117" s="9"/>
      <c r="Y117" s="38"/>
      <c r="Z117" s="9"/>
      <c r="AA117" s="9"/>
      <c r="AB117" s="38"/>
      <c r="AC117" s="9"/>
      <c r="AD117" s="39"/>
      <c r="AE117" s="9"/>
      <c r="AF117" s="9"/>
      <c r="AG117" s="9"/>
      <c r="AH117" s="9"/>
      <c r="AI117" s="9"/>
      <c r="AJ117" s="9"/>
      <c r="AK117" s="9"/>
      <c r="AL117" s="10" t="str">
        <f aca="false">IF(A117="","",SG_Criteria!$B$6&amp;SG_Criteria!$B$11&amp;"\"&amp;A117&amp;"\")</f>
        <v/>
      </c>
      <c r="AM117" s="10" t="str">
        <f aca="false">IF(A117="","",A117&amp;"_CAD.dwg")</f>
        <v/>
      </c>
      <c r="AN117" s="10" t="str">
        <f aca="false">IF(A117="","",A117&amp;"_DWG.pdf")</f>
        <v/>
      </c>
      <c r="AO117" s="10" t="str">
        <f aca="false">IF(A117="","",IF(AK117="Y",A117&amp;"_STAAD.std","n/a"))</f>
        <v/>
      </c>
      <c r="AP117" s="10" t="str">
        <f aca="false">IF(A117="","",A117&amp;"_CALC.xlsx")</f>
        <v/>
      </c>
      <c r="AQ117" s="10" t="str">
        <f aca="false">IF(A117="","",A117&amp;"_CALC.pdf")</f>
        <v/>
      </c>
      <c r="AR117" s="9"/>
      <c r="AS117" s="9"/>
      <c r="AT117" s="39"/>
      <c r="AU117" s="39"/>
      <c r="AV117" s="39"/>
      <c r="AW117" s="39"/>
      <c r="AX117" s="39"/>
      <c r="AY117" s="12" t="str">
        <f aca="false">IF(A117="","",IF(COUNTIF(Rebar_Schedule!$A$5:$A$2004,A117)=0,"",ROUND(SUMIF(Rebar_Schedule!$A$5:$A$2004,A117,Rebar_Schedule!$K$5:$K$2004),1)))</f>
        <v/>
      </c>
      <c r="AZ117" s="33" t="str">
        <f aca="false">IF(A117="","",IF(AY117="","No rebar schedule yet",IF(ABS(AY117-N(AU117))/MAX(N(AU117),1)&gt;SG_Criteria!$B$55,"NOTE: register rebar differs from schedule by "&amp;TEXT(ABS(AY117-N(AU117))/MAX(N(AU117),1),"0%"),"OK")))</f>
        <v/>
      </c>
      <c r="BA117" s="33" t="str">
        <f aca="false">IF(OR(D117="",H117=""),"",IF(H117&lt;=IF(OR(D117="Soldier Pile &amp; Timber Lagging",D117="Trench Shoring Box",D117="Open Cut (battered)"),SG_Criteria!$B$34,SG_Criteria!$B$33),"No ERSS submission",IF(H117&lt;=SG_Criteria!$B$35,"QP(ST)",IF(H117&lt;=SG_Criteria!$B$36,"QP(ST) + AC","Geotechnical building works: QP(Geo) + AC"))))</f>
        <v/>
      </c>
      <c r="BB117" s="33" t="str">
        <f aca="false">IF(D117="","",IF(LEN(IF(AND(R117&lt;&gt;"",R117&lt;SG_Criteria!$B$37),"FAIL: base stability FOS &lt; "&amp;SG_Criteria!$B$37&amp;". ","")&amp;IF(AND(E117="Manhole",H117&gt;SG_Criteria!$B$36),"NOTE: BCA lists sewer manholes (pipe &lt;= 2 m dia) &gt; 6 m as non-GBW: QP(ST) + AC. ","")&amp;IF(AND(D117="Trench Shoring Box",I117="Kallang Formation (marine clay)"),"NOTE: check base heave / ground loss for shoring box in marine clay. ","")&amp;IF(AND(D117="Steel Sheet Pile Cofferdam",N(N117)&lt;H117*0.5),"NOTE: short toe embedment, check. ",""))=0,"OK",IF(AND(R117&lt;&gt;"",R117&lt;SG_Criteria!$B$37),"FAIL: base stability FOS &lt; "&amp;SG_Criteria!$B$37&amp;". ","")&amp;IF(AND(E117="Manhole",H117&gt;SG_Criteria!$B$36),"NOTE: BCA lists sewer manholes (pipe &lt;= 2 m dia) &gt; 6 m as non-GBW: QP(ST) + AC. ","")&amp;IF(AND(D117="Trench Shoring Box",I117="Kallang Formation (marine clay)"),"NOTE: check base heave / ground loss for shoring box in marine clay. ","")&amp;IF(AND(D117="Steel Sheet Pile Cofferdam",N(N117)&lt;H117*0.5),"NOTE: short toe embedment, check. ","")))</f>
        <v/>
      </c>
      <c r="BC117" s="9"/>
      <c r="BD117" s="9"/>
      <c r="BE117" s="9"/>
      <c r="BF117" s="10" t="str">
        <f aca="false">IF(BE117="","",IFERROR(VLOOKUP(BE117,Projects!$A$5:$D$504,2,0),"Ref not in Projects"))</f>
        <v/>
      </c>
      <c r="BG117" s="10" t="str">
        <f aca="false">IF(BE117="","",IFERROR(VLOOKUP(BE117,Projects!$A$5:$D$504,4,0),"Ref not in Projects"))</f>
        <v/>
      </c>
      <c r="BH117" s="9"/>
      <c r="BI117" s="9"/>
      <c r="BJ117" s="9"/>
      <c r="BK117" s="40"/>
      <c r="BL117" s="9"/>
      <c r="BM117" s="40"/>
      <c r="BN117" s="9"/>
      <c r="BO117" s="40"/>
      <c r="BP117" s="9"/>
      <c r="BQ117" s="9"/>
      <c r="BR117" s="9"/>
      <c r="BS117" s="40"/>
      <c r="BT117" s="40"/>
      <c r="BU117" s="36" t="str">
        <f aca="false">IF(BT117="","",EDATE(BT117,SG_Criteria!$B$54*12))</f>
        <v/>
      </c>
      <c r="BV117" s="33" t="str">
        <f aca="true">IF(A117="","",IF(BT117="","NOTE: not reviewed yet",IF(TODAY()&gt;BU117,"NOTE: review overdue","OK")))</f>
        <v/>
      </c>
      <c r="BW117" s="37" t="str">
        <f aca="false">IF(A117="","",ROUND((IF(LEN(D117)&gt;0,1,0)+IF(LEN(E117)&gt;0,1,0)+IF(LEN(F117)&gt;0,1,0)+IF(LEN(G117)&gt;0,1,0)+IF(LEN(H117)&gt;0,1,0)+IF(LEN(I117)&gt;0,1,0)+IF(LEN(J117)&gt;0,1,0)+IF(LEN(L117)&gt;0,1,0)+IF(LEN(R117)&gt;0,1,0)+IF(LEN(Y117)&gt;0,1,0)+IF(LEN(AE117)&gt;0,1,0)+IF(LEN(AG117)&gt;0,1,0)+IF(LEN(AH117)&gt;0,1,0)+IF(LEN(AI117)&gt;0,1,0)+IF(LEN(AJ117)&gt;0,1,0)+IF(LEN(AS117)&gt;0,1,0)+IF(LEN(BE117)&gt;0,1,0)+IF(LEN(BR117)&gt;0,1,0))/18,2))</f>
        <v/>
      </c>
      <c r="BX117" s="10" t="str">
        <f aca="false">IF(D117="","",IF(AND(AH117="Approved",ISERROR(SEARCH("FAIL",BB117))),"Y","N"))</f>
        <v/>
      </c>
      <c r="BY117" s="10" t="str">
        <f aca="false">IF(D117="","",D117&amp;"|"&amp;H117&amp;"|"&amp;F117&amp;"|"&amp;I117&amp;"|"&amp;BX117)</f>
        <v/>
      </c>
    </row>
    <row r="118" customFormat="false" ht="15" hidden="false" customHeight="false" outlineLevel="0" collapsed="false">
      <c r="A118" s="10" t="str">
        <f aca="false">IF(D118="","","ERSS-"&amp;IFERROR(VLOOKUP(D118,Lists!$AK$4:$AL$21,2,0),"??")&amp;"-"&amp;TEXT(F118,"0000")&amp;"x"&amp;TEXT(G118,"0000")&amp;"-D"&amp;TEXT(H118*1000,"0000")&amp;"-"&amp;IFERROR(VLOOKUP(I118,Lists!$Y$4:$Z$21,2,0),"??")&amp;"-"&amp;AG118)</f>
        <v/>
      </c>
      <c r="B118" s="10" t="str">
        <f aca="false">IF(D118="","",D118&amp;" for "&amp;E118&amp;", "&amp;F118&amp;" x "&amp;G118&amp;" pit, "&amp;TEXT(H118,"0.0")&amp;" m deep, "&amp;I118)</f>
        <v/>
      </c>
      <c r="C118" s="9"/>
      <c r="D118" s="9"/>
      <c r="E118" s="9"/>
      <c r="F118" s="38"/>
      <c r="G118" s="38"/>
      <c r="H118" s="42"/>
      <c r="I118" s="9"/>
      <c r="J118" s="42"/>
      <c r="K118" s="38"/>
      <c r="L118" s="9"/>
      <c r="M118" s="42"/>
      <c r="N118" s="42"/>
      <c r="O118" s="38"/>
      <c r="P118" s="9"/>
      <c r="Q118" s="9"/>
      <c r="R118" s="39"/>
      <c r="S118" s="39"/>
      <c r="T118" s="38"/>
      <c r="U118" s="38"/>
      <c r="V118" s="38"/>
      <c r="W118" s="9"/>
      <c r="X118" s="9"/>
      <c r="Y118" s="38"/>
      <c r="Z118" s="9"/>
      <c r="AA118" s="9"/>
      <c r="AB118" s="38"/>
      <c r="AC118" s="9"/>
      <c r="AD118" s="39"/>
      <c r="AE118" s="9"/>
      <c r="AF118" s="9"/>
      <c r="AG118" s="9"/>
      <c r="AH118" s="9"/>
      <c r="AI118" s="9"/>
      <c r="AJ118" s="9"/>
      <c r="AK118" s="9"/>
      <c r="AL118" s="10" t="str">
        <f aca="false">IF(A118="","",SG_Criteria!$B$6&amp;SG_Criteria!$B$11&amp;"\"&amp;A118&amp;"\")</f>
        <v/>
      </c>
      <c r="AM118" s="10" t="str">
        <f aca="false">IF(A118="","",A118&amp;"_CAD.dwg")</f>
        <v/>
      </c>
      <c r="AN118" s="10" t="str">
        <f aca="false">IF(A118="","",A118&amp;"_DWG.pdf")</f>
        <v/>
      </c>
      <c r="AO118" s="10" t="str">
        <f aca="false">IF(A118="","",IF(AK118="Y",A118&amp;"_STAAD.std","n/a"))</f>
        <v/>
      </c>
      <c r="AP118" s="10" t="str">
        <f aca="false">IF(A118="","",A118&amp;"_CALC.xlsx")</f>
        <v/>
      </c>
      <c r="AQ118" s="10" t="str">
        <f aca="false">IF(A118="","",A118&amp;"_CALC.pdf")</f>
        <v/>
      </c>
      <c r="AR118" s="9"/>
      <c r="AS118" s="9"/>
      <c r="AT118" s="39"/>
      <c r="AU118" s="39"/>
      <c r="AV118" s="39"/>
      <c r="AW118" s="39"/>
      <c r="AX118" s="39"/>
      <c r="AY118" s="12" t="str">
        <f aca="false">IF(A118="","",IF(COUNTIF(Rebar_Schedule!$A$5:$A$2004,A118)=0,"",ROUND(SUMIF(Rebar_Schedule!$A$5:$A$2004,A118,Rebar_Schedule!$K$5:$K$2004),1)))</f>
        <v/>
      </c>
      <c r="AZ118" s="33" t="str">
        <f aca="false">IF(A118="","",IF(AY118="","No rebar schedule yet",IF(ABS(AY118-N(AU118))/MAX(N(AU118),1)&gt;SG_Criteria!$B$55,"NOTE: register rebar differs from schedule by "&amp;TEXT(ABS(AY118-N(AU118))/MAX(N(AU118),1),"0%"),"OK")))</f>
        <v/>
      </c>
      <c r="BA118" s="33" t="str">
        <f aca="false">IF(OR(D118="",H118=""),"",IF(H118&lt;=IF(OR(D118="Soldier Pile &amp; Timber Lagging",D118="Trench Shoring Box",D118="Open Cut (battered)"),SG_Criteria!$B$34,SG_Criteria!$B$33),"No ERSS submission",IF(H118&lt;=SG_Criteria!$B$35,"QP(ST)",IF(H118&lt;=SG_Criteria!$B$36,"QP(ST) + AC","Geotechnical building works: QP(Geo) + AC"))))</f>
        <v/>
      </c>
      <c r="BB118" s="33" t="str">
        <f aca="false">IF(D118="","",IF(LEN(IF(AND(R118&lt;&gt;"",R118&lt;SG_Criteria!$B$37),"FAIL: base stability FOS &lt; "&amp;SG_Criteria!$B$37&amp;". ","")&amp;IF(AND(E118="Manhole",H118&gt;SG_Criteria!$B$36),"NOTE: BCA lists sewer manholes (pipe &lt;= 2 m dia) &gt; 6 m as non-GBW: QP(ST) + AC. ","")&amp;IF(AND(D118="Trench Shoring Box",I118="Kallang Formation (marine clay)"),"NOTE: check base heave / ground loss for shoring box in marine clay. ","")&amp;IF(AND(D118="Steel Sheet Pile Cofferdam",N(N118)&lt;H118*0.5),"NOTE: short toe embedment, check. ",""))=0,"OK",IF(AND(R118&lt;&gt;"",R118&lt;SG_Criteria!$B$37),"FAIL: base stability FOS &lt; "&amp;SG_Criteria!$B$37&amp;". ","")&amp;IF(AND(E118="Manhole",H118&gt;SG_Criteria!$B$36),"NOTE: BCA lists sewer manholes (pipe &lt;= 2 m dia) &gt; 6 m as non-GBW: QP(ST) + AC. ","")&amp;IF(AND(D118="Trench Shoring Box",I118="Kallang Formation (marine clay)"),"NOTE: check base heave / ground loss for shoring box in marine clay. ","")&amp;IF(AND(D118="Steel Sheet Pile Cofferdam",N(N118)&lt;H118*0.5),"NOTE: short toe embedment, check. ","")))</f>
        <v/>
      </c>
      <c r="BC118" s="9"/>
      <c r="BD118" s="9"/>
      <c r="BE118" s="9"/>
      <c r="BF118" s="10" t="str">
        <f aca="false">IF(BE118="","",IFERROR(VLOOKUP(BE118,Projects!$A$5:$D$504,2,0),"Ref not in Projects"))</f>
        <v/>
      </c>
      <c r="BG118" s="10" t="str">
        <f aca="false">IF(BE118="","",IFERROR(VLOOKUP(BE118,Projects!$A$5:$D$504,4,0),"Ref not in Projects"))</f>
        <v/>
      </c>
      <c r="BH118" s="9"/>
      <c r="BI118" s="9"/>
      <c r="BJ118" s="9"/>
      <c r="BK118" s="40"/>
      <c r="BL118" s="9"/>
      <c r="BM118" s="40"/>
      <c r="BN118" s="9"/>
      <c r="BO118" s="40"/>
      <c r="BP118" s="9"/>
      <c r="BQ118" s="9"/>
      <c r="BR118" s="9"/>
      <c r="BS118" s="40"/>
      <c r="BT118" s="40"/>
      <c r="BU118" s="36" t="str">
        <f aca="false">IF(BT118="","",EDATE(BT118,SG_Criteria!$B$54*12))</f>
        <v/>
      </c>
      <c r="BV118" s="33" t="str">
        <f aca="true">IF(A118="","",IF(BT118="","NOTE: not reviewed yet",IF(TODAY()&gt;BU118,"NOTE: review overdue","OK")))</f>
        <v/>
      </c>
      <c r="BW118" s="37" t="str">
        <f aca="false">IF(A118="","",ROUND((IF(LEN(D118)&gt;0,1,0)+IF(LEN(E118)&gt;0,1,0)+IF(LEN(F118)&gt;0,1,0)+IF(LEN(G118)&gt;0,1,0)+IF(LEN(H118)&gt;0,1,0)+IF(LEN(I118)&gt;0,1,0)+IF(LEN(J118)&gt;0,1,0)+IF(LEN(L118)&gt;0,1,0)+IF(LEN(R118)&gt;0,1,0)+IF(LEN(Y118)&gt;0,1,0)+IF(LEN(AE118)&gt;0,1,0)+IF(LEN(AG118)&gt;0,1,0)+IF(LEN(AH118)&gt;0,1,0)+IF(LEN(AI118)&gt;0,1,0)+IF(LEN(AJ118)&gt;0,1,0)+IF(LEN(AS118)&gt;0,1,0)+IF(LEN(BE118)&gt;0,1,0)+IF(LEN(BR118)&gt;0,1,0))/18,2))</f>
        <v/>
      </c>
      <c r="BX118" s="10" t="str">
        <f aca="false">IF(D118="","",IF(AND(AH118="Approved",ISERROR(SEARCH("FAIL",BB118))),"Y","N"))</f>
        <v/>
      </c>
      <c r="BY118" s="10" t="str">
        <f aca="false">IF(D118="","",D118&amp;"|"&amp;H118&amp;"|"&amp;F118&amp;"|"&amp;I118&amp;"|"&amp;BX118)</f>
        <v/>
      </c>
    </row>
    <row r="119" customFormat="false" ht="15" hidden="false" customHeight="false" outlineLevel="0" collapsed="false">
      <c r="A119" s="10" t="str">
        <f aca="false">IF(D119="","","ERSS-"&amp;IFERROR(VLOOKUP(D119,Lists!$AK$4:$AL$21,2,0),"??")&amp;"-"&amp;TEXT(F119,"0000")&amp;"x"&amp;TEXT(G119,"0000")&amp;"-D"&amp;TEXT(H119*1000,"0000")&amp;"-"&amp;IFERROR(VLOOKUP(I119,Lists!$Y$4:$Z$21,2,0),"??")&amp;"-"&amp;AG119)</f>
        <v/>
      </c>
      <c r="B119" s="10" t="str">
        <f aca="false">IF(D119="","",D119&amp;" for "&amp;E119&amp;", "&amp;F119&amp;" x "&amp;G119&amp;" pit, "&amp;TEXT(H119,"0.0")&amp;" m deep, "&amp;I119)</f>
        <v/>
      </c>
      <c r="C119" s="9"/>
      <c r="D119" s="9"/>
      <c r="E119" s="9"/>
      <c r="F119" s="38"/>
      <c r="G119" s="38"/>
      <c r="H119" s="42"/>
      <c r="I119" s="9"/>
      <c r="J119" s="42"/>
      <c r="K119" s="38"/>
      <c r="L119" s="9"/>
      <c r="M119" s="42"/>
      <c r="N119" s="42"/>
      <c r="O119" s="38"/>
      <c r="P119" s="9"/>
      <c r="Q119" s="9"/>
      <c r="R119" s="39"/>
      <c r="S119" s="39"/>
      <c r="T119" s="38"/>
      <c r="U119" s="38"/>
      <c r="V119" s="38"/>
      <c r="W119" s="9"/>
      <c r="X119" s="9"/>
      <c r="Y119" s="38"/>
      <c r="Z119" s="9"/>
      <c r="AA119" s="9"/>
      <c r="AB119" s="38"/>
      <c r="AC119" s="9"/>
      <c r="AD119" s="39"/>
      <c r="AE119" s="9"/>
      <c r="AF119" s="9"/>
      <c r="AG119" s="9"/>
      <c r="AH119" s="9"/>
      <c r="AI119" s="9"/>
      <c r="AJ119" s="9"/>
      <c r="AK119" s="9"/>
      <c r="AL119" s="10" t="str">
        <f aca="false">IF(A119="","",SG_Criteria!$B$6&amp;SG_Criteria!$B$11&amp;"\"&amp;A119&amp;"\")</f>
        <v/>
      </c>
      <c r="AM119" s="10" t="str">
        <f aca="false">IF(A119="","",A119&amp;"_CAD.dwg")</f>
        <v/>
      </c>
      <c r="AN119" s="10" t="str">
        <f aca="false">IF(A119="","",A119&amp;"_DWG.pdf")</f>
        <v/>
      </c>
      <c r="AO119" s="10" t="str">
        <f aca="false">IF(A119="","",IF(AK119="Y",A119&amp;"_STAAD.std","n/a"))</f>
        <v/>
      </c>
      <c r="AP119" s="10" t="str">
        <f aca="false">IF(A119="","",A119&amp;"_CALC.xlsx")</f>
        <v/>
      </c>
      <c r="AQ119" s="10" t="str">
        <f aca="false">IF(A119="","",A119&amp;"_CALC.pdf")</f>
        <v/>
      </c>
      <c r="AR119" s="9"/>
      <c r="AS119" s="9"/>
      <c r="AT119" s="39"/>
      <c r="AU119" s="39"/>
      <c r="AV119" s="39"/>
      <c r="AW119" s="39"/>
      <c r="AX119" s="39"/>
      <c r="AY119" s="12" t="str">
        <f aca="false">IF(A119="","",IF(COUNTIF(Rebar_Schedule!$A$5:$A$2004,A119)=0,"",ROUND(SUMIF(Rebar_Schedule!$A$5:$A$2004,A119,Rebar_Schedule!$K$5:$K$2004),1)))</f>
        <v/>
      </c>
      <c r="AZ119" s="33" t="str">
        <f aca="false">IF(A119="","",IF(AY119="","No rebar schedule yet",IF(ABS(AY119-N(AU119))/MAX(N(AU119),1)&gt;SG_Criteria!$B$55,"NOTE: register rebar differs from schedule by "&amp;TEXT(ABS(AY119-N(AU119))/MAX(N(AU119),1),"0%"),"OK")))</f>
        <v/>
      </c>
      <c r="BA119" s="33" t="str">
        <f aca="false">IF(OR(D119="",H119=""),"",IF(H119&lt;=IF(OR(D119="Soldier Pile &amp; Timber Lagging",D119="Trench Shoring Box",D119="Open Cut (battered)"),SG_Criteria!$B$34,SG_Criteria!$B$33),"No ERSS submission",IF(H119&lt;=SG_Criteria!$B$35,"QP(ST)",IF(H119&lt;=SG_Criteria!$B$36,"QP(ST) + AC","Geotechnical building works: QP(Geo) + AC"))))</f>
        <v/>
      </c>
      <c r="BB119" s="33" t="str">
        <f aca="false">IF(D119="","",IF(LEN(IF(AND(R119&lt;&gt;"",R119&lt;SG_Criteria!$B$37),"FAIL: base stability FOS &lt; "&amp;SG_Criteria!$B$37&amp;". ","")&amp;IF(AND(E119="Manhole",H119&gt;SG_Criteria!$B$36),"NOTE: BCA lists sewer manholes (pipe &lt;= 2 m dia) &gt; 6 m as non-GBW: QP(ST) + AC. ","")&amp;IF(AND(D119="Trench Shoring Box",I119="Kallang Formation (marine clay)"),"NOTE: check base heave / ground loss for shoring box in marine clay. ","")&amp;IF(AND(D119="Steel Sheet Pile Cofferdam",N(N119)&lt;H119*0.5),"NOTE: short toe embedment, check. ",""))=0,"OK",IF(AND(R119&lt;&gt;"",R119&lt;SG_Criteria!$B$37),"FAIL: base stability FOS &lt; "&amp;SG_Criteria!$B$37&amp;". ","")&amp;IF(AND(E119="Manhole",H119&gt;SG_Criteria!$B$36),"NOTE: BCA lists sewer manholes (pipe &lt;= 2 m dia) &gt; 6 m as non-GBW: QP(ST) + AC. ","")&amp;IF(AND(D119="Trench Shoring Box",I119="Kallang Formation (marine clay)"),"NOTE: check base heave / ground loss for shoring box in marine clay. ","")&amp;IF(AND(D119="Steel Sheet Pile Cofferdam",N(N119)&lt;H119*0.5),"NOTE: short toe embedment, check. ","")))</f>
        <v/>
      </c>
      <c r="BC119" s="9"/>
      <c r="BD119" s="9"/>
      <c r="BE119" s="9"/>
      <c r="BF119" s="10" t="str">
        <f aca="false">IF(BE119="","",IFERROR(VLOOKUP(BE119,Projects!$A$5:$D$504,2,0),"Ref not in Projects"))</f>
        <v/>
      </c>
      <c r="BG119" s="10" t="str">
        <f aca="false">IF(BE119="","",IFERROR(VLOOKUP(BE119,Projects!$A$5:$D$504,4,0),"Ref not in Projects"))</f>
        <v/>
      </c>
      <c r="BH119" s="9"/>
      <c r="BI119" s="9"/>
      <c r="BJ119" s="9"/>
      <c r="BK119" s="40"/>
      <c r="BL119" s="9"/>
      <c r="BM119" s="40"/>
      <c r="BN119" s="9"/>
      <c r="BO119" s="40"/>
      <c r="BP119" s="9"/>
      <c r="BQ119" s="9"/>
      <c r="BR119" s="9"/>
      <c r="BS119" s="40"/>
      <c r="BT119" s="40"/>
      <c r="BU119" s="36" t="str">
        <f aca="false">IF(BT119="","",EDATE(BT119,SG_Criteria!$B$54*12))</f>
        <v/>
      </c>
      <c r="BV119" s="33" t="str">
        <f aca="true">IF(A119="","",IF(BT119="","NOTE: not reviewed yet",IF(TODAY()&gt;BU119,"NOTE: review overdue","OK")))</f>
        <v/>
      </c>
      <c r="BW119" s="37" t="str">
        <f aca="false">IF(A119="","",ROUND((IF(LEN(D119)&gt;0,1,0)+IF(LEN(E119)&gt;0,1,0)+IF(LEN(F119)&gt;0,1,0)+IF(LEN(G119)&gt;0,1,0)+IF(LEN(H119)&gt;0,1,0)+IF(LEN(I119)&gt;0,1,0)+IF(LEN(J119)&gt;0,1,0)+IF(LEN(L119)&gt;0,1,0)+IF(LEN(R119)&gt;0,1,0)+IF(LEN(Y119)&gt;0,1,0)+IF(LEN(AE119)&gt;0,1,0)+IF(LEN(AG119)&gt;0,1,0)+IF(LEN(AH119)&gt;0,1,0)+IF(LEN(AI119)&gt;0,1,0)+IF(LEN(AJ119)&gt;0,1,0)+IF(LEN(AS119)&gt;0,1,0)+IF(LEN(BE119)&gt;0,1,0)+IF(LEN(BR119)&gt;0,1,0))/18,2))</f>
        <v/>
      </c>
      <c r="BX119" s="10" t="str">
        <f aca="false">IF(D119="","",IF(AND(AH119="Approved",ISERROR(SEARCH("FAIL",BB119))),"Y","N"))</f>
        <v/>
      </c>
      <c r="BY119" s="10" t="str">
        <f aca="false">IF(D119="","",D119&amp;"|"&amp;H119&amp;"|"&amp;F119&amp;"|"&amp;I119&amp;"|"&amp;BX119)</f>
        <v/>
      </c>
    </row>
    <row r="120" customFormat="false" ht="15" hidden="false" customHeight="false" outlineLevel="0" collapsed="false">
      <c r="A120" s="10" t="str">
        <f aca="false">IF(D120="","","ERSS-"&amp;IFERROR(VLOOKUP(D120,Lists!$AK$4:$AL$21,2,0),"??")&amp;"-"&amp;TEXT(F120,"0000")&amp;"x"&amp;TEXT(G120,"0000")&amp;"-D"&amp;TEXT(H120*1000,"0000")&amp;"-"&amp;IFERROR(VLOOKUP(I120,Lists!$Y$4:$Z$21,2,0),"??")&amp;"-"&amp;AG120)</f>
        <v/>
      </c>
      <c r="B120" s="10" t="str">
        <f aca="false">IF(D120="","",D120&amp;" for "&amp;E120&amp;", "&amp;F120&amp;" x "&amp;G120&amp;" pit, "&amp;TEXT(H120,"0.0")&amp;" m deep, "&amp;I120)</f>
        <v/>
      </c>
      <c r="C120" s="9"/>
      <c r="D120" s="9"/>
      <c r="E120" s="9"/>
      <c r="F120" s="38"/>
      <c r="G120" s="38"/>
      <c r="H120" s="42"/>
      <c r="I120" s="9"/>
      <c r="J120" s="42"/>
      <c r="K120" s="38"/>
      <c r="L120" s="9"/>
      <c r="M120" s="42"/>
      <c r="N120" s="42"/>
      <c r="O120" s="38"/>
      <c r="P120" s="9"/>
      <c r="Q120" s="9"/>
      <c r="R120" s="39"/>
      <c r="S120" s="39"/>
      <c r="T120" s="38"/>
      <c r="U120" s="38"/>
      <c r="V120" s="38"/>
      <c r="W120" s="9"/>
      <c r="X120" s="9"/>
      <c r="Y120" s="38"/>
      <c r="Z120" s="9"/>
      <c r="AA120" s="9"/>
      <c r="AB120" s="38"/>
      <c r="AC120" s="9"/>
      <c r="AD120" s="39"/>
      <c r="AE120" s="9"/>
      <c r="AF120" s="9"/>
      <c r="AG120" s="9"/>
      <c r="AH120" s="9"/>
      <c r="AI120" s="9"/>
      <c r="AJ120" s="9"/>
      <c r="AK120" s="9"/>
      <c r="AL120" s="10" t="str">
        <f aca="false">IF(A120="","",SG_Criteria!$B$6&amp;SG_Criteria!$B$11&amp;"\"&amp;A120&amp;"\")</f>
        <v/>
      </c>
      <c r="AM120" s="10" t="str">
        <f aca="false">IF(A120="","",A120&amp;"_CAD.dwg")</f>
        <v/>
      </c>
      <c r="AN120" s="10" t="str">
        <f aca="false">IF(A120="","",A120&amp;"_DWG.pdf")</f>
        <v/>
      </c>
      <c r="AO120" s="10" t="str">
        <f aca="false">IF(A120="","",IF(AK120="Y",A120&amp;"_STAAD.std","n/a"))</f>
        <v/>
      </c>
      <c r="AP120" s="10" t="str">
        <f aca="false">IF(A120="","",A120&amp;"_CALC.xlsx")</f>
        <v/>
      </c>
      <c r="AQ120" s="10" t="str">
        <f aca="false">IF(A120="","",A120&amp;"_CALC.pdf")</f>
        <v/>
      </c>
      <c r="AR120" s="9"/>
      <c r="AS120" s="9"/>
      <c r="AT120" s="39"/>
      <c r="AU120" s="39"/>
      <c r="AV120" s="39"/>
      <c r="AW120" s="39"/>
      <c r="AX120" s="39"/>
      <c r="AY120" s="12" t="str">
        <f aca="false">IF(A120="","",IF(COUNTIF(Rebar_Schedule!$A$5:$A$2004,A120)=0,"",ROUND(SUMIF(Rebar_Schedule!$A$5:$A$2004,A120,Rebar_Schedule!$K$5:$K$2004),1)))</f>
        <v/>
      </c>
      <c r="AZ120" s="33" t="str">
        <f aca="false">IF(A120="","",IF(AY120="","No rebar schedule yet",IF(ABS(AY120-N(AU120))/MAX(N(AU120),1)&gt;SG_Criteria!$B$55,"NOTE: register rebar differs from schedule by "&amp;TEXT(ABS(AY120-N(AU120))/MAX(N(AU120),1),"0%"),"OK")))</f>
        <v/>
      </c>
      <c r="BA120" s="33" t="str">
        <f aca="false">IF(OR(D120="",H120=""),"",IF(H120&lt;=IF(OR(D120="Soldier Pile &amp; Timber Lagging",D120="Trench Shoring Box",D120="Open Cut (battered)"),SG_Criteria!$B$34,SG_Criteria!$B$33),"No ERSS submission",IF(H120&lt;=SG_Criteria!$B$35,"QP(ST)",IF(H120&lt;=SG_Criteria!$B$36,"QP(ST) + AC","Geotechnical building works: QP(Geo) + AC"))))</f>
        <v/>
      </c>
      <c r="BB120" s="33" t="str">
        <f aca="false">IF(D120="","",IF(LEN(IF(AND(R120&lt;&gt;"",R120&lt;SG_Criteria!$B$37),"FAIL: base stability FOS &lt; "&amp;SG_Criteria!$B$37&amp;". ","")&amp;IF(AND(E120="Manhole",H120&gt;SG_Criteria!$B$36),"NOTE: BCA lists sewer manholes (pipe &lt;= 2 m dia) &gt; 6 m as non-GBW: QP(ST) + AC. ","")&amp;IF(AND(D120="Trench Shoring Box",I120="Kallang Formation (marine clay)"),"NOTE: check base heave / ground loss for shoring box in marine clay. ","")&amp;IF(AND(D120="Steel Sheet Pile Cofferdam",N(N120)&lt;H120*0.5),"NOTE: short toe embedment, check. ",""))=0,"OK",IF(AND(R120&lt;&gt;"",R120&lt;SG_Criteria!$B$37),"FAIL: base stability FOS &lt; "&amp;SG_Criteria!$B$37&amp;". ","")&amp;IF(AND(E120="Manhole",H120&gt;SG_Criteria!$B$36),"NOTE: BCA lists sewer manholes (pipe &lt;= 2 m dia) &gt; 6 m as non-GBW: QP(ST) + AC. ","")&amp;IF(AND(D120="Trench Shoring Box",I120="Kallang Formation (marine clay)"),"NOTE: check base heave / ground loss for shoring box in marine clay. ","")&amp;IF(AND(D120="Steel Sheet Pile Cofferdam",N(N120)&lt;H120*0.5),"NOTE: short toe embedment, check. ","")))</f>
        <v/>
      </c>
      <c r="BC120" s="9"/>
      <c r="BD120" s="9"/>
      <c r="BE120" s="9"/>
      <c r="BF120" s="10" t="str">
        <f aca="false">IF(BE120="","",IFERROR(VLOOKUP(BE120,Projects!$A$5:$D$504,2,0),"Ref not in Projects"))</f>
        <v/>
      </c>
      <c r="BG120" s="10" t="str">
        <f aca="false">IF(BE120="","",IFERROR(VLOOKUP(BE120,Projects!$A$5:$D$504,4,0),"Ref not in Projects"))</f>
        <v/>
      </c>
      <c r="BH120" s="9"/>
      <c r="BI120" s="9"/>
      <c r="BJ120" s="9"/>
      <c r="BK120" s="40"/>
      <c r="BL120" s="9"/>
      <c r="BM120" s="40"/>
      <c r="BN120" s="9"/>
      <c r="BO120" s="40"/>
      <c r="BP120" s="9"/>
      <c r="BQ120" s="9"/>
      <c r="BR120" s="9"/>
      <c r="BS120" s="40"/>
      <c r="BT120" s="40"/>
      <c r="BU120" s="36" t="str">
        <f aca="false">IF(BT120="","",EDATE(BT120,SG_Criteria!$B$54*12))</f>
        <v/>
      </c>
      <c r="BV120" s="33" t="str">
        <f aca="true">IF(A120="","",IF(BT120="","NOTE: not reviewed yet",IF(TODAY()&gt;BU120,"NOTE: review overdue","OK")))</f>
        <v/>
      </c>
      <c r="BW120" s="37" t="str">
        <f aca="false">IF(A120="","",ROUND((IF(LEN(D120)&gt;0,1,0)+IF(LEN(E120)&gt;0,1,0)+IF(LEN(F120)&gt;0,1,0)+IF(LEN(G120)&gt;0,1,0)+IF(LEN(H120)&gt;0,1,0)+IF(LEN(I120)&gt;0,1,0)+IF(LEN(J120)&gt;0,1,0)+IF(LEN(L120)&gt;0,1,0)+IF(LEN(R120)&gt;0,1,0)+IF(LEN(Y120)&gt;0,1,0)+IF(LEN(AE120)&gt;0,1,0)+IF(LEN(AG120)&gt;0,1,0)+IF(LEN(AH120)&gt;0,1,0)+IF(LEN(AI120)&gt;0,1,0)+IF(LEN(AJ120)&gt;0,1,0)+IF(LEN(AS120)&gt;0,1,0)+IF(LEN(BE120)&gt;0,1,0)+IF(LEN(BR120)&gt;0,1,0))/18,2))</f>
        <v/>
      </c>
      <c r="BX120" s="10" t="str">
        <f aca="false">IF(D120="","",IF(AND(AH120="Approved",ISERROR(SEARCH("FAIL",BB120))),"Y","N"))</f>
        <v/>
      </c>
      <c r="BY120" s="10" t="str">
        <f aca="false">IF(D120="","",D120&amp;"|"&amp;H120&amp;"|"&amp;F120&amp;"|"&amp;I120&amp;"|"&amp;BX120)</f>
        <v/>
      </c>
    </row>
    <row r="121" customFormat="false" ht="15" hidden="false" customHeight="false" outlineLevel="0" collapsed="false">
      <c r="A121" s="10" t="str">
        <f aca="false">IF(D121="","","ERSS-"&amp;IFERROR(VLOOKUP(D121,Lists!$AK$4:$AL$21,2,0),"??")&amp;"-"&amp;TEXT(F121,"0000")&amp;"x"&amp;TEXT(G121,"0000")&amp;"-D"&amp;TEXT(H121*1000,"0000")&amp;"-"&amp;IFERROR(VLOOKUP(I121,Lists!$Y$4:$Z$21,2,0),"??")&amp;"-"&amp;AG121)</f>
        <v/>
      </c>
      <c r="B121" s="10" t="str">
        <f aca="false">IF(D121="","",D121&amp;" for "&amp;E121&amp;", "&amp;F121&amp;" x "&amp;G121&amp;" pit, "&amp;TEXT(H121,"0.0")&amp;" m deep, "&amp;I121)</f>
        <v/>
      </c>
      <c r="C121" s="9"/>
      <c r="D121" s="9"/>
      <c r="E121" s="9"/>
      <c r="F121" s="38"/>
      <c r="G121" s="38"/>
      <c r="H121" s="42"/>
      <c r="I121" s="9"/>
      <c r="J121" s="42"/>
      <c r="K121" s="38"/>
      <c r="L121" s="9"/>
      <c r="M121" s="42"/>
      <c r="N121" s="42"/>
      <c r="O121" s="38"/>
      <c r="P121" s="9"/>
      <c r="Q121" s="9"/>
      <c r="R121" s="39"/>
      <c r="S121" s="39"/>
      <c r="T121" s="38"/>
      <c r="U121" s="38"/>
      <c r="V121" s="38"/>
      <c r="W121" s="9"/>
      <c r="X121" s="9"/>
      <c r="Y121" s="38"/>
      <c r="Z121" s="9"/>
      <c r="AA121" s="9"/>
      <c r="AB121" s="38"/>
      <c r="AC121" s="9"/>
      <c r="AD121" s="39"/>
      <c r="AE121" s="9"/>
      <c r="AF121" s="9"/>
      <c r="AG121" s="9"/>
      <c r="AH121" s="9"/>
      <c r="AI121" s="9"/>
      <c r="AJ121" s="9"/>
      <c r="AK121" s="9"/>
      <c r="AL121" s="10" t="str">
        <f aca="false">IF(A121="","",SG_Criteria!$B$6&amp;SG_Criteria!$B$11&amp;"\"&amp;A121&amp;"\")</f>
        <v/>
      </c>
      <c r="AM121" s="10" t="str">
        <f aca="false">IF(A121="","",A121&amp;"_CAD.dwg")</f>
        <v/>
      </c>
      <c r="AN121" s="10" t="str">
        <f aca="false">IF(A121="","",A121&amp;"_DWG.pdf")</f>
        <v/>
      </c>
      <c r="AO121" s="10" t="str">
        <f aca="false">IF(A121="","",IF(AK121="Y",A121&amp;"_STAAD.std","n/a"))</f>
        <v/>
      </c>
      <c r="AP121" s="10" t="str">
        <f aca="false">IF(A121="","",A121&amp;"_CALC.xlsx")</f>
        <v/>
      </c>
      <c r="AQ121" s="10" t="str">
        <f aca="false">IF(A121="","",A121&amp;"_CALC.pdf")</f>
        <v/>
      </c>
      <c r="AR121" s="9"/>
      <c r="AS121" s="9"/>
      <c r="AT121" s="39"/>
      <c r="AU121" s="39"/>
      <c r="AV121" s="39"/>
      <c r="AW121" s="39"/>
      <c r="AX121" s="39"/>
      <c r="AY121" s="12" t="str">
        <f aca="false">IF(A121="","",IF(COUNTIF(Rebar_Schedule!$A$5:$A$2004,A121)=0,"",ROUND(SUMIF(Rebar_Schedule!$A$5:$A$2004,A121,Rebar_Schedule!$K$5:$K$2004),1)))</f>
        <v/>
      </c>
      <c r="AZ121" s="33" t="str">
        <f aca="false">IF(A121="","",IF(AY121="","No rebar schedule yet",IF(ABS(AY121-N(AU121))/MAX(N(AU121),1)&gt;SG_Criteria!$B$55,"NOTE: register rebar differs from schedule by "&amp;TEXT(ABS(AY121-N(AU121))/MAX(N(AU121),1),"0%"),"OK")))</f>
        <v/>
      </c>
      <c r="BA121" s="33" t="str">
        <f aca="false">IF(OR(D121="",H121=""),"",IF(H121&lt;=IF(OR(D121="Soldier Pile &amp; Timber Lagging",D121="Trench Shoring Box",D121="Open Cut (battered)"),SG_Criteria!$B$34,SG_Criteria!$B$33),"No ERSS submission",IF(H121&lt;=SG_Criteria!$B$35,"QP(ST)",IF(H121&lt;=SG_Criteria!$B$36,"QP(ST) + AC","Geotechnical building works: QP(Geo) + AC"))))</f>
        <v/>
      </c>
      <c r="BB121" s="33" t="str">
        <f aca="false">IF(D121="","",IF(LEN(IF(AND(R121&lt;&gt;"",R121&lt;SG_Criteria!$B$37),"FAIL: base stability FOS &lt; "&amp;SG_Criteria!$B$37&amp;". ","")&amp;IF(AND(E121="Manhole",H121&gt;SG_Criteria!$B$36),"NOTE: BCA lists sewer manholes (pipe &lt;= 2 m dia) &gt; 6 m as non-GBW: QP(ST) + AC. ","")&amp;IF(AND(D121="Trench Shoring Box",I121="Kallang Formation (marine clay)"),"NOTE: check base heave / ground loss for shoring box in marine clay. ","")&amp;IF(AND(D121="Steel Sheet Pile Cofferdam",N(N121)&lt;H121*0.5),"NOTE: short toe embedment, check. ",""))=0,"OK",IF(AND(R121&lt;&gt;"",R121&lt;SG_Criteria!$B$37),"FAIL: base stability FOS &lt; "&amp;SG_Criteria!$B$37&amp;". ","")&amp;IF(AND(E121="Manhole",H121&gt;SG_Criteria!$B$36),"NOTE: BCA lists sewer manholes (pipe &lt;= 2 m dia) &gt; 6 m as non-GBW: QP(ST) + AC. ","")&amp;IF(AND(D121="Trench Shoring Box",I121="Kallang Formation (marine clay)"),"NOTE: check base heave / ground loss for shoring box in marine clay. ","")&amp;IF(AND(D121="Steel Sheet Pile Cofferdam",N(N121)&lt;H121*0.5),"NOTE: short toe embedment, check. ","")))</f>
        <v/>
      </c>
      <c r="BC121" s="9"/>
      <c r="BD121" s="9"/>
      <c r="BE121" s="9"/>
      <c r="BF121" s="10" t="str">
        <f aca="false">IF(BE121="","",IFERROR(VLOOKUP(BE121,Projects!$A$5:$D$504,2,0),"Ref not in Projects"))</f>
        <v/>
      </c>
      <c r="BG121" s="10" t="str">
        <f aca="false">IF(BE121="","",IFERROR(VLOOKUP(BE121,Projects!$A$5:$D$504,4,0),"Ref not in Projects"))</f>
        <v/>
      </c>
      <c r="BH121" s="9"/>
      <c r="BI121" s="9"/>
      <c r="BJ121" s="9"/>
      <c r="BK121" s="40"/>
      <c r="BL121" s="9"/>
      <c r="BM121" s="40"/>
      <c r="BN121" s="9"/>
      <c r="BO121" s="40"/>
      <c r="BP121" s="9"/>
      <c r="BQ121" s="9"/>
      <c r="BR121" s="9"/>
      <c r="BS121" s="40"/>
      <c r="BT121" s="40"/>
      <c r="BU121" s="36" t="str">
        <f aca="false">IF(BT121="","",EDATE(BT121,SG_Criteria!$B$54*12))</f>
        <v/>
      </c>
      <c r="BV121" s="33" t="str">
        <f aca="true">IF(A121="","",IF(BT121="","NOTE: not reviewed yet",IF(TODAY()&gt;BU121,"NOTE: review overdue","OK")))</f>
        <v/>
      </c>
      <c r="BW121" s="37" t="str">
        <f aca="false">IF(A121="","",ROUND((IF(LEN(D121)&gt;0,1,0)+IF(LEN(E121)&gt;0,1,0)+IF(LEN(F121)&gt;0,1,0)+IF(LEN(G121)&gt;0,1,0)+IF(LEN(H121)&gt;0,1,0)+IF(LEN(I121)&gt;0,1,0)+IF(LEN(J121)&gt;0,1,0)+IF(LEN(L121)&gt;0,1,0)+IF(LEN(R121)&gt;0,1,0)+IF(LEN(Y121)&gt;0,1,0)+IF(LEN(AE121)&gt;0,1,0)+IF(LEN(AG121)&gt;0,1,0)+IF(LEN(AH121)&gt;0,1,0)+IF(LEN(AI121)&gt;0,1,0)+IF(LEN(AJ121)&gt;0,1,0)+IF(LEN(AS121)&gt;0,1,0)+IF(LEN(BE121)&gt;0,1,0)+IF(LEN(BR121)&gt;0,1,0))/18,2))</f>
        <v/>
      </c>
      <c r="BX121" s="10" t="str">
        <f aca="false">IF(D121="","",IF(AND(AH121="Approved",ISERROR(SEARCH("FAIL",BB121))),"Y","N"))</f>
        <v/>
      </c>
      <c r="BY121" s="10" t="str">
        <f aca="false">IF(D121="","",D121&amp;"|"&amp;H121&amp;"|"&amp;F121&amp;"|"&amp;I121&amp;"|"&amp;BX121)</f>
        <v/>
      </c>
    </row>
    <row r="122" customFormat="false" ht="15" hidden="false" customHeight="false" outlineLevel="0" collapsed="false">
      <c r="A122" s="10" t="str">
        <f aca="false">IF(D122="","","ERSS-"&amp;IFERROR(VLOOKUP(D122,Lists!$AK$4:$AL$21,2,0),"??")&amp;"-"&amp;TEXT(F122,"0000")&amp;"x"&amp;TEXT(G122,"0000")&amp;"-D"&amp;TEXT(H122*1000,"0000")&amp;"-"&amp;IFERROR(VLOOKUP(I122,Lists!$Y$4:$Z$21,2,0),"??")&amp;"-"&amp;AG122)</f>
        <v/>
      </c>
      <c r="B122" s="10" t="str">
        <f aca="false">IF(D122="","",D122&amp;" for "&amp;E122&amp;", "&amp;F122&amp;" x "&amp;G122&amp;" pit, "&amp;TEXT(H122,"0.0")&amp;" m deep, "&amp;I122)</f>
        <v/>
      </c>
      <c r="C122" s="9"/>
      <c r="D122" s="9"/>
      <c r="E122" s="9"/>
      <c r="F122" s="38"/>
      <c r="G122" s="38"/>
      <c r="H122" s="42"/>
      <c r="I122" s="9"/>
      <c r="J122" s="42"/>
      <c r="K122" s="38"/>
      <c r="L122" s="9"/>
      <c r="M122" s="42"/>
      <c r="N122" s="42"/>
      <c r="O122" s="38"/>
      <c r="P122" s="9"/>
      <c r="Q122" s="9"/>
      <c r="R122" s="39"/>
      <c r="S122" s="39"/>
      <c r="T122" s="38"/>
      <c r="U122" s="38"/>
      <c r="V122" s="38"/>
      <c r="W122" s="9"/>
      <c r="X122" s="9"/>
      <c r="Y122" s="38"/>
      <c r="Z122" s="9"/>
      <c r="AA122" s="9"/>
      <c r="AB122" s="38"/>
      <c r="AC122" s="9"/>
      <c r="AD122" s="39"/>
      <c r="AE122" s="9"/>
      <c r="AF122" s="9"/>
      <c r="AG122" s="9"/>
      <c r="AH122" s="9"/>
      <c r="AI122" s="9"/>
      <c r="AJ122" s="9"/>
      <c r="AK122" s="9"/>
      <c r="AL122" s="10" t="str">
        <f aca="false">IF(A122="","",SG_Criteria!$B$6&amp;SG_Criteria!$B$11&amp;"\"&amp;A122&amp;"\")</f>
        <v/>
      </c>
      <c r="AM122" s="10" t="str">
        <f aca="false">IF(A122="","",A122&amp;"_CAD.dwg")</f>
        <v/>
      </c>
      <c r="AN122" s="10" t="str">
        <f aca="false">IF(A122="","",A122&amp;"_DWG.pdf")</f>
        <v/>
      </c>
      <c r="AO122" s="10" t="str">
        <f aca="false">IF(A122="","",IF(AK122="Y",A122&amp;"_STAAD.std","n/a"))</f>
        <v/>
      </c>
      <c r="AP122" s="10" t="str">
        <f aca="false">IF(A122="","",A122&amp;"_CALC.xlsx")</f>
        <v/>
      </c>
      <c r="AQ122" s="10" t="str">
        <f aca="false">IF(A122="","",A122&amp;"_CALC.pdf")</f>
        <v/>
      </c>
      <c r="AR122" s="9"/>
      <c r="AS122" s="9"/>
      <c r="AT122" s="39"/>
      <c r="AU122" s="39"/>
      <c r="AV122" s="39"/>
      <c r="AW122" s="39"/>
      <c r="AX122" s="39"/>
      <c r="AY122" s="12" t="str">
        <f aca="false">IF(A122="","",IF(COUNTIF(Rebar_Schedule!$A$5:$A$2004,A122)=0,"",ROUND(SUMIF(Rebar_Schedule!$A$5:$A$2004,A122,Rebar_Schedule!$K$5:$K$2004),1)))</f>
        <v/>
      </c>
      <c r="AZ122" s="33" t="str">
        <f aca="false">IF(A122="","",IF(AY122="","No rebar schedule yet",IF(ABS(AY122-N(AU122))/MAX(N(AU122),1)&gt;SG_Criteria!$B$55,"NOTE: register rebar differs from schedule by "&amp;TEXT(ABS(AY122-N(AU122))/MAX(N(AU122),1),"0%"),"OK")))</f>
        <v/>
      </c>
      <c r="BA122" s="33" t="str">
        <f aca="false">IF(OR(D122="",H122=""),"",IF(H122&lt;=IF(OR(D122="Soldier Pile &amp; Timber Lagging",D122="Trench Shoring Box",D122="Open Cut (battered)"),SG_Criteria!$B$34,SG_Criteria!$B$33),"No ERSS submission",IF(H122&lt;=SG_Criteria!$B$35,"QP(ST)",IF(H122&lt;=SG_Criteria!$B$36,"QP(ST) + AC","Geotechnical building works: QP(Geo) + AC"))))</f>
        <v/>
      </c>
      <c r="BB122" s="33" t="str">
        <f aca="false">IF(D122="","",IF(LEN(IF(AND(R122&lt;&gt;"",R122&lt;SG_Criteria!$B$37),"FAIL: base stability FOS &lt; "&amp;SG_Criteria!$B$37&amp;". ","")&amp;IF(AND(E122="Manhole",H122&gt;SG_Criteria!$B$36),"NOTE: BCA lists sewer manholes (pipe &lt;= 2 m dia) &gt; 6 m as non-GBW: QP(ST) + AC. ","")&amp;IF(AND(D122="Trench Shoring Box",I122="Kallang Formation (marine clay)"),"NOTE: check base heave / ground loss for shoring box in marine clay. ","")&amp;IF(AND(D122="Steel Sheet Pile Cofferdam",N(N122)&lt;H122*0.5),"NOTE: short toe embedment, check. ",""))=0,"OK",IF(AND(R122&lt;&gt;"",R122&lt;SG_Criteria!$B$37),"FAIL: base stability FOS &lt; "&amp;SG_Criteria!$B$37&amp;". ","")&amp;IF(AND(E122="Manhole",H122&gt;SG_Criteria!$B$36),"NOTE: BCA lists sewer manholes (pipe &lt;= 2 m dia) &gt; 6 m as non-GBW: QP(ST) + AC. ","")&amp;IF(AND(D122="Trench Shoring Box",I122="Kallang Formation (marine clay)"),"NOTE: check base heave / ground loss for shoring box in marine clay. ","")&amp;IF(AND(D122="Steel Sheet Pile Cofferdam",N(N122)&lt;H122*0.5),"NOTE: short toe embedment, check. ","")))</f>
        <v/>
      </c>
      <c r="BC122" s="9"/>
      <c r="BD122" s="9"/>
      <c r="BE122" s="9"/>
      <c r="BF122" s="10" t="str">
        <f aca="false">IF(BE122="","",IFERROR(VLOOKUP(BE122,Projects!$A$5:$D$504,2,0),"Ref not in Projects"))</f>
        <v/>
      </c>
      <c r="BG122" s="10" t="str">
        <f aca="false">IF(BE122="","",IFERROR(VLOOKUP(BE122,Projects!$A$5:$D$504,4,0),"Ref not in Projects"))</f>
        <v/>
      </c>
      <c r="BH122" s="9"/>
      <c r="BI122" s="9"/>
      <c r="BJ122" s="9"/>
      <c r="BK122" s="40"/>
      <c r="BL122" s="9"/>
      <c r="BM122" s="40"/>
      <c r="BN122" s="9"/>
      <c r="BO122" s="40"/>
      <c r="BP122" s="9"/>
      <c r="BQ122" s="9"/>
      <c r="BR122" s="9"/>
      <c r="BS122" s="40"/>
      <c r="BT122" s="40"/>
      <c r="BU122" s="36" t="str">
        <f aca="false">IF(BT122="","",EDATE(BT122,SG_Criteria!$B$54*12))</f>
        <v/>
      </c>
      <c r="BV122" s="33" t="str">
        <f aca="true">IF(A122="","",IF(BT122="","NOTE: not reviewed yet",IF(TODAY()&gt;BU122,"NOTE: review overdue","OK")))</f>
        <v/>
      </c>
      <c r="BW122" s="37" t="str">
        <f aca="false">IF(A122="","",ROUND((IF(LEN(D122)&gt;0,1,0)+IF(LEN(E122)&gt;0,1,0)+IF(LEN(F122)&gt;0,1,0)+IF(LEN(G122)&gt;0,1,0)+IF(LEN(H122)&gt;0,1,0)+IF(LEN(I122)&gt;0,1,0)+IF(LEN(J122)&gt;0,1,0)+IF(LEN(L122)&gt;0,1,0)+IF(LEN(R122)&gt;0,1,0)+IF(LEN(Y122)&gt;0,1,0)+IF(LEN(AE122)&gt;0,1,0)+IF(LEN(AG122)&gt;0,1,0)+IF(LEN(AH122)&gt;0,1,0)+IF(LEN(AI122)&gt;0,1,0)+IF(LEN(AJ122)&gt;0,1,0)+IF(LEN(AS122)&gt;0,1,0)+IF(LEN(BE122)&gt;0,1,0)+IF(LEN(BR122)&gt;0,1,0))/18,2))</f>
        <v/>
      </c>
      <c r="BX122" s="10" t="str">
        <f aca="false">IF(D122="","",IF(AND(AH122="Approved",ISERROR(SEARCH("FAIL",BB122))),"Y","N"))</f>
        <v/>
      </c>
      <c r="BY122" s="10" t="str">
        <f aca="false">IF(D122="","",D122&amp;"|"&amp;H122&amp;"|"&amp;F122&amp;"|"&amp;I122&amp;"|"&amp;BX122)</f>
        <v/>
      </c>
    </row>
    <row r="123" customFormat="false" ht="15" hidden="false" customHeight="false" outlineLevel="0" collapsed="false">
      <c r="A123" s="10" t="str">
        <f aca="false">IF(D123="","","ERSS-"&amp;IFERROR(VLOOKUP(D123,Lists!$AK$4:$AL$21,2,0),"??")&amp;"-"&amp;TEXT(F123,"0000")&amp;"x"&amp;TEXT(G123,"0000")&amp;"-D"&amp;TEXT(H123*1000,"0000")&amp;"-"&amp;IFERROR(VLOOKUP(I123,Lists!$Y$4:$Z$21,2,0),"??")&amp;"-"&amp;AG123)</f>
        <v/>
      </c>
      <c r="B123" s="10" t="str">
        <f aca="false">IF(D123="","",D123&amp;" for "&amp;E123&amp;", "&amp;F123&amp;" x "&amp;G123&amp;" pit, "&amp;TEXT(H123,"0.0")&amp;" m deep, "&amp;I123)</f>
        <v/>
      </c>
      <c r="C123" s="9"/>
      <c r="D123" s="9"/>
      <c r="E123" s="9"/>
      <c r="F123" s="38"/>
      <c r="G123" s="38"/>
      <c r="H123" s="42"/>
      <c r="I123" s="9"/>
      <c r="J123" s="42"/>
      <c r="K123" s="38"/>
      <c r="L123" s="9"/>
      <c r="M123" s="42"/>
      <c r="N123" s="42"/>
      <c r="O123" s="38"/>
      <c r="P123" s="9"/>
      <c r="Q123" s="9"/>
      <c r="R123" s="39"/>
      <c r="S123" s="39"/>
      <c r="T123" s="38"/>
      <c r="U123" s="38"/>
      <c r="V123" s="38"/>
      <c r="W123" s="9"/>
      <c r="X123" s="9"/>
      <c r="Y123" s="38"/>
      <c r="Z123" s="9"/>
      <c r="AA123" s="9"/>
      <c r="AB123" s="38"/>
      <c r="AC123" s="9"/>
      <c r="AD123" s="39"/>
      <c r="AE123" s="9"/>
      <c r="AF123" s="9"/>
      <c r="AG123" s="9"/>
      <c r="AH123" s="9"/>
      <c r="AI123" s="9"/>
      <c r="AJ123" s="9"/>
      <c r="AK123" s="9"/>
      <c r="AL123" s="10" t="str">
        <f aca="false">IF(A123="","",SG_Criteria!$B$6&amp;SG_Criteria!$B$11&amp;"\"&amp;A123&amp;"\")</f>
        <v/>
      </c>
      <c r="AM123" s="10" t="str">
        <f aca="false">IF(A123="","",A123&amp;"_CAD.dwg")</f>
        <v/>
      </c>
      <c r="AN123" s="10" t="str">
        <f aca="false">IF(A123="","",A123&amp;"_DWG.pdf")</f>
        <v/>
      </c>
      <c r="AO123" s="10" t="str">
        <f aca="false">IF(A123="","",IF(AK123="Y",A123&amp;"_STAAD.std","n/a"))</f>
        <v/>
      </c>
      <c r="AP123" s="10" t="str">
        <f aca="false">IF(A123="","",A123&amp;"_CALC.xlsx")</f>
        <v/>
      </c>
      <c r="AQ123" s="10" t="str">
        <f aca="false">IF(A123="","",A123&amp;"_CALC.pdf")</f>
        <v/>
      </c>
      <c r="AR123" s="9"/>
      <c r="AS123" s="9"/>
      <c r="AT123" s="39"/>
      <c r="AU123" s="39"/>
      <c r="AV123" s="39"/>
      <c r="AW123" s="39"/>
      <c r="AX123" s="39"/>
      <c r="AY123" s="12" t="str">
        <f aca="false">IF(A123="","",IF(COUNTIF(Rebar_Schedule!$A$5:$A$2004,A123)=0,"",ROUND(SUMIF(Rebar_Schedule!$A$5:$A$2004,A123,Rebar_Schedule!$K$5:$K$2004),1)))</f>
        <v/>
      </c>
      <c r="AZ123" s="33" t="str">
        <f aca="false">IF(A123="","",IF(AY123="","No rebar schedule yet",IF(ABS(AY123-N(AU123))/MAX(N(AU123),1)&gt;SG_Criteria!$B$55,"NOTE: register rebar differs from schedule by "&amp;TEXT(ABS(AY123-N(AU123))/MAX(N(AU123),1),"0%"),"OK")))</f>
        <v/>
      </c>
      <c r="BA123" s="33" t="str">
        <f aca="false">IF(OR(D123="",H123=""),"",IF(H123&lt;=IF(OR(D123="Soldier Pile &amp; Timber Lagging",D123="Trench Shoring Box",D123="Open Cut (battered)"),SG_Criteria!$B$34,SG_Criteria!$B$33),"No ERSS submission",IF(H123&lt;=SG_Criteria!$B$35,"QP(ST)",IF(H123&lt;=SG_Criteria!$B$36,"QP(ST) + AC","Geotechnical building works: QP(Geo) + AC"))))</f>
        <v/>
      </c>
      <c r="BB123" s="33" t="str">
        <f aca="false">IF(D123="","",IF(LEN(IF(AND(R123&lt;&gt;"",R123&lt;SG_Criteria!$B$37),"FAIL: base stability FOS &lt; "&amp;SG_Criteria!$B$37&amp;". ","")&amp;IF(AND(E123="Manhole",H123&gt;SG_Criteria!$B$36),"NOTE: BCA lists sewer manholes (pipe &lt;= 2 m dia) &gt; 6 m as non-GBW: QP(ST) + AC. ","")&amp;IF(AND(D123="Trench Shoring Box",I123="Kallang Formation (marine clay)"),"NOTE: check base heave / ground loss for shoring box in marine clay. ","")&amp;IF(AND(D123="Steel Sheet Pile Cofferdam",N(N123)&lt;H123*0.5),"NOTE: short toe embedment, check. ",""))=0,"OK",IF(AND(R123&lt;&gt;"",R123&lt;SG_Criteria!$B$37),"FAIL: base stability FOS &lt; "&amp;SG_Criteria!$B$37&amp;". ","")&amp;IF(AND(E123="Manhole",H123&gt;SG_Criteria!$B$36),"NOTE: BCA lists sewer manholes (pipe &lt;= 2 m dia) &gt; 6 m as non-GBW: QP(ST) + AC. ","")&amp;IF(AND(D123="Trench Shoring Box",I123="Kallang Formation (marine clay)"),"NOTE: check base heave / ground loss for shoring box in marine clay. ","")&amp;IF(AND(D123="Steel Sheet Pile Cofferdam",N(N123)&lt;H123*0.5),"NOTE: short toe embedment, check. ","")))</f>
        <v/>
      </c>
      <c r="BC123" s="9"/>
      <c r="BD123" s="9"/>
      <c r="BE123" s="9"/>
      <c r="BF123" s="10" t="str">
        <f aca="false">IF(BE123="","",IFERROR(VLOOKUP(BE123,Projects!$A$5:$D$504,2,0),"Ref not in Projects"))</f>
        <v/>
      </c>
      <c r="BG123" s="10" t="str">
        <f aca="false">IF(BE123="","",IFERROR(VLOOKUP(BE123,Projects!$A$5:$D$504,4,0),"Ref not in Projects"))</f>
        <v/>
      </c>
      <c r="BH123" s="9"/>
      <c r="BI123" s="9"/>
      <c r="BJ123" s="9"/>
      <c r="BK123" s="40"/>
      <c r="BL123" s="9"/>
      <c r="BM123" s="40"/>
      <c r="BN123" s="9"/>
      <c r="BO123" s="40"/>
      <c r="BP123" s="9"/>
      <c r="BQ123" s="9"/>
      <c r="BR123" s="9"/>
      <c r="BS123" s="40"/>
      <c r="BT123" s="40"/>
      <c r="BU123" s="36" t="str">
        <f aca="false">IF(BT123="","",EDATE(BT123,SG_Criteria!$B$54*12))</f>
        <v/>
      </c>
      <c r="BV123" s="33" t="str">
        <f aca="true">IF(A123="","",IF(BT123="","NOTE: not reviewed yet",IF(TODAY()&gt;BU123,"NOTE: review overdue","OK")))</f>
        <v/>
      </c>
      <c r="BW123" s="37" t="str">
        <f aca="false">IF(A123="","",ROUND((IF(LEN(D123)&gt;0,1,0)+IF(LEN(E123)&gt;0,1,0)+IF(LEN(F123)&gt;0,1,0)+IF(LEN(G123)&gt;0,1,0)+IF(LEN(H123)&gt;0,1,0)+IF(LEN(I123)&gt;0,1,0)+IF(LEN(J123)&gt;0,1,0)+IF(LEN(L123)&gt;0,1,0)+IF(LEN(R123)&gt;0,1,0)+IF(LEN(Y123)&gt;0,1,0)+IF(LEN(AE123)&gt;0,1,0)+IF(LEN(AG123)&gt;0,1,0)+IF(LEN(AH123)&gt;0,1,0)+IF(LEN(AI123)&gt;0,1,0)+IF(LEN(AJ123)&gt;0,1,0)+IF(LEN(AS123)&gt;0,1,0)+IF(LEN(BE123)&gt;0,1,0)+IF(LEN(BR123)&gt;0,1,0))/18,2))</f>
        <v/>
      </c>
      <c r="BX123" s="10" t="str">
        <f aca="false">IF(D123="","",IF(AND(AH123="Approved",ISERROR(SEARCH("FAIL",BB123))),"Y","N"))</f>
        <v/>
      </c>
      <c r="BY123" s="10" t="str">
        <f aca="false">IF(D123="","",D123&amp;"|"&amp;H123&amp;"|"&amp;F123&amp;"|"&amp;I123&amp;"|"&amp;BX123)</f>
        <v/>
      </c>
    </row>
    <row r="124" customFormat="false" ht="15" hidden="false" customHeight="false" outlineLevel="0" collapsed="false">
      <c r="A124" s="10" t="str">
        <f aca="false">IF(D124="","","ERSS-"&amp;IFERROR(VLOOKUP(D124,Lists!$AK$4:$AL$21,2,0),"??")&amp;"-"&amp;TEXT(F124,"0000")&amp;"x"&amp;TEXT(G124,"0000")&amp;"-D"&amp;TEXT(H124*1000,"0000")&amp;"-"&amp;IFERROR(VLOOKUP(I124,Lists!$Y$4:$Z$21,2,0),"??")&amp;"-"&amp;AG124)</f>
        <v/>
      </c>
      <c r="B124" s="10" t="str">
        <f aca="false">IF(D124="","",D124&amp;" for "&amp;E124&amp;", "&amp;F124&amp;" x "&amp;G124&amp;" pit, "&amp;TEXT(H124,"0.0")&amp;" m deep, "&amp;I124)</f>
        <v/>
      </c>
      <c r="C124" s="9"/>
      <c r="D124" s="9"/>
      <c r="E124" s="9"/>
      <c r="F124" s="38"/>
      <c r="G124" s="38"/>
      <c r="H124" s="42"/>
      <c r="I124" s="9"/>
      <c r="J124" s="42"/>
      <c r="K124" s="38"/>
      <c r="L124" s="9"/>
      <c r="M124" s="42"/>
      <c r="N124" s="42"/>
      <c r="O124" s="38"/>
      <c r="P124" s="9"/>
      <c r="Q124" s="9"/>
      <c r="R124" s="39"/>
      <c r="S124" s="39"/>
      <c r="T124" s="38"/>
      <c r="U124" s="38"/>
      <c r="V124" s="38"/>
      <c r="W124" s="9"/>
      <c r="X124" s="9"/>
      <c r="Y124" s="38"/>
      <c r="Z124" s="9"/>
      <c r="AA124" s="9"/>
      <c r="AB124" s="38"/>
      <c r="AC124" s="9"/>
      <c r="AD124" s="39"/>
      <c r="AE124" s="9"/>
      <c r="AF124" s="9"/>
      <c r="AG124" s="9"/>
      <c r="AH124" s="9"/>
      <c r="AI124" s="9"/>
      <c r="AJ124" s="9"/>
      <c r="AK124" s="9"/>
      <c r="AL124" s="10" t="str">
        <f aca="false">IF(A124="","",SG_Criteria!$B$6&amp;SG_Criteria!$B$11&amp;"\"&amp;A124&amp;"\")</f>
        <v/>
      </c>
      <c r="AM124" s="10" t="str">
        <f aca="false">IF(A124="","",A124&amp;"_CAD.dwg")</f>
        <v/>
      </c>
      <c r="AN124" s="10" t="str">
        <f aca="false">IF(A124="","",A124&amp;"_DWG.pdf")</f>
        <v/>
      </c>
      <c r="AO124" s="10" t="str">
        <f aca="false">IF(A124="","",IF(AK124="Y",A124&amp;"_STAAD.std","n/a"))</f>
        <v/>
      </c>
      <c r="AP124" s="10" t="str">
        <f aca="false">IF(A124="","",A124&amp;"_CALC.xlsx")</f>
        <v/>
      </c>
      <c r="AQ124" s="10" t="str">
        <f aca="false">IF(A124="","",A124&amp;"_CALC.pdf")</f>
        <v/>
      </c>
      <c r="AR124" s="9"/>
      <c r="AS124" s="9"/>
      <c r="AT124" s="39"/>
      <c r="AU124" s="39"/>
      <c r="AV124" s="39"/>
      <c r="AW124" s="39"/>
      <c r="AX124" s="39"/>
      <c r="AY124" s="12" t="str">
        <f aca="false">IF(A124="","",IF(COUNTIF(Rebar_Schedule!$A$5:$A$2004,A124)=0,"",ROUND(SUMIF(Rebar_Schedule!$A$5:$A$2004,A124,Rebar_Schedule!$K$5:$K$2004),1)))</f>
        <v/>
      </c>
      <c r="AZ124" s="33" t="str">
        <f aca="false">IF(A124="","",IF(AY124="","No rebar schedule yet",IF(ABS(AY124-N(AU124))/MAX(N(AU124),1)&gt;SG_Criteria!$B$55,"NOTE: register rebar differs from schedule by "&amp;TEXT(ABS(AY124-N(AU124))/MAX(N(AU124),1),"0%"),"OK")))</f>
        <v/>
      </c>
      <c r="BA124" s="33" t="str">
        <f aca="false">IF(OR(D124="",H124=""),"",IF(H124&lt;=IF(OR(D124="Soldier Pile &amp; Timber Lagging",D124="Trench Shoring Box",D124="Open Cut (battered)"),SG_Criteria!$B$34,SG_Criteria!$B$33),"No ERSS submission",IF(H124&lt;=SG_Criteria!$B$35,"QP(ST)",IF(H124&lt;=SG_Criteria!$B$36,"QP(ST) + AC","Geotechnical building works: QP(Geo) + AC"))))</f>
        <v/>
      </c>
      <c r="BB124" s="33" t="str">
        <f aca="false">IF(D124="","",IF(LEN(IF(AND(R124&lt;&gt;"",R124&lt;SG_Criteria!$B$37),"FAIL: base stability FOS &lt; "&amp;SG_Criteria!$B$37&amp;". ","")&amp;IF(AND(E124="Manhole",H124&gt;SG_Criteria!$B$36),"NOTE: BCA lists sewer manholes (pipe &lt;= 2 m dia) &gt; 6 m as non-GBW: QP(ST) + AC. ","")&amp;IF(AND(D124="Trench Shoring Box",I124="Kallang Formation (marine clay)"),"NOTE: check base heave / ground loss for shoring box in marine clay. ","")&amp;IF(AND(D124="Steel Sheet Pile Cofferdam",N(N124)&lt;H124*0.5),"NOTE: short toe embedment, check. ",""))=0,"OK",IF(AND(R124&lt;&gt;"",R124&lt;SG_Criteria!$B$37),"FAIL: base stability FOS &lt; "&amp;SG_Criteria!$B$37&amp;". ","")&amp;IF(AND(E124="Manhole",H124&gt;SG_Criteria!$B$36),"NOTE: BCA lists sewer manholes (pipe &lt;= 2 m dia) &gt; 6 m as non-GBW: QP(ST) + AC. ","")&amp;IF(AND(D124="Trench Shoring Box",I124="Kallang Formation (marine clay)"),"NOTE: check base heave / ground loss for shoring box in marine clay. ","")&amp;IF(AND(D124="Steel Sheet Pile Cofferdam",N(N124)&lt;H124*0.5),"NOTE: short toe embedment, check. ","")))</f>
        <v/>
      </c>
      <c r="BC124" s="9"/>
      <c r="BD124" s="9"/>
      <c r="BE124" s="9"/>
      <c r="BF124" s="10" t="str">
        <f aca="false">IF(BE124="","",IFERROR(VLOOKUP(BE124,Projects!$A$5:$D$504,2,0),"Ref not in Projects"))</f>
        <v/>
      </c>
      <c r="BG124" s="10" t="str">
        <f aca="false">IF(BE124="","",IFERROR(VLOOKUP(BE124,Projects!$A$5:$D$504,4,0),"Ref not in Projects"))</f>
        <v/>
      </c>
      <c r="BH124" s="9"/>
      <c r="BI124" s="9"/>
      <c r="BJ124" s="9"/>
      <c r="BK124" s="40"/>
      <c r="BL124" s="9"/>
      <c r="BM124" s="40"/>
      <c r="BN124" s="9"/>
      <c r="BO124" s="40"/>
      <c r="BP124" s="9"/>
      <c r="BQ124" s="9"/>
      <c r="BR124" s="9"/>
      <c r="BS124" s="40"/>
      <c r="BT124" s="40"/>
      <c r="BU124" s="36" t="str">
        <f aca="false">IF(BT124="","",EDATE(BT124,SG_Criteria!$B$54*12))</f>
        <v/>
      </c>
      <c r="BV124" s="33" t="str">
        <f aca="true">IF(A124="","",IF(BT124="","NOTE: not reviewed yet",IF(TODAY()&gt;BU124,"NOTE: review overdue","OK")))</f>
        <v/>
      </c>
      <c r="BW124" s="37" t="str">
        <f aca="false">IF(A124="","",ROUND((IF(LEN(D124)&gt;0,1,0)+IF(LEN(E124)&gt;0,1,0)+IF(LEN(F124)&gt;0,1,0)+IF(LEN(G124)&gt;0,1,0)+IF(LEN(H124)&gt;0,1,0)+IF(LEN(I124)&gt;0,1,0)+IF(LEN(J124)&gt;0,1,0)+IF(LEN(L124)&gt;0,1,0)+IF(LEN(R124)&gt;0,1,0)+IF(LEN(Y124)&gt;0,1,0)+IF(LEN(AE124)&gt;0,1,0)+IF(LEN(AG124)&gt;0,1,0)+IF(LEN(AH124)&gt;0,1,0)+IF(LEN(AI124)&gt;0,1,0)+IF(LEN(AJ124)&gt;0,1,0)+IF(LEN(AS124)&gt;0,1,0)+IF(LEN(BE124)&gt;0,1,0)+IF(LEN(BR124)&gt;0,1,0))/18,2))</f>
        <v/>
      </c>
      <c r="BX124" s="10" t="str">
        <f aca="false">IF(D124="","",IF(AND(AH124="Approved",ISERROR(SEARCH("FAIL",BB124))),"Y","N"))</f>
        <v/>
      </c>
      <c r="BY124" s="10" t="str">
        <f aca="false">IF(D124="","",D124&amp;"|"&amp;H124&amp;"|"&amp;F124&amp;"|"&amp;I124&amp;"|"&amp;BX124)</f>
        <v/>
      </c>
    </row>
    <row r="125" customFormat="false" ht="15" hidden="false" customHeight="false" outlineLevel="0" collapsed="false">
      <c r="A125" s="10" t="str">
        <f aca="false">IF(D125="","","ERSS-"&amp;IFERROR(VLOOKUP(D125,Lists!$AK$4:$AL$21,2,0),"??")&amp;"-"&amp;TEXT(F125,"0000")&amp;"x"&amp;TEXT(G125,"0000")&amp;"-D"&amp;TEXT(H125*1000,"0000")&amp;"-"&amp;IFERROR(VLOOKUP(I125,Lists!$Y$4:$Z$21,2,0),"??")&amp;"-"&amp;AG125)</f>
        <v/>
      </c>
      <c r="B125" s="10" t="str">
        <f aca="false">IF(D125="","",D125&amp;" for "&amp;E125&amp;", "&amp;F125&amp;" x "&amp;G125&amp;" pit, "&amp;TEXT(H125,"0.0")&amp;" m deep, "&amp;I125)</f>
        <v/>
      </c>
      <c r="C125" s="9"/>
      <c r="D125" s="9"/>
      <c r="E125" s="9"/>
      <c r="F125" s="38"/>
      <c r="G125" s="38"/>
      <c r="H125" s="42"/>
      <c r="I125" s="9"/>
      <c r="J125" s="42"/>
      <c r="K125" s="38"/>
      <c r="L125" s="9"/>
      <c r="M125" s="42"/>
      <c r="N125" s="42"/>
      <c r="O125" s="38"/>
      <c r="P125" s="9"/>
      <c r="Q125" s="9"/>
      <c r="R125" s="39"/>
      <c r="S125" s="39"/>
      <c r="T125" s="38"/>
      <c r="U125" s="38"/>
      <c r="V125" s="38"/>
      <c r="W125" s="9"/>
      <c r="X125" s="9"/>
      <c r="Y125" s="38"/>
      <c r="Z125" s="9"/>
      <c r="AA125" s="9"/>
      <c r="AB125" s="38"/>
      <c r="AC125" s="9"/>
      <c r="AD125" s="39"/>
      <c r="AE125" s="9"/>
      <c r="AF125" s="9"/>
      <c r="AG125" s="9"/>
      <c r="AH125" s="9"/>
      <c r="AI125" s="9"/>
      <c r="AJ125" s="9"/>
      <c r="AK125" s="9"/>
      <c r="AL125" s="10" t="str">
        <f aca="false">IF(A125="","",SG_Criteria!$B$6&amp;SG_Criteria!$B$11&amp;"\"&amp;A125&amp;"\")</f>
        <v/>
      </c>
      <c r="AM125" s="10" t="str">
        <f aca="false">IF(A125="","",A125&amp;"_CAD.dwg")</f>
        <v/>
      </c>
      <c r="AN125" s="10" t="str">
        <f aca="false">IF(A125="","",A125&amp;"_DWG.pdf")</f>
        <v/>
      </c>
      <c r="AO125" s="10" t="str">
        <f aca="false">IF(A125="","",IF(AK125="Y",A125&amp;"_STAAD.std","n/a"))</f>
        <v/>
      </c>
      <c r="AP125" s="10" t="str">
        <f aca="false">IF(A125="","",A125&amp;"_CALC.xlsx")</f>
        <v/>
      </c>
      <c r="AQ125" s="10" t="str">
        <f aca="false">IF(A125="","",A125&amp;"_CALC.pdf")</f>
        <v/>
      </c>
      <c r="AR125" s="9"/>
      <c r="AS125" s="9"/>
      <c r="AT125" s="39"/>
      <c r="AU125" s="39"/>
      <c r="AV125" s="39"/>
      <c r="AW125" s="39"/>
      <c r="AX125" s="39"/>
      <c r="AY125" s="12" t="str">
        <f aca="false">IF(A125="","",IF(COUNTIF(Rebar_Schedule!$A$5:$A$2004,A125)=0,"",ROUND(SUMIF(Rebar_Schedule!$A$5:$A$2004,A125,Rebar_Schedule!$K$5:$K$2004),1)))</f>
        <v/>
      </c>
      <c r="AZ125" s="33" t="str">
        <f aca="false">IF(A125="","",IF(AY125="","No rebar schedule yet",IF(ABS(AY125-N(AU125))/MAX(N(AU125),1)&gt;SG_Criteria!$B$55,"NOTE: register rebar differs from schedule by "&amp;TEXT(ABS(AY125-N(AU125))/MAX(N(AU125),1),"0%"),"OK")))</f>
        <v/>
      </c>
      <c r="BA125" s="33" t="str">
        <f aca="false">IF(OR(D125="",H125=""),"",IF(H125&lt;=IF(OR(D125="Soldier Pile &amp; Timber Lagging",D125="Trench Shoring Box",D125="Open Cut (battered)"),SG_Criteria!$B$34,SG_Criteria!$B$33),"No ERSS submission",IF(H125&lt;=SG_Criteria!$B$35,"QP(ST)",IF(H125&lt;=SG_Criteria!$B$36,"QP(ST) + AC","Geotechnical building works: QP(Geo) + AC"))))</f>
        <v/>
      </c>
      <c r="BB125" s="33" t="str">
        <f aca="false">IF(D125="","",IF(LEN(IF(AND(R125&lt;&gt;"",R125&lt;SG_Criteria!$B$37),"FAIL: base stability FOS &lt; "&amp;SG_Criteria!$B$37&amp;". ","")&amp;IF(AND(E125="Manhole",H125&gt;SG_Criteria!$B$36),"NOTE: BCA lists sewer manholes (pipe &lt;= 2 m dia) &gt; 6 m as non-GBW: QP(ST) + AC. ","")&amp;IF(AND(D125="Trench Shoring Box",I125="Kallang Formation (marine clay)"),"NOTE: check base heave / ground loss for shoring box in marine clay. ","")&amp;IF(AND(D125="Steel Sheet Pile Cofferdam",N(N125)&lt;H125*0.5),"NOTE: short toe embedment, check. ",""))=0,"OK",IF(AND(R125&lt;&gt;"",R125&lt;SG_Criteria!$B$37),"FAIL: base stability FOS &lt; "&amp;SG_Criteria!$B$37&amp;". ","")&amp;IF(AND(E125="Manhole",H125&gt;SG_Criteria!$B$36),"NOTE: BCA lists sewer manholes (pipe &lt;= 2 m dia) &gt; 6 m as non-GBW: QP(ST) + AC. ","")&amp;IF(AND(D125="Trench Shoring Box",I125="Kallang Formation (marine clay)"),"NOTE: check base heave / ground loss for shoring box in marine clay. ","")&amp;IF(AND(D125="Steel Sheet Pile Cofferdam",N(N125)&lt;H125*0.5),"NOTE: short toe embedment, check. ","")))</f>
        <v/>
      </c>
      <c r="BC125" s="9"/>
      <c r="BD125" s="9"/>
      <c r="BE125" s="9"/>
      <c r="BF125" s="10" t="str">
        <f aca="false">IF(BE125="","",IFERROR(VLOOKUP(BE125,Projects!$A$5:$D$504,2,0),"Ref not in Projects"))</f>
        <v/>
      </c>
      <c r="BG125" s="10" t="str">
        <f aca="false">IF(BE125="","",IFERROR(VLOOKUP(BE125,Projects!$A$5:$D$504,4,0),"Ref not in Projects"))</f>
        <v/>
      </c>
      <c r="BH125" s="9"/>
      <c r="BI125" s="9"/>
      <c r="BJ125" s="9"/>
      <c r="BK125" s="40"/>
      <c r="BL125" s="9"/>
      <c r="BM125" s="40"/>
      <c r="BN125" s="9"/>
      <c r="BO125" s="40"/>
      <c r="BP125" s="9"/>
      <c r="BQ125" s="9"/>
      <c r="BR125" s="9"/>
      <c r="BS125" s="40"/>
      <c r="BT125" s="40"/>
      <c r="BU125" s="36" t="str">
        <f aca="false">IF(BT125="","",EDATE(BT125,SG_Criteria!$B$54*12))</f>
        <v/>
      </c>
      <c r="BV125" s="33" t="str">
        <f aca="true">IF(A125="","",IF(BT125="","NOTE: not reviewed yet",IF(TODAY()&gt;BU125,"NOTE: review overdue","OK")))</f>
        <v/>
      </c>
      <c r="BW125" s="37" t="str">
        <f aca="false">IF(A125="","",ROUND((IF(LEN(D125)&gt;0,1,0)+IF(LEN(E125)&gt;0,1,0)+IF(LEN(F125)&gt;0,1,0)+IF(LEN(G125)&gt;0,1,0)+IF(LEN(H125)&gt;0,1,0)+IF(LEN(I125)&gt;0,1,0)+IF(LEN(J125)&gt;0,1,0)+IF(LEN(L125)&gt;0,1,0)+IF(LEN(R125)&gt;0,1,0)+IF(LEN(Y125)&gt;0,1,0)+IF(LEN(AE125)&gt;0,1,0)+IF(LEN(AG125)&gt;0,1,0)+IF(LEN(AH125)&gt;0,1,0)+IF(LEN(AI125)&gt;0,1,0)+IF(LEN(AJ125)&gt;0,1,0)+IF(LEN(AS125)&gt;0,1,0)+IF(LEN(BE125)&gt;0,1,0)+IF(LEN(BR125)&gt;0,1,0))/18,2))</f>
        <v/>
      </c>
      <c r="BX125" s="10" t="str">
        <f aca="false">IF(D125="","",IF(AND(AH125="Approved",ISERROR(SEARCH("FAIL",BB125))),"Y","N"))</f>
        <v/>
      </c>
      <c r="BY125" s="10" t="str">
        <f aca="false">IF(D125="","",D125&amp;"|"&amp;H125&amp;"|"&amp;F125&amp;"|"&amp;I125&amp;"|"&amp;BX125)</f>
        <v/>
      </c>
    </row>
    <row r="126" customFormat="false" ht="15" hidden="false" customHeight="false" outlineLevel="0" collapsed="false">
      <c r="A126" s="10" t="str">
        <f aca="false">IF(D126="","","ERSS-"&amp;IFERROR(VLOOKUP(D126,Lists!$AK$4:$AL$21,2,0),"??")&amp;"-"&amp;TEXT(F126,"0000")&amp;"x"&amp;TEXT(G126,"0000")&amp;"-D"&amp;TEXT(H126*1000,"0000")&amp;"-"&amp;IFERROR(VLOOKUP(I126,Lists!$Y$4:$Z$21,2,0),"??")&amp;"-"&amp;AG126)</f>
        <v/>
      </c>
      <c r="B126" s="10" t="str">
        <f aca="false">IF(D126="","",D126&amp;" for "&amp;E126&amp;", "&amp;F126&amp;" x "&amp;G126&amp;" pit, "&amp;TEXT(H126,"0.0")&amp;" m deep, "&amp;I126)</f>
        <v/>
      </c>
      <c r="C126" s="9"/>
      <c r="D126" s="9"/>
      <c r="E126" s="9"/>
      <c r="F126" s="38"/>
      <c r="G126" s="38"/>
      <c r="H126" s="42"/>
      <c r="I126" s="9"/>
      <c r="J126" s="42"/>
      <c r="K126" s="38"/>
      <c r="L126" s="9"/>
      <c r="M126" s="42"/>
      <c r="N126" s="42"/>
      <c r="O126" s="38"/>
      <c r="P126" s="9"/>
      <c r="Q126" s="9"/>
      <c r="R126" s="39"/>
      <c r="S126" s="39"/>
      <c r="T126" s="38"/>
      <c r="U126" s="38"/>
      <c r="V126" s="38"/>
      <c r="W126" s="9"/>
      <c r="X126" s="9"/>
      <c r="Y126" s="38"/>
      <c r="Z126" s="9"/>
      <c r="AA126" s="9"/>
      <c r="AB126" s="38"/>
      <c r="AC126" s="9"/>
      <c r="AD126" s="39"/>
      <c r="AE126" s="9"/>
      <c r="AF126" s="9"/>
      <c r="AG126" s="9"/>
      <c r="AH126" s="9"/>
      <c r="AI126" s="9"/>
      <c r="AJ126" s="9"/>
      <c r="AK126" s="9"/>
      <c r="AL126" s="10" t="str">
        <f aca="false">IF(A126="","",SG_Criteria!$B$6&amp;SG_Criteria!$B$11&amp;"\"&amp;A126&amp;"\")</f>
        <v/>
      </c>
      <c r="AM126" s="10" t="str">
        <f aca="false">IF(A126="","",A126&amp;"_CAD.dwg")</f>
        <v/>
      </c>
      <c r="AN126" s="10" t="str">
        <f aca="false">IF(A126="","",A126&amp;"_DWG.pdf")</f>
        <v/>
      </c>
      <c r="AO126" s="10" t="str">
        <f aca="false">IF(A126="","",IF(AK126="Y",A126&amp;"_STAAD.std","n/a"))</f>
        <v/>
      </c>
      <c r="AP126" s="10" t="str">
        <f aca="false">IF(A126="","",A126&amp;"_CALC.xlsx")</f>
        <v/>
      </c>
      <c r="AQ126" s="10" t="str">
        <f aca="false">IF(A126="","",A126&amp;"_CALC.pdf")</f>
        <v/>
      </c>
      <c r="AR126" s="9"/>
      <c r="AS126" s="9"/>
      <c r="AT126" s="39"/>
      <c r="AU126" s="39"/>
      <c r="AV126" s="39"/>
      <c r="AW126" s="39"/>
      <c r="AX126" s="39"/>
      <c r="AY126" s="12" t="str">
        <f aca="false">IF(A126="","",IF(COUNTIF(Rebar_Schedule!$A$5:$A$2004,A126)=0,"",ROUND(SUMIF(Rebar_Schedule!$A$5:$A$2004,A126,Rebar_Schedule!$K$5:$K$2004),1)))</f>
        <v/>
      </c>
      <c r="AZ126" s="33" t="str">
        <f aca="false">IF(A126="","",IF(AY126="","No rebar schedule yet",IF(ABS(AY126-N(AU126))/MAX(N(AU126),1)&gt;SG_Criteria!$B$55,"NOTE: register rebar differs from schedule by "&amp;TEXT(ABS(AY126-N(AU126))/MAX(N(AU126),1),"0%"),"OK")))</f>
        <v/>
      </c>
      <c r="BA126" s="33" t="str">
        <f aca="false">IF(OR(D126="",H126=""),"",IF(H126&lt;=IF(OR(D126="Soldier Pile &amp; Timber Lagging",D126="Trench Shoring Box",D126="Open Cut (battered)"),SG_Criteria!$B$34,SG_Criteria!$B$33),"No ERSS submission",IF(H126&lt;=SG_Criteria!$B$35,"QP(ST)",IF(H126&lt;=SG_Criteria!$B$36,"QP(ST) + AC","Geotechnical building works: QP(Geo) + AC"))))</f>
        <v/>
      </c>
      <c r="BB126" s="33" t="str">
        <f aca="false">IF(D126="","",IF(LEN(IF(AND(R126&lt;&gt;"",R126&lt;SG_Criteria!$B$37),"FAIL: base stability FOS &lt; "&amp;SG_Criteria!$B$37&amp;". ","")&amp;IF(AND(E126="Manhole",H126&gt;SG_Criteria!$B$36),"NOTE: BCA lists sewer manholes (pipe &lt;= 2 m dia) &gt; 6 m as non-GBW: QP(ST) + AC. ","")&amp;IF(AND(D126="Trench Shoring Box",I126="Kallang Formation (marine clay)"),"NOTE: check base heave / ground loss for shoring box in marine clay. ","")&amp;IF(AND(D126="Steel Sheet Pile Cofferdam",N(N126)&lt;H126*0.5),"NOTE: short toe embedment, check. ",""))=0,"OK",IF(AND(R126&lt;&gt;"",R126&lt;SG_Criteria!$B$37),"FAIL: base stability FOS &lt; "&amp;SG_Criteria!$B$37&amp;". ","")&amp;IF(AND(E126="Manhole",H126&gt;SG_Criteria!$B$36),"NOTE: BCA lists sewer manholes (pipe &lt;= 2 m dia) &gt; 6 m as non-GBW: QP(ST) + AC. ","")&amp;IF(AND(D126="Trench Shoring Box",I126="Kallang Formation (marine clay)"),"NOTE: check base heave / ground loss for shoring box in marine clay. ","")&amp;IF(AND(D126="Steel Sheet Pile Cofferdam",N(N126)&lt;H126*0.5),"NOTE: short toe embedment, check. ","")))</f>
        <v/>
      </c>
      <c r="BC126" s="9"/>
      <c r="BD126" s="9"/>
      <c r="BE126" s="9"/>
      <c r="BF126" s="10" t="str">
        <f aca="false">IF(BE126="","",IFERROR(VLOOKUP(BE126,Projects!$A$5:$D$504,2,0),"Ref not in Projects"))</f>
        <v/>
      </c>
      <c r="BG126" s="10" t="str">
        <f aca="false">IF(BE126="","",IFERROR(VLOOKUP(BE126,Projects!$A$5:$D$504,4,0),"Ref not in Projects"))</f>
        <v/>
      </c>
      <c r="BH126" s="9"/>
      <c r="BI126" s="9"/>
      <c r="BJ126" s="9"/>
      <c r="BK126" s="40"/>
      <c r="BL126" s="9"/>
      <c r="BM126" s="40"/>
      <c r="BN126" s="9"/>
      <c r="BO126" s="40"/>
      <c r="BP126" s="9"/>
      <c r="BQ126" s="9"/>
      <c r="BR126" s="9"/>
      <c r="BS126" s="40"/>
      <c r="BT126" s="40"/>
      <c r="BU126" s="36" t="str">
        <f aca="false">IF(BT126="","",EDATE(BT126,SG_Criteria!$B$54*12))</f>
        <v/>
      </c>
      <c r="BV126" s="33" t="str">
        <f aca="true">IF(A126="","",IF(BT126="","NOTE: not reviewed yet",IF(TODAY()&gt;BU126,"NOTE: review overdue","OK")))</f>
        <v/>
      </c>
      <c r="BW126" s="37" t="str">
        <f aca="false">IF(A126="","",ROUND((IF(LEN(D126)&gt;0,1,0)+IF(LEN(E126)&gt;0,1,0)+IF(LEN(F126)&gt;0,1,0)+IF(LEN(G126)&gt;0,1,0)+IF(LEN(H126)&gt;0,1,0)+IF(LEN(I126)&gt;0,1,0)+IF(LEN(J126)&gt;0,1,0)+IF(LEN(L126)&gt;0,1,0)+IF(LEN(R126)&gt;0,1,0)+IF(LEN(Y126)&gt;0,1,0)+IF(LEN(AE126)&gt;0,1,0)+IF(LEN(AG126)&gt;0,1,0)+IF(LEN(AH126)&gt;0,1,0)+IF(LEN(AI126)&gt;0,1,0)+IF(LEN(AJ126)&gt;0,1,0)+IF(LEN(AS126)&gt;0,1,0)+IF(LEN(BE126)&gt;0,1,0)+IF(LEN(BR126)&gt;0,1,0))/18,2))</f>
        <v/>
      </c>
      <c r="BX126" s="10" t="str">
        <f aca="false">IF(D126="","",IF(AND(AH126="Approved",ISERROR(SEARCH("FAIL",BB126))),"Y","N"))</f>
        <v/>
      </c>
      <c r="BY126" s="10" t="str">
        <f aca="false">IF(D126="","",D126&amp;"|"&amp;H126&amp;"|"&amp;F126&amp;"|"&amp;I126&amp;"|"&amp;BX126)</f>
        <v/>
      </c>
    </row>
    <row r="127" customFormat="false" ht="15" hidden="false" customHeight="false" outlineLevel="0" collapsed="false">
      <c r="A127" s="10" t="str">
        <f aca="false">IF(D127="","","ERSS-"&amp;IFERROR(VLOOKUP(D127,Lists!$AK$4:$AL$21,2,0),"??")&amp;"-"&amp;TEXT(F127,"0000")&amp;"x"&amp;TEXT(G127,"0000")&amp;"-D"&amp;TEXT(H127*1000,"0000")&amp;"-"&amp;IFERROR(VLOOKUP(I127,Lists!$Y$4:$Z$21,2,0),"??")&amp;"-"&amp;AG127)</f>
        <v/>
      </c>
      <c r="B127" s="10" t="str">
        <f aca="false">IF(D127="","",D127&amp;" for "&amp;E127&amp;", "&amp;F127&amp;" x "&amp;G127&amp;" pit, "&amp;TEXT(H127,"0.0")&amp;" m deep, "&amp;I127)</f>
        <v/>
      </c>
      <c r="C127" s="9"/>
      <c r="D127" s="9"/>
      <c r="E127" s="9"/>
      <c r="F127" s="38"/>
      <c r="G127" s="38"/>
      <c r="H127" s="42"/>
      <c r="I127" s="9"/>
      <c r="J127" s="42"/>
      <c r="K127" s="38"/>
      <c r="L127" s="9"/>
      <c r="M127" s="42"/>
      <c r="N127" s="42"/>
      <c r="O127" s="38"/>
      <c r="P127" s="9"/>
      <c r="Q127" s="9"/>
      <c r="R127" s="39"/>
      <c r="S127" s="39"/>
      <c r="T127" s="38"/>
      <c r="U127" s="38"/>
      <c r="V127" s="38"/>
      <c r="W127" s="9"/>
      <c r="X127" s="9"/>
      <c r="Y127" s="38"/>
      <c r="Z127" s="9"/>
      <c r="AA127" s="9"/>
      <c r="AB127" s="38"/>
      <c r="AC127" s="9"/>
      <c r="AD127" s="39"/>
      <c r="AE127" s="9"/>
      <c r="AF127" s="9"/>
      <c r="AG127" s="9"/>
      <c r="AH127" s="9"/>
      <c r="AI127" s="9"/>
      <c r="AJ127" s="9"/>
      <c r="AK127" s="9"/>
      <c r="AL127" s="10" t="str">
        <f aca="false">IF(A127="","",SG_Criteria!$B$6&amp;SG_Criteria!$B$11&amp;"\"&amp;A127&amp;"\")</f>
        <v/>
      </c>
      <c r="AM127" s="10" t="str">
        <f aca="false">IF(A127="","",A127&amp;"_CAD.dwg")</f>
        <v/>
      </c>
      <c r="AN127" s="10" t="str">
        <f aca="false">IF(A127="","",A127&amp;"_DWG.pdf")</f>
        <v/>
      </c>
      <c r="AO127" s="10" t="str">
        <f aca="false">IF(A127="","",IF(AK127="Y",A127&amp;"_STAAD.std","n/a"))</f>
        <v/>
      </c>
      <c r="AP127" s="10" t="str">
        <f aca="false">IF(A127="","",A127&amp;"_CALC.xlsx")</f>
        <v/>
      </c>
      <c r="AQ127" s="10" t="str">
        <f aca="false">IF(A127="","",A127&amp;"_CALC.pdf")</f>
        <v/>
      </c>
      <c r="AR127" s="9"/>
      <c r="AS127" s="9"/>
      <c r="AT127" s="39"/>
      <c r="AU127" s="39"/>
      <c r="AV127" s="39"/>
      <c r="AW127" s="39"/>
      <c r="AX127" s="39"/>
      <c r="AY127" s="12" t="str">
        <f aca="false">IF(A127="","",IF(COUNTIF(Rebar_Schedule!$A$5:$A$2004,A127)=0,"",ROUND(SUMIF(Rebar_Schedule!$A$5:$A$2004,A127,Rebar_Schedule!$K$5:$K$2004),1)))</f>
        <v/>
      </c>
      <c r="AZ127" s="33" t="str">
        <f aca="false">IF(A127="","",IF(AY127="","No rebar schedule yet",IF(ABS(AY127-N(AU127))/MAX(N(AU127),1)&gt;SG_Criteria!$B$55,"NOTE: register rebar differs from schedule by "&amp;TEXT(ABS(AY127-N(AU127))/MAX(N(AU127),1),"0%"),"OK")))</f>
        <v/>
      </c>
      <c r="BA127" s="33" t="str">
        <f aca="false">IF(OR(D127="",H127=""),"",IF(H127&lt;=IF(OR(D127="Soldier Pile &amp; Timber Lagging",D127="Trench Shoring Box",D127="Open Cut (battered)"),SG_Criteria!$B$34,SG_Criteria!$B$33),"No ERSS submission",IF(H127&lt;=SG_Criteria!$B$35,"QP(ST)",IF(H127&lt;=SG_Criteria!$B$36,"QP(ST) + AC","Geotechnical building works: QP(Geo) + AC"))))</f>
        <v/>
      </c>
      <c r="BB127" s="33" t="str">
        <f aca="false">IF(D127="","",IF(LEN(IF(AND(R127&lt;&gt;"",R127&lt;SG_Criteria!$B$37),"FAIL: base stability FOS &lt; "&amp;SG_Criteria!$B$37&amp;". ","")&amp;IF(AND(E127="Manhole",H127&gt;SG_Criteria!$B$36),"NOTE: BCA lists sewer manholes (pipe &lt;= 2 m dia) &gt; 6 m as non-GBW: QP(ST) + AC. ","")&amp;IF(AND(D127="Trench Shoring Box",I127="Kallang Formation (marine clay)"),"NOTE: check base heave / ground loss for shoring box in marine clay. ","")&amp;IF(AND(D127="Steel Sheet Pile Cofferdam",N(N127)&lt;H127*0.5),"NOTE: short toe embedment, check. ",""))=0,"OK",IF(AND(R127&lt;&gt;"",R127&lt;SG_Criteria!$B$37),"FAIL: base stability FOS &lt; "&amp;SG_Criteria!$B$37&amp;". ","")&amp;IF(AND(E127="Manhole",H127&gt;SG_Criteria!$B$36),"NOTE: BCA lists sewer manholes (pipe &lt;= 2 m dia) &gt; 6 m as non-GBW: QP(ST) + AC. ","")&amp;IF(AND(D127="Trench Shoring Box",I127="Kallang Formation (marine clay)"),"NOTE: check base heave / ground loss for shoring box in marine clay. ","")&amp;IF(AND(D127="Steel Sheet Pile Cofferdam",N(N127)&lt;H127*0.5),"NOTE: short toe embedment, check. ","")))</f>
        <v/>
      </c>
      <c r="BC127" s="9"/>
      <c r="BD127" s="9"/>
      <c r="BE127" s="9"/>
      <c r="BF127" s="10" t="str">
        <f aca="false">IF(BE127="","",IFERROR(VLOOKUP(BE127,Projects!$A$5:$D$504,2,0),"Ref not in Projects"))</f>
        <v/>
      </c>
      <c r="BG127" s="10" t="str">
        <f aca="false">IF(BE127="","",IFERROR(VLOOKUP(BE127,Projects!$A$5:$D$504,4,0),"Ref not in Projects"))</f>
        <v/>
      </c>
      <c r="BH127" s="9"/>
      <c r="BI127" s="9"/>
      <c r="BJ127" s="9"/>
      <c r="BK127" s="40"/>
      <c r="BL127" s="9"/>
      <c r="BM127" s="40"/>
      <c r="BN127" s="9"/>
      <c r="BO127" s="40"/>
      <c r="BP127" s="9"/>
      <c r="BQ127" s="9"/>
      <c r="BR127" s="9"/>
      <c r="BS127" s="40"/>
      <c r="BT127" s="40"/>
      <c r="BU127" s="36" t="str">
        <f aca="false">IF(BT127="","",EDATE(BT127,SG_Criteria!$B$54*12))</f>
        <v/>
      </c>
      <c r="BV127" s="33" t="str">
        <f aca="true">IF(A127="","",IF(BT127="","NOTE: not reviewed yet",IF(TODAY()&gt;BU127,"NOTE: review overdue","OK")))</f>
        <v/>
      </c>
      <c r="BW127" s="37" t="str">
        <f aca="false">IF(A127="","",ROUND((IF(LEN(D127)&gt;0,1,0)+IF(LEN(E127)&gt;0,1,0)+IF(LEN(F127)&gt;0,1,0)+IF(LEN(G127)&gt;0,1,0)+IF(LEN(H127)&gt;0,1,0)+IF(LEN(I127)&gt;0,1,0)+IF(LEN(J127)&gt;0,1,0)+IF(LEN(L127)&gt;0,1,0)+IF(LEN(R127)&gt;0,1,0)+IF(LEN(Y127)&gt;0,1,0)+IF(LEN(AE127)&gt;0,1,0)+IF(LEN(AG127)&gt;0,1,0)+IF(LEN(AH127)&gt;0,1,0)+IF(LEN(AI127)&gt;0,1,0)+IF(LEN(AJ127)&gt;0,1,0)+IF(LEN(AS127)&gt;0,1,0)+IF(LEN(BE127)&gt;0,1,0)+IF(LEN(BR127)&gt;0,1,0))/18,2))</f>
        <v/>
      </c>
      <c r="BX127" s="10" t="str">
        <f aca="false">IF(D127="","",IF(AND(AH127="Approved",ISERROR(SEARCH("FAIL",BB127))),"Y","N"))</f>
        <v/>
      </c>
      <c r="BY127" s="10" t="str">
        <f aca="false">IF(D127="","",D127&amp;"|"&amp;H127&amp;"|"&amp;F127&amp;"|"&amp;I127&amp;"|"&amp;BX127)</f>
        <v/>
      </c>
    </row>
    <row r="128" customFormat="false" ht="15" hidden="false" customHeight="false" outlineLevel="0" collapsed="false">
      <c r="A128" s="10" t="str">
        <f aca="false">IF(D128="","","ERSS-"&amp;IFERROR(VLOOKUP(D128,Lists!$AK$4:$AL$21,2,0),"??")&amp;"-"&amp;TEXT(F128,"0000")&amp;"x"&amp;TEXT(G128,"0000")&amp;"-D"&amp;TEXT(H128*1000,"0000")&amp;"-"&amp;IFERROR(VLOOKUP(I128,Lists!$Y$4:$Z$21,2,0),"??")&amp;"-"&amp;AG128)</f>
        <v/>
      </c>
      <c r="B128" s="10" t="str">
        <f aca="false">IF(D128="","",D128&amp;" for "&amp;E128&amp;", "&amp;F128&amp;" x "&amp;G128&amp;" pit, "&amp;TEXT(H128,"0.0")&amp;" m deep, "&amp;I128)</f>
        <v/>
      </c>
      <c r="C128" s="9"/>
      <c r="D128" s="9"/>
      <c r="E128" s="9"/>
      <c r="F128" s="38"/>
      <c r="G128" s="38"/>
      <c r="H128" s="42"/>
      <c r="I128" s="9"/>
      <c r="J128" s="42"/>
      <c r="K128" s="38"/>
      <c r="L128" s="9"/>
      <c r="M128" s="42"/>
      <c r="N128" s="42"/>
      <c r="O128" s="38"/>
      <c r="P128" s="9"/>
      <c r="Q128" s="9"/>
      <c r="R128" s="39"/>
      <c r="S128" s="39"/>
      <c r="T128" s="38"/>
      <c r="U128" s="38"/>
      <c r="V128" s="38"/>
      <c r="W128" s="9"/>
      <c r="X128" s="9"/>
      <c r="Y128" s="38"/>
      <c r="Z128" s="9"/>
      <c r="AA128" s="9"/>
      <c r="AB128" s="38"/>
      <c r="AC128" s="9"/>
      <c r="AD128" s="39"/>
      <c r="AE128" s="9"/>
      <c r="AF128" s="9"/>
      <c r="AG128" s="9"/>
      <c r="AH128" s="9"/>
      <c r="AI128" s="9"/>
      <c r="AJ128" s="9"/>
      <c r="AK128" s="9"/>
      <c r="AL128" s="10" t="str">
        <f aca="false">IF(A128="","",SG_Criteria!$B$6&amp;SG_Criteria!$B$11&amp;"\"&amp;A128&amp;"\")</f>
        <v/>
      </c>
      <c r="AM128" s="10" t="str">
        <f aca="false">IF(A128="","",A128&amp;"_CAD.dwg")</f>
        <v/>
      </c>
      <c r="AN128" s="10" t="str">
        <f aca="false">IF(A128="","",A128&amp;"_DWG.pdf")</f>
        <v/>
      </c>
      <c r="AO128" s="10" t="str">
        <f aca="false">IF(A128="","",IF(AK128="Y",A128&amp;"_STAAD.std","n/a"))</f>
        <v/>
      </c>
      <c r="AP128" s="10" t="str">
        <f aca="false">IF(A128="","",A128&amp;"_CALC.xlsx")</f>
        <v/>
      </c>
      <c r="AQ128" s="10" t="str">
        <f aca="false">IF(A128="","",A128&amp;"_CALC.pdf")</f>
        <v/>
      </c>
      <c r="AR128" s="9"/>
      <c r="AS128" s="9"/>
      <c r="AT128" s="39"/>
      <c r="AU128" s="39"/>
      <c r="AV128" s="39"/>
      <c r="AW128" s="39"/>
      <c r="AX128" s="39"/>
      <c r="AY128" s="12" t="str">
        <f aca="false">IF(A128="","",IF(COUNTIF(Rebar_Schedule!$A$5:$A$2004,A128)=0,"",ROUND(SUMIF(Rebar_Schedule!$A$5:$A$2004,A128,Rebar_Schedule!$K$5:$K$2004),1)))</f>
        <v/>
      </c>
      <c r="AZ128" s="33" t="str">
        <f aca="false">IF(A128="","",IF(AY128="","No rebar schedule yet",IF(ABS(AY128-N(AU128))/MAX(N(AU128),1)&gt;SG_Criteria!$B$55,"NOTE: register rebar differs from schedule by "&amp;TEXT(ABS(AY128-N(AU128))/MAX(N(AU128),1),"0%"),"OK")))</f>
        <v/>
      </c>
      <c r="BA128" s="33" t="str">
        <f aca="false">IF(OR(D128="",H128=""),"",IF(H128&lt;=IF(OR(D128="Soldier Pile &amp; Timber Lagging",D128="Trench Shoring Box",D128="Open Cut (battered)"),SG_Criteria!$B$34,SG_Criteria!$B$33),"No ERSS submission",IF(H128&lt;=SG_Criteria!$B$35,"QP(ST)",IF(H128&lt;=SG_Criteria!$B$36,"QP(ST) + AC","Geotechnical building works: QP(Geo) + AC"))))</f>
        <v/>
      </c>
      <c r="BB128" s="33" t="str">
        <f aca="false">IF(D128="","",IF(LEN(IF(AND(R128&lt;&gt;"",R128&lt;SG_Criteria!$B$37),"FAIL: base stability FOS &lt; "&amp;SG_Criteria!$B$37&amp;". ","")&amp;IF(AND(E128="Manhole",H128&gt;SG_Criteria!$B$36),"NOTE: BCA lists sewer manholes (pipe &lt;= 2 m dia) &gt; 6 m as non-GBW: QP(ST) + AC. ","")&amp;IF(AND(D128="Trench Shoring Box",I128="Kallang Formation (marine clay)"),"NOTE: check base heave / ground loss for shoring box in marine clay. ","")&amp;IF(AND(D128="Steel Sheet Pile Cofferdam",N(N128)&lt;H128*0.5),"NOTE: short toe embedment, check. ",""))=0,"OK",IF(AND(R128&lt;&gt;"",R128&lt;SG_Criteria!$B$37),"FAIL: base stability FOS &lt; "&amp;SG_Criteria!$B$37&amp;". ","")&amp;IF(AND(E128="Manhole",H128&gt;SG_Criteria!$B$36),"NOTE: BCA lists sewer manholes (pipe &lt;= 2 m dia) &gt; 6 m as non-GBW: QP(ST) + AC. ","")&amp;IF(AND(D128="Trench Shoring Box",I128="Kallang Formation (marine clay)"),"NOTE: check base heave / ground loss for shoring box in marine clay. ","")&amp;IF(AND(D128="Steel Sheet Pile Cofferdam",N(N128)&lt;H128*0.5),"NOTE: short toe embedment, check. ","")))</f>
        <v/>
      </c>
      <c r="BC128" s="9"/>
      <c r="BD128" s="9"/>
      <c r="BE128" s="9"/>
      <c r="BF128" s="10" t="str">
        <f aca="false">IF(BE128="","",IFERROR(VLOOKUP(BE128,Projects!$A$5:$D$504,2,0),"Ref not in Projects"))</f>
        <v/>
      </c>
      <c r="BG128" s="10" t="str">
        <f aca="false">IF(BE128="","",IFERROR(VLOOKUP(BE128,Projects!$A$5:$D$504,4,0),"Ref not in Projects"))</f>
        <v/>
      </c>
      <c r="BH128" s="9"/>
      <c r="BI128" s="9"/>
      <c r="BJ128" s="9"/>
      <c r="BK128" s="40"/>
      <c r="BL128" s="9"/>
      <c r="BM128" s="40"/>
      <c r="BN128" s="9"/>
      <c r="BO128" s="40"/>
      <c r="BP128" s="9"/>
      <c r="BQ128" s="9"/>
      <c r="BR128" s="9"/>
      <c r="BS128" s="40"/>
      <c r="BT128" s="40"/>
      <c r="BU128" s="36" t="str">
        <f aca="false">IF(BT128="","",EDATE(BT128,SG_Criteria!$B$54*12))</f>
        <v/>
      </c>
      <c r="BV128" s="33" t="str">
        <f aca="true">IF(A128="","",IF(BT128="","NOTE: not reviewed yet",IF(TODAY()&gt;BU128,"NOTE: review overdue","OK")))</f>
        <v/>
      </c>
      <c r="BW128" s="37" t="str">
        <f aca="false">IF(A128="","",ROUND((IF(LEN(D128)&gt;0,1,0)+IF(LEN(E128)&gt;0,1,0)+IF(LEN(F128)&gt;0,1,0)+IF(LEN(G128)&gt;0,1,0)+IF(LEN(H128)&gt;0,1,0)+IF(LEN(I128)&gt;0,1,0)+IF(LEN(J128)&gt;0,1,0)+IF(LEN(L128)&gt;0,1,0)+IF(LEN(R128)&gt;0,1,0)+IF(LEN(Y128)&gt;0,1,0)+IF(LEN(AE128)&gt;0,1,0)+IF(LEN(AG128)&gt;0,1,0)+IF(LEN(AH128)&gt;0,1,0)+IF(LEN(AI128)&gt;0,1,0)+IF(LEN(AJ128)&gt;0,1,0)+IF(LEN(AS128)&gt;0,1,0)+IF(LEN(BE128)&gt;0,1,0)+IF(LEN(BR128)&gt;0,1,0))/18,2))</f>
        <v/>
      </c>
      <c r="BX128" s="10" t="str">
        <f aca="false">IF(D128="","",IF(AND(AH128="Approved",ISERROR(SEARCH("FAIL",BB128))),"Y","N"))</f>
        <v/>
      </c>
      <c r="BY128" s="10" t="str">
        <f aca="false">IF(D128="","",D128&amp;"|"&amp;H128&amp;"|"&amp;F128&amp;"|"&amp;I128&amp;"|"&amp;BX128)</f>
        <v/>
      </c>
    </row>
    <row r="129" customFormat="false" ht="15" hidden="false" customHeight="false" outlineLevel="0" collapsed="false">
      <c r="A129" s="10" t="str">
        <f aca="false">IF(D129="","","ERSS-"&amp;IFERROR(VLOOKUP(D129,Lists!$AK$4:$AL$21,2,0),"??")&amp;"-"&amp;TEXT(F129,"0000")&amp;"x"&amp;TEXT(G129,"0000")&amp;"-D"&amp;TEXT(H129*1000,"0000")&amp;"-"&amp;IFERROR(VLOOKUP(I129,Lists!$Y$4:$Z$21,2,0),"??")&amp;"-"&amp;AG129)</f>
        <v/>
      </c>
      <c r="B129" s="10" t="str">
        <f aca="false">IF(D129="","",D129&amp;" for "&amp;E129&amp;", "&amp;F129&amp;" x "&amp;G129&amp;" pit, "&amp;TEXT(H129,"0.0")&amp;" m deep, "&amp;I129)</f>
        <v/>
      </c>
      <c r="C129" s="9"/>
      <c r="D129" s="9"/>
      <c r="E129" s="9"/>
      <c r="F129" s="38"/>
      <c r="G129" s="38"/>
      <c r="H129" s="42"/>
      <c r="I129" s="9"/>
      <c r="J129" s="42"/>
      <c r="K129" s="38"/>
      <c r="L129" s="9"/>
      <c r="M129" s="42"/>
      <c r="N129" s="42"/>
      <c r="O129" s="38"/>
      <c r="P129" s="9"/>
      <c r="Q129" s="9"/>
      <c r="R129" s="39"/>
      <c r="S129" s="39"/>
      <c r="T129" s="38"/>
      <c r="U129" s="38"/>
      <c r="V129" s="38"/>
      <c r="W129" s="9"/>
      <c r="X129" s="9"/>
      <c r="Y129" s="38"/>
      <c r="Z129" s="9"/>
      <c r="AA129" s="9"/>
      <c r="AB129" s="38"/>
      <c r="AC129" s="9"/>
      <c r="AD129" s="39"/>
      <c r="AE129" s="9"/>
      <c r="AF129" s="9"/>
      <c r="AG129" s="9"/>
      <c r="AH129" s="9"/>
      <c r="AI129" s="9"/>
      <c r="AJ129" s="9"/>
      <c r="AK129" s="9"/>
      <c r="AL129" s="10" t="str">
        <f aca="false">IF(A129="","",SG_Criteria!$B$6&amp;SG_Criteria!$B$11&amp;"\"&amp;A129&amp;"\")</f>
        <v/>
      </c>
      <c r="AM129" s="10" t="str">
        <f aca="false">IF(A129="","",A129&amp;"_CAD.dwg")</f>
        <v/>
      </c>
      <c r="AN129" s="10" t="str">
        <f aca="false">IF(A129="","",A129&amp;"_DWG.pdf")</f>
        <v/>
      </c>
      <c r="AO129" s="10" t="str">
        <f aca="false">IF(A129="","",IF(AK129="Y",A129&amp;"_STAAD.std","n/a"))</f>
        <v/>
      </c>
      <c r="AP129" s="10" t="str">
        <f aca="false">IF(A129="","",A129&amp;"_CALC.xlsx")</f>
        <v/>
      </c>
      <c r="AQ129" s="10" t="str">
        <f aca="false">IF(A129="","",A129&amp;"_CALC.pdf")</f>
        <v/>
      </c>
      <c r="AR129" s="9"/>
      <c r="AS129" s="9"/>
      <c r="AT129" s="39"/>
      <c r="AU129" s="39"/>
      <c r="AV129" s="39"/>
      <c r="AW129" s="39"/>
      <c r="AX129" s="39"/>
      <c r="AY129" s="12" t="str">
        <f aca="false">IF(A129="","",IF(COUNTIF(Rebar_Schedule!$A$5:$A$2004,A129)=0,"",ROUND(SUMIF(Rebar_Schedule!$A$5:$A$2004,A129,Rebar_Schedule!$K$5:$K$2004),1)))</f>
        <v/>
      </c>
      <c r="AZ129" s="33" t="str">
        <f aca="false">IF(A129="","",IF(AY129="","No rebar schedule yet",IF(ABS(AY129-N(AU129))/MAX(N(AU129),1)&gt;SG_Criteria!$B$55,"NOTE: register rebar differs from schedule by "&amp;TEXT(ABS(AY129-N(AU129))/MAX(N(AU129),1),"0%"),"OK")))</f>
        <v/>
      </c>
      <c r="BA129" s="33" t="str">
        <f aca="false">IF(OR(D129="",H129=""),"",IF(H129&lt;=IF(OR(D129="Soldier Pile &amp; Timber Lagging",D129="Trench Shoring Box",D129="Open Cut (battered)"),SG_Criteria!$B$34,SG_Criteria!$B$33),"No ERSS submission",IF(H129&lt;=SG_Criteria!$B$35,"QP(ST)",IF(H129&lt;=SG_Criteria!$B$36,"QP(ST) + AC","Geotechnical building works: QP(Geo) + AC"))))</f>
        <v/>
      </c>
      <c r="BB129" s="33" t="str">
        <f aca="false">IF(D129="","",IF(LEN(IF(AND(R129&lt;&gt;"",R129&lt;SG_Criteria!$B$37),"FAIL: base stability FOS &lt; "&amp;SG_Criteria!$B$37&amp;". ","")&amp;IF(AND(E129="Manhole",H129&gt;SG_Criteria!$B$36),"NOTE: BCA lists sewer manholes (pipe &lt;= 2 m dia) &gt; 6 m as non-GBW: QP(ST) + AC. ","")&amp;IF(AND(D129="Trench Shoring Box",I129="Kallang Formation (marine clay)"),"NOTE: check base heave / ground loss for shoring box in marine clay. ","")&amp;IF(AND(D129="Steel Sheet Pile Cofferdam",N(N129)&lt;H129*0.5),"NOTE: short toe embedment, check. ",""))=0,"OK",IF(AND(R129&lt;&gt;"",R129&lt;SG_Criteria!$B$37),"FAIL: base stability FOS &lt; "&amp;SG_Criteria!$B$37&amp;". ","")&amp;IF(AND(E129="Manhole",H129&gt;SG_Criteria!$B$36),"NOTE: BCA lists sewer manholes (pipe &lt;= 2 m dia) &gt; 6 m as non-GBW: QP(ST) + AC. ","")&amp;IF(AND(D129="Trench Shoring Box",I129="Kallang Formation (marine clay)"),"NOTE: check base heave / ground loss for shoring box in marine clay. ","")&amp;IF(AND(D129="Steel Sheet Pile Cofferdam",N(N129)&lt;H129*0.5),"NOTE: short toe embedment, check. ","")))</f>
        <v/>
      </c>
      <c r="BC129" s="9"/>
      <c r="BD129" s="9"/>
      <c r="BE129" s="9"/>
      <c r="BF129" s="10" t="str">
        <f aca="false">IF(BE129="","",IFERROR(VLOOKUP(BE129,Projects!$A$5:$D$504,2,0),"Ref not in Projects"))</f>
        <v/>
      </c>
      <c r="BG129" s="10" t="str">
        <f aca="false">IF(BE129="","",IFERROR(VLOOKUP(BE129,Projects!$A$5:$D$504,4,0),"Ref not in Projects"))</f>
        <v/>
      </c>
      <c r="BH129" s="9"/>
      <c r="BI129" s="9"/>
      <c r="BJ129" s="9"/>
      <c r="BK129" s="40"/>
      <c r="BL129" s="9"/>
      <c r="BM129" s="40"/>
      <c r="BN129" s="9"/>
      <c r="BO129" s="40"/>
      <c r="BP129" s="9"/>
      <c r="BQ129" s="9"/>
      <c r="BR129" s="9"/>
      <c r="BS129" s="40"/>
      <c r="BT129" s="40"/>
      <c r="BU129" s="36" t="str">
        <f aca="false">IF(BT129="","",EDATE(BT129,SG_Criteria!$B$54*12))</f>
        <v/>
      </c>
      <c r="BV129" s="33" t="str">
        <f aca="true">IF(A129="","",IF(BT129="","NOTE: not reviewed yet",IF(TODAY()&gt;BU129,"NOTE: review overdue","OK")))</f>
        <v/>
      </c>
      <c r="BW129" s="37" t="str">
        <f aca="false">IF(A129="","",ROUND((IF(LEN(D129)&gt;0,1,0)+IF(LEN(E129)&gt;0,1,0)+IF(LEN(F129)&gt;0,1,0)+IF(LEN(G129)&gt;0,1,0)+IF(LEN(H129)&gt;0,1,0)+IF(LEN(I129)&gt;0,1,0)+IF(LEN(J129)&gt;0,1,0)+IF(LEN(L129)&gt;0,1,0)+IF(LEN(R129)&gt;0,1,0)+IF(LEN(Y129)&gt;0,1,0)+IF(LEN(AE129)&gt;0,1,0)+IF(LEN(AG129)&gt;0,1,0)+IF(LEN(AH129)&gt;0,1,0)+IF(LEN(AI129)&gt;0,1,0)+IF(LEN(AJ129)&gt;0,1,0)+IF(LEN(AS129)&gt;0,1,0)+IF(LEN(BE129)&gt;0,1,0)+IF(LEN(BR129)&gt;0,1,0))/18,2))</f>
        <v/>
      </c>
      <c r="BX129" s="10" t="str">
        <f aca="false">IF(D129="","",IF(AND(AH129="Approved",ISERROR(SEARCH("FAIL",BB129))),"Y","N"))</f>
        <v/>
      </c>
      <c r="BY129" s="10" t="str">
        <f aca="false">IF(D129="","",D129&amp;"|"&amp;H129&amp;"|"&amp;F129&amp;"|"&amp;I129&amp;"|"&amp;BX129)</f>
        <v/>
      </c>
    </row>
    <row r="130" customFormat="false" ht="15" hidden="false" customHeight="false" outlineLevel="0" collapsed="false">
      <c r="A130" s="10" t="str">
        <f aca="false">IF(D130="","","ERSS-"&amp;IFERROR(VLOOKUP(D130,Lists!$AK$4:$AL$21,2,0),"??")&amp;"-"&amp;TEXT(F130,"0000")&amp;"x"&amp;TEXT(G130,"0000")&amp;"-D"&amp;TEXT(H130*1000,"0000")&amp;"-"&amp;IFERROR(VLOOKUP(I130,Lists!$Y$4:$Z$21,2,0),"??")&amp;"-"&amp;AG130)</f>
        <v/>
      </c>
      <c r="B130" s="10" t="str">
        <f aca="false">IF(D130="","",D130&amp;" for "&amp;E130&amp;", "&amp;F130&amp;" x "&amp;G130&amp;" pit, "&amp;TEXT(H130,"0.0")&amp;" m deep, "&amp;I130)</f>
        <v/>
      </c>
      <c r="C130" s="9"/>
      <c r="D130" s="9"/>
      <c r="E130" s="9"/>
      <c r="F130" s="38"/>
      <c r="G130" s="38"/>
      <c r="H130" s="42"/>
      <c r="I130" s="9"/>
      <c r="J130" s="42"/>
      <c r="K130" s="38"/>
      <c r="L130" s="9"/>
      <c r="M130" s="42"/>
      <c r="N130" s="42"/>
      <c r="O130" s="38"/>
      <c r="P130" s="9"/>
      <c r="Q130" s="9"/>
      <c r="R130" s="39"/>
      <c r="S130" s="39"/>
      <c r="T130" s="38"/>
      <c r="U130" s="38"/>
      <c r="V130" s="38"/>
      <c r="W130" s="9"/>
      <c r="X130" s="9"/>
      <c r="Y130" s="38"/>
      <c r="Z130" s="9"/>
      <c r="AA130" s="9"/>
      <c r="AB130" s="38"/>
      <c r="AC130" s="9"/>
      <c r="AD130" s="39"/>
      <c r="AE130" s="9"/>
      <c r="AF130" s="9"/>
      <c r="AG130" s="9"/>
      <c r="AH130" s="9"/>
      <c r="AI130" s="9"/>
      <c r="AJ130" s="9"/>
      <c r="AK130" s="9"/>
      <c r="AL130" s="10" t="str">
        <f aca="false">IF(A130="","",SG_Criteria!$B$6&amp;SG_Criteria!$B$11&amp;"\"&amp;A130&amp;"\")</f>
        <v/>
      </c>
      <c r="AM130" s="10" t="str">
        <f aca="false">IF(A130="","",A130&amp;"_CAD.dwg")</f>
        <v/>
      </c>
      <c r="AN130" s="10" t="str">
        <f aca="false">IF(A130="","",A130&amp;"_DWG.pdf")</f>
        <v/>
      </c>
      <c r="AO130" s="10" t="str">
        <f aca="false">IF(A130="","",IF(AK130="Y",A130&amp;"_STAAD.std","n/a"))</f>
        <v/>
      </c>
      <c r="AP130" s="10" t="str">
        <f aca="false">IF(A130="","",A130&amp;"_CALC.xlsx")</f>
        <v/>
      </c>
      <c r="AQ130" s="10" t="str">
        <f aca="false">IF(A130="","",A130&amp;"_CALC.pdf")</f>
        <v/>
      </c>
      <c r="AR130" s="9"/>
      <c r="AS130" s="9"/>
      <c r="AT130" s="39"/>
      <c r="AU130" s="39"/>
      <c r="AV130" s="39"/>
      <c r="AW130" s="39"/>
      <c r="AX130" s="39"/>
      <c r="AY130" s="12" t="str">
        <f aca="false">IF(A130="","",IF(COUNTIF(Rebar_Schedule!$A$5:$A$2004,A130)=0,"",ROUND(SUMIF(Rebar_Schedule!$A$5:$A$2004,A130,Rebar_Schedule!$K$5:$K$2004),1)))</f>
        <v/>
      </c>
      <c r="AZ130" s="33" t="str">
        <f aca="false">IF(A130="","",IF(AY130="","No rebar schedule yet",IF(ABS(AY130-N(AU130))/MAX(N(AU130),1)&gt;SG_Criteria!$B$55,"NOTE: register rebar differs from schedule by "&amp;TEXT(ABS(AY130-N(AU130))/MAX(N(AU130),1),"0%"),"OK")))</f>
        <v/>
      </c>
      <c r="BA130" s="33" t="str">
        <f aca="false">IF(OR(D130="",H130=""),"",IF(H130&lt;=IF(OR(D130="Soldier Pile &amp; Timber Lagging",D130="Trench Shoring Box",D130="Open Cut (battered)"),SG_Criteria!$B$34,SG_Criteria!$B$33),"No ERSS submission",IF(H130&lt;=SG_Criteria!$B$35,"QP(ST)",IF(H130&lt;=SG_Criteria!$B$36,"QP(ST) + AC","Geotechnical building works: QP(Geo) + AC"))))</f>
        <v/>
      </c>
      <c r="BB130" s="33" t="str">
        <f aca="false">IF(D130="","",IF(LEN(IF(AND(R130&lt;&gt;"",R130&lt;SG_Criteria!$B$37),"FAIL: base stability FOS &lt; "&amp;SG_Criteria!$B$37&amp;". ","")&amp;IF(AND(E130="Manhole",H130&gt;SG_Criteria!$B$36),"NOTE: BCA lists sewer manholes (pipe &lt;= 2 m dia) &gt; 6 m as non-GBW: QP(ST) + AC. ","")&amp;IF(AND(D130="Trench Shoring Box",I130="Kallang Formation (marine clay)"),"NOTE: check base heave / ground loss for shoring box in marine clay. ","")&amp;IF(AND(D130="Steel Sheet Pile Cofferdam",N(N130)&lt;H130*0.5),"NOTE: short toe embedment, check. ",""))=0,"OK",IF(AND(R130&lt;&gt;"",R130&lt;SG_Criteria!$B$37),"FAIL: base stability FOS &lt; "&amp;SG_Criteria!$B$37&amp;". ","")&amp;IF(AND(E130="Manhole",H130&gt;SG_Criteria!$B$36),"NOTE: BCA lists sewer manholes (pipe &lt;= 2 m dia) &gt; 6 m as non-GBW: QP(ST) + AC. ","")&amp;IF(AND(D130="Trench Shoring Box",I130="Kallang Formation (marine clay)"),"NOTE: check base heave / ground loss for shoring box in marine clay. ","")&amp;IF(AND(D130="Steel Sheet Pile Cofferdam",N(N130)&lt;H130*0.5),"NOTE: short toe embedment, check. ","")))</f>
        <v/>
      </c>
      <c r="BC130" s="9"/>
      <c r="BD130" s="9"/>
      <c r="BE130" s="9"/>
      <c r="BF130" s="10" t="str">
        <f aca="false">IF(BE130="","",IFERROR(VLOOKUP(BE130,Projects!$A$5:$D$504,2,0),"Ref not in Projects"))</f>
        <v/>
      </c>
      <c r="BG130" s="10" t="str">
        <f aca="false">IF(BE130="","",IFERROR(VLOOKUP(BE130,Projects!$A$5:$D$504,4,0),"Ref not in Projects"))</f>
        <v/>
      </c>
      <c r="BH130" s="9"/>
      <c r="BI130" s="9"/>
      <c r="BJ130" s="9"/>
      <c r="BK130" s="40"/>
      <c r="BL130" s="9"/>
      <c r="BM130" s="40"/>
      <c r="BN130" s="9"/>
      <c r="BO130" s="40"/>
      <c r="BP130" s="9"/>
      <c r="BQ130" s="9"/>
      <c r="BR130" s="9"/>
      <c r="BS130" s="40"/>
      <c r="BT130" s="40"/>
      <c r="BU130" s="36" t="str">
        <f aca="false">IF(BT130="","",EDATE(BT130,SG_Criteria!$B$54*12))</f>
        <v/>
      </c>
      <c r="BV130" s="33" t="str">
        <f aca="true">IF(A130="","",IF(BT130="","NOTE: not reviewed yet",IF(TODAY()&gt;BU130,"NOTE: review overdue","OK")))</f>
        <v/>
      </c>
      <c r="BW130" s="37" t="str">
        <f aca="false">IF(A130="","",ROUND((IF(LEN(D130)&gt;0,1,0)+IF(LEN(E130)&gt;0,1,0)+IF(LEN(F130)&gt;0,1,0)+IF(LEN(G130)&gt;0,1,0)+IF(LEN(H130)&gt;0,1,0)+IF(LEN(I130)&gt;0,1,0)+IF(LEN(J130)&gt;0,1,0)+IF(LEN(L130)&gt;0,1,0)+IF(LEN(R130)&gt;0,1,0)+IF(LEN(Y130)&gt;0,1,0)+IF(LEN(AE130)&gt;0,1,0)+IF(LEN(AG130)&gt;0,1,0)+IF(LEN(AH130)&gt;0,1,0)+IF(LEN(AI130)&gt;0,1,0)+IF(LEN(AJ130)&gt;0,1,0)+IF(LEN(AS130)&gt;0,1,0)+IF(LEN(BE130)&gt;0,1,0)+IF(LEN(BR130)&gt;0,1,0))/18,2))</f>
        <v/>
      </c>
      <c r="BX130" s="10" t="str">
        <f aca="false">IF(D130="","",IF(AND(AH130="Approved",ISERROR(SEARCH("FAIL",BB130))),"Y","N"))</f>
        <v/>
      </c>
      <c r="BY130" s="10" t="str">
        <f aca="false">IF(D130="","",D130&amp;"|"&amp;H130&amp;"|"&amp;F130&amp;"|"&amp;I130&amp;"|"&amp;BX130)</f>
        <v/>
      </c>
    </row>
    <row r="131" customFormat="false" ht="15" hidden="false" customHeight="false" outlineLevel="0" collapsed="false">
      <c r="A131" s="10" t="str">
        <f aca="false">IF(D131="","","ERSS-"&amp;IFERROR(VLOOKUP(D131,Lists!$AK$4:$AL$21,2,0),"??")&amp;"-"&amp;TEXT(F131,"0000")&amp;"x"&amp;TEXT(G131,"0000")&amp;"-D"&amp;TEXT(H131*1000,"0000")&amp;"-"&amp;IFERROR(VLOOKUP(I131,Lists!$Y$4:$Z$21,2,0),"??")&amp;"-"&amp;AG131)</f>
        <v/>
      </c>
      <c r="B131" s="10" t="str">
        <f aca="false">IF(D131="","",D131&amp;" for "&amp;E131&amp;", "&amp;F131&amp;" x "&amp;G131&amp;" pit, "&amp;TEXT(H131,"0.0")&amp;" m deep, "&amp;I131)</f>
        <v/>
      </c>
      <c r="C131" s="9"/>
      <c r="D131" s="9"/>
      <c r="E131" s="9"/>
      <c r="F131" s="38"/>
      <c r="G131" s="38"/>
      <c r="H131" s="42"/>
      <c r="I131" s="9"/>
      <c r="J131" s="42"/>
      <c r="K131" s="38"/>
      <c r="L131" s="9"/>
      <c r="M131" s="42"/>
      <c r="N131" s="42"/>
      <c r="O131" s="38"/>
      <c r="P131" s="9"/>
      <c r="Q131" s="9"/>
      <c r="R131" s="39"/>
      <c r="S131" s="39"/>
      <c r="T131" s="38"/>
      <c r="U131" s="38"/>
      <c r="V131" s="38"/>
      <c r="W131" s="9"/>
      <c r="X131" s="9"/>
      <c r="Y131" s="38"/>
      <c r="Z131" s="9"/>
      <c r="AA131" s="9"/>
      <c r="AB131" s="38"/>
      <c r="AC131" s="9"/>
      <c r="AD131" s="39"/>
      <c r="AE131" s="9"/>
      <c r="AF131" s="9"/>
      <c r="AG131" s="9"/>
      <c r="AH131" s="9"/>
      <c r="AI131" s="9"/>
      <c r="AJ131" s="9"/>
      <c r="AK131" s="9"/>
      <c r="AL131" s="10" t="str">
        <f aca="false">IF(A131="","",SG_Criteria!$B$6&amp;SG_Criteria!$B$11&amp;"\"&amp;A131&amp;"\")</f>
        <v/>
      </c>
      <c r="AM131" s="10" t="str">
        <f aca="false">IF(A131="","",A131&amp;"_CAD.dwg")</f>
        <v/>
      </c>
      <c r="AN131" s="10" t="str">
        <f aca="false">IF(A131="","",A131&amp;"_DWG.pdf")</f>
        <v/>
      </c>
      <c r="AO131" s="10" t="str">
        <f aca="false">IF(A131="","",IF(AK131="Y",A131&amp;"_STAAD.std","n/a"))</f>
        <v/>
      </c>
      <c r="AP131" s="10" t="str">
        <f aca="false">IF(A131="","",A131&amp;"_CALC.xlsx")</f>
        <v/>
      </c>
      <c r="AQ131" s="10" t="str">
        <f aca="false">IF(A131="","",A131&amp;"_CALC.pdf")</f>
        <v/>
      </c>
      <c r="AR131" s="9"/>
      <c r="AS131" s="9"/>
      <c r="AT131" s="39"/>
      <c r="AU131" s="39"/>
      <c r="AV131" s="39"/>
      <c r="AW131" s="39"/>
      <c r="AX131" s="39"/>
      <c r="AY131" s="12" t="str">
        <f aca="false">IF(A131="","",IF(COUNTIF(Rebar_Schedule!$A$5:$A$2004,A131)=0,"",ROUND(SUMIF(Rebar_Schedule!$A$5:$A$2004,A131,Rebar_Schedule!$K$5:$K$2004),1)))</f>
        <v/>
      </c>
      <c r="AZ131" s="33" t="str">
        <f aca="false">IF(A131="","",IF(AY131="","No rebar schedule yet",IF(ABS(AY131-N(AU131))/MAX(N(AU131),1)&gt;SG_Criteria!$B$55,"NOTE: register rebar differs from schedule by "&amp;TEXT(ABS(AY131-N(AU131))/MAX(N(AU131),1),"0%"),"OK")))</f>
        <v/>
      </c>
      <c r="BA131" s="33" t="str">
        <f aca="false">IF(OR(D131="",H131=""),"",IF(H131&lt;=IF(OR(D131="Soldier Pile &amp; Timber Lagging",D131="Trench Shoring Box",D131="Open Cut (battered)"),SG_Criteria!$B$34,SG_Criteria!$B$33),"No ERSS submission",IF(H131&lt;=SG_Criteria!$B$35,"QP(ST)",IF(H131&lt;=SG_Criteria!$B$36,"QP(ST) + AC","Geotechnical building works: QP(Geo) + AC"))))</f>
        <v/>
      </c>
      <c r="BB131" s="33" t="str">
        <f aca="false">IF(D131="","",IF(LEN(IF(AND(R131&lt;&gt;"",R131&lt;SG_Criteria!$B$37),"FAIL: base stability FOS &lt; "&amp;SG_Criteria!$B$37&amp;". ","")&amp;IF(AND(E131="Manhole",H131&gt;SG_Criteria!$B$36),"NOTE: BCA lists sewer manholes (pipe &lt;= 2 m dia) &gt; 6 m as non-GBW: QP(ST) + AC. ","")&amp;IF(AND(D131="Trench Shoring Box",I131="Kallang Formation (marine clay)"),"NOTE: check base heave / ground loss for shoring box in marine clay. ","")&amp;IF(AND(D131="Steel Sheet Pile Cofferdam",N(N131)&lt;H131*0.5),"NOTE: short toe embedment, check. ",""))=0,"OK",IF(AND(R131&lt;&gt;"",R131&lt;SG_Criteria!$B$37),"FAIL: base stability FOS &lt; "&amp;SG_Criteria!$B$37&amp;". ","")&amp;IF(AND(E131="Manhole",H131&gt;SG_Criteria!$B$36),"NOTE: BCA lists sewer manholes (pipe &lt;= 2 m dia) &gt; 6 m as non-GBW: QP(ST) + AC. ","")&amp;IF(AND(D131="Trench Shoring Box",I131="Kallang Formation (marine clay)"),"NOTE: check base heave / ground loss for shoring box in marine clay. ","")&amp;IF(AND(D131="Steel Sheet Pile Cofferdam",N(N131)&lt;H131*0.5),"NOTE: short toe embedment, check. ","")))</f>
        <v/>
      </c>
      <c r="BC131" s="9"/>
      <c r="BD131" s="9"/>
      <c r="BE131" s="9"/>
      <c r="BF131" s="10" t="str">
        <f aca="false">IF(BE131="","",IFERROR(VLOOKUP(BE131,Projects!$A$5:$D$504,2,0),"Ref not in Projects"))</f>
        <v/>
      </c>
      <c r="BG131" s="10" t="str">
        <f aca="false">IF(BE131="","",IFERROR(VLOOKUP(BE131,Projects!$A$5:$D$504,4,0),"Ref not in Projects"))</f>
        <v/>
      </c>
      <c r="BH131" s="9"/>
      <c r="BI131" s="9"/>
      <c r="BJ131" s="9"/>
      <c r="BK131" s="40"/>
      <c r="BL131" s="9"/>
      <c r="BM131" s="40"/>
      <c r="BN131" s="9"/>
      <c r="BO131" s="40"/>
      <c r="BP131" s="9"/>
      <c r="BQ131" s="9"/>
      <c r="BR131" s="9"/>
      <c r="BS131" s="40"/>
      <c r="BT131" s="40"/>
      <c r="BU131" s="36" t="str">
        <f aca="false">IF(BT131="","",EDATE(BT131,SG_Criteria!$B$54*12))</f>
        <v/>
      </c>
      <c r="BV131" s="33" t="str">
        <f aca="true">IF(A131="","",IF(BT131="","NOTE: not reviewed yet",IF(TODAY()&gt;BU131,"NOTE: review overdue","OK")))</f>
        <v/>
      </c>
      <c r="BW131" s="37" t="str">
        <f aca="false">IF(A131="","",ROUND((IF(LEN(D131)&gt;0,1,0)+IF(LEN(E131)&gt;0,1,0)+IF(LEN(F131)&gt;0,1,0)+IF(LEN(G131)&gt;0,1,0)+IF(LEN(H131)&gt;0,1,0)+IF(LEN(I131)&gt;0,1,0)+IF(LEN(J131)&gt;0,1,0)+IF(LEN(L131)&gt;0,1,0)+IF(LEN(R131)&gt;0,1,0)+IF(LEN(Y131)&gt;0,1,0)+IF(LEN(AE131)&gt;0,1,0)+IF(LEN(AG131)&gt;0,1,0)+IF(LEN(AH131)&gt;0,1,0)+IF(LEN(AI131)&gt;0,1,0)+IF(LEN(AJ131)&gt;0,1,0)+IF(LEN(AS131)&gt;0,1,0)+IF(LEN(BE131)&gt;0,1,0)+IF(LEN(BR131)&gt;0,1,0))/18,2))</f>
        <v/>
      </c>
      <c r="BX131" s="10" t="str">
        <f aca="false">IF(D131="","",IF(AND(AH131="Approved",ISERROR(SEARCH("FAIL",BB131))),"Y","N"))</f>
        <v/>
      </c>
      <c r="BY131" s="10" t="str">
        <f aca="false">IF(D131="","",D131&amp;"|"&amp;H131&amp;"|"&amp;F131&amp;"|"&amp;I131&amp;"|"&amp;BX131)</f>
        <v/>
      </c>
    </row>
    <row r="132" customFormat="false" ht="15" hidden="false" customHeight="false" outlineLevel="0" collapsed="false">
      <c r="A132" s="10" t="str">
        <f aca="false">IF(D132="","","ERSS-"&amp;IFERROR(VLOOKUP(D132,Lists!$AK$4:$AL$21,2,0),"??")&amp;"-"&amp;TEXT(F132,"0000")&amp;"x"&amp;TEXT(G132,"0000")&amp;"-D"&amp;TEXT(H132*1000,"0000")&amp;"-"&amp;IFERROR(VLOOKUP(I132,Lists!$Y$4:$Z$21,2,0),"??")&amp;"-"&amp;AG132)</f>
        <v/>
      </c>
      <c r="B132" s="10" t="str">
        <f aca="false">IF(D132="","",D132&amp;" for "&amp;E132&amp;", "&amp;F132&amp;" x "&amp;G132&amp;" pit, "&amp;TEXT(H132,"0.0")&amp;" m deep, "&amp;I132)</f>
        <v/>
      </c>
      <c r="C132" s="9"/>
      <c r="D132" s="9"/>
      <c r="E132" s="9"/>
      <c r="F132" s="38"/>
      <c r="G132" s="38"/>
      <c r="H132" s="42"/>
      <c r="I132" s="9"/>
      <c r="J132" s="42"/>
      <c r="K132" s="38"/>
      <c r="L132" s="9"/>
      <c r="M132" s="42"/>
      <c r="N132" s="42"/>
      <c r="O132" s="38"/>
      <c r="P132" s="9"/>
      <c r="Q132" s="9"/>
      <c r="R132" s="39"/>
      <c r="S132" s="39"/>
      <c r="T132" s="38"/>
      <c r="U132" s="38"/>
      <c r="V132" s="38"/>
      <c r="W132" s="9"/>
      <c r="X132" s="9"/>
      <c r="Y132" s="38"/>
      <c r="Z132" s="9"/>
      <c r="AA132" s="9"/>
      <c r="AB132" s="38"/>
      <c r="AC132" s="9"/>
      <c r="AD132" s="39"/>
      <c r="AE132" s="9"/>
      <c r="AF132" s="9"/>
      <c r="AG132" s="9"/>
      <c r="AH132" s="9"/>
      <c r="AI132" s="9"/>
      <c r="AJ132" s="9"/>
      <c r="AK132" s="9"/>
      <c r="AL132" s="10" t="str">
        <f aca="false">IF(A132="","",SG_Criteria!$B$6&amp;SG_Criteria!$B$11&amp;"\"&amp;A132&amp;"\")</f>
        <v/>
      </c>
      <c r="AM132" s="10" t="str">
        <f aca="false">IF(A132="","",A132&amp;"_CAD.dwg")</f>
        <v/>
      </c>
      <c r="AN132" s="10" t="str">
        <f aca="false">IF(A132="","",A132&amp;"_DWG.pdf")</f>
        <v/>
      </c>
      <c r="AO132" s="10" t="str">
        <f aca="false">IF(A132="","",IF(AK132="Y",A132&amp;"_STAAD.std","n/a"))</f>
        <v/>
      </c>
      <c r="AP132" s="10" t="str">
        <f aca="false">IF(A132="","",A132&amp;"_CALC.xlsx")</f>
        <v/>
      </c>
      <c r="AQ132" s="10" t="str">
        <f aca="false">IF(A132="","",A132&amp;"_CALC.pdf")</f>
        <v/>
      </c>
      <c r="AR132" s="9"/>
      <c r="AS132" s="9"/>
      <c r="AT132" s="39"/>
      <c r="AU132" s="39"/>
      <c r="AV132" s="39"/>
      <c r="AW132" s="39"/>
      <c r="AX132" s="39"/>
      <c r="AY132" s="12" t="str">
        <f aca="false">IF(A132="","",IF(COUNTIF(Rebar_Schedule!$A$5:$A$2004,A132)=0,"",ROUND(SUMIF(Rebar_Schedule!$A$5:$A$2004,A132,Rebar_Schedule!$K$5:$K$2004),1)))</f>
        <v/>
      </c>
      <c r="AZ132" s="33" t="str">
        <f aca="false">IF(A132="","",IF(AY132="","No rebar schedule yet",IF(ABS(AY132-N(AU132))/MAX(N(AU132),1)&gt;SG_Criteria!$B$55,"NOTE: register rebar differs from schedule by "&amp;TEXT(ABS(AY132-N(AU132))/MAX(N(AU132),1),"0%"),"OK")))</f>
        <v/>
      </c>
      <c r="BA132" s="33" t="str">
        <f aca="false">IF(OR(D132="",H132=""),"",IF(H132&lt;=IF(OR(D132="Soldier Pile &amp; Timber Lagging",D132="Trench Shoring Box",D132="Open Cut (battered)"),SG_Criteria!$B$34,SG_Criteria!$B$33),"No ERSS submission",IF(H132&lt;=SG_Criteria!$B$35,"QP(ST)",IF(H132&lt;=SG_Criteria!$B$36,"QP(ST) + AC","Geotechnical building works: QP(Geo) + AC"))))</f>
        <v/>
      </c>
      <c r="BB132" s="33" t="str">
        <f aca="false">IF(D132="","",IF(LEN(IF(AND(R132&lt;&gt;"",R132&lt;SG_Criteria!$B$37),"FAIL: base stability FOS &lt; "&amp;SG_Criteria!$B$37&amp;". ","")&amp;IF(AND(E132="Manhole",H132&gt;SG_Criteria!$B$36),"NOTE: BCA lists sewer manholes (pipe &lt;= 2 m dia) &gt; 6 m as non-GBW: QP(ST) + AC. ","")&amp;IF(AND(D132="Trench Shoring Box",I132="Kallang Formation (marine clay)"),"NOTE: check base heave / ground loss for shoring box in marine clay. ","")&amp;IF(AND(D132="Steel Sheet Pile Cofferdam",N(N132)&lt;H132*0.5),"NOTE: short toe embedment, check. ",""))=0,"OK",IF(AND(R132&lt;&gt;"",R132&lt;SG_Criteria!$B$37),"FAIL: base stability FOS &lt; "&amp;SG_Criteria!$B$37&amp;". ","")&amp;IF(AND(E132="Manhole",H132&gt;SG_Criteria!$B$36),"NOTE: BCA lists sewer manholes (pipe &lt;= 2 m dia) &gt; 6 m as non-GBW: QP(ST) + AC. ","")&amp;IF(AND(D132="Trench Shoring Box",I132="Kallang Formation (marine clay)"),"NOTE: check base heave / ground loss for shoring box in marine clay. ","")&amp;IF(AND(D132="Steel Sheet Pile Cofferdam",N(N132)&lt;H132*0.5),"NOTE: short toe embedment, check. ","")))</f>
        <v/>
      </c>
      <c r="BC132" s="9"/>
      <c r="BD132" s="9"/>
      <c r="BE132" s="9"/>
      <c r="BF132" s="10" t="str">
        <f aca="false">IF(BE132="","",IFERROR(VLOOKUP(BE132,Projects!$A$5:$D$504,2,0),"Ref not in Projects"))</f>
        <v/>
      </c>
      <c r="BG132" s="10" t="str">
        <f aca="false">IF(BE132="","",IFERROR(VLOOKUP(BE132,Projects!$A$5:$D$504,4,0),"Ref not in Projects"))</f>
        <v/>
      </c>
      <c r="BH132" s="9"/>
      <c r="BI132" s="9"/>
      <c r="BJ132" s="9"/>
      <c r="BK132" s="40"/>
      <c r="BL132" s="9"/>
      <c r="BM132" s="40"/>
      <c r="BN132" s="9"/>
      <c r="BO132" s="40"/>
      <c r="BP132" s="9"/>
      <c r="BQ132" s="9"/>
      <c r="BR132" s="9"/>
      <c r="BS132" s="40"/>
      <c r="BT132" s="40"/>
      <c r="BU132" s="36" t="str">
        <f aca="false">IF(BT132="","",EDATE(BT132,SG_Criteria!$B$54*12))</f>
        <v/>
      </c>
      <c r="BV132" s="33" t="str">
        <f aca="true">IF(A132="","",IF(BT132="","NOTE: not reviewed yet",IF(TODAY()&gt;BU132,"NOTE: review overdue","OK")))</f>
        <v/>
      </c>
      <c r="BW132" s="37" t="str">
        <f aca="false">IF(A132="","",ROUND((IF(LEN(D132)&gt;0,1,0)+IF(LEN(E132)&gt;0,1,0)+IF(LEN(F132)&gt;0,1,0)+IF(LEN(G132)&gt;0,1,0)+IF(LEN(H132)&gt;0,1,0)+IF(LEN(I132)&gt;0,1,0)+IF(LEN(J132)&gt;0,1,0)+IF(LEN(L132)&gt;0,1,0)+IF(LEN(R132)&gt;0,1,0)+IF(LEN(Y132)&gt;0,1,0)+IF(LEN(AE132)&gt;0,1,0)+IF(LEN(AG132)&gt;0,1,0)+IF(LEN(AH132)&gt;0,1,0)+IF(LEN(AI132)&gt;0,1,0)+IF(LEN(AJ132)&gt;0,1,0)+IF(LEN(AS132)&gt;0,1,0)+IF(LEN(BE132)&gt;0,1,0)+IF(LEN(BR132)&gt;0,1,0))/18,2))</f>
        <v/>
      </c>
      <c r="BX132" s="10" t="str">
        <f aca="false">IF(D132="","",IF(AND(AH132="Approved",ISERROR(SEARCH("FAIL",BB132))),"Y","N"))</f>
        <v/>
      </c>
      <c r="BY132" s="10" t="str">
        <f aca="false">IF(D132="","",D132&amp;"|"&amp;H132&amp;"|"&amp;F132&amp;"|"&amp;I132&amp;"|"&amp;BX132)</f>
        <v/>
      </c>
    </row>
    <row r="133" customFormat="false" ht="15" hidden="false" customHeight="false" outlineLevel="0" collapsed="false">
      <c r="A133" s="10" t="str">
        <f aca="false">IF(D133="","","ERSS-"&amp;IFERROR(VLOOKUP(D133,Lists!$AK$4:$AL$21,2,0),"??")&amp;"-"&amp;TEXT(F133,"0000")&amp;"x"&amp;TEXT(G133,"0000")&amp;"-D"&amp;TEXT(H133*1000,"0000")&amp;"-"&amp;IFERROR(VLOOKUP(I133,Lists!$Y$4:$Z$21,2,0),"??")&amp;"-"&amp;AG133)</f>
        <v/>
      </c>
      <c r="B133" s="10" t="str">
        <f aca="false">IF(D133="","",D133&amp;" for "&amp;E133&amp;", "&amp;F133&amp;" x "&amp;G133&amp;" pit, "&amp;TEXT(H133,"0.0")&amp;" m deep, "&amp;I133)</f>
        <v/>
      </c>
      <c r="C133" s="9"/>
      <c r="D133" s="9"/>
      <c r="E133" s="9"/>
      <c r="F133" s="38"/>
      <c r="G133" s="38"/>
      <c r="H133" s="42"/>
      <c r="I133" s="9"/>
      <c r="J133" s="42"/>
      <c r="K133" s="38"/>
      <c r="L133" s="9"/>
      <c r="M133" s="42"/>
      <c r="N133" s="42"/>
      <c r="O133" s="38"/>
      <c r="P133" s="9"/>
      <c r="Q133" s="9"/>
      <c r="R133" s="39"/>
      <c r="S133" s="39"/>
      <c r="T133" s="38"/>
      <c r="U133" s="38"/>
      <c r="V133" s="38"/>
      <c r="W133" s="9"/>
      <c r="X133" s="9"/>
      <c r="Y133" s="38"/>
      <c r="Z133" s="9"/>
      <c r="AA133" s="9"/>
      <c r="AB133" s="38"/>
      <c r="AC133" s="9"/>
      <c r="AD133" s="39"/>
      <c r="AE133" s="9"/>
      <c r="AF133" s="9"/>
      <c r="AG133" s="9"/>
      <c r="AH133" s="9"/>
      <c r="AI133" s="9"/>
      <c r="AJ133" s="9"/>
      <c r="AK133" s="9"/>
      <c r="AL133" s="10" t="str">
        <f aca="false">IF(A133="","",SG_Criteria!$B$6&amp;SG_Criteria!$B$11&amp;"\"&amp;A133&amp;"\")</f>
        <v/>
      </c>
      <c r="AM133" s="10" t="str">
        <f aca="false">IF(A133="","",A133&amp;"_CAD.dwg")</f>
        <v/>
      </c>
      <c r="AN133" s="10" t="str">
        <f aca="false">IF(A133="","",A133&amp;"_DWG.pdf")</f>
        <v/>
      </c>
      <c r="AO133" s="10" t="str">
        <f aca="false">IF(A133="","",IF(AK133="Y",A133&amp;"_STAAD.std","n/a"))</f>
        <v/>
      </c>
      <c r="AP133" s="10" t="str">
        <f aca="false">IF(A133="","",A133&amp;"_CALC.xlsx")</f>
        <v/>
      </c>
      <c r="AQ133" s="10" t="str">
        <f aca="false">IF(A133="","",A133&amp;"_CALC.pdf")</f>
        <v/>
      </c>
      <c r="AR133" s="9"/>
      <c r="AS133" s="9"/>
      <c r="AT133" s="39"/>
      <c r="AU133" s="39"/>
      <c r="AV133" s="39"/>
      <c r="AW133" s="39"/>
      <c r="AX133" s="39"/>
      <c r="AY133" s="12" t="str">
        <f aca="false">IF(A133="","",IF(COUNTIF(Rebar_Schedule!$A$5:$A$2004,A133)=0,"",ROUND(SUMIF(Rebar_Schedule!$A$5:$A$2004,A133,Rebar_Schedule!$K$5:$K$2004),1)))</f>
        <v/>
      </c>
      <c r="AZ133" s="33" t="str">
        <f aca="false">IF(A133="","",IF(AY133="","No rebar schedule yet",IF(ABS(AY133-N(AU133))/MAX(N(AU133),1)&gt;SG_Criteria!$B$55,"NOTE: register rebar differs from schedule by "&amp;TEXT(ABS(AY133-N(AU133))/MAX(N(AU133),1),"0%"),"OK")))</f>
        <v/>
      </c>
      <c r="BA133" s="33" t="str">
        <f aca="false">IF(OR(D133="",H133=""),"",IF(H133&lt;=IF(OR(D133="Soldier Pile &amp; Timber Lagging",D133="Trench Shoring Box",D133="Open Cut (battered)"),SG_Criteria!$B$34,SG_Criteria!$B$33),"No ERSS submission",IF(H133&lt;=SG_Criteria!$B$35,"QP(ST)",IF(H133&lt;=SG_Criteria!$B$36,"QP(ST) + AC","Geotechnical building works: QP(Geo) + AC"))))</f>
        <v/>
      </c>
      <c r="BB133" s="33" t="str">
        <f aca="false">IF(D133="","",IF(LEN(IF(AND(R133&lt;&gt;"",R133&lt;SG_Criteria!$B$37),"FAIL: base stability FOS &lt; "&amp;SG_Criteria!$B$37&amp;". ","")&amp;IF(AND(E133="Manhole",H133&gt;SG_Criteria!$B$36),"NOTE: BCA lists sewer manholes (pipe &lt;= 2 m dia) &gt; 6 m as non-GBW: QP(ST) + AC. ","")&amp;IF(AND(D133="Trench Shoring Box",I133="Kallang Formation (marine clay)"),"NOTE: check base heave / ground loss for shoring box in marine clay. ","")&amp;IF(AND(D133="Steel Sheet Pile Cofferdam",N(N133)&lt;H133*0.5),"NOTE: short toe embedment, check. ",""))=0,"OK",IF(AND(R133&lt;&gt;"",R133&lt;SG_Criteria!$B$37),"FAIL: base stability FOS &lt; "&amp;SG_Criteria!$B$37&amp;". ","")&amp;IF(AND(E133="Manhole",H133&gt;SG_Criteria!$B$36),"NOTE: BCA lists sewer manholes (pipe &lt;= 2 m dia) &gt; 6 m as non-GBW: QP(ST) + AC. ","")&amp;IF(AND(D133="Trench Shoring Box",I133="Kallang Formation (marine clay)"),"NOTE: check base heave / ground loss for shoring box in marine clay. ","")&amp;IF(AND(D133="Steel Sheet Pile Cofferdam",N(N133)&lt;H133*0.5),"NOTE: short toe embedment, check. ","")))</f>
        <v/>
      </c>
      <c r="BC133" s="9"/>
      <c r="BD133" s="9"/>
      <c r="BE133" s="9"/>
      <c r="BF133" s="10" t="str">
        <f aca="false">IF(BE133="","",IFERROR(VLOOKUP(BE133,Projects!$A$5:$D$504,2,0),"Ref not in Projects"))</f>
        <v/>
      </c>
      <c r="BG133" s="10" t="str">
        <f aca="false">IF(BE133="","",IFERROR(VLOOKUP(BE133,Projects!$A$5:$D$504,4,0),"Ref not in Projects"))</f>
        <v/>
      </c>
      <c r="BH133" s="9"/>
      <c r="BI133" s="9"/>
      <c r="BJ133" s="9"/>
      <c r="BK133" s="40"/>
      <c r="BL133" s="9"/>
      <c r="BM133" s="40"/>
      <c r="BN133" s="9"/>
      <c r="BO133" s="40"/>
      <c r="BP133" s="9"/>
      <c r="BQ133" s="9"/>
      <c r="BR133" s="9"/>
      <c r="BS133" s="40"/>
      <c r="BT133" s="40"/>
      <c r="BU133" s="36" t="str">
        <f aca="false">IF(BT133="","",EDATE(BT133,SG_Criteria!$B$54*12))</f>
        <v/>
      </c>
      <c r="BV133" s="33" t="str">
        <f aca="true">IF(A133="","",IF(BT133="","NOTE: not reviewed yet",IF(TODAY()&gt;BU133,"NOTE: review overdue","OK")))</f>
        <v/>
      </c>
      <c r="BW133" s="37" t="str">
        <f aca="false">IF(A133="","",ROUND((IF(LEN(D133)&gt;0,1,0)+IF(LEN(E133)&gt;0,1,0)+IF(LEN(F133)&gt;0,1,0)+IF(LEN(G133)&gt;0,1,0)+IF(LEN(H133)&gt;0,1,0)+IF(LEN(I133)&gt;0,1,0)+IF(LEN(J133)&gt;0,1,0)+IF(LEN(L133)&gt;0,1,0)+IF(LEN(R133)&gt;0,1,0)+IF(LEN(Y133)&gt;0,1,0)+IF(LEN(AE133)&gt;0,1,0)+IF(LEN(AG133)&gt;0,1,0)+IF(LEN(AH133)&gt;0,1,0)+IF(LEN(AI133)&gt;0,1,0)+IF(LEN(AJ133)&gt;0,1,0)+IF(LEN(AS133)&gt;0,1,0)+IF(LEN(BE133)&gt;0,1,0)+IF(LEN(BR133)&gt;0,1,0))/18,2))</f>
        <v/>
      </c>
      <c r="BX133" s="10" t="str">
        <f aca="false">IF(D133="","",IF(AND(AH133="Approved",ISERROR(SEARCH("FAIL",BB133))),"Y","N"))</f>
        <v/>
      </c>
      <c r="BY133" s="10" t="str">
        <f aca="false">IF(D133="","",D133&amp;"|"&amp;H133&amp;"|"&amp;F133&amp;"|"&amp;I133&amp;"|"&amp;BX133)</f>
        <v/>
      </c>
    </row>
    <row r="134" customFormat="false" ht="15" hidden="false" customHeight="false" outlineLevel="0" collapsed="false">
      <c r="A134" s="10" t="str">
        <f aca="false">IF(D134="","","ERSS-"&amp;IFERROR(VLOOKUP(D134,Lists!$AK$4:$AL$21,2,0),"??")&amp;"-"&amp;TEXT(F134,"0000")&amp;"x"&amp;TEXT(G134,"0000")&amp;"-D"&amp;TEXT(H134*1000,"0000")&amp;"-"&amp;IFERROR(VLOOKUP(I134,Lists!$Y$4:$Z$21,2,0),"??")&amp;"-"&amp;AG134)</f>
        <v/>
      </c>
      <c r="B134" s="10" t="str">
        <f aca="false">IF(D134="","",D134&amp;" for "&amp;E134&amp;", "&amp;F134&amp;" x "&amp;G134&amp;" pit, "&amp;TEXT(H134,"0.0")&amp;" m deep, "&amp;I134)</f>
        <v/>
      </c>
      <c r="C134" s="9"/>
      <c r="D134" s="9"/>
      <c r="E134" s="9"/>
      <c r="F134" s="38"/>
      <c r="G134" s="38"/>
      <c r="H134" s="42"/>
      <c r="I134" s="9"/>
      <c r="J134" s="42"/>
      <c r="K134" s="38"/>
      <c r="L134" s="9"/>
      <c r="M134" s="42"/>
      <c r="N134" s="42"/>
      <c r="O134" s="38"/>
      <c r="P134" s="9"/>
      <c r="Q134" s="9"/>
      <c r="R134" s="39"/>
      <c r="S134" s="39"/>
      <c r="T134" s="38"/>
      <c r="U134" s="38"/>
      <c r="V134" s="38"/>
      <c r="W134" s="9"/>
      <c r="X134" s="9"/>
      <c r="Y134" s="38"/>
      <c r="Z134" s="9"/>
      <c r="AA134" s="9"/>
      <c r="AB134" s="38"/>
      <c r="AC134" s="9"/>
      <c r="AD134" s="39"/>
      <c r="AE134" s="9"/>
      <c r="AF134" s="9"/>
      <c r="AG134" s="9"/>
      <c r="AH134" s="9"/>
      <c r="AI134" s="9"/>
      <c r="AJ134" s="9"/>
      <c r="AK134" s="9"/>
      <c r="AL134" s="10" t="str">
        <f aca="false">IF(A134="","",SG_Criteria!$B$6&amp;SG_Criteria!$B$11&amp;"\"&amp;A134&amp;"\")</f>
        <v/>
      </c>
      <c r="AM134" s="10" t="str">
        <f aca="false">IF(A134="","",A134&amp;"_CAD.dwg")</f>
        <v/>
      </c>
      <c r="AN134" s="10" t="str">
        <f aca="false">IF(A134="","",A134&amp;"_DWG.pdf")</f>
        <v/>
      </c>
      <c r="AO134" s="10" t="str">
        <f aca="false">IF(A134="","",IF(AK134="Y",A134&amp;"_STAAD.std","n/a"))</f>
        <v/>
      </c>
      <c r="AP134" s="10" t="str">
        <f aca="false">IF(A134="","",A134&amp;"_CALC.xlsx")</f>
        <v/>
      </c>
      <c r="AQ134" s="10" t="str">
        <f aca="false">IF(A134="","",A134&amp;"_CALC.pdf")</f>
        <v/>
      </c>
      <c r="AR134" s="9"/>
      <c r="AS134" s="9"/>
      <c r="AT134" s="39"/>
      <c r="AU134" s="39"/>
      <c r="AV134" s="39"/>
      <c r="AW134" s="39"/>
      <c r="AX134" s="39"/>
      <c r="AY134" s="12" t="str">
        <f aca="false">IF(A134="","",IF(COUNTIF(Rebar_Schedule!$A$5:$A$2004,A134)=0,"",ROUND(SUMIF(Rebar_Schedule!$A$5:$A$2004,A134,Rebar_Schedule!$K$5:$K$2004),1)))</f>
        <v/>
      </c>
      <c r="AZ134" s="33" t="str">
        <f aca="false">IF(A134="","",IF(AY134="","No rebar schedule yet",IF(ABS(AY134-N(AU134))/MAX(N(AU134),1)&gt;SG_Criteria!$B$55,"NOTE: register rebar differs from schedule by "&amp;TEXT(ABS(AY134-N(AU134))/MAX(N(AU134),1),"0%"),"OK")))</f>
        <v/>
      </c>
      <c r="BA134" s="33" t="str">
        <f aca="false">IF(OR(D134="",H134=""),"",IF(H134&lt;=IF(OR(D134="Soldier Pile &amp; Timber Lagging",D134="Trench Shoring Box",D134="Open Cut (battered)"),SG_Criteria!$B$34,SG_Criteria!$B$33),"No ERSS submission",IF(H134&lt;=SG_Criteria!$B$35,"QP(ST)",IF(H134&lt;=SG_Criteria!$B$36,"QP(ST) + AC","Geotechnical building works: QP(Geo) + AC"))))</f>
        <v/>
      </c>
      <c r="BB134" s="33" t="str">
        <f aca="false">IF(D134="","",IF(LEN(IF(AND(R134&lt;&gt;"",R134&lt;SG_Criteria!$B$37),"FAIL: base stability FOS &lt; "&amp;SG_Criteria!$B$37&amp;". ","")&amp;IF(AND(E134="Manhole",H134&gt;SG_Criteria!$B$36),"NOTE: BCA lists sewer manholes (pipe &lt;= 2 m dia) &gt; 6 m as non-GBW: QP(ST) + AC. ","")&amp;IF(AND(D134="Trench Shoring Box",I134="Kallang Formation (marine clay)"),"NOTE: check base heave / ground loss for shoring box in marine clay. ","")&amp;IF(AND(D134="Steel Sheet Pile Cofferdam",N(N134)&lt;H134*0.5),"NOTE: short toe embedment, check. ",""))=0,"OK",IF(AND(R134&lt;&gt;"",R134&lt;SG_Criteria!$B$37),"FAIL: base stability FOS &lt; "&amp;SG_Criteria!$B$37&amp;". ","")&amp;IF(AND(E134="Manhole",H134&gt;SG_Criteria!$B$36),"NOTE: BCA lists sewer manholes (pipe &lt;= 2 m dia) &gt; 6 m as non-GBW: QP(ST) + AC. ","")&amp;IF(AND(D134="Trench Shoring Box",I134="Kallang Formation (marine clay)"),"NOTE: check base heave / ground loss for shoring box in marine clay. ","")&amp;IF(AND(D134="Steel Sheet Pile Cofferdam",N(N134)&lt;H134*0.5),"NOTE: short toe embedment, check. ","")))</f>
        <v/>
      </c>
      <c r="BC134" s="9"/>
      <c r="BD134" s="9"/>
      <c r="BE134" s="9"/>
      <c r="BF134" s="10" t="str">
        <f aca="false">IF(BE134="","",IFERROR(VLOOKUP(BE134,Projects!$A$5:$D$504,2,0),"Ref not in Projects"))</f>
        <v/>
      </c>
      <c r="BG134" s="10" t="str">
        <f aca="false">IF(BE134="","",IFERROR(VLOOKUP(BE134,Projects!$A$5:$D$504,4,0),"Ref not in Projects"))</f>
        <v/>
      </c>
      <c r="BH134" s="9"/>
      <c r="BI134" s="9"/>
      <c r="BJ134" s="9"/>
      <c r="BK134" s="40"/>
      <c r="BL134" s="9"/>
      <c r="BM134" s="40"/>
      <c r="BN134" s="9"/>
      <c r="BO134" s="40"/>
      <c r="BP134" s="9"/>
      <c r="BQ134" s="9"/>
      <c r="BR134" s="9"/>
      <c r="BS134" s="40"/>
      <c r="BT134" s="40"/>
      <c r="BU134" s="36" t="str">
        <f aca="false">IF(BT134="","",EDATE(BT134,SG_Criteria!$B$54*12))</f>
        <v/>
      </c>
      <c r="BV134" s="33" t="str">
        <f aca="true">IF(A134="","",IF(BT134="","NOTE: not reviewed yet",IF(TODAY()&gt;BU134,"NOTE: review overdue","OK")))</f>
        <v/>
      </c>
      <c r="BW134" s="37" t="str">
        <f aca="false">IF(A134="","",ROUND((IF(LEN(D134)&gt;0,1,0)+IF(LEN(E134)&gt;0,1,0)+IF(LEN(F134)&gt;0,1,0)+IF(LEN(G134)&gt;0,1,0)+IF(LEN(H134)&gt;0,1,0)+IF(LEN(I134)&gt;0,1,0)+IF(LEN(J134)&gt;0,1,0)+IF(LEN(L134)&gt;0,1,0)+IF(LEN(R134)&gt;0,1,0)+IF(LEN(Y134)&gt;0,1,0)+IF(LEN(AE134)&gt;0,1,0)+IF(LEN(AG134)&gt;0,1,0)+IF(LEN(AH134)&gt;0,1,0)+IF(LEN(AI134)&gt;0,1,0)+IF(LEN(AJ134)&gt;0,1,0)+IF(LEN(AS134)&gt;0,1,0)+IF(LEN(BE134)&gt;0,1,0)+IF(LEN(BR134)&gt;0,1,0))/18,2))</f>
        <v/>
      </c>
      <c r="BX134" s="10" t="str">
        <f aca="false">IF(D134="","",IF(AND(AH134="Approved",ISERROR(SEARCH("FAIL",BB134))),"Y","N"))</f>
        <v/>
      </c>
      <c r="BY134" s="10" t="str">
        <f aca="false">IF(D134="","",D134&amp;"|"&amp;H134&amp;"|"&amp;F134&amp;"|"&amp;I134&amp;"|"&amp;BX134)</f>
        <v/>
      </c>
    </row>
    <row r="135" customFormat="false" ht="15" hidden="false" customHeight="false" outlineLevel="0" collapsed="false">
      <c r="A135" s="10" t="str">
        <f aca="false">IF(D135="","","ERSS-"&amp;IFERROR(VLOOKUP(D135,Lists!$AK$4:$AL$21,2,0),"??")&amp;"-"&amp;TEXT(F135,"0000")&amp;"x"&amp;TEXT(G135,"0000")&amp;"-D"&amp;TEXT(H135*1000,"0000")&amp;"-"&amp;IFERROR(VLOOKUP(I135,Lists!$Y$4:$Z$21,2,0),"??")&amp;"-"&amp;AG135)</f>
        <v/>
      </c>
      <c r="B135" s="10" t="str">
        <f aca="false">IF(D135="","",D135&amp;" for "&amp;E135&amp;", "&amp;F135&amp;" x "&amp;G135&amp;" pit, "&amp;TEXT(H135,"0.0")&amp;" m deep, "&amp;I135)</f>
        <v/>
      </c>
      <c r="C135" s="9"/>
      <c r="D135" s="9"/>
      <c r="E135" s="9"/>
      <c r="F135" s="38"/>
      <c r="G135" s="38"/>
      <c r="H135" s="42"/>
      <c r="I135" s="9"/>
      <c r="J135" s="42"/>
      <c r="K135" s="38"/>
      <c r="L135" s="9"/>
      <c r="M135" s="42"/>
      <c r="N135" s="42"/>
      <c r="O135" s="38"/>
      <c r="P135" s="9"/>
      <c r="Q135" s="9"/>
      <c r="R135" s="39"/>
      <c r="S135" s="39"/>
      <c r="T135" s="38"/>
      <c r="U135" s="38"/>
      <c r="V135" s="38"/>
      <c r="W135" s="9"/>
      <c r="X135" s="9"/>
      <c r="Y135" s="38"/>
      <c r="Z135" s="9"/>
      <c r="AA135" s="9"/>
      <c r="AB135" s="38"/>
      <c r="AC135" s="9"/>
      <c r="AD135" s="39"/>
      <c r="AE135" s="9"/>
      <c r="AF135" s="9"/>
      <c r="AG135" s="9"/>
      <c r="AH135" s="9"/>
      <c r="AI135" s="9"/>
      <c r="AJ135" s="9"/>
      <c r="AK135" s="9"/>
      <c r="AL135" s="10" t="str">
        <f aca="false">IF(A135="","",SG_Criteria!$B$6&amp;SG_Criteria!$B$11&amp;"\"&amp;A135&amp;"\")</f>
        <v/>
      </c>
      <c r="AM135" s="10" t="str">
        <f aca="false">IF(A135="","",A135&amp;"_CAD.dwg")</f>
        <v/>
      </c>
      <c r="AN135" s="10" t="str">
        <f aca="false">IF(A135="","",A135&amp;"_DWG.pdf")</f>
        <v/>
      </c>
      <c r="AO135" s="10" t="str">
        <f aca="false">IF(A135="","",IF(AK135="Y",A135&amp;"_STAAD.std","n/a"))</f>
        <v/>
      </c>
      <c r="AP135" s="10" t="str">
        <f aca="false">IF(A135="","",A135&amp;"_CALC.xlsx")</f>
        <v/>
      </c>
      <c r="AQ135" s="10" t="str">
        <f aca="false">IF(A135="","",A135&amp;"_CALC.pdf")</f>
        <v/>
      </c>
      <c r="AR135" s="9"/>
      <c r="AS135" s="9"/>
      <c r="AT135" s="39"/>
      <c r="AU135" s="39"/>
      <c r="AV135" s="39"/>
      <c r="AW135" s="39"/>
      <c r="AX135" s="39"/>
      <c r="AY135" s="12" t="str">
        <f aca="false">IF(A135="","",IF(COUNTIF(Rebar_Schedule!$A$5:$A$2004,A135)=0,"",ROUND(SUMIF(Rebar_Schedule!$A$5:$A$2004,A135,Rebar_Schedule!$K$5:$K$2004),1)))</f>
        <v/>
      </c>
      <c r="AZ135" s="33" t="str">
        <f aca="false">IF(A135="","",IF(AY135="","No rebar schedule yet",IF(ABS(AY135-N(AU135))/MAX(N(AU135),1)&gt;SG_Criteria!$B$55,"NOTE: register rebar differs from schedule by "&amp;TEXT(ABS(AY135-N(AU135))/MAX(N(AU135),1),"0%"),"OK")))</f>
        <v/>
      </c>
      <c r="BA135" s="33" t="str">
        <f aca="false">IF(OR(D135="",H135=""),"",IF(H135&lt;=IF(OR(D135="Soldier Pile &amp; Timber Lagging",D135="Trench Shoring Box",D135="Open Cut (battered)"),SG_Criteria!$B$34,SG_Criteria!$B$33),"No ERSS submission",IF(H135&lt;=SG_Criteria!$B$35,"QP(ST)",IF(H135&lt;=SG_Criteria!$B$36,"QP(ST) + AC","Geotechnical building works: QP(Geo) + AC"))))</f>
        <v/>
      </c>
      <c r="BB135" s="33" t="str">
        <f aca="false">IF(D135="","",IF(LEN(IF(AND(R135&lt;&gt;"",R135&lt;SG_Criteria!$B$37),"FAIL: base stability FOS &lt; "&amp;SG_Criteria!$B$37&amp;". ","")&amp;IF(AND(E135="Manhole",H135&gt;SG_Criteria!$B$36),"NOTE: BCA lists sewer manholes (pipe &lt;= 2 m dia) &gt; 6 m as non-GBW: QP(ST) + AC. ","")&amp;IF(AND(D135="Trench Shoring Box",I135="Kallang Formation (marine clay)"),"NOTE: check base heave / ground loss for shoring box in marine clay. ","")&amp;IF(AND(D135="Steel Sheet Pile Cofferdam",N(N135)&lt;H135*0.5),"NOTE: short toe embedment, check. ",""))=0,"OK",IF(AND(R135&lt;&gt;"",R135&lt;SG_Criteria!$B$37),"FAIL: base stability FOS &lt; "&amp;SG_Criteria!$B$37&amp;". ","")&amp;IF(AND(E135="Manhole",H135&gt;SG_Criteria!$B$36),"NOTE: BCA lists sewer manholes (pipe &lt;= 2 m dia) &gt; 6 m as non-GBW: QP(ST) + AC. ","")&amp;IF(AND(D135="Trench Shoring Box",I135="Kallang Formation (marine clay)"),"NOTE: check base heave / ground loss for shoring box in marine clay. ","")&amp;IF(AND(D135="Steel Sheet Pile Cofferdam",N(N135)&lt;H135*0.5),"NOTE: short toe embedment, check. ","")))</f>
        <v/>
      </c>
      <c r="BC135" s="9"/>
      <c r="BD135" s="9"/>
      <c r="BE135" s="9"/>
      <c r="BF135" s="10" t="str">
        <f aca="false">IF(BE135="","",IFERROR(VLOOKUP(BE135,Projects!$A$5:$D$504,2,0),"Ref not in Projects"))</f>
        <v/>
      </c>
      <c r="BG135" s="10" t="str">
        <f aca="false">IF(BE135="","",IFERROR(VLOOKUP(BE135,Projects!$A$5:$D$504,4,0),"Ref not in Projects"))</f>
        <v/>
      </c>
      <c r="BH135" s="9"/>
      <c r="BI135" s="9"/>
      <c r="BJ135" s="9"/>
      <c r="BK135" s="40"/>
      <c r="BL135" s="9"/>
      <c r="BM135" s="40"/>
      <c r="BN135" s="9"/>
      <c r="BO135" s="40"/>
      <c r="BP135" s="9"/>
      <c r="BQ135" s="9"/>
      <c r="BR135" s="9"/>
      <c r="BS135" s="40"/>
      <c r="BT135" s="40"/>
      <c r="BU135" s="36" t="str">
        <f aca="false">IF(BT135="","",EDATE(BT135,SG_Criteria!$B$54*12))</f>
        <v/>
      </c>
      <c r="BV135" s="33" t="str">
        <f aca="true">IF(A135="","",IF(BT135="","NOTE: not reviewed yet",IF(TODAY()&gt;BU135,"NOTE: review overdue","OK")))</f>
        <v/>
      </c>
      <c r="BW135" s="37" t="str">
        <f aca="false">IF(A135="","",ROUND((IF(LEN(D135)&gt;0,1,0)+IF(LEN(E135)&gt;0,1,0)+IF(LEN(F135)&gt;0,1,0)+IF(LEN(G135)&gt;0,1,0)+IF(LEN(H135)&gt;0,1,0)+IF(LEN(I135)&gt;0,1,0)+IF(LEN(J135)&gt;0,1,0)+IF(LEN(L135)&gt;0,1,0)+IF(LEN(R135)&gt;0,1,0)+IF(LEN(Y135)&gt;0,1,0)+IF(LEN(AE135)&gt;0,1,0)+IF(LEN(AG135)&gt;0,1,0)+IF(LEN(AH135)&gt;0,1,0)+IF(LEN(AI135)&gt;0,1,0)+IF(LEN(AJ135)&gt;0,1,0)+IF(LEN(AS135)&gt;0,1,0)+IF(LEN(BE135)&gt;0,1,0)+IF(LEN(BR135)&gt;0,1,0))/18,2))</f>
        <v/>
      </c>
      <c r="BX135" s="10" t="str">
        <f aca="false">IF(D135="","",IF(AND(AH135="Approved",ISERROR(SEARCH("FAIL",BB135))),"Y","N"))</f>
        <v/>
      </c>
      <c r="BY135" s="10" t="str">
        <f aca="false">IF(D135="","",D135&amp;"|"&amp;H135&amp;"|"&amp;F135&amp;"|"&amp;I135&amp;"|"&amp;BX135)</f>
        <v/>
      </c>
    </row>
    <row r="136" customFormat="false" ht="15" hidden="false" customHeight="false" outlineLevel="0" collapsed="false">
      <c r="A136" s="10" t="str">
        <f aca="false">IF(D136="","","ERSS-"&amp;IFERROR(VLOOKUP(D136,Lists!$AK$4:$AL$21,2,0),"??")&amp;"-"&amp;TEXT(F136,"0000")&amp;"x"&amp;TEXT(G136,"0000")&amp;"-D"&amp;TEXT(H136*1000,"0000")&amp;"-"&amp;IFERROR(VLOOKUP(I136,Lists!$Y$4:$Z$21,2,0),"??")&amp;"-"&amp;AG136)</f>
        <v/>
      </c>
      <c r="B136" s="10" t="str">
        <f aca="false">IF(D136="","",D136&amp;" for "&amp;E136&amp;", "&amp;F136&amp;" x "&amp;G136&amp;" pit, "&amp;TEXT(H136,"0.0")&amp;" m deep, "&amp;I136)</f>
        <v/>
      </c>
      <c r="C136" s="9"/>
      <c r="D136" s="9"/>
      <c r="E136" s="9"/>
      <c r="F136" s="38"/>
      <c r="G136" s="38"/>
      <c r="H136" s="42"/>
      <c r="I136" s="9"/>
      <c r="J136" s="42"/>
      <c r="K136" s="38"/>
      <c r="L136" s="9"/>
      <c r="M136" s="42"/>
      <c r="N136" s="42"/>
      <c r="O136" s="38"/>
      <c r="P136" s="9"/>
      <c r="Q136" s="9"/>
      <c r="R136" s="39"/>
      <c r="S136" s="39"/>
      <c r="T136" s="38"/>
      <c r="U136" s="38"/>
      <c r="V136" s="38"/>
      <c r="W136" s="9"/>
      <c r="X136" s="9"/>
      <c r="Y136" s="38"/>
      <c r="Z136" s="9"/>
      <c r="AA136" s="9"/>
      <c r="AB136" s="38"/>
      <c r="AC136" s="9"/>
      <c r="AD136" s="39"/>
      <c r="AE136" s="9"/>
      <c r="AF136" s="9"/>
      <c r="AG136" s="9"/>
      <c r="AH136" s="9"/>
      <c r="AI136" s="9"/>
      <c r="AJ136" s="9"/>
      <c r="AK136" s="9"/>
      <c r="AL136" s="10" t="str">
        <f aca="false">IF(A136="","",SG_Criteria!$B$6&amp;SG_Criteria!$B$11&amp;"\"&amp;A136&amp;"\")</f>
        <v/>
      </c>
      <c r="AM136" s="10" t="str">
        <f aca="false">IF(A136="","",A136&amp;"_CAD.dwg")</f>
        <v/>
      </c>
      <c r="AN136" s="10" t="str">
        <f aca="false">IF(A136="","",A136&amp;"_DWG.pdf")</f>
        <v/>
      </c>
      <c r="AO136" s="10" t="str">
        <f aca="false">IF(A136="","",IF(AK136="Y",A136&amp;"_STAAD.std","n/a"))</f>
        <v/>
      </c>
      <c r="AP136" s="10" t="str">
        <f aca="false">IF(A136="","",A136&amp;"_CALC.xlsx")</f>
        <v/>
      </c>
      <c r="AQ136" s="10" t="str">
        <f aca="false">IF(A136="","",A136&amp;"_CALC.pdf")</f>
        <v/>
      </c>
      <c r="AR136" s="9"/>
      <c r="AS136" s="9"/>
      <c r="AT136" s="39"/>
      <c r="AU136" s="39"/>
      <c r="AV136" s="39"/>
      <c r="AW136" s="39"/>
      <c r="AX136" s="39"/>
      <c r="AY136" s="12" t="str">
        <f aca="false">IF(A136="","",IF(COUNTIF(Rebar_Schedule!$A$5:$A$2004,A136)=0,"",ROUND(SUMIF(Rebar_Schedule!$A$5:$A$2004,A136,Rebar_Schedule!$K$5:$K$2004),1)))</f>
        <v/>
      </c>
      <c r="AZ136" s="33" t="str">
        <f aca="false">IF(A136="","",IF(AY136="","No rebar schedule yet",IF(ABS(AY136-N(AU136))/MAX(N(AU136),1)&gt;SG_Criteria!$B$55,"NOTE: register rebar differs from schedule by "&amp;TEXT(ABS(AY136-N(AU136))/MAX(N(AU136),1),"0%"),"OK")))</f>
        <v/>
      </c>
      <c r="BA136" s="33" t="str">
        <f aca="false">IF(OR(D136="",H136=""),"",IF(H136&lt;=IF(OR(D136="Soldier Pile &amp; Timber Lagging",D136="Trench Shoring Box",D136="Open Cut (battered)"),SG_Criteria!$B$34,SG_Criteria!$B$33),"No ERSS submission",IF(H136&lt;=SG_Criteria!$B$35,"QP(ST)",IF(H136&lt;=SG_Criteria!$B$36,"QP(ST) + AC","Geotechnical building works: QP(Geo) + AC"))))</f>
        <v/>
      </c>
      <c r="BB136" s="33" t="str">
        <f aca="false">IF(D136="","",IF(LEN(IF(AND(R136&lt;&gt;"",R136&lt;SG_Criteria!$B$37),"FAIL: base stability FOS &lt; "&amp;SG_Criteria!$B$37&amp;". ","")&amp;IF(AND(E136="Manhole",H136&gt;SG_Criteria!$B$36),"NOTE: BCA lists sewer manholes (pipe &lt;= 2 m dia) &gt; 6 m as non-GBW: QP(ST) + AC. ","")&amp;IF(AND(D136="Trench Shoring Box",I136="Kallang Formation (marine clay)"),"NOTE: check base heave / ground loss for shoring box in marine clay. ","")&amp;IF(AND(D136="Steel Sheet Pile Cofferdam",N(N136)&lt;H136*0.5),"NOTE: short toe embedment, check. ",""))=0,"OK",IF(AND(R136&lt;&gt;"",R136&lt;SG_Criteria!$B$37),"FAIL: base stability FOS &lt; "&amp;SG_Criteria!$B$37&amp;". ","")&amp;IF(AND(E136="Manhole",H136&gt;SG_Criteria!$B$36),"NOTE: BCA lists sewer manholes (pipe &lt;= 2 m dia) &gt; 6 m as non-GBW: QP(ST) + AC. ","")&amp;IF(AND(D136="Trench Shoring Box",I136="Kallang Formation (marine clay)"),"NOTE: check base heave / ground loss for shoring box in marine clay. ","")&amp;IF(AND(D136="Steel Sheet Pile Cofferdam",N(N136)&lt;H136*0.5),"NOTE: short toe embedment, check. ","")))</f>
        <v/>
      </c>
      <c r="BC136" s="9"/>
      <c r="BD136" s="9"/>
      <c r="BE136" s="9"/>
      <c r="BF136" s="10" t="str">
        <f aca="false">IF(BE136="","",IFERROR(VLOOKUP(BE136,Projects!$A$5:$D$504,2,0),"Ref not in Projects"))</f>
        <v/>
      </c>
      <c r="BG136" s="10" t="str">
        <f aca="false">IF(BE136="","",IFERROR(VLOOKUP(BE136,Projects!$A$5:$D$504,4,0),"Ref not in Projects"))</f>
        <v/>
      </c>
      <c r="BH136" s="9"/>
      <c r="BI136" s="9"/>
      <c r="BJ136" s="9"/>
      <c r="BK136" s="40"/>
      <c r="BL136" s="9"/>
      <c r="BM136" s="40"/>
      <c r="BN136" s="9"/>
      <c r="BO136" s="40"/>
      <c r="BP136" s="9"/>
      <c r="BQ136" s="9"/>
      <c r="BR136" s="9"/>
      <c r="BS136" s="40"/>
      <c r="BT136" s="40"/>
      <c r="BU136" s="36" t="str">
        <f aca="false">IF(BT136="","",EDATE(BT136,SG_Criteria!$B$54*12))</f>
        <v/>
      </c>
      <c r="BV136" s="33" t="str">
        <f aca="true">IF(A136="","",IF(BT136="","NOTE: not reviewed yet",IF(TODAY()&gt;BU136,"NOTE: review overdue","OK")))</f>
        <v/>
      </c>
      <c r="BW136" s="37" t="str">
        <f aca="false">IF(A136="","",ROUND((IF(LEN(D136)&gt;0,1,0)+IF(LEN(E136)&gt;0,1,0)+IF(LEN(F136)&gt;0,1,0)+IF(LEN(G136)&gt;0,1,0)+IF(LEN(H136)&gt;0,1,0)+IF(LEN(I136)&gt;0,1,0)+IF(LEN(J136)&gt;0,1,0)+IF(LEN(L136)&gt;0,1,0)+IF(LEN(R136)&gt;0,1,0)+IF(LEN(Y136)&gt;0,1,0)+IF(LEN(AE136)&gt;0,1,0)+IF(LEN(AG136)&gt;0,1,0)+IF(LEN(AH136)&gt;0,1,0)+IF(LEN(AI136)&gt;0,1,0)+IF(LEN(AJ136)&gt;0,1,0)+IF(LEN(AS136)&gt;0,1,0)+IF(LEN(BE136)&gt;0,1,0)+IF(LEN(BR136)&gt;0,1,0))/18,2))</f>
        <v/>
      </c>
      <c r="BX136" s="10" t="str">
        <f aca="false">IF(D136="","",IF(AND(AH136="Approved",ISERROR(SEARCH("FAIL",BB136))),"Y","N"))</f>
        <v/>
      </c>
      <c r="BY136" s="10" t="str">
        <f aca="false">IF(D136="","",D136&amp;"|"&amp;H136&amp;"|"&amp;F136&amp;"|"&amp;I136&amp;"|"&amp;BX136)</f>
        <v/>
      </c>
    </row>
    <row r="137" customFormat="false" ht="15" hidden="false" customHeight="false" outlineLevel="0" collapsed="false">
      <c r="A137" s="10" t="str">
        <f aca="false">IF(D137="","","ERSS-"&amp;IFERROR(VLOOKUP(D137,Lists!$AK$4:$AL$21,2,0),"??")&amp;"-"&amp;TEXT(F137,"0000")&amp;"x"&amp;TEXT(G137,"0000")&amp;"-D"&amp;TEXT(H137*1000,"0000")&amp;"-"&amp;IFERROR(VLOOKUP(I137,Lists!$Y$4:$Z$21,2,0),"??")&amp;"-"&amp;AG137)</f>
        <v/>
      </c>
      <c r="B137" s="10" t="str">
        <f aca="false">IF(D137="","",D137&amp;" for "&amp;E137&amp;", "&amp;F137&amp;" x "&amp;G137&amp;" pit, "&amp;TEXT(H137,"0.0")&amp;" m deep, "&amp;I137)</f>
        <v/>
      </c>
      <c r="C137" s="9"/>
      <c r="D137" s="9"/>
      <c r="E137" s="9"/>
      <c r="F137" s="38"/>
      <c r="G137" s="38"/>
      <c r="H137" s="42"/>
      <c r="I137" s="9"/>
      <c r="J137" s="42"/>
      <c r="K137" s="38"/>
      <c r="L137" s="9"/>
      <c r="M137" s="42"/>
      <c r="N137" s="42"/>
      <c r="O137" s="38"/>
      <c r="P137" s="9"/>
      <c r="Q137" s="9"/>
      <c r="R137" s="39"/>
      <c r="S137" s="39"/>
      <c r="T137" s="38"/>
      <c r="U137" s="38"/>
      <c r="V137" s="38"/>
      <c r="W137" s="9"/>
      <c r="X137" s="9"/>
      <c r="Y137" s="38"/>
      <c r="Z137" s="9"/>
      <c r="AA137" s="9"/>
      <c r="AB137" s="38"/>
      <c r="AC137" s="9"/>
      <c r="AD137" s="39"/>
      <c r="AE137" s="9"/>
      <c r="AF137" s="9"/>
      <c r="AG137" s="9"/>
      <c r="AH137" s="9"/>
      <c r="AI137" s="9"/>
      <c r="AJ137" s="9"/>
      <c r="AK137" s="9"/>
      <c r="AL137" s="10" t="str">
        <f aca="false">IF(A137="","",SG_Criteria!$B$6&amp;SG_Criteria!$B$11&amp;"\"&amp;A137&amp;"\")</f>
        <v/>
      </c>
      <c r="AM137" s="10" t="str">
        <f aca="false">IF(A137="","",A137&amp;"_CAD.dwg")</f>
        <v/>
      </c>
      <c r="AN137" s="10" t="str">
        <f aca="false">IF(A137="","",A137&amp;"_DWG.pdf")</f>
        <v/>
      </c>
      <c r="AO137" s="10" t="str">
        <f aca="false">IF(A137="","",IF(AK137="Y",A137&amp;"_STAAD.std","n/a"))</f>
        <v/>
      </c>
      <c r="AP137" s="10" t="str">
        <f aca="false">IF(A137="","",A137&amp;"_CALC.xlsx")</f>
        <v/>
      </c>
      <c r="AQ137" s="10" t="str">
        <f aca="false">IF(A137="","",A137&amp;"_CALC.pdf")</f>
        <v/>
      </c>
      <c r="AR137" s="9"/>
      <c r="AS137" s="9"/>
      <c r="AT137" s="39"/>
      <c r="AU137" s="39"/>
      <c r="AV137" s="39"/>
      <c r="AW137" s="39"/>
      <c r="AX137" s="39"/>
      <c r="AY137" s="12" t="str">
        <f aca="false">IF(A137="","",IF(COUNTIF(Rebar_Schedule!$A$5:$A$2004,A137)=0,"",ROUND(SUMIF(Rebar_Schedule!$A$5:$A$2004,A137,Rebar_Schedule!$K$5:$K$2004),1)))</f>
        <v/>
      </c>
      <c r="AZ137" s="33" t="str">
        <f aca="false">IF(A137="","",IF(AY137="","No rebar schedule yet",IF(ABS(AY137-N(AU137))/MAX(N(AU137),1)&gt;SG_Criteria!$B$55,"NOTE: register rebar differs from schedule by "&amp;TEXT(ABS(AY137-N(AU137))/MAX(N(AU137),1),"0%"),"OK")))</f>
        <v/>
      </c>
      <c r="BA137" s="33" t="str">
        <f aca="false">IF(OR(D137="",H137=""),"",IF(H137&lt;=IF(OR(D137="Soldier Pile &amp; Timber Lagging",D137="Trench Shoring Box",D137="Open Cut (battered)"),SG_Criteria!$B$34,SG_Criteria!$B$33),"No ERSS submission",IF(H137&lt;=SG_Criteria!$B$35,"QP(ST)",IF(H137&lt;=SG_Criteria!$B$36,"QP(ST) + AC","Geotechnical building works: QP(Geo) + AC"))))</f>
        <v/>
      </c>
      <c r="BB137" s="33" t="str">
        <f aca="false">IF(D137="","",IF(LEN(IF(AND(R137&lt;&gt;"",R137&lt;SG_Criteria!$B$37),"FAIL: base stability FOS &lt; "&amp;SG_Criteria!$B$37&amp;". ","")&amp;IF(AND(E137="Manhole",H137&gt;SG_Criteria!$B$36),"NOTE: BCA lists sewer manholes (pipe &lt;= 2 m dia) &gt; 6 m as non-GBW: QP(ST) + AC. ","")&amp;IF(AND(D137="Trench Shoring Box",I137="Kallang Formation (marine clay)"),"NOTE: check base heave / ground loss for shoring box in marine clay. ","")&amp;IF(AND(D137="Steel Sheet Pile Cofferdam",N(N137)&lt;H137*0.5),"NOTE: short toe embedment, check. ",""))=0,"OK",IF(AND(R137&lt;&gt;"",R137&lt;SG_Criteria!$B$37),"FAIL: base stability FOS &lt; "&amp;SG_Criteria!$B$37&amp;". ","")&amp;IF(AND(E137="Manhole",H137&gt;SG_Criteria!$B$36),"NOTE: BCA lists sewer manholes (pipe &lt;= 2 m dia) &gt; 6 m as non-GBW: QP(ST) + AC. ","")&amp;IF(AND(D137="Trench Shoring Box",I137="Kallang Formation (marine clay)"),"NOTE: check base heave / ground loss for shoring box in marine clay. ","")&amp;IF(AND(D137="Steel Sheet Pile Cofferdam",N(N137)&lt;H137*0.5),"NOTE: short toe embedment, check. ","")))</f>
        <v/>
      </c>
      <c r="BC137" s="9"/>
      <c r="BD137" s="9"/>
      <c r="BE137" s="9"/>
      <c r="BF137" s="10" t="str">
        <f aca="false">IF(BE137="","",IFERROR(VLOOKUP(BE137,Projects!$A$5:$D$504,2,0),"Ref not in Projects"))</f>
        <v/>
      </c>
      <c r="BG137" s="10" t="str">
        <f aca="false">IF(BE137="","",IFERROR(VLOOKUP(BE137,Projects!$A$5:$D$504,4,0),"Ref not in Projects"))</f>
        <v/>
      </c>
      <c r="BH137" s="9"/>
      <c r="BI137" s="9"/>
      <c r="BJ137" s="9"/>
      <c r="BK137" s="40"/>
      <c r="BL137" s="9"/>
      <c r="BM137" s="40"/>
      <c r="BN137" s="9"/>
      <c r="BO137" s="40"/>
      <c r="BP137" s="9"/>
      <c r="BQ137" s="9"/>
      <c r="BR137" s="9"/>
      <c r="BS137" s="40"/>
      <c r="BT137" s="40"/>
      <c r="BU137" s="36" t="str">
        <f aca="false">IF(BT137="","",EDATE(BT137,SG_Criteria!$B$54*12))</f>
        <v/>
      </c>
      <c r="BV137" s="33" t="str">
        <f aca="true">IF(A137="","",IF(BT137="","NOTE: not reviewed yet",IF(TODAY()&gt;BU137,"NOTE: review overdue","OK")))</f>
        <v/>
      </c>
      <c r="BW137" s="37" t="str">
        <f aca="false">IF(A137="","",ROUND((IF(LEN(D137)&gt;0,1,0)+IF(LEN(E137)&gt;0,1,0)+IF(LEN(F137)&gt;0,1,0)+IF(LEN(G137)&gt;0,1,0)+IF(LEN(H137)&gt;0,1,0)+IF(LEN(I137)&gt;0,1,0)+IF(LEN(J137)&gt;0,1,0)+IF(LEN(L137)&gt;0,1,0)+IF(LEN(R137)&gt;0,1,0)+IF(LEN(Y137)&gt;0,1,0)+IF(LEN(AE137)&gt;0,1,0)+IF(LEN(AG137)&gt;0,1,0)+IF(LEN(AH137)&gt;0,1,0)+IF(LEN(AI137)&gt;0,1,0)+IF(LEN(AJ137)&gt;0,1,0)+IF(LEN(AS137)&gt;0,1,0)+IF(LEN(BE137)&gt;0,1,0)+IF(LEN(BR137)&gt;0,1,0))/18,2))</f>
        <v/>
      </c>
      <c r="BX137" s="10" t="str">
        <f aca="false">IF(D137="","",IF(AND(AH137="Approved",ISERROR(SEARCH("FAIL",BB137))),"Y","N"))</f>
        <v/>
      </c>
      <c r="BY137" s="10" t="str">
        <f aca="false">IF(D137="","",D137&amp;"|"&amp;H137&amp;"|"&amp;F137&amp;"|"&amp;I137&amp;"|"&amp;BX137)</f>
        <v/>
      </c>
    </row>
    <row r="138" customFormat="false" ht="15" hidden="false" customHeight="false" outlineLevel="0" collapsed="false">
      <c r="A138" s="10" t="str">
        <f aca="false">IF(D138="","","ERSS-"&amp;IFERROR(VLOOKUP(D138,Lists!$AK$4:$AL$21,2,0),"??")&amp;"-"&amp;TEXT(F138,"0000")&amp;"x"&amp;TEXT(G138,"0000")&amp;"-D"&amp;TEXT(H138*1000,"0000")&amp;"-"&amp;IFERROR(VLOOKUP(I138,Lists!$Y$4:$Z$21,2,0),"??")&amp;"-"&amp;AG138)</f>
        <v/>
      </c>
      <c r="B138" s="10" t="str">
        <f aca="false">IF(D138="","",D138&amp;" for "&amp;E138&amp;", "&amp;F138&amp;" x "&amp;G138&amp;" pit, "&amp;TEXT(H138,"0.0")&amp;" m deep, "&amp;I138)</f>
        <v/>
      </c>
      <c r="C138" s="9"/>
      <c r="D138" s="9"/>
      <c r="E138" s="9"/>
      <c r="F138" s="38"/>
      <c r="G138" s="38"/>
      <c r="H138" s="42"/>
      <c r="I138" s="9"/>
      <c r="J138" s="42"/>
      <c r="K138" s="38"/>
      <c r="L138" s="9"/>
      <c r="M138" s="42"/>
      <c r="N138" s="42"/>
      <c r="O138" s="38"/>
      <c r="P138" s="9"/>
      <c r="Q138" s="9"/>
      <c r="R138" s="39"/>
      <c r="S138" s="39"/>
      <c r="T138" s="38"/>
      <c r="U138" s="38"/>
      <c r="V138" s="38"/>
      <c r="W138" s="9"/>
      <c r="X138" s="9"/>
      <c r="Y138" s="38"/>
      <c r="Z138" s="9"/>
      <c r="AA138" s="9"/>
      <c r="AB138" s="38"/>
      <c r="AC138" s="9"/>
      <c r="AD138" s="39"/>
      <c r="AE138" s="9"/>
      <c r="AF138" s="9"/>
      <c r="AG138" s="9"/>
      <c r="AH138" s="9"/>
      <c r="AI138" s="9"/>
      <c r="AJ138" s="9"/>
      <c r="AK138" s="9"/>
      <c r="AL138" s="10" t="str">
        <f aca="false">IF(A138="","",SG_Criteria!$B$6&amp;SG_Criteria!$B$11&amp;"\"&amp;A138&amp;"\")</f>
        <v/>
      </c>
      <c r="AM138" s="10" t="str">
        <f aca="false">IF(A138="","",A138&amp;"_CAD.dwg")</f>
        <v/>
      </c>
      <c r="AN138" s="10" t="str">
        <f aca="false">IF(A138="","",A138&amp;"_DWG.pdf")</f>
        <v/>
      </c>
      <c r="AO138" s="10" t="str">
        <f aca="false">IF(A138="","",IF(AK138="Y",A138&amp;"_STAAD.std","n/a"))</f>
        <v/>
      </c>
      <c r="AP138" s="10" t="str">
        <f aca="false">IF(A138="","",A138&amp;"_CALC.xlsx")</f>
        <v/>
      </c>
      <c r="AQ138" s="10" t="str">
        <f aca="false">IF(A138="","",A138&amp;"_CALC.pdf")</f>
        <v/>
      </c>
      <c r="AR138" s="9"/>
      <c r="AS138" s="9"/>
      <c r="AT138" s="39"/>
      <c r="AU138" s="39"/>
      <c r="AV138" s="39"/>
      <c r="AW138" s="39"/>
      <c r="AX138" s="39"/>
      <c r="AY138" s="12" t="str">
        <f aca="false">IF(A138="","",IF(COUNTIF(Rebar_Schedule!$A$5:$A$2004,A138)=0,"",ROUND(SUMIF(Rebar_Schedule!$A$5:$A$2004,A138,Rebar_Schedule!$K$5:$K$2004),1)))</f>
        <v/>
      </c>
      <c r="AZ138" s="33" t="str">
        <f aca="false">IF(A138="","",IF(AY138="","No rebar schedule yet",IF(ABS(AY138-N(AU138))/MAX(N(AU138),1)&gt;SG_Criteria!$B$55,"NOTE: register rebar differs from schedule by "&amp;TEXT(ABS(AY138-N(AU138))/MAX(N(AU138),1),"0%"),"OK")))</f>
        <v/>
      </c>
      <c r="BA138" s="33" t="str">
        <f aca="false">IF(OR(D138="",H138=""),"",IF(H138&lt;=IF(OR(D138="Soldier Pile &amp; Timber Lagging",D138="Trench Shoring Box",D138="Open Cut (battered)"),SG_Criteria!$B$34,SG_Criteria!$B$33),"No ERSS submission",IF(H138&lt;=SG_Criteria!$B$35,"QP(ST)",IF(H138&lt;=SG_Criteria!$B$36,"QP(ST) + AC","Geotechnical building works: QP(Geo) + AC"))))</f>
        <v/>
      </c>
      <c r="BB138" s="33" t="str">
        <f aca="false">IF(D138="","",IF(LEN(IF(AND(R138&lt;&gt;"",R138&lt;SG_Criteria!$B$37),"FAIL: base stability FOS &lt; "&amp;SG_Criteria!$B$37&amp;". ","")&amp;IF(AND(E138="Manhole",H138&gt;SG_Criteria!$B$36),"NOTE: BCA lists sewer manholes (pipe &lt;= 2 m dia) &gt; 6 m as non-GBW: QP(ST) + AC. ","")&amp;IF(AND(D138="Trench Shoring Box",I138="Kallang Formation (marine clay)"),"NOTE: check base heave / ground loss for shoring box in marine clay. ","")&amp;IF(AND(D138="Steel Sheet Pile Cofferdam",N(N138)&lt;H138*0.5),"NOTE: short toe embedment, check. ",""))=0,"OK",IF(AND(R138&lt;&gt;"",R138&lt;SG_Criteria!$B$37),"FAIL: base stability FOS &lt; "&amp;SG_Criteria!$B$37&amp;". ","")&amp;IF(AND(E138="Manhole",H138&gt;SG_Criteria!$B$36),"NOTE: BCA lists sewer manholes (pipe &lt;= 2 m dia) &gt; 6 m as non-GBW: QP(ST) + AC. ","")&amp;IF(AND(D138="Trench Shoring Box",I138="Kallang Formation (marine clay)"),"NOTE: check base heave / ground loss for shoring box in marine clay. ","")&amp;IF(AND(D138="Steel Sheet Pile Cofferdam",N(N138)&lt;H138*0.5),"NOTE: short toe embedment, check. ","")))</f>
        <v/>
      </c>
      <c r="BC138" s="9"/>
      <c r="BD138" s="9"/>
      <c r="BE138" s="9"/>
      <c r="BF138" s="10" t="str">
        <f aca="false">IF(BE138="","",IFERROR(VLOOKUP(BE138,Projects!$A$5:$D$504,2,0),"Ref not in Projects"))</f>
        <v/>
      </c>
      <c r="BG138" s="10" t="str">
        <f aca="false">IF(BE138="","",IFERROR(VLOOKUP(BE138,Projects!$A$5:$D$504,4,0),"Ref not in Projects"))</f>
        <v/>
      </c>
      <c r="BH138" s="9"/>
      <c r="BI138" s="9"/>
      <c r="BJ138" s="9"/>
      <c r="BK138" s="40"/>
      <c r="BL138" s="9"/>
      <c r="BM138" s="40"/>
      <c r="BN138" s="9"/>
      <c r="BO138" s="40"/>
      <c r="BP138" s="9"/>
      <c r="BQ138" s="9"/>
      <c r="BR138" s="9"/>
      <c r="BS138" s="40"/>
      <c r="BT138" s="40"/>
      <c r="BU138" s="36" t="str">
        <f aca="false">IF(BT138="","",EDATE(BT138,SG_Criteria!$B$54*12))</f>
        <v/>
      </c>
      <c r="BV138" s="33" t="str">
        <f aca="true">IF(A138="","",IF(BT138="","NOTE: not reviewed yet",IF(TODAY()&gt;BU138,"NOTE: review overdue","OK")))</f>
        <v/>
      </c>
      <c r="BW138" s="37" t="str">
        <f aca="false">IF(A138="","",ROUND((IF(LEN(D138)&gt;0,1,0)+IF(LEN(E138)&gt;0,1,0)+IF(LEN(F138)&gt;0,1,0)+IF(LEN(G138)&gt;0,1,0)+IF(LEN(H138)&gt;0,1,0)+IF(LEN(I138)&gt;0,1,0)+IF(LEN(J138)&gt;0,1,0)+IF(LEN(L138)&gt;0,1,0)+IF(LEN(R138)&gt;0,1,0)+IF(LEN(Y138)&gt;0,1,0)+IF(LEN(AE138)&gt;0,1,0)+IF(LEN(AG138)&gt;0,1,0)+IF(LEN(AH138)&gt;0,1,0)+IF(LEN(AI138)&gt;0,1,0)+IF(LEN(AJ138)&gt;0,1,0)+IF(LEN(AS138)&gt;0,1,0)+IF(LEN(BE138)&gt;0,1,0)+IF(LEN(BR138)&gt;0,1,0))/18,2))</f>
        <v/>
      </c>
      <c r="BX138" s="10" t="str">
        <f aca="false">IF(D138="","",IF(AND(AH138="Approved",ISERROR(SEARCH("FAIL",BB138))),"Y","N"))</f>
        <v/>
      </c>
      <c r="BY138" s="10" t="str">
        <f aca="false">IF(D138="","",D138&amp;"|"&amp;H138&amp;"|"&amp;F138&amp;"|"&amp;I138&amp;"|"&amp;BX138)</f>
        <v/>
      </c>
    </row>
    <row r="139" customFormat="false" ht="15" hidden="false" customHeight="false" outlineLevel="0" collapsed="false">
      <c r="A139" s="10" t="str">
        <f aca="false">IF(D139="","","ERSS-"&amp;IFERROR(VLOOKUP(D139,Lists!$AK$4:$AL$21,2,0),"??")&amp;"-"&amp;TEXT(F139,"0000")&amp;"x"&amp;TEXT(G139,"0000")&amp;"-D"&amp;TEXT(H139*1000,"0000")&amp;"-"&amp;IFERROR(VLOOKUP(I139,Lists!$Y$4:$Z$21,2,0),"??")&amp;"-"&amp;AG139)</f>
        <v/>
      </c>
      <c r="B139" s="10" t="str">
        <f aca="false">IF(D139="","",D139&amp;" for "&amp;E139&amp;", "&amp;F139&amp;" x "&amp;G139&amp;" pit, "&amp;TEXT(H139,"0.0")&amp;" m deep, "&amp;I139)</f>
        <v/>
      </c>
      <c r="C139" s="9"/>
      <c r="D139" s="9"/>
      <c r="E139" s="9"/>
      <c r="F139" s="38"/>
      <c r="G139" s="38"/>
      <c r="H139" s="42"/>
      <c r="I139" s="9"/>
      <c r="J139" s="42"/>
      <c r="K139" s="38"/>
      <c r="L139" s="9"/>
      <c r="M139" s="42"/>
      <c r="N139" s="42"/>
      <c r="O139" s="38"/>
      <c r="P139" s="9"/>
      <c r="Q139" s="9"/>
      <c r="R139" s="39"/>
      <c r="S139" s="39"/>
      <c r="T139" s="38"/>
      <c r="U139" s="38"/>
      <c r="V139" s="38"/>
      <c r="W139" s="9"/>
      <c r="X139" s="9"/>
      <c r="Y139" s="38"/>
      <c r="Z139" s="9"/>
      <c r="AA139" s="9"/>
      <c r="AB139" s="38"/>
      <c r="AC139" s="9"/>
      <c r="AD139" s="39"/>
      <c r="AE139" s="9"/>
      <c r="AF139" s="9"/>
      <c r="AG139" s="9"/>
      <c r="AH139" s="9"/>
      <c r="AI139" s="9"/>
      <c r="AJ139" s="9"/>
      <c r="AK139" s="9"/>
      <c r="AL139" s="10" t="str">
        <f aca="false">IF(A139="","",SG_Criteria!$B$6&amp;SG_Criteria!$B$11&amp;"\"&amp;A139&amp;"\")</f>
        <v/>
      </c>
      <c r="AM139" s="10" t="str">
        <f aca="false">IF(A139="","",A139&amp;"_CAD.dwg")</f>
        <v/>
      </c>
      <c r="AN139" s="10" t="str">
        <f aca="false">IF(A139="","",A139&amp;"_DWG.pdf")</f>
        <v/>
      </c>
      <c r="AO139" s="10" t="str">
        <f aca="false">IF(A139="","",IF(AK139="Y",A139&amp;"_STAAD.std","n/a"))</f>
        <v/>
      </c>
      <c r="AP139" s="10" t="str">
        <f aca="false">IF(A139="","",A139&amp;"_CALC.xlsx")</f>
        <v/>
      </c>
      <c r="AQ139" s="10" t="str">
        <f aca="false">IF(A139="","",A139&amp;"_CALC.pdf")</f>
        <v/>
      </c>
      <c r="AR139" s="9"/>
      <c r="AS139" s="9"/>
      <c r="AT139" s="39"/>
      <c r="AU139" s="39"/>
      <c r="AV139" s="39"/>
      <c r="AW139" s="39"/>
      <c r="AX139" s="39"/>
      <c r="AY139" s="12" t="str">
        <f aca="false">IF(A139="","",IF(COUNTIF(Rebar_Schedule!$A$5:$A$2004,A139)=0,"",ROUND(SUMIF(Rebar_Schedule!$A$5:$A$2004,A139,Rebar_Schedule!$K$5:$K$2004),1)))</f>
        <v/>
      </c>
      <c r="AZ139" s="33" t="str">
        <f aca="false">IF(A139="","",IF(AY139="","No rebar schedule yet",IF(ABS(AY139-N(AU139))/MAX(N(AU139),1)&gt;SG_Criteria!$B$55,"NOTE: register rebar differs from schedule by "&amp;TEXT(ABS(AY139-N(AU139))/MAX(N(AU139),1),"0%"),"OK")))</f>
        <v/>
      </c>
      <c r="BA139" s="33" t="str">
        <f aca="false">IF(OR(D139="",H139=""),"",IF(H139&lt;=IF(OR(D139="Soldier Pile &amp; Timber Lagging",D139="Trench Shoring Box",D139="Open Cut (battered)"),SG_Criteria!$B$34,SG_Criteria!$B$33),"No ERSS submission",IF(H139&lt;=SG_Criteria!$B$35,"QP(ST)",IF(H139&lt;=SG_Criteria!$B$36,"QP(ST) + AC","Geotechnical building works: QP(Geo) + AC"))))</f>
        <v/>
      </c>
      <c r="BB139" s="33" t="str">
        <f aca="false">IF(D139="","",IF(LEN(IF(AND(R139&lt;&gt;"",R139&lt;SG_Criteria!$B$37),"FAIL: base stability FOS &lt; "&amp;SG_Criteria!$B$37&amp;". ","")&amp;IF(AND(E139="Manhole",H139&gt;SG_Criteria!$B$36),"NOTE: BCA lists sewer manholes (pipe &lt;= 2 m dia) &gt; 6 m as non-GBW: QP(ST) + AC. ","")&amp;IF(AND(D139="Trench Shoring Box",I139="Kallang Formation (marine clay)"),"NOTE: check base heave / ground loss for shoring box in marine clay. ","")&amp;IF(AND(D139="Steel Sheet Pile Cofferdam",N(N139)&lt;H139*0.5),"NOTE: short toe embedment, check. ",""))=0,"OK",IF(AND(R139&lt;&gt;"",R139&lt;SG_Criteria!$B$37),"FAIL: base stability FOS &lt; "&amp;SG_Criteria!$B$37&amp;". ","")&amp;IF(AND(E139="Manhole",H139&gt;SG_Criteria!$B$36),"NOTE: BCA lists sewer manholes (pipe &lt;= 2 m dia) &gt; 6 m as non-GBW: QP(ST) + AC. ","")&amp;IF(AND(D139="Trench Shoring Box",I139="Kallang Formation (marine clay)"),"NOTE: check base heave / ground loss for shoring box in marine clay. ","")&amp;IF(AND(D139="Steel Sheet Pile Cofferdam",N(N139)&lt;H139*0.5),"NOTE: short toe embedment, check. ","")))</f>
        <v/>
      </c>
      <c r="BC139" s="9"/>
      <c r="BD139" s="9"/>
      <c r="BE139" s="9"/>
      <c r="BF139" s="10" t="str">
        <f aca="false">IF(BE139="","",IFERROR(VLOOKUP(BE139,Projects!$A$5:$D$504,2,0),"Ref not in Projects"))</f>
        <v/>
      </c>
      <c r="BG139" s="10" t="str">
        <f aca="false">IF(BE139="","",IFERROR(VLOOKUP(BE139,Projects!$A$5:$D$504,4,0),"Ref not in Projects"))</f>
        <v/>
      </c>
      <c r="BH139" s="9"/>
      <c r="BI139" s="9"/>
      <c r="BJ139" s="9"/>
      <c r="BK139" s="40"/>
      <c r="BL139" s="9"/>
      <c r="BM139" s="40"/>
      <c r="BN139" s="9"/>
      <c r="BO139" s="40"/>
      <c r="BP139" s="9"/>
      <c r="BQ139" s="9"/>
      <c r="BR139" s="9"/>
      <c r="BS139" s="40"/>
      <c r="BT139" s="40"/>
      <c r="BU139" s="36" t="str">
        <f aca="false">IF(BT139="","",EDATE(BT139,SG_Criteria!$B$54*12))</f>
        <v/>
      </c>
      <c r="BV139" s="33" t="str">
        <f aca="true">IF(A139="","",IF(BT139="","NOTE: not reviewed yet",IF(TODAY()&gt;BU139,"NOTE: review overdue","OK")))</f>
        <v/>
      </c>
      <c r="BW139" s="37" t="str">
        <f aca="false">IF(A139="","",ROUND((IF(LEN(D139)&gt;0,1,0)+IF(LEN(E139)&gt;0,1,0)+IF(LEN(F139)&gt;0,1,0)+IF(LEN(G139)&gt;0,1,0)+IF(LEN(H139)&gt;0,1,0)+IF(LEN(I139)&gt;0,1,0)+IF(LEN(J139)&gt;0,1,0)+IF(LEN(L139)&gt;0,1,0)+IF(LEN(R139)&gt;0,1,0)+IF(LEN(Y139)&gt;0,1,0)+IF(LEN(AE139)&gt;0,1,0)+IF(LEN(AG139)&gt;0,1,0)+IF(LEN(AH139)&gt;0,1,0)+IF(LEN(AI139)&gt;0,1,0)+IF(LEN(AJ139)&gt;0,1,0)+IF(LEN(AS139)&gt;0,1,0)+IF(LEN(BE139)&gt;0,1,0)+IF(LEN(BR139)&gt;0,1,0))/18,2))</f>
        <v/>
      </c>
      <c r="BX139" s="10" t="str">
        <f aca="false">IF(D139="","",IF(AND(AH139="Approved",ISERROR(SEARCH("FAIL",BB139))),"Y","N"))</f>
        <v/>
      </c>
      <c r="BY139" s="10" t="str">
        <f aca="false">IF(D139="","",D139&amp;"|"&amp;H139&amp;"|"&amp;F139&amp;"|"&amp;I139&amp;"|"&amp;BX139)</f>
        <v/>
      </c>
    </row>
    <row r="140" customFormat="false" ht="15" hidden="false" customHeight="false" outlineLevel="0" collapsed="false">
      <c r="A140" s="10" t="str">
        <f aca="false">IF(D140="","","ERSS-"&amp;IFERROR(VLOOKUP(D140,Lists!$AK$4:$AL$21,2,0),"??")&amp;"-"&amp;TEXT(F140,"0000")&amp;"x"&amp;TEXT(G140,"0000")&amp;"-D"&amp;TEXT(H140*1000,"0000")&amp;"-"&amp;IFERROR(VLOOKUP(I140,Lists!$Y$4:$Z$21,2,0),"??")&amp;"-"&amp;AG140)</f>
        <v/>
      </c>
      <c r="B140" s="10" t="str">
        <f aca="false">IF(D140="","",D140&amp;" for "&amp;E140&amp;", "&amp;F140&amp;" x "&amp;G140&amp;" pit, "&amp;TEXT(H140,"0.0")&amp;" m deep, "&amp;I140)</f>
        <v/>
      </c>
      <c r="C140" s="9"/>
      <c r="D140" s="9"/>
      <c r="E140" s="9"/>
      <c r="F140" s="38"/>
      <c r="G140" s="38"/>
      <c r="H140" s="42"/>
      <c r="I140" s="9"/>
      <c r="J140" s="42"/>
      <c r="K140" s="38"/>
      <c r="L140" s="9"/>
      <c r="M140" s="42"/>
      <c r="N140" s="42"/>
      <c r="O140" s="38"/>
      <c r="P140" s="9"/>
      <c r="Q140" s="9"/>
      <c r="R140" s="39"/>
      <c r="S140" s="39"/>
      <c r="T140" s="38"/>
      <c r="U140" s="38"/>
      <c r="V140" s="38"/>
      <c r="W140" s="9"/>
      <c r="X140" s="9"/>
      <c r="Y140" s="38"/>
      <c r="Z140" s="9"/>
      <c r="AA140" s="9"/>
      <c r="AB140" s="38"/>
      <c r="AC140" s="9"/>
      <c r="AD140" s="39"/>
      <c r="AE140" s="9"/>
      <c r="AF140" s="9"/>
      <c r="AG140" s="9"/>
      <c r="AH140" s="9"/>
      <c r="AI140" s="9"/>
      <c r="AJ140" s="9"/>
      <c r="AK140" s="9"/>
      <c r="AL140" s="10" t="str">
        <f aca="false">IF(A140="","",SG_Criteria!$B$6&amp;SG_Criteria!$B$11&amp;"\"&amp;A140&amp;"\")</f>
        <v/>
      </c>
      <c r="AM140" s="10" t="str">
        <f aca="false">IF(A140="","",A140&amp;"_CAD.dwg")</f>
        <v/>
      </c>
      <c r="AN140" s="10" t="str">
        <f aca="false">IF(A140="","",A140&amp;"_DWG.pdf")</f>
        <v/>
      </c>
      <c r="AO140" s="10" t="str">
        <f aca="false">IF(A140="","",IF(AK140="Y",A140&amp;"_STAAD.std","n/a"))</f>
        <v/>
      </c>
      <c r="AP140" s="10" t="str">
        <f aca="false">IF(A140="","",A140&amp;"_CALC.xlsx")</f>
        <v/>
      </c>
      <c r="AQ140" s="10" t="str">
        <f aca="false">IF(A140="","",A140&amp;"_CALC.pdf")</f>
        <v/>
      </c>
      <c r="AR140" s="9"/>
      <c r="AS140" s="9"/>
      <c r="AT140" s="39"/>
      <c r="AU140" s="39"/>
      <c r="AV140" s="39"/>
      <c r="AW140" s="39"/>
      <c r="AX140" s="39"/>
      <c r="AY140" s="12" t="str">
        <f aca="false">IF(A140="","",IF(COUNTIF(Rebar_Schedule!$A$5:$A$2004,A140)=0,"",ROUND(SUMIF(Rebar_Schedule!$A$5:$A$2004,A140,Rebar_Schedule!$K$5:$K$2004),1)))</f>
        <v/>
      </c>
      <c r="AZ140" s="33" t="str">
        <f aca="false">IF(A140="","",IF(AY140="","No rebar schedule yet",IF(ABS(AY140-N(AU140))/MAX(N(AU140),1)&gt;SG_Criteria!$B$55,"NOTE: register rebar differs from schedule by "&amp;TEXT(ABS(AY140-N(AU140))/MAX(N(AU140),1),"0%"),"OK")))</f>
        <v/>
      </c>
      <c r="BA140" s="33" t="str">
        <f aca="false">IF(OR(D140="",H140=""),"",IF(H140&lt;=IF(OR(D140="Soldier Pile &amp; Timber Lagging",D140="Trench Shoring Box",D140="Open Cut (battered)"),SG_Criteria!$B$34,SG_Criteria!$B$33),"No ERSS submission",IF(H140&lt;=SG_Criteria!$B$35,"QP(ST)",IF(H140&lt;=SG_Criteria!$B$36,"QP(ST) + AC","Geotechnical building works: QP(Geo) + AC"))))</f>
        <v/>
      </c>
      <c r="BB140" s="33" t="str">
        <f aca="false">IF(D140="","",IF(LEN(IF(AND(R140&lt;&gt;"",R140&lt;SG_Criteria!$B$37),"FAIL: base stability FOS &lt; "&amp;SG_Criteria!$B$37&amp;". ","")&amp;IF(AND(E140="Manhole",H140&gt;SG_Criteria!$B$36),"NOTE: BCA lists sewer manholes (pipe &lt;= 2 m dia) &gt; 6 m as non-GBW: QP(ST) + AC. ","")&amp;IF(AND(D140="Trench Shoring Box",I140="Kallang Formation (marine clay)"),"NOTE: check base heave / ground loss for shoring box in marine clay. ","")&amp;IF(AND(D140="Steel Sheet Pile Cofferdam",N(N140)&lt;H140*0.5),"NOTE: short toe embedment, check. ",""))=0,"OK",IF(AND(R140&lt;&gt;"",R140&lt;SG_Criteria!$B$37),"FAIL: base stability FOS &lt; "&amp;SG_Criteria!$B$37&amp;". ","")&amp;IF(AND(E140="Manhole",H140&gt;SG_Criteria!$B$36),"NOTE: BCA lists sewer manholes (pipe &lt;= 2 m dia) &gt; 6 m as non-GBW: QP(ST) + AC. ","")&amp;IF(AND(D140="Trench Shoring Box",I140="Kallang Formation (marine clay)"),"NOTE: check base heave / ground loss for shoring box in marine clay. ","")&amp;IF(AND(D140="Steel Sheet Pile Cofferdam",N(N140)&lt;H140*0.5),"NOTE: short toe embedment, check. ","")))</f>
        <v/>
      </c>
      <c r="BC140" s="9"/>
      <c r="BD140" s="9"/>
      <c r="BE140" s="9"/>
      <c r="BF140" s="10" t="str">
        <f aca="false">IF(BE140="","",IFERROR(VLOOKUP(BE140,Projects!$A$5:$D$504,2,0),"Ref not in Projects"))</f>
        <v/>
      </c>
      <c r="BG140" s="10" t="str">
        <f aca="false">IF(BE140="","",IFERROR(VLOOKUP(BE140,Projects!$A$5:$D$504,4,0),"Ref not in Projects"))</f>
        <v/>
      </c>
      <c r="BH140" s="9"/>
      <c r="BI140" s="9"/>
      <c r="BJ140" s="9"/>
      <c r="BK140" s="40"/>
      <c r="BL140" s="9"/>
      <c r="BM140" s="40"/>
      <c r="BN140" s="9"/>
      <c r="BO140" s="40"/>
      <c r="BP140" s="9"/>
      <c r="BQ140" s="9"/>
      <c r="BR140" s="9"/>
      <c r="BS140" s="40"/>
      <c r="BT140" s="40"/>
      <c r="BU140" s="36" t="str">
        <f aca="false">IF(BT140="","",EDATE(BT140,SG_Criteria!$B$54*12))</f>
        <v/>
      </c>
      <c r="BV140" s="33" t="str">
        <f aca="true">IF(A140="","",IF(BT140="","NOTE: not reviewed yet",IF(TODAY()&gt;BU140,"NOTE: review overdue","OK")))</f>
        <v/>
      </c>
      <c r="BW140" s="37" t="str">
        <f aca="false">IF(A140="","",ROUND((IF(LEN(D140)&gt;0,1,0)+IF(LEN(E140)&gt;0,1,0)+IF(LEN(F140)&gt;0,1,0)+IF(LEN(G140)&gt;0,1,0)+IF(LEN(H140)&gt;0,1,0)+IF(LEN(I140)&gt;0,1,0)+IF(LEN(J140)&gt;0,1,0)+IF(LEN(L140)&gt;0,1,0)+IF(LEN(R140)&gt;0,1,0)+IF(LEN(Y140)&gt;0,1,0)+IF(LEN(AE140)&gt;0,1,0)+IF(LEN(AG140)&gt;0,1,0)+IF(LEN(AH140)&gt;0,1,0)+IF(LEN(AI140)&gt;0,1,0)+IF(LEN(AJ140)&gt;0,1,0)+IF(LEN(AS140)&gt;0,1,0)+IF(LEN(BE140)&gt;0,1,0)+IF(LEN(BR140)&gt;0,1,0))/18,2))</f>
        <v/>
      </c>
      <c r="BX140" s="10" t="str">
        <f aca="false">IF(D140="","",IF(AND(AH140="Approved",ISERROR(SEARCH("FAIL",BB140))),"Y","N"))</f>
        <v/>
      </c>
      <c r="BY140" s="10" t="str">
        <f aca="false">IF(D140="","",D140&amp;"|"&amp;H140&amp;"|"&amp;F140&amp;"|"&amp;I140&amp;"|"&amp;BX140)</f>
        <v/>
      </c>
    </row>
    <row r="141" customFormat="false" ht="15" hidden="false" customHeight="false" outlineLevel="0" collapsed="false">
      <c r="A141" s="10" t="str">
        <f aca="false">IF(D141="","","ERSS-"&amp;IFERROR(VLOOKUP(D141,Lists!$AK$4:$AL$21,2,0),"??")&amp;"-"&amp;TEXT(F141,"0000")&amp;"x"&amp;TEXT(G141,"0000")&amp;"-D"&amp;TEXT(H141*1000,"0000")&amp;"-"&amp;IFERROR(VLOOKUP(I141,Lists!$Y$4:$Z$21,2,0),"??")&amp;"-"&amp;AG141)</f>
        <v/>
      </c>
      <c r="B141" s="10" t="str">
        <f aca="false">IF(D141="","",D141&amp;" for "&amp;E141&amp;", "&amp;F141&amp;" x "&amp;G141&amp;" pit, "&amp;TEXT(H141,"0.0")&amp;" m deep, "&amp;I141)</f>
        <v/>
      </c>
      <c r="C141" s="9"/>
      <c r="D141" s="9"/>
      <c r="E141" s="9"/>
      <c r="F141" s="38"/>
      <c r="G141" s="38"/>
      <c r="H141" s="42"/>
      <c r="I141" s="9"/>
      <c r="J141" s="42"/>
      <c r="K141" s="38"/>
      <c r="L141" s="9"/>
      <c r="M141" s="42"/>
      <c r="N141" s="42"/>
      <c r="O141" s="38"/>
      <c r="P141" s="9"/>
      <c r="Q141" s="9"/>
      <c r="R141" s="39"/>
      <c r="S141" s="39"/>
      <c r="T141" s="38"/>
      <c r="U141" s="38"/>
      <c r="V141" s="38"/>
      <c r="W141" s="9"/>
      <c r="X141" s="9"/>
      <c r="Y141" s="38"/>
      <c r="Z141" s="9"/>
      <c r="AA141" s="9"/>
      <c r="AB141" s="38"/>
      <c r="AC141" s="9"/>
      <c r="AD141" s="39"/>
      <c r="AE141" s="9"/>
      <c r="AF141" s="9"/>
      <c r="AG141" s="9"/>
      <c r="AH141" s="9"/>
      <c r="AI141" s="9"/>
      <c r="AJ141" s="9"/>
      <c r="AK141" s="9"/>
      <c r="AL141" s="10" t="str">
        <f aca="false">IF(A141="","",SG_Criteria!$B$6&amp;SG_Criteria!$B$11&amp;"\"&amp;A141&amp;"\")</f>
        <v/>
      </c>
      <c r="AM141" s="10" t="str">
        <f aca="false">IF(A141="","",A141&amp;"_CAD.dwg")</f>
        <v/>
      </c>
      <c r="AN141" s="10" t="str">
        <f aca="false">IF(A141="","",A141&amp;"_DWG.pdf")</f>
        <v/>
      </c>
      <c r="AO141" s="10" t="str">
        <f aca="false">IF(A141="","",IF(AK141="Y",A141&amp;"_STAAD.std","n/a"))</f>
        <v/>
      </c>
      <c r="AP141" s="10" t="str">
        <f aca="false">IF(A141="","",A141&amp;"_CALC.xlsx")</f>
        <v/>
      </c>
      <c r="AQ141" s="10" t="str">
        <f aca="false">IF(A141="","",A141&amp;"_CALC.pdf")</f>
        <v/>
      </c>
      <c r="AR141" s="9"/>
      <c r="AS141" s="9"/>
      <c r="AT141" s="39"/>
      <c r="AU141" s="39"/>
      <c r="AV141" s="39"/>
      <c r="AW141" s="39"/>
      <c r="AX141" s="39"/>
      <c r="AY141" s="12" t="str">
        <f aca="false">IF(A141="","",IF(COUNTIF(Rebar_Schedule!$A$5:$A$2004,A141)=0,"",ROUND(SUMIF(Rebar_Schedule!$A$5:$A$2004,A141,Rebar_Schedule!$K$5:$K$2004),1)))</f>
        <v/>
      </c>
      <c r="AZ141" s="33" t="str">
        <f aca="false">IF(A141="","",IF(AY141="","No rebar schedule yet",IF(ABS(AY141-N(AU141))/MAX(N(AU141),1)&gt;SG_Criteria!$B$55,"NOTE: register rebar differs from schedule by "&amp;TEXT(ABS(AY141-N(AU141))/MAX(N(AU141),1),"0%"),"OK")))</f>
        <v/>
      </c>
      <c r="BA141" s="33" t="str">
        <f aca="false">IF(OR(D141="",H141=""),"",IF(H141&lt;=IF(OR(D141="Soldier Pile &amp; Timber Lagging",D141="Trench Shoring Box",D141="Open Cut (battered)"),SG_Criteria!$B$34,SG_Criteria!$B$33),"No ERSS submission",IF(H141&lt;=SG_Criteria!$B$35,"QP(ST)",IF(H141&lt;=SG_Criteria!$B$36,"QP(ST) + AC","Geotechnical building works: QP(Geo) + AC"))))</f>
        <v/>
      </c>
      <c r="BB141" s="33" t="str">
        <f aca="false">IF(D141="","",IF(LEN(IF(AND(R141&lt;&gt;"",R141&lt;SG_Criteria!$B$37),"FAIL: base stability FOS &lt; "&amp;SG_Criteria!$B$37&amp;". ","")&amp;IF(AND(E141="Manhole",H141&gt;SG_Criteria!$B$36),"NOTE: BCA lists sewer manholes (pipe &lt;= 2 m dia) &gt; 6 m as non-GBW: QP(ST) + AC. ","")&amp;IF(AND(D141="Trench Shoring Box",I141="Kallang Formation (marine clay)"),"NOTE: check base heave / ground loss for shoring box in marine clay. ","")&amp;IF(AND(D141="Steel Sheet Pile Cofferdam",N(N141)&lt;H141*0.5),"NOTE: short toe embedment, check. ",""))=0,"OK",IF(AND(R141&lt;&gt;"",R141&lt;SG_Criteria!$B$37),"FAIL: base stability FOS &lt; "&amp;SG_Criteria!$B$37&amp;". ","")&amp;IF(AND(E141="Manhole",H141&gt;SG_Criteria!$B$36),"NOTE: BCA lists sewer manholes (pipe &lt;= 2 m dia) &gt; 6 m as non-GBW: QP(ST) + AC. ","")&amp;IF(AND(D141="Trench Shoring Box",I141="Kallang Formation (marine clay)"),"NOTE: check base heave / ground loss for shoring box in marine clay. ","")&amp;IF(AND(D141="Steel Sheet Pile Cofferdam",N(N141)&lt;H141*0.5),"NOTE: short toe embedment, check. ","")))</f>
        <v/>
      </c>
      <c r="BC141" s="9"/>
      <c r="BD141" s="9"/>
      <c r="BE141" s="9"/>
      <c r="BF141" s="10" t="str">
        <f aca="false">IF(BE141="","",IFERROR(VLOOKUP(BE141,Projects!$A$5:$D$504,2,0),"Ref not in Projects"))</f>
        <v/>
      </c>
      <c r="BG141" s="10" t="str">
        <f aca="false">IF(BE141="","",IFERROR(VLOOKUP(BE141,Projects!$A$5:$D$504,4,0),"Ref not in Projects"))</f>
        <v/>
      </c>
      <c r="BH141" s="9"/>
      <c r="BI141" s="9"/>
      <c r="BJ141" s="9"/>
      <c r="BK141" s="40"/>
      <c r="BL141" s="9"/>
      <c r="BM141" s="40"/>
      <c r="BN141" s="9"/>
      <c r="BO141" s="40"/>
      <c r="BP141" s="9"/>
      <c r="BQ141" s="9"/>
      <c r="BR141" s="9"/>
      <c r="BS141" s="40"/>
      <c r="BT141" s="40"/>
      <c r="BU141" s="36" t="str">
        <f aca="false">IF(BT141="","",EDATE(BT141,SG_Criteria!$B$54*12))</f>
        <v/>
      </c>
      <c r="BV141" s="33" t="str">
        <f aca="true">IF(A141="","",IF(BT141="","NOTE: not reviewed yet",IF(TODAY()&gt;BU141,"NOTE: review overdue","OK")))</f>
        <v/>
      </c>
      <c r="BW141" s="37" t="str">
        <f aca="false">IF(A141="","",ROUND((IF(LEN(D141)&gt;0,1,0)+IF(LEN(E141)&gt;0,1,0)+IF(LEN(F141)&gt;0,1,0)+IF(LEN(G141)&gt;0,1,0)+IF(LEN(H141)&gt;0,1,0)+IF(LEN(I141)&gt;0,1,0)+IF(LEN(J141)&gt;0,1,0)+IF(LEN(L141)&gt;0,1,0)+IF(LEN(R141)&gt;0,1,0)+IF(LEN(Y141)&gt;0,1,0)+IF(LEN(AE141)&gt;0,1,0)+IF(LEN(AG141)&gt;0,1,0)+IF(LEN(AH141)&gt;0,1,0)+IF(LEN(AI141)&gt;0,1,0)+IF(LEN(AJ141)&gt;0,1,0)+IF(LEN(AS141)&gt;0,1,0)+IF(LEN(BE141)&gt;0,1,0)+IF(LEN(BR141)&gt;0,1,0))/18,2))</f>
        <v/>
      </c>
      <c r="BX141" s="10" t="str">
        <f aca="false">IF(D141="","",IF(AND(AH141="Approved",ISERROR(SEARCH("FAIL",BB141))),"Y","N"))</f>
        <v/>
      </c>
      <c r="BY141" s="10" t="str">
        <f aca="false">IF(D141="","",D141&amp;"|"&amp;H141&amp;"|"&amp;F141&amp;"|"&amp;I141&amp;"|"&amp;BX141)</f>
        <v/>
      </c>
    </row>
    <row r="142" customFormat="false" ht="15" hidden="false" customHeight="false" outlineLevel="0" collapsed="false">
      <c r="A142" s="10" t="str">
        <f aca="false">IF(D142="","","ERSS-"&amp;IFERROR(VLOOKUP(D142,Lists!$AK$4:$AL$21,2,0),"??")&amp;"-"&amp;TEXT(F142,"0000")&amp;"x"&amp;TEXT(G142,"0000")&amp;"-D"&amp;TEXT(H142*1000,"0000")&amp;"-"&amp;IFERROR(VLOOKUP(I142,Lists!$Y$4:$Z$21,2,0),"??")&amp;"-"&amp;AG142)</f>
        <v/>
      </c>
      <c r="B142" s="10" t="str">
        <f aca="false">IF(D142="","",D142&amp;" for "&amp;E142&amp;", "&amp;F142&amp;" x "&amp;G142&amp;" pit, "&amp;TEXT(H142,"0.0")&amp;" m deep, "&amp;I142)</f>
        <v/>
      </c>
      <c r="C142" s="9"/>
      <c r="D142" s="9"/>
      <c r="E142" s="9"/>
      <c r="F142" s="38"/>
      <c r="G142" s="38"/>
      <c r="H142" s="42"/>
      <c r="I142" s="9"/>
      <c r="J142" s="42"/>
      <c r="K142" s="38"/>
      <c r="L142" s="9"/>
      <c r="M142" s="42"/>
      <c r="N142" s="42"/>
      <c r="O142" s="38"/>
      <c r="P142" s="9"/>
      <c r="Q142" s="9"/>
      <c r="R142" s="39"/>
      <c r="S142" s="39"/>
      <c r="T142" s="38"/>
      <c r="U142" s="38"/>
      <c r="V142" s="38"/>
      <c r="W142" s="9"/>
      <c r="X142" s="9"/>
      <c r="Y142" s="38"/>
      <c r="Z142" s="9"/>
      <c r="AA142" s="9"/>
      <c r="AB142" s="38"/>
      <c r="AC142" s="9"/>
      <c r="AD142" s="39"/>
      <c r="AE142" s="9"/>
      <c r="AF142" s="9"/>
      <c r="AG142" s="9"/>
      <c r="AH142" s="9"/>
      <c r="AI142" s="9"/>
      <c r="AJ142" s="9"/>
      <c r="AK142" s="9"/>
      <c r="AL142" s="10" t="str">
        <f aca="false">IF(A142="","",SG_Criteria!$B$6&amp;SG_Criteria!$B$11&amp;"\"&amp;A142&amp;"\")</f>
        <v/>
      </c>
      <c r="AM142" s="10" t="str">
        <f aca="false">IF(A142="","",A142&amp;"_CAD.dwg")</f>
        <v/>
      </c>
      <c r="AN142" s="10" t="str">
        <f aca="false">IF(A142="","",A142&amp;"_DWG.pdf")</f>
        <v/>
      </c>
      <c r="AO142" s="10" t="str">
        <f aca="false">IF(A142="","",IF(AK142="Y",A142&amp;"_STAAD.std","n/a"))</f>
        <v/>
      </c>
      <c r="AP142" s="10" t="str">
        <f aca="false">IF(A142="","",A142&amp;"_CALC.xlsx")</f>
        <v/>
      </c>
      <c r="AQ142" s="10" t="str">
        <f aca="false">IF(A142="","",A142&amp;"_CALC.pdf")</f>
        <v/>
      </c>
      <c r="AR142" s="9"/>
      <c r="AS142" s="9"/>
      <c r="AT142" s="39"/>
      <c r="AU142" s="39"/>
      <c r="AV142" s="39"/>
      <c r="AW142" s="39"/>
      <c r="AX142" s="39"/>
      <c r="AY142" s="12" t="str">
        <f aca="false">IF(A142="","",IF(COUNTIF(Rebar_Schedule!$A$5:$A$2004,A142)=0,"",ROUND(SUMIF(Rebar_Schedule!$A$5:$A$2004,A142,Rebar_Schedule!$K$5:$K$2004),1)))</f>
        <v/>
      </c>
      <c r="AZ142" s="33" t="str">
        <f aca="false">IF(A142="","",IF(AY142="","No rebar schedule yet",IF(ABS(AY142-N(AU142))/MAX(N(AU142),1)&gt;SG_Criteria!$B$55,"NOTE: register rebar differs from schedule by "&amp;TEXT(ABS(AY142-N(AU142))/MAX(N(AU142),1),"0%"),"OK")))</f>
        <v/>
      </c>
      <c r="BA142" s="33" t="str">
        <f aca="false">IF(OR(D142="",H142=""),"",IF(H142&lt;=IF(OR(D142="Soldier Pile &amp; Timber Lagging",D142="Trench Shoring Box",D142="Open Cut (battered)"),SG_Criteria!$B$34,SG_Criteria!$B$33),"No ERSS submission",IF(H142&lt;=SG_Criteria!$B$35,"QP(ST)",IF(H142&lt;=SG_Criteria!$B$36,"QP(ST) + AC","Geotechnical building works: QP(Geo) + AC"))))</f>
        <v/>
      </c>
      <c r="BB142" s="33" t="str">
        <f aca="false">IF(D142="","",IF(LEN(IF(AND(R142&lt;&gt;"",R142&lt;SG_Criteria!$B$37),"FAIL: base stability FOS &lt; "&amp;SG_Criteria!$B$37&amp;". ","")&amp;IF(AND(E142="Manhole",H142&gt;SG_Criteria!$B$36),"NOTE: BCA lists sewer manholes (pipe &lt;= 2 m dia) &gt; 6 m as non-GBW: QP(ST) + AC. ","")&amp;IF(AND(D142="Trench Shoring Box",I142="Kallang Formation (marine clay)"),"NOTE: check base heave / ground loss for shoring box in marine clay. ","")&amp;IF(AND(D142="Steel Sheet Pile Cofferdam",N(N142)&lt;H142*0.5),"NOTE: short toe embedment, check. ",""))=0,"OK",IF(AND(R142&lt;&gt;"",R142&lt;SG_Criteria!$B$37),"FAIL: base stability FOS &lt; "&amp;SG_Criteria!$B$37&amp;". ","")&amp;IF(AND(E142="Manhole",H142&gt;SG_Criteria!$B$36),"NOTE: BCA lists sewer manholes (pipe &lt;= 2 m dia) &gt; 6 m as non-GBW: QP(ST) + AC. ","")&amp;IF(AND(D142="Trench Shoring Box",I142="Kallang Formation (marine clay)"),"NOTE: check base heave / ground loss for shoring box in marine clay. ","")&amp;IF(AND(D142="Steel Sheet Pile Cofferdam",N(N142)&lt;H142*0.5),"NOTE: short toe embedment, check. ","")))</f>
        <v/>
      </c>
      <c r="BC142" s="9"/>
      <c r="BD142" s="9"/>
      <c r="BE142" s="9"/>
      <c r="BF142" s="10" t="str">
        <f aca="false">IF(BE142="","",IFERROR(VLOOKUP(BE142,Projects!$A$5:$D$504,2,0),"Ref not in Projects"))</f>
        <v/>
      </c>
      <c r="BG142" s="10" t="str">
        <f aca="false">IF(BE142="","",IFERROR(VLOOKUP(BE142,Projects!$A$5:$D$504,4,0),"Ref not in Projects"))</f>
        <v/>
      </c>
      <c r="BH142" s="9"/>
      <c r="BI142" s="9"/>
      <c r="BJ142" s="9"/>
      <c r="BK142" s="40"/>
      <c r="BL142" s="9"/>
      <c r="BM142" s="40"/>
      <c r="BN142" s="9"/>
      <c r="BO142" s="40"/>
      <c r="BP142" s="9"/>
      <c r="BQ142" s="9"/>
      <c r="BR142" s="9"/>
      <c r="BS142" s="40"/>
      <c r="BT142" s="40"/>
      <c r="BU142" s="36" t="str">
        <f aca="false">IF(BT142="","",EDATE(BT142,SG_Criteria!$B$54*12))</f>
        <v/>
      </c>
      <c r="BV142" s="33" t="str">
        <f aca="true">IF(A142="","",IF(BT142="","NOTE: not reviewed yet",IF(TODAY()&gt;BU142,"NOTE: review overdue","OK")))</f>
        <v/>
      </c>
      <c r="BW142" s="37" t="str">
        <f aca="false">IF(A142="","",ROUND((IF(LEN(D142)&gt;0,1,0)+IF(LEN(E142)&gt;0,1,0)+IF(LEN(F142)&gt;0,1,0)+IF(LEN(G142)&gt;0,1,0)+IF(LEN(H142)&gt;0,1,0)+IF(LEN(I142)&gt;0,1,0)+IF(LEN(J142)&gt;0,1,0)+IF(LEN(L142)&gt;0,1,0)+IF(LEN(R142)&gt;0,1,0)+IF(LEN(Y142)&gt;0,1,0)+IF(LEN(AE142)&gt;0,1,0)+IF(LEN(AG142)&gt;0,1,0)+IF(LEN(AH142)&gt;0,1,0)+IF(LEN(AI142)&gt;0,1,0)+IF(LEN(AJ142)&gt;0,1,0)+IF(LEN(AS142)&gt;0,1,0)+IF(LEN(BE142)&gt;0,1,0)+IF(LEN(BR142)&gt;0,1,0))/18,2))</f>
        <v/>
      </c>
      <c r="BX142" s="10" t="str">
        <f aca="false">IF(D142="","",IF(AND(AH142="Approved",ISERROR(SEARCH("FAIL",BB142))),"Y","N"))</f>
        <v/>
      </c>
      <c r="BY142" s="10" t="str">
        <f aca="false">IF(D142="","",D142&amp;"|"&amp;H142&amp;"|"&amp;F142&amp;"|"&amp;I142&amp;"|"&amp;BX142)</f>
        <v/>
      </c>
    </row>
    <row r="143" customFormat="false" ht="15" hidden="false" customHeight="false" outlineLevel="0" collapsed="false">
      <c r="A143" s="10" t="str">
        <f aca="false">IF(D143="","","ERSS-"&amp;IFERROR(VLOOKUP(D143,Lists!$AK$4:$AL$21,2,0),"??")&amp;"-"&amp;TEXT(F143,"0000")&amp;"x"&amp;TEXT(G143,"0000")&amp;"-D"&amp;TEXT(H143*1000,"0000")&amp;"-"&amp;IFERROR(VLOOKUP(I143,Lists!$Y$4:$Z$21,2,0),"??")&amp;"-"&amp;AG143)</f>
        <v/>
      </c>
      <c r="B143" s="10" t="str">
        <f aca="false">IF(D143="","",D143&amp;" for "&amp;E143&amp;", "&amp;F143&amp;" x "&amp;G143&amp;" pit, "&amp;TEXT(H143,"0.0")&amp;" m deep, "&amp;I143)</f>
        <v/>
      </c>
      <c r="C143" s="9"/>
      <c r="D143" s="9"/>
      <c r="E143" s="9"/>
      <c r="F143" s="38"/>
      <c r="G143" s="38"/>
      <c r="H143" s="42"/>
      <c r="I143" s="9"/>
      <c r="J143" s="42"/>
      <c r="K143" s="38"/>
      <c r="L143" s="9"/>
      <c r="M143" s="42"/>
      <c r="N143" s="42"/>
      <c r="O143" s="38"/>
      <c r="P143" s="9"/>
      <c r="Q143" s="9"/>
      <c r="R143" s="39"/>
      <c r="S143" s="39"/>
      <c r="T143" s="38"/>
      <c r="U143" s="38"/>
      <c r="V143" s="38"/>
      <c r="W143" s="9"/>
      <c r="X143" s="9"/>
      <c r="Y143" s="38"/>
      <c r="Z143" s="9"/>
      <c r="AA143" s="9"/>
      <c r="AB143" s="38"/>
      <c r="AC143" s="9"/>
      <c r="AD143" s="39"/>
      <c r="AE143" s="9"/>
      <c r="AF143" s="9"/>
      <c r="AG143" s="9"/>
      <c r="AH143" s="9"/>
      <c r="AI143" s="9"/>
      <c r="AJ143" s="9"/>
      <c r="AK143" s="9"/>
      <c r="AL143" s="10" t="str">
        <f aca="false">IF(A143="","",SG_Criteria!$B$6&amp;SG_Criteria!$B$11&amp;"\"&amp;A143&amp;"\")</f>
        <v/>
      </c>
      <c r="AM143" s="10" t="str">
        <f aca="false">IF(A143="","",A143&amp;"_CAD.dwg")</f>
        <v/>
      </c>
      <c r="AN143" s="10" t="str">
        <f aca="false">IF(A143="","",A143&amp;"_DWG.pdf")</f>
        <v/>
      </c>
      <c r="AO143" s="10" t="str">
        <f aca="false">IF(A143="","",IF(AK143="Y",A143&amp;"_STAAD.std","n/a"))</f>
        <v/>
      </c>
      <c r="AP143" s="10" t="str">
        <f aca="false">IF(A143="","",A143&amp;"_CALC.xlsx")</f>
        <v/>
      </c>
      <c r="AQ143" s="10" t="str">
        <f aca="false">IF(A143="","",A143&amp;"_CALC.pdf")</f>
        <v/>
      </c>
      <c r="AR143" s="9"/>
      <c r="AS143" s="9"/>
      <c r="AT143" s="39"/>
      <c r="AU143" s="39"/>
      <c r="AV143" s="39"/>
      <c r="AW143" s="39"/>
      <c r="AX143" s="39"/>
      <c r="AY143" s="12" t="str">
        <f aca="false">IF(A143="","",IF(COUNTIF(Rebar_Schedule!$A$5:$A$2004,A143)=0,"",ROUND(SUMIF(Rebar_Schedule!$A$5:$A$2004,A143,Rebar_Schedule!$K$5:$K$2004),1)))</f>
        <v/>
      </c>
      <c r="AZ143" s="33" t="str">
        <f aca="false">IF(A143="","",IF(AY143="","No rebar schedule yet",IF(ABS(AY143-N(AU143))/MAX(N(AU143),1)&gt;SG_Criteria!$B$55,"NOTE: register rebar differs from schedule by "&amp;TEXT(ABS(AY143-N(AU143))/MAX(N(AU143),1),"0%"),"OK")))</f>
        <v/>
      </c>
      <c r="BA143" s="33" t="str">
        <f aca="false">IF(OR(D143="",H143=""),"",IF(H143&lt;=IF(OR(D143="Soldier Pile &amp; Timber Lagging",D143="Trench Shoring Box",D143="Open Cut (battered)"),SG_Criteria!$B$34,SG_Criteria!$B$33),"No ERSS submission",IF(H143&lt;=SG_Criteria!$B$35,"QP(ST)",IF(H143&lt;=SG_Criteria!$B$36,"QP(ST) + AC","Geotechnical building works: QP(Geo) + AC"))))</f>
        <v/>
      </c>
      <c r="BB143" s="33" t="str">
        <f aca="false">IF(D143="","",IF(LEN(IF(AND(R143&lt;&gt;"",R143&lt;SG_Criteria!$B$37),"FAIL: base stability FOS &lt; "&amp;SG_Criteria!$B$37&amp;". ","")&amp;IF(AND(E143="Manhole",H143&gt;SG_Criteria!$B$36),"NOTE: BCA lists sewer manholes (pipe &lt;= 2 m dia) &gt; 6 m as non-GBW: QP(ST) + AC. ","")&amp;IF(AND(D143="Trench Shoring Box",I143="Kallang Formation (marine clay)"),"NOTE: check base heave / ground loss for shoring box in marine clay. ","")&amp;IF(AND(D143="Steel Sheet Pile Cofferdam",N(N143)&lt;H143*0.5),"NOTE: short toe embedment, check. ",""))=0,"OK",IF(AND(R143&lt;&gt;"",R143&lt;SG_Criteria!$B$37),"FAIL: base stability FOS &lt; "&amp;SG_Criteria!$B$37&amp;". ","")&amp;IF(AND(E143="Manhole",H143&gt;SG_Criteria!$B$36),"NOTE: BCA lists sewer manholes (pipe &lt;= 2 m dia) &gt; 6 m as non-GBW: QP(ST) + AC. ","")&amp;IF(AND(D143="Trench Shoring Box",I143="Kallang Formation (marine clay)"),"NOTE: check base heave / ground loss for shoring box in marine clay. ","")&amp;IF(AND(D143="Steel Sheet Pile Cofferdam",N(N143)&lt;H143*0.5),"NOTE: short toe embedment, check. ","")))</f>
        <v/>
      </c>
      <c r="BC143" s="9"/>
      <c r="BD143" s="9"/>
      <c r="BE143" s="9"/>
      <c r="BF143" s="10" t="str">
        <f aca="false">IF(BE143="","",IFERROR(VLOOKUP(BE143,Projects!$A$5:$D$504,2,0),"Ref not in Projects"))</f>
        <v/>
      </c>
      <c r="BG143" s="10" t="str">
        <f aca="false">IF(BE143="","",IFERROR(VLOOKUP(BE143,Projects!$A$5:$D$504,4,0),"Ref not in Projects"))</f>
        <v/>
      </c>
      <c r="BH143" s="9"/>
      <c r="BI143" s="9"/>
      <c r="BJ143" s="9"/>
      <c r="BK143" s="40"/>
      <c r="BL143" s="9"/>
      <c r="BM143" s="40"/>
      <c r="BN143" s="9"/>
      <c r="BO143" s="40"/>
      <c r="BP143" s="9"/>
      <c r="BQ143" s="9"/>
      <c r="BR143" s="9"/>
      <c r="BS143" s="40"/>
      <c r="BT143" s="40"/>
      <c r="BU143" s="36" t="str">
        <f aca="false">IF(BT143="","",EDATE(BT143,SG_Criteria!$B$54*12))</f>
        <v/>
      </c>
      <c r="BV143" s="33" t="str">
        <f aca="true">IF(A143="","",IF(BT143="","NOTE: not reviewed yet",IF(TODAY()&gt;BU143,"NOTE: review overdue","OK")))</f>
        <v/>
      </c>
      <c r="BW143" s="37" t="str">
        <f aca="false">IF(A143="","",ROUND((IF(LEN(D143)&gt;0,1,0)+IF(LEN(E143)&gt;0,1,0)+IF(LEN(F143)&gt;0,1,0)+IF(LEN(G143)&gt;0,1,0)+IF(LEN(H143)&gt;0,1,0)+IF(LEN(I143)&gt;0,1,0)+IF(LEN(J143)&gt;0,1,0)+IF(LEN(L143)&gt;0,1,0)+IF(LEN(R143)&gt;0,1,0)+IF(LEN(Y143)&gt;0,1,0)+IF(LEN(AE143)&gt;0,1,0)+IF(LEN(AG143)&gt;0,1,0)+IF(LEN(AH143)&gt;0,1,0)+IF(LEN(AI143)&gt;0,1,0)+IF(LEN(AJ143)&gt;0,1,0)+IF(LEN(AS143)&gt;0,1,0)+IF(LEN(BE143)&gt;0,1,0)+IF(LEN(BR143)&gt;0,1,0))/18,2))</f>
        <v/>
      </c>
      <c r="BX143" s="10" t="str">
        <f aca="false">IF(D143="","",IF(AND(AH143="Approved",ISERROR(SEARCH("FAIL",BB143))),"Y","N"))</f>
        <v/>
      </c>
      <c r="BY143" s="10" t="str">
        <f aca="false">IF(D143="","",D143&amp;"|"&amp;H143&amp;"|"&amp;F143&amp;"|"&amp;I143&amp;"|"&amp;BX143)</f>
        <v/>
      </c>
    </row>
    <row r="144" customFormat="false" ht="15" hidden="false" customHeight="false" outlineLevel="0" collapsed="false">
      <c r="A144" s="10" t="str">
        <f aca="false">IF(D144="","","ERSS-"&amp;IFERROR(VLOOKUP(D144,Lists!$AK$4:$AL$21,2,0),"??")&amp;"-"&amp;TEXT(F144,"0000")&amp;"x"&amp;TEXT(G144,"0000")&amp;"-D"&amp;TEXT(H144*1000,"0000")&amp;"-"&amp;IFERROR(VLOOKUP(I144,Lists!$Y$4:$Z$21,2,0),"??")&amp;"-"&amp;AG144)</f>
        <v/>
      </c>
      <c r="B144" s="10" t="str">
        <f aca="false">IF(D144="","",D144&amp;" for "&amp;E144&amp;", "&amp;F144&amp;" x "&amp;G144&amp;" pit, "&amp;TEXT(H144,"0.0")&amp;" m deep, "&amp;I144)</f>
        <v/>
      </c>
      <c r="C144" s="9"/>
      <c r="D144" s="9"/>
      <c r="E144" s="9"/>
      <c r="F144" s="38"/>
      <c r="G144" s="38"/>
      <c r="H144" s="42"/>
      <c r="I144" s="9"/>
      <c r="J144" s="42"/>
      <c r="K144" s="38"/>
      <c r="L144" s="9"/>
      <c r="M144" s="42"/>
      <c r="N144" s="42"/>
      <c r="O144" s="38"/>
      <c r="P144" s="9"/>
      <c r="Q144" s="9"/>
      <c r="R144" s="39"/>
      <c r="S144" s="39"/>
      <c r="T144" s="38"/>
      <c r="U144" s="38"/>
      <c r="V144" s="38"/>
      <c r="W144" s="9"/>
      <c r="X144" s="9"/>
      <c r="Y144" s="38"/>
      <c r="Z144" s="9"/>
      <c r="AA144" s="9"/>
      <c r="AB144" s="38"/>
      <c r="AC144" s="9"/>
      <c r="AD144" s="39"/>
      <c r="AE144" s="9"/>
      <c r="AF144" s="9"/>
      <c r="AG144" s="9"/>
      <c r="AH144" s="9"/>
      <c r="AI144" s="9"/>
      <c r="AJ144" s="9"/>
      <c r="AK144" s="9"/>
      <c r="AL144" s="10" t="str">
        <f aca="false">IF(A144="","",SG_Criteria!$B$6&amp;SG_Criteria!$B$11&amp;"\"&amp;A144&amp;"\")</f>
        <v/>
      </c>
      <c r="AM144" s="10" t="str">
        <f aca="false">IF(A144="","",A144&amp;"_CAD.dwg")</f>
        <v/>
      </c>
      <c r="AN144" s="10" t="str">
        <f aca="false">IF(A144="","",A144&amp;"_DWG.pdf")</f>
        <v/>
      </c>
      <c r="AO144" s="10" t="str">
        <f aca="false">IF(A144="","",IF(AK144="Y",A144&amp;"_STAAD.std","n/a"))</f>
        <v/>
      </c>
      <c r="AP144" s="10" t="str">
        <f aca="false">IF(A144="","",A144&amp;"_CALC.xlsx")</f>
        <v/>
      </c>
      <c r="AQ144" s="10" t="str">
        <f aca="false">IF(A144="","",A144&amp;"_CALC.pdf")</f>
        <v/>
      </c>
      <c r="AR144" s="9"/>
      <c r="AS144" s="9"/>
      <c r="AT144" s="39"/>
      <c r="AU144" s="39"/>
      <c r="AV144" s="39"/>
      <c r="AW144" s="39"/>
      <c r="AX144" s="39"/>
      <c r="AY144" s="12" t="str">
        <f aca="false">IF(A144="","",IF(COUNTIF(Rebar_Schedule!$A$5:$A$2004,A144)=0,"",ROUND(SUMIF(Rebar_Schedule!$A$5:$A$2004,A144,Rebar_Schedule!$K$5:$K$2004),1)))</f>
        <v/>
      </c>
      <c r="AZ144" s="33" t="str">
        <f aca="false">IF(A144="","",IF(AY144="","No rebar schedule yet",IF(ABS(AY144-N(AU144))/MAX(N(AU144),1)&gt;SG_Criteria!$B$55,"NOTE: register rebar differs from schedule by "&amp;TEXT(ABS(AY144-N(AU144))/MAX(N(AU144),1),"0%"),"OK")))</f>
        <v/>
      </c>
      <c r="BA144" s="33" t="str">
        <f aca="false">IF(OR(D144="",H144=""),"",IF(H144&lt;=IF(OR(D144="Soldier Pile &amp; Timber Lagging",D144="Trench Shoring Box",D144="Open Cut (battered)"),SG_Criteria!$B$34,SG_Criteria!$B$33),"No ERSS submission",IF(H144&lt;=SG_Criteria!$B$35,"QP(ST)",IF(H144&lt;=SG_Criteria!$B$36,"QP(ST) + AC","Geotechnical building works: QP(Geo) + AC"))))</f>
        <v/>
      </c>
      <c r="BB144" s="33" t="str">
        <f aca="false">IF(D144="","",IF(LEN(IF(AND(R144&lt;&gt;"",R144&lt;SG_Criteria!$B$37),"FAIL: base stability FOS &lt; "&amp;SG_Criteria!$B$37&amp;". ","")&amp;IF(AND(E144="Manhole",H144&gt;SG_Criteria!$B$36),"NOTE: BCA lists sewer manholes (pipe &lt;= 2 m dia) &gt; 6 m as non-GBW: QP(ST) + AC. ","")&amp;IF(AND(D144="Trench Shoring Box",I144="Kallang Formation (marine clay)"),"NOTE: check base heave / ground loss for shoring box in marine clay. ","")&amp;IF(AND(D144="Steel Sheet Pile Cofferdam",N(N144)&lt;H144*0.5),"NOTE: short toe embedment, check. ",""))=0,"OK",IF(AND(R144&lt;&gt;"",R144&lt;SG_Criteria!$B$37),"FAIL: base stability FOS &lt; "&amp;SG_Criteria!$B$37&amp;". ","")&amp;IF(AND(E144="Manhole",H144&gt;SG_Criteria!$B$36),"NOTE: BCA lists sewer manholes (pipe &lt;= 2 m dia) &gt; 6 m as non-GBW: QP(ST) + AC. ","")&amp;IF(AND(D144="Trench Shoring Box",I144="Kallang Formation (marine clay)"),"NOTE: check base heave / ground loss for shoring box in marine clay. ","")&amp;IF(AND(D144="Steel Sheet Pile Cofferdam",N(N144)&lt;H144*0.5),"NOTE: short toe embedment, check. ","")))</f>
        <v/>
      </c>
      <c r="BC144" s="9"/>
      <c r="BD144" s="9"/>
      <c r="BE144" s="9"/>
      <c r="BF144" s="10" t="str">
        <f aca="false">IF(BE144="","",IFERROR(VLOOKUP(BE144,Projects!$A$5:$D$504,2,0),"Ref not in Projects"))</f>
        <v/>
      </c>
      <c r="BG144" s="10" t="str">
        <f aca="false">IF(BE144="","",IFERROR(VLOOKUP(BE144,Projects!$A$5:$D$504,4,0),"Ref not in Projects"))</f>
        <v/>
      </c>
      <c r="BH144" s="9"/>
      <c r="BI144" s="9"/>
      <c r="BJ144" s="9"/>
      <c r="BK144" s="40"/>
      <c r="BL144" s="9"/>
      <c r="BM144" s="40"/>
      <c r="BN144" s="9"/>
      <c r="BO144" s="40"/>
      <c r="BP144" s="9"/>
      <c r="BQ144" s="9"/>
      <c r="BR144" s="9"/>
      <c r="BS144" s="40"/>
      <c r="BT144" s="40"/>
      <c r="BU144" s="36" t="str">
        <f aca="false">IF(BT144="","",EDATE(BT144,SG_Criteria!$B$54*12))</f>
        <v/>
      </c>
      <c r="BV144" s="33" t="str">
        <f aca="true">IF(A144="","",IF(BT144="","NOTE: not reviewed yet",IF(TODAY()&gt;BU144,"NOTE: review overdue","OK")))</f>
        <v/>
      </c>
      <c r="BW144" s="37" t="str">
        <f aca="false">IF(A144="","",ROUND((IF(LEN(D144)&gt;0,1,0)+IF(LEN(E144)&gt;0,1,0)+IF(LEN(F144)&gt;0,1,0)+IF(LEN(G144)&gt;0,1,0)+IF(LEN(H144)&gt;0,1,0)+IF(LEN(I144)&gt;0,1,0)+IF(LEN(J144)&gt;0,1,0)+IF(LEN(L144)&gt;0,1,0)+IF(LEN(R144)&gt;0,1,0)+IF(LEN(Y144)&gt;0,1,0)+IF(LEN(AE144)&gt;0,1,0)+IF(LEN(AG144)&gt;0,1,0)+IF(LEN(AH144)&gt;0,1,0)+IF(LEN(AI144)&gt;0,1,0)+IF(LEN(AJ144)&gt;0,1,0)+IF(LEN(AS144)&gt;0,1,0)+IF(LEN(BE144)&gt;0,1,0)+IF(LEN(BR144)&gt;0,1,0))/18,2))</f>
        <v/>
      </c>
      <c r="BX144" s="10" t="str">
        <f aca="false">IF(D144="","",IF(AND(AH144="Approved",ISERROR(SEARCH("FAIL",BB144))),"Y","N"))</f>
        <v/>
      </c>
      <c r="BY144" s="10" t="str">
        <f aca="false">IF(D144="","",D144&amp;"|"&amp;H144&amp;"|"&amp;F144&amp;"|"&amp;I144&amp;"|"&amp;BX144)</f>
        <v/>
      </c>
    </row>
    <row r="145" customFormat="false" ht="15" hidden="false" customHeight="false" outlineLevel="0" collapsed="false">
      <c r="A145" s="10" t="str">
        <f aca="false">IF(D145="","","ERSS-"&amp;IFERROR(VLOOKUP(D145,Lists!$AK$4:$AL$21,2,0),"??")&amp;"-"&amp;TEXT(F145,"0000")&amp;"x"&amp;TEXT(G145,"0000")&amp;"-D"&amp;TEXT(H145*1000,"0000")&amp;"-"&amp;IFERROR(VLOOKUP(I145,Lists!$Y$4:$Z$21,2,0),"??")&amp;"-"&amp;AG145)</f>
        <v/>
      </c>
      <c r="B145" s="10" t="str">
        <f aca="false">IF(D145="","",D145&amp;" for "&amp;E145&amp;", "&amp;F145&amp;" x "&amp;G145&amp;" pit, "&amp;TEXT(H145,"0.0")&amp;" m deep, "&amp;I145)</f>
        <v/>
      </c>
      <c r="C145" s="9"/>
      <c r="D145" s="9"/>
      <c r="E145" s="9"/>
      <c r="F145" s="38"/>
      <c r="G145" s="38"/>
      <c r="H145" s="42"/>
      <c r="I145" s="9"/>
      <c r="J145" s="42"/>
      <c r="K145" s="38"/>
      <c r="L145" s="9"/>
      <c r="M145" s="42"/>
      <c r="N145" s="42"/>
      <c r="O145" s="38"/>
      <c r="P145" s="9"/>
      <c r="Q145" s="9"/>
      <c r="R145" s="39"/>
      <c r="S145" s="39"/>
      <c r="T145" s="38"/>
      <c r="U145" s="38"/>
      <c r="V145" s="38"/>
      <c r="W145" s="9"/>
      <c r="X145" s="9"/>
      <c r="Y145" s="38"/>
      <c r="Z145" s="9"/>
      <c r="AA145" s="9"/>
      <c r="AB145" s="38"/>
      <c r="AC145" s="9"/>
      <c r="AD145" s="39"/>
      <c r="AE145" s="9"/>
      <c r="AF145" s="9"/>
      <c r="AG145" s="9"/>
      <c r="AH145" s="9"/>
      <c r="AI145" s="9"/>
      <c r="AJ145" s="9"/>
      <c r="AK145" s="9"/>
      <c r="AL145" s="10" t="str">
        <f aca="false">IF(A145="","",SG_Criteria!$B$6&amp;SG_Criteria!$B$11&amp;"\"&amp;A145&amp;"\")</f>
        <v/>
      </c>
      <c r="AM145" s="10" t="str">
        <f aca="false">IF(A145="","",A145&amp;"_CAD.dwg")</f>
        <v/>
      </c>
      <c r="AN145" s="10" t="str">
        <f aca="false">IF(A145="","",A145&amp;"_DWG.pdf")</f>
        <v/>
      </c>
      <c r="AO145" s="10" t="str">
        <f aca="false">IF(A145="","",IF(AK145="Y",A145&amp;"_STAAD.std","n/a"))</f>
        <v/>
      </c>
      <c r="AP145" s="10" t="str">
        <f aca="false">IF(A145="","",A145&amp;"_CALC.xlsx")</f>
        <v/>
      </c>
      <c r="AQ145" s="10" t="str">
        <f aca="false">IF(A145="","",A145&amp;"_CALC.pdf")</f>
        <v/>
      </c>
      <c r="AR145" s="9"/>
      <c r="AS145" s="9"/>
      <c r="AT145" s="39"/>
      <c r="AU145" s="39"/>
      <c r="AV145" s="39"/>
      <c r="AW145" s="39"/>
      <c r="AX145" s="39"/>
      <c r="AY145" s="12" t="str">
        <f aca="false">IF(A145="","",IF(COUNTIF(Rebar_Schedule!$A$5:$A$2004,A145)=0,"",ROUND(SUMIF(Rebar_Schedule!$A$5:$A$2004,A145,Rebar_Schedule!$K$5:$K$2004),1)))</f>
        <v/>
      </c>
      <c r="AZ145" s="33" t="str">
        <f aca="false">IF(A145="","",IF(AY145="","No rebar schedule yet",IF(ABS(AY145-N(AU145))/MAX(N(AU145),1)&gt;SG_Criteria!$B$55,"NOTE: register rebar differs from schedule by "&amp;TEXT(ABS(AY145-N(AU145))/MAX(N(AU145),1),"0%"),"OK")))</f>
        <v/>
      </c>
      <c r="BA145" s="33" t="str">
        <f aca="false">IF(OR(D145="",H145=""),"",IF(H145&lt;=IF(OR(D145="Soldier Pile &amp; Timber Lagging",D145="Trench Shoring Box",D145="Open Cut (battered)"),SG_Criteria!$B$34,SG_Criteria!$B$33),"No ERSS submission",IF(H145&lt;=SG_Criteria!$B$35,"QP(ST)",IF(H145&lt;=SG_Criteria!$B$36,"QP(ST) + AC","Geotechnical building works: QP(Geo) + AC"))))</f>
        <v/>
      </c>
      <c r="BB145" s="33" t="str">
        <f aca="false">IF(D145="","",IF(LEN(IF(AND(R145&lt;&gt;"",R145&lt;SG_Criteria!$B$37),"FAIL: base stability FOS &lt; "&amp;SG_Criteria!$B$37&amp;". ","")&amp;IF(AND(E145="Manhole",H145&gt;SG_Criteria!$B$36),"NOTE: BCA lists sewer manholes (pipe &lt;= 2 m dia) &gt; 6 m as non-GBW: QP(ST) + AC. ","")&amp;IF(AND(D145="Trench Shoring Box",I145="Kallang Formation (marine clay)"),"NOTE: check base heave / ground loss for shoring box in marine clay. ","")&amp;IF(AND(D145="Steel Sheet Pile Cofferdam",N(N145)&lt;H145*0.5),"NOTE: short toe embedment, check. ",""))=0,"OK",IF(AND(R145&lt;&gt;"",R145&lt;SG_Criteria!$B$37),"FAIL: base stability FOS &lt; "&amp;SG_Criteria!$B$37&amp;". ","")&amp;IF(AND(E145="Manhole",H145&gt;SG_Criteria!$B$36),"NOTE: BCA lists sewer manholes (pipe &lt;= 2 m dia) &gt; 6 m as non-GBW: QP(ST) + AC. ","")&amp;IF(AND(D145="Trench Shoring Box",I145="Kallang Formation (marine clay)"),"NOTE: check base heave / ground loss for shoring box in marine clay. ","")&amp;IF(AND(D145="Steel Sheet Pile Cofferdam",N(N145)&lt;H145*0.5),"NOTE: short toe embedment, check. ","")))</f>
        <v/>
      </c>
      <c r="BC145" s="9"/>
      <c r="BD145" s="9"/>
      <c r="BE145" s="9"/>
      <c r="BF145" s="10" t="str">
        <f aca="false">IF(BE145="","",IFERROR(VLOOKUP(BE145,Projects!$A$5:$D$504,2,0),"Ref not in Projects"))</f>
        <v/>
      </c>
      <c r="BG145" s="10" t="str">
        <f aca="false">IF(BE145="","",IFERROR(VLOOKUP(BE145,Projects!$A$5:$D$504,4,0),"Ref not in Projects"))</f>
        <v/>
      </c>
      <c r="BH145" s="9"/>
      <c r="BI145" s="9"/>
      <c r="BJ145" s="9"/>
      <c r="BK145" s="40"/>
      <c r="BL145" s="9"/>
      <c r="BM145" s="40"/>
      <c r="BN145" s="9"/>
      <c r="BO145" s="40"/>
      <c r="BP145" s="9"/>
      <c r="BQ145" s="9"/>
      <c r="BR145" s="9"/>
      <c r="BS145" s="40"/>
      <c r="BT145" s="40"/>
      <c r="BU145" s="36" t="str">
        <f aca="false">IF(BT145="","",EDATE(BT145,SG_Criteria!$B$54*12))</f>
        <v/>
      </c>
      <c r="BV145" s="33" t="str">
        <f aca="true">IF(A145="","",IF(BT145="","NOTE: not reviewed yet",IF(TODAY()&gt;BU145,"NOTE: review overdue","OK")))</f>
        <v/>
      </c>
      <c r="BW145" s="37" t="str">
        <f aca="false">IF(A145="","",ROUND((IF(LEN(D145)&gt;0,1,0)+IF(LEN(E145)&gt;0,1,0)+IF(LEN(F145)&gt;0,1,0)+IF(LEN(G145)&gt;0,1,0)+IF(LEN(H145)&gt;0,1,0)+IF(LEN(I145)&gt;0,1,0)+IF(LEN(J145)&gt;0,1,0)+IF(LEN(L145)&gt;0,1,0)+IF(LEN(R145)&gt;0,1,0)+IF(LEN(Y145)&gt;0,1,0)+IF(LEN(AE145)&gt;0,1,0)+IF(LEN(AG145)&gt;0,1,0)+IF(LEN(AH145)&gt;0,1,0)+IF(LEN(AI145)&gt;0,1,0)+IF(LEN(AJ145)&gt;0,1,0)+IF(LEN(AS145)&gt;0,1,0)+IF(LEN(BE145)&gt;0,1,0)+IF(LEN(BR145)&gt;0,1,0))/18,2))</f>
        <v/>
      </c>
      <c r="BX145" s="10" t="str">
        <f aca="false">IF(D145="","",IF(AND(AH145="Approved",ISERROR(SEARCH("FAIL",BB145))),"Y","N"))</f>
        <v/>
      </c>
      <c r="BY145" s="10" t="str">
        <f aca="false">IF(D145="","",D145&amp;"|"&amp;H145&amp;"|"&amp;F145&amp;"|"&amp;I145&amp;"|"&amp;BX145)</f>
        <v/>
      </c>
    </row>
    <row r="146" customFormat="false" ht="15" hidden="false" customHeight="false" outlineLevel="0" collapsed="false">
      <c r="A146" s="10" t="str">
        <f aca="false">IF(D146="","","ERSS-"&amp;IFERROR(VLOOKUP(D146,Lists!$AK$4:$AL$21,2,0),"??")&amp;"-"&amp;TEXT(F146,"0000")&amp;"x"&amp;TEXT(G146,"0000")&amp;"-D"&amp;TEXT(H146*1000,"0000")&amp;"-"&amp;IFERROR(VLOOKUP(I146,Lists!$Y$4:$Z$21,2,0),"??")&amp;"-"&amp;AG146)</f>
        <v/>
      </c>
      <c r="B146" s="10" t="str">
        <f aca="false">IF(D146="","",D146&amp;" for "&amp;E146&amp;", "&amp;F146&amp;" x "&amp;G146&amp;" pit, "&amp;TEXT(H146,"0.0")&amp;" m deep, "&amp;I146)</f>
        <v/>
      </c>
      <c r="C146" s="9"/>
      <c r="D146" s="9"/>
      <c r="E146" s="9"/>
      <c r="F146" s="38"/>
      <c r="G146" s="38"/>
      <c r="H146" s="42"/>
      <c r="I146" s="9"/>
      <c r="J146" s="42"/>
      <c r="K146" s="38"/>
      <c r="L146" s="9"/>
      <c r="M146" s="42"/>
      <c r="N146" s="42"/>
      <c r="O146" s="38"/>
      <c r="P146" s="9"/>
      <c r="Q146" s="9"/>
      <c r="R146" s="39"/>
      <c r="S146" s="39"/>
      <c r="T146" s="38"/>
      <c r="U146" s="38"/>
      <c r="V146" s="38"/>
      <c r="W146" s="9"/>
      <c r="X146" s="9"/>
      <c r="Y146" s="38"/>
      <c r="Z146" s="9"/>
      <c r="AA146" s="9"/>
      <c r="AB146" s="38"/>
      <c r="AC146" s="9"/>
      <c r="AD146" s="39"/>
      <c r="AE146" s="9"/>
      <c r="AF146" s="9"/>
      <c r="AG146" s="9"/>
      <c r="AH146" s="9"/>
      <c r="AI146" s="9"/>
      <c r="AJ146" s="9"/>
      <c r="AK146" s="9"/>
      <c r="AL146" s="10" t="str">
        <f aca="false">IF(A146="","",SG_Criteria!$B$6&amp;SG_Criteria!$B$11&amp;"\"&amp;A146&amp;"\")</f>
        <v/>
      </c>
      <c r="AM146" s="10" t="str">
        <f aca="false">IF(A146="","",A146&amp;"_CAD.dwg")</f>
        <v/>
      </c>
      <c r="AN146" s="10" t="str">
        <f aca="false">IF(A146="","",A146&amp;"_DWG.pdf")</f>
        <v/>
      </c>
      <c r="AO146" s="10" t="str">
        <f aca="false">IF(A146="","",IF(AK146="Y",A146&amp;"_STAAD.std","n/a"))</f>
        <v/>
      </c>
      <c r="AP146" s="10" t="str">
        <f aca="false">IF(A146="","",A146&amp;"_CALC.xlsx")</f>
        <v/>
      </c>
      <c r="AQ146" s="10" t="str">
        <f aca="false">IF(A146="","",A146&amp;"_CALC.pdf")</f>
        <v/>
      </c>
      <c r="AR146" s="9"/>
      <c r="AS146" s="9"/>
      <c r="AT146" s="39"/>
      <c r="AU146" s="39"/>
      <c r="AV146" s="39"/>
      <c r="AW146" s="39"/>
      <c r="AX146" s="39"/>
      <c r="AY146" s="12" t="str">
        <f aca="false">IF(A146="","",IF(COUNTIF(Rebar_Schedule!$A$5:$A$2004,A146)=0,"",ROUND(SUMIF(Rebar_Schedule!$A$5:$A$2004,A146,Rebar_Schedule!$K$5:$K$2004),1)))</f>
        <v/>
      </c>
      <c r="AZ146" s="33" t="str">
        <f aca="false">IF(A146="","",IF(AY146="","No rebar schedule yet",IF(ABS(AY146-N(AU146))/MAX(N(AU146),1)&gt;SG_Criteria!$B$55,"NOTE: register rebar differs from schedule by "&amp;TEXT(ABS(AY146-N(AU146))/MAX(N(AU146),1),"0%"),"OK")))</f>
        <v/>
      </c>
      <c r="BA146" s="33" t="str">
        <f aca="false">IF(OR(D146="",H146=""),"",IF(H146&lt;=IF(OR(D146="Soldier Pile &amp; Timber Lagging",D146="Trench Shoring Box",D146="Open Cut (battered)"),SG_Criteria!$B$34,SG_Criteria!$B$33),"No ERSS submission",IF(H146&lt;=SG_Criteria!$B$35,"QP(ST)",IF(H146&lt;=SG_Criteria!$B$36,"QP(ST) + AC","Geotechnical building works: QP(Geo) + AC"))))</f>
        <v/>
      </c>
      <c r="BB146" s="33" t="str">
        <f aca="false">IF(D146="","",IF(LEN(IF(AND(R146&lt;&gt;"",R146&lt;SG_Criteria!$B$37),"FAIL: base stability FOS &lt; "&amp;SG_Criteria!$B$37&amp;". ","")&amp;IF(AND(E146="Manhole",H146&gt;SG_Criteria!$B$36),"NOTE: BCA lists sewer manholes (pipe &lt;= 2 m dia) &gt; 6 m as non-GBW: QP(ST) + AC. ","")&amp;IF(AND(D146="Trench Shoring Box",I146="Kallang Formation (marine clay)"),"NOTE: check base heave / ground loss for shoring box in marine clay. ","")&amp;IF(AND(D146="Steel Sheet Pile Cofferdam",N(N146)&lt;H146*0.5),"NOTE: short toe embedment, check. ",""))=0,"OK",IF(AND(R146&lt;&gt;"",R146&lt;SG_Criteria!$B$37),"FAIL: base stability FOS &lt; "&amp;SG_Criteria!$B$37&amp;". ","")&amp;IF(AND(E146="Manhole",H146&gt;SG_Criteria!$B$36),"NOTE: BCA lists sewer manholes (pipe &lt;= 2 m dia) &gt; 6 m as non-GBW: QP(ST) + AC. ","")&amp;IF(AND(D146="Trench Shoring Box",I146="Kallang Formation (marine clay)"),"NOTE: check base heave / ground loss for shoring box in marine clay. ","")&amp;IF(AND(D146="Steel Sheet Pile Cofferdam",N(N146)&lt;H146*0.5),"NOTE: short toe embedment, check. ","")))</f>
        <v/>
      </c>
      <c r="BC146" s="9"/>
      <c r="BD146" s="9"/>
      <c r="BE146" s="9"/>
      <c r="BF146" s="10" t="str">
        <f aca="false">IF(BE146="","",IFERROR(VLOOKUP(BE146,Projects!$A$5:$D$504,2,0),"Ref not in Projects"))</f>
        <v/>
      </c>
      <c r="BG146" s="10" t="str">
        <f aca="false">IF(BE146="","",IFERROR(VLOOKUP(BE146,Projects!$A$5:$D$504,4,0),"Ref not in Projects"))</f>
        <v/>
      </c>
      <c r="BH146" s="9"/>
      <c r="BI146" s="9"/>
      <c r="BJ146" s="9"/>
      <c r="BK146" s="40"/>
      <c r="BL146" s="9"/>
      <c r="BM146" s="40"/>
      <c r="BN146" s="9"/>
      <c r="BO146" s="40"/>
      <c r="BP146" s="9"/>
      <c r="BQ146" s="9"/>
      <c r="BR146" s="9"/>
      <c r="BS146" s="40"/>
      <c r="BT146" s="40"/>
      <c r="BU146" s="36" t="str">
        <f aca="false">IF(BT146="","",EDATE(BT146,SG_Criteria!$B$54*12))</f>
        <v/>
      </c>
      <c r="BV146" s="33" t="str">
        <f aca="true">IF(A146="","",IF(BT146="","NOTE: not reviewed yet",IF(TODAY()&gt;BU146,"NOTE: review overdue","OK")))</f>
        <v/>
      </c>
      <c r="BW146" s="37" t="str">
        <f aca="false">IF(A146="","",ROUND((IF(LEN(D146)&gt;0,1,0)+IF(LEN(E146)&gt;0,1,0)+IF(LEN(F146)&gt;0,1,0)+IF(LEN(G146)&gt;0,1,0)+IF(LEN(H146)&gt;0,1,0)+IF(LEN(I146)&gt;0,1,0)+IF(LEN(J146)&gt;0,1,0)+IF(LEN(L146)&gt;0,1,0)+IF(LEN(R146)&gt;0,1,0)+IF(LEN(Y146)&gt;0,1,0)+IF(LEN(AE146)&gt;0,1,0)+IF(LEN(AG146)&gt;0,1,0)+IF(LEN(AH146)&gt;0,1,0)+IF(LEN(AI146)&gt;0,1,0)+IF(LEN(AJ146)&gt;0,1,0)+IF(LEN(AS146)&gt;0,1,0)+IF(LEN(BE146)&gt;0,1,0)+IF(LEN(BR146)&gt;0,1,0))/18,2))</f>
        <v/>
      </c>
      <c r="BX146" s="10" t="str">
        <f aca="false">IF(D146="","",IF(AND(AH146="Approved",ISERROR(SEARCH("FAIL",BB146))),"Y","N"))</f>
        <v/>
      </c>
      <c r="BY146" s="10" t="str">
        <f aca="false">IF(D146="","",D146&amp;"|"&amp;H146&amp;"|"&amp;F146&amp;"|"&amp;I146&amp;"|"&amp;BX146)</f>
        <v/>
      </c>
    </row>
    <row r="147" customFormat="false" ht="15" hidden="false" customHeight="false" outlineLevel="0" collapsed="false">
      <c r="A147" s="10" t="str">
        <f aca="false">IF(D147="","","ERSS-"&amp;IFERROR(VLOOKUP(D147,Lists!$AK$4:$AL$21,2,0),"??")&amp;"-"&amp;TEXT(F147,"0000")&amp;"x"&amp;TEXT(G147,"0000")&amp;"-D"&amp;TEXT(H147*1000,"0000")&amp;"-"&amp;IFERROR(VLOOKUP(I147,Lists!$Y$4:$Z$21,2,0),"??")&amp;"-"&amp;AG147)</f>
        <v/>
      </c>
      <c r="B147" s="10" t="str">
        <f aca="false">IF(D147="","",D147&amp;" for "&amp;E147&amp;", "&amp;F147&amp;" x "&amp;G147&amp;" pit, "&amp;TEXT(H147,"0.0")&amp;" m deep, "&amp;I147)</f>
        <v/>
      </c>
      <c r="C147" s="9"/>
      <c r="D147" s="9"/>
      <c r="E147" s="9"/>
      <c r="F147" s="38"/>
      <c r="G147" s="38"/>
      <c r="H147" s="42"/>
      <c r="I147" s="9"/>
      <c r="J147" s="42"/>
      <c r="K147" s="38"/>
      <c r="L147" s="9"/>
      <c r="M147" s="42"/>
      <c r="N147" s="42"/>
      <c r="O147" s="38"/>
      <c r="P147" s="9"/>
      <c r="Q147" s="9"/>
      <c r="R147" s="39"/>
      <c r="S147" s="39"/>
      <c r="T147" s="38"/>
      <c r="U147" s="38"/>
      <c r="V147" s="38"/>
      <c r="W147" s="9"/>
      <c r="X147" s="9"/>
      <c r="Y147" s="38"/>
      <c r="Z147" s="9"/>
      <c r="AA147" s="9"/>
      <c r="AB147" s="38"/>
      <c r="AC147" s="9"/>
      <c r="AD147" s="39"/>
      <c r="AE147" s="9"/>
      <c r="AF147" s="9"/>
      <c r="AG147" s="9"/>
      <c r="AH147" s="9"/>
      <c r="AI147" s="9"/>
      <c r="AJ147" s="9"/>
      <c r="AK147" s="9"/>
      <c r="AL147" s="10" t="str">
        <f aca="false">IF(A147="","",SG_Criteria!$B$6&amp;SG_Criteria!$B$11&amp;"\"&amp;A147&amp;"\")</f>
        <v/>
      </c>
      <c r="AM147" s="10" t="str">
        <f aca="false">IF(A147="","",A147&amp;"_CAD.dwg")</f>
        <v/>
      </c>
      <c r="AN147" s="10" t="str">
        <f aca="false">IF(A147="","",A147&amp;"_DWG.pdf")</f>
        <v/>
      </c>
      <c r="AO147" s="10" t="str">
        <f aca="false">IF(A147="","",IF(AK147="Y",A147&amp;"_STAAD.std","n/a"))</f>
        <v/>
      </c>
      <c r="AP147" s="10" t="str">
        <f aca="false">IF(A147="","",A147&amp;"_CALC.xlsx")</f>
        <v/>
      </c>
      <c r="AQ147" s="10" t="str">
        <f aca="false">IF(A147="","",A147&amp;"_CALC.pdf")</f>
        <v/>
      </c>
      <c r="AR147" s="9"/>
      <c r="AS147" s="9"/>
      <c r="AT147" s="39"/>
      <c r="AU147" s="39"/>
      <c r="AV147" s="39"/>
      <c r="AW147" s="39"/>
      <c r="AX147" s="39"/>
      <c r="AY147" s="12" t="str">
        <f aca="false">IF(A147="","",IF(COUNTIF(Rebar_Schedule!$A$5:$A$2004,A147)=0,"",ROUND(SUMIF(Rebar_Schedule!$A$5:$A$2004,A147,Rebar_Schedule!$K$5:$K$2004),1)))</f>
        <v/>
      </c>
      <c r="AZ147" s="33" t="str">
        <f aca="false">IF(A147="","",IF(AY147="","No rebar schedule yet",IF(ABS(AY147-N(AU147))/MAX(N(AU147),1)&gt;SG_Criteria!$B$55,"NOTE: register rebar differs from schedule by "&amp;TEXT(ABS(AY147-N(AU147))/MAX(N(AU147),1),"0%"),"OK")))</f>
        <v/>
      </c>
      <c r="BA147" s="33" t="str">
        <f aca="false">IF(OR(D147="",H147=""),"",IF(H147&lt;=IF(OR(D147="Soldier Pile &amp; Timber Lagging",D147="Trench Shoring Box",D147="Open Cut (battered)"),SG_Criteria!$B$34,SG_Criteria!$B$33),"No ERSS submission",IF(H147&lt;=SG_Criteria!$B$35,"QP(ST)",IF(H147&lt;=SG_Criteria!$B$36,"QP(ST) + AC","Geotechnical building works: QP(Geo) + AC"))))</f>
        <v/>
      </c>
      <c r="BB147" s="33" t="str">
        <f aca="false">IF(D147="","",IF(LEN(IF(AND(R147&lt;&gt;"",R147&lt;SG_Criteria!$B$37),"FAIL: base stability FOS &lt; "&amp;SG_Criteria!$B$37&amp;". ","")&amp;IF(AND(E147="Manhole",H147&gt;SG_Criteria!$B$36),"NOTE: BCA lists sewer manholes (pipe &lt;= 2 m dia) &gt; 6 m as non-GBW: QP(ST) + AC. ","")&amp;IF(AND(D147="Trench Shoring Box",I147="Kallang Formation (marine clay)"),"NOTE: check base heave / ground loss for shoring box in marine clay. ","")&amp;IF(AND(D147="Steel Sheet Pile Cofferdam",N(N147)&lt;H147*0.5),"NOTE: short toe embedment, check. ",""))=0,"OK",IF(AND(R147&lt;&gt;"",R147&lt;SG_Criteria!$B$37),"FAIL: base stability FOS &lt; "&amp;SG_Criteria!$B$37&amp;". ","")&amp;IF(AND(E147="Manhole",H147&gt;SG_Criteria!$B$36),"NOTE: BCA lists sewer manholes (pipe &lt;= 2 m dia) &gt; 6 m as non-GBW: QP(ST) + AC. ","")&amp;IF(AND(D147="Trench Shoring Box",I147="Kallang Formation (marine clay)"),"NOTE: check base heave / ground loss for shoring box in marine clay. ","")&amp;IF(AND(D147="Steel Sheet Pile Cofferdam",N(N147)&lt;H147*0.5),"NOTE: short toe embedment, check. ","")))</f>
        <v/>
      </c>
      <c r="BC147" s="9"/>
      <c r="BD147" s="9"/>
      <c r="BE147" s="9"/>
      <c r="BF147" s="10" t="str">
        <f aca="false">IF(BE147="","",IFERROR(VLOOKUP(BE147,Projects!$A$5:$D$504,2,0),"Ref not in Projects"))</f>
        <v/>
      </c>
      <c r="BG147" s="10" t="str">
        <f aca="false">IF(BE147="","",IFERROR(VLOOKUP(BE147,Projects!$A$5:$D$504,4,0),"Ref not in Projects"))</f>
        <v/>
      </c>
      <c r="BH147" s="9"/>
      <c r="BI147" s="9"/>
      <c r="BJ147" s="9"/>
      <c r="BK147" s="40"/>
      <c r="BL147" s="9"/>
      <c r="BM147" s="40"/>
      <c r="BN147" s="9"/>
      <c r="BO147" s="40"/>
      <c r="BP147" s="9"/>
      <c r="BQ147" s="9"/>
      <c r="BR147" s="9"/>
      <c r="BS147" s="40"/>
      <c r="BT147" s="40"/>
      <c r="BU147" s="36" t="str">
        <f aca="false">IF(BT147="","",EDATE(BT147,SG_Criteria!$B$54*12))</f>
        <v/>
      </c>
      <c r="BV147" s="33" t="str">
        <f aca="true">IF(A147="","",IF(BT147="","NOTE: not reviewed yet",IF(TODAY()&gt;BU147,"NOTE: review overdue","OK")))</f>
        <v/>
      </c>
      <c r="BW147" s="37" t="str">
        <f aca="false">IF(A147="","",ROUND((IF(LEN(D147)&gt;0,1,0)+IF(LEN(E147)&gt;0,1,0)+IF(LEN(F147)&gt;0,1,0)+IF(LEN(G147)&gt;0,1,0)+IF(LEN(H147)&gt;0,1,0)+IF(LEN(I147)&gt;0,1,0)+IF(LEN(J147)&gt;0,1,0)+IF(LEN(L147)&gt;0,1,0)+IF(LEN(R147)&gt;0,1,0)+IF(LEN(Y147)&gt;0,1,0)+IF(LEN(AE147)&gt;0,1,0)+IF(LEN(AG147)&gt;0,1,0)+IF(LEN(AH147)&gt;0,1,0)+IF(LEN(AI147)&gt;0,1,0)+IF(LEN(AJ147)&gt;0,1,0)+IF(LEN(AS147)&gt;0,1,0)+IF(LEN(BE147)&gt;0,1,0)+IF(LEN(BR147)&gt;0,1,0))/18,2))</f>
        <v/>
      </c>
      <c r="BX147" s="10" t="str">
        <f aca="false">IF(D147="","",IF(AND(AH147="Approved",ISERROR(SEARCH("FAIL",BB147))),"Y","N"))</f>
        <v/>
      </c>
      <c r="BY147" s="10" t="str">
        <f aca="false">IF(D147="","",D147&amp;"|"&amp;H147&amp;"|"&amp;F147&amp;"|"&amp;I147&amp;"|"&amp;BX147)</f>
        <v/>
      </c>
    </row>
    <row r="148" customFormat="false" ht="15" hidden="false" customHeight="false" outlineLevel="0" collapsed="false">
      <c r="A148" s="10" t="str">
        <f aca="false">IF(D148="","","ERSS-"&amp;IFERROR(VLOOKUP(D148,Lists!$AK$4:$AL$21,2,0),"??")&amp;"-"&amp;TEXT(F148,"0000")&amp;"x"&amp;TEXT(G148,"0000")&amp;"-D"&amp;TEXT(H148*1000,"0000")&amp;"-"&amp;IFERROR(VLOOKUP(I148,Lists!$Y$4:$Z$21,2,0),"??")&amp;"-"&amp;AG148)</f>
        <v/>
      </c>
      <c r="B148" s="10" t="str">
        <f aca="false">IF(D148="","",D148&amp;" for "&amp;E148&amp;", "&amp;F148&amp;" x "&amp;G148&amp;" pit, "&amp;TEXT(H148,"0.0")&amp;" m deep, "&amp;I148)</f>
        <v/>
      </c>
      <c r="C148" s="9"/>
      <c r="D148" s="9"/>
      <c r="E148" s="9"/>
      <c r="F148" s="38"/>
      <c r="G148" s="38"/>
      <c r="H148" s="42"/>
      <c r="I148" s="9"/>
      <c r="J148" s="42"/>
      <c r="K148" s="38"/>
      <c r="L148" s="9"/>
      <c r="M148" s="42"/>
      <c r="N148" s="42"/>
      <c r="O148" s="38"/>
      <c r="P148" s="9"/>
      <c r="Q148" s="9"/>
      <c r="R148" s="39"/>
      <c r="S148" s="39"/>
      <c r="T148" s="38"/>
      <c r="U148" s="38"/>
      <c r="V148" s="38"/>
      <c r="W148" s="9"/>
      <c r="X148" s="9"/>
      <c r="Y148" s="38"/>
      <c r="Z148" s="9"/>
      <c r="AA148" s="9"/>
      <c r="AB148" s="38"/>
      <c r="AC148" s="9"/>
      <c r="AD148" s="39"/>
      <c r="AE148" s="9"/>
      <c r="AF148" s="9"/>
      <c r="AG148" s="9"/>
      <c r="AH148" s="9"/>
      <c r="AI148" s="9"/>
      <c r="AJ148" s="9"/>
      <c r="AK148" s="9"/>
      <c r="AL148" s="10" t="str">
        <f aca="false">IF(A148="","",SG_Criteria!$B$6&amp;SG_Criteria!$B$11&amp;"\"&amp;A148&amp;"\")</f>
        <v/>
      </c>
      <c r="AM148" s="10" t="str">
        <f aca="false">IF(A148="","",A148&amp;"_CAD.dwg")</f>
        <v/>
      </c>
      <c r="AN148" s="10" t="str">
        <f aca="false">IF(A148="","",A148&amp;"_DWG.pdf")</f>
        <v/>
      </c>
      <c r="AO148" s="10" t="str">
        <f aca="false">IF(A148="","",IF(AK148="Y",A148&amp;"_STAAD.std","n/a"))</f>
        <v/>
      </c>
      <c r="AP148" s="10" t="str">
        <f aca="false">IF(A148="","",A148&amp;"_CALC.xlsx")</f>
        <v/>
      </c>
      <c r="AQ148" s="10" t="str">
        <f aca="false">IF(A148="","",A148&amp;"_CALC.pdf")</f>
        <v/>
      </c>
      <c r="AR148" s="9"/>
      <c r="AS148" s="9"/>
      <c r="AT148" s="39"/>
      <c r="AU148" s="39"/>
      <c r="AV148" s="39"/>
      <c r="AW148" s="39"/>
      <c r="AX148" s="39"/>
      <c r="AY148" s="12" t="str">
        <f aca="false">IF(A148="","",IF(COUNTIF(Rebar_Schedule!$A$5:$A$2004,A148)=0,"",ROUND(SUMIF(Rebar_Schedule!$A$5:$A$2004,A148,Rebar_Schedule!$K$5:$K$2004),1)))</f>
        <v/>
      </c>
      <c r="AZ148" s="33" t="str">
        <f aca="false">IF(A148="","",IF(AY148="","No rebar schedule yet",IF(ABS(AY148-N(AU148))/MAX(N(AU148),1)&gt;SG_Criteria!$B$55,"NOTE: register rebar differs from schedule by "&amp;TEXT(ABS(AY148-N(AU148))/MAX(N(AU148),1),"0%"),"OK")))</f>
        <v/>
      </c>
      <c r="BA148" s="33" t="str">
        <f aca="false">IF(OR(D148="",H148=""),"",IF(H148&lt;=IF(OR(D148="Soldier Pile &amp; Timber Lagging",D148="Trench Shoring Box",D148="Open Cut (battered)"),SG_Criteria!$B$34,SG_Criteria!$B$33),"No ERSS submission",IF(H148&lt;=SG_Criteria!$B$35,"QP(ST)",IF(H148&lt;=SG_Criteria!$B$36,"QP(ST) + AC","Geotechnical building works: QP(Geo) + AC"))))</f>
        <v/>
      </c>
      <c r="BB148" s="33" t="str">
        <f aca="false">IF(D148="","",IF(LEN(IF(AND(R148&lt;&gt;"",R148&lt;SG_Criteria!$B$37),"FAIL: base stability FOS &lt; "&amp;SG_Criteria!$B$37&amp;". ","")&amp;IF(AND(E148="Manhole",H148&gt;SG_Criteria!$B$36),"NOTE: BCA lists sewer manholes (pipe &lt;= 2 m dia) &gt; 6 m as non-GBW: QP(ST) + AC. ","")&amp;IF(AND(D148="Trench Shoring Box",I148="Kallang Formation (marine clay)"),"NOTE: check base heave / ground loss for shoring box in marine clay. ","")&amp;IF(AND(D148="Steel Sheet Pile Cofferdam",N(N148)&lt;H148*0.5),"NOTE: short toe embedment, check. ",""))=0,"OK",IF(AND(R148&lt;&gt;"",R148&lt;SG_Criteria!$B$37),"FAIL: base stability FOS &lt; "&amp;SG_Criteria!$B$37&amp;". ","")&amp;IF(AND(E148="Manhole",H148&gt;SG_Criteria!$B$36),"NOTE: BCA lists sewer manholes (pipe &lt;= 2 m dia) &gt; 6 m as non-GBW: QP(ST) + AC. ","")&amp;IF(AND(D148="Trench Shoring Box",I148="Kallang Formation (marine clay)"),"NOTE: check base heave / ground loss for shoring box in marine clay. ","")&amp;IF(AND(D148="Steel Sheet Pile Cofferdam",N(N148)&lt;H148*0.5),"NOTE: short toe embedment, check. ","")))</f>
        <v/>
      </c>
      <c r="BC148" s="9"/>
      <c r="BD148" s="9"/>
      <c r="BE148" s="9"/>
      <c r="BF148" s="10" t="str">
        <f aca="false">IF(BE148="","",IFERROR(VLOOKUP(BE148,Projects!$A$5:$D$504,2,0),"Ref not in Projects"))</f>
        <v/>
      </c>
      <c r="BG148" s="10" t="str">
        <f aca="false">IF(BE148="","",IFERROR(VLOOKUP(BE148,Projects!$A$5:$D$504,4,0),"Ref not in Projects"))</f>
        <v/>
      </c>
      <c r="BH148" s="9"/>
      <c r="BI148" s="9"/>
      <c r="BJ148" s="9"/>
      <c r="BK148" s="40"/>
      <c r="BL148" s="9"/>
      <c r="BM148" s="40"/>
      <c r="BN148" s="9"/>
      <c r="BO148" s="40"/>
      <c r="BP148" s="9"/>
      <c r="BQ148" s="9"/>
      <c r="BR148" s="9"/>
      <c r="BS148" s="40"/>
      <c r="BT148" s="40"/>
      <c r="BU148" s="36" t="str">
        <f aca="false">IF(BT148="","",EDATE(BT148,SG_Criteria!$B$54*12))</f>
        <v/>
      </c>
      <c r="BV148" s="33" t="str">
        <f aca="true">IF(A148="","",IF(BT148="","NOTE: not reviewed yet",IF(TODAY()&gt;BU148,"NOTE: review overdue","OK")))</f>
        <v/>
      </c>
      <c r="BW148" s="37" t="str">
        <f aca="false">IF(A148="","",ROUND((IF(LEN(D148)&gt;0,1,0)+IF(LEN(E148)&gt;0,1,0)+IF(LEN(F148)&gt;0,1,0)+IF(LEN(G148)&gt;0,1,0)+IF(LEN(H148)&gt;0,1,0)+IF(LEN(I148)&gt;0,1,0)+IF(LEN(J148)&gt;0,1,0)+IF(LEN(L148)&gt;0,1,0)+IF(LEN(R148)&gt;0,1,0)+IF(LEN(Y148)&gt;0,1,0)+IF(LEN(AE148)&gt;0,1,0)+IF(LEN(AG148)&gt;0,1,0)+IF(LEN(AH148)&gt;0,1,0)+IF(LEN(AI148)&gt;0,1,0)+IF(LEN(AJ148)&gt;0,1,0)+IF(LEN(AS148)&gt;0,1,0)+IF(LEN(BE148)&gt;0,1,0)+IF(LEN(BR148)&gt;0,1,0))/18,2))</f>
        <v/>
      </c>
      <c r="BX148" s="10" t="str">
        <f aca="false">IF(D148="","",IF(AND(AH148="Approved",ISERROR(SEARCH("FAIL",BB148))),"Y","N"))</f>
        <v/>
      </c>
      <c r="BY148" s="10" t="str">
        <f aca="false">IF(D148="","",D148&amp;"|"&amp;H148&amp;"|"&amp;F148&amp;"|"&amp;I148&amp;"|"&amp;BX148)</f>
        <v/>
      </c>
    </row>
    <row r="149" customFormat="false" ht="15" hidden="false" customHeight="false" outlineLevel="0" collapsed="false">
      <c r="A149" s="10" t="str">
        <f aca="false">IF(D149="","","ERSS-"&amp;IFERROR(VLOOKUP(D149,Lists!$AK$4:$AL$21,2,0),"??")&amp;"-"&amp;TEXT(F149,"0000")&amp;"x"&amp;TEXT(G149,"0000")&amp;"-D"&amp;TEXT(H149*1000,"0000")&amp;"-"&amp;IFERROR(VLOOKUP(I149,Lists!$Y$4:$Z$21,2,0),"??")&amp;"-"&amp;AG149)</f>
        <v/>
      </c>
      <c r="B149" s="10" t="str">
        <f aca="false">IF(D149="","",D149&amp;" for "&amp;E149&amp;", "&amp;F149&amp;" x "&amp;G149&amp;" pit, "&amp;TEXT(H149,"0.0")&amp;" m deep, "&amp;I149)</f>
        <v/>
      </c>
      <c r="C149" s="9"/>
      <c r="D149" s="9"/>
      <c r="E149" s="9"/>
      <c r="F149" s="38"/>
      <c r="G149" s="38"/>
      <c r="H149" s="42"/>
      <c r="I149" s="9"/>
      <c r="J149" s="42"/>
      <c r="K149" s="38"/>
      <c r="L149" s="9"/>
      <c r="M149" s="42"/>
      <c r="N149" s="42"/>
      <c r="O149" s="38"/>
      <c r="P149" s="9"/>
      <c r="Q149" s="9"/>
      <c r="R149" s="39"/>
      <c r="S149" s="39"/>
      <c r="T149" s="38"/>
      <c r="U149" s="38"/>
      <c r="V149" s="38"/>
      <c r="W149" s="9"/>
      <c r="X149" s="9"/>
      <c r="Y149" s="38"/>
      <c r="Z149" s="9"/>
      <c r="AA149" s="9"/>
      <c r="AB149" s="38"/>
      <c r="AC149" s="9"/>
      <c r="AD149" s="39"/>
      <c r="AE149" s="9"/>
      <c r="AF149" s="9"/>
      <c r="AG149" s="9"/>
      <c r="AH149" s="9"/>
      <c r="AI149" s="9"/>
      <c r="AJ149" s="9"/>
      <c r="AK149" s="9"/>
      <c r="AL149" s="10" t="str">
        <f aca="false">IF(A149="","",SG_Criteria!$B$6&amp;SG_Criteria!$B$11&amp;"\"&amp;A149&amp;"\")</f>
        <v/>
      </c>
      <c r="AM149" s="10" t="str">
        <f aca="false">IF(A149="","",A149&amp;"_CAD.dwg")</f>
        <v/>
      </c>
      <c r="AN149" s="10" t="str">
        <f aca="false">IF(A149="","",A149&amp;"_DWG.pdf")</f>
        <v/>
      </c>
      <c r="AO149" s="10" t="str">
        <f aca="false">IF(A149="","",IF(AK149="Y",A149&amp;"_STAAD.std","n/a"))</f>
        <v/>
      </c>
      <c r="AP149" s="10" t="str">
        <f aca="false">IF(A149="","",A149&amp;"_CALC.xlsx")</f>
        <v/>
      </c>
      <c r="AQ149" s="10" t="str">
        <f aca="false">IF(A149="","",A149&amp;"_CALC.pdf")</f>
        <v/>
      </c>
      <c r="AR149" s="9"/>
      <c r="AS149" s="9"/>
      <c r="AT149" s="39"/>
      <c r="AU149" s="39"/>
      <c r="AV149" s="39"/>
      <c r="AW149" s="39"/>
      <c r="AX149" s="39"/>
      <c r="AY149" s="12" t="str">
        <f aca="false">IF(A149="","",IF(COUNTIF(Rebar_Schedule!$A$5:$A$2004,A149)=0,"",ROUND(SUMIF(Rebar_Schedule!$A$5:$A$2004,A149,Rebar_Schedule!$K$5:$K$2004),1)))</f>
        <v/>
      </c>
      <c r="AZ149" s="33" t="str">
        <f aca="false">IF(A149="","",IF(AY149="","No rebar schedule yet",IF(ABS(AY149-N(AU149))/MAX(N(AU149),1)&gt;SG_Criteria!$B$55,"NOTE: register rebar differs from schedule by "&amp;TEXT(ABS(AY149-N(AU149))/MAX(N(AU149),1),"0%"),"OK")))</f>
        <v/>
      </c>
      <c r="BA149" s="33" t="str">
        <f aca="false">IF(OR(D149="",H149=""),"",IF(H149&lt;=IF(OR(D149="Soldier Pile &amp; Timber Lagging",D149="Trench Shoring Box",D149="Open Cut (battered)"),SG_Criteria!$B$34,SG_Criteria!$B$33),"No ERSS submission",IF(H149&lt;=SG_Criteria!$B$35,"QP(ST)",IF(H149&lt;=SG_Criteria!$B$36,"QP(ST) + AC","Geotechnical building works: QP(Geo) + AC"))))</f>
        <v/>
      </c>
      <c r="BB149" s="33" t="str">
        <f aca="false">IF(D149="","",IF(LEN(IF(AND(R149&lt;&gt;"",R149&lt;SG_Criteria!$B$37),"FAIL: base stability FOS &lt; "&amp;SG_Criteria!$B$37&amp;". ","")&amp;IF(AND(E149="Manhole",H149&gt;SG_Criteria!$B$36),"NOTE: BCA lists sewer manholes (pipe &lt;= 2 m dia) &gt; 6 m as non-GBW: QP(ST) + AC. ","")&amp;IF(AND(D149="Trench Shoring Box",I149="Kallang Formation (marine clay)"),"NOTE: check base heave / ground loss for shoring box in marine clay. ","")&amp;IF(AND(D149="Steel Sheet Pile Cofferdam",N(N149)&lt;H149*0.5),"NOTE: short toe embedment, check. ",""))=0,"OK",IF(AND(R149&lt;&gt;"",R149&lt;SG_Criteria!$B$37),"FAIL: base stability FOS &lt; "&amp;SG_Criteria!$B$37&amp;". ","")&amp;IF(AND(E149="Manhole",H149&gt;SG_Criteria!$B$36),"NOTE: BCA lists sewer manholes (pipe &lt;= 2 m dia) &gt; 6 m as non-GBW: QP(ST) + AC. ","")&amp;IF(AND(D149="Trench Shoring Box",I149="Kallang Formation (marine clay)"),"NOTE: check base heave / ground loss for shoring box in marine clay. ","")&amp;IF(AND(D149="Steel Sheet Pile Cofferdam",N(N149)&lt;H149*0.5),"NOTE: short toe embedment, check. ","")))</f>
        <v/>
      </c>
      <c r="BC149" s="9"/>
      <c r="BD149" s="9"/>
      <c r="BE149" s="9"/>
      <c r="BF149" s="10" t="str">
        <f aca="false">IF(BE149="","",IFERROR(VLOOKUP(BE149,Projects!$A$5:$D$504,2,0),"Ref not in Projects"))</f>
        <v/>
      </c>
      <c r="BG149" s="10" t="str">
        <f aca="false">IF(BE149="","",IFERROR(VLOOKUP(BE149,Projects!$A$5:$D$504,4,0),"Ref not in Projects"))</f>
        <v/>
      </c>
      <c r="BH149" s="9"/>
      <c r="BI149" s="9"/>
      <c r="BJ149" s="9"/>
      <c r="BK149" s="40"/>
      <c r="BL149" s="9"/>
      <c r="BM149" s="40"/>
      <c r="BN149" s="9"/>
      <c r="BO149" s="40"/>
      <c r="BP149" s="9"/>
      <c r="BQ149" s="9"/>
      <c r="BR149" s="9"/>
      <c r="BS149" s="40"/>
      <c r="BT149" s="40"/>
      <c r="BU149" s="36" t="str">
        <f aca="false">IF(BT149="","",EDATE(BT149,SG_Criteria!$B$54*12))</f>
        <v/>
      </c>
      <c r="BV149" s="33" t="str">
        <f aca="true">IF(A149="","",IF(BT149="","NOTE: not reviewed yet",IF(TODAY()&gt;BU149,"NOTE: review overdue","OK")))</f>
        <v/>
      </c>
      <c r="BW149" s="37" t="str">
        <f aca="false">IF(A149="","",ROUND((IF(LEN(D149)&gt;0,1,0)+IF(LEN(E149)&gt;0,1,0)+IF(LEN(F149)&gt;0,1,0)+IF(LEN(G149)&gt;0,1,0)+IF(LEN(H149)&gt;0,1,0)+IF(LEN(I149)&gt;0,1,0)+IF(LEN(J149)&gt;0,1,0)+IF(LEN(L149)&gt;0,1,0)+IF(LEN(R149)&gt;0,1,0)+IF(LEN(Y149)&gt;0,1,0)+IF(LEN(AE149)&gt;0,1,0)+IF(LEN(AG149)&gt;0,1,0)+IF(LEN(AH149)&gt;0,1,0)+IF(LEN(AI149)&gt;0,1,0)+IF(LEN(AJ149)&gt;0,1,0)+IF(LEN(AS149)&gt;0,1,0)+IF(LEN(BE149)&gt;0,1,0)+IF(LEN(BR149)&gt;0,1,0))/18,2))</f>
        <v/>
      </c>
      <c r="BX149" s="10" t="str">
        <f aca="false">IF(D149="","",IF(AND(AH149="Approved",ISERROR(SEARCH("FAIL",BB149))),"Y","N"))</f>
        <v/>
      </c>
      <c r="BY149" s="10" t="str">
        <f aca="false">IF(D149="","",D149&amp;"|"&amp;H149&amp;"|"&amp;F149&amp;"|"&amp;I149&amp;"|"&amp;BX149)</f>
        <v/>
      </c>
    </row>
    <row r="150" customFormat="false" ht="15" hidden="false" customHeight="false" outlineLevel="0" collapsed="false">
      <c r="A150" s="10" t="str">
        <f aca="false">IF(D150="","","ERSS-"&amp;IFERROR(VLOOKUP(D150,Lists!$AK$4:$AL$21,2,0),"??")&amp;"-"&amp;TEXT(F150,"0000")&amp;"x"&amp;TEXT(G150,"0000")&amp;"-D"&amp;TEXT(H150*1000,"0000")&amp;"-"&amp;IFERROR(VLOOKUP(I150,Lists!$Y$4:$Z$21,2,0),"??")&amp;"-"&amp;AG150)</f>
        <v/>
      </c>
      <c r="B150" s="10" t="str">
        <f aca="false">IF(D150="","",D150&amp;" for "&amp;E150&amp;", "&amp;F150&amp;" x "&amp;G150&amp;" pit, "&amp;TEXT(H150,"0.0")&amp;" m deep, "&amp;I150)</f>
        <v/>
      </c>
      <c r="C150" s="9"/>
      <c r="D150" s="9"/>
      <c r="E150" s="9"/>
      <c r="F150" s="38"/>
      <c r="G150" s="38"/>
      <c r="H150" s="42"/>
      <c r="I150" s="9"/>
      <c r="J150" s="42"/>
      <c r="K150" s="38"/>
      <c r="L150" s="9"/>
      <c r="M150" s="42"/>
      <c r="N150" s="42"/>
      <c r="O150" s="38"/>
      <c r="P150" s="9"/>
      <c r="Q150" s="9"/>
      <c r="R150" s="39"/>
      <c r="S150" s="39"/>
      <c r="T150" s="38"/>
      <c r="U150" s="38"/>
      <c r="V150" s="38"/>
      <c r="W150" s="9"/>
      <c r="X150" s="9"/>
      <c r="Y150" s="38"/>
      <c r="Z150" s="9"/>
      <c r="AA150" s="9"/>
      <c r="AB150" s="38"/>
      <c r="AC150" s="9"/>
      <c r="AD150" s="39"/>
      <c r="AE150" s="9"/>
      <c r="AF150" s="9"/>
      <c r="AG150" s="9"/>
      <c r="AH150" s="9"/>
      <c r="AI150" s="9"/>
      <c r="AJ150" s="9"/>
      <c r="AK150" s="9"/>
      <c r="AL150" s="10" t="str">
        <f aca="false">IF(A150="","",SG_Criteria!$B$6&amp;SG_Criteria!$B$11&amp;"\"&amp;A150&amp;"\")</f>
        <v/>
      </c>
      <c r="AM150" s="10" t="str">
        <f aca="false">IF(A150="","",A150&amp;"_CAD.dwg")</f>
        <v/>
      </c>
      <c r="AN150" s="10" t="str">
        <f aca="false">IF(A150="","",A150&amp;"_DWG.pdf")</f>
        <v/>
      </c>
      <c r="AO150" s="10" t="str">
        <f aca="false">IF(A150="","",IF(AK150="Y",A150&amp;"_STAAD.std","n/a"))</f>
        <v/>
      </c>
      <c r="AP150" s="10" t="str">
        <f aca="false">IF(A150="","",A150&amp;"_CALC.xlsx")</f>
        <v/>
      </c>
      <c r="AQ150" s="10" t="str">
        <f aca="false">IF(A150="","",A150&amp;"_CALC.pdf")</f>
        <v/>
      </c>
      <c r="AR150" s="9"/>
      <c r="AS150" s="9"/>
      <c r="AT150" s="39"/>
      <c r="AU150" s="39"/>
      <c r="AV150" s="39"/>
      <c r="AW150" s="39"/>
      <c r="AX150" s="39"/>
      <c r="AY150" s="12" t="str">
        <f aca="false">IF(A150="","",IF(COUNTIF(Rebar_Schedule!$A$5:$A$2004,A150)=0,"",ROUND(SUMIF(Rebar_Schedule!$A$5:$A$2004,A150,Rebar_Schedule!$K$5:$K$2004),1)))</f>
        <v/>
      </c>
      <c r="AZ150" s="33" t="str">
        <f aca="false">IF(A150="","",IF(AY150="","No rebar schedule yet",IF(ABS(AY150-N(AU150))/MAX(N(AU150),1)&gt;SG_Criteria!$B$55,"NOTE: register rebar differs from schedule by "&amp;TEXT(ABS(AY150-N(AU150))/MAX(N(AU150),1),"0%"),"OK")))</f>
        <v/>
      </c>
      <c r="BA150" s="33" t="str">
        <f aca="false">IF(OR(D150="",H150=""),"",IF(H150&lt;=IF(OR(D150="Soldier Pile &amp; Timber Lagging",D150="Trench Shoring Box",D150="Open Cut (battered)"),SG_Criteria!$B$34,SG_Criteria!$B$33),"No ERSS submission",IF(H150&lt;=SG_Criteria!$B$35,"QP(ST)",IF(H150&lt;=SG_Criteria!$B$36,"QP(ST) + AC","Geotechnical building works: QP(Geo) + AC"))))</f>
        <v/>
      </c>
      <c r="BB150" s="33" t="str">
        <f aca="false">IF(D150="","",IF(LEN(IF(AND(R150&lt;&gt;"",R150&lt;SG_Criteria!$B$37),"FAIL: base stability FOS &lt; "&amp;SG_Criteria!$B$37&amp;". ","")&amp;IF(AND(E150="Manhole",H150&gt;SG_Criteria!$B$36),"NOTE: BCA lists sewer manholes (pipe &lt;= 2 m dia) &gt; 6 m as non-GBW: QP(ST) + AC. ","")&amp;IF(AND(D150="Trench Shoring Box",I150="Kallang Formation (marine clay)"),"NOTE: check base heave / ground loss for shoring box in marine clay. ","")&amp;IF(AND(D150="Steel Sheet Pile Cofferdam",N(N150)&lt;H150*0.5),"NOTE: short toe embedment, check. ",""))=0,"OK",IF(AND(R150&lt;&gt;"",R150&lt;SG_Criteria!$B$37),"FAIL: base stability FOS &lt; "&amp;SG_Criteria!$B$37&amp;". ","")&amp;IF(AND(E150="Manhole",H150&gt;SG_Criteria!$B$36),"NOTE: BCA lists sewer manholes (pipe &lt;= 2 m dia) &gt; 6 m as non-GBW: QP(ST) + AC. ","")&amp;IF(AND(D150="Trench Shoring Box",I150="Kallang Formation (marine clay)"),"NOTE: check base heave / ground loss for shoring box in marine clay. ","")&amp;IF(AND(D150="Steel Sheet Pile Cofferdam",N(N150)&lt;H150*0.5),"NOTE: short toe embedment, check. ","")))</f>
        <v/>
      </c>
      <c r="BC150" s="9"/>
      <c r="BD150" s="9"/>
      <c r="BE150" s="9"/>
      <c r="BF150" s="10" t="str">
        <f aca="false">IF(BE150="","",IFERROR(VLOOKUP(BE150,Projects!$A$5:$D$504,2,0),"Ref not in Projects"))</f>
        <v/>
      </c>
      <c r="BG150" s="10" t="str">
        <f aca="false">IF(BE150="","",IFERROR(VLOOKUP(BE150,Projects!$A$5:$D$504,4,0),"Ref not in Projects"))</f>
        <v/>
      </c>
      <c r="BH150" s="9"/>
      <c r="BI150" s="9"/>
      <c r="BJ150" s="9"/>
      <c r="BK150" s="40"/>
      <c r="BL150" s="9"/>
      <c r="BM150" s="40"/>
      <c r="BN150" s="9"/>
      <c r="BO150" s="40"/>
      <c r="BP150" s="9"/>
      <c r="BQ150" s="9"/>
      <c r="BR150" s="9"/>
      <c r="BS150" s="40"/>
      <c r="BT150" s="40"/>
      <c r="BU150" s="36" t="str">
        <f aca="false">IF(BT150="","",EDATE(BT150,SG_Criteria!$B$54*12))</f>
        <v/>
      </c>
      <c r="BV150" s="33" t="str">
        <f aca="true">IF(A150="","",IF(BT150="","NOTE: not reviewed yet",IF(TODAY()&gt;BU150,"NOTE: review overdue","OK")))</f>
        <v/>
      </c>
      <c r="BW150" s="37" t="str">
        <f aca="false">IF(A150="","",ROUND((IF(LEN(D150)&gt;0,1,0)+IF(LEN(E150)&gt;0,1,0)+IF(LEN(F150)&gt;0,1,0)+IF(LEN(G150)&gt;0,1,0)+IF(LEN(H150)&gt;0,1,0)+IF(LEN(I150)&gt;0,1,0)+IF(LEN(J150)&gt;0,1,0)+IF(LEN(L150)&gt;0,1,0)+IF(LEN(R150)&gt;0,1,0)+IF(LEN(Y150)&gt;0,1,0)+IF(LEN(AE150)&gt;0,1,0)+IF(LEN(AG150)&gt;0,1,0)+IF(LEN(AH150)&gt;0,1,0)+IF(LEN(AI150)&gt;0,1,0)+IF(LEN(AJ150)&gt;0,1,0)+IF(LEN(AS150)&gt;0,1,0)+IF(LEN(BE150)&gt;0,1,0)+IF(LEN(BR150)&gt;0,1,0))/18,2))</f>
        <v/>
      </c>
      <c r="BX150" s="10" t="str">
        <f aca="false">IF(D150="","",IF(AND(AH150="Approved",ISERROR(SEARCH("FAIL",BB150))),"Y","N"))</f>
        <v/>
      </c>
      <c r="BY150" s="10" t="str">
        <f aca="false">IF(D150="","",D150&amp;"|"&amp;H150&amp;"|"&amp;F150&amp;"|"&amp;I150&amp;"|"&amp;BX150)</f>
        <v/>
      </c>
    </row>
    <row r="151" customFormat="false" ht="15" hidden="false" customHeight="false" outlineLevel="0" collapsed="false">
      <c r="A151" s="10" t="str">
        <f aca="false">IF(D151="","","ERSS-"&amp;IFERROR(VLOOKUP(D151,Lists!$AK$4:$AL$21,2,0),"??")&amp;"-"&amp;TEXT(F151,"0000")&amp;"x"&amp;TEXT(G151,"0000")&amp;"-D"&amp;TEXT(H151*1000,"0000")&amp;"-"&amp;IFERROR(VLOOKUP(I151,Lists!$Y$4:$Z$21,2,0),"??")&amp;"-"&amp;AG151)</f>
        <v/>
      </c>
      <c r="B151" s="10" t="str">
        <f aca="false">IF(D151="","",D151&amp;" for "&amp;E151&amp;", "&amp;F151&amp;" x "&amp;G151&amp;" pit, "&amp;TEXT(H151,"0.0")&amp;" m deep, "&amp;I151)</f>
        <v/>
      </c>
      <c r="C151" s="9"/>
      <c r="D151" s="9"/>
      <c r="E151" s="9"/>
      <c r="F151" s="38"/>
      <c r="G151" s="38"/>
      <c r="H151" s="42"/>
      <c r="I151" s="9"/>
      <c r="J151" s="42"/>
      <c r="K151" s="38"/>
      <c r="L151" s="9"/>
      <c r="M151" s="42"/>
      <c r="N151" s="42"/>
      <c r="O151" s="38"/>
      <c r="P151" s="9"/>
      <c r="Q151" s="9"/>
      <c r="R151" s="39"/>
      <c r="S151" s="39"/>
      <c r="T151" s="38"/>
      <c r="U151" s="38"/>
      <c r="V151" s="38"/>
      <c r="W151" s="9"/>
      <c r="X151" s="9"/>
      <c r="Y151" s="38"/>
      <c r="Z151" s="9"/>
      <c r="AA151" s="9"/>
      <c r="AB151" s="38"/>
      <c r="AC151" s="9"/>
      <c r="AD151" s="39"/>
      <c r="AE151" s="9"/>
      <c r="AF151" s="9"/>
      <c r="AG151" s="9"/>
      <c r="AH151" s="9"/>
      <c r="AI151" s="9"/>
      <c r="AJ151" s="9"/>
      <c r="AK151" s="9"/>
      <c r="AL151" s="10" t="str">
        <f aca="false">IF(A151="","",SG_Criteria!$B$6&amp;SG_Criteria!$B$11&amp;"\"&amp;A151&amp;"\")</f>
        <v/>
      </c>
      <c r="AM151" s="10" t="str">
        <f aca="false">IF(A151="","",A151&amp;"_CAD.dwg")</f>
        <v/>
      </c>
      <c r="AN151" s="10" t="str">
        <f aca="false">IF(A151="","",A151&amp;"_DWG.pdf")</f>
        <v/>
      </c>
      <c r="AO151" s="10" t="str">
        <f aca="false">IF(A151="","",IF(AK151="Y",A151&amp;"_STAAD.std","n/a"))</f>
        <v/>
      </c>
      <c r="AP151" s="10" t="str">
        <f aca="false">IF(A151="","",A151&amp;"_CALC.xlsx")</f>
        <v/>
      </c>
      <c r="AQ151" s="10" t="str">
        <f aca="false">IF(A151="","",A151&amp;"_CALC.pdf")</f>
        <v/>
      </c>
      <c r="AR151" s="9"/>
      <c r="AS151" s="9"/>
      <c r="AT151" s="39"/>
      <c r="AU151" s="39"/>
      <c r="AV151" s="39"/>
      <c r="AW151" s="39"/>
      <c r="AX151" s="39"/>
      <c r="AY151" s="12" t="str">
        <f aca="false">IF(A151="","",IF(COUNTIF(Rebar_Schedule!$A$5:$A$2004,A151)=0,"",ROUND(SUMIF(Rebar_Schedule!$A$5:$A$2004,A151,Rebar_Schedule!$K$5:$K$2004),1)))</f>
        <v/>
      </c>
      <c r="AZ151" s="33" t="str">
        <f aca="false">IF(A151="","",IF(AY151="","No rebar schedule yet",IF(ABS(AY151-N(AU151))/MAX(N(AU151),1)&gt;SG_Criteria!$B$55,"NOTE: register rebar differs from schedule by "&amp;TEXT(ABS(AY151-N(AU151))/MAX(N(AU151),1),"0%"),"OK")))</f>
        <v/>
      </c>
      <c r="BA151" s="33" t="str">
        <f aca="false">IF(OR(D151="",H151=""),"",IF(H151&lt;=IF(OR(D151="Soldier Pile &amp; Timber Lagging",D151="Trench Shoring Box",D151="Open Cut (battered)"),SG_Criteria!$B$34,SG_Criteria!$B$33),"No ERSS submission",IF(H151&lt;=SG_Criteria!$B$35,"QP(ST)",IF(H151&lt;=SG_Criteria!$B$36,"QP(ST) + AC","Geotechnical building works: QP(Geo) + AC"))))</f>
        <v/>
      </c>
      <c r="BB151" s="33" t="str">
        <f aca="false">IF(D151="","",IF(LEN(IF(AND(R151&lt;&gt;"",R151&lt;SG_Criteria!$B$37),"FAIL: base stability FOS &lt; "&amp;SG_Criteria!$B$37&amp;". ","")&amp;IF(AND(E151="Manhole",H151&gt;SG_Criteria!$B$36),"NOTE: BCA lists sewer manholes (pipe &lt;= 2 m dia) &gt; 6 m as non-GBW: QP(ST) + AC. ","")&amp;IF(AND(D151="Trench Shoring Box",I151="Kallang Formation (marine clay)"),"NOTE: check base heave / ground loss for shoring box in marine clay. ","")&amp;IF(AND(D151="Steel Sheet Pile Cofferdam",N(N151)&lt;H151*0.5),"NOTE: short toe embedment, check. ",""))=0,"OK",IF(AND(R151&lt;&gt;"",R151&lt;SG_Criteria!$B$37),"FAIL: base stability FOS &lt; "&amp;SG_Criteria!$B$37&amp;". ","")&amp;IF(AND(E151="Manhole",H151&gt;SG_Criteria!$B$36),"NOTE: BCA lists sewer manholes (pipe &lt;= 2 m dia) &gt; 6 m as non-GBW: QP(ST) + AC. ","")&amp;IF(AND(D151="Trench Shoring Box",I151="Kallang Formation (marine clay)"),"NOTE: check base heave / ground loss for shoring box in marine clay. ","")&amp;IF(AND(D151="Steel Sheet Pile Cofferdam",N(N151)&lt;H151*0.5),"NOTE: short toe embedment, check. ","")))</f>
        <v/>
      </c>
      <c r="BC151" s="9"/>
      <c r="BD151" s="9"/>
      <c r="BE151" s="9"/>
      <c r="BF151" s="10" t="str">
        <f aca="false">IF(BE151="","",IFERROR(VLOOKUP(BE151,Projects!$A$5:$D$504,2,0),"Ref not in Projects"))</f>
        <v/>
      </c>
      <c r="BG151" s="10" t="str">
        <f aca="false">IF(BE151="","",IFERROR(VLOOKUP(BE151,Projects!$A$5:$D$504,4,0),"Ref not in Projects"))</f>
        <v/>
      </c>
      <c r="BH151" s="9"/>
      <c r="BI151" s="9"/>
      <c r="BJ151" s="9"/>
      <c r="BK151" s="40"/>
      <c r="BL151" s="9"/>
      <c r="BM151" s="40"/>
      <c r="BN151" s="9"/>
      <c r="BO151" s="40"/>
      <c r="BP151" s="9"/>
      <c r="BQ151" s="9"/>
      <c r="BR151" s="9"/>
      <c r="BS151" s="40"/>
      <c r="BT151" s="40"/>
      <c r="BU151" s="36" t="str">
        <f aca="false">IF(BT151="","",EDATE(BT151,SG_Criteria!$B$54*12))</f>
        <v/>
      </c>
      <c r="BV151" s="33" t="str">
        <f aca="true">IF(A151="","",IF(BT151="","NOTE: not reviewed yet",IF(TODAY()&gt;BU151,"NOTE: review overdue","OK")))</f>
        <v/>
      </c>
      <c r="BW151" s="37" t="str">
        <f aca="false">IF(A151="","",ROUND((IF(LEN(D151)&gt;0,1,0)+IF(LEN(E151)&gt;0,1,0)+IF(LEN(F151)&gt;0,1,0)+IF(LEN(G151)&gt;0,1,0)+IF(LEN(H151)&gt;0,1,0)+IF(LEN(I151)&gt;0,1,0)+IF(LEN(J151)&gt;0,1,0)+IF(LEN(L151)&gt;0,1,0)+IF(LEN(R151)&gt;0,1,0)+IF(LEN(Y151)&gt;0,1,0)+IF(LEN(AE151)&gt;0,1,0)+IF(LEN(AG151)&gt;0,1,0)+IF(LEN(AH151)&gt;0,1,0)+IF(LEN(AI151)&gt;0,1,0)+IF(LEN(AJ151)&gt;0,1,0)+IF(LEN(AS151)&gt;0,1,0)+IF(LEN(BE151)&gt;0,1,0)+IF(LEN(BR151)&gt;0,1,0))/18,2))</f>
        <v/>
      </c>
      <c r="BX151" s="10" t="str">
        <f aca="false">IF(D151="","",IF(AND(AH151="Approved",ISERROR(SEARCH("FAIL",BB151))),"Y","N"))</f>
        <v/>
      </c>
      <c r="BY151" s="10" t="str">
        <f aca="false">IF(D151="","",D151&amp;"|"&amp;H151&amp;"|"&amp;F151&amp;"|"&amp;I151&amp;"|"&amp;BX151)</f>
        <v/>
      </c>
    </row>
    <row r="152" customFormat="false" ht="15" hidden="false" customHeight="false" outlineLevel="0" collapsed="false">
      <c r="A152" s="10" t="str">
        <f aca="false">IF(D152="","","ERSS-"&amp;IFERROR(VLOOKUP(D152,Lists!$AK$4:$AL$21,2,0),"??")&amp;"-"&amp;TEXT(F152,"0000")&amp;"x"&amp;TEXT(G152,"0000")&amp;"-D"&amp;TEXT(H152*1000,"0000")&amp;"-"&amp;IFERROR(VLOOKUP(I152,Lists!$Y$4:$Z$21,2,0),"??")&amp;"-"&amp;AG152)</f>
        <v/>
      </c>
      <c r="B152" s="10" t="str">
        <f aca="false">IF(D152="","",D152&amp;" for "&amp;E152&amp;", "&amp;F152&amp;" x "&amp;G152&amp;" pit, "&amp;TEXT(H152,"0.0")&amp;" m deep, "&amp;I152)</f>
        <v/>
      </c>
      <c r="C152" s="9"/>
      <c r="D152" s="9"/>
      <c r="E152" s="9"/>
      <c r="F152" s="38"/>
      <c r="G152" s="38"/>
      <c r="H152" s="42"/>
      <c r="I152" s="9"/>
      <c r="J152" s="42"/>
      <c r="K152" s="38"/>
      <c r="L152" s="9"/>
      <c r="M152" s="42"/>
      <c r="N152" s="42"/>
      <c r="O152" s="38"/>
      <c r="P152" s="9"/>
      <c r="Q152" s="9"/>
      <c r="R152" s="39"/>
      <c r="S152" s="39"/>
      <c r="T152" s="38"/>
      <c r="U152" s="38"/>
      <c r="V152" s="38"/>
      <c r="W152" s="9"/>
      <c r="X152" s="9"/>
      <c r="Y152" s="38"/>
      <c r="Z152" s="9"/>
      <c r="AA152" s="9"/>
      <c r="AB152" s="38"/>
      <c r="AC152" s="9"/>
      <c r="AD152" s="39"/>
      <c r="AE152" s="9"/>
      <c r="AF152" s="9"/>
      <c r="AG152" s="9"/>
      <c r="AH152" s="9"/>
      <c r="AI152" s="9"/>
      <c r="AJ152" s="9"/>
      <c r="AK152" s="9"/>
      <c r="AL152" s="10" t="str">
        <f aca="false">IF(A152="","",SG_Criteria!$B$6&amp;SG_Criteria!$B$11&amp;"\"&amp;A152&amp;"\")</f>
        <v/>
      </c>
      <c r="AM152" s="10" t="str">
        <f aca="false">IF(A152="","",A152&amp;"_CAD.dwg")</f>
        <v/>
      </c>
      <c r="AN152" s="10" t="str">
        <f aca="false">IF(A152="","",A152&amp;"_DWG.pdf")</f>
        <v/>
      </c>
      <c r="AO152" s="10" t="str">
        <f aca="false">IF(A152="","",IF(AK152="Y",A152&amp;"_STAAD.std","n/a"))</f>
        <v/>
      </c>
      <c r="AP152" s="10" t="str">
        <f aca="false">IF(A152="","",A152&amp;"_CALC.xlsx")</f>
        <v/>
      </c>
      <c r="AQ152" s="10" t="str">
        <f aca="false">IF(A152="","",A152&amp;"_CALC.pdf")</f>
        <v/>
      </c>
      <c r="AR152" s="9"/>
      <c r="AS152" s="9"/>
      <c r="AT152" s="39"/>
      <c r="AU152" s="39"/>
      <c r="AV152" s="39"/>
      <c r="AW152" s="39"/>
      <c r="AX152" s="39"/>
      <c r="AY152" s="12" t="str">
        <f aca="false">IF(A152="","",IF(COUNTIF(Rebar_Schedule!$A$5:$A$2004,A152)=0,"",ROUND(SUMIF(Rebar_Schedule!$A$5:$A$2004,A152,Rebar_Schedule!$K$5:$K$2004),1)))</f>
        <v/>
      </c>
      <c r="AZ152" s="33" t="str">
        <f aca="false">IF(A152="","",IF(AY152="","No rebar schedule yet",IF(ABS(AY152-N(AU152))/MAX(N(AU152),1)&gt;SG_Criteria!$B$55,"NOTE: register rebar differs from schedule by "&amp;TEXT(ABS(AY152-N(AU152))/MAX(N(AU152),1),"0%"),"OK")))</f>
        <v/>
      </c>
      <c r="BA152" s="33" t="str">
        <f aca="false">IF(OR(D152="",H152=""),"",IF(H152&lt;=IF(OR(D152="Soldier Pile &amp; Timber Lagging",D152="Trench Shoring Box",D152="Open Cut (battered)"),SG_Criteria!$B$34,SG_Criteria!$B$33),"No ERSS submission",IF(H152&lt;=SG_Criteria!$B$35,"QP(ST)",IF(H152&lt;=SG_Criteria!$B$36,"QP(ST) + AC","Geotechnical building works: QP(Geo) + AC"))))</f>
        <v/>
      </c>
      <c r="BB152" s="33" t="str">
        <f aca="false">IF(D152="","",IF(LEN(IF(AND(R152&lt;&gt;"",R152&lt;SG_Criteria!$B$37),"FAIL: base stability FOS &lt; "&amp;SG_Criteria!$B$37&amp;". ","")&amp;IF(AND(E152="Manhole",H152&gt;SG_Criteria!$B$36),"NOTE: BCA lists sewer manholes (pipe &lt;= 2 m dia) &gt; 6 m as non-GBW: QP(ST) + AC. ","")&amp;IF(AND(D152="Trench Shoring Box",I152="Kallang Formation (marine clay)"),"NOTE: check base heave / ground loss for shoring box in marine clay. ","")&amp;IF(AND(D152="Steel Sheet Pile Cofferdam",N(N152)&lt;H152*0.5),"NOTE: short toe embedment, check. ",""))=0,"OK",IF(AND(R152&lt;&gt;"",R152&lt;SG_Criteria!$B$37),"FAIL: base stability FOS &lt; "&amp;SG_Criteria!$B$37&amp;". ","")&amp;IF(AND(E152="Manhole",H152&gt;SG_Criteria!$B$36),"NOTE: BCA lists sewer manholes (pipe &lt;= 2 m dia) &gt; 6 m as non-GBW: QP(ST) + AC. ","")&amp;IF(AND(D152="Trench Shoring Box",I152="Kallang Formation (marine clay)"),"NOTE: check base heave / ground loss for shoring box in marine clay. ","")&amp;IF(AND(D152="Steel Sheet Pile Cofferdam",N(N152)&lt;H152*0.5),"NOTE: short toe embedment, check. ","")))</f>
        <v/>
      </c>
      <c r="BC152" s="9"/>
      <c r="BD152" s="9"/>
      <c r="BE152" s="9"/>
      <c r="BF152" s="10" t="str">
        <f aca="false">IF(BE152="","",IFERROR(VLOOKUP(BE152,Projects!$A$5:$D$504,2,0),"Ref not in Projects"))</f>
        <v/>
      </c>
      <c r="BG152" s="10" t="str">
        <f aca="false">IF(BE152="","",IFERROR(VLOOKUP(BE152,Projects!$A$5:$D$504,4,0),"Ref not in Projects"))</f>
        <v/>
      </c>
      <c r="BH152" s="9"/>
      <c r="BI152" s="9"/>
      <c r="BJ152" s="9"/>
      <c r="BK152" s="40"/>
      <c r="BL152" s="9"/>
      <c r="BM152" s="40"/>
      <c r="BN152" s="9"/>
      <c r="BO152" s="40"/>
      <c r="BP152" s="9"/>
      <c r="BQ152" s="9"/>
      <c r="BR152" s="9"/>
      <c r="BS152" s="40"/>
      <c r="BT152" s="40"/>
      <c r="BU152" s="36" t="str">
        <f aca="false">IF(BT152="","",EDATE(BT152,SG_Criteria!$B$54*12))</f>
        <v/>
      </c>
      <c r="BV152" s="33" t="str">
        <f aca="true">IF(A152="","",IF(BT152="","NOTE: not reviewed yet",IF(TODAY()&gt;BU152,"NOTE: review overdue","OK")))</f>
        <v/>
      </c>
      <c r="BW152" s="37" t="str">
        <f aca="false">IF(A152="","",ROUND((IF(LEN(D152)&gt;0,1,0)+IF(LEN(E152)&gt;0,1,0)+IF(LEN(F152)&gt;0,1,0)+IF(LEN(G152)&gt;0,1,0)+IF(LEN(H152)&gt;0,1,0)+IF(LEN(I152)&gt;0,1,0)+IF(LEN(J152)&gt;0,1,0)+IF(LEN(L152)&gt;0,1,0)+IF(LEN(R152)&gt;0,1,0)+IF(LEN(Y152)&gt;0,1,0)+IF(LEN(AE152)&gt;0,1,0)+IF(LEN(AG152)&gt;0,1,0)+IF(LEN(AH152)&gt;0,1,0)+IF(LEN(AI152)&gt;0,1,0)+IF(LEN(AJ152)&gt;0,1,0)+IF(LEN(AS152)&gt;0,1,0)+IF(LEN(BE152)&gt;0,1,0)+IF(LEN(BR152)&gt;0,1,0))/18,2))</f>
        <v/>
      </c>
      <c r="BX152" s="10" t="str">
        <f aca="false">IF(D152="","",IF(AND(AH152="Approved",ISERROR(SEARCH("FAIL",BB152))),"Y","N"))</f>
        <v/>
      </c>
      <c r="BY152" s="10" t="str">
        <f aca="false">IF(D152="","",D152&amp;"|"&amp;H152&amp;"|"&amp;F152&amp;"|"&amp;I152&amp;"|"&amp;BX152)</f>
        <v/>
      </c>
    </row>
    <row r="153" customFormat="false" ht="15" hidden="false" customHeight="false" outlineLevel="0" collapsed="false">
      <c r="A153" s="10" t="str">
        <f aca="false">IF(D153="","","ERSS-"&amp;IFERROR(VLOOKUP(D153,Lists!$AK$4:$AL$21,2,0),"??")&amp;"-"&amp;TEXT(F153,"0000")&amp;"x"&amp;TEXT(G153,"0000")&amp;"-D"&amp;TEXT(H153*1000,"0000")&amp;"-"&amp;IFERROR(VLOOKUP(I153,Lists!$Y$4:$Z$21,2,0),"??")&amp;"-"&amp;AG153)</f>
        <v/>
      </c>
      <c r="B153" s="10" t="str">
        <f aca="false">IF(D153="","",D153&amp;" for "&amp;E153&amp;", "&amp;F153&amp;" x "&amp;G153&amp;" pit, "&amp;TEXT(H153,"0.0")&amp;" m deep, "&amp;I153)</f>
        <v/>
      </c>
      <c r="C153" s="9"/>
      <c r="D153" s="9"/>
      <c r="E153" s="9"/>
      <c r="F153" s="38"/>
      <c r="G153" s="38"/>
      <c r="H153" s="42"/>
      <c r="I153" s="9"/>
      <c r="J153" s="42"/>
      <c r="K153" s="38"/>
      <c r="L153" s="9"/>
      <c r="M153" s="42"/>
      <c r="N153" s="42"/>
      <c r="O153" s="38"/>
      <c r="P153" s="9"/>
      <c r="Q153" s="9"/>
      <c r="R153" s="39"/>
      <c r="S153" s="39"/>
      <c r="T153" s="38"/>
      <c r="U153" s="38"/>
      <c r="V153" s="38"/>
      <c r="W153" s="9"/>
      <c r="X153" s="9"/>
      <c r="Y153" s="38"/>
      <c r="Z153" s="9"/>
      <c r="AA153" s="9"/>
      <c r="AB153" s="38"/>
      <c r="AC153" s="9"/>
      <c r="AD153" s="39"/>
      <c r="AE153" s="9"/>
      <c r="AF153" s="9"/>
      <c r="AG153" s="9"/>
      <c r="AH153" s="9"/>
      <c r="AI153" s="9"/>
      <c r="AJ153" s="9"/>
      <c r="AK153" s="9"/>
      <c r="AL153" s="10" t="str">
        <f aca="false">IF(A153="","",SG_Criteria!$B$6&amp;SG_Criteria!$B$11&amp;"\"&amp;A153&amp;"\")</f>
        <v/>
      </c>
      <c r="AM153" s="10" t="str">
        <f aca="false">IF(A153="","",A153&amp;"_CAD.dwg")</f>
        <v/>
      </c>
      <c r="AN153" s="10" t="str">
        <f aca="false">IF(A153="","",A153&amp;"_DWG.pdf")</f>
        <v/>
      </c>
      <c r="AO153" s="10" t="str">
        <f aca="false">IF(A153="","",IF(AK153="Y",A153&amp;"_STAAD.std","n/a"))</f>
        <v/>
      </c>
      <c r="AP153" s="10" t="str">
        <f aca="false">IF(A153="","",A153&amp;"_CALC.xlsx")</f>
        <v/>
      </c>
      <c r="AQ153" s="10" t="str">
        <f aca="false">IF(A153="","",A153&amp;"_CALC.pdf")</f>
        <v/>
      </c>
      <c r="AR153" s="9"/>
      <c r="AS153" s="9"/>
      <c r="AT153" s="39"/>
      <c r="AU153" s="39"/>
      <c r="AV153" s="39"/>
      <c r="AW153" s="39"/>
      <c r="AX153" s="39"/>
      <c r="AY153" s="12" t="str">
        <f aca="false">IF(A153="","",IF(COUNTIF(Rebar_Schedule!$A$5:$A$2004,A153)=0,"",ROUND(SUMIF(Rebar_Schedule!$A$5:$A$2004,A153,Rebar_Schedule!$K$5:$K$2004),1)))</f>
        <v/>
      </c>
      <c r="AZ153" s="33" t="str">
        <f aca="false">IF(A153="","",IF(AY153="","No rebar schedule yet",IF(ABS(AY153-N(AU153))/MAX(N(AU153),1)&gt;SG_Criteria!$B$55,"NOTE: register rebar differs from schedule by "&amp;TEXT(ABS(AY153-N(AU153))/MAX(N(AU153),1),"0%"),"OK")))</f>
        <v/>
      </c>
      <c r="BA153" s="33" t="str">
        <f aca="false">IF(OR(D153="",H153=""),"",IF(H153&lt;=IF(OR(D153="Soldier Pile &amp; Timber Lagging",D153="Trench Shoring Box",D153="Open Cut (battered)"),SG_Criteria!$B$34,SG_Criteria!$B$33),"No ERSS submission",IF(H153&lt;=SG_Criteria!$B$35,"QP(ST)",IF(H153&lt;=SG_Criteria!$B$36,"QP(ST) + AC","Geotechnical building works: QP(Geo) + AC"))))</f>
        <v/>
      </c>
      <c r="BB153" s="33" t="str">
        <f aca="false">IF(D153="","",IF(LEN(IF(AND(R153&lt;&gt;"",R153&lt;SG_Criteria!$B$37),"FAIL: base stability FOS &lt; "&amp;SG_Criteria!$B$37&amp;". ","")&amp;IF(AND(E153="Manhole",H153&gt;SG_Criteria!$B$36),"NOTE: BCA lists sewer manholes (pipe &lt;= 2 m dia) &gt; 6 m as non-GBW: QP(ST) + AC. ","")&amp;IF(AND(D153="Trench Shoring Box",I153="Kallang Formation (marine clay)"),"NOTE: check base heave / ground loss for shoring box in marine clay. ","")&amp;IF(AND(D153="Steel Sheet Pile Cofferdam",N(N153)&lt;H153*0.5),"NOTE: short toe embedment, check. ",""))=0,"OK",IF(AND(R153&lt;&gt;"",R153&lt;SG_Criteria!$B$37),"FAIL: base stability FOS &lt; "&amp;SG_Criteria!$B$37&amp;". ","")&amp;IF(AND(E153="Manhole",H153&gt;SG_Criteria!$B$36),"NOTE: BCA lists sewer manholes (pipe &lt;= 2 m dia) &gt; 6 m as non-GBW: QP(ST) + AC. ","")&amp;IF(AND(D153="Trench Shoring Box",I153="Kallang Formation (marine clay)"),"NOTE: check base heave / ground loss for shoring box in marine clay. ","")&amp;IF(AND(D153="Steel Sheet Pile Cofferdam",N(N153)&lt;H153*0.5),"NOTE: short toe embedment, check. ","")))</f>
        <v/>
      </c>
      <c r="BC153" s="9"/>
      <c r="BD153" s="9"/>
      <c r="BE153" s="9"/>
      <c r="BF153" s="10" t="str">
        <f aca="false">IF(BE153="","",IFERROR(VLOOKUP(BE153,Projects!$A$5:$D$504,2,0),"Ref not in Projects"))</f>
        <v/>
      </c>
      <c r="BG153" s="10" t="str">
        <f aca="false">IF(BE153="","",IFERROR(VLOOKUP(BE153,Projects!$A$5:$D$504,4,0),"Ref not in Projects"))</f>
        <v/>
      </c>
      <c r="BH153" s="9"/>
      <c r="BI153" s="9"/>
      <c r="BJ153" s="9"/>
      <c r="BK153" s="40"/>
      <c r="BL153" s="9"/>
      <c r="BM153" s="40"/>
      <c r="BN153" s="9"/>
      <c r="BO153" s="40"/>
      <c r="BP153" s="9"/>
      <c r="BQ153" s="9"/>
      <c r="BR153" s="9"/>
      <c r="BS153" s="40"/>
      <c r="BT153" s="40"/>
      <c r="BU153" s="36" t="str">
        <f aca="false">IF(BT153="","",EDATE(BT153,SG_Criteria!$B$54*12))</f>
        <v/>
      </c>
      <c r="BV153" s="33" t="str">
        <f aca="true">IF(A153="","",IF(BT153="","NOTE: not reviewed yet",IF(TODAY()&gt;BU153,"NOTE: review overdue","OK")))</f>
        <v/>
      </c>
      <c r="BW153" s="37" t="str">
        <f aca="false">IF(A153="","",ROUND((IF(LEN(D153)&gt;0,1,0)+IF(LEN(E153)&gt;0,1,0)+IF(LEN(F153)&gt;0,1,0)+IF(LEN(G153)&gt;0,1,0)+IF(LEN(H153)&gt;0,1,0)+IF(LEN(I153)&gt;0,1,0)+IF(LEN(J153)&gt;0,1,0)+IF(LEN(L153)&gt;0,1,0)+IF(LEN(R153)&gt;0,1,0)+IF(LEN(Y153)&gt;0,1,0)+IF(LEN(AE153)&gt;0,1,0)+IF(LEN(AG153)&gt;0,1,0)+IF(LEN(AH153)&gt;0,1,0)+IF(LEN(AI153)&gt;0,1,0)+IF(LEN(AJ153)&gt;0,1,0)+IF(LEN(AS153)&gt;0,1,0)+IF(LEN(BE153)&gt;0,1,0)+IF(LEN(BR153)&gt;0,1,0))/18,2))</f>
        <v/>
      </c>
      <c r="BX153" s="10" t="str">
        <f aca="false">IF(D153="","",IF(AND(AH153="Approved",ISERROR(SEARCH("FAIL",BB153))),"Y","N"))</f>
        <v/>
      </c>
      <c r="BY153" s="10" t="str">
        <f aca="false">IF(D153="","",D153&amp;"|"&amp;H153&amp;"|"&amp;F153&amp;"|"&amp;I153&amp;"|"&amp;BX153)</f>
        <v/>
      </c>
    </row>
    <row r="154" customFormat="false" ht="15" hidden="false" customHeight="false" outlineLevel="0" collapsed="false">
      <c r="A154" s="10" t="str">
        <f aca="false">IF(D154="","","ERSS-"&amp;IFERROR(VLOOKUP(D154,Lists!$AK$4:$AL$21,2,0),"??")&amp;"-"&amp;TEXT(F154,"0000")&amp;"x"&amp;TEXT(G154,"0000")&amp;"-D"&amp;TEXT(H154*1000,"0000")&amp;"-"&amp;IFERROR(VLOOKUP(I154,Lists!$Y$4:$Z$21,2,0),"??")&amp;"-"&amp;AG154)</f>
        <v/>
      </c>
      <c r="B154" s="10" t="str">
        <f aca="false">IF(D154="","",D154&amp;" for "&amp;E154&amp;", "&amp;F154&amp;" x "&amp;G154&amp;" pit, "&amp;TEXT(H154,"0.0")&amp;" m deep, "&amp;I154)</f>
        <v/>
      </c>
      <c r="C154" s="9"/>
      <c r="D154" s="9"/>
      <c r="E154" s="9"/>
      <c r="F154" s="38"/>
      <c r="G154" s="38"/>
      <c r="H154" s="42"/>
      <c r="I154" s="9"/>
      <c r="J154" s="42"/>
      <c r="K154" s="38"/>
      <c r="L154" s="9"/>
      <c r="M154" s="42"/>
      <c r="N154" s="42"/>
      <c r="O154" s="38"/>
      <c r="P154" s="9"/>
      <c r="Q154" s="9"/>
      <c r="R154" s="39"/>
      <c r="S154" s="39"/>
      <c r="T154" s="38"/>
      <c r="U154" s="38"/>
      <c r="V154" s="38"/>
      <c r="W154" s="9"/>
      <c r="X154" s="9"/>
      <c r="Y154" s="38"/>
      <c r="Z154" s="9"/>
      <c r="AA154" s="9"/>
      <c r="AB154" s="38"/>
      <c r="AC154" s="9"/>
      <c r="AD154" s="39"/>
      <c r="AE154" s="9"/>
      <c r="AF154" s="9"/>
      <c r="AG154" s="9"/>
      <c r="AH154" s="9"/>
      <c r="AI154" s="9"/>
      <c r="AJ154" s="9"/>
      <c r="AK154" s="9"/>
      <c r="AL154" s="10" t="str">
        <f aca="false">IF(A154="","",SG_Criteria!$B$6&amp;SG_Criteria!$B$11&amp;"\"&amp;A154&amp;"\")</f>
        <v/>
      </c>
      <c r="AM154" s="10" t="str">
        <f aca="false">IF(A154="","",A154&amp;"_CAD.dwg")</f>
        <v/>
      </c>
      <c r="AN154" s="10" t="str">
        <f aca="false">IF(A154="","",A154&amp;"_DWG.pdf")</f>
        <v/>
      </c>
      <c r="AO154" s="10" t="str">
        <f aca="false">IF(A154="","",IF(AK154="Y",A154&amp;"_STAAD.std","n/a"))</f>
        <v/>
      </c>
      <c r="AP154" s="10" t="str">
        <f aca="false">IF(A154="","",A154&amp;"_CALC.xlsx")</f>
        <v/>
      </c>
      <c r="AQ154" s="10" t="str">
        <f aca="false">IF(A154="","",A154&amp;"_CALC.pdf")</f>
        <v/>
      </c>
      <c r="AR154" s="9"/>
      <c r="AS154" s="9"/>
      <c r="AT154" s="39"/>
      <c r="AU154" s="39"/>
      <c r="AV154" s="39"/>
      <c r="AW154" s="39"/>
      <c r="AX154" s="39"/>
      <c r="AY154" s="12" t="str">
        <f aca="false">IF(A154="","",IF(COUNTIF(Rebar_Schedule!$A$5:$A$2004,A154)=0,"",ROUND(SUMIF(Rebar_Schedule!$A$5:$A$2004,A154,Rebar_Schedule!$K$5:$K$2004),1)))</f>
        <v/>
      </c>
      <c r="AZ154" s="33" t="str">
        <f aca="false">IF(A154="","",IF(AY154="","No rebar schedule yet",IF(ABS(AY154-N(AU154))/MAX(N(AU154),1)&gt;SG_Criteria!$B$55,"NOTE: register rebar differs from schedule by "&amp;TEXT(ABS(AY154-N(AU154))/MAX(N(AU154),1),"0%"),"OK")))</f>
        <v/>
      </c>
      <c r="BA154" s="33" t="str">
        <f aca="false">IF(OR(D154="",H154=""),"",IF(H154&lt;=IF(OR(D154="Soldier Pile &amp; Timber Lagging",D154="Trench Shoring Box",D154="Open Cut (battered)"),SG_Criteria!$B$34,SG_Criteria!$B$33),"No ERSS submission",IF(H154&lt;=SG_Criteria!$B$35,"QP(ST)",IF(H154&lt;=SG_Criteria!$B$36,"QP(ST) + AC","Geotechnical building works: QP(Geo) + AC"))))</f>
        <v/>
      </c>
      <c r="BB154" s="33" t="str">
        <f aca="false">IF(D154="","",IF(LEN(IF(AND(R154&lt;&gt;"",R154&lt;SG_Criteria!$B$37),"FAIL: base stability FOS &lt; "&amp;SG_Criteria!$B$37&amp;". ","")&amp;IF(AND(E154="Manhole",H154&gt;SG_Criteria!$B$36),"NOTE: BCA lists sewer manholes (pipe &lt;= 2 m dia) &gt; 6 m as non-GBW: QP(ST) + AC. ","")&amp;IF(AND(D154="Trench Shoring Box",I154="Kallang Formation (marine clay)"),"NOTE: check base heave / ground loss for shoring box in marine clay. ","")&amp;IF(AND(D154="Steel Sheet Pile Cofferdam",N(N154)&lt;H154*0.5),"NOTE: short toe embedment, check. ",""))=0,"OK",IF(AND(R154&lt;&gt;"",R154&lt;SG_Criteria!$B$37),"FAIL: base stability FOS &lt; "&amp;SG_Criteria!$B$37&amp;". ","")&amp;IF(AND(E154="Manhole",H154&gt;SG_Criteria!$B$36),"NOTE: BCA lists sewer manholes (pipe &lt;= 2 m dia) &gt; 6 m as non-GBW: QP(ST) + AC. ","")&amp;IF(AND(D154="Trench Shoring Box",I154="Kallang Formation (marine clay)"),"NOTE: check base heave / ground loss for shoring box in marine clay. ","")&amp;IF(AND(D154="Steel Sheet Pile Cofferdam",N(N154)&lt;H154*0.5),"NOTE: short toe embedment, check. ","")))</f>
        <v/>
      </c>
      <c r="BC154" s="9"/>
      <c r="BD154" s="9"/>
      <c r="BE154" s="9"/>
      <c r="BF154" s="10" t="str">
        <f aca="false">IF(BE154="","",IFERROR(VLOOKUP(BE154,Projects!$A$5:$D$504,2,0),"Ref not in Projects"))</f>
        <v/>
      </c>
      <c r="BG154" s="10" t="str">
        <f aca="false">IF(BE154="","",IFERROR(VLOOKUP(BE154,Projects!$A$5:$D$504,4,0),"Ref not in Projects"))</f>
        <v/>
      </c>
      <c r="BH154" s="9"/>
      <c r="BI154" s="9"/>
      <c r="BJ154" s="9"/>
      <c r="BK154" s="40"/>
      <c r="BL154" s="9"/>
      <c r="BM154" s="40"/>
      <c r="BN154" s="9"/>
      <c r="BO154" s="40"/>
      <c r="BP154" s="9"/>
      <c r="BQ154" s="9"/>
      <c r="BR154" s="9"/>
      <c r="BS154" s="40"/>
      <c r="BT154" s="40"/>
      <c r="BU154" s="36" t="str">
        <f aca="false">IF(BT154="","",EDATE(BT154,SG_Criteria!$B$54*12))</f>
        <v/>
      </c>
      <c r="BV154" s="33" t="str">
        <f aca="true">IF(A154="","",IF(BT154="","NOTE: not reviewed yet",IF(TODAY()&gt;BU154,"NOTE: review overdue","OK")))</f>
        <v/>
      </c>
      <c r="BW154" s="37" t="str">
        <f aca="false">IF(A154="","",ROUND((IF(LEN(D154)&gt;0,1,0)+IF(LEN(E154)&gt;0,1,0)+IF(LEN(F154)&gt;0,1,0)+IF(LEN(G154)&gt;0,1,0)+IF(LEN(H154)&gt;0,1,0)+IF(LEN(I154)&gt;0,1,0)+IF(LEN(J154)&gt;0,1,0)+IF(LEN(L154)&gt;0,1,0)+IF(LEN(R154)&gt;0,1,0)+IF(LEN(Y154)&gt;0,1,0)+IF(LEN(AE154)&gt;0,1,0)+IF(LEN(AG154)&gt;0,1,0)+IF(LEN(AH154)&gt;0,1,0)+IF(LEN(AI154)&gt;0,1,0)+IF(LEN(AJ154)&gt;0,1,0)+IF(LEN(AS154)&gt;0,1,0)+IF(LEN(BE154)&gt;0,1,0)+IF(LEN(BR154)&gt;0,1,0))/18,2))</f>
        <v/>
      </c>
      <c r="BX154" s="10" t="str">
        <f aca="false">IF(D154="","",IF(AND(AH154="Approved",ISERROR(SEARCH("FAIL",BB154))),"Y","N"))</f>
        <v/>
      </c>
      <c r="BY154" s="10" t="str">
        <f aca="false">IF(D154="","",D154&amp;"|"&amp;H154&amp;"|"&amp;F154&amp;"|"&amp;I154&amp;"|"&amp;BX154)</f>
        <v/>
      </c>
    </row>
    <row r="155" customFormat="false" ht="15" hidden="false" customHeight="false" outlineLevel="0" collapsed="false">
      <c r="A155" s="10" t="str">
        <f aca="false">IF(D155="","","ERSS-"&amp;IFERROR(VLOOKUP(D155,Lists!$AK$4:$AL$21,2,0),"??")&amp;"-"&amp;TEXT(F155,"0000")&amp;"x"&amp;TEXT(G155,"0000")&amp;"-D"&amp;TEXT(H155*1000,"0000")&amp;"-"&amp;IFERROR(VLOOKUP(I155,Lists!$Y$4:$Z$21,2,0),"??")&amp;"-"&amp;AG155)</f>
        <v/>
      </c>
      <c r="B155" s="10" t="str">
        <f aca="false">IF(D155="","",D155&amp;" for "&amp;E155&amp;", "&amp;F155&amp;" x "&amp;G155&amp;" pit, "&amp;TEXT(H155,"0.0")&amp;" m deep, "&amp;I155)</f>
        <v/>
      </c>
      <c r="C155" s="9"/>
      <c r="D155" s="9"/>
      <c r="E155" s="9"/>
      <c r="F155" s="38"/>
      <c r="G155" s="38"/>
      <c r="H155" s="42"/>
      <c r="I155" s="9"/>
      <c r="J155" s="42"/>
      <c r="K155" s="38"/>
      <c r="L155" s="9"/>
      <c r="M155" s="42"/>
      <c r="N155" s="42"/>
      <c r="O155" s="38"/>
      <c r="P155" s="9"/>
      <c r="Q155" s="9"/>
      <c r="R155" s="39"/>
      <c r="S155" s="39"/>
      <c r="T155" s="38"/>
      <c r="U155" s="38"/>
      <c r="V155" s="38"/>
      <c r="W155" s="9"/>
      <c r="X155" s="9"/>
      <c r="Y155" s="38"/>
      <c r="Z155" s="9"/>
      <c r="AA155" s="9"/>
      <c r="AB155" s="38"/>
      <c r="AC155" s="9"/>
      <c r="AD155" s="39"/>
      <c r="AE155" s="9"/>
      <c r="AF155" s="9"/>
      <c r="AG155" s="9"/>
      <c r="AH155" s="9"/>
      <c r="AI155" s="9"/>
      <c r="AJ155" s="9"/>
      <c r="AK155" s="9"/>
      <c r="AL155" s="10" t="str">
        <f aca="false">IF(A155="","",SG_Criteria!$B$6&amp;SG_Criteria!$B$11&amp;"\"&amp;A155&amp;"\")</f>
        <v/>
      </c>
      <c r="AM155" s="10" t="str">
        <f aca="false">IF(A155="","",A155&amp;"_CAD.dwg")</f>
        <v/>
      </c>
      <c r="AN155" s="10" t="str">
        <f aca="false">IF(A155="","",A155&amp;"_DWG.pdf")</f>
        <v/>
      </c>
      <c r="AO155" s="10" t="str">
        <f aca="false">IF(A155="","",IF(AK155="Y",A155&amp;"_STAAD.std","n/a"))</f>
        <v/>
      </c>
      <c r="AP155" s="10" t="str">
        <f aca="false">IF(A155="","",A155&amp;"_CALC.xlsx")</f>
        <v/>
      </c>
      <c r="AQ155" s="10" t="str">
        <f aca="false">IF(A155="","",A155&amp;"_CALC.pdf")</f>
        <v/>
      </c>
      <c r="AR155" s="9"/>
      <c r="AS155" s="9"/>
      <c r="AT155" s="39"/>
      <c r="AU155" s="39"/>
      <c r="AV155" s="39"/>
      <c r="AW155" s="39"/>
      <c r="AX155" s="39"/>
      <c r="AY155" s="12" t="str">
        <f aca="false">IF(A155="","",IF(COUNTIF(Rebar_Schedule!$A$5:$A$2004,A155)=0,"",ROUND(SUMIF(Rebar_Schedule!$A$5:$A$2004,A155,Rebar_Schedule!$K$5:$K$2004),1)))</f>
        <v/>
      </c>
      <c r="AZ155" s="33" t="str">
        <f aca="false">IF(A155="","",IF(AY155="","No rebar schedule yet",IF(ABS(AY155-N(AU155))/MAX(N(AU155),1)&gt;SG_Criteria!$B$55,"NOTE: register rebar differs from schedule by "&amp;TEXT(ABS(AY155-N(AU155))/MAX(N(AU155),1),"0%"),"OK")))</f>
        <v/>
      </c>
      <c r="BA155" s="33" t="str">
        <f aca="false">IF(OR(D155="",H155=""),"",IF(H155&lt;=IF(OR(D155="Soldier Pile &amp; Timber Lagging",D155="Trench Shoring Box",D155="Open Cut (battered)"),SG_Criteria!$B$34,SG_Criteria!$B$33),"No ERSS submission",IF(H155&lt;=SG_Criteria!$B$35,"QP(ST)",IF(H155&lt;=SG_Criteria!$B$36,"QP(ST) + AC","Geotechnical building works: QP(Geo) + AC"))))</f>
        <v/>
      </c>
      <c r="BB155" s="33" t="str">
        <f aca="false">IF(D155="","",IF(LEN(IF(AND(R155&lt;&gt;"",R155&lt;SG_Criteria!$B$37),"FAIL: base stability FOS &lt; "&amp;SG_Criteria!$B$37&amp;". ","")&amp;IF(AND(E155="Manhole",H155&gt;SG_Criteria!$B$36),"NOTE: BCA lists sewer manholes (pipe &lt;= 2 m dia) &gt; 6 m as non-GBW: QP(ST) + AC. ","")&amp;IF(AND(D155="Trench Shoring Box",I155="Kallang Formation (marine clay)"),"NOTE: check base heave / ground loss for shoring box in marine clay. ","")&amp;IF(AND(D155="Steel Sheet Pile Cofferdam",N(N155)&lt;H155*0.5),"NOTE: short toe embedment, check. ",""))=0,"OK",IF(AND(R155&lt;&gt;"",R155&lt;SG_Criteria!$B$37),"FAIL: base stability FOS &lt; "&amp;SG_Criteria!$B$37&amp;". ","")&amp;IF(AND(E155="Manhole",H155&gt;SG_Criteria!$B$36),"NOTE: BCA lists sewer manholes (pipe &lt;= 2 m dia) &gt; 6 m as non-GBW: QP(ST) + AC. ","")&amp;IF(AND(D155="Trench Shoring Box",I155="Kallang Formation (marine clay)"),"NOTE: check base heave / ground loss for shoring box in marine clay. ","")&amp;IF(AND(D155="Steel Sheet Pile Cofferdam",N(N155)&lt;H155*0.5),"NOTE: short toe embedment, check. ","")))</f>
        <v/>
      </c>
      <c r="BC155" s="9"/>
      <c r="BD155" s="9"/>
      <c r="BE155" s="9"/>
      <c r="BF155" s="10" t="str">
        <f aca="false">IF(BE155="","",IFERROR(VLOOKUP(BE155,Projects!$A$5:$D$504,2,0),"Ref not in Projects"))</f>
        <v/>
      </c>
      <c r="BG155" s="10" t="str">
        <f aca="false">IF(BE155="","",IFERROR(VLOOKUP(BE155,Projects!$A$5:$D$504,4,0),"Ref not in Projects"))</f>
        <v/>
      </c>
      <c r="BH155" s="9"/>
      <c r="BI155" s="9"/>
      <c r="BJ155" s="9"/>
      <c r="BK155" s="40"/>
      <c r="BL155" s="9"/>
      <c r="BM155" s="40"/>
      <c r="BN155" s="9"/>
      <c r="BO155" s="40"/>
      <c r="BP155" s="9"/>
      <c r="BQ155" s="9"/>
      <c r="BR155" s="9"/>
      <c r="BS155" s="40"/>
      <c r="BT155" s="40"/>
      <c r="BU155" s="36" t="str">
        <f aca="false">IF(BT155="","",EDATE(BT155,SG_Criteria!$B$54*12))</f>
        <v/>
      </c>
      <c r="BV155" s="33" t="str">
        <f aca="true">IF(A155="","",IF(BT155="","NOTE: not reviewed yet",IF(TODAY()&gt;BU155,"NOTE: review overdue","OK")))</f>
        <v/>
      </c>
      <c r="BW155" s="37" t="str">
        <f aca="false">IF(A155="","",ROUND((IF(LEN(D155)&gt;0,1,0)+IF(LEN(E155)&gt;0,1,0)+IF(LEN(F155)&gt;0,1,0)+IF(LEN(G155)&gt;0,1,0)+IF(LEN(H155)&gt;0,1,0)+IF(LEN(I155)&gt;0,1,0)+IF(LEN(J155)&gt;0,1,0)+IF(LEN(L155)&gt;0,1,0)+IF(LEN(R155)&gt;0,1,0)+IF(LEN(Y155)&gt;0,1,0)+IF(LEN(AE155)&gt;0,1,0)+IF(LEN(AG155)&gt;0,1,0)+IF(LEN(AH155)&gt;0,1,0)+IF(LEN(AI155)&gt;0,1,0)+IF(LEN(AJ155)&gt;0,1,0)+IF(LEN(AS155)&gt;0,1,0)+IF(LEN(BE155)&gt;0,1,0)+IF(LEN(BR155)&gt;0,1,0))/18,2))</f>
        <v/>
      </c>
      <c r="BX155" s="10" t="str">
        <f aca="false">IF(D155="","",IF(AND(AH155="Approved",ISERROR(SEARCH("FAIL",BB155))),"Y","N"))</f>
        <v/>
      </c>
      <c r="BY155" s="10" t="str">
        <f aca="false">IF(D155="","",D155&amp;"|"&amp;H155&amp;"|"&amp;F155&amp;"|"&amp;I155&amp;"|"&amp;BX155)</f>
        <v/>
      </c>
    </row>
    <row r="156" customFormat="false" ht="15" hidden="false" customHeight="false" outlineLevel="0" collapsed="false">
      <c r="A156" s="10" t="str">
        <f aca="false">IF(D156="","","ERSS-"&amp;IFERROR(VLOOKUP(D156,Lists!$AK$4:$AL$21,2,0),"??")&amp;"-"&amp;TEXT(F156,"0000")&amp;"x"&amp;TEXT(G156,"0000")&amp;"-D"&amp;TEXT(H156*1000,"0000")&amp;"-"&amp;IFERROR(VLOOKUP(I156,Lists!$Y$4:$Z$21,2,0),"??")&amp;"-"&amp;AG156)</f>
        <v/>
      </c>
      <c r="B156" s="10" t="str">
        <f aca="false">IF(D156="","",D156&amp;" for "&amp;E156&amp;", "&amp;F156&amp;" x "&amp;G156&amp;" pit, "&amp;TEXT(H156,"0.0")&amp;" m deep, "&amp;I156)</f>
        <v/>
      </c>
      <c r="C156" s="9"/>
      <c r="D156" s="9"/>
      <c r="E156" s="9"/>
      <c r="F156" s="38"/>
      <c r="G156" s="38"/>
      <c r="H156" s="42"/>
      <c r="I156" s="9"/>
      <c r="J156" s="42"/>
      <c r="K156" s="38"/>
      <c r="L156" s="9"/>
      <c r="M156" s="42"/>
      <c r="N156" s="42"/>
      <c r="O156" s="38"/>
      <c r="P156" s="9"/>
      <c r="Q156" s="9"/>
      <c r="R156" s="39"/>
      <c r="S156" s="39"/>
      <c r="T156" s="38"/>
      <c r="U156" s="38"/>
      <c r="V156" s="38"/>
      <c r="W156" s="9"/>
      <c r="X156" s="9"/>
      <c r="Y156" s="38"/>
      <c r="Z156" s="9"/>
      <c r="AA156" s="9"/>
      <c r="AB156" s="38"/>
      <c r="AC156" s="9"/>
      <c r="AD156" s="39"/>
      <c r="AE156" s="9"/>
      <c r="AF156" s="9"/>
      <c r="AG156" s="9"/>
      <c r="AH156" s="9"/>
      <c r="AI156" s="9"/>
      <c r="AJ156" s="9"/>
      <c r="AK156" s="9"/>
      <c r="AL156" s="10" t="str">
        <f aca="false">IF(A156="","",SG_Criteria!$B$6&amp;SG_Criteria!$B$11&amp;"\"&amp;A156&amp;"\")</f>
        <v/>
      </c>
      <c r="AM156" s="10" t="str">
        <f aca="false">IF(A156="","",A156&amp;"_CAD.dwg")</f>
        <v/>
      </c>
      <c r="AN156" s="10" t="str">
        <f aca="false">IF(A156="","",A156&amp;"_DWG.pdf")</f>
        <v/>
      </c>
      <c r="AO156" s="10" t="str">
        <f aca="false">IF(A156="","",IF(AK156="Y",A156&amp;"_STAAD.std","n/a"))</f>
        <v/>
      </c>
      <c r="AP156" s="10" t="str">
        <f aca="false">IF(A156="","",A156&amp;"_CALC.xlsx")</f>
        <v/>
      </c>
      <c r="AQ156" s="10" t="str">
        <f aca="false">IF(A156="","",A156&amp;"_CALC.pdf")</f>
        <v/>
      </c>
      <c r="AR156" s="9"/>
      <c r="AS156" s="9"/>
      <c r="AT156" s="39"/>
      <c r="AU156" s="39"/>
      <c r="AV156" s="39"/>
      <c r="AW156" s="39"/>
      <c r="AX156" s="39"/>
      <c r="AY156" s="12" t="str">
        <f aca="false">IF(A156="","",IF(COUNTIF(Rebar_Schedule!$A$5:$A$2004,A156)=0,"",ROUND(SUMIF(Rebar_Schedule!$A$5:$A$2004,A156,Rebar_Schedule!$K$5:$K$2004),1)))</f>
        <v/>
      </c>
      <c r="AZ156" s="33" t="str">
        <f aca="false">IF(A156="","",IF(AY156="","No rebar schedule yet",IF(ABS(AY156-N(AU156))/MAX(N(AU156),1)&gt;SG_Criteria!$B$55,"NOTE: register rebar differs from schedule by "&amp;TEXT(ABS(AY156-N(AU156))/MAX(N(AU156),1),"0%"),"OK")))</f>
        <v/>
      </c>
      <c r="BA156" s="33" t="str">
        <f aca="false">IF(OR(D156="",H156=""),"",IF(H156&lt;=IF(OR(D156="Soldier Pile &amp; Timber Lagging",D156="Trench Shoring Box",D156="Open Cut (battered)"),SG_Criteria!$B$34,SG_Criteria!$B$33),"No ERSS submission",IF(H156&lt;=SG_Criteria!$B$35,"QP(ST)",IF(H156&lt;=SG_Criteria!$B$36,"QP(ST) + AC","Geotechnical building works: QP(Geo) + AC"))))</f>
        <v/>
      </c>
      <c r="BB156" s="33" t="str">
        <f aca="false">IF(D156="","",IF(LEN(IF(AND(R156&lt;&gt;"",R156&lt;SG_Criteria!$B$37),"FAIL: base stability FOS &lt; "&amp;SG_Criteria!$B$37&amp;". ","")&amp;IF(AND(E156="Manhole",H156&gt;SG_Criteria!$B$36),"NOTE: BCA lists sewer manholes (pipe &lt;= 2 m dia) &gt; 6 m as non-GBW: QP(ST) + AC. ","")&amp;IF(AND(D156="Trench Shoring Box",I156="Kallang Formation (marine clay)"),"NOTE: check base heave / ground loss for shoring box in marine clay. ","")&amp;IF(AND(D156="Steel Sheet Pile Cofferdam",N(N156)&lt;H156*0.5),"NOTE: short toe embedment, check. ",""))=0,"OK",IF(AND(R156&lt;&gt;"",R156&lt;SG_Criteria!$B$37),"FAIL: base stability FOS &lt; "&amp;SG_Criteria!$B$37&amp;". ","")&amp;IF(AND(E156="Manhole",H156&gt;SG_Criteria!$B$36),"NOTE: BCA lists sewer manholes (pipe &lt;= 2 m dia) &gt; 6 m as non-GBW: QP(ST) + AC. ","")&amp;IF(AND(D156="Trench Shoring Box",I156="Kallang Formation (marine clay)"),"NOTE: check base heave / ground loss for shoring box in marine clay. ","")&amp;IF(AND(D156="Steel Sheet Pile Cofferdam",N(N156)&lt;H156*0.5),"NOTE: short toe embedment, check. ","")))</f>
        <v/>
      </c>
      <c r="BC156" s="9"/>
      <c r="BD156" s="9"/>
      <c r="BE156" s="9"/>
      <c r="BF156" s="10" t="str">
        <f aca="false">IF(BE156="","",IFERROR(VLOOKUP(BE156,Projects!$A$5:$D$504,2,0),"Ref not in Projects"))</f>
        <v/>
      </c>
      <c r="BG156" s="10" t="str">
        <f aca="false">IF(BE156="","",IFERROR(VLOOKUP(BE156,Projects!$A$5:$D$504,4,0),"Ref not in Projects"))</f>
        <v/>
      </c>
      <c r="BH156" s="9"/>
      <c r="BI156" s="9"/>
      <c r="BJ156" s="9"/>
      <c r="BK156" s="40"/>
      <c r="BL156" s="9"/>
      <c r="BM156" s="40"/>
      <c r="BN156" s="9"/>
      <c r="BO156" s="40"/>
      <c r="BP156" s="9"/>
      <c r="BQ156" s="9"/>
      <c r="BR156" s="9"/>
      <c r="BS156" s="40"/>
      <c r="BT156" s="40"/>
      <c r="BU156" s="36" t="str">
        <f aca="false">IF(BT156="","",EDATE(BT156,SG_Criteria!$B$54*12))</f>
        <v/>
      </c>
      <c r="BV156" s="33" t="str">
        <f aca="true">IF(A156="","",IF(BT156="","NOTE: not reviewed yet",IF(TODAY()&gt;BU156,"NOTE: review overdue","OK")))</f>
        <v/>
      </c>
      <c r="BW156" s="37" t="str">
        <f aca="false">IF(A156="","",ROUND((IF(LEN(D156)&gt;0,1,0)+IF(LEN(E156)&gt;0,1,0)+IF(LEN(F156)&gt;0,1,0)+IF(LEN(G156)&gt;0,1,0)+IF(LEN(H156)&gt;0,1,0)+IF(LEN(I156)&gt;0,1,0)+IF(LEN(J156)&gt;0,1,0)+IF(LEN(L156)&gt;0,1,0)+IF(LEN(R156)&gt;0,1,0)+IF(LEN(Y156)&gt;0,1,0)+IF(LEN(AE156)&gt;0,1,0)+IF(LEN(AG156)&gt;0,1,0)+IF(LEN(AH156)&gt;0,1,0)+IF(LEN(AI156)&gt;0,1,0)+IF(LEN(AJ156)&gt;0,1,0)+IF(LEN(AS156)&gt;0,1,0)+IF(LEN(BE156)&gt;0,1,0)+IF(LEN(BR156)&gt;0,1,0))/18,2))</f>
        <v/>
      </c>
      <c r="BX156" s="10" t="str">
        <f aca="false">IF(D156="","",IF(AND(AH156="Approved",ISERROR(SEARCH("FAIL",BB156))),"Y","N"))</f>
        <v/>
      </c>
      <c r="BY156" s="10" t="str">
        <f aca="false">IF(D156="","",D156&amp;"|"&amp;H156&amp;"|"&amp;F156&amp;"|"&amp;I156&amp;"|"&amp;BX156)</f>
        <v/>
      </c>
    </row>
    <row r="157" customFormat="false" ht="15" hidden="false" customHeight="false" outlineLevel="0" collapsed="false">
      <c r="A157" s="10" t="str">
        <f aca="false">IF(D157="","","ERSS-"&amp;IFERROR(VLOOKUP(D157,Lists!$AK$4:$AL$21,2,0),"??")&amp;"-"&amp;TEXT(F157,"0000")&amp;"x"&amp;TEXT(G157,"0000")&amp;"-D"&amp;TEXT(H157*1000,"0000")&amp;"-"&amp;IFERROR(VLOOKUP(I157,Lists!$Y$4:$Z$21,2,0),"??")&amp;"-"&amp;AG157)</f>
        <v/>
      </c>
      <c r="B157" s="10" t="str">
        <f aca="false">IF(D157="","",D157&amp;" for "&amp;E157&amp;", "&amp;F157&amp;" x "&amp;G157&amp;" pit, "&amp;TEXT(H157,"0.0")&amp;" m deep, "&amp;I157)</f>
        <v/>
      </c>
      <c r="C157" s="9"/>
      <c r="D157" s="9"/>
      <c r="E157" s="9"/>
      <c r="F157" s="38"/>
      <c r="G157" s="38"/>
      <c r="H157" s="42"/>
      <c r="I157" s="9"/>
      <c r="J157" s="42"/>
      <c r="K157" s="38"/>
      <c r="L157" s="9"/>
      <c r="M157" s="42"/>
      <c r="N157" s="42"/>
      <c r="O157" s="38"/>
      <c r="P157" s="9"/>
      <c r="Q157" s="9"/>
      <c r="R157" s="39"/>
      <c r="S157" s="39"/>
      <c r="T157" s="38"/>
      <c r="U157" s="38"/>
      <c r="V157" s="38"/>
      <c r="W157" s="9"/>
      <c r="X157" s="9"/>
      <c r="Y157" s="38"/>
      <c r="Z157" s="9"/>
      <c r="AA157" s="9"/>
      <c r="AB157" s="38"/>
      <c r="AC157" s="9"/>
      <c r="AD157" s="39"/>
      <c r="AE157" s="9"/>
      <c r="AF157" s="9"/>
      <c r="AG157" s="9"/>
      <c r="AH157" s="9"/>
      <c r="AI157" s="9"/>
      <c r="AJ157" s="9"/>
      <c r="AK157" s="9"/>
      <c r="AL157" s="10" t="str">
        <f aca="false">IF(A157="","",SG_Criteria!$B$6&amp;SG_Criteria!$B$11&amp;"\"&amp;A157&amp;"\")</f>
        <v/>
      </c>
      <c r="AM157" s="10" t="str">
        <f aca="false">IF(A157="","",A157&amp;"_CAD.dwg")</f>
        <v/>
      </c>
      <c r="AN157" s="10" t="str">
        <f aca="false">IF(A157="","",A157&amp;"_DWG.pdf")</f>
        <v/>
      </c>
      <c r="AO157" s="10" t="str">
        <f aca="false">IF(A157="","",IF(AK157="Y",A157&amp;"_STAAD.std","n/a"))</f>
        <v/>
      </c>
      <c r="AP157" s="10" t="str">
        <f aca="false">IF(A157="","",A157&amp;"_CALC.xlsx")</f>
        <v/>
      </c>
      <c r="AQ157" s="10" t="str">
        <f aca="false">IF(A157="","",A157&amp;"_CALC.pdf")</f>
        <v/>
      </c>
      <c r="AR157" s="9"/>
      <c r="AS157" s="9"/>
      <c r="AT157" s="39"/>
      <c r="AU157" s="39"/>
      <c r="AV157" s="39"/>
      <c r="AW157" s="39"/>
      <c r="AX157" s="39"/>
      <c r="AY157" s="12" t="str">
        <f aca="false">IF(A157="","",IF(COUNTIF(Rebar_Schedule!$A$5:$A$2004,A157)=0,"",ROUND(SUMIF(Rebar_Schedule!$A$5:$A$2004,A157,Rebar_Schedule!$K$5:$K$2004),1)))</f>
        <v/>
      </c>
      <c r="AZ157" s="33" t="str">
        <f aca="false">IF(A157="","",IF(AY157="","No rebar schedule yet",IF(ABS(AY157-N(AU157))/MAX(N(AU157),1)&gt;SG_Criteria!$B$55,"NOTE: register rebar differs from schedule by "&amp;TEXT(ABS(AY157-N(AU157))/MAX(N(AU157),1),"0%"),"OK")))</f>
        <v/>
      </c>
      <c r="BA157" s="33" t="str">
        <f aca="false">IF(OR(D157="",H157=""),"",IF(H157&lt;=IF(OR(D157="Soldier Pile &amp; Timber Lagging",D157="Trench Shoring Box",D157="Open Cut (battered)"),SG_Criteria!$B$34,SG_Criteria!$B$33),"No ERSS submission",IF(H157&lt;=SG_Criteria!$B$35,"QP(ST)",IF(H157&lt;=SG_Criteria!$B$36,"QP(ST) + AC","Geotechnical building works: QP(Geo) + AC"))))</f>
        <v/>
      </c>
      <c r="BB157" s="33" t="str">
        <f aca="false">IF(D157="","",IF(LEN(IF(AND(R157&lt;&gt;"",R157&lt;SG_Criteria!$B$37),"FAIL: base stability FOS &lt; "&amp;SG_Criteria!$B$37&amp;". ","")&amp;IF(AND(E157="Manhole",H157&gt;SG_Criteria!$B$36),"NOTE: BCA lists sewer manholes (pipe &lt;= 2 m dia) &gt; 6 m as non-GBW: QP(ST) + AC. ","")&amp;IF(AND(D157="Trench Shoring Box",I157="Kallang Formation (marine clay)"),"NOTE: check base heave / ground loss for shoring box in marine clay. ","")&amp;IF(AND(D157="Steel Sheet Pile Cofferdam",N(N157)&lt;H157*0.5),"NOTE: short toe embedment, check. ",""))=0,"OK",IF(AND(R157&lt;&gt;"",R157&lt;SG_Criteria!$B$37),"FAIL: base stability FOS &lt; "&amp;SG_Criteria!$B$37&amp;". ","")&amp;IF(AND(E157="Manhole",H157&gt;SG_Criteria!$B$36),"NOTE: BCA lists sewer manholes (pipe &lt;= 2 m dia) &gt; 6 m as non-GBW: QP(ST) + AC. ","")&amp;IF(AND(D157="Trench Shoring Box",I157="Kallang Formation (marine clay)"),"NOTE: check base heave / ground loss for shoring box in marine clay. ","")&amp;IF(AND(D157="Steel Sheet Pile Cofferdam",N(N157)&lt;H157*0.5),"NOTE: short toe embedment, check. ","")))</f>
        <v/>
      </c>
      <c r="BC157" s="9"/>
      <c r="BD157" s="9"/>
      <c r="BE157" s="9"/>
      <c r="BF157" s="10" t="str">
        <f aca="false">IF(BE157="","",IFERROR(VLOOKUP(BE157,Projects!$A$5:$D$504,2,0),"Ref not in Projects"))</f>
        <v/>
      </c>
      <c r="BG157" s="10" t="str">
        <f aca="false">IF(BE157="","",IFERROR(VLOOKUP(BE157,Projects!$A$5:$D$504,4,0),"Ref not in Projects"))</f>
        <v/>
      </c>
      <c r="BH157" s="9"/>
      <c r="BI157" s="9"/>
      <c r="BJ157" s="9"/>
      <c r="BK157" s="40"/>
      <c r="BL157" s="9"/>
      <c r="BM157" s="40"/>
      <c r="BN157" s="9"/>
      <c r="BO157" s="40"/>
      <c r="BP157" s="9"/>
      <c r="BQ157" s="9"/>
      <c r="BR157" s="9"/>
      <c r="BS157" s="40"/>
      <c r="BT157" s="40"/>
      <c r="BU157" s="36" t="str">
        <f aca="false">IF(BT157="","",EDATE(BT157,SG_Criteria!$B$54*12))</f>
        <v/>
      </c>
      <c r="BV157" s="33" t="str">
        <f aca="true">IF(A157="","",IF(BT157="","NOTE: not reviewed yet",IF(TODAY()&gt;BU157,"NOTE: review overdue","OK")))</f>
        <v/>
      </c>
      <c r="BW157" s="37" t="str">
        <f aca="false">IF(A157="","",ROUND((IF(LEN(D157)&gt;0,1,0)+IF(LEN(E157)&gt;0,1,0)+IF(LEN(F157)&gt;0,1,0)+IF(LEN(G157)&gt;0,1,0)+IF(LEN(H157)&gt;0,1,0)+IF(LEN(I157)&gt;0,1,0)+IF(LEN(J157)&gt;0,1,0)+IF(LEN(L157)&gt;0,1,0)+IF(LEN(R157)&gt;0,1,0)+IF(LEN(Y157)&gt;0,1,0)+IF(LEN(AE157)&gt;0,1,0)+IF(LEN(AG157)&gt;0,1,0)+IF(LEN(AH157)&gt;0,1,0)+IF(LEN(AI157)&gt;0,1,0)+IF(LEN(AJ157)&gt;0,1,0)+IF(LEN(AS157)&gt;0,1,0)+IF(LEN(BE157)&gt;0,1,0)+IF(LEN(BR157)&gt;0,1,0))/18,2))</f>
        <v/>
      </c>
      <c r="BX157" s="10" t="str">
        <f aca="false">IF(D157="","",IF(AND(AH157="Approved",ISERROR(SEARCH("FAIL",BB157))),"Y","N"))</f>
        <v/>
      </c>
      <c r="BY157" s="10" t="str">
        <f aca="false">IF(D157="","",D157&amp;"|"&amp;H157&amp;"|"&amp;F157&amp;"|"&amp;I157&amp;"|"&amp;BX157)</f>
        <v/>
      </c>
    </row>
    <row r="158" customFormat="false" ht="15" hidden="false" customHeight="false" outlineLevel="0" collapsed="false">
      <c r="A158" s="10" t="str">
        <f aca="false">IF(D158="","","ERSS-"&amp;IFERROR(VLOOKUP(D158,Lists!$AK$4:$AL$21,2,0),"??")&amp;"-"&amp;TEXT(F158,"0000")&amp;"x"&amp;TEXT(G158,"0000")&amp;"-D"&amp;TEXT(H158*1000,"0000")&amp;"-"&amp;IFERROR(VLOOKUP(I158,Lists!$Y$4:$Z$21,2,0),"??")&amp;"-"&amp;AG158)</f>
        <v/>
      </c>
      <c r="B158" s="10" t="str">
        <f aca="false">IF(D158="","",D158&amp;" for "&amp;E158&amp;", "&amp;F158&amp;" x "&amp;G158&amp;" pit, "&amp;TEXT(H158,"0.0")&amp;" m deep, "&amp;I158)</f>
        <v/>
      </c>
      <c r="C158" s="9"/>
      <c r="D158" s="9"/>
      <c r="E158" s="9"/>
      <c r="F158" s="38"/>
      <c r="G158" s="38"/>
      <c r="H158" s="42"/>
      <c r="I158" s="9"/>
      <c r="J158" s="42"/>
      <c r="K158" s="38"/>
      <c r="L158" s="9"/>
      <c r="M158" s="42"/>
      <c r="N158" s="42"/>
      <c r="O158" s="38"/>
      <c r="P158" s="9"/>
      <c r="Q158" s="9"/>
      <c r="R158" s="39"/>
      <c r="S158" s="39"/>
      <c r="T158" s="38"/>
      <c r="U158" s="38"/>
      <c r="V158" s="38"/>
      <c r="W158" s="9"/>
      <c r="X158" s="9"/>
      <c r="Y158" s="38"/>
      <c r="Z158" s="9"/>
      <c r="AA158" s="9"/>
      <c r="AB158" s="38"/>
      <c r="AC158" s="9"/>
      <c r="AD158" s="39"/>
      <c r="AE158" s="9"/>
      <c r="AF158" s="9"/>
      <c r="AG158" s="9"/>
      <c r="AH158" s="9"/>
      <c r="AI158" s="9"/>
      <c r="AJ158" s="9"/>
      <c r="AK158" s="9"/>
      <c r="AL158" s="10" t="str">
        <f aca="false">IF(A158="","",SG_Criteria!$B$6&amp;SG_Criteria!$B$11&amp;"\"&amp;A158&amp;"\")</f>
        <v/>
      </c>
      <c r="AM158" s="10" t="str">
        <f aca="false">IF(A158="","",A158&amp;"_CAD.dwg")</f>
        <v/>
      </c>
      <c r="AN158" s="10" t="str">
        <f aca="false">IF(A158="","",A158&amp;"_DWG.pdf")</f>
        <v/>
      </c>
      <c r="AO158" s="10" t="str">
        <f aca="false">IF(A158="","",IF(AK158="Y",A158&amp;"_STAAD.std","n/a"))</f>
        <v/>
      </c>
      <c r="AP158" s="10" t="str">
        <f aca="false">IF(A158="","",A158&amp;"_CALC.xlsx")</f>
        <v/>
      </c>
      <c r="AQ158" s="10" t="str">
        <f aca="false">IF(A158="","",A158&amp;"_CALC.pdf")</f>
        <v/>
      </c>
      <c r="AR158" s="9"/>
      <c r="AS158" s="9"/>
      <c r="AT158" s="39"/>
      <c r="AU158" s="39"/>
      <c r="AV158" s="39"/>
      <c r="AW158" s="39"/>
      <c r="AX158" s="39"/>
      <c r="AY158" s="12" t="str">
        <f aca="false">IF(A158="","",IF(COUNTIF(Rebar_Schedule!$A$5:$A$2004,A158)=0,"",ROUND(SUMIF(Rebar_Schedule!$A$5:$A$2004,A158,Rebar_Schedule!$K$5:$K$2004),1)))</f>
        <v/>
      </c>
      <c r="AZ158" s="33" t="str">
        <f aca="false">IF(A158="","",IF(AY158="","No rebar schedule yet",IF(ABS(AY158-N(AU158))/MAX(N(AU158),1)&gt;SG_Criteria!$B$55,"NOTE: register rebar differs from schedule by "&amp;TEXT(ABS(AY158-N(AU158))/MAX(N(AU158),1),"0%"),"OK")))</f>
        <v/>
      </c>
      <c r="BA158" s="33" t="str">
        <f aca="false">IF(OR(D158="",H158=""),"",IF(H158&lt;=IF(OR(D158="Soldier Pile &amp; Timber Lagging",D158="Trench Shoring Box",D158="Open Cut (battered)"),SG_Criteria!$B$34,SG_Criteria!$B$33),"No ERSS submission",IF(H158&lt;=SG_Criteria!$B$35,"QP(ST)",IF(H158&lt;=SG_Criteria!$B$36,"QP(ST) + AC","Geotechnical building works: QP(Geo) + AC"))))</f>
        <v/>
      </c>
      <c r="BB158" s="33" t="str">
        <f aca="false">IF(D158="","",IF(LEN(IF(AND(R158&lt;&gt;"",R158&lt;SG_Criteria!$B$37),"FAIL: base stability FOS &lt; "&amp;SG_Criteria!$B$37&amp;". ","")&amp;IF(AND(E158="Manhole",H158&gt;SG_Criteria!$B$36),"NOTE: BCA lists sewer manholes (pipe &lt;= 2 m dia) &gt; 6 m as non-GBW: QP(ST) + AC. ","")&amp;IF(AND(D158="Trench Shoring Box",I158="Kallang Formation (marine clay)"),"NOTE: check base heave / ground loss for shoring box in marine clay. ","")&amp;IF(AND(D158="Steel Sheet Pile Cofferdam",N(N158)&lt;H158*0.5),"NOTE: short toe embedment, check. ",""))=0,"OK",IF(AND(R158&lt;&gt;"",R158&lt;SG_Criteria!$B$37),"FAIL: base stability FOS &lt; "&amp;SG_Criteria!$B$37&amp;". ","")&amp;IF(AND(E158="Manhole",H158&gt;SG_Criteria!$B$36),"NOTE: BCA lists sewer manholes (pipe &lt;= 2 m dia) &gt; 6 m as non-GBW: QP(ST) + AC. ","")&amp;IF(AND(D158="Trench Shoring Box",I158="Kallang Formation (marine clay)"),"NOTE: check base heave / ground loss for shoring box in marine clay. ","")&amp;IF(AND(D158="Steel Sheet Pile Cofferdam",N(N158)&lt;H158*0.5),"NOTE: short toe embedment, check. ","")))</f>
        <v/>
      </c>
      <c r="BC158" s="9"/>
      <c r="BD158" s="9"/>
      <c r="BE158" s="9"/>
      <c r="BF158" s="10" t="str">
        <f aca="false">IF(BE158="","",IFERROR(VLOOKUP(BE158,Projects!$A$5:$D$504,2,0),"Ref not in Projects"))</f>
        <v/>
      </c>
      <c r="BG158" s="10" t="str">
        <f aca="false">IF(BE158="","",IFERROR(VLOOKUP(BE158,Projects!$A$5:$D$504,4,0),"Ref not in Projects"))</f>
        <v/>
      </c>
      <c r="BH158" s="9"/>
      <c r="BI158" s="9"/>
      <c r="BJ158" s="9"/>
      <c r="BK158" s="40"/>
      <c r="BL158" s="9"/>
      <c r="BM158" s="40"/>
      <c r="BN158" s="9"/>
      <c r="BO158" s="40"/>
      <c r="BP158" s="9"/>
      <c r="BQ158" s="9"/>
      <c r="BR158" s="9"/>
      <c r="BS158" s="40"/>
      <c r="BT158" s="40"/>
      <c r="BU158" s="36" t="str">
        <f aca="false">IF(BT158="","",EDATE(BT158,SG_Criteria!$B$54*12))</f>
        <v/>
      </c>
      <c r="BV158" s="33" t="str">
        <f aca="true">IF(A158="","",IF(BT158="","NOTE: not reviewed yet",IF(TODAY()&gt;BU158,"NOTE: review overdue","OK")))</f>
        <v/>
      </c>
      <c r="BW158" s="37" t="str">
        <f aca="false">IF(A158="","",ROUND((IF(LEN(D158)&gt;0,1,0)+IF(LEN(E158)&gt;0,1,0)+IF(LEN(F158)&gt;0,1,0)+IF(LEN(G158)&gt;0,1,0)+IF(LEN(H158)&gt;0,1,0)+IF(LEN(I158)&gt;0,1,0)+IF(LEN(J158)&gt;0,1,0)+IF(LEN(L158)&gt;0,1,0)+IF(LEN(R158)&gt;0,1,0)+IF(LEN(Y158)&gt;0,1,0)+IF(LEN(AE158)&gt;0,1,0)+IF(LEN(AG158)&gt;0,1,0)+IF(LEN(AH158)&gt;0,1,0)+IF(LEN(AI158)&gt;0,1,0)+IF(LEN(AJ158)&gt;0,1,0)+IF(LEN(AS158)&gt;0,1,0)+IF(LEN(BE158)&gt;0,1,0)+IF(LEN(BR158)&gt;0,1,0))/18,2))</f>
        <v/>
      </c>
      <c r="BX158" s="10" t="str">
        <f aca="false">IF(D158="","",IF(AND(AH158="Approved",ISERROR(SEARCH("FAIL",BB158))),"Y","N"))</f>
        <v/>
      </c>
      <c r="BY158" s="10" t="str">
        <f aca="false">IF(D158="","",D158&amp;"|"&amp;H158&amp;"|"&amp;F158&amp;"|"&amp;I158&amp;"|"&amp;BX158)</f>
        <v/>
      </c>
    </row>
    <row r="159" customFormat="false" ht="15" hidden="false" customHeight="false" outlineLevel="0" collapsed="false">
      <c r="A159" s="10" t="str">
        <f aca="false">IF(D159="","","ERSS-"&amp;IFERROR(VLOOKUP(D159,Lists!$AK$4:$AL$21,2,0),"??")&amp;"-"&amp;TEXT(F159,"0000")&amp;"x"&amp;TEXT(G159,"0000")&amp;"-D"&amp;TEXT(H159*1000,"0000")&amp;"-"&amp;IFERROR(VLOOKUP(I159,Lists!$Y$4:$Z$21,2,0),"??")&amp;"-"&amp;AG159)</f>
        <v/>
      </c>
      <c r="B159" s="10" t="str">
        <f aca="false">IF(D159="","",D159&amp;" for "&amp;E159&amp;", "&amp;F159&amp;" x "&amp;G159&amp;" pit, "&amp;TEXT(H159,"0.0")&amp;" m deep, "&amp;I159)</f>
        <v/>
      </c>
      <c r="C159" s="9"/>
      <c r="D159" s="9"/>
      <c r="E159" s="9"/>
      <c r="F159" s="38"/>
      <c r="G159" s="38"/>
      <c r="H159" s="42"/>
      <c r="I159" s="9"/>
      <c r="J159" s="42"/>
      <c r="K159" s="38"/>
      <c r="L159" s="9"/>
      <c r="M159" s="42"/>
      <c r="N159" s="42"/>
      <c r="O159" s="38"/>
      <c r="P159" s="9"/>
      <c r="Q159" s="9"/>
      <c r="R159" s="39"/>
      <c r="S159" s="39"/>
      <c r="T159" s="38"/>
      <c r="U159" s="38"/>
      <c r="V159" s="38"/>
      <c r="W159" s="9"/>
      <c r="X159" s="9"/>
      <c r="Y159" s="38"/>
      <c r="Z159" s="9"/>
      <c r="AA159" s="9"/>
      <c r="AB159" s="38"/>
      <c r="AC159" s="9"/>
      <c r="AD159" s="39"/>
      <c r="AE159" s="9"/>
      <c r="AF159" s="9"/>
      <c r="AG159" s="9"/>
      <c r="AH159" s="9"/>
      <c r="AI159" s="9"/>
      <c r="AJ159" s="9"/>
      <c r="AK159" s="9"/>
      <c r="AL159" s="10" t="str">
        <f aca="false">IF(A159="","",SG_Criteria!$B$6&amp;SG_Criteria!$B$11&amp;"\"&amp;A159&amp;"\")</f>
        <v/>
      </c>
      <c r="AM159" s="10" t="str">
        <f aca="false">IF(A159="","",A159&amp;"_CAD.dwg")</f>
        <v/>
      </c>
      <c r="AN159" s="10" t="str">
        <f aca="false">IF(A159="","",A159&amp;"_DWG.pdf")</f>
        <v/>
      </c>
      <c r="AO159" s="10" t="str">
        <f aca="false">IF(A159="","",IF(AK159="Y",A159&amp;"_STAAD.std","n/a"))</f>
        <v/>
      </c>
      <c r="AP159" s="10" t="str">
        <f aca="false">IF(A159="","",A159&amp;"_CALC.xlsx")</f>
        <v/>
      </c>
      <c r="AQ159" s="10" t="str">
        <f aca="false">IF(A159="","",A159&amp;"_CALC.pdf")</f>
        <v/>
      </c>
      <c r="AR159" s="9"/>
      <c r="AS159" s="9"/>
      <c r="AT159" s="39"/>
      <c r="AU159" s="39"/>
      <c r="AV159" s="39"/>
      <c r="AW159" s="39"/>
      <c r="AX159" s="39"/>
      <c r="AY159" s="12" t="str">
        <f aca="false">IF(A159="","",IF(COUNTIF(Rebar_Schedule!$A$5:$A$2004,A159)=0,"",ROUND(SUMIF(Rebar_Schedule!$A$5:$A$2004,A159,Rebar_Schedule!$K$5:$K$2004),1)))</f>
        <v/>
      </c>
      <c r="AZ159" s="33" t="str">
        <f aca="false">IF(A159="","",IF(AY159="","No rebar schedule yet",IF(ABS(AY159-N(AU159))/MAX(N(AU159),1)&gt;SG_Criteria!$B$55,"NOTE: register rebar differs from schedule by "&amp;TEXT(ABS(AY159-N(AU159))/MAX(N(AU159),1),"0%"),"OK")))</f>
        <v/>
      </c>
      <c r="BA159" s="33" t="str">
        <f aca="false">IF(OR(D159="",H159=""),"",IF(H159&lt;=IF(OR(D159="Soldier Pile &amp; Timber Lagging",D159="Trench Shoring Box",D159="Open Cut (battered)"),SG_Criteria!$B$34,SG_Criteria!$B$33),"No ERSS submission",IF(H159&lt;=SG_Criteria!$B$35,"QP(ST)",IF(H159&lt;=SG_Criteria!$B$36,"QP(ST) + AC","Geotechnical building works: QP(Geo) + AC"))))</f>
        <v/>
      </c>
      <c r="BB159" s="33" t="str">
        <f aca="false">IF(D159="","",IF(LEN(IF(AND(R159&lt;&gt;"",R159&lt;SG_Criteria!$B$37),"FAIL: base stability FOS &lt; "&amp;SG_Criteria!$B$37&amp;". ","")&amp;IF(AND(E159="Manhole",H159&gt;SG_Criteria!$B$36),"NOTE: BCA lists sewer manholes (pipe &lt;= 2 m dia) &gt; 6 m as non-GBW: QP(ST) + AC. ","")&amp;IF(AND(D159="Trench Shoring Box",I159="Kallang Formation (marine clay)"),"NOTE: check base heave / ground loss for shoring box in marine clay. ","")&amp;IF(AND(D159="Steel Sheet Pile Cofferdam",N(N159)&lt;H159*0.5),"NOTE: short toe embedment, check. ",""))=0,"OK",IF(AND(R159&lt;&gt;"",R159&lt;SG_Criteria!$B$37),"FAIL: base stability FOS &lt; "&amp;SG_Criteria!$B$37&amp;". ","")&amp;IF(AND(E159="Manhole",H159&gt;SG_Criteria!$B$36),"NOTE: BCA lists sewer manholes (pipe &lt;= 2 m dia) &gt; 6 m as non-GBW: QP(ST) + AC. ","")&amp;IF(AND(D159="Trench Shoring Box",I159="Kallang Formation (marine clay)"),"NOTE: check base heave / ground loss for shoring box in marine clay. ","")&amp;IF(AND(D159="Steel Sheet Pile Cofferdam",N(N159)&lt;H159*0.5),"NOTE: short toe embedment, check. ","")))</f>
        <v/>
      </c>
      <c r="BC159" s="9"/>
      <c r="BD159" s="9"/>
      <c r="BE159" s="9"/>
      <c r="BF159" s="10" t="str">
        <f aca="false">IF(BE159="","",IFERROR(VLOOKUP(BE159,Projects!$A$5:$D$504,2,0),"Ref not in Projects"))</f>
        <v/>
      </c>
      <c r="BG159" s="10" t="str">
        <f aca="false">IF(BE159="","",IFERROR(VLOOKUP(BE159,Projects!$A$5:$D$504,4,0),"Ref not in Projects"))</f>
        <v/>
      </c>
      <c r="BH159" s="9"/>
      <c r="BI159" s="9"/>
      <c r="BJ159" s="9"/>
      <c r="BK159" s="40"/>
      <c r="BL159" s="9"/>
      <c r="BM159" s="40"/>
      <c r="BN159" s="9"/>
      <c r="BO159" s="40"/>
      <c r="BP159" s="9"/>
      <c r="BQ159" s="9"/>
      <c r="BR159" s="9"/>
      <c r="BS159" s="40"/>
      <c r="BT159" s="40"/>
      <c r="BU159" s="36" t="str">
        <f aca="false">IF(BT159="","",EDATE(BT159,SG_Criteria!$B$54*12))</f>
        <v/>
      </c>
      <c r="BV159" s="33" t="str">
        <f aca="true">IF(A159="","",IF(BT159="","NOTE: not reviewed yet",IF(TODAY()&gt;BU159,"NOTE: review overdue","OK")))</f>
        <v/>
      </c>
      <c r="BW159" s="37" t="str">
        <f aca="false">IF(A159="","",ROUND((IF(LEN(D159)&gt;0,1,0)+IF(LEN(E159)&gt;0,1,0)+IF(LEN(F159)&gt;0,1,0)+IF(LEN(G159)&gt;0,1,0)+IF(LEN(H159)&gt;0,1,0)+IF(LEN(I159)&gt;0,1,0)+IF(LEN(J159)&gt;0,1,0)+IF(LEN(L159)&gt;0,1,0)+IF(LEN(R159)&gt;0,1,0)+IF(LEN(Y159)&gt;0,1,0)+IF(LEN(AE159)&gt;0,1,0)+IF(LEN(AG159)&gt;0,1,0)+IF(LEN(AH159)&gt;0,1,0)+IF(LEN(AI159)&gt;0,1,0)+IF(LEN(AJ159)&gt;0,1,0)+IF(LEN(AS159)&gt;0,1,0)+IF(LEN(BE159)&gt;0,1,0)+IF(LEN(BR159)&gt;0,1,0))/18,2))</f>
        <v/>
      </c>
      <c r="BX159" s="10" t="str">
        <f aca="false">IF(D159="","",IF(AND(AH159="Approved",ISERROR(SEARCH("FAIL",BB159))),"Y","N"))</f>
        <v/>
      </c>
      <c r="BY159" s="10" t="str">
        <f aca="false">IF(D159="","",D159&amp;"|"&amp;H159&amp;"|"&amp;F159&amp;"|"&amp;I159&amp;"|"&amp;BX159)</f>
        <v/>
      </c>
    </row>
    <row r="160" customFormat="false" ht="15" hidden="false" customHeight="false" outlineLevel="0" collapsed="false">
      <c r="A160" s="10" t="str">
        <f aca="false">IF(D160="","","ERSS-"&amp;IFERROR(VLOOKUP(D160,Lists!$AK$4:$AL$21,2,0),"??")&amp;"-"&amp;TEXT(F160,"0000")&amp;"x"&amp;TEXT(G160,"0000")&amp;"-D"&amp;TEXT(H160*1000,"0000")&amp;"-"&amp;IFERROR(VLOOKUP(I160,Lists!$Y$4:$Z$21,2,0),"??")&amp;"-"&amp;AG160)</f>
        <v/>
      </c>
      <c r="B160" s="10" t="str">
        <f aca="false">IF(D160="","",D160&amp;" for "&amp;E160&amp;", "&amp;F160&amp;" x "&amp;G160&amp;" pit, "&amp;TEXT(H160,"0.0")&amp;" m deep, "&amp;I160)</f>
        <v/>
      </c>
      <c r="C160" s="9"/>
      <c r="D160" s="9"/>
      <c r="E160" s="9"/>
      <c r="F160" s="38"/>
      <c r="G160" s="38"/>
      <c r="H160" s="42"/>
      <c r="I160" s="9"/>
      <c r="J160" s="42"/>
      <c r="K160" s="38"/>
      <c r="L160" s="9"/>
      <c r="M160" s="42"/>
      <c r="N160" s="42"/>
      <c r="O160" s="38"/>
      <c r="P160" s="9"/>
      <c r="Q160" s="9"/>
      <c r="R160" s="39"/>
      <c r="S160" s="39"/>
      <c r="T160" s="38"/>
      <c r="U160" s="38"/>
      <c r="V160" s="38"/>
      <c r="W160" s="9"/>
      <c r="X160" s="9"/>
      <c r="Y160" s="38"/>
      <c r="Z160" s="9"/>
      <c r="AA160" s="9"/>
      <c r="AB160" s="38"/>
      <c r="AC160" s="9"/>
      <c r="AD160" s="39"/>
      <c r="AE160" s="9"/>
      <c r="AF160" s="9"/>
      <c r="AG160" s="9"/>
      <c r="AH160" s="9"/>
      <c r="AI160" s="9"/>
      <c r="AJ160" s="9"/>
      <c r="AK160" s="9"/>
      <c r="AL160" s="10" t="str">
        <f aca="false">IF(A160="","",SG_Criteria!$B$6&amp;SG_Criteria!$B$11&amp;"\"&amp;A160&amp;"\")</f>
        <v/>
      </c>
      <c r="AM160" s="10" t="str">
        <f aca="false">IF(A160="","",A160&amp;"_CAD.dwg")</f>
        <v/>
      </c>
      <c r="AN160" s="10" t="str">
        <f aca="false">IF(A160="","",A160&amp;"_DWG.pdf")</f>
        <v/>
      </c>
      <c r="AO160" s="10" t="str">
        <f aca="false">IF(A160="","",IF(AK160="Y",A160&amp;"_STAAD.std","n/a"))</f>
        <v/>
      </c>
      <c r="AP160" s="10" t="str">
        <f aca="false">IF(A160="","",A160&amp;"_CALC.xlsx")</f>
        <v/>
      </c>
      <c r="AQ160" s="10" t="str">
        <f aca="false">IF(A160="","",A160&amp;"_CALC.pdf")</f>
        <v/>
      </c>
      <c r="AR160" s="9"/>
      <c r="AS160" s="9"/>
      <c r="AT160" s="39"/>
      <c r="AU160" s="39"/>
      <c r="AV160" s="39"/>
      <c r="AW160" s="39"/>
      <c r="AX160" s="39"/>
      <c r="AY160" s="12" t="str">
        <f aca="false">IF(A160="","",IF(COUNTIF(Rebar_Schedule!$A$5:$A$2004,A160)=0,"",ROUND(SUMIF(Rebar_Schedule!$A$5:$A$2004,A160,Rebar_Schedule!$K$5:$K$2004),1)))</f>
        <v/>
      </c>
      <c r="AZ160" s="33" t="str">
        <f aca="false">IF(A160="","",IF(AY160="","No rebar schedule yet",IF(ABS(AY160-N(AU160))/MAX(N(AU160),1)&gt;SG_Criteria!$B$55,"NOTE: register rebar differs from schedule by "&amp;TEXT(ABS(AY160-N(AU160))/MAX(N(AU160),1),"0%"),"OK")))</f>
        <v/>
      </c>
      <c r="BA160" s="33" t="str">
        <f aca="false">IF(OR(D160="",H160=""),"",IF(H160&lt;=IF(OR(D160="Soldier Pile &amp; Timber Lagging",D160="Trench Shoring Box",D160="Open Cut (battered)"),SG_Criteria!$B$34,SG_Criteria!$B$33),"No ERSS submission",IF(H160&lt;=SG_Criteria!$B$35,"QP(ST)",IF(H160&lt;=SG_Criteria!$B$36,"QP(ST) + AC","Geotechnical building works: QP(Geo) + AC"))))</f>
        <v/>
      </c>
      <c r="BB160" s="33" t="str">
        <f aca="false">IF(D160="","",IF(LEN(IF(AND(R160&lt;&gt;"",R160&lt;SG_Criteria!$B$37),"FAIL: base stability FOS &lt; "&amp;SG_Criteria!$B$37&amp;". ","")&amp;IF(AND(E160="Manhole",H160&gt;SG_Criteria!$B$36),"NOTE: BCA lists sewer manholes (pipe &lt;= 2 m dia) &gt; 6 m as non-GBW: QP(ST) + AC. ","")&amp;IF(AND(D160="Trench Shoring Box",I160="Kallang Formation (marine clay)"),"NOTE: check base heave / ground loss for shoring box in marine clay. ","")&amp;IF(AND(D160="Steel Sheet Pile Cofferdam",N(N160)&lt;H160*0.5),"NOTE: short toe embedment, check. ",""))=0,"OK",IF(AND(R160&lt;&gt;"",R160&lt;SG_Criteria!$B$37),"FAIL: base stability FOS &lt; "&amp;SG_Criteria!$B$37&amp;". ","")&amp;IF(AND(E160="Manhole",H160&gt;SG_Criteria!$B$36),"NOTE: BCA lists sewer manholes (pipe &lt;= 2 m dia) &gt; 6 m as non-GBW: QP(ST) + AC. ","")&amp;IF(AND(D160="Trench Shoring Box",I160="Kallang Formation (marine clay)"),"NOTE: check base heave / ground loss for shoring box in marine clay. ","")&amp;IF(AND(D160="Steel Sheet Pile Cofferdam",N(N160)&lt;H160*0.5),"NOTE: short toe embedment, check. ","")))</f>
        <v/>
      </c>
      <c r="BC160" s="9"/>
      <c r="BD160" s="9"/>
      <c r="BE160" s="9"/>
      <c r="BF160" s="10" t="str">
        <f aca="false">IF(BE160="","",IFERROR(VLOOKUP(BE160,Projects!$A$5:$D$504,2,0),"Ref not in Projects"))</f>
        <v/>
      </c>
      <c r="BG160" s="10" t="str">
        <f aca="false">IF(BE160="","",IFERROR(VLOOKUP(BE160,Projects!$A$5:$D$504,4,0),"Ref not in Projects"))</f>
        <v/>
      </c>
      <c r="BH160" s="9"/>
      <c r="BI160" s="9"/>
      <c r="BJ160" s="9"/>
      <c r="BK160" s="40"/>
      <c r="BL160" s="9"/>
      <c r="BM160" s="40"/>
      <c r="BN160" s="9"/>
      <c r="BO160" s="40"/>
      <c r="BP160" s="9"/>
      <c r="BQ160" s="9"/>
      <c r="BR160" s="9"/>
      <c r="BS160" s="40"/>
      <c r="BT160" s="40"/>
      <c r="BU160" s="36" t="str">
        <f aca="false">IF(BT160="","",EDATE(BT160,SG_Criteria!$B$54*12))</f>
        <v/>
      </c>
      <c r="BV160" s="33" t="str">
        <f aca="true">IF(A160="","",IF(BT160="","NOTE: not reviewed yet",IF(TODAY()&gt;BU160,"NOTE: review overdue","OK")))</f>
        <v/>
      </c>
      <c r="BW160" s="37" t="str">
        <f aca="false">IF(A160="","",ROUND((IF(LEN(D160)&gt;0,1,0)+IF(LEN(E160)&gt;0,1,0)+IF(LEN(F160)&gt;0,1,0)+IF(LEN(G160)&gt;0,1,0)+IF(LEN(H160)&gt;0,1,0)+IF(LEN(I160)&gt;0,1,0)+IF(LEN(J160)&gt;0,1,0)+IF(LEN(L160)&gt;0,1,0)+IF(LEN(R160)&gt;0,1,0)+IF(LEN(Y160)&gt;0,1,0)+IF(LEN(AE160)&gt;0,1,0)+IF(LEN(AG160)&gt;0,1,0)+IF(LEN(AH160)&gt;0,1,0)+IF(LEN(AI160)&gt;0,1,0)+IF(LEN(AJ160)&gt;0,1,0)+IF(LEN(AS160)&gt;0,1,0)+IF(LEN(BE160)&gt;0,1,0)+IF(LEN(BR160)&gt;0,1,0))/18,2))</f>
        <v/>
      </c>
      <c r="BX160" s="10" t="str">
        <f aca="false">IF(D160="","",IF(AND(AH160="Approved",ISERROR(SEARCH("FAIL",BB160))),"Y","N"))</f>
        <v/>
      </c>
      <c r="BY160" s="10" t="str">
        <f aca="false">IF(D160="","",D160&amp;"|"&amp;H160&amp;"|"&amp;F160&amp;"|"&amp;I160&amp;"|"&amp;BX160)</f>
        <v/>
      </c>
    </row>
    <row r="161" customFormat="false" ht="15" hidden="false" customHeight="false" outlineLevel="0" collapsed="false">
      <c r="A161" s="10" t="str">
        <f aca="false">IF(D161="","","ERSS-"&amp;IFERROR(VLOOKUP(D161,Lists!$AK$4:$AL$21,2,0),"??")&amp;"-"&amp;TEXT(F161,"0000")&amp;"x"&amp;TEXT(G161,"0000")&amp;"-D"&amp;TEXT(H161*1000,"0000")&amp;"-"&amp;IFERROR(VLOOKUP(I161,Lists!$Y$4:$Z$21,2,0),"??")&amp;"-"&amp;AG161)</f>
        <v/>
      </c>
      <c r="B161" s="10" t="str">
        <f aca="false">IF(D161="","",D161&amp;" for "&amp;E161&amp;", "&amp;F161&amp;" x "&amp;G161&amp;" pit, "&amp;TEXT(H161,"0.0")&amp;" m deep, "&amp;I161)</f>
        <v/>
      </c>
      <c r="C161" s="9"/>
      <c r="D161" s="9"/>
      <c r="E161" s="9"/>
      <c r="F161" s="38"/>
      <c r="G161" s="38"/>
      <c r="H161" s="42"/>
      <c r="I161" s="9"/>
      <c r="J161" s="42"/>
      <c r="K161" s="38"/>
      <c r="L161" s="9"/>
      <c r="M161" s="42"/>
      <c r="N161" s="42"/>
      <c r="O161" s="38"/>
      <c r="P161" s="9"/>
      <c r="Q161" s="9"/>
      <c r="R161" s="39"/>
      <c r="S161" s="39"/>
      <c r="T161" s="38"/>
      <c r="U161" s="38"/>
      <c r="V161" s="38"/>
      <c r="W161" s="9"/>
      <c r="X161" s="9"/>
      <c r="Y161" s="38"/>
      <c r="Z161" s="9"/>
      <c r="AA161" s="9"/>
      <c r="AB161" s="38"/>
      <c r="AC161" s="9"/>
      <c r="AD161" s="39"/>
      <c r="AE161" s="9"/>
      <c r="AF161" s="9"/>
      <c r="AG161" s="9"/>
      <c r="AH161" s="9"/>
      <c r="AI161" s="9"/>
      <c r="AJ161" s="9"/>
      <c r="AK161" s="9"/>
      <c r="AL161" s="10" t="str">
        <f aca="false">IF(A161="","",SG_Criteria!$B$6&amp;SG_Criteria!$B$11&amp;"\"&amp;A161&amp;"\")</f>
        <v/>
      </c>
      <c r="AM161" s="10" t="str">
        <f aca="false">IF(A161="","",A161&amp;"_CAD.dwg")</f>
        <v/>
      </c>
      <c r="AN161" s="10" t="str">
        <f aca="false">IF(A161="","",A161&amp;"_DWG.pdf")</f>
        <v/>
      </c>
      <c r="AO161" s="10" t="str">
        <f aca="false">IF(A161="","",IF(AK161="Y",A161&amp;"_STAAD.std","n/a"))</f>
        <v/>
      </c>
      <c r="AP161" s="10" t="str">
        <f aca="false">IF(A161="","",A161&amp;"_CALC.xlsx")</f>
        <v/>
      </c>
      <c r="AQ161" s="10" t="str">
        <f aca="false">IF(A161="","",A161&amp;"_CALC.pdf")</f>
        <v/>
      </c>
      <c r="AR161" s="9"/>
      <c r="AS161" s="9"/>
      <c r="AT161" s="39"/>
      <c r="AU161" s="39"/>
      <c r="AV161" s="39"/>
      <c r="AW161" s="39"/>
      <c r="AX161" s="39"/>
      <c r="AY161" s="12" t="str">
        <f aca="false">IF(A161="","",IF(COUNTIF(Rebar_Schedule!$A$5:$A$2004,A161)=0,"",ROUND(SUMIF(Rebar_Schedule!$A$5:$A$2004,A161,Rebar_Schedule!$K$5:$K$2004),1)))</f>
        <v/>
      </c>
      <c r="AZ161" s="33" t="str">
        <f aca="false">IF(A161="","",IF(AY161="","No rebar schedule yet",IF(ABS(AY161-N(AU161))/MAX(N(AU161),1)&gt;SG_Criteria!$B$55,"NOTE: register rebar differs from schedule by "&amp;TEXT(ABS(AY161-N(AU161))/MAX(N(AU161),1),"0%"),"OK")))</f>
        <v/>
      </c>
      <c r="BA161" s="33" t="str">
        <f aca="false">IF(OR(D161="",H161=""),"",IF(H161&lt;=IF(OR(D161="Soldier Pile &amp; Timber Lagging",D161="Trench Shoring Box",D161="Open Cut (battered)"),SG_Criteria!$B$34,SG_Criteria!$B$33),"No ERSS submission",IF(H161&lt;=SG_Criteria!$B$35,"QP(ST)",IF(H161&lt;=SG_Criteria!$B$36,"QP(ST) + AC","Geotechnical building works: QP(Geo) + AC"))))</f>
        <v/>
      </c>
      <c r="BB161" s="33" t="str">
        <f aca="false">IF(D161="","",IF(LEN(IF(AND(R161&lt;&gt;"",R161&lt;SG_Criteria!$B$37),"FAIL: base stability FOS &lt; "&amp;SG_Criteria!$B$37&amp;". ","")&amp;IF(AND(E161="Manhole",H161&gt;SG_Criteria!$B$36),"NOTE: BCA lists sewer manholes (pipe &lt;= 2 m dia) &gt; 6 m as non-GBW: QP(ST) + AC. ","")&amp;IF(AND(D161="Trench Shoring Box",I161="Kallang Formation (marine clay)"),"NOTE: check base heave / ground loss for shoring box in marine clay. ","")&amp;IF(AND(D161="Steel Sheet Pile Cofferdam",N(N161)&lt;H161*0.5),"NOTE: short toe embedment, check. ",""))=0,"OK",IF(AND(R161&lt;&gt;"",R161&lt;SG_Criteria!$B$37),"FAIL: base stability FOS &lt; "&amp;SG_Criteria!$B$37&amp;". ","")&amp;IF(AND(E161="Manhole",H161&gt;SG_Criteria!$B$36),"NOTE: BCA lists sewer manholes (pipe &lt;= 2 m dia) &gt; 6 m as non-GBW: QP(ST) + AC. ","")&amp;IF(AND(D161="Trench Shoring Box",I161="Kallang Formation (marine clay)"),"NOTE: check base heave / ground loss for shoring box in marine clay. ","")&amp;IF(AND(D161="Steel Sheet Pile Cofferdam",N(N161)&lt;H161*0.5),"NOTE: short toe embedment, check. ","")))</f>
        <v/>
      </c>
      <c r="BC161" s="9"/>
      <c r="BD161" s="9"/>
      <c r="BE161" s="9"/>
      <c r="BF161" s="10" t="str">
        <f aca="false">IF(BE161="","",IFERROR(VLOOKUP(BE161,Projects!$A$5:$D$504,2,0),"Ref not in Projects"))</f>
        <v/>
      </c>
      <c r="BG161" s="10" t="str">
        <f aca="false">IF(BE161="","",IFERROR(VLOOKUP(BE161,Projects!$A$5:$D$504,4,0),"Ref not in Projects"))</f>
        <v/>
      </c>
      <c r="BH161" s="9"/>
      <c r="BI161" s="9"/>
      <c r="BJ161" s="9"/>
      <c r="BK161" s="40"/>
      <c r="BL161" s="9"/>
      <c r="BM161" s="40"/>
      <c r="BN161" s="9"/>
      <c r="BO161" s="40"/>
      <c r="BP161" s="9"/>
      <c r="BQ161" s="9"/>
      <c r="BR161" s="9"/>
      <c r="BS161" s="40"/>
      <c r="BT161" s="40"/>
      <c r="BU161" s="36" t="str">
        <f aca="false">IF(BT161="","",EDATE(BT161,SG_Criteria!$B$54*12))</f>
        <v/>
      </c>
      <c r="BV161" s="33" t="str">
        <f aca="true">IF(A161="","",IF(BT161="","NOTE: not reviewed yet",IF(TODAY()&gt;BU161,"NOTE: review overdue","OK")))</f>
        <v/>
      </c>
      <c r="BW161" s="37" t="str">
        <f aca="false">IF(A161="","",ROUND((IF(LEN(D161)&gt;0,1,0)+IF(LEN(E161)&gt;0,1,0)+IF(LEN(F161)&gt;0,1,0)+IF(LEN(G161)&gt;0,1,0)+IF(LEN(H161)&gt;0,1,0)+IF(LEN(I161)&gt;0,1,0)+IF(LEN(J161)&gt;0,1,0)+IF(LEN(L161)&gt;0,1,0)+IF(LEN(R161)&gt;0,1,0)+IF(LEN(Y161)&gt;0,1,0)+IF(LEN(AE161)&gt;0,1,0)+IF(LEN(AG161)&gt;0,1,0)+IF(LEN(AH161)&gt;0,1,0)+IF(LEN(AI161)&gt;0,1,0)+IF(LEN(AJ161)&gt;0,1,0)+IF(LEN(AS161)&gt;0,1,0)+IF(LEN(BE161)&gt;0,1,0)+IF(LEN(BR161)&gt;0,1,0))/18,2))</f>
        <v/>
      </c>
      <c r="BX161" s="10" t="str">
        <f aca="false">IF(D161="","",IF(AND(AH161="Approved",ISERROR(SEARCH("FAIL",BB161))),"Y","N"))</f>
        <v/>
      </c>
      <c r="BY161" s="10" t="str">
        <f aca="false">IF(D161="","",D161&amp;"|"&amp;H161&amp;"|"&amp;F161&amp;"|"&amp;I161&amp;"|"&amp;BX161)</f>
        <v/>
      </c>
    </row>
    <row r="162" customFormat="false" ht="15" hidden="false" customHeight="false" outlineLevel="0" collapsed="false">
      <c r="A162" s="10" t="str">
        <f aca="false">IF(D162="","","ERSS-"&amp;IFERROR(VLOOKUP(D162,Lists!$AK$4:$AL$21,2,0),"??")&amp;"-"&amp;TEXT(F162,"0000")&amp;"x"&amp;TEXT(G162,"0000")&amp;"-D"&amp;TEXT(H162*1000,"0000")&amp;"-"&amp;IFERROR(VLOOKUP(I162,Lists!$Y$4:$Z$21,2,0),"??")&amp;"-"&amp;AG162)</f>
        <v/>
      </c>
      <c r="B162" s="10" t="str">
        <f aca="false">IF(D162="","",D162&amp;" for "&amp;E162&amp;", "&amp;F162&amp;" x "&amp;G162&amp;" pit, "&amp;TEXT(H162,"0.0")&amp;" m deep, "&amp;I162)</f>
        <v/>
      </c>
      <c r="C162" s="9"/>
      <c r="D162" s="9"/>
      <c r="E162" s="9"/>
      <c r="F162" s="38"/>
      <c r="G162" s="38"/>
      <c r="H162" s="42"/>
      <c r="I162" s="9"/>
      <c r="J162" s="42"/>
      <c r="K162" s="38"/>
      <c r="L162" s="9"/>
      <c r="M162" s="42"/>
      <c r="N162" s="42"/>
      <c r="O162" s="38"/>
      <c r="P162" s="9"/>
      <c r="Q162" s="9"/>
      <c r="R162" s="39"/>
      <c r="S162" s="39"/>
      <c r="T162" s="38"/>
      <c r="U162" s="38"/>
      <c r="V162" s="38"/>
      <c r="W162" s="9"/>
      <c r="X162" s="9"/>
      <c r="Y162" s="38"/>
      <c r="Z162" s="9"/>
      <c r="AA162" s="9"/>
      <c r="AB162" s="38"/>
      <c r="AC162" s="9"/>
      <c r="AD162" s="39"/>
      <c r="AE162" s="9"/>
      <c r="AF162" s="9"/>
      <c r="AG162" s="9"/>
      <c r="AH162" s="9"/>
      <c r="AI162" s="9"/>
      <c r="AJ162" s="9"/>
      <c r="AK162" s="9"/>
      <c r="AL162" s="10" t="str">
        <f aca="false">IF(A162="","",SG_Criteria!$B$6&amp;SG_Criteria!$B$11&amp;"\"&amp;A162&amp;"\")</f>
        <v/>
      </c>
      <c r="AM162" s="10" t="str">
        <f aca="false">IF(A162="","",A162&amp;"_CAD.dwg")</f>
        <v/>
      </c>
      <c r="AN162" s="10" t="str">
        <f aca="false">IF(A162="","",A162&amp;"_DWG.pdf")</f>
        <v/>
      </c>
      <c r="AO162" s="10" t="str">
        <f aca="false">IF(A162="","",IF(AK162="Y",A162&amp;"_STAAD.std","n/a"))</f>
        <v/>
      </c>
      <c r="AP162" s="10" t="str">
        <f aca="false">IF(A162="","",A162&amp;"_CALC.xlsx")</f>
        <v/>
      </c>
      <c r="AQ162" s="10" t="str">
        <f aca="false">IF(A162="","",A162&amp;"_CALC.pdf")</f>
        <v/>
      </c>
      <c r="AR162" s="9"/>
      <c r="AS162" s="9"/>
      <c r="AT162" s="39"/>
      <c r="AU162" s="39"/>
      <c r="AV162" s="39"/>
      <c r="AW162" s="39"/>
      <c r="AX162" s="39"/>
      <c r="AY162" s="12" t="str">
        <f aca="false">IF(A162="","",IF(COUNTIF(Rebar_Schedule!$A$5:$A$2004,A162)=0,"",ROUND(SUMIF(Rebar_Schedule!$A$5:$A$2004,A162,Rebar_Schedule!$K$5:$K$2004),1)))</f>
        <v/>
      </c>
      <c r="AZ162" s="33" t="str">
        <f aca="false">IF(A162="","",IF(AY162="","No rebar schedule yet",IF(ABS(AY162-N(AU162))/MAX(N(AU162),1)&gt;SG_Criteria!$B$55,"NOTE: register rebar differs from schedule by "&amp;TEXT(ABS(AY162-N(AU162))/MAX(N(AU162),1),"0%"),"OK")))</f>
        <v/>
      </c>
      <c r="BA162" s="33" t="str">
        <f aca="false">IF(OR(D162="",H162=""),"",IF(H162&lt;=IF(OR(D162="Soldier Pile &amp; Timber Lagging",D162="Trench Shoring Box",D162="Open Cut (battered)"),SG_Criteria!$B$34,SG_Criteria!$B$33),"No ERSS submission",IF(H162&lt;=SG_Criteria!$B$35,"QP(ST)",IF(H162&lt;=SG_Criteria!$B$36,"QP(ST) + AC","Geotechnical building works: QP(Geo) + AC"))))</f>
        <v/>
      </c>
      <c r="BB162" s="33" t="str">
        <f aca="false">IF(D162="","",IF(LEN(IF(AND(R162&lt;&gt;"",R162&lt;SG_Criteria!$B$37),"FAIL: base stability FOS &lt; "&amp;SG_Criteria!$B$37&amp;". ","")&amp;IF(AND(E162="Manhole",H162&gt;SG_Criteria!$B$36),"NOTE: BCA lists sewer manholes (pipe &lt;= 2 m dia) &gt; 6 m as non-GBW: QP(ST) + AC. ","")&amp;IF(AND(D162="Trench Shoring Box",I162="Kallang Formation (marine clay)"),"NOTE: check base heave / ground loss for shoring box in marine clay. ","")&amp;IF(AND(D162="Steel Sheet Pile Cofferdam",N(N162)&lt;H162*0.5),"NOTE: short toe embedment, check. ",""))=0,"OK",IF(AND(R162&lt;&gt;"",R162&lt;SG_Criteria!$B$37),"FAIL: base stability FOS &lt; "&amp;SG_Criteria!$B$37&amp;". ","")&amp;IF(AND(E162="Manhole",H162&gt;SG_Criteria!$B$36),"NOTE: BCA lists sewer manholes (pipe &lt;= 2 m dia) &gt; 6 m as non-GBW: QP(ST) + AC. ","")&amp;IF(AND(D162="Trench Shoring Box",I162="Kallang Formation (marine clay)"),"NOTE: check base heave / ground loss for shoring box in marine clay. ","")&amp;IF(AND(D162="Steel Sheet Pile Cofferdam",N(N162)&lt;H162*0.5),"NOTE: short toe embedment, check. ","")))</f>
        <v/>
      </c>
      <c r="BC162" s="9"/>
      <c r="BD162" s="9"/>
      <c r="BE162" s="9"/>
      <c r="BF162" s="10" t="str">
        <f aca="false">IF(BE162="","",IFERROR(VLOOKUP(BE162,Projects!$A$5:$D$504,2,0),"Ref not in Projects"))</f>
        <v/>
      </c>
      <c r="BG162" s="10" t="str">
        <f aca="false">IF(BE162="","",IFERROR(VLOOKUP(BE162,Projects!$A$5:$D$504,4,0),"Ref not in Projects"))</f>
        <v/>
      </c>
      <c r="BH162" s="9"/>
      <c r="BI162" s="9"/>
      <c r="BJ162" s="9"/>
      <c r="BK162" s="40"/>
      <c r="BL162" s="9"/>
      <c r="BM162" s="40"/>
      <c r="BN162" s="9"/>
      <c r="BO162" s="40"/>
      <c r="BP162" s="9"/>
      <c r="BQ162" s="9"/>
      <c r="BR162" s="9"/>
      <c r="BS162" s="40"/>
      <c r="BT162" s="40"/>
      <c r="BU162" s="36" t="str">
        <f aca="false">IF(BT162="","",EDATE(BT162,SG_Criteria!$B$54*12))</f>
        <v/>
      </c>
      <c r="BV162" s="33" t="str">
        <f aca="true">IF(A162="","",IF(BT162="","NOTE: not reviewed yet",IF(TODAY()&gt;BU162,"NOTE: review overdue","OK")))</f>
        <v/>
      </c>
      <c r="BW162" s="37" t="str">
        <f aca="false">IF(A162="","",ROUND((IF(LEN(D162)&gt;0,1,0)+IF(LEN(E162)&gt;0,1,0)+IF(LEN(F162)&gt;0,1,0)+IF(LEN(G162)&gt;0,1,0)+IF(LEN(H162)&gt;0,1,0)+IF(LEN(I162)&gt;0,1,0)+IF(LEN(J162)&gt;0,1,0)+IF(LEN(L162)&gt;0,1,0)+IF(LEN(R162)&gt;0,1,0)+IF(LEN(Y162)&gt;0,1,0)+IF(LEN(AE162)&gt;0,1,0)+IF(LEN(AG162)&gt;0,1,0)+IF(LEN(AH162)&gt;0,1,0)+IF(LEN(AI162)&gt;0,1,0)+IF(LEN(AJ162)&gt;0,1,0)+IF(LEN(AS162)&gt;0,1,0)+IF(LEN(BE162)&gt;0,1,0)+IF(LEN(BR162)&gt;0,1,0))/18,2))</f>
        <v/>
      </c>
      <c r="BX162" s="10" t="str">
        <f aca="false">IF(D162="","",IF(AND(AH162="Approved",ISERROR(SEARCH("FAIL",BB162))),"Y","N"))</f>
        <v/>
      </c>
      <c r="BY162" s="10" t="str">
        <f aca="false">IF(D162="","",D162&amp;"|"&amp;H162&amp;"|"&amp;F162&amp;"|"&amp;I162&amp;"|"&amp;BX162)</f>
        <v/>
      </c>
    </row>
    <row r="163" customFormat="false" ht="15" hidden="false" customHeight="false" outlineLevel="0" collapsed="false">
      <c r="A163" s="10" t="str">
        <f aca="false">IF(D163="","","ERSS-"&amp;IFERROR(VLOOKUP(D163,Lists!$AK$4:$AL$21,2,0),"??")&amp;"-"&amp;TEXT(F163,"0000")&amp;"x"&amp;TEXT(G163,"0000")&amp;"-D"&amp;TEXT(H163*1000,"0000")&amp;"-"&amp;IFERROR(VLOOKUP(I163,Lists!$Y$4:$Z$21,2,0),"??")&amp;"-"&amp;AG163)</f>
        <v/>
      </c>
      <c r="B163" s="10" t="str">
        <f aca="false">IF(D163="","",D163&amp;" for "&amp;E163&amp;", "&amp;F163&amp;" x "&amp;G163&amp;" pit, "&amp;TEXT(H163,"0.0")&amp;" m deep, "&amp;I163)</f>
        <v/>
      </c>
      <c r="C163" s="9"/>
      <c r="D163" s="9"/>
      <c r="E163" s="9"/>
      <c r="F163" s="38"/>
      <c r="G163" s="38"/>
      <c r="H163" s="42"/>
      <c r="I163" s="9"/>
      <c r="J163" s="42"/>
      <c r="K163" s="38"/>
      <c r="L163" s="9"/>
      <c r="M163" s="42"/>
      <c r="N163" s="42"/>
      <c r="O163" s="38"/>
      <c r="P163" s="9"/>
      <c r="Q163" s="9"/>
      <c r="R163" s="39"/>
      <c r="S163" s="39"/>
      <c r="T163" s="38"/>
      <c r="U163" s="38"/>
      <c r="V163" s="38"/>
      <c r="W163" s="9"/>
      <c r="X163" s="9"/>
      <c r="Y163" s="38"/>
      <c r="Z163" s="9"/>
      <c r="AA163" s="9"/>
      <c r="AB163" s="38"/>
      <c r="AC163" s="9"/>
      <c r="AD163" s="39"/>
      <c r="AE163" s="9"/>
      <c r="AF163" s="9"/>
      <c r="AG163" s="9"/>
      <c r="AH163" s="9"/>
      <c r="AI163" s="9"/>
      <c r="AJ163" s="9"/>
      <c r="AK163" s="9"/>
      <c r="AL163" s="10" t="str">
        <f aca="false">IF(A163="","",SG_Criteria!$B$6&amp;SG_Criteria!$B$11&amp;"\"&amp;A163&amp;"\")</f>
        <v/>
      </c>
      <c r="AM163" s="10" t="str">
        <f aca="false">IF(A163="","",A163&amp;"_CAD.dwg")</f>
        <v/>
      </c>
      <c r="AN163" s="10" t="str">
        <f aca="false">IF(A163="","",A163&amp;"_DWG.pdf")</f>
        <v/>
      </c>
      <c r="AO163" s="10" t="str">
        <f aca="false">IF(A163="","",IF(AK163="Y",A163&amp;"_STAAD.std","n/a"))</f>
        <v/>
      </c>
      <c r="AP163" s="10" t="str">
        <f aca="false">IF(A163="","",A163&amp;"_CALC.xlsx")</f>
        <v/>
      </c>
      <c r="AQ163" s="10" t="str">
        <f aca="false">IF(A163="","",A163&amp;"_CALC.pdf")</f>
        <v/>
      </c>
      <c r="AR163" s="9"/>
      <c r="AS163" s="9"/>
      <c r="AT163" s="39"/>
      <c r="AU163" s="39"/>
      <c r="AV163" s="39"/>
      <c r="AW163" s="39"/>
      <c r="AX163" s="39"/>
      <c r="AY163" s="12" t="str">
        <f aca="false">IF(A163="","",IF(COUNTIF(Rebar_Schedule!$A$5:$A$2004,A163)=0,"",ROUND(SUMIF(Rebar_Schedule!$A$5:$A$2004,A163,Rebar_Schedule!$K$5:$K$2004),1)))</f>
        <v/>
      </c>
      <c r="AZ163" s="33" t="str">
        <f aca="false">IF(A163="","",IF(AY163="","No rebar schedule yet",IF(ABS(AY163-N(AU163))/MAX(N(AU163),1)&gt;SG_Criteria!$B$55,"NOTE: register rebar differs from schedule by "&amp;TEXT(ABS(AY163-N(AU163))/MAX(N(AU163),1),"0%"),"OK")))</f>
        <v/>
      </c>
      <c r="BA163" s="33" t="str">
        <f aca="false">IF(OR(D163="",H163=""),"",IF(H163&lt;=IF(OR(D163="Soldier Pile &amp; Timber Lagging",D163="Trench Shoring Box",D163="Open Cut (battered)"),SG_Criteria!$B$34,SG_Criteria!$B$33),"No ERSS submission",IF(H163&lt;=SG_Criteria!$B$35,"QP(ST)",IF(H163&lt;=SG_Criteria!$B$36,"QP(ST) + AC","Geotechnical building works: QP(Geo) + AC"))))</f>
        <v/>
      </c>
      <c r="BB163" s="33" t="str">
        <f aca="false">IF(D163="","",IF(LEN(IF(AND(R163&lt;&gt;"",R163&lt;SG_Criteria!$B$37),"FAIL: base stability FOS &lt; "&amp;SG_Criteria!$B$37&amp;". ","")&amp;IF(AND(E163="Manhole",H163&gt;SG_Criteria!$B$36),"NOTE: BCA lists sewer manholes (pipe &lt;= 2 m dia) &gt; 6 m as non-GBW: QP(ST) + AC. ","")&amp;IF(AND(D163="Trench Shoring Box",I163="Kallang Formation (marine clay)"),"NOTE: check base heave / ground loss for shoring box in marine clay. ","")&amp;IF(AND(D163="Steel Sheet Pile Cofferdam",N(N163)&lt;H163*0.5),"NOTE: short toe embedment, check. ",""))=0,"OK",IF(AND(R163&lt;&gt;"",R163&lt;SG_Criteria!$B$37),"FAIL: base stability FOS &lt; "&amp;SG_Criteria!$B$37&amp;". ","")&amp;IF(AND(E163="Manhole",H163&gt;SG_Criteria!$B$36),"NOTE: BCA lists sewer manholes (pipe &lt;= 2 m dia) &gt; 6 m as non-GBW: QP(ST) + AC. ","")&amp;IF(AND(D163="Trench Shoring Box",I163="Kallang Formation (marine clay)"),"NOTE: check base heave / ground loss for shoring box in marine clay. ","")&amp;IF(AND(D163="Steel Sheet Pile Cofferdam",N(N163)&lt;H163*0.5),"NOTE: short toe embedment, check. ","")))</f>
        <v/>
      </c>
      <c r="BC163" s="9"/>
      <c r="BD163" s="9"/>
      <c r="BE163" s="9"/>
      <c r="BF163" s="10" t="str">
        <f aca="false">IF(BE163="","",IFERROR(VLOOKUP(BE163,Projects!$A$5:$D$504,2,0),"Ref not in Projects"))</f>
        <v/>
      </c>
      <c r="BG163" s="10" t="str">
        <f aca="false">IF(BE163="","",IFERROR(VLOOKUP(BE163,Projects!$A$5:$D$504,4,0),"Ref not in Projects"))</f>
        <v/>
      </c>
      <c r="BH163" s="9"/>
      <c r="BI163" s="9"/>
      <c r="BJ163" s="9"/>
      <c r="BK163" s="40"/>
      <c r="BL163" s="9"/>
      <c r="BM163" s="40"/>
      <c r="BN163" s="9"/>
      <c r="BO163" s="40"/>
      <c r="BP163" s="9"/>
      <c r="BQ163" s="9"/>
      <c r="BR163" s="9"/>
      <c r="BS163" s="40"/>
      <c r="BT163" s="40"/>
      <c r="BU163" s="36" t="str">
        <f aca="false">IF(BT163="","",EDATE(BT163,SG_Criteria!$B$54*12))</f>
        <v/>
      </c>
      <c r="BV163" s="33" t="str">
        <f aca="true">IF(A163="","",IF(BT163="","NOTE: not reviewed yet",IF(TODAY()&gt;BU163,"NOTE: review overdue","OK")))</f>
        <v/>
      </c>
      <c r="BW163" s="37" t="str">
        <f aca="false">IF(A163="","",ROUND((IF(LEN(D163)&gt;0,1,0)+IF(LEN(E163)&gt;0,1,0)+IF(LEN(F163)&gt;0,1,0)+IF(LEN(G163)&gt;0,1,0)+IF(LEN(H163)&gt;0,1,0)+IF(LEN(I163)&gt;0,1,0)+IF(LEN(J163)&gt;0,1,0)+IF(LEN(L163)&gt;0,1,0)+IF(LEN(R163)&gt;0,1,0)+IF(LEN(Y163)&gt;0,1,0)+IF(LEN(AE163)&gt;0,1,0)+IF(LEN(AG163)&gt;0,1,0)+IF(LEN(AH163)&gt;0,1,0)+IF(LEN(AI163)&gt;0,1,0)+IF(LEN(AJ163)&gt;0,1,0)+IF(LEN(AS163)&gt;0,1,0)+IF(LEN(BE163)&gt;0,1,0)+IF(LEN(BR163)&gt;0,1,0))/18,2))</f>
        <v/>
      </c>
      <c r="BX163" s="10" t="str">
        <f aca="false">IF(D163="","",IF(AND(AH163="Approved",ISERROR(SEARCH("FAIL",BB163))),"Y","N"))</f>
        <v/>
      </c>
      <c r="BY163" s="10" t="str">
        <f aca="false">IF(D163="","",D163&amp;"|"&amp;H163&amp;"|"&amp;F163&amp;"|"&amp;I163&amp;"|"&amp;BX163)</f>
        <v/>
      </c>
    </row>
    <row r="164" customFormat="false" ht="15" hidden="false" customHeight="false" outlineLevel="0" collapsed="false">
      <c r="A164" s="10" t="str">
        <f aca="false">IF(D164="","","ERSS-"&amp;IFERROR(VLOOKUP(D164,Lists!$AK$4:$AL$21,2,0),"??")&amp;"-"&amp;TEXT(F164,"0000")&amp;"x"&amp;TEXT(G164,"0000")&amp;"-D"&amp;TEXT(H164*1000,"0000")&amp;"-"&amp;IFERROR(VLOOKUP(I164,Lists!$Y$4:$Z$21,2,0),"??")&amp;"-"&amp;AG164)</f>
        <v/>
      </c>
      <c r="B164" s="10" t="str">
        <f aca="false">IF(D164="","",D164&amp;" for "&amp;E164&amp;", "&amp;F164&amp;" x "&amp;G164&amp;" pit, "&amp;TEXT(H164,"0.0")&amp;" m deep, "&amp;I164)</f>
        <v/>
      </c>
      <c r="C164" s="9"/>
      <c r="D164" s="9"/>
      <c r="E164" s="9"/>
      <c r="F164" s="38"/>
      <c r="G164" s="38"/>
      <c r="H164" s="42"/>
      <c r="I164" s="9"/>
      <c r="J164" s="42"/>
      <c r="K164" s="38"/>
      <c r="L164" s="9"/>
      <c r="M164" s="42"/>
      <c r="N164" s="42"/>
      <c r="O164" s="38"/>
      <c r="P164" s="9"/>
      <c r="Q164" s="9"/>
      <c r="R164" s="39"/>
      <c r="S164" s="39"/>
      <c r="T164" s="38"/>
      <c r="U164" s="38"/>
      <c r="V164" s="38"/>
      <c r="W164" s="9"/>
      <c r="X164" s="9"/>
      <c r="Y164" s="38"/>
      <c r="Z164" s="9"/>
      <c r="AA164" s="9"/>
      <c r="AB164" s="38"/>
      <c r="AC164" s="9"/>
      <c r="AD164" s="39"/>
      <c r="AE164" s="9"/>
      <c r="AF164" s="9"/>
      <c r="AG164" s="9"/>
      <c r="AH164" s="9"/>
      <c r="AI164" s="9"/>
      <c r="AJ164" s="9"/>
      <c r="AK164" s="9"/>
      <c r="AL164" s="10" t="str">
        <f aca="false">IF(A164="","",SG_Criteria!$B$6&amp;SG_Criteria!$B$11&amp;"\"&amp;A164&amp;"\")</f>
        <v/>
      </c>
      <c r="AM164" s="10" t="str">
        <f aca="false">IF(A164="","",A164&amp;"_CAD.dwg")</f>
        <v/>
      </c>
      <c r="AN164" s="10" t="str">
        <f aca="false">IF(A164="","",A164&amp;"_DWG.pdf")</f>
        <v/>
      </c>
      <c r="AO164" s="10" t="str">
        <f aca="false">IF(A164="","",IF(AK164="Y",A164&amp;"_STAAD.std","n/a"))</f>
        <v/>
      </c>
      <c r="AP164" s="10" t="str">
        <f aca="false">IF(A164="","",A164&amp;"_CALC.xlsx")</f>
        <v/>
      </c>
      <c r="AQ164" s="10" t="str">
        <f aca="false">IF(A164="","",A164&amp;"_CALC.pdf")</f>
        <v/>
      </c>
      <c r="AR164" s="9"/>
      <c r="AS164" s="9"/>
      <c r="AT164" s="39"/>
      <c r="AU164" s="39"/>
      <c r="AV164" s="39"/>
      <c r="AW164" s="39"/>
      <c r="AX164" s="39"/>
      <c r="AY164" s="12" t="str">
        <f aca="false">IF(A164="","",IF(COUNTIF(Rebar_Schedule!$A$5:$A$2004,A164)=0,"",ROUND(SUMIF(Rebar_Schedule!$A$5:$A$2004,A164,Rebar_Schedule!$K$5:$K$2004),1)))</f>
        <v/>
      </c>
      <c r="AZ164" s="33" t="str">
        <f aca="false">IF(A164="","",IF(AY164="","No rebar schedule yet",IF(ABS(AY164-N(AU164))/MAX(N(AU164),1)&gt;SG_Criteria!$B$55,"NOTE: register rebar differs from schedule by "&amp;TEXT(ABS(AY164-N(AU164))/MAX(N(AU164),1),"0%"),"OK")))</f>
        <v/>
      </c>
      <c r="BA164" s="33" t="str">
        <f aca="false">IF(OR(D164="",H164=""),"",IF(H164&lt;=IF(OR(D164="Soldier Pile &amp; Timber Lagging",D164="Trench Shoring Box",D164="Open Cut (battered)"),SG_Criteria!$B$34,SG_Criteria!$B$33),"No ERSS submission",IF(H164&lt;=SG_Criteria!$B$35,"QP(ST)",IF(H164&lt;=SG_Criteria!$B$36,"QP(ST) + AC","Geotechnical building works: QP(Geo) + AC"))))</f>
        <v/>
      </c>
      <c r="BB164" s="33" t="str">
        <f aca="false">IF(D164="","",IF(LEN(IF(AND(R164&lt;&gt;"",R164&lt;SG_Criteria!$B$37),"FAIL: base stability FOS &lt; "&amp;SG_Criteria!$B$37&amp;". ","")&amp;IF(AND(E164="Manhole",H164&gt;SG_Criteria!$B$36),"NOTE: BCA lists sewer manholes (pipe &lt;= 2 m dia) &gt; 6 m as non-GBW: QP(ST) + AC. ","")&amp;IF(AND(D164="Trench Shoring Box",I164="Kallang Formation (marine clay)"),"NOTE: check base heave / ground loss for shoring box in marine clay. ","")&amp;IF(AND(D164="Steel Sheet Pile Cofferdam",N(N164)&lt;H164*0.5),"NOTE: short toe embedment, check. ",""))=0,"OK",IF(AND(R164&lt;&gt;"",R164&lt;SG_Criteria!$B$37),"FAIL: base stability FOS &lt; "&amp;SG_Criteria!$B$37&amp;". ","")&amp;IF(AND(E164="Manhole",H164&gt;SG_Criteria!$B$36),"NOTE: BCA lists sewer manholes (pipe &lt;= 2 m dia) &gt; 6 m as non-GBW: QP(ST) + AC. ","")&amp;IF(AND(D164="Trench Shoring Box",I164="Kallang Formation (marine clay)"),"NOTE: check base heave / ground loss for shoring box in marine clay. ","")&amp;IF(AND(D164="Steel Sheet Pile Cofferdam",N(N164)&lt;H164*0.5),"NOTE: short toe embedment, check. ","")))</f>
        <v/>
      </c>
      <c r="BC164" s="9"/>
      <c r="BD164" s="9"/>
      <c r="BE164" s="9"/>
      <c r="BF164" s="10" t="str">
        <f aca="false">IF(BE164="","",IFERROR(VLOOKUP(BE164,Projects!$A$5:$D$504,2,0),"Ref not in Projects"))</f>
        <v/>
      </c>
      <c r="BG164" s="10" t="str">
        <f aca="false">IF(BE164="","",IFERROR(VLOOKUP(BE164,Projects!$A$5:$D$504,4,0),"Ref not in Projects"))</f>
        <v/>
      </c>
      <c r="BH164" s="9"/>
      <c r="BI164" s="9"/>
      <c r="BJ164" s="9"/>
      <c r="BK164" s="40"/>
      <c r="BL164" s="9"/>
      <c r="BM164" s="40"/>
      <c r="BN164" s="9"/>
      <c r="BO164" s="40"/>
      <c r="BP164" s="9"/>
      <c r="BQ164" s="9"/>
      <c r="BR164" s="9"/>
      <c r="BS164" s="40"/>
      <c r="BT164" s="40"/>
      <c r="BU164" s="36" t="str">
        <f aca="false">IF(BT164="","",EDATE(BT164,SG_Criteria!$B$54*12))</f>
        <v/>
      </c>
      <c r="BV164" s="33" t="str">
        <f aca="true">IF(A164="","",IF(BT164="","NOTE: not reviewed yet",IF(TODAY()&gt;BU164,"NOTE: review overdue","OK")))</f>
        <v/>
      </c>
      <c r="BW164" s="37" t="str">
        <f aca="false">IF(A164="","",ROUND((IF(LEN(D164)&gt;0,1,0)+IF(LEN(E164)&gt;0,1,0)+IF(LEN(F164)&gt;0,1,0)+IF(LEN(G164)&gt;0,1,0)+IF(LEN(H164)&gt;0,1,0)+IF(LEN(I164)&gt;0,1,0)+IF(LEN(J164)&gt;0,1,0)+IF(LEN(L164)&gt;0,1,0)+IF(LEN(R164)&gt;0,1,0)+IF(LEN(Y164)&gt;0,1,0)+IF(LEN(AE164)&gt;0,1,0)+IF(LEN(AG164)&gt;0,1,0)+IF(LEN(AH164)&gt;0,1,0)+IF(LEN(AI164)&gt;0,1,0)+IF(LEN(AJ164)&gt;0,1,0)+IF(LEN(AS164)&gt;0,1,0)+IF(LEN(BE164)&gt;0,1,0)+IF(LEN(BR164)&gt;0,1,0))/18,2))</f>
        <v/>
      </c>
      <c r="BX164" s="10" t="str">
        <f aca="false">IF(D164="","",IF(AND(AH164="Approved",ISERROR(SEARCH("FAIL",BB164))),"Y","N"))</f>
        <v/>
      </c>
      <c r="BY164" s="10" t="str">
        <f aca="false">IF(D164="","",D164&amp;"|"&amp;H164&amp;"|"&amp;F164&amp;"|"&amp;I164&amp;"|"&amp;BX164)</f>
        <v/>
      </c>
    </row>
    <row r="165" customFormat="false" ht="15" hidden="false" customHeight="false" outlineLevel="0" collapsed="false">
      <c r="A165" s="10" t="str">
        <f aca="false">IF(D165="","","ERSS-"&amp;IFERROR(VLOOKUP(D165,Lists!$AK$4:$AL$21,2,0),"??")&amp;"-"&amp;TEXT(F165,"0000")&amp;"x"&amp;TEXT(G165,"0000")&amp;"-D"&amp;TEXT(H165*1000,"0000")&amp;"-"&amp;IFERROR(VLOOKUP(I165,Lists!$Y$4:$Z$21,2,0),"??")&amp;"-"&amp;AG165)</f>
        <v/>
      </c>
      <c r="B165" s="10" t="str">
        <f aca="false">IF(D165="","",D165&amp;" for "&amp;E165&amp;", "&amp;F165&amp;" x "&amp;G165&amp;" pit, "&amp;TEXT(H165,"0.0")&amp;" m deep, "&amp;I165)</f>
        <v/>
      </c>
      <c r="C165" s="9"/>
      <c r="D165" s="9"/>
      <c r="E165" s="9"/>
      <c r="F165" s="38"/>
      <c r="G165" s="38"/>
      <c r="H165" s="42"/>
      <c r="I165" s="9"/>
      <c r="J165" s="42"/>
      <c r="K165" s="38"/>
      <c r="L165" s="9"/>
      <c r="M165" s="42"/>
      <c r="N165" s="42"/>
      <c r="O165" s="38"/>
      <c r="P165" s="9"/>
      <c r="Q165" s="9"/>
      <c r="R165" s="39"/>
      <c r="S165" s="39"/>
      <c r="T165" s="38"/>
      <c r="U165" s="38"/>
      <c r="V165" s="38"/>
      <c r="W165" s="9"/>
      <c r="X165" s="9"/>
      <c r="Y165" s="38"/>
      <c r="Z165" s="9"/>
      <c r="AA165" s="9"/>
      <c r="AB165" s="38"/>
      <c r="AC165" s="9"/>
      <c r="AD165" s="39"/>
      <c r="AE165" s="9"/>
      <c r="AF165" s="9"/>
      <c r="AG165" s="9"/>
      <c r="AH165" s="9"/>
      <c r="AI165" s="9"/>
      <c r="AJ165" s="9"/>
      <c r="AK165" s="9"/>
      <c r="AL165" s="10" t="str">
        <f aca="false">IF(A165="","",SG_Criteria!$B$6&amp;SG_Criteria!$B$11&amp;"\"&amp;A165&amp;"\")</f>
        <v/>
      </c>
      <c r="AM165" s="10" t="str">
        <f aca="false">IF(A165="","",A165&amp;"_CAD.dwg")</f>
        <v/>
      </c>
      <c r="AN165" s="10" t="str">
        <f aca="false">IF(A165="","",A165&amp;"_DWG.pdf")</f>
        <v/>
      </c>
      <c r="AO165" s="10" t="str">
        <f aca="false">IF(A165="","",IF(AK165="Y",A165&amp;"_STAAD.std","n/a"))</f>
        <v/>
      </c>
      <c r="AP165" s="10" t="str">
        <f aca="false">IF(A165="","",A165&amp;"_CALC.xlsx")</f>
        <v/>
      </c>
      <c r="AQ165" s="10" t="str">
        <f aca="false">IF(A165="","",A165&amp;"_CALC.pdf")</f>
        <v/>
      </c>
      <c r="AR165" s="9"/>
      <c r="AS165" s="9"/>
      <c r="AT165" s="39"/>
      <c r="AU165" s="39"/>
      <c r="AV165" s="39"/>
      <c r="AW165" s="39"/>
      <c r="AX165" s="39"/>
      <c r="AY165" s="12" t="str">
        <f aca="false">IF(A165="","",IF(COUNTIF(Rebar_Schedule!$A$5:$A$2004,A165)=0,"",ROUND(SUMIF(Rebar_Schedule!$A$5:$A$2004,A165,Rebar_Schedule!$K$5:$K$2004),1)))</f>
        <v/>
      </c>
      <c r="AZ165" s="33" t="str">
        <f aca="false">IF(A165="","",IF(AY165="","No rebar schedule yet",IF(ABS(AY165-N(AU165))/MAX(N(AU165),1)&gt;SG_Criteria!$B$55,"NOTE: register rebar differs from schedule by "&amp;TEXT(ABS(AY165-N(AU165))/MAX(N(AU165),1),"0%"),"OK")))</f>
        <v/>
      </c>
      <c r="BA165" s="33" t="str">
        <f aca="false">IF(OR(D165="",H165=""),"",IF(H165&lt;=IF(OR(D165="Soldier Pile &amp; Timber Lagging",D165="Trench Shoring Box",D165="Open Cut (battered)"),SG_Criteria!$B$34,SG_Criteria!$B$33),"No ERSS submission",IF(H165&lt;=SG_Criteria!$B$35,"QP(ST)",IF(H165&lt;=SG_Criteria!$B$36,"QP(ST) + AC","Geotechnical building works: QP(Geo) + AC"))))</f>
        <v/>
      </c>
      <c r="BB165" s="33" t="str">
        <f aca="false">IF(D165="","",IF(LEN(IF(AND(R165&lt;&gt;"",R165&lt;SG_Criteria!$B$37),"FAIL: base stability FOS &lt; "&amp;SG_Criteria!$B$37&amp;". ","")&amp;IF(AND(E165="Manhole",H165&gt;SG_Criteria!$B$36),"NOTE: BCA lists sewer manholes (pipe &lt;= 2 m dia) &gt; 6 m as non-GBW: QP(ST) + AC. ","")&amp;IF(AND(D165="Trench Shoring Box",I165="Kallang Formation (marine clay)"),"NOTE: check base heave / ground loss for shoring box in marine clay. ","")&amp;IF(AND(D165="Steel Sheet Pile Cofferdam",N(N165)&lt;H165*0.5),"NOTE: short toe embedment, check. ",""))=0,"OK",IF(AND(R165&lt;&gt;"",R165&lt;SG_Criteria!$B$37),"FAIL: base stability FOS &lt; "&amp;SG_Criteria!$B$37&amp;". ","")&amp;IF(AND(E165="Manhole",H165&gt;SG_Criteria!$B$36),"NOTE: BCA lists sewer manholes (pipe &lt;= 2 m dia) &gt; 6 m as non-GBW: QP(ST) + AC. ","")&amp;IF(AND(D165="Trench Shoring Box",I165="Kallang Formation (marine clay)"),"NOTE: check base heave / ground loss for shoring box in marine clay. ","")&amp;IF(AND(D165="Steel Sheet Pile Cofferdam",N(N165)&lt;H165*0.5),"NOTE: short toe embedment, check. ","")))</f>
        <v/>
      </c>
      <c r="BC165" s="9"/>
      <c r="BD165" s="9"/>
      <c r="BE165" s="9"/>
      <c r="BF165" s="10" t="str">
        <f aca="false">IF(BE165="","",IFERROR(VLOOKUP(BE165,Projects!$A$5:$D$504,2,0),"Ref not in Projects"))</f>
        <v/>
      </c>
      <c r="BG165" s="10" t="str">
        <f aca="false">IF(BE165="","",IFERROR(VLOOKUP(BE165,Projects!$A$5:$D$504,4,0),"Ref not in Projects"))</f>
        <v/>
      </c>
      <c r="BH165" s="9"/>
      <c r="BI165" s="9"/>
      <c r="BJ165" s="9"/>
      <c r="BK165" s="40"/>
      <c r="BL165" s="9"/>
      <c r="BM165" s="40"/>
      <c r="BN165" s="9"/>
      <c r="BO165" s="40"/>
      <c r="BP165" s="9"/>
      <c r="BQ165" s="9"/>
      <c r="BR165" s="9"/>
      <c r="BS165" s="40"/>
      <c r="BT165" s="40"/>
      <c r="BU165" s="36" t="str">
        <f aca="false">IF(BT165="","",EDATE(BT165,SG_Criteria!$B$54*12))</f>
        <v/>
      </c>
      <c r="BV165" s="33" t="str">
        <f aca="true">IF(A165="","",IF(BT165="","NOTE: not reviewed yet",IF(TODAY()&gt;BU165,"NOTE: review overdue","OK")))</f>
        <v/>
      </c>
      <c r="BW165" s="37" t="str">
        <f aca="false">IF(A165="","",ROUND((IF(LEN(D165)&gt;0,1,0)+IF(LEN(E165)&gt;0,1,0)+IF(LEN(F165)&gt;0,1,0)+IF(LEN(G165)&gt;0,1,0)+IF(LEN(H165)&gt;0,1,0)+IF(LEN(I165)&gt;0,1,0)+IF(LEN(J165)&gt;0,1,0)+IF(LEN(L165)&gt;0,1,0)+IF(LEN(R165)&gt;0,1,0)+IF(LEN(Y165)&gt;0,1,0)+IF(LEN(AE165)&gt;0,1,0)+IF(LEN(AG165)&gt;0,1,0)+IF(LEN(AH165)&gt;0,1,0)+IF(LEN(AI165)&gt;0,1,0)+IF(LEN(AJ165)&gt;0,1,0)+IF(LEN(AS165)&gt;0,1,0)+IF(LEN(BE165)&gt;0,1,0)+IF(LEN(BR165)&gt;0,1,0))/18,2))</f>
        <v/>
      </c>
      <c r="BX165" s="10" t="str">
        <f aca="false">IF(D165="","",IF(AND(AH165="Approved",ISERROR(SEARCH("FAIL",BB165))),"Y","N"))</f>
        <v/>
      </c>
      <c r="BY165" s="10" t="str">
        <f aca="false">IF(D165="","",D165&amp;"|"&amp;H165&amp;"|"&amp;F165&amp;"|"&amp;I165&amp;"|"&amp;BX165)</f>
        <v/>
      </c>
    </row>
    <row r="166" customFormat="false" ht="15" hidden="false" customHeight="false" outlineLevel="0" collapsed="false">
      <c r="A166" s="10" t="str">
        <f aca="false">IF(D166="","","ERSS-"&amp;IFERROR(VLOOKUP(D166,Lists!$AK$4:$AL$21,2,0),"??")&amp;"-"&amp;TEXT(F166,"0000")&amp;"x"&amp;TEXT(G166,"0000")&amp;"-D"&amp;TEXT(H166*1000,"0000")&amp;"-"&amp;IFERROR(VLOOKUP(I166,Lists!$Y$4:$Z$21,2,0),"??")&amp;"-"&amp;AG166)</f>
        <v/>
      </c>
      <c r="B166" s="10" t="str">
        <f aca="false">IF(D166="","",D166&amp;" for "&amp;E166&amp;", "&amp;F166&amp;" x "&amp;G166&amp;" pit, "&amp;TEXT(H166,"0.0")&amp;" m deep, "&amp;I166)</f>
        <v/>
      </c>
      <c r="C166" s="9"/>
      <c r="D166" s="9"/>
      <c r="E166" s="9"/>
      <c r="F166" s="38"/>
      <c r="G166" s="38"/>
      <c r="H166" s="42"/>
      <c r="I166" s="9"/>
      <c r="J166" s="42"/>
      <c r="K166" s="38"/>
      <c r="L166" s="9"/>
      <c r="M166" s="42"/>
      <c r="N166" s="42"/>
      <c r="O166" s="38"/>
      <c r="P166" s="9"/>
      <c r="Q166" s="9"/>
      <c r="R166" s="39"/>
      <c r="S166" s="39"/>
      <c r="T166" s="38"/>
      <c r="U166" s="38"/>
      <c r="V166" s="38"/>
      <c r="W166" s="9"/>
      <c r="X166" s="9"/>
      <c r="Y166" s="38"/>
      <c r="Z166" s="9"/>
      <c r="AA166" s="9"/>
      <c r="AB166" s="38"/>
      <c r="AC166" s="9"/>
      <c r="AD166" s="39"/>
      <c r="AE166" s="9"/>
      <c r="AF166" s="9"/>
      <c r="AG166" s="9"/>
      <c r="AH166" s="9"/>
      <c r="AI166" s="9"/>
      <c r="AJ166" s="9"/>
      <c r="AK166" s="9"/>
      <c r="AL166" s="10" t="str">
        <f aca="false">IF(A166="","",SG_Criteria!$B$6&amp;SG_Criteria!$B$11&amp;"\"&amp;A166&amp;"\")</f>
        <v/>
      </c>
      <c r="AM166" s="10" t="str">
        <f aca="false">IF(A166="","",A166&amp;"_CAD.dwg")</f>
        <v/>
      </c>
      <c r="AN166" s="10" t="str">
        <f aca="false">IF(A166="","",A166&amp;"_DWG.pdf")</f>
        <v/>
      </c>
      <c r="AO166" s="10" t="str">
        <f aca="false">IF(A166="","",IF(AK166="Y",A166&amp;"_STAAD.std","n/a"))</f>
        <v/>
      </c>
      <c r="AP166" s="10" t="str">
        <f aca="false">IF(A166="","",A166&amp;"_CALC.xlsx")</f>
        <v/>
      </c>
      <c r="AQ166" s="10" t="str">
        <f aca="false">IF(A166="","",A166&amp;"_CALC.pdf")</f>
        <v/>
      </c>
      <c r="AR166" s="9"/>
      <c r="AS166" s="9"/>
      <c r="AT166" s="39"/>
      <c r="AU166" s="39"/>
      <c r="AV166" s="39"/>
      <c r="AW166" s="39"/>
      <c r="AX166" s="39"/>
      <c r="AY166" s="12" t="str">
        <f aca="false">IF(A166="","",IF(COUNTIF(Rebar_Schedule!$A$5:$A$2004,A166)=0,"",ROUND(SUMIF(Rebar_Schedule!$A$5:$A$2004,A166,Rebar_Schedule!$K$5:$K$2004),1)))</f>
        <v/>
      </c>
      <c r="AZ166" s="33" t="str">
        <f aca="false">IF(A166="","",IF(AY166="","No rebar schedule yet",IF(ABS(AY166-N(AU166))/MAX(N(AU166),1)&gt;SG_Criteria!$B$55,"NOTE: register rebar differs from schedule by "&amp;TEXT(ABS(AY166-N(AU166))/MAX(N(AU166),1),"0%"),"OK")))</f>
        <v/>
      </c>
      <c r="BA166" s="33" t="str">
        <f aca="false">IF(OR(D166="",H166=""),"",IF(H166&lt;=IF(OR(D166="Soldier Pile &amp; Timber Lagging",D166="Trench Shoring Box",D166="Open Cut (battered)"),SG_Criteria!$B$34,SG_Criteria!$B$33),"No ERSS submission",IF(H166&lt;=SG_Criteria!$B$35,"QP(ST)",IF(H166&lt;=SG_Criteria!$B$36,"QP(ST) + AC","Geotechnical building works: QP(Geo) + AC"))))</f>
        <v/>
      </c>
      <c r="BB166" s="33" t="str">
        <f aca="false">IF(D166="","",IF(LEN(IF(AND(R166&lt;&gt;"",R166&lt;SG_Criteria!$B$37),"FAIL: base stability FOS &lt; "&amp;SG_Criteria!$B$37&amp;". ","")&amp;IF(AND(E166="Manhole",H166&gt;SG_Criteria!$B$36),"NOTE: BCA lists sewer manholes (pipe &lt;= 2 m dia) &gt; 6 m as non-GBW: QP(ST) + AC. ","")&amp;IF(AND(D166="Trench Shoring Box",I166="Kallang Formation (marine clay)"),"NOTE: check base heave / ground loss for shoring box in marine clay. ","")&amp;IF(AND(D166="Steel Sheet Pile Cofferdam",N(N166)&lt;H166*0.5),"NOTE: short toe embedment, check. ",""))=0,"OK",IF(AND(R166&lt;&gt;"",R166&lt;SG_Criteria!$B$37),"FAIL: base stability FOS &lt; "&amp;SG_Criteria!$B$37&amp;". ","")&amp;IF(AND(E166="Manhole",H166&gt;SG_Criteria!$B$36),"NOTE: BCA lists sewer manholes (pipe &lt;= 2 m dia) &gt; 6 m as non-GBW: QP(ST) + AC. ","")&amp;IF(AND(D166="Trench Shoring Box",I166="Kallang Formation (marine clay)"),"NOTE: check base heave / ground loss for shoring box in marine clay. ","")&amp;IF(AND(D166="Steel Sheet Pile Cofferdam",N(N166)&lt;H166*0.5),"NOTE: short toe embedment, check. ","")))</f>
        <v/>
      </c>
      <c r="BC166" s="9"/>
      <c r="BD166" s="9"/>
      <c r="BE166" s="9"/>
      <c r="BF166" s="10" t="str">
        <f aca="false">IF(BE166="","",IFERROR(VLOOKUP(BE166,Projects!$A$5:$D$504,2,0),"Ref not in Projects"))</f>
        <v/>
      </c>
      <c r="BG166" s="10" t="str">
        <f aca="false">IF(BE166="","",IFERROR(VLOOKUP(BE166,Projects!$A$5:$D$504,4,0),"Ref not in Projects"))</f>
        <v/>
      </c>
      <c r="BH166" s="9"/>
      <c r="BI166" s="9"/>
      <c r="BJ166" s="9"/>
      <c r="BK166" s="40"/>
      <c r="BL166" s="9"/>
      <c r="BM166" s="40"/>
      <c r="BN166" s="9"/>
      <c r="BO166" s="40"/>
      <c r="BP166" s="9"/>
      <c r="BQ166" s="9"/>
      <c r="BR166" s="9"/>
      <c r="BS166" s="40"/>
      <c r="BT166" s="40"/>
      <c r="BU166" s="36" t="str">
        <f aca="false">IF(BT166="","",EDATE(BT166,SG_Criteria!$B$54*12))</f>
        <v/>
      </c>
      <c r="BV166" s="33" t="str">
        <f aca="true">IF(A166="","",IF(BT166="","NOTE: not reviewed yet",IF(TODAY()&gt;BU166,"NOTE: review overdue","OK")))</f>
        <v/>
      </c>
      <c r="BW166" s="37" t="str">
        <f aca="false">IF(A166="","",ROUND((IF(LEN(D166)&gt;0,1,0)+IF(LEN(E166)&gt;0,1,0)+IF(LEN(F166)&gt;0,1,0)+IF(LEN(G166)&gt;0,1,0)+IF(LEN(H166)&gt;0,1,0)+IF(LEN(I166)&gt;0,1,0)+IF(LEN(J166)&gt;0,1,0)+IF(LEN(L166)&gt;0,1,0)+IF(LEN(R166)&gt;0,1,0)+IF(LEN(Y166)&gt;0,1,0)+IF(LEN(AE166)&gt;0,1,0)+IF(LEN(AG166)&gt;0,1,0)+IF(LEN(AH166)&gt;0,1,0)+IF(LEN(AI166)&gt;0,1,0)+IF(LEN(AJ166)&gt;0,1,0)+IF(LEN(AS166)&gt;0,1,0)+IF(LEN(BE166)&gt;0,1,0)+IF(LEN(BR166)&gt;0,1,0))/18,2))</f>
        <v/>
      </c>
      <c r="BX166" s="10" t="str">
        <f aca="false">IF(D166="","",IF(AND(AH166="Approved",ISERROR(SEARCH("FAIL",BB166))),"Y","N"))</f>
        <v/>
      </c>
      <c r="BY166" s="10" t="str">
        <f aca="false">IF(D166="","",D166&amp;"|"&amp;H166&amp;"|"&amp;F166&amp;"|"&amp;I166&amp;"|"&amp;BX166)</f>
        <v/>
      </c>
    </row>
    <row r="167" customFormat="false" ht="15" hidden="false" customHeight="false" outlineLevel="0" collapsed="false">
      <c r="A167" s="10" t="str">
        <f aca="false">IF(D167="","","ERSS-"&amp;IFERROR(VLOOKUP(D167,Lists!$AK$4:$AL$21,2,0),"??")&amp;"-"&amp;TEXT(F167,"0000")&amp;"x"&amp;TEXT(G167,"0000")&amp;"-D"&amp;TEXT(H167*1000,"0000")&amp;"-"&amp;IFERROR(VLOOKUP(I167,Lists!$Y$4:$Z$21,2,0),"??")&amp;"-"&amp;AG167)</f>
        <v/>
      </c>
      <c r="B167" s="10" t="str">
        <f aca="false">IF(D167="","",D167&amp;" for "&amp;E167&amp;", "&amp;F167&amp;" x "&amp;G167&amp;" pit, "&amp;TEXT(H167,"0.0")&amp;" m deep, "&amp;I167)</f>
        <v/>
      </c>
      <c r="C167" s="9"/>
      <c r="D167" s="9"/>
      <c r="E167" s="9"/>
      <c r="F167" s="38"/>
      <c r="G167" s="38"/>
      <c r="H167" s="42"/>
      <c r="I167" s="9"/>
      <c r="J167" s="42"/>
      <c r="K167" s="38"/>
      <c r="L167" s="9"/>
      <c r="M167" s="42"/>
      <c r="N167" s="42"/>
      <c r="O167" s="38"/>
      <c r="P167" s="9"/>
      <c r="Q167" s="9"/>
      <c r="R167" s="39"/>
      <c r="S167" s="39"/>
      <c r="T167" s="38"/>
      <c r="U167" s="38"/>
      <c r="V167" s="38"/>
      <c r="W167" s="9"/>
      <c r="X167" s="9"/>
      <c r="Y167" s="38"/>
      <c r="Z167" s="9"/>
      <c r="AA167" s="9"/>
      <c r="AB167" s="38"/>
      <c r="AC167" s="9"/>
      <c r="AD167" s="39"/>
      <c r="AE167" s="9"/>
      <c r="AF167" s="9"/>
      <c r="AG167" s="9"/>
      <c r="AH167" s="9"/>
      <c r="AI167" s="9"/>
      <c r="AJ167" s="9"/>
      <c r="AK167" s="9"/>
      <c r="AL167" s="10" t="str">
        <f aca="false">IF(A167="","",SG_Criteria!$B$6&amp;SG_Criteria!$B$11&amp;"\"&amp;A167&amp;"\")</f>
        <v/>
      </c>
      <c r="AM167" s="10" t="str">
        <f aca="false">IF(A167="","",A167&amp;"_CAD.dwg")</f>
        <v/>
      </c>
      <c r="AN167" s="10" t="str">
        <f aca="false">IF(A167="","",A167&amp;"_DWG.pdf")</f>
        <v/>
      </c>
      <c r="AO167" s="10" t="str">
        <f aca="false">IF(A167="","",IF(AK167="Y",A167&amp;"_STAAD.std","n/a"))</f>
        <v/>
      </c>
      <c r="AP167" s="10" t="str">
        <f aca="false">IF(A167="","",A167&amp;"_CALC.xlsx")</f>
        <v/>
      </c>
      <c r="AQ167" s="10" t="str">
        <f aca="false">IF(A167="","",A167&amp;"_CALC.pdf")</f>
        <v/>
      </c>
      <c r="AR167" s="9"/>
      <c r="AS167" s="9"/>
      <c r="AT167" s="39"/>
      <c r="AU167" s="39"/>
      <c r="AV167" s="39"/>
      <c r="AW167" s="39"/>
      <c r="AX167" s="39"/>
      <c r="AY167" s="12" t="str">
        <f aca="false">IF(A167="","",IF(COUNTIF(Rebar_Schedule!$A$5:$A$2004,A167)=0,"",ROUND(SUMIF(Rebar_Schedule!$A$5:$A$2004,A167,Rebar_Schedule!$K$5:$K$2004),1)))</f>
        <v/>
      </c>
      <c r="AZ167" s="33" t="str">
        <f aca="false">IF(A167="","",IF(AY167="","No rebar schedule yet",IF(ABS(AY167-N(AU167))/MAX(N(AU167),1)&gt;SG_Criteria!$B$55,"NOTE: register rebar differs from schedule by "&amp;TEXT(ABS(AY167-N(AU167))/MAX(N(AU167),1),"0%"),"OK")))</f>
        <v/>
      </c>
      <c r="BA167" s="33" t="str">
        <f aca="false">IF(OR(D167="",H167=""),"",IF(H167&lt;=IF(OR(D167="Soldier Pile &amp; Timber Lagging",D167="Trench Shoring Box",D167="Open Cut (battered)"),SG_Criteria!$B$34,SG_Criteria!$B$33),"No ERSS submission",IF(H167&lt;=SG_Criteria!$B$35,"QP(ST)",IF(H167&lt;=SG_Criteria!$B$36,"QP(ST) + AC","Geotechnical building works: QP(Geo) + AC"))))</f>
        <v/>
      </c>
      <c r="BB167" s="33" t="str">
        <f aca="false">IF(D167="","",IF(LEN(IF(AND(R167&lt;&gt;"",R167&lt;SG_Criteria!$B$37),"FAIL: base stability FOS &lt; "&amp;SG_Criteria!$B$37&amp;". ","")&amp;IF(AND(E167="Manhole",H167&gt;SG_Criteria!$B$36),"NOTE: BCA lists sewer manholes (pipe &lt;= 2 m dia) &gt; 6 m as non-GBW: QP(ST) + AC. ","")&amp;IF(AND(D167="Trench Shoring Box",I167="Kallang Formation (marine clay)"),"NOTE: check base heave / ground loss for shoring box in marine clay. ","")&amp;IF(AND(D167="Steel Sheet Pile Cofferdam",N(N167)&lt;H167*0.5),"NOTE: short toe embedment, check. ",""))=0,"OK",IF(AND(R167&lt;&gt;"",R167&lt;SG_Criteria!$B$37),"FAIL: base stability FOS &lt; "&amp;SG_Criteria!$B$37&amp;". ","")&amp;IF(AND(E167="Manhole",H167&gt;SG_Criteria!$B$36),"NOTE: BCA lists sewer manholes (pipe &lt;= 2 m dia) &gt; 6 m as non-GBW: QP(ST) + AC. ","")&amp;IF(AND(D167="Trench Shoring Box",I167="Kallang Formation (marine clay)"),"NOTE: check base heave / ground loss for shoring box in marine clay. ","")&amp;IF(AND(D167="Steel Sheet Pile Cofferdam",N(N167)&lt;H167*0.5),"NOTE: short toe embedment, check. ","")))</f>
        <v/>
      </c>
      <c r="BC167" s="9"/>
      <c r="BD167" s="9"/>
      <c r="BE167" s="9"/>
      <c r="BF167" s="10" t="str">
        <f aca="false">IF(BE167="","",IFERROR(VLOOKUP(BE167,Projects!$A$5:$D$504,2,0),"Ref not in Projects"))</f>
        <v/>
      </c>
      <c r="BG167" s="10" t="str">
        <f aca="false">IF(BE167="","",IFERROR(VLOOKUP(BE167,Projects!$A$5:$D$504,4,0),"Ref not in Projects"))</f>
        <v/>
      </c>
      <c r="BH167" s="9"/>
      <c r="BI167" s="9"/>
      <c r="BJ167" s="9"/>
      <c r="BK167" s="40"/>
      <c r="BL167" s="9"/>
      <c r="BM167" s="40"/>
      <c r="BN167" s="9"/>
      <c r="BO167" s="40"/>
      <c r="BP167" s="9"/>
      <c r="BQ167" s="9"/>
      <c r="BR167" s="9"/>
      <c r="BS167" s="40"/>
      <c r="BT167" s="40"/>
      <c r="BU167" s="36" t="str">
        <f aca="false">IF(BT167="","",EDATE(BT167,SG_Criteria!$B$54*12))</f>
        <v/>
      </c>
      <c r="BV167" s="33" t="str">
        <f aca="true">IF(A167="","",IF(BT167="","NOTE: not reviewed yet",IF(TODAY()&gt;BU167,"NOTE: review overdue","OK")))</f>
        <v/>
      </c>
      <c r="BW167" s="37" t="str">
        <f aca="false">IF(A167="","",ROUND((IF(LEN(D167)&gt;0,1,0)+IF(LEN(E167)&gt;0,1,0)+IF(LEN(F167)&gt;0,1,0)+IF(LEN(G167)&gt;0,1,0)+IF(LEN(H167)&gt;0,1,0)+IF(LEN(I167)&gt;0,1,0)+IF(LEN(J167)&gt;0,1,0)+IF(LEN(L167)&gt;0,1,0)+IF(LEN(R167)&gt;0,1,0)+IF(LEN(Y167)&gt;0,1,0)+IF(LEN(AE167)&gt;0,1,0)+IF(LEN(AG167)&gt;0,1,0)+IF(LEN(AH167)&gt;0,1,0)+IF(LEN(AI167)&gt;0,1,0)+IF(LEN(AJ167)&gt;0,1,0)+IF(LEN(AS167)&gt;0,1,0)+IF(LEN(BE167)&gt;0,1,0)+IF(LEN(BR167)&gt;0,1,0))/18,2))</f>
        <v/>
      </c>
      <c r="BX167" s="10" t="str">
        <f aca="false">IF(D167="","",IF(AND(AH167="Approved",ISERROR(SEARCH("FAIL",BB167))),"Y","N"))</f>
        <v/>
      </c>
      <c r="BY167" s="10" t="str">
        <f aca="false">IF(D167="","",D167&amp;"|"&amp;H167&amp;"|"&amp;F167&amp;"|"&amp;I167&amp;"|"&amp;BX167)</f>
        <v/>
      </c>
    </row>
    <row r="168" customFormat="false" ht="15" hidden="false" customHeight="false" outlineLevel="0" collapsed="false">
      <c r="A168" s="10" t="str">
        <f aca="false">IF(D168="","","ERSS-"&amp;IFERROR(VLOOKUP(D168,Lists!$AK$4:$AL$21,2,0),"??")&amp;"-"&amp;TEXT(F168,"0000")&amp;"x"&amp;TEXT(G168,"0000")&amp;"-D"&amp;TEXT(H168*1000,"0000")&amp;"-"&amp;IFERROR(VLOOKUP(I168,Lists!$Y$4:$Z$21,2,0),"??")&amp;"-"&amp;AG168)</f>
        <v/>
      </c>
      <c r="B168" s="10" t="str">
        <f aca="false">IF(D168="","",D168&amp;" for "&amp;E168&amp;", "&amp;F168&amp;" x "&amp;G168&amp;" pit, "&amp;TEXT(H168,"0.0")&amp;" m deep, "&amp;I168)</f>
        <v/>
      </c>
      <c r="C168" s="9"/>
      <c r="D168" s="9"/>
      <c r="E168" s="9"/>
      <c r="F168" s="38"/>
      <c r="G168" s="38"/>
      <c r="H168" s="42"/>
      <c r="I168" s="9"/>
      <c r="J168" s="42"/>
      <c r="K168" s="38"/>
      <c r="L168" s="9"/>
      <c r="M168" s="42"/>
      <c r="N168" s="42"/>
      <c r="O168" s="38"/>
      <c r="P168" s="9"/>
      <c r="Q168" s="9"/>
      <c r="R168" s="39"/>
      <c r="S168" s="39"/>
      <c r="T168" s="38"/>
      <c r="U168" s="38"/>
      <c r="V168" s="38"/>
      <c r="W168" s="9"/>
      <c r="X168" s="9"/>
      <c r="Y168" s="38"/>
      <c r="Z168" s="9"/>
      <c r="AA168" s="9"/>
      <c r="AB168" s="38"/>
      <c r="AC168" s="9"/>
      <c r="AD168" s="39"/>
      <c r="AE168" s="9"/>
      <c r="AF168" s="9"/>
      <c r="AG168" s="9"/>
      <c r="AH168" s="9"/>
      <c r="AI168" s="9"/>
      <c r="AJ168" s="9"/>
      <c r="AK168" s="9"/>
      <c r="AL168" s="10" t="str">
        <f aca="false">IF(A168="","",SG_Criteria!$B$6&amp;SG_Criteria!$B$11&amp;"\"&amp;A168&amp;"\")</f>
        <v/>
      </c>
      <c r="AM168" s="10" t="str">
        <f aca="false">IF(A168="","",A168&amp;"_CAD.dwg")</f>
        <v/>
      </c>
      <c r="AN168" s="10" t="str">
        <f aca="false">IF(A168="","",A168&amp;"_DWG.pdf")</f>
        <v/>
      </c>
      <c r="AO168" s="10" t="str">
        <f aca="false">IF(A168="","",IF(AK168="Y",A168&amp;"_STAAD.std","n/a"))</f>
        <v/>
      </c>
      <c r="AP168" s="10" t="str">
        <f aca="false">IF(A168="","",A168&amp;"_CALC.xlsx")</f>
        <v/>
      </c>
      <c r="AQ168" s="10" t="str">
        <f aca="false">IF(A168="","",A168&amp;"_CALC.pdf")</f>
        <v/>
      </c>
      <c r="AR168" s="9"/>
      <c r="AS168" s="9"/>
      <c r="AT168" s="39"/>
      <c r="AU168" s="39"/>
      <c r="AV168" s="39"/>
      <c r="AW168" s="39"/>
      <c r="AX168" s="39"/>
      <c r="AY168" s="12" t="str">
        <f aca="false">IF(A168="","",IF(COUNTIF(Rebar_Schedule!$A$5:$A$2004,A168)=0,"",ROUND(SUMIF(Rebar_Schedule!$A$5:$A$2004,A168,Rebar_Schedule!$K$5:$K$2004),1)))</f>
        <v/>
      </c>
      <c r="AZ168" s="33" t="str">
        <f aca="false">IF(A168="","",IF(AY168="","No rebar schedule yet",IF(ABS(AY168-N(AU168))/MAX(N(AU168),1)&gt;SG_Criteria!$B$55,"NOTE: register rebar differs from schedule by "&amp;TEXT(ABS(AY168-N(AU168))/MAX(N(AU168),1),"0%"),"OK")))</f>
        <v/>
      </c>
      <c r="BA168" s="33" t="str">
        <f aca="false">IF(OR(D168="",H168=""),"",IF(H168&lt;=IF(OR(D168="Soldier Pile &amp; Timber Lagging",D168="Trench Shoring Box",D168="Open Cut (battered)"),SG_Criteria!$B$34,SG_Criteria!$B$33),"No ERSS submission",IF(H168&lt;=SG_Criteria!$B$35,"QP(ST)",IF(H168&lt;=SG_Criteria!$B$36,"QP(ST) + AC","Geotechnical building works: QP(Geo) + AC"))))</f>
        <v/>
      </c>
      <c r="BB168" s="33" t="str">
        <f aca="false">IF(D168="","",IF(LEN(IF(AND(R168&lt;&gt;"",R168&lt;SG_Criteria!$B$37),"FAIL: base stability FOS &lt; "&amp;SG_Criteria!$B$37&amp;". ","")&amp;IF(AND(E168="Manhole",H168&gt;SG_Criteria!$B$36),"NOTE: BCA lists sewer manholes (pipe &lt;= 2 m dia) &gt; 6 m as non-GBW: QP(ST) + AC. ","")&amp;IF(AND(D168="Trench Shoring Box",I168="Kallang Formation (marine clay)"),"NOTE: check base heave / ground loss for shoring box in marine clay. ","")&amp;IF(AND(D168="Steel Sheet Pile Cofferdam",N(N168)&lt;H168*0.5),"NOTE: short toe embedment, check. ",""))=0,"OK",IF(AND(R168&lt;&gt;"",R168&lt;SG_Criteria!$B$37),"FAIL: base stability FOS &lt; "&amp;SG_Criteria!$B$37&amp;". ","")&amp;IF(AND(E168="Manhole",H168&gt;SG_Criteria!$B$36),"NOTE: BCA lists sewer manholes (pipe &lt;= 2 m dia) &gt; 6 m as non-GBW: QP(ST) + AC. ","")&amp;IF(AND(D168="Trench Shoring Box",I168="Kallang Formation (marine clay)"),"NOTE: check base heave / ground loss for shoring box in marine clay. ","")&amp;IF(AND(D168="Steel Sheet Pile Cofferdam",N(N168)&lt;H168*0.5),"NOTE: short toe embedment, check. ","")))</f>
        <v/>
      </c>
      <c r="BC168" s="9"/>
      <c r="BD168" s="9"/>
      <c r="BE168" s="9"/>
      <c r="BF168" s="10" t="str">
        <f aca="false">IF(BE168="","",IFERROR(VLOOKUP(BE168,Projects!$A$5:$D$504,2,0),"Ref not in Projects"))</f>
        <v/>
      </c>
      <c r="BG168" s="10" t="str">
        <f aca="false">IF(BE168="","",IFERROR(VLOOKUP(BE168,Projects!$A$5:$D$504,4,0),"Ref not in Projects"))</f>
        <v/>
      </c>
      <c r="BH168" s="9"/>
      <c r="BI168" s="9"/>
      <c r="BJ168" s="9"/>
      <c r="BK168" s="40"/>
      <c r="BL168" s="9"/>
      <c r="BM168" s="40"/>
      <c r="BN168" s="9"/>
      <c r="BO168" s="40"/>
      <c r="BP168" s="9"/>
      <c r="BQ168" s="9"/>
      <c r="BR168" s="9"/>
      <c r="BS168" s="40"/>
      <c r="BT168" s="40"/>
      <c r="BU168" s="36" t="str">
        <f aca="false">IF(BT168="","",EDATE(BT168,SG_Criteria!$B$54*12))</f>
        <v/>
      </c>
      <c r="BV168" s="33" t="str">
        <f aca="true">IF(A168="","",IF(BT168="","NOTE: not reviewed yet",IF(TODAY()&gt;BU168,"NOTE: review overdue","OK")))</f>
        <v/>
      </c>
      <c r="BW168" s="37" t="str">
        <f aca="false">IF(A168="","",ROUND((IF(LEN(D168)&gt;0,1,0)+IF(LEN(E168)&gt;0,1,0)+IF(LEN(F168)&gt;0,1,0)+IF(LEN(G168)&gt;0,1,0)+IF(LEN(H168)&gt;0,1,0)+IF(LEN(I168)&gt;0,1,0)+IF(LEN(J168)&gt;0,1,0)+IF(LEN(L168)&gt;0,1,0)+IF(LEN(R168)&gt;0,1,0)+IF(LEN(Y168)&gt;0,1,0)+IF(LEN(AE168)&gt;0,1,0)+IF(LEN(AG168)&gt;0,1,0)+IF(LEN(AH168)&gt;0,1,0)+IF(LEN(AI168)&gt;0,1,0)+IF(LEN(AJ168)&gt;0,1,0)+IF(LEN(AS168)&gt;0,1,0)+IF(LEN(BE168)&gt;0,1,0)+IF(LEN(BR168)&gt;0,1,0))/18,2))</f>
        <v/>
      </c>
      <c r="BX168" s="10" t="str">
        <f aca="false">IF(D168="","",IF(AND(AH168="Approved",ISERROR(SEARCH("FAIL",BB168))),"Y","N"))</f>
        <v/>
      </c>
      <c r="BY168" s="10" t="str">
        <f aca="false">IF(D168="","",D168&amp;"|"&amp;H168&amp;"|"&amp;F168&amp;"|"&amp;I168&amp;"|"&amp;BX168)</f>
        <v/>
      </c>
    </row>
    <row r="169" customFormat="false" ht="15" hidden="false" customHeight="false" outlineLevel="0" collapsed="false">
      <c r="A169" s="10" t="str">
        <f aca="false">IF(D169="","","ERSS-"&amp;IFERROR(VLOOKUP(D169,Lists!$AK$4:$AL$21,2,0),"??")&amp;"-"&amp;TEXT(F169,"0000")&amp;"x"&amp;TEXT(G169,"0000")&amp;"-D"&amp;TEXT(H169*1000,"0000")&amp;"-"&amp;IFERROR(VLOOKUP(I169,Lists!$Y$4:$Z$21,2,0),"??")&amp;"-"&amp;AG169)</f>
        <v/>
      </c>
      <c r="B169" s="10" t="str">
        <f aca="false">IF(D169="","",D169&amp;" for "&amp;E169&amp;", "&amp;F169&amp;" x "&amp;G169&amp;" pit, "&amp;TEXT(H169,"0.0")&amp;" m deep, "&amp;I169)</f>
        <v/>
      </c>
      <c r="C169" s="9"/>
      <c r="D169" s="9"/>
      <c r="E169" s="9"/>
      <c r="F169" s="38"/>
      <c r="G169" s="38"/>
      <c r="H169" s="42"/>
      <c r="I169" s="9"/>
      <c r="J169" s="42"/>
      <c r="K169" s="38"/>
      <c r="L169" s="9"/>
      <c r="M169" s="42"/>
      <c r="N169" s="42"/>
      <c r="O169" s="38"/>
      <c r="P169" s="9"/>
      <c r="Q169" s="9"/>
      <c r="R169" s="39"/>
      <c r="S169" s="39"/>
      <c r="T169" s="38"/>
      <c r="U169" s="38"/>
      <c r="V169" s="38"/>
      <c r="W169" s="9"/>
      <c r="X169" s="9"/>
      <c r="Y169" s="38"/>
      <c r="Z169" s="9"/>
      <c r="AA169" s="9"/>
      <c r="AB169" s="38"/>
      <c r="AC169" s="9"/>
      <c r="AD169" s="39"/>
      <c r="AE169" s="9"/>
      <c r="AF169" s="9"/>
      <c r="AG169" s="9"/>
      <c r="AH169" s="9"/>
      <c r="AI169" s="9"/>
      <c r="AJ169" s="9"/>
      <c r="AK169" s="9"/>
      <c r="AL169" s="10" t="str">
        <f aca="false">IF(A169="","",SG_Criteria!$B$6&amp;SG_Criteria!$B$11&amp;"\"&amp;A169&amp;"\")</f>
        <v/>
      </c>
      <c r="AM169" s="10" t="str">
        <f aca="false">IF(A169="","",A169&amp;"_CAD.dwg")</f>
        <v/>
      </c>
      <c r="AN169" s="10" t="str">
        <f aca="false">IF(A169="","",A169&amp;"_DWG.pdf")</f>
        <v/>
      </c>
      <c r="AO169" s="10" t="str">
        <f aca="false">IF(A169="","",IF(AK169="Y",A169&amp;"_STAAD.std","n/a"))</f>
        <v/>
      </c>
      <c r="AP169" s="10" t="str">
        <f aca="false">IF(A169="","",A169&amp;"_CALC.xlsx")</f>
        <v/>
      </c>
      <c r="AQ169" s="10" t="str">
        <f aca="false">IF(A169="","",A169&amp;"_CALC.pdf")</f>
        <v/>
      </c>
      <c r="AR169" s="9"/>
      <c r="AS169" s="9"/>
      <c r="AT169" s="39"/>
      <c r="AU169" s="39"/>
      <c r="AV169" s="39"/>
      <c r="AW169" s="39"/>
      <c r="AX169" s="39"/>
      <c r="AY169" s="12" t="str">
        <f aca="false">IF(A169="","",IF(COUNTIF(Rebar_Schedule!$A$5:$A$2004,A169)=0,"",ROUND(SUMIF(Rebar_Schedule!$A$5:$A$2004,A169,Rebar_Schedule!$K$5:$K$2004),1)))</f>
        <v/>
      </c>
      <c r="AZ169" s="33" t="str">
        <f aca="false">IF(A169="","",IF(AY169="","No rebar schedule yet",IF(ABS(AY169-N(AU169))/MAX(N(AU169),1)&gt;SG_Criteria!$B$55,"NOTE: register rebar differs from schedule by "&amp;TEXT(ABS(AY169-N(AU169))/MAX(N(AU169),1),"0%"),"OK")))</f>
        <v/>
      </c>
      <c r="BA169" s="33" t="str">
        <f aca="false">IF(OR(D169="",H169=""),"",IF(H169&lt;=IF(OR(D169="Soldier Pile &amp; Timber Lagging",D169="Trench Shoring Box",D169="Open Cut (battered)"),SG_Criteria!$B$34,SG_Criteria!$B$33),"No ERSS submission",IF(H169&lt;=SG_Criteria!$B$35,"QP(ST)",IF(H169&lt;=SG_Criteria!$B$36,"QP(ST) + AC","Geotechnical building works: QP(Geo) + AC"))))</f>
        <v/>
      </c>
      <c r="BB169" s="33" t="str">
        <f aca="false">IF(D169="","",IF(LEN(IF(AND(R169&lt;&gt;"",R169&lt;SG_Criteria!$B$37),"FAIL: base stability FOS &lt; "&amp;SG_Criteria!$B$37&amp;". ","")&amp;IF(AND(E169="Manhole",H169&gt;SG_Criteria!$B$36),"NOTE: BCA lists sewer manholes (pipe &lt;= 2 m dia) &gt; 6 m as non-GBW: QP(ST) + AC. ","")&amp;IF(AND(D169="Trench Shoring Box",I169="Kallang Formation (marine clay)"),"NOTE: check base heave / ground loss for shoring box in marine clay. ","")&amp;IF(AND(D169="Steel Sheet Pile Cofferdam",N(N169)&lt;H169*0.5),"NOTE: short toe embedment, check. ",""))=0,"OK",IF(AND(R169&lt;&gt;"",R169&lt;SG_Criteria!$B$37),"FAIL: base stability FOS &lt; "&amp;SG_Criteria!$B$37&amp;". ","")&amp;IF(AND(E169="Manhole",H169&gt;SG_Criteria!$B$36),"NOTE: BCA lists sewer manholes (pipe &lt;= 2 m dia) &gt; 6 m as non-GBW: QP(ST) + AC. ","")&amp;IF(AND(D169="Trench Shoring Box",I169="Kallang Formation (marine clay)"),"NOTE: check base heave / ground loss for shoring box in marine clay. ","")&amp;IF(AND(D169="Steel Sheet Pile Cofferdam",N(N169)&lt;H169*0.5),"NOTE: short toe embedment, check. ","")))</f>
        <v/>
      </c>
      <c r="BC169" s="9"/>
      <c r="BD169" s="9"/>
      <c r="BE169" s="9"/>
      <c r="BF169" s="10" t="str">
        <f aca="false">IF(BE169="","",IFERROR(VLOOKUP(BE169,Projects!$A$5:$D$504,2,0),"Ref not in Projects"))</f>
        <v/>
      </c>
      <c r="BG169" s="10" t="str">
        <f aca="false">IF(BE169="","",IFERROR(VLOOKUP(BE169,Projects!$A$5:$D$504,4,0),"Ref not in Projects"))</f>
        <v/>
      </c>
      <c r="BH169" s="9"/>
      <c r="BI169" s="9"/>
      <c r="BJ169" s="9"/>
      <c r="BK169" s="40"/>
      <c r="BL169" s="9"/>
      <c r="BM169" s="40"/>
      <c r="BN169" s="9"/>
      <c r="BO169" s="40"/>
      <c r="BP169" s="9"/>
      <c r="BQ169" s="9"/>
      <c r="BR169" s="9"/>
      <c r="BS169" s="40"/>
      <c r="BT169" s="40"/>
      <c r="BU169" s="36" t="str">
        <f aca="false">IF(BT169="","",EDATE(BT169,SG_Criteria!$B$54*12))</f>
        <v/>
      </c>
      <c r="BV169" s="33" t="str">
        <f aca="true">IF(A169="","",IF(BT169="","NOTE: not reviewed yet",IF(TODAY()&gt;BU169,"NOTE: review overdue","OK")))</f>
        <v/>
      </c>
      <c r="BW169" s="37" t="str">
        <f aca="false">IF(A169="","",ROUND((IF(LEN(D169)&gt;0,1,0)+IF(LEN(E169)&gt;0,1,0)+IF(LEN(F169)&gt;0,1,0)+IF(LEN(G169)&gt;0,1,0)+IF(LEN(H169)&gt;0,1,0)+IF(LEN(I169)&gt;0,1,0)+IF(LEN(J169)&gt;0,1,0)+IF(LEN(L169)&gt;0,1,0)+IF(LEN(R169)&gt;0,1,0)+IF(LEN(Y169)&gt;0,1,0)+IF(LEN(AE169)&gt;0,1,0)+IF(LEN(AG169)&gt;0,1,0)+IF(LEN(AH169)&gt;0,1,0)+IF(LEN(AI169)&gt;0,1,0)+IF(LEN(AJ169)&gt;0,1,0)+IF(LEN(AS169)&gt;0,1,0)+IF(LEN(BE169)&gt;0,1,0)+IF(LEN(BR169)&gt;0,1,0))/18,2))</f>
        <v/>
      </c>
      <c r="BX169" s="10" t="str">
        <f aca="false">IF(D169="","",IF(AND(AH169="Approved",ISERROR(SEARCH("FAIL",BB169))),"Y","N"))</f>
        <v/>
      </c>
      <c r="BY169" s="10" t="str">
        <f aca="false">IF(D169="","",D169&amp;"|"&amp;H169&amp;"|"&amp;F169&amp;"|"&amp;I169&amp;"|"&amp;BX169)</f>
        <v/>
      </c>
    </row>
    <row r="170" customFormat="false" ht="15" hidden="false" customHeight="false" outlineLevel="0" collapsed="false">
      <c r="A170" s="10" t="str">
        <f aca="false">IF(D170="","","ERSS-"&amp;IFERROR(VLOOKUP(D170,Lists!$AK$4:$AL$21,2,0),"??")&amp;"-"&amp;TEXT(F170,"0000")&amp;"x"&amp;TEXT(G170,"0000")&amp;"-D"&amp;TEXT(H170*1000,"0000")&amp;"-"&amp;IFERROR(VLOOKUP(I170,Lists!$Y$4:$Z$21,2,0),"??")&amp;"-"&amp;AG170)</f>
        <v/>
      </c>
      <c r="B170" s="10" t="str">
        <f aca="false">IF(D170="","",D170&amp;" for "&amp;E170&amp;", "&amp;F170&amp;" x "&amp;G170&amp;" pit, "&amp;TEXT(H170,"0.0")&amp;" m deep, "&amp;I170)</f>
        <v/>
      </c>
      <c r="C170" s="9"/>
      <c r="D170" s="9"/>
      <c r="E170" s="9"/>
      <c r="F170" s="38"/>
      <c r="G170" s="38"/>
      <c r="H170" s="42"/>
      <c r="I170" s="9"/>
      <c r="J170" s="42"/>
      <c r="K170" s="38"/>
      <c r="L170" s="9"/>
      <c r="M170" s="42"/>
      <c r="N170" s="42"/>
      <c r="O170" s="38"/>
      <c r="P170" s="9"/>
      <c r="Q170" s="9"/>
      <c r="R170" s="39"/>
      <c r="S170" s="39"/>
      <c r="T170" s="38"/>
      <c r="U170" s="38"/>
      <c r="V170" s="38"/>
      <c r="W170" s="9"/>
      <c r="X170" s="9"/>
      <c r="Y170" s="38"/>
      <c r="Z170" s="9"/>
      <c r="AA170" s="9"/>
      <c r="AB170" s="38"/>
      <c r="AC170" s="9"/>
      <c r="AD170" s="39"/>
      <c r="AE170" s="9"/>
      <c r="AF170" s="9"/>
      <c r="AG170" s="9"/>
      <c r="AH170" s="9"/>
      <c r="AI170" s="9"/>
      <c r="AJ170" s="9"/>
      <c r="AK170" s="9"/>
      <c r="AL170" s="10" t="str">
        <f aca="false">IF(A170="","",SG_Criteria!$B$6&amp;SG_Criteria!$B$11&amp;"\"&amp;A170&amp;"\")</f>
        <v/>
      </c>
      <c r="AM170" s="10" t="str">
        <f aca="false">IF(A170="","",A170&amp;"_CAD.dwg")</f>
        <v/>
      </c>
      <c r="AN170" s="10" t="str">
        <f aca="false">IF(A170="","",A170&amp;"_DWG.pdf")</f>
        <v/>
      </c>
      <c r="AO170" s="10" t="str">
        <f aca="false">IF(A170="","",IF(AK170="Y",A170&amp;"_STAAD.std","n/a"))</f>
        <v/>
      </c>
      <c r="AP170" s="10" t="str">
        <f aca="false">IF(A170="","",A170&amp;"_CALC.xlsx")</f>
        <v/>
      </c>
      <c r="AQ170" s="10" t="str">
        <f aca="false">IF(A170="","",A170&amp;"_CALC.pdf")</f>
        <v/>
      </c>
      <c r="AR170" s="9"/>
      <c r="AS170" s="9"/>
      <c r="AT170" s="39"/>
      <c r="AU170" s="39"/>
      <c r="AV170" s="39"/>
      <c r="AW170" s="39"/>
      <c r="AX170" s="39"/>
      <c r="AY170" s="12" t="str">
        <f aca="false">IF(A170="","",IF(COUNTIF(Rebar_Schedule!$A$5:$A$2004,A170)=0,"",ROUND(SUMIF(Rebar_Schedule!$A$5:$A$2004,A170,Rebar_Schedule!$K$5:$K$2004),1)))</f>
        <v/>
      </c>
      <c r="AZ170" s="33" t="str">
        <f aca="false">IF(A170="","",IF(AY170="","No rebar schedule yet",IF(ABS(AY170-N(AU170))/MAX(N(AU170),1)&gt;SG_Criteria!$B$55,"NOTE: register rebar differs from schedule by "&amp;TEXT(ABS(AY170-N(AU170))/MAX(N(AU170),1),"0%"),"OK")))</f>
        <v/>
      </c>
      <c r="BA170" s="33" t="str">
        <f aca="false">IF(OR(D170="",H170=""),"",IF(H170&lt;=IF(OR(D170="Soldier Pile &amp; Timber Lagging",D170="Trench Shoring Box",D170="Open Cut (battered)"),SG_Criteria!$B$34,SG_Criteria!$B$33),"No ERSS submission",IF(H170&lt;=SG_Criteria!$B$35,"QP(ST)",IF(H170&lt;=SG_Criteria!$B$36,"QP(ST) + AC","Geotechnical building works: QP(Geo) + AC"))))</f>
        <v/>
      </c>
      <c r="BB170" s="33" t="str">
        <f aca="false">IF(D170="","",IF(LEN(IF(AND(R170&lt;&gt;"",R170&lt;SG_Criteria!$B$37),"FAIL: base stability FOS &lt; "&amp;SG_Criteria!$B$37&amp;". ","")&amp;IF(AND(E170="Manhole",H170&gt;SG_Criteria!$B$36),"NOTE: BCA lists sewer manholes (pipe &lt;= 2 m dia) &gt; 6 m as non-GBW: QP(ST) + AC. ","")&amp;IF(AND(D170="Trench Shoring Box",I170="Kallang Formation (marine clay)"),"NOTE: check base heave / ground loss for shoring box in marine clay. ","")&amp;IF(AND(D170="Steel Sheet Pile Cofferdam",N(N170)&lt;H170*0.5),"NOTE: short toe embedment, check. ",""))=0,"OK",IF(AND(R170&lt;&gt;"",R170&lt;SG_Criteria!$B$37),"FAIL: base stability FOS &lt; "&amp;SG_Criteria!$B$37&amp;". ","")&amp;IF(AND(E170="Manhole",H170&gt;SG_Criteria!$B$36),"NOTE: BCA lists sewer manholes (pipe &lt;= 2 m dia) &gt; 6 m as non-GBW: QP(ST) + AC. ","")&amp;IF(AND(D170="Trench Shoring Box",I170="Kallang Formation (marine clay)"),"NOTE: check base heave / ground loss for shoring box in marine clay. ","")&amp;IF(AND(D170="Steel Sheet Pile Cofferdam",N(N170)&lt;H170*0.5),"NOTE: short toe embedment, check. ","")))</f>
        <v/>
      </c>
      <c r="BC170" s="9"/>
      <c r="BD170" s="9"/>
      <c r="BE170" s="9"/>
      <c r="BF170" s="10" t="str">
        <f aca="false">IF(BE170="","",IFERROR(VLOOKUP(BE170,Projects!$A$5:$D$504,2,0),"Ref not in Projects"))</f>
        <v/>
      </c>
      <c r="BG170" s="10" t="str">
        <f aca="false">IF(BE170="","",IFERROR(VLOOKUP(BE170,Projects!$A$5:$D$504,4,0),"Ref not in Projects"))</f>
        <v/>
      </c>
      <c r="BH170" s="9"/>
      <c r="BI170" s="9"/>
      <c r="BJ170" s="9"/>
      <c r="BK170" s="40"/>
      <c r="BL170" s="9"/>
      <c r="BM170" s="40"/>
      <c r="BN170" s="9"/>
      <c r="BO170" s="40"/>
      <c r="BP170" s="9"/>
      <c r="BQ170" s="9"/>
      <c r="BR170" s="9"/>
      <c r="BS170" s="40"/>
      <c r="BT170" s="40"/>
      <c r="BU170" s="36" t="str">
        <f aca="false">IF(BT170="","",EDATE(BT170,SG_Criteria!$B$54*12))</f>
        <v/>
      </c>
      <c r="BV170" s="33" t="str">
        <f aca="true">IF(A170="","",IF(BT170="","NOTE: not reviewed yet",IF(TODAY()&gt;BU170,"NOTE: review overdue","OK")))</f>
        <v/>
      </c>
      <c r="BW170" s="37" t="str">
        <f aca="false">IF(A170="","",ROUND((IF(LEN(D170)&gt;0,1,0)+IF(LEN(E170)&gt;0,1,0)+IF(LEN(F170)&gt;0,1,0)+IF(LEN(G170)&gt;0,1,0)+IF(LEN(H170)&gt;0,1,0)+IF(LEN(I170)&gt;0,1,0)+IF(LEN(J170)&gt;0,1,0)+IF(LEN(L170)&gt;0,1,0)+IF(LEN(R170)&gt;0,1,0)+IF(LEN(Y170)&gt;0,1,0)+IF(LEN(AE170)&gt;0,1,0)+IF(LEN(AG170)&gt;0,1,0)+IF(LEN(AH170)&gt;0,1,0)+IF(LEN(AI170)&gt;0,1,0)+IF(LEN(AJ170)&gt;0,1,0)+IF(LEN(AS170)&gt;0,1,0)+IF(LEN(BE170)&gt;0,1,0)+IF(LEN(BR170)&gt;0,1,0))/18,2))</f>
        <v/>
      </c>
      <c r="BX170" s="10" t="str">
        <f aca="false">IF(D170="","",IF(AND(AH170="Approved",ISERROR(SEARCH("FAIL",BB170))),"Y","N"))</f>
        <v/>
      </c>
      <c r="BY170" s="10" t="str">
        <f aca="false">IF(D170="","",D170&amp;"|"&amp;H170&amp;"|"&amp;F170&amp;"|"&amp;I170&amp;"|"&amp;BX170)</f>
        <v/>
      </c>
    </row>
    <row r="171" customFormat="false" ht="15" hidden="false" customHeight="false" outlineLevel="0" collapsed="false">
      <c r="A171" s="10" t="str">
        <f aca="false">IF(D171="","","ERSS-"&amp;IFERROR(VLOOKUP(D171,Lists!$AK$4:$AL$21,2,0),"??")&amp;"-"&amp;TEXT(F171,"0000")&amp;"x"&amp;TEXT(G171,"0000")&amp;"-D"&amp;TEXT(H171*1000,"0000")&amp;"-"&amp;IFERROR(VLOOKUP(I171,Lists!$Y$4:$Z$21,2,0),"??")&amp;"-"&amp;AG171)</f>
        <v/>
      </c>
      <c r="B171" s="10" t="str">
        <f aca="false">IF(D171="","",D171&amp;" for "&amp;E171&amp;", "&amp;F171&amp;" x "&amp;G171&amp;" pit, "&amp;TEXT(H171,"0.0")&amp;" m deep, "&amp;I171)</f>
        <v/>
      </c>
      <c r="C171" s="9"/>
      <c r="D171" s="9"/>
      <c r="E171" s="9"/>
      <c r="F171" s="38"/>
      <c r="G171" s="38"/>
      <c r="H171" s="42"/>
      <c r="I171" s="9"/>
      <c r="J171" s="42"/>
      <c r="K171" s="38"/>
      <c r="L171" s="9"/>
      <c r="M171" s="42"/>
      <c r="N171" s="42"/>
      <c r="O171" s="38"/>
      <c r="P171" s="9"/>
      <c r="Q171" s="9"/>
      <c r="R171" s="39"/>
      <c r="S171" s="39"/>
      <c r="T171" s="38"/>
      <c r="U171" s="38"/>
      <c r="V171" s="38"/>
      <c r="W171" s="9"/>
      <c r="X171" s="9"/>
      <c r="Y171" s="38"/>
      <c r="Z171" s="9"/>
      <c r="AA171" s="9"/>
      <c r="AB171" s="38"/>
      <c r="AC171" s="9"/>
      <c r="AD171" s="39"/>
      <c r="AE171" s="9"/>
      <c r="AF171" s="9"/>
      <c r="AG171" s="9"/>
      <c r="AH171" s="9"/>
      <c r="AI171" s="9"/>
      <c r="AJ171" s="9"/>
      <c r="AK171" s="9"/>
      <c r="AL171" s="10" t="str">
        <f aca="false">IF(A171="","",SG_Criteria!$B$6&amp;SG_Criteria!$B$11&amp;"\"&amp;A171&amp;"\")</f>
        <v/>
      </c>
      <c r="AM171" s="10" t="str">
        <f aca="false">IF(A171="","",A171&amp;"_CAD.dwg")</f>
        <v/>
      </c>
      <c r="AN171" s="10" t="str">
        <f aca="false">IF(A171="","",A171&amp;"_DWG.pdf")</f>
        <v/>
      </c>
      <c r="AO171" s="10" t="str">
        <f aca="false">IF(A171="","",IF(AK171="Y",A171&amp;"_STAAD.std","n/a"))</f>
        <v/>
      </c>
      <c r="AP171" s="10" t="str">
        <f aca="false">IF(A171="","",A171&amp;"_CALC.xlsx")</f>
        <v/>
      </c>
      <c r="AQ171" s="10" t="str">
        <f aca="false">IF(A171="","",A171&amp;"_CALC.pdf")</f>
        <v/>
      </c>
      <c r="AR171" s="9"/>
      <c r="AS171" s="9"/>
      <c r="AT171" s="39"/>
      <c r="AU171" s="39"/>
      <c r="AV171" s="39"/>
      <c r="AW171" s="39"/>
      <c r="AX171" s="39"/>
      <c r="AY171" s="12" t="str">
        <f aca="false">IF(A171="","",IF(COUNTIF(Rebar_Schedule!$A$5:$A$2004,A171)=0,"",ROUND(SUMIF(Rebar_Schedule!$A$5:$A$2004,A171,Rebar_Schedule!$K$5:$K$2004),1)))</f>
        <v/>
      </c>
      <c r="AZ171" s="33" t="str">
        <f aca="false">IF(A171="","",IF(AY171="","No rebar schedule yet",IF(ABS(AY171-N(AU171))/MAX(N(AU171),1)&gt;SG_Criteria!$B$55,"NOTE: register rebar differs from schedule by "&amp;TEXT(ABS(AY171-N(AU171))/MAX(N(AU171),1),"0%"),"OK")))</f>
        <v/>
      </c>
      <c r="BA171" s="33" t="str">
        <f aca="false">IF(OR(D171="",H171=""),"",IF(H171&lt;=IF(OR(D171="Soldier Pile &amp; Timber Lagging",D171="Trench Shoring Box",D171="Open Cut (battered)"),SG_Criteria!$B$34,SG_Criteria!$B$33),"No ERSS submission",IF(H171&lt;=SG_Criteria!$B$35,"QP(ST)",IF(H171&lt;=SG_Criteria!$B$36,"QP(ST) + AC","Geotechnical building works: QP(Geo) + AC"))))</f>
        <v/>
      </c>
      <c r="BB171" s="33" t="str">
        <f aca="false">IF(D171="","",IF(LEN(IF(AND(R171&lt;&gt;"",R171&lt;SG_Criteria!$B$37),"FAIL: base stability FOS &lt; "&amp;SG_Criteria!$B$37&amp;". ","")&amp;IF(AND(E171="Manhole",H171&gt;SG_Criteria!$B$36),"NOTE: BCA lists sewer manholes (pipe &lt;= 2 m dia) &gt; 6 m as non-GBW: QP(ST) + AC. ","")&amp;IF(AND(D171="Trench Shoring Box",I171="Kallang Formation (marine clay)"),"NOTE: check base heave / ground loss for shoring box in marine clay. ","")&amp;IF(AND(D171="Steel Sheet Pile Cofferdam",N(N171)&lt;H171*0.5),"NOTE: short toe embedment, check. ",""))=0,"OK",IF(AND(R171&lt;&gt;"",R171&lt;SG_Criteria!$B$37),"FAIL: base stability FOS &lt; "&amp;SG_Criteria!$B$37&amp;". ","")&amp;IF(AND(E171="Manhole",H171&gt;SG_Criteria!$B$36),"NOTE: BCA lists sewer manholes (pipe &lt;= 2 m dia) &gt; 6 m as non-GBW: QP(ST) + AC. ","")&amp;IF(AND(D171="Trench Shoring Box",I171="Kallang Formation (marine clay)"),"NOTE: check base heave / ground loss for shoring box in marine clay. ","")&amp;IF(AND(D171="Steel Sheet Pile Cofferdam",N(N171)&lt;H171*0.5),"NOTE: short toe embedment, check. ","")))</f>
        <v/>
      </c>
      <c r="BC171" s="9"/>
      <c r="BD171" s="9"/>
      <c r="BE171" s="9"/>
      <c r="BF171" s="10" t="str">
        <f aca="false">IF(BE171="","",IFERROR(VLOOKUP(BE171,Projects!$A$5:$D$504,2,0),"Ref not in Projects"))</f>
        <v/>
      </c>
      <c r="BG171" s="10" t="str">
        <f aca="false">IF(BE171="","",IFERROR(VLOOKUP(BE171,Projects!$A$5:$D$504,4,0),"Ref not in Projects"))</f>
        <v/>
      </c>
      <c r="BH171" s="9"/>
      <c r="BI171" s="9"/>
      <c r="BJ171" s="9"/>
      <c r="BK171" s="40"/>
      <c r="BL171" s="9"/>
      <c r="BM171" s="40"/>
      <c r="BN171" s="9"/>
      <c r="BO171" s="40"/>
      <c r="BP171" s="9"/>
      <c r="BQ171" s="9"/>
      <c r="BR171" s="9"/>
      <c r="BS171" s="40"/>
      <c r="BT171" s="40"/>
      <c r="BU171" s="36" t="str">
        <f aca="false">IF(BT171="","",EDATE(BT171,SG_Criteria!$B$54*12))</f>
        <v/>
      </c>
      <c r="BV171" s="33" t="str">
        <f aca="true">IF(A171="","",IF(BT171="","NOTE: not reviewed yet",IF(TODAY()&gt;BU171,"NOTE: review overdue","OK")))</f>
        <v/>
      </c>
      <c r="BW171" s="37" t="str">
        <f aca="false">IF(A171="","",ROUND((IF(LEN(D171)&gt;0,1,0)+IF(LEN(E171)&gt;0,1,0)+IF(LEN(F171)&gt;0,1,0)+IF(LEN(G171)&gt;0,1,0)+IF(LEN(H171)&gt;0,1,0)+IF(LEN(I171)&gt;0,1,0)+IF(LEN(J171)&gt;0,1,0)+IF(LEN(L171)&gt;0,1,0)+IF(LEN(R171)&gt;0,1,0)+IF(LEN(Y171)&gt;0,1,0)+IF(LEN(AE171)&gt;0,1,0)+IF(LEN(AG171)&gt;0,1,0)+IF(LEN(AH171)&gt;0,1,0)+IF(LEN(AI171)&gt;0,1,0)+IF(LEN(AJ171)&gt;0,1,0)+IF(LEN(AS171)&gt;0,1,0)+IF(LEN(BE171)&gt;0,1,0)+IF(LEN(BR171)&gt;0,1,0))/18,2))</f>
        <v/>
      </c>
      <c r="BX171" s="10" t="str">
        <f aca="false">IF(D171="","",IF(AND(AH171="Approved",ISERROR(SEARCH("FAIL",BB171))),"Y","N"))</f>
        <v/>
      </c>
      <c r="BY171" s="10" t="str">
        <f aca="false">IF(D171="","",D171&amp;"|"&amp;H171&amp;"|"&amp;F171&amp;"|"&amp;I171&amp;"|"&amp;BX171)</f>
        <v/>
      </c>
    </row>
    <row r="172" customFormat="false" ht="15" hidden="false" customHeight="false" outlineLevel="0" collapsed="false">
      <c r="A172" s="10" t="str">
        <f aca="false">IF(D172="","","ERSS-"&amp;IFERROR(VLOOKUP(D172,Lists!$AK$4:$AL$21,2,0),"??")&amp;"-"&amp;TEXT(F172,"0000")&amp;"x"&amp;TEXT(G172,"0000")&amp;"-D"&amp;TEXT(H172*1000,"0000")&amp;"-"&amp;IFERROR(VLOOKUP(I172,Lists!$Y$4:$Z$21,2,0),"??")&amp;"-"&amp;AG172)</f>
        <v/>
      </c>
      <c r="B172" s="10" t="str">
        <f aca="false">IF(D172="","",D172&amp;" for "&amp;E172&amp;", "&amp;F172&amp;" x "&amp;G172&amp;" pit, "&amp;TEXT(H172,"0.0")&amp;" m deep, "&amp;I172)</f>
        <v/>
      </c>
      <c r="C172" s="9"/>
      <c r="D172" s="9"/>
      <c r="E172" s="9"/>
      <c r="F172" s="38"/>
      <c r="G172" s="38"/>
      <c r="H172" s="42"/>
      <c r="I172" s="9"/>
      <c r="J172" s="42"/>
      <c r="K172" s="38"/>
      <c r="L172" s="9"/>
      <c r="M172" s="42"/>
      <c r="N172" s="42"/>
      <c r="O172" s="38"/>
      <c r="P172" s="9"/>
      <c r="Q172" s="9"/>
      <c r="R172" s="39"/>
      <c r="S172" s="39"/>
      <c r="T172" s="38"/>
      <c r="U172" s="38"/>
      <c r="V172" s="38"/>
      <c r="W172" s="9"/>
      <c r="X172" s="9"/>
      <c r="Y172" s="38"/>
      <c r="Z172" s="9"/>
      <c r="AA172" s="9"/>
      <c r="AB172" s="38"/>
      <c r="AC172" s="9"/>
      <c r="AD172" s="39"/>
      <c r="AE172" s="9"/>
      <c r="AF172" s="9"/>
      <c r="AG172" s="9"/>
      <c r="AH172" s="9"/>
      <c r="AI172" s="9"/>
      <c r="AJ172" s="9"/>
      <c r="AK172" s="9"/>
      <c r="AL172" s="10" t="str">
        <f aca="false">IF(A172="","",SG_Criteria!$B$6&amp;SG_Criteria!$B$11&amp;"\"&amp;A172&amp;"\")</f>
        <v/>
      </c>
      <c r="AM172" s="10" t="str">
        <f aca="false">IF(A172="","",A172&amp;"_CAD.dwg")</f>
        <v/>
      </c>
      <c r="AN172" s="10" t="str">
        <f aca="false">IF(A172="","",A172&amp;"_DWG.pdf")</f>
        <v/>
      </c>
      <c r="AO172" s="10" t="str">
        <f aca="false">IF(A172="","",IF(AK172="Y",A172&amp;"_STAAD.std","n/a"))</f>
        <v/>
      </c>
      <c r="AP172" s="10" t="str">
        <f aca="false">IF(A172="","",A172&amp;"_CALC.xlsx")</f>
        <v/>
      </c>
      <c r="AQ172" s="10" t="str">
        <f aca="false">IF(A172="","",A172&amp;"_CALC.pdf")</f>
        <v/>
      </c>
      <c r="AR172" s="9"/>
      <c r="AS172" s="9"/>
      <c r="AT172" s="39"/>
      <c r="AU172" s="39"/>
      <c r="AV172" s="39"/>
      <c r="AW172" s="39"/>
      <c r="AX172" s="39"/>
      <c r="AY172" s="12" t="str">
        <f aca="false">IF(A172="","",IF(COUNTIF(Rebar_Schedule!$A$5:$A$2004,A172)=0,"",ROUND(SUMIF(Rebar_Schedule!$A$5:$A$2004,A172,Rebar_Schedule!$K$5:$K$2004),1)))</f>
        <v/>
      </c>
      <c r="AZ172" s="33" t="str">
        <f aca="false">IF(A172="","",IF(AY172="","No rebar schedule yet",IF(ABS(AY172-N(AU172))/MAX(N(AU172),1)&gt;SG_Criteria!$B$55,"NOTE: register rebar differs from schedule by "&amp;TEXT(ABS(AY172-N(AU172))/MAX(N(AU172),1),"0%"),"OK")))</f>
        <v/>
      </c>
      <c r="BA172" s="33" t="str">
        <f aca="false">IF(OR(D172="",H172=""),"",IF(H172&lt;=IF(OR(D172="Soldier Pile &amp; Timber Lagging",D172="Trench Shoring Box",D172="Open Cut (battered)"),SG_Criteria!$B$34,SG_Criteria!$B$33),"No ERSS submission",IF(H172&lt;=SG_Criteria!$B$35,"QP(ST)",IF(H172&lt;=SG_Criteria!$B$36,"QP(ST) + AC","Geotechnical building works: QP(Geo) + AC"))))</f>
        <v/>
      </c>
      <c r="BB172" s="33" t="str">
        <f aca="false">IF(D172="","",IF(LEN(IF(AND(R172&lt;&gt;"",R172&lt;SG_Criteria!$B$37),"FAIL: base stability FOS &lt; "&amp;SG_Criteria!$B$37&amp;". ","")&amp;IF(AND(E172="Manhole",H172&gt;SG_Criteria!$B$36),"NOTE: BCA lists sewer manholes (pipe &lt;= 2 m dia) &gt; 6 m as non-GBW: QP(ST) + AC. ","")&amp;IF(AND(D172="Trench Shoring Box",I172="Kallang Formation (marine clay)"),"NOTE: check base heave / ground loss for shoring box in marine clay. ","")&amp;IF(AND(D172="Steel Sheet Pile Cofferdam",N(N172)&lt;H172*0.5),"NOTE: short toe embedment, check. ",""))=0,"OK",IF(AND(R172&lt;&gt;"",R172&lt;SG_Criteria!$B$37),"FAIL: base stability FOS &lt; "&amp;SG_Criteria!$B$37&amp;". ","")&amp;IF(AND(E172="Manhole",H172&gt;SG_Criteria!$B$36),"NOTE: BCA lists sewer manholes (pipe &lt;= 2 m dia) &gt; 6 m as non-GBW: QP(ST) + AC. ","")&amp;IF(AND(D172="Trench Shoring Box",I172="Kallang Formation (marine clay)"),"NOTE: check base heave / ground loss for shoring box in marine clay. ","")&amp;IF(AND(D172="Steel Sheet Pile Cofferdam",N(N172)&lt;H172*0.5),"NOTE: short toe embedment, check. ","")))</f>
        <v/>
      </c>
      <c r="BC172" s="9"/>
      <c r="BD172" s="9"/>
      <c r="BE172" s="9"/>
      <c r="BF172" s="10" t="str">
        <f aca="false">IF(BE172="","",IFERROR(VLOOKUP(BE172,Projects!$A$5:$D$504,2,0),"Ref not in Projects"))</f>
        <v/>
      </c>
      <c r="BG172" s="10" t="str">
        <f aca="false">IF(BE172="","",IFERROR(VLOOKUP(BE172,Projects!$A$5:$D$504,4,0),"Ref not in Projects"))</f>
        <v/>
      </c>
      <c r="BH172" s="9"/>
      <c r="BI172" s="9"/>
      <c r="BJ172" s="9"/>
      <c r="BK172" s="40"/>
      <c r="BL172" s="9"/>
      <c r="BM172" s="40"/>
      <c r="BN172" s="9"/>
      <c r="BO172" s="40"/>
      <c r="BP172" s="9"/>
      <c r="BQ172" s="9"/>
      <c r="BR172" s="9"/>
      <c r="BS172" s="40"/>
      <c r="BT172" s="40"/>
      <c r="BU172" s="36" t="str">
        <f aca="false">IF(BT172="","",EDATE(BT172,SG_Criteria!$B$54*12))</f>
        <v/>
      </c>
      <c r="BV172" s="33" t="str">
        <f aca="true">IF(A172="","",IF(BT172="","NOTE: not reviewed yet",IF(TODAY()&gt;BU172,"NOTE: review overdue","OK")))</f>
        <v/>
      </c>
      <c r="BW172" s="37" t="str">
        <f aca="false">IF(A172="","",ROUND((IF(LEN(D172)&gt;0,1,0)+IF(LEN(E172)&gt;0,1,0)+IF(LEN(F172)&gt;0,1,0)+IF(LEN(G172)&gt;0,1,0)+IF(LEN(H172)&gt;0,1,0)+IF(LEN(I172)&gt;0,1,0)+IF(LEN(J172)&gt;0,1,0)+IF(LEN(L172)&gt;0,1,0)+IF(LEN(R172)&gt;0,1,0)+IF(LEN(Y172)&gt;0,1,0)+IF(LEN(AE172)&gt;0,1,0)+IF(LEN(AG172)&gt;0,1,0)+IF(LEN(AH172)&gt;0,1,0)+IF(LEN(AI172)&gt;0,1,0)+IF(LEN(AJ172)&gt;0,1,0)+IF(LEN(AS172)&gt;0,1,0)+IF(LEN(BE172)&gt;0,1,0)+IF(LEN(BR172)&gt;0,1,0))/18,2))</f>
        <v/>
      </c>
      <c r="BX172" s="10" t="str">
        <f aca="false">IF(D172="","",IF(AND(AH172="Approved",ISERROR(SEARCH("FAIL",BB172))),"Y","N"))</f>
        <v/>
      </c>
      <c r="BY172" s="10" t="str">
        <f aca="false">IF(D172="","",D172&amp;"|"&amp;H172&amp;"|"&amp;F172&amp;"|"&amp;I172&amp;"|"&amp;BX172)</f>
        <v/>
      </c>
    </row>
    <row r="173" customFormat="false" ht="15" hidden="false" customHeight="false" outlineLevel="0" collapsed="false">
      <c r="A173" s="10" t="str">
        <f aca="false">IF(D173="","","ERSS-"&amp;IFERROR(VLOOKUP(D173,Lists!$AK$4:$AL$21,2,0),"??")&amp;"-"&amp;TEXT(F173,"0000")&amp;"x"&amp;TEXT(G173,"0000")&amp;"-D"&amp;TEXT(H173*1000,"0000")&amp;"-"&amp;IFERROR(VLOOKUP(I173,Lists!$Y$4:$Z$21,2,0),"??")&amp;"-"&amp;AG173)</f>
        <v/>
      </c>
      <c r="B173" s="10" t="str">
        <f aca="false">IF(D173="","",D173&amp;" for "&amp;E173&amp;", "&amp;F173&amp;" x "&amp;G173&amp;" pit, "&amp;TEXT(H173,"0.0")&amp;" m deep, "&amp;I173)</f>
        <v/>
      </c>
      <c r="C173" s="9"/>
      <c r="D173" s="9"/>
      <c r="E173" s="9"/>
      <c r="F173" s="38"/>
      <c r="G173" s="38"/>
      <c r="H173" s="42"/>
      <c r="I173" s="9"/>
      <c r="J173" s="42"/>
      <c r="K173" s="38"/>
      <c r="L173" s="9"/>
      <c r="M173" s="42"/>
      <c r="N173" s="42"/>
      <c r="O173" s="38"/>
      <c r="P173" s="9"/>
      <c r="Q173" s="9"/>
      <c r="R173" s="39"/>
      <c r="S173" s="39"/>
      <c r="T173" s="38"/>
      <c r="U173" s="38"/>
      <c r="V173" s="38"/>
      <c r="W173" s="9"/>
      <c r="X173" s="9"/>
      <c r="Y173" s="38"/>
      <c r="Z173" s="9"/>
      <c r="AA173" s="9"/>
      <c r="AB173" s="38"/>
      <c r="AC173" s="9"/>
      <c r="AD173" s="39"/>
      <c r="AE173" s="9"/>
      <c r="AF173" s="9"/>
      <c r="AG173" s="9"/>
      <c r="AH173" s="9"/>
      <c r="AI173" s="9"/>
      <c r="AJ173" s="9"/>
      <c r="AK173" s="9"/>
      <c r="AL173" s="10" t="str">
        <f aca="false">IF(A173="","",SG_Criteria!$B$6&amp;SG_Criteria!$B$11&amp;"\"&amp;A173&amp;"\")</f>
        <v/>
      </c>
      <c r="AM173" s="10" t="str">
        <f aca="false">IF(A173="","",A173&amp;"_CAD.dwg")</f>
        <v/>
      </c>
      <c r="AN173" s="10" t="str">
        <f aca="false">IF(A173="","",A173&amp;"_DWG.pdf")</f>
        <v/>
      </c>
      <c r="AO173" s="10" t="str">
        <f aca="false">IF(A173="","",IF(AK173="Y",A173&amp;"_STAAD.std","n/a"))</f>
        <v/>
      </c>
      <c r="AP173" s="10" t="str">
        <f aca="false">IF(A173="","",A173&amp;"_CALC.xlsx")</f>
        <v/>
      </c>
      <c r="AQ173" s="10" t="str">
        <f aca="false">IF(A173="","",A173&amp;"_CALC.pdf")</f>
        <v/>
      </c>
      <c r="AR173" s="9"/>
      <c r="AS173" s="9"/>
      <c r="AT173" s="39"/>
      <c r="AU173" s="39"/>
      <c r="AV173" s="39"/>
      <c r="AW173" s="39"/>
      <c r="AX173" s="39"/>
      <c r="AY173" s="12" t="str">
        <f aca="false">IF(A173="","",IF(COUNTIF(Rebar_Schedule!$A$5:$A$2004,A173)=0,"",ROUND(SUMIF(Rebar_Schedule!$A$5:$A$2004,A173,Rebar_Schedule!$K$5:$K$2004),1)))</f>
        <v/>
      </c>
      <c r="AZ173" s="33" t="str">
        <f aca="false">IF(A173="","",IF(AY173="","No rebar schedule yet",IF(ABS(AY173-N(AU173))/MAX(N(AU173),1)&gt;SG_Criteria!$B$55,"NOTE: register rebar differs from schedule by "&amp;TEXT(ABS(AY173-N(AU173))/MAX(N(AU173),1),"0%"),"OK")))</f>
        <v/>
      </c>
      <c r="BA173" s="33" t="str">
        <f aca="false">IF(OR(D173="",H173=""),"",IF(H173&lt;=IF(OR(D173="Soldier Pile &amp; Timber Lagging",D173="Trench Shoring Box",D173="Open Cut (battered)"),SG_Criteria!$B$34,SG_Criteria!$B$33),"No ERSS submission",IF(H173&lt;=SG_Criteria!$B$35,"QP(ST)",IF(H173&lt;=SG_Criteria!$B$36,"QP(ST) + AC","Geotechnical building works: QP(Geo) + AC"))))</f>
        <v/>
      </c>
      <c r="BB173" s="33" t="str">
        <f aca="false">IF(D173="","",IF(LEN(IF(AND(R173&lt;&gt;"",R173&lt;SG_Criteria!$B$37),"FAIL: base stability FOS &lt; "&amp;SG_Criteria!$B$37&amp;". ","")&amp;IF(AND(E173="Manhole",H173&gt;SG_Criteria!$B$36),"NOTE: BCA lists sewer manholes (pipe &lt;= 2 m dia) &gt; 6 m as non-GBW: QP(ST) + AC. ","")&amp;IF(AND(D173="Trench Shoring Box",I173="Kallang Formation (marine clay)"),"NOTE: check base heave / ground loss for shoring box in marine clay. ","")&amp;IF(AND(D173="Steel Sheet Pile Cofferdam",N(N173)&lt;H173*0.5),"NOTE: short toe embedment, check. ",""))=0,"OK",IF(AND(R173&lt;&gt;"",R173&lt;SG_Criteria!$B$37),"FAIL: base stability FOS &lt; "&amp;SG_Criteria!$B$37&amp;". ","")&amp;IF(AND(E173="Manhole",H173&gt;SG_Criteria!$B$36),"NOTE: BCA lists sewer manholes (pipe &lt;= 2 m dia) &gt; 6 m as non-GBW: QP(ST) + AC. ","")&amp;IF(AND(D173="Trench Shoring Box",I173="Kallang Formation (marine clay)"),"NOTE: check base heave / ground loss for shoring box in marine clay. ","")&amp;IF(AND(D173="Steel Sheet Pile Cofferdam",N(N173)&lt;H173*0.5),"NOTE: short toe embedment, check. ","")))</f>
        <v/>
      </c>
      <c r="BC173" s="9"/>
      <c r="BD173" s="9"/>
      <c r="BE173" s="9"/>
      <c r="BF173" s="10" t="str">
        <f aca="false">IF(BE173="","",IFERROR(VLOOKUP(BE173,Projects!$A$5:$D$504,2,0),"Ref not in Projects"))</f>
        <v/>
      </c>
      <c r="BG173" s="10" t="str">
        <f aca="false">IF(BE173="","",IFERROR(VLOOKUP(BE173,Projects!$A$5:$D$504,4,0),"Ref not in Projects"))</f>
        <v/>
      </c>
      <c r="BH173" s="9"/>
      <c r="BI173" s="9"/>
      <c r="BJ173" s="9"/>
      <c r="BK173" s="40"/>
      <c r="BL173" s="9"/>
      <c r="BM173" s="40"/>
      <c r="BN173" s="9"/>
      <c r="BO173" s="40"/>
      <c r="BP173" s="9"/>
      <c r="BQ173" s="9"/>
      <c r="BR173" s="9"/>
      <c r="BS173" s="40"/>
      <c r="BT173" s="40"/>
      <c r="BU173" s="36" t="str">
        <f aca="false">IF(BT173="","",EDATE(BT173,SG_Criteria!$B$54*12))</f>
        <v/>
      </c>
      <c r="BV173" s="33" t="str">
        <f aca="true">IF(A173="","",IF(BT173="","NOTE: not reviewed yet",IF(TODAY()&gt;BU173,"NOTE: review overdue","OK")))</f>
        <v/>
      </c>
      <c r="BW173" s="37" t="str">
        <f aca="false">IF(A173="","",ROUND((IF(LEN(D173)&gt;0,1,0)+IF(LEN(E173)&gt;0,1,0)+IF(LEN(F173)&gt;0,1,0)+IF(LEN(G173)&gt;0,1,0)+IF(LEN(H173)&gt;0,1,0)+IF(LEN(I173)&gt;0,1,0)+IF(LEN(J173)&gt;0,1,0)+IF(LEN(L173)&gt;0,1,0)+IF(LEN(R173)&gt;0,1,0)+IF(LEN(Y173)&gt;0,1,0)+IF(LEN(AE173)&gt;0,1,0)+IF(LEN(AG173)&gt;0,1,0)+IF(LEN(AH173)&gt;0,1,0)+IF(LEN(AI173)&gt;0,1,0)+IF(LEN(AJ173)&gt;0,1,0)+IF(LEN(AS173)&gt;0,1,0)+IF(LEN(BE173)&gt;0,1,0)+IF(LEN(BR173)&gt;0,1,0))/18,2))</f>
        <v/>
      </c>
      <c r="BX173" s="10" t="str">
        <f aca="false">IF(D173="","",IF(AND(AH173="Approved",ISERROR(SEARCH("FAIL",BB173))),"Y","N"))</f>
        <v/>
      </c>
      <c r="BY173" s="10" t="str">
        <f aca="false">IF(D173="","",D173&amp;"|"&amp;H173&amp;"|"&amp;F173&amp;"|"&amp;I173&amp;"|"&amp;BX173)</f>
        <v/>
      </c>
    </row>
    <row r="174" customFormat="false" ht="15" hidden="false" customHeight="false" outlineLevel="0" collapsed="false">
      <c r="A174" s="10" t="str">
        <f aca="false">IF(D174="","","ERSS-"&amp;IFERROR(VLOOKUP(D174,Lists!$AK$4:$AL$21,2,0),"??")&amp;"-"&amp;TEXT(F174,"0000")&amp;"x"&amp;TEXT(G174,"0000")&amp;"-D"&amp;TEXT(H174*1000,"0000")&amp;"-"&amp;IFERROR(VLOOKUP(I174,Lists!$Y$4:$Z$21,2,0),"??")&amp;"-"&amp;AG174)</f>
        <v/>
      </c>
      <c r="B174" s="10" t="str">
        <f aca="false">IF(D174="","",D174&amp;" for "&amp;E174&amp;", "&amp;F174&amp;" x "&amp;G174&amp;" pit, "&amp;TEXT(H174,"0.0")&amp;" m deep, "&amp;I174)</f>
        <v/>
      </c>
      <c r="C174" s="9"/>
      <c r="D174" s="9"/>
      <c r="E174" s="9"/>
      <c r="F174" s="38"/>
      <c r="G174" s="38"/>
      <c r="H174" s="42"/>
      <c r="I174" s="9"/>
      <c r="J174" s="42"/>
      <c r="K174" s="38"/>
      <c r="L174" s="9"/>
      <c r="M174" s="42"/>
      <c r="N174" s="42"/>
      <c r="O174" s="38"/>
      <c r="P174" s="9"/>
      <c r="Q174" s="9"/>
      <c r="R174" s="39"/>
      <c r="S174" s="39"/>
      <c r="T174" s="38"/>
      <c r="U174" s="38"/>
      <c r="V174" s="38"/>
      <c r="W174" s="9"/>
      <c r="X174" s="9"/>
      <c r="Y174" s="38"/>
      <c r="Z174" s="9"/>
      <c r="AA174" s="9"/>
      <c r="AB174" s="38"/>
      <c r="AC174" s="9"/>
      <c r="AD174" s="39"/>
      <c r="AE174" s="9"/>
      <c r="AF174" s="9"/>
      <c r="AG174" s="9"/>
      <c r="AH174" s="9"/>
      <c r="AI174" s="9"/>
      <c r="AJ174" s="9"/>
      <c r="AK174" s="9"/>
      <c r="AL174" s="10" t="str">
        <f aca="false">IF(A174="","",SG_Criteria!$B$6&amp;SG_Criteria!$B$11&amp;"\"&amp;A174&amp;"\")</f>
        <v/>
      </c>
      <c r="AM174" s="10" t="str">
        <f aca="false">IF(A174="","",A174&amp;"_CAD.dwg")</f>
        <v/>
      </c>
      <c r="AN174" s="10" t="str">
        <f aca="false">IF(A174="","",A174&amp;"_DWG.pdf")</f>
        <v/>
      </c>
      <c r="AO174" s="10" t="str">
        <f aca="false">IF(A174="","",IF(AK174="Y",A174&amp;"_STAAD.std","n/a"))</f>
        <v/>
      </c>
      <c r="AP174" s="10" t="str">
        <f aca="false">IF(A174="","",A174&amp;"_CALC.xlsx")</f>
        <v/>
      </c>
      <c r="AQ174" s="10" t="str">
        <f aca="false">IF(A174="","",A174&amp;"_CALC.pdf")</f>
        <v/>
      </c>
      <c r="AR174" s="9"/>
      <c r="AS174" s="9"/>
      <c r="AT174" s="39"/>
      <c r="AU174" s="39"/>
      <c r="AV174" s="39"/>
      <c r="AW174" s="39"/>
      <c r="AX174" s="39"/>
      <c r="AY174" s="12" t="str">
        <f aca="false">IF(A174="","",IF(COUNTIF(Rebar_Schedule!$A$5:$A$2004,A174)=0,"",ROUND(SUMIF(Rebar_Schedule!$A$5:$A$2004,A174,Rebar_Schedule!$K$5:$K$2004),1)))</f>
        <v/>
      </c>
      <c r="AZ174" s="33" t="str">
        <f aca="false">IF(A174="","",IF(AY174="","No rebar schedule yet",IF(ABS(AY174-N(AU174))/MAX(N(AU174),1)&gt;SG_Criteria!$B$55,"NOTE: register rebar differs from schedule by "&amp;TEXT(ABS(AY174-N(AU174))/MAX(N(AU174),1),"0%"),"OK")))</f>
        <v/>
      </c>
      <c r="BA174" s="33" t="str">
        <f aca="false">IF(OR(D174="",H174=""),"",IF(H174&lt;=IF(OR(D174="Soldier Pile &amp; Timber Lagging",D174="Trench Shoring Box",D174="Open Cut (battered)"),SG_Criteria!$B$34,SG_Criteria!$B$33),"No ERSS submission",IF(H174&lt;=SG_Criteria!$B$35,"QP(ST)",IF(H174&lt;=SG_Criteria!$B$36,"QP(ST) + AC","Geotechnical building works: QP(Geo) + AC"))))</f>
        <v/>
      </c>
      <c r="BB174" s="33" t="str">
        <f aca="false">IF(D174="","",IF(LEN(IF(AND(R174&lt;&gt;"",R174&lt;SG_Criteria!$B$37),"FAIL: base stability FOS &lt; "&amp;SG_Criteria!$B$37&amp;". ","")&amp;IF(AND(E174="Manhole",H174&gt;SG_Criteria!$B$36),"NOTE: BCA lists sewer manholes (pipe &lt;= 2 m dia) &gt; 6 m as non-GBW: QP(ST) + AC. ","")&amp;IF(AND(D174="Trench Shoring Box",I174="Kallang Formation (marine clay)"),"NOTE: check base heave / ground loss for shoring box in marine clay. ","")&amp;IF(AND(D174="Steel Sheet Pile Cofferdam",N(N174)&lt;H174*0.5),"NOTE: short toe embedment, check. ",""))=0,"OK",IF(AND(R174&lt;&gt;"",R174&lt;SG_Criteria!$B$37),"FAIL: base stability FOS &lt; "&amp;SG_Criteria!$B$37&amp;". ","")&amp;IF(AND(E174="Manhole",H174&gt;SG_Criteria!$B$36),"NOTE: BCA lists sewer manholes (pipe &lt;= 2 m dia) &gt; 6 m as non-GBW: QP(ST) + AC. ","")&amp;IF(AND(D174="Trench Shoring Box",I174="Kallang Formation (marine clay)"),"NOTE: check base heave / ground loss for shoring box in marine clay. ","")&amp;IF(AND(D174="Steel Sheet Pile Cofferdam",N(N174)&lt;H174*0.5),"NOTE: short toe embedment, check. ","")))</f>
        <v/>
      </c>
      <c r="BC174" s="9"/>
      <c r="BD174" s="9"/>
      <c r="BE174" s="9"/>
      <c r="BF174" s="10" t="str">
        <f aca="false">IF(BE174="","",IFERROR(VLOOKUP(BE174,Projects!$A$5:$D$504,2,0),"Ref not in Projects"))</f>
        <v/>
      </c>
      <c r="BG174" s="10" t="str">
        <f aca="false">IF(BE174="","",IFERROR(VLOOKUP(BE174,Projects!$A$5:$D$504,4,0),"Ref not in Projects"))</f>
        <v/>
      </c>
      <c r="BH174" s="9"/>
      <c r="BI174" s="9"/>
      <c r="BJ174" s="9"/>
      <c r="BK174" s="40"/>
      <c r="BL174" s="9"/>
      <c r="BM174" s="40"/>
      <c r="BN174" s="9"/>
      <c r="BO174" s="40"/>
      <c r="BP174" s="9"/>
      <c r="BQ174" s="9"/>
      <c r="BR174" s="9"/>
      <c r="BS174" s="40"/>
      <c r="BT174" s="40"/>
      <c r="BU174" s="36" t="str">
        <f aca="false">IF(BT174="","",EDATE(BT174,SG_Criteria!$B$54*12))</f>
        <v/>
      </c>
      <c r="BV174" s="33" t="str">
        <f aca="true">IF(A174="","",IF(BT174="","NOTE: not reviewed yet",IF(TODAY()&gt;BU174,"NOTE: review overdue","OK")))</f>
        <v/>
      </c>
      <c r="BW174" s="37" t="str">
        <f aca="false">IF(A174="","",ROUND((IF(LEN(D174)&gt;0,1,0)+IF(LEN(E174)&gt;0,1,0)+IF(LEN(F174)&gt;0,1,0)+IF(LEN(G174)&gt;0,1,0)+IF(LEN(H174)&gt;0,1,0)+IF(LEN(I174)&gt;0,1,0)+IF(LEN(J174)&gt;0,1,0)+IF(LEN(L174)&gt;0,1,0)+IF(LEN(R174)&gt;0,1,0)+IF(LEN(Y174)&gt;0,1,0)+IF(LEN(AE174)&gt;0,1,0)+IF(LEN(AG174)&gt;0,1,0)+IF(LEN(AH174)&gt;0,1,0)+IF(LEN(AI174)&gt;0,1,0)+IF(LEN(AJ174)&gt;0,1,0)+IF(LEN(AS174)&gt;0,1,0)+IF(LEN(BE174)&gt;0,1,0)+IF(LEN(BR174)&gt;0,1,0))/18,2))</f>
        <v/>
      </c>
      <c r="BX174" s="10" t="str">
        <f aca="false">IF(D174="","",IF(AND(AH174="Approved",ISERROR(SEARCH("FAIL",BB174))),"Y","N"))</f>
        <v/>
      </c>
      <c r="BY174" s="10" t="str">
        <f aca="false">IF(D174="","",D174&amp;"|"&amp;H174&amp;"|"&amp;F174&amp;"|"&amp;I174&amp;"|"&amp;BX174)</f>
        <v/>
      </c>
    </row>
    <row r="175" customFormat="false" ht="15" hidden="false" customHeight="false" outlineLevel="0" collapsed="false">
      <c r="A175" s="10" t="str">
        <f aca="false">IF(D175="","","ERSS-"&amp;IFERROR(VLOOKUP(D175,Lists!$AK$4:$AL$21,2,0),"??")&amp;"-"&amp;TEXT(F175,"0000")&amp;"x"&amp;TEXT(G175,"0000")&amp;"-D"&amp;TEXT(H175*1000,"0000")&amp;"-"&amp;IFERROR(VLOOKUP(I175,Lists!$Y$4:$Z$21,2,0),"??")&amp;"-"&amp;AG175)</f>
        <v/>
      </c>
      <c r="B175" s="10" t="str">
        <f aca="false">IF(D175="","",D175&amp;" for "&amp;E175&amp;", "&amp;F175&amp;" x "&amp;G175&amp;" pit, "&amp;TEXT(H175,"0.0")&amp;" m deep, "&amp;I175)</f>
        <v/>
      </c>
      <c r="C175" s="9"/>
      <c r="D175" s="9"/>
      <c r="E175" s="9"/>
      <c r="F175" s="38"/>
      <c r="G175" s="38"/>
      <c r="H175" s="42"/>
      <c r="I175" s="9"/>
      <c r="J175" s="42"/>
      <c r="K175" s="38"/>
      <c r="L175" s="9"/>
      <c r="M175" s="42"/>
      <c r="N175" s="42"/>
      <c r="O175" s="38"/>
      <c r="P175" s="9"/>
      <c r="Q175" s="9"/>
      <c r="R175" s="39"/>
      <c r="S175" s="39"/>
      <c r="T175" s="38"/>
      <c r="U175" s="38"/>
      <c r="V175" s="38"/>
      <c r="W175" s="9"/>
      <c r="X175" s="9"/>
      <c r="Y175" s="38"/>
      <c r="Z175" s="9"/>
      <c r="AA175" s="9"/>
      <c r="AB175" s="38"/>
      <c r="AC175" s="9"/>
      <c r="AD175" s="39"/>
      <c r="AE175" s="9"/>
      <c r="AF175" s="9"/>
      <c r="AG175" s="9"/>
      <c r="AH175" s="9"/>
      <c r="AI175" s="9"/>
      <c r="AJ175" s="9"/>
      <c r="AK175" s="9"/>
      <c r="AL175" s="10" t="str">
        <f aca="false">IF(A175="","",SG_Criteria!$B$6&amp;SG_Criteria!$B$11&amp;"\"&amp;A175&amp;"\")</f>
        <v/>
      </c>
      <c r="AM175" s="10" t="str">
        <f aca="false">IF(A175="","",A175&amp;"_CAD.dwg")</f>
        <v/>
      </c>
      <c r="AN175" s="10" t="str">
        <f aca="false">IF(A175="","",A175&amp;"_DWG.pdf")</f>
        <v/>
      </c>
      <c r="AO175" s="10" t="str">
        <f aca="false">IF(A175="","",IF(AK175="Y",A175&amp;"_STAAD.std","n/a"))</f>
        <v/>
      </c>
      <c r="AP175" s="10" t="str">
        <f aca="false">IF(A175="","",A175&amp;"_CALC.xlsx")</f>
        <v/>
      </c>
      <c r="AQ175" s="10" t="str">
        <f aca="false">IF(A175="","",A175&amp;"_CALC.pdf")</f>
        <v/>
      </c>
      <c r="AR175" s="9"/>
      <c r="AS175" s="9"/>
      <c r="AT175" s="39"/>
      <c r="AU175" s="39"/>
      <c r="AV175" s="39"/>
      <c r="AW175" s="39"/>
      <c r="AX175" s="39"/>
      <c r="AY175" s="12" t="str">
        <f aca="false">IF(A175="","",IF(COUNTIF(Rebar_Schedule!$A$5:$A$2004,A175)=0,"",ROUND(SUMIF(Rebar_Schedule!$A$5:$A$2004,A175,Rebar_Schedule!$K$5:$K$2004),1)))</f>
        <v/>
      </c>
      <c r="AZ175" s="33" t="str">
        <f aca="false">IF(A175="","",IF(AY175="","No rebar schedule yet",IF(ABS(AY175-N(AU175))/MAX(N(AU175),1)&gt;SG_Criteria!$B$55,"NOTE: register rebar differs from schedule by "&amp;TEXT(ABS(AY175-N(AU175))/MAX(N(AU175),1),"0%"),"OK")))</f>
        <v/>
      </c>
      <c r="BA175" s="33" t="str">
        <f aca="false">IF(OR(D175="",H175=""),"",IF(H175&lt;=IF(OR(D175="Soldier Pile &amp; Timber Lagging",D175="Trench Shoring Box",D175="Open Cut (battered)"),SG_Criteria!$B$34,SG_Criteria!$B$33),"No ERSS submission",IF(H175&lt;=SG_Criteria!$B$35,"QP(ST)",IF(H175&lt;=SG_Criteria!$B$36,"QP(ST) + AC","Geotechnical building works: QP(Geo) + AC"))))</f>
        <v/>
      </c>
      <c r="BB175" s="33" t="str">
        <f aca="false">IF(D175="","",IF(LEN(IF(AND(R175&lt;&gt;"",R175&lt;SG_Criteria!$B$37),"FAIL: base stability FOS &lt; "&amp;SG_Criteria!$B$37&amp;". ","")&amp;IF(AND(E175="Manhole",H175&gt;SG_Criteria!$B$36),"NOTE: BCA lists sewer manholes (pipe &lt;= 2 m dia) &gt; 6 m as non-GBW: QP(ST) + AC. ","")&amp;IF(AND(D175="Trench Shoring Box",I175="Kallang Formation (marine clay)"),"NOTE: check base heave / ground loss for shoring box in marine clay. ","")&amp;IF(AND(D175="Steel Sheet Pile Cofferdam",N(N175)&lt;H175*0.5),"NOTE: short toe embedment, check. ",""))=0,"OK",IF(AND(R175&lt;&gt;"",R175&lt;SG_Criteria!$B$37),"FAIL: base stability FOS &lt; "&amp;SG_Criteria!$B$37&amp;". ","")&amp;IF(AND(E175="Manhole",H175&gt;SG_Criteria!$B$36),"NOTE: BCA lists sewer manholes (pipe &lt;= 2 m dia) &gt; 6 m as non-GBW: QP(ST) + AC. ","")&amp;IF(AND(D175="Trench Shoring Box",I175="Kallang Formation (marine clay)"),"NOTE: check base heave / ground loss for shoring box in marine clay. ","")&amp;IF(AND(D175="Steel Sheet Pile Cofferdam",N(N175)&lt;H175*0.5),"NOTE: short toe embedment, check. ","")))</f>
        <v/>
      </c>
      <c r="BC175" s="9"/>
      <c r="BD175" s="9"/>
      <c r="BE175" s="9"/>
      <c r="BF175" s="10" t="str">
        <f aca="false">IF(BE175="","",IFERROR(VLOOKUP(BE175,Projects!$A$5:$D$504,2,0),"Ref not in Projects"))</f>
        <v/>
      </c>
      <c r="BG175" s="10" t="str">
        <f aca="false">IF(BE175="","",IFERROR(VLOOKUP(BE175,Projects!$A$5:$D$504,4,0),"Ref not in Projects"))</f>
        <v/>
      </c>
      <c r="BH175" s="9"/>
      <c r="BI175" s="9"/>
      <c r="BJ175" s="9"/>
      <c r="BK175" s="40"/>
      <c r="BL175" s="9"/>
      <c r="BM175" s="40"/>
      <c r="BN175" s="9"/>
      <c r="BO175" s="40"/>
      <c r="BP175" s="9"/>
      <c r="BQ175" s="9"/>
      <c r="BR175" s="9"/>
      <c r="BS175" s="40"/>
      <c r="BT175" s="40"/>
      <c r="BU175" s="36" t="str">
        <f aca="false">IF(BT175="","",EDATE(BT175,SG_Criteria!$B$54*12))</f>
        <v/>
      </c>
      <c r="BV175" s="33" t="str">
        <f aca="true">IF(A175="","",IF(BT175="","NOTE: not reviewed yet",IF(TODAY()&gt;BU175,"NOTE: review overdue","OK")))</f>
        <v/>
      </c>
      <c r="BW175" s="37" t="str">
        <f aca="false">IF(A175="","",ROUND((IF(LEN(D175)&gt;0,1,0)+IF(LEN(E175)&gt;0,1,0)+IF(LEN(F175)&gt;0,1,0)+IF(LEN(G175)&gt;0,1,0)+IF(LEN(H175)&gt;0,1,0)+IF(LEN(I175)&gt;0,1,0)+IF(LEN(J175)&gt;0,1,0)+IF(LEN(L175)&gt;0,1,0)+IF(LEN(R175)&gt;0,1,0)+IF(LEN(Y175)&gt;0,1,0)+IF(LEN(AE175)&gt;0,1,0)+IF(LEN(AG175)&gt;0,1,0)+IF(LEN(AH175)&gt;0,1,0)+IF(LEN(AI175)&gt;0,1,0)+IF(LEN(AJ175)&gt;0,1,0)+IF(LEN(AS175)&gt;0,1,0)+IF(LEN(BE175)&gt;0,1,0)+IF(LEN(BR175)&gt;0,1,0))/18,2))</f>
        <v/>
      </c>
      <c r="BX175" s="10" t="str">
        <f aca="false">IF(D175="","",IF(AND(AH175="Approved",ISERROR(SEARCH("FAIL",BB175))),"Y","N"))</f>
        <v/>
      </c>
      <c r="BY175" s="10" t="str">
        <f aca="false">IF(D175="","",D175&amp;"|"&amp;H175&amp;"|"&amp;F175&amp;"|"&amp;I175&amp;"|"&amp;BX175)</f>
        <v/>
      </c>
    </row>
    <row r="176" customFormat="false" ht="15" hidden="false" customHeight="false" outlineLevel="0" collapsed="false">
      <c r="A176" s="10" t="str">
        <f aca="false">IF(D176="","","ERSS-"&amp;IFERROR(VLOOKUP(D176,Lists!$AK$4:$AL$21,2,0),"??")&amp;"-"&amp;TEXT(F176,"0000")&amp;"x"&amp;TEXT(G176,"0000")&amp;"-D"&amp;TEXT(H176*1000,"0000")&amp;"-"&amp;IFERROR(VLOOKUP(I176,Lists!$Y$4:$Z$21,2,0),"??")&amp;"-"&amp;AG176)</f>
        <v/>
      </c>
      <c r="B176" s="10" t="str">
        <f aca="false">IF(D176="","",D176&amp;" for "&amp;E176&amp;", "&amp;F176&amp;" x "&amp;G176&amp;" pit, "&amp;TEXT(H176,"0.0")&amp;" m deep, "&amp;I176)</f>
        <v/>
      </c>
      <c r="C176" s="9"/>
      <c r="D176" s="9"/>
      <c r="E176" s="9"/>
      <c r="F176" s="38"/>
      <c r="G176" s="38"/>
      <c r="H176" s="42"/>
      <c r="I176" s="9"/>
      <c r="J176" s="42"/>
      <c r="K176" s="38"/>
      <c r="L176" s="9"/>
      <c r="M176" s="42"/>
      <c r="N176" s="42"/>
      <c r="O176" s="38"/>
      <c r="P176" s="9"/>
      <c r="Q176" s="9"/>
      <c r="R176" s="39"/>
      <c r="S176" s="39"/>
      <c r="T176" s="38"/>
      <c r="U176" s="38"/>
      <c r="V176" s="38"/>
      <c r="W176" s="9"/>
      <c r="X176" s="9"/>
      <c r="Y176" s="38"/>
      <c r="Z176" s="9"/>
      <c r="AA176" s="9"/>
      <c r="AB176" s="38"/>
      <c r="AC176" s="9"/>
      <c r="AD176" s="39"/>
      <c r="AE176" s="9"/>
      <c r="AF176" s="9"/>
      <c r="AG176" s="9"/>
      <c r="AH176" s="9"/>
      <c r="AI176" s="9"/>
      <c r="AJ176" s="9"/>
      <c r="AK176" s="9"/>
      <c r="AL176" s="10" t="str">
        <f aca="false">IF(A176="","",SG_Criteria!$B$6&amp;SG_Criteria!$B$11&amp;"\"&amp;A176&amp;"\")</f>
        <v/>
      </c>
      <c r="AM176" s="10" t="str">
        <f aca="false">IF(A176="","",A176&amp;"_CAD.dwg")</f>
        <v/>
      </c>
      <c r="AN176" s="10" t="str">
        <f aca="false">IF(A176="","",A176&amp;"_DWG.pdf")</f>
        <v/>
      </c>
      <c r="AO176" s="10" t="str">
        <f aca="false">IF(A176="","",IF(AK176="Y",A176&amp;"_STAAD.std","n/a"))</f>
        <v/>
      </c>
      <c r="AP176" s="10" t="str">
        <f aca="false">IF(A176="","",A176&amp;"_CALC.xlsx")</f>
        <v/>
      </c>
      <c r="AQ176" s="10" t="str">
        <f aca="false">IF(A176="","",A176&amp;"_CALC.pdf")</f>
        <v/>
      </c>
      <c r="AR176" s="9"/>
      <c r="AS176" s="9"/>
      <c r="AT176" s="39"/>
      <c r="AU176" s="39"/>
      <c r="AV176" s="39"/>
      <c r="AW176" s="39"/>
      <c r="AX176" s="39"/>
      <c r="AY176" s="12" t="str">
        <f aca="false">IF(A176="","",IF(COUNTIF(Rebar_Schedule!$A$5:$A$2004,A176)=0,"",ROUND(SUMIF(Rebar_Schedule!$A$5:$A$2004,A176,Rebar_Schedule!$K$5:$K$2004),1)))</f>
        <v/>
      </c>
      <c r="AZ176" s="33" t="str">
        <f aca="false">IF(A176="","",IF(AY176="","No rebar schedule yet",IF(ABS(AY176-N(AU176))/MAX(N(AU176),1)&gt;SG_Criteria!$B$55,"NOTE: register rebar differs from schedule by "&amp;TEXT(ABS(AY176-N(AU176))/MAX(N(AU176),1),"0%"),"OK")))</f>
        <v/>
      </c>
      <c r="BA176" s="33" t="str">
        <f aca="false">IF(OR(D176="",H176=""),"",IF(H176&lt;=IF(OR(D176="Soldier Pile &amp; Timber Lagging",D176="Trench Shoring Box",D176="Open Cut (battered)"),SG_Criteria!$B$34,SG_Criteria!$B$33),"No ERSS submission",IF(H176&lt;=SG_Criteria!$B$35,"QP(ST)",IF(H176&lt;=SG_Criteria!$B$36,"QP(ST) + AC","Geotechnical building works: QP(Geo) + AC"))))</f>
        <v/>
      </c>
      <c r="BB176" s="33" t="str">
        <f aca="false">IF(D176="","",IF(LEN(IF(AND(R176&lt;&gt;"",R176&lt;SG_Criteria!$B$37),"FAIL: base stability FOS &lt; "&amp;SG_Criteria!$B$37&amp;". ","")&amp;IF(AND(E176="Manhole",H176&gt;SG_Criteria!$B$36),"NOTE: BCA lists sewer manholes (pipe &lt;= 2 m dia) &gt; 6 m as non-GBW: QP(ST) + AC. ","")&amp;IF(AND(D176="Trench Shoring Box",I176="Kallang Formation (marine clay)"),"NOTE: check base heave / ground loss for shoring box in marine clay. ","")&amp;IF(AND(D176="Steel Sheet Pile Cofferdam",N(N176)&lt;H176*0.5),"NOTE: short toe embedment, check. ",""))=0,"OK",IF(AND(R176&lt;&gt;"",R176&lt;SG_Criteria!$B$37),"FAIL: base stability FOS &lt; "&amp;SG_Criteria!$B$37&amp;". ","")&amp;IF(AND(E176="Manhole",H176&gt;SG_Criteria!$B$36),"NOTE: BCA lists sewer manholes (pipe &lt;= 2 m dia) &gt; 6 m as non-GBW: QP(ST) + AC. ","")&amp;IF(AND(D176="Trench Shoring Box",I176="Kallang Formation (marine clay)"),"NOTE: check base heave / ground loss for shoring box in marine clay. ","")&amp;IF(AND(D176="Steel Sheet Pile Cofferdam",N(N176)&lt;H176*0.5),"NOTE: short toe embedment, check. ","")))</f>
        <v/>
      </c>
      <c r="BC176" s="9"/>
      <c r="BD176" s="9"/>
      <c r="BE176" s="9"/>
      <c r="BF176" s="10" t="str">
        <f aca="false">IF(BE176="","",IFERROR(VLOOKUP(BE176,Projects!$A$5:$D$504,2,0),"Ref not in Projects"))</f>
        <v/>
      </c>
      <c r="BG176" s="10" t="str">
        <f aca="false">IF(BE176="","",IFERROR(VLOOKUP(BE176,Projects!$A$5:$D$504,4,0),"Ref not in Projects"))</f>
        <v/>
      </c>
      <c r="BH176" s="9"/>
      <c r="BI176" s="9"/>
      <c r="BJ176" s="9"/>
      <c r="BK176" s="40"/>
      <c r="BL176" s="9"/>
      <c r="BM176" s="40"/>
      <c r="BN176" s="9"/>
      <c r="BO176" s="40"/>
      <c r="BP176" s="9"/>
      <c r="BQ176" s="9"/>
      <c r="BR176" s="9"/>
      <c r="BS176" s="40"/>
      <c r="BT176" s="40"/>
      <c r="BU176" s="36" t="str">
        <f aca="false">IF(BT176="","",EDATE(BT176,SG_Criteria!$B$54*12))</f>
        <v/>
      </c>
      <c r="BV176" s="33" t="str">
        <f aca="true">IF(A176="","",IF(BT176="","NOTE: not reviewed yet",IF(TODAY()&gt;BU176,"NOTE: review overdue","OK")))</f>
        <v/>
      </c>
      <c r="BW176" s="37" t="str">
        <f aca="false">IF(A176="","",ROUND((IF(LEN(D176)&gt;0,1,0)+IF(LEN(E176)&gt;0,1,0)+IF(LEN(F176)&gt;0,1,0)+IF(LEN(G176)&gt;0,1,0)+IF(LEN(H176)&gt;0,1,0)+IF(LEN(I176)&gt;0,1,0)+IF(LEN(J176)&gt;0,1,0)+IF(LEN(L176)&gt;0,1,0)+IF(LEN(R176)&gt;0,1,0)+IF(LEN(Y176)&gt;0,1,0)+IF(LEN(AE176)&gt;0,1,0)+IF(LEN(AG176)&gt;0,1,0)+IF(LEN(AH176)&gt;0,1,0)+IF(LEN(AI176)&gt;0,1,0)+IF(LEN(AJ176)&gt;0,1,0)+IF(LEN(AS176)&gt;0,1,0)+IF(LEN(BE176)&gt;0,1,0)+IF(LEN(BR176)&gt;0,1,0))/18,2))</f>
        <v/>
      </c>
      <c r="BX176" s="10" t="str">
        <f aca="false">IF(D176="","",IF(AND(AH176="Approved",ISERROR(SEARCH("FAIL",BB176))),"Y","N"))</f>
        <v/>
      </c>
      <c r="BY176" s="10" t="str">
        <f aca="false">IF(D176="","",D176&amp;"|"&amp;H176&amp;"|"&amp;F176&amp;"|"&amp;I176&amp;"|"&amp;BX176)</f>
        <v/>
      </c>
    </row>
    <row r="177" customFormat="false" ht="15" hidden="false" customHeight="false" outlineLevel="0" collapsed="false">
      <c r="A177" s="10" t="str">
        <f aca="false">IF(D177="","","ERSS-"&amp;IFERROR(VLOOKUP(D177,Lists!$AK$4:$AL$21,2,0),"??")&amp;"-"&amp;TEXT(F177,"0000")&amp;"x"&amp;TEXT(G177,"0000")&amp;"-D"&amp;TEXT(H177*1000,"0000")&amp;"-"&amp;IFERROR(VLOOKUP(I177,Lists!$Y$4:$Z$21,2,0),"??")&amp;"-"&amp;AG177)</f>
        <v/>
      </c>
      <c r="B177" s="10" t="str">
        <f aca="false">IF(D177="","",D177&amp;" for "&amp;E177&amp;", "&amp;F177&amp;" x "&amp;G177&amp;" pit, "&amp;TEXT(H177,"0.0")&amp;" m deep, "&amp;I177)</f>
        <v/>
      </c>
      <c r="C177" s="9"/>
      <c r="D177" s="9"/>
      <c r="E177" s="9"/>
      <c r="F177" s="38"/>
      <c r="G177" s="38"/>
      <c r="H177" s="42"/>
      <c r="I177" s="9"/>
      <c r="J177" s="42"/>
      <c r="K177" s="38"/>
      <c r="L177" s="9"/>
      <c r="M177" s="42"/>
      <c r="N177" s="42"/>
      <c r="O177" s="38"/>
      <c r="P177" s="9"/>
      <c r="Q177" s="9"/>
      <c r="R177" s="39"/>
      <c r="S177" s="39"/>
      <c r="T177" s="38"/>
      <c r="U177" s="38"/>
      <c r="V177" s="38"/>
      <c r="W177" s="9"/>
      <c r="X177" s="9"/>
      <c r="Y177" s="38"/>
      <c r="Z177" s="9"/>
      <c r="AA177" s="9"/>
      <c r="AB177" s="38"/>
      <c r="AC177" s="9"/>
      <c r="AD177" s="39"/>
      <c r="AE177" s="9"/>
      <c r="AF177" s="9"/>
      <c r="AG177" s="9"/>
      <c r="AH177" s="9"/>
      <c r="AI177" s="9"/>
      <c r="AJ177" s="9"/>
      <c r="AK177" s="9"/>
      <c r="AL177" s="10" t="str">
        <f aca="false">IF(A177="","",SG_Criteria!$B$6&amp;SG_Criteria!$B$11&amp;"\"&amp;A177&amp;"\")</f>
        <v/>
      </c>
      <c r="AM177" s="10" t="str">
        <f aca="false">IF(A177="","",A177&amp;"_CAD.dwg")</f>
        <v/>
      </c>
      <c r="AN177" s="10" t="str">
        <f aca="false">IF(A177="","",A177&amp;"_DWG.pdf")</f>
        <v/>
      </c>
      <c r="AO177" s="10" t="str">
        <f aca="false">IF(A177="","",IF(AK177="Y",A177&amp;"_STAAD.std","n/a"))</f>
        <v/>
      </c>
      <c r="AP177" s="10" t="str">
        <f aca="false">IF(A177="","",A177&amp;"_CALC.xlsx")</f>
        <v/>
      </c>
      <c r="AQ177" s="10" t="str">
        <f aca="false">IF(A177="","",A177&amp;"_CALC.pdf")</f>
        <v/>
      </c>
      <c r="AR177" s="9"/>
      <c r="AS177" s="9"/>
      <c r="AT177" s="39"/>
      <c r="AU177" s="39"/>
      <c r="AV177" s="39"/>
      <c r="AW177" s="39"/>
      <c r="AX177" s="39"/>
      <c r="AY177" s="12" t="str">
        <f aca="false">IF(A177="","",IF(COUNTIF(Rebar_Schedule!$A$5:$A$2004,A177)=0,"",ROUND(SUMIF(Rebar_Schedule!$A$5:$A$2004,A177,Rebar_Schedule!$K$5:$K$2004),1)))</f>
        <v/>
      </c>
      <c r="AZ177" s="33" t="str">
        <f aca="false">IF(A177="","",IF(AY177="","No rebar schedule yet",IF(ABS(AY177-N(AU177))/MAX(N(AU177),1)&gt;SG_Criteria!$B$55,"NOTE: register rebar differs from schedule by "&amp;TEXT(ABS(AY177-N(AU177))/MAX(N(AU177),1),"0%"),"OK")))</f>
        <v/>
      </c>
      <c r="BA177" s="33" t="str">
        <f aca="false">IF(OR(D177="",H177=""),"",IF(H177&lt;=IF(OR(D177="Soldier Pile &amp; Timber Lagging",D177="Trench Shoring Box",D177="Open Cut (battered)"),SG_Criteria!$B$34,SG_Criteria!$B$33),"No ERSS submission",IF(H177&lt;=SG_Criteria!$B$35,"QP(ST)",IF(H177&lt;=SG_Criteria!$B$36,"QP(ST) + AC","Geotechnical building works: QP(Geo) + AC"))))</f>
        <v/>
      </c>
      <c r="BB177" s="33" t="str">
        <f aca="false">IF(D177="","",IF(LEN(IF(AND(R177&lt;&gt;"",R177&lt;SG_Criteria!$B$37),"FAIL: base stability FOS &lt; "&amp;SG_Criteria!$B$37&amp;". ","")&amp;IF(AND(E177="Manhole",H177&gt;SG_Criteria!$B$36),"NOTE: BCA lists sewer manholes (pipe &lt;= 2 m dia) &gt; 6 m as non-GBW: QP(ST) + AC. ","")&amp;IF(AND(D177="Trench Shoring Box",I177="Kallang Formation (marine clay)"),"NOTE: check base heave / ground loss for shoring box in marine clay. ","")&amp;IF(AND(D177="Steel Sheet Pile Cofferdam",N(N177)&lt;H177*0.5),"NOTE: short toe embedment, check. ",""))=0,"OK",IF(AND(R177&lt;&gt;"",R177&lt;SG_Criteria!$B$37),"FAIL: base stability FOS &lt; "&amp;SG_Criteria!$B$37&amp;". ","")&amp;IF(AND(E177="Manhole",H177&gt;SG_Criteria!$B$36),"NOTE: BCA lists sewer manholes (pipe &lt;= 2 m dia) &gt; 6 m as non-GBW: QP(ST) + AC. ","")&amp;IF(AND(D177="Trench Shoring Box",I177="Kallang Formation (marine clay)"),"NOTE: check base heave / ground loss for shoring box in marine clay. ","")&amp;IF(AND(D177="Steel Sheet Pile Cofferdam",N(N177)&lt;H177*0.5),"NOTE: short toe embedment, check. ","")))</f>
        <v/>
      </c>
      <c r="BC177" s="9"/>
      <c r="BD177" s="9"/>
      <c r="BE177" s="9"/>
      <c r="BF177" s="10" t="str">
        <f aca="false">IF(BE177="","",IFERROR(VLOOKUP(BE177,Projects!$A$5:$D$504,2,0),"Ref not in Projects"))</f>
        <v/>
      </c>
      <c r="BG177" s="10" t="str">
        <f aca="false">IF(BE177="","",IFERROR(VLOOKUP(BE177,Projects!$A$5:$D$504,4,0),"Ref not in Projects"))</f>
        <v/>
      </c>
      <c r="BH177" s="9"/>
      <c r="BI177" s="9"/>
      <c r="BJ177" s="9"/>
      <c r="BK177" s="40"/>
      <c r="BL177" s="9"/>
      <c r="BM177" s="40"/>
      <c r="BN177" s="9"/>
      <c r="BO177" s="40"/>
      <c r="BP177" s="9"/>
      <c r="BQ177" s="9"/>
      <c r="BR177" s="9"/>
      <c r="BS177" s="40"/>
      <c r="BT177" s="40"/>
      <c r="BU177" s="36" t="str">
        <f aca="false">IF(BT177="","",EDATE(BT177,SG_Criteria!$B$54*12))</f>
        <v/>
      </c>
      <c r="BV177" s="33" t="str">
        <f aca="true">IF(A177="","",IF(BT177="","NOTE: not reviewed yet",IF(TODAY()&gt;BU177,"NOTE: review overdue","OK")))</f>
        <v/>
      </c>
      <c r="BW177" s="37" t="str">
        <f aca="false">IF(A177="","",ROUND((IF(LEN(D177)&gt;0,1,0)+IF(LEN(E177)&gt;0,1,0)+IF(LEN(F177)&gt;0,1,0)+IF(LEN(G177)&gt;0,1,0)+IF(LEN(H177)&gt;0,1,0)+IF(LEN(I177)&gt;0,1,0)+IF(LEN(J177)&gt;0,1,0)+IF(LEN(L177)&gt;0,1,0)+IF(LEN(R177)&gt;0,1,0)+IF(LEN(Y177)&gt;0,1,0)+IF(LEN(AE177)&gt;0,1,0)+IF(LEN(AG177)&gt;0,1,0)+IF(LEN(AH177)&gt;0,1,0)+IF(LEN(AI177)&gt;0,1,0)+IF(LEN(AJ177)&gt;0,1,0)+IF(LEN(AS177)&gt;0,1,0)+IF(LEN(BE177)&gt;0,1,0)+IF(LEN(BR177)&gt;0,1,0))/18,2))</f>
        <v/>
      </c>
      <c r="BX177" s="10" t="str">
        <f aca="false">IF(D177="","",IF(AND(AH177="Approved",ISERROR(SEARCH("FAIL",BB177))),"Y","N"))</f>
        <v/>
      </c>
      <c r="BY177" s="10" t="str">
        <f aca="false">IF(D177="","",D177&amp;"|"&amp;H177&amp;"|"&amp;F177&amp;"|"&amp;I177&amp;"|"&amp;BX177)</f>
        <v/>
      </c>
    </row>
    <row r="178" customFormat="false" ht="15" hidden="false" customHeight="false" outlineLevel="0" collapsed="false">
      <c r="A178" s="10" t="str">
        <f aca="false">IF(D178="","","ERSS-"&amp;IFERROR(VLOOKUP(D178,Lists!$AK$4:$AL$21,2,0),"??")&amp;"-"&amp;TEXT(F178,"0000")&amp;"x"&amp;TEXT(G178,"0000")&amp;"-D"&amp;TEXT(H178*1000,"0000")&amp;"-"&amp;IFERROR(VLOOKUP(I178,Lists!$Y$4:$Z$21,2,0),"??")&amp;"-"&amp;AG178)</f>
        <v/>
      </c>
      <c r="B178" s="10" t="str">
        <f aca="false">IF(D178="","",D178&amp;" for "&amp;E178&amp;", "&amp;F178&amp;" x "&amp;G178&amp;" pit, "&amp;TEXT(H178,"0.0")&amp;" m deep, "&amp;I178)</f>
        <v/>
      </c>
      <c r="C178" s="9"/>
      <c r="D178" s="9"/>
      <c r="E178" s="9"/>
      <c r="F178" s="38"/>
      <c r="G178" s="38"/>
      <c r="H178" s="42"/>
      <c r="I178" s="9"/>
      <c r="J178" s="42"/>
      <c r="K178" s="38"/>
      <c r="L178" s="9"/>
      <c r="M178" s="42"/>
      <c r="N178" s="42"/>
      <c r="O178" s="38"/>
      <c r="P178" s="9"/>
      <c r="Q178" s="9"/>
      <c r="R178" s="39"/>
      <c r="S178" s="39"/>
      <c r="T178" s="38"/>
      <c r="U178" s="38"/>
      <c r="V178" s="38"/>
      <c r="W178" s="9"/>
      <c r="X178" s="9"/>
      <c r="Y178" s="38"/>
      <c r="Z178" s="9"/>
      <c r="AA178" s="9"/>
      <c r="AB178" s="38"/>
      <c r="AC178" s="9"/>
      <c r="AD178" s="39"/>
      <c r="AE178" s="9"/>
      <c r="AF178" s="9"/>
      <c r="AG178" s="9"/>
      <c r="AH178" s="9"/>
      <c r="AI178" s="9"/>
      <c r="AJ178" s="9"/>
      <c r="AK178" s="9"/>
      <c r="AL178" s="10" t="str">
        <f aca="false">IF(A178="","",SG_Criteria!$B$6&amp;SG_Criteria!$B$11&amp;"\"&amp;A178&amp;"\")</f>
        <v/>
      </c>
      <c r="AM178" s="10" t="str">
        <f aca="false">IF(A178="","",A178&amp;"_CAD.dwg")</f>
        <v/>
      </c>
      <c r="AN178" s="10" t="str">
        <f aca="false">IF(A178="","",A178&amp;"_DWG.pdf")</f>
        <v/>
      </c>
      <c r="AO178" s="10" t="str">
        <f aca="false">IF(A178="","",IF(AK178="Y",A178&amp;"_STAAD.std","n/a"))</f>
        <v/>
      </c>
      <c r="AP178" s="10" t="str">
        <f aca="false">IF(A178="","",A178&amp;"_CALC.xlsx")</f>
        <v/>
      </c>
      <c r="AQ178" s="10" t="str">
        <f aca="false">IF(A178="","",A178&amp;"_CALC.pdf")</f>
        <v/>
      </c>
      <c r="AR178" s="9"/>
      <c r="AS178" s="9"/>
      <c r="AT178" s="39"/>
      <c r="AU178" s="39"/>
      <c r="AV178" s="39"/>
      <c r="AW178" s="39"/>
      <c r="AX178" s="39"/>
      <c r="AY178" s="12" t="str">
        <f aca="false">IF(A178="","",IF(COUNTIF(Rebar_Schedule!$A$5:$A$2004,A178)=0,"",ROUND(SUMIF(Rebar_Schedule!$A$5:$A$2004,A178,Rebar_Schedule!$K$5:$K$2004),1)))</f>
        <v/>
      </c>
      <c r="AZ178" s="33" t="str">
        <f aca="false">IF(A178="","",IF(AY178="","No rebar schedule yet",IF(ABS(AY178-N(AU178))/MAX(N(AU178),1)&gt;SG_Criteria!$B$55,"NOTE: register rebar differs from schedule by "&amp;TEXT(ABS(AY178-N(AU178))/MAX(N(AU178),1),"0%"),"OK")))</f>
        <v/>
      </c>
      <c r="BA178" s="33" t="str">
        <f aca="false">IF(OR(D178="",H178=""),"",IF(H178&lt;=IF(OR(D178="Soldier Pile &amp; Timber Lagging",D178="Trench Shoring Box",D178="Open Cut (battered)"),SG_Criteria!$B$34,SG_Criteria!$B$33),"No ERSS submission",IF(H178&lt;=SG_Criteria!$B$35,"QP(ST)",IF(H178&lt;=SG_Criteria!$B$36,"QP(ST) + AC","Geotechnical building works: QP(Geo) + AC"))))</f>
        <v/>
      </c>
      <c r="BB178" s="33" t="str">
        <f aca="false">IF(D178="","",IF(LEN(IF(AND(R178&lt;&gt;"",R178&lt;SG_Criteria!$B$37),"FAIL: base stability FOS &lt; "&amp;SG_Criteria!$B$37&amp;". ","")&amp;IF(AND(E178="Manhole",H178&gt;SG_Criteria!$B$36),"NOTE: BCA lists sewer manholes (pipe &lt;= 2 m dia) &gt; 6 m as non-GBW: QP(ST) + AC. ","")&amp;IF(AND(D178="Trench Shoring Box",I178="Kallang Formation (marine clay)"),"NOTE: check base heave / ground loss for shoring box in marine clay. ","")&amp;IF(AND(D178="Steel Sheet Pile Cofferdam",N(N178)&lt;H178*0.5),"NOTE: short toe embedment, check. ",""))=0,"OK",IF(AND(R178&lt;&gt;"",R178&lt;SG_Criteria!$B$37),"FAIL: base stability FOS &lt; "&amp;SG_Criteria!$B$37&amp;". ","")&amp;IF(AND(E178="Manhole",H178&gt;SG_Criteria!$B$36),"NOTE: BCA lists sewer manholes (pipe &lt;= 2 m dia) &gt; 6 m as non-GBW: QP(ST) + AC. ","")&amp;IF(AND(D178="Trench Shoring Box",I178="Kallang Formation (marine clay)"),"NOTE: check base heave / ground loss for shoring box in marine clay. ","")&amp;IF(AND(D178="Steel Sheet Pile Cofferdam",N(N178)&lt;H178*0.5),"NOTE: short toe embedment, check. ","")))</f>
        <v/>
      </c>
      <c r="BC178" s="9"/>
      <c r="BD178" s="9"/>
      <c r="BE178" s="9"/>
      <c r="BF178" s="10" t="str">
        <f aca="false">IF(BE178="","",IFERROR(VLOOKUP(BE178,Projects!$A$5:$D$504,2,0),"Ref not in Projects"))</f>
        <v/>
      </c>
      <c r="BG178" s="10" t="str">
        <f aca="false">IF(BE178="","",IFERROR(VLOOKUP(BE178,Projects!$A$5:$D$504,4,0),"Ref not in Projects"))</f>
        <v/>
      </c>
      <c r="BH178" s="9"/>
      <c r="BI178" s="9"/>
      <c r="BJ178" s="9"/>
      <c r="BK178" s="40"/>
      <c r="BL178" s="9"/>
      <c r="BM178" s="40"/>
      <c r="BN178" s="9"/>
      <c r="BO178" s="40"/>
      <c r="BP178" s="9"/>
      <c r="BQ178" s="9"/>
      <c r="BR178" s="9"/>
      <c r="BS178" s="40"/>
      <c r="BT178" s="40"/>
      <c r="BU178" s="36" t="str">
        <f aca="false">IF(BT178="","",EDATE(BT178,SG_Criteria!$B$54*12))</f>
        <v/>
      </c>
      <c r="BV178" s="33" t="str">
        <f aca="true">IF(A178="","",IF(BT178="","NOTE: not reviewed yet",IF(TODAY()&gt;BU178,"NOTE: review overdue","OK")))</f>
        <v/>
      </c>
      <c r="BW178" s="37" t="str">
        <f aca="false">IF(A178="","",ROUND((IF(LEN(D178)&gt;0,1,0)+IF(LEN(E178)&gt;0,1,0)+IF(LEN(F178)&gt;0,1,0)+IF(LEN(G178)&gt;0,1,0)+IF(LEN(H178)&gt;0,1,0)+IF(LEN(I178)&gt;0,1,0)+IF(LEN(J178)&gt;0,1,0)+IF(LEN(L178)&gt;0,1,0)+IF(LEN(R178)&gt;0,1,0)+IF(LEN(Y178)&gt;0,1,0)+IF(LEN(AE178)&gt;0,1,0)+IF(LEN(AG178)&gt;0,1,0)+IF(LEN(AH178)&gt;0,1,0)+IF(LEN(AI178)&gt;0,1,0)+IF(LEN(AJ178)&gt;0,1,0)+IF(LEN(AS178)&gt;0,1,0)+IF(LEN(BE178)&gt;0,1,0)+IF(LEN(BR178)&gt;0,1,0))/18,2))</f>
        <v/>
      </c>
      <c r="BX178" s="10" t="str">
        <f aca="false">IF(D178="","",IF(AND(AH178="Approved",ISERROR(SEARCH("FAIL",BB178))),"Y","N"))</f>
        <v/>
      </c>
      <c r="BY178" s="10" t="str">
        <f aca="false">IF(D178="","",D178&amp;"|"&amp;H178&amp;"|"&amp;F178&amp;"|"&amp;I178&amp;"|"&amp;BX178)</f>
        <v/>
      </c>
    </row>
    <row r="179" customFormat="false" ht="15" hidden="false" customHeight="false" outlineLevel="0" collapsed="false">
      <c r="A179" s="10" t="str">
        <f aca="false">IF(D179="","","ERSS-"&amp;IFERROR(VLOOKUP(D179,Lists!$AK$4:$AL$21,2,0),"??")&amp;"-"&amp;TEXT(F179,"0000")&amp;"x"&amp;TEXT(G179,"0000")&amp;"-D"&amp;TEXT(H179*1000,"0000")&amp;"-"&amp;IFERROR(VLOOKUP(I179,Lists!$Y$4:$Z$21,2,0),"??")&amp;"-"&amp;AG179)</f>
        <v/>
      </c>
      <c r="B179" s="10" t="str">
        <f aca="false">IF(D179="","",D179&amp;" for "&amp;E179&amp;", "&amp;F179&amp;" x "&amp;G179&amp;" pit, "&amp;TEXT(H179,"0.0")&amp;" m deep, "&amp;I179)</f>
        <v/>
      </c>
      <c r="C179" s="9"/>
      <c r="D179" s="9"/>
      <c r="E179" s="9"/>
      <c r="F179" s="38"/>
      <c r="G179" s="38"/>
      <c r="H179" s="42"/>
      <c r="I179" s="9"/>
      <c r="J179" s="42"/>
      <c r="K179" s="38"/>
      <c r="L179" s="9"/>
      <c r="M179" s="42"/>
      <c r="N179" s="42"/>
      <c r="O179" s="38"/>
      <c r="P179" s="9"/>
      <c r="Q179" s="9"/>
      <c r="R179" s="39"/>
      <c r="S179" s="39"/>
      <c r="T179" s="38"/>
      <c r="U179" s="38"/>
      <c r="V179" s="38"/>
      <c r="W179" s="9"/>
      <c r="X179" s="9"/>
      <c r="Y179" s="38"/>
      <c r="Z179" s="9"/>
      <c r="AA179" s="9"/>
      <c r="AB179" s="38"/>
      <c r="AC179" s="9"/>
      <c r="AD179" s="39"/>
      <c r="AE179" s="9"/>
      <c r="AF179" s="9"/>
      <c r="AG179" s="9"/>
      <c r="AH179" s="9"/>
      <c r="AI179" s="9"/>
      <c r="AJ179" s="9"/>
      <c r="AK179" s="9"/>
      <c r="AL179" s="10" t="str">
        <f aca="false">IF(A179="","",SG_Criteria!$B$6&amp;SG_Criteria!$B$11&amp;"\"&amp;A179&amp;"\")</f>
        <v/>
      </c>
      <c r="AM179" s="10" t="str">
        <f aca="false">IF(A179="","",A179&amp;"_CAD.dwg")</f>
        <v/>
      </c>
      <c r="AN179" s="10" t="str">
        <f aca="false">IF(A179="","",A179&amp;"_DWG.pdf")</f>
        <v/>
      </c>
      <c r="AO179" s="10" t="str">
        <f aca="false">IF(A179="","",IF(AK179="Y",A179&amp;"_STAAD.std","n/a"))</f>
        <v/>
      </c>
      <c r="AP179" s="10" t="str">
        <f aca="false">IF(A179="","",A179&amp;"_CALC.xlsx")</f>
        <v/>
      </c>
      <c r="AQ179" s="10" t="str">
        <f aca="false">IF(A179="","",A179&amp;"_CALC.pdf")</f>
        <v/>
      </c>
      <c r="AR179" s="9"/>
      <c r="AS179" s="9"/>
      <c r="AT179" s="39"/>
      <c r="AU179" s="39"/>
      <c r="AV179" s="39"/>
      <c r="AW179" s="39"/>
      <c r="AX179" s="39"/>
      <c r="AY179" s="12" t="str">
        <f aca="false">IF(A179="","",IF(COUNTIF(Rebar_Schedule!$A$5:$A$2004,A179)=0,"",ROUND(SUMIF(Rebar_Schedule!$A$5:$A$2004,A179,Rebar_Schedule!$K$5:$K$2004),1)))</f>
        <v/>
      </c>
      <c r="AZ179" s="33" t="str">
        <f aca="false">IF(A179="","",IF(AY179="","No rebar schedule yet",IF(ABS(AY179-N(AU179))/MAX(N(AU179),1)&gt;SG_Criteria!$B$55,"NOTE: register rebar differs from schedule by "&amp;TEXT(ABS(AY179-N(AU179))/MAX(N(AU179),1),"0%"),"OK")))</f>
        <v/>
      </c>
      <c r="BA179" s="33" t="str">
        <f aca="false">IF(OR(D179="",H179=""),"",IF(H179&lt;=IF(OR(D179="Soldier Pile &amp; Timber Lagging",D179="Trench Shoring Box",D179="Open Cut (battered)"),SG_Criteria!$B$34,SG_Criteria!$B$33),"No ERSS submission",IF(H179&lt;=SG_Criteria!$B$35,"QP(ST)",IF(H179&lt;=SG_Criteria!$B$36,"QP(ST) + AC","Geotechnical building works: QP(Geo) + AC"))))</f>
        <v/>
      </c>
      <c r="BB179" s="33" t="str">
        <f aca="false">IF(D179="","",IF(LEN(IF(AND(R179&lt;&gt;"",R179&lt;SG_Criteria!$B$37),"FAIL: base stability FOS &lt; "&amp;SG_Criteria!$B$37&amp;". ","")&amp;IF(AND(E179="Manhole",H179&gt;SG_Criteria!$B$36),"NOTE: BCA lists sewer manholes (pipe &lt;= 2 m dia) &gt; 6 m as non-GBW: QP(ST) + AC. ","")&amp;IF(AND(D179="Trench Shoring Box",I179="Kallang Formation (marine clay)"),"NOTE: check base heave / ground loss for shoring box in marine clay. ","")&amp;IF(AND(D179="Steel Sheet Pile Cofferdam",N(N179)&lt;H179*0.5),"NOTE: short toe embedment, check. ",""))=0,"OK",IF(AND(R179&lt;&gt;"",R179&lt;SG_Criteria!$B$37),"FAIL: base stability FOS &lt; "&amp;SG_Criteria!$B$37&amp;". ","")&amp;IF(AND(E179="Manhole",H179&gt;SG_Criteria!$B$36),"NOTE: BCA lists sewer manholes (pipe &lt;= 2 m dia) &gt; 6 m as non-GBW: QP(ST) + AC. ","")&amp;IF(AND(D179="Trench Shoring Box",I179="Kallang Formation (marine clay)"),"NOTE: check base heave / ground loss for shoring box in marine clay. ","")&amp;IF(AND(D179="Steel Sheet Pile Cofferdam",N(N179)&lt;H179*0.5),"NOTE: short toe embedment, check. ","")))</f>
        <v/>
      </c>
      <c r="BC179" s="9"/>
      <c r="BD179" s="9"/>
      <c r="BE179" s="9"/>
      <c r="BF179" s="10" t="str">
        <f aca="false">IF(BE179="","",IFERROR(VLOOKUP(BE179,Projects!$A$5:$D$504,2,0),"Ref not in Projects"))</f>
        <v/>
      </c>
      <c r="BG179" s="10" t="str">
        <f aca="false">IF(BE179="","",IFERROR(VLOOKUP(BE179,Projects!$A$5:$D$504,4,0),"Ref not in Projects"))</f>
        <v/>
      </c>
      <c r="BH179" s="9"/>
      <c r="BI179" s="9"/>
      <c r="BJ179" s="9"/>
      <c r="BK179" s="40"/>
      <c r="BL179" s="9"/>
      <c r="BM179" s="40"/>
      <c r="BN179" s="9"/>
      <c r="BO179" s="40"/>
      <c r="BP179" s="9"/>
      <c r="BQ179" s="9"/>
      <c r="BR179" s="9"/>
      <c r="BS179" s="40"/>
      <c r="BT179" s="40"/>
      <c r="BU179" s="36" t="str">
        <f aca="false">IF(BT179="","",EDATE(BT179,SG_Criteria!$B$54*12))</f>
        <v/>
      </c>
      <c r="BV179" s="33" t="str">
        <f aca="true">IF(A179="","",IF(BT179="","NOTE: not reviewed yet",IF(TODAY()&gt;BU179,"NOTE: review overdue","OK")))</f>
        <v/>
      </c>
      <c r="BW179" s="37" t="str">
        <f aca="false">IF(A179="","",ROUND((IF(LEN(D179)&gt;0,1,0)+IF(LEN(E179)&gt;0,1,0)+IF(LEN(F179)&gt;0,1,0)+IF(LEN(G179)&gt;0,1,0)+IF(LEN(H179)&gt;0,1,0)+IF(LEN(I179)&gt;0,1,0)+IF(LEN(J179)&gt;0,1,0)+IF(LEN(L179)&gt;0,1,0)+IF(LEN(R179)&gt;0,1,0)+IF(LEN(Y179)&gt;0,1,0)+IF(LEN(AE179)&gt;0,1,0)+IF(LEN(AG179)&gt;0,1,0)+IF(LEN(AH179)&gt;0,1,0)+IF(LEN(AI179)&gt;0,1,0)+IF(LEN(AJ179)&gt;0,1,0)+IF(LEN(AS179)&gt;0,1,0)+IF(LEN(BE179)&gt;0,1,0)+IF(LEN(BR179)&gt;0,1,0))/18,2))</f>
        <v/>
      </c>
      <c r="BX179" s="10" t="str">
        <f aca="false">IF(D179="","",IF(AND(AH179="Approved",ISERROR(SEARCH("FAIL",BB179))),"Y","N"))</f>
        <v/>
      </c>
      <c r="BY179" s="10" t="str">
        <f aca="false">IF(D179="","",D179&amp;"|"&amp;H179&amp;"|"&amp;F179&amp;"|"&amp;I179&amp;"|"&amp;BX179)</f>
        <v/>
      </c>
    </row>
    <row r="180" customFormat="false" ht="15" hidden="false" customHeight="false" outlineLevel="0" collapsed="false">
      <c r="A180" s="10" t="str">
        <f aca="false">IF(D180="","","ERSS-"&amp;IFERROR(VLOOKUP(D180,Lists!$AK$4:$AL$21,2,0),"??")&amp;"-"&amp;TEXT(F180,"0000")&amp;"x"&amp;TEXT(G180,"0000")&amp;"-D"&amp;TEXT(H180*1000,"0000")&amp;"-"&amp;IFERROR(VLOOKUP(I180,Lists!$Y$4:$Z$21,2,0),"??")&amp;"-"&amp;AG180)</f>
        <v/>
      </c>
      <c r="B180" s="10" t="str">
        <f aca="false">IF(D180="","",D180&amp;" for "&amp;E180&amp;", "&amp;F180&amp;" x "&amp;G180&amp;" pit, "&amp;TEXT(H180,"0.0")&amp;" m deep, "&amp;I180)</f>
        <v/>
      </c>
      <c r="C180" s="9"/>
      <c r="D180" s="9"/>
      <c r="E180" s="9"/>
      <c r="F180" s="38"/>
      <c r="G180" s="38"/>
      <c r="H180" s="42"/>
      <c r="I180" s="9"/>
      <c r="J180" s="42"/>
      <c r="K180" s="38"/>
      <c r="L180" s="9"/>
      <c r="M180" s="42"/>
      <c r="N180" s="42"/>
      <c r="O180" s="38"/>
      <c r="P180" s="9"/>
      <c r="Q180" s="9"/>
      <c r="R180" s="39"/>
      <c r="S180" s="39"/>
      <c r="T180" s="38"/>
      <c r="U180" s="38"/>
      <c r="V180" s="38"/>
      <c r="W180" s="9"/>
      <c r="X180" s="9"/>
      <c r="Y180" s="38"/>
      <c r="Z180" s="9"/>
      <c r="AA180" s="9"/>
      <c r="AB180" s="38"/>
      <c r="AC180" s="9"/>
      <c r="AD180" s="39"/>
      <c r="AE180" s="9"/>
      <c r="AF180" s="9"/>
      <c r="AG180" s="9"/>
      <c r="AH180" s="9"/>
      <c r="AI180" s="9"/>
      <c r="AJ180" s="9"/>
      <c r="AK180" s="9"/>
      <c r="AL180" s="10" t="str">
        <f aca="false">IF(A180="","",SG_Criteria!$B$6&amp;SG_Criteria!$B$11&amp;"\"&amp;A180&amp;"\")</f>
        <v/>
      </c>
      <c r="AM180" s="10" t="str">
        <f aca="false">IF(A180="","",A180&amp;"_CAD.dwg")</f>
        <v/>
      </c>
      <c r="AN180" s="10" t="str">
        <f aca="false">IF(A180="","",A180&amp;"_DWG.pdf")</f>
        <v/>
      </c>
      <c r="AO180" s="10" t="str">
        <f aca="false">IF(A180="","",IF(AK180="Y",A180&amp;"_STAAD.std","n/a"))</f>
        <v/>
      </c>
      <c r="AP180" s="10" t="str">
        <f aca="false">IF(A180="","",A180&amp;"_CALC.xlsx")</f>
        <v/>
      </c>
      <c r="AQ180" s="10" t="str">
        <f aca="false">IF(A180="","",A180&amp;"_CALC.pdf")</f>
        <v/>
      </c>
      <c r="AR180" s="9"/>
      <c r="AS180" s="9"/>
      <c r="AT180" s="39"/>
      <c r="AU180" s="39"/>
      <c r="AV180" s="39"/>
      <c r="AW180" s="39"/>
      <c r="AX180" s="39"/>
      <c r="AY180" s="12" t="str">
        <f aca="false">IF(A180="","",IF(COUNTIF(Rebar_Schedule!$A$5:$A$2004,A180)=0,"",ROUND(SUMIF(Rebar_Schedule!$A$5:$A$2004,A180,Rebar_Schedule!$K$5:$K$2004),1)))</f>
        <v/>
      </c>
      <c r="AZ180" s="33" t="str">
        <f aca="false">IF(A180="","",IF(AY180="","No rebar schedule yet",IF(ABS(AY180-N(AU180))/MAX(N(AU180),1)&gt;SG_Criteria!$B$55,"NOTE: register rebar differs from schedule by "&amp;TEXT(ABS(AY180-N(AU180))/MAX(N(AU180),1),"0%"),"OK")))</f>
        <v/>
      </c>
      <c r="BA180" s="33" t="str">
        <f aca="false">IF(OR(D180="",H180=""),"",IF(H180&lt;=IF(OR(D180="Soldier Pile &amp; Timber Lagging",D180="Trench Shoring Box",D180="Open Cut (battered)"),SG_Criteria!$B$34,SG_Criteria!$B$33),"No ERSS submission",IF(H180&lt;=SG_Criteria!$B$35,"QP(ST)",IF(H180&lt;=SG_Criteria!$B$36,"QP(ST) + AC","Geotechnical building works: QP(Geo) + AC"))))</f>
        <v/>
      </c>
      <c r="BB180" s="33" t="str">
        <f aca="false">IF(D180="","",IF(LEN(IF(AND(R180&lt;&gt;"",R180&lt;SG_Criteria!$B$37),"FAIL: base stability FOS &lt; "&amp;SG_Criteria!$B$37&amp;". ","")&amp;IF(AND(E180="Manhole",H180&gt;SG_Criteria!$B$36),"NOTE: BCA lists sewer manholes (pipe &lt;= 2 m dia) &gt; 6 m as non-GBW: QP(ST) + AC. ","")&amp;IF(AND(D180="Trench Shoring Box",I180="Kallang Formation (marine clay)"),"NOTE: check base heave / ground loss for shoring box in marine clay. ","")&amp;IF(AND(D180="Steel Sheet Pile Cofferdam",N(N180)&lt;H180*0.5),"NOTE: short toe embedment, check. ",""))=0,"OK",IF(AND(R180&lt;&gt;"",R180&lt;SG_Criteria!$B$37),"FAIL: base stability FOS &lt; "&amp;SG_Criteria!$B$37&amp;". ","")&amp;IF(AND(E180="Manhole",H180&gt;SG_Criteria!$B$36),"NOTE: BCA lists sewer manholes (pipe &lt;= 2 m dia) &gt; 6 m as non-GBW: QP(ST) + AC. ","")&amp;IF(AND(D180="Trench Shoring Box",I180="Kallang Formation (marine clay)"),"NOTE: check base heave / ground loss for shoring box in marine clay. ","")&amp;IF(AND(D180="Steel Sheet Pile Cofferdam",N(N180)&lt;H180*0.5),"NOTE: short toe embedment, check. ","")))</f>
        <v/>
      </c>
      <c r="BC180" s="9"/>
      <c r="BD180" s="9"/>
      <c r="BE180" s="9"/>
      <c r="BF180" s="10" t="str">
        <f aca="false">IF(BE180="","",IFERROR(VLOOKUP(BE180,Projects!$A$5:$D$504,2,0),"Ref not in Projects"))</f>
        <v/>
      </c>
      <c r="BG180" s="10" t="str">
        <f aca="false">IF(BE180="","",IFERROR(VLOOKUP(BE180,Projects!$A$5:$D$504,4,0),"Ref not in Projects"))</f>
        <v/>
      </c>
      <c r="BH180" s="9"/>
      <c r="BI180" s="9"/>
      <c r="BJ180" s="9"/>
      <c r="BK180" s="40"/>
      <c r="BL180" s="9"/>
      <c r="BM180" s="40"/>
      <c r="BN180" s="9"/>
      <c r="BO180" s="40"/>
      <c r="BP180" s="9"/>
      <c r="BQ180" s="9"/>
      <c r="BR180" s="9"/>
      <c r="BS180" s="40"/>
      <c r="BT180" s="40"/>
      <c r="BU180" s="36" t="str">
        <f aca="false">IF(BT180="","",EDATE(BT180,SG_Criteria!$B$54*12))</f>
        <v/>
      </c>
      <c r="BV180" s="33" t="str">
        <f aca="true">IF(A180="","",IF(BT180="","NOTE: not reviewed yet",IF(TODAY()&gt;BU180,"NOTE: review overdue","OK")))</f>
        <v/>
      </c>
      <c r="BW180" s="37" t="str">
        <f aca="false">IF(A180="","",ROUND((IF(LEN(D180)&gt;0,1,0)+IF(LEN(E180)&gt;0,1,0)+IF(LEN(F180)&gt;0,1,0)+IF(LEN(G180)&gt;0,1,0)+IF(LEN(H180)&gt;0,1,0)+IF(LEN(I180)&gt;0,1,0)+IF(LEN(J180)&gt;0,1,0)+IF(LEN(L180)&gt;0,1,0)+IF(LEN(R180)&gt;0,1,0)+IF(LEN(Y180)&gt;0,1,0)+IF(LEN(AE180)&gt;0,1,0)+IF(LEN(AG180)&gt;0,1,0)+IF(LEN(AH180)&gt;0,1,0)+IF(LEN(AI180)&gt;0,1,0)+IF(LEN(AJ180)&gt;0,1,0)+IF(LEN(AS180)&gt;0,1,0)+IF(LEN(BE180)&gt;0,1,0)+IF(LEN(BR180)&gt;0,1,0))/18,2))</f>
        <v/>
      </c>
      <c r="BX180" s="10" t="str">
        <f aca="false">IF(D180="","",IF(AND(AH180="Approved",ISERROR(SEARCH("FAIL",BB180))),"Y","N"))</f>
        <v/>
      </c>
      <c r="BY180" s="10" t="str">
        <f aca="false">IF(D180="","",D180&amp;"|"&amp;H180&amp;"|"&amp;F180&amp;"|"&amp;I180&amp;"|"&amp;BX180)</f>
        <v/>
      </c>
    </row>
    <row r="181" customFormat="false" ht="15" hidden="false" customHeight="false" outlineLevel="0" collapsed="false">
      <c r="A181" s="10" t="str">
        <f aca="false">IF(D181="","","ERSS-"&amp;IFERROR(VLOOKUP(D181,Lists!$AK$4:$AL$21,2,0),"??")&amp;"-"&amp;TEXT(F181,"0000")&amp;"x"&amp;TEXT(G181,"0000")&amp;"-D"&amp;TEXT(H181*1000,"0000")&amp;"-"&amp;IFERROR(VLOOKUP(I181,Lists!$Y$4:$Z$21,2,0),"??")&amp;"-"&amp;AG181)</f>
        <v/>
      </c>
      <c r="B181" s="10" t="str">
        <f aca="false">IF(D181="","",D181&amp;" for "&amp;E181&amp;", "&amp;F181&amp;" x "&amp;G181&amp;" pit, "&amp;TEXT(H181,"0.0")&amp;" m deep, "&amp;I181)</f>
        <v/>
      </c>
      <c r="C181" s="9"/>
      <c r="D181" s="9"/>
      <c r="E181" s="9"/>
      <c r="F181" s="38"/>
      <c r="G181" s="38"/>
      <c r="H181" s="42"/>
      <c r="I181" s="9"/>
      <c r="J181" s="42"/>
      <c r="K181" s="38"/>
      <c r="L181" s="9"/>
      <c r="M181" s="42"/>
      <c r="N181" s="42"/>
      <c r="O181" s="38"/>
      <c r="P181" s="9"/>
      <c r="Q181" s="9"/>
      <c r="R181" s="39"/>
      <c r="S181" s="39"/>
      <c r="T181" s="38"/>
      <c r="U181" s="38"/>
      <c r="V181" s="38"/>
      <c r="W181" s="9"/>
      <c r="X181" s="9"/>
      <c r="Y181" s="38"/>
      <c r="Z181" s="9"/>
      <c r="AA181" s="9"/>
      <c r="AB181" s="38"/>
      <c r="AC181" s="9"/>
      <c r="AD181" s="39"/>
      <c r="AE181" s="9"/>
      <c r="AF181" s="9"/>
      <c r="AG181" s="9"/>
      <c r="AH181" s="9"/>
      <c r="AI181" s="9"/>
      <c r="AJ181" s="9"/>
      <c r="AK181" s="9"/>
      <c r="AL181" s="10" t="str">
        <f aca="false">IF(A181="","",SG_Criteria!$B$6&amp;SG_Criteria!$B$11&amp;"\"&amp;A181&amp;"\")</f>
        <v/>
      </c>
      <c r="AM181" s="10" t="str">
        <f aca="false">IF(A181="","",A181&amp;"_CAD.dwg")</f>
        <v/>
      </c>
      <c r="AN181" s="10" t="str">
        <f aca="false">IF(A181="","",A181&amp;"_DWG.pdf")</f>
        <v/>
      </c>
      <c r="AO181" s="10" t="str">
        <f aca="false">IF(A181="","",IF(AK181="Y",A181&amp;"_STAAD.std","n/a"))</f>
        <v/>
      </c>
      <c r="AP181" s="10" t="str">
        <f aca="false">IF(A181="","",A181&amp;"_CALC.xlsx")</f>
        <v/>
      </c>
      <c r="AQ181" s="10" t="str">
        <f aca="false">IF(A181="","",A181&amp;"_CALC.pdf")</f>
        <v/>
      </c>
      <c r="AR181" s="9"/>
      <c r="AS181" s="9"/>
      <c r="AT181" s="39"/>
      <c r="AU181" s="39"/>
      <c r="AV181" s="39"/>
      <c r="AW181" s="39"/>
      <c r="AX181" s="39"/>
      <c r="AY181" s="12" t="str">
        <f aca="false">IF(A181="","",IF(COUNTIF(Rebar_Schedule!$A$5:$A$2004,A181)=0,"",ROUND(SUMIF(Rebar_Schedule!$A$5:$A$2004,A181,Rebar_Schedule!$K$5:$K$2004),1)))</f>
        <v/>
      </c>
      <c r="AZ181" s="33" t="str">
        <f aca="false">IF(A181="","",IF(AY181="","No rebar schedule yet",IF(ABS(AY181-N(AU181))/MAX(N(AU181),1)&gt;SG_Criteria!$B$55,"NOTE: register rebar differs from schedule by "&amp;TEXT(ABS(AY181-N(AU181))/MAX(N(AU181),1),"0%"),"OK")))</f>
        <v/>
      </c>
      <c r="BA181" s="33" t="str">
        <f aca="false">IF(OR(D181="",H181=""),"",IF(H181&lt;=IF(OR(D181="Soldier Pile &amp; Timber Lagging",D181="Trench Shoring Box",D181="Open Cut (battered)"),SG_Criteria!$B$34,SG_Criteria!$B$33),"No ERSS submission",IF(H181&lt;=SG_Criteria!$B$35,"QP(ST)",IF(H181&lt;=SG_Criteria!$B$36,"QP(ST) + AC","Geotechnical building works: QP(Geo) + AC"))))</f>
        <v/>
      </c>
      <c r="BB181" s="33" t="str">
        <f aca="false">IF(D181="","",IF(LEN(IF(AND(R181&lt;&gt;"",R181&lt;SG_Criteria!$B$37),"FAIL: base stability FOS &lt; "&amp;SG_Criteria!$B$37&amp;". ","")&amp;IF(AND(E181="Manhole",H181&gt;SG_Criteria!$B$36),"NOTE: BCA lists sewer manholes (pipe &lt;= 2 m dia) &gt; 6 m as non-GBW: QP(ST) + AC. ","")&amp;IF(AND(D181="Trench Shoring Box",I181="Kallang Formation (marine clay)"),"NOTE: check base heave / ground loss for shoring box in marine clay. ","")&amp;IF(AND(D181="Steel Sheet Pile Cofferdam",N(N181)&lt;H181*0.5),"NOTE: short toe embedment, check. ",""))=0,"OK",IF(AND(R181&lt;&gt;"",R181&lt;SG_Criteria!$B$37),"FAIL: base stability FOS &lt; "&amp;SG_Criteria!$B$37&amp;". ","")&amp;IF(AND(E181="Manhole",H181&gt;SG_Criteria!$B$36),"NOTE: BCA lists sewer manholes (pipe &lt;= 2 m dia) &gt; 6 m as non-GBW: QP(ST) + AC. ","")&amp;IF(AND(D181="Trench Shoring Box",I181="Kallang Formation (marine clay)"),"NOTE: check base heave / ground loss for shoring box in marine clay. ","")&amp;IF(AND(D181="Steel Sheet Pile Cofferdam",N(N181)&lt;H181*0.5),"NOTE: short toe embedment, check. ","")))</f>
        <v/>
      </c>
      <c r="BC181" s="9"/>
      <c r="BD181" s="9"/>
      <c r="BE181" s="9"/>
      <c r="BF181" s="10" t="str">
        <f aca="false">IF(BE181="","",IFERROR(VLOOKUP(BE181,Projects!$A$5:$D$504,2,0),"Ref not in Projects"))</f>
        <v/>
      </c>
      <c r="BG181" s="10" t="str">
        <f aca="false">IF(BE181="","",IFERROR(VLOOKUP(BE181,Projects!$A$5:$D$504,4,0),"Ref not in Projects"))</f>
        <v/>
      </c>
      <c r="BH181" s="9"/>
      <c r="BI181" s="9"/>
      <c r="BJ181" s="9"/>
      <c r="BK181" s="40"/>
      <c r="BL181" s="9"/>
      <c r="BM181" s="40"/>
      <c r="BN181" s="9"/>
      <c r="BO181" s="40"/>
      <c r="BP181" s="9"/>
      <c r="BQ181" s="9"/>
      <c r="BR181" s="9"/>
      <c r="BS181" s="40"/>
      <c r="BT181" s="40"/>
      <c r="BU181" s="36" t="str">
        <f aca="false">IF(BT181="","",EDATE(BT181,SG_Criteria!$B$54*12))</f>
        <v/>
      </c>
      <c r="BV181" s="33" t="str">
        <f aca="true">IF(A181="","",IF(BT181="","NOTE: not reviewed yet",IF(TODAY()&gt;BU181,"NOTE: review overdue","OK")))</f>
        <v/>
      </c>
      <c r="BW181" s="37" t="str">
        <f aca="false">IF(A181="","",ROUND((IF(LEN(D181)&gt;0,1,0)+IF(LEN(E181)&gt;0,1,0)+IF(LEN(F181)&gt;0,1,0)+IF(LEN(G181)&gt;0,1,0)+IF(LEN(H181)&gt;0,1,0)+IF(LEN(I181)&gt;0,1,0)+IF(LEN(J181)&gt;0,1,0)+IF(LEN(L181)&gt;0,1,0)+IF(LEN(R181)&gt;0,1,0)+IF(LEN(Y181)&gt;0,1,0)+IF(LEN(AE181)&gt;0,1,0)+IF(LEN(AG181)&gt;0,1,0)+IF(LEN(AH181)&gt;0,1,0)+IF(LEN(AI181)&gt;0,1,0)+IF(LEN(AJ181)&gt;0,1,0)+IF(LEN(AS181)&gt;0,1,0)+IF(LEN(BE181)&gt;0,1,0)+IF(LEN(BR181)&gt;0,1,0))/18,2))</f>
        <v/>
      </c>
      <c r="BX181" s="10" t="str">
        <f aca="false">IF(D181="","",IF(AND(AH181="Approved",ISERROR(SEARCH("FAIL",BB181))),"Y","N"))</f>
        <v/>
      </c>
      <c r="BY181" s="10" t="str">
        <f aca="false">IF(D181="","",D181&amp;"|"&amp;H181&amp;"|"&amp;F181&amp;"|"&amp;I181&amp;"|"&amp;BX181)</f>
        <v/>
      </c>
    </row>
    <row r="182" customFormat="false" ht="15" hidden="false" customHeight="false" outlineLevel="0" collapsed="false">
      <c r="A182" s="10" t="str">
        <f aca="false">IF(D182="","","ERSS-"&amp;IFERROR(VLOOKUP(D182,Lists!$AK$4:$AL$21,2,0),"??")&amp;"-"&amp;TEXT(F182,"0000")&amp;"x"&amp;TEXT(G182,"0000")&amp;"-D"&amp;TEXT(H182*1000,"0000")&amp;"-"&amp;IFERROR(VLOOKUP(I182,Lists!$Y$4:$Z$21,2,0),"??")&amp;"-"&amp;AG182)</f>
        <v/>
      </c>
      <c r="B182" s="10" t="str">
        <f aca="false">IF(D182="","",D182&amp;" for "&amp;E182&amp;", "&amp;F182&amp;" x "&amp;G182&amp;" pit, "&amp;TEXT(H182,"0.0")&amp;" m deep, "&amp;I182)</f>
        <v/>
      </c>
      <c r="C182" s="9"/>
      <c r="D182" s="9"/>
      <c r="E182" s="9"/>
      <c r="F182" s="38"/>
      <c r="G182" s="38"/>
      <c r="H182" s="42"/>
      <c r="I182" s="9"/>
      <c r="J182" s="42"/>
      <c r="K182" s="38"/>
      <c r="L182" s="9"/>
      <c r="M182" s="42"/>
      <c r="N182" s="42"/>
      <c r="O182" s="38"/>
      <c r="P182" s="9"/>
      <c r="Q182" s="9"/>
      <c r="R182" s="39"/>
      <c r="S182" s="39"/>
      <c r="T182" s="38"/>
      <c r="U182" s="38"/>
      <c r="V182" s="38"/>
      <c r="W182" s="9"/>
      <c r="X182" s="9"/>
      <c r="Y182" s="38"/>
      <c r="Z182" s="9"/>
      <c r="AA182" s="9"/>
      <c r="AB182" s="38"/>
      <c r="AC182" s="9"/>
      <c r="AD182" s="39"/>
      <c r="AE182" s="9"/>
      <c r="AF182" s="9"/>
      <c r="AG182" s="9"/>
      <c r="AH182" s="9"/>
      <c r="AI182" s="9"/>
      <c r="AJ182" s="9"/>
      <c r="AK182" s="9"/>
      <c r="AL182" s="10" t="str">
        <f aca="false">IF(A182="","",SG_Criteria!$B$6&amp;SG_Criteria!$B$11&amp;"\"&amp;A182&amp;"\")</f>
        <v/>
      </c>
      <c r="AM182" s="10" t="str">
        <f aca="false">IF(A182="","",A182&amp;"_CAD.dwg")</f>
        <v/>
      </c>
      <c r="AN182" s="10" t="str">
        <f aca="false">IF(A182="","",A182&amp;"_DWG.pdf")</f>
        <v/>
      </c>
      <c r="AO182" s="10" t="str">
        <f aca="false">IF(A182="","",IF(AK182="Y",A182&amp;"_STAAD.std","n/a"))</f>
        <v/>
      </c>
      <c r="AP182" s="10" t="str">
        <f aca="false">IF(A182="","",A182&amp;"_CALC.xlsx")</f>
        <v/>
      </c>
      <c r="AQ182" s="10" t="str">
        <f aca="false">IF(A182="","",A182&amp;"_CALC.pdf")</f>
        <v/>
      </c>
      <c r="AR182" s="9"/>
      <c r="AS182" s="9"/>
      <c r="AT182" s="39"/>
      <c r="AU182" s="39"/>
      <c r="AV182" s="39"/>
      <c r="AW182" s="39"/>
      <c r="AX182" s="39"/>
      <c r="AY182" s="12" t="str">
        <f aca="false">IF(A182="","",IF(COUNTIF(Rebar_Schedule!$A$5:$A$2004,A182)=0,"",ROUND(SUMIF(Rebar_Schedule!$A$5:$A$2004,A182,Rebar_Schedule!$K$5:$K$2004),1)))</f>
        <v/>
      </c>
      <c r="AZ182" s="33" t="str">
        <f aca="false">IF(A182="","",IF(AY182="","No rebar schedule yet",IF(ABS(AY182-N(AU182))/MAX(N(AU182),1)&gt;SG_Criteria!$B$55,"NOTE: register rebar differs from schedule by "&amp;TEXT(ABS(AY182-N(AU182))/MAX(N(AU182),1),"0%"),"OK")))</f>
        <v/>
      </c>
      <c r="BA182" s="33" t="str">
        <f aca="false">IF(OR(D182="",H182=""),"",IF(H182&lt;=IF(OR(D182="Soldier Pile &amp; Timber Lagging",D182="Trench Shoring Box",D182="Open Cut (battered)"),SG_Criteria!$B$34,SG_Criteria!$B$33),"No ERSS submission",IF(H182&lt;=SG_Criteria!$B$35,"QP(ST)",IF(H182&lt;=SG_Criteria!$B$36,"QP(ST) + AC","Geotechnical building works: QP(Geo) + AC"))))</f>
        <v/>
      </c>
      <c r="BB182" s="33" t="str">
        <f aca="false">IF(D182="","",IF(LEN(IF(AND(R182&lt;&gt;"",R182&lt;SG_Criteria!$B$37),"FAIL: base stability FOS &lt; "&amp;SG_Criteria!$B$37&amp;". ","")&amp;IF(AND(E182="Manhole",H182&gt;SG_Criteria!$B$36),"NOTE: BCA lists sewer manholes (pipe &lt;= 2 m dia) &gt; 6 m as non-GBW: QP(ST) + AC. ","")&amp;IF(AND(D182="Trench Shoring Box",I182="Kallang Formation (marine clay)"),"NOTE: check base heave / ground loss for shoring box in marine clay. ","")&amp;IF(AND(D182="Steel Sheet Pile Cofferdam",N(N182)&lt;H182*0.5),"NOTE: short toe embedment, check. ",""))=0,"OK",IF(AND(R182&lt;&gt;"",R182&lt;SG_Criteria!$B$37),"FAIL: base stability FOS &lt; "&amp;SG_Criteria!$B$37&amp;". ","")&amp;IF(AND(E182="Manhole",H182&gt;SG_Criteria!$B$36),"NOTE: BCA lists sewer manholes (pipe &lt;= 2 m dia) &gt; 6 m as non-GBW: QP(ST) + AC. ","")&amp;IF(AND(D182="Trench Shoring Box",I182="Kallang Formation (marine clay)"),"NOTE: check base heave / ground loss for shoring box in marine clay. ","")&amp;IF(AND(D182="Steel Sheet Pile Cofferdam",N(N182)&lt;H182*0.5),"NOTE: short toe embedment, check. ","")))</f>
        <v/>
      </c>
      <c r="BC182" s="9"/>
      <c r="BD182" s="9"/>
      <c r="BE182" s="9"/>
      <c r="BF182" s="10" t="str">
        <f aca="false">IF(BE182="","",IFERROR(VLOOKUP(BE182,Projects!$A$5:$D$504,2,0),"Ref not in Projects"))</f>
        <v/>
      </c>
      <c r="BG182" s="10" t="str">
        <f aca="false">IF(BE182="","",IFERROR(VLOOKUP(BE182,Projects!$A$5:$D$504,4,0),"Ref not in Projects"))</f>
        <v/>
      </c>
      <c r="BH182" s="9"/>
      <c r="BI182" s="9"/>
      <c r="BJ182" s="9"/>
      <c r="BK182" s="40"/>
      <c r="BL182" s="9"/>
      <c r="BM182" s="40"/>
      <c r="BN182" s="9"/>
      <c r="BO182" s="40"/>
      <c r="BP182" s="9"/>
      <c r="BQ182" s="9"/>
      <c r="BR182" s="9"/>
      <c r="BS182" s="40"/>
      <c r="BT182" s="40"/>
      <c r="BU182" s="36" t="str">
        <f aca="false">IF(BT182="","",EDATE(BT182,SG_Criteria!$B$54*12))</f>
        <v/>
      </c>
      <c r="BV182" s="33" t="str">
        <f aca="true">IF(A182="","",IF(BT182="","NOTE: not reviewed yet",IF(TODAY()&gt;BU182,"NOTE: review overdue","OK")))</f>
        <v/>
      </c>
      <c r="BW182" s="37" t="str">
        <f aca="false">IF(A182="","",ROUND((IF(LEN(D182)&gt;0,1,0)+IF(LEN(E182)&gt;0,1,0)+IF(LEN(F182)&gt;0,1,0)+IF(LEN(G182)&gt;0,1,0)+IF(LEN(H182)&gt;0,1,0)+IF(LEN(I182)&gt;0,1,0)+IF(LEN(J182)&gt;0,1,0)+IF(LEN(L182)&gt;0,1,0)+IF(LEN(R182)&gt;0,1,0)+IF(LEN(Y182)&gt;0,1,0)+IF(LEN(AE182)&gt;0,1,0)+IF(LEN(AG182)&gt;0,1,0)+IF(LEN(AH182)&gt;0,1,0)+IF(LEN(AI182)&gt;0,1,0)+IF(LEN(AJ182)&gt;0,1,0)+IF(LEN(AS182)&gt;0,1,0)+IF(LEN(BE182)&gt;0,1,0)+IF(LEN(BR182)&gt;0,1,0))/18,2))</f>
        <v/>
      </c>
      <c r="BX182" s="10" t="str">
        <f aca="false">IF(D182="","",IF(AND(AH182="Approved",ISERROR(SEARCH("FAIL",BB182))),"Y","N"))</f>
        <v/>
      </c>
      <c r="BY182" s="10" t="str">
        <f aca="false">IF(D182="","",D182&amp;"|"&amp;H182&amp;"|"&amp;F182&amp;"|"&amp;I182&amp;"|"&amp;BX182)</f>
        <v/>
      </c>
    </row>
    <row r="183" customFormat="false" ht="15" hidden="false" customHeight="false" outlineLevel="0" collapsed="false">
      <c r="A183" s="10" t="str">
        <f aca="false">IF(D183="","","ERSS-"&amp;IFERROR(VLOOKUP(D183,Lists!$AK$4:$AL$21,2,0),"??")&amp;"-"&amp;TEXT(F183,"0000")&amp;"x"&amp;TEXT(G183,"0000")&amp;"-D"&amp;TEXT(H183*1000,"0000")&amp;"-"&amp;IFERROR(VLOOKUP(I183,Lists!$Y$4:$Z$21,2,0),"??")&amp;"-"&amp;AG183)</f>
        <v/>
      </c>
      <c r="B183" s="10" t="str">
        <f aca="false">IF(D183="","",D183&amp;" for "&amp;E183&amp;", "&amp;F183&amp;" x "&amp;G183&amp;" pit, "&amp;TEXT(H183,"0.0")&amp;" m deep, "&amp;I183)</f>
        <v/>
      </c>
      <c r="C183" s="9"/>
      <c r="D183" s="9"/>
      <c r="E183" s="9"/>
      <c r="F183" s="38"/>
      <c r="G183" s="38"/>
      <c r="H183" s="42"/>
      <c r="I183" s="9"/>
      <c r="J183" s="42"/>
      <c r="K183" s="38"/>
      <c r="L183" s="9"/>
      <c r="M183" s="42"/>
      <c r="N183" s="42"/>
      <c r="O183" s="38"/>
      <c r="P183" s="9"/>
      <c r="Q183" s="9"/>
      <c r="R183" s="39"/>
      <c r="S183" s="39"/>
      <c r="T183" s="38"/>
      <c r="U183" s="38"/>
      <c r="V183" s="38"/>
      <c r="W183" s="9"/>
      <c r="X183" s="9"/>
      <c r="Y183" s="38"/>
      <c r="Z183" s="9"/>
      <c r="AA183" s="9"/>
      <c r="AB183" s="38"/>
      <c r="AC183" s="9"/>
      <c r="AD183" s="39"/>
      <c r="AE183" s="9"/>
      <c r="AF183" s="9"/>
      <c r="AG183" s="9"/>
      <c r="AH183" s="9"/>
      <c r="AI183" s="9"/>
      <c r="AJ183" s="9"/>
      <c r="AK183" s="9"/>
      <c r="AL183" s="10" t="str">
        <f aca="false">IF(A183="","",SG_Criteria!$B$6&amp;SG_Criteria!$B$11&amp;"\"&amp;A183&amp;"\")</f>
        <v/>
      </c>
      <c r="AM183" s="10" t="str">
        <f aca="false">IF(A183="","",A183&amp;"_CAD.dwg")</f>
        <v/>
      </c>
      <c r="AN183" s="10" t="str">
        <f aca="false">IF(A183="","",A183&amp;"_DWG.pdf")</f>
        <v/>
      </c>
      <c r="AO183" s="10" t="str">
        <f aca="false">IF(A183="","",IF(AK183="Y",A183&amp;"_STAAD.std","n/a"))</f>
        <v/>
      </c>
      <c r="AP183" s="10" t="str">
        <f aca="false">IF(A183="","",A183&amp;"_CALC.xlsx")</f>
        <v/>
      </c>
      <c r="AQ183" s="10" t="str">
        <f aca="false">IF(A183="","",A183&amp;"_CALC.pdf")</f>
        <v/>
      </c>
      <c r="AR183" s="9"/>
      <c r="AS183" s="9"/>
      <c r="AT183" s="39"/>
      <c r="AU183" s="39"/>
      <c r="AV183" s="39"/>
      <c r="AW183" s="39"/>
      <c r="AX183" s="39"/>
      <c r="AY183" s="12" t="str">
        <f aca="false">IF(A183="","",IF(COUNTIF(Rebar_Schedule!$A$5:$A$2004,A183)=0,"",ROUND(SUMIF(Rebar_Schedule!$A$5:$A$2004,A183,Rebar_Schedule!$K$5:$K$2004),1)))</f>
        <v/>
      </c>
      <c r="AZ183" s="33" t="str">
        <f aca="false">IF(A183="","",IF(AY183="","No rebar schedule yet",IF(ABS(AY183-N(AU183))/MAX(N(AU183),1)&gt;SG_Criteria!$B$55,"NOTE: register rebar differs from schedule by "&amp;TEXT(ABS(AY183-N(AU183))/MAX(N(AU183),1),"0%"),"OK")))</f>
        <v/>
      </c>
      <c r="BA183" s="33" t="str">
        <f aca="false">IF(OR(D183="",H183=""),"",IF(H183&lt;=IF(OR(D183="Soldier Pile &amp; Timber Lagging",D183="Trench Shoring Box",D183="Open Cut (battered)"),SG_Criteria!$B$34,SG_Criteria!$B$33),"No ERSS submission",IF(H183&lt;=SG_Criteria!$B$35,"QP(ST)",IF(H183&lt;=SG_Criteria!$B$36,"QP(ST) + AC","Geotechnical building works: QP(Geo) + AC"))))</f>
        <v/>
      </c>
      <c r="BB183" s="33" t="str">
        <f aca="false">IF(D183="","",IF(LEN(IF(AND(R183&lt;&gt;"",R183&lt;SG_Criteria!$B$37),"FAIL: base stability FOS &lt; "&amp;SG_Criteria!$B$37&amp;". ","")&amp;IF(AND(E183="Manhole",H183&gt;SG_Criteria!$B$36),"NOTE: BCA lists sewer manholes (pipe &lt;= 2 m dia) &gt; 6 m as non-GBW: QP(ST) + AC. ","")&amp;IF(AND(D183="Trench Shoring Box",I183="Kallang Formation (marine clay)"),"NOTE: check base heave / ground loss for shoring box in marine clay. ","")&amp;IF(AND(D183="Steel Sheet Pile Cofferdam",N(N183)&lt;H183*0.5),"NOTE: short toe embedment, check. ",""))=0,"OK",IF(AND(R183&lt;&gt;"",R183&lt;SG_Criteria!$B$37),"FAIL: base stability FOS &lt; "&amp;SG_Criteria!$B$37&amp;". ","")&amp;IF(AND(E183="Manhole",H183&gt;SG_Criteria!$B$36),"NOTE: BCA lists sewer manholes (pipe &lt;= 2 m dia) &gt; 6 m as non-GBW: QP(ST) + AC. ","")&amp;IF(AND(D183="Trench Shoring Box",I183="Kallang Formation (marine clay)"),"NOTE: check base heave / ground loss for shoring box in marine clay. ","")&amp;IF(AND(D183="Steel Sheet Pile Cofferdam",N(N183)&lt;H183*0.5),"NOTE: short toe embedment, check. ","")))</f>
        <v/>
      </c>
      <c r="BC183" s="9"/>
      <c r="BD183" s="9"/>
      <c r="BE183" s="9"/>
      <c r="BF183" s="10" t="str">
        <f aca="false">IF(BE183="","",IFERROR(VLOOKUP(BE183,Projects!$A$5:$D$504,2,0),"Ref not in Projects"))</f>
        <v/>
      </c>
      <c r="BG183" s="10" t="str">
        <f aca="false">IF(BE183="","",IFERROR(VLOOKUP(BE183,Projects!$A$5:$D$504,4,0),"Ref not in Projects"))</f>
        <v/>
      </c>
      <c r="BH183" s="9"/>
      <c r="BI183" s="9"/>
      <c r="BJ183" s="9"/>
      <c r="BK183" s="40"/>
      <c r="BL183" s="9"/>
      <c r="BM183" s="40"/>
      <c r="BN183" s="9"/>
      <c r="BO183" s="40"/>
      <c r="BP183" s="9"/>
      <c r="BQ183" s="9"/>
      <c r="BR183" s="9"/>
      <c r="BS183" s="40"/>
      <c r="BT183" s="40"/>
      <c r="BU183" s="36" t="str">
        <f aca="false">IF(BT183="","",EDATE(BT183,SG_Criteria!$B$54*12))</f>
        <v/>
      </c>
      <c r="BV183" s="33" t="str">
        <f aca="true">IF(A183="","",IF(BT183="","NOTE: not reviewed yet",IF(TODAY()&gt;BU183,"NOTE: review overdue","OK")))</f>
        <v/>
      </c>
      <c r="BW183" s="37" t="str">
        <f aca="false">IF(A183="","",ROUND((IF(LEN(D183)&gt;0,1,0)+IF(LEN(E183)&gt;0,1,0)+IF(LEN(F183)&gt;0,1,0)+IF(LEN(G183)&gt;0,1,0)+IF(LEN(H183)&gt;0,1,0)+IF(LEN(I183)&gt;0,1,0)+IF(LEN(J183)&gt;0,1,0)+IF(LEN(L183)&gt;0,1,0)+IF(LEN(R183)&gt;0,1,0)+IF(LEN(Y183)&gt;0,1,0)+IF(LEN(AE183)&gt;0,1,0)+IF(LEN(AG183)&gt;0,1,0)+IF(LEN(AH183)&gt;0,1,0)+IF(LEN(AI183)&gt;0,1,0)+IF(LEN(AJ183)&gt;0,1,0)+IF(LEN(AS183)&gt;0,1,0)+IF(LEN(BE183)&gt;0,1,0)+IF(LEN(BR183)&gt;0,1,0))/18,2))</f>
        <v/>
      </c>
      <c r="BX183" s="10" t="str">
        <f aca="false">IF(D183="","",IF(AND(AH183="Approved",ISERROR(SEARCH("FAIL",BB183))),"Y","N"))</f>
        <v/>
      </c>
      <c r="BY183" s="10" t="str">
        <f aca="false">IF(D183="","",D183&amp;"|"&amp;H183&amp;"|"&amp;F183&amp;"|"&amp;I183&amp;"|"&amp;BX183)</f>
        <v/>
      </c>
    </row>
    <row r="184" customFormat="false" ht="15" hidden="false" customHeight="false" outlineLevel="0" collapsed="false">
      <c r="A184" s="10" t="str">
        <f aca="false">IF(D184="","","ERSS-"&amp;IFERROR(VLOOKUP(D184,Lists!$AK$4:$AL$21,2,0),"??")&amp;"-"&amp;TEXT(F184,"0000")&amp;"x"&amp;TEXT(G184,"0000")&amp;"-D"&amp;TEXT(H184*1000,"0000")&amp;"-"&amp;IFERROR(VLOOKUP(I184,Lists!$Y$4:$Z$21,2,0),"??")&amp;"-"&amp;AG184)</f>
        <v/>
      </c>
      <c r="B184" s="10" t="str">
        <f aca="false">IF(D184="","",D184&amp;" for "&amp;E184&amp;", "&amp;F184&amp;" x "&amp;G184&amp;" pit, "&amp;TEXT(H184,"0.0")&amp;" m deep, "&amp;I184)</f>
        <v/>
      </c>
      <c r="C184" s="9"/>
      <c r="D184" s="9"/>
      <c r="E184" s="9"/>
      <c r="F184" s="38"/>
      <c r="G184" s="38"/>
      <c r="H184" s="42"/>
      <c r="I184" s="9"/>
      <c r="J184" s="42"/>
      <c r="K184" s="38"/>
      <c r="L184" s="9"/>
      <c r="M184" s="42"/>
      <c r="N184" s="42"/>
      <c r="O184" s="38"/>
      <c r="P184" s="9"/>
      <c r="Q184" s="9"/>
      <c r="R184" s="39"/>
      <c r="S184" s="39"/>
      <c r="T184" s="38"/>
      <c r="U184" s="38"/>
      <c r="V184" s="38"/>
      <c r="W184" s="9"/>
      <c r="X184" s="9"/>
      <c r="Y184" s="38"/>
      <c r="Z184" s="9"/>
      <c r="AA184" s="9"/>
      <c r="AB184" s="38"/>
      <c r="AC184" s="9"/>
      <c r="AD184" s="39"/>
      <c r="AE184" s="9"/>
      <c r="AF184" s="9"/>
      <c r="AG184" s="9"/>
      <c r="AH184" s="9"/>
      <c r="AI184" s="9"/>
      <c r="AJ184" s="9"/>
      <c r="AK184" s="9"/>
      <c r="AL184" s="10" t="str">
        <f aca="false">IF(A184="","",SG_Criteria!$B$6&amp;SG_Criteria!$B$11&amp;"\"&amp;A184&amp;"\")</f>
        <v/>
      </c>
      <c r="AM184" s="10" t="str">
        <f aca="false">IF(A184="","",A184&amp;"_CAD.dwg")</f>
        <v/>
      </c>
      <c r="AN184" s="10" t="str">
        <f aca="false">IF(A184="","",A184&amp;"_DWG.pdf")</f>
        <v/>
      </c>
      <c r="AO184" s="10" t="str">
        <f aca="false">IF(A184="","",IF(AK184="Y",A184&amp;"_STAAD.std","n/a"))</f>
        <v/>
      </c>
      <c r="AP184" s="10" t="str">
        <f aca="false">IF(A184="","",A184&amp;"_CALC.xlsx")</f>
        <v/>
      </c>
      <c r="AQ184" s="10" t="str">
        <f aca="false">IF(A184="","",A184&amp;"_CALC.pdf")</f>
        <v/>
      </c>
      <c r="AR184" s="9"/>
      <c r="AS184" s="9"/>
      <c r="AT184" s="39"/>
      <c r="AU184" s="39"/>
      <c r="AV184" s="39"/>
      <c r="AW184" s="39"/>
      <c r="AX184" s="39"/>
      <c r="AY184" s="12" t="str">
        <f aca="false">IF(A184="","",IF(COUNTIF(Rebar_Schedule!$A$5:$A$2004,A184)=0,"",ROUND(SUMIF(Rebar_Schedule!$A$5:$A$2004,A184,Rebar_Schedule!$K$5:$K$2004),1)))</f>
        <v/>
      </c>
      <c r="AZ184" s="33" t="str">
        <f aca="false">IF(A184="","",IF(AY184="","No rebar schedule yet",IF(ABS(AY184-N(AU184))/MAX(N(AU184),1)&gt;SG_Criteria!$B$55,"NOTE: register rebar differs from schedule by "&amp;TEXT(ABS(AY184-N(AU184))/MAX(N(AU184),1),"0%"),"OK")))</f>
        <v/>
      </c>
      <c r="BA184" s="33" t="str">
        <f aca="false">IF(OR(D184="",H184=""),"",IF(H184&lt;=IF(OR(D184="Soldier Pile &amp; Timber Lagging",D184="Trench Shoring Box",D184="Open Cut (battered)"),SG_Criteria!$B$34,SG_Criteria!$B$33),"No ERSS submission",IF(H184&lt;=SG_Criteria!$B$35,"QP(ST)",IF(H184&lt;=SG_Criteria!$B$36,"QP(ST) + AC","Geotechnical building works: QP(Geo) + AC"))))</f>
        <v/>
      </c>
      <c r="BB184" s="33" t="str">
        <f aca="false">IF(D184="","",IF(LEN(IF(AND(R184&lt;&gt;"",R184&lt;SG_Criteria!$B$37),"FAIL: base stability FOS &lt; "&amp;SG_Criteria!$B$37&amp;". ","")&amp;IF(AND(E184="Manhole",H184&gt;SG_Criteria!$B$36),"NOTE: BCA lists sewer manholes (pipe &lt;= 2 m dia) &gt; 6 m as non-GBW: QP(ST) + AC. ","")&amp;IF(AND(D184="Trench Shoring Box",I184="Kallang Formation (marine clay)"),"NOTE: check base heave / ground loss for shoring box in marine clay. ","")&amp;IF(AND(D184="Steel Sheet Pile Cofferdam",N(N184)&lt;H184*0.5),"NOTE: short toe embedment, check. ",""))=0,"OK",IF(AND(R184&lt;&gt;"",R184&lt;SG_Criteria!$B$37),"FAIL: base stability FOS &lt; "&amp;SG_Criteria!$B$37&amp;". ","")&amp;IF(AND(E184="Manhole",H184&gt;SG_Criteria!$B$36),"NOTE: BCA lists sewer manholes (pipe &lt;= 2 m dia) &gt; 6 m as non-GBW: QP(ST) + AC. ","")&amp;IF(AND(D184="Trench Shoring Box",I184="Kallang Formation (marine clay)"),"NOTE: check base heave / ground loss for shoring box in marine clay. ","")&amp;IF(AND(D184="Steel Sheet Pile Cofferdam",N(N184)&lt;H184*0.5),"NOTE: short toe embedment, check. ","")))</f>
        <v/>
      </c>
      <c r="BC184" s="9"/>
      <c r="BD184" s="9"/>
      <c r="BE184" s="9"/>
      <c r="BF184" s="10" t="str">
        <f aca="false">IF(BE184="","",IFERROR(VLOOKUP(BE184,Projects!$A$5:$D$504,2,0),"Ref not in Projects"))</f>
        <v/>
      </c>
      <c r="BG184" s="10" t="str">
        <f aca="false">IF(BE184="","",IFERROR(VLOOKUP(BE184,Projects!$A$5:$D$504,4,0),"Ref not in Projects"))</f>
        <v/>
      </c>
      <c r="BH184" s="9"/>
      <c r="BI184" s="9"/>
      <c r="BJ184" s="9"/>
      <c r="BK184" s="40"/>
      <c r="BL184" s="9"/>
      <c r="BM184" s="40"/>
      <c r="BN184" s="9"/>
      <c r="BO184" s="40"/>
      <c r="BP184" s="9"/>
      <c r="BQ184" s="9"/>
      <c r="BR184" s="9"/>
      <c r="BS184" s="40"/>
      <c r="BT184" s="40"/>
      <c r="BU184" s="36" t="str">
        <f aca="false">IF(BT184="","",EDATE(BT184,SG_Criteria!$B$54*12))</f>
        <v/>
      </c>
      <c r="BV184" s="33" t="str">
        <f aca="true">IF(A184="","",IF(BT184="","NOTE: not reviewed yet",IF(TODAY()&gt;BU184,"NOTE: review overdue","OK")))</f>
        <v/>
      </c>
      <c r="BW184" s="37" t="str">
        <f aca="false">IF(A184="","",ROUND((IF(LEN(D184)&gt;0,1,0)+IF(LEN(E184)&gt;0,1,0)+IF(LEN(F184)&gt;0,1,0)+IF(LEN(G184)&gt;0,1,0)+IF(LEN(H184)&gt;0,1,0)+IF(LEN(I184)&gt;0,1,0)+IF(LEN(J184)&gt;0,1,0)+IF(LEN(L184)&gt;0,1,0)+IF(LEN(R184)&gt;0,1,0)+IF(LEN(Y184)&gt;0,1,0)+IF(LEN(AE184)&gt;0,1,0)+IF(LEN(AG184)&gt;0,1,0)+IF(LEN(AH184)&gt;0,1,0)+IF(LEN(AI184)&gt;0,1,0)+IF(LEN(AJ184)&gt;0,1,0)+IF(LEN(AS184)&gt;0,1,0)+IF(LEN(BE184)&gt;0,1,0)+IF(LEN(BR184)&gt;0,1,0))/18,2))</f>
        <v/>
      </c>
      <c r="BX184" s="10" t="str">
        <f aca="false">IF(D184="","",IF(AND(AH184="Approved",ISERROR(SEARCH("FAIL",BB184))),"Y","N"))</f>
        <v/>
      </c>
      <c r="BY184" s="10" t="str">
        <f aca="false">IF(D184="","",D184&amp;"|"&amp;H184&amp;"|"&amp;F184&amp;"|"&amp;I184&amp;"|"&amp;BX184)</f>
        <v/>
      </c>
    </row>
    <row r="185" customFormat="false" ht="15" hidden="false" customHeight="false" outlineLevel="0" collapsed="false">
      <c r="A185" s="10" t="str">
        <f aca="false">IF(D185="","","ERSS-"&amp;IFERROR(VLOOKUP(D185,Lists!$AK$4:$AL$21,2,0),"??")&amp;"-"&amp;TEXT(F185,"0000")&amp;"x"&amp;TEXT(G185,"0000")&amp;"-D"&amp;TEXT(H185*1000,"0000")&amp;"-"&amp;IFERROR(VLOOKUP(I185,Lists!$Y$4:$Z$21,2,0),"??")&amp;"-"&amp;AG185)</f>
        <v/>
      </c>
      <c r="B185" s="10" t="str">
        <f aca="false">IF(D185="","",D185&amp;" for "&amp;E185&amp;", "&amp;F185&amp;" x "&amp;G185&amp;" pit, "&amp;TEXT(H185,"0.0")&amp;" m deep, "&amp;I185)</f>
        <v/>
      </c>
      <c r="C185" s="9"/>
      <c r="D185" s="9"/>
      <c r="E185" s="9"/>
      <c r="F185" s="38"/>
      <c r="G185" s="38"/>
      <c r="H185" s="42"/>
      <c r="I185" s="9"/>
      <c r="J185" s="42"/>
      <c r="K185" s="38"/>
      <c r="L185" s="9"/>
      <c r="M185" s="42"/>
      <c r="N185" s="42"/>
      <c r="O185" s="38"/>
      <c r="P185" s="9"/>
      <c r="Q185" s="9"/>
      <c r="R185" s="39"/>
      <c r="S185" s="39"/>
      <c r="T185" s="38"/>
      <c r="U185" s="38"/>
      <c r="V185" s="38"/>
      <c r="W185" s="9"/>
      <c r="X185" s="9"/>
      <c r="Y185" s="38"/>
      <c r="Z185" s="9"/>
      <c r="AA185" s="9"/>
      <c r="AB185" s="38"/>
      <c r="AC185" s="9"/>
      <c r="AD185" s="39"/>
      <c r="AE185" s="9"/>
      <c r="AF185" s="9"/>
      <c r="AG185" s="9"/>
      <c r="AH185" s="9"/>
      <c r="AI185" s="9"/>
      <c r="AJ185" s="9"/>
      <c r="AK185" s="9"/>
      <c r="AL185" s="10" t="str">
        <f aca="false">IF(A185="","",SG_Criteria!$B$6&amp;SG_Criteria!$B$11&amp;"\"&amp;A185&amp;"\")</f>
        <v/>
      </c>
      <c r="AM185" s="10" t="str">
        <f aca="false">IF(A185="","",A185&amp;"_CAD.dwg")</f>
        <v/>
      </c>
      <c r="AN185" s="10" t="str">
        <f aca="false">IF(A185="","",A185&amp;"_DWG.pdf")</f>
        <v/>
      </c>
      <c r="AO185" s="10" t="str">
        <f aca="false">IF(A185="","",IF(AK185="Y",A185&amp;"_STAAD.std","n/a"))</f>
        <v/>
      </c>
      <c r="AP185" s="10" t="str">
        <f aca="false">IF(A185="","",A185&amp;"_CALC.xlsx")</f>
        <v/>
      </c>
      <c r="AQ185" s="10" t="str">
        <f aca="false">IF(A185="","",A185&amp;"_CALC.pdf")</f>
        <v/>
      </c>
      <c r="AR185" s="9"/>
      <c r="AS185" s="9"/>
      <c r="AT185" s="39"/>
      <c r="AU185" s="39"/>
      <c r="AV185" s="39"/>
      <c r="AW185" s="39"/>
      <c r="AX185" s="39"/>
      <c r="AY185" s="12" t="str">
        <f aca="false">IF(A185="","",IF(COUNTIF(Rebar_Schedule!$A$5:$A$2004,A185)=0,"",ROUND(SUMIF(Rebar_Schedule!$A$5:$A$2004,A185,Rebar_Schedule!$K$5:$K$2004),1)))</f>
        <v/>
      </c>
      <c r="AZ185" s="33" t="str">
        <f aca="false">IF(A185="","",IF(AY185="","No rebar schedule yet",IF(ABS(AY185-N(AU185))/MAX(N(AU185),1)&gt;SG_Criteria!$B$55,"NOTE: register rebar differs from schedule by "&amp;TEXT(ABS(AY185-N(AU185))/MAX(N(AU185),1),"0%"),"OK")))</f>
        <v/>
      </c>
      <c r="BA185" s="33" t="str">
        <f aca="false">IF(OR(D185="",H185=""),"",IF(H185&lt;=IF(OR(D185="Soldier Pile &amp; Timber Lagging",D185="Trench Shoring Box",D185="Open Cut (battered)"),SG_Criteria!$B$34,SG_Criteria!$B$33),"No ERSS submission",IF(H185&lt;=SG_Criteria!$B$35,"QP(ST)",IF(H185&lt;=SG_Criteria!$B$36,"QP(ST) + AC","Geotechnical building works: QP(Geo) + AC"))))</f>
        <v/>
      </c>
      <c r="BB185" s="33" t="str">
        <f aca="false">IF(D185="","",IF(LEN(IF(AND(R185&lt;&gt;"",R185&lt;SG_Criteria!$B$37),"FAIL: base stability FOS &lt; "&amp;SG_Criteria!$B$37&amp;". ","")&amp;IF(AND(E185="Manhole",H185&gt;SG_Criteria!$B$36),"NOTE: BCA lists sewer manholes (pipe &lt;= 2 m dia) &gt; 6 m as non-GBW: QP(ST) + AC. ","")&amp;IF(AND(D185="Trench Shoring Box",I185="Kallang Formation (marine clay)"),"NOTE: check base heave / ground loss for shoring box in marine clay. ","")&amp;IF(AND(D185="Steel Sheet Pile Cofferdam",N(N185)&lt;H185*0.5),"NOTE: short toe embedment, check. ",""))=0,"OK",IF(AND(R185&lt;&gt;"",R185&lt;SG_Criteria!$B$37),"FAIL: base stability FOS &lt; "&amp;SG_Criteria!$B$37&amp;". ","")&amp;IF(AND(E185="Manhole",H185&gt;SG_Criteria!$B$36),"NOTE: BCA lists sewer manholes (pipe &lt;= 2 m dia) &gt; 6 m as non-GBW: QP(ST) + AC. ","")&amp;IF(AND(D185="Trench Shoring Box",I185="Kallang Formation (marine clay)"),"NOTE: check base heave / ground loss for shoring box in marine clay. ","")&amp;IF(AND(D185="Steel Sheet Pile Cofferdam",N(N185)&lt;H185*0.5),"NOTE: short toe embedment, check. ","")))</f>
        <v/>
      </c>
      <c r="BC185" s="9"/>
      <c r="BD185" s="9"/>
      <c r="BE185" s="9"/>
      <c r="BF185" s="10" t="str">
        <f aca="false">IF(BE185="","",IFERROR(VLOOKUP(BE185,Projects!$A$5:$D$504,2,0),"Ref not in Projects"))</f>
        <v/>
      </c>
      <c r="BG185" s="10" t="str">
        <f aca="false">IF(BE185="","",IFERROR(VLOOKUP(BE185,Projects!$A$5:$D$504,4,0),"Ref not in Projects"))</f>
        <v/>
      </c>
      <c r="BH185" s="9"/>
      <c r="BI185" s="9"/>
      <c r="BJ185" s="9"/>
      <c r="BK185" s="40"/>
      <c r="BL185" s="9"/>
      <c r="BM185" s="40"/>
      <c r="BN185" s="9"/>
      <c r="BO185" s="40"/>
      <c r="BP185" s="9"/>
      <c r="BQ185" s="9"/>
      <c r="BR185" s="9"/>
      <c r="BS185" s="40"/>
      <c r="BT185" s="40"/>
      <c r="BU185" s="36" t="str">
        <f aca="false">IF(BT185="","",EDATE(BT185,SG_Criteria!$B$54*12))</f>
        <v/>
      </c>
      <c r="BV185" s="33" t="str">
        <f aca="true">IF(A185="","",IF(BT185="","NOTE: not reviewed yet",IF(TODAY()&gt;BU185,"NOTE: review overdue","OK")))</f>
        <v/>
      </c>
      <c r="BW185" s="37" t="str">
        <f aca="false">IF(A185="","",ROUND((IF(LEN(D185)&gt;0,1,0)+IF(LEN(E185)&gt;0,1,0)+IF(LEN(F185)&gt;0,1,0)+IF(LEN(G185)&gt;0,1,0)+IF(LEN(H185)&gt;0,1,0)+IF(LEN(I185)&gt;0,1,0)+IF(LEN(J185)&gt;0,1,0)+IF(LEN(L185)&gt;0,1,0)+IF(LEN(R185)&gt;0,1,0)+IF(LEN(Y185)&gt;0,1,0)+IF(LEN(AE185)&gt;0,1,0)+IF(LEN(AG185)&gt;0,1,0)+IF(LEN(AH185)&gt;0,1,0)+IF(LEN(AI185)&gt;0,1,0)+IF(LEN(AJ185)&gt;0,1,0)+IF(LEN(AS185)&gt;0,1,0)+IF(LEN(BE185)&gt;0,1,0)+IF(LEN(BR185)&gt;0,1,0))/18,2))</f>
        <v/>
      </c>
      <c r="BX185" s="10" t="str">
        <f aca="false">IF(D185="","",IF(AND(AH185="Approved",ISERROR(SEARCH("FAIL",BB185))),"Y","N"))</f>
        <v/>
      </c>
      <c r="BY185" s="10" t="str">
        <f aca="false">IF(D185="","",D185&amp;"|"&amp;H185&amp;"|"&amp;F185&amp;"|"&amp;I185&amp;"|"&amp;BX185)</f>
        <v/>
      </c>
    </row>
    <row r="186" customFormat="false" ht="15" hidden="false" customHeight="false" outlineLevel="0" collapsed="false">
      <c r="A186" s="10" t="str">
        <f aca="false">IF(D186="","","ERSS-"&amp;IFERROR(VLOOKUP(D186,Lists!$AK$4:$AL$21,2,0),"??")&amp;"-"&amp;TEXT(F186,"0000")&amp;"x"&amp;TEXT(G186,"0000")&amp;"-D"&amp;TEXT(H186*1000,"0000")&amp;"-"&amp;IFERROR(VLOOKUP(I186,Lists!$Y$4:$Z$21,2,0),"??")&amp;"-"&amp;AG186)</f>
        <v/>
      </c>
      <c r="B186" s="10" t="str">
        <f aca="false">IF(D186="","",D186&amp;" for "&amp;E186&amp;", "&amp;F186&amp;" x "&amp;G186&amp;" pit, "&amp;TEXT(H186,"0.0")&amp;" m deep, "&amp;I186)</f>
        <v/>
      </c>
      <c r="C186" s="9"/>
      <c r="D186" s="9"/>
      <c r="E186" s="9"/>
      <c r="F186" s="38"/>
      <c r="G186" s="38"/>
      <c r="H186" s="42"/>
      <c r="I186" s="9"/>
      <c r="J186" s="42"/>
      <c r="K186" s="38"/>
      <c r="L186" s="9"/>
      <c r="M186" s="42"/>
      <c r="N186" s="42"/>
      <c r="O186" s="38"/>
      <c r="P186" s="9"/>
      <c r="Q186" s="9"/>
      <c r="R186" s="39"/>
      <c r="S186" s="39"/>
      <c r="T186" s="38"/>
      <c r="U186" s="38"/>
      <c r="V186" s="38"/>
      <c r="W186" s="9"/>
      <c r="X186" s="9"/>
      <c r="Y186" s="38"/>
      <c r="Z186" s="9"/>
      <c r="AA186" s="9"/>
      <c r="AB186" s="38"/>
      <c r="AC186" s="9"/>
      <c r="AD186" s="39"/>
      <c r="AE186" s="9"/>
      <c r="AF186" s="9"/>
      <c r="AG186" s="9"/>
      <c r="AH186" s="9"/>
      <c r="AI186" s="9"/>
      <c r="AJ186" s="9"/>
      <c r="AK186" s="9"/>
      <c r="AL186" s="10" t="str">
        <f aca="false">IF(A186="","",SG_Criteria!$B$6&amp;SG_Criteria!$B$11&amp;"\"&amp;A186&amp;"\")</f>
        <v/>
      </c>
      <c r="AM186" s="10" t="str">
        <f aca="false">IF(A186="","",A186&amp;"_CAD.dwg")</f>
        <v/>
      </c>
      <c r="AN186" s="10" t="str">
        <f aca="false">IF(A186="","",A186&amp;"_DWG.pdf")</f>
        <v/>
      </c>
      <c r="AO186" s="10" t="str">
        <f aca="false">IF(A186="","",IF(AK186="Y",A186&amp;"_STAAD.std","n/a"))</f>
        <v/>
      </c>
      <c r="AP186" s="10" t="str">
        <f aca="false">IF(A186="","",A186&amp;"_CALC.xlsx")</f>
        <v/>
      </c>
      <c r="AQ186" s="10" t="str">
        <f aca="false">IF(A186="","",A186&amp;"_CALC.pdf")</f>
        <v/>
      </c>
      <c r="AR186" s="9"/>
      <c r="AS186" s="9"/>
      <c r="AT186" s="39"/>
      <c r="AU186" s="39"/>
      <c r="AV186" s="39"/>
      <c r="AW186" s="39"/>
      <c r="AX186" s="39"/>
      <c r="AY186" s="12" t="str">
        <f aca="false">IF(A186="","",IF(COUNTIF(Rebar_Schedule!$A$5:$A$2004,A186)=0,"",ROUND(SUMIF(Rebar_Schedule!$A$5:$A$2004,A186,Rebar_Schedule!$K$5:$K$2004),1)))</f>
        <v/>
      </c>
      <c r="AZ186" s="33" t="str">
        <f aca="false">IF(A186="","",IF(AY186="","No rebar schedule yet",IF(ABS(AY186-N(AU186))/MAX(N(AU186),1)&gt;SG_Criteria!$B$55,"NOTE: register rebar differs from schedule by "&amp;TEXT(ABS(AY186-N(AU186))/MAX(N(AU186),1),"0%"),"OK")))</f>
        <v/>
      </c>
      <c r="BA186" s="33" t="str">
        <f aca="false">IF(OR(D186="",H186=""),"",IF(H186&lt;=IF(OR(D186="Soldier Pile &amp; Timber Lagging",D186="Trench Shoring Box",D186="Open Cut (battered)"),SG_Criteria!$B$34,SG_Criteria!$B$33),"No ERSS submission",IF(H186&lt;=SG_Criteria!$B$35,"QP(ST)",IF(H186&lt;=SG_Criteria!$B$36,"QP(ST) + AC","Geotechnical building works: QP(Geo) + AC"))))</f>
        <v/>
      </c>
      <c r="BB186" s="33" t="str">
        <f aca="false">IF(D186="","",IF(LEN(IF(AND(R186&lt;&gt;"",R186&lt;SG_Criteria!$B$37),"FAIL: base stability FOS &lt; "&amp;SG_Criteria!$B$37&amp;". ","")&amp;IF(AND(E186="Manhole",H186&gt;SG_Criteria!$B$36),"NOTE: BCA lists sewer manholes (pipe &lt;= 2 m dia) &gt; 6 m as non-GBW: QP(ST) + AC. ","")&amp;IF(AND(D186="Trench Shoring Box",I186="Kallang Formation (marine clay)"),"NOTE: check base heave / ground loss for shoring box in marine clay. ","")&amp;IF(AND(D186="Steel Sheet Pile Cofferdam",N(N186)&lt;H186*0.5),"NOTE: short toe embedment, check. ",""))=0,"OK",IF(AND(R186&lt;&gt;"",R186&lt;SG_Criteria!$B$37),"FAIL: base stability FOS &lt; "&amp;SG_Criteria!$B$37&amp;". ","")&amp;IF(AND(E186="Manhole",H186&gt;SG_Criteria!$B$36),"NOTE: BCA lists sewer manholes (pipe &lt;= 2 m dia) &gt; 6 m as non-GBW: QP(ST) + AC. ","")&amp;IF(AND(D186="Trench Shoring Box",I186="Kallang Formation (marine clay)"),"NOTE: check base heave / ground loss for shoring box in marine clay. ","")&amp;IF(AND(D186="Steel Sheet Pile Cofferdam",N(N186)&lt;H186*0.5),"NOTE: short toe embedment, check. ","")))</f>
        <v/>
      </c>
      <c r="BC186" s="9"/>
      <c r="BD186" s="9"/>
      <c r="BE186" s="9"/>
      <c r="BF186" s="10" t="str">
        <f aca="false">IF(BE186="","",IFERROR(VLOOKUP(BE186,Projects!$A$5:$D$504,2,0),"Ref not in Projects"))</f>
        <v/>
      </c>
      <c r="BG186" s="10" t="str">
        <f aca="false">IF(BE186="","",IFERROR(VLOOKUP(BE186,Projects!$A$5:$D$504,4,0),"Ref not in Projects"))</f>
        <v/>
      </c>
      <c r="BH186" s="9"/>
      <c r="BI186" s="9"/>
      <c r="BJ186" s="9"/>
      <c r="BK186" s="40"/>
      <c r="BL186" s="9"/>
      <c r="BM186" s="40"/>
      <c r="BN186" s="9"/>
      <c r="BO186" s="40"/>
      <c r="BP186" s="9"/>
      <c r="BQ186" s="9"/>
      <c r="BR186" s="9"/>
      <c r="BS186" s="40"/>
      <c r="BT186" s="40"/>
      <c r="BU186" s="36" t="str">
        <f aca="false">IF(BT186="","",EDATE(BT186,SG_Criteria!$B$54*12))</f>
        <v/>
      </c>
      <c r="BV186" s="33" t="str">
        <f aca="true">IF(A186="","",IF(BT186="","NOTE: not reviewed yet",IF(TODAY()&gt;BU186,"NOTE: review overdue","OK")))</f>
        <v/>
      </c>
      <c r="BW186" s="37" t="str">
        <f aca="false">IF(A186="","",ROUND((IF(LEN(D186)&gt;0,1,0)+IF(LEN(E186)&gt;0,1,0)+IF(LEN(F186)&gt;0,1,0)+IF(LEN(G186)&gt;0,1,0)+IF(LEN(H186)&gt;0,1,0)+IF(LEN(I186)&gt;0,1,0)+IF(LEN(J186)&gt;0,1,0)+IF(LEN(L186)&gt;0,1,0)+IF(LEN(R186)&gt;0,1,0)+IF(LEN(Y186)&gt;0,1,0)+IF(LEN(AE186)&gt;0,1,0)+IF(LEN(AG186)&gt;0,1,0)+IF(LEN(AH186)&gt;0,1,0)+IF(LEN(AI186)&gt;0,1,0)+IF(LEN(AJ186)&gt;0,1,0)+IF(LEN(AS186)&gt;0,1,0)+IF(LEN(BE186)&gt;0,1,0)+IF(LEN(BR186)&gt;0,1,0))/18,2))</f>
        <v/>
      </c>
      <c r="BX186" s="10" t="str">
        <f aca="false">IF(D186="","",IF(AND(AH186="Approved",ISERROR(SEARCH("FAIL",BB186))),"Y","N"))</f>
        <v/>
      </c>
      <c r="BY186" s="10" t="str">
        <f aca="false">IF(D186="","",D186&amp;"|"&amp;H186&amp;"|"&amp;F186&amp;"|"&amp;I186&amp;"|"&amp;BX186)</f>
        <v/>
      </c>
    </row>
    <row r="187" customFormat="false" ht="15" hidden="false" customHeight="false" outlineLevel="0" collapsed="false">
      <c r="A187" s="10" t="str">
        <f aca="false">IF(D187="","","ERSS-"&amp;IFERROR(VLOOKUP(D187,Lists!$AK$4:$AL$21,2,0),"??")&amp;"-"&amp;TEXT(F187,"0000")&amp;"x"&amp;TEXT(G187,"0000")&amp;"-D"&amp;TEXT(H187*1000,"0000")&amp;"-"&amp;IFERROR(VLOOKUP(I187,Lists!$Y$4:$Z$21,2,0),"??")&amp;"-"&amp;AG187)</f>
        <v/>
      </c>
      <c r="B187" s="10" t="str">
        <f aca="false">IF(D187="","",D187&amp;" for "&amp;E187&amp;", "&amp;F187&amp;" x "&amp;G187&amp;" pit, "&amp;TEXT(H187,"0.0")&amp;" m deep, "&amp;I187)</f>
        <v/>
      </c>
      <c r="C187" s="9"/>
      <c r="D187" s="9"/>
      <c r="E187" s="9"/>
      <c r="F187" s="38"/>
      <c r="G187" s="38"/>
      <c r="H187" s="42"/>
      <c r="I187" s="9"/>
      <c r="J187" s="42"/>
      <c r="K187" s="38"/>
      <c r="L187" s="9"/>
      <c r="M187" s="42"/>
      <c r="N187" s="42"/>
      <c r="O187" s="38"/>
      <c r="P187" s="9"/>
      <c r="Q187" s="9"/>
      <c r="R187" s="39"/>
      <c r="S187" s="39"/>
      <c r="T187" s="38"/>
      <c r="U187" s="38"/>
      <c r="V187" s="38"/>
      <c r="W187" s="9"/>
      <c r="X187" s="9"/>
      <c r="Y187" s="38"/>
      <c r="Z187" s="9"/>
      <c r="AA187" s="9"/>
      <c r="AB187" s="38"/>
      <c r="AC187" s="9"/>
      <c r="AD187" s="39"/>
      <c r="AE187" s="9"/>
      <c r="AF187" s="9"/>
      <c r="AG187" s="9"/>
      <c r="AH187" s="9"/>
      <c r="AI187" s="9"/>
      <c r="AJ187" s="9"/>
      <c r="AK187" s="9"/>
      <c r="AL187" s="10" t="str">
        <f aca="false">IF(A187="","",SG_Criteria!$B$6&amp;SG_Criteria!$B$11&amp;"\"&amp;A187&amp;"\")</f>
        <v/>
      </c>
      <c r="AM187" s="10" t="str">
        <f aca="false">IF(A187="","",A187&amp;"_CAD.dwg")</f>
        <v/>
      </c>
      <c r="AN187" s="10" t="str">
        <f aca="false">IF(A187="","",A187&amp;"_DWG.pdf")</f>
        <v/>
      </c>
      <c r="AO187" s="10" t="str">
        <f aca="false">IF(A187="","",IF(AK187="Y",A187&amp;"_STAAD.std","n/a"))</f>
        <v/>
      </c>
      <c r="AP187" s="10" t="str">
        <f aca="false">IF(A187="","",A187&amp;"_CALC.xlsx")</f>
        <v/>
      </c>
      <c r="AQ187" s="10" t="str">
        <f aca="false">IF(A187="","",A187&amp;"_CALC.pdf")</f>
        <v/>
      </c>
      <c r="AR187" s="9"/>
      <c r="AS187" s="9"/>
      <c r="AT187" s="39"/>
      <c r="AU187" s="39"/>
      <c r="AV187" s="39"/>
      <c r="AW187" s="39"/>
      <c r="AX187" s="39"/>
      <c r="AY187" s="12" t="str">
        <f aca="false">IF(A187="","",IF(COUNTIF(Rebar_Schedule!$A$5:$A$2004,A187)=0,"",ROUND(SUMIF(Rebar_Schedule!$A$5:$A$2004,A187,Rebar_Schedule!$K$5:$K$2004),1)))</f>
        <v/>
      </c>
      <c r="AZ187" s="33" t="str">
        <f aca="false">IF(A187="","",IF(AY187="","No rebar schedule yet",IF(ABS(AY187-N(AU187))/MAX(N(AU187),1)&gt;SG_Criteria!$B$55,"NOTE: register rebar differs from schedule by "&amp;TEXT(ABS(AY187-N(AU187))/MAX(N(AU187),1),"0%"),"OK")))</f>
        <v/>
      </c>
      <c r="BA187" s="33" t="str">
        <f aca="false">IF(OR(D187="",H187=""),"",IF(H187&lt;=IF(OR(D187="Soldier Pile &amp; Timber Lagging",D187="Trench Shoring Box",D187="Open Cut (battered)"),SG_Criteria!$B$34,SG_Criteria!$B$33),"No ERSS submission",IF(H187&lt;=SG_Criteria!$B$35,"QP(ST)",IF(H187&lt;=SG_Criteria!$B$36,"QP(ST) + AC","Geotechnical building works: QP(Geo) + AC"))))</f>
        <v/>
      </c>
      <c r="BB187" s="33" t="str">
        <f aca="false">IF(D187="","",IF(LEN(IF(AND(R187&lt;&gt;"",R187&lt;SG_Criteria!$B$37),"FAIL: base stability FOS &lt; "&amp;SG_Criteria!$B$37&amp;". ","")&amp;IF(AND(E187="Manhole",H187&gt;SG_Criteria!$B$36),"NOTE: BCA lists sewer manholes (pipe &lt;= 2 m dia) &gt; 6 m as non-GBW: QP(ST) + AC. ","")&amp;IF(AND(D187="Trench Shoring Box",I187="Kallang Formation (marine clay)"),"NOTE: check base heave / ground loss for shoring box in marine clay. ","")&amp;IF(AND(D187="Steel Sheet Pile Cofferdam",N(N187)&lt;H187*0.5),"NOTE: short toe embedment, check. ",""))=0,"OK",IF(AND(R187&lt;&gt;"",R187&lt;SG_Criteria!$B$37),"FAIL: base stability FOS &lt; "&amp;SG_Criteria!$B$37&amp;". ","")&amp;IF(AND(E187="Manhole",H187&gt;SG_Criteria!$B$36),"NOTE: BCA lists sewer manholes (pipe &lt;= 2 m dia) &gt; 6 m as non-GBW: QP(ST) + AC. ","")&amp;IF(AND(D187="Trench Shoring Box",I187="Kallang Formation (marine clay)"),"NOTE: check base heave / ground loss for shoring box in marine clay. ","")&amp;IF(AND(D187="Steel Sheet Pile Cofferdam",N(N187)&lt;H187*0.5),"NOTE: short toe embedment, check. ","")))</f>
        <v/>
      </c>
      <c r="BC187" s="9"/>
      <c r="BD187" s="9"/>
      <c r="BE187" s="9"/>
      <c r="BF187" s="10" t="str">
        <f aca="false">IF(BE187="","",IFERROR(VLOOKUP(BE187,Projects!$A$5:$D$504,2,0),"Ref not in Projects"))</f>
        <v/>
      </c>
      <c r="BG187" s="10" t="str">
        <f aca="false">IF(BE187="","",IFERROR(VLOOKUP(BE187,Projects!$A$5:$D$504,4,0),"Ref not in Projects"))</f>
        <v/>
      </c>
      <c r="BH187" s="9"/>
      <c r="BI187" s="9"/>
      <c r="BJ187" s="9"/>
      <c r="BK187" s="40"/>
      <c r="BL187" s="9"/>
      <c r="BM187" s="40"/>
      <c r="BN187" s="9"/>
      <c r="BO187" s="40"/>
      <c r="BP187" s="9"/>
      <c r="BQ187" s="9"/>
      <c r="BR187" s="9"/>
      <c r="BS187" s="40"/>
      <c r="BT187" s="40"/>
      <c r="BU187" s="36" t="str">
        <f aca="false">IF(BT187="","",EDATE(BT187,SG_Criteria!$B$54*12))</f>
        <v/>
      </c>
      <c r="BV187" s="33" t="str">
        <f aca="true">IF(A187="","",IF(BT187="","NOTE: not reviewed yet",IF(TODAY()&gt;BU187,"NOTE: review overdue","OK")))</f>
        <v/>
      </c>
      <c r="BW187" s="37" t="str">
        <f aca="false">IF(A187="","",ROUND((IF(LEN(D187)&gt;0,1,0)+IF(LEN(E187)&gt;0,1,0)+IF(LEN(F187)&gt;0,1,0)+IF(LEN(G187)&gt;0,1,0)+IF(LEN(H187)&gt;0,1,0)+IF(LEN(I187)&gt;0,1,0)+IF(LEN(J187)&gt;0,1,0)+IF(LEN(L187)&gt;0,1,0)+IF(LEN(R187)&gt;0,1,0)+IF(LEN(Y187)&gt;0,1,0)+IF(LEN(AE187)&gt;0,1,0)+IF(LEN(AG187)&gt;0,1,0)+IF(LEN(AH187)&gt;0,1,0)+IF(LEN(AI187)&gt;0,1,0)+IF(LEN(AJ187)&gt;0,1,0)+IF(LEN(AS187)&gt;0,1,0)+IF(LEN(BE187)&gt;0,1,0)+IF(LEN(BR187)&gt;0,1,0))/18,2))</f>
        <v/>
      </c>
      <c r="BX187" s="10" t="str">
        <f aca="false">IF(D187="","",IF(AND(AH187="Approved",ISERROR(SEARCH("FAIL",BB187))),"Y","N"))</f>
        <v/>
      </c>
      <c r="BY187" s="10" t="str">
        <f aca="false">IF(D187="","",D187&amp;"|"&amp;H187&amp;"|"&amp;F187&amp;"|"&amp;I187&amp;"|"&amp;BX187)</f>
        <v/>
      </c>
    </row>
    <row r="188" customFormat="false" ht="15" hidden="false" customHeight="false" outlineLevel="0" collapsed="false">
      <c r="A188" s="10" t="str">
        <f aca="false">IF(D188="","","ERSS-"&amp;IFERROR(VLOOKUP(D188,Lists!$AK$4:$AL$21,2,0),"??")&amp;"-"&amp;TEXT(F188,"0000")&amp;"x"&amp;TEXT(G188,"0000")&amp;"-D"&amp;TEXT(H188*1000,"0000")&amp;"-"&amp;IFERROR(VLOOKUP(I188,Lists!$Y$4:$Z$21,2,0),"??")&amp;"-"&amp;AG188)</f>
        <v/>
      </c>
      <c r="B188" s="10" t="str">
        <f aca="false">IF(D188="","",D188&amp;" for "&amp;E188&amp;", "&amp;F188&amp;" x "&amp;G188&amp;" pit, "&amp;TEXT(H188,"0.0")&amp;" m deep, "&amp;I188)</f>
        <v/>
      </c>
      <c r="C188" s="9"/>
      <c r="D188" s="9"/>
      <c r="E188" s="9"/>
      <c r="F188" s="38"/>
      <c r="G188" s="38"/>
      <c r="H188" s="42"/>
      <c r="I188" s="9"/>
      <c r="J188" s="42"/>
      <c r="K188" s="38"/>
      <c r="L188" s="9"/>
      <c r="M188" s="42"/>
      <c r="N188" s="42"/>
      <c r="O188" s="38"/>
      <c r="P188" s="9"/>
      <c r="Q188" s="9"/>
      <c r="R188" s="39"/>
      <c r="S188" s="39"/>
      <c r="T188" s="38"/>
      <c r="U188" s="38"/>
      <c r="V188" s="38"/>
      <c r="W188" s="9"/>
      <c r="X188" s="9"/>
      <c r="Y188" s="38"/>
      <c r="Z188" s="9"/>
      <c r="AA188" s="9"/>
      <c r="AB188" s="38"/>
      <c r="AC188" s="9"/>
      <c r="AD188" s="39"/>
      <c r="AE188" s="9"/>
      <c r="AF188" s="9"/>
      <c r="AG188" s="9"/>
      <c r="AH188" s="9"/>
      <c r="AI188" s="9"/>
      <c r="AJ188" s="9"/>
      <c r="AK188" s="9"/>
      <c r="AL188" s="10" t="str">
        <f aca="false">IF(A188="","",SG_Criteria!$B$6&amp;SG_Criteria!$B$11&amp;"\"&amp;A188&amp;"\")</f>
        <v/>
      </c>
      <c r="AM188" s="10" t="str">
        <f aca="false">IF(A188="","",A188&amp;"_CAD.dwg")</f>
        <v/>
      </c>
      <c r="AN188" s="10" t="str">
        <f aca="false">IF(A188="","",A188&amp;"_DWG.pdf")</f>
        <v/>
      </c>
      <c r="AO188" s="10" t="str">
        <f aca="false">IF(A188="","",IF(AK188="Y",A188&amp;"_STAAD.std","n/a"))</f>
        <v/>
      </c>
      <c r="AP188" s="10" t="str">
        <f aca="false">IF(A188="","",A188&amp;"_CALC.xlsx")</f>
        <v/>
      </c>
      <c r="AQ188" s="10" t="str">
        <f aca="false">IF(A188="","",A188&amp;"_CALC.pdf")</f>
        <v/>
      </c>
      <c r="AR188" s="9"/>
      <c r="AS188" s="9"/>
      <c r="AT188" s="39"/>
      <c r="AU188" s="39"/>
      <c r="AV188" s="39"/>
      <c r="AW188" s="39"/>
      <c r="AX188" s="39"/>
      <c r="AY188" s="12" t="str">
        <f aca="false">IF(A188="","",IF(COUNTIF(Rebar_Schedule!$A$5:$A$2004,A188)=0,"",ROUND(SUMIF(Rebar_Schedule!$A$5:$A$2004,A188,Rebar_Schedule!$K$5:$K$2004),1)))</f>
        <v/>
      </c>
      <c r="AZ188" s="33" t="str">
        <f aca="false">IF(A188="","",IF(AY188="","No rebar schedule yet",IF(ABS(AY188-N(AU188))/MAX(N(AU188),1)&gt;SG_Criteria!$B$55,"NOTE: register rebar differs from schedule by "&amp;TEXT(ABS(AY188-N(AU188))/MAX(N(AU188),1),"0%"),"OK")))</f>
        <v/>
      </c>
      <c r="BA188" s="33" t="str">
        <f aca="false">IF(OR(D188="",H188=""),"",IF(H188&lt;=IF(OR(D188="Soldier Pile &amp; Timber Lagging",D188="Trench Shoring Box",D188="Open Cut (battered)"),SG_Criteria!$B$34,SG_Criteria!$B$33),"No ERSS submission",IF(H188&lt;=SG_Criteria!$B$35,"QP(ST)",IF(H188&lt;=SG_Criteria!$B$36,"QP(ST) + AC","Geotechnical building works: QP(Geo) + AC"))))</f>
        <v/>
      </c>
      <c r="BB188" s="33" t="str">
        <f aca="false">IF(D188="","",IF(LEN(IF(AND(R188&lt;&gt;"",R188&lt;SG_Criteria!$B$37),"FAIL: base stability FOS &lt; "&amp;SG_Criteria!$B$37&amp;". ","")&amp;IF(AND(E188="Manhole",H188&gt;SG_Criteria!$B$36),"NOTE: BCA lists sewer manholes (pipe &lt;= 2 m dia) &gt; 6 m as non-GBW: QP(ST) + AC. ","")&amp;IF(AND(D188="Trench Shoring Box",I188="Kallang Formation (marine clay)"),"NOTE: check base heave / ground loss for shoring box in marine clay. ","")&amp;IF(AND(D188="Steel Sheet Pile Cofferdam",N(N188)&lt;H188*0.5),"NOTE: short toe embedment, check. ",""))=0,"OK",IF(AND(R188&lt;&gt;"",R188&lt;SG_Criteria!$B$37),"FAIL: base stability FOS &lt; "&amp;SG_Criteria!$B$37&amp;". ","")&amp;IF(AND(E188="Manhole",H188&gt;SG_Criteria!$B$36),"NOTE: BCA lists sewer manholes (pipe &lt;= 2 m dia) &gt; 6 m as non-GBW: QP(ST) + AC. ","")&amp;IF(AND(D188="Trench Shoring Box",I188="Kallang Formation (marine clay)"),"NOTE: check base heave / ground loss for shoring box in marine clay. ","")&amp;IF(AND(D188="Steel Sheet Pile Cofferdam",N(N188)&lt;H188*0.5),"NOTE: short toe embedment, check. ","")))</f>
        <v/>
      </c>
      <c r="BC188" s="9"/>
      <c r="BD188" s="9"/>
      <c r="BE188" s="9"/>
      <c r="BF188" s="10" t="str">
        <f aca="false">IF(BE188="","",IFERROR(VLOOKUP(BE188,Projects!$A$5:$D$504,2,0),"Ref not in Projects"))</f>
        <v/>
      </c>
      <c r="BG188" s="10" t="str">
        <f aca="false">IF(BE188="","",IFERROR(VLOOKUP(BE188,Projects!$A$5:$D$504,4,0),"Ref not in Projects"))</f>
        <v/>
      </c>
      <c r="BH188" s="9"/>
      <c r="BI188" s="9"/>
      <c r="BJ188" s="9"/>
      <c r="BK188" s="40"/>
      <c r="BL188" s="9"/>
      <c r="BM188" s="40"/>
      <c r="BN188" s="9"/>
      <c r="BO188" s="40"/>
      <c r="BP188" s="9"/>
      <c r="BQ188" s="9"/>
      <c r="BR188" s="9"/>
      <c r="BS188" s="40"/>
      <c r="BT188" s="40"/>
      <c r="BU188" s="36" t="str">
        <f aca="false">IF(BT188="","",EDATE(BT188,SG_Criteria!$B$54*12))</f>
        <v/>
      </c>
      <c r="BV188" s="33" t="str">
        <f aca="true">IF(A188="","",IF(BT188="","NOTE: not reviewed yet",IF(TODAY()&gt;BU188,"NOTE: review overdue","OK")))</f>
        <v/>
      </c>
      <c r="BW188" s="37" t="str">
        <f aca="false">IF(A188="","",ROUND((IF(LEN(D188)&gt;0,1,0)+IF(LEN(E188)&gt;0,1,0)+IF(LEN(F188)&gt;0,1,0)+IF(LEN(G188)&gt;0,1,0)+IF(LEN(H188)&gt;0,1,0)+IF(LEN(I188)&gt;0,1,0)+IF(LEN(J188)&gt;0,1,0)+IF(LEN(L188)&gt;0,1,0)+IF(LEN(R188)&gt;0,1,0)+IF(LEN(Y188)&gt;0,1,0)+IF(LEN(AE188)&gt;0,1,0)+IF(LEN(AG188)&gt;0,1,0)+IF(LEN(AH188)&gt;0,1,0)+IF(LEN(AI188)&gt;0,1,0)+IF(LEN(AJ188)&gt;0,1,0)+IF(LEN(AS188)&gt;0,1,0)+IF(LEN(BE188)&gt;0,1,0)+IF(LEN(BR188)&gt;0,1,0))/18,2))</f>
        <v/>
      </c>
      <c r="BX188" s="10" t="str">
        <f aca="false">IF(D188="","",IF(AND(AH188="Approved",ISERROR(SEARCH("FAIL",BB188))),"Y","N"))</f>
        <v/>
      </c>
      <c r="BY188" s="10" t="str">
        <f aca="false">IF(D188="","",D188&amp;"|"&amp;H188&amp;"|"&amp;F188&amp;"|"&amp;I188&amp;"|"&amp;BX188)</f>
        <v/>
      </c>
    </row>
    <row r="189" customFormat="false" ht="15" hidden="false" customHeight="false" outlineLevel="0" collapsed="false">
      <c r="A189" s="10" t="str">
        <f aca="false">IF(D189="","","ERSS-"&amp;IFERROR(VLOOKUP(D189,Lists!$AK$4:$AL$21,2,0),"??")&amp;"-"&amp;TEXT(F189,"0000")&amp;"x"&amp;TEXT(G189,"0000")&amp;"-D"&amp;TEXT(H189*1000,"0000")&amp;"-"&amp;IFERROR(VLOOKUP(I189,Lists!$Y$4:$Z$21,2,0),"??")&amp;"-"&amp;AG189)</f>
        <v/>
      </c>
      <c r="B189" s="10" t="str">
        <f aca="false">IF(D189="","",D189&amp;" for "&amp;E189&amp;", "&amp;F189&amp;" x "&amp;G189&amp;" pit, "&amp;TEXT(H189,"0.0")&amp;" m deep, "&amp;I189)</f>
        <v/>
      </c>
      <c r="C189" s="9"/>
      <c r="D189" s="9"/>
      <c r="E189" s="9"/>
      <c r="F189" s="38"/>
      <c r="G189" s="38"/>
      <c r="H189" s="42"/>
      <c r="I189" s="9"/>
      <c r="J189" s="42"/>
      <c r="K189" s="38"/>
      <c r="L189" s="9"/>
      <c r="M189" s="42"/>
      <c r="N189" s="42"/>
      <c r="O189" s="38"/>
      <c r="P189" s="9"/>
      <c r="Q189" s="9"/>
      <c r="R189" s="39"/>
      <c r="S189" s="39"/>
      <c r="T189" s="38"/>
      <c r="U189" s="38"/>
      <c r="V189" s="38"/>
      <c r="W189" s="9"/>
      <c r="X189" s="9"/>
      <c r="Y189" s="38"/>
      <c r="Z189" s="9"/>
      <c r="AA189" s="9"/>
      <c r="AB189" s="38"/>
      <c r="AC189" s="9"/>
      <c r="AD189" s="39"/>
      <c r="AE189" s="9"/>
      <c r="AF189" s="9"/>
      <c r="AG189" s="9"/>
      <c r="AH189" s="9"/>
      <c r="AI189" s="9"/>
      <c r="AJ189" s="9"/>
      <c r="AK189" s="9"/>
      <c r="AL189" s="10" t="str">
        <f aca="false">IF(A189="","",SG_Criteria!$B$6&amp;SG_Criteria!$B$11&amp;"\"&amp;A189&amp;"\")</f>
        <v/>
      </c>
      <c r="AM189" s="10" t="str">
        <f aca="false">IF(A189="","",A189&amp;"_CAD.dwg")</f>
        <v/>
      </c>
      <c r="AN189" s="10" t="str">
        <f aca="false">IF(A189="","",A189&amp;"_DWG.pdf")</f>
        <v/>
      </c>
      <c r="AO189" s="10" t="str">
        <f aca="false">IF(A189="","",IF(AK189="Y",A189&amp;"_STAAD.std","n/a"))</f>
        <v/>
      </c>
      <c r="AP189" s="10" t="str">
        <f aca="false">IF(A189="","",A189&amp;"_CALC.xlsx")</f>
        <v/>
      </c>
      <c r="AQ189" s="10" t="str">
        <f aca="false">IF(A189="","",A189&amp;"_CALC.pdf")</f>
        <v/>
      </c>
      <c r="AR189" s="9"/>
      <c r="AS189" s="9"/>
      <c r="AT189" s="39"/>
      <c r="AU189" s="39"/>
      <c r="AV189" s="39"/>
      <c r="AW189" s="39"/>
      <c r="AX189" s="39"/>
      <c r="AY189" s="12" t="str">
        <f aca="false">IF(A189="","",IF(COUNTIF(Rebar_Schedule!$A$5:$A$2004,A189)=0,"",ROUND(SUMIF(Rebar_Schedule!$A$5:$A$2004,A189,Rebar_Schedule!$K$5:$K$2004),1)))</f>
        <v/>
      </c>
      <c r="AZ189" s="33" t="str">
        <f aca="false">IF(A189="","",IF(AY189="","No rebar schedule yet",IF(ABS(AY189-N(AU189))/MAX(N(AU189),1)&gt;SG_Criteria!$B$55,"NOTE: register rebar differs from schedule by "&amp;TEXT(ABS(AY189-N(AU189))/MAX(N(AU189),1),"0%"),"OK")))</f>
        <v/>
      </c>
      <c r="BA189" s="33" t="str">
        <f aca="false">IF(OR(D189="",H189=""),"",IF(H189&lt;=IF(OR(D189="Soldier Pile &amp; Timber Lagging",D189="Trench Shoring Box",D189="Open Cut (battered)"),SG_Criteria!$B$34,SG_Criteria!$B$33),"No ERSS submission",IF(H189&lt;=SG_Criteria!$B$35,"QP(ST)",IF(H189&lt;=SG_Criteria!$B$36,"QP(ST) + AC","Geotechnical building works: QP(Geo) + AC"))))</f>
        <v/>
      </c>
      <c r="BB189" s="33" t="str">
        <f aca="false">IF(D189="","",IF(LEN(IF(AND(R189&lt;&gt;"",R189&lt;SG_Criteria!$B$37),"FAIL: base stability FOS &lt; "&amp;SG_Criteria!$B$37&amp;". ","")&amp;IF(AND(E189="Manhole",H189&gt;SG_Criteria!$B$36),"NOTE: BCA lists sewer manholes (pipe &lt;= 2 m dia) &gt; 6 m as non-GBW: QP(ST) + AC. ","")&amp;IF(AND(D189="Trench Shoring Box",I189="Kallang Formation (marine clay)"),"NOTE: check base heave / ground loss for shoring box in marine clay. ","")&amp;IF(AND(D189="Steel Sheet Pile Cofferdam",N(N189)&lt;H189*0.5),"NOTE: short toe embedment, check. ",""))=0,"OK",IF(AND(R189&lt;&gt;"",R189&lt;SG_Criteria!$B$37),"FAIL: base stability FOS &lt; "&amp;SG_Criteria!$B$37&amp;". ","")&amp;IF(AND(E189="Manhole",H189&gt;SG_Criteria!$B$36),"NOTE: BCA lists sewer manholes (pipe &lt;= 2 m dia) &gt; 6 m as non-GBW: QP(ST) + AC. ","")&amp;IF(AND(D189="Trench Shoring Box",I189="Kallang Formation (marine clay)"),"NOTE: check base heave / ground loss for shoring box in marine clay. ","")&amp;IF(AND(D189="Steel Sheet Pile Cofferdam",N(N189)&lt;H189*0.5),"NOTE: short toe embedment, check. ","")))</f>
        <v/>
      </c>
      <c r="BC189" s="9"/>
      <c r="BD189" s="9"/>
      <c r="BE189" s="9"/>
      <c r="BF189" s="10" t="str">
        <f aca="false">IF(BE189="","",IFERROR(VLOOKUP(BE189,Projects!$A$5:$D$504,2,0),"Ref not in Projects"))</f>
        <v/>
      </c>
      <c r="BG189" s="10" t="str">
        <f aca="false">IF(BE189="","",IFERROR(VLOOKUP(BE189,Projects!$A$5:$D$504,4,0),"Ref not in Projects"))</f>
        <v/>
      </c>
      <c r="BH189" s="9"/>
      <c r="BI189" s="9"/>
      <c r="BJ189" s="9"/>
      <c r="BK189" s="40"/>
      <c r="BL189" s="9"/>
      <c r="BM189" s="40"/>
      <c r="BN189" s="9"/>
      <c r="BO189" s="40"/>
      <c r="BP189" s="9"/>
      <c r="BQ189" s="9"/>
      <c r="BR189" s="9"/>
      <c r="BS189" s="40"/>
      <c r="BT189" s="40"/>
      <c r="BU189" s="36" t="str">
        <f aca="false">IF(BT189="","",EDATE(BT189,SG_Criteria!$B$54*12))</f>
        <v/>
      </c>
      <c r="BV189" s="33" t="str">
        <f aca="true">IF(A189="","",IF(BT189="","NOTE: not reviewed yet",IF(TODAY()&gt;BU189,"NOTE: review overdue","OK")))</f>
        <v/>
      </c>
      <c r="BW189" s="37" t="str">
        <f aca="false">IF(A189="","",ROUND((IF(LEN(D189)&gt;0,1,0)+IF(LEN(E189)&gt;0,1,0)+IF(LEN(F189)&gt;0,1,0)+IF(LEN(G189)&gt;0,1,0)+IF(LEN(H189)&gt;0,1,0)+IF(LEN(I189)&gt;0,1,0)+IF(LEN(J189)&gt;0,1,0)+IF(LEN(L189)&gt;0,1,0)+IF(LEN(R189)&gt;0,1,0)+IF(LEN(Y189)&gt;0,1,0)+IF(LEN(AE189)&gt;0,1,0)+IF(LEN(AG189)&gt;0,1,0)+IF(LEN(AH189)&gt;0,1,0)+IF(LEN(AI189)&gt;0,1,0)+IF(LEN(AJ189)&gt;0,1,0)+IF(LEN(AS189)&gt;0,1,0)+IF(LEN(BE189)&gt;0,1,0)+IF(LEN(BR189)&gt;0,1,0))/18,2))</f>
        <v/>
      </c>
      <c r="BX189" s="10" t="str">
        <f aca="false">IF(D189="","",IF(AND(AH189="Approved",ISERROR(SEARCH("FAIL",BB189))),"Y","N"))</f>
        <v/>
      </c>
      <c r="BY189" s="10" t="str">
        <f aca="false">IF(D189="","",D189&amp;"|"&amp;H189&amp;"|"&amp;F189&amp;"|"&amp;I189&amp;"|"&amp;BX189)</f>
        <v/>
      </c>
    </row>
    <row r="190" customFormat="false" ht="15" hidden="false" customHeight="false" outlineLevel="0" collapsed="false">
      <c r="A190" s="10" t="str">
        <f aca="false">IF(D190="","","ERSS-"&amp;IFERROR(VLOOKUP(D190,Lists!$AK$4:$AL$21,2,0),"??")&amp;"-"&amp;TEXT(F190,"0000")&amp;"x"&amp;TEXT(G190,"0000")&amp;"-D"&amp;TEXT(H190*1000,"0000")&amp;"-"&amp;IFERROR(VLOOKUP(I190,Lists!$Y$4:$Z$21,2,0),"??")&amp;"-"&amp;AG190)</f>
        <v/>
      </c>
      <c r="B190" s="10" t="str">
        <f aca="false">IF(D190="","",D190&amp;" for "&amp;E190&amp;", "&amp;F190&amp;" x "&amp;G190&amp;" pit, "&amp;TEXT(H190,"0.0")&amp;" m deep, "&amp;I190)</f>
        <v/>
      </c>
      <c r="C190" s="9"/>
      <c r="D190" s="9"/>
      <c r="E190" s="9"/>
      <c r="F190" s="38"/>
      <c r="G190" s="38"/>
      <c r="H190" s="42"/>
      <c r="I190" s="9"/>
      <c r="J190" s="42"/>
      <c r="K190" s="38"/>
      <c r="L190" s="9"/>
      <c r="M190" s="42"/>
      <c r="N190" s="42"/>
      <c r="O190" s="38"/>
      <c r="P190" s="9"/>
      <c r="Q190" s="9"/>
      <c r="R190" s="39"/>
      <c r="S190" s="39"/>
      <c r="T190" s="38"/>
      <c r="U190" s="38"/>
      <c r="V190" s="38"/>
      <c r="W190" s="9"/>
      <c r="X190" s="9"/>
      <c r="Y190" s="38"/>
      <c r="Z190" s="9"/>
      <c r="AA190" s="9"/>
      <c r="AB190" s="38"/>
      <c r="AC190" s="9"/>
      <c r="AD190" s="39"/>
      <c r="AE190" s="9"/>
      <c r="AF190" s="9"/>
      <c r="AG190" s="9"/>
      <c r="AH190" s="9"/>
      <c r="AI190" s="9"/>
      <c r="AJ190" s="9"/>
      <c r="AK190" s="9"/>
      <c r="AL190" s="10" t="str">
        <f aca="false">IF(A190="","",SG_Criteria!$B$6&amp;SG_Criteria!$B$11&amp;"\"&amp;A190&amp;"\")</f>
        <v/>
      </c>
      <c r="AM190" s="10" t="str">
        <f aca="false">IF(A190="","",A190&amp;"_CAD.dwg")</f>
        <v/>
      </c>
      <c r="AN190" s="10" t="str">
        <f aca="false">IF(A190="","",A190&amp;"_DWG.pdf")</f>
        <v/>
      </c>
      <c r="AO190" s="10" t="str">
        <f aca="false">IF(A190="","",IF(AK190="Y",A190&amp;"_STAAD.std","n/a"))</f>
        <v/>
      </c>
      <c r="AP190" s="10" t="str">
        <f aca="false">IF(A190="","",A190&amp;"_CALC.xlsx")</f>
        <v/>
      </c>
      <c r="AQ190" s="10" t="str">
        <f aca="false">IF(A190="","",A190&amp;"_CALC.pdf")</f>
        <v/>
      </c>
      <c r="AR190" s="9"/>
      <c r="AS190" s="9"/>
      <c r="AT190" s="39"/>
      <c r="AU190" s="39"/>
      <c r="AV190" s="39"/>
      <c r="AW190" s="39"/>
      <c r="AX190" s="39"/>
      <c r="AY190" s="12" t="str">
        <f aca="false">IF(A190="","",IF(COUNTIF(Rebar_Schedule!$A$5:$A$2004,A190)=0,"",ROUND(SUMIF(Rebar_Schedule!$A$5:$A$2004,A190,Rebar_Schedule!$K$5:$K$2004),1)))</f>
        <v/>
      </c>
      <c r="AZ190" s="33" t="str">
        <f aca="false">IF(A190="","",IF(AY190="","No rebar schedule yet",IF(ABS(AY190-N(AU190))/MAX(N(AU190),1)&gt;SG_Criteria!$B$55,"NOTE: register rebar differs from schedule by "&amp;TEXT(ABS(AY190-N(AU190))/MAX(N(AU190),1),"0%"),"OK")))</f>
        <v/>
      </c>
      <c r="BA190" s="33" t="str">
        <f aca="false">IF(OR(D190="",H190=""),"",IF(H190&lt;=IF(OR(D190="Soldier Pile &amp; Timber Lagging",D190="Trench Shoring Box",D190="Open Cut (battered)"),SG_Criteria!$B$34,SG_Criteria!$B$33),"No ERSS submission",IF(H190&lt;=SG_Criteria!$B$35,"QP(ST)",IF(H190&lt;=SG_Criteria!$B$36,"QP(ST) + AC","Geotechnical building works: QP(Geo) + AC"))))</f>
        <v/>
      </c>
      <c r="BB190" s="33" t="str">
        <f aca="false">IF(D190="","",IF(LEN(IF(AND(R190&lt;&gt;"",R190&lt;SG_Criteria!$B$37),"FAIL: base stability FOS &lt; "&amp;SG_Criteria!$B$37&amp;". ","")&amp;IF(AND(E190="Manhole",H190&gt;SG_Criteria!$B$36),"NOTE: BCA lists sewer manholes (pipe &lt;= 2 m dia) &gt; 6 m as non-GBW: QP(ST) + AC. ","")&amp;IF(AND(D190="Trench Shoring Box",I190="Kallang Formation (marine clay)"),"NOTE: check base heave / ground loss for shoring box in marine clay. ","")&amp;IF(AND(D190="Steel Sheet Pile Cofferdam",N(N190)&lt;H190*0.5),"NOTE: short toe embedment, check. ",""))=0,"OK",IF(AND(R190&lt;&gt;"",R190&lt;SG_Criteria!$B$37),"FAIL: base stability FOS &lt; "&amp;SG_Criteria!$B$37&amp;". ","")&amp;IF(AND(E190="Manhole",H190&gt;SG_Criteria!$B$36),"NOTE: BCA lists sewer manholes (pipe &lt;= 2 m dia) &gt; 6 m as non-GBW: QP(ST) + AC. ","")&amp;IF(AND(D190="Trench Shoring Box",I190="Kallang Formation (marine clay)"),"NOTE: check base heave / ground loss for shoring box in marine clay. ","")&amp;IF(AND(D190="Steel Sheet Pile Cofferdam",N(N190)&lt;H190*0.5),"NOTE: short toe embedment, check. ","")))</f>
        <v/>
      </c>
      <c r="BC190" s="9"/>
      <c r="BD190" s="9"/>
      <c r="BE190" s="9"/>
      <c r="BF190" s="10" t="str">
        <f aca="false">IF(BE190="","",IFERROR(VLOOKUP(BE190,Projects!$A$5:$D$504,2,0),"Ref not in Projects"))</f>
        <v/>
      </c>
      <c r="BG190" s="10" t="str">
        <f aca="false">IF(BE190="","",IFERROR(VLOOKUP(BE190,Projects!$A$5:$D$504,4,0),"Ref not in Projects"))</f>
        <v/>
      </c>
      <c r="BH190" s="9"/>
      <c r="BI190" s="9"/>
      <c r="BJ190" s="9"/>
      <c r="BK190" s="40"/>
      <c r="BL190" s="9"/>
      <c r="BM190" s="40"/>
      <c r="BN190" s="9"/>
      <c r="BO190" s="40"/>
      <c r="BP190" s="9"/>
      <c r="BQ190" s="9"/>
      <c r="BR190" s="9"/>
      <c r="BS190" s="40"/>
      <c r="BT190" s="40"/>
      <c r="BU190" s="36" t="str">
        <f aca="false">IF(BT190="","",EDATE(BT190,SG_Criteria!$B$54*12))</f>
        <v/>
      </c>
      <c r="BV190" s="33" t="str">
        <f aca="true">IF(A190="","",IF(BT190="","NOTE: not reviewed yet",IF(TODAY()&gt;BU190,"NOTE: review overdue","OK")))</f>
        <v/>
      </c>
      <c r="BW190" s="37" t="str">
        <f aca="false">IF(A190="","",ROUND((IF(LEN(D190)&gt;0,1,0)+IF(LEN(E190)&gt;0,1,0)+IF(LEN(F190)&gt;0,1,0)+IF(LEN(G190)&gt;0,1,0)+IF(LEN(H190)&gt;0,1,0)+IF(LEN(I190)&gt;0,1,0)+IF(LEN(J190)&gt;0,1,0)+IF(LEN(L190)&gt;0,1,0)+IF(LEN(R190)&gt;0,1,0)+IF(LEN(Y190)&gt;0,1,0)+IF(LEN(AE190)&gt;0,1,0)+IF(LEN(AG190)&gt;0,1,0)+IF(LEN(AH190)&gt;0,1,0)+IF(LEN(AI190)&gt;0,1,0)+IF(LEN(AJ190)&gt;0,1,0)+IF(LEN(AS190)&gt;0,1,0)+IF(LEN(BE190)&gt;0,1,0)+IF(LEN(BR190)&gt;0,1,0))/18,2))</f>
        <v/>
      </c>
      <c r="BX190" s="10" t="str">
        <f aca="false">IF(D190="","",IF(AND(AH190="Approved",ISERROR(SEARCH("FAIL",BB190))),"Y","N"))</f>
        <v/>
      </c>
      <c r="BY190" s="10" t="str">
        <f aca="false">IF(D190="","",D190&amp;"|"&amp;H190&amp;"|"&amp;F190&amp;"|"&amp;I190&amp;"|"&amp;BX190)</f>
        <v/>
      </c>
    </row>
    <row r="191" customFormat="false" ht="15" hidden="false" customHeight="false" outlineLevel="0" collapsed="false">
      <c r="A191" s="10" t="str">
        <f aca="false">IF(D191="","","ERSS-"&amp;IFERROR(VLOOKUP(D191,Lists!$AK$4:$AL$21,2,0),"??")&amp;"-"&amp;TEXT(F191,"0000")&amp;"x"&amp;TEXT(G191,"0000")&amp;"-D"&amp;TEXT(H191*1000,"0000")&amp;"-"&amp;IFERROR(VLOOKUP(I191,Lists!$Y$4:$Z$21,2,0),"??")&amp;"-"&amp;AG191)</f>
        <v/>
      </c>
      <c r="B191" s="10" t="str">
        <f aca="false">IF(D191="","",D191&amp;" for "&amp;E191&amp;", "&amp;F191&amp;" x "&amp;G191&amp;" pit, "&amp;TEXT(H191,"0.0")&amp;" m deep, "&amp;I191)</f>
        <v/>
      </c>
      <c r="C191" s="9"/>
      <c r="D191" s="9"/>
      <c r="E191" s="9"/>
      <c r="F191" s="38"/>
      <c r="G191" s="38"/>
      <c r="H191" s="42"/>
      <c r="I191" s="9"/>
      <c r="J191" s="42"/>
      <c r="K191" s="38"/>
      <c r="L191" s="9"/>
      <c r="M191" s="42"/>
      <c r="N191" s="42"/>
      <c r="O191" s="38"/>
      <c r="P191" s="9"/>
      <c r="Q191" s="9"/>
      <c r="R191" s="39"/>
      <c r="S191" s="39"/>
      <c r="T191" s="38"/>
      <c r="U191" s="38"/>
      <c r="V191" s="38"/>
      <c r="W191" s="9"/>
      <c r="X191" s="9"/>
      <c r="Y191" s="38"/>
      <c r="Z191" s="9"/>
      <c r="AA191" s="9"/>
      <c r="AB191" s="38"/>
      <c r="AC191" s="9"/>
      <c r="AD191" s="39"/>
      <c r="AE191" s="9"/>
      <c r="AF191" s="9"/>
      <c r="AG191" s="9"/>
      <c r="AH191" s="9"/>
      <c r="AI191" s="9"/>
      <c r="AJ191" s="9"/>
      <c r="AK191" s="9"/>
      <c r="AL191" s="10" t="str">
        <f aca="false">IF(A191="","",SG_Criteria!$B$6&amp;SG_Criteria!$B$11&amp;"\"&amp;A191&amp;"\")</f>
        <v/>
      </c>
      <c r="AM191" s="10" t="str">
        <f aca="false">IF(A191="","",A191&amp;"_CAD.dwg")</f>
        <v/>
      </c>
      <c r="AN191" s="10" t="str">
        <f aca="false">IF(A191="","",A191&amp;"_DWG.pdf")</f>
        <v/>
      </c>
      <c r="AO191" s="10" t="str">
        <f aca="false">IF(A191="","",IF(AK191="Y",A191&amp;"_STAAD.std","n/a"))</f>
        <v/>
      </c>
      <c r="AP191" s="10" t="str">
        <f aca="false">IF(A191="","",A191&amp;"_CALC.xlsx")</f>
        <v/>
      </c>
      <c r="AQ191" s="10" t="str">
        <f aca="false">IF(A191="","",A191&amp;"_CALC.pdf")</f>
        <v/>
      </c>
      <c r="AR191" s="9"/>
      <c r="AS191" s="9"/>
      <c r="AT191" s="39"/>
      <c r="AU191" s="39"/>
      <c r="AV191" s="39"/>
      <c r="AW191" s="39"/>
      <c r="AX191" s="39"/>
      <c r="AY191" s="12" t="str">
        <f aca="false">IF(A191="","",IF(COUNTIF(Rebar_Schedule!$A$5:$A$2004,A191)=0,"",ROUND(SUMIF(Rebar_Schedule!$A$5:$A$2004,A191,Rebar_Schedule!$K$5:$K$2004),1)))</f>
        <v/>
      </c>
      <c r="AZ191" s="33" t="str">
        <f aca="false">IF(A191="","",IF(AY191="","No rebar schedule yet",IF(ABS(AY191-N(AU191))/MAX(N(AU191),1)&gt;SG_Criteria!$B$55,"NOTE: register rebar differs from schedule by "&amp;TEXT(ABS(AY191-N(AU191))/MAX(N(AU191),1),"0%"),"OK")))</f>
        <v/>
      </c>
      <c r="BA191" s="33" t="str">
        <f aca="false">IF(OR(D191="",H191=""),"",IF(H191&lt;=IF(OR(D191="Soldier Pile &amp; Timber Lagging",D191="Trench Shoring Box",D191="Open Cut (battered)"),SG_Criteria!$B$34,SG_Criteria!$B$33),"No ERSS submission",IF(H191&lt;=SG_Criteria!$B$35,"QP(ST)",IF(H191&lt;=SG_Criteria!$B$36,"QP(ST) + AC","Geotechnical building works: QP(Geo) + AC"))))</f>
        <v/>
      </c>
      <c r="BB191" s="33" t="str">
        <f aca="false">IF(D191="","",IF(LEN(IF(AND(R191&lt;&gt;"",R191&lt;SG_Criteria!$B$37),"FAIL: base stability FOS &lt; "&amp;SG_Criteria!$B$37&amp;". ","")&amp;IF(AND(E191="Manhole",H191&gt;SG_Criteria!$B$36),"NOTE: BCA lists sewer manholes (pipe &lt;= 2 m dia) &gt; 6 m as non-GBW: QP(ST) + AC. ","")&amp;IF(AND(D191="Trench Shoring Box",I191="Kallang Formation (marine clay)"),"NOTE: check base heave / ground loss for shoring box in marine clay. ","")&amp;IF(AND(D191="Steel Sheet Pile Cofferdam",N(N191)&lt;H191*0.5),"NOTE: short toe embedment, check. ",""))=0,"OK",IF(AND(R191&lt;&gt;"",R191&lt;SG_Criteria!$B$37),"FAIL: base stability FOS &lt; "&amp;SG_Criteria!$B$37&amp;". ","")&amp;IF(AND(E191="Manhole",H191&gt;SG_Criteria!$B$36),"NOTE: BCA lists sewer manholes (pipe &lt;= 2 m dia) &gt; 6 m as non-GBW: QP(ST) + AC. ","")&amp;IF(AND(D191="Trench Shoring Box",I191="Kallang Formation (marine clay)"),"NOTE: check base heave / ground loss for shoring box in marine clay. ","")&amp;IF(AND(D191="Steel Sheet Pile Cofferdam",N(N191)&lt;H191*0.5),"NOTE: short toe embedment, check. ","")))</f>
        <v/>
      </c>
      <c r="BC191" s="9"/>
      <c r="BD191" s="9"/>
      <c r="BE191" s="9"/>
      <c r="BF191" s="10" t="str">
        <f aca="false">IF(BE191="","",IFERROR(VLOOKUP(BE191,Projects!$A$5:$D$504,2,0),"Ref not in Projects"))</f>
        <v/>
      </c>
      <c r="BG191" s="10" t="str">
        <f aca="false">IF(BE191="","",IFERROR(VLOOKUP(BE191,Projects!$A$5:$D$504,4,0),"Ref not in Projects"))</f>
        <v/>
      </c>
      <c r="BH191" s="9"/>
      <c r="BI191" s="9"/>
      <c r="BJ191" s="9"/>
      <c r="BK191" s="40"/>
      <c r="BL191" s="9"/>
      <c r="BM191" s="40"/>
      <c r="BN191" s="9"/>
      <c r="BO191" s="40"/>
      <c r="BP191" s="9"/>
      <c r="BQ191" s="9"/>
      <c r="BR191" s="9"/>
      <c r="BS191" s="40"/>
      <c r="BT191" s="40"/>
      <c r="BU191" s="36" t="str">
        <f aca="false">IF(BT191="","",EDATE(BT191,SG_Criteria!$B$54*12))</f>
        <v/>
      </c>
      <c r="BV191" s="33" t="str">
        <f aca="true">IF(A191="","",IF(BT191="","NOTE: not reviewed yet",IF(TODAY()&gt;BU191,"NOTE: review overdue","OK")))</f>
        <v/>
      </c>
      <c r="BW191" s="37" t="str">
        <f aca="false">IF(A191="","",ROUND((IF(LEN(D191)&gt;0,1,0)+IF(LEN(E191)&gt;0,1,0)+IF(LEN(F191)&gt;0,1,0)+IF(LEN(G191)&gt;0,1,0)+IF(LEN(H191)&gt;0,1,0)+IF(LEN(I191)&gt;0,1,0)+IF(LEN(J191)&gt;0,1,0)+IF(LEN(L191)&gt;0,1,0)+IF(LEN(R191)&gt;0,1,0)+IF(LEN(Y191)&gt;0,1,0)+IF(LEN(AE191)&gt;0,1,0)+IF(LEN(AG191)&gt;0,1,0)+IF(LEN(AH191)&gt;0,1,0)+IF(LEN(AI191)&gt;0,1,0)+IF(LEN(AJ191)&gt;0,1,0)+IF(LEN(AS191)&gt;0,1,0)+IF(LEN(BE191)&gt;0,1,0)+IF(LEN(BR191)&gt;0,1,0))/18,2))</f>
        <v/>
      </c>
      <c r="BX191" s="10" t="str">
        <f aca="false">IF(D191="","",IF(AND(AH191="Approved",ISERROR(SEARCH("FAIL",BB191))),"Y","N"))</f>
        <v/>
      </c>
      <c r="BY191" s="10" t="str">
        <f aca="false">IF(D191="","",D191&amp;"|"&amp;H191&amp;"|"&amp;F191&amp;"|"&amp;I191&amp;"|"&amp;BX191)</f>
        <v/>
      </c>
    </row>
    <row r="192" customFormat="false" ht="15" hidden="false" customHeight="false" outlineLevel="0" collapsed="false">
      <c r="A192" s="10" t="str">
        <f aca="false">IF(D192="","","ERSS-"&amp;IFERROR(VLOOKUP(D192,Lists!$AK$4:$AL$21,2,0),"??")&amp;"-"&amp;TEXT(F192,"0000")&amp;"x"&amp;TEXT(G192,"0000")&amp;"-D"&amp;TEXT(H192*1000,"0000")&amp;"-"&amp;IFERROR(VLOOKUP(I192,Lists!$Y$4:$Z$21,2,0),"??")&amp;"-"&amp;AG192)</f>
        <v/>
      </c>
      <c r="B192" s="10" t="str">
        <f aca="false">IF(D192="","",D192&amp;" for "&amp;E192&amp;", "&amp;F192&amp;" x "&amp;G192&amp;" pit, "&amp;TEXT(H192,"0.0")&amp;" m deep, "&amp;I192)</f>
        <v/>
      </c>
      <c r="C192" s="9"/>
      <c r="D192" s="9"/>
      <c r="E192" s="9"/>
      <c r="F192" s="38"/>
      <c r="G192" s="38"/>
      <c r="H192" s="42"/>
      <c r="I192" s="9"/>
      <c r="J192" s="42"/>
      <c r="K192" s="38"/>
      <c r="L192" s="9"/>
      <c r="M192" s="42"/>
      <c r="N192" s="42"/>
      <c r="O192" s="38"/>
      <c r="P192" s="9"/>
      <c r="Q192" s="9"/>
      <c r="R192" s="39"/>
      <c r="S192" s="39"/>
      <c r="T192" s="38"/>
      <c r="U192" s="38"/>
      <c r="V192" s="38"/>
      <c r="W192" s="9"/>
      <c r="X192" s="9"/>
      <c r="Y192" s="38"/>
      <c r="Z192" s="9"/>
      <c r="AA192" s="9"/>
      <c r="AB192" s="38"/>
      <c r="AC192" s="9"/>
      <c r="AD192" s="39"/>
      <c r="AE192" s="9"/>
      <c r="AF192" s="9"/>
      <c r="AG192" s="9"/>
      <c r="AH192" s="9"/>
      <c r="AI192" s="9"/>
      <c r="AJ192" s="9"/>
      <c r="AK192" s="9"/>
      <c r="AL192" s="10" t="str">
        <f aca="false">IF(A192="","",SG_Criteria!$B$6&amp;SG_Criteria!$B$11&amp;"\"&amp;A192&amp;"\")</f>
        <v/>
      </c>
      <c r="AM192" s="10" t="str">
        <f aca="false">IF(A192="","",A192&amp;"_CAD.dwg")</f>
        <v/>
      </c>
      <c r="AN192" s="10" t="str">
        <f aca="false">IF(A192="","",A192&amp;"_DWG.pdf")</f>
        <v/>
      </c>
      <c r="AO192" s="10" t="str">
        <f aca="false">IF(A192="","",IF(AK192="Y",A192&amp;"_STAAD.std","n/a"))</f>
        <v/>
      </c>
      <c r="AP192" s="10" t="str">
        <f aca="false">IF(A192="","",A192&amp;"_CALC.xlsx")</f>
        <v/>
      </c>
      <c r="AQ192" s="10" t="str">
        <f aca="false">IF(A192="","",A192&amp;"_CALC.pdf")</f>
        <v/>
      </c>
      <c r="AR192" s="9"/>
      <c r="AS192" s="9"/>
      <c r="AT192" s="39"/>
      <c r="AU192" s="39"/>
      <c r="AV192" s="39"/>
      <c r="AW192" s="39"/>
      <c r="AX192" s="39"/>
      <c r="AY192" s="12" t="str">
        <f aca="false">IF(A192="","",IF(COUNTIF(Rebar_Schedule!$A$5:$A$2004,A192)=0,"",ROUND(SUMIF(Rebar_Schedule!$A$5:$A$2004,A192,Rebar_Schedule!$K$5:$K$2004),1)))</f>
        <v/>
      </c>
      <c r="AZ192" s="33" t="str">
        <f aca="false">IF(A192="","",IF(AY192="","No rebar schedule yet",IF(ABS(AY192-N(AU192))/MAX(N(AU192),1)&gt;SG_Criteria!$B$55,"NOTE: register rebar differs from schedule by "&amp;TEXT(ABS(AY192-N(AU192))/MAX(N(AU192),1),"0%"),"OK")))</f>
        <v/>
      </c>
      <c r="BA192" s="33" t="str">
        <f aca="false">IF(OR(D192="",H192=""),"",IF(H192&lt;=IF(OR(D192="Soldier Pile &amp; Timber Lagging",D192="Trench Shoring Box",D192="Open Cut (battered)"),SG_Criteria!$B$34,SG_Criteria!$B$33),"No ERSS submission",IF(H192&lt;=SG_Criteria!$B$35,"QP(ST)",IF(H192&lt;=SG_Criteria!$B$36,"QP(ST) + AC","Geotechnical building works: QP(Geo) + AC"))))</f>
        <v/>
      </c>
      <c r="BB192" s="33" t="str">
        <f aca="false">IF(D192="","",IF(LEN(IF(AND(R192&lt;&gt;"",R192&lt;SG_Criteria!$B$37),"FAIL: base stability FOS &lt; "&amp;SG_Criteria!$B$37&amp;". ","")&amp;IF(AND(E192="Manhole",H192&gt;SG_Criteria!$B$36),"NOTE: BCA lists sewer manholes (pipe &lt;= 2 m dia) &gt; 6 m as non-GBW: QP(ST) + AC. ","")&amp;IF(AND(D192="Trench Shoring Box",I192="Kallang Formation (marine clay)"),"NOTE: check base heave / ground loss for shoring box in marine clay. ","")&amp;IF(AND(D192="Steel Sheet Pile Cofferdam",N(N192)&lt;H192*0.5),"NOTE: short toe embedment, check. ",""))=0,"OK",IF(AND(R192&lt;&gt;"",R192&lt;SG_Criteria!$B$37),"FAIL: base stability FOS &lt; "&amp;SG_Criteria!$B$37&amp;". ","")&amp;IF(AND(E192="Manhole",H192&gt;SG_Criteria!$B$36),"NOTE: BCA lists sewer manholes (pipe &lt;= 2 m dia) &gt; 6 m as non-GBW: QP(ST) + AC. ","")&amp;IF(AND(D192="Trench Shoring Box",I192="Kallang Formation (marine clay)"),"NOTE: check base heave / ground loss for shoring box in marine clay. ","")&amp;IF(AND(D192="Steel Sheet Pile Cofferdam",N(N192)&lt;H192*0.5),"NOTE: short toe embedment, check. ","")))</f>
        <v/>
      </c>
      <c r="BC192" s="9"/>
      <c r="BD192" s="9"/>
      <c r="BE192" s="9"/>
      <c r="BF192" s="10" t="str">
        <f aca="false">IF(BE192="","",IFERROR(VLOOKUP(BE192,Projects!$A$5:$D$504,2,0),"Ref not in Projects"))</f>
        <v/>
      </c>
      <c r="BG192" s="10" t="str">
        <f aca="false">IF(BE192="","",IFERROR(VLOOKUP(BE192,Projects!$A$5:$D$504,4,0),"Ref not in Projects"))</f>
        <v/>
      </c>
      <c r="BH192" s="9"/>
      <c r="BI192" s="9"/>
      <c r="BJ192" s="9"/>
      <c r="BK192" s="40"/>
      <c r="BL192" s="9"/>
      <c r="BM192" s="40"/>
      <c r="BN192" s="9"/>
      <c r="BO192" s="40"/>
      <c r="BP192" s="9"/>
      <c r="BQ192" s="9"/>
      <c r="BR192" s="9"/>
      <c r="BS192" s="40"/>
      <c r="BT192" s="40"/>
      <c r="BU192" s="36" t="str">
        <f aca="false">IF(BT192="","",EDATE(BT192,SG_Criteria!$B$54*12))</f>
        <v/>
      </c>
      <c r="BV192" s="33" t="str">
        <f aca="true">IF(A192="","",IF(BT192="","NOTE: not reviewed yet",IF(TODAY()&gt;BU192,"NOTE: review overdue","OK")))</f>
        <v/>
      </c>
      <c r="BW192" s="37" t="str">
        <f aca="false">IF(A192="","",ROUND((IF(LEN(D192)&gt;0,1,0)+IF(LEN(E192)&gt;0,1,0)+IF(LEN(F192)&gt;0,1,0)+IF(LEN(G192)&gt;0,1,0)+IF(LEN(H192)&gt;0,1,0)+IF(LEN(I192)&gt;0,1,0)+IF(LEN(J192)&gt;0,1,0)+IF(LEN(L192)&gt;0,1,0)+IF(LEN(R192)&gt;0,1,0)+IF(LEN(Y192)&gt;0,1,0)+IF(LEN(AE192)&gt;0,1,0)+IF(LEN(AG192)&gt;0,1,0)+IF(LEN(AH192)&gt;0,1,0)+IF(LEN(AI192)&gt;0,1,0)+IF(LEN(AJ192)&gt;0,1,0)+IF(LEN(AS192)&gt;0,1,0)+IF(LEN(BE192)&gt;0,1,0)+IF(LEN(BR192)&gt;0,1,0))/18,2))</f>
        <v/>
      </c>
      <c r="BX192" s="10" t="str">
        <f aca="false">IF(D192="","",IF(AND(AH192="Approved",ISERROR(SEARCH("FAIL",BB192))),"Y","N"))</f>
        <v/>
      </c>
      <c r="BY192" s="10" t="str">
        <f aca="false">IF(D192="","",D192&amp;"|"&amp;H192&amp;"|"&amp;F192&amp;"|"&amp;I192&amp;"|"&amp;BX192)</f>
        <v/>
      </c>
    </row>
    <row r="193" customFormat="false" ht="15" hidden="false" customHeight="false" outlineLevel="0" collapsed="false">
      <c r="A193" s="10" t="str">
        <f aca="false">IF(D193="","","ERSS-"&amp;IFERROR(VLOOKUP(D193,Lists!$AK$4:$AL$21,2,0),"??")&amp;"-"&amp;TEXT(F193,"0000")&amp;"x"&amp;TEXT(G193,"0000")&amp;"-D"&amp;TEXT(H193*1000,"0000")&amp;"-"&amp;IFERROR(VLOOKUP(I193,Lists!$Y$4:$Z$21,2,0),"??")&amp;"-"&amp;AG193)</f>
        <v/>
      </c>
      <c r="B193" s="10" t="str">
        <f aca="false">IF(D193="","",D193&amp;" for "&amp;E193&amp;", "&amp;F193&amp;" x "&amp;G193&amp;" pit, "&amp;TEXT(H193,"0.0")&amp;" m deep, "&amp;I193)</f>
        <v/>
      </c>
      <c r="C193" s="9"/>
      <c r="D193" s="9"/>
      <c r="E193" s="9"/>
      <c r="F193" s="38"/>
      <c r="G193" s="38"/>
      <c r="H193" s="42"/>
      <c r="I193" s="9"/>
      <c r="J193" s="42"/>
      <c r="K193" s="38"/>
      <c r="L193" s="9"/>
      <c r="M193" s="42"/>
      <c r="N193" s="42"/>
      <c r="O193" s="38"/>
      <c r="P193" s="9"/>
      <c r="Q193" s="9"/>
      <c r="R193" s="39"/>
      <c r="S193" s="39"/>
      <c r="T193" s="38"/>
      <c r="U193" s="38"/>
      <c r="V193" s="38"/>
      <c r="W193" s="9"/>
      <c r="X193" s="9"/>
      <c r="Y193" s="38"/>
      <c r="Z193" s="9"/>
      <c r="AA193" s="9"/>
      <c r="AB193" s="38"/>
      <c r="AC193" s="9"/>
      <c r="AD193" s="39"/>
      <c r="AE193" s="9"/>
      <c r="AF193" s="9"/>
      <c r="AG193" s="9"/>
      <c r="AH193" s="9"/>
      <c r="AI193" s="9"/>
      <c r="AJ193" s="9"/>
      <c r="AK193" s="9"/>
      <c r="AL193" s="10" t="str">
        <f aca="false">IF(A193="","",SG_Criteria!$B$6&amp;SG_Criteria!$B$11&amp;"\"&amp;A193&amp;"\")</f>
        <v/>
      </c>
      <c r="AM193" s="10" t="str">
        <f aca="false">IF(A193="","",A193&amp;"_CAD.dwg")</f>
        <v/>
      </c>
      <c r="AN193" s="10" t="str">
        <f aca="false">IF(A193="","",A193&amp;"_DWG.pdf")</f>
        <v/>
      </c>
      <c r="AO193" s="10" t="str">
        <f aca="false">IF(A193="","",IF(AK193="Y",A193&amp;"_STAAD.std","n/a"))</f>
        <v/>
      </c>
      <c r="AP193" s="10" t="str">
        <f aca="false">IF(A193="","",A193&amp;"_CALC.xlsx")</f>
        <v/>
      </c>
      <c r="AQ193" s="10" t="str">
        <f aca="false">IF(A193="","",A193&amp;"_CALC.pdf")</f>
        <v/>
      </c>
      <c r="AR193" s="9"/>
      <c r="AS193" s="9"/>
      <c r="AT193" s="39"/>
      <c r="AU193" s="39"/>
      <c r="AV193" s="39"/>
      <c r="AW193" s="39"/>
      <c r="AX193" s="39"/>
      <c r="AY193" s="12" t="str">
        <f aca="false">IF(A193="","",IF(COUNTIF(Rebar_Schedule!$A$5:$A$2004,A193)=0,"",ROUND(SUMIF(Rebar_Schedule!$A$5:$A$2004,A193,Rebar_Schedule!$K$5:$K$2004),1)))</f>
        <v/>
      </c>
      <c r="AZ193" s="33" t="str">
        <f aca="false">IF(A193="","",IF(AY193="","No rebar schedule yet",IF(ABS(AY193-N(AU193))/MAX(N(AU193),1)&gt;SG_Criteria!$B$55,"NOTE: register rebar differs from schedule by "&amp;TEXT(ABS(AY193-N(AU193))/MAX(N(AU193),1),"0%"),"OK")))</f>
        <v/>
      </c>
      <c r="BA193" s="33" t="str">
        <f aca="false">IF(OR(D193="",H193=""),"",IF(H193&lt;=IF(OR(D193="Soldier Pile &amp; Timber Lagging",D193="Trench Shoring Box",D193="Open Cut (battered)"),SG_Criteria!$B$34,SG_Criteria!$B$33),"No ERSS submission",IF(H193&lt;=SG_Criteria!$B$35,"QP(ST)",IF(H193&lt;=SG_Criteria!$B$36,"QP(ST) + AC","Geotechnical building works: QP(Geo) + AC"))))</f>
        <v/>
      </c>
      <c r="BB193" s="33" t="str">
        <f aca="false">IF(D193="","",IF(LEN(IF(AND(R193&lt;&gt;"",R193&lt;SG_Criteria!$B$37),"FAIL: base stability FOS &lt; "&amp;SG_Criteria!$B$37&amp;". ","")&amp;IF(AND(E193="Manhole",H193&gt;SG_Criteria!$B$36),"NOTE: BCA lists sewer manholes (pipe &lt;= 2 m dia) &gt; 6 m as non-GBW: QP(ST) + AC. ","")&amp;IF(AND(D193="Trench Shoring Box",I193="Kallang Formation (marine clay)"),"NOTE: check base heave / ground loss for shoring box in marine clay. ","")&amp;IF(AND(D193="Steel Sheet Pile Cofferdam",N(N193)&lt;H193*0.5),"NOTE: short toe embedment, check. ",""))=0,"OK",IF(AND(R193&lt;&gt;"",R193&lt;SG_Criteria!$B$37),"FAIL: base stability FOS &lt; "&amp;SG_Criteria!$B$37&amp;". ","")&amp;IF(AND(E193="Manhole",H193&gt;SG_Criteria!$B$36),"NOTE: BCA lists sewer manholes (pipe &lt;= 2 m dia) &gt; 6 m as non-GBW: QP(ST) + AC. ","")&amp;IF(AND(D193="Trench Shoring Box",I193="Kallang Formation (marine clay)"),"NOTE: check base heave / ground loss for shoring box in marine clay. ","")&amp;IF(AND(D193="Steel Sheet Pile Cofferdam",N(N193)&lt;H193*0.5),"NOTE: short toe embedment, check. ","")))</f>
        <v/>
      </c>
      <c r="BC193" s="9"/>
      <c r="BD193" s="9"/>
      <c r="BE193" s="9"/>
      <c r="BF193" s="10" t="str">
        <f aca="false">IF(BE193="","",IFERROR(VLOOKUP(BE193,Projects!$A$5:$D$504,2,0),"Ref not in Projects"))</f>
        <v/>
      </c>
      <c r="BG193" s="10" t="str">
        <f aca="false">IF(BE193="","",IFERROR(VLOOKUP(BE193,Projects!$A$5:$D$504,4,0),"Ref not in Projects"))</f>
        <v/>
      </c>
      <c r="BH193" s="9"/>
      <c r="BI193" s="9"/>
      <c r="BJ193" s="9"/>
      <c r="BK193" s="40"/>
      <c r="BL193" s="9"/>
      <c r="BM193" s="40"/>
      <c r="BN193" s="9"/>
      <c r="BO193" s="40"/>
      <c r="BP193" s="9"/>
      <c r="BQ193" s="9"/>
      <c r="BR193" s="9"/>
      <c r="BS193" s="40"/>
      <c r="BT193" s="40"/>
      <c r="BU193" s="36" t="str">
        <f aca="false">IF(BT193="","",EDATE(BT193,SG_Criteria!$B$54*12))</f>
        <v/>
      </c>
      <c r="BV193" s="33" t="str">
        <f aca="true">IF(A193="","",IF(BT193="","NOTE: not reviewed yet",IF(TODAY()&gt;BU193,"NOTE: review overdue","OK")))</f>
        <v/>
      </c>
      <c r="BW193" s="37" t="str">
        <f aca="false">IF(A193="","",ROUND((IF(LEN(D193)&gt;0,1,0)+IF(LEN(E193)&gt;0,1,0)+IF(LEN(F193)&gt;0,1,0)+IF(LEN(G193)&gt;0,1,0)+IF(LEN(H193)&gt;0,1,0)+IF(LEN(I193)&gt;0,1,0)+IF(LEN(J193)&gt;0,1,0)+IF(LEN(L193)&gt;0,1,0)+IF(LEN(R193)&gt;0,1,0)+IF(LEN(Y193)&gt;0,1,0)+IF(LEN(AE193)&gt;0,1,0)+IF(LEN(AG193)&gt;0,1,0)+IF(LEN(AH193)&gt;0,1,0)+IF(LEN(AI193)&gt;0,1,0)+IF(LEN(AJ193)&gt;0,1,0)+IF(LEN(AS193)&gt;0,1,0)+IF(LEN(BE193)&gt;0,1,0)+IF(LEN(BR193)&gt;0,1,0))/18,2))</f>
        <v/>
      </c>
      <c r="BX193" s="10" t="str">
        <f aca="false">IF(D193="","",IF(AND(AH193="Approved",ISERROR(SEARCH("FAIL",BB193))),"Y","N"))</f>
        <v/>
      </c>
      <c r="BY193" s="10" t="str">
        <f aca="false">IF(D193="","",D193&amp;"|"&amp;H193&amp;"|"&amp;F193&amp;"|"&amp;I193&amp;"|"&amp;BX193)</f>
        <v/>
      </c>
    </row>
    <row r="194" customFormat="false" ht="15" hidden="false" customHeight="false" outlineLevel="0" collapsed="false">
      <c r="A194" s="10" t="str">
        <f aca="false">IF(D194="","","ERSS-"&amp;IFERROR(VLOOKUP(D194,Lists!$AK$4:$AL$21,2,0),"??")&amp;"-"&amp;TEXT(F194,"0000")&amp;"x"&amp;TEXT(G194,"0000")&amp;"-D"&amp;TEXT(H194*1000,"0000")&amp;"-"&amp;IFERROR(VLOOKUP(I194,Lists!$Y$4:$Z$21,2,0),"??")&amp;"-"&amp;AG194)</f>
        <v/>
      </c>
      <c r="B194" s="10" t="str">
        <f aca="false">IF(D194="","",D194&amp;" for "&amp;E194&amp;", "&amp;F194&amp;" x "&amp;G194&amp;" pit, "&amp;TEXT(H194,"0.0")&amp;" m deep, "&amp;I194)</f>
        <v/>
      </c>
      <c r="C194" s="9"/>
      <c r="D194" s="9"/>
      <c r="E194" s="9"/>
      <c r="F194" s="38"/>
      <c r="G194" s="38"/>
      <c r="H194" s="42"/>
      <c r="I194" s="9"/>
      <c r="J194" s="42"/>
      <c r="K194" s="38"/>
      <c r="L194" s="9"/>
      <c r="M194" s="42"/>
      <c r="N194" s="42"/>
      <c r="O194" s="38"/>
      <c r="P194" s="9"/>
      <c r="Q194" s="9"/>
      <c r="R194" s="39"/>
      <c r="S194" s="39"/>
      <c r="T194" s="38"/>
      <c r="U194" s="38"/>
      <c r="V194" s="38"/>
      <c r="W194" s="9"/>
      <c r="X194" s="9"/>
      <c r="Y194" s="38"/>
      <c r="Z194" s="9"/>
      <c r="AA194" s="9"/>
      <c r="AB194" s="38"/>
      <c r="AC194" s="9"/>
      <c r="AD194" s="39"/>
      <c r="AE194" s="9"/>
      <c r="AF194" s="9"/>
      <c r="AG194" s="9"/>
      <c r="AH194" s="9"/>
      <c r="AI194" s="9"/>
      <c r="AJ194" s="9"/>
      <c r="AK194" s="9"/>
      <c r="AL194" s="10" t="str">
        <f aca="false">IF(A194="","",SG_Criteria!$B$6&amp;SG_Criteria!$B$11&amp;"\"&amp;A194&amp;"\")</f>
        <v/>
      </c>
      <c r="AM194" s="10" t="str">
        <f aca="false">IF(A194="","",A194&amp;"_CAD.dwg")</f>
        <v/>
      </c>
      <c r="AN194" s="10" t="str">
        <f aca="false">IF(A194="","",A194&amp;"_DWG.pdf")</f>
        <v/>
      </c>
      <c r="AO194" s="10" t="str">
        <f aca="false">IF(A194="","",IF(AK194="Y",A194&amp;"_STAAD.std","n/a"))</f>
        <v/>
      </c>
      <c r="AP194" s="10" t="str">
        <f aca="false">IF(A194="","",A194&amp;"_CALC.xlsx")</f>
        <v/>
      </c>
      <c r="AQ194" s="10" t="str">
        <f aca="false">IF(A194="","",A194&amp;"_CALC.pdf")</f>
        <v/>
      </c>
      <c r="AR194" s="9"/>
      <c r="AS194" s="9"/>
      <c r="AT194" s="39"/>
      <c r="AU194" s="39"/>
      <c r="AV194" s="39"/>
      <c r="AW194" s="39"/>
      <c r="AX194" s="39"/>
      <c r="AY194" s="12" t="str">
        <f aca="false">IF(A194="","",IF(COUNTIF(Rebar_Schedule!$A$5:$A$2004,A194)=0,"",ROUND(SUMIF(Rebar_Schedule!$A$5:$A$2004,A194,Rebar_Schedule!$K$5:$K$2004),1)))</f>
        <v/>
      </c>
      <c r="AZ194" s="33" t="str">
        <f aca="false">IF(A194="","",IF(AY194="","No rebar schedule yet",IF(ABS(AY194-N(AU194))/MAX(N(AU194),1)&gt;SG_Criteria!$B$55,"NOTE: register rebar differs from schedule by "&amp;TEXT(ABS(AY194-N(AU194))/MAX(N(AU194),1),"0%"),"OK")))</f>
        <v/>
      </c>
      <c r="BA194" s="33" t="str">
        <f aca="false">IF(OR(D194="",H194=""),"",IF(H194&lt;=IF(OR(D194="Soldier Pile &amp; Timber Lagging",D194="Trench Shoring Box",D194="Open Cut (battered)"),SG_Criteria!$B$34,SG_Criteria!$B$33),"No ERSS submission",IF(H194&lt;=SG_Criteria!$B$35,"QP(ST)",IF(H194&lt;=SG_Criteria!$B$36,"QP(ST) + AC","Geotechnical building works: QP(Geo) + AC"))))</f>
        <v/>
      </c>
      <c r="BB194" s="33" t="str">
        <f aca="false">IF(D194="","",IF(LEN(IF(AND(R194&lt;&gt;"",R194&lt;SG_Criteria!$B$37),"FAIL: base stability FOS &lt; "&amp;SG_Criteria!$B$37&amp;". ","")&amp;IF(AND(E194="Manhole",H194&gt;SG_Criteria!$B$36),"NOTE: BCA lists sewer manholes (pipe &lt;= 2 m dia) &gt; 6 m as non-GBW: QP(ST) + AC. ","")&amp;IF(AND(D194="Trench Shoring Box",I194="Kallang Formation (marine clay)"),"NOTE: check base heave / ground loss for shoring box in marine clay. ","")&amp;IF(AND(D194="Steel Sheet Pile Cofferdam",N(N194)&lt;H194*0.5),"NOTE: short toe embedment, check. ",""))=0,"OK",IF(AND(R194&lt;&gt;"",R194&lt;SG_Criteria!$B$37),"FAIL: base stability FOS &lt; "&amp;SG_Criteria!$B$37&amp;". ","")&amp;IF(AND(E194="Manhole",H194&gt;SG_Criteria!$B$36),"NOTE: BCA lists sewer manholes (pipe &lt;= 2 m dia) &gt; 6 m as non-GBW: QP(ST) + AC. ","")&amp;IF(AND(D194="Trench Shoring Box",I194="Kallang Formation (marine clay)"),"NOTE: check base heave / ground loss for shoring box in marine clay. ","")&amp;IF(AND(D194="Steel Sheet Pile Cofferdam",N(N194)&lt;H194*0.5),"NOTE: short toe embedment, check. ","")))</f>
        <v/>
      </c>
      <c r="BC194" s="9"/>
      <c r="BD194" s="9"/>
      <c r="BE194" s="9"/>
      <c r="BF194" s="10" t="str">
        <f aca="false">IF(BE194="","",IFERROR(VLOOKUP(BE194,Projects!$A$5:$D$504,2,0),"Ref not in Projects"))</f>
        <v/>
      </c>
      <c r="BG194" s="10" t="str">
        <f aca="false">IF(BE194="","",IFERROR(VLOOKUP(BE194,Projects!$A$5:$D$504,4,0),"Ref not in Projects"))</f>
        <v/>
      </c>
      <c r="BH194" s="9"/>
      <c r="BI194" s="9"/>
      <c r="BJ194" s="9"/>
      <c r="BK194" s="40"/>
      <c r="BL194" s="9"/>
      <c r="BM194" s="40"/>
      <c r="BN194" s="9"/>
      <c r="BO194" s="40"/>
      <c r="BP194" s="9"/>
      <c r="BQ194" s="9"/>
      <c r="BR194" s="9"/>
      <c r="BS194" s="40"/>
      <c r="BT194" s="40"/>
      <c r="BU194" s="36" t="str">
        <f aca="false">IF(BT194="","",EDATE(BT194,SG_Criteria!$B$54*12))</f>
        <v/>
      </c>
      <c r="BV194" s="33" t="str">
        <f aca="true">IF(A194="","",IF(BT194="","NOTE: not reviewed yet",IF(TODAY()&gt;BU194,"NOTE: review overdue","OK")))</f>
        <v/>
      </c>
      <c r="BW194" s="37" t="str">
        <f aca="false">IF(A194="","",ROUND((IF(LEN(D194)&gt;0,1,0)+IF(LEN(E194)&gt;0,1,0)+IF(LEN(F194)&gt;0,1,0)+IF(LEN(G194)&gt;0,1,0)+IF(LEN(H194)&gt;0,1,0)+IF(LEN(I194)&gt;0,1,0)+IF(LEN(J194)&gt;0,1,0)+IF(LEN(L194)&gt;0,1,0)+IF(LEN(R194)&gt;0,1,0)+IF(LEN(Y194)&gt;0,1,0)+IF(LEN(AE194)&gt;0,1,0)+IF(LEN(AG194)&gt;0,1,0)+IF(LEN(AH194)&gt;0,1,0)+IF(LEN(AI194)&gt;0,1,0)+IF(LEN(AJ194)&gt;0,1,0)+IF(LEN(AS194)&gt;0,1,0)+IF(LEN(BE194)&gt;0,1,0)+IF(LEN(BR194)&gt;0,1,0))/18,2))</f>
        <v/>
      </c>
      <c r="BX194" s="10" t="str">
        <f aca="false">IF(D194="","",IF(AND(AH194="Approved",ISERROR(SEARCH("FAIL",BB194))),"Y","N"))</f>
        <v/>
      </c>
      <c r="BY194" s="10" t="str">
        <f aca="false">IF(D194="","",D194&amp;"|"&amp;H194&amp;"|"&amp;F194&amp;"|"&amp;I194&amp;"|"&amp;BX194)</f>
        <v/>
      </c>
    </row>
    <row r="195" customFormat="false" ht="15" hidden="false" customHeight="false" outlineLevel="0" collapsed="false">
      <c r="A195" s="10" t="str">
        <f aca="false">IF(D195="","","ERSS-"&amp;IFERROR(VLOOKUP(D195,Lists!$AK$4:$AL$21,2,0),"??")&amp;"-"&amp;TEXT(F195,"0000")&amp;"x"&amp;TEXT(G195,"0000")&amp;"-D"&amp;TEXT(H195*1000,"0000")&amp;"-"&amp;IFERROR(VLOOKUP(I195,Lists!$Y$4:$Z$21,2,0),"??")&amp;"-"&amp;AG195)</f>
        <v/>
      </c>
      <c r="B195" s="10" t="str">
        <f aca="false">IF(D195="","",D195&amp;" for "&amp;E195&amp;", "&amp;F195&amp;" x "&amp;G195&amp;" pit, "&amp;TEXT(H195,"0.0")&amp;" m deep, "&amp;I195)</f>
        <v/>
      </c>
      <c r="C195" s="9"/>
      <c r="D195" s="9"/>
      <c r="E195" s="9"/>
      <c r="F195" s="38"/>
      <c r="G195" s="38"/>
      <c r="H195" s="42"/>
      <c r="I195" s="9"/>
      <c r="J195" s="42"/>
      <c r="K195" s="38"/>
      <c r="L195" s="9"/>
      <c r="M195" s="42"/>
      <c r="N195" s="42"/>
      <c r="O195" s="38"/>
      <c r="P195" s="9"/>
      <c r="Q195" s="9"/>
      <c r="R195" s="39"/>
      <c r="S195" s="39"/>
      <c r="T195" s="38"/>
      <c r="U195" s="38"/>
      <c r="V195" s="38"/>
      <c r="W195" s="9"/>
      <c r="X195" s="9"/>
      <c r="Y195" s="38"/>
      <c r="Z195" s="9"/>
      <c r="AA195" s="9"/>
      <c r="AB195" s="38"/>
      <c r="AC195" s="9"/>
      <c r="AD195" s="39"/>
      <c r="AE195" s="9"/>
      <c r="AF195" s="9"/>
      <c r="AG195" s="9"/>
      <c r="AH195" s="9"/>
      <c r="AI195" s="9"/>
      <c r="AJ195" s="9"/>
      <c r="AK195" s="9"/>
      <c r="AL195" s="10" t="str">
        <f aca="false">IF(A195="","",SG_Criteria!$B$6&amp;SG_Criteria!$B$11&amp;"\"&amp;A195&amp;"\")</f>
        <v/>
      </c>
      <c r="AM195" s="10" t="str">
        <f aca="false">IF(A195="","",A195&amp;"_CAD.dwg")</f>
        <v/>
      </c>
      <c r="AN195" s="10" t="str">
        <f aca="false">IF(A195="","",A195&amp;"_DWG.pdf")</f>
        <v/>
      </c>
      <c r="AO195" s="10" t="str">
        <f aca="false">IF(A195="","",IF(AK195="Y",A195&amp;"_STAAD.std","n/a"))</f>
        <v/>
      </c>
      <c r="AP195" s="10" t="str">
        <f aca="false">IF(A195="","",A195&amp;"_CALC.xlsx")</f>
        <v/>
      </c>
      <c r="AQ195" s="10" t="str">
        <f aca="false">IF(A195="","",A195&amp;"_CALC.pdf")</f>
        <v/>
      </c>
      <c r="AR195" s="9"/>
      <c r="AS195" s="9"/>
      <c r="AT195" s="39"/>
      <c r="AU195" s="39"/>
      <c r="AV195" s="39"/>
      <c r="AW195" s="39"/>
      <c r="AX195" s="39"/>
      <c r="AY195" s="12" t="str">
        <f aca="false">IF(A195="","",IF(COUNTIF(Rebar_Schedule!$A$5:$A$2004,A195)=0,"",ROUND(SUMIF(Rebar_Schedule!$A$5:$A$2004,A195,Rebar_Schedule!$K$5:$K$2004),1)))</f>
        <v/>
      </c>
      <c r="AZ195" s="33" t="str">
        <f aca="false">IF(A195="","",IF(AY195="","No rebar schedule yet",IF(ABS(AY195-N(AU195))/MAX(N(AU195),1)&gt;SG_Criteria!$B$55,"NOTE: register rebar differs from schedule by "&amp;TEXT(ABS(AY195-N(AU195))/MAX(N(AU195),1),"0%"),"OK")))</f>
        <v/>
      </c>
      <c r="BA195" s="33" t="str">
        <f aca="false">IF(OR(D195="",H195=""),"",IF(H195&lt;=IF(OR(D195="Soldier Pile &amp; Timber Lagging",D195="Trench Shoring Box",D195="Open Cut (battered)"),SG_Criteria!$B$34,SG_Criteria!$B$33),"No ERSS submission",IF(H195&lt;=SG_Criteria!$B$35,"QP(ST)",IF(H195&lt;=SG_Criteria!$B$36,"QP(ST) + AC","Geotechnical building works: QP(Geo) + AC"))))</f>
        <v/>
      </c>
      <c r="BB195" s="33" t="str">
        <f aca="false">IF(D195="","",IF(LEN(IF(AND(R195&lt;&gt;"",R195&lt;SG_Criteria!$B$37),"FAIL: base stability FOS &lt; "&amp;SG_Criteria!$B$37&amp;". ","")&amp;IF(AND(E195="Manhole",H195&gt;SG_Criteria!$B$36),"NOTE: BCA lists sewer manholes (pipe &lt;= 2 m dia) &gt; 6 m as non-GBW: QP(ST) + AC. ","")&amp;IF(AND(D195="Trench Shoring Box",I195="Kallang Formation (marine clay)"),"NOTE: check base heave / ground loss for shoring box in marine clay. ","")&amp;IF(AND(D195="Steel Sheet Pile Cofferdam",N(N195)&lt;H195*0.5),"NOTE: short toe embedment, check. ",""))=0,"OK",IF(AND(R195&lt;&gt;"",R195&lt;SG_Criteria!$B$37),"FAIL: base stability FOS &lt; "&amp;SG_Criteria!$B$37&amp;". ","")&amp;IF(AND(E195="Manhole",H195&gt;SG_Criteria!$B$36),"NOTE: BCA lists sewer manholes (pipe &lt;= 2 m dia) &gt; 6 m as non-GBW: QP(ST) + AC. ","")&amp;IF(AND(D195="Trench Shoring Box",I195="Kallang Formation (marine clay)"),"NOTE: check base heave / ground loss for shoring box in marine clay. ","")&amp;IF(AND(D195="Steel Sheet Pile Cofferdam",N(N195)&lt;H195*0.5),"NOTE: short toe embedment, check. ","")))</f>
        <v/>
      </c>
      <c r="BC195" s="9"/>
      <c r="BD195" s="9"/>
      <c r="BE195" s="9"/>
      <c r="BF195" s="10" t="str">
        <f aca="false">IF(BE195="","",IFERROR(VLOOKUP(BE195,Projects!$A$5:$D$504,2,0),"Ref not in Projects"))</f>
        <v/>
      </c>
      <c r="BG195" s="10" t="str">
        <f aca="false">IF(BE195="","",IFERROR(VLOOKUP(BE195,Projects!$A$5:$D$504,4,0),"Ref not in Projects"))</f>
        <v/>
      </c>
      <c r="BH195" s="9"/>
      <c r="BI195" s="9"/>
      <c r="BJ195" s="9"/>
      <c r="BK195" s="40"/>
      <c r="BL195" s="9"/>
      <c r="BM195" s="40"/>
      <c r="BN195" s="9"/>
      <c r="BO195" s="40"/>
      <c r="BP195" s="9"/>
      <c r="BQ195" s="9"/>
      <c r="BR195" s="9"/>
      <c r="BS195" s="40"/>
      <c r="BT195" s="40"/>
      <c r="BU195" s="36" t="str">
        <f aca="false">IF(BT195="","",EDATE(BT195,SG_Criteria!$B$54*12))</f>
        <v/>
      </c>
      <c r="BV195" s="33" t="str">
        <f aca="true">IF(A195="","",IF(BT195="","NOTE: not reviewed yet",IF(TODAY()&gt;BU195,"NOTE: review overdue","OK")))</f>
        <v/>
      </c>
      <c r="BW195" s="37" t="str">
        <f aca="false">IF(A195="","",ROUND((IF(LEN(D195)&gt;0,1,0)+IF(LEN(E195)&gt;0,1,0)+IF(LEN(F195)&gt;0,1,0)+IF(LEN(G195)&gt;0,1,0)+IF(LEN(H195)&gt;0,1,0)+IF(LEN(I195)&gt;0,1,0)+IF(LEN(J195)&gt;0,1,0)+IF(LEN(L195)&gt;0,1,0)+IF(LEN(R195)&gt;0,1,0)+IF(LEN(Y195)&gt;0,1,0)+IF(LEN(AE195)&gt;0,1,0)+IF(LEN(AG195)&gt;0,1,0)+IF(LEN(AH195)&gt;0,1,0)+IF(LEN(AI195)&gt;0,1,0)+IF(LEN(AJ195)&gt;0,1,0)+IF(LEN(AS195)&gt;0,1,0)+IF(LEN(BE195)&gt;0,1,0)+IF(LEN(BR195)&gt;0,1,0))/18,2))</f>
        <v/>
      </c>
      <c r="BX195" s="10" t="str">
        <f aca="false">IF(D195="","",IF(AND(AH195="Approved",ISERROR(SEARCH("FAIL",BB195))),"Y","N"))</f>
        <v/>
      </c>
      <c r="BY195" s="10" t="str">
        <f aca="false">IF(D195="","",D195&amp;"|"&amp;H195&amp;"|"&amp;F195&amp;"|"&amp;I195&amp;"|"&amp;BX195)</f>
        <v/>
      </c>
    </row>
    <row r="196" customFormat="false" ht="15" hidden="false" customHeight="false" outlineLevel="0" collapsed="false">
      <c r="A196" s="10" t="str">
        <f aca="false">IF(D196="","","ERSS-"&amp;IFERROR(VLOOKUP(D196,Lists!$AK$4:$AL$21,2,0),"??")&amp;"-"&amp;TEXT(F196,"0000")&amp;"x"&amp;TEXT(G196,"0000")&amp;"-D"&amp;TEXT(H196*1000,"0000")&amp;"-"&amp;IFERROR(VLOOKUP(I196,Lists!$Y$4:$Z$21,2,0),"??")&amp;"-"&amp;AG196)</f>
        <v/>
      </c>
      <c r="B196" s="10" t="str">
        <f aca="false">IF(D196="","",D196&amp;" for "&amp;E196&amp;", "&amp;F196&amp;" x "&amp;G196&amp;" pit, "&amp;TEXT(H196,"0.0")&amp;" m deep, "&amp;I196)</f>
        <v/>
      </c>
      <c r="C196" s="9"/>
      <c r="D196" s="9"/>
      <c r="E196" s="9"/>
      <c r="F196" s="38"/>
      <c r="G196" s="38"/>
      <c r="H196" s="42"/>
      <c r="I196" s="9"/>
      <c r="J196" s="42"/>
      <c r="K196" s="38"/>
      <c r="L196" s="9"/>
      <c r="M196" s="42"/>
      <c r="N196" s="42"/>
      <c r="O196" s="38"/>
      <c r="P196" s="9"/>
      <c r="Q196" s="9"/>
      <c r="R196" s="39"/>
      <c r="S196" s="39"/>
      <c r="T196" s="38"/>
      <c r="U196" s="38"/>
      <c r="V196" s="38"/>
      <c r="W196" s="9"/>
      <c r="X196" s="9"/>
      <c r="Y196" s="38"/>
      <c r="Z196" s="9"/>
      <c r="AA196" s="9"/>
      <c r="AB196" s="38"/>
      <c r="AC196" s="9"/>
      <c r="AD196" s="39"/>
      <c r="AE196" s="9"/>
      <c r="AF196" s="9"/>
      <c r="AG196" s="9"/>
      <c r="AH196" s="9"/>
      <c r="AI196" s="9"/>
      <c r="AJ196" s="9"/>
      <c r="AK196" s="9"/>
      <c r="AL196" s="10" t="str">
        <f aca="false">IF(A196="","",SG_Criteria!$B$6&amp;SG_Criteria!$B$11&amp;"\"&amp;A196&amp;"\")</f>
        <v/>
      </c>
      <c r="AM196" s="10" t="str">
        <f aca="false">IF(A196="","",A196&amp;"_CAD.dwg")</f>
        <v/>
      </c>
      <c r="AN196" s="10" t="str">
        <f aca="false">IF(A196="","",A196&amp;"_DWG.pdf")</f>
        <v/>
      </c>
      <c r="AO196" s="10" t="str">
        <f aca="false">IF(A196="","",IF(AK196="Y",A196&amp;"_STAAD.std","n/a"))</f>
        <v/>
      </c>
      <c r="AP196" s="10" t="str">
        <f aca="false">IF(A196="","",A196&amp;"_CALC.xlsx")</f>
        <v/>
      </c>
      <c r="AQ196" s="10" t="str">
        <f aca="false">IF(A196="","",A196&amp;"_CALC.pdf")</f>
        <v/>
      </c>
      <c r="AR196" s="9"/>
      <c r="AS196" s="9"/>
      <c r="AT196" s="39"/>
      <c r="AU196" s="39"/>
      <c r="AV196" s="39"/>
      <c r="AW196" s="39"/>
      <c r="AX196" s="39"/>
      <c r="AY196" s="12" t="str">
        <f aca="false">IF(A196="","",IF(COUNTIF(Rebar_Schedule!$A$5:$A$2004,A196)=0,"",ROUND(SUMIF(Rebar_Schedule!$A$5:$A$2004,A196,Rebar_Schedule!$K$5:$K$2004),1)))</f>
        <v/>
      </c>
      <c r="AZ196" s="33" t="str">
        <f aca="false">IF(A196="","",IF(AY196="","No rebar schedule yet",IF(ABS(AY196-N(AU196))/MAX(N(AU196),1)&gt;SG_Criteria!$B$55,"NOTE: register rebar differs from schedule by "&amp;TEXT(ABS(AY196-N(AU196))/MAX(N(AU196),1),"0%"),"OK")))</f>
        <v/>
      </c>
      <c r="BA196" s="33" t="str">
        <f aca="false">IF(OR(D196="",H196=""),"",IF(H196&lt;=IF(OR(D196="Soldier Pile &amp; Timber Lagging",D196="Trench Shoring Box",D196="Open Cut (battered)"),SG_Criteria!$B$34,SG_Criteria!$B$33),"No ERSS submission",IF(H196&lt;=SG_Criteria!$B$35,"QP(ST)",IF(H196&lt;=SG_Criteria!$B$36,"QP(ST) + AC","Geotechnical building works: QP(Geo) + AC"))))</f>
        <v/>
      </c>
      <c r="BB196" s="33" t="str">
        <f aca="false">IF(D196="","",IF(LEN(IF(AND(R196&lt;&gt;"",R196&lt;SG_Criteria!$B$37),"FAIL: base stability FOS &lt; "&amp;SG_Criteria!$B$37&amp;". ","")&amp;IF(AND(E196="Manhole",H196&gt;SG_Criteria!$B$36),"NOTE: BCA lists sewer manholes (pipe &lt;= 2 m dia) &gt; 6 m as non-GBW: QP(ST) + AC. ","")&amp;IF(AND(D196="Trench Shoring Box",I196="Kallang Formation (marine clay)"),"NOTE: check base heave / ground loss for shoring box in marine clay. ","")&amp;IF(AND(D196="Steel Sheet Pile Cofferdam",N(N196)&lt;H196*0.5),"NOTE: short toe embedment, check. ",""))=0,"OK",IF(AND(R196&lt;&gt;"",R196&lt;SG_Criteria!$B$37),"FAIL: base stability FOS &lt; "&amp;SG_Criteria!$B$37&amp;". ","")&amp;IF(AND(E196="Manhole",H196&gt;SG_Criteria!$B$36),"NOTE: BCA lists sewer manholes (pipe &lt;= 2 m dia) &gt; 6 m as non-GBW: QP(ST) + AC. ","")&amp;IF(AND(D196="Trench Shoring Box",I196="Kallang Formation (marine clay)"),"NOTE: check base heave / ground loss for shoring box in marine clay. ","")&amp;IF(AND(D196="Steel Sheet Pile Cofferdam",N(N196)&lt;H196*0.5),"NOTE: short toe embedment, check. ","")))</f>
        <v/>
      </c>
      <c r="BC196" s="9"/>
      <c r="BD196" s="9"/>
      <c r="BE196" s="9"/>
      <c r="BF196" s="10" t="str">
        <f aca="false">IF(BE196="","",IFERROR(VLOOKUP(BE196,Projects!$A$5:$D$504,2,0),"Ref not in Projects"))</f>
        <v/>
      </c>
      <c r="BG196" s="10" t="str">
        <f aca="false">IF(BE196="","",IFERROR(VLOOKUP(BE196,Projects!$A$5:$D$504,4,0),"Ref not in Projects"))</f>
        <v/>
      </c>
      <c r="BH196" s="9"/>
      <c r="BI196" s="9"/>
      <c r="BJ196" s="9"/>
      <c r="BK196" s="40"/>
      <c r="BL196" s="9"/>
      <c r="BM196" s="40"/>
      <c r="BN196" s="9"/>
      <c r="BO196" s="40"/>
      <c r="BP196" s="9"/>
      <c r="BQ196" s="9"/>
      <c r="BR196" s="9"/>
      <c r="BS196" s="40"/>
      <c r="BT196" s="40"/>
      <c r="BU196" s="36" t="str">
        <f aca="false">IF(BT196="","",EDATE(BT196,SG_Criteria!$B$54*12))</f>
        <v/>
      </c>
      <c r="BV196" s="33" t="str">
        <f aca="true">IF(A196="","",IF(BT196="","NOTE: not reviewed yet",IF(TODAY()&gt;BU196,"NOTE: review overdue","OK")))</f>
        <v/>
      </c>
      <c r="BW196" s="37" t="str">
        <f aca="false">IF(A196="","",ROUND((IF(LEN(D196)&gt;0,1,0)+IF(LEN(E196)&gt;0,1,0)+IF(LEN(F196)&gt;0,1,0)+IF(LEN(G196)&gt;0,1,0)+IF(LEN(H196)&gt;0,1,0)+IF(LEN(I196)&gt;0,1,0)+IF(LEN(J196)&gt;0,1,0)+IF(LEN(L196)&gt;0,1,0)+IF(LEN(R196)&gt;0,1,0)+IF(LEN(Y196)&gt;0,1,0)+IF(LEN(AE196)&gt;0,1,0)+IF(LEN(AG196)&gt;0,1,0)+IF(LEN(AH196)&gt;0,1,0)+IF(LEN(AI196)&gt;0,1,0)+IF(LEN(AJ196)&gt;0,1,0)+IF(LEN(AS196)&gt;0,1,0)+IF(LEN(BE196)&gt;0,1,0)+IF(LEN(BR196)&gt;0,1,0))/18,2))</f>
        <v/>
      </c>
      <c r="BX196" s="10" t="str">
        <f aca="false">IF(D196="","",IF(AND(AH196="Approved",ISERROR(SEARCH("FAIL",BB196))),"Y","N"))</f>
        <v/>
      </c>
      <c r="BY196" s="10" t="str">
        <f aca="false">IF(D196="","",D196&amp;"|"&amp;H196&amp;"|"&amp;F196&amp;"|"&amp;I196&amp;"|"&amp;BX196)</f>
        <v/>
      </c>
    </row>
    <row r="197" customFormat="false" ht="15" hidden="false" customHeight="false" outlineLevel="0" collapsed="false">
      <c r="A197" s="10" t="str">
        <f aca="false">IF(D197="","","ERSS-"&amp;IFERROR(VLOOKUP(D197,Lists!$AK$4:$AL$21,2,0),"??")&amp;"-"&amp;TEXT(F197,"0000")&amp;"x"&amp;TEXT(G197,"0000")&amp;"-D"&amp;TEXT(H197*1000,"0000")&amp;"-"&amp;IFERROR(VLOOKUP(I197,Lists!$Y$4:$Z$21,2,0),"??")&amp;"-"&amp;AG197)</f>
        <v/>
      </c>
      <c r="B197" s="10" t="str">
        <f aca="false">IF(D197="","",D197&amp;" for "&amp;E197&amp;", "&amp;F197&amp;" x "&amp;G197&amp;" pit, "&amp;TEXT(H197,"0.0")&amp;" m deep, "&amp;I197)</f>
        <v/>
      </c>
      <c r="C197" s="9"/>
      <c r="D197" s="9"/>
      <c r="E197" s="9"/>
      <c r="F197" s="38"/>
      <c r="G197" s="38"/>
      <c r="H197" s="42"/>
      <c r="I197" s="9"/>
      <c r="J197" s="42"/>
      <c r="K197" s="38"/>
      <c r="L197" s="9"/>
      <c r="M197" s="42"/>
      <c r="N197" s="42"/>
      <c r="O197" s="38"/>
      <c r="P197" s="9"/>
      <c r="Q197" s="9"/>
      <c r="R197" s="39"/>
      <c r="S197" s="39"/>
      <c r="T197" s="38"/>
      <c r="U197" s="38"/>
      <c r="V197" s="38"/>
      <c r="W197" s="9"/>
      <c r="X197" s="9"/>
      <c r="Y197" s="38"/>
      <c r="Z197" s="9"/>
      <c r="AA197" s="9"/>
      <c r="AB197" s="38"/>
      <c r="AC197" s="9"/>
      <c r="AD197" s="39"/>
      <c r="AE197" s="9"/>
      <c r="AF197" s="9"/>
      <c r="AG197" s="9"/>
      <c r="AH197" s="9"/>
      <c r="AI197" s="9"/>
      <c r="AJ197" s="9"/>
      <c r="AK197" s="9"/>
      <c r="AL197" s="10" t="str">
        <f aca="false">IF(A197="","",SG_Criteria!$B$6&amp;SG_Criteria!$B$11&amp;"\"&amp;A197&amp;"\")</f>
        <v/>
      </c>
      <c r="AM197" s="10" t="str">
        <f aca="false">IF(A197="","",A197&amp;"_CAD.dwg")</f>
        <v/>
      </c>
      <c r="AN197" s="10" t="str">
        <f aca="false">IF(A197="","",A197&amp;"_DWG.pdf")</f>
        <v/>
      </c>
      <c r="AO197" s="10" t="str">
        <f aca="false">IF(A197="","",IF(AK197="Y",A197&amp;"_STAAD.std","n/a"))</f>
        <v/>
      </c>
      <c r="AP197" s="10" t="str">
        <f aca="false">IF(A197="","",A197&amp;"_CALC.xlsx")</f>
        <v/>
      </c>
      <c r="AQ197" s="10" t="str">
        <f aca="false">IF(A197="","",A197&amp;"_CALC.pdf")</f>
        <v/>
      </c>
      <c r="AR197" s="9"/>
      <c r="AS197" s="9"/>
      <c r="AT197" s="39"/>
      <c r="AU197" s="39"/>
      <c r="AV197" s="39"/>
      <c r="AW197" s="39"/>
      <c r="AX197" s="39"/>
      <c r="AY197" s="12" t="str">
        <f aca="false">IF(A197="","",IF(COUNTIF(Rebar_Schedule!$A$5:$A$2004,A197)=0,"",ROUND(SUMIF(Rebar_Schedule!$A$5:$A$2004,A197,Rebar_Schedule!$K$5:$K$2004),1)))</f>
        <v/>
      </c>
      <c r="AZ197" s="33" t="str">
        <f aca="false">IF(A197="","",IF(AY197="","No rebar schedule yet",IF(ABS(AY197-N(AU197))/MAX(N(AU197),1)&gt;SG_Criteria!$B$55,"NOTE: register rebar differs from schedule by "&amp;TEXT(ABS(AY197-N(AU197))/MAX(N(AU197),1),"0%"),"OK")))</f>
        <v/>
      </c>
      <c r="BA197" s="33" t="str">
        <f aca="false">IF(OR(D197="",H197=""),"",IF(H197&lt;=IF(OR(D197="Soldier Pile &amp; Timber Lagging",D197="Trench Shoring Box",D197="Open Cut (battered)"),SG_Criteria!$B$34,SG_Criteria!$B$33),"No ERSS submission",IF(H197&lt;=SG_Criteria!$B$35,"QP(ST)",IF(H197&lt;=SG_Criteria!$B$36,"QP(ST) + AC","Geotechnical building works: QP(Geo) + AC"))))</f>
        <v/>
      </c>
      <c r="BB197" s="33" t="str">
        <f aca="false">IF(D197="","",IF(LEN(IF(AND(R197&lt;&gt;"",R197&lt;SG_Criteria!$B$37),"FAIL: base stability FOS &lt; "&amp;SG_Criteria!$B$37&amp;". ","")&amp;IF(AND(E197="Manhole",H197&gt;SG_Criteria!$B$36),"NOTE: BCA lists sewer manholes (pipe &lt;= 2 m dia) &gt; 6 m as non-GBW: QP(ST) + AC. ","")&amp;IF(AND(D197="Trench Shoring Box",I197="Kallang Formation (marine clay)"),"NOTE: check base heave / ground loss for shoring box in marine clay. ","")&amp;IF(AND(D197="Steel Sheet Pile Cofferdam",N(N197)&lt;H197*0.5),"NOTE: short toe embedment, check. ",""))=0,"OK",IF(AND(R197&lt;&gt;"",R197&lt;SG_Criteria!$B$37),"FAIL: base stability FOS &lt; "&amp;SG_Criteria!$B$37&amp;". ","")&amp;IF(AND(E197="Manhole",H197&gt;SG_Criteria!$B$36),"NOTE: BCA lists sewer manholes (pipe &lt;= 2 m dia) &gt; 6 m as non-GBW: QP(ST) + AC. ","")&amp;IF(AND(D197="Trench Shoring Box",I197="Kallang Formation (marine clay)"),"NOTE: check base heave / ground loss for shoring box in marine clay. ","")&amp;IF(AND(D197="Steel Sheet Pile Cofferdam",N(N197)&lt;H197*0.5),"NOTE: short toe embedment, check. ","")))</f>
        <v/>
      </c>
      <c r="BC197" s="9"/>
      <c r="BD197" s="9"/>
      <c r="BE197" s="9"/>
      <c r="BF197" s="10" t="str">
        <f aca="false">IF(BE197="","",IFERROR(VLOOKUP(BE197,Projects!$A$5:$D$504,2,0),"Ref not in Projects"))</f>
        <v/>
      </c>
      <c r="BG197" s="10" t="str">
        <f aca="false">IF(BE197="","",IFERROR(VLOOKUP(BE197,Projects!$A$5:$D$504,4,0),"Ref not in Projects"))</f>
        <v/>
      </c>
      <c r="BH197" s="9"/>
      <c r="BI197" s="9"/>
      <c r="BJ197" s="9"/>
      <c r="BK197" s="40"/>
      <c r="BL197" s="9"/>
      <c r="BM197" s="40"/>
      <c r="BN197" s="9"/>
      <c r="BO197" s="40"/>
      <c r="BP197" s="9"/>
      <c r="BQ197" s="9"/>
      <c r="BR197" s="9"/>
      <c r="BS197" s="40"/>
      <c r="BT197" s="40"/>
      <c r="BU197" s="36" t="str">
        <f aca="false">IF(BT197="","",EDATE(BT197,SG_Criteria!$B$54*12))</f>
        <v/>
      </c>
      <c r="BV197" s="33" t="str">
        <f aca="true">IF(A197="","",IF(BT197="","NOTE: not reviewed yet",IF(TODAY()&gt;BU197,"NOTE: review overdue","OK")))</f>
        <v/>
      </c>
      <c r="BW197" s="37" t="str">
        <f aca="false">IF(A197="","",ROUND((IF(LEN(D197)&gt;0,1,0)+IF(LEN(E197)&gt;0,1,0)+IF(LEN(F197)&gt;0,1,0)+IF(LEN(G197)&gt;0,1,0)+IF(LEN(H197)&gt;0,1,0)+IF(LEN(I197)&gt;0,1,0)+IF(LEN(J197)&gt;0,1,0)+IF(LEN(L197)&gt;0,1,0)+IF(LEN(R197)&gt;0,1,0)+IF(LEN(Y197)&gt;0,1,0)+IF(LEN(AE197)&gt;0,1,0)+IF(LEN(AG197)&gt;0,1,0)+IF(LEN(AH197)&gt;0,1,0)+IF(LEN(AI197)&gt;0,1,0)+IF(LEN(AJ197)&gt;0,1,0)+IF(LEN(AS197)&gt;0,1,0)+IF(LEN(BE197)&gt;0,1,0)+IF(LEN(BR197)&gt;0,1,0))/18,2))</f>
        <v/>
      </c>
      <c r="BX197" s="10" t="str">
        <f aca="false">IF(D197="","",IF(AND(AH197="Approved",ISERROR(SEARCH("FAIL",BB197))),"Y","N"))</f>
        <v/>
      </c>
      <c r="BY197" s="10" t="str">
        <f aca="false">IF(D197="","",D197&amp;"|"&amp;H197&amp;"|"&amp;F197&amp;"|"&amp;I197&amp;"|"&amp;BX197)</f>
        <v/>
      </c>
    </row>
    <row r="198" customFormat="false" ht="15" hidden="false" customHeight="false" outlineLevel="0" collapsed="false">
      <c r="A198" s="10" t="str">
        <f aca="false">IF(D198="","","ERSS-"&amp;IFERROR(VLOOKUP(D198,Lists!$AK$4:$AL$21,2,0),"??")&amp;"-"&amp;TEXT(F198,"0000")&amp;"x"&amp;TEXT(G198,"0000")&amp;"-D"&amp;TEXT(H198*1000,"0000")&amp;"-"&amp;IFERROR(VLOOKUP(I198,Lists!$Y$4:$Z$21,2,0),"??")&amp;"-"&amp;AG198)</f>
        <v/>
      </c>
      <c r="B198" s="10" t="str">
        <f aca="false">IF(D198="","",D198&amp;" for "&amp;E198&amp;", "&amp;F198&amp;" x "&amp;G198&amp;" pit, "&amp;TEXT(H198,"0.0")&amp;" m deep, "&amp;I198)</f>
        <v/>
      </c>
      <c r="C198" s="9"/>
      <c r="D198" s="9"/>
      <c r="E198" s="9"/>
      <c r="F198" s="38"/>
      <c r="G198" s="38"/>
      <c r="H198" s="42"/>
      <c r="I198" s="9"/>
      <c r="J198" s="42"/>
      <c r="K198" s="38"/>
      <c r="L198" s="9"/>
      <c r="M198" s="42"/>
      <c r="N198" s="42"/>
      <c r="O198" s="38"/>
      <c r="P198" s="9"/>
      <c r="Q198" s="9"/>
      <c r="R198" s="39"/>
      <c r="S198" s="39"/>
      <c r="T198" s="38"/>
      <c r="U198" s="38"/>
      <c r="V198" s="38"/>
      <c r="W198" s="9"/>
      <c r="X198" s="9"/>
      <c r="Y198" s="38"/>
      <c r="Z198" s="9"/>
      <c r="AA198" s="9"/>
      <c r="AB198" s="38"/>
      <c r="AC198" s="9"/>
      <c r="AD198" s="39"/>
      <c r="AE198" s="9"/>
      <c r="AF198" s="9"/>
      <c r="AG198" s="9"/>
      <c r="AH198" s="9"/>
      <c r="AI198" s="9"/>
      <c r="AJ198" s="9"/>
      <c r="AK198" s="9"/>
      <c r="AL198" s="10" t="str">
        <f aca="false">IF(A198="","",SG_Criteria!$B$6&amp;SG_Criteria!$B$11&amp;"\"&amp;A198&amp;"\")</f>
        <v/>
      </c>
      <c r="AM198" s="10" t="str">
        <f aca="false">IF(A198="","",A198&amp;"_CAD.dwg")</f>
        <v/>
      </c>
      <c r="AN198" s="10" t="str">
        <f aca="false">IF(A198="","",A198&amp;"_DWG.pdf")</f>
        <v/>
      </c>
      <c r="AO198" s="10" t="str">
        <f aca="false">IF(A198="","",IF(AK198="Y",A198&amp;"_STAAD.std","n/a"))</f>
        <v/>
      </c>
      <c r="AP198" s="10" t="str">
        <f aca="false">IF(A198="","",A198&amp;"_CALC.xlsx")</f>
        <v/>
      </c>
      <c r="AQ198" s="10" t="str">
        <f aca="false">IF(A198="","",A198&amp;"_CALC.pdf")</f>
        <v/>
      </c>
      <c r="AR198" s="9"/>
      <c r="AS198" s="9"/>
      <c r="AT198" s="39"/>
      <c r="AU198" s="39"/>
      <c r="AV198" s="39"/>
      <c r="AW198" s="39"/>
      <c r="AX198" s="39"/>
      <c r="AY198" s="12" t="str">
        <f aca="false">IF(A198="","",IF(COUNTIF(Rebar_Schedule!$A$5:$A$2004,A198)=0,"",ROUND(SUMIF(Rebar_Schedule!$A$5:$A$2004,A198,Rebar_Schedule!$K$5:$K$2004),1)))</f>
        <v/>
      </c>
      <c r="AZ198" s="33" t="str">
        <f aca="false">IF(A198="","",IF(AY198="","No rebar schedule yet",IF(ABS(AY198-N(AU198))/MAX(N(AU198),1)&gt;SG_Criteria!$B$55,"NOTE: register rebar differs from schedule by "&amp;TEXT(ABS(AY198-N(AU198))/MAX(N(AU198),1),"0%"),"OK")))</f>
        <v/>
      </c>
      <c r="BA198" s="33" t="str">
        <f aca="false">IF(OR(D198="",H198=""),"",IF(H198&lt;=IF(OR(D198="Soldier Pile &amp; Timber Lagging",D198="Trench Shoring Box",D198="Open Cut (battered)"),SG_Criteria!$B$34,SG_Criteria!$B$33),"No ERSS submission",IF(H198&lt;=SG_Criteria!$B$35,"QP(ST)",IF(H198&lt;=SG_Criteria!$B$36,"QP(ST) + AC","Geotechnical building works: QP(Geo) + AC"))))</f>
        <v/>
      </c>
      <c r="BB198" s="33" t="str">
        <f aca="false">IF(D198="","",IF(LEN(IF(AND(R198&lt;&gt;"",R198&lt;SG_Criteria!$B$37),"FAIL: base stability FOS &lt; "&amp;SG_Criteria!$B$37&amp;". ","")&amp;IF(AND(E198="Manhole",H198&gt;SG_Criteria!$B$36),"NOTE: BCA lists sewer manholes (pipe &lt;= 2 m dia) &gt; 6 m as non-GBW: QP(ST) + AC. ","")&amp;IF(AND(D198="Trench Shoring Box",I198="Kallang Formation (marine clay)"),"NOTE: check base heave / ground loss for shoring box in marine clay. ","")&amp;IF(AND(D198="Steel Sheet Pile Cofferdam",N(N198)&lt;H198*0.5),"NOTE: short toe embedment, check. ",""))=0,"OK",IF(AND(R198&lt;&gt;"",R198&lt;SG_Criteria!$B$37),"FAIL: base stability FOS &lt; "&amp;SG_Criteria!$B$37&amp;". ","")&amp;IF(AND(E198="Manhole",H198&gt;SG_Criteria!$B$36),"NOTE: BCA lists sewer manholes (pipe &lt;= 2 m dia) &gt; 6 m as non-GBW: QP(ST) + AC. ","")&amp;IF(AND(D198="Trench Shoring Box",I198="Kallang Formation (marine clay)"),"NOTE: check base heave / ground loss for shoring box in marine clay. ","")&amp;IF(AND(D198="Steel Sheet Pile Cofferdam",N(N198)&lt;H198*0.5),"NOTE: short toe embedment, check. ","")))</f>
        <v/>
      </c>
      <c r="BC198" s="9"/>
      <c r="BD198" s="9"/>
      <c r="BE198" s="9"/>
      <c r="BF198" s="10" t="str">
        <f aca="false">IF(BE198="","",IFERROR(VLOOKUP(BE198,Projects!$A$5:$D$504,2,0),"Ref not in Projects"))</f>
        <v/>
      </c>
      <c r="BG198" s="10" t="str">
        <f aca="false">IF(BE198="","",IFERROR(VLOOKUP(BE198,Projects!$A$5:$D$504,4,0),"Ref not in Projects"))</f>
        <v/>
      </c>
      <c r="BH198" s="9"/>
      <c r="BI198" s="9"/>
      <c r="BJ198" s="9"/>
      <c r="BK198" s="40"/>
      <c r="BL198" s="9"/>
      <c r="BM198" s="40"/>
      <c r="BN198" s="9"/>
      <c r="BO198" s="40"/>
      <c r="BP198" s="9"/>
      <c r="BQ198" s="9"/>
      <c r="BR198" s="9"/>
      <c r="BS198" s="40"/>
      <c r="BT198" s="40"/>
      <c r="BU198" s="36" t="str">
        <f aca="false">IF(BT198="","",EDATE(BT198,SG_Criteria!$B$54*12))</f>
        <v/>
      </c>
      <c r="BV198" s="33" t="str">
        <f aca="true">IF(A198="","",IF(BT198="","NOTE: not reviewed yet",IF(TODAY()&gt;BU198,"NOTE: review overdue","OK")))</f>
        <v/>
      </c>
      <c r="BW198" s="37" t="str">
        <f aca="false">IF(A198="","",ROUND((IF(LEN(D198)&gt;0,1,0)+IF(LEN(E198)&gt;0,1,0)+IF(LEN(F198)&gt;0,1,0)+IF(LEN(G198)&gt;0,1,0)+IF(LEN(H198)&gt;0,1,0)+IF(LEN(I198)&gt;0,1,0)+IF(LEN(J198)&gt;0,1,0)+IF(LEN(L198)&gt;0,1,0)+IF(LEN(R198)&gt;0,1,0)+IF(LEN(Y198)&gt;0,1,0)+IF(LEN(AE198)&gt;0,1,0)+IF(LEN(AG198)&gt;0,1,0)+IF(LEN(AH198)&gt;0,1,0)+IF(LEN(AI198)&gt;0,1,0)+IF(LEN(AJ198)&gt;0,1,0)+IF(LEN(AS198)&gt;0,1,0)+IF(LEN(BE198)&gt;0,1,0)+IF(LEN(BR198)&gt;0,1,0))/18,2))</f>
        <v/>
      </c>
      <c r="BX198" s="10" t="str">
        <f aca="false">IF(D198="","",IF(AND(AH198="Approved",ISERROR(SEARCH("FAIL",BB198))),"Y","N"))</f>
        <v/>
      </c>
      <c r="BY198" s="10" t="str">
        <f aca="false">IF(D198="","",D198&amp;"|"&amp;H198&amp;"|"&amp;F198&amp;"|"&amp;I198&amp;"|"&amp;BX198)</f>
        <v/>
      </c>
    </row>
    <row r="199" customFormat="false" ht="15" hidden="false" customHeight="false" outlineLevel="0" collapsed="false">
      <c r="A199" s="10" t="str">
        <f aca="false">IF(D199="","","ERSS-"&amp;IFERROR(VLOOKUP(D199,Lists!$AK$4:$AL$21,2,0),"??")&amp;"-"&amp;TEXT(F199,"0000")&amp;"x"&amp;TEXT(G199,"0000")&amp;"-D"&amp;TEXT(H199*1000,"0000")&amp;"-"&amp;IFERROR(VLOOKUP(I199,Lists!$Y$4:$Z$21,2,0),"??")&amp;"-"&amp;AG199)</f>
        <v/>
      </c>
      <c r="B199" s="10" t="str">
        <f aca="false">IF(D199="","",D199&amp;" for "&amp;E199&amp;", "&amp;F199&amp;" x "&amp;G199&amp;" pit, "&amp;TEXT(H199,"0.0")&amp;" m deep, "&amp;I199)</f>
        <v/>
      </c>
      <c r="C199" s="9"/>
      <c r="D199" s="9"/>
      <c r="E199" s="9"/>
      <c r="F199" s="38"/>
      <c r="G199" s="38"/>
      <c r="H199" s="42"/>
      <c r="I199" s="9"/>
      <c r="J199" s="42"/>
      <c r="K199" s="38"/>
      <c r="L199" s="9"/>
      <c r="M199" s="42"/>
      <c r="N199" s="42"/>
      <c r="O199" s="38"/>
      <c r="P199" s="9"/>
      <c r="Q199" s="9"/>
      <c r="R199" s="39"/>
      <c r="S199" s="39"/>
      <c r="T199" s="38"/>
      <c r="U199" s="38"/>
      <c r="V199" s="38"/>
      <c r="W199" s="9"/>
      <c r="X199" s="9"/>
      <c r="Y199" s="38"/>
      <c r="Z199" s="9"/>
      <c r="AA199" s="9"/>
      <c r="AB199" s="38"/>
      <c r="AC199" s="9"/>
      <c r="AD199" s="39"/>
      <c r="AE199" s="9"/>
      <c r="AF199" s="9"/>
      <c r="AG199" s="9"/>
      <c r="AH199" s="9"/>
      <c r="AI199" s="9"/>
      <c r="AJ199" s="9"/>
      <c r="AK199" s="9"/>
      <c r="AL199" s="10" t="str">
        <f aca="false">IF(A199="","",SG_Criteria!$B$6&amp;SG_Criteria!$B$11&amp;"\"&amp;A199&amp;"\")</f>
        <v/>
      </c>
      <c r="AM199" s="10" t="str">
        <f aca="false">IF(A199="","",A199&amp;"_CAD.dwg")</f>
        <v/>
      </c>
      <c r="AN199" s="10" t="str">
        <f aca="false">IF(A199="","",A199&amp;"_DWG.pdf")</f>
        <v/>
      </c>
      <c r="AO199" s="10" t="str">
        <f aca="false">IF(A199="","",IF(AK199="Y",A199&amp;"_STAAD.std","n/a"))</f>
        <v/>
      </c>
      <c r="AP199" s="10" t="str">
        <f aca="false">IF(A199="","",A199&amp;"_CALC.xlsx")</f>
        <v/>
      </c>
      <c r="AQ199" s="10" t="str">
        <f aca="false">IF(A199="","",A199&amp;"_CALC.pdf")</f>
        <v/>
      </c>
      <c r="AR199" s="9"/>
      <c r="AS199" s="9"/>
      <c r="AT199" s="39"/>
      <c r="AU199" s="39"/>
      <c r="AV199" s="39"/>
      <c r="AW199" s="39"/>
      <c r="AX199" s="39"/>
      <c r="AY199" s="12" t="str">
        <f aca="false">IF(A199="","",IF(COUNTIF(Rebar_Schedule!$A$5:$A$2004,A199)=0,"",ROUND(SUMIF(Rebar_Schedule!$A$5:$A$2004,A199,Rebar_Schedule!$K$5:$K$2004),1)))</f>
        <v/>
      </c>
      <c r="AZ199" s="33" t="str">
        <f aca="false">IF(A199="","",IF(AY199="","No rebar schedule yet",IF(ABS(AY199-N(AU199))/MAX(N(AU199),1)&gt;SG_Criteria!$B$55,"NOTE: register rebar differs from schedule by "&amp;TEXT(ABS(AY199-N(AU199))/MAX(N(AU199),1),"0%"),"OK")))</f>
        <v/>
      </c>
      <c r="BA199" s="33" t="str">
        <f aca="false">IF(OR(D199="",H199=""),"",IF(H199&lt;=IF(OR(D199="Soldier Pile &amp; Timber Lagging",D199="Trench Shoring Box",D199="Open Cut (battered)"),SG_Criteria!$B$34,SG_Criteria!$B$33),"No ERSS submission",IF(H199&lt;=SG_Criteria!$B$35,"QP(ST)",IF(H199&lt;=SG_Criteria!$B$36,"QP(ST) + AC","Geotechnical building works: QP(Geo) + AC"))))</f>
        <v/>
      </c>
      <c r="BB199" s="33" t="str">
        <f aca="false">IF(D199="","",IF(LEN(IF(AND(R199&lt;&gt;"",R199&lt;SG_Criteria!$B$37),"FAIL: base stability FOS &lt; "&amp;SG_Criteria!$B$37&amp;". ","")&amp;IF(AND(E199="Manhole",H199&gt;SG_Criteria!$B$36),"NOTE: BCA lists sewer manholes (pipe &lt;= 2 m dia) &gt; 6 m as non-GBW: QP(ST) + AC. ","")&amp;IF(AND(D199="Trench Shoring Box",I199="Kallang Formation (marine clay)"),"NOTE: check base heave / ground loss for shoring box in marine clay. ","")&amp;IF(AND(D199="Steel Sheet Pile Cofferdam",N(N199)&lt;H199*0.5),"NOTE: short toe embedment, check. ",""))=0,"OK",IF(AND(R199&lt;&gt;"",R199&lt;SG_Criteria!$B$37),"FAIL: base stability FOS &lt; "&amp;SG_Criteria!$B$37&amp;". ","")&amp;IF(AND(E199="Manhole",H199&gt;SG_Criteria!$B$36),"NOTE: BCA lists sewer manholes (pipe &lt;= 2 m dia) &gt; 6 m as non-GBW: QP(ST) + AC. ","")&amp;IF(AND(D199="Trench Shoring Box",I199="Kallang Formation (marine clay)"),"NOTE: check base heave / ground loss for shoring box in marine clay. ","")&amp;IF(AND(D199="Steel Sheet Pile Cofferdam",N(N199)&lt;H199*0.5),"NOTE: short toe embedment, check. ","")))</f>
        <v/>
      </c>
      <c r="BC199" s="9"/>
      <c r="BD199" s="9"/>
      <c r="BE199" s="9"/>
      <c r="BF199" s="10" t="str">
        <f aca="false">IF(BE199="","",IFERROR(VLOOKUP(BE199,Projects!$A$5:$D$504,2,0),"Ref not in Projects"))</f>
        <v/>
      </c>
      <c r="BG199" s="10" t="str">
        <f aca="false">IF(BE199="","",IFERROR(VLOOKUP(BE199,Projects!$A$5:$D$504,4,0),"Ref not in Projects"))</f>
        <v/>
      </c>
      <c r="BH199" s="9"/>
      <c r="BI199" s="9"/>
      <c r="BJ199" s="9"/>
      <c r="BK199" s="40"/>
      <c r="BL199" s="9"/>
      <c r="BM199" s="40"/>
      <c r="BN199" s="9"/>
      <c r="BO199" s="40"/>
      <c r="BP199" s="9"/>
      <c r="BQ199" s="9"/>
      <c r="BR199" s="9"/>
      <c r="BS199" s="40"/>
      <c r="BT199" s="40"/>
      <c r="BU199" s="36" t="str">
        <f aca="false">IF(BT199="","",EDATE(BT199,SG_Criteria!$B$54*12))</f>
        <v/>
      </c>
      <c r="BV199" s="33" t="str">
        <f aca="true">IF(A199="","",IF(BT199="","NOTE: not reviewed yet",IF(TODAY()&gt;BU199,"NOTE: review overdue","OK")))</f>
        <v/>
      </c>
      <c r="BW199" s="37" t="str">
        <f aca="false">IF(A199="","",ROUND((IF(LEN(D199)&gt;0,1,0)+IF(LEN(E199)&gt;0,1,0)+IF(LEN(F199)&gt;0,1,0)+IF(LEN(G199)&gt;0,1,0)+IF(LEN(H199)&gt;0,1,0)+IF(LEN(I199)&gt;0,1,0)+IF(LEN(J199)&gt;0,1,0)+IF(LEN(L199)&gt;0,1,0)+IF(LEN(R199)&gt;0,1,0)+IF(LEN(Y199)&gt;0,1,0)+IF(LEN(AE199)&gt;0,1,0)+IF(LEN(AG199)&gt;0,1,0)+IF(LEN(AH199)&gt;0,1,0)+IF(LEN(AI199)&gt;0,1,0)+IF(LEN(AJ199)&gt;0,1,0)+IF(LEN(AS199)&gt;0,1,0)+IF(LEN(BE199)&gt;0,1,0)+IF(LEN(BR199)&gt;0,1,0))/18,2))</f>
        <v/>
      </c>
      <c r="BX199" s="10" t="str">
        <f aca="false">IF(D199="","",IF(AND(AH199="Approved",ISERROR(SEARCH("FAIL",BB199))),"Y","N"))</f>
        <v/>
      </c>
      <c r="BY199" s="10" t="str">
        <f aca="false">IF(D199="","",D199&amp;"|"&amp;H199&amp;"|"&amp;F199&amp;"|"&amp;I199&amp;"|"&amp;BX199)</f>
        <v/>
      </c>
    </row>
    <row r="200" customFormat="false" ht="15" hidden="false" customHeight="false" outlineLevel="0" collapsed="false">
      <c r="A200" s="10" t="str">
        <f aca="false">IF(D200="","","ERSS-"&amp;IFERROR(VLOOKUP(D200,Lists!$AK$4:$AL$21,2,0),"??")&amp;"-"&amp;TEXT(F200,"0000")&amp;"x"&amp;TEXT(G200,"0000")&amp;"-D"&amp;TEXT(H200*1000,"0000")&amp;"-"&amp;IFERROR(VLOOKUP(I200,Lists!$Y$4:$Z$21,2,0),"??")&amp;"-"&amp;AG200)</f>
        <v/>
      </c>
      <c r="B200" s="10" t="str">
        <f aca="false">IF(D200="","",D200&amp;" for "&amp;E200&amp;", "&amp;F200&amp;" x "&amp;G200&amp;" pit, "&amp;TEXT(H200,"0.0")&amp;" m deep, "&amp;I200)</f>
        <v/>
      </c>
      <c r="C200" s="9"/>
      <c r="D200" s="9"/>
      <c r="E200" s="9"/>
      <c r="F200" s="38"/>
      <c r="G200" s="38"/>
      <c r="H200" s="42"/>
      <c r="I200" s="9"/>
      <c r="J200" s="42"/>
      <c r="K200" s="38"/>
      <c r="L200" s="9"/>
      <c r="M200" s="42"/>
      <c r="N200" s="42"/>
      <c r="O200" s="38"/>
      <c r="P200" s="9"/>
      <c r="Q200" s="9"/>
      <c r="R200" s="39"/>
      <c r="S200" s="39"/>
      <c r="T200" s="38"/>
      <c r="U200" s="38"/>
      <c r="V200" s="38"/>
      <c r="W200" s="9"/>
      <c r="X200" s="9"/>
      <c r="Y200" s="38"/>
      <c r="Z200" s="9"/>
      <c r="AA200" s="9"/>
      <c r="AB200" s="38"/>
      <c r="AC200" s="9"/>
      <c r="AD200" s="39"/>
      <c r="AE200" s="9"/>
      <c r="AF200" s="9"/>
      <c r="AG200" s="9"/>
      <c r="AH200" s="9"/>
      <c r="AI200" s="9"/>
      <c r="AJ200" s="9"/>
      <c r="AK200" s="9"/>
      <c r="AL200" s="10" t="str">
        <f aca="false">IF(A200="","",SG_Criteria!$B$6&amp;SG_Criteria!$B$11&amp;"\"&amp;A200&amp;"\")</f>
        <v/>
      </c>
      <c r="AM200" s="10" t="str">
        <f aca="false">IF(A200="","",A200&amp;"_CAD.dwg")</f>
        <v/>
      </c>
      <c r="AN200" s="10" t="str">
        <f aca="false">IF(A200="","",A200&amp;"_DWG.pdf")</f>
        <v/>
      </c>
      <c r="AO200" s="10" t="str">
        <f aca="false">IF(A200="","",IF(AK200="Y",A200&amp;"_STAAD.std","n/a"))</f>
        <v/>
      </c>
      <c r="AP200" s="10" t="str">
        <f aca="false">IF(A200="","",A200&amp;"_CALC.xlsx")</f>
        <v/>
      </c>
      <c r="AQ200" s="10" t="str">
        <f aca="false">IF(A200="","",A200&amp;"_CALC.pdf")</f>
        <v/>
      </c>
      <c r="AR200" s="9"/>
      <c r="AS200" s="9"/>
      <c r="AT200" s="39"/>
      <c r="AU200" s="39"/>
      <c r="AV200" s="39"/>
      <c r="AW200" s="39"/>
      <c r="AX200" s="39"/>
      <c r="AY200" s="12" t="str">
        <f aca="false">IF(A200="","",IF(COUNTIF(Rebar_Schedule!$A$5:$A$2004,A200)=0,"",ROUND(SUMIF(Rebar_Schedule!$A$5:$A$2004,A200,Rebar_Schedule!$K$5:$K$2004),1)))</f>
        <v/>
      </c>
      <c r="AZ200" s="33" t="str">
        <f aca="false">IF(A200="","",IF(AY200="","No rebar schedule yet",IF(ABS(AY200-N(AU200))/MAX(N(AU200),1)&gt;SG_Criteria!$B$55,"NOTE: register rebar differs from schedule by "&amp;TEXT(ABS(AY200-N(AU200))/MAX(N(AU200),1),"0%"),"OK")))</f>
        <v/>
      </c>
      <c r="BA200" s="33" t="str">
        <f aca="false">IF(OR(D200="",H200=""),"",IF(H200&lt;=IF(OR(D200="Soldier Pile &amp; Timber Lagging",D200="Trench Shoring Box",D200="Open Cut (battered)"),SG_Criteria!$B$34,SG_Criteria!$B$33),"No ERSS submission",IF(H200&lt;=SG_Criteria!$B$35,"QP(ST)",IF(H200&lt;=SG_Criteria!$B$36,"QP(ST) + AC","Geotechnical building works: QP(Geo) + AC"))))</f>
        <v/>
      </c>
      <c r="BB200" s="33" t="str">
        <f aca="false">IF(D200="","",IF(LEN(IF(AND(R200&lt;&gt;"",R200&lt;SG_Criteria!$B$37),"FAIL: base stability FOS &lt; "&amp;SG_Criteria!$B$37&amp;". ","")&amp;IF(AND(E200="Manhole",H200&gt;SG_Criteria!$B$36),"NOTE: BCA lists sewer manholes (pipe &lt;= 2 m dia) &gt; 6 m as non-GBW: QP(ST) + AC. ","")&amp;IF(AND(D200="Trench Shoring Box",I200="Kallang Formation (marine clay)"),"NOTE: check base heave / ground loss for shoring box in marine clay. ","")&amp;IF(AND(D200="Steel Sheet Pile Cofferdam",N(N200)&lt;H200*0.5),"NOTE: short toe embedment, check. ",""))=0,"OK",IF(AND(R200&lt;&gt;"",R200&lt;SG_Criteria!$B$37),"FAIL: base stability FOS &lt; "&amp;SG_Criteria!$B$37&amp;". ","")&amp;IF(AND(E200="Manhole",H200&gt;SG_Criteria!$B$36),"NOTE: BCA lists sewer manholes (pipe &lt;= 2 m dia) &gt; 6 m as non-GBW: QP(ST) + AC. ","")&amp;IF(AND(D200="Trench Shoring Box",I200="Kallang Formation (marine clay)"),"NOTE: check base heave / ground loss for shoring box in marine clay. ","")&amp;IF(AND(D200="Steel Sheet Pile Cofferdam",N(N200)&lt;H200*0.5),"NOTE: short toe embedment, check. ","")))</f>
        <v/>
      </c>
      <c r="BC200" s="9"/>
      <c r="BD200" s="9"/>
      <c r="BE200" s="9"/>
      <c r="BF200" s="10" t="str">
        <f aca="false">IF(BE200="","",IFERROR(VLOOKUP(BE200,Projects!$A$5:$D$504,2,0),"Ref not in Projects"))</f>
        <v/>
      </c>
      <c r="BG200" s="10" t="str">
        <f aca="false">IF(BE200="","",IFERROR(VLOOKUP(BE200,Projects!$A$5:$D$504,4,0),"Ref not in Projects"))</f>
        <v/>
      </c>
      <c r="BH200" s="9"/>
      <c r="BI200" s="9"/>
      <c r="BJ200" s="9"/>
      <c r="BK200" s="40"/>
      <c r="BL200" s="9"/>
      <c r="BM200" s="40"/>
      <c r="BN200" s="9"/>
      <c r="BO200" s="40"/>
      <c r="BP200" s="9"/>
      <c r="BQ200" s="9"/>
      <c r="BR200" s="9"/>
      <c r="BS200" s="40"/>
      <c r="BT200" s="40"/>
      <c r="BU200" s="36" t="str">
        <f aca="false">IF(BT200="","",EDATE(BT200,SG_Criteria!$B$54*12))</f>
        <v/>
      </c>
      <c r="BV200" s="33" t="str">
        <f aca="true">IF(A200="","",IF(BT200="","NOTE: not reviewed yet",IF(TODAY()&gt;BU200,"NOTE: review overdue","OK")))</f>
        <v/>
      </c>
      <c r="BW200" s="37" t="str">
        <f aca="false">IF(A200="","",ROUND((IF(LEN(D200)&gt;0,1,0)+IF(LEN(E200)&gt;0,1,0)+IF(LEN(F200)&gt;0,1,0)+IF(LEN(G200)&gt;0,1,0)+IF(LEN(H200)&gt;0,1,0)+IF(LEN(I200)&gt;0,1,0)+IF(LEN(J200)&gt;0,1,0)+IF(LEN(L200)&gt;0,1,0)+IF(LEN(R200)&gt;0,1,0)+IF(LEN(Y200)&gt;0,1,0)+IF(LEN(AE200)&gt;0,1,0)+IF(LEN(AG200)&gt;0,1,0)+IF(LEN(AH200)&gt;0,1,0)+IF(LEN(AI200)&gt;0,1,0)+IF(LEN(AJ200)&gt;0,1,0)+IF(LEN(AS200)&gt;0,1,0)+IF(LEN(BE200)&gt;0,1,0)+IF(LEN(BR200)&gt;0,1,0))/18,2))</f>
        <v/>
      </c>
      <c r="BX200" s="10" t="str">
        <f aca="false">IF(D200="","",IF(AND(AH200="Approved",ISERROR(SEARCH("FAIL",BB200))),"Y","N"))</f>
        <v/>
      </c>
      <c r="BY200" s="10" t="str">
        <f aca="false">IF(D200="","",D200&amp;"|"&amp;H200&amp;"|"&amp;F200&amp;"|"&amp;I200&amp;"|"&amp;BX200)</f>
        <v/>
      </c>
    </row>
    <row r="201" customFormat="false" ht="15" hidden="false" customHeight="false" outlineLevel="0" collapsed="false">
      <c r="A201" s="10" t="str">
        <f aca="false">IF(D201="","","ERSS-"&amp;IFERROR(VLOOKUP(D201,Lists!$AK$4:$AL$21,2,0),"??")&amp;"-"&amp;TEXT(F201,"0000")&amp;"x"&amp;TEXT(G201,"0000")&amp;"-D"&amp;TEXT(H201*1000,"0000")&amp;"-"&amp;IFERROR(VLOOKUP(I201,Lists!$Y$4:$Z$21,2,0),"??")&amp;"-"&amp;AG201)</f>
        <v/>
      </c>
      <c r="B201" s="10" t="str">
        <f aca="false">IF(D201="","",D201&amp;" for "&amp;E201&amp;", "&amp;F201&amp;" x "&amp;G201&amp;" pit, "&amp;TEXT(H201,"0.0")&amp;" m deep, "&amp;I201)</f>
        <v/>
      </c>
      <c r="C201" s="9"/>
      <c r="D201" s="9"/>
      <c r="E201" s="9"/>
      <c r="F201" s="38"/>
      <c r="G201" s="38"/>
      <c r="H201" s="42"/>
      <c r="I201" s="9"/>
      <c r="J201" s="42"/>
      <c r="K201" s="38"/>
      <c r="L201" s="9"/>
      <c r="M201" s="42"/>
      <c r="N201" s="42"/>
      <c r="O201" s="38"/>
      <c r="P201" s="9"/>
      <c r="Q201" s="9"/>
      <c r="R201" s="39"/>
      <c r="S201" s="39"/>
      <c r="T201" s="38"/>
      <c r="U201" s="38"/>
      <c r="V201" s="38"/>
      <c r="W201" s="9"/>
      <c r="X201" s="9"/>
      <c r="Y201" s="38"/>
      <c r="Z201" s="9"/>
      <c r="AA201" s="9"/>
      <c r="AB201" s="38"/>
      <c r="AC201" s="9"/>
      <c r="AD201" s="39"/>
      <c r="AE201" s="9"/>
      <c r="AF201" s="9"/>
      <c r="AG201" s="9"/>
      <c r="AH201" s="9"/>
      <c r="AI201" s="9"/>
      <c r="AJ201" s="9"/>
      <c r="AK201" s="9"/>
      <c r="AL201" s="10" t="str">
        <f aca="false">IF(A201="","",SG_Criteria!$B$6&amp;SG_Criteria!$B$11&amp;"\"&amp;A201&amp;"\")</f>
        <v/>
      </c>
      <c r="AM201" s="10" t="str">
        <f aca="false">IF(A201="","",A201&amp;"_CAD.dwg")</f>
        <v/>
      </c>
      <c r="AN201" s="10" t="str">
        <f aca="false">IF(A201="","",A201&amp;"_DWG.pdf")</f>
        <v/>
      </c>
      <c r="AO201" s="10" t="str">
        <f aca="false">IF(A201="","",IF(AK201="Y",A201&amp;"_STAAD.std","n/a"))</f>
        <v/>
      </c>
      <c r="AP201" s="10" t="str">
        <f aca="false">IF(A201="","",A201&amp;"_CALC.xlsx")</f>
        <v/>
      </c>
      <c r="AQ201" s="10" t="str">
        <f aca="false">IF(A201="","",A201&amp;"_CALC.pdf")</f>
        <v/>
      </c>
      <c r="AR201" s="9"/>
      <c r="AS201" s="9"/>
      <c r="AT201" s="39"/>
      <c r="AU201" s="39"/>
      <c r="AV201" s="39"/>
      <c r="AW201" s="39"/>
      <c r="AX201" s="39"/>
      <c r="AY201" s="12" t="str">
        <f aca="false">IF(A201="","",IF(COUNTIF(Rebar_Schedule!$A$5:$A$2004,A201)=0,"",ROUND(SUMIF(Rebar_Schedule!$A$5:$A$2004,A201,Rebar_Schedule!$K$5:$K$2004),1)))</f>
        <v/>
      </c>
      <c r="AZ201" s="33" t="str">
        <f aca="false">IF(A201="","",IF(AY201="","No rebar schedule yet",IF(ABS(AY201-N(AU201))/MAX(N(AU201),1)&gt;SG_Criteria!$B$55,"NOTE: register rebar differs from schedule by "&amp;TEXT(ABS(AY201-N(AU201))/MAX(N(AU201),1),"0%"),"OK")))</f>
        <v/>
      </c>
      <c r="BA201" s="33" t="str">
        <f aca="false">IF(OR(D201="",H201=""),"",IF(H201&lt;=IF(OR(D201="Soldier Pile &amp; Timber Lagging",D201="Trench Shoring Box",D201="Open Cut (battered)"),SG_Criteria!$B$34,SG_Criteria!$B$33),"No ERSS submission",IF(H201&lt;=SG_Criteria!$B$35,"QP(ST)",IF(H201&lt;=SG_Criteria!$B$36,"QP(ST) + AC","Geotechnical building works: QP(Geo) + AC"))))</f>
        <v/>
      </c>
      <c r="BB201" s="33" t="str">
        <f aca="false">IF(D201="","",IF(LEN(IF(AND(R201&lt;&gt;"",R201&lt;SG_Criteria!$B$37),"FAIL: base stability FOS &lt; "&amp;SG_Criteria!$B$37&amp;". ","")&amp;IF(AND(E201="Manhole",H201&gt;SG_Criteria!$B$36),"NOTE: BCA lists sewer manholes (pipe &lt;= 2 m dia) &gt; 6 m as non-GBW: QP(ST) + AC. ","")&amp;IF(AND(D201="Trench Shoring Box",I201="Kallang Formation (marine clay)"),"NOTE: check base heave / ground loss for shoring box in marine clay. ","")&amp;IF(AND(D201="Steel Sheet Pile Cofferdam",N(N201)&lt;H201*0.5),"NOTE: short toe embedment, check. ",""))=0,"OK",IF(AND(R201&lt;&gt;"",R201&lt;SG_Criteria!$B$37),"FAIL: base stability FOS &lt; "&amp;SG_Criteria!$B$37&amp;". ","")&amp;IF(AND(E201="Manhole",H201&gt;SG_Criteria!$B$36),"NOTE: BCA lists sewer manholes (pipe &lt;= 2 m dia) &gt; 6 m as non-GBW: QP(ST) + AC. ","")&amp;IF(AND(D201="Trench Shoring Box",I201="Kallang Formation (marine clay)"),"NOTE: check base heave / ground loss for shoring box in marine clay. ","")&amp;IF(AND(D201="Steel Sheet Pile Cofferdam",N(N201)&lt;H201*0.5),"NOTE: short toe embedment, check. ","")))</f>
        <v/>
      </c>
      <c r="BC201" s="9"/>
      <c r="BD201" s="9"/>
      <c r="BE201" s="9"/>
      <c r="BF201" s="10" t="str">
        <f aca="false">IF(BE201="","",IFERROR(VLOOKUP(BE201,Projects!$A$5:$D$504,2,0),"Ref not in Projects"))</f>
        <v/>
      </c>
      <c r="BG201" s="10" t="str">
        <f aca="false">IF(BE201="","",IFERROR(VLOOKUP(BE201,Projects!$A$5:$D$504,4,0),"Ref not in Projects"))</f>
        <v/>
      </c>
      <c r="BH201" s="9"/>
      <c r="BI201" s="9"/>
      <c r="BJ201" s="9"/>
      <c r="BK201" s="40"/>
      <c r="BL201" s="9"/>
      <c r="BM201" s="40"/>
      <c r="BN201" s="9"/>
      <c r="BO201" s="40"/>
      <c r="BP201" s="9"/>
      <c r="BQ201" s="9"/>
      <c r="BR201" s="9"/>
      <c r="BS201" s="40"/>
      <c r="BT201" s="40"/>
      <c r="BU201" s="36" t="str">
        <f aca="false">IF(BT201="","",EDATE(BT201,SG_Criteria!$B$54*12))</f>
        <v/>
      </c>
      <c r="BV201" s="33" t="str">
        <f aca="true">IF(A201="","",IF(BT201="","NOTE: not reviewed yet",IF(TODAY()&gt;BU201,"NOTE: review overdue","OK")))</f>
        <v/>
      </c>
      <c r="BW201" s="37" t="str">
        <f aca="false">IF(A201="","",ROUND((IF(LEN(D201)&gt;0,1,0)+IF(LEN(E201)&gt;0,1,0)+IF(LEN(F201)&gt;0,1,0)+IF(LEN(G201)&gt;0,1,0)+IF(LEN(H201)&gt;0,1,0)+IF(LEN(I201)&gt;0,1,0)+IF(LEN(J201)&gt;0,1,0)+IF(LEN(L201)&gt;0,1,0)+IF(LEN(R201)&gt;0,1,0)+IF(LEN(Y201)&gt;0,1,0)+IF(LEN(AE201)&gt;0,1,0)+IF(LEN(AG201)&gt;0,1,0)+IF(LEN(AH201)&gt;0,1,0)+IF(LEN(AI201)&gt;0,1,0)+IF(LEN(AJ201)&gt;0,1,0)+IF(LEN(AS201)&gt;0,1,0)+IF(LEN(BE201)&gt;0,1,0)+IF(LEN(BR201)&gt;0,1,0))/18,2))</f>
        <v/>
      </c>
      <c r="BX201" s="10" t="str">
        <f aca="false">IF(D201="","",IF(AND(AH201="Approved",ISERROR(SEARCH("FAIL",BB201))),"Y","N"))</f>
        <v/>
      </c>
      <c r="BY201" s="10" t="str">
        <f aca="false">IF(D201="","",D201&amp;"|"&amp;H201&amp;"|"&amp;F201&amp;"|"&amp;I201&amp;"|"&amp;BX201)</f>
        <v/>
      </c>
    </row>
    <row r="202" customFormat="false" ht="15" hidden="false" customHeight="false" outlineLevel="0" collapsed="false">
      <c r="A202" s="10" t="str">
        <f aca="false">IF(D202="","","ERSS-"&amp;IFERROR(VLOOKUP(D202,Lists!$AK$4:$AL$21,2,0),"??")&amp;"-"&amp;TEXT(F202,"0000")&amp;"x"&amp;TEXT(G202,"0000")&amp;"-D"&amp;TEXT(H202*1000,"0000")&amp;"-"&amp;IFERROR(VLOOKUP(I202,Lists!$Y$4:$Z$21,2,0),"??")&amp;"-"&amp;AG202)</f>
        <v/>
      </c>
      <c r="B202" s="10" t="str">
        <f aca="false">IF(D202="","",D202&amp;" for "&amp;E202&amp;", "&amp;F202&amp;" x "&amp;G202&amp;" pit, "&amp;TEXT(H202,"0.0")&amp;" m deep, "&amp;I202)</f>
        <v/>
      </c>
      <c r="C202" s="9"/>
      <c r="D202" s="9"/>
      <c r="E202" s="9"/>
      <c r="F202" s="38"/>
      <c r="G202" s="38"/>
      <c r="H202" s="42"/>
      <c r="I202" s="9"/>
      <c r="J202" s="42"/>
      <c r="K202" s="38"/>
      <c r="L202" s="9"/>
      <c r="M202" s="42"/>
      <c r="N202" s="42"/>
      <c r="O202" s="38"/>
      <c r="P202" s="9"/>
      <c r="Q202" s="9"/>
      <c r="R202" s="39"/>
      <c r="S202" s="39"/>
      <c r="T202" s="38"/>
      <c r="U202" s="38"/>
      <c r="V202" s="38"/>
      <c r="W202" s="9"/>
      <c r="X202" s="9"/>
      <c r="Y202" s="38"/>
      <c r="Z202" s="9"/>
      <c r="AA202" s="9"/>
      <c r="AB202" s="38"/>
      <c r="AC202" s="9"/>
      <c r="AD202" s="39"/>
      <c r="AE202" s="9"/>
      <c r="AF202" s="9"/>
      <c r="AG202" s="9"/>
      <c r="AH202" s="9"/>
      <c r="AI202" s="9"/>
      <c r="AJ202" s="9"/>
      <c r="AK202" s="9"/>
      <c r="AL202" s="10" t="str">
        <f aca="false">IF(A202="","",SG_Criteria!$B$6&amp;SG_Criteria!$B$11&amp;"\"&amp;A202&amp;"\")</f>
        <v/>
      </c>
      <c r="AM202" s="10" t="str">
        <f aca="false">IF(A202="","",A202&amp;"_CAD.dwg")</f>
        <v/>
      </c>
      <c r="AN202" s="10" t="str">
        <f aca="false">IF(A202="","",A202&amp;"_DWG.pdf")</f>
        <v/>
      </c>
      <c r="AO202" s="10" t="str">
        <f aca="false">IF(A202="","",IF(AK202="Y",A202&amp;"_STAAD.std","n/a"))</f>
        <v/>
      </c>
      <c r="AP202" s="10" t="str">
        <f aca="false">IF(A202="","",A202&amp;"_CALC.xlsx")</f>
        <v/>
      </c>
      <c r="AQ202" s="10" t="str">
        <f aca="false">IF(A202="","",A202&amp;"_CALC.pdf")</f>
        <v/>
      </c>
      <c r="AR202" s="9"/>
      <c r="AS202" s="9"/>
      <c r="AT202" s="39"/>
      <c r="AU202" s="39"/>
      <c r="AV202" s="39"/>
      <c r="AW202" s="39"/>
      <c r="AX202" s="39"/>
      <c r="AY202" s="12" t="str">
        <f aca="false">IF(A202="","",IF(COUNTIF(Rebar_Schedule!$A$5:$A$2004,A202)=0,"",ROUND(SUMIF(Rebar_Schedule!$A$5:$A$2004,A202,Rebar_Schedule!$K$5:$K$2004),1)))</f>
        <v/>
      </c>
      <c r="AZ202" s="33" t="str">
        <f aca="false">IF(A202="","",IF(AY202="","No rebar schedule yet",IF(ABS(AY202-N(AU202))/MAX(N(AU202),1)&gt;SG_Criteria!$B$55,"NOTE: register rebar differs from schedule by "&amp;TEXT(ABS(AY202-N(AU202))/MAX(N(AU202),1),"0%"),"OK")))</f>
        <v/>
      </c>
      <c r="BA202" s="33" t="str">
        <f aca="false">IF(OR(D202="",H202=""),"",IF(H202&lt;=IF(OR(D202="Soldier Pile &amp; Timber Lagging",D202="Trench Shoring Box",D202="Open Cut (battered)"),SG_Criteria!$B$34,SG_Criteria!$B$33),"No ERSS submission",IF(H202&lt;=SG_Criteria!$B$35,"QP(ST)",IF(H202&lt;=SG_Criteria!$B$36,"QP(ST) + AC","Geotechnical building works: QP(Geo) + AC"))))</f>
        <v/>
      </c>
      <c r="BB202" s="33" t="str">
        <f aca="false">IF(D202="","",IF(LEN(IF(AND(R202&lt;&gt;"",R202&lt;SG_Criteria!$B$37),"FAIL: base stability FOS &lt; "&amp;SG_Criteria!$B$37&amp;". ","")&amp;IF(AND(E202="Manhole",H202&gt;SG_Criteria!$B$36),"NOTE: BCA lists sewer manholes (pipe &lt;= 2 m dia) &gt; 6 m as non-GBW: QP(ST) + AC. ","")&amp;IF(AND(D202="Trench Shoring Box",I202="Kallang Formation (marine clay)"),"NOTE: check base heave / ground loss for shoring box in marine clay. ","")&amp;IF(AND(D202="Steel Sheet Pile Cofferdam",N(N202)&lt;H202*0.5),"NOTE: short toe embedment, check. ",""))=0,"OK",IF(AND(R202&lt;&gt;"",R202&lt;SG_Criteria!$B$37),"FAIL: base stability FOS &lt; "&amp;SG_Criteria!$B$37&amp;". ","")&amp;IF(AND(E202="Manhole",H202&gt;SG_Criteria!$B$36),"NOTE: BCA lists sewer manholes (pipe &lt;= 2 m dia) &gt; 6 m as non-GBW: QP(ST) + AC. ","")&amp;IF(AND(D202="Trench Shoring Box",I202="Kallang Formation (marine clay)"),"NOTE: check base heave / ground loss for shoring box in marine clay. ","")&amp;IF(AND(D202="Steel Sheet Pile Cofferdam",N(N202)&lt;H202*0.5),"NOTE: short toe embedment, check. ","")))</f>
        <v/>
      </c>
      <c r="BC202" s="9"/>
      <c r="BD202" s="9"/>
      <c r="BE202" s="9"/>
      <c r="BF202" s="10" t="str">
        <f aca="false">IF(BE202="","",IFERROR(VLOOKUP(BE202,Projects!$A$5:$D$504,2,0),"Ref not in Projects"))</f>
        <v/>
      </c>
      <c r="BG202" s="10" t="str">
        <f aca="false">IF(BE202="","",IFERROR(VLOOKUP(BE202,Projects!$A$5:$D$504,4,0),"Ref not in Projects"))</f>
        <v/>
      </c>
      <c r="BH202" s="9"/>
      <c r="BI202" s="9"/>
      <c r="BJ202" s="9"/>
      <c r="BK202" s="40"/>
      <c r="BL202" s="9"/>
      <c r="BM202" s="40"/>
      <c r="BN202" s="9"/>
      <c r="BO202" s="40"/>
      <c r="BP202" s="9"/>
      <c r="BQ202" s="9"/>
      <c r="BR202" s="9"/>
      <c r="BS202" s="40"/>
      <c r="BT202" s="40"/>
      <c r="BU202" s="36" t="str">
        <f aca="false">IF(BT202="","",EDATE(BT202,SG_Criteria!$B$54*12))</f>
        <v/>
      </c>
      <c r="BV202" s="33" t="str">
        <f aca="true">IF(A202="","",IF(BT202="","NOTE: not reviewed yet",IF(TODAY()&gt;BU202,"NOTE: review overdue","OK")))</f>
        <v/>
      </c>
      <c r="BW202" s="37" t="str">
        <f aca="false">IF(A202="","",ROUND((IF(LEN(D202)&gt;0,1,0)+IF(LEN(E202)&gt;0,1,0)+IF(LEN(F202)&gt;0,1,0)+IF(LEN(G202)&gt;0,1,0)+IF(LEN(H202)&gt;0,1,0)+IF(LEN(I202)&gt;0,1,0)+IF(LEN(J202)&gt;0,1,0)+IF(LEN(L202)&gt;0,1,0)+IF(LEN(R202)&gt;0,1,0)+IF(LEN(Y202)&gt;0,1,0)+IF(LEN(AE202)&gt;0,1,0)+IF(LEN(AG202)&gt;0,1,0)+IF(LEN(AH202)&gt;0,1,0)+IF(LEN(AI202)&gt;0,1,0)+IF(LEN(AJ202)&gt;0,1,0)+IF(LEN(AS202)&gt;0,1,0)+IF(LEN(BE202)&gt;0,1,0)+IF(LEN(BR202)&gt;0,1,0))/18,2))</f>
        <v/>
      </c>
      <c r="BX202" s="10" t="str">
        <f aca="false">IF(D202="","",IF(AND(AH202="Approved",ISERROR(SEARCH("FAIL",BB202))),"Y","N"))</f>
        <v/>
      </c>
      <c r="BY202" s="10" t="str">
        <f aca="false">IF(D202="","",D202&amp;"|"&amp;H202&amp;"|"&amp;F202&amp;"|"&amp;I202&amp;"|"&amp;BX202)</f>
        <v/>
      </c>
    </row>
    <row r="203" customFormat="false" ht="15" hidden="false" customHeight="false" outlineLevel="0" collapsed="false">
      <c r="A203" s="10" t="str">
        <f aca="false">IF(D203="","","ERSS-"&amp;IFERROR(VLOOKUP(D203,Lists!$AK$4:$AL$21,2,0),"??")&amp;"-"&amp;TEXT(F203,"0000")&amp;"x"&amp;TEXT(G203,"0000")&amp;"-D"&amp;TEXT(H203*1000,"0000")&amp;"-"&amp;IFERROR(VLOOKUP(I203,Lists!$Y$4:$Z$21,2,0),"??")&amp;"-"&amp;AG203)</f>
        <v/>
      </c>
      <c r="B203" s="10" t="str">
        <f aca="false">IF(D203="","",D203&amp;" for "&amp;E203&amp;", "&amp;F203&amp;" x "&amp;G203&amp;" pit, "&amp;TEXT(H203,"0.0")&amp;" m deep, "&amp;I203)</f>
        <v/>
      </c>
      <c r="C203" s="9"/>
      <c r="D203" s="9"/>
      <c r="E203" s="9"/>
      <c r="F203" s="38"/>
      <c r="G203" s="38"/>
      <c r="H203" s="42"/>
      <c r="I203" s="9"/>
      <c r="J203" s="42"/>
      <c r="K203" s="38"/>
      <c r="L203" s="9"/>
      <c r="M203" s="42"/>
      <c r="N203" s="42"/>
      <c r="O203" s="38"/>
      <c r="P203" s="9"/>
      <c r="Q203" s="9"/>
      <c r="R203" s="39"/>
      <c r="S203" s="39"/>
      <c r="T203" s="38"/>
      <c r="U203" s="38"/>
      <c r="V203" s="38"/>
      <c r="W203" s="9"/>
      <c r="X203" s="9"/>
      <c r="Y203" s="38"/>
      <c r="Z203" s="9"/>
      <c r="AA203" s="9"/>
      <c r="AB203" s="38"/>
      <c r="AC203" s="9"/>
      <c r="AD203" s="39"/>
      <c r="AE203" s="9"/>
      <c r="AF203" s="9"/>
      <c r="AG203" s="9"/>
      <c r="AH203" s="9"/>
      <c r="AI203" s="9"/>
      <c r="AJ203" s="9"/>
      <c r="AK203" s="9"/>
      <c r="AL203" s="10" t="str">
        <f aca="false">IF(A203="","",SG_Criteria!$B$6&amp;SG_Criteria!$B$11&amp;"\"&amp;A203&amp;"\")</f>
        <v/>
      </c>
      <c r="AM203" s="10" t="str">
        <f aca="false">IF(A203="","",A203&amp;"_CAD.dwg")</f>
        <v/>
      </c>
      <c r="AN203" s="10" t="str">
        <f aca="false">IF(A203="","",A203&amp;"_DWG.pdf")</f>
        <v/>
      </c>
      <c r="AO203" s="10" t="str">
        <f aca="false">IF(A203="","",IF(AK203="Y",A203&amp;"_STAAD.std","n/a"))</f>
        <v/>
      </c>
      <c r="AP203" s="10" t="str">
        <f aca="false">IF(A203="","",A203&amp;"_CALC.xlsx")</f>
        <v/>
      </c>
      <c r="AQ203" s="10" t="str">
        <f aca="false">IF(A203="","",A203&amp;"_CALC.pdf")</f>
        <v/>
      </c>
      <c r="AR203" s="9"/>
      <c r="AS203" s="9"/>
      <c r="AT203" s="39"/>
      <c r="AU203" s="39"/>
      <c r="AV203" s="39"/>
      <c r="AW203" s="39"/>
      <c r="AX203" s="39"/>
      <c r="AY203" s="12" t="str">
        <f aca="false">IF(A203="","",IF(COUNTIF(Rebar_Schedule!$A$5:$A$2004,A203)=0,"",ROUND(SUMIF(Rebar_Schedule!$A$5:$A$2004,A203,Rebar_Schedule!$K$5:$K$2004),1)))</f>
        <v/>
      </c>
      <c r="AZ203" s="33" t="str">
        <f aca="false">IF(A203="","",IF(AY203="","No rebar schedule yet",IF(ABS(AY203-N(AU203))/MAX(N(AU203),1)&gt;SG_Criteria!$B$55,"NOTE: register rebar differs from schedule by "&amp;TEXT(ABS(AY203-N(AU203))/MAX(N(AU203),1),"0%"),"OK")))</f>
        <v/>
      </c>
      <c r="BA203" s="33" t="str">
        <f aca="false">IF(OR(D203="",H203=""),"",IF(H203&lt;=IF(OR(D203="Soldier Pile &amp; Timber Lagging",D203="Trench Shoring Box",D203="Open Cut (battered)"),SG_Criteria!$B$34,SG_Criteria!$B$33),"No ERSS submission",IF(H203&lt;=SG_Criteria!$B$35,"QP(ST)",IF(H203&lt;=SG_Criteria!$B$36,"QP(ST) + AC","Geotechnical building works: QP(Geo) + AC"))))</f>
        <v/>
      </c>
      <c r="BB203" s="33" t="str">
        <f aca="false">IF(D203="","",IF(LEN(IF(AND(R203&lt;&gt;"",R203&lt;SG_Criteria!$B$37),"FAIL: base stability FOS &lt; "&amp;SG_Criteria!$B$37&amp;". ","")&amp;IF(AND(E203="Manhole",H203&gt;SG_Criteria!$B$36),"NOTE: BCA lists sewer manholes (pipe &lt;= 2 m dia) &gt; 6 m as non-GBW: QP(ST) + AC. ","")&amp;IF(AND(D203="Trench Shoring Box",I203="Kallang Formation (marine clay)"),"NOTE: check base heave / ground loss for shoring box in marine clay. ","")&amp;IF(AND(D203="Steel Sheet Pile Cofferdam",N(N203)&lt;H203*0.5),"NOTE: short toe embedment, check. ",""))=0,"OK",IF(AND(R203&lt;&gt;"",R203&lt;SG_Criteria!$B$37),"FAIL: base stability FOS &lt; "&amp;SG_Criteria!$B$37&amp;". ","")&amp;IF(AND(E203="Manhole",H203&gt;SG_Criteria!$B$36),"NOTE: BCA lists sewer manholes (pipe &lt;= 2 m dia) &gt; 6 m as non-GBW: QP(ST) + AC. ","")&amp;IF(AND(D203="Trench Shoring Box",I203="Kallang Formation (marine clay)"),"NOTE: check base heave / ground loss for shoring box in marine clay. ","")&amp;IF(AND(D203="Steel Sheet Pile Cofferdam",N(N203)&lt;H203*0.5),"NOTE: short toe embedment, check. ","")))</f>
        <v/>
      </c>
      <c r="BC203" s="9"/>
      <c r="BD203" s="9"/>
      <c r="BE203" s="9"/>
      <c r="BF203" s="10" t="str">
        <f aca="false">IF(BE203="","",IFERROR(VLOOKUP(BE203,Projects!$A$5:$D$504,2,0),"Ref not in Projects"))</f>
        <v/>
      </c>
      <c r="BG203" s="10" t="str">
        <f aca="false">IF(BE203="","",IFERROR(VLOOKUP(BE203,Projects!$A$5:$D$504,4,0),"Ref not in Projects"))</f>
        <v/>
      </c>
      <c r="BH203" s="9"/>
      <c r="BI203" s="9"/>
      <c r="BJ203" s="9"/>
      <c r="BK203" s="40"/>
      <c r="BL203" s="9"/>
      <c r="BM203" s="40"/>
      <c r="BN203" s="9"/>
      <c r="BO203" s="40"/>
      <c r="BP203" s="9"/>
      <c r="BQ203" s="9"/>
      <c r="BR203" s="9"/>
      <c r="BS203" s="40"/>
      <c r="BT203" s="40"/>
      <c r="BU203" s="36" t="str">
        <f aca="false">IF(BT203="","",EDATE(BT203,SG_Criteria!$B$54*12))</f>
        <v/>
      </c>
      <c r="BV203" s="33" t="str">
        <f aca="true">IF(A203="","",IF(BT203="","NOTE: not reviewed yet",IF(TODAY()&gt;BU203,"NOTE: review overdue","OK")))</f>
        <v/>
      </c>
      <c r="BW203" s="37" t="str">
        <f aca="false">IF(A203="","",ROUND((IF(LEN(D203)&gt;0,1,0)+IF(LEN(E203)&gt;0,1,0)+IF(LEN(F203)&gt;0,1,0)+IF(LEN(G203)&gt;0,1,0)+IF(LEN(H203)&gt;0,1,0)+IF(LEN(I203)&gt;0,1,0)+IF(LEN(J203)&gt;0,1,0)+IF(LEN(L203)&gt;0,1,0)+IF(LEN(R203)&gt;0,1,0)+IF(LEN(Y203)&gt;0,1,0)+IF(LEN(AE203)&gt;0,1,0)+IF(LEN(AG203)&gt;0,1,0)+IF(LEN(AH203)&gt;0,1,0)+IF(LEN(AI203)&gt;0,1,0)+IF(LEN(AJ203)&gt;0,1,0)+IF(LEN(AS203)&gt;0,1,0)+IF(LEN(BE203)&gt;0,1,0)+IF(LEN(BR203)&gt;0,1,0))/18,2))</f>
        <v/>
      </c>
      <c r="BX203" s="10" t="str">
        <f aca="false">IF(D203="","",IF(AND(AH203="Approved",ISERROR(SEARCH("FAIL",BB203))),"Y","N"))</f>
        <v/>
      </c>
      <c r="BY203" s="10" t="str">
        <f aca="false">IF(D203="","",D203&amp;"|"&amp;H203&amp;"|"&amp;F203&amp;"|"&amp;I203&amp;"|"&amp;BX203)</f>
        <v/>
      </c>
    </row>
    <row r="204" customFormat="false" ht="15" hidden="false" customHeight="false" outlineLevel="0" collapsed="false">
      <c r="A204" s="10" t="str">
        <f aca="false">IF(D204="","","ERSS-"&amp;IFERROR(VLOOKUP(D204,Lists!$AK$4:$AL$21,2,0),"??")&amp;"-"&amp;TEXT(F204,"0000")&amp;"x"&amp;TEXT(G204,"0000")&amp;"-D"&amp;TEXT(H204*1000,"0000")&amp;"-"&amp;IFERROR(VLOOKUP(I204,Lists!$Y$4:$Z$21,2,0),"??")&amp;"-"&amp;AG204)</f>
        <v/>
      </c>
      <c r="B204" s="10" t="str">
        <f aca="false">IF(D204="","",D204&amp;" for "&amp;E204&amp;", "&amp;F204&amp;" x "&amp;G204&amp;" pit, "&amp;TEXT(H204,"0.0")&amp;" m deep, "&amp;I204)</f>
        <v/>
      </c>
      <c r="C204" s="9"/>
      <c r="D204" s="9"/>
      <c r="E204" s="9"/>
      <c r="F204" s="38"/>
      <c r="G204" s="38"/>
      <c r="H204" s="42"/>
      <c r="I204" s="9"/>
      <c r="J204" s="42"/>
      <c r="K204" s="38"/>
      <c r="L204" s="9"/>
      <c r="M204" s="42"/>
      <c r="N204" s="42"/>
      <c r="O204" s="38"/>
      <c r="P204" s="9"/>
      <c r="Q204" s="9"/>
      <c r="R204" s="39"/>
      <c r="S204" s="39"/>
      <c r="T204" s="38"/>
      <c r="U204" s="38"/>
      <c r="V204" s="38"/>
      <c r="W204" s="9"/>
      <c r="X204" s="9"/>
      <c r="Y204" s="38"/>
      <c r="Z204" s="9"/>
      <c r="AA204" s="9"/>
      <c r="AB204" s="38"/>
      <c r="AC204" s="9"/>
      <c r="AD204" s="39"/>
      <c r="AE204" s="9"/>
      <c r="AF204" s="9"/>
      <c r="AG204" s="9"/>
      <c r="AH204" s="9"/>
      <c r="AI204" s="9"/>
      <c r="AJ204" s="9"/>
      <c r="AK204" s="9"/>
      <c r="AL204" s="10" t="str">
        <f aca="false">IF(A204="","",SG_Criteria!$B$6&amp;SG_Criteria!$B$11&amp;"\"&amp;A204&amp;"\")</f>
        <v/>
      </c>
      <c r="AM204" s="10" t="str">
        <f aca="false">IF(A204="","",A204&amp;"_CAD.dwg")</f>
        <v/>
      </c>
      <c r="AN204" s="10" t="str">
        <f aca="false">IF(A204="","",A204&amp;"_DWG.pdf")</f>
        <v/>
      </c>
      <c r="AO204" s="10" t="str">
        <f aca="false">IF(A204="","",IF(AK204="Y",A204&amp;"_STAAD.std","n/a"))</f>
        <v/>
      </c>
      <c r="AP204" s="10" t="str">
        <f aca="false">IF(A204="","",A204&amp;"_CALC.xlsx")</f>
        <v/>
      </c>
      <c r="AQ204" s="10" t="str">
        <f aca="false">IF(A204="","",A204&amp;"_CALC.pdf")</f>
        <v/>
      </c>
      <c r="AR204" s="9"/>
      <c r="AS204" s="9"/>
      <c r="AT204" s="39"/>
      <c r="AU204" s="39"/>
      <c r="AV204" s="39"/>
      <c r="AW204" s="39"/>
      <c r="AX204" s="39"/>
      <c r="AY204" s="12" t="str">
        <f aca="false">IF(A204="","",IF(COUNTIF(Rebar_Schedule!$A$5:$A$2004,A204)=0,"",ROUND(SUMIF(Rebar_Schedule!$A$5:$A$2004,A204,Rebar_Schedule!$K$5:$K$2004),1)))</f>
        <v/>
      </c>
      <c r="AZ204" s="33" t="str">
        <f aca="false">IF(A204="","",IF(AY204="","No rebar schedule yet",IF(ABS(AY204-N(AU204))/MAX(N(AU204),1)&gt;SG_Criteria!$B$55,"NOTE: register rebar differs from schedule by "&amp;TEXT(ABS(AY204-N(AU204))/MAX(N(AU204),1),"0%"),"OK")))</f>
        <v/>
      </c>
      <c r="BA204" s="33" t="str">
        <f aca="false">IF(OR(D204="",H204=""),"",IF(H204&lt;=IF(OR(D204="Soldier Pile &amp; Timber Lagging",D204="Trench Shoring Box",D204="Open Cut (battered)"),SG_Criteria!$B$34,SG_Criteria!$B$33),"No ERSS submission",IF(H204&lt;=SG_Criteria!$B$35,"QP(ST)",IF(H204&lt;=SG_Criteria!$B$36,"QP(ST) + AC","Geotechnical building works: QP(Geo) + AC"))))</f>
        <v/>
      </c>
      <c r="BB204" s="33" t="str">
        <f aca="false">IF(D204="","",IF(LEN(IF(AND(R204&lt;&gt;"",R204&lt;SG_Criteria!$B$37),"FAIL: base stability FOS &lt; "&amp;SG_Criteria!$B$37&amp;". ","")&amp;IF(AND(E204="Manhole",H204&gt;SG_Criteria!$B$36),"NOTE: BCA lists sewer manholes (pipe &lt;= 2 m dia) &gt; 6 m as non-GBW: QP(ST) + AC. ","")&amp;IF(AND(D204="Trench Shoring Box",I204="Kallang Formation (marine clay)"),"NOTE: check base heave / ground loss for shoring box in marine clay. ","")&amp;IF(AND(D204="Steel Sheet Pile Cofferdam",N(N204)&lt;H204*0.5),"NOTE: short toe embedment, check. ",""))=0,"OK",IF(AND(R204&lt;&gt;"",R204&lt;SG_Criteria!$B$37),"FAIL: base stability FOS &lt; "&amp;SG_Criteria!$B$37&amp;". ","")&amp;IF(AND(E204="Manhole",H204&gt;SG_Criteria!$B$36),"NOTE: BCA lists sewer manholes (pipe &lt;= 2 m dia) &gt; 6 m as non-GBW: QP(ST) + AC. ","")&amp;IF(AND(D204="Trench Shoring Box",I204="Kallang Formation (marine clay)"),"NOTE: check base heave / ground loss for shoring box in marine clay. ","")&amp;IF(AND(D204="Steel Sheet Pile Cofferdam",N(N204)&lt;H204*0.5),"NOTE: short toe embedment, check. ","")))</f>
        <v/>
      </c>
      <c r="BC204" s="9"/>
      <c r="BD204" s="9"/>
      <c r="BE204" s="9"/>
      <c r="BF204" s="10" t="str">
        <f aca="false">IF(BE204="","",IFERROR(VLOOKUP(BE204,Projects!$A$5:$D$504,2,0),"Ref not in Projects"))</f>
        <v/>
      </c>
      <c r="BG204" s="10" t="str">
        <f aca="false">IF(BE204="","",IFERROR(VLOOKUP(BE204,Projects!$A$5:$D$504,4,0),"Ref not in Projects"))</f>
        <v/>
      </c>
      <c r="BH204" s="9"/>
      <c r="BI204" s="9"/>
      <c r="BJ204" s="9"/>
      <c r="BK204" s="40"/>
      <c r="BL204" s="9"/>
      <c r="BM204" s="40"/>
      <c r="BN204" s="9"/>
      <c r="BO204" s="40"/>
      <c r="BP204" s="9"/>
      <c r="BQ204" s="9"/>
      <c r="BR204" s="9"/>
      <c r="BS204" s="40"/>
      <c r="BT204" s="40"/>
      <c r="BU204" s="36" t="str">
        <f aca="false">IF(BT204="","",EDATE(BT204,SG_Criteria!$B$54*12))</f>
        <v/>
      </c>
      <c r="BV204" s="33" t="str">
        <f aca="true">IF(A204="","",IF(BT204="","NOTE: not reviewed yet",IF(TODAY()&gt;BU204,"NOTE: review overdue","OK")))</f>
        <v/>
      </c>
      <c r="BW204" s="37" t="str">
        <f aca="false">IF(A204="","",ROUND((IF(LEN(D204)&gt;0,1,0)+IF(LEN(E204)&gt;0,1,0)+IF(LEN(F204)&gt;0,1,0)+IF(LEN(G204)&gt;0,1,0)+IF(LEN(H204)&gt;0,1,0)+IF(LEN(I204)&gt;0,1,0)+IF(LEN(J204)&gt;0,1,0)+IF(LEN(L204)&gt;0,1,0)+IF(LEN(R204)&gt;0,1,0)+IF(LEN(Y204)&gt;0,1,0)+IF(LEN(AE204)&gt;0,1,0)+IF(LEN(AG204)&gt;0,1,0)+IF(LEN(AH204)&gt;0,1,0)+IF(LEN(AI204)&gt;0,1,0)+IF(LEN(AJ204)&gt;0,1,0)+IF(LEN(AS204)&gt;0,1,0)+IF(LEN(BE204)&gt;0,1,0)+IF(LEN(BR204)&gt;0,1,0))/18,2))</f>
        <v/>
      </c>
      <c r="BX204" s="10" t="str">
        <f aca="false">IF(D204="","",IF(AND(AH204="Approved",ISERROR(SEARCH("FAIL",BB204))),"Y","N"))</f>
        <v/>
      </c>
      <c r="BY204" s="10" t="str">
        <f aca="false">IF(D204="","",D204&amp;"|"&amp;H204&amp;"|"&amp;F204&amp;"|"&amp;I204&amp;"|"&amp;BX204)</f>
        <v/>
      </c>
    </row>
    <row r="205" customFormat="false" ht="15" hidden="false" customHeight="false" outlineLevel="0" collapsed="false">
      <c r="A205" s="10" t="str">
        <f aca="false">IF(D205="","","ERSS-"&amp;IFERROR(VLOOKUP(D205,Lists!$AK$4:$AL$21,2,0),"??")&amp;"-"&amp;TEXT(F205,"0000")&amp;"x"&amp;TEXT(G205,"0000")&amp;"-D"&amp;TEXT(H205*1000,"0000")&amp;"-"&amp;IFERROR(VLOOKUP(I205,Lists!$Y$4:$Z$21,2,0),"??")&amp;"-"&amp;AG205)</f>
        <v/>
      </c>
      <c r="B205" s="10" t="str">
        <f aca="false">IF(D205="","",D205&amp;" for "&amp;E205&amp;", "&amp;F205&amp;" x "&amp;G205&amp;" pit, "&amp;TEXT(H205,"0.0")&amp;" m deep, "&amp;I205)</f>
        <v/>
      </c>
      <c r="C205" s="9"/>
      <c r="D205" s="9"/>
      <c r="E205" s="9"/>
      <c r="F205" s="38"/>
      <c r="G205" s="38"/>
      <c r="H205" s="42"/>
      <c r="I205" s="9"/>
      <c r="J205" s="42"/>
      <c r="K205" s="38"/>
      <c r="L205" s="9"/>
      <c r="M205" s="42"/>
      <c r="N205" s="42"/>
      <c r="O205" s="38"/>
      <c r="P205" s="9"/>
      <c r="Q205" s="9"/>
      <c r="R205" s="39"/>
      <c r="S205" s="39"/>
      <c r="T205" s="38"/>
      <c r="U205" s="38"/>
      <c r="V205" s="38"/>
      <c r="W205" s="9"/>
      <c r="X205" s="9"/>
      <c r="Y205" s="38"/>
      <c r="Z205" s="9"/>
      <c r="AA205" s="9"/>
      <c r="AB205" s="38"/>
      <c r="AC205" s="9"/>
      <c r="AD205" s="39"/>
      <c r="AE205" s="9"/>
      <c r="AF205" s="9"/>
      <c r="AG205" s="9"/>
      <c r="AH205" s="9"/>
      <c r="AI205" s="9"/>
      <c r="AJ205" s="9"/>
      <c r="AK205" s="9"/>
      <c r="AL205" s="10" t="str">
        <f aca="false">IF(A205="","",SG_Criteria!$B$6&amp;SG_Criteria!$B$11&amp;"\"&amp;A205&amp;"\")</f>
        <v/>
      </c>
      <c r="AM205" s="10" t="str">
        <f aca="false">IF(A205="","",A205&amp;"_CAD.dwg")</f>
        <v/>
      </c>
      <c r="AN205" s="10" t="str">
        <f aca="false">IF(A205="","",A205&amp;"_DWG.pdf")</f>
        <v/>
      </c>
      <c r="AO205" s="10" t="str">
        <f aca="false">IF(A205="","",IF(AK205="Y",A205&amp;"_STAAD.std","n/a"))</f>
        <v/>
      </c>
      <c r="AP205" s="10" t="str">
        <f aca="false">IF(A205="","",A205&amp;"_CALC.xlsx")</f>
        <v/>
      </c>
      <c r="AQ205" s="10" t="str">
        <f aca="false">IF(A205="","",A205&amp;"_CALC.pdf")</f>
        <v/>
      </c>
      <c r="AR205" s="9"/>
      <c r="AS205" s="9"/>
      <c r="AT205" s="39"/>
      <c r="AU205" s="39"/>
      <c r="AV205" s="39"/>
      <c r="AW205" s="39"/>
      <c r="AX205" s="39"/>
      <c r="AY205" s="12" t="str">
        <f aca="false">IF(A205="","",IF(COUNTIF(Rebar_Schedule!$A$5:$A$2004,A205)=0,"",ROUND(SUMIF(Rebar_Schedule!$A$5:$A$2004,A205,Rebar_Schedule!$K$5:$K$2004),1)))</f>
        <v/>
      </c>
      <c r="AZ205" s="33" t="str">
        <f aca="false">IF(A205="","",IF(AY205="","No rebar schedule yet",IF(ABS(AY205-N(AU205))/MAX(N(AU205),1)&gt;SG_Criteria!$B$55,"NOTE: register rebar differs from schedule by "&amp;TEXT(ABS(AY205-N(AU205))/MAX(N(AU205),1),"0%"),"OK")))</f>
        <v/>
      </c>
      <c r="BA205" s="33" t="str">
        <f aca="false">IF(OR(D205="",H205=""),"",IF(H205&lt;=IF(OR(D205="Soldier Pile &amp; Timber Lagging",D205="Trench Shoring Box",D205="Open Cut (battered)"),SG_Criteria!$B$34,SG_Criteria!$B$33),"No ERSS submission",IF(H205&lt;=SG_Criteria!$B$35,"QP(ST)",IF(H205&lt;=SG_Criteria!$B$36,"QP(ST) + AC","Geotechnical building works: QP(Geo) + AC"))))</f>
        <v/>
      </c>
      <c r="BB205" s="33" t="str">
        <f aca="false">IF(D205="","",IF(LEN(IF(AND(R205&lt;&gt;"",R205&lt;SG_Criteria!$B$37),"FAIL: base stability FOS &lt; "&amp;SG_Criteria!$B$37&amp;". ","")&amp;IF(AND(E205="Manhole",H205&gt;SG_Criteria!$B$36),"NOTE: BCA lists sewer manholes (pipe &lt;= 2 m dia) &gt; 6 m as non-GBW: QP(ST) + AC. ","")&amp;IF(AND(D205="Trench Shoring Box",I205="Kallang Formation (marine clay)"),"NOTE: check base heave / ground loss for shoring box in marine clay. ","")&amp;IF(AND(D205="Steel Sheet Pile Cofferdam",N(N205)&lt;H205*0.5),"NOTE: short toe embedment, check. ",""))=0,"OK",IF(AND(R205&lt;&gt;"",R205&lt;SG_Criteria!$B$37),"FAIL: base stability FOS &lt; "&amp;SG_Criteria!$B$37&amp;". ","")&amp;IF(AND(E205="Manhole",H205&gt;SG_Criteria!$B$36),"NOTE: BCA lists sewer manholes (pipe &lt;= 2 m dia) &gt; 6 m as non-GBW: QP(ST) + AC. ","")&amp;IF(AND(D205="Trench Shoring Box",I205="Kallang Formation (marine clay)"),"NOTE: check base heave / ground loss for shoring box in marine clay. ","")&amp;IF(AND(D205="Steel Sheet Pile Cofferdam",N(N205)&lt;H205*0.5),"NOTE: short toe embedment, check. ","")))</f>
        <v/>
      </c>
      <c r="BC205" s="9"/>
      <c r="BD205" s="9"/>
      <c r="BE205" s="9"/>
      <c r="BF205" s="10" t="str">
        <f aca="false">IF(BE205="","",IFERROR(VLOOKUP(BE205,Projects!$A$5:$D$504,2,0),"Ref not in Projects"))</f>
        <v/>
      </c>
      <c r="BG205" s="10" t="str">
        <f aca="false">IF(BE205="","",IFERROR(VLOOKUP(BE205,Projects!$A$5:$D$504,4,0),"Ref not in Projects"))</f>
        <v/>
      </c>
      <c r="BH205" s="9"/>
      <c r="BI205" s="9"/>
      <c r="BJ205" s="9"/>
      <c r="BK205" s="40"/>
      <c r="BL205" s="9"/>
      <c r="BM205" s="40"/>
      <c r="BN205" s="9"/>
      <c r="BO205" s="40"/>
      <c r="BP205" s="9"/>
      <c r="BQ205" s="9"/>
      <c r="BR205" s="9"/>
      <c r="BS205" s="40"/>
      <c r="BT205" s="40"/>
      <c r="BU205" s="36" t="str">
        <f aca="false">IF(BT205="","",EDATE(BT205,SG_Criteria!$B$54*12))</f>
        <v/>
      </c>
      <c r="BV205" s="33" t="str">
        <f aca="true">IF(A205="","",IF(BT205="","NOTE: not reviewed yet",IF(TODAY()&gt;BU205,"NOTE: review overdue","OK")))</f>
        <v/>
      </c>
      <c r="BW205" s="37" t="str">
        <f aca="false">IF(A205="","",ROUND((IF(LEN(D205)&gt;0,1,0)+IF(LEN(E205)&gt;0,1,0)+IF(LEN(F205)&gt;0,1,0)+IF(LEN(G205)&gt;0,1,0)+IF(LEN(H205)&gt;0,1,0)+IF(LEN(I205)&gt;0,1,0)+IF(LEN(J205)&gt;0,1,0)+IF(LEN(L205)&gt;0,1,0)+IF(LEN(R205)&gt;0,1,0)+IF(LEN(Y205)&gt;0,1,0)+IF(LEN(AE205)&gt;0,1,0)+IF(LEN(AG205)&gt;0,1,0)+IF(LEN(AH205)&gt;0,1,0)+IF(LEN(AI205)&gt;0,1,0)+IF(LEN(AJ205)&gt;0,1,0)+IF(LEN(AS205)&gt;0,1,0)+IF(LEN(BE205)&gt;0,1,0)+IF(LEN(BR205)&gt;0,1,0))/18,2))</f>
        <v/>
      </c>
      <c r="BX205" s="10" t="str">
        <f aca="false">IF(D205="","",IF(AND(AH205="Approved",ISERROR(SEARCH("FAIL",BB205))),"Y","N"))</f>
        <v/>
      </c>
      <c r="BY205" s="10" t="str">
        <f aca="false">IF(D205="","",D205&amp;"|"&amp;H205&amp;"|"&amp;F205&amp;"|"&amp;I205&amp;"|"&amp;BX205)</f>
        <v/>
      </c>
    </row>
    <row r="206" customFormat="false" ht="15" hidden="false" customHeight="false" outlineLevel="0" collapsed="false">
      <c r="A206" s="10" t="str">
        <f aca="false">IF(D206="","","ERSS-"&amp;IFERROR(VLOOKUP(D206,Lists!$AK$4:$AL$21,2,0),"??")&amp;"-"&amp;TEXT(F206,"0000")&amp;"x"&amp;TEXT(G206,"0000")&amp;"-D"&amp;TEXT(H206*1000,"0000")&amp;"-"&amp;IFERROR(VLOOKUP(I206,Lists!$Y$4:$Z$21,2,0),"??")&amp;"-"&amp;AG206)</f>
        <v/>
      </c>
      <c r="B206" s="10" t="str">
        <f aca="false">IF(D206="","",D206&amp;" for "&amp;E206&amp;", "&amp;F206&amp;" x "&amp;G206&amp;" pit, "&amp;TEXT(H206,"0.0")&amp;" m deep, "&amp;I206)</f>
        <v/>
      </c>
      <c r="C206" s="9"/>
      <c r="D206" s="9"/>
      <c r="E206" s="9"/>
      <c r="F206" s="38"/>
      <c r="G206" s="38"/>
      <c r="H206" s="42"/>
      <c r="I206" s="9"/>
      <c r="J206" s="42"/>
      <c r="K206" s="38"/>
      <c r="L206" s="9"/>
      <c r="M206" s="42"/>
      <c r="N206" s="42"/>
      <c r="O206" s="38"/>
      <c r="P206" s="9"/>
      <c r="Q206" s="9"/>
      <c r="R206" s="39"/>
      <c r="S206" s="39"/>
      <c r="T206" s="38"/>
      <c r="U206" s="38"/>
      <c r="V206" s="38"/>
      <c r="W206" s="9"/>
      <c r="X206" s="9"/>
      <c r="Y206" s="38"/>
      <c r="Z206" s="9"/>
      <c r="AA206" s="9"/>
      <c r="AB206" s="38"/>
      <c r="AC206" s="9"/>
      <c r="AD206" s="39"/>
      <c r="AE206" s="9"/>
      <c r="AF206" s="9"/>
      <c r="AG206" s="9"/>
      <c r="AH206" s="9"/>
      <c r="AI206" s="9"/>
      <c r="AJ206" s="9"/>
      <c r="AK206" s="9"/>
      <c r="AL206" s="10" t="str">
        <f aca="false">IF(A206="","",SG_Criteria!$B$6&amp;SG_Criteria!$B$11&amp;"\"&amp;A206&amp;"\")</f>
        <v/>
      </c>
      <c r="AM206" s="10" t="str">
        <f aca="false">IF(A206="","",A206&amp;"_CAD.dwg")</f>
        <v/>
      </c>
      <c r="AN206" s="10" t="str">
        <f aca="false">IF(A206="","",A206&amp;"_DWG.pdf")</f>
        <v/>
      </c>
      <c r="AO206" s="10" t="str">
        <f aca="false">IF(A206="","",IF(AK206="Y",A206&amp;"_STAAD.std","n/a"))</f>
        <v/>
      </c>
      <c r="AP206" s="10" t="str">
        <f aca="false">IF(A206="","",A206&amp;"_CALC.xlsx")</f>
        <v/>
      </c>
      <c r="AQ206" s="10" t="str">
        <f aca="false">IF(A206="","",A206&amp;"_CALC.pdf")</f>
        <v/>
      </c>
      <c r="AR206" s="9"/>
      <c r="AS206" s="9"/>
      <c r="AT206" s="39"/>
      <c r="AU206" s="39"/>
      <c r="AV206" s="39"/>
      <c r="AW206" s="39"/>
      <c r="AX206" s="39"/>
      <c r="AY206" s="12" t="str">
        <f aca="false">IF(A206="","",IF(COUNTIF(Rebar_Schedule!$A$5:$A$2004,A206)=0,"",ROUND(SUMIF(Rebar_Schedule!$A$5:$A$2004,A206,Rebar_Schedule!$K$5:$K$2004),1)))</f>
        <v/>
      </c>
      <c r="AZ206" s="33" t="str">
        <f aca="false">IF(A206="","",IF(AY206="","No rebar schedule yet",IF(ABS(AY206-N(AU206))/MAX(N(AU206),1)&gt;SG_Criteria!$B$55,"NOTE: register rebar differs from schedule by "&amp;TEXT(ABS(AY206-N(AU206))/MAX(N(AU206),1),"0%"),"OK")))</f>
        <v/>
      </c>
      <c r="BA206" s="33" t="str">
        <f aca="false">IF(OR(D206="",H206=""),"",IF(H206&lt;=IF(OR(D206="Soldier Pile &amp; Timber Lagging",D206="Trench Shoring Box",D206="Open Cut (battered)"),SG_Criteria!$B$34,SG_Criteria!$B$33),"No ERSS submission",IF(H206&lt;=SG_Criteria!$B$35,"QP(ST)",IF(H206&lt;=SG_Criteria!$B$36,"QP(ST) + AC","Geotechnical building works: QP(Geo) + AC"))))</f>
        <v/>
      </c>
      <c r="BB206" s="33" t="str">
        <f aca="false">IF(D206="","",IF(LEN(IF(AND(R206&lt;&gt;"",R206&lt;SG_Criteria!$B$37),"FAIL: base stability FOS &lt; "&amp;SG_Criteria!$B$37&amp;". ","")&amp;IF(AND(E206="Manhole",H206&gt;SG_Criteria!$B$36),"NOTE: BCA lists sewer manholes (pipe &lt;= 2 m dia) &gt; 6 m as non-GBW: QP(ST) + AC. ","")&amp;IF(AND(D206="Trench Shoring Box",I206="Kallang Formation (marine clay)"),"NOTE: check base heave / ground loss for shoring box in marine clay. ","")&amp;IF(AND(D206="Steel Sheet Pile Cofferdam",N(N206)&lt;H206*0.5),"NOTE: short toe embedment, check. ",""))=0,"OK",IF(AND(R206&lt;&gt;"",R206&lt;SG_Criteria!$B$37),"FAIL: base stability FOS &lt; "&amp;SG_Criteria!$B$37&amp;". ","")&amp;IF(AND(E206="Manhole",H206&gt;SG_Criteria!$B$36),"NOTE: BCA lists sewer manholes (pipe &lt;= 2 m dia) &gt; 6 m as non-GBW: QP(ST) + AC. ","")&amp;IF(AND(D206="Trench Shoring Box",I206="Kallang Formation (marine clay)"),"NOTE: check base heave / ground loss for shoring box in marine clay. ","")&amp;IF(AND(D206="Steel Sheet Pile Cofferdam",N(N206)&lt;H206*0.5),"NOTE: short toe embedment, check. ","")))</f>
        <v/>
      </c>
      <c r="BC206" s="9"/>
      <c r="BD206" s="9"/>
      <c r="BE206" s="9"/>
      <c r="BF206" s="10" t="str">
        <f aca="false">IF(BE206="","",IFERROR(VLOOKUP(BE206,Projects!$A$5:$D$504,2,0),"Ref not in Projects"))</f>
        <v/>
      </c>
      <c r="BG206" s="10" t="str">
        <f aca="false">IF(BE206="","",IFERROR(VLOOKUP(BE206,Projects!$A$5:$D$504,4,0),"Ref not in Projects"))</f>
        <v/>
      </c>
      <c r="BH206" s="9"/>
      <c r="BI206" s="9"/>
      <c r="BJ206" s="9"/>
      <c r="BK206" s="40"/>
      <c r="BL206" s="9"/>
      <c r="BM206" s="40"/>
      <c r="BN206" s="9"/>
      <c r="BO206" s="40"/>
      <c r="BP206" s="9"/>
      <c r="BQ206" s="9"/>
      <c r="BR206" s="9"/>
      <c r="BS206" s="40"/>
      <c r="BT206" s="40"/>
      <c r="BU206" s="36" t="str">
        <f aca="false">IF(BT206="","",EDATE(BT206,SG_Criteria!$B$54*12))</f>
        <v/>
      </c>
      <c r="BV206" s="33" t="str">
        <f aca="true">IF(A206="","",IF(BT206="","NOTE: not reviewed yet",IF(TODAY()&gt;BU206,"NOTE: review overdue","OK")))</f>
        <v/>
      </c>
      <c r="BW206" s="37" t="str">
        <f aca="false">IF(A206="","",ROUND((IF(LEN(D206)&gt;0,1,0)+IF(LEN(E206)&gt;0,1,0)+IF(LEN(F206)&gt;0,1,0)+IF(LEN(G206)&gt;0,1,0)+IF(LEN(H206)&gt;0,1,0)+IF(LEN(I206)&gt;0,1,0)+IF(LEN(J206)&gt;0,1,0)+IF(LEN(L206)&gt;0,1,0)+IF(LEN(R206)&gt;0,1,0)+IF(LEN(Y206)&gt;0,1,0)+IF(LEN(AE206)&gt;0,1,0)+IF(LEN(AG206)&gt;0,1,0)+IF(LEN(AH206)&gt;0,1,0)+IF(LEN(AI206)&gt;0,1,0)+IF(LEN(AJ206)&gt;0,1,0)+IF(LEN(AS206)&gt;0,1,0)+IF(LEN(BE206)&gt;0,1,0)+IF(LEN(BR206)&gt;0,1,0))/18,2))</f>
        <v/>
      </c>
      <c r="BX206" s="10" t="str">
        <f aca="false">IF(D206="","",IF(AND(AH206="Approved",ISERROR(SEARCH("FAIL",BB206))),"Y","N"))</f>
        <v/>
      </c>
      <c r="BY206" s="10" t="str">
        <f aca="false">IF(D206="","",D206&amp;"|"&amp;H206&amp;"|"&amp;F206&amp;"|"&amp;I206&amp;"|"&amp;BX206)</f>
        <v/>
      </c>
    </row>
    <row r="207" customFormat="false" ht="15" hidden="false" customHeight="false" outlineLevel="0" collapsed="false">
      <c r="A207" s="10" t="str">
        <f aca="false">IF(D207="","","ERSS-"&amp;IFERROR(VLOOKUP(D207,Lists!$AK$4:$AL$21,2,0),"??")&amp;"-"&amp;TEXT(F207,"0000")&amp;"x"&amp;TEXT(G207,"0000")&amp;"-D"&amp;TEXT(H207*1000,"0000")&amp;"-"&amp;IFERROR(VLOOKUP(I207,Lists!$Y$4:$Z$21,2,0),"??")&amp;"-"&amp;AG207)</f>
        <v/>
      </c>
      <c r="B207" s="10" t="str">
        <f aca="false">IF(D207="","",D207&amp;" for "&amp;E207&amp;", "&amp;F207&amp;" x "&amp;G207&amp;" pit, "&amp;TEXT(H207,"0.0")&amp;" m deep, "&amp;I207)</f>
        <v/>
      </c>
      <c r="C207" s="9"/>
      <c r="D207" s="9"/>
      <c r="E207" s="9"/>
      <c r="F207" s="38"/>
      <c r="G207" s="38"/>
      <c r="H207" s="42"/>
      <c r="I207" s="9"/>
      <c r="J207" s="42"/>
      <c r="K207" s="38"/>
      <c r="L207" s="9"/>
      <c r="M207" s="42"/>
      <c r="N207" s="42"/>
      <c r="O207" s="38"/>
      <c r="P207" s="9"/>
      <c r="Q207" s="9"/>
      <c r="R207" s="39"/>
      <c r="S207" s="39"/>
      <c r="T207" s="38"/>
      <c r="U207" s="38"/>
      <c r="V207" s="38"/>
      <c r="W207" s="9"/>
      <c r="X207" s="9"/>
      <c r="Y207" s="38"/>
      <c r="Z207" s="9"/>
      <c r="AA207" s="9"/>
      <c r="AB207" s="38"/>
      <c r="AC207" s="9"/>
      <c r="AD207" s="39"/>
      <c r="AE207" s="9"/>
      <c r="AF207" s="9"/>
      <c r="AG207" s="9"/>
      <c r="AH207" s="9"/>
      <c r="AI207" s="9"/>
      <c r="AJ207" s="9"/>
      <c r="AK207" s="9"/>
      <c r="AL207" s="10" t="str">
        <f aca="false">IF(A207="","",SG_Criteria!$B$6&amp;SG_Criteria!$B$11&amp;"\"&amp;A207&amp;"\")</f>
        <v/>
      </c>
      <c r="AM207" s="10" t="str">
        <f aca="false">IF(A207="","",A207&amp;"_CAD.dwg")</f>
        <v/>
      </c>
      <c r="AN207" s="10" t="str">
        <f aca="false">IF(A207="","",A207&amp;"_DWG.pdf")</f>
        <v/>
      </c>
      <c r="AO207" s="10" t="str">
        <f aca="false">IF(A207="","",IF(AK207="Y",A207&amp;"_STAAD.std","n/a"))</f>
        <v/>
      </c>
      <c r="AP207" s="10" t="str">
        <f aca="false">IF(A207="","",A207&amp;"_CALC.xlsx")</f>
        <v/>
      </c>
      <c r="AQ207" s="10" t="str">
        <f aca="false">IF(A207="","",A207&amp;"_CALC.pdf")</f>
        <v/>
      </c>
      <c r="AR207" s="9"/>
      <c r="AS207" s="9"/>
      <c r="AT207" s="39"/>
      <c r="AU207" s="39"/>
      <c r="AV207" s="39"/>
      <c r="AW207" s="39"/>
      <c r="AX207" s="39"/>
      <c r="AY207" s="12" t="str">
        <f aca="false">IF(A207="","",IF(COUNTIF(Rebar_Schedule!$A$5:$A$2004,A207)=0,"",ROUND(SUMIF(Rebar_Schedule!$A$5:$A$2004,A207,Rebar_Schedule!$K$5:$K$2004),1)))</f>
        <v/>
      </c>
      <c r="AZ207" s="33" t="str">
        <f aca="false">IF(A207="","",IF(AY207="","No rebar schedule yet",IF(ABS(AY207-N(AU207))/MAX(N(AU207),1)&gt;SG_Criteria!$B$55,"NOTE: register rebar differs from schedule by "&amp;TEXT(ABS(AY207-N(AU207))/MAX(N(AU207),1),"0%"),"OK")))</f>
        <v/>
      </c>
      <c r="BA207" s="33" t="str">
        <f aca="false">IF(OR(D207="",H207=""),"",IF(H207&lt;=IF(OR(D207="Soldier Pile &amp; Timber Lagging",D207="Trench Shoring Box",D207="Open Cut (battered)"),SG_Criteria!$B$34,SG_Criteria!$B$33),"No ERSS submission",IF(H207&lt;=SG_Criteria!$B$35,"QP(ST)",IF(H207&lt;=SG_Criteria!$B$36,"QP(ST) + AC","Geotechnical building works: QP(Geo) + AC"))))</f>
        <v/>
      </c>
      <c r="BB207" s="33" t="str">
        <f aca="false">IF(D207="","",IF(LEN(IF(AND(R207&lt;&gt;"",R207&lt;SG_Criteria!$B$37),"FAIL: base stability FOS &lt; "&amp;SG_Criteria!$B$37&amp;". ","")&amp;IF(AND(E207="Manhole",H207&gt;SG_Criteria!$B$36),"NOTE: BCA lists sewer manholes (pipe &lt;= 2 m dia) &gt; 6 m as non-GBW: QP(ST) + AC. ","")&amp;IF(AND(D207="Trench Shoring Box",I207="Kallang Formation (marine clay)"),"NOTE: check base heave / ground loss for shoring box in marine clay. ","")&amp;IF(AND(D207="Steel Sheet Pile Cofferdam",N(N207)&lt;H207*0.5),"NOTE: short toe embedment, check. ",""))=0,"OK",IF(AND(R207&lt;&gt;"",R207&lt;SG_Criteria!$B$37),"FAIL: base stability FOS &lt; "&amp;SG_Criteria!$B$37&amp;". ","")&amp;IF(AND(E207="Manhole",H207&gt;SG_Criteria!$B$36),"NOTE: BCA lists sewer manholes (pipe &lt;= 2 m dia) &gt; 6 m as non-GBW: QP(ST) + AC. ","")&amp;IF(AND(D207="Trench Shoring Box",I207="Kallang Formation (marine clay)"),"NOTE: check base heave / ground loss for shoring box in marine clay. ","")&amp;IF(AND(D207="Steel Sheet Pile Cofferdam",N(N207)&lt;H207*0.5),"NOTE: short toe embedment, check. ","")))</f>
        <v/>
      </c>
      <c r="BC207" s="9"/>
      <c r="BD207" s="9"/>
      <c r="BE207" s="9"/>
      <c r="BF207" s="10" t="str">
        <f aca="false">IF(BE207="","",IFERROR(VLOOKUP(BE207,Projects!$A$5:$D$504,2,0),"Ref not in Projects"))</f>
        <v/>
      </c>
      <c r="BG207" s="10" t="str">
        <f aca="false">IF(BE207="","",IFERROR(VLOOKUP(BE207,Projects!$A$5:$D$504,4,0),"Ref not in Projects"))</f>
        <v/>
      </c>
      <c r="BH207" s="9"/>
      <c r="BI207" s="9"/>
      <c r="BJ207" s="9"/>
      <c r="BK207" s="40"/>
      <c r="BL207" s="9"/>
      <c r="BM207" s="40"/>
      <c r="BN207" s="9"/>
      <c r="BO207" s="40"/>
      <c r="BP207" s="9"/>
      <c r="BQ207" s="9"/>
      <c r="BR207" s="9"/>
      <c r="BS207" s="40"/>
      <c r="BT207" s="40"/>
      <c r="BU207" s="36" t="str">
        <f aca="false">IF(BT207="","",EDATE(BT207,SG_Criteria!$B$54*12))</f>
        <v/>
      </c>
      <c r="BV207" s="33" t="str">
        <f aca="true">IF(A207="","",IF(BT207="","NOTE: not reviewed yet",IF(TODAY()&gt;BU207,"NOTE: review overdue","OK")))</f>
        <v/>
      </c>
      <c r="BW207" s="37" t="str">
        <f aca="false">IF(A207="","",ROUND((IF(LEN(D207)&gt;0,1,0)+IF(LEN(E207)&gt;0,1,0)+IF(LEN(F207)&gt;0,1,0)+IF(LEN(G207)&gt;0,1,0)+IF(LEN(H207)&gt;0,1,0)+IF(LEN(I207)&gt;0,1,0)+IF(LEN(J207)&gt;0,1,0)+IF(LEN(L207)&gt;0,1,0)+IF(LEN(R207)&gt;0,1,0)+IF(LEN(Y207)&gt;0,1,0)+IF(LEN(AE207)&gt;0,1,0)+IF(LEN(AG207)&gt;0,1,0)+IF(LEN(AH207)&gt;0,1,0)+IF(LEN(AI207)&gt;0,1,0)+IF(LEN(AJ207)&gt;0,1,0)+IF(LEN(AS207)&gt;0,1,0)+IF(LEN(BE207)&gt;0,1,0)+IF(LEN(BR207)&gt;0,1,0))/18,2))</f>
        <v/>
      </c>
      <c r="BX207" s="10" t="str">
        <f aca="false">IF(D207="","",IF(AND(AH207="Approved",ISERROR(SEARCH("FAIL",BB207))),"Y","N"))</f>
        <v/>
      </c>
      <c r="BY207" s="10" t="str">
        <f aca="false">IF(D207="","",D207&amp;"|"&amp;H207&amp;"|"&amp;F207&amp;"|"&amp;I207&amp;"|"&amp;BX207)</f>
        <v/>
      </c>
    </row>
    <row r="208" customFormat="false" ht="15" hidden="false" customHeight="false" outlineLevel="0" collapsed="false">
      <c r="A208" s="10" t="str">
        <f aca="false">IF(D208="","","ERSS-"&amp;IFERROR(VLOOKUP(D208,Lists!$AK$4:$AL$21,2,0),"??")&amp;"-"&amp;TEXT(F208,"0000")&amp;"x"&amp;TEXT(G208,"0000")&amp;"-D"&amp;TEXT(H208*1000,"0000")&amp;"-"&amp;IFERROR(VLOOKUP(I208,Lists!$Y$4:$Z$21,2,0),"??")&amp;"-"&amp;AG208)</f>
        <v/>
      </c>
      <c r="B208" s="10" t="str">
        <f aca="false">IF(D208="","",D208&amp;" for "&amp;E208&amp;", "&amp;F208&amp;" x "&amp;G208&amp;" pit, "&amp;TEXT(H208,"0.0")&amp;" m deep, "&amp;I208)</f>
        <v/>
      </c>
      <c r="C208" s="9"/>
      <c r="D208" s="9"/>
      <c r="E208" s="9"/>
      <c r="F208" s="38"/>
      <c r="G208" s="38"/>
      <c r="H208" s="42"/>
      <c r="I208" s="9"/>
      <c r="J208" s="42"/>
      <c r="K208" s="38"/>
      <c r="L208" s="9"/>
      <c r="M208" s="42"/>
      <c r="N208" s="42"/>
      <c r="O208" s="38"/>
      <c r="P208" s="9"/>
      <c r="Q208" s="9"/>
      <c r="R208" s="39"/>
      <c r="S208" s="39"/>
      <c r="T208" s="38"/>
      <c r="U208" s="38"/>
      <c r="V208" s="38"/>
      <c r="W208" s="9"/>
      <c r="X208" s="9"/>
      <c r="Y208" s="38"/>
      <c r="Z208" s="9"/>
      <c r="AA208" s="9"/>
      <c r="AB208" s="38"/>
      <c r="AC208" s="9"/>
      <c r="AD208" s="39"/>
      <c r="AE208" s="9"/>
      <c r="AF208" s="9"/>
      <c r="AG208" s="9"/>
      <c r="AH208" s="9"/>
      <c r="AI208" s="9"/>
      <c r="AJ208" s="9"/>
      <c r="AK208" s="9"/>
      <c r="AL208" s="10" t="str">
        <f aca="false">IF(A208="","",SG_Criteria!$B$6&amp;SG_Criteria!$B$11&amp;"\"&amp;A208&amp;"\")</f>
        <v/>
      </c>
      <c r="AM208" s="10" t="str">
        <f aca="false">IF(A208="","",A208&amp;"_CAD.dwg")</f>
        <v/>
      </c>
      <c r="AN208" s="10" t="str">
        <f aca="false">IF(A208="","",A208&amp;"_DWG.pdf")</f>
        <v/>
      </c>
      <c r="AO208" s="10" t="str">
        <f aca="false">IF(A208="","",IF(AK208="Y",A208&amp;"_STAAD.std","n/a"))</f>
        <v/>
      </c>
      <c r="AP208" s="10" t="str">
        <f aca="false">IF(A208="","",A208&amp;"_CALC.xlsx")</f>
        <v/>
      </c>
      <c r="AQ208" s="10" t="str">
        <f aca="false">IF(A208="","",A208&amp;"_CALC.pdf")</f>
        <v/>
      </c>
      <c r="AR208" s="9"/>
      <c r="AS208" s="9"/>
      <c r="AT208" s="39"/>
      <c r="AU208" s="39"/>
      <c r="AV208" s="39"/>
      <c r="AW208" s="39"/>
      <c r="AX208" s="39"/>
      <c r="AY208" s="12" t="str">
        <f aca="false">IF(A208="","",IF(COUNTIF(Rebar_Schedule!$A$5:$A$2004,A208)=0,"",ROUND(SUMIF(Rebar_Schedule!$A$5:$A$2004,A208,Rebar_Schedule!$K$5:$K$2004),1)))</f>
        <v/>
      </c>
      <c r="AZ208" s="33" t="str">
        <f aca="false">IF(A208="","",IF(AY208="","No rebar schedule yet",IF(ABS(AY208-N(AU208))/MAX(N(AU208),1)&gt;SG_Criteria!$B$55,"NOTE: register rebar differs from schedule by "&amp;TEXT(ABS(AY208-N(AU208))/MAX(N(AU208),1),"0%"),"OK")))</f>
        <v/>
      </c>
      <c r="BA208" s="33" t="str">
        <f aca="false">IF(OR(D208="",H208=""),"",IF(H208&lt;=IF(OR(D208="Soldier Pile &amp; Timber Lagging",D208="Trench Shoring Box",D208="Open Cut (battered)"),SG_Criteria!$B$34,SG_Criteria!$B$33),"No ERSS submission",IF(H208&lt;=SG_Criteria!$B$35,"QP(ST)",IF(H208&lt;=SG_Criteria!$B$36,"QP(ST) + AC","Geotechnical building works: QP(Geo) + AC"))))</f>
        <v/>
      </c>
      <c r="BB208" s="33" t="str">
        <f aca="false">IF(D208="","",IF(LEN(IF(AND(R208&lt;&gt;"",R208&lt;SG_Criteria!$B$37),"FAIL: base stability FOS &lt; "&amp;SG_Criteria!$B$37&amp;". ","")&amp;IF(AND(E208="Manhole",H208&gt;SG_Criteria!$B$36),"NOTE: BCA lists sewer manholes (pipe &lt;= 2 m dia) &gt; 6 m as non-GBW: QP(ST) + AC. ","")&amp;IF(AND(D208="Trench Shoring Box",I208="Kallang Formation (marine clay)"),"NOTE: check base heave / ground loss for shoring box in marine clay. ","")&amp;IF(AND(D208="Steel Sheet Pile Cofferdam",N(N208)&lt;H208*0.5),"NOTE: short toe embedment, check. ",""))=0,"OK",IF(AND(R208&lt;&gt;"",R208&lt;SG_Criteria!$B$37),"FAIL: base stability FOS &lt; "&amp;SG_Criteria!$B$37&amp;". ","")&amp;IF(AND(E208="Manhole",H208&gt;SG_Criteria!$B$36),"NOTE: BCA lists sewer manholes (pipe &lt;= 2 m dia) &gt; 6 m as non-GBW: QP(ST) + AC. ","")&amp;IF(AND(D208="Trench Shoring Box",I208="Kallang Formation (marine clay)"),"NOTE: check base heave / ground loss for shoring box in marine clay. ","")&amp;IF(AND(D208="Steel Sheet Pile Cofferdam",N(N208)&lt;H208*0.5),"NOTE: short toe embedment, check. ","")))</f>
        <v/>
      </c>
      <c r="BC208" s="9"/>
      <c r="BD208" s="9"/>
      <c r="BE208" s="9"/>
      <c r="BF208" s="10" t="str">
        <f aca="false">IF(BE208="","",IFERROR(VLOOKUP(BE208,Projects!$A$5:$D$504,2,0),"Ref not in Projects"))</f>
        <v/>
      </c>
      <c r="BG208" s="10" t="str">
        <f aca="false">IF(BE208="","",IFERROR(VLOOKUP(BE208,Projects!$A$5:$D$504,4,0),"Ref not in Projects"))</f>
        <v/>
      </c>
      <c r="BH208" s="9"/>
      <c r="BI208" s="9"/>
      <c r="BJ208" s="9"/>
      <c r="BK208" s="40"/>
      <c r="BL208" s="9"/>
      <c r="BM208" s="40"/>
      <c r="BN208" s="9"/>
      <c r="BO208" s="40"/>
      <c r="BP208" s="9"/>
      <c r="BQ208" s="9"/>
      <c r="BR208" s="9"/>
      <c r="BS208" s="40"/>
      <c r="BT208" s="40"/>
      <c r="BU208" s="36" t="str">
        <f aca="false">IF(BT208="","",EDATE(BT208,SG_Criteria!$B$54*12))</f>
        <v/>
      </c>
      <c r="BV208" s="33" t="str">
        <f aca="true">IF(A208="","",IF(BT208="","NOTE: not reviewed yet",IF(TODAY()&gt;BU208,"NOTE: review overdue","OK")))</f>
        <v/>
      </c>
      <c r="BW208" s="37" t="str">
        <f aca="false">IF(A208="","",ROUND((IF(LEN(D208)&gt;0,1,0)+IF(LEN(E208)&gt;0,1,0)+IF(LEN(F208)&gt;0,1,0)+IF(LEN(G208)&gt;0,1,0)+IF(LEN(H208)&gt;0,1,0)+IF(LEN(I208)&gt;0,1,0)+IF(LEN(J208)&gt;0,1,0)+IF(LEN(L208)&gt;0,1,0)+IF(LEN(R208)&gt;0,1,0)+IF(LEN(Y208)&gt;0,1,0)+IF(LEN(AE208)&gt;0,1,0)+IF(LEN(AG208)&gt;0,1,0)+IF(LEN(AH208)&gt;0,1,0)+IF(LEN(AI208)&gt;0,1,0)+IF(LEN(AJ208)&gt;0,1,0)+IF(LEN(AS208)&gt;0,1,0)+IF(LEN(BE208)&gt;0,1,0)+IF(LEN(BR208)&gt;0,1,0))/18,2))</f>
        <v/>
      </c>
      <c r="BX208" s="10" t="str">
        <f aca="false">IF(D208="","",IF(AND(AH208="Approved",ISERROR(SEARCH("FAIL",BB208))),"Y","N"))</f>
        <v/>
      </c>
      <c r="BY208" s="10" t="str">
        <f aca="false">IF(D208="","",D208&amp;"|"&amp;H208&amp;"|"&amp;F208&amp;"|"&amp;I208&amp;"|"&amp;BX208)</f>
        <v/>
      </c>
    </row>
    <row r="209" customFormat="false" ht="15" hidden="false" customHeight="false" outlineLevel="0" collapsed="false">
      <c r="A209" s="10" t="str">
        <f aca="false">IF(D209="","","ERSS-"&amp;IFERROR(VLOOKUP(D209,Lists!$AK$4:$AL$21,2,0),"??")&amp;"-"&amp;TEXT(F209,"0000")&amp;"x"&amp;TEXT(G209,"0000")&amp;"-D"&amp;TEXT(H209*1000,"0000")&amp;"-"&amp;IFERROR(VLOOKUP(I209,Lists!$Y$4:$Z$21,2,0),"??")&amp;"-"&amp;AG209)</f>
        <v/>
      </c>
      <c r="B209" s="10" t="str">
        <f aca="false">IF(D209="","",D209&amp;" for "&amp;E209&amp;", "&amp;F209&amp;" x "&amp;G209&amp;" pit, "&amp;TEXT(H209,"0.0")&amp;" m deep, "&amp;I209)</f>
        <v/>
      </c>
      <c r="C209" s="9"/>
      <c r="D209" s="9"/>
      <c r="E209" s="9"/>
      <c r="F209" s="38"/>
      <c r="G209" s="38"/>
      <c r="H209" s="42"/>
      <c r="I209" s="9"/>
      <c r="J209" s="42"/>
      <c r="K209" s="38"/>
      <c r="L209" s="9"/>
      <c r="M209" s="42"/>
      <c r="N209" s="42"/>
      <c r="O209" s="38"/>
      <c r="P209" s="9"/>
      <c r="Q209" s="9"/>
      <c r="R209" s="39"/>
      <c r="S209" s="39"/>
      <c r="T209" s="38"/>
      <c r="U209" s="38"/>
      <c r="V209" s="38"/>
      <c r="W209" s="9"/>
      <c r="X209" s="9"/>
      <c r="Y209" s="38"/>
      <c r="Z209" s="9"/>
      <c r="AA209" s="9"/>
      <c r="AB209" s="38"/>
      <c r="AC209" s="9"/>
      <c r="AD209" s="39"/>
      <c r="AE209" s="9"/>
      <c r="AF209" s="9"/>
      <c r="AG209" s="9"/>
      <c r="AH209" s="9"/>
      <c r="AI209" s="9"/>
      <c r="AJ209" s="9"/>
      <c r="AK209" s="9"/>
      <c r="AL209" s="10" t="str">
        <f aca="false">IF(A209="","",SG_Criteria!$B$6&amp;SG_Criteria!$B$11&amp;"\"&amp;A209&amp;"\")</f>
        <v/>
      </c>
      <c r="AM209" s="10" t="str">
        <f aca="false">IF(A209="","",A209&amp;"_CAD.dwg")</f>
        <v/>
      </c>
      <c r="AN209" s="10" t="str">
        <f aca="false">IF(A209="","",A209&amp;"_DWG.pdf")</f>
        <v/>
      </c>
      <c r="AO209" s="10" t="str">
        <f aca="false">IF(A209="","",IF(AK209="Y",A209&amp;"_STAAD.std","n/a"))</f>
        <v/>
      </c>
      <c r="AP209" s="10" t="str">
        <f aca="false">IF(A209="","",A209&amp;"_CALC.xlsx")</f>
        <v/>
      </c>
      <c r="AQ209" s="10" t="str">
        <f aca="false">IF(A209="","",A209&amp;"_CALC.pdf")</f>
        <v/>
      </c>
      <c r="AR209" s="9"/>
      <c r="AS209" s="9"/>
      <c r="AT209" s="39"/>
      <c r="AU209" s="39"/>
      <c r="AV209" s="39"/>
      <c r="AW209" s="39"/>
      <c r="AX209" s="39"/>
      <c r="AY209" s="12" t="str">
        <f aca="false">IF(A209="","",IF(COUNTIF(Rebar_Schedule!$A$5:$A$2004,A209)=0,"",ROUND(SUMIF(Rebar_Schedule!$A$5:$A$2004,A209,Rebar_Schedule!$K$5:$K$2004),1)))</f>
        <v/>
      </c>
      <c r="AZ209" s="33" t="str">
        <f aca="false">IF(A209="","",IF(AY209="","No rebar schedule yet",IF(ABS(AY209-N(AU209))/MAX(N(AU209),1)&gt;SG_Criteria!$B$55,"NOTE: register rebar differs from schedule by "&amp;TEXT(ABS(AY209-N(AU209))/MAX(N(AU209),1),"0%"),"OK")))</f>
        <v/>
      </c>
      <c r="BA209" s="33" t="str">
        <f aca="false">IF(OR(D209="",H209=""),"",IF(H209&lt;=IF(OR(D209="Soldier Pile &amp; Timber Lagging",D209="Trench Shoring Box",D209="Open Cut (battered)"),SG_Criteria!$B$34,SG_Criteria!$B$33),"No ERSS submission",IF(H209&lt;=SG_Criteria!$B$35,"QP(ST)",IF(H209&lt;=SG_Criteria!$B$36,"QP(ST) + AC","Geotechnical building works: QP(Geo) + AC"))))</f>
        <v/>
      </c>
      <c r="BB209" s="33" t="str">
        <f aca="false">IF(D209="","",IF(LEN(IF(AND(R209&lt;&gt;"",R209&lt;SG_Criteria!$B$37),"FAIL: base stability FOS &lt; "&amp;SG_Criteria!$B$37&amp;". ","")&amp;IF(AND(E209="Manhole",H209&gt;SG_Criteria!$B$36),"NOTE: BCA lists sewer manholes (pipe &lt;= 2 m dia) &gt; 6 m as non-GBW: QP(ST) + AC. ","")&amp;IF(AND(D209="Trench Shoring Box",I209="Kallang Formation (marine clay)"),"NOTE: check base heave / ground loss for shoring box in marine clay. ","")&amp;IF(AND(D209="Steel Sheet Pile Cofferdam",N(N209)&lt;H209*0.5),"NOTE: short toe embedment, check. ",""))=0,"OK",IF(AND(R209&lt;&gt;"",R209&lt;SG_Criteria!$B$37),"FAIL: base stability FOS &lt; "&amp;SG_Criteria!$B$37&amp;". ","")&amp;IF(AND(E209="Manhole",H209&gt;SG_Criteria!$B$36),"NOTE: BCA lists sewer manholes (pipe &lt;= 2 m dia) &gt; 6 m as non-GBW: QP(ST) + AC. ","")&amp;IF(AND(D209="Trench Shoring Box",I209="Kallang Formation (marine clay)"),"NOTE: check base heave / ground loss for shoring box in marine clay. ","")&amp;IF(AND(D209="Steel Sheet Pile Cofferdam",N(N209)&lt;H209*0.5),"NOTE: short toe embedment, check. ","")))</f>
        <v/>
      </c>
      <c r="BC209" s="9"/>
      <c r="BD209" s="9"/>
      <c r="BE209" s="9"/>
      <c r="BF209" s="10" t="str">
        <f aca="false">IF(BE209="","",IFERROR(VLOOKUP(BE209,Projects!$A$5:$D$504,2,0),"Ref not in Projects"))</f>
        <v/>
      </c>
      <c r="BG209" s="10" t="str">
        <f aca="false">IF(BE209="","",IFERROR(VLOOKUP(BE209,Projects!$A$5:$D$504,4,0),"Ref not in Projects"))</f>
        <v/>
      </c>
      <c r="BH209" s="9"/>
      <c r="BI209" s="9"/>
      <c r="BJ209" s="9"/>
      <c r="BK209" s="40"/>
      <c r="BL209" s="9"/>
      <c r="BM209" s="40"/>
      <c r="BN209" s="9"/>
      <c r="BO209" s="40"/>
      <c r="BP209" s="9"/>
      <c r="BQ209" s="9"/>
      <c r="BR209" s="9"/>
      <c r="BS209" s="40"/>
      <c r="BT209" s="40"/>
      <c r="BU209" s="36" t="str">
        <f aca="false">IF(BT209="","",EDATE(BT209,SG_Criteria!$B$54*12))</f>
        <v/>
      </c>
      <c r="BV209" s="33" t="str">
        <f aca="true">IF(A209="","",IF(BT209="","NOTE: not reviewed yet",IF(TODAY()&gt;BU209,"NOTE: review overdue","OK")))</f>
        <v/>
      </c>
      <c r="BW209" s="37" t="str">
        <f aca="false">IF(A209="","",ROUND((IF(LEN(D209)&gt;0,1,0)+IF(LEN(E209)&gt;0,1,0)+IF(LEN(F209)&gt;0,1,0)+IF(LEN(G209)&gt;0,1,0)+IF(LEN(H209)&gt;0,1,0)+IF(LEN(I209)&gt;0,1,0)+IF(LEN(J209)&gt;0,1,0)+IF(LEN(L209)&gt;0,1,0)+IF(LEN(R209)&gt;0,1,0)+IF(LEN(Y209)&gt;0,1,0)+IF(LEN(AE209)&gt;0,1,0)+IF(LEN(AG209)&gt;0,1,0)+IF(LEN(AH209)&gt;0,1,0)+IF(LEN(AI209)&gt;0,1,0)+IF(LEN(AJ209)&gt;0,1,0)+IF(LEN(AS209)&gt;0,1,0)+IF(LEN(BE209)&gt;0,1,0)+IF(LEN(BR209)&gt;0,1,0))/18,2))</f>
        <v/>
      </c>
      <c r="BX209" s="10" t="str">
        <f aca="false">IF(D209="","",IF(AND(AH209="Approved",ISERROR(SEARCH("FAIL",BB209))),"Y","N"))</f>
        <v/>
      </c>
      <c r="BY209" s="10" t="str">
        <f aca="false">IF(D209="","",D209&amp;"|"&amp;H209&amp;"|"&amp;F209&amp;"|"&amp;I209&amp;"|"&amp;BX209)</f>
        <v/>
      </c>
    </row>
    <row r="210" customFormat="false" ht="15" hidden="false" customHeight="false" outlineLevel="0" collapsed="false">
      <c r="A210" s="10" t="str">
        <f aca="false">IF(D210="","","ERSS-"&amp;IFERROR(VLOOKUP(D210,Lists!$AK$4:$AL$21,2,0),"??")&amp;"-"&amp;TEXT(F210,"0000")&amp;"x"&amp;TEXT(G210,"0000")&amp;"-D"&amp;TEXT(H210*1000,"0000")&amp;"-"&amp;IFERROR(VLOOKUP(I210,Lists!$Y$4:$Z$21,2,0),"??")&amp;"-"&amp;AG210)</f>
        <v/>
      </c>
      <c r="B210" s="10" t="str">
        <f aca="false">IF(D210="","",D210&amp;" for "&amp;E210&amp;", "&amp;F210&amp;" x "&amp;G210&amp;" pit, "&amp;TEXT(H210,"0.0")&amp;" m deep, "&amp;I210)</f>
        <v/>
      </c>
      <c r="C210" s="9"/>
      <c r="D210" s="9"/>
      <c r="E210" s="9"/>
      <c r="F210" s="38"/>
      <c r="G210" s="38"/>
      <c r="H210" s="42"/>
      <c r="I210" s="9"/>
      <c r="J210" s="42"/>
      <c r="K210" s="38"/>
      <c r="L210" s="9"/>
      <c r="M210" s="42"/>
      <c r="N210" s="42"/>
      <c r="O210" s="38"/>
      <c r="P210" s="9"/>
      <c r="Q210" s="9"/>
      <c r="R210" s="39"/>
      <c r="S210" s="39"/>
      <c r="T210" s="38"/>
      <c r="U210" s="38"/>
      <c r="V210" s="38"/>
      <c r="W210" s="9"/>
      <c r="X210" s="9"/>
      <c r="Y210" s="38"/>
      <c r="Z210" s="9"/>
      <c r="AA210" s="9"/>
      <c r="AB210" s="38"/>
      <c r="AC210" s="9"/>
      <c r="AD210" s="39"/>
      <c r="AE210" s="9"/>
      <c r="AF210" s="9"/>
      <c r="AG210" s="9"/>
      <c r="AH210" s="9"/>
      <c r="AI210" s="9"/>
      <c r="AJ210" s="9"/>
      <c r="AK210" s="9"/>
      <c r="AL210" s="10" t="str">
        <f aca="false">IF(A210="","",SG_Criteria!$B$6&amp;SG_Criteria!$B$11&amp;"\"&amp;A210&amp;"\")</f>
        <v/>
      </c>
      <c r="AM210" s="10" t="str">
        <f aca="false">IF(A210="","",A210&amp;"_CAD.dwg")</f>
        <v/>
      </c>
      <c r="AN210" s="10" t="str">
        <f aca="false">IF(A210="","",A210&amp;"_DWG.pdf")</f>
        <v/>
      </c>
      <c r="AO210" s="10" t="str">
        <f aca="false">IF(A210="","",IF(AK210="Y",A210&amp;"_STAAD.std","n/a"))</f>
        <v/>
      </c>
      <c r="AP210" s="10" t="str">
        <f aca="false">IF(A210="","",A210&amp;"_CALC.xlsx")</f>
        <v/>
      </c>
      <c r="AQ210" s="10" t="str">
        <f aca="false">IF(A210="","",A210&amp;"_CALC.pdf")</f>
        <v/>
      </c>
      <c r="AR210" s="9"/>
      <c r="AS210" s="9"/>
      <c r="AT210" s="39"/>
      <c r="AU210" s="39"/>
      <c r="AV210" s="39"/>
      <c r="AW210" s="39"/>
      <c r="AX210" s="39"/>
      <c r="AY210" s="12" t="str">
        <f aca="false">IF(A210="","",IF(COUNTIF(Rebar_Schedule!$A$5:$A$2004,A210)=0,"",ROUND(SUMIF(Rebar_Schedule!$A$5:$A$2004,A210,Rebar_Schedule!$K$5:$K$2004),1)))</f>
        <v/>
      </c>
      <c r="AZ210" s="33" t="str">
        <f aca="false">IF(A210="","",IF(AY210="","No rebar schedule yet",IF(ABS(AY210-N(AU210))/MAX(N(AU210),1)&gt;SG_Criteria!$B$55,"NOTE: register rebar differs from schedule by "&amp;TEXT(ABS(AY210-N(AU210))/MAX(N(AU210),1),"0%"),"OK")))</f>
        <v/>
      </c>
      <c r="BA210" s="33" t="str">
        <f aca="false">IF(OR(D210="",H210=""),"",IF(H210&lt;=IF(OR(D210="Soldier Pile &amp; Timber Lagging",D210="Trench Shoring Box",D210="Open Cut (battered)"),SG_Criteria!$B$34,SG_Criteria!$B$33),"No ERSS submission",IF(H210&lt;=SG_Criteria!$B$35,"QP(ST)",IF(H210&lt;=SG_Criteria!$B$36,"QP(ST) + AC","Geotechnical building works: QP(Geo) + AC"))))</f>
        <v/>
      </c>
      <c r="BB210" s="33" t="str">
        <f aca="false">IF(D210="","",IF(LEN(IF(AND(R210&lt;&gt;"",R210&lt;SG_Criteria!$B$37),"FAIL: base stability FOS &lt; "&amp;SG_Criteria!$B$37&amp;". ","")&amp;IF(AND(E210="Manhole",H210&gt;SG_Criteria!$B$36),"NOTE: BCA lists sewer manholes (pipe &lt;= 2 m dia) &gt; 6 m as non-GBW: QP(ST) + AC. ","")&amp;IF(AND(D210="Trench Shoring Box",I210="Kallang Formation (marine clay)"),"NOTE: check base heave / ground loss for shoring box in marine clay. ","")&amp;IF(AND(D210="Steel Sheet Pile Cofferdam",N(N210)&lt;H210*0.5),"NOTE: short toe embedment, check. ",""))=0,"OK",IF(AND(R210&lt;&gt;"",R210&lt;SG_Criteria!$B$37),"FAIL: base stability FOS &lt; "&amp;SG_Criteria!$B$37&amp;". ","")&amp;IF(AND(E210="Manhole",H210&gt;SG_Criteria!$B$36),"NOTE: BCA lists sewer manholes (pipe &lt;= 2 m dia) &gt; 6 m as non-GBW: QP(ST) + AC. ","")&amp;IF(AND(D210="Trench Shoring Box",I210="Kallang Formation (marine clay)"),"NOTE: check base heave / ground loss for shoring box in marine clay. ","")&amp;IF(AND(D210="Steel Sheet Pile Cofferdam",N(N210)&lt;H210*0.5),"NOTE: short toe embedment, check. ","")))</f>
        <v/>
      </c>
      <c r="BC210" s="9"/>
      <c r="BD210" s="9"/>
      <c r="BE210" s="9"/>
      <c r="BF210" s="10" t="str">
        <f aca="false">IF(BE210="","",IFERROR(VLOOKUP(BE210,Projects!$A$5:$D$504,2,0),"Ref not in Projects"))</f>
        <v/>
      </c>
      <c r="BG210" s="10" t="str">
        <f aca="false">IF(BE210="","",IFERROR(VLOOKUP(BE210,Projects!$A$5:$D$504,4,0),"Ref not in Projects"))</f>
        <v/>
      </c>
      <c r="BH210" s="9"/>
      <c r="BI210" s="9"/>
      <c r="BJ210" s="9"/>
      <c r="BK210" s="40"/>
      <c r="BL210" s="9"/>
      <c r="BM210" s="40"/>
      <c r="BN210" s="9"/>
      <c r="BO210" s="40"/>
      <c r="BP210" s="9"/>
      <c r="BQ210" s="9"/>
      <c r="BR210" s="9"/>
      <c r="BS210" s="40"/>
      <c r="BT210" s="40"/>
      <c r="BU210" s="36" t="str">
        <f aca="false">IF(BT210="","",EDATE(BT210,SG_Criteria!$B$54*12))</f>
        <v/>
      </c>
      <c r="BV210" s="33" t="str">
        <f aca="true">IF(A210="","",IF(BT210="","NOTE: not reviewed yet",IF(TODAY()&gt;BU210,"NOTE: review overdue","OK")))</f>
        <v/>
      </c>
      <c r="BW210" s="37" t="str">
        <f aca="false">IF(A210="","",ROUND((IF(LEN(D210)&gt;0,1,0)+IF(LEN(E210)&gt;0,1,0)+IF(LEN(F210)&gt;0,1,0)+IF(LEN(G210)&gt;0,1,0)+IF(LEN(H210)&gt;0,1,0)+IF(LEN(I210)&gt;0,1,0)+IF(LEN(J210)&gt;0,1,0)+IF(LEN(L210)&gt;0,1,0)+IF(LEN(R210)&gt;0,1,0)+IF(LEN(Y210)&gt;0,1,0)+IF(LEN(AE210)&gt;0,1,0)+IF(LEN(AG210)&gt;0,1,0)+IF(LEN(AH210)&gt;0,1,0)+IF(LEN(AI210)&gt;0,1,0)+IF(LEN(AJ210)&gt;0,1,0)+IF(LEN(AS210)&gt;0,1,0)+IF(LEN(BE210)&gt;0,1,0)+IF(LEN(BR210)&gt;0,1,0))/18,2))</f>
        <v/>
      </c>
      <c r="BX210" s="10" t="str">
        <f aca="false">IF(D210="","",IF(AND(AH210="Approved",ISERROR(SEARCH("FAIL",BB210))),"Y","N"))</f>
        <v/>
      </c>
      <c r="BY210" s="10" t="str">
        <f aca="false">IF(D210="","",D210&amp;"|"&amp;H210&amp;"|"&amp;F210&amp;"|"&amp;I210&amp;"|"&amp;BX210)</f>
        <v/>
      </c>
    </row>
    <row r="211" customFormat="false" ht="15" hidden="false" customHeight="false" outlineLevel="0" collapsed="false">
      <c r="A211" s="10" t="str">
        <f aca="false">IF(D211="","","ERSS-"&amp;IFERROR(VLOOKUP(D211,Lists!$AK$4:$AL$21,2,0),"??")&amp;"-"&amp;TEXT(F211,"0000")&amp;"x"&amp;TEXT(G211,"0000")&amp;"-D"&amp;TEXT(H211*1000,"0000")&amp;"-"&amp;IFERROR(VLOOKUP(I211,Lists!$Y$4:$Z$21,2,0),"??")&amp;"-"&amp;AG211)</f>
        <v/>
      </c>
      <c r="B211" s="10" t="str">
        <f aca="false">IF(D211="","",D211&amp;" for "&amp;E211&amp;", "&amp;F211&amp;" x "&amp;G211&amp;" pit, "&amp;TEXT(H211,"0.0")&amp;" m deep, "&amp;I211)</f>
        <v/>
      </c>
      <c r="C211" s="9"/>
      <c r="D211" s="9"/>
      <c r="E211" s="9"/>
      <c r="F211" s="38"/>
      <c r="G211" s="38"/>
      <c r="H211" s="42"/>
      <c r="I211" s="9"/>
      <c r="J211" s="42"/>
      <c r="K211" s="38"/>
      <c r="L211" s="9"/>
      <c r="M211" s="42"/>
      <c r="N211" s="42"/>
      <c r="O211" s="38"/>
      <c r="P211" s="9"/>
      <c r="Q211" s="9"/>
      <c r="R211" s="39"/>
      <c r="S211" s="39"/>
      <c r="T211" s="38"/>
      <c r="U211" s="38"/>
      <c r="V211" s="38"/>
      <c r="W211" s="9"/>
      <c r="X211" s="9"/>
      <c r="Y211" s="38"/>
      <c r="Z211" s="9"/>
      <c r="AA211" s="9"/>
      <c r="AB211" s="38"/>
      <c r="AC211" s="9"/>
      <c r="AD211" s="39"/>
      <c r="AE211" s="9"/>
      <c r="AF211" s="9"/>
      <c r="AG211" s="9"/>
      <c r="AH211" s="9"/>
      <c r="AI211" s="9"/>
      <c r="AJ211" s="9"/>
      <c r="AK211" s="9"/>
      <c r="AL211" s="10" t="str">
        <f aca="false">IF(A211="","",SG_Criteria!$B$6&amp;SG_Criteria!$B$11&amp;"\"&amp;A211&amp;"\")</f>
        <v/>
      </c>
      <c r="AM211" s="10" t="str">
        <f aca="false">IF(A211="","",A211&amp;"_CAD.dwg")</f>
        <v/>
      </c>
      <c r="AN211" s="10" t="str">
        <f aca="false">IF(A211="","",A211&amp;"_DWG.pdf")</f>
        <v/>
      </c>
      <c r="AO211" s="10" t="str">
        <f aca="false">IF(A211="","",IF(AK211="Y",A211&amp;"_STAAD.std","n/a"))</f>
        <v/>
      </c>
      <c r="AP211" s="10" t="str">
        <f aca="false">IF(A211="","",A211&amp;"_CALC.xlsx")</f>
        <v/>
      </c>
      <c r="AQ211" s="10" t="str">
        <f aca="false">IF(A211="","",A211&amp;"_CALC.pdf")</f>
        <v/>
      </c>
      <c r="AR211" s="9"/>
      <c r="AS211" s="9"/>
      <c r="AT211" s="39"/>
      <c r="AU211" s="39"/>
      <c r="AV211" s="39"/>
      <c r="AW211" s="39"/>
      <c r="AX211" s="39"/>
      <c r="AY211" s="12" t="str">
        <f aca="false">IF(A211="","",IF(COUNTIF(Rebar_Schedule!$A$5:$A$2004,A211)=0,"",ROUND(SUMIF(Rebar_Schedule!$A$5:$A$2004,A211,Rebar_Schedule!$K$5:$K$2004),1)))</f>
        <v/>
      </c>
      <c r="AZ211" s="33" t="str">
        <f aca="false">IF(A211="","",IF(AY211="","No rebar schedule yet",IF(ABS(AY211-N(AU211))/MAX(N(AU211),1)&gt;SG_Criteria!$B$55,"NOTE: register rebar differs from schedule by "&amp;TEXT(ABS(AY211-N(AU211))/MAX(N(AU211),1),"0%"),"OK")))</f>
        <v/>
      </c>
      <c r="BA211" s="33" t="str">
        <f aca="false">IF(OR(D211="",H211=""),"",IF(H211&lt;=IF(OR(D211="Soldier Pile &amp; Timber Lagging",D211="Trench Shoring Box",D211="Open Cut (battered)"),SG_Criteria!$B$34,SG_Criteria!$B$33),"No ERSS submission",IF(H211&lt;=SG_Criteria!$B$35,"QP(ST)",IF(H211&lt;=SG_Criteria!$B$36,"QP(ST) + AC","Geotechnical building works: QP(Geo) + AC"))))</f>
        <v/>
      </c>
      <c r="BB211" s="33" t="str">
        <f aca="false">IF(D211="","",IF(LEN(IF(AND(R211&lt;&gt;"",R211&lt;SG_Criteria!$B$37),"FAIL: base stability FOS &lt; "&amp;SG_Criteria!$B$37&amp;". ","")&amp;IF(AND(E211="Manhole",H211&gt;SG_Criteria!$B$36),"NOTE: BCA lists sewer manholes (pipe &lt;= 2 m dia) &gt; 6 m as non-GBW: QP(ST) + AC. ","")&amp;IF(AND(D211="Trench Shoring Box",I211="Kallang Formation (marine clay)"),"NOTE: check base heave / ground loss for shoring box in marine clay. ","")&amp;IF(AND(D211="Steel Sheet Pile Cofferdam",N(N211)&lt;H211*0.5),"NOTE: short toe embedment, check. ",""))=0,"OK",IF(AND(R211&lt;&gt;"",R211&lt;SG_Criteria!$B$37),"FAIL: base stability FOS &lt; "&amp;SG_Criteria!$B$37&amp;". ","")&amp;IF(AND(E211="Manhole",H211&gt;SG_Criteria!$B$36),"NOTE: BCA lists sewer manholes (pipe &lt;= 2 m dia) &gt; 6 m as non-GBW: QP(ST) + AC. ","")&amp;IF(AND(D211="Trench Shoring Box",I211="Kallang Formation (marine clay)"),"NOTE: check base heave / ground loss for shoring box in marine clay. ","")&amp;IF(AND(D211="Steel Sheet Pile Cofferdam",N(N211)&lt;H211*0.5),"NOTE: short toe embedment, check. ","")))</f>
        <v/>
      </c>
      <c r="BC211" s="9"/>
      <c r="BD211" s="9"/>
      <c r="BE211" s="9"/>
      <c r="BF211" s="10" t="str">
        <f aca="false">IF(BE211="","",IFERROR(VLOOKUP(BE211,Projects!$A$5:$D$504,2,0),"Ref not in Projects"))</f>
        <v/>
      </c>
      <c r="BG211" s="10" t="str">
        <f aca="false">IF(BE211="","",IFERROR(VLOOKUP(BE211,Projects!$A$5:$D$504,4,0),"Ref not in Projects"))</f>
        <v/>
      </c>
      <c r="BH211" s="9"/>
      <c r="BI211" s="9"/>
      <c r="BJ211" s="9"/>
      <c r="BK211" s="40"/>
      <c r="BL211" s="9"/>
      <c r="BM211" s="40"/>
      <c r="BN211" s="9"/>
      <c r="BO211" s="40"/>
      <c r="BP211" s="9"/>
      <c r="BQ211" s="9"/>
      <c r="BR211" s="9"/>
      <c r="BS211" s="40"/>
      <c r="BT211" s="40"/>
      <c r="BU211" s="36" t="str">
        <f aca="false">IF(BT211="","",EDATE(BT211,SG_Criteria!$B$54*12))</f>
        <v/>
      </c>
      <c r="BV211" s="33" t="str">
        <f aca="true">IF(A211="","",IF(BT211="","NOTE: not reviewed yet",IF(TODAY()&gt;BU211,"NOTE: review overdue","OK")))</f>
        <v/>
      </c>
      <c r="BW211" s="37" t="str">
        <f aca="false">IF(A211="","",ROUND((IF(LEN(D211)&gt;0,1,0)+IF(LEN(E211)&gt;0,1,0)+IF(LEN(F211)&gt;0,1,0)+IF(LEN(G211)&gt;0,1,0)+IF(LEN(H211)&gt;0,1,0)+IF(LEN(I211)&gt;0,1,0)+IF(LEN(J211)&gt;0,1,0)+IF(LEN(L211)&gt;0,1,0)+IF(LEN(R211)&gt;0,1,0)+IF(LEN(Y211)&gt;0,1,0)+IF(LEN(AE211)&gt;0,1,0)+IF(LEN(AG211)&gt;0,1,0)+IF(LEN(AH211)&gt;0,1,0)+IF(LEN(AI211)&gt;0,1,0)+IF(LEN(AJ211)&gt;0,1,0)+IF(LEN(AS211)&gt;0,1,0)+IF(LEN(BE211)&gt;0,1,0)+IF(LEN(BR211)&gt;0,1,0))/18,2))</f>
        <v/>
      </c>
      <c r="BX211" s="10" t="str">
        <f aca="false">IF(D211="","",IF(AND(AH211="Approved",ISERROR(SEARCH("FAIL",BB211))),"Y","N"))</f>
        <v/>
      </c>
      <c r="BY211" s="10" t="str">
        <f aca="false">IF(D211="","",D211&amp;"|"&amp;H211&amp;"|"&amp;F211&amp;"|"&amp;I211&amp;"|"&amp;BX211)</f>
        <v/>
      </c>
    </row>
    <row r="212" customFormat="false" ht="15" hidden="false" customHeight="false" outlineLevel="0" collapsed="false">
      <c r="A212" s="10" t="str">
        <f aca="false">IF(D212="","","ERSS-"&amp;IFERROR(VLOOKUP(D212,Lists!$AK$4:$AL$21,2,0),"??")&amp;"-"&amp;TEXT(F212,"0000")&amp;"x"&amp;TEXT(G212,"0000")&amp;"-D"&amp;TEXT(H212*1000,"0000")&amp;"-"&amp;IFERROR(VLOOKUP(I212,Lists!$Y$4:$Z$21,2,0),"??")&amp;"-"&amp;AG212)</f>
        <v/>
      </c>
      <c r="B212" s="10" t="str">
        <f aca="false">IF(D212="","",D212&amp;" for "&amp;E212&amp;", "&amp;F212&amp;" x "&amp;G212&amp;" pit, "&amp;TEXT(H212,"0.0")&amp;" m deep, "&amp;I212)</f>
        <v/>
      </c>
      <c r="C212" s="9"/>
      <c r="D212" s="9"/>
      <c r="E212" s="9"/>
      <c r="F212" s="38"/>
      <c r="G212" s="38"/>
      <c r="H212" s="42"/>
      <c r="I212" s="9"/>
      <c r="J212" s="42"/>
      <c r="K212" s="38"/>
      <c r="L212" s="9"/>
      <c r="M212" s="42"/>
      <c r="N212" s="42"/>
      <c r="O212" s="38"/>
      <c r="P212" s="9"/>
      <c r="Q212" s="9"/>
      <c r="R212" s="39"/>
      <c r="S212" s="39"/>
      <c r="T212" s="38"/>
      <c r="U212" s="38"/>
      <c r="V212" s="38"/>
      <c r="W212" s="9"/>
      <c r="X212" s="9"/>
      <c r="Y212" s="38"/>
      <c r="Z212" s="9"/>
      <c r="AA212" s="9"/>
      <c r="AB212" s="38"/>
      <c r="AC212" s="9"/>
      <c r="AD212" s="39"/>
      <c r="AE212" s="9"/>
      <c r="AF212" s="9"/>
      <c r="AG212" s="9"/>
      <c r="AH212" s="9"/>
      <c r="AI212" s="9"/>
      <c r="AJ212" s="9"/>
      <c r="AK212" s="9"/>
      <c r="AL212" s="10" t="str">
        <f aca="false">IF(A212="","",SG_Criteria!$B$6&amp;SG_Criteria!$B$11&amp;"\"&amp;A212&amp;"\")</f>
        <v/>
      </c>
      <c r="AM212" s="10" t="str">
        <f aca="false">IF(A212="","",A212&amp;"_CAD.dwg")</f>
        <v/>
      </c>
      <c r="AN212" s="10" t="str">
        <f aca="false">IF(A212="","",A212&amp;"_DWG.pdf")</f>
        <v/>
      </c>
      <c r="AO212" s="10" t="str">
        <f aca="false">IF(A212="","",IF(AK212="Y",A212&amp;"_STAAD.std","n/a"))</f>
        <v/>
      </c>
      <c r="AP212" s="10" t="str">
        <f aca="false">IF(A212="","",A212&amp;"_CALC.xlsx")</f>
        <v/>
      </c>
      <c r="AQ212" s="10" t="str">
        <f aca="false">IF(A212="","",A212&amp;"_CALC.pdf")</f>
        <v/>
      </c>
      <c r="AR212" s="9"/>
      <c r="AS212" s="9"/>
      <c r="AT212" s="39"/>
      <c r="AU212" s="39"/>
      <c r="AV212" s="39"/>
      <c r="AW212" s="39"/>
      <c r="AX212" s="39"/>
      <c r="AY212" s="12" t="str">
        <f aca="false">IF(A212="","",IF(COUNTIF(Rebar_Schedule!$A$5:$A$2004,A212)=0,"",ROUND(SUMIF(Rebar_Schedule!$A$5:$A$2004,A212,Rebar_Schedule!$K$5:$K$2004),1)))</f>
        <v/>
      </c>
      <c r="AZ212" s="33" t="str">
        <f aca="false">IF(A212="","",IF(AY212="","No rebar schedule yet",IF(ABS(AY212-N(AU212))/MAX(N(AU212),1)&gt;SG_Criteria!$B$55,"NOTE: register rebar differs from schedule by "&amp;TEXT(ABS(AY212-N(AU212))/MAX(N(AU212),1),"0%"),"OK")))</f>
        <v/>
      </c>
      <c r="BA212" s="33" t="str">
        <f aca="false">IF(OR(D212="",H212=""),"",IF(H212&lt;=IF(OR(D212="Soldier Pile &amp; Timber Lagging",D212="Trench Shoring Box",D212="Open Cut (battered)"),SG_Criteria!$B$34,SG_Criteria!$B$33),"No ERSS submission",IF(H212&lt;=SG_Criteria!$B$35,"QP(ST)",IF(H212&lt;=SG_Criteria!$B$36,"QP(ST) + AC","Geotechnical building works: QP(Geo) + AC"))))</f>
        <v/>
      </c>
      <c r="BB212" s="33" t="str">
        <f aca="false">IF(D212="","",IF(LEN(IF(AND(R212&lt;&gt;"",R212&lt;SG_Criteria!$B$37),"FAIL: base stability FOS &lt; "&amp;SG_Criteria!$B$37&amp;". ","")&amp;IF(AND(E212="Manhole",H212&gt;SG_Criteria!$B$36),"NOTE: BCA lists sewer manholes (pipe &lt;= 2 m dia) &gt; 6 m as non-GBW: QP(ST) + AC. ","")&amp;IF(AND(D212="Trench Shoring Box",I212="Kallang Formation (marine clay)"),"NOTE: check base heave / ground loss for shoring box in marine clay. ","")&amp;IF(AND(D212="Steel Sheet Pile Cofferdam",N(N212)&lt;H212*0.5),"NOTE: short toe embedment, check. ",""))=0,"OK",IF(AND(R212&lt;&gt;"",R212&lt;SG_Criteria!$B$37),"FAIL: base stability FOS &lt; "&amp;SG_Criteria!$B$37&amp;". ","")&amp;IF(AND(E212="Manhole",H212&gt;SG_Criteria!$B$36),"NOTE: BCA lists sewer manholes (pipe &lt;= 2 m dia) &gt; 6 m as non-GBW: QP(ST) + AC. ","")&amp;IF(AND(D212="Trench Shoring Box",I212="Kallang Formation (marine clay)"),"NOTE: check base heave / ground loss for shoring box in marine clay. ","")&amp;IF(AND(D212="Steel Sheet Pile Cofferdam",N(N212)&lt;H212*0.5),"NOTE: short toe embedment, check. ","")))</f>
        <v/>
      </c>
      <c r="BC212" s="9"/>
      <c r="BD212" s="9"/>
      <c r="BE212" s="9"/>
      <c r="BF212" s="10" t="str">
        <f aca="false">IF(BE212="","",IFERROR(VLOOKUP(BE212,Projects!$A$5:$D$504,2,0),"Ref not in Projects"))</f>
        <v/>
      </c>
      <c r="BG212" s="10" t="str">
        <f aca="false">IF(BE212="","",IFERROR(VLOOKUP(BE212,Projects!$A$5:$D$504,4,0),"Ref not in Projects"))</f>
        <v/>
      </c>
      <c r="BH212" s="9"/>
      <c r="BI212" s="9"/>
      <c r="BJ212" s="9"/>
      <c r="BK212" s="40"/>
      <c r="BL212" s="9"/>
      <c r="BM212" s="40"/>
      <c r="BN212" s="9"/>
      <c r="BO212" s="40"/>
      <c r="BP212" s="9"/>
      <c r="BQ212" s="9"/>
      <c r="BR212" s="9"/>
      <c r="BS212" s="40"/>
      <c r="BT212" s="40"/>
      <c r="BU212" s="36" t="str">
        <f aca="false">IF(BT212="","",EDATE(BT212,SG_Criteria!$B$54*12))</f>
        <v/>
      </c>
      <c r="BV212" s="33" t="str">
        <f aca="true">IF(A212="","",IF(BT212="","NOTE: not reviewed yet",IF(TODAY()&gt;BU212,"NOTE: review overdue","OK")))</f>
        <v/>
      </c>
      <c r="BW212" s="37" t="str">
        <f aca="false">IF(A212="","",ROUND((IF(LEN(D212)&gt;0,1,0)+IF(LEN(E212)&gt;0,1,0)+IF(LEN(F212)&gt;0,1,0)+IF(LEN(G212)&gt;0,1,0)+IF(LEN(H212)&gt;0,1,0)+IF(LEN(I212)&gt;0,1,0)+IF(LEN(J212)&gt;0,1,0)+IF(LEN(L212)&gt;0,1,0)+IF(LEN(R212)&gt;0,1,0)+IF(LEN(Y212)&gt;0,1,0)+IF(LEN(AE212)&gt;0,1,0)+IF(LEN(AG212)&gt;0,1,0)+IF(LEN(AH212)&gt;0,1,0)+IF(LEN(AI212)&gt;0,1,0)+IF(LEN(AJ212)&gt;0,1,0)+IF(LEN(AS212)&gt;0,1,0)+IF(LEN(BE212)&gt;0,1,0)+IF(LEN(BR212)&gt;0,1,0))/18,2))</f>
        <v/>
      </c>
      <c r="BX212" s="10" t="str">
        <f aca="false">IF(D212="","",IF(AND(AH212="Approved",ISERROR(SEARCH("FAIL",BB212))),"Y","N"))</f>
        <v/>
      </c>
      <c r="BY212" s="10" t="str">
        <f aca="false">IF(D212="","",D212&amp;"|"&amp;H212&amp;"|"&amp;F212&amp;"|"&amp;I212&amp;"|"&amp;BX212)</f>
        <v/>
      </c>
    </row>
    <row r="213" customFormat="false" ht="15" hidden="false" customHeight="false" outlineLevel="0" collapsed="false">
      <c r="A213" s="10" t="str">
        <f aca="false">IF(D213="","","ERSS-"&amp;IFERROR(VLOOKUP(D213,Lists!$AK$4:$AL$21,2,0),"??")&amp;"-"&amp;TEXT(F213,"0000")&amp;"x"&amp;TEXT(G213,"0000")&amp;"-D"&amp;TEXT(H213*1000,"0000")&amp;"-"&amp;IFERROR(VLOOKUP(I213,Lists!$Y$4:$Z$21,2,0),"??")&amp;"-"&amp;AG213)</f>
        <v/>
      </c>
      <c r="B213" s="10" t="str">
        <f aca="false">IF(D213="","",D213&amp;" for "&amp;E213&amp;", "&amp;F213&amp;" x "&amp;G213&amp;" pit, "&amp;TEXT(H213,"0.0")&amp;" m deep, "&amp;I213)</f>
        <v/>
      </c>
      <c r="C213" s="9"/>
      <c r="D213" s="9"/>
      <c r="E213" s="9"/>
      <c r="F213" s="38"/>
      <c r="G213" s="38"/>
      <c r="H213" s="42"/>
      <c r="I213" s="9"/>
      <c r="J213" s="42"/>
      <c r="K213" s="38"/>
      <c r="L213" s="9"/>
      <c r="M213" s="42"/>
      <c r="N213" s="42"/>
      <c r="O213" s="38"/>
      <c r="P213" s="9"/>
      <c r="Q213" s="9"/>
      <c r="R213" s="39"/>
      <c r="S213" s="39"/>
      <c r="T213" s="38"/>
      <c r="U213" s="38"/>
      <c r="V213" s="38"/>
      <c r="W213" s="9"/>
      <c r="X213" s="9"/>
      <c r="Y213" s="38"/>
      <c r="Z213" s="9"/>
      <c r="AA213" s="9"/>
      <c r="AB213" s="38"/>
      <c r="AC213" s="9"/>
      <c r="AD213" s="39"/>
      <c r="AE213" s="9"/>
      <c r="AF213" s="9"/>
      <c r="AG213" s="9"/>
      <c r="AH213" s="9"/>
      <c r="AI213" s="9"/>
      <c r="AJ213" s="9"/>
      <c r="AK213" s="9"/>
      <c r="AL213" s="10" t="str">
        <f aca="false">IF(A213="","",SG_Criteria!$B$6&amp;SG_Criteria!$B$11&amp;"\"&amp;A213&amp;"\")</f>
        <v/>
      </c>
      <c r="AM213" s="10" t="str">
        <f aca="false">IF(A213="","",A213&amp;"_CAD.dwg")</f>
        <v/>
      </c>
      <c r="AN213" s="10" t="str">
        <f aca="false">IF(A213="","",A213&amp;"_DWG.pdf")</f>
        <v/>
      </c>
      <c r="AO213" s="10" t="str">
        <f aca="false">IF(A213="","",IF(AK213="Y",A213&amp;"_STAAD.std","n/a"))</f>
        <v/>
      </c>
      <c r="AP213" s="10" t="str">
        <f aca="false">IF(A213="","",A213&amp;"_CALC.xlsx")</f>
        <v/>
      </c>
      <c r="AQ213" s="10" t="str">
        <f aca="false">IF(A213="","",A213&amp;"_CALC.pdf")</f>
        <v/>
      </c>
      <c r="AR213" s="9"/>
      <c r="AS213" s="9"/>
      <c r="AT213" s="39"/>
      <c r="AU213" s="39"/>
      <c r="AV213" s="39"/>
      <c r="AW213" s="39"/>
      <c r="AX213" s="39"/>
      <c r="AY213" s="12" t="str">
        <f aca="false">IF(A213="","",IF(COUNTIF(Rebar_Schedule!$A$5:$A$2004,A213)=0,"",ROUND(SUMIF(Rebar_Schedule!$A$5:$A$2004,A213,Rebar_Schedule!$K$5:$K$2004),1)))</f>
        <v/>
      </c>
      <c r="AZ213" s="33" t="str">
        <f aca="false">IF(A213="","",IF(AY213="","No rebar schedule yet",IF(ABS(AY213-N(AU213))/MAX(N(AU213),1)&gt;SG_Criteria!$B$55,"NOTE: register rebar differs from schedule by "&amp;TEXT(ABS(AY213-N(AU213))/MAX(N(AU213),1),"0%"),"OK")))</f>
        <v/>
      </c>
      <c r="BA213" s="33" t="str">
        <f aca="false">IF(OR(D213="",H213=""),"",IF(H213&lt;=IF(OR(D213="Soldier Pile &amp; Timber Lagging",D213="Trench Shoring Box",D213="Open Cut (battered)"),SG_Criteria!$B$34,SG_Criteria!$B$33),"No ERSS submission",IF(H213&lt;=SG_Criteria!$B$35,"QP(ST)",IF(H213&lt;=SG_Criteria!$B$36,"QP(ST) + AC","Geotechnical building works: QP(Geo) + AC"))))</f>
        <v/>
      </c>
      <c r="BB213" s="33" t="str">
        <f aca="false">IF(D213="","",IF(LEN(IF(AND(R213&lt;&gt;"",R213&lt;SG_Criteria!$B$37),"FAIL: base stability FOS &lt; "&amp;SG_Criteria!$B$37&amp;". ","")&amp;IF(AND(E213="Manhole",H213&gt;SG_Criteria!$B$36),"NOTE: BCA lists sewer manholes (pipe &lt;= 2 m dia) &gt; 6 m as non-GBW: QP(ST) + AC. ","")&amp;IF(AND(D213="Trench Shoring Box",I213="Kallang Formation (marine clay)"),"NOTE: check base heave / ground loss for shoring box in marine clay. ","")&amp;IF(AND(D213="Steel Sheet Pile Cofferdam",N(N213)&lt;H213*0.5),"NOTE: short toe embedment, check. ",""))=0,"OK",IF(AND(R213&lt;&gt;"",R213&lt;SG_Criteria!$B$37),"FAIL: base stability FOS &lt; "&amp;SG_Criteria!$B$37&amp;". ","")&amp;IF(AND(E213="Manhole",H213&gt;SG_Criteria!$B$36),"NOTE: BCA lists sewer manholes (pipe &lt;= 2 m dia) &gt; 6 m as non-GBW: QP(ST) + AC. ","")&amp;IF(AND(D213="Trench Shoring Box",I213="Kallang Formation (marine clay)"),"NOTE: check base heave / ground loss for shoring box in marine clay. ","")&amp;IF(AND(D213="Steel Sheet Pile Cofferdam",N(N213)&lt;H213*0.5),"NOTE: short toe embedment, check. ","")))</f>
        <v/>
      </c>
      <c r="BC213" s="9"/>
      <c r="BD213" s="9"/>
      <c r="BE213" s="9"/>
      <c r="BF213" s="10" t="str">
        <f aca="false">IF(BE213="","",IFERROR(VLOOKUP(BE213,Projects!$A$5:$D$504,2,0),"Ref not in Projects"))</f>
        <v/>
      </c>
      <c r="BG213" s="10" t="str">
        <f aca="false">IF(BE213="","",IFERROR(VLOOKUP(BE213,Projects!$A$5:$D$504,4,0),"Ref not in Projects"))</f>
        <v/>
      </c>
      <c r="BH213" s="9"/>
      <c r="BI213" s="9"/>
      <c r="BJ213" s="9"/>
      <c r="BK213" s="40"/>
      <c r="BL213" s="9"/>
      <c r="BM213" s="40"/>
      <c r="BN213" s="9"/>
      <c r="BO213" s="40"/>
      <c r="BP213" s="9"/>
      <c r="BQ213" s="9"/>
      <c r="BR213" s="9"/>
      <c r="BS213" s="40"/>
      <c r="BT213" s="40"/>
      <c r="BU213" s="36" t="str">
        <f aca="false">IF(BT213="","",EDATE(BT213,SG_Criteria!$B$54*12))</f>
        <v/>
      </c>
      <c r="BV213" s="33" t="str">
        <f aca="true">IF(A213="","",IF(BT213="","NOTE: not reviewed yet",IF(TODAY()&gt;BU213,"NOTE: review overdue","OK")))</f>
        <v/>
      </c>
      <c r="BW213" s="37" t="str">
        <f aca="false">IF(A213="","",ROUND((IF(LEN(D213)&gt;0,1,0)+IF(LEN(E213)&gt;0,1,0)+IF(LEN(F213)&gt;0,1,0)+IF(LEN(G213)&gt;0,1,0)+IF(LEN(H213)&gt;0,1,0)+IF(LEN(I213)&gt;0,1,0)+IF(LEN(J213)&gt;0,1,0)+IF(LEN(L213)&gt;0,1,0)+IF(LEN(R213)&gt;0,1,0)+IF(LEN(Y213)&gt;0,1,0)+IF(LEN(AE213)&gt;0,1,0)+IF(LEN(AG213)&gt;0,1,0)+IF(LEN(AH213)&gt;0,1,0)+IF(LEN(AI213)&gt;0,1,0)+IF(LEN(AJ213)&gt;0,1,0)+IF(LEN(AS213)&gt;0,1,0)+IF(LEN(BE213)&gt;0,1,0)+IF(LEN(BR213)&gt;0,1,0))/18,2))</f>
        <v/>
      </c>
      <c r="BX213" s="10" t="str">
        <f aca="false">IF(D213="","",IF(AND(AH213="Approved",ISERROR(SEARCH("FAIL",BB213))),"Y","N"))</f>
        <v/>
      </c>
      <c r="BY213" s="10" t="str">
        <f aca="false">IF(D213="","",D213&amp;"|"&amp;H213&amp;"|"&amp;F213&amp;"|"&amp;I213&amp;"|"&amp;BX213)</f>
        <v/>
      </c>
    </row>
    <row r="214" customFormat="false" ht="15" hidden="false" customHeight="false" outlineLevel="0" collapsed="false">
      <c r="A214" s="10" t="str">
        <f aca="false">IF(D214="","","ERSS-"&amp;IFERROR(VLOOKUP(D214,Lists!$AK$4:$AL$21,2,0),"??")&amp;"-"&amp;TEXT(F214,"0000")&amp;"x"&amp;TEXT(G214,"0000")&amp;"-D"&amp;TEXT(H214*1000,"0000")&amp;"-"&amp;IFERROR(VLOOKUP(I214,Lists!$Y$4:$Z$21,2,0),"??")&amp;"-"&amp;AG214)</f>
        <v/>
      </c>
      <c r="B214" s="10" t="str">
        <f aca="false">IF(D214="","",D214&amp;" for "&amp;E214&amp;", "&amp;F214&amp;" x "&amp;G214&amp;" pit, "&amp;TEXT(H214,"0.0")&amp;" m deep, "&amp;I214)</f>
        <v/>
      </c>
      <c r="C214" s="9"/>
      <c r="D214" s="9"/>
      <c r="E214" s="9"/>
      <c r="F214" s="38"/>
      <c r="G214" s="38"/>
      <c r="H214" s="42"/>
      <c r="I214" s="9"/>
      <c r="J214" s="42"/>
      <c r="K214" s="38"/>
      <c r="L214" s="9"/>
      <c r="M214" s="42"/>
      <c r="N214" s="42"/>
      <c r="O214" s="38"/>
      <c r="P214" s="9"/>
      <c r="Q214" s="9"/>
      <c r="R214" s="39"/>
      <c r="S214" s="39"/>
      <c r="T214" s="38"/>
      <c r="U214" s="38"/>
      <c r="V214" s="38"/>
      <c r="W214" s="9"/>
      <c r="X214" s="9"/>
      <c r="Y214" s="38"/>
      <c r="Z214" s="9"/>
      <c r="AA214" s="9"/>
      <c r="AB214" s="38"/>
      <c r="AC214" s="9"/>
      <c r="AD214" s="39"/>
      <c r="AE214" s="9"/>
      <c r="AF214" s="9"/>
      <c r="AG214" s="9"/>
      <c r="AH214" s="9"/>
      <c r="AI214" s="9"/>
      <c r="AJ214" s="9"/>
      <c r="AK214" s="9"/>
      <c r="AL214" s="10" t="str">
        <f aca="false">IF(A214="","",SG_Criteria!$B$6&amp;SG_Criteria!$B$11&amp;"\"&amp;A214&amp;"\")</f>
        <v/>
      </c>
      <c r="AM214" s="10" t="str">
        <f aca="false">IF(A214="","",A214&amp;"_CAD.dwg")</f>
        <v/>
      </c>
      <c r="AN214" s="10" t="str">
        <f aca="false">IF(A214="","",A214&amp;"_DWG.pdf")</f>
        <v/>
      </c>
      <c r="AO214" s="10" t="str">
        <f aca="false">IF(A214="","",IF(AK214="Y",A214&amp;"_STAAD.std","n/a"))</f>
        <v/>
      </c>
      <c r="AP214" s="10" t="str">
        <f aca="false">IF(A214="","",A214&amp;"_CALC.xlsx")</f>
        <v/>
      </c>
      <c r="AQ214" s="10" t="str">
        <f aca="false">IF(A214="","",A214&amp;"_CALC.pdf")</f>
        <v/>
      </c>
      <c r="AR214" s="9"/>
      <c r="AS214" s="9"/>
      <c r="AT214" s="39"/>
      <c r="AU214" s="39"/>
      <c r="AV214" s="39"/>
      <c r="AW214" s="39"/>
      <c r="AX214" s="39"/>
      <c r="AY214" s="12" t="str">
        <f aca="false">IF(A214="","",IF(COUNTIF(Rebar_Schedule!$A$5:$A$2004,A214)=0,"",ROUND(SUMIF(Rebar_Schedule!$A$5:$A$2004,A214,Rebar_Schedule!$K$5:$K$2004),1)))</f>
        <v/>
      </c>
      <c r="AZ214" s="33" t="str">
        <f aca="false">IF(A214="","",IF(AY214="","No rebar schedule yet",IF(ABS(AY214-N(AU214))/MAX(N(AU214),1)&gt;SG_Criteria!$B$55,"NOTE: register rebar differs from schedule by "&amp;TEXT(ABS(AY214-N(AU214))/MAX(N(AU214),1),"0%"),"OK")))</f>
        <v/>
      </c>
      <c r="BA214" s="33" t="str">
        <f aca="false">IF(OR(D214="",H214=""),"",IF(H214&lt;=IF(OR(D214="Soldier Pile &amp; Timber Lagging",D214="Trench Shoring Box",D214="Open Cut (battered)"),SG_Criteria!$B$34,SG_Criteria!$B$33),"No ERSS submission",IF(H214&lt;=SG_Criteria!$B$35,"QP(ST)",IF(H214&lt;=SG_Criteria!$B$36,"QP(ST) + AC","Geotechnical building works: QP(Geo) + AC"))))</f>
        <v/>
      </c>
      <c r="BB214" s="33" t="str">
        <f aca="false">IF(D214="","",IF(LEN(IF(AND(R214&lt;&gt;"",R214&lt;SG_Criteria!$B$37),"FAIL: base stability FOS &lt; "&amp;SG_Criteria!$B$37&amp;". ","")&amp;IF(AND(E214="Manhole",H214&gt;SG_Criteria!$B$36),"NOTE: BCA lists sewer manholes (pipe &lt;= 2 m dia) &gt; 6 m as non-GBW: QP(ST) + AC. ","")&amp;IF(AND(D214="Trench Shoring Box",I214="Kallang Formation (marine clay)"),"NOTE: check base heave / ground loss for shoring box in marine clay. ","")&amp;IF(AND(D214="Steel Sheet Pile Cofferdam",N(N214)&lt;H214*0.5),"NOTE: short toe embedment, check. ",""))=0,"OK",IF(AND(R214&lt;&gt;"",R214&lt;SG_Criteria!$B$37),"FAIL: base stability FOS &lt; "&amp;SG_Criteria!$B$37&amp;". ","")&amp;IF(AND(E214="Manhole",H214&gt;SG_Criteria!$B$36),"NOTE: BCA lists sewer manholes (pipe &lt;= 2 m dia) &gt; 6 m as non-GBW: QP(ST) + AC. ","")&amp;IF(AND(D214="Trench Shoring Box",I214="Kallang Formation (marine clay)"),"NOTE: check base heave / ground loss for shoring box in marine clay. ","")&amp;IF(AND(D214="Steel Sheet Pile Cofferdam",N(N214)&lt;H214*0.5),"NOTE: short toe embedment, check. ","")))</f>
        <v/>
      </c>
      <c r="BC214" s="9"/>
      <c r="BD214" s="9"/>
      <c r="BE214" s="9"/>
      <c r="BF214" s="10" t="str">
        <f aca="false">IF(BE214="","",IFERROR(VLOOKUP(BE214,Projects!$A$5:$D$504,2,0),"Ref not in Projects"))</f>
        <v/>
      </c>
      <c r="BG214" s="10" t="str">
        <f aca="false">IF(BE214="","",IFERROR(VLOOKUP(BE214,Projects!$A$5:$D$504,4,0),"Ref not in Projects"))</f>
        <v/>
      </c>
      <c r="BH214" s="9"/>
      <c r="BI214" s="9"/>
      <c r="BJ214" s="9"/>
      <c r="BK214" s="40"/>
      <c r="BL214" s="9"/>
      <c r="BM214" s="40"/>
      <c r="BN214" s="9"/>
      <c r="BO214" s="40"/>
      <c r="BP214" s="9"/>
      <c r="BQ214" s="9"/>
      <c r="BR214" s="9"/>
      <c r="BS214" s="40"/>
      <c r="BT214" s="40"/>
      <c r="BU214" s="36" t="str">
        <f aca="false">IF(BT214="","",EDATE(BT214,SG_Criteria!$B$54*12))</f>
        <v/>
      </c>
      <c r="BV214" s="33" t="str">
        <f aca="true">IF(A214="","",IF(BT214="","NOTE: not reviewed yet",IF(TODAY()&gt;BU214,"NOTE: review overdue","OK")))</f>
        <v/>
      </c>
      <c r="BW214" s="37" t="str">
        <f aca="false">IF(A214="","",ROUND((IF(LEN(D214)&gt;0,1,0)+IF(LEN(E214)&gt;0,1,0)+IF(LEN(F214)&gt;0,1,0)+IF(LEN(G214)&gt;0,1,0)+IF(LEN(H214)&gt;0,1,0)+IF(LEN(I214)&gt;0,1,0)+IF(LEN(J214)&gt;0,1,0)+IF(LEN(L214)&gt;0,1,0)+IF(LEN(R214)&gt;0,1,0)+IF(LEN(Y214)&gt;0,1,0)+IF(LEN(AE214)&gt;0,1,0)+IF(LEN(AG214)&gt;0,1,0)+IF(LEN(AH214)&gt;0,1,0)+IF(LEN(AI214)&gt;0,1,0)+IF(LEN(AJ214)&gt;0,1,0)+IF(LEN(AS214)&gt;0,1,0)+IF(LEN(BE214)&gt;0,1,0)+IF(LEN(BR214)&gt;0,1,0))/18,2))</f>
        <v/>
      </c>
      <c r="BX214" s="10" t="str">
        <f aca="false">IF(D214="","",IF(AND(AH214="Approved",ISERROR(SEARCH("FAIL",BB214))),"Y","N"))</f>
        <v/>
      </c>
      <c r="BY214" s="10" t="str">
        <f aca="false">IF(D214="","",D214&amp;"|"&amp;H214&amp;"|"&amp;F214&amp;"|"&amp;I214&amp;"|"&amp;BX214)</f>
        <v/>
      </c>
    </row>
    <row r="215" customFormat="false" ht="15" hidden="false" customHeight="false" outlineLevel="0" collapsed="false">
      <c r="A215" s="10" t="str">
        <f aca="false">IF(D215="","","ERSS-"&amp;IFERROR(VLOOKUP(D215,Lists!$AK$4:$AL$21,2,0),"??")&amp;"-"&amp;TEXT(F215,"0000")&amp;"x"&amp;TEXT(G215,"0000")&amp;"-D"&amp;TEXT(H215*1000,"0000")&amp;"-"&amp;IFERROR(VLOOKUP(I215,Lists!$Y$4:$Z$21,2,0),"??")&amp;"-"&amp;AG215)</f>
        <v/>
      </c>
      <c r="B215" s="10" t="str">
        <f aca="false">IF(D215="","",D215&amp;" for "&amp;E215&amp;", "&amp;F215&amp;" x "&amp;G215&amp;" pit, "&amp;TEXT(H215,"0.0")&amp;" m deep, "&amp;I215)</f>
        <v/>
      </c>
      <c r="C215" s="9"/>
      <c r="D215" s="9"/>
      <c r="E215" s="9"/>
      <c r="F215" s="38"/>
      <c r="G215" s="38"/>
      <c r="H215" s="42"/>
      <c r="I215" s="9"/>
      <c r="J215" s="42"/>
      <c r="K215" s="38"/>
      <c r="L215" s="9"/>
      <c r="M215" s="42"/>
      <c r="N215" s="42"/>
      <c r="O215" s="38"/>
      <c r="P215" s="9"/>
      <c r="Q215" s="9"/>
      <c r="R215" s="39"/>
      <c r="S215" s="39"/>
      <c r="T215" s="38"/>
      <c r="U215" s="38"/>
      <c r="V215" s="38"/>
      <c r="W215" s="9"/>
      <c r="X215" s="9"/>
      <c r="Y215" s="38"/>
      <c r="Z215" s="9"/>
      <c r="AA215" s="9"/>
      <c r="AB215" s="38"/>
      <c r="AC215" s="9"/>
      <c r="AD215" s="39"/>
      <c r="AE215" s="9"/>
      <c r="AF215" s="9"/>
      <c r="AG215" s="9"/>
      <c r="AH215" s="9"/>
      <c r="AI215" s="9"/>
      <c r="AJ215" s="9"/>
      <c r="AK215" s="9"/>
      <c r="AL215" s="10" t="str">
        <f aca="false">IF(A215="","",SG_Criteria!$B$6&amp;SG_Criteria!$B$11&amp;"\"&amp;A215&amp;"\")</f>
        <v/>
      </c>
      <c r="AM215" s="10" t="str">
        <f aca="false">IF(A215="","",A215&amp;"_CAD.dwg")</f>
        <v/>
      </c>
      <c r="AN215" s="10" t="str">
        <f aca="false">IF(A215="","",A215&amp;"_DWG.pdf")</f>
        <v/>
      </c>
      <c r="AO215" s="10" t="str">
        <f aca="false">IF(A215="","",IF(AK215="Y",A215&amp;"_STAAD.std","n/a"))</f>
        <v/>
      </c>
      <c r="AP215" s="10" t="str">
        <f aca="false">IF(A215="","",A215&amp;"_CALC.xlsx")</f>
        <v/>
      </c>
      <c r="AQ215" s="10" t="str">
        <f aca="false">IF(A215="","",A215&amp;"_CALC.pdf")</f>
        <v/>
      </c>
      <c r="AR215" s="9"/>
      <c r="AS215" s="9"/>
      <c r="AT215" s="39"/>
      <c r="AU215" s="39"/>
      <c r="AV215" s="39"/>
      <c r="AW215" s="39"/>
      <c r="AX215" s="39"/>
      <c r="AY215" s="12" t="str">
        <f aca="false">IF(A215="","",IF(COUNTIF(Rebar_Schedule!$A$5:$A$2004,A215)=0,"",ROUND(SUMIF(Rebar_Schedule!$A$5:$A$2004,A215,Rebar_Schedule!$K$5:$K$2004),1)))</f>
        <v/>
      </c>
      <c r="AZ215" s="33" t="str">
        <f aca="false">IF(A215="","",IF(AY215="","No rebar schedule yet",IF(ABS(AY215-N(AU215))/MAX(N(AU215),1)&gt;SG_Criteria!$B$55,"NOTE: register rebar differs from schedule by "&amp;TEXT(ABS(AY215-N(AU215))/MAX(N(AU215),1),"0%"),"OK")))</f>
        <v/>
      </c>
      <c r="BA215" s="33" t="str">
        <f aca="false">IF(OR(D215="",H215=""),"",IF(H215&lt;=IF(OR(D215="Soldier Pile &amp; Timber Lagging",D215="Trench Shoring Box",D215="Open Cut (battered)"),SG_Criteria!$B$34,SG_Criteria!$B$33),"No ERSS submission",IF(H215&lt;=SG_Criteria!$B$35,"QP(ST)",IF(H215&lt;=SG_Criteria!$B$36,"QP(ST) + AC","Geotechnical building works: QP(Geo) + AC"))))</f>
        <v/>
      </c>
      <c r="BB215" s="33" t="str">
        <f aca="false">IF(D215="","",IF(LEN(IF(AND(R215&lt;&gt;"",R215&lt;SG_Criteria!$B$37),"FAIL: base stability FOS &lt; "&amp;SG_Criteria!$B$37&amp;". ","")&amp;IF(AND(E215="Manhole",H215&gt;SG_Criteria!$B$36),"NOTE: BCA lists sewer manholes (pipe &lt;= 2 m dia) &gt; 6 m as non-GBW: QP(ST) + AC. ","")&amp;IF(AND(D215="Trench Shoring Box",I215="Kallang Formation (marine clay)"),"NOTE: check base heave / ground loss for shoring box in marine clay. ","")&amp;IF(AND(D215="Steel Sheet Pile Cofferdam",N(N215)&lt;H215*0.5),"NOTE: short toe embedment, check. ",""))=0,"OK",IF(AND(R215&lt;&gt;"",R215&lt;SG_Criteria!$B$37),"FAIL: base stability FOS &lt; "&amp;SG_Criteria!$B$37&amp;". ","")&amp;IF(AND(E215="Manhole",H215&gt;SG_Criteria!$B$36),"NOTE: BCA lists sewer manholes (pipe &lt;= 2 m dia) &gt; 6 m as non-GBW: QP(ST) + AC. ","")&amp;IF(AND(D215="Trench Shoring Box",I215="Kallang Formation (marine clay)"),"NOTE: check base heave / ground loss for shoring box in marine clay. ","")&amp;IF(AND(D215="Steel Sheet Pile Cofferdam",N(N215)&lt;H215*0.5),"NOTE: short toe embedment, check. ","")))</f>
        <v/>
      </c>
      <c r="BC215" s="9"/>
      <c r="BD215" s="9"/>
      <c r="BE215" s="9"/>
      <c r="BF215" s="10" t="str">
        <f aca="false">IF(BE215="","",IFERROR(VLOOKUP(BE215,Projects!$A$5:$D$504,2,0),"Ref not in Projects"))</f>
        <v/>
      </c>
      <c r="BG215" s="10" t="str">
        <f aca="false">IF(BE215="","",IFERROR(VLOOKUP(BE215,Projects!$A$5:$D$504,4,0),"Ref not in Projects"))</f>
        <v/>
      </c>
      <c r="BH215" s="9"/>
      <c r="BI215" s="9"/>
      <c r="BJ215" s="9"/>
      <c r="BK215" s="40"/>
      <c r="BL215" s="9"/>
      <c r="BM215" s="40"/>
      <c r="BN215" s="9"/>
      <c r="BO215" s="40"/>
      <c r="BP215" s="9"/>
      <c r="BQ215" s="9"/>
      <c r="BR215" s="9"/>
      <c r="BS215" s="40"/>
      <c r="BT215" s="40"/>
      <c r="BU215" s="36" t="str">
        <f aca="false">IF(BT215="","",EDATE(BT215,SG_Criteria!$B$54*12))</f>
        <v/>
      </c>
      <c r="BV215" s="33" t="str">
        <f aca="true">IF(A215="","",IF(BT215="","NOTE: not reviewed yet",IF(TODAY()&gt;BU215,"NOTE: review overdue","OK")))</f>
        <v/>
      </c>
      <c r="BW215" s="37" t="str">
        <f aca="false">IF(A215="","",ROUND((IF(LEN(D215)&gt;0,1,0)+IF(LEN(E215)&gt;0,1,0)+IF(LEN(F215)&gt;0,1,0)+IF(LEN(G215)&gt;0,1,0)+IF(LEN(H215)&gt;0,1,0)+IF(LEN(I215)&gt;0,1,0)+IF(LEN(J215)&gt;0,1,0)+IF(LEN(L215)&gt;0,1,0)+IF(LEN(R215)&gt;0,1,0)+IF(LEN(Y215)&gt;0,1,0)+IF(LEN(AE215)&gt;0,1,0)+IF(LEN(AG215)&gt;0,1,0)+IF(LEN(AH215)&gt;0,1,0)+IF(LEN(AI215)&gt;0,1,0)+IF(LEN(AJ215)&gt;0,1,0)+IF(LEN(AS215)&gt;0,1,0)+IF(LEN(BE215)&gt;0,1,0)+IF(LEN(BR215)&gt;0,1,0))/18,2))</f>
        <v/>
      </c>
      <c r="BX215" s="10" t="str">
        <f aca="false">IF(D215="","",IF(AND(AH215="Approved",ISERROR(SEARCH("FAIL",BB215))),"Y","N"))</f>
        <v/>
      </c>
      <c r="BY215" s="10" t="str">
        <f aca="false">IF(D215="","",D215&amp;"|"&amp;H215&amp;"|"&amp;F215&amp;"|"&amp;I215&amp;"|"&amp;BX215)</f>
        <v/>
      </c>
    </row>
    <row r="216" customFormat="false" ht="15" hidden="false" customHeight="false" outlineLevel="0" collapsed="false">
      <c r="A216" s="10" t="str">
        <f aca="false">IF(D216="","","ERSS-"&amp;IFERROR(VLOOKUP(D216,Lists!$AK$4:$AL$21,2,0),"??")&amp;"-"&amp;TEXT(F216,"0000")&amp;"x"&amp;TEXT(G216,"0000")&amp;"-D"&amp;TEXT(H216*1000,"0000")&amp;"-"&amp;IFERROR(VLOOKUP(I216,Lists!$Y$4:$Z$21,2,0),"??")&amp;"-"&amp;AG216)</f>
        <v/>
      </c>
      <c r="B216" s="10" t="str">
        <f aca="false">IF(D216="","",D216&amp;" for "&amp;E216&amp;", "&amp;F216&amp;" x "&amp;G216&amp;" pit, "&amp;TEXT(H216,"0.0")&amp;" m deep, "&amp;I216)</f>
        <v/>
      </c>
      <c r="C216" s="9"/>
      <c r="D216" s="9"/>
      <c r="E216" s="9"/>
      <c r="F216" s="38"/>
      <c r="G216" s="38"/>
      <c r="H216" s="42"/>
      <c r="I216" s="9"/>
      <c r="J216" s="42"/>
      <c r="K216" s="38"/>
      <c r="L216" s="9"/>
      <c r="M216" s="42"/>
      <c r="N216" s="42"/>
      <c r="O216" s="38"/>
      <c r="P216" s="9"/>
      <c r="Q216" s="9"/>
      <c r="R216" s="39"/>
      <c r="S216" s="39"/>
      <c r="T216" s="38"/>
      <c r="U216" s="38"/>
      <c r="V216" s="38"/>
      <c r="W216" s="9"/>
      <c r="X216" s="9"/>
      <c r="Y216" s="38"/>
      <c r="Z216" s="9"/>
      <c r="AA216" s="9"/>
      <c r="AB216" s="38"/>
      <c r="AC216" s="9"/>
      <c r="AD216" s="39"/>
      <c r="AE216" s="9"/>
      <c r="AF216" s="9"/>
      <c r="AG216" s="9"/>
      <c r="AH216" s="9"/>
      <c r="AI216" s="9"/>
      <c r="AJ216" s="9"/>
      <c r="AK216" s="9"/>
      <c r="AL216" s="10" t="str">
        <f aca="false">IF(A216="","",SG_Criteria!$B$6&amp;SG_Criteria!$B$11&amp;"\"&amp;A216&amp;"\")</f>
        <v/>
      </c>
      <c r="AM216" s="10" t="str">
        <f aca="false">IF(A216="","",A216&amp;"_CAD.dwg")</f>
        <v/>
      </c>
      <c r="AN216" s="10" t="str">
        <f aca="false">IF(A216="","",A216&amp;"_DWG.pdf")</f>
        <v/>
      </c>
      <c r="AO216" s="10" t="str">
        <f aca="false">IF(A216="","",IF(AK216="Y",A216&amp;"_STAAD.std","n/a"))</f>
        <v/>
      </c>
      <c r="AP216" s="10" t="str">
        <f aca="false">IF(A216="","",A216&amp;"_CALC.xlsx")</f>
        <v/>
      </c>
      <c r="AQ216" s="10" t="str">
        <f aca="false">IF(A216="","",A216&amp;"_CALC.pdf")</f>
        <v/>
      </c>
      <c r="AR216" s="9"/>
      <c r="AS216" s="9"/>
      <c r="AT216" s="39"/>
      <c r="AU216" s="39"/>
      <c r="AV216" s="39"/>
      <c r="AW216" s="39"/>
      <c r="AX216" s="39"/>
      <c r="AY216" s="12" t="str">
        <f aca="false">IF(A216="","",IF(COUNTIF(Rebar_Schedule!$A$5:$A$2004,A216)=0,"",ROUND(SUMIF(Rebar_Schedule!$A$5:$A$2004,A216,Rebar_Schedule!$K$5:$K$2004),1)))</f>
        <v/>
      </c>
      <c r="AZ216" s="33" t="str">
        <f aca="false">IF(A216="","",IF(AY216="","No rebar schedule yet",IF(ABS(AY216-N(AU216))/MAX(N(AU216),1)&gt;SG_Criteria!$B$55,"NOTE: register rebar differs from schedule by "&amp;TEXT(ABS(AY216-N(AU216))/MAX(N(AU216),1),"0%"),"OK")))</f>
        <v/>
      </c>
      <c r="BA216" s="33" t="str">
        <f aca="false">IF(OR(D216="",H216=""),"",IF(H216&lt;=IF(OR(D216="Soldier Pile &amp; Timber Lagging",D216="Trench Shoring Box",D216="Open Cut (battered)"),SG_Criteria!$B$34,SG_Criteria!$B$33),"No ERSS submission",IF(H216&lt;=SG_Criteria!$B$35,"QP(ST)",IF(H216&lt;=SG_Criteria!$B$36,"QP(ST) + AC","Geotechnical building works: QP(Geo) + AC"))))</f>
        <v/>
      </c>
      <c r="BB216" s="33" t="str">
        <f aca="false">IF(D216="","",IF(LEN(IF(AND(R216&lt;&gt;"",R216&lt;SG_Criteria!$B$37),"FAIL: base stability FOS &lt; "&amp;SG_Criteria!$B$37&amp;". ","")&amp;IF(AND(E216="Manhole",H216&gt;SG_Criteria!$B$36),"NOTE: BCA lists sewer manholes (pipe &lt;= 2 m dia) &gt; 6 m as non-GBW: QP(ST) + AC. ","")&amp;IF(AND(D216="Trench Shoring Box",I216="Kallang Formation (marine clay)"),"NOTE: check base heave / ground loss for shoring box in marine clay. ","")&amp;IF(AND(D216="Steel Sheet Pile Cofferdam",N(N216)&lt;H216*0.5),"NOTE: short toe embedment, check. ",""))=0,"OK",IF(AND(R216&lt;&gt;"",R216&lt;SG_Criteria!$B$37),"FAIL: base stability FOS &lt; "&amp;SG_Criteria!$B$37&amp;". ","")&amp;IF(AND(E216="Manhole",H216&gt;SG_Criteria!$B$36),"NOTE: BCA lists sewer manholes (pipe &lt;= 2 m dia) &gt; 6 m as non-GBW: QP(ST) + AC. ","")&amp;IF(AND(D216="Trench Shoring Box",I216="Kallang Formation (marine clay)"),"NOTE: check base heave / ground loss for shoring box in marine clay. ","")&amp;IF(AND(D216="Steel Sheet Pile Cofferdam",N(N216)&lt;H216*0.5),"NOTE: short toe embedment, check. ","")))</f>
        <v/>
      </c>
      <c r="BC216" s="9"/>
      <c r="BD216" s="9"/>
      <c r="BE216" s="9"/>
      <c r="BF216" s="10" t="str">
        <f aca="false">IF(BE216="","",IFERROR(VLOOKUP(BE216,Projects!$A$5:$D$504,2,0),"Ref not in Projects"))</f>
        <v/>
      </c>
      <c r="BG216" s="10" t="str">
        <f aca="false">IF(BE216="","",IFERROR(VLOOKUP(BE216,Projects!$A$5:$D$504,4,0),"Ref not in Projects"))</f>
        <v/>
      </c>
      <c r="BH216" s="9"/>
      <c r="BI216" s="9"/>
      <c r="BJ216" s="9"/>
      <c r="BK216" s="40"/>
      <c r="BL216" s="9"/>
      <c r="BM216" s="40"/>
      <c r="BN216" s="9"/>
      <c r="BO216" s="40"/>
      <c r="BP216" s="9"/>
      <c r="BQ216" s="9"/>
      <c r="BR216" s="9"/>
      <c r="BS216" s="40"/>
      <c r="BT216" s="40"/>
      <c r="BU216" s="36" t="str">
        <f aca="false">IF(BT216="","",EDATE(BT216,SG_Criteria!$B$54*12))</f>
        <v/>
      </c>
      <c r="BV216" s="33" t="str">
        <f aca="true">IF(A216="","",IF(BT216="","NOTE: not reviewed yet",IF(TODAY()&gt;BU216,"NOTE: review overdue","OK")))</f>
        <v/>
      </c>
      <c r="BW216" s="37" t="str">
        <f aca="false">IF(A216="","",ROUND((IF(LEN(D216)&gt;0,1,0)+IF(LEN(E216)&gt;0,1,0)+IF(LEN(F216)&gt;0,1,0)+IF(LEN(G216)&gt;0,1,0)+IF(LEN(H216)&gt;0,1,0)+IF(LEN(I216)&gt;0,1,0)+IF(LEN(J216)&gt;0,1,0)+IF(LEN(L216)&gt;0,1,0)+IF(LEN(R216)&gt;0,1,0)+IF(LEN(Y216)&gt;0,1,0)+IF(LEN(AE216)&gt;0,1,0)+IF(LEN(AG216)&gt;0,1,0)+IF(LEN(AH216)&gt;0,1,0)+IF(LEN(AI216)&gt;0,1,0)+IF(LEN(AJ216)&gt;0,1,0)+IF(LEN(AS216)&gt;0,1,0)+IF(LEN(BE216)&gt;0,1,0)+IF(LEN(BR216)&gt;0,1,0))/18,2))</f>
        <v/>
      </c>
      <c r="BX216" s="10" t="str">
        <f aca="false">IF(D216="","",IF(AND(AH216="Approved",ISERROR(SEARCH("FAIL",BB216))),"Y","N"))</f>
        <v/>
      </c>
      <c r="BY216" s="10" t="str">
        <f aca="false">IF(D216="","",D216&amp;"|"&amp;H216&amp;"|"&amp;F216&amp;"|"&amp;I216&amp;"|"&amp;BX216)</f>
        <v/>
      </c>
    </row>
    <row r="217" customFormat="false" ht="15" hidden="false" customHeight="false" outlineLevel="0" collapsed="false">
      <c r="A217" s="10" t="str">
        <f aca="false">IF(D217="","","ERSS-"&amp;IFERROR(VLOOKUP(D217,Lists!$AK$4:$AL$21,2,0),"??")&amp;"-"&amp;TEXT(F217,"0000")&amp;"x"&amp;TEXT(G217,"0000")&amp;"-D"&amp;TEXT(H217*1000,"0000")&amp;"-"&amp;IFERROR(VLOOKUP(I217,Lists!$Y$4:$Z$21,2,0),"??")&amp;"-"&amp;AG217)</f>
        <v/>
      </c>
      <c r="B217" s="10" t="str">
        <f aca="false">IF(D217="","",D217&amp;" for "&amp;E217&amp;", "&amp;F217&amp;" x "&amp;G217&amp;" pit, "&amp;TEXT(H217,"0.0")&amp;" m deep, "&amp;I217)</f>
        <v/>
      </c>
      <c r="C217" s="9"/>
      <c r="D217" s="9"/>
      <c r="E217" s="9"/>
      <c r="F217" s="38"/>
      <c r="G217" s="38"/>
      <c r="H217" s="42"/>
      <c r="I217" s="9"/>
      <c r="J217" s="42"/>
      <c r="K217" s="38"/>
      <c r="L217" s="9"/>
      <c r="M217" s="42"/>
      <c r="N217" s="42"/>
      <c r="O217" s="38"/>
      <c r="P217" s="9"/>
      <c r="Q217" s="9"/>
      <c r="R217" s="39"/>
      <c r="S217" s="39"/>
      <c r="T217" s="38"/>
      <c r="U217" s="38"/>
      <c r="V217" s="38"/>
      <c r="W217" s="9"/>
      <c r="X217" s="9"/>
      <c r="Y217" s="38"/>
      <c r="Z217" s="9"/>
      <c r="AA217" s="9"/>
      <c r="AB217" s="38"/>
      <c r="AC217" s="9"/>
      <c r="AD217" s="39"/>
      <c r="AE217" s="9"/>
      <c r="AF217" s="9"/>
      <c r="AG217" s="9"/>
      <c r="AH217" s="9"/>
      <c r="AI217" s="9"/>
      <c r="AJ217" s="9"/>
      <c r="AK217" s="9"/>
      <c r="AL217" s="10" t="str">
        <f aca="false">IF(A217="","",SG_Criteria!$B$6&amp;SG_Criteria!$B$11&amp;"\"&amp;A217&amp;"\")</f>
        <v/>
      </c>
      <c r="AM217" s="10" t="str">
        <f aca="false">IF(A217="","",A217&amp;"_CAD.dwg")</f>
        <v/>
      </c>
      <c r="AN217" s="10" t="str">
        <f aca="false">IF(A217="","",A217&amp;"_DWG.pdf")</f>
        <v/>
      </c>
      <c r="AO217" s="10" t="str">
        <f aca="false">IF(A217="","",IF(AK217="Y",A217&amp;"_STAAD.std","n/a"))</f>
        <v/>
      </c>
      <c r="AP217" s="10" t="str">
        <f aca="false">IF(A217="","",A217&amp;"_CALC.xlsx")</f>
        <v/>
      </c>
      <c r="AQ217" s="10" t="str">
        <f aca="false">IF(A217="","",A217&amp;"_CALC.pdf")</f>
        <v/>
      </c>
      <c r="AR217" s="9"/>
      <c r="AS217" s="9"/>
      <c r="AT217" s="39"/>
      <c r="AU217" s="39"/>
      <c r="AV217" s="39"/>
      <c r="AW217" s="39"/>
      <c r="AX217" s="39"/>
      <c r="AY217" s="12" t="str">
        <f aca="false">IF(A217="","",IF(COUNTIF(Rebar_Schedule!$A$5:$A$2004,A217)=0,"",ROUND(SUMIF(Rebar_Schedule!$A$5:$A$2004,A217,Rebar_Schedule!$K$5:$K$2004),1)))</f>
        <v/>
      </c>
      <c r="AZ217" s="33" t="str">
        <f aca="false">IF(A217="","",IF(AY217="","No rebar schedule yet",IF(ABS(AY217-N(AU217))/MAX(N(AU217),1)&gt;SG_Criteria!$B$55,"NOTE: register rebar differs from schedule by "&amp;TEXT(ABS(AY217-N(AU217))/MAX(N(AU217),1),"0%"),"OK")))</f>
        <v/>
      </c>
      <c r="BA217" s="33" t="str">
        <f aca="false">IF(OR(D217="",H217=""),"",IF(H217&lt;=IF(OR(D217="Soldier Pile &amp; Timber Lagging",D217="Trench Shoring Box",D217="Open Cut (battered)"),SG_Criteria!$B$34,SG_Criteria!$B$33),"No ERSS submission",IF(H217&lt;=SG_Criteria!$B$35,"QP(ST)",IF(H217&lt;=SG_Criteria!$B$36,"QP(ST) + AC","Geotechnical building works: QP(Geo) + AC"))))</f>
        <v/>
      </c>
      <c r="BB217" s="33" t="str">
        <f aca="false">IF(D217="","",IF(LEN(IF(AND(R217&lt;&gt;"",R217&lt;SG_Criteria!$B$37),"FAIL: base stability FOS &lt; "&amp;SG_Criteria!$B$37&amp;". ","")&amp;IF(AND(E217="Manhole",H217&gt;SG_Criteria!$B$36),"NOTE: BCA lists sewer manholes (pipe &lt;= 2 m dia) &gt; 6 m as non-GBW: QP(ST) + AC. ","")&amp;IF(AND(D217="Trench Shoring Box",I217="Kallang Formation (marine clay)"),"NOTE: check base heave / ground loss for shoring box in marine clay. ","")&amp;IF(AND(D217="Steel Sheet Pile Cofferdam",N(N217)&lt;H217*0.5),"NOTE: short toe embedment, check. ",""))=0,"OK",IF(AND(R217&lt;&gt;"",R217&lt;SG_Criteria!$B$37),"FAIL: base stability FOS &lt; "&amp;SG_Criteria!$B$37&amp;". ","")&amp;IF(AND(E217="Manhole",H217&gt;SG_Criteria!$B$36),"NOTE: BCA lists sewer manholes (pipe &lt;= 2 m dia) &gt; 6 m as non-GBW: QP(ST) + AC. ","")&amp;IF(AND(D217="Trench Shoring Box",I217="Kallang Formation (marine clay)"),"NOTE: check base heave / ground loss for shoring box in marine clay. ","")&amp;IF(AND(D217="Steel Sheet Pile Cofferdam",N(N217)&lt;H217*0.5),"NOTE: short toe embedment, check. ","")))</f>
        <v/>
      </c>
      <c r="BC217" s="9"/>
      <c r="BD217" s="9"/>
      <c r="BE217" s="9"/>
      <c r="BF217" s="10" t="str">
        <f aca="false">IF(BE217="","",IFERROR(VLOOKUP(BE217,Projects!$A$5:$D$504,2,0),"Ref not in Projects"))</f>
        <v/>
      </c>
      <c r="BG217" s="10" t="str">
        <f aca="false">IF(BE217="","",IFERROR(VLOOKUP(BE217,Projects!$A$5:$D$504,4,0),"Ref not in Projects"))</f>
        <v/>
      </c>
      <c r="BH217" s="9"/>
      <c r="BI217" s="9"/>
      <c r="BJ217" s="9"/>
      <c r="BK217" s="40"/>
      <c r="BL217" s="9"/>
      <c r="BM217" s="40"/>
      <c r="BN217" s="9"/>
      <c r="BO217" s="40"/>
      <c r="BP217" s="9"/>
      <c r="BQ217" s="9"/>
      <c r="BR217" s="9"/>
      <c r="BS217" s="40"/>
      <c r="BT217" s="40"/>
      <c r="BU217" s="36" t="str">
        <f aca="false">IF(BT217="","",EDATE(BT217,SG_Criteria!$B$54*12))</f>
        <v/>
      </c>
      <c r="BV217" s="33" t="str">
        <f aca="true">IF(A217="","",IF(BT217="","NOTE: not reviewed yet",IF(TODAY()&gt;BU217,"NOTE: review overdue","OK")))</f>
        <v/>
      </c>
      <c r="BW217" s="37" t="str">
        <f aca="false">IF(A217="","",ROUND((IF(LEN(D217)&gt;0,1,0)+IF(LEN(E217)&gt;0,1,0)+IF(LEN(F217)&gt;0,1,0)+IF(LEN(G217)&gt;0,1,0)+IF(LEN(H217)&gt;0,1,0)+IF(LEN(I217)&gt;0,1,0)+IF(LEN(J217)&gt;0,1,0)+IF(LEN(L217)&gt;0,1,0)+IF(LEN(R217)&gt;0,1,0)+IF(LEN(Y217)&gt;0,1,0)+IF(LEN(AE217)&gt;0,1,0)+IF(LEN(AG217)&gt;0,1,0)+IF(LEN(AH217)&gt;0,1,0)+IF(LEN(AI217)&gt;0,1,0)+IF(LEN(AJ217)&gt;0,1,0)+IF(LEN(AS217)&gt;0,1,0)+IF(LEN(BE217)&gt;0,1,0)+IF(LEN(BR217)&gt;0,1,0))/18,2))</f>
        <v/>
      </c>
      <c r="BX217" s="10" t="str">
        <f aca="false">IF(D217="","",IF(AND(AH217="Approved",ISERROR(SEARCH("FAIL",BB217))),"Y","N"))</f>
        <v/>
      </c>
      <c r="BY217" s="10" t="str">
        <f aca="false">IF(D217="","",D217&amp;"|"&amp;H217&amp;"|"&amp;F217&amp;"|"&amp;I217&amp;"|"&amp;BX217)</f>
        <v/>
      </c>
    </row>
    <row r="218" customFormat="false" ht="15" hidden="false" customHeight="false" outlineLevel="0" collapsed="false">
      <c r="A218" s="10" t="str">
        <f aca="false">IF(D218="","","ERSS-"&amp;IFERROR(VLOOKUP(D218,Lists!$AK$4:$AL$21,2,0),"??")&amp;"-"&amp;TEXT(F218,"0000")&amp;"x"&amp;TEXT(G218,"0000")&amp;"-D"&amp;TEXT(H218*1000,"0000")&amp;"-"&amp;IFERROR(VLOOKUP(I218,Lists!$Y$4:$Z$21,2,0),"??")&amp;"-"&amp;AG218)</f>
        <v/>
      </c>
      <c r="B218" s="10" t="str">
        <f aca="false">IF(D218="","",D218&amp;" for "&amp;E218&amp;", "&amp;F218&amp;" x "&amp;G218&amp;" pit, "&amp;TEXT(H218,"0.0")&amp;" m deep, "&amp;I218)</f>
        <v/>
      </c>
      <c r="C218" s="9"/>
      <c r="D218" s="9"/>
      <c r="E218" s="9"/>
      <c r="F218" s="38"/>
      <c r="G218" s="38"/>
      <c r="H218" s="42"/>
      <c r="I218" s="9"/>
      <c r="J218" s="42"/>
      <c r="K218" s="38"/>
      <c r="L218" s="9"/>
      <c r="M218" s="42"/>
      <c r="N218" s="42"/>
      <c r="O218" s="38"/>
      <c r="P218" s="9"/>
      <c r="Q218" s="9"/>
      <c r="R218" s="39"/>
      <c r="S218" s="39"/>
      <c r="T218" s="38"/>
      <c r="U218" s="38"/>
      <c r="V218" s="38"/>
      <c r="W218" s="9"/>
      <c r="X218" s="9"/>
      <c r="Y218" s="38"/>
      <c r="Z218" s="9"/>
      <c r="AA218" s="9"/>
      <c r="AB218" s="38"/>
      <c r="AC218" s="9"/>
      <c r="AD218" s="39"/>
      <c r="AE218" s="9"/>
      <c r="AF218" s="9"/>
      <c r="AG218" s="9"/>
      <c r="AH218" s="9"/>
      <c r="AI218" s="9"/>
      <c r="AJ218" s="9"/>
      <c r="AK218" s="9"/>
      <c r="AL218" s="10" t="str">
        <f aca="false">IF(A218="","",SG_Criteria!$B$6&amp;SG_Criteria!$B$11&amp;"\"&amp;A218&amp;"\")</f>
        <v/>
      </c>
      <c r="AM218" s="10" t="str">
        <f aca="false">IF(A218="","",A218&amp;"_CAD.dwg")</f>
        <v/>
      </c>
      <c r="AN218" s="10" t="str">
        <f aca="false">IF(A218="","",A218&amp;"_DWG.pdf")</f>
        <v/>
      </c>
      <c r="AO218" s="10" t="str">
        <f aca="false">IF(A218="","",IF(AK218="Y",A218&amp;"_STAAD.std","n/a"))</f>
        <v/>
      </c>
      <c r="AP218" s="10" t="str">
        <f aca="false">IF(A218="","",A218&amp;"_CALC.xlsx")</f>
        <v/>
      </c>
      <c r="AQ218" s="10" t="str">
        <f aca="false">IF(A218="","",A218&amp;"_CALC.pdf")</f>
        <v/>
      </c>
      <c r="AR218" s="9"/>
      <c r="AS218" s="9"/>
      <c r="AT218" s="39"/>
      <c r="AU218" s="39"/>
      <c r="AV218" s="39"/>
      <c r="AW218" s="39"/>
      <c r="AX218" s="39"/>
      <c r="AY218" s="12" t="str">
        <f aca="false">IF(A218="","",IF(COUNTIF(Rebar_Schedule!$A$5:$A$2004,A218)=0,"",ROUND(SUMIF(Rebar_Schedule!$A$5:$A$2004,A218,Rebar_Schedule!$K$5:$K$2004),1)))</f>
        <v/>
      </c>
      <c r="AZ218" s="33" t="str">
        <f aca="false">IF(A218="","",IF(AY218="","No rebar schedule yet",IF(ABS(AY218-N(AU218))/MAX(N(AU218),1)&gt;SG_Criteria!$B$55,"NOTE: register rebar differs from schedule by "&amp;TEXT(ABS(AY218-N(AU218))/MAX(N(AU218),1),"0%"),"OK")))</f>
        <v/>
      </c>
      <c r="BA218" s="33" t="str">
        <f aca="false">IF(OR(D218="",H218=""),"",IF(H218&lt;=IF(OR(D218="Soldier Pile &amp; Timber Lagging",D218="Trench Shoring Box",D218="Open Cut (battered)"),SG_Criteria!$B$34,SG_Criteria!$B$33),"No ERSS submission",IF(H218&lt;=SG_Criteria!$B$35,"QP(ST)",IF(H218&lt;=SG_Criteria!$B$36,"QP(ST) + AC","Geotechnical building works: QP(Geo) + AC"))))</f>
        <v/>
      </c>
      <c r="BB218" s="33" t="str">
        <f aca="false">IF(D218="","",IF(LEN(IF(AND(R218&lt;&gt;"",R218&lt;SG_Criteria!$B$37),"FAIL: base stability FOS &lt; "&amp;SG_Criteria!$B$37&amp;". ","")&amp;IF(AND(E218="Manhole",H218&gt;SG_Criteria!$B$36),"NOTE: BCA lists sewer manholes (pipe &lt;= 2 m dia) &gt; 6 m as non-GBW: QP(ST) + AC. ","")&amp;IF(AND(D218="Trench Shoring Box",I218="Kallang Formation (marine clay)"),"NOTE: check base heave / ground loss for shoring box in marine clay. ","")&amp;IF(AND(D218="Steel Sheet Pile Cofferdam",N(N218)&lt;H218*0.5),"NOTE: short toe embedment, check. ",""))=0,"OK",IF(AND(R218&lt;&gt;"",R218&lt;SG_Criteria!$B$37),"FAIL: base stability FOS &lt; "&amp;SG_Criteria!$B$37&amp;". ","")&amp;IF(AND(E218="Manhole",H218&gt;SG_Criteria!$B$36),"NOTE: BCA lists sewer manholes (pipe &lt;= 2 m dia) &gt; 6 m as non-GBW: QP(ST) + AC. ","")&amp;IF(AND(D218="Trench Shoring Box",I218="Kallang Formation (marine clay)"),"NOTE: check base heave / ground loss for shoring box in marine clay. ","")&amp;IF(AND(D218="Steel Sheet Pile Cofferdam",N(N218)&lt;H218*0.5),"NOTE: short toe embedment, check. ","")))</f>
        <v/>
      </c>
      <c r="BC218" s="9"/>
      <c r="BD218" s="9"/>
      <c r="BE218" s="9"/>
      <c r="BF218" s="10" t="str">
        <f aca="false">IF(BE218="","",IFERROR(VLOOKUP(BE218,Projects!$A$5:$D$504,2,0),"Ref not in Projects"))</f>
        <v/>
      </c>
      <c r="BG218" s="10" t="str">
        <f aca="false">IF(BE218="","",IFERROR(VLOOKUP(BE218,Projects!$A$5:$D$504,4,0),"Ref not in Projects"))</f>
        <v/>
      </c>
      <c r="BH218" s="9"/>
      <c r="BI218" s="9"/>
      <c r="BJ218" s="9"/>
      <c r="BK218" s="40"/>
      <c r="BL218" s="9"/>
      <c r="BM218" s="40"/>
      <c r="BN218" s="9"/>
      <c r="BO218" s="40"/>
      <c r="BP218" s="9"/>
      <c r="BQ218" s="9"/>
      <c r="BR218" s="9"/>
      <c r="BS218" s="40"/>
      <c r="BT218" s="40"/>
      <c r="BU218" s="36" t="str">
        <f aca="false">IF(BT218="","",EDATE(BT218,SG_Criteria!$B$54*12))</f>
        <v/>
      </c>
      <c r="BV218" s="33" t="str">
        <f aca="true">IF(A218="","",IF(BT218="","NOTE: not reviewed yet",IF(TODAY()&gt;BU218,"NOTE: review overdue","OK")))</f>
        <v/>
      </c>
      <c r="BW218" s="37" t="str">
        <f aca="false">IF(A218="","",ROUND((IF(LEN(D218)&gt;0,1,0)+IF(LEN(E218)&gt;0,1,0)+IF(LEN(F218)&gt;0,1,0)+IF(LEN(G218)&gt;0,1,0)+IF(LEN(H218)&gt;0,1,0)+IF(LEN(I218)&gt;0,1,0)+IF(LEN(J218)&gt;0,1,0)+IF(LEN(L218)&gt;0,1,0)+IF(LEN(R218)&gt;0,1,0)+IF(LEN(Y218)&gt;0,1,0)+IF(LEN(AE218)&gt;0,1,0)+IF(LEN(AG218)&gt;0,1,0)+IF(LEN(AH218)&gt;0,1,0)+IF(LEN(AI218)&gt;0,1,0)+IF(LEN(AJ218)&gt;0,1,0)+IF(LEN(AS218)&gt;0,1,0)+IF(LEN(BE218)&gt;0,1,0)+IF(LEN(BR218)&gt;0,1,0))/18,2))</f>
        <v/>
      </c>
      <c r="BX218" s="10" t="str">
        <f aca="false">IF(D218="","",IF(AND(AH218="Approved",ISERROR(SEARCH("FAIL",BB218))),"Y","N"))</f>
        <v/>
      </c>
      <c r="BY218" s="10" t="str">
        <f aca="false">IF(D218="","",D218&amp;"|"&amp;H218&amp;"|"&amp;F218&amp;"|"&amp;I218&amp;"|"&amp;BX218)</f>
        <v/>
      </c>
    </row>
    <row r="219" customFormat="false" ht="15" hidden="false" customHeight="false" outlineLevel="0" collapsed="false">
      <c r="A219" s="10" t="str">
        <f aca="false">IF(D219="","","ERSS-"&amp;IFERROR(VLOOKUP(D219,Lists!$AK$4:$AL$21,2,0),"??")&amp;"-"&amp;TEXT(F219,"0000")&amp;"x"&amp;TEXT(G219,"0000")&amp;"-D"&amp;TEXT(H219*1000,"0000")&amp;"-"&amp;IFERROR(VLOOKUP(I219,Lists!$Y$4:$Z$21,2,0),"??")&amp;"-"&amp;AG219)</f>
        <v/>
      </c>
      <c r="B219" s="10" t="str">
        <f aca="false">IF(D219="","",D219&amp;" for "&amp;E219&amp;", "&amp;F219&amp;" x "&amp;G219&amp;" pit, "&amp;TEXT(H219,"0.0")&amp;" m deep, "&amp;I219)</f>
        <v/>
      </c>
      <c r="C219" s="9"/>
      <c r="D219" s="9"/>
      <c r="E219" s="9"/>
      <c r="F219" s="38"/>
      <c r="G219" s="38"/>
      <c r="H219" s="42"/>
      <c r="I219" s="9"/>
      <c r="J219" s="42"/>
      <c r="K219" s="38"/>
      <c r="L219" s="9"/>
      <c r="M219" s="42"/>
      <c r="N219" s="42"/>
      <c r="O219" s="38"/>
      <c r="P219" s="9"/>
      <c r="Q219" s="9"/>
      <c r="R219" s="39"/>
      <c r="S219" s="39"/>
      <c r="T219" s="38"/>
      <c r="U219" s="38"/>
      <c r="V219" s="38"/>
      <c r="W219" s="9"/>
      <c r="X219" s="9"/>
      <c r="Y219" s="38"/>
      <c r="Z219" s="9"/>
      <c r="AA219" s="9"/>
      <c r="AB219" s="38"/>
      <c r="AC219" s="9"/>
      <c r="AD219" s="39"/>
      <c r="AE219" s="9"/>
      <c r="AF219" s="9"/>
      <c r="AG219" s="9"/>
      <c r="AH219" s="9"/>
      <c r="AI219" s="9"/>
      <c r="AJ219" s="9"/>
      <c r="AK219" s="9"/>
      <c r="AL219" s="10" t="str">
        <f aca="false">IF(A219="","",SG_Criteria!$B$6&amp;SG_Criteria!$B$11&amp;"\"&amp;A219&amp;"\")</f>
        <v/>
      </c>
      <c r="AM219" s="10" t="str">
        <f aca="false">IF(A219="","",A219&amp;"_CAD.dwg")</f>
        <v/>
      </c>
      <c r="AN219" s="10" t="str">
        <f aca="false">IF(A219="","",A219&amp;"_DWG.pdf")</f>
        <v/>
      </c>
      <c r="AO219" s="10" t="str">
        <f aca="false">IF(A219="","",IF(AK219="Y",A219&amp;"_STAAD.std","n/a"))</f>
        <v/>
      </c>
      <c r="AP219" s="10" t="str">
        <f aca="false">IF(A219="","",A219&amp;"_CALC.xlsx")</f>
        <v/>
      </c>
      <c r="AQ219" s="10" t="str">
        <f aca="false">IF(A219="","",A219&amp;"_CALC.pdf")</f>
        <v/>
      </c>
      <c r="AR219" s="9"/>
      <c r="AS219" s="9"/>
      <c r="AT219" s="39"/>
      <c r="AU219" s="39"/>
      <c r="AV219" s="39"/>
      <c r="AW219" s="39"/>
      <c r="AX219" s="39"/>
      <c r="AY219" s="12" t="str">
        <f aca="false">IF(A219="","",IF(COUNTIF(Rebar_Schedule!$A$5:$A$2004,A219)=0,"",ROUND(SUMIF(Rebar_Schedule!$A$5:$A$2004,A219,Rebar_Schedule!$K$5:$K$2004),1)))</f>
        <v/>
      </c>
      <c r="AZ219" s="33" t="str">
        <f aca="false">IF(A219="","",IF(AY219="","No rebar schedule yet",IF(ABS(AY219-N(AU219))/MAX(N(AU219),1)&gt;SG_Criteria!$B$55,"NOTE: register rebar differs from schedule by "&amp;TEXT(ABS(AY219-N(AU219))/MAX(N(AU219),1),"0%"),"OK")))</f>
        <v/>
      </c>
      <c r="BA219" s="33" t="str">
        <f aca="false">IF(OR(D219="",H219=""),"",IF(H219&lt;=IF(OR(D219="Soldier Pile &amp; Timber Lagging",D219="Trench Shoring Box",D219="Open Cut (battered)"),SG_Criteria!$B$34,SG_Criteria!$B$33),"No ERSS submission",IF(H219&lt;=SG_Criteria!$B$35,"QP(ST)",IF(H219&lt;=SG_Criteria!$B$36,"QP(ST) + AC","Geotechnical building works: QP(Geo) + AC"))))</f>
        <v/>
      </c>
      <c r="BB219" s="33" t="str">
        <f aca="false">IF(D219="","",IF(LEN(IF(AND(R219&lt;&gt;"",R219&lt;SG_Criteria!$B$37),"FAIL: base stability FOS &lt; "&amp;SG_Criteria!$B$37&amp;". ","")&amp;IF(AND(E219="Manhole",H219&gt;SG_Criteria!$B$36),"NOTE: BCA lists sewer manholes (pipe &lt;= 2 m dia) &gt; 6 m as non-GBW: QP(ST) + AC. ","")&amp;IF(AND(D219="Trench Shoring Box",I219="Kallang Formation (marine clay)"),"NOTE: check base heave / ground loss for shoring box in marine clay. ","")&amp;IF(AND(D219="Steel Sheet Pile Cofferdam",N(N219)&lt;H219*0.5),"NOTE: short toe embedment, check. ",""))=0,"OK",IF(AND(R219&lt;&gt;"",R219&lt;SG_Criteria!$B$37),"FAIL: base stability FOS &lt; "&amp;SG_Criteria!$B$37&amp;". ","")&amp;IF(AND(E219="Manhole",H219&gt;SG_Criteria!$B$36),"NOTE: BCA lists sewer manholes (pipe &lt;= 2 m dia) &gt; 6 m as non-GBW: QP(ST) + AC. ","")&amp;IF(AND(D219="Trench Shoring Box",I219="Kallang Formation (marine clay)"),"NOTE: check base heave / ground loss for shoring box in marine clay. ","")&amp;IF(AND(D219="Steel Sheet Pile Cofferdam",N(N219)&lt;H219*0.5),"NOTE: short toe embedment, check. ","")))</f>
        <v/>
      </c>
      <c r="BC219" s="9"/>
      <c r="BD219" s="9"/>
      <c r="BE219" s="9"/>
      <c r="BF219" s="10" t="str">
        <f aca="false">IF(BE219="","",IFERROR(VLOOKUP(BE219,Projects!$A$5:$D$504,2,0),"Ref not in Projects"))</f>
        <v/>
      </c>
      <c r="BG219" s="10" t="str">
        <f aca="false">IF(BE219="","",IFERROR(VLOOKUP(BE219,Projects!$A$5:$D$504,4,0),"Ref not in Projects"))</f>
        <v/>
      </c>
      <c r="BH219" s="9"/>
      <c r="BI219" s="9"/>
      <c r="BJ219" s="9"/>
      <c r="BK219" s="40"/>
      <c r="BL219" s="9"/>
      <c r="BM219" s="40"/>
      <c r="BN219" s="9"/>
      <c r="BO219" s="40"/>
      <c r="BP219" s="9"/>
      <c r="BQ219" s="9"/>
      <c r="BR219" s="9"/>
      <c r="BS219" s="40"/>
      <c r="BT219" s="40"/>
      <c r="BU219" s="36" t="str">
        <f aca="false">IF(BT219="","",EDATE(BT219,SG_Criteria!$B$54*12))</f>
        <v/>
      </c>
      <c r="BV219" s="33" t="str">
        <f aca="true">IF(A219="","",IF(BT219="","NOTE: not reviewed yet",IF(TODAY()&gt;BU219,"NOTE: review overdue","OK")))</f>
        <v/>
      </c>
      <c r="BW219" s="37" t="str">
        <f aca="false">IF(A219="","",ROUND((IF(LEN(D219)&gt;0,1,0)+IF(LEN(E219)&gt;0,1,0)+IF(LEN(F219)&gt;0,1,0)+IF(LEN(G219)&gt;0,1,0)+IF(LEN(H219)&gt;0,1,0)+IF(LEN(I219)&gt;0,1,0)+IF(LEN(J219)&gt;0,1,0)+IF(LEN(L219)&gt;0,1,0)+IF(LEN(R219)&gt;0,1,0)+IF(LEN(Y219)&gt;0,1,0)+IF(LEN(AE219)&gt;0,1,0)+IF(LEN(AG219)&gt;0,1,0)+IF(LEN(AH219)&gt;0,1,0)+IF(LEN(AI219)&gt;0,1,0)+IF(LEN(AJ219)&gt;0,1,0)+IF(LEN(AS219)&gt;0,1,0)+IF(LEN(BE219)&gt;0,1,0)+IF(LEN(BR219)&gt;0,1,0))/18,2))</f>
        <v/>
      </c>
      <c r="BX219" s="10" t="str">
        <f aca="false">IF(D219="","",IF(AND(AH219="Approved",ISERROR(SEARCH("FAIL",BB219))),"Y","N"))</f>
        <v/>
      </c>
      <c r="BY219" s="10" t="str">
        <f aca="false">IF(D219="","",D219&amp;"|"&amp;H219&amp;"|"&amp;F219&amp;"|"&amp;I219&amp;"|"&amp;BX219)</f>
        <v/>
      </c>
    </row>
    <row r="220" customFormat="false" ht="15" hidden="false" customHeight="false" outlineLevel="0" collapsed="false">
      <c r="A220" s="10" t="str">
        <f aca="false">IF(D220="","","ERSS-"&amp;IFERROR(VLOOKUP(D220,Lists!$AK$4:$AL$21,2,0),"??")&amp;"-"&amp;TEXT(F220,"0000")&amp;"x"&amp;TEXT(G220,"0000")&amp;"-D"&amp;TEXT(H220*1000,"0000")&amp;"-"&amp;IFERROR(VLOOKUP(I220,Lists!$Y$4:$Z$21,2,0),"??")&amp;"-"&amp;AG220)</f>
        <v/>
      </c>
      <c r="B220" s="10" t="str">
        <f aca="false">IF(D220="","",D220&amp;" for "&amp;E220&amp;", "&amp;F220&amp;" x "&amp;G220&amp;" pit, "&amp;TEXT(H220,"0.0")&amp;" m deep, "&amp;I220)</f>
        <v/>
      </c>
      <c r="C220" s="9"/>
      <c r="D220" s="9"/>
      <c r="E220" s="9"/>
      <c r="F220" s="38"/>
      <c r="G220" s="38"/>
      <c r="H220" s="42"/>
      <c r="I220" s="9"/>
      <c r="J220" s="42"/>
      <c r="K220" s="38"/>
      <c r="L220" s="9"/>
      <c r="M220" s="42"/>
      <c r="N220" s="42"/>
      <c r="O220" s="38"/>
      <c r="P220" s="9"/>
      <c r="Q220" s="9"/>
      <c r="R220" s="39"/>
      <c r="S220" s="39"/>
      <c r="T220" s="38"/>
      <c r="U220" s="38"/>
      <c r="V220" s="38"/>
      <c r="W220" s="9"/>
      <c r="X220" s="9"/>
      <c r="Y220" s="38"/>
      <c r="Z220" s="9"/>
      <c r="AA220" s="9"/>
      <c r="AB220" s="38"/>
      <c r="AC220" s="9"/>
      <c r="AD220" s="39"/>
      <c r="AE220" s="9"/>
      <c r="AF220" s="9"/>
      <c r="AG220" s="9"/>
      <c r="AH220" s="9"/>
      <c r="AI220" s="9"/>
      <c r="AJ220" s="9"/>
      <c r="AK220" s="9"/>
      <c r="AL220" s="10" t="str">
        <f aca="false">IF(A220="","",SG_Criteria!$B$6&amp;SG_Criteria!$B$11&amp;"\"&amp;A220&amp;"\")</f>
        <v/>
      </c>
      <c r="AM220" s="10" t="str">
        <f aca="false">IF(A220="","",A220&amp;"_CAD.dwg")</f>
        <v/>
      </c>
      <c r="AN220" s="10" t="str">
        <f aca="false">IF(A220="","",A220&amp;"_DWG.pdf")</f>
        <v/>
      </c>
      <c r="AO220" s="10" t="str">
        <f aca="false">IF(A220="","",IF(AK220="Y",A220&amp;"_STAAD.std","n/a"))</f>
        <v/>
      </c>
      <c r="AP220" s="10" t="str">
        <f aca="false">IF(A220="","",A220&amp;"_CALC.xlsx")</f>
        <v/>
      </c>
      <c r="AQ220" s="10" t="str">
        <f aca="false">IF(A220="","",A220&amp;"_CALC.pdf")</f>
        <v/>
      </c>
      <c r="AR220" s="9"/>
      <c r="AS220" s="9"/>
      <c r="AT220" s="39"/>
      <c r="AU220" s="39"/>
      <c r="AV220" s="39"/>
      <c r="AW220" s="39"/>
      <c r="AX220" s="39"/>
      <c r="AY220" s="12" t="str">
        <f aca="false">IF(A220="","",IF(COUNTIF(Rebar_Schedule!$A$5:$A$2004,A220)=0,"",ROUND(SUMIF(Rebar_Schedule!$A$5:$A$2004,A220,Rebar_Schedule!$K$5:$K$2004),1)))</f>
        <v/>
      </c>
      <c r="AZ220" s="33" t="str">
        <f aca="false">IF(A220="","",IF(AY220="","No rebar schedule yet",IF(ABS(AY220-N(AU220))/MAX(N(AU220),1)&gt;SG_Criteria!$B$55,"NOTE: register rebar differs from schedule by "&amp;TEXT(ABS(AY220-N(AU220))/MAX(N(AU220),1),"0%"),"OK")))</f>
        <v/>
      </c>
      <c r="BA220" s="33" t="str">
        <f aca="false">IF(OR(D220="",H220=""),"",IF(H220&lt;=IF(OR(D220="Soldier Pile &amp; Timber Lagging",D220="Trench Shoring Box",D220="Open Cut (battered)"),SG_Criteria!$B$34,SG_Criteria!$B$33),"No ERSS submission",IF(H220&lt;=SG_Criteria!$B$35,"QP(ST)",IF(H220&lt;=SG_Criteria!$B$36,"QP(ST) + AC","Geotechnical building works: QP(Geo) + AC"))))</f>
        <v/>
      </c>
      <c r="BB220" s="33" t="str">
        <f aca="false">IF(D220="","",IF(LEN(IF(AND(R220&lt;&gt;"",R220&lt;SG_Criteria!$B$37),"FAIL: base stability FOS &lt; "&amp;SG_Criteria!$B$37&amp;". ","")&amp;IF(AND(E220="Manhole",H220&gt;SG_Criteria!$B$36),"NOTE: BCA lists sewer manholes (pipe &lt;= 2 m dia) &gt; 6 m as non-GBW: QP(ST) + AC. ","")&amp;IF(AND(D220="Trench Shoring Box",I220="Kallang Formation (marine clay)"),"NOTE: check base heave / ground loss for shoring box in marine clay. ","")&amp;IF(AND(D220="Steel Sheet Pile Cofferdam",N(N220)&lt;H220*0.5),"NOTE: short toe embedment, check. ",""))=0,"OK",IF(AND(R220&lt;&gt;"",R220&lt;SG_Criteria!$B$37),"FAIL: base stability FOS &lt; "&amp;SG_Criteria!$B$37&amp;". ","")&amp;IF(AND(E220="Manhole",H220&gt;SG_Criteria!$B$36),"NOTE: BCA lists sewer manholes (pipe &lt;= 2 m dia) &gt; 6 m as non-GBW: QP(ST) + AC. ","")&amp;IF(AND(D220="Trench Shoring Box",I220="Kallang Formation (marine clay)"),"NOTE: check base heave / ground loss for shoring box in marine clay. ","")&amp;IF(AND(D220="Steel Sheet Pile Cofferdam",N(N220)&lt;H220*0.5),"NOTE: short toe embedment, check. ","")))</f>
        <v/>
      </c>
      <c r="BC220" s="9"/>
      <c r="BD220" s="9"/>
      <c r="BE220" s="9"/>
      <c r="BF220" s="10" t="str">
        <f aca="false">IF(BE220="","",IFERROR(VLOOKUP(BE220,Projects!$A$5:$D$504,2,0),"Ref not in Projects"))</f>
        <v/>
      </c>
      <c r="BG220" s="10" t="str">
        <f aca="false">IF(BE220="","",IFERROR(VLOOKUP(BE220,Projects!$A$5:$D$504,4,0),"Ref not in Projects"))</f>
        <v/>
      </c>
      <c r="BH220" s="9"/>
      <c r="BI220" s="9"/>
      <c r="BJ220" s="9"/>
      <c r="BK220" s="40"/>
      <c r="BL220" s="9"/>
      <c r="BM220" s="40"/>
      <c r="BN220" s="9"/>
      <c r="BO220" s="40"/>
      <c r="BP220" s="9"/>
      <c r="BQ220" s="9"/>
      <c r="BR220" s="9"/>
      <c r="BS220" s="40"/>
      <c r="BT220" s="40"/>
      <c r="BU220" s="36" t="str">
        <f aca="false">IF(BT220="","",EDATE(BT220,SG_Criteria!$B$54*12))</f>
        <v/>
      </c>
      <c r="BV220" s="33" t="str">
        <f aca="true">IF(A220="","",IF(BT220="","NOTE: not reviewed yet",IF(TODAY()&gt;BU220,"NOTE: review overdue","OK")))</f>
        <v/>
      </c>
      <c r="BW220" s="37" t="str">
        <f aca="false">IF(A220="","",ROUND((IF(LEN(D220)&gt;0,1,0)+IF(LEN(E220)&gt;0,1,0)+IF(LEN(F220)&gt;0,1,0)+IF(LEN(G220)&gt;0,1,0)+IF(LEN(H220)&gt;0,1,0)+IF(LEN(I220)&gt;0,1,0)+IF(LEN(J220)&gt;0,1,0)+IF(LEN(L220)&gt;0,1,0)+IF(LEN(R220)&gt;0,1,0)+IF(LEN(Y220)&gt;0,1,0)+IF(LEN(AE220)&gt;0,1,0)+IF(LEN(AG220)&gt;0,1,0)+IF(LEN(AH220)&gt;0,1,0)+IF(LEN(AI220)&gt;0,1,0)+IF(LEN(AJ220)&gt;0,1,0)+IF(LEN(AS220)&gt;0,1,0)+IF(LEN(BE220)&gt;0,1,0)+IF(LEN(BR220)&gt;0,1,0))/18,2))</f>
        <v/>
      </c>
      <c r="BX220" s="10" t="str">
        <f aca="false">IF(D220="","",IF(AND(AH220="Approved",ISERROR(SEARCH("FAIL",BB220))),"Y","N"))</f>
        <v/>
      </c>
      <c r="BY220" s="10" t="str">
        <f aca="false">IF(D220="","",D220&amp;"|"&amp;H220&amp;"|"&amp;F220&amp;"|"&amp;I220&amp;"|"&amp;BX220)</f>
        <v/>
      </c>
    </row>
    <row r="221" customFormat="false" ht="15" hidden="false" customHeight="false" outlineLevel="0" collapsed="false">
      <c r="A221" s="10" t="str">
        <f aca="false">IF(D221="","","ERSS-"&amp;IFERROR(VLOOKUP(D221,Lists!$AK$4:$AL$21,2,0),"??")&amp;"-"&amp;TEXT(F221,"0000")&amp;"x"&amp;TEXT(G221,"0000")&amp;"-D"&amp;TEXT(H221*1000,"0000")&amp;"-"&amp;IFERROR(VLOOKUP(I221,Lists!$Y$4:$Z$21,2,0),"??")&amp;"-"&amp;AG221)</f>
        <v/>
      </c>
      <c r="B221" s="10" t="str">
        <f aca="false">IF(D221="","",D221&amp;" for "&amp;E221&amp;", "&amp;F221&amp;" x "&amp;G221&amp;" pit, "&amp;TEXT(H221,"0.0")&amp;" m deep, "&amp;I221)</f>
        <v/>
      </c>
      <c r="C221" s="9"/>
      <c r="D221" s="9"/>
      <c r="E221" s="9"/>
      <c r="F221" s="38"/>
      <c r="G221" s="38"/>
      <c r="H221" s="42"/>
      <c r="I221" s="9"/>
      <c r="J221" s="42"/>
      <c r="K221" s="38"/>
      <c r="L221" s="9"/>
      <c r="M221" s="42"/>
      <c r="N221" s="42"/>
      <c r="O221" s="38"/>
      <c r="P221" s="9"/>
      <c r="Q221" s="9"/>
      <c r="R221" s="39"/>
      <c r="S221" s="39"/>
      <c r="T221" s="38"/>
      <c r="U221" s="38"/>
      <c r="V221" s="38"/>
      <c r="W221" s="9"/>
      <c r="X221" s="9"/>
      <c r="Y221" s="38"/>
      <c r="Z221" s="9"/>
      <c r="AA221" s="9"/>
      <c r="AB221" s="38"/>
      <c r="AC221" s="9"/>
      <c r="AD221" s="39"/>
      <c r="AE221" s="9"/>
      <c r="AF221" s="9"/>
      <c r="AG221" s="9"/>
      <c r="AH221" s="9"/>
      <c r="AI221" s="9"/>
      <c r="AJ221" s="9"/>
      <c r="AK221" s="9"/>
      <c r="AL221" s="10" t="str">
        <f aca="false">IF(A221="","",SG_Criteria!$B$6&amp;SG_Criteria!$B$11&amp;"\"&amp;A221&amp;"\")</f>
        <v/>
      </c>
      <c r="AM221" s="10" t="str">
        <f aca="false">IF(A221="","",A221&amp;"_CAD.dwg")</f>
        <v/>
      </c>
      <c r="AN221" s="10" t="str">
        <f aca="false">IF(A221="","",A221&amp;"_DWG.pdf")</f>
        <v/>
      </c>
      <c r="AO221" s="10" t="str">
        <f aca="false">IF(A221="","",IF(AK221="Y",A221&amp;"_STAAD.std","n/a"))</f>
        <v/>
      </c>
      <c r="AP221" s="10" t="str">
        <f aca="false">IF(A221="","",A221&amp;"_CALC.xlsx")</f>
        <v/>
      </c>
      <c r="AQ221" s="10" t="str">
        <f aca="false">IF(A221="","",A221&amp;"_CALC.pdf")</f>
        <v/>
      </c>
      <c r="AR221" s="9"/>
      <c r="AS221" s="9"/>
      <c r="AT221" s="39"/>
      <c r="AU221" s="39"/>
      <c r="AV221" s="39"/>
      <c r="AW221" s="39"/>
      <c r="AX221" s="39"/>
      <c r="AY221" s="12" t="str">
        <f aca="false">IF(A221="","",IF(COUNTIF(Rebar_Schedule!$A$5:$A$2004,A221)=0,"",ROUND(SUMIF(Rebar_Schedule!$A$5:$A$2004,A221,Rebar_Schedule!$K$5:$K$2004),1)))</f>
        <v/>
      </c>
      <c r="AZ221" s="33" t="str">
        <f aca="false">IF(A221="","",IF(AY221="","No rebar schedule yet",IF(ABS(AY221-N(AU221))/MAX(N(AU221),1)&gt;SG_Criteria!$B$55,"NOTE: register rebar differs from schedule by "&amp;TEXT(ABS(AY221-N(AU221))/MAX(N(AU221),1),"0%"),"OK")))</f>
        <v/>
      </c>
      <c r="BA221" s="33" t="str">
        <f aca="false">IF(OR(D221="",H221=""),"",IF(H221&lt;=IF(OR(D221="Soldier Pile &amp; Timber Lagging",D221="Trench Shoring Box",D221="Open Cut (battered)"),SG_Criteria!$B$34,SG_Criteria!$B$33),"No ERSS submission",IF(H221&lt;=SG_Criteria!$B$35,"QP(ST)",IF(H221&lt;=SG_Criteria!$B$36,"QP(ST) + AC","Geotechnical building works: QP(Geo) + AC"))))</f>
        <v/>
      </c>
      <c r="BB221" s="33" t="str">
        <f aca="false">IF(D221="","",IF(LEN(IF(AND(R221&lt;&gt;"",R221&lt;SG_Criteria!$B$37),"FAIL: base stability FOS &lt; "&amp;SG_Criteria!$B$37&amp;". ","")&amp;IF(AND(E221="Manhole",H221&gt;SG_Criteria!$B$36),"NOTE: BCA lists sewer manholes (pipe &lt;= 2 m dia) &gt; 6 m as non-GBW: QP(ST) + AC. ","")&amp;IF(AND(D221="Trench Shoring Box",I221="Kallang Formation (marine clay)"),"NOTE: check base heave / ground loss for shoring box in marine clay. ","")&amp;IF(AND(D221="Steel Sheet Pile Cofferdam",N(N221)&lt;H221*0.5),"NOTE: short toe embedment, check. ",""))=0,"OK",IF(AND(R221&lt;&gt;"",R221&lt;SG_Criteria!$B$37),"FAIL: base stability FOS &lt; "&amp;SG_Criteria!$B$37&amp;". ","")&amp;IF(AND(E221="Manhole",H221&gt;SG_Criteria!$B$36),"NOTE: BCA lists sewer manholes (pipe &lt;= 2 m dia) &gt; 6 m as non-GBW: QP(ST) + AC. ","")&amp;IF(AND(D221="Trench Shoring Box",I221="Kallang Formation (marine clay)"),"NOTE: check base heave / ground loss for shoring box in marine clay. ","")&amp;IF(AND(D221="Steel Sheet Pile Cofferdam",N(N221)&lt;H221*0.5),"NOTE: short toe embedment, check. ","")))</f>
        <v/>
      </c>
      <c r="BC221" s="9"/>
      <c r="BD221" s="9"/>
      <c r="BE221" s="9"/>
      <c r="BF221" s="10" t="str">
        <f aca="false">IF(BE221="","",IFERROR(VLOOKUP(BE221,Projects!$A$5:$D$504,2,0),"Ref not in Projects"))</f>
        <v/>
      </c>
      <c r="BG221" s="10" t="str">
        <f aca="false">IF(BE221="","",IFERROR(VLOOKUP(BE221,Projects!$A$5:$D$504,4,0),"Ref not in Projects"))</f>
        <v/>
      </c>
      <c r="BH221" s="9"/>
      <c r="BI221" s="9"/>
      <c r="BJ221" s="9"/>
      <c r="BK221" s="40"/>
      <c r="BL221" s="9"/>
      <c r="BM221" s="40"/>
      <c r="BN221" s="9"/>
      <c r="BO221" s="40"/>
      <c r="BP221" s="9"/>
      <c r="BQ221" s="9"/>
      <c r="BR221" s="9"/>
      <c r="BS221" s="40"/>
      <c r="BT221" s="40"/>
      <c r="BU221" s="36" t="str">
        <f aca="false">IF(BT221="","",EDATE(BT221,SG_Criteria!$B$54*12))</f>
        <v/>
      </c>
      <c r="BV221" s="33" t="str">
        <f aca="true">IF(A221="","",IF(BT221="","NOTE: not reviewed yet",IF(TODAY()&gt;BU221,"NOTE: review overdue","OK")))</f>
        <v/>
      </c>
      <c r="BW221" s="37" t="str">
        <f aca="false">IF(A221="","",ROUND((IF(LEN(D221)&gt;0,1,0)+IF(LEN(E221)&gt;0,1,0)+IF(LEN(F221)&gt;0,1,0)+IF(LEN(G221)&gt;0,1,0)+IF(LEN(H221)&gt;0,1,0)+IF(LEN(I221)&gt;0,1,0)+IF(LEN(J221)&gt;0,1,0)+IF(LEN(L221)&gt;0,1,0)+IF(LEN(R221)&gt;0,1,0)+IF(LEN(Y221)&gt;0,1,0)+IF(LEN(AE221)&gt;0,1,0)+IF(LEN(AG221)&gt;0,1,0)+IF(LEN(AH221)&gt;0,1,0)+IF(LEN(AI221)&gt;0,1,0)+IF(LEN(AJ221)&gt;0,1,0)+IF(LEN(AS221)&gt;0,1,0)+IF(LEN(BE221)&gt;0,1,0)+IF(LEN(BR221)&gt;0,1,0))/18,2))</f>
        <v/>
      </c>
      <c r="BX221" s="10" t="str">
        <f aca="false">IF(D221="","",IF(AND(AH221="Approved",ISERROR(SEARCH("FAIL",BB221))),"Y","N"))</f>
        <v/>
      </c>
      <c r="BY221" s="10" t="str">
        <f aca="false">IF(D221="","",D221&amp;"|"&amp;H221&amp;"|"&amp;F221&amp;"|"&amp;I221&amp;"|"&amp;BX221)</f>
        <v/>
      </c>
    </row>
    <row r="222" customFormat="false" ht="15" hidden="false" customHeight="false" outlineLevel="0" collapsed="false">
      <c r="A222" s="10" t="str">
        <f aca="false">IF(D222="","","ERSS-"&amp;IFERROR(VLOOKUP(D222,Lists!$AK$4:$AL$21,2,0),"??")&amp;"-"&amp;TEXT(F222,"0000")&amp;"x"&amp;TEXT(G222,"0000")&amp;"-D"&amp;TEXT(H222*1000,"0000")&amp;"-"&amp;IFERROR(VLOOKUP(I222,Lists!$Y$4:$Z$21,2,0),"??")&amp;"-"&amp;AG222)</f>
        <v/>
      </c>
      <c r="B222" s="10" t="str">
        <f aca="false">IF(D222="","",D222&amp;" for "&amp;E222&amp;", "&amp;F222&amp;" x "&amp;G222&amp;" pit, "&amp;TEXT(H222,"0.0")&amp;" m deep, "&amp;I222)</f>
        <v/>
      </c>
      <c r="C222" s="9"/>
      <c r="D222" s="9"/>
      <c r="E222" s="9"/>
      <c r="F222" s="38"/>
      <c r="G222" s="38"/>
      <c r="H222" s="42"/>
      <c r="I222" s="9"/>
      <c r="J222" s="42"/>
      <c r="K222" s="38"/>
      <c r="L222" s="9"/>
      <c r="M222" s="42"/>
      <c r="N222" s="42"/>
      <c r="O222" s="38"/>
      <c r="P222" s="9"/>
      <c r="Q222" s="9"/>
      <c r="R222" s="39"/>
      <c r="S222" s="39"/>
      <c r="T222" s="38"/>
      <c r="U222" s="38"/>
      <c r="V222" s="38"/>
      <c r="W222" s="9"/>
      <c r="X222" s="9"/>
      <c r="Y222" s="38"/>
      <c r="Z222" s="9"/>
      <c r="AA222" s="9"/>
      <c r="AB222" s="38"/>
      <c r="AC222" s="9"/>
      <c r="AD222" s="39"/>
      <c r="AE222" s="9"/>
      <c r="AF222" s="9"/>
      <c r="AG222" s="9"/>
      <c r="AH222" s="9"/>
      <c r="AI222" s="9"/>
      <c r="AJ222" s="9"/>
      <c r="AK222" s="9"/>
      <c r="AL222" s="10" t="str">
        <f aca="false">IF(A222="","",SG_Criteria!$B$6&amp;SG_Criteria!$B$11&amp;"\"&amp;A222&amp;"\")</f>
        <v/>
      </c>
      <c r="AM222" s="10" t="str">
        <f aca="false">IF(A222="","",A222&amp;"_CAD.dwg")</f>
        <v/>
      </c>
      <c r="AN222" s="10" t="str">
        <f aca="false">IF(A222="","",A222&amp;"_DWG.pdf")</f>
        <v/>
      </c>
      <c r="AO222" s="10" t="str">
        <f aca="false">IF(A222="","",IF(AK222="Y",A222&amp;"_STAAD.std","n/a"))</f>
        <v/>
      </c>
      <c r="AP222" s="10" t="str">
        <f aca="false">IF(A222="","",A222&amp;"_CALC.xlsx")</f>
        <v/>
      </c>
      <c r="AQ222" s="10" t="str">
        <f aca="false">IF(A222="","",A222&amp;"_CALC.pdf")</f>
        <v/>
      </c>
      <c r="AR222" s="9"/>
      <c r="AS222" s="9"/>
      <c r="AT222" s="39"/>
      <c r="AU222" s="39"/>
      <c r="AV222" s="39"/>
      <c r="AW222" s="39"/>
      <c r="AX222" s="39"/>
      <c r="AY222" s="12" t="str">
        <f aca="false">IF(A222="","",IF(COUNTIF(Rebar_Schedule!$A$5:$A$2004,A222)=0,"",ROUND(SUMIF(Rebar_Schedule!$A$5:$A$2004,A222,Rebar_Schedule!$K$5:$K$2004),1)))</f>
        <v/>
      </c>
      <c r="AZ222" s="33" t="str">
        <f aca="false">IF(A222="","",IF(AY222="","No rebar schedule yet",IF(ABS(AY222-N(AU222))/MAX(N(AU222),1)&gt;SG_Criteria!$B$55,"NOTE: register rebar differs from schedule by "&amp;TEXT(ABS(AY222-N(AU222))/MAX(N(AU222),1),"0%"),"OK")))</f>
        <v/>
      </c>
      <c r="BA222" s="33" t="str">
        <f aca="false">IF(OR(D222="",H222=""),"",IF(H222&lt;=IF(OR(D222="Soldier Pile &amp; Timber Lagging",D222="Trench Shoring Box",D222="Open Cut (battered)"),SG_Criteria!$B$34,SG_Criteria!$B$33),"No ERSS submission",IF(H222&lt;=SG_Criteria!$B$35,"QP(ST)",IF(H222&lt;=SG_Criteria!$B$36,"QP(ST) + AC","Geotechnical building works: QP(Geo) + AC"))))</f>
        <v/>
      </c>
      <c r="BB222" s="33" t="str">
        <f aca="false">IF(D222="","",IF(LEN(IF(AND(R222&lt;&gt;"",R222&lt;SG_Criteria!$B$37),"FAIL: base stability FOS &lt; "&amp;SG_Criteria!$B$37&amp;". ","")&amp;IF(AND(E222="Manhole",H222&gt;SG_Criteria!$B$36),"NOTE: BCA lists sewer manholes (pipe &lt;= 2 m dia) &gt; 6 m as non-GBW: QP(ST) + AC. ","")&amp;IF(AND(D222="Trench Shoring Box",I222="Kallang Formation (marine clay)"),"NOTE: check base heave / ground loss for shoring box in marine clay. ","")&amp;IF(AND(D222="Steel Sheet Pile Cofferdam",N(N222)&lt;H222*0.5),"NOTE: short toe embedment, check. ",""))=0,"OK",IF(AND(R222&lt;&gt;"",R222&lt;SG_Criteria!$B$37),"FAIL: base stability FOS &lt; "&amp;SG_Criteria!$B$37&amp;". ","")&amp;IF(AND(E222="Manhole",H222&gt;SG_Criteria!$B$36),"NOTE: BCA lists sewer manholes (pipe &lt;= 2 m dia) &gt; 6 m as non-GBW: QP(ST) + AC. ","")&amp;IF(AND(D222="Trench Shoring Box",I222="Kallang Formation (marine clay)"),"NOTE: check base heave / ground loss for shoring box in marine clay. ","")&amp;IF(AND(D222="Steel Sheet Pile Cofferdam",N(N222)&lt;H222*0.5),"NOTE: short toe embedment, check. ","")))</f>
        <v/>
      </c>
      <c r="BC222" s="9"/>
      <c r="BD222" s="9"/>
      <c r="BE222" s="9"/>
      <c r="BF222" s="10" t="str">
        <f aca="false">IF(BE222="","",IFERROR(VLOOKUP(BE222,Projects!$A$5:$D$504,2,0),"Ref not in Projects"))</f>
        <v/>
      </c>
      <c r="BG222" s="10" t="str">
        <f aca="false">IF(BE222="","",IFERROR(VLOOKUP(BE222,Projects!$A$5:$D$504,4,0),"Ref not in Projects"))</f>
        <v/>
      </c>
      <c r="BH222" s="9"/>
      <c r="BI222" s="9"/>
      <c r="BJ222" s="9"/>
      <c r="BK222" s="40"/>
      <c r="BL222" s="9"/>
      <c r="BM222" s="40"/>
      <c r="BN222" s="9"/>
      <c r="BO222" s="40"/>
      <c r="BP222" s="9"/>
      <c r="BQ222" s="9"/>
      <c r="BR222" s="9"/>
      <c r="BS222" s="40"/>
      <c r="BT222" s="40"/>
      <c r="BU222" s="36" t="str">
        <f aca="false">IF(BT222="","",EDATE(BT222,SG_Criteria!$B$54*12))</f>
        <v/>
      </c>
      <c r="BV222" s="33" t="str">
        <f aca="true">IF(A222="","",IF(BT222="","NOTE: not reviewed yet",IF(TODAY()&gt;BU222,"NOTE: review overdue","OK")))</f>
        <v/>
      </c>
      <c r="BW222" s="37" t="str">
        <f aca="false">IF(A222="","",ROUND((IF(LEN(D222)&gt;0,1,0)+IF(LEN(E222)&gt;0,1,0)+IF(LEN(F222)&gt;0,1,0)+IF(LEN(G222)&gt;0,1,0)+IF(LEN(H222)&gt;0,1,0)+IF(LEN(I222)&gt;0,1,0)+IF(LEN(J222)&gt;0,1,0)+IF(LEN(L222)&gt;0,1,0)+IF(LEN(R222)&gt;0,1,0)+IF(LEN(Y222)&gt;0,1,0)+IF(LEN(AE222)&gt;0,1,0)+IF(LEN(AG222)&gt;0,1,0)+IF(LEN(AH222)&gt;0,1,0)+IF(LEN(AI222)&gt;0,1,0)+IF(LEN(AJ222)&gt;0,1,0)+IF(LEN(AS222)&gt;0,1,0)+IF(LEN(BE222)&gt;0,1,0)+IF(LEN(BR222)&gt;0,1,0))/18,2))</f>
        <v/>
      </c>
      <c r="BX222" s="10" t="str">
        <f aca="false">IF(D222="","",IF(AND(AH222="Approved",ISERROR(SEARCH("FAIL",BB222))),"Y","N"))</f>
        <v/>
      </c>
      <c r="BY222" s="10" t="str">
        <f aca="false">IF(D222="","",D222&amp;"|"&amp;H222&amp;"|"&amp;F222&amp;"|"&amp;I222&amp;"|"&amp;BX222)</f>
        <v/>
      </c>
    </row>
    <row r="223" customFormat="false" ht="15" hidden="false" customHeight="false" outlineLevel="0" collapsed="false">
      <c r="A223" s="10" t="str">
        <f aca="false">IF(D223="","","ERSS-"&amp;IFERROR(VLOOKUP(D223,Lists!$AK$4:$AL$21,2,0),"??")&amp;"-"&amp;TEXT(F223,"0000")&amp;"x"&amp;TEXT(G223,"0000")&amp;"-D"&amp;TEXT(H223*1000,"0000")&amp;"-"&amp;IFERROR(VLOOKUP(I223,Lists!$Y$4:$Z$21,2,0),"??")&amp;"-"&amp;AG223)</f>
        <v/>
      </c>
      <c r="B223" s="10" t="str">
        <f aca="false">IF(D223="","",D223&amp;" for "&amp;E223&amp;", "&amp;F223&amp;" x "&amp;G223&amp;" pit, "&amp;TEXT(H223,"0.0")&amp;" m deep, "&amp;I223)</f>
        <v/>
      </c>
      <c r="C223" s="9"/>
      <c r="D223" s="9"/>
      <c r="E223" s="9"/>
      <c r="F223" s="38"/>
      <c r="G223" s="38"/>
      <c r="H223" s="42"/>
      <c r="I223" s="9"/>
      <c r="J223" s="42"/>
      <c r="K223" s="38"/>
      <c r="L223" s="9"/>
      <c r="M223" s="42"/>
      <c r="N223" s="42"/>
      <c r="O223" s="38"/>
      <c r="P223" s="9"/>
      <c r="Q223" s="9"/>
      <c r="R223" s="39"/>
      <c r="S223" s="39"/>
      <c r="T223" s="38"/>
      <c r="U223" s="38"/>
      <c r="V223" s="38"/>
      <c r="W223" s="9"/>
      <c r="X223" s="9"/>
      <c r="Y223" s="38"/>
      <c r="Z223" s="9"/>
      <c r="AA223" s="9"/>
      <c r="AB223" s="38"/>
      <c r="AC223" s="9"/>
      <c r="AD223" s="39"/>
      <c r="AE223" s="9"/>
      <c r="AF223" s="9"/>
      <c r="AG223" s="9"/>
      <c r="AH223" s="9"/>
      <c r="AI223" s="9"/>
      <c r="AJ223" s="9"/>
      <c r="AK223" s="9"/>
      <c r="AL223" s="10" t="str">
        <f aca="false">IF(A223="","",SG_Criteria!$B$6&amp;SG_Criteria!$B$11&amp;"\"&amp;A223&amp;"\")</f>
        <v/>
      </c>
      <c r="AM223" s="10" t="str">
        <f aca="false">IF(A223="","",A223&amp;"_CAD.dwg")</f>
        <v/>
      </c>
      <c r="AN223" s="10" t="str">
        <f aca="false">IF(A223="","",A223&amp;"_DWG.pdf")</f>
        <v/>
      </c>
      <c r="AO223" s="10" t="str">
        <f aca="false">IF(A223="","",IF(AK223="Y",A223&amp;"_STAAD.std","n/a"))</f>
        <v/>
      </c>
      <c r="AP223" s="10" t="str">
        <f aca="false">IF(A223="","",A223&amp;"_CALC.xlsx")</f>
        <v/>
      </c>
      <c r="AQ223" s="10" t="str">
        <f aca="false">IF(A223="","",A223&amp;"_CALC.pdf")</f>
        <v/>
      </c>
      <c r="AR223" s="9"/>
      <c r="AS223" s="9"/>
      <c r="AT223" s="39"/>
      <c r="AU223" s="39"/>
      <c r="AV223" s="39"/>
      <c r="AW223" s="39"/>
      <c r="AX223" s="39"/>
      <c r="AY223" s="12" t="str">
        <f aca="false">IF(A223="","",IF(COUNTIF(Rebar_Schedule!$A$5:$A$2004,A223)=0,"",ROUND(SUMIF(Rebar_Schedule!$A$5:$A$2004,A223,Rebar_Schedule!$K$5:$K$2004),1)))</f>
        <v/>
      </c>
      <c r="AZ223" s="33" t="str">
        <f aca="false">IF(A223="","",IF(AY223="","No rebar schedule yet",IF(ABS(AY223-N(AU223))/MAX(N(AU223),1)&gt;SG_Criteria!$B$55,"NOTE: register rebar differs from schedule by "&amp;TEXT(ABS(AY223-N(AU223))/MAX(N(AU223),1),"0%"),"OK")))</f>
        <v/>
      </c>
      <c r="BA223" s="33" t="str">
        <f aca="false">IF(OR(D223="",H223=""),"",IF(H223&lt;=IF(OR(D223="Soldier Pile &amp; Timber Lagging",D223="Trench Shoring Box",D223="Open Cut (battered)"),SG_Criteria!$B$34,SG_Criteria!$B$33),"No ERSS submission",IF(H223&lt;=SG_Criteria!$B$35,"QP(ST)",IF(H223&lt;=SG_Criteria!$B$36,"QP(ST) + AC","Geotechnical building works: QP(Geo) + AC"))))</f>
        <v/>
      </c>
      <c r="BB223" s="33" t="str">
        <f aca="false">IF(D223="","",IF(LEN(IF(AND(R223&lt;&gt;"",R223&lt;SG_Criteria!$B$37),"FAIL: base stability FOS &lt; "&amp;SG_Criteria!$B$37&amp;". ","")&amp;IF(AND(E223="Manhole",H223&gt;SG_Criteria!$B$36),"NOTE: BCA lists sewer manholes (pipe &lt;= 2 m dia) &gt; 6 m as non-GBW: QP(ST) + AC. ","")&amp;IF(AND(D223="Trench Shoring Box",I223="Kallang Formation (marine clay)"),"NOTE: check base heave / ground loss for shoring box in marine clay. ","")&amp;IF(AND(D223="Steel Sheet Pile Cofferdam",N(N223)&lt;H223*0.5),"NOTE: short toe embedment, check. ",""))=0,"OK",IF(AND(R223&lt;&gt;"",R223&lt;SG_Criteria!$B$37),"FAIL: base stability FOS &lt; "&amp;SG_Criteria!$B$37&amp;". ","")&amp;IF(AND(E223="Manhole",H223&gt;SG_Criteria!$B$36),"NOTE: BCA lists sewer manholes (pipe &lt;= 2 m dia) &gt; 6 m as non-GBW: QP(ST) + AC. ","")&amp;IF(AND(D223="Trench Shoring Box",I223="Kallang Formation (marine clay)"),"NOTE: check base heave / ground loss for shoring box in marine clay. ","")&amp;IF(AND(D223="Steel Sheet Pile Cofferdam",N(N223)&lt;H223*0.5),"NOTE: short toe embedment, check. ","")))</f>
        <v/>
      </c>
      <c r="BC223" s="9"/>
      <c r="BD223" s="9"/>
      <c r="BE223" s="9"/>
      <c r="BF223" s="10" t="str">
        <f aca="false">IF(BE223="","",IFERROR(VLOOKUP(BE223,Projects!$A$5:$D$504,2,0),"Ref not in Projects"))</f>
        <v/>
      </c>
      <c r="BG223" s="10" t="str">
        <f aca="false">IF(BE223="","",IFERROR(VLOOKUP(BE223,Projects!$A$5:$D$504,4,0),"Ref not in Projects"))</f>
        <v/>
      </c>
      <c r="BH223" s="9"/>
      <c r="BI223" s="9"/>
      <c r="BJ223" s="9"/>
      <c r="BK223" s="40"/>
      <c r="BL223" s="9"/>
      <c r="BM223" s="40"/>
      <c r="BN223" s="9"/>
      <c r="BO223" s="40"/>
      <c r="BP223" s="9"/>
      <c r="BQ223" s="9"/>
      <c r="BR223" s="9"/>
      <c r="BS223" s="40"/>
      <c r="BT223" s="40"/>
      <c r="BU223" s="36" t="str">
        <f aca="false">IF(BT223="","",EDATE(BT223,SG_Criteria!$B$54*12))</f>
        <v/>
      </c>
      <c r="BV223" s="33" t="str">
        <f aca="true">IF(A223="","",IF(BT223="","NOTE: not reviewed yet",IF(TODAY()&gt;BU223,"NOTE: review overdue","OK")))</f>
        <v/>
      </c>
      <c r="BW223" s="37" t="str">
        <f aca="false">IF(A223="","",ROUND((IF(LEN(D223)&gt;0,1,0)+IF(LEN(E223)&gt;0,1,0)+IF(LEN(F223)&gt;0,1,0)+IF(LEN(G223)&gt;0,1,0)+IF(LEN(H223)&gt;0,1,0)+IF(LEN(I223)&gt;0,1,0)+IF(LEN(J223)&gt;0,1,0)+IF(LEN(L223)&gt;0,1,0)+IF(LEN(R223)&gt;0,1,0)+IF(LEN(Y223)&gt;0,1,0)+IF(LEN(AE223)&gt;0,1,0)+IF(LEN(AG223)&gt;0,1,0)+IF(LEN(AH223)&gt;0,1,0)+IF(LEN(AI223)&gt;0,1,0)+IF(LEN(AJ223)&gt;0,1,0)+IF(LEN(AS223)&gt;0,1,0)+IF(LEN(BE223)&gt;0,1,0)+IF(LEN(BR223)&gt;0,1,0))/18,2))</f>
        <v/>
      </c>
      <c r="BX223" s="10" t="str">
        <f aca="false">IF(D223="","",IF(AND(AH223="Approved",ISERROR(SEARCH("FAIL",BB223))),"Y","N"))</f>
        <v/>
      </c>
      <c r="BY223" s="10" t="str">
        <f aca="false">IF(D223="","",D223&amp;"|"&amp;H223&amp;"|"&amp;F223&amp;"|"&amp;I223&amp;"|"&amp;BX223)</f>
        <v/>
      </c>
    </row>
    <row r="224" customFormat="false" ht="15" hidden="false" customHeight="false" outlineLevel="0" collapsed="false">
      <c r="A224" s="10" t="str">
        <f aca="false">IF(D224="","","ERSS-"&amp;IFERROR(VLOOKUP(D224,Lists!$AK$4:$AL$21,2,0),"??")&amp;"-"&amp;TEXT(F224,"0000")&amp;"x"&amp;TEXT(G224,"0000")&amp;"-D"&amp;TEXT(H224*1000,"0000")&amp;"-"&amp;IFERROR(VLOOKUP(I224,Lists!$Y$4:$Z$21,2,0),"??")&amp;"-"&amp;AG224)</f>
        <v/>
      </c>
      <c r="B224" s="10" t="str">
        <f aca="false">IF(D224="","",D224&amp;" for "&amp;E224&amp;", "&amp;F224&amp;" x "&amp;G224&amp;" pit, "&amp;TEXT(H224,"0.0")&amp;" m deep, "&amp;I224)</f>
        <v/>
      </c>
      <c r="C224" s="9"/>
      <c r="D224" s="9"/>
      <c r="E224" s="9"/>
      <c r="F224" s="38"/>
      <c r="G224" s="38"/>
      <c r="H224" s="42"/>
      <c r="I224" s="9"/>
      <c r="J224" s="42"/>
      <c r="K224" s="38"/>
      <c r="L224" s="9"/>
      <c r="M224" s="42"/>
      <c r="N224" s="42"/>
      <c r="O224" s="38"/>
      <c r="P224" s="9"/>
      <c r="Q224" s="9"/>
      <c r="R224" s="39"/>
      <c r="S224" s="39"/>
      <c r="T224" s="38"/>
      <c r="U224" s="38"/>
      <c r="V224" s="38"/>
      <c r="W224" s="9"/>
      <c r="X224" s="9"/>
      <c r="Y224" s="38"/>
      <c r="Z224" s="9"/>
      <c r="AA224" s="9"/>
      <c r="AB224" s="38"/>
      <c r="AC224" s="9"/>
      <c r="AD224" s="39"/>
      <c r="AE224" s="9"/>
      <c r="AF224" s="9"/>
      <c r="AG224" s="9"/>
      <c r="AH224" s="9"/>
      <c r="AI224" s="9"/>
      <c r="AJ224" s="9"/>
      <c r="AK224" s="9"/>
      <c r="AL224" s="10" t="str">
        <f aca="false">IF(A224="","",SG_Criteria!$B$6&amp;SG_Criteria!$B$11&amp;"\"&amp;A224&amp;"\")</f>
        <v/>
      </c>
      <c r="AM224" s="10" t="str">
        <f aca="false">IF(A224="","",A224&amp;"_CAD.dwg")</f>
        <v/>
      </c>
      <c r="AN224" s="10" t="str">
        <f aca="false">IF(A224="","",A224&amp;"_DWG.pdf")</f>
        <v/>
      </c>
      <c r="AO224" s="10" t="str">
        <f aca="false">IF(A224="","",IF(AK224="Y",A224&amp;"_STAAD.std","n/a"))</f>
        <v/>
      </c>
      <c r="AP224" s="10" t="str">
        <f aca="false">IF(A224="","",A224&amp;"_CALC.xlsx")</f>
        <v/>
      </c>
      <c r="AQ224" s="10" t="str">
        <f aca="false">IF(A224="","",A224&amp;"_CALC.pdf")</f>
        <v/>
      </c>
      <c r="AR224" s="9"/>
      <c r="AS224" s="9"/>
      <c r="AT224" s="39"/>
      <c r="AU224" s="39"/>
      <c r="AV224" s="39"/>
      <c r="AW224" s="39"/>
      <c r="AX224" s="39"/>
      <c r="AY224" s="12" t="str">
        <f aca="false">IF(A224="","",IF(COUNTIF(Rebar_Schedule!$A$5:$A$2004,A224)=0,"",ROUND(SUMIF(Rebar_Schedule!$A$5:$A$2004,A224,Rebar_Schedule!$K$5:$K$2004),1)))</f>
        <v/>
      </c>
      <c r="AZ224" s="33" t="str">
        <f aca="false">IF(A224="","",IF(AY224="","No rebar schedule yet",IF(ABS(AY224-N(AU224))/MAX(N(AU224),1)&gt;SG_Criteria!$B$55,"NOTE: register rebar differs from schedule by "&amp;TEXT(ABS(AY224-N(AU224))/MAX(N(AU224),1),"0%"),"OK")))</f>
        <v/>
      </c>
      <c r="BA224" s="33" t="str">
        <f aca="false">IF(OR(D224="",H224=""),"",IF(H224&lt;=IF(OR(D224="Soldier Pile &amp; Timber Lagging",D224="Trench Shoring Box",D224="Open Cut (battered)"),SG_Criteria!$B$34,SG_Criteria!$B$33),"No ERSS submission",IF(H224&lt;=SG_Criteria!$B$35,"QP(ST)",IF(H224&lt;=SG_Criteria!$B$36,"QP(ST) + AC","Geotechnical building works: QP(Geo) + AC"))))</f>
        <v/>
      </c>
      <c r="BB224" s="33" t="str">
        <f aca="false">IF(D224="","",IF(LEN(IF(AND(R224&lt;&gt;"",R224&lt;SG_Criteria!$B$37),"FAIL: base stability FOS &lt; "&amp;SG_Criteria!$B$37&amp;". ","")&amp;IF(AND(E224="Manhole",H224&gt;SG_Criteria!$B$36),"NOTE: BCA lists sewer manholes (pipe &lt;= 2 m dia) &gt; 6 m as non-GBW: QP(ST) + AC. ","")&amp;IF(AND(D224="Trench Shoring Box",I224="Kallang Formation (marine clay)"),"NOTE: check base heave / ground loss for shoring box in marine clay. ","")&amp;IF(AND(D224="Steel Sheet Pile Cofferdam",N(N224)&lt;H224*0.5),"NOTE: short toe embedment, check. ",""))=0,"OK",IF(AND(R224&lt;&gt;"",R224&lt;SG_Criteria!$B$37),"FAIL: base stability FOS &lt; "&amp;SG_Criteria!$B$37&amp;". ","")&amp;IF(AND(E224="Manhole",H224&gt;SG_Criteria!$B$36),"NOTE: BCA lists sewer manholes (pipe &lt;= 2 m dia) &gt; 6 m as non-GBW: QP(ST) + AC. ","")&amp;IF(AND(D224="Trench Shoring Box",I224="Kallang Formation (marine clay)"),"NOTE: check base heave / ground loss for shoring box in marine clay. ","")&amp;IF(AND(D224="Steel Sheet Pile Cofferdam",N(N224)&lt;H224*0.5),"NOTE: short toe embedment, check. ","")))</f>
        <v/>
      </c>
      <c r="BC224" s="9"/>
      <c r="BD224" s="9"/>
      <c r="BE224" s="9"/>
      <c r="BF224" s="10" t="str">
        <f aca="false">IF(BE224="","",IFERROR(VLOOKUP(BE224,Projects!$A$5:$D$504,2,0),"Ref not in Projects"))</f>
        <v/>
      </c>
      <c r="BG224" s="10" t="str">
        <f aca="false">IF(BE224="","",IFERROR(VLOOKUP(BE224,Projects!$A$5:$D$504,4,0),"Ref not in Projects"))</f>
        <v/>
      </c>
      <c r="BH224" s="9"/>
      <c r="BI224" s="9"/>
      <c r="BJ224" s="9"/>
      <c r="BK224" s="40"/>
      <c r="BL224" s="9"/>
      <c r="BM224" s="40"/>
      <c r="BN224" s="9"/>
      <c r="BO224" s="40"/>
      <c r="BP224" s="9"/>
      <c r="BQ224" s="9"/>
      <c r="BR224" s="9"/>
      <c r="BS224" s="40"/>
      <c r="BT224" s="40"/>
      <c r="BU224" s="36" t="str">
        <f aca="false">IF(BT224="","",EDATE(BT224,SG_Criteria!$B$54*12))</f>
        <v/>
      </c>
      <c r="BV224" s="33" t="str">
        <f aca="true">IF(A224="","",IF(BT224="","NOTE: not reviewed yet",IF(TODAY()&gt;BU224,"NOTE: review overdue","OK")))</f>
        <v/>
      </c>
      <c r="BW224" s="37" t="str">
        <f aca="false">IF(A224="","",ROUND((IF(LEN(D224)&gt;0,1,0)+IF(LEN(E224)&gt;0,1,0)+IF(LEN(F224)&gt;0,1,0)+IF(LEN(G224)&gt;0,1,0)+IF(LEN(H224)&gt;0,1,0)+IF(LEN(I224)&gt;0,1,0)+IF(LEN(J224)&gt;0,1,0)+IF(LEN(L224)&gt;0,1,0)+IF(LEN(R224)&gt;0,1,0)+IF(LEN(Y224)&gt;0,1,0)+IF(LEN(AE224)&gt;0,1,0)+IF(LEN(AG224)&gt;0,1,0)+IF(LEN(AH224)&gt;0,1,0)+IF(LEN(AI224)&gt;0,1,0)+IF(LEN(AJ224)&gt;0,1,0)+IF(LEN(AS224)&gt;0,1,0)+IF(LEN(BE224)&gt;0,1,0)+IF(LEN(BR224)&gt;0,1,0))/18,2))</f>
        <v/>
      </c>
      <c r="BX224" s="10" t="str">
        <f aca="false">IF(D224="","",IF(AND(AH224="Approved",ISERROR(SEARCH("FAIL",BB224))),"Y","N"))</f>
        <v/>
      </c>
      <c r="BY224" s="10" t="str">
        <f aca="false">IF(D224="","",D224&amp;"|"&amp;H224&amp;"|"&amp;F224&amp;"|"&amp;I224&amp;"|"&amp;BX224)</f>
        <v/>
      </c>
    </row>
    <row r="225" customFormat="false" ht="15" hidden="false" customHeight="false" outlineLevel="0" collapsed="false">
      <c r="A225" s="10" t="str">
        <f aca="false">IF(D225="","","ERSS-"&amp;IFERROR(VLOOKUP(D225,Lists!$AK$4:$AL$21,2,0),"??")&amp;"-"&amp;TEXT(F225,"0000")&amp;"x"&amp;TEXT(G225,"0000")&amp;"-D"&amp;TEXT(H225*1000,"0000")&amp;"-"&amp;IFERROR(VLOOKUP(I225,Lists!$Y$4:$Z$21,2,0),"??")&amp;"-"&amp;AG225)</f>
        <v/>
      </c>
      <c r="B225" s="10" t="str">
        <f aca="false">IF(D225="","",D225&amp;" for "&amp;E225&amp;", "&amp;F225&amp;" x "&amp;G225&amp;" pit, "&amp;TEXT(H225,"0.0")&amp;" m deep, "&amp;I225)</f>
        <v/>
      </c>
      <c r="C225" s="9"/>
      <c r="D225" s="9"/>
      <c r="E225" s="9"/>
      <c r="F225" s="38"/>
      <c r="G225" s="38"/>
      <c r="H225" s="42"/>
      <c r="I225" s="9"/>
      <c r="J225" s="42"/>
      <c r="K225" s="38"/>
      <c r="L225" s="9"/>
      <c r="M225" s="42"/>
      <c r="N225" s="42"/>
      <c r="O225" s="38"/>
      <c r="P225" s="9"/>
      <c r="Q225" s="9"/>
      <c r="R225" s="39"/>
      <c r="S225" s="39"/>
      <c r="T225" s="38"/>
      <c r="U225" s="38"/>
      <c r="V225" s="38"/>
      <c r="W225" s="9"/>
      <c r="X225" s="9"/>
      <c r="Y225" s="38"/>
      <c r="Z225" s="9"/>
      <c r="AA225" s="9"/>
      <c r="AB225" s="38"/>
      <c r="AC225" s="9"/>
      <c r="AD225" s="39"/>
      <c r="AE225" s="9"/>
      <c r="AF225" s="9"/>
      <c r="AG225" s="9"/>
      <c r="AH225" s="9"/>
      <c r="AI225" s="9"/>
      <c r="AJ225" s="9"/>
      <c r="AK225" s="9"/>
      <c r="AL225" s="10" t="str">
        <f aca="false">IF(A225="","",SG_Criteria!$B$6&amp;SG_Criteria!$B$11&amp;"\"&amp;A225&amp;"\")</f>
        <v/>
      </c>
      <c r="AM225" s="10" t="str">
        <f aca="false">IF(A225="","",A225&amp;"_CAD.dwg")</f>
        <v/>
      </c>
      <c r="AN225" s="10" t="str">
        <f aca="false">IF(A225="","",A225&amp;"_DWG.pdf")</f>
        <v/>
      </c>
      <c r="AO225" s="10" t="str">
        <f aca="false">IF(A225="","",IF(AK225="Y",A225&amp;"_STAAD.std","n/a"))</f>
        <v/>
      </c>
      <c r="AP225" s="10" t="str">
        <f aca="false">IF(A225="","",A225&amp;"_CALC.xlsx")</f>
        <v/>
      </c>
      <c r="AQ225" s="10" t="str">
        <f aca="false">IF(A225="","",A225&amp;"_CALC.pdf")</f>
        <v/>
      </c>
      <c r="AR225" s="9"/>
      <c r="AS225" s="9"/>
      <c r="AT225" s="39"/>
      <c r="AU225" s="39"/>
      <c r="AV225" s="39"/>
      <c r="AW225" s="39"/>
      <c r="AX225" s="39"/>
      <c r="AY225" s="12" t="str">
        <f aca="false">IF(A225="","",IF(COUNTIF(Rebar_Schedule!$A$5:$A$2004,A225)=0,"",ROUND(SUMIF(Rebar_Schedule!$A$5:$A$2004,A225,Rebar_Schedule!$K$5:$K$2004),1)))</f>
        <v/>
      </c>
      <c r="AZ225" s="33" t="str">
        <f aca="false">IF(A225="","",IF(AY225="","No rebar schedule yet",IF(ABS(AY225-N(AU225))/MAX(N(AU225),1)&gt;SG_Criteria!$B$55,"NOTE: register rebar differs from schedule by "&amp;TEXT(ABS(AY225-N(AU225))/MAX(N(AU225),1),"0%"),"OK")))</f>
        <v/>
      </c>
      <c r="BA225" s="33" t="str">
        <f aca="false">IF(OR(D225="",H225=""),"",IF(H225&lt;=IF(OR(D225="Soldier Pile &amp; Timber Lagging",D225="Trench Shoring Box",D225="Open Cut (battered)"),SG_Criteria!$B$34,SG_Criteria!$B$33),"No ERSS submission",IF(H225&lt;=SG_Criteria!$B$35,"QP(ST)",IF(H225&lt;=SG_Criteria!$B$36,"QP(ST) + AC","Geotechnical building works: QP(Geo) + AC"))))</f>
        <v/>
      </c>
      <c r="BB225" s="33" t="str">
        <f aca="false">IF(D225="","",IF(LEN(IF(AND(R225&lt;&gt;"",R225&lt;SG_Criteria!$B$37),"FAIL: base stability FOS &lt; "&amp;SG_Criteria!$B$37&amp;". ","")&amp;IF(AND(E225="Manhole",H225&gt;SG_Criteria!$B$36),"NOTE: BCA lists sewer manholes (pipe &lt;= 2 m dia) &gt; 6 m as non-GBW: QP(ST) + AC. ","")&amp;IF(AND(D225="Trench Shoring Box",I225="Kallang Formation (marine clay)"),"NOTE: check base heave / ground loss for shoring box in marine clay. ","")&amp;IF(AND(D225="Steel Sheet Pile Cofferdam",N(N225)&lt;H225*0.5),"NOTE: short toe embedment, check. ",""))=0,"OK",IF(AND(R225&lt;&gt;"",R225&lt;SG_Criteria!$B$37),"FAIL: base stability FOS &lt; "&amp;SG_Criteria!$B$37&amp;". ","")&amp;IF(AND(E225="Manhole",H225&gt;SG_Criteria!$B$36),"NOTE: BCA lists sewer manholes (pipe &lt;= 2 m dia) &gt; 6 m as non-GBW: QP(ST) + AC. ","")&amp;IF(AND(D225="Trench Shoring Box",I225="Kallang Formation (marine clay)"),"NOTE: check base heave / ground loss for shoring box in marine clay. ","")&amp;IF(AND(D225="Steel Sheet Pile Cofferdam",N(N225)&lt;H225*0.5),"NOTE: short toe embedment, check. ","")))</f>
        <v/>
      </c>
      <c r="BC225" s="9"/>
      <c r="BD225" s="9"/>
      <c r="BE225" s="9"/>
      <c r="BF225" s="10" t="str">
        <f aca="false">IF(BE225="","",IFERROR(VLOOKUP(BE225,Projects!$A$5:$D$504,2,0),"Ref not in Projects"))</f>
        <v/>
      </c>
      <c r="BG225" s="10" t="str">
        <f aca="false">IF(BE225="","",IFERROR(VLOOKUP(BE225,Projects!$A$5:$D$504,4,0),"Ref not in Projects"))</f>
        <v/>
      </c>
      <c r="BH225" s="9"/>
      <c r="BI225" s="9"/>
      <c r="BJ225" s="9"/>
      <c r="BK225" s="40"/>
      <c r="BL225" s="9"/>
      <c r="BM225" s="40"/>
      <c r="BN225" s="9"/>
      <c r="BO225" s="40"/>
      <c r="BP225" s="9"/>
      <c r="BQ225" s="9"/>
      <c r="BR225" s="9"/>
      <c r="BS225" s="40"/>
      <c r="BT225" s="40"/>
      <c r="BU225" s="36" t="str">
        <f aca="false">IF(BT225="","",EDATE(BT225,SG_Criteria!$B$54*12))</f>
        <v/>
      </c>
      <c r="BV225" s="33" t="str">
        <f aca="true">IF(A225="","",IF(BT225="","NOTE: not reviewed yet",IF(TODAY()&gt;BU225,"NOTE: review overdue","OK")))</f>
        <v/>
      </c>
      <c r="BW225" s="37" t="str">
        <f aca="false">IF(A225="","",ROUND((IF(LEN(D225)&gt;0,1,0)+IF(LEN(E225)&gt;0,1,0)+IF(LEN(F225)&gt;0,1,0)+IF(LEN(G225)&gt;0,1,0)+IF(LEN(H225)&gt;0,1,0)+IF(LEN(I225)&gt;0,1,0)+IF(LEN(J225)&gt;0,1,0)+IF(LEN(L225)&gt;0,1,0)+IF(LEN(R225)&gt;0,1,0)+IF(LEN(Y225)&gt;0,1,0)+IF(LEN(AE225)&gt;0,1,0)+IF(LEN(AG225)&gt;0,1,0)+IF(LEN(AH225)&gt;0,1,0)+IF(LEN(AI225)&gt;0,1,0)+IF(LEN(AJ225)&gt;0,1,0)+IF(LEN(AS225)&gt;0,1,0)+IF(LEN(BE225)&gt;0,1,0)+IF(LEN(BR225)&gt;0,1,0))/18,2))</f>
        <v/>
      </c>
      <c r="BX225" s="10" t="str">
        <f aca="false">IF(D225="","",IF(AND(AH225="Approved",ISERROR(SEARCH("FAIL",BB225))),"Y","N"))</f>
        <v/>
      </c>
      <c r="BY225" s="10" t="str">
        <f aca="false">IF(D225="","",D225&amp;"|"&amp;H225&amp;"|"&amp;F225&amp;"|"&amp;I225&amp;"|"&amp;BX225)</f>
        <v/>
      </c>
    </row>
    <row r="226" customFormat="false" ht="15" hidden="false" customHeight="false" outlineLevel="0" collapsed="false">
      <c r="A226" s="10" t="str">
        <f aca="false">IF(D226="","","ERSS-"&amp;IFERROR(VLOOKUP(D226,Lists!$AK$4:$AL$21,2,0),"??")&amp;"-"&amp;TEXT(F226,"0000")&amp;"x"&amp;TEXT(G226,"0000")&amp;"-D"&amp;TEXT(H226*1000,"0000")&amp;"-"&amp;IFERROR(VLOOKUP(I226,Lists!$Y$4:$Z$21,2,0),"??")&amp;"-"&amp;AG226)</f>
        <v/>
      </c>
      <c r="B226" s="10" t="str">
        <f aca="false">IF(D226="","",D226&amp;" for "&amp;E226&amp;", "&amp;F226&amp;" x "&amp;G226&amp;" pit, "&amp;TEXT(H226,"0.0")&amp;" m deep, "&amp;I226)</f>
        <v/>
      </c>
      <c r="C226" s="9"/>
      <c r="D226" s="9"/>
      <c r="E226" s="9"/>
      <c r="F226" s="38"/>
      <c r="G226" s="38"/>
      <c r="H226" s="42"/>
      <c r="I226" s="9"/>
      <c r="J226" s="42"/>
      <c r="K226" s="38"/>
      <c r="L226" s="9"/>
      <c r="M226" s="42"/>
      <c r="N226" s="42"/>
      <c r="O226" s="38"/>
      <c r="P226" s="9"/>
      <c r="Q226" s="9"/>
      <c r="R226" s="39"/>
      <c r="S226" s="39"/>
      <c r="T226" s="38"/>
      <c r="U226" s="38"/>
      <c r="V226" s="38"/>
      <c r="W226" s="9"/>
      <c r="X226" s="9"/>
      <c r="Y226" s="38"/>
      <c r="Z226" s="9"/>
      <c r="AA226" s="9"/>
      <c r="AB226" s="38"/>
      <c r="AC226" s="9"/>
      <c r="AD226" s="39"/>
      <c r="AE226" s="9"/>
      <c r="AF226" s="9"/>
      <c r="AG226" s="9"/>
      <c r="AH226" s="9"/>
      <c r="AI226" s="9"/>
      <c r="AJ226" s="9"/>
      <c r="AK226" s="9"/>
      <c r="AL226" s="10" t="str">
        <f aca="false">IF(A226="","",SG_Criteria!$B$6&amp;SG_Criteria!$B$11&amp;"\"&amp;A226&amp;"\")</f>
        <v/>
      </c>
      <c r="AM226" s="10" t="str">
        <f aca="false">IF(A226="","",A226&amp;"_CAD.dwg")</f>
        <v/>
      </c>
      <c r="AN226" s="10" t="str">
        <f aca="false">IF(A226="","",A226&amp;"_DWG.pdf")</f>
        <v/>
      </c>
      <c r="AO226" s="10" t="str">
        <f aca="false">IF(A226="","",IF(AK226="Y",A226&amp;"_STAAD.std","n/a"))</f>
        <v/>
      </c>
      <c r="AP226" s="10" t="str">
        <f aca="false">IF(A226="","",A226&amp;"_CALC.xlsx")</f>
        <v/>
      </c>
      <c r="AQ226" s="10" t="str">
        <f aca="false">IF(A226="","",A226&amp;"_CALC.pdf")</f>
        <v/>
      </c>
      <c r="AR226" s="9"/>
      <c r="AS226" s="9"/>
      <c r="AT226" s="39"/>
      <c r="AU226" s="39"/>
      <c r="AV226" s="39"/>
      <c r="AW226" s="39"/>
      <c r="AX226" s="39"/>
      <c r="AY226" s="12" t="str">
        <f aca="false">IF(A226="","",IF(COUNTIF(Rebar_Schedule!$A$5:$A$2004,A226)=0,"",ROUND(SUMIF(Rebar_Schedule!$A$5:$A$2004,A226,Rebar_Schedule!$K$5:$K$2004),1)))</f>
        <v/>
      </c>
      <c r="AZ226" s="33" t="str">
        <f aca="false">IF(A226="","",IF(AY226="","No rebar schedule yet",IF(ABS(AY226-N(AU226))/MAX(N(AU226),1)&gt;SG_Criteria!$B$55,"NOTE: register rebar differs from schedule by "&amp;TEXT(ABS(AY226-N(AU226))/MAX(N(AU226),1),"0%"),"OK")))</f>
        <v/>
      </c>
      <c r="BA226" s="33" t="str">
        <f aca="false">IF(OR(D226="",H226=""),"",IF(H226&lt;=IF(OR(D226="Soldier Pile &amp; Timber Lagging",D226="Trench Shoring Box",D226="Open Cut (battered)"),SG_Criteria!$B$34,SG_Criteria!$B$33),"No ERSS submission",IF(H226&lt;=SG_Criteria!$B$35,"QP(ST)",IF(H226&lt;=SG_Criteria!$B$36,"QP(ST) + AC","Geotechnical building works: QP(Geo) + AC"))))</f>
        <v/>
      </c>
      <c r="BB226" s="33" t="str">
        <f aca="false">IF(D226="","",IF(LEN(IF(AND(R226&lt;&gt;"",R226&lt;SG_Criteria!$B$37),"FAIL: base stability FOS &lt; "&amp;SG_Criteria!$B$37&amp;". ","")&amp;IF(AND(E226="Manhole",H226&gt;SG_Criteria!$B$36),"NOTE: BCA lists sewer manholes (pipe &lt;= 2 m dia) &gt; 6 m as non-GBW: QP(ST) + AC. ","")&amp;IF(AND(D226="Trench Shoring Box",I226="Kallang Formation (marine clay)"),"NOTE: check base heave / ground loss for shoring box in marine clay. ","")&amp;IF(AND(D226="Steel Sheet Pile Cofferdam",N(N226)&lt;H226*0.5),"NOTE: short toe embedment, check. ",""))=0,"OK",IF(AND(R226&lt;&gt;"",R226&lt;SG_Criteria!$B$37),"FAIL: base stability FOS &lt; "&amp;SG_Criteria!$B$37&amp;". ","")&amp;IF(AND(E226="Manhole",H226&gt;SG_Criteria!$B$36),"NOTE: BCA lists sewer manholes (pipe &lt;= 2 m dia) &gt; 6 m as non-GBW: QP(ST) + AC. ","")&amp;IF(AND(D226="Trench Shoring Box",I226="Kallang Formation (marine clay)"),"NOTE: check base heave / ground loss for shoring box in marine clay. ","")&amp;IF(AND(D226="Steel Sheet Pile Cofferdam",N(N226)&lt;H226*0.5),"NOTE: short toe embedment, check. ","")))</f>
        <v/>
      </c>
      <c r="BC226" s="9"/>
      <c r="BD226" s="9"/>
      <c r="BE226" s="9"/>
      <c r="BF226" s="10" t="str">
        <f aca="false">IF(BE226="","",IFERROR(VLOOKUP(BE226,Projects!$A$5:$D$504,2,0),"Ref not in Projects"))</f>
        <v/>
      </c>
      <c r="BG226" s="10" t="str">
        <f aca="false">IF(BE226="","",IFERROR(VLOOKUP(BE226,Projects!$A$5:$D$504,4,0),"Ref not in Projects"))</f>
        <v/>
      </c>
      <c r="BH226" s="9"/>
      <c r="BI226" s="9"/>
      <c r="BJ226" s="9"/>
      <c r="BK226" s="40"/>
      <c r="BL226" s="9"/>
      <c r="BM226" s="40"/>
      <c r="BN226" s="9"/>
      <c r="BO226" s="40"/>
      <c r="BP226" s="9"/>
      <c r="BQ226" s="9"/>
      <c r="BR226" s="9"/>
      <c r="BS226" s="40"/>
      <c r="BT226" s="40"/>
      <c r="BU226" s="36" t="str">
        <f aca="false">IF(BT226="","",EDATE(BT226,SG_Criteria!$B$54*12))</f>
        <v/>
      </c>
      <c r="BV226" s="33" t="str">
        <f aca="true">IF(A226="","",IF(BT226="","NOTE: not reviewed yet",IF(TODAY()&gt;BU226,"NOTE: review overdue","OK")))</f>
        <v/>
      </c>
      <c r="BW226" s="37" t="str">
        <f aca="false">IF(A226="","",ROUND((IF(LEN(D226)&gt;0,1,0)+IF(LEN(E226)&gt;0,1,0)+IF(LEN(F226)&gt;0,1,0)+IF(LEN(G226)&gt;0,1,0)+IF(LEN(H226)&gt;0,1,0)+IF(LEN(I226)&gt;0,1,0)+IF(LEN(J226)&gt;0,1,0)+IF(LEN(L226)&gt;0,1,0)+IF(LEN(R226)&gt;0,1,0)+IF(LEN(Y226)&gt;0,1,0)+IF(LEN(AE226)&gt;0,1,0)+IF(LEN(AG226)&gt;0,1,0)+IF(LEN(AH226)&gt;0,1,0)+IF(LEN(AI226)&gt;0,1,0)+IF(LEN(AJ226)&gt;0,1,0)+IF(LEN(AS226)&gt;0,1,0)+IF(LEN(BE226)&gt;0,1,0)+IF(LEN(BR226)&gt;0,1,0))/18,2))</f>
        <v/>
      </c>
      <c r="BX226" s="10" t="str">
        <f aca="false">IF(D226="","",IF(AND(AH226="Approved",ISERROR(SEARCH("FAIL",BB226))),"Y","N"))</f>
        <v/>
      </c>
      <c r="BY226" s="10" t="str">
        <f aca="false">IF(D226="","",D226&amp;"|"&amp;H226&amp;"|"&amp;F226&amp;"|"&amp;I226&amp;"|"&amp;BX226)</f>
        <v/>
      </c>
    </row>
    <row r="227" customFormat="false" ht="15" hidden="false" customHeight="false" outlineLevel="0" collapsed="false">
      <c r="A227" s="10" t="str">
        <f aca="false">IF(D227="","","ERSS-"&amp;IFERROR(VLOOKUP(D227,Lists!$AK$4:$AL$21,2,0),"??")&amp;"-"&amp;TEXT(F227,"0000")&amp;"x"&amp;TEXT(G227,"0000")&amp;"-D"&amp;TEXT(H227*1000,"0000")&amp;"-"&amp;IFERROR(VLOOKUP(I227,Lists!$Y$4:$Z$21,2,0),"??")&amp;"-"&amp;AG227)</f>
        <v/>
      </c>
      <c r="B227" s="10" t="str">
        <f aca="false">IF(D227="","",D227&amp;" for "&amp;E227&amp;", "&amp;F227&amp;" x "&amp;G227&amp;" pit, "&amp;TEXT(H227,"0.0")&amp;" m deep, "&amp;I227)</f>
        <v/>
      </c>
      <c r="C227" s="9"/>
      <c r="D227" s="9"/>
      <c r="E227" s="9"/>
      <c r="F227" s="38"/>
      <c r="G227" s="38"/>
      <c r="H227" s="42"/>
      <c r="I227" s="9"/>
      <c r="J227" s="42"/>
      <c r="K227" s="38"/>
      <c r="L227" s="9"/>
      <c r="M227" s="42"/>
      <c r="N227" s="42"/>
      <c r="O227" s="38"/>
      <c r="P227" s="9"/>
      <c r="Q227" s="9"/>
      <c r="R227" s="39"/>
      <c r="S227" s="39"/>
      <c r="T227" s="38"/>
      <c r="U227" s="38"/>
      <c r="V227" s="38"/>
      <c r="W227" s="9"/>
      <c r="X227" s="9"/>
      <c r="Y227" s="38"/>
      <c r="Z227" s="9"/>
      <c r="AA227" s="9"/>
      <c r="AB227" s="38"/>
      <c r="AC227" s="9"/>
      <c r="AD227" s="39"/>
      <c r="AE227" s="9"/>
      <c r="AF227" s="9"/>
      <c r="AG227" s="9"/>
      <c r="AH227" s="9"/>
      <c r="AI227" s="9"/>
      <c r="AJ227" s="9"/>
      <c r="AK227" s="9"/>
      <c r="AL227" s="10" t="str">
        <f aca="false">IF(A227="","",SG_Criteria!$B$6&amp;SG_Criteria!$B$11&amp;"\"&amp;A227&amp;"\")</f>
        <v/>
      </c>
      <c r="AM227" s="10" t="str">
        <f aca="false">IF(A227="","",A227&amp;"_CAD.dwg")</f>
        <v/>
      </c>
      <c r="AN227" s="10" t="str">
        <f aca="false">IF(A227="","",A227&amp;"_DWG.pdf")</f>
        <v/>
      </c>
      <c r="AO227" s="10" t="str">
        <f aca="false">IF(A227="","",IF(AK227="Y",A227&amp;"_STAAD.std","n/a"))</f>
        <v/>
      </c>
      <c r="AP227" s="10" t="str">
        <f aca="false">IF(A227="","",A227&amp;"_CALC.xlsx")</f>
        <v/>
      </c>
      <c r="AQ227" s="10" t="str">
        <f aca="false">IF(A227="","",A227&amp;"_CALC.pdf")</f>
        <v/>
      </c>
      <c r="AR227" s="9"/>
      <c r="AS227" s="9"/>
      <c r="AT227" s="39"/>
      <c r="AU227" s="39"/>
      <c r="AV227" s="39"/>
      <c r="AW227" s="39"/>
      <c r="AX227" s="39"/>
      <c r="AY227" s="12" t="str">
        <f aca="false">IF(A227="","",IF(COUNTIF(Rebar_Schedule!$A$5:$A$2004,A227)=0,"",ROUND(SUMIF(Rebar_Schedule!$A$5:$A$2004,A227,Rebar_Schedule!$K$5:$K$2004),1)))</f>
        <v/>
      </c>
      <c r="AZ227" s="33" t="str">
        <f aca="false">IF(A227="","",IF(AY227="","No rebar schedule yet",IF(ABS(AY227-N(AU227))/MAX(N(AU227),1)&gt;SG_Criteria!$B$55,"NOTE: register rebar differs from schedule by "&amp;TEXT(ABS(AY227-N(AU227))/MAX(N(AU227),1),"0%"),"OK")))</f>
        <v/>
      </c>
      <c r="BA227" s="33" t="str">
        <f aca="false">IF(OR(D227="",H227=""),"",IF(H227&lt;=IF(OR(D227="Soldier Pile &amp; Timber Lagging",D227="Trench Shoring Box",D227="Open Cut (battered)"),SG_Criteria!$B$34,SG_Criteria!$B$33),"No ERSS submission",IF(H227&lt;=SG_Criteria!$B$35,"QP(ST)",IF(H227&lt;=SG_Criteria!$B$36,"QP(ST) + AC","Geotechnical building works: QP(Geo) + AC"))))</f>
        <v/>
      </c>
      <c r="BB227" s="33" t="str">
        <f aca="false">IF(D227="","",IF(LEN(IF(AND(R227&lt;&gt;"",R227&lt;SG_Criteria!$B$37),"FAIL: base stability FOS &lt; "&amp;SG_Criteria!$B$37&amp;". ","")&amp;IF(AND(E227="Manhole",H227&gt;SG_Criteria!$B$36),"NOTE: BCA lists sewer manholes (pipe &lt;= 2 m dia) &gt; 6 m as non-GBW: QP(ST) + AC. ","")&amp;IF(AND(D227="Trench Shoring Box",I227="Kallang Formation (marine clay)"),"NOTE: check base heave / ground loss for shoring box in marine clay. ","")&amp;IF(AND(D227="Steel Sheet Pile Cofferdam",N(N227)&lt;H227*0.5),"NOTE: short toe embedment, check. ",""))=0,"OK",IF(AND(R227&lt;&gt;"",R227&lt;SG_Criteria!$B$37),"FAIL: base stability FOS &lt; "&amp;SG_Criteria!$B$37&amp;". ","")&amp;IF(AND(E227="Manhole",H227&gt;SG_Criteria!$B$36),"NOTE: BCA lists sewer manholes (pipe &lt;= 2 m dia) &gt; 6 m as non-GBW: QP(ST) + AC. ","")&amp;IF(AND(D227="Trench Shoring Box",I227="Kallang Formation (marine clay)"),"NOTE: check base heave / ground loss for shoring box in marine clay. ","")&amp;IF(AND(D227="Steel Sheet Pile Cofferdam",N(N227)&lt;H227*0.5),"NOTE: short toe embedment, check. ","")))</f>
        <v/>
      </c>
      <c r="BC227" s="9"/>
      <c r="BD227" s="9"/>
      <c r="BE227" s="9"/>
      <c r="BF227" s="10" t="str">
        <f aca="false">IF(BE227="","",IFERROR(VLOOKUP(BE227,Projects!$A$5:$D$504,2,0),"Ref not in Projects"))</f>
        <v/>
      </c>
      <c r="BG227" s="10" t="str">
        <f aca="false">IF(BE227="","",IFERROR(VLOOKUP(BE227,Projects!$A$5:$D$504,4,0),"Ref not in Projects"))</f>
        <v/>
      </c>
      <c r="BH227" s="9"/>
      <c r="BI227" s="9"/>
      <c r="BJ227" s="9"/>
      <c r="BK227" s="40"/>
      <c r="BL227" s="9"/>
      <c r="BM227" s="40"/>
      <c r="BN227" s="9"/>
      <c r="BO227" s="40"/>
      <c r="BP227" s="9"/>
      <c r="BQ227" s="9"/>
      <c r="BR227" s="9"/>
      <c r="BS227" s="40"/>
      <c r="BT227" s="40"/>
      <c r="BU227" s="36" t="str">
        <f aca="false">IF(BT227="","",EDATE(BT227,SG_Criteria!$B$54*12))</f>
        <v/>
      </c>
      <c r="BV227" s="33" t="str">
        <f aca="true">IF(A227="","",IF(BT227="","NOTE: not reviewed yet",IF(TODAY()&gt;BU227,"NOTE: review overdue","OK")))</f>
        <v/>
      </c>
      <c r="BW227" s="37" t="str">
        <f aca="false">IF(A227="","",ROUND((IF(LEN(D227)&gt;0,1,0)+IF(LEN(E227)&gt;0,1,0)+IF(LEN(F227)&gt;0,1,0)+IF(LEN(G227)&gt;0,1,0)+IF(LEN(H227)&gt;0,1,0)+IF(LEN(I227)&gt;0,1,0)+IF(LEN(J227)&gt;0,1,0)+IF(LEN(L227)&gt;0,1,0)+IF(LEN(R227)&gt;0,1,0)+IF(LEN(Y227)&gt;0,1,0)+IF(LEN(AE227)&gt;0,1,0)+IF(LEN(AG227)&gt;0,1,0)+IF(LEN(AH227)&gt;0,1,0)+IF(LEN(AI227)&gt;0,1,0)+IF(LEN(AJ227)&gt;0,1,0)+IF(LEN(AS227)&gt;0,1,0)+IF(LEN(BE227)&gt;0,1,0)+IF(LEN(BR227)&gt;0,1,0))/18,2))</f>
        <v/>
      </c>
      <c r="BX227" s="10" t="str">
        <f aca="false">IF(D227="","",IF(AND(AH227="Approved",ISERROR(SEARCH("FAIL",BB227))),"Y","N"))</f>
        <v/>
      </c>
      <c r="BY227" s="10" t="str">
        <f aca="false">IF(D227="","",D227&amp;"|"&amp;H227&amp;"|"&amp;F227&amp;"|"&amp;I227&amp;"|"&amp;BX227)</f>
        <v/>
      </c>
    </row>
    <row r="228" customFormat="false" ht="15" hidden="false" customHeight="false" outlineLevel="0" collapsed="false">
      <c r="A228" s="10" t="str">
        <f aca="false">IF(D228="","","ERSS-"&amp;IFERROR(VLOOKUP(D228,Lists!$AK$4:$AL$21,2,0),"??")&amp;"-"&amp;TEXT(F228,"0000")&amp;"x"&amp;TEXT(G228,"0000")&amp;"-D"&amp;TEXT(H228*1000,"0000")&amp;"-"&amp;IFERROR(VLOOKUP(I228,Lists!$Y$4:$Z$21,2,0),"??")&amp;"-"&amp;AG228)</f>
        <v/>
      </c>
      <c r="B228" s="10" t="str">
        <f aca="false">IF(D228="","",D228&amp;" for "&amp;E228&amp;", "&amp;F228&amp;" x "&amp;G228&amp;" pit, "&amp;TEXT(H228,"0.0")&amp;" m deep, "&amp;I228)</f>
        <v/>
      </c>
      <c r="C228" s="9"/>
      <c r="D228" s="9"/>
      <c r="E228" s="9"/>
      <c r="F228" s="38"/>
      <c r="G228" s="38"/>
      <c r="H228" s="42"/>
      <c r="I228" s="9"/>
      <c r="J228" s="42"/>
      <c r="K228" s="38"/>
      <c r="L228" s="9"/>
      <c r="M228" s="42"/>
      <c r="N228" s="42"/>
      <c r="O228" s="38"/>
      <c r="P228" s="9"/>
      <c r="Q228" s="9"/>
      <c r="R228" s="39"/>
      <c r="S228" s="39"/>
      <c r="T228" s="38"/>
      <c r="U228" s="38"/>
      <c r="V228" s="38"/>
      <c r="W228" s="9"/>
      <c r="X228" s="9"/>
      <c r="Y228" s="38"/>
      <c r="Z228" s="9"/>
      <c r="AA228" s="9"/>
      <c r="AB228" s="38"/>
      <c r="AC228" s="9"/>
      <c r="AD228" s="39"/>
      <c r="AE228" s="9"/>
      <c r="AF228" s="9"/>
      <c r="AG228" s="9"/>
      <c r="AH228" s="9"/>
      <c r="AI228" s="9"/>
      <c r="AJ228" s="9"/>
      <c r="AK228" s="9"/>
      <c r="AL228" s="10" t="str">
        <f aca="false">IF(A228="","",SG_Criteria!$B$6&amp;SG_Criteria!$B$11&amp;"\"&amp;A228&amp;"\")</f>
        <v/>
      </c>
      <c r="AM228" s="10" t="str">
        <f aca="false">IF(A228="","",A228&amp;"_CAD.dwg")</f>
        <v/>
      </c>
      <c r="AN228" s="10" t="str">
        <f aca="false">IF(A228="","",A228&amp;"_DWG.pdf")</f>
        <v/>
      </c>
      <c r="AO228" s="10" t="str">
        <f aca="false">IF(A228="","",IF(AK228="Y",A228&amp;"_STAAD.std","n/a"))</f>
        <v/>
      </c>
      <c r="AP228" s="10" t="str">
        <f aca="false">IF(A228="","",A228&amp;"_CALC.xlsx")</f>
        <v/>
      </c>
      <c r="AQ228" s="10" t="str">
        <f aca="false">IF(A228="","",A228&amp;"_CALC.pdf")</f>
        <v/>
      </c>
      <c r="AR228" s="9"/>
      <c r="AS228" s="9"/>
      <c r="AT228" s="39"/>
      <c r="AU228" s="39"/>
      <c r="AV228" s="39"/>
      <c r="AW228" s="39"/>
      <c r="AX228" s="39"/>
      <c r="AY228" s="12" t="str">
        <f aca="false">IF(A228="","",IF(COUNTIF(Rebar_Schedule!$A$5:$A$2004,A228)=0,"",ROUND(SUMIF(Rebar_Schedule!$A$5:$A$2004,A228,Rebar_Schedule!$K$5:$K$2004),1)))</f>
        <v/>
      </c>
      <c r="AZ228" s="33" t="str">
        <f aca="false">IF(A228="","",IF(AY228="","No rebar schedule yet",IF(ABS(AY228-N(AU228))/MAX(N(AU228),1)&gt;SG_Criteria!$B$55,"NOTE: register rebar differs from schedule by "&amp;TEXT(ABS(AY228-N(AU228))/MAX(N(AU228),1),"0%"),"OK")))</f>
        <v/>
      </c>
      <c r="BA228" s="33" t="str">
        <f aca="false">IF(OR(D228="",H228=""),"",IF(H228&lt;=IF(OR(D228="Soldier Pile &amp; Timber Lagging",D228="Trench Shoring Box",D228="Open Cut (battered)"),SG_Criteria!$B$34,SG_Criteria!$B$33),"No ERSS submission",IF(H228&lt;=SG_Criteria!$B$35,"QP(ST)",IF(H228&lt;=SG_Criteria!$B$36,"QP(ST) + AC","Geotechnical building works: QP(Geo) + AC"))))</f>
        <v/>
      </c>
      <c r="BB228" s="33" t="str">
        <f aca="false">IF(D228="","",IF(LEN(IF(AND(R228&lt;&gt;"",R228&lt;SG_Criteria!$B$37),"FAIL: base stability FOS &lt; "&amp;SG_Criteria!$B$37&amp;". ","")&amp;IF(AND(E228="Manhole",H228&gt;SG_Criteria!$B$36),"NOTE: BCA lists sewer manholes (pipe &lt;= 2 m dia) &gt; 6 m as non-GBW: QP(ST) + AC. ","")&amp;IF(AND(D228="Trench Shoring Box",I228="Kallang Formation (marine clay)"),"NOTE: check base heave / ground loss for shoring box in marine clay. ","")&amp;IF(AND(D228="Steel Sheet Pile Cofferdam",N(N228)&lt;H228*0.5),"NOTE: short toe embedment, check. ",""))=0,"OK",IF(AND(R228&lt;&gt;"",R228&lt;SG_Criteria!$B$37),"FAIL: base stability FOS &lt; "&amp;SG_Criteria!$B$37&amp;". ","")&amp;IF(AND(E228="Manhole",H228&gt;SG_Criteria!$B$36),"NOTE: BCA lists sewer manholes (pipe &lt;= 2 m dia) &gt; 6 m as non-GBW: QP(ST) + AC. ","")&amp;IF(AND(D228="Trench Shoring Box",I228="Kallang Formation (marine clay)"),"NOTE: check base heave / ground loss for shoring box in marine clay. ","")&amp;IF(AND(D228="Steel Sheet Pile Cofferdam",N(N228)&lt;H228*0.5),"NOTE: short toe embedment, check. ","")))</f>
        <v/>
      </c>
      <c r="BC228" s="9"/>
      <c r="BD228" s="9"/>
      <c r="BE228" s="9"/>
      <c r="BF228" s="10" t="str">
        <f aca="false">IF(BE228="","",IFERROR(VLOOKUP(BE228,Projects!$A$5:$D$504,2,0),"Ref not in Projects"))</f>
        <v/>
      </c>
      <c r="BG228" s="10" t="str">
        <f aca="false">IF(BE228="","",IFERROR(VLOOKUP(BE228,Projects!$A$5:$D$504,4,0),"Ref not in Projects"))</f>
        <v/>
      </c>
      <c r="BH228" s="9"/>
      <c r="BI228" s="9"/>
      <c r="BJ228" s="9"/>
      <c r="BK228" s="40"/>
      <c r="BL228" s="9"/>
      <c r="BM228" s="40"/>
      <c r="BN228" s="9"/>
      <c r="BO228" s="40"/>
      <c r="BP228" s="9"/>
      <c r="BQ228" s="9"/>
      <c r="BR228" s="9"/>
      <c r="BS228" s="40"/>
      <c r="BT228" s="40"/>
      <c r="BU228" s="36" t="str">
        <f aca="false">IF(BT228="","",EDATE(BT228,SG_Criteria!$B$54*12))</f>
        <v/>
      </c>
      <c r="BV228" s="33" t="str">
        <f aca="true">IF(A228="","",IF(BT228="","NOTE: not reviewed yet",IF(TODAY()&gt;BU228,"NOTE: review overdue","OK")))</f>
        <v/>
      </c>
      <c r="BW228" s="37" t="str">
        <f aca="false">IF(A228="","",ROUND((IF(LEN(D228)&gt;0,1,0)+IF(LEN(E228)&gt;0,1,0)+IF(LEN(F228)&gt;0,1,0)+IF(LEN(G228)&gt;0,1,0)+IF(LEN(H228)&gt;0,1,0)+IF(LEN(I228)&gt;0,1,0)+IF(LEN(J228)&gt;0,1,0)+IF(LEN(L228)&gt;0,1,0)+IF(LEN(R228)&gt;0,1,0)+IF(LEN(Y228)&gt;0,1,0)+IF(LEN(AE228)&gt;0,1,0)+IF(LEN(AG228)&gt;0,1,0)+IF(LEN(AH228)&gt;0,1,0)+IF(LEN(AI228)&gt;0,1,0)+IF(LEN(AJ228)&gt;0,1,0)+IF(LEN(AS228)&gt;0,1,0)+IF(LEN(BE228)&gt;0,1,0)+IF(LEN(BR228)&gt;0,1,0))/18,2))</f>
        <v/>
      </c>
      <c r="BX228" s="10" t="str">
        <f aca="false">IF(D228="","",IF(AND(AH228="Approved",ISERROR(SEARCH("FAIL",BB228))),"Y","N"))</f>
        <v/>
      </c>
      <c r="BY228" s="10" t="str">
        <f aca="false">IF(D228="","",D228&amp;"|"&amp;H228&amp;"|"&amp;F228&amp;"|"&amp;I228&amp;"|"&amp;BX228)</f>
        <v/>
      </c>
    </row>
    <row r="229" customFormat="false" ht="15" hidden="false" customHeight="false" outlineLevel="0" collapsed="false">
      <c r="A229" s="10" t="str">
        <f aca="false">IF(D229="","","ERSS-"&amp;IFERROR(VLOOKUP(D229,Lists!$AK$4:$AL$21,2,0),"??")&amp;"-"&amp;TEXT(F229,"0000")&amp;"x"&amp;TEXT(G229,"0000")&amp;"-D"&amp;TEXT(H229*1000,"0000")&amp;"-"&amp;IFERROR(VLOOKUP(I229,Lists!$Y$4:$Z$21,2,0),"??")&amp;"-"&amp;AG229)</f>
        <v/>
      </c>
      <c r="B229" s="10" t="str">
        <f aca="false">IF(D229="","",D229&amp;" for "&amp;E229&amp;", "&amp;F229&amp;" x "&amp;G229&amp;" pit, "&amp;TEXT(H229,"0.0")&amp;" m deep, "&amp;I229)</f>
        <v/>
      </c>
      <c r="C229" s="9"/>
      <c r="D229" s="9"/>
      <c r="E229" s="9"/>
      <c r="F229" s="38"/>
      <c r="G229" s="38"/>
      <c r="H229" s="42"/>
      <c r="I229" s="9"/>
      <c r="J229" s="42"/>
      <c r="K229" s="38"/>
      <c r="L229" s="9"/>
      <c r="M229" s="42"/>
      <c r="N229" s="42"/>
      <c r="O229" s="38"/>
      <c r="P229" s="9"/>
      <c r="Q229" s="9"/>
      <c r="R229" s="39"/>
      <c r="S229" s="39"/>
      <c r="T229" s="38"/>
      <c r="U229" s="38"/>
      <c r="V229" s="38"/>
      <c r="W229" s="9"/>
      <c r="X229" s="9"/>
      <c r="Y229" s="38"/>
      <c r="Z229" s="9"/>
      <c r="AA229" s="9"/>
      <c r="AB229" s="38"/>
      <c r="AC229" s="9"/>
      <c r="AD229" s="39"/>
      <c r="AE229" s="9"/>
      <c r="AF229" s="9"/>
      <c r="AG229" s="9"/>
      <c r="AH229" s="9"/>
      <c r="AI229" s="9"/>
      <c r="AJ229" s="9"/>
      <c r="AK229" s="9"/>
      <c r="AL229" s="10" t="str">
        <f aca="false">IF(A229="","",SG_Criteria!$B$6&amp;SG_Criteria!$B$11&amp;"\"&amp;A229&amp;"\")</f>
        <v/>
      </c>
      <c r="AM229" s="10" t="str">
        <f aca="false">IF(A229="","",A229&amp;"_CAD.dwg")</f>
        <v/>
      </c>
      <c r="AN229" s="10" t="str">
        <f aca="false">IF(A229="","",A229&amp;"_DWG.pdf")</f>
        <v/>
      </c>
      <c r="AO229" s="10" t="str">
        <f aca="false">IF(A229="","",IF(AK229="Y",A229&amp;"_STAAD.std","n/a"))</f>
        <v/>
      </c>
      <c r="AP229" s="10" t="str">
        <f aca="false">IF(A229="","",A229&amp;"_CALC.xlsx")</f>
        <v/>
      </c>
      <c r="AQ229" s="10" t="str">
        <f aca="false">IF(A229="","",A229&amp;"_CALC.pdf")</f>
        <v/>
      </c>
      <c r="AR229" s="9"/>
      <c r="AS229" s="9"/>
      <c r="AT229" s="39"/>
      <c r="AU229" s="39"/>
      <c r="AV229" s="39"/>
      <c r="AW229" s="39"/>
      <c r="AX229" s="39"/>
      <c r="AY229" s="12" t="str">
        <f aca="false">IF(A229="","",IF(COUNTIF(Rebar_Schedule!$A$5:$A$2004,A229)=0,"",ROUND(SUMIF(Rebar_Schedule!$A$5:$A$2004,A229,Rebar_Schedule!$K$5:$K$2004),1)))</f>
        <v/>
      </c>
      <c r="AZ229" s="33" t="str">
        <f aca="false">IF(A229="","",IF(AY229="","No rebar schedule yet",IF(ABS(AY229-N(AU229))/MAX(N(AU229),1)&gt;SG_Criteria!$B$55,"NOTE: register rebar differs from schedule by "&amp;TEXT(ABS(AY229-N(AU229))/MAX(N(AU229),1),"0%"),"OK")))</f>
        <v/>
      </c>
      <c r="BA229" s="33" t="str">
        <f aca="false">IF(OR(D229="",H229=""),"",IF(H229&lt;=IF(OR(D229="Soldier Pile &amp; Timber Lagging",D229="Trench Shoring Box",D229="Open Cut (battered)"),SG_Criteria!$B$34,SG_Criteria!$B$33),"No ERSS submission",IF(H229&lt;=SG_Criteria!$B$35,"QP(ST)",IF(H229&lt;=SG_Criteria!$B$36,"QP(ST) + AC","Geotechnical building works: QP(Geo) + AC"))))</f>
        <v/>
      </c>
      <c r="BB229" s="33" t="str">
        <f aca="false">IF(D229="","",IF(LEN(IF(AND(R229&lt;&gt;"",R229&lt;SG_Criteria!$B$37),"FAIL: base stability FOS &lt; "&amp;SG_Criteria!$B$37&amp;". ","")&amp;IF(AND(E229="Manhole",H229&gt;SG_Criteria!$B$36),"NOTE: BCA lists sewer manholes (pipe &lt;= 2 m dia) &gt; 6 m as non-GBW: QP(ST) + AC. ","")&amp;IF(AND(D229="Trench Shoring Box",I229="Kallang Formation (marine clay)"),"NOTE: check base heave / ground loss for shoring box in marine clay. ","")&amp;IF(AND(D229="Steel Sheet Pile Cofferdam",N(N229)&lt;H229*0.5),"NOTE: short toe embedment, check. ",""))=0,"OK",IF(AND(R229&lt;&gt;"",R229&lt;SG_Criteria!$B$37),"FAIL: base stability FOS &lt; "&amp;SG_Criteria!$B$37&amp;". ","")&amp;IF(AND(E229="Manhole",H229&gt;SG_Criteria!$B$36),"NOTE: BCA lists sewer manholes (pipe &lt;= 2 m dia) &gt; 6 m as non-GBW: QP(ST) + AC. ","")&amp;IF(AND(D229="Trench Shoring Box",I229="Kallang Formation (marine clay)"),"NOTE: check base heave / ground loss for shoring box in marine clay. ","")&amp;IF(AND(D229="Steel Sheet Pile Cofferdam",N(N229)&lt;H229*0.5),"NOTE: short toe embedment, check. ","")))</f>
        <v/>
      </c>
      <c r="BC229" s="9"/>
      <c r="BD229" s="9"/>
      <c r="BE229" s="9"/>
      <c r="BF229" s="10" t="str">
        <f aca="false">IF(BE229="","",IFERROR(VLOOKUP(BE229,Projects!$A$5:$D$504,2,0),"Ref not in Projects"))</f>
        <v/>
      </c>
      <c r="BG229" s="10" t="str">
        <f aca="false">IF(BE229="","",IFERROR(VLOOKUP(BE229,Projects!$A$5:$D$504,4,0),"Ref not in Projects"))</f>
        <v/>
      </c>
      <c r="BH229" s="9"/>
      <c r="BI229" s="9"/>
      <c r="BJ229" s="9"/>
      <c r="BK229" s="40"/>
      <c r="BL229" s="9"/>
      <c r="BM229" s="40"/>
      <c r="BN229" s="9"/>
      <c r="BO229" s="40"/>
      <c r="BP229" s="9"/>
      <c r="BQ229" s="9"/>
      <c r="BR229" s="9"/>
      <c r="BS229" s="40"/>
      <c r="BT229" s="40"/>
      <c r="BU229" s="36" t="str">
        <f aca="false">IF(BT229="","",EDATE(BT229,SG_Criteria!$B$54*12))</f>
        <v/>
      </c>
      <c r="BV229" s="33" t="str">
        <f aca="true">IF(A229="","",IF(BT229="","NOTE: not reviewed yet",IF(TODAY()&gt;BU229,"NOTE: review overdue","OK")))</f>
        <v/>
      </c>
      <c r="BW229" s="37" t="str">
        <f aca="false">IF(A229="","",ROUND((IF(LEN(D229)&gt;0,1,0)+IF(LEN(E229)&gt;0,1,0)+IF(LEN(F229)&gt;0,1,0)+IF(LEN(G229)&gt;0,1,0)+IF(LEN(H229)&gt;0,1,0)+IF(LEN(I229)&gt;0,1,0)+IF(LEN(J229)&gt;0,1,0)+IF(LEN(L229)&gt;0,1,0)+IF(LEN(R229)&gt;0,1,0)+IF(LEN(Y229)&gt;0,1,0)+IF(LEN(AE229)&gt;0,1,0)+IF(LEN(AG229)&gt;0,1,0)+IF(LEN(AH229)&gt;0,1,0)+IF(LEN(AI229)&gt;0,1,0)+IF(LEN(AJ229)&gt;0,1,0)+IF(LEN(AS229)&gt;0,1,0)+IF(LEN(BE229)&gt;0,1,0)+IF(LEN(BR229)&gt;0,1,0))/18,2))</f>
        <v/>
      </c>
      <c r="BX229" s="10" t="str">
        <f aca="false">IF(D229="","",IF(AND(AH229="Approved",ISERROR(SEARCH("FAIL",BB229))),"Y","N"))</f>
        <v/>
      </c>
      <c r="BY229" s="10" t="str">
        <f aca="false">IF(D229="","",D229&amp;"|"&amp;H229&amp;"|"&amp;F229&amp;"|"&amp;I229&amp;"|"&amp;BX229)</f>
        <v/>
      </c>
    </row>
    <row r="230" customFormat="false" ht="15" hidden="false" customHeight="false" outlineLevel="0" collapsed="false">
      <c r="A230" s="10" t="str">
        <f aca="false">IF(D230="","","ERSS-"&amp;IFERROR(VLOOKUP(D230,Lists!$AK$4:$AL$21,2,0),"??")&amp;"-"&amp;TEXT(F230,"0000")&amp;"x"&amp;TEXT(G230,"0000")&amp;"-D"&amp;TEXT(H230*1000,"0000")&amp;"-"&amp;IFERROR(VLOOKUP(I230,Lists!$Y$4:$Z$21,2,0),"??")&amp;"-"&amp;AG230)</f>
        <v/>
      </c>
      <c r="B230" s="10" t="str">
        <f aca="false">IF(D230="","",D230&amp;" for "&amp;E230&amp;", "&amp;F230&amp;" x "&amp;G230&amp;" pit, "&amp;TEXT(H230,"0.0")&amp;" m deep, "&amp;I230)</f>
        <v/>
      </c>
      <c r="C230" s="9"/>
      <c r="D230" s="9"/>
      <c r="E230" s="9"/>
      <c r="F230" s="38"/>
      <c r="G230" s="38"/>
      <c r="H230" s="42"/>
      <c r="I230" s="9"/>
      <c r="J230" s="42"/>
      <c r="K230" s="38"/>
      <c r="L230" s="9"/>
      <c r="M230" s="42"/>
      <c r="N230" s="42"/>
      <c r="O230" s="38"/>
      <c r="P230" s="9"/>
      <c r="Q230" s="9"/>
      <c r="R230" s="39"/>
      <c r="S230" s="39"/>
      <c r="T230" s="38"/>
      <c r="U230" s="38"/>
      <c r="V230" s="38"/>
      <c r="W230" s="9"/>
      <c r="X230" s="9"/>
      <c r="Y230" s="38"/>
      <c r="Z230" s="9"/>
      <c r="AA230" s="9"/>
      <c r="AB230" s="38"/>
      <c r="AC230" s="9"/>
      <c r="AD230" s="39"/>
      <c r="AE230" s="9"/>
      <c r="AF230" s="9"/>
      <c r="AG230" s="9"/>
      <c r="AH230" s="9"/>
      <c r="AI230" s="9"/>
      <c r="AJ230" s="9"/>
      <c r="AK230" s="9"/>
      <c r="AL230" s="10" t="str">
        <f aca="false">IF(A230="","",SG_Criteria!$B$6&amp;SG_Criteria!$B$11&amp;"\"&amp;A230&amp;"\")</f>
        <v/>
      </c>
      <c r="AM230" s="10" t="str">
        <f aca="false">IF(A230="","",A230&amp;"_CAD.dwg")</f>
        <v/>
      </c>
      <c r="AN230" s="10" t="str">
        <f aca="false">IF(A230="","",A230&amp;"_DWG.pdf")</f>
        <v/>
      </c>
      <c r="AO230" s="10" t="str">
        <f aca="false">IF(A230="","",IF(AK230="Y",A230&amp;"_STAAD.std","n/a"))</f>
        <v/>
      </c>
      <c r="AP230" s="10" t="str">
        <f aca="false">IF(A230="","",A230&amp;"_CALC.xlsx")</f>
        <v/>
      </c>
      <c r="AQ230" s="10" t="str">
        <f aca="false">IF(A230="","",A230&amp;"_CALC.pdf")</f>
        <v/>
      </c>
      <c r="AR230" s="9"/>
      <c r="AS230" s="9"/>
      <c r="AT230" s="39"/>
      <c r="AU230" s="39"/>
      <c r="AV230" s="39"/>
      <c r="AW230" s="39"/>
      <c r="AX230" s="39"/>
      <c r="AY230" s="12" t="str">
        <f aca="false">IF(A230="","",IF(COUNTIF(Rebar_Schedule!$A$5:$A$2004,A230)=0,"",ROUND(SUMIF(Rebar_Schedule!$A$5:$A$2004,A230,Rebar_Schedule!$K$5:$K$2004),1)))</f>
        <v/>
      </c>
      <c r="AZ230" s="33" t="str">
        <f aca="false">IF(A230="","",IF(AY230="","No rebar schedule yet",IF(ABS(AY230-N(AU230))/MAX(N(AU230),1)&gt;SG_Criteria!$B$55,"NOTE: register rebar differs from schedule by "&amp;TEXT(ABS(AY230-N(AU230))/MAX(N(AU230),1),"0%"),"OK")))</f>
        <v/>
      </c>
      <c r="BA230" s="33" t="str">
        <f aca="false">IF(OR(D230="",H230=""),"",IF(H230&lt;=IF(OR(D230="Soldier Pile &amp; Timber Lagging",D230="Trench Shoring Box",D230="Open Cut (battered)"),SG_Criteria!$B$34,SG_Criteria!$B$33),"No ERSS submission",IF(H230&lt;=SG_Criteria!$B$35,"QP(ST)",IF(H230&lt;=SG_Criteria!$B$36,"QP(ST) + AC","Geotechnical building works: QP(Geo) + AC"))))</f>
        <v/>
      </c>
      <c r="BB230" s="33" t="str">
        <f aca="false">IF(D230="","",IF(LEN(IF(AND(R230&lt;&gt;"",R230&lt;SG_Criteria!$B$37),"FAIL: base stability FOS &lt; "&amp;SG_Criteria!$B$37&amp;". ","")&amp;IF(AND(E230="Manhole",H230&gt;SG_Criteria!$B$36),"NOTE: BCA lists sewer manholes (pipe &lt;= 2 m dia) &gt; 6 m as non-GBW: QP(ST) + AC. ","")&amp;IF(AND(D230="Trench Shoring Box",I230="Kallang Formation (marine clay)"),"NOTE: check base heave / ground loss for shoring box in marine clay. ","")&amp;IF(AND(D230="Steel Sheet Pile Cofferdam",N(N230)&lt;H230*0.5),"NOTE: short toe embedment, check. ",""))=0,"OK",IF(AND(R230&lt;&gt;"",R230&lt;SG_Criteria!$B$37),"FAIL: base stability FOS &lt; "&amp;SG_Criteria!$B$37&amp;". ","")&amp;IF(AND(E230="Manhole",H230&gt;SG_Criteria!$B$36),"NOTE: BCA lists sewer manholes (pipe &lt;= 2 m dia) &gt; 6 m as non-GBW: QP(ST) + AC. ","")&amp;IF(AND(D230="Trench Shoring Box",I230="Kallang Formation (marine clay)"),"NOTE: check base heave / ground loss for shoring box in marine clay. ","")&amp;IF(AND(D230="Steel Sheet Pile Cofferdam",N(N230)&lt;H230*0.5),"NOTE: short toe embedment, check. ","")))</f>
        <v/>
      </c>
      <c r="BC230" s="9"/>
      <c r="BD230" s="9"/>
      <c r="BE230" s="9"/>
      <c r="BF230" s="10" t="str">
        <f aca="false">IF(BE230="","",IFERROR(VLOOKUP(BE230,Projects!$A$5:$D$504,2,0),"Ref not in Projects"))</f>
        <v/>
      </c>
      <c r="BG230" s="10" t="str">
        <f aca="false">IF(BE230="","",IFERROR(VLOOKUP(BE230,Projects!$A$5:$D$504,4,0),"Ref not in Projects"))</f>
        <v/>
      </c>
      <c r="BH230" s="9"/>
      <c r="BI230" s="9"/>
      <c r="BJ230" s="9"/>
      <c r="BK230" s="40"/>
      <c r="BL230" s="9"/>
      <c r="BM230" s="40"/>
      <c r="BN230" s="9"/>
      <c r="BO230" s="40"/>
      <c r="BP230" s="9"/>
      <c r="BQ230" s="9"/>
      <c r="BR230" s="9"/>
      <c r="BS230" s="40"/>
      <c r="BT230" s="40"/>
      <c r="BU230" s="36" t="str">
        <f aca="false">IF(BT230="","",EDATE(BT230,SG_Criteria!$B$54*12))</f>
        <v/>
      </c>
      <c r="BV230" s="33" t="str">
        <f aca="true">IF(A230="","",IF(BT230="","NOTE: not reviewed yet",IF(TODAY()&gt;BU230,"NOTE: review overdue","OK")))</f>
        <v/>
      </c>
      <c r="BW230" s="37" t="str">
        <f aca="false">IF(A230="","",ROUND((IF(LEN(D230)&gt;0,1,0)+IF(LEN(E230)&gt;0,1,0)+IF(LEN(F230)&gt;0,1,0)+IF(LEN(G230)&gt;0,1,0)+IF(LEN(H230)&gt;0,1,0)+IF(LEN(I230)&gt;0,1,0)+IF(LEN(J230)&gt;0,1,0)+IF(LEN(L230)&gt;0,1,0)+IF(LEN(R230)&gt;0,1,0)+IF(LEN(Y230)&gt;0,1,0)+IF(LEN(AE230)&gt;0,1,0)+IF(LEN(AG230)&gt;0,1,0)+IF(LEN(AH230)&gt;0,1,0)+IF(LEN(AI230)&gt;0,1,0)+IF(LEN(AJ230)&gt;0,1,0)+IF(LEN(AS230)&gt;0,1,0)+IF(LEN(BE230)&gt;0,1,0)+IF(LEN(BR230)&gt;0,1,0))/18,2))</f>
        <v/>
      </c>
      <c r="BX230" s="10" t="str">
        <f aca="false">IF(D230="","",IF(AND(AH230="Approved",ISERROR(SEARCH("FAIL",BB230))),"Y","N"))</f>
        <v/>
      </c>
      <c r="BY230" s="10" t="str">
        <f aca="false">IF(D230="","",D230&amp;"|"&amp;H230&amp;"|"&amp;F230&amp;"|"&amp;I230&amp;"|"&amp;BX230)</f>
        <v/>
      </c>
    </row>
    <row r="231" customFormat="false" ht="15" hidden="false" customHeight="false" outlineLevel="0" collapsed="false">
      <c r="A231" s="10" t="str">
        <f aca="false">IF(D231="","","ERSS-"&amp;IFERROR(VLOOKUP(D231,Lists!$AK$4:$AL$21,2,0),"??")&amp;"-"&amp;TEXT(F231,"0000")&amp;"x"&amp;TEXT(G231,"0000")&amp;"-D"&amp;TEXT(H231*1000,"0000")&amp;"-"&amp;IFERROR(VLOOKUP(I231,Lists!$Y$4:$Z$21,2,0),"??")&amp;"-"&amp;AG231)</f>
        <v/>
      </c>
      <c r="B231" s="10" t="str">
        <f aca="false">IF(D231="","",D231&amp;" for "&amp;E231&amp;", "&amp;F231&amp;" x "&amp;G231&amp;" pit, "&amp;TEXT(H231,"0.0")&amp;" m deep, "&amp;I231)</f>
        <v/>
      </c>
      <c r="C231" s="9"/>
      <c r="D231" s="9"/>
      <c r="E231" s="9"/>
      <c r="F231" s="38"/>
      <c r="G231" s="38"/>
      <c r="H231" s="42"/>
      <c r="I231" s="9"/>
      <c r="J231" s="42"/>
      <c r="K231" s="38"/>
      <c r="L231" s="9"/>
      <c r="M231" s="42"/>
      <c r="N231" s="42"/>
      <c r="O231" s="38"/>
      <c r="P231" s="9"/>
      <c r="Q231" s="9"/>
      <c r="R231" s="39"/>
      <c r="S231" s="39"/>
      <c r="T231" s="38"/>
      <c r="U231" s="38"/>
      <c r="V231" s="38"/>
      <c r="W231" s="9"/>
      <c r="X231" s="9"/>
      <c r="Y231" s="38"/>
      <c r="Z231" s="9"/>
      <c r="AA231" s="9"/>
      <c r="AB231" s="38"/>
      <c r="AC231" s="9"/>
      <c r="AD231" s="39"/>
      <c r="AE231" s="9"/>
      <c r="AF231" s="9"/>
      <c r="AG231" s="9"/>
      <c r="AH231" s="9"/>
      <c r="AI231" s="9"/>
      <c r="AJ231" s="9"/>
      <c r="AK231" s="9"/>
      <c r="AL231" s="10" t="str">
        <f aca="false">IF(A231="","",SG_Criteria!$B$6&amp;SG_Criteria!$B$11&amp;"\"&amp;A231&amp;"\")</f>
        <v/>
      </c>
      <c r="AM231" s="10" t="str">
        <f aca="false">IF(A231="","",A231&amp;"_CAD.dwg")</f>
        <v/>
      </c>
      <c r="AN231" s="10" t="str">
        <f aca="false">IF(A231="","",A231&amp;"_DWG.pdf")</f>
        <v/>
      </c>
      <c r="AO231" s="10" t="str">
        <f aca="false">IF(A231="","",IF(AK231="Y",A231&amp;"_STAAD.std","n/a"))</f>
        <v/>
      </c>
      <c r="AP231" s="10" t="str">
        <f aca="false">IF(A231="","",A231&amp;"_CALC.xlsx")</f>
        <v/>
      </c>
      <c r="AQ231" s="10" t="str">
        <f aca="false">IF(A231="","",A231&amp;"_CALC.pdf")</f>
        <v/>
      </c>
      <c r="AR231" s="9"/>
      <c r="AS231" s="9"/>
      <c r="AT231" s="39"/>
      <c r="AU231" s="39"/>
      <c r="AV231" s="39"/>
      <c r="AW231" s="39"/>
      <c r="AX231" s="39"/>
      <c r="AY231" s="12" t="str">
        <f aca="false">IF(A231="","",IF(COUNTIF(Rebar_Schedule!$A$5:$A$2004,A231)=0,"",ROUND(SUMIF(Rebar_Schedule!$A$5:$A$2004,A231,Rebar_Schedule!$K$5:$K$2004),1)))</f>
        <v/>
      </c>
      <c r="AZ231" s="33" t="str">
        <f aca="false">IF(A231="","",IF(AY231="","No rebar schedule yet",IF(ABS(AY231-N(AU231))/MAX(N(AU231),1)&gt;SG_Criteria!$B$55,"NOTE: register rebar differs from schedule by "&amp;TEXT(ABS(AY231-N(AU231))/MAX(N(AU231),1),"0%"),"OK")))</f>
        <v/>
      </c>
      <c r="BA231" s="33" t="str">
        <f aca="false">IF(OR(D231="",H231=""),"",IF(H231&lt;=IF(OR(D231="Soldier Pile &amp; Timber Lagging",D231="Trench Shoring Box",D231="Open Cut (battered)"),SG_Criteria!$B$34,SG_Criteria!$B$33),"No ERSS submission",IF(H231&lt;=SG_Criteria!$B$35,"QP(ST)",IF(H231&lt;=SG_Criteria!$B$36,"QP(ST) + AC","Geotechnical building works: QP(Geo) + AC"))))</f>
        <v/>
      </c>
      <c r="BB231" s="33" t="str">
        <f aca="false">IF(D231="","",IF(LEN(IF(AND(R231&lt;&gt;"",R231&lt;SG_Criteria!$B$37),"FAIL: base stability FOS &lt; "&amp;SG_Criteria!$B$37&amp;". ","")&amp;IF(AND(E231="Manhole",H231&gt;SG_Criteria!$B$36),"NOTE: BCA lists sewer manholes (pipe &lt;= 2 m dia) &gt; 6 m as non-GBW: QP(ST) + AC. ","")&amp;IF(AND(D231="Trench Shoring Box",I231="Kallang Formation (marine clay)"),"NOTE: check base heave / ground loss for shoring box in marine clay. ","")&amp;IF(AND(D231="Steel Sheet Pile Cofferdam",N(N231)&lt;H231*0.5),"NOTE: short toe embedment, check. ",""))=0,"OK",IF(AND(R231&lt;&gt;"",R231&lt;SG_Criteria!$B$37),"FAIL: base stability FOS &lt; "&amp;SG_Criteria!$B$37&amp;". ","")&amp;IF(AND(E231="Manhole",H231&gt;SG_Criteria!$B$36),"NOTE: BCA lists sewer manholes (pipe &lt;= 2 m dia) &gt; 6 m as non-GBW: QP(ST) + AC. ","")&amp;IF(AND(D231="Trench Shoring Box",I231="Kallang Formation (marine clay)"),"NOTE: check base heave / ground loss for shoring box in marine clay. ","")&amp;IF(AND(D231="Steel Sheet Pile Cofferdam",N(N231)&lt;H231*0.5),"NOTE: short toe embedment, check. ","")))</f>
        <v/>
      </c>
      <c r="BC231" s="9"/>
      <c r="BD231" s="9"/>
      <c r="BE231" s="9"/>
      <c r="BF231" s="10" t="str">
        <f aca="false">IF(BE231="","",IFERROR(VLOOKUP(BE231,Projects!$A$5:$D$504,2,0),"Ref not in Projects"))</f>
        <v/>
      </c>
      <c r="BG231" s="10" t="str">
        <f aca="false">IF(BE231="","",IFERROR(VLOOKUP(BE231,Projects!$A$5:$D$504,4,0),"Ref not in Projects"))</f>
        <v/>
      </c>
      <c r="BH231" s="9"/>
      <c r="BI231" s="9"/>
      <c r="BJ231" s="9"/>
      <c r="BK231" s="40"/>
      <c r="BL231" s="9"/>
      <c r="BM231" s="40"/>
      <c r="BN231" s="9"/>
      <c r="BO231" s="40"/>
      <c r="BP231" s="9"/>
      <c r="BQ231" s="9"/>
      <c r="BR231" s="9"/>
      <c r="BS231" s="40"/>
      <c r="BT231" s="40"/>
      <c r="BU231" s="36" t="str">
        <f aca="false">IF(BT231="","",EDATE(BT231,SG_Criteria!$B$54*12))</f>
        <v/>
      </c>
      <c r="BV231" s="33" t="str">
        <f aca="true">IF(A231="","",IF(BT231="","NOTE: not reviewed yet",IF(TODAY()&gt;BU231,"NOTE: review overdue","OK")))</f>
        <v/>
      </c>
      <c r="BW231" s="37" t="str">
        <f aca="false">IF(A231="","",ROUND((IF(LEN(D231)&gt;0,1,0)+IF(LEN(E231)&gt;0,1,0)+IF(LEN(F231)&gt;0,1,0)+IF(LEN(G231)&gt;0,1,0)+IF(LEN(H231)&gt;0,1,0)+IF(LEN(I231)&gt;0,1,0)+IF(LEN(J231)&gt;0,1,0)+IF(LEN(L231)&gt;0,1,0)+IF(LEN(R231)&gt;0,1,0)+IF(LEN(Y231)&gt;0,1,0)+IF(LEN(AE231)&gt;0,1,0)+IF(LEN(AG231)&gt;0,1,0)+IF(LEN(AH231)&gt;0,1,0)+IF(LEN(AI231)&gt;0,1,0)+IF(LEN(AJ231)&gt;0,1,0)+IF(LEN(AS231)&gt;0,1,0)+IF(LEN(BE231)&gt;0,1,0)+IF(LEN(BR231)&gt;0,1,0))/18,2))</f>
        <v/>
      </c>
      <c r="BX231" s="10" t="str">
        <f aca="false">IF(D231="","",IF(AND(AH231="Approved",ISERROR(SEARCH("FAIL",BB231))),"Y","N"))</f>
        <v/>
      </c>
      <c r="BY231" s="10" t="str">
        <f aca="false">IF(D231="","",D231&amp;"|"&amp;H231&amp;"|"&amp;F231&amp;"|"&amp;I231&amp;"|"&amp;BX231)</f>
        <v/>
      </c>
    </row>
    <row r="232" customFormat="false" ht="15" hidden="false" customHeight="false" outlineLevel="0" collapsed="false">
      <c r="A232" s="10" t="str">
        <f aca="false">IF(D232="","","ERSS-"&amp;IFERROR(VLOOKUP(D232,Lists!$AK$4:$AL$21,2,0),"??")&amp;"-"&amp;TEXT(F232,"0000")&amp;"x"&amp;TEXT(G232,"0000")&amp;"-D"&amp;TEXT(H232*1000,"0000")&amp;"-"&amp;IFERROR(VLOOKUP(I232,Lists!$Y$4:$Z$21,2,0),"??")&amp;"-"&amp;AG232)</f>
        <v/>
      </c>
      <c r="B232" s="10" t="str">
        <f aca="false">IF(D232="","",D232&amp;" for "&amp;E232&amp;", "&amp;F232&amp;" x "&amp;G232&amp;" pit, "&amp;TEXT(H232,"0.0")&amp;" m deep, "&amp;I232)</f>
        <v/>
      </c>
      <c r="C232" s="9"/>
      <c r="D232" s="9"/>
      <c r="E232" s="9"/>
      <c r="F232" s="38"/>
      <c r="G232" s="38"/>
      <c r="H232" s="42"/>
      <c r="I232" s="9"/>
      <c r="J232" s="42"/>
      <c r="K232" s="38"/>
      <c r="L232" s="9"/>
      <c r="M232" s="42"/>
      <c r="N232" s="42"/>
      <c r="O232" s="38"/>
      <c r="P232" s="9"/>
      <c r="Q232" s="9"/>
      <c r="R232" s="39"/>
      <c r="S232" s="39"/>
      <c r="T232" s="38"/>
      <c r="U232" s="38"/>
      <c r="V232" s="38"/>
      <c r="W232" s="9"/>
      <c r="X232" s="9"/>
      <c r="Y232" s="38"/>
      <c r="Z232" s="9"/>
      <c r="AA232" s="9"/>
      <c r="AB232" s="38"/>
      <c r="AC232" s="9"/>
      <c r="AD232" s="39"/>
      <c r="AE232" s="9"/>
      <c r="AF232" s="9"/>
      <c r="AG232" s="9"/>
      <c r="AH232" s="9"/>
      <c r="AI232" s="9"/>
      <c r="AJ232" s="9"/>
      <c r="AK232" s="9"/>
      <c r="AL232" s="10" t="str">
        <f aca="false">IF(A232="","",SG_Criteria!$B$6&amp;SG_Criteria!$B$11&amp;"\"&amp;A232&amp;"\")</f>
        <v/>
      </c>
      <c r="AM232" s="10" t="str">
        <f aca="false">IF(A232="","",A232&amp;"_CAD.dwg")</f>
        <v/>
      </c>
      <c r="AN232" s="10" t="str">
        <f aca="false">IF(A232="","",A232&amp;"_DWG.pdf")</f>
        <v/>
      </c>
      <c r="AO232" s="10" t="str">
        <f aca="false">IF(A232="","",IF(AK232="Y",A232&amp;"_STAAD.std","n/a"))</f>
        <v/>
      </c>
      <c r="AP232" s="10" t="str">
        <f aca="false">IF(A232="","",A232&amp;"_CALC.xlsx")</f>
        <v/>
      </c>
      <c r="AQ232" s="10" t="str">
        <f aca="false">IF(A232="","",A232&amp;"_CALC.pdf")</f>
        <v/>
      </c>
      <c r="AR232" s="9"/>
      <c r="AS232" s="9"/>
      <c r="AT232" s="39"/>
      <c r="AU232" s="39"/>
      <c r="AV232" s="39"/>
      <c r="AW232" s="39"/>
      <c r="AX232" s="39"/>
      <c r="AY232" s="12" t="str">
        <f aca="false">IF(A232="","",IF(COUNTIF(Rebar_Schedule!$A$5:$A$2004,A232)=0,"",ROUND(SUMIF(Rebar_Schedule!$A$5:$A$2004,A232,Rebar_Schedule!$K$5:$K$2004),1)))</f>
        <v/>
      </c>
      <c r="AZ232" s="33" t="str">
        <f aca="false">IF(A232="","",IF(AY232="","No rebar schedule yet",IF(ABS(AY232-N(AU232))/MAX(N(AU232),1)&gt;SG_Criteria!$B$55,"NOTE: register rebar differs from schedule by "&amp;TEXT(ABS(AY232-N(AU232))/MAX(N(AU232),1),"0%"),"OK")))</f>
        <v/>
      </c>
      <c r="BA232" s="33" t="str">
        <f aca="false">IF(OR(D232="",H232=""),"",IF(H232&lt;=IF(OR(D232="Soldier Pile &amp; Timber Lagging",D232="Trench Shoring Box",D232="Open Cut (battered)"),SG_Criteria!$B$34,SG_Criteria!$B$33),"No ERSS submission",IF(H232&lt;=SG_Criteria!$B$35,"QP(ST)",IF(H232&lt;=SG_Criteria!$B$36,"QP(ST) + AC","Geotechnical building works: QP(Geo) + AC"))))</f>
        <v/>
      </c>
      <c r="BB232" s="33" t="str">
        <f aca="false">IF(D232="","",IF(LEN(IF(AND(R232&lt;&gt;"",R232&lt;SG_Criteria!$B$37),"FAIL: base stability FOS &lt; "&amp;SG_Criteria!$B$37&amp;". ","")&amp;IF(AND(E232="Manhole",H232&gt;SG_Criteria!$B$36),"NOTE: BCA lists sewer manholes (pipe &lt;= 2 m dia) &gt; 6 m as non-GBW: QP(ST) + AC. ","")&amp;IF(AND(D232="Trench Shoring Box",I232="Kallang Formation (marine clay)"),"NOTE: check base heave / ground loss for shoring box in marine clay. ","")&amp;IF(AND(D232="Steel Sheet Pile Cofferdam",N(N232)&lt;H232*0.5),"NOTE: short toe embedment, check. ",""))=0,"OK",IF(AND(R232&lt;&gt;"",R232&lt;SG_Criteria!$B$37),"FAIL: base stability FOS &lt; "&amp;SG_Criteria!$B$37&amp;". ","")&amp;IF(AND(E232="Manhole",H232&gt;SG_Criteria!$B$36),"NOTE: BCA lists sewer manholes (pipe &lt;= 2 m dia) &gt; 6 m as non-GBW: QP(ST) + AC. ","")&amp;IF(AND(D232="Trench Shoring Box",I232="Kallang Formation (marine clay)"),"NOTE: check base heave / ground loss for shoring box in marine clay. ","")&amp;IF(AND(D232="Steel Sheet Pile Cofferdam",N(N232)&lt;H232*0.5),"NOTE: short toe embedment, check. ","")))</f>
        <v/>
      </c>
      <c r="BC232" s="9"/>
      <c r="BD232" s="9"/>
      <c r="BE232" s="9"/>
      <c r="BF232" s="10" t="str">
        <f aca="false">IF(BE232="","",IFERROR(VLOOKUP(BE232,Projects!$A$5:$D$504,2,0),"Ref not in Projects"))</f>
        <v/>
      </c>
      <c r="BG232" s="10" t="str">
        <f aca="false">IF(BE232="","",IFERROR(VLOOKUP(BE232,Projects!$A$5:$D$504,4,0),"Ref not in Projects"))</f>
        <v/>
      </c>
      <c r="BH232" s="9"/>
      <c r="BI232" s="9"/>
      <c r="BJ232" s="9"/>
      <c r="BK232" s="40"/>
      <c r="BL232" s="9"/>
      <c r="BM232" s="40"/>
      <c r="BN232" s="9"/>
      <c r="BO232" s="40"/>
      <c r="BP232" s="9"/>
      <c r="BQ232" s="9"/>
      <c r="BR232" s="9"/>
      <c r="BS232" s="40"/>
      <c r="BT232" s="40"/>
      <c r="BU232" s="36" t="str">
        <f aca="false">IF(BT232="","",EDATE(BT232,SG_Criteria!$B$54*12))</f>
        <v/>
      </c>
      <c r="BV232" s="33" t="str">
        <f aca="true">IF(A232="","",IF(BT232="","NOTE: not reviewed yet",IF(TODAY()&gt;BU232,"NOTE: review overdue","OK")))</f>
        <v/>
      </c>
      <c r="BW232" s="37" t="str">
        <f aca="false">IF(A232="","",ROUND((IF(LEN(D232)&gt;0,1,0)+IF(LEN(E232)&gt;0,1,0)+IF(LEN(F232)&gt;0,1,0)+IF(LEN(G232)&gt;0,1,0)+IF(LEN(H232)&gt;0,1,0)+IF(LEN(I232)&gt;0,1,0)+IF(LEN(J232)&gt;0,1,0)+IF(LEN(L232)&gt;0,1,0)+IF(LEN(R232)&gt;0,1,0)+IF(LEN(Y232)&gt;0,1,0)+IF(LEN(AE232)&gt;0,1,0)+IF(LEN(AG232)&gt;0,1,0)+IF(LEN(AH232)&gt;0,1,0)+IF(LEN(AI232)&gt;0,1,0)+IF(LEN(AJ232)&gt;0,1,0)+IF(LEN(AS232)&gt;0,1,0)+IF(LEN(BE232)&gt;0,1,0)+IF(LEN(BR232)&gt;0,1,0))/18,2))</f>
        <v/>
      </c>
      <c r="BX232" s="10" t="str">
        <f aca="false">IF(D232="","",IF(AND(AH232="Approved",ISERROR(SEARCH("FAIL",BB232))),"Y","N"))</f>
        <v/>
      </c>
      <c r="BY232" s="10" t="str">
        <f aca="false">IF(D232="","",D232&amp;"|"&amp;H232&amp;"|"&amp;F232&amp;"|"&amp;I232&amp;"|"&amp;BX232)</f>
        <v/>
      </c>
    </row>
    <row r="233" customFormat="false" ht="15" hidden="false" customHeight="false" outlineLevel="0" collapsed="false">
      <c r="A233" s="10" t="str">
        <f aca="false">IF(D233="","","ERSS-"&amp;IFERROR(VLOOKUP(D233,Lists!$AK$4:$AL$21,2,0),"??")&amp;"-"&amp;TEXT(F233,"0000")&amp;"x"&amp;TEXT(G233,"0000")&amp;"-D"&amp;TEXT(H233*1000,"0000")&amp;"-"&amp;IFERROR(VLOOKUP(I233,Lists!$Y$4:$Z$21,2,0),"??")&amp;"-"&amp;AG233)</f>
        <v/>
      </c>
      <c r="B233" s="10" t="str">
        <f aca="false">IF(D233="","",D233&amp;" for "&amp;E233&amp;", "&amp;F233&amp;" x "&amp;G233&amp;" pit, "&amp;TEXT(H233,"0.0")&amp;" m deep, "&amp;I233)</f>
        <v/>
      </c>
      <c r="C233" s="9"/>
      <c r="D233" s="9"/>
      <c r="E233" s="9"/>
      <c r="F233" s="38"/>
      <c r="G233" s="38"/>
      <c r="H233" s="42"/>
      <c r="I233" s="9"/>
      <c r="J233" s="42"/>
      <c r="K233" s="38"/>
      <c r="L233" s="9"/>
      <c r="M233" s="42"/>
      <c r="N233" s="42"/>
      <c r="O233" s="38"/>
      <c r="P233" s="9"/>
      <c r="Q233" s="9"/>
      <c r="R233" s="39"/>
      <c r="S233" s="39"/>
      <c r="T233" s="38"/>
      <c r="U233" s="38"/>
      <c r="V233" s="38"/>
      <c r="W233" s="9"/>
      <c r="X233" s="9"/>
      <c r="Y233" s="38"/>
      <c r="Z233" s="9"/>
      <c r="AA233" s="9"/>
      <c r="AB233" s="38"/>
      <c r="AC233" s="9"/>
      <c r="AD233" s="39"/>
      <c r="AE233" s="9"/>
      <c r="AF233" s="9"/>
      <c r="AG233" s="9"/>
      <c r="AH233" s="9"/>
      <c r="AI233" s="9"/>
      <c r="AJ233" s="9"/>
      <c r="AK233" s="9"/>
      <c r="AL233" s="10" t="str">
        <f aca="false">IF(A233="","",SG_Criteria!$B$6&amp;SG_Criteria!$B$11&amp;"\"&amp;A233&amp;"\")</f>
        <v/>
      </c>
      <c r="AM233" s="10" t="str">
        <f aca="false">IF(A233="","",A233&amp;"_CAD.dwg")</f>
        <v/>
      </c>
      <c r="AN233" s="10" t="str">
        <f aca="false">IF(A233="","",A233&amp;"_DWG.pdf")</f>
        <v/>
      </c>
      <c r="AO233" s="10" t="str">
        <f aca="false">IF(A233="","",IF(AK233="Y",A233&amp;"_STAAD.std","n/a"))</f>
        <v/>
      </c>
      <c r="AP233" s="10" t="str">
        <f aca="false">IF(A233="","",A233&amp;"_CALC.xlsx")</f>
        <v/>
      </c>
      <c r="AQ233" s="10" t="str">
        <f aca="false">IF(A233="","",A233&amp;"_CALC.pdf")</f>
        <v/>
      </c>
      <c r="AR233" s="9"/>
      <c r="AS233" s="9"/>
      <c r="AT233" s="39"/>
      <c r="AU233" s="39"/>
      <c r="AV233" s="39"/>
      <c r="AW233" s="39"/>
      <c r="AX233" s="39"/>
      <c r="AY233" s="12" t="str">
        <f aca="false">IF(A233="","",IF(COUNTIF(Rebar_Schedule!$A$5:$A$2004,A233)=0,"",ROUND(SUMIF(Rebar_Schedule!$A$5:$A$2004,A233,Rebar_Schedule!$K$5:$K$2004),1)))</f>
        <v/>
      </c>
      <c r="AZ233" s="33" t="str">
        <f aca="false">IF(A233="","",IF(AY233="","No rebar schedule yet",IF(ABS(AY233-N(AU233))/MAX(N(AU233),1)&gt;SG_Criteria!$B$55,"NOTE: register rebar differs from schedule by "&amp;TEXT(ABS(AY233-N(AU233))/MAX(N(AU233),1),"0%"),"OK")))</f>
        <v/>
      </c>
      <c r="BA233" s="33" t="str">
        <f aca="false">IF(OR(D233="",H233=""),"",IF(H233&lt;=IF(OR(D233="Soldier Pile &amp; Timber Lagging",D233="Trench Shoring Box",D233="Open Cut (battered)"),SG_Criteria!$B$34,SG_Criteria!$B$33),"No ERSS submission",IF(H233&lt;=SG_Criteria!$B$35,"QP(ST)",IF(H233&lt;=SG_Criteria!$B$36,"QP(ST) + AC","Geotechnical building works: QP(Geo) + AC"))))</f>
        <v/>
      </c>
      <c r="BB233" s="33" t="str">
        <f aca="false">IF(D233="","",IF(LEN(IF(AND(R233&lt;&gt;"",R233&lt;SG_Criteria!$B$37),"FAIL: base stability FOS &lt; "&amp;SG_Criteria!$B$37&amp;". ","")&amp;IF(AND(E233="Manhole",H233&gt;SG_Criteria!$B$36),"NOTE: BCA lists sewer manholes (pipe &lt;= 2 m dia) &gt; 6 m as non-GBW: QP(ST) + AC. ","")&amp;IF(AND(D233="Trench Shoring Box",I233="Kallang Formation (marine clay)"),"NOTE: check base heave / ground loss for shoring box in marine clay. ","")&amp;IF(AND(D233="Steel Sheet Pile Cofferdam",N(N233)&lt;H233*0.5),"NOTE: short toe embedment, check. ",""))=0,"OK",IF(AND(R233&lt;&gt;"",R233&lt;SG_Criteria!$B$37),"FAIL: base stability FOS &lt; "&amp;SG_Criteria!$B$37&amp;". ","")&amp;IF(AND(E233="Manhole",H233&gt;SG_Criteria!$B$36),"NOTE: BCA lists sewer manholes (pipe &lt;= 2 m dia) &gt; 6 m as non-GBW: QP(ST) + AC. ","")&amp;IF(AND(D233="Trench Shoring Box",I233="Kallang Formation (marine clay)"),"NOTE: check base heave / ground loss for shoring box in marine clay. ","")&amp;IF(AND(D233="Steel Sheet Pile Cofferdam",N(N233)&lt;H233*0.5),"NOTE: short toe embedment, check. ","")))</f>
        <v/>
      </c>
      <c r="BC233" s="9"/>
      <c r="BD233" s="9"/>
      <c r="BE233" s="9"/>
      <c r="BF233" s="10" t="str">
        <f aca="false">IF(BE233="","",IFERROR(VLOOKUP(BE233,Projects!$A$5:$D$504,2,0),"Ref not in Projects"))</f>
        <v/>
      </c>
      <c r="BG233" s="10" t="str">
        <f aca="false">IF(BE233="","",IFERROR(VLOOKUP(BE233,Projects!$A$5:$D$504,4,0),"Ref not in Projects"))</f>
        <v/>
      </c>
      <c r="BH233" s="9"/>
      <c r="BI233" s="9"/>
      <c r="BJ233" s="9"/>
      <c r="BK233" s="40"/>
      <c r="BL233" s="9"/>
      <c r="BM233" s="40"/>
      <c r="BN233" s="9"/>
      <c r="BO233" s="40"/>
      <c r="BP233" s="9"/>
      <c r="BQ233" s="9"/>
      <c r="BR233" s="9"/>
      <c r="BS233" s="40"/>
      <c r="BT233" s="40"/>
      <c r="BU233" s="36" t="str">
        <f aca="false">IF(BT233="","",EDATE(BT233,SG_Criteria!$B$54*12))</f>
        <v/>
      </c>
      <c r="BV233" s="33" t="str">
        <f aca="true">IF(A233="","",IF(BT233="","NOTE: not reviewed yet",IF(TODAY()&gt;BU233,"NOTE: review overdue","OK")))</f>
        <v/>
      </c>
      <c r="BW233" s="37" t="str">
        <f aca="false">IF(A233="","",ROUND((IF(LEN(D233)&gt;0,1,0)+IF(LEN(E233)&gt;0,1,0)+IF(LEN(F233)&gt;0,1,0)+IF(LEN(G233)&gt;0,1,0)+IF(LEN(H233)&gt;0,1,0)+IF(LEN(I233)&gt;0,1,0)+IF(LEN(J233)&gt;0,1,0)+IF(LEN(L233)&gt;0,1,0)+IF(LEN(R233)&gt;0,1,0)+IF(LEN(Y233)&gt;0,1,0)+IF(LEN(AE233)&gt;0,1,0)+IF(LEN(AG233)&gt;0,1,0)+IF(LEN(AH233)&gt;0,1,0)+IF(LEN(AI233)&gt;0,1,0)+IF(LEN(AJ233)&gt;0,1,0)+IF(LEN(AS233)&gt;0,1,0)+IF(LEN(BE233)&gt;0,1,0)+IF(LEN(BR233)&gt;0,1,0))/18,2))</f>
        <v/>
      </c>
      <c r="BX233" s="10" t="str">
        <f aca="false">IF(D233="","",IF(AND(AH233="Approved",ISERROR(SEARCH("FAIL",BB233))),"Y","N"))</f>
        <v/>
      </c>
      <c r="BY233" s="10" t="str">
        <f aca="false">IF(D233="","",D233&amp;"|"&amp;H233&amp;"|"&amp;F233&amp;"|"&amp;I233&amp;"|"&amp;BX233)</f>
        <v/>
      </c>
    </row>
    <row r="234" customFormat="false" ht="15" hidden="false" customHeight="false" outlineLevel="0" collapsed="false">
      <c r="A234" s="10" t="str">
        <f aca="false">IF(D234="","","ERSS-"&amp;IFERROR(VLOOKUP(D234,Lists!$AK$4:$AL$21,2,0),"??")&amp;"-"&amp;TEXT(F234,"0000")&amp;"x"&amp;TEXT(G234,"0000")&amp;"-D"&amp;TEXT(H234*1000,"0000")&amp;"-"&amp;IFERROR(VLOOKUP(I234,Lists!$Y$4:$Z$21,2,0),"??")&amp;"-"&amp;AG234)</f>
        <v/>
      </c>
      <c r="B234" s="10" t="str">
        <f aca="false">IF(D234="","",D234&amp;" for "&amp;E234&amp;", "&amp;F234&amp;" x "&amp;G234&amp;" pit, "&amp;TEXT(H234,"0.0")&amp;" m deep, "&amp;I234)</f>
        <v/>
      </c>
      <c r="C234" s="9"/>
      <c r="D234" s="9"/>
      <c r="E234" s="9"/>
      <c r="F234" s="38"/>
      <c r="G234" s="38"/>
      <c r="H234" s="42"/>
      <c r="I234" s="9"/>
      <c r="J234" s="42"/>
      <c r="K234" s="38"/>
      <c r="L234" s="9"/>
      <c r="M234" s="42"/>
      <c r="N234" s="42"/>
      <c r="O234" s="38"/>
      <c r="P234" s="9"/>
      <c r="Q234" s="9"/>
      <c r="R234" s="39"/>
      <c r="S234" s="39"/>
      <c r="T234" s="38"/>
      <c r="U234" s="38"/>
      <c r="V234" s="38"/>
      <c r="W234" s="9"/>
      <c r="X234" s="9"/>
      <c r="Y234" s="38"/>
      <c r="Z234" s="9"/>
      <c r="AA234" s="9"/>
      <c r="AB234" s="38"/>
      <c r="AC234" s="9"/>
      <c r="AD234" s="39"/>
      <c r="AE234" s="9"/>
      <c r="AF234" s="9"/>
      <c r="AG234" s="9"/>
      <c r="AH234" s="9"/>
      <c r="AI234" s="9"/>
      <c r="AJ234" s="9"/>
      <c r="AK234" s="9"/>
      <c r="AL234" s="10" t="str">
        <f aca="false">IF(A234="","",SG_Criteria!$B$6&amp;SG_Criteria!$B$11&amp;"\"&amp;A234&amp;"\")</f>
        <v/>
      </c>
      <c r="AM234" s="10" t="str">
        <f aca="false">IF(A234="","",A234&amp;"_CAD.dwg")</f>
        <v/>
      </c>
      <c r="AN234" s="10" t="str">
        <f aca="false">IF(A234="","",A234&amp;"_DWG.pdf")</f>
        <v/>
      </c>
      <c r="AO234" s="10" t="str">
        <f aca="false">IF(A234="","",IF(AK234="Y",A234&amp;"_STAAD.std","n/a"))</f>
        <v/>
      </c>
      <c r="AP234" s="10" t="str">
        <f aca="false">IF(A234="","",A234&amp;"_CALC.xlsx")</f>
        <v/>
      </c>
      <c r="AQ234" s="10" t="str">
        <f aca="false">IF(A234="","",A234&amp;"_CALC.pdf")</f>
        <v/>
      </c>
      <c r="AR234" s="9"/>
      <c r="AS234" s="9"/>
      <c r="AT234" s="39"/>
      <c r="AU234" s="39"/>
      <c r="AV234" s="39"/>
      <c r="AW234" s="39"/>
      <c r="AX234" s="39"/>
      <c r="AY234" s="12" t="str">
        <f aca="false">IF(A234="","",IF(COUNTIF(Rebar_Schedule!$A$5:$A$2004,A234)=0,"",ROUND(SUMIF(Rebar_Schedule!$A$5:$A$2004,A234,Rebar_Schedule!$K$5:$K$2004),1)))</f>
        <v/>
      </c>
      <c r="AZ234" s="33" t="str">
        <f aca="false">IF(A234="","",IF(AY234="","No rebar schedule yet",IF(ABS(AY234-N(AU234))/MAX(N(AU234),1)&gt;SG_Criteria!$B$55,"NOTE: register rebar differs from schedule by "&amp;TEXT(ABS(AY234-N(AU234))/MAX(N(AU234),1),"0%"),"OK")))</f>
        <v/>
      </c>
      <c r="BA234" s="33" t="str">
        <f aca="false">IF(OR(D234="",H234=""),"",IF(H234&lt;=IF(OR(D234="Soldier Pile &amp; Timber Lagging",D234="Trench Shoring Box",D234="Open Cut (battered)"),SG_Criteria!$B$34,SG_Criteria!$B$33),"No ERSS submission",IF(H234&lt;=SG_Criteria!$B$35,"QP(ST)",IF(H234&lt;=SG_Criteria!$B$36,"QP(ST) + AC","Geotechnical building works: QP(Geo) + AC"))))</f>
        <v/>
      </c>
      <c r="BB234" s="33" t="str">
        <f aca="false">IF(D234="","",IF(LEN(IF(AND(R234&lt;&gt;"",R234&lt;SG_Criteria!$B$37),"FAIL: base stability FOS &lt; "&amp;SG_Criteria!$B$37&amp;". ","")&amp;IF(AND(E234="Manhole",H234&gt;SG_Criteria!$B$36),"NOTE: BCA lists sewer manholes (pipe &lt;= 2 m dia) &gt; 6 m as non-GBW: QP(ST) + AC. ","")&amp;IF(AND(D234="Trench Shoring Box",I234="Kallang Formation (marine clay)"),"NOTE: check base heave / ground loss for shoring box in marine clay. ","")&amp;IF(AND(D234="Steel Sheet Pile Cofferdam",N(N234)&lt;H234*0.5),"NOTE: short toe embedment, check. ",""))=0,"OK",IF(AND(R234&lt;&gt;"",R234&lt;SG_Criteria!$B$37),"FAIL: base stability FOS &lt; "&amp;SG_Criteria!$B$37&amp;". ","")&amp;IF(AND(E234="Manhole",H234&gt;SG_Criteria!$B$36),"NOTE: BCA lists sewer manholes (pipe &lt;= 2 m dia) &gt; 6 m as non-GBW: QP(ST) + AC. ","")&amp;IF(AND(D234="Trench Shoring Box",I234="Kallang Formation (marine clay)"),"NOTE: check base heave / ground loss for shoring box in marine clay. ","")&amp;IF(AND(D234="Steel Sheet Pile Cofferdam",N(N234)&lt;H234*0.5),"NOTE: short toe embedment, check. ","")))</f>
        <v/>
      </c>
      <c r="BC234" s="9"/>
      <c r="BD234" s="9"/>
      <c r="BE234" s="9"/>
      <c r="BF234" s="10" t="str">
        <f aca="false">IF(BE234="","",IFERROR(VLOOKUP(BE234,Projects!$A$5:$D$504,2,0),"Ref not in Projects"))</f>
        <v/>
      </c>
      <c r="BG234" s="10" t="str">
        <f aca="false">IF(BE234="","",IFERROR(VLOOKUP(BE234,Projects!$A$5:$D$504,4,0),"Ref not in Projects"))</f>
        <v/>
      </c>
      <c r="BH234" s="9"/>
      <c r="BI234" s="9"/>
      <c r="BJ234" s="9"/>
      <c r="BK234" s="40"/>
      <c r="BL234" s="9"/>
      <c r="BM234" s="40"/>
      <c r="BN234" s="9"/>
      <c r="BO234" s="40"/>
      <c r="BP234" s="9"/>
      <c r="BQ234" s="9"/>
      <c r="BR234" s="9"/>
      <c r="BS234" s="40"/>
      <c r="BT234" s="40"/>
      <c r="BU234" s="36" t="str">
        <f aca="false">IF(BT234="","",EDATE(BT234,SG_Criteria!$B$54*12))</f>
        <v/>
      </c>
      <c r="BV234" s="33" t="str">
        <f aca="true">IF(A234="","",IF(BT234="","NOTE: not reviewed yet",IF(TODAY()&gt;BU234,"NOTE: review overdue","OK")))</f>
        <v/>
      </c>
      <c r="BW234" s="37" t="str">
        <f aca="false">IF(A234="","",ROUND((IF(LEN(D234)&gt;0,1,0)+IF(LEN(E234)&gt;0,1,0)+IF(LEN(F234)&gt;0,1,0)+IF(LEN(G234)&gt;0,1,0)+IF(LEN(H234)&gt;0,1,0)+IF(LEN(I234)&gt;0,1,0)+IF(LEN(J234)&gt;0,1,0)+IF(LEN(L234)&gt;0,1,0)+IF(LEN(R234)&gt;0,1,0)+IF(LEN(Y234)&gt;0,1,0)+IF(LEN(AE234)&gt;0,1,0)+IF(LEN(AG234)&gt;0,1,0)+IF(LEN(AH234)&gt;0,1,0)+IF(LEN(AI234)&gt;0,1,0)+IF(LEN(AJ234)&gt;0,1,0)+IF(LEN(AS234)&gt;0,1,0)+IF(LEN(BE234)&gt;0,1,0)+IF(LEN(BR234)&gt;0,1,0))/18,2))</f>
        <v/>
      </c>
      <c r="BX234" s="10" t="str">
        <f aca="false">IF(D234="","",IF(AND(AH234="Approved",ISERROR(SEARCH("FAIL",BB234))),"Y","N"))</f>
        <v/>
      </c>
      <c r="BY234" s="10" t="str">
        <f aca="false">IF(D234="","",D234&amp;"|"&amp;H234&amp;"|"&amp;F234&amp;"|"&amp;I234&amp;"|"&amp;BX234)</f>
        <v/>
      </c>
    </row>
    <row r="235" customFormat="false" ht="15" hidden="false" customHeight="false" outlineLevel="0" collapsed="false">
      <c r="A235" s="10" t="str">
        <f aca="false">IF(D235="","","ERSS-"&amp;IFERROR(VLOOKUP(D235,Lists!$AK$4:$AL$21,2,0),"??")&amp;"-"&amp;TEXT(F235,"0000")&amp;"x"&amp;TEXT(G235,"0000")&amp;"-D"&amp;TEXT(H235*1000,"0000")&amp;"-"&amp;IFERROR(VLOOKUP(I235,Lists!$Y$4:$Z$21,2,0),"??")&amp;"-"&amp;AG235)</f>
        <v/>
      </c>
      <c r="B235" s="10" t="str">
        <f aca="false">IF(D235="","",D235&amp;" for "&amp;E235&amp;", "&amp;F235&amp;" x "&amp;G235&amp;" pit, "&amp;TEXT(H235,"0.0")&amp;" m deep, "&amp;I235)</f>
        <v/>
      </c>
      <c r="C235" s="9"/>
      <c r="D235" s="9"/>
      <c r="E235" s="9"/>
      <c r="F235" s="38"/>
      <c r="G235" s="38"/>
      <c r="H235" s="42"/>
      <c r="I235" s="9"/>
      <c r="J235" s="42"/>
      <c r="K235" s="38"/>
      <c r="L235" s="9"/>
      <c r="M235" s="42"/>
      <c r="N235" s="42"/>
      <c r="O235" s="38"/>
      <c r="P235" s="9"/>
      <c r="Q235" s="9"/>
      <c r="R235" s="39"/>
      <c r="S235" s="39"/>
      <c r="T235" s="38"/>
      <c r="U235" s="38"/>
      <c r="V235" s="38"/>
      <c r="W235" s="9"/>
      <c r="X235" s="9"/>
      <c r="Y235" s="38"/>
      <c r="Z235" s="9"/>
      <c r="AA235" s="9"/>
      <c r="AB235" s="38"/>
      <c r="AC235" s="9"/>
      <c r="AD235" s="39"/>
      <c r="AE235" s="9"/>
      <c r="AF235" s="9"/>
      <c r="AG235" s="9"/>
      <c r="AH235" s="9"/>
      <c r="AI235" s="9"/>
      <c r="AJ235" s="9"/>
      <c r="AK235" s="9"/>
      <c r="AL235" s="10" t="str">
        <f aca="false">IF(A235="","",SG_Criteria!$B$6&amp;SG_Criteria!$B$11&amp;"\"&amp;A235&amp;"\")</f>
        <v/>
      </c>
      <c r="AM235" s="10" t="str">
        <f aca="false">IF(A235="","",A235&amp;"_CAD.dwg")</f>
        <v/>
      </c>
      <c r="AN235" s="10" t="str">
        <f aca="false">IF(A235="","",A235&amp;"_DWG.pdf")</f>
        <v/>
      </c>
      <c r="AO235" s="10" t="str">
        <f aca="false">IF(A235="","",IF(AK235="Y",A235&amp;"_STAAD.std","n/a"))</f>
        <v/>
      </c>
      <c r="AP235" s="10" t="str">
        <f aca="false">IF(A235="","",A235&amp;"_CALC.xlsx")</f>
        <v/>
      </c>
      <c r="AQ235" s="10" t="str">
        <f aca="false">IF(A235="","",A235&amp;"_CALC.pdf")</f>
        <v/>
      </c>
      <c r="AR235" s="9"/>
      <c r="AS235" s="9"/>
      <c r="AT235" s="39"/>
      <c r="AU235" s="39"/>
      <c r="AV235" s="39"/>
      <c r="AW235" s="39"/>
      <c r="AX235" s="39"/>
      <c r="AY235" s="12" t="str">
        <f aca="false">IF(A235="","",IF(COUNTIF(Rebar_Schedule!$A$5:$A$2004,A235)=0,"",ROUND(SUMIF(Rebar_Schedule!$A$5:$A$2004,A235,Rebar_Schedule!$K$5:$K$2004),1)))</f>
        <v/>
      </c>
      <c r="AZ235" s="33" t="str">
        <f aca="false">IF(A235="","",IF(AY235="","No rebar schedule yet",IF(ABS(AY235-N(AU235))/MAX(N(AU235),1)&gt;SG_Criteria!$B$55,"NOTE: register rebar differs from schedule by "&amp;TEXT(ABS(AY235-N(AU235))/MAX(N(AU235),1),"0%"),"OK")))</f>
        <v/>
      </c>
      <c r="BA235" s="33" t="str">
        <f aca="false">IF(OR(D235="",H235=""),"",IF(H235&lt;=IF(OR(D235="Soldier Pile &amp; Timber Lagging",D235="Trench Shoring Box",D235="Open Cut (battered)"),SG_Criteria!$B$34,SG_Criteria!$B$33),"No ERSS submission",IF(H235&lt;=SG_Criteria!$B$35,"QP(ST)",IF(H235&lt;=SG_Criteria!$B$36,"QP(ST) + AC","Geotechnical building works: QP(Geo) + AC"))))</f>
        <v/>
      </c>
      <c r="BB235" s="33" t="str">
        <f aca="false">IF(D235="","",IF(LEN(IF(AND(R235&lt;&gt;"",R235&lt;SG_Criteria!$B$37),"FAIL: base stability FOS &lt; "&amp;SG_Criteria!$B$37&amp;". ","")&amp;IF(AND(E235="Manhole",H235&gt;SG_Criteria!$B$36),"NOTE: BCA lists sewer manholes (pipe &lt;= 2 m dia) &gt; 6 m as non-GBW: QP(ST) + AC. ","")&amp;IF(AND(D235="Trench Shoring Box",I235="Kallang Formation (marine clay)"),"NOTE: check base heave / ground loss for shoring box in marine clay. ","")&amp;IF(AND(D235="Steel Sheet Pile Cofferdam",N(N235)&lt;H235*0.5),"NOTE: short toe embedment, check. ",""))=0,"OK",IF(AND(R235&lt;&gt;"",R235&lt;SG_Criteria!$B$37),"FAIL: base stability FOS &lt; "&amp;SG_Criteria!$B$37&amp;". ","")&amp;IF(AND(E235="Manhole",H235&gt;SG_Criteria!$B$36),"NOTE: BCA lists sewer manholes (pipe &lt;= 2 m dia) &gt; 6 m as non-GBW: QP(ST) + AC. ","")&amp;IF(AND(D235="Trench Shoring Box",I235="Kallang Formation (marine clay)"),"NOTE: check base heave / ground loss for shoring box in marine clay. ","")&amp;IF(AND(D235="Steel Sheet Pile Cofferdam",N(N235)&lt;H235*0.5),"NOTE: short toe embedment, check. ","")))</f>
        <v/>
      </c>
      <c r="BC235" s="9"/>
      <c r="BD235" s="9"/>
      <c r="BE235" s="9"/>
      <c r="BF235" s="10" t="str">
        <f aca="false">IF(BE235="","",IFERROR(VLOOKUP(BE235,Projects!$A$5:$D$504,2,0),"Ref not in Projects"))</f>
        <v/>
      </c>
      <c r="BG235" s="10" t="str">
        <f aca="false">IF(BE235="","",IFERROR(VLOOKUP(BE235,Projects!$A$5:$D$504,4,0),"Ref not in Projects"))</f>
        <v/>
      </c>
      <c r="BH235" s="9"/>
      <c r="BI235" s="9"/>
      <c r="BJ235" s="9"/>
      <c r="BK235" s="40"/>
      <c r="BL235" s="9"/>
      <c r="BM235" s="40"/>
      <c r="BN235" s="9"/>
      <c r="BO235" s="40"/>
      <c r="BP235" s="9"/>
      <c r="BQ235" s="9"/>
      <c r="BR235" s="9"/>
      <c r="BS235" s="40"/>
      <c r="BT235" s="40"/>
      <c r="BU235" s="36" t="str">
        <f aca="false">IF(BT235="","",EDATE(BT235,SG_Criteria!$B$54*12))</f>
        <v/>
      </c>
      <c r="BV235" s="33" t="str">
        <f aca="true">IF(A235="","",IF(BT235="","NOTE: not reviewed yet",IF(TODAY()&gt;BU235,"NOTE: review overdue","OK")))</f>
        <v/>
      </c>
      <c r="BW235" s="37" t="str">
        <f aca="false">IF(A235="","",ROUND((IF(LEN(D235)&gt;0,1,0)+IF(LEN(E235)&gt;0,1,0)+IF(LEN(F235)&gt;0,1,0)+IF(LEN(G235)&gt;0,1,0)+IF(LEN(H235)&gt;0,1,0)+IF(LEN(I235)&gt;0,1,0)+IF(LEN(J235)&gt;0,1,0)+IF(LEN(L235)&gt;0,1,0)+IF(LEN(R235)&gt;0,1,0)+IF(LEN(Y235)&gt;0,1,0)+IF(LEN(AE235)&gt;0,1,0)+IF(LEN(AG235)&gt;0,1,0)+IF(LEN(AH235)&gt;0,1,0)+IF(LEN(AI235)&gt;0,1,0)+IF(LEN(AJ235)&gt;0,1,0)+IF(LEN(AS235)&gt;0,1,0)+IF(LEN(BE235)&gt;0,1,0)+IF(LEN(BR235)&gt;0,1,0))/18,2))</f>
        <v/>
      </c>
      <c r="BX235" s="10" t="str">
        <f aca="false">IF(D235="","",IF(AND(AH235="Approved",ISERROR(SEARCH("FAIL",BB235))),"Y","N"))</f>
        <v/>
      </c>
      <c r="BY235" s="10" t="str">
        <f aca="false">IF(D235="","",D235&amp;"|"&amp;H235&amp;"|"&amp;F235&amp;"|"&amp;I235&amp;"|"&amp;BX235)</f>
        <v/>
      </c>
    </row>
    <row r="236" customFormat="false" ht="15" hidden="false" customHeight="false" outlineLevel="0" collapsed="false">
      <c r="A236" s="10" t="str">
        <f aca="false">IF(D236="","","ERSS-"&amp;IFERROR(VLOOKUP(D236,Lists!$AK$4:$AL$21,2,0),"??")&amp;"-"&amp;TEXT(F236,"0000")&amp;"x"&amp;TEXT(G236,"0000")&amp;"-D"&amp;TEXT(H236*1000,"0000")&amp;"-"&amp;IFERROR(VLOOKUP(I236,Lists!$Y$4:$Z$21,2,0),"??")&amp;"-"&amp;AG236)</f>
        <v/>
      </c>
      <c r="B236" s="10" t="str">
        <f aca="false">IF(D236="","",D236&amp;" for "&amp;E236&amp;", "&amp;F236&amp;" x "&amp;G236&amp;" pit, "&amp;TEXT(H236,"0.0")&amp;" m deep, "&amp;I236)</f>
        <v/>
      </c>
      <c r="C236" s="9"/>
      <c r="D236" s="9"/>
      <c r="E236" s="9"/>
      <c r="F236" s="38"/>
      <c r="G236" s="38"/>
      <c r="H236" s="42"/>
      <c r="I236" s="9"/>
      <c r="J236" s="42"/>
      <c r="K236" s="38"/>
      <c r="L236" s="9"/>
      <c r="M236" s="42"/>
      <c r="N236" s="42"/>
      <c r="O236" s="38"/>
      <c r="P236" s="9"/>
      <c r="Q236" s="9"/>
      <c r="R236" s="39"/>
      <c r="S236" s="39"/>
      <c r="T236" s="38"/>
      <c r="U236" s="38"/>
      <c r="V236" s="38"/>
      <c r="W236" s="9"/>
      <c r="X236" s="9"/>
      <c r="Y236" s="38"/>
      <c r="Z236" s="9"/>
      <c r="AA236" s="9"/>
      <c r="AB236" s="38"/>
      <c r="AC236" s="9"/>
      <c r="AD236" s="39"/>
      <c r="AE236" s="9"/>
      <c r="AF236" s="9"/>
      <c r="AG236" s="9"/>
      <c r="AH236" s="9"/>
      <c r="AI236" s="9"/>
      <c r="AJ236" s="9"/>
      <c r="AK236" s="9"/>
      <c r="AL236" s="10" t="str">
        <f aca="false">IF(A236="","",SG_Criteria!$B$6&amp;SG_Criteria!$B$11&amp;"\"&amp;A236&amp;"\")</f>
        <v/>
      </c>
      <c r="AM236" s="10" t="str">
        <f aca="false">IF(A236="","",A236&amp;"_CAD.dwg")</f>
        <v/>
      </c>
      <c r="AN236" s="10" t="str">
        <f aca="false">IF(A236="","",A236&amp;"_DWG.pdf")</f>
        <v/>
      </c>
      <c r="AO236" s="10" t="str">
        <f aca="false">IF(A236="","",IF(AK236="Y",A236&amp;"_STAAD.std","n/a"))</f>
        <v/>
      </c>
      <c r="AP236" s="10" t="str">
        <f aca="false">IF(A236="","",A236&amp;"_CALC.xlsx")</f>
        <v/>
      </c>
      <c r="AQ236" s="10" t="str">
        <f aca="false">IF(A236="","",A236&amp;"_CALC.pdf")</f>
        <v/>
      </c>
      <c r="AR236" s="9"/>
      <c r="AS236" s="9"/>
      <c r="AT236" s="39"/>
      <c r="AU236" s="39"/>
      <c r="AV236" s="39"/>
      <c r="AW236" s="39"/>
      <c r="AX236" s="39"/>
      <c r="AY236" s="12" t="str">
        <f aca="false">IF(A236="","",IF(COUNTIF(Rebar_Schedule!$A$5:$A$2004,A236)=0,"",ROUND(SUMIF(Rebar_Schedule!$A$5:$A$2004,A236,Rebar_Schedule!$K$5:$K$2004),1)))</f>
        <v/>
      </c>
      <c r="AZ236" s="33" t="str">
        <f aca="false">IF(A236="","",IF(AY236="","No rebar schedule yet",IF(ABS(AY236-N(AU236))/MAX(N(AU236),1)&gt;SG_Criteria!$B$55,"NOTE: register rebar differs from schedule by "&amp;TEXT(ABS(AY236-N(AU236))/MAX(N(AU236),1),"0%"),"OK")))</f>
        <v/>
      </c>
      <c r="BA236" s="33" t="str">
        <f aca="false">IF(OR(D236="",H236=""),"",IF(H236&lt;=IF(OR(D236="Soldier Pile &amp; Timber Lagging",D236="Trench Shoring Box",D236="Open Cut (battered)"),SG_Criteria!$B$34,SG_Criteria!$B$33),"No ERSS submission",IF(H236&lt;=SG_Criteria!$B$35,"QP(ST)",IF(H236&lt;=SG_Criteria!$B$36,"QP(ST) + AC","Geotechnical building works: QP(Geo) + AC"))))</f>
        <v/>
      </c>
      <c r="BB236" s="33" t="str">
        <f aca="false">IF(D236="","",IF(LEN(IF(AND(R236&lt;&gt;"",R236&lt;SG_Criteria!$B$37),"FAIL: base stability FOS &lt; "&amp;SG_Criteria!$B$37&amp;". ","")&amp;IF(AND(E236="Manhole",H236&gt;SG_Criteria!$B$36),"NOTE: BCA lists sewer manholes (pipe &lt;= 2 m dia) &gt; 6 m as non-GBW: QP(ST) + AC. ","")&amp;IF(AND(D236="Trench Shoring Box",I236="Kallang Formation (marine clay)"),"NOTE: check base heave / ground loss for shoring box in marine clay. ","")&amp;IF(AND(D236="Steel Sheet Pile Cofferdam",N(N236)&lt;H236*0.5),"NOTE: short toe embedment, check. ",""))=0,"OK",IF(AND(R236&lt;&gt;"",R236&lt;SG_Criteria!$B$37),"FAIL: base stability FOS &lt; "&amp;SG_Criteria!$B$37&amp;". ","")&amp;IF(AND(E236="Manhole",H236&gt;SG_Criteria!$B$36),"NOTE: BCA lists sewer manholes (pipe &lt;= 2 m dia) &gt; 6 m as non-GBW: QP(ST) + AC. ","")&amp;IF(AND(D236="Trench Shoring Box",I236="Kallang Formation (marine clay)"),"NOTE: check base heave / ground loss for shoring box in marine clay. ","")&amp;IF(AND(D236="Steel Sheet Pile Cofferdam",N(N236)&lt;H236*0.5),"NOTE: short toe embedment, check. ","")))</f>
        <v/>
      </c>
      <c r="BC236" s="9"/>
      <c r="BD236" s="9"/>
      <c r="BE236" s="9"/>
      <c r="BF236" s="10" t="str">
        <f aca="false">IF(BE236="","",IFERROR(VLOOKUP(BE236,Projects!$A$5:$D$504,2,0),"Ref not in Projects"))</f>
        <v/>
      </c>
      <c r="BG236" s="10" t="str">
        <f aca="false">IF(BE236="","",IFERROR(VLOOKUP(BE236,Projects!$A$5:$D$504,4,0),"Ref not in Projects"))</f>
        <v/>
      </c>
      <c r="BH236" s="9"/>
      <c r="BI236" s="9"/>
      <c r="BJ236" s="9"/>
      <c r="BK236" s="40"/>
      <c r="BL236" s="9"/>
      <c r="BM236" s="40"/>
      <c r="BN236" s="9"/>
      <c r="BO236" s="40"/>
      <c r="BP236" s="9"/>
      <c r="BQ236" s="9"/>
      <c r="BR236" s="9"/>
      <c r="BS236" s="40"/>
      <c r="BT236" s="40"/>
      <c r="BU236" s="36" t="str">
        <f aca="false">IF(BT236="","",EDATE(BT236,SG_Criteria!$B$54*12))</f>
        <v/>
      </c>
      <c r="BV236" s="33" t="str">
        <f aca="true">IF(A236="","",IF(BT236="","NOTE: not reviewed yet",IF(TODAY()&gt;BU236,"NOTE: review overdue","OK")))</f>
        <v/>
      </c>
      <c r="BW236" s="37" t="str">
        <f aca="false">IF(A236="","",ROUND((IF(LEN(D236)&gt;0,1,0)+IF(LEN(E236)&gt;0,1,0)+IF(LEN(F236)&gt;0,1,0)+IF(LEN(G236)&gt;0,1,0)+IF(LEN(H236)&gt;0,1,0)+IF(LEN(I236)&gt;0,1,0)+IF(LEN(J236)&gt;0,1,0)+IF(LEN(L236)&gt;0,1,0)+IF(LEN(R236)&gt;0,1,0)+IF(LEN(Y236)&gt;0,1,0)+IF(LEN(AE236)&gt;0,1,0)+IF(LEN(AG236)&gt;0,1,0)+IF(LEN(AH236)&gt;0,1,0)+IF(LEN(AI236)&gt;0,1,0)+IF(LEN(AJ236)&gt;0,1,0)+IF(LEN(AS236)&gt;0,1,0)+IF(LEN(BE236)&gt;0,1,0)+IF(LEN(BR236)&gt;0,1,0))/18,2))</f>
        <v/>
      </c>
      <c r="BX236" s="10" t="str">
        <f aca="false">IF(D236="","",IF(AND(AH236="Approved",ISERROR(SEARCH("FAIL",BB236))),"Y","N"))</f>
        <v/>
      </c>
      <c r="BY236" s="10" t="str">
        <f aca="false">IF(D236="","",D236&amp;"|"&amp;H236&amp;"|"&amp;F236&amp;"|"&amp;I236&amp;"|"&amp;BX236)</f>
        <v/>
      </c>
    </row>
    <row r="237" customFormat="false" ht="15" hidden="false" customHeight="false" outlineLevel="0" collapsed="false">
      <c r="A237" s="10" t="str">
        <f aca="false">IF(D237="","","ERSS-"&amp;IFERROR(VLOOKUP(D237,Lists!$AK$4:$AL$21,2,0),"??")&amp;"-"&amp;TEXT(F237,"0000")&amp;"x"&amp;TEXT(G237,"0000")&amp;"-D"&amp;TEXT(H237*1000,"0000")&amp;"-"&amp;IFERROR(VLOOKUP(I237,Lists!$Y$4:$Z$21,2,0),"??")&amp;"-"&amp;AG237)</f>
        <v/>
      </c>
      <c r="B237" s="10" t="str">
        <f aca="false">IF(D237="","",D237&amp;" for "&amp;E237&amp;", "&amp;F237&amp;" x "&amp;G237&amp;" pit, "&amp;TEXT(H237,"0.0")&amp;" m deep, "&amp;I237)</f>
        <v/>
      </c>
      <c r="C237" s="9"/>
      <c r="D237" s="9"/>
      <c r="E237" s="9"/>
      <c r="F237" s="38"/>
      <c r="G237" s="38"/>
      <c r="H237" s="42"/>
      <c r="I237" s="9"/>
      <c r="J237" s="42"/>
      <c r="K237" s="38"/>
      <c r="L237" s="9"/>
      <c r="M237" s="42"/>
      <c r="N237" s="42"/>
      <c r="O237" s="38"/>
      <c r="P237" s="9"/>
      <c r="Q237" s="9"/>
      <c r="R237" s="39"/>
      <c r="S237" s="39"/>
      <c r="T237" s="38"/>
      <c r="U237" s="38"/>
      <c r="V237" s="38"/>
      <c r="W237" s="9"/>
      <c r="X237" s="9"/>
      <c r="Y237" s="38"/>
      <c r="Z237" s="9"/>
      <c r="AA237" s="9"/>
      <c r="AB237" s="38"/>
      <c r="AC237" s="9"/>
      <c r="AD237" s="39"/>
      <c r="AE237" s="9"/>
      <c r="AF237" s="9"/>
      <c r="AG237" s="9"/>
      <c r="AH237" s="9"/>
      <c r="AI237" s="9"/>
      <c r="AJ237" s="9"/>
      <c r="AK237" s="9"/>
      <c r="AL237" s="10" t="str">
        <f aca="false">IF(A237="","",SG_Criteria!$B$6&amp;SG_Criteria!$B$11&amp;"\"&amp;A237&amp;"\")</f>
        <v/>
      </c>
      <c r="AM237" s="10" t="str">
        <f aca="false">IF(A237="","",A237&amp;"_CAD.dwg")</f>
        <v/>
      </c>
      <c r="AN237" s="10" t="str">
        <f aca="false">IF(A237="","",A237&amp;"_DWG.pdf")</f>
        <v/>
      </c>
      <c r="AO237" s="10" t="str">
        <f aca="false">IF(A237="","",IF(AK237="Y",A237&amp;"_STAAD.std","n/a"))</f>
        <v/>
      </c>
      <c r="AP237" s="10" t="str">
        <f aca="false">IF(A237="","",A237&amp;"_CALC.xlsx")</f>
        <v/>
      </c>
      <c r="AQ237" s="10" t="str">
        <f aca="false">IF(A237="","",A237&amp;"_CALC.pdf")</f>
        <v/>
      </c>
      <c r="AR237" s="9"/>
      <c r="AS237" s="9"/>
      <c r="AT237" s="39"/>
      <c r="AU237" s="39"/>
      <c r="AV237" s="39"/>
      <c r="AW237" s="39"/>
      <c r="AX237" s="39"/>
      <c r="AY237" s="12" t="str">
        <f aca="false">IF(A237="","",IF(COUNTIF(Rebar_Schedule!$A$5:$A$2004,A237)=0,"",ROUND(SUMIF(Rebar_Schedule!$A$5:$A$2004,A237,Rebar_Schedule!$K$5:$K$2004),1)))</f>
        <v/>
      </c>
      <c r="AZ237" s="33" t="str">
        <f aca="false">IF(A237="","",IF(AY237="","No rebar schedule yet",IF(ABS(AY237-N(AU237))/MAX(N(AU237),1)&gt;SG_Criteria!$B$55,"NOTE: register rebar differs from schedule by "&amp;TEXT(ABS(AY237-N(AU237))/MAX(N(AU237),1),"0%"),"OK")))</f>
        <v/>
      </c>
      <c r="BA237" s="33" t="str">
        <f aca="false">IF(OR(D237="",H237=""),"",IF(H237&lt;=IF(OR(D237="Soldier Pile &amp; Timber Lagging",D237="Trench Shoring Box",D237="Open Cut (battered)"),SG_Criteria!$B$34,SG_Criteria!$B$33),"No ERSS submission",IF(H237&lt;=SG_Criteria!$B$35,"QP(ST)",IF(H237&lt;=SG_Criteria!$B$36,"QP(ST) + AC","Geotechnical building works: QP(Geo) + AC"))))</f>
        <v/>
      </c>
      <c r="BB237" s="33" t="str">
        <f aca="false">IF(D237="","",IF(LEN(IF(AND(R237&lt;&gt;"",R237&lt;SG_Criteria!$B$37),"FAIL: base stability FOS &lt; "&amp;SG_Criteria!$B$37&amp;". ","")&amp;IF(AND(E237="Manhole",H237&gt;SG_Criteria!$B$36),"NOTE: BCA lists sewer manholes (pipe &lt;= 2 m dia) &gt; 6 m as non-GBW: QP(ST) + AC. ","")&amp;IF(AND(D237="Trench Shoring Box",I237="Kallang Formation (marine clay)"),"NOTE: check base heave / ground loss for shoring box in marine clay. ","")&amp;IF(AND(D237="Steel Sheet Pile Cofferdam",N(N237)&lt;H237*0.5),"NOTE: short toe embedment, check. ",""))=0,"OK",IF(AND(R237&lt;&gt;"",R237&lt;SG_Criteria!$B$37),"FAIL: base stability FOS &lt; "&amp;SG_Criteria!$B$37&amp;". ","")&amp;IF(AND(E237="Manhole",H237&gt;SG_Criteria!$B$36),"NOTE: BCA lists sewer manholes (pipe &lt;= 2 m dia) &gt; 6 m as non-GBW: QP(ST) + AC. ","")&amp;IF(AND(D237="Trench Shoring Box",I237="Kallang Formation (marine clay)"),"NOTE: check base heave / ground loss for shoring box in marine clay. ","")&amp;IF(AND(D237="Steel Sheet Pile Cofferdam",N(N237)&lt;H237*0.5),"NOTE: short toe embedment, check. ","")))</f>
        <v/>
      </c>
      <c r="BC237" s="9"/>
      <c r="BD237" s="9"/>
      <c r="BE237" s="9"/>
      <c r="BF237" s="10" t="str">
        <f aca="false">IF(BE237="","",IFERROR(VLOOKUP(BE237,Projects!$A$5:$D$504,2,0),"Ref not in Projects"))</f>
        <v/>
      </c>
      <c r="BG237" s="10" t="str">
        <f aca="false">IF(BE237="","",IFERROR(VLOOKUP(BE237,Projects!$A$5:$D$504,4,0),"Ref not in Projects"))</f>
        <v/>
      </c>
      <c r="BH237" s="9"/>
      <c r="BI237" s="9"/>
      <c r="BJ237" s="9"/>
      <c r="BK237" s="40"/>
      <c r="BL237" s="9"/>
      <c r="BM237" s="40"/>
      <c r="BN237" s="9"/>
      <c r="BO237" s="40"/>
      <c r="BP237" s="9"/>
      <c r="BQ237" s="9"/>
      <c r="BR237" s="9"/>
      <c r="BS237" s="40"/>
      <c r="BT237" s="40"/>
      <c r="BU237" s="36" t="str">
        <f aca="false">IF(BT237="","",EDATE(BT237,SG_Criteria!$B$54*12))</f>
        <v/>
      </c>
      <c r="BV237" s="33" t="str">
        <f aca="true">IF(A237="","",IF(BT237="","NOTE: not reviewed yet",IF(TODAY()&gt;BU237,"NOTE: review overdue","OK")))</f>
        <v/>
      </c>
      <c r="BW237" s="37" t="str">
        <f aca="false">IF(A237="","",ROUND((IF(LEN(D237)&gt;0,1,0)+IF(LEN(E237)&gt;0,1,0)+IF(LEN(F237)&gt;0,1,0)+IF(LEN(G237)&gt;0,1,0)+IF(LEN(H237)&gt;0,1,0)+IF(LEN(I237)&gt;0,1,0)+IF(LEN(J237)&gt;0,1,0)+IF(LEN(L237)&gt;0,1,0)+IF(LEN(R237)&gt;0,1,0)+IF(LEN(Y237)&gt;0,1,0)+IF(LEN(AE237)&gt;0,1,0)+IF(LEN(AG237)&gt;0,1,0)+IF(LEN(AH237)&gt;0,1,0)+IF(LEN(AI237)&gt;0,1,0)+IF(LEN(AJ237)&gt;0,1,0)+IF(LEN(AS237)&gt;0,1,0)+IF(LEN(BE237)&gt;0,1,0)+IF(LEN(BR237)&gt;0,1,0))/18,2))</f>
        <v/>
      </c>
      <c r="BX237" s="10" t="str">
        <f aca="false">IF(D237="","",IF(AND(AH237="Approved",ISERROR(SEARCH("FAIL",BB237))),"Y","N"))</f>
        <v/>
      </c>
      <c r="BY237" s="10" t="str">
        <f aca="false">IF(D237="","",D237&amp;"|"&amp;H237&amp;"|"&amp;F237&amp;"|"&amp;I237&amp;"|"&amp;BX237)</f>
        <v/>
      </c>
    </row>
    <row r="238" customFormat="false" ht="15" hidden="false" customHeight="false" outlineLevel="0" collapsed="false">
      <c r="A238" s="10" t="str">
        <f aca="false">IF(D238="","","ERSS-"&amp;IFERROR(VLOOKUP(D238,Lists!$AK$4:$AL$21,2,0),"??")&amp;"-"&amp;TEXT(F238,"0000")&amp;"x"&amp;TEXT(G238,"0000")&amp;"-D"&amp;TEXT(H238*1000,"0000")&amp;"-"&amp;IFERROR(VLOOKUP(I238,Lists!$Y$4:$Z$21,2,0),"??")&amp;"-"&amp;AG238)</f>
        <v/>
      </c>
      <c r="B238" s="10" t="str">
        <f aca="false">IF(D238="","",D238&amp;" for "&amp;E238&amp;", "&amp;F238&amp;" x "&amp;G238&amp;" pit, "&amp;TEXT(H238,"0.0")&amp;" m deep, "&amp;I238)</f>
        <v/>
      </c>
      <c r="C238" s="9"/>
      <c r="D238" s="9"/>
      <c r="E238" s="9"/>
      <c r="F238" s="38"/>
      <c r="G238" s="38"/>
      <c r="H238" s="42"/>
      <c r="I238" s="9"/>
      <c r="J238" s="42"/>
      <c r="K238" s="38"/>
      <c r="L238" s="9"/>
      <c r="M238" s="42"/>
      <c r="N238" s="42"/>
      <c r="O238" s="38"/>
      <c r="P238" s="9"/>
      <c r="Q238" s="9"/>
      <c r="R238" s="39"/>
      <c r="S238" s="39"/>
      <c r="T238" s="38"/>
      <c r="U238" s="38"/>
      <c r="V238" s="38"/>
      <c r="W238" s="9"/>
      <c r="X238" s="9"/>
      <c r="Y238" s="38"/>
      <c r="Z238" s="9"/>
      <c r="AA238" s="9"/>
      <c r="AB238" s="38"/>
      <c r="AC238" s="9"/>
      <c r="AD238" s="39"/>
      <c r="AE238" s="9"/>
      <c r="AF238" s="9"/>
      <c r="AG238" s="9"/>
      <c r="AH238" s="9"/>
      <c r="AI238" s="9"/>
      <c r="AJ238" s="9"/>
      <c r="AK238" s="9"/>
      <c r="AL238" s="10" t="str">
        <f aca="false">IF(A238="","",SG_Criteria!$B$6&amp;SG_Criteria!$B$11&amp;"\"&amp;A238&amp;"\")</f>
        <v/>
      </c>
      <c r="AM238" s="10" t="str">
        <f aca="false">IF(A238="","",A238&amp;"_CAD.dwg")</f>
        <v/>
      </c>
      <c r="AN238" s="10" t="str">
        <f aca="false">IF(A238="","",A238&amp;"_DWG.pdf")</f>
        <v/>
      </c>
      <c r="AO238" s="10" t="str">
        <f aca="false">IF(A238="","",IF(AK238="Y",A238&amp;"_STAAD.std","n/a"))</f>
        <v/>
      </c>
      <c r="AP238" s="10" t="str">
        <f aca="false">IF(A238="","",A238&amp;"_CALC.xlsx")</f>
        <v/>
      </c>
      <c r="AQ238" s="10" t="str">
        <f aca="false">IF(A238="","",A238&amp;"_CALC.pdf")</f>
        <v/>
      </c>
      <c r="AR238" s="9"/>
      <c r="AS238" s="9"/>
      <c r="AT238" s="39"/>
      <c r="AU238" s="39"/>
      <c r="AV238" s="39"/>
      <c r="AW238" s="39"/>
      <c r="AX238" s="39"/>
      <c r="AY238" s="12" t="str">
        <f aca="false">IF(A238="","",IF(COUNTIF(Rebar_Schedule!$A$5:$A$2004,A238)=0,"",ROUND(SUMIF(Rebar_Schedule!$A$5:$A$2004,A238,Rebar_Schedule!$K$5:$K$2004),1)))</f>
        <v/>
      </c>
      <c r="AZ238" s="33" t="str">
        <f aca="false">IF(A238="","",IF(AY238="","No rebar schedule yet",IF(ABS(AY238-N(AU238))/MAX(N(AU238),1)&gt;SG_Criteria!$B$55,"NOTE: register rebar differs from schedule by "&amp;TEXT(ABS(AY238-N(AU238))/MAX(N(AU238),1),"0%"),"OK")))</f>
        <v/>
      </c>
      <c r="BA238" s="33" t="str">
        <f aca="false">IF(OR(D238="",H238=""),"",IF(H238&lt;=IF(OR(D238="Soldier Pile &amp; Timber Lagging",D238="Trench Shoring Box",D238="Open Cut (battered)"),SG_Criteria!$B$34,SG_Criteria!$B$33),"No ERSS submission",IF(H238&lt;=SG_Criteria!$B$35,"QP(ST)",IF(H238&lt;=SG_Criteria!$B$36,"QP(ST) + AC","Geotechnical building works: QP(Geo) + AC"))))</f>
        <v/>
      </c>
      <c r="BB238" s="33" t="str">
        <f aca="false">IF(D238="","",IF(LEN(IF(AND(R238&lt;&gt;"",R238&lt;SG_Criteria!$B$37),"FAIL: base stability FOS &lt; "&amp;SG_Criteria!$B$37&amp;". ","")&amp;IF(AND(E238="Manhole",H238&gt;SG_Criteria!$B$36),"NOTE: BCA lists sewer manholes (pipe &lt;= 2 m dia) &gt; 6 m as non-GBW: QP(ST) + AC. ","")&amp;IF(AND(D238="Trench Shoring Box",I238="Kallang Formation (marine clay)"),"NOTE: check base heave / ground loss for shoring box in marine clay. ","")&amp;IF(AND(D238="Steel Sheet Pile Cofferdam",N(N238)&lt;H238*0.5),"NOTE: short toe embedment, check. ",""))=0,"OK",IF(AND(R238&lt;&gt;"",R238&lt;SG_Criteria!$B$37),"FAIL: base stability FOS &lt; "&amp;SG_Criteria!$B$37&amp;". ","")&amp;IF(AND(E238="Manhole",H238&gt;SG_Criteria!$B$36),"NOTE: BCA lists sewer manholes (pipe &lt;= 2 m dia) &gt; 6 m as non-GBW: QP(ST) + AC. ","")&amp;IF(AND(D238="Trench Shoring Box",I238="Kallang Formation (marine clay)"),"NOTE: check base heave / ground loss for shoring box in marine clay. ","")&amp;IF(AND(D238="Steel Sheet Pile Cofferdam",N(N238)&lt;H238*0.5),"NOTE: short toe embedment, check. ","")))</f>
        <v/>
      </c>
      <c r="BC238" s="9"/>
      <c r="BD238" s="9"/>
      <c r="BE238" s="9"/>
      <c r="BF238" s="10" t="str">
        <f aca="false">IF(BE238="","",IFERROR(VLOOKUP(BE238,Projects!$A$5:$D$504,2,0),"Ref not in Projects"))</f>
        <v/>
      </c>
      <c r="BG238" s="10" t="str">
        <f aca="false">IF(BE238="","",IFERROR(VLOOKUP(BE238,Projects!$A$5:$D$504,4,0),"Ref not in Projects"))</f>
        <v/>
      </c>
      <c r="BH238" s="9"/>
      <c r="BI238" s="9"/>
      <c r="BJ238" s="9"/>
      <c r="BK238" s="40"/>
      <c r="BL238" s="9"/>
      <c r="BM238" s="40"/>
      <c r="BN238" s="9"/>
      <c r="BO238" s="40"/>
      <c r="BP238" s="9"/>
      <c r="BQ238" s="9"/>
      <c r="BR238" s="9"/>
      <c r="BS238" s="40"/>
      <c r="BT238" s="40"/>
      <c r="BU238" s="36" t="str">
        <f aca="false">IF(BT238="","",EDATE(BT238,SG_Criteria!$B$54*12))</f>
        <v/>
      </c>
      <c r="BV238" s="33" t="str">
        <f aca="true">IF(A238="","",IF(BT238="","NOTE: not reviewed yet",IF(TODAY()&gt;BU238,"NOTE: review overdue","OK")))</f>
        <v/>
      </c>
      <c r="BW238" s="37" t="str">
        <f aca="false">IF(A238="","",ROUND((IF(LEN(D238)&gt;0,1,0)+IF(LEN(E238)&gt;0,1,0)+IF(LEN(F238)&gt;0,1,0)+IF(LEN(G238)&gt;0,1,0)+IF(LEN(H238)&gt;0,1,0)+IF(LEN(I238)&gt;0,1,0)+IF(LEN(J238)&gt;0,1,0)+IF(LEN(L238)&gt;0,1,0)+IF(LEN(R238)&gt;0,1,0)+IF(LEN(Y238)&gt;0,1,0)+IF(LEN(AE238)&gt;0,1,0)+IF(LEN(AG238)&gt;0,1,0)+IF(LEN(AH238)&gt;0,1,0)+IF(LEN(AI238)&gt;0,1,0)+IF(LEN(AJ238)&gt;0,1,0)+IF(LEN(AS238)&gt;0,1,0)+IF(LEN(BE238)&gt;0,1,0)+IF(LEN(BR238)&gt;0,1,0))/18,2))</f>
        <v/>
      </c>
      <c r="BX238" s="10" t="str">
        <f aca="false">IF(D238="","",IF(AND(AH238="Approved",ISERROR(SEARCH("FAIL",BB238))),"Y","N"))</f>
        <v/>
      </c>
      <c r="BY238" s="10" t="str">
        <f aca="false">IF(D238="","",D238&amp;"|"&amp;H238&amp;"|"&amp;F238&amp;"|"&amp;I238&amp;"|"&amp;BX238)</f>
        <v/>
      </c>
    </row>
    <row r="239" customFormat="false" ht="15" hidden="false" customHeight="false" outlineLevel="0" collapsed="false">
      <c r="A239" s="10" t="str">
        <f aca="false">IF(D239="","","ERSS-"&amp;IFERROR(VLOOKUP(D239,Lists!$AK$4:$AL$21,2,0),"??")&amp;"-"&amp;TEXT(F239,"0000")&amp;"x"&amp;TEXT(G239,"0000")&amp;"-D"&amp;TEXT(H239*1000,"0000")&amp;"-"&amp;IFERROR(VLOOKUP(I239,Lists!$Y$4:$Z$21,2,0),"??")&amp;"-"&amp;AG239)</f>
        <v/>
      </c>
      <c r="B239" s="10" t="str">
        <f aca="false">IF(D239="","",D239&amp;" for "&amp;E239&amp;", "&amp;F239&amp;" x "&amp;G239&amp;" pit, "&amp;TEXT(H239,"0.0")&amp;" m deep, "&amp;I239)</f>
        <v/>
      </c>
      <c r="C239" s="9"/>
      <c r="D239" s="9"/>
      <c r="E239" s="9"/>
      <c r="F239" s="38"/>
      <c r="G239" s="38"/>
      <c r="H239" s="42"/>
      <c r="I239" s="9"/>
      <c r="J239" s="42"/>
      <c r="K239" s="38"/>
      <c r="L239" s="9"/>
      <c r="M239" s="42"/>
      <c r="N239" s="42"/>
      <c r="O239" s="38"/>
      <c r="P239" s="9"/>
      <c r="Q239" s="9"/>
      <c r="R239" s="39"/>
      <c r="S239" s="39"/>
      <c r="T239" s="38"/>
      <c r="U239" s="38"/>
      <c r="V239" s="38"/>
      <c r="W239" s="9"/>
      <c r="X239" s="9"/>
      <c r="Y239" s="38"/>
      <c r="Z239" s="9"/>
      <c r="AA239" s="9"/>
      <c r="AB239" s="38"/>
      <c r="AC239" s="9"/>
      <c r="AD239" s="39"/>
      <c r="AE239" s="9"/>
      <c r="AF239" s="9"/>
      <c r="AG239" s="9"/>
      <c r="AH239" s="9"/>
      <c r="AI239" s="9"/>
      <c r="AJ239" s="9"/>
      <c r="AK239" s="9"/>
      <c r="AL239" s="10" t="str">
        <f aca="false">IF(A239="","",SG_Criteria!$B$6&amp;SG_Criteria!$B$11&amp;"\"&amp;A239&amp;"\")</f>
        <v/>
      </c>
      <c r="AM239" s="10" t="str">
        <f aca="false">IF(A239="","",A239&amp;"_CAD.dwg")</f>
        <v/>
      </c>
      <c r="AN239" s="10" t="str">
        <f aca="false">IF(A239="","",A239&amp;"_DWG.pdf")</f>
        <v/>
      </c>
      <c r="AO239" s="10" t="str">
        <f aca="false">IF(A239="","",IF(AK239="Y",A239&amp;"_STAAD.std","n/a"))</f>
        <v/>
      </c>
      <c r="AP239" s="10" t="str">
        <f aca="false">IF(A239="","",A239&amp;"_CALC.xlsx")</f>
        <v/>
      </c>
      <c r="AQ239" s="10" t="str">
        <f aca="false">IF(A239="","",A239&amp;"_CALC.pdf")</f>
        <v/>
      </c>
      <c r="AR239" s="9"/>
      <c r="AS239" s="9"/>
      <c r="AT239" s="39"/>
      <c r="AU239" s="39"/>
      <c r="AV239" s="39"/>
      <c r="AW239" s="39"/>
      <c r="AX239" s="39"/>
      <c r="AY239" s="12" t="str">
        <f aca="false">IF(A239="","",IF(COUNTIF(Rebar_Schedule!$A$5:$A$2004,A239)=0,"",ROUND(SUMIF(Rebar_Schedule!$A$5:$A$2004,A239,Rebar_Schedule!$K$5:$K$2004),1)))</f>
        <v/>
      </c>
      <c r="AZ239" s="33" t="str">
        <f aca="false">IF(A239="","",IF(AY239="","No rebar schedule yet",IF(ABS(AY239-N(AU239))/MAX(N(AU239),1)&gt;SG_Criteria!$B$55,"NOTE: register rebar differs from schedule by "&amp;TEXT(ABS(AY239-N(AU239))/MAX(N(AU239),1),"0%"),"OK")))</f>
        <v/>
      </c>
      <c r="BA239" s="33" t="str">
        <f aca="false">IF(OR(D239="",H239=""),"",IF(H239&lt;=IF(OR(D239="Soldier Pile &amp; Timber Lagging",D239="Trench Shoring Box",D239="Open Cut (battered)"),SG_Criteria!$B$34,SG_Criteria!$B$33),"No ERSS submission",IF(H239&lt;=SG_Criteria!$B$35,"QP(ST)",IF(H239&lt;=SG_Criteria!$B$36,"QP(ST) + AC","Geotechnical building works: QP(Geo) + AC"))))</f>
        <v/>
      </c>
      <c r="BB239" s="33" t="str">
        <f aca="false">IF(D239="","",IF(LEN(IF(AND(R239&lt;&gt;"",R239&lt;SG_Criteria!$B$37),"FAIL: base stability FOS &lt; "&amp;SG_Criteria!$B$37&amp;". ","")&amp;IF(AND(E239="Manhole",H239&gt;SG_Criteria!$B$36),"NOTE: BCA lists sewer manholes (pipe &lt;= 2 m dia) &gt; 6 m as non-GBW: QP(ST) + AC. ","")&amp;IF(AND(D239="Trench Shoring Box",I239="Kallang Formation (marine clay)"),"NOTE: check base heave / ground loss for shoring box in marine clay. ","")&amp;IF(AND(D239="Steel Sheet Pile Cofferdam",N(N239)&lt;H239*0.5),"NOTE: short toe embedment, check. ",""))=0,"OK",IF(AND(R239&lt;&gt;"",R239&lt;SG_Criteria!$B$37),"FAIL: base stability FOS &lt; "&amp;SG_Criteria!$B$37&amp;". ","")&amp;IF(AND(E239="Manhole",H239&gt;SG_Criteria!$B$36),"NOTE: BCA lists sewer manholes (pipe &lt;= 2 m dia) &gt; 6 m as non-GBW: QP(ST) + AC. ","")&amp;IF(AND(D239="Trench Shoring Box",I239="Kallang Formation (marine clay)"),"NOTE: check base heave / ground loss for shoring box in marine clay. ","")&amp;IF(AND(D239="Steel Sheet Pile Cofferdam",N(N239)&lt;H239*0.5),"NOTE: short toe embedment, check. ","")))</f>
        <v/>
      </c>
      <c r="BC239" s="9"/>
      <c r="BD239" s="9"/>
      <c r="BE239" s="9"/>
      <c r="BF239" s="10" t="str">
        <f aca="false">IF(BE239="","",IFERROR(VLOOKUP(BE239,Projects!$A$5:$D$504,2,0),"Ref not in Projects"))</f>
        <v/>
      </c>
      <c r="BG239" s="10" t="str">
        <f aca="false">IF(BE239="","",IFERROR(VLOOKUP(BE239,Projects!$A$5:$D$504,4,0),"Ref not in Projects"))</f>
        <v/>
      </c>
      <c r="BH239" s="9"/>
      <c r="BI239" s="9"/>
      <c r="BJ239" s="9"/>
      <c r="BK239" s="40"/>
      <c r="BL239" s="9"/>
      <c r="BM239" s="40"/>
      <c r="BN239" s="9"/>
      <c r="BO239" s="40"/>
      <c r="BP239" s="9"/>
      <c r="BQ239" s="9"/>
      <c r="BR239" s="9"/>
      <c r="BS239" s="40"/>
      <c r="BT239" s="40"/>
      <c r="BU239" s="36" t="str">
        <f aca="false">IF(BT239="","",EDATE(BT239,SG_Criteria!$B$54*12))</f>
        <v/>
      </c>
      <c r="BV239" s="33" t="str">
        <f aca="true">IF(A239="","",IF(BT239="","NOTE: not reviewed yet",IF(TODAY()&gt;BU239,"NOTE: review overdue","OK")))</f>
        <v/>
      </c>
      <c r="BW239" s="37" t="str">
        <f aca="false">IF(A239="","",ROUND((IF(LEN(D239)&gt;0,1,0)+IF(LEN(E239)&gt;0,1,0)+IF(LEN(F239)&gt;0,1,0)+IF(LEN(G239)&gt;0,1,0)+IF(LEN(H239)&gt;0,1,0)+IF(LEN(I239)&gt;0,1,0)+IF(LEN(J239)&gt;0,1,0)+IF(LEN(L239)&gt;0,1,0)+IF(LEN(R239)&gt;0,1,0)+IF(LEN(Y239)&gt;0,1,0)+IF(LEN(AE239)&gt;0,1,0)+IF(LEN(AG239)&gt;0,1,0)+IF(LEN(AH239)&gt;0,1,0)+IF(LEN(AI239)&gt;0,1,0)+IF(LEN(AJ239)&gt;0,1,0)+IF(LEN(AS239)&gt;0,1,0)+IF(LEN(BE239)&gt;0,1,0)+IF(LEN(BR239)&gt;0,1,0))/18,2))</f>
        <v/>
      </c>
      <c r="BX239" s="10" t="str">
        <f aca="false">IF(D239="","",IF(AND(AH239="Approved",ISERROR(SEARCH("FAIL",BB239))),"Y","N"))</f>
        <v/>
      </c>
      <c r="BY239" s="10" t="str">
        <f aca="false">IF(D239="","",D239&amp;"|"&amp;H239&amp;"|"&amp;F239&amp;"|"&amp;I239&amp;"|"&amp;BX239)</f>
        <v/>
      </c>
    </row>
    <row r="240" customFormat="false" ht="15" hidden="false" customHeight="false" outlineLevel="0" collapsed="false">
      <c r="A240" s="10" t="str">
        <f aca="false">IF(D240="","","ERSS-"&amp;IFERROR(VLOOKUP(D240,Lists!$AK$4:$AL$21,2,0),"??")&amp;"-"&amp;TEXT(F240,"0000")&amp;"x"&amp;TEXT(G240,"0000")&amp;"-D"&amp;TEXT(H240*1000,"0000")&amp;"-"&amp;IFERROR(VLOOKUP(I240,Lists!$Y$4:$Z$21,2,0),"??")&amp;"-"&amp;AG240)</f>
        <v/>
      </c>
      <c r="B240" s="10" t="str">
        <f aca="false">IF(D240="","",D240&amp;" for "&amp;E240&amp;", "&amp;F240&amp;" x "&amp;G240&amp;" pit, "&amp;TEXT(H240,"0.0")&amp;" m deep, "&amp;I240)</f>
        <v/>
      </c>
      <c r="C240" s="9"/>
      <c r="D240" s="9"/>
      <c r="E240" s="9"/>
      <c r="F240" s="38"/>
      <c r="G240" s="38"/>
      <c r="H240" s="42"/>
      <c r="I240" s="9"/>
      <c r="J240" s="42"/>
      <c r="K240" s="38"/>
      <c r="L240" s="9"/>
      <c r="M240" s="42"/>
      <c r="N240" s="42"/>
      <c r="O240" s="38"/>
      <c r="P240" s="9"/>
      <c r="Q240" s="9"/>
      <c r="R240" s="39"/>
      <c r="S240" s="39"/>
      <c r="T240" s="38"/>
      <c r="U240" s="38"/>
      <c r="V240" s="38"/>
      <c r="W240" s="9"/>
      <c r="X240" s="9"/>
      <c r="Y240" s="38"/>
      <c r="Z240" s="9"/>
      <c r="AA240" s="9"/>
      <c r="AB240" s="38"/>
      <c r="AC240" s="9"/>
      <c r="AD240" s="39"/>
      <c r="AE240" s="9"/>
      <c r="AF240" s="9"/>
      <c r="AG240" s="9"/>
      <c r="AH240" s="9"/>
      <c r="AI240" s="9"/>
      <c r="AJ240" s="9"/>
      <c r="AK240" s="9"/>
      <c r="AL240" s="10" t="str">
        <f aca="false">IF(A240="","",SG_Criteria!$B$6&amp;SG_Criteria!$B$11&amp;"\"&amp;A240&amp;"\")</f>
        <v/>
      </c>
      <c r="AM240" s="10" t="str">
        <f aca="false">IF(A240="","",A240&amp;"_CAD.dwg")</f>
        <v/>
      </c>
      <c r="AN240" s="10" t="str">
        <f aca="false">IF(A240="","",A240&amp;"_DWG.pdf")</f>
        <v/>
      </c>
      <c r="AO240" s="10" t="str">
        <f aca="false">IF(A240="","",IF(AK240="Y",A240&amp;"_STAAD.std","n/a"))</f>
        <v/>
      </c>
      <c r="AP240" s="10" t="str">
        <f aca="false">IF(A240="","",A240&amp;"_CALC.xlsx")</f>
        <v/>
      </c>
      <c r="AQ240" s="10" t="str">
        <f aca="false">IF(A240="","",A240&amp;"_CALC.pdf")</f>
        <v/>
      </c>
      <c r="AR240" s="9"/>
      <c r="AS240" s="9"/>
      <c r="AT240" s="39"/>
      <c r="AU240" s="39"/>
      <c r="AV240" s="39"/>
      <c r="AW240" s="39"/>
      <c r="AX240" s="39"/>
      <c r="AY240" s="12" t="str">
        <f aca="false">IF(A240="","",IF(COUNTIF(Rebar_Schedule!$A$5:$A$2004,A240)=0,"",ROUND(SUMIF(Rebar_Schedule!$A$5:$A$2004,A240,Rebar_Schedule!$K$5:$K$2004),1)))</f>
        <v/>
      </c>
      <c r="AZ240" s="33" t="str">
        <f aca="false">IF(A240="","",IF(AY240="","No rebar schedule yet",IF(ABS(AY240-N(AU240))/MAX(N(AU240),1)&gt;SG_Criteria!$B$55,"NOTE: register rebar differs from schedule by "&amp;TEXT(ABS(AY240-N(AU240))/MAX(N(AU240),1),"0%"),"OK")))</f>
        <v/>
      </c>
      <c r="BA240" s="33" t="str">
        <f aca="false">IF(OR(D240="",H240=""),"",IF(H240&lt;=IF(OR(D240="Soldier Pile &amp; Timber Lagging",D240="Trench Shoring Box",D240="Open Cut (battered)"),SG_Criteria!$B$34,SG_Criteria!$B$33),"No ERSS submission",IF(H240&lt;=SG_Criteria!$B$35,"QP(ST)",IF(H240&lt;=SG_Criteria!$B$36,"QP(ST) + AC","Geotechnical building works: QP(Geo) + AC"))))</f>
        <v/>
      </c>
      <c r="BB240" s="33" t="str">
        <f aca="false">IF(D240="","",IF(LEN(IF(AND(R240&lt;&gt;"",R240&lt;SG_Criteria!$B$37),"FAIL: base stability FOS &lt; "&amp;SG_Criteria!$B$37&amp;". ","")&amp;IF(AND(E240="Manhole",H240&gt;SG_Criteria!$B$36),"NOTE: BCA lists sewer manholes (pipe &lt;= 2 m dia) &gt; 6 m as non-GBW: QP(ST) + AC. ","")&amp;IF(AND(D240="Trench Shoring Box",I240="Kallang Formation (marine clay)"),"NOTE: check base heave / ground loss for shoring box in marine clay. ","")&amp;IF(AND(D240="Steel Sheet Pile Cofferdam",N(N240)&lt;H240*0.5),"NOTE: short toe embedment, check. ",""))=0,"OK",IF(AND(R240&lt;&gt;"",R240&lt;SG_Criteria!$B$37),"FAIL: base stability FOS &lt; "&amp;SG_Criteria!$B$37&amp;". ","")&amp;IF(AND(E240="Manhole",H240&gt;SG_Criteria!$B$36),"NOTE: BCA lists sewer manholes (pipe &lt;= 2 m dia) &gt; 6 m as non-GBW: QP(ST) + AC. ","")&amp;IF(AND(D240="Trench Shoring Box",I240="Kallang Formation (marine clay)"),"NOTE: check base heave / ground loss for shoring box in marine clay. ","")&amp;IF(AND(D240="Steel Sheet Pile Cofferdam",N(N240)&lt;H240*0.5),"NOTE: short toe embedment, check. ","")))</f>
        <v/>
      </c>
      <c r="BC240" s="9"/>
      <c r="BD240" s="9"/>
      <c r="BE240" s="9"/>
      <c r="BF240" s="10" t="str">
        <f aca="false">IF(BE240="","",IFERROR(VLOOKUP(BE240,Projects!$A$5:$D$504,2,0),"Ref not in Projects"))</f>
        <v/>
      </c>
      <c r="BG240" s="10" t="str">
        <f aca="false">IF(BE240="","",IFERROR(VLOOKUP(BE240,Projects!$A$5:$D$504,4,0),"Ref not in Projects"))</f>
        <v/>
      </c>
      <c r="BH240" s="9"/>
      <c r="BI240" s="9"/>
      <c r="BJ240" s="9"/>
      <c r="BK240" s="40"/>
      <c r="BL240" s="9"/>
      <c r="BM240" s="40"/>
      <c r="BN240" s="9"/>
      <c r="BO240" s="40"/>
      <c r="BP240" s="9"/>
      <c r="BQ240" s="9"/>
      <c r="BR240" s="9"/>
      <c r="BS240" s="40"/>
      <c r="BT240" s="40"/>
      <c r="BU240" s="36" t="str">
        <f aca="false">IF(BT240="","",EDATE(BT240,SG_Criteria!$B$54*12))</f>
        <v/>
      </c>
      <c r="BV240" s="33" t="str">
        <f aca="true">IF(A240="","",IF(BT240="","NOTE: not reviewed yet",IF(TODAY()&gt;BU240,"NOTE: review overdue","OK")))</f>
        <v/>
      </c>
      <c r="BW240" s="37" t="str">
        <f aca="false">IF(A240="","",ROUND((IF(LEN(D240)&gt;0,1,0)+IF(LEN(E240)&gt;0,1,0)+IF(LEN(F240)&gt;0,1,0)+IF(LEN(G240)&gt;0,1,0)+IF(LEN(H240)&gt;0,1,0)+IF(LEN(I240)&gt;0,1,0)+IF(LEN(J240)&gt;0,1,0)+IF(LEN(L240)&gt;0,1,0)+IF(LEN(R240)&gt;0,1,0)+IF(LEN(Y240)&gt;0,1,0)+IF(LEN(AE240)&gt;0,1,0)+IF(LEN(AG240)&gt;0,1,0)+IF(LEN(AH240)&gt;0,1,0)+IF(LEN(AI240)&gt;0,1,0)+IF(LEN(AJ240)&gt;0,1,0)+IF(LEN(AS240)&gt;0,1,0)+IF(LEN(BE240)&gt;0,1,0)+IF(LEN(BR240)&gt;0,1,0))/18,2))</f>
        <v/>
      </c>
      <c r="BX240" s="10" t="str">
        <f aca="false">IF(D240="","",IF(AND(AH240="Approved",ISERROR(SEARCH("FAIL",BB240))),"Y","N"))</f>
        <v/>
      </c>
      <c r="BY240" s="10" t="str">
        <f aca="false">IF(D240="","",D240&amp;"|"&amp;H240&amp;"|"&amp;F240&amp;"|"&amp;I240&amp;"|"&amp;BX240)</f>
        <v/>
      </c>
    </row>
    <row r="241" customFormat="false" ht="15" hidden="false" customHeight="false" outlineLevel="0" collapsed="false">
      <c r="A241" s="10" t="str">
        <f aca="false">IF(D241="","","ERSS-"&amp;IFERROR(VLOOKUP(D241,Lists!$AK$4:$AL$21,2,0),"??")&amp;"-"&amp;TEXT(F241,"0000")&amp;"x"&amp;TEXT(G241,"0000")&amp;"-D"&amp;TEXT(H241*1000,"0000")&amp;"-"&amp;IFERROR(VLOOKUP(I241,Lists!$Y$4:$Z$21,2,0),"??")&amp;"-"&amp;AG241)</f>
        <v/>
      </c>
      <c r="B241" s="10" t="str">
        <f aca="false">IF(D241="","",D241&amp;" for "&amp;E241&amp;", "&amp;F241&amp;" x "&amp;G241&amp;" pit, "&amp;TEXT(H241,"0.0")&amp;" m deep, "&amp;I241)</f>
        <v/>
      </c>
      <c r="C241" s="9"/>
      <c r="D241" s="9"/>
      <c r="E241" s="9"/>
      <c r="F241" s="38"/>
      <c r="G241" s="38"/>
      <c r="H241" s="42"/>
      <c r="I241" s="9"/>
      <c r="J241" s="42"/>
      <c r="K241" s="38"/>
      <c r="L241" s="9"/>
      <c r="M241" s="42"/>
      <c r="N241" s="42"/>
      <c r="O241" s="38"/>
      <c r="P241" s="9"/>
      <c r="Q241" s="9"/>
      <c r="R241" s="39"/>
      <c r="S241" s="39"/>
      <c r="T241" s="38"/>
      <c r="U241" s="38"/>
      <c r="V241" s="38"/>
      <c r="W241" s="9"/>
      <c r="X241" s="9"/>
      <c r="Y241" s="38"/>
      <c r="Z241" s="9"/>
      <c r="AA241" s="9"/>
      <c r="AB241" s="38"/>
      <c r="AC241" s="9"/>
      <c r="AD241" s="39"/>
      <c r="AE241" s="9"/>
      <c r="AF241" s="9"/>
      <c r="AG241" s="9"/>
      <c r="AH241" s="9"/>
      <c r="AI241" s="9"/>
      <c r="AJ241" s="9"/>
      <c r="AK241" s="9"/>
      <c r="AL241" s="10" t="str">
        <f aca="false">IF(A241="","",SG_Criteria!$B$6&amp;SG_Criteria!$B$11&amp;"\"&amp;A241&amp;"\")</f>
        <v/>
      </c>
      <c r="AM241" s="10" t="str">
        <f aca="false">IF(A241="","",A241&amp;"_CAD.dwg")</f>
        <v/>
      </c>
      <c r="AN241" s="10" t="str">
        <f aca="false">IF(A241="","",A241&amp;"_DWG.pdf")</f>
        <v/>
      </c>
      <c r="AO241" s="10" t="str">
        <f aca="false">IF(A241="","",IF(AK241="Y",A241&amp;"_STAAD.std","n/a"))</f>
        <v/>
      </c>
      <c r="AP241" s="10" t="str">
        <f aca="false">IF(A241="","",A241&amp;"_CALC.xlsx")</f>
        <v/>
      </c>
      <c r="AQ241" s="10" t="str">
        <f aca="false">IF(A241="","",A241&amp;"_CALC.pdf")</f>
        <v/>
      </c>
      <c r="AR241" s="9"/>
      <c r="AS241" s="9"/>
      <c r="AT241" s="39"/>
      <c r="AU241" s="39"/>
      <c r="AV241" s="39"/>
      <c r="AW241" s="39"/>
      <c r="AX241" s="39"/>
      <c r="AY241" s="12" t="str">
        <f aca="false">IF(A241="","",IF(COUNTIF(Rebar_Schedule!$A$5:$A$2004,A241)=0,"",ROUND(SUMIF(Rebar_Schedule!$A$5:$A$2004,A241,Rebar_Schedule!$K$5:$K$2004),1)))</f>
        <v/>
      </c>
      <c r="AZ241" s="33" t="str">
        <f aca="false">IF(A241="","",IF(AY241="","No rebar schedule yet",IF(ABS(AY241-N(AU241))/MAX(N(AU241),1)&gt;SG_Criteria!$B$55,"NOTE: register rebar differs from schedule by "&amp;TEXT(ABS(AY241-N(AU241))/MAX(N(AU241),1),"0%"),"OK")))</f>
        <v/>
      </c>
      <c r="BA241" s="33" t="str">
        <f aca="false">IF(OR(D241="",H241=""),"",IF(H241&lt;=IF(OR(D241="Soldier Pile &amp; Timber Lagging",D241="Trench Shoring Box",D241="Open Cut (battered)"),SG_Criteria!$B$34,SG_Criteria!$B$33),"No ERSS submission",IF(H241&lt;=SG_Criteria!$B$35,"QP(ST)",IF(H241&lt;=SG_Criteria!$B$36,"QP(ST) + AC","Geotechnical building works: QP(Geo) + AC"))))</f>
        <v/>
      </c>
      <c r="BB241" s="33" t="str">
        <f aca="false">IF(D241="","",IF(LEN(IF(AND(R241&lt;&gt;"",R241&lt;SG_Criteria!$B$37),"FAIL: base stability FOS &lt; "&amp;SG_Criteria!$B$37&amp;". ","")&amp;IF(AND(E241="Manhole",H241&gt;SG_Criteria!$B$36),"NOTE: BCA lists sewer manholes (pipe &lt;= 2 m dia) &gt; 6 m as non-GBW: QP(ST) + AC. ","")&amp;IF(AND(D241="Trench Shoring Box",I241="Kallang Formation (marine clay)"),"NOTE: check base heave / ground loss for shoring box in marine clay. ","")&amp;IF(AND(D241="Steel Sheet Pile Cofferdam",N(N241)&lt;H241*0.5),"NOTE: short toe embedment, check. ",""))=0,"OK",IF(AND(R241&lt;&gt;"",R241&lt;SG_Criteria!$B$37),"FAIL: base stability FOS &lt; "&amp;SG_Criteria!$B$37&amp;". ","")&amp;IF(AND(E241="Manhole",H241&gt;SG_Criteria!$B$36),"NOTE: BCA lists sewer manholes (pipe &lt;= 2 m dia) &gt; 6 m as non-GBW: QP(ST) + AC. ","")&amp;IF(AND(D241="Trench Shoring Box",I241="Kallang Formation (marine clay)"),"NOTE: check base heave / ground loss for shoring box in marine clay. ","")&amp;IF(AND(D241="Steel Sheet Pile Cofferdam",N(N241)&lt;H241*0.5),"NOTE: short toe embedment, check. ","")))</f>
        <v/>
      </c>
      <c r="BC241" s="9"/>
      <c r="BD241" s="9"/>
      <c r="BE241" s="9"/>
      <c r="BF241" s="10" t="str">
        <f aca="false">IF(BE241="","",IFERROR(VLOOKUP(BE241,Projects!$A$5:$D$504,2,0),"Ref not in Projects"))</f>
        <v/>
      </c>
      <c r="BG241" s="10" t="str">
        <f aca="false">IF(BE241="","",IFERROR(VLOOKUP(BE241,Projects!$A$5:$D$504,4,0),"Ref not in Projects"))</f>
        <v/>
      </c>
      <c r="BH241" s="9"/>
      <c r="BI241" s="9"/>
      <c r="BJ241" s="9"/>
      <c r="BK241" s="40"/>
      <c r="BL241" s="9"/>
      <c r="BM241" s="40"/>
      <c r="BN241" s="9"/>
      <c r="BO241" s="40"/>
      <c r="BP241" s="9"/>
      <c r="BQ241" s="9"/>
      <c r="BR241" s="9"/>
      <c r="BS241" s="40"/>
      <c r="BT241" s="40"/>
      <c r="BU241" s="36" t="str">
        <f aca="false">IF(BT241="","",EDATE(BT241,SG_Criteria!$B$54*12))</f>
        <v/>
      </c>
      <c r="BV241" s="33" t="str">
        <f aca="true">IF(A241="","",IF(BT241="","NOTE: not reviewed yet",IF(TODAY()&gt;BU241,"NOTE: review overdue","OK")))</f>
        <v/>
      </c>
      <c r="BW241" s="37" t="str">
        <f aca="false">IF(A241="","",ROUND((IF(LEN(D241)&gt;0,1,0)+IF(LEN(E241)&gt;0,1,0)+IF(LEN(F241)&gt;0,1,0)+IF(LEN(G241)&gt;0,1,0)+IF(LEN(H241)&gt;0,1,0)+IF(LEN(I241)&gt;0,1,0)+IF(LEN(J241)&gt;0,1,0)+IF(LEN(L241)&gt;0,1,0)+IF(LEN(R241)&gt;0,1,0)+IF(LEN(Y241)&gt;0,1,0)+IF(LEN(AE241)&gt;0,1,0)+IF(LEN(AG241)&gt;0,1,0)+IF(LEN(AH241)&gt;0,1,0)+IF(LEN(AI241)&gt;0,1,0)+IF(LEN(AJ241)&gt;0,1,0)+IF(LEN(AS241)&gt;0,1,0)+IF(LEN(BE241)&gt;0,1,0)+IF(LEN(BR241)&gt;0,1,0))/18,2))</f>
        <v/>
      </c>
      <c r="BX241" s="10" t="str">
        <f aca="false">IF(D241="","",IF(AND(AH241="Approved",ISERROR(SEARCH("FAIL",BB241))),"Y","N"))</f>
        <v/>
      </c>
      <c r="BY241" s="10" t="str">
        <f aca="false">IF(D241="","",D241&amp;"|"&amp;H241&amp;"|"&amp;F241&amp;"|"&amp;I241&amp;"|"&amp;BX241)</f>
        <v/>
      </c>
    </row>
    <row r="242" customFormat="false" ht="15" hidden="false" customHeight="false" outlineLevel="0" collapsed="false">
      <c r="A242" s="10" t="str">
        <f aca="false">IF(D242="","","ERSS-"&amp;IFERROR(VLOOKUP(D242,Lists!$AK$4:$AL$21,2,0),"??")&amp;"-"&amp;TEXT(F242,"0000")&amp;"x"&amp;TEXT(G242,"0000")&amp;"-D"&amp;TEXT(H242*1000,"0000")&amp;"-"&amp;IFERROR(VLOOKUP(I242,Lists!$Y$4:$Z$21,2,0),"??")&amp;"-"&amp;AG242)</f>
        <v/>
      </c>
      <c r="B242" s="10" t="str">
        <f aca="false">IF(D242="","",D242&amp;" for "&amp;E242&amp;", "&amp;F242&amp;" x "&amp;G242&amp;" pit, "&amp;TEXT(H242,"0.0")&amp;" m deep, "&amp;I242)</f>
        <v/>
      </c>
      <c r="C242" s="9"/>
      <c r="D242" s="9"/>
      <c r="E242" s="9"/>
      <c r="F242" s="38"/>
      <c r="G242" s="38"/>
      <c r="H242" s="42"/>
      <c r="I242" s="9"/>
      <c r="J242" s="42"/>
      <c r="K242" s="38"/>
      <c r="L242" s="9"/>
      <c r="M242" s="42"/>
      <c r="N242" s="42"/>
      <c r="O242" s="38"/>
      <c r="P242" s="9"/>
      <c r="Q242" s="9"/>
      <c r="R242" s="39"/>
      <c r="S242" s="39"/>
      <c r="T242" s="38"/>
      <c r="U242" s="38"/>
      <c r="V242" s="38"/>
      <c r="W242" s="9"/>
      <c r="X242" s="9"/>
      <c r="Y242" s="38"/>
      <c r="Z242" s="9"/>
      <c r="AA242" s="9"/>
      <c r="AB242" s="38"/>
      <c r="AC242" s="9"/>
      <c r="AD242" s="39"/>
      <c r="AE242" s="9"/>
      <c r="AF242" s="9"/>
      <c r="AG242" s="9"/>
      <c r="AH242" s="9"/>
      <c r="AI242" s="9"/>
      <c r="AJ242" s="9"/>
      <c r="AK242" s="9"/>
      <c r="AL242" s="10" t="str">
        <f aca="false">IF(A242="","",SG_Criteria!$B$6&amp;SG_Criteria!$B$11&amp;"\"&amp;A242&amp;"\")</f>
        <v/>
      </c>
      <c r="AM242" s="10" t="str">
        <f aca="false">IF(A242="","",A242&amp;"_CAD.dwg")</f>
        <v/>
      </c>
      <c r="AN242" s="10" t="str">
        <f aca="false">IF(A242="","",A242&amp;"_DWG.pdf")</f>
        <v/>
      </c>
      <c r="AO242" s="10" t="str">
        <f aca="false">IF(A242="","",IF(AK242="Y",A242&amp;"_STAAD.std","n/a"))</f>
        <v/>
      </c>
      <c r="AP242" s="10" t="str">
        <f aca="false">IF(A242="","",A242&amp;"_CALC.xlsx")</f>
        <v/>
      </c>
      <c r="AQ242" s="10" t="str">
        <f aca="false">IF(A242="","",A242&amp;"_CALC.pdf")</f>
        <v/>
      </c>
      <c r="AR242" s="9"/>
      <c r="AS242" s="9"/>
      <c r="AT242" s="39"/>
      <c r="AU242" s="39"/>
      <c r="AV242" s="39"/>
      <c r="AW242" s="39"/>
      <c r="AX242" s="39"/>
      <c r="AY242" s="12" t="str">
        <f aca="false">IF(A242="","",IF(COUNTIF(Rebar_Schedule!$A$5:$A$2004,A242)=0,"",ROUND(SUMIF(Rebar_Schedule!$A$5:$A$2004,A242,Rebar_Schedule!$K$5:$K$2004),1)))</f>
        <v/>
      </c>
      <c r="AZ242" s="33" t="str">
        <f aca="false">IF(A242="","",IF(AY242="","No rebar schedule yet",IF(ABS(AY242-N(AU242))/MAX(N(AU242),1)&gt;SG_Criteria!$B$55,"NOTE: register rebar differs from schedule by "&amp;TEXT(ABS(AY242-N(AU242))/MAX(N(AU242),1),"0%"),"OK")))</f>
        <v/>
      </c>
      <c r="BA242" s="33" t="str">
        <f aca="false">IF(OR(D242="",H242=""),"",IF(H242&lt;=IF(OR(D242="Soldier Pile &amp; Timber Lagging",D242="Trench Shoring Box",D242="Open Cut (battered)"),SG_Criteria!$B$34,SG_Criteria!$B$33),"No ERSS submission",IF(H242&lt;=SG_Criteria!$B$35,"QP(ST)",IF(H242&lt;=SG_Criteria!$B$36,"QP(ST) + AC","Geotechnical building works: QP(Geo) + AC"))))</f>
        <v/>
      </c>
      <c r="BB242" s="33" t="str">
        <f aca="false">IF(D242="","",IF(LEN(IF(AND(R242&lt;&gt;"",R242&lt;SG_Criteria!$B$37),"FAIL: base stability FOS &lt; "&amp;SG_Criteria!$B$37&amp;". ","")&amp;IF(AND(E242="Manhole",H242&gt;SG_Criteria!$B$36),"NOTE: BCA lists sewer manholes (pipe &lt;= 2 m dia) &gt; 6 m as non-GBW: QP(ST) + AC. ","")&amp;IF(AND(D242="Trench Shoring Box",I242="Kallang Formation (marine clay)"),"NOTE: check base heave / ground loss for shoring box in marine clay. ","")&amp;IF(AND(D242="Steel Sheet Pile Cofferdam",N(N242)&lt;H242*0.5),"NOTE: short toe embedment, check. ",""))=0,"OK",IF(AND(R242&lt;&gt;"",R242&lt;SG_Criteria!$B$37),"FAIL: base stability FOS &lt; "&amp;SG_Criteria!$B$37&amp;". ","")&amp;IF(AND(E242="Manhole",H242&gt;SG_Criteria!$B$36),"NOTE: BCA lists sewer manholes (pipe &lt;= 2 m dia) &gt; 6 m as non-GBW: QP(ST) + AC. ","")&amp;IF(AND(D242="Trench Shoring Box",I242="Kallang Formation (marine clay)"),"NOTE: check base heave / ground loss for shoring box in marine clay. ","")&amp;IF(AND(D242="Steel Sheet Pile Cofferdam",N(N242)&lt;H242*0.5),"NOTE: short toe embedment, check. ","")))</f>
        <v/>
      </c>
      <c r="BC242" s="9"/>
      <c r="BD242" s="9"/>
      <c r="BE242" s="9"/>
      <c r="BF242" s="10" t="str">
        <f aca="false">IF(BE242="","",IFERROR(VLOOKUP(BE242,Projects!$A$5:$D$504,2,0),"Ref not in Projects"))</f>
        <v/>
      </c>
      <c r="BG242" s="10" t="str">
        <f aca="false">IF(BE242="","",IFERROR(VLOOKUP(BE242,Projects!$A$5:$D$504,4,0),"Ref not in Projects"))</f>
        <v/>
      </c>
      <c r="BH242" s="9"/>
      <c r="BI242" s="9"/>
      <c r="BJ242" s="9"/>
      <c r="BK242" s="40"/>
      <c r="BL242" s="9"/>
      <c r="BM242" s="40"/>
      <c r="BN242" s="9"/>
      <c r="BO242" s="40"/>
      <c r="BP242" s="9"/>
      <c r="BQ242" s="9"/>
      <c r="BR242" s="9"/>
      <c r="BS242" s="40"/>
      <c r="BT242" s="40"/>
      <c r="BU242" s="36" t="str">
        <f aca="false">IF(BT242="","",EDATE(BT242,SG_Criteria!$B$54*12))</f>
        <v/>
      </c>
      <c r="BV242" s="33" t="str">
        <f aca="true">IF(A242="","",IF(BT242="","NOTE: not reviewed yet",IF(TODAY()&gt;BU242,"NOTE: review overdue","OK")))</f>
        <v/>
      </c>
      <c r="BW242" s="37" t="str">
        <f aca="false">IF(A242="","",ROUND((IF(LEN(D242)&gt;0,1,0)+IF(LEN(E242)&gt;0,1,0)+IF(LEN(F242)&gt;0,1,0)+IF(LEN(G242)&gt;0,1,0)+IF(LEN(H242)&gt;0,1,0)+IF(LEN(I242)&gt;0,1,0)+IF(LEN(J242)&gt;0,1,0)+IF(LEN(L242)&gt;0,1,0)+IF(LEN(R242)&gt;0,1,0)+IF(LEN(Y242)&gt;0,1,0)+IF(LEN(AE242)&gt;0,1,0)+IF(LEN(AG242)&gt;0,1,0)+IF(LEN(AH242)&gt;0,1,0)+IF(LEN(AI242)&gt;0,1,0)+IF(LEN(AJ242)&gt;0,1,0)+IF(LEN(AS242)&gt;0,1,0)+IF(LEN(BE242)&gt;0,1,0)+IF(LEN(BR242)&gt;0,1,0))/18,2))</f>
        <v/>
      </c>
      <c r="BX242" s="10" t="str">
        <f aca="false">IF(D242="","",IF(AND(AH242="Approved",ISERROR(SEARCH("FAIL",BB242))),"Y","N"))</f>
        <v/>
      </c>
      <c r="BY242" s="10" t="str">
        <f aca="false">IF(D242="","",D242&amp;"|"&amp;H242&amp;"|"&amp;F242&amp;"|"&amp;I242&amp;"|"&amp;BX242)</f>
        <v/>
      </c>
    </row>
    <row r="243" customFormat="false" ht="15" hidden="false" customHeight="false" outlineLevel="0" collapsed="false">
      <c r="A243" s="10" t="str">
        <f aca="false">IF(D243="","","ERSS-"&amp;IFERROR(VLOOKUP(D243,Lists!$AK$4:$AL$21,2,0),"??")&amp;"-"&amp;TEXT(F243,"0000")&amp;"x"&amp;TEXT(G243,"0000")&amp;"-D"&amp;TEXT(H243*1000,"0000")&amp;"-"&amp;IFERROR(VLOOKUP(I243,Lists!$Y$4:$Z$21,2,0),"??")&amp;"-"&amp;AG243)</f>
        <v/>
      </c>
      <c r="B243" s="10" t="str">
        <f aca="false">IF(D243="","",D243&amp;" for "&amp;E243&amp;", "&amp;F243&amp;" x "&amp;G243&amp;" pit, "&amp;TEXT(H243,"0.0")&amp;" m deep, "&amp;I243)</f>
        <v/>
      </c>
      <c r="C243" s="9"/>
      <c r="D243" s="9"/>
      <c r="E243" s="9"/>
      <c r="F243" s="38"/>
      <c r="G243" s="38"/>
      <c r="H243" s="42"/>
      <c r="I243" s="9"/>
      <c r="J243" s="42"/>
      <c r="K243" s="38"/>
      <c r="L243" s="9"/>
      <c r="M243" s="42"/>
      <c r="N243" s="42"/>
      <c r="O243" s="38"/>
      <c r="P243" s="9"/>
      <c r="Q243" s="9"/>
      <c r="R243" s="39"/>
      <c r="S243" s="39"/>
      <c r="T243" s="38"/>
      <c r="U243" s="38"/>
      <c r="V243" s="38"/>
      <c r="W243" s="9"/>
      <c r="X243" s="9"/>
      <c r="Y243" s="38"/>
      <c r="Z243" s="9"/>
      <c r="AA243" s="9"/>
      <c r="AB243" s="38"/>
      <c r="AC243" s="9"/>
      <c r="AD243" s="39"/>
      <c r="AE243" s="9"/>
      <c r="AF243" s="9"/>
      <c r="AG243" s="9"/>
      <c r="AH243" s="9"/>
      <c r="AI243" s="9"/>
      <c r="AJ243" s="9"/>
      <c r="AK243" s="9"/>
      <c r="AL243" s="10" t="str">
        <f aca="false">IF(A243="","",SG_Criteria!$B$6&amp;SG_Criteria!$B$11&amp;"\"&amp;A243&amp;"\")</f>
        <v/>
      </c>
      <c r="AM243" s="10" t="str">
        <f aca="false">IF(A243="","",A243&amp;"_CAD.dwg")</f>
        <v/>
      </c>
      <c r="AN243" s="10" t="str">
        <f aca="false">IF(A243="","",A243&amp;"_DWG.pdf")</f>
        <v/>
      </c>
      <c r="AO243" s="10" t="str">
        <f aca="false">IF(A243="","",IF(AK243="Y",A243&amp;"_STAAD.std","n/a"))</f>
        <v/>
      </c>
      <c r="AP243" s="10" t="str">
        <f aca="false">IF(A243="","",A243&amp;"_CALC.xlsx")</f>
        <v/>
      </c>
      <c r="AQ243" s="10" t="str">
        <f aca="false">IF(A243="","",A243&amp;"_CALC.pdf")</f>
        <v/>
      </c>
      <c r="AR243" s="9"/>
      <c r="AS243" s="9"/>
      <c r="AT243" s="39"/>
      <c r="AU243" s="39"/>
      <c r="AV243" s="39"/>
      <c r="AW243" s="39"/>
      <c r="AX243" s="39"/>
      <c r="AY243" s="12" t="str">
        <f aca="false">IF(A243="","",IF(COUNTIF(Rebar_Schedule!$A$5:$A$2004,A243)=0,"",ROUND(SUMIF(Rebar_Schedule!$A$5:$A$2004,A243,Rebar_Schedule!$K$5:$K$2004),1)))</f>
        <v/>
      </c>
      <c r="AZ243" s="33" t="str">
        <f aca="false">IF(A243="","",IF(AY243="","No rebar schedule yet",IF(ABS(AY243-N(AU243))/MAX(N(AU243),1)&gt;SG_Criteria!$B$55,"NOTE: register rebar differs from schedule by "&amp;TEXT(ABS(AY243-N(AU243))/MAX(N(AU243),1),"0%"),"OK")))</f>
        <v/>
      </c>
      <c r="BA243" s="33" t="str">
        <f aca="false">IF(OR(D243="",H243=""),"",IF(H243&lt;=IF(OR(D243="Soldier Pile &amp; Timber Lagging",D243="Trench Shoring Box",D243="Open Cut (battered)"),SG_Criteria!$B$34,SG_Criteria!$B$33),"No ERSS submission",IF(H243&lt;=SG_Criteria!$B$35,"QP(ST)",IF(H243&lt;=SG_Criteria!$B$36,"QP(ST) + AC","Geotechnical building works: QP(Geo) + AC"))))</f>
        <v/>
      </c>
      <c r="BB243" s="33" t="str">
        <f aca="false">IF(D243="","",IF(LEN(IF(AND(R243&lt;&gt;"",R243&lt;SG_Criteria!$B$37),"FAIL: base stability FOS &lt; "&amp;SG_Criteria!$B$37&amp;". ","")&amp;IF(AND(E243="Manhole",H243&gt;SG_Criteria!$B$36),"NOTE: BCA lists sewer manholes (pipe &lt;= 2 m dia) &gt; 6 m as non-GBW: QP(ST) + AC. ","")&amp;IF(AND(D243="Trench Shoring Box",I243="Kallang Formation (marine clay)"),"NOTE: check base heave / ground loss for shoring box in marine clay. ","")&amp;IF(AND(D243="Steel Sheet Pile Cofferdam",N(N243)&lt;H243*0.5),"NOTE: short toe embedment, check. ",""))=0,"OK",IF(AND(R243&lt;&gt;"",R243&lt;SG_Criteria!$B$37),"FAIL: base stability FOS &lt; "&amp;SG_Criteria!$B$37&amp;". ","")&amp;IF(AND(E243="Manhole",H243&gt;SG_Criteria!$B$36),"NOTE: BCA lists sewer manholes (pipe &lt;= 2 m dia) &gt; 6 m as non-GBW: QP(ST) + AC. ","")&amp;IF(AND(D243="Trench Shoring Box",I243="Kallang Formation (marine clay)"),"NOTE: check base heave / ground loss for shoring box in marine clay. ","")&amp;IF(AND(D243="Steel Sheet Pile Cofferdam",N(N243)&lt;H243*0.5),"NOTE: short toe embedment, check. ","")))</f>
        <v/>
      </c>
      <c r="BC243" s="9"/>
      <c r="BD243" s="9"/>
      <c r="BE243" s="9"/>
      <c r="BF243" s="10" t="str">
        <f aca="false">IF(BE243="","",IFERROR(VLOOKUP(BE243,Projects!$A$5:$D$504,2,0),"Ref not in Projects"))</f>
        <v/>
      </c>
      <c r="BG243" s="10" t="str">
        <f aca="false">IF(BE243="","",IFERROR(VLOOKUP(BE243,Projects!$A$5:$D$504,4,0),"Ref not in Projects"))</f>
        <v/>
      </c>
      <c r="BH243" s="9"/>
      <c r="BI243" s="9"/>
      <c r="BJ243" s="9"/>
      <c r="BK243" s="40"/>
      <c r="BL243" s="9"/>
      <c r="BM243" s="40"/>
      <c r="BN243" s="9"/>
      <c r="BO243" s="40"/>
      <c r="BP243" s="9"/>
      <c r="BQ243" s="9"/>
      <c r="BR243" s="9"/>
      <c r="BS243" s="40"/>
      <c r="BT243" s="40"/>
      <c r="BU243" s="36" t="str">
        <f aca="false">IF(BT243="","",EDATE(BT243,SG_Criteria!$B$54*12))</f>
        <v/>
      </c>
      <c r="BV243" s="33" t="str">
        <f aca="true">IF(A243="","",IF(BT243="","NOTE: not reviewed yet",IF(TODAY()&gt;BU243,"NOTE: review overdue","OK")))</f>
        <v/>
      </c>
      <c r="BW243" s="37" t="str">
        <f aca="false">IF(A243="","",ROUND((IF(LEN(D243)&gt;0,1,0)+IF(LEN(E243)&gt;0,1,0)+IF(LEN(F243)&gt;0,1,0)+IF(LEN(G243)&gt;0,1,0)+IF(LEN(H243)&gt;0,1,0)+IF(LEN(I243)&gt;0,1,0)+IF(LEN(J243)&gt;0,1,0)+IF(LEN(L243)&gt;0,1,0)+IF(LEN(R243)&gt;0,1,0)+IF(LEN(Y243)&gt;0,1,0)+IF(LEN(AE243)&gt;0,1,0)+IF(LEN(AG243)&gt;0,1,0)+IF(LEN(AH243)&gt;0,1,0)+IF(LEN(AI243)&gt;0,1,0)+IF(LEN(AJ243)&gt;0,1,0)+IF(LEN(AS243)&gt;0,1,0)+IF(LEN(BE243)&gt;0,1,0)+IF(LEN(BR243)&gt;0,1,0))/18,2))</f>
        <v/>
      </c>
      <c r="BX243" s="10" t="str">
        <f aca="false">IF(D243="","",IF(AND(AH243="Approved",ISERROR(SEARCH("FAIL",BB243))),"Y","N"))</f>
        <v/>
      </c>
      <c r="BY243" s="10" t="str">
        <f aca="false">IF(D243="","",D243&amp;"|"&amp;H243&amp;"|"&amp;F243&amp;"|"&amp;I243&amp;"|"&amp;BX243)</f>
        <v/>
      </c>
    </row>
    <row r="244" customFormat="false" ht="15" hidden="false" customHeight="false" outlineLevel="0" collapsed="false">
      <c r="A244" s="10" t="str">
        <f aca="false">IF(D244="","","ERSS-"&amp;IFERROR(VLOOKUP(D244,Lists!$AK$4:$AL$21,2,0),"??")&amp;"-"&amp;TEXT(F244,"0000")&amp;"x"&amp;TEXT(G244,"0000")&amp;"-D"&amp;TEXT(H244*1000,"0000")&amp;"-"&amp;IFERROR(VLOOKUP(I244,Lists!$Y$4:$Z$21,2,0),"??")&amp;"-"&amp;AG244)</f>
        <v/>
      </c>
      <c r="B244" s="10" t="str">
        <f aca="false">IF(D244="","",D244&amp;" for "&amp;E244&amp;", "&amp;F244&amp;" x "&amp;G244&amp;" pit, "&amp;TEXT(H244,"0.0")&amp;" m deep, "&amp;I244)</f>
        <v/>
      </c>
      <c r="C244" s="9"/>
      <c r="D244" s="9"/>
      <c r="E244" s="9"/>
      <c r="F244" s="38"/>
      <c r="G244" s="38"/>
      <c r="H244" s="42"/>
      <c r="I244" s="9"/>
      <c r="J244" s="42"/>
      <c r="K244" s="38"/>
      <c r="L244" s="9"/>
      <c r="M244" s="42"/>
      <c r="N244" s="42"/>
      <c r="O244" s="38"/>
      <c r="P244" s="9"/>
      <c r="Q244" s="9"/>
      <c r="R244" s="39"/>
      <c r="S244" s="39"/>
      <c r="T244" s="38"/>
      <c r="U244" s="38"/>
      <c r="V244" s="38"/>
      <c r="W244" s="9"/>
      <c r="X244" s="9"/>
      <c r="Y244" s="38"/>
      <c r="Z244" s="9"/>
      <c r="AA244" s="9"/>
      <c r="AB244" s="38"/>
      <c r="AC244" s="9"/>
      <c r="AD244" s="39"/>
      <c r="AE244" s="9"/>
      <c r="AF244" s="9"/>
      <c r="AG244" s="9"/>
      <c r="AH244" s="9"/>
      <c r="AI244" s="9"/>
      <c r="AJ244" s="9"/>
      <c r="AK244" s="9"/>
      <c r="AL244" s="10" t="str">
        <f aca="false">IF(A244="","",SG_Criteria!$B$6&amp;SG_Criteria!$B$11&amp;"\"&amp;A244&amp;"\")</f>
        <v/>
      </c>
      <c r="AM244" s="10" t="str">
        <f aca="false">IF(A244="","",A244&amp;"_CAD.dwg")</f>
        <v/>
      </c>
      <c r="AN244" s="10" t="str">
        <f aca="false">IF(A244="","",A244&amp;"_DWG.pdf")</f>
        <v/>
      </c>
      <c r="AO244" s="10" t="str">
        <f aca="false">IF(A244="","",IF(AK244="Y",A244&amp;"_STAAD.std","n/a"))</f>
        <v/>
      </c>
      <c r="AP244" s="10" t="str">
        <f aca="false">IF(A244="","",A244&amp;"_CALC.xlsx")</f>
        <v/>
      </c>
      <c r="AQ244" s="10" t="str">
        <f aca="false">IF(A244="","",A244&amp;"_CALC.pdf")</f>
        <v/>
      </c>
      <c r="AR244" s="9"/>
      <c r="AS244" s="9"/>
      <c r="AT244" s="39"/>
      <c r="AU244" s="39"/>
      <c r="AV244" s="39"/>
      <c r="AW244" s="39"/>
      <c r="AX244" s="39"/>
      <c r="AY244" s="12" t="str">
        <f aca="false">IF(A244="","",IF(COUNTIF(Rebar_Schedule!$A$5:$A$2004,A244)=0,"",ROUND(SUMIF(Rebar_Schedule!$A$5:$A$2004,A244,Rebar_Schedule!$K$5:$K$2004),1)))</f>
        <v/>
      </c>
      <c r="AZ244" s="33" t="str">
        <f aca="false">IF(A244="","",IF(AY244="","No rebar schedule yet",IF(ABS(AY244-N(AU244))/MAX(N(AU244),1)&gt;SG_Criteria!$B$55,"NOTE: register rebar differs from schedule by "&amp;TEXT(ABS(AY244-N(AU244))/MAX(N(AU244),1),"0%"),"OK")))</f>
        <v/>
      </c>
      <c r="BA244" s="33" t="str">
        <f aca="false">IF(OR(D244="",H244=""),"",IF(H244&lt;=IF(OR(D244="Soldier Pile &amp; Timber Lagging",D244="Trench Shoring Box",D244="Open Cut (battered)"),SG_Criteria!$B$34,SG_Criteria!$B$33),"No ERSS submission",IF(H244&lt;=SG_Criteria!$B$35,"QP(ST)",IF(H244&lt;=SG_Criteria!$B$36,"QP(ST) + AC","Geotechnical building works: QP(Geo) + AC"))))</f>
        <v/>
      </c>
      <c r="BB244" s="33" t="str">
        <f aca="false">IF(D244="","",IF(LEN(IF(AND(R244&lt;&gt;"",R244&lt;SG_Criteria!$B$37),"FAIL: base stability FOS &lt; "&amp;SG_Criteria!$B$37&amp;". ","")&amp;IF(AND(E244="Manhole",H244&gt;SG_Criteria!$B$36),"NOTE: BCA lists sewer manholes (pipe &lt;= 2 m dia) &gt; 6 m as non-GBW: QP(ST) + AC. ","")&amp;IF(AND(D244="Trench Shoring Box",I244="Kallang Formation (marine clay)"),"NOTE: check base heave / ground loss for shoring box in marine clay. ","")&amp;IF(AND(D244="Steel Sheet Pile Cofferdam",N(N244)&lt;H244*0.5),"NOTE: short toe embedment, check. ",""))=0,"OK",IF(AND(R244&lt;&gt;"",R244&lt;SG_Criteria!$B$37),"FAIL: base stability FOS &lt; "&amp;SG_Criteria!$B$37&amp;". ","")&amp;IF(AND(E244="Manhole",H244&gt;SG_Criteria!$B$36),"NOTE: BCA lists sewer manholes (pipe &lt;= 2 m dia) &gt; 6 m as non-GBW: QP(ST) + AC. ","")&amp;IF(AND(D244="Trench Shoring Box",I244="Kallang Formation (marine clay)"),"NOTE: check base heave / ground loss for shoring box in marine clay. ","")&amp;IF(AND(D244="Steel Sheet Pile Cofferdam",N(N244)&lt;H244*0.5),"NOTE: short toe embedment, check. ","")))</f>
        <v/>
      </c>
      <c r="BC244" s="9"/>
      <c r="BD244" s="9"/>
      <c r="BE244" s="9"/>
      <c r="BF244" s="10" t="str">
        <f aca="false">IF(BE244="","",IFERROR(VLOOKUP(BE244,Projects!$A$5:$D$504,2,0),"Ref not in Projects"))</f>
        <v/>
      </c>
      <c r="BG244" s="10" t="str">
        <f aca="false">IF(BE244="","",IFERROR(VLOOKUP(BE244,Projects!$A$5:$D$504,4,0),"Ref not in Projects"))</f>
        <v/>
      </c>
      <c r="BH244" s="9"/>
      <c r="BI244" s="9"/>
      <c r="BJ244" s="9"/>
      <c r="BK244" s="40"/>
      <c r="BL244" s="9"/>
      <c r="BM244" s="40"/>
      <c r="BN244" s="9"/>
      <c r="BO244" s="40"/>
      <c r="BP244" s="9"/>
      <c r="BQ244" s="9"/>
      <c r="BR244" s="9"/>
      <c r="BS244" s="40"/>
      <c r="BT244" s="40"/>
      <c r="BU244" s="36" t="str">
        <f aca="false">IF(BT244="","",EDATE(BT244,SG_Criteria!$B$54*12))</f>
        <v/>
      </c>
      <c r="BV244" s="33" t="str">
        <f aca="true">IF(A244="","",IF(BT244="","NOTE: not reviewed yet",IF(TODAY()&gt;BU244,"NOTE: review overdue","OK")))</f>
        <v/>
      </c>
      <c r="BW244" s="37" t="str">
        <f aca="false">IF(A244="","",ROUND((IF(LEN(D244)&gt;0,1,0)+IF(LEN(E244)&gt;0,1,0)+IF(LEN(F244)&gt;0,1,0)+IF(LEN(G244)&gt;0,1,0)+IF(LEN(H244)&gt;0,1,0)+IF(LEN(I244)&gt;0,1,0)+IF(LEN(J244)&gt;0,1,0)+IF(LEN(L244)&gt;0,1,0)+IF(LEN(R244)&gt;0,1,0)+IF(LEN(Y244)&gt;0,1,0)+IF(LEN(AE244)&gt;0,1,0)+IF(LEN(AG244)&gt;0,1,0)+IF(LEN(AH244)&gt;0,1,0)+IF(LEN(AI244)&gt;0,1,0)+IF(LEN(AJ244)&gt;0,1,0)+IF(LEN(AS244)&gt;0,1,0)+IF(LEN(BE244)&gt;0,1,0)+IF(LEN(BR244)&gt;0,1,0))/18,2))</f>
        <v/>
      </c>
      <c r="BX244" s="10" t="str">
        <f aca="false">IF(D244="","",IF(AND(AH244="Approved",ISERROR(SEARCH("FAIL",BB244))),"Y","N"))</f>
        <v/>
      </c>
      <c r="BY244" s="10" t="str">
        <f aca="false">IF(D244="","",D244&amp;"|"&amp;H244&amp;"|"&amp;F244&amp;"|"&amp;I244&amp;"|"&amp;BX244)</f>
        <v/>
      </c>
    </row>
    <row r="245" customFormat="false" ht="15" hidden="false" customHeight="false" outlineLevel="0" collapsed="false">
      <c r="A245" s="10" t="str">
        <f aca="false">IF(D245="","","ERSS-"&amp;IFERROR(VLOOKUP(D245,Lists!$AK$4:$AL$21,2,0),"??")&amp;"-"&amp;TEXT(F245,"0000")&amp;"x"&amp;TEXT(G245,"0000")&amp;"-D"&amp;TEXT(H245*1000,"0000")&amp;"-"&amp;IFERROR(VLOOKUP(I245,Lists!$Y$4:$Z$21,2,0),"??")&amp;"-"&amp;AG245)</f>
        <v/>
      </c>
      <c r="B245" s="10" t="str">
        <f aca="false">IF(D245="","",D245&amp;" for "&amp;E245&amp;", "&amp;F245&amp;" x "&amp;G245&amp;" pit, "&amp;TEXT(H245,"0.0")&amp;" m deep, "&amp;I245)</f>
        <v/>
      </c>
      <c r="C245" s="9"/>
      <c r="D245" s="9"/>
      <c r="E245" s="9"/>
      <c r="F245" s="38"/>
      <c r="G245" s="38"/>
      <c r="H245" s="42"/>
      <c r="I245" s="9"/>
      <c r="J245" s="42"/>
      <c r="K245" s="38"/>
      <c r="L245" s="9"/>
      <c r="M245" s="42"/>
      <c r="N245" s="42"/>
      <c r="O245" s="38"/>
      <c r="P245" s="9"/>
      <c r="Q245" s="9"/>
      <c r="R245" s="39"/>
      <c r="S245" s="39"/>
      <c r="T245" s="38"/>
      <c r="U245" s="38"/>
      <c r="V245" s="38"/>
      <c r="W245" s="9"/>
      <c r="X245" s="9"/>
      <c r="Y245" s="38"/>
      <c r="Z245" s="9"/>
      <c r="AA245" s="9"/>
      <c r="AB245" s="38"/>
      <c r="AC245" s="9"/>
      <c r="AD245" s="39"/>
      <c r="AE245" s="9"/>
      <c r="AF245" s="9"/>
      <c r="AG245" s="9"/>
      <c r="AH245" s="9"/>
      <c r="AI245" s="9"/>
      <c r="AJ245" s="9"/>
      <c r="AK245" s="9"/>
      <c r="AL245" s="10" t="str">
        <f aca="false">IF(A245="","",SG_Criteria!$B$6&amp;SG_Criteria!$B$11&amp;"\"&amp;A245&amp;"\")</f>
        <v/>
      </c>
      <c r="AM245" s="10" t="str">
        <f aca="false">IF(A245="","",A245&amp;"_CAD.dwg")</f>
        <v/>
      </c>
      <c r="AN245" s="10" t="str">
        <f aca="false">IF(A245="","",A245&amp;"_DWG.pdf")</f>
        <v/>
      </c>
      <c r="AO245" s="10" t="str">
        <f aca="false">IF(A245="","",IF(AK245="Y",A245&amp;"_STAAD.std","n/a"))</f>
        <v/>
      </c>
      <c r="AP245" s="10" t="str">
        <f aca="false">IF(A245="","",A245&amp;"_CALC.xlsx")</f>
        <v/>
      </c>
      <c r="AQ245" s="10" t="str">
        <f aca="false">IF(A245="","",A245&amp;"_CALC.pdf")</f>
        <v/>
      </c>
      <c r="AR245" s="9"/>
      <c r="AS245" s="9"/>
      <c r="AT245" s="39"/>
      <c r="AU245" s="39"/>
      <c r="AV245" s="39"/>
      <c r="AW245" s="39"/>
      <c r="AX245" s="39"/>
      <c r="AY245" s="12" t="str">
        <f aca="false">IF(A245="","",IF(COUNTIF(Rebar_Schedule!$A$5:$A$2004,A245)=0,"",ROUND(SUMIF(Rebar_Schedule!$A$5:$A$2004,A245,Rebar_Schedule!$K$5:$K$2004),1)))</f>
        <v/>
      </c>
      <c r="AZ245" s="33" t="str">
        <f aca="false">IF(A245="","",IF(AY245="","No rebar schedule yet",IF(ABS(AY245-N(AU245))/MAX(N(AU245),1)&gt;SG_Criteria!$B$55,"NOTE: register rebar differs from schedule by "&amp;TEXT(ABS(AY245-N(AU245))/MAX(N(AU245),1),"0%"),"OK")))</f>
        <v/>
      </c>
      <c r="BA245" s="33" t="str">
        <f aca="false">IF(OR(D245="",H245=""),"",IF(H245&lt;=IF(OR(D245="Soldier Pile &amp; Timber Lagging",D245="Trench Shoring Box",D245="Open Cut (battered)"),SG_Criteria!$B$34,SG_Criteria!$B$33),"No ERSS submission",IF(H245&lt;=SG_Criteria!$B$35,"QP(ST)",IF(H245&lt;=SG_Criteria!$B$36,"QP(ST) + AC","Geotechnical building works: QP(Geo) + AC"))))</f>
        <v/>
      </c>
      <c r="BB245" s="33" t="str">
        <f aca="false">IF(D245="","",IF(LEN(IF(AND(R245&lt;&gt;"",R245&lt;SG_Criteria!$B$37),"FAIL: base stability FOS &lt; "&amp;SG_Criteria!$B$37&amp;". ","")&amp;IF(AND(E245="Manhole",H245&gt;SG_Criteria!$B$36),"NOTE: BCA lists sewer manholes (pipe &lt;= 2 m dia) &gt; 6 m as non-GBW: QP(ST) + AC. ","")&amp;IF(AND(D245="Trench Shoring Box",I245="Kallang Formation (marine clay)"),"NOTE: check base heave / ground loss for shoring box in marine clay. ","")&amp;IF(AND(D245="Steel Sheet Pile Cofferdam",N(N245)&lt;H245*0.5),"NOTE: short toe embedment, check. ",""))=0,"OK",IF(AND(R245&lt;&gt;"",R245&lt;SG_Criteria!$B$37),"FAIL: base stability FOS &lt; "&amp;SG_Criteria!$B$37&amp;". ","")&amp;IF(AND(E245="Manhole",H245&gt;SG_Criteria!$B$36),"NOTE: BCA lists sewer manholes (pipe &lt;= 2 m dia) &gt; 6 m as non-GBW: QP(ST) + AC. ","")&amp;IF(AND(D245="Trench Shoring Box",I245="Kallang Formation (marine clay)"),"NOTE: check base heave / ground loss for shoring box in marine clay. ","")&amp;IF(AND(D245="Steel Sheet Pile Cofferdam",N(N245)&lt;H245*0.5),"NOTE: short toe embedment, check. ","")))</f>
        <v/>
      </c>
      <c r="BC245" s="9"/>
      <c r="BD245" s="9"/>
      <c r="BE245" s="9"/>
      <c r="BF245" s="10" t="str">
        <f aca="false">IF(BE245="","",IFERROR(VLOOKUP(BE245,Projects!$A$5:$D$504,2,0),"Ref not in Projects"))</f>
        <v/>
      </c>
      <c r="BG245" s="10" t="str">
        <f aca="false">IF(BE245="","",IFERROR(VLOOKUP(BE245,Projects!$A$5:$D$504,4,0),"Ref not in Projects"))</f>
        <v/>
      </c>
      <c r="BH245" s="9"/>
      <c r="BI245" s="9"/>
      <c r="BJ245" s="9"/>
      <c r="BK245" s="40"/>
      <c r="BL245" s="9"/>
      <c r="BM245" s="40"/>
      <c r="BN245" s="9"/>
      <c r="BO245" s="40"/>
      <c r="BP245" s="9"/>
      <c r="BQ245" s="9"/>
      <c r="BR245" s="9"/>
      <c r="BS245" s="40"/>
      <c r="BT245" s="40"/>
      <c r="BU245" s="36" t="str">
        <f aca="false">IF(BT245="","",EDATE(BT245,SG_Criteria!$B$54*12))</f>
        <v/>
      </c>
      <c r="BV245" s="33" t="str">
        <f aca="true">IF(A245="","",IF(BT245="","NOTE: not reviewed yet",IF(TODAY()&gt;BU245,"NOTE: review overdue","OK")))</f>
        <v/>
      </c>
      <c r="BW245" s="37" t="str">
        <f aca="false">IF(A245="","",ROUND((IF(LEN(D245)&gt;0,1,0)+IF(LEN(E245)&gt;0,1,0)+IF(LEN(F245)&gt;0,1,0)+IF(LEN(G245)&gt;0,1,0)+IF(LEN(H245)&gt;0,1,0)+IF(LEN(I245)&gt;0,1,0)+IF(LEN(J245)&gt;0,1,0)+IF(LEN(L245)&gt;0,1,0)+IF(LEN(R245)&gt;0,1,0)+IF(LEN(Y245)&gt;0,1,0)+IF(LEN(AE245)&gt;0,1,0)+IF(LEN(AG245)&gt;0,1,0)+IF(LEN(AH245)&gt;0,1,0)+IF(LEN(AI245)&gt;0,1,0)+IF(LEN(AJ245)&gt;0,1,0)+IF(LEN(AS245)&gt;0,1,0)+IF(LEN(BE245)&gt;0,1,0)+IF(LEN(BR245)&gt;0,1,0))/18,2))</f>
        <v/>
      </c>
      <c r="BX245" s="10" t="str">
        <f aca="false">IF(D245="","",IF(AND(AH245="Approved",ISERROR(SEARCH("FAIL",BB245))),"Y","N"))</f>
        <v/>
      </c>
      <c r="BY245" s="10" t="str">
        <f aca="false">IF(D245="","",D245&amp;"|"&amp;H245&amp;"|"&amp;F245&amp;"|"&amp;I245&amp;"|"&amp;BX245)</f>
        <v/>
      </c>
    </row>
    <row r="246" customFormat="false" ht="15" hidden="false" customHeight="false" outlineLevel="0" collapsed="false">
      <c r="A246" s="10" t="str">
        <f aca="false">IF(D246="","","ERSS-"&amp;IFERROR(VLOOKUP(D246,Lists!$AK$4:$AL$21,2,0),"??")&amp;"-"&amp;TEXT(F246,"0000")&amp;"x"&amp;TEXT(G246,"0000")&amp;"-D"&amp;TEXT(H246*1000,"0000")&amp;"-"&amp;IFERROR(VLOOKUP(I246,Lists!$Y$4:$Z$21,2,0),"??")&amp;"-"&amp;AG246)</f>
        <v/>
      </c>
      <c r="B246" s="10" t="str">
        <f aca="false">IF(D246="","",D246&amp;" for "&amp;E246&amp;", "&amp;F246&amp;" x "&amp;G246&amp;" pit, "&amp;TEXT(H246,"0.0")&amp;" m deep, "&amp;I246)</f>
        <v/>
      </c>
      <c r="C246" s="9"/>
      <c r="D246" s="9"/>
      <c r="E246" s="9"/>
      <c r="F246" s="38"/>
      <c r="G246" s="38"/>
      <c r="H246" s="42"/>
      <c r="I246" s="9"/>
      <c r="J246" s="42"/>
      <c r="K246" s="38"/>
      <c r="L246" s="9"/>
      <c r="M246" s="42"/>
      <c r="N246" s="42"/>
      <c r="O246" s="38"/>
      <c r="P246" s="9"/>
      <c r="Q246" s="9"/>
      <c r="R246" s="39"/>
      <c r="S246" s="39"/>
      <c r="T246" s="38"/>
      <c r="U246" s="38"/>
      <c r="V246" s="38"/>
      <c r="W246" s="9"/>
      <c r="X246" s="9"/>
      <c r="Y246" s="38"/>
      <c r="Z246" s="9"/>
      <c r="AA246" s="9"/>
      <c r="AB246" s="38"/>
      <c r="AC246" s="9"/>
      <c r="AD246" s="39"/>
      <c r="AE246" s="9"/>
      <c r="AF246" s="9"/>
      <c r="AG246" s="9"/>
      <c r="AH246" s="9"/>
      <c r="AI246" s="9"/>
      <c r="AJ246" s="9"/>
      <c r="AK246" s="9"/>
      <c r="AL246" s="10" t="str">
        <f aca="false">IF(A246="","",SG_Criteria!$B$6&amp;SG_Criteria!$B$11&amp;"\"&amp;A246&amp;"\")</f>
        <v/>
      </c>
      <c r="AM246" s="10" t="str">
        <f aca="false">IF(A246="","",A246&amp;"_CAD.dwg")</f>
        <v/>
      </c>
      <c r="AN246" s="10" t="str">
        <f aca="false">IF(A246="","",A246&amp;"_DWG.pdf")</f>
        <v/>
      </c>
      <c r="AO246" s="10" t="str">
        <f aca="false">IF(A246="","",IF(AK246="Y",A246&amp;"_STAAD.std","n/a"))</f>
        <v/>
      </c>
      <c r="AP246" s="10" t="str">
        <f aca="false">IF(A246="","",A246&amp;"_CALC.xlsx")</f>
        <v/>
      </c>
      <c r="AQ246" s="10" t="str">
        <f aca="false">IF(A246="","",A246&amp;"_CALC.pdf")</f>
        <v/>
      </c>
      <c r="AR246" s="9"/>
      <c r="AS246" s="9"/>
      <c r="AT246" s="39"/>
      <c r="AU246" s="39"/>
      <c r="AV246" s="39"/>
      <c r="AW246" s="39"/>
      <c r="AX246" s="39"/>
      <c r="AY246" s="12" t="str">
        <f aca="false">IF(A246="","",IF(COUNTIF(Rebar_Schedule!$A$5:$A$2004,A246)=0,"",ROUND(SUMIF(Rebar_Schedule!$A$5:$A$2004,A246,Rebar_Schedule!$K$5:$K$2004),1)))</f>
        <v/>
      </c>
      <c r="AZ246" s="33" t="str">
        <f aca="false">IF(A246="","",IF(AY246="","No rebar schedule yet",IF(ABS(AY246-N(AU246))/MAX(N(AU246),1)&gt;SG_Criteria!$B$55,"NOTE: register rebar differs from schedule by "&amp;TEXT(ABS(AY246-N(AU246))/MAX(N(AU246),1),"0%"),"OK")))</f>
        <v/>
      </c>
      <c r="BA246" s="33" t="str">
        <f aca="false">IF(OR(D246="",H246=""),"",IF(H246&lt;=IF(OR(D246="Soldier Pile &amp; Timber Lagging",D246="Trench Shoring Box",D246="Open Cut (battered)"),SG_Criteria!$B$34,SG_Criteria!$B$33),"No ERSS submission",IF(H246&lt;=SG_Criteria!$B$35,"QP(ST)",IF(H246&lt;=SG_Criteria!$B$36,"QP(ST) + AC","Geotechnical building works: QP(Geo) + AC"))))</f>
        <v/>
      </c>
      <c r="BB246" s="33" t="str">
        <f aca="false">IF(D246="","",IF(LEN(IF(AND(R246&lt;&gt;"",R246&lt;SG_Criteria!$B$37),"FAIL: base stability FOS &lt; "&amp;SG_Criteria!$B$37&amp;". ","")&amp;IF(AND(E246="Manhole",H246&gt;SG_Criteria!$B$36),"NOTE: BCA lists sewer manholes (pipe &lt;= 2 m dia) &gt; 6 m as non-GBW: QP(ST) + AC. ","")&amp;IF(AND(D246="Trench Shoring Box",I246="Kallang Formation (marine clay)"),"NOTE: check base heave / ground loss for shoring box in marine clay. ","")&amp;IF(AND(D246="Steel Sheet Pile Cofferdam",N(N246)&lt;H246*0.5),"NOTE: short toe embedment, check. ",""))=0,"OK",IF(AND(R246&lt;&gt;"",R246&lt;SG_Criteria!$B$37),"FAIL: base stability FOS &lt; "&amp;SG_Criteria!$B$37&amp;". ","")&amp;IF(AND(E246="Manhole",H246&gt;SG_Criteria!$B$36),"NOTE: BCA lists sewer manholes (pipe &lt;= 2 m dia) &gt; 6 m as non-GBW: QP(ST) + AC. ","")&amp;IF(AND(D246="Trench Shoring Box",I246="Kallang Formation (marine clay)"),"NOTE: check base heave / ground loss for shoring box in marine clay. ","")&amp;IF(AND(D246="Steel Sheet Pile Cofferdam",N(N246)&lt;H246*0.5),"NOTE: short toe embedment, check. ","")))</f>
        <v/>
      </c>
      <c r="BC246" s="9"/>
      <c r="BD246" s="9"/>
      <c r="BE246" s="9"/>
      <c r="BF246" s="10" t="str">
        <f aca="false">IF(BE246="","",IFERROR(VLOOKUP(BE246,Projects!$A$5:$D$504,2,0),"Ref not in Projects"))</f>
        <v/>
      </c>
      <c r="BG246" s="10" t="str">
        <f aca="false">IF(BE246="","",IFERROR(VLOOKUP(BE246,Projects!$A$5:$D$504,4,0),"Ref not in Projects"))</f>
        <v/>
      </c>
      <c r="BH246" s="9"/>
      <c r="BI246" s="9"/>
      <c r="BJ246" s="9"/>
      <c r="BK246" s="40"/>
      <c r="BL246" s="9"/>
      <c r="BM246" s="40"/>
      <c r="BN246" s="9"/>
      <c r="BO246" s="40"/>
      <c r="BP246" s="9"/>
      <c r="BQ246" s="9"/>
      <c r="BR246" s="9"/>
      <c r="BS246" s="40"/>
      <c r="BT246" s="40"/>
      <c r="BU246" s="36" t="str">
        <f aca="false">IF(BT246="","",EDATE(BT246,SG_Criteria!$B$54*12))</f>
        <v/>
      </c>
      <c r="BV246" s="33" t="str">
        <f aca="true">IF(A246="","",IF(BT246="","NOTE: not reviewed yet",IF(TODAY()&gt;BU246,"NOTE: review overdue","OK")))</f>
        <v/>
      </c>
      <c r="BW246" s="37" t="str">
        <f aca="false">IF(A246="","",ROUND((IF(LEN(D246)&gt;0,1,0)+IF(LEN(E246)&gt;0,1,0)+IF(LEN(F246)&gt;0,1,0)+IF(LEN(G246)&gt;0,1,0)+IF(LEN(H246)&gt;0,1,0)+IF(LEN(I246)&gt;0,1,0)+IF(LEN(J246)&gt;0,1,0)+IF(LEN(L246)&gt;0,1,0)+IF(LEN(R246)&gt;0,1,0)+IF(LEN(Y246)&gt;0,1,0)+IF(LEN(AE246)&gt;0,1,0)+IF(LEN(AG246)&gt;0,1,0)+IF(LEN(AH246)&gt;0,1,0)+IF(LEN(AI246)&gt;0,1,0)+IF(LEN(AJ246)&gt;0,1,0)+IF(LEN(AS246)&gt;0,1,0)+IF(LEN(BE246)&gt;0,1,0)+IF(LEN(BR246)&gt;0,1,0))/18,2))</f>
        <v/>
      </c>
      <c r="BX246" s="10" t="str">
        <f aca="false">IF(D246="","",IF(AND(AH246="Approved",ISERROR(SEARCH("FAIL",BB246))),"Y","N"))</f>
        <v/>
      </c>
      <c r="BY246" s="10" t="str">
        <f aca="false">IF(D246="","",D246&amp;"|"&amp;H246&amp;"|"&amp;F246&amp;"|"&amp;I246&amp;"|"&amp;BX246)</f>
        <v/>
      </c>
    </row>
    <row r="247" customFormat="false" ht="15" hidden="false" customHeight="false" outlineLevel="0" collapsed="false">
      <c r="A247" s="10" t="str">
        <f aca="false">IF(D247="","","ERSS-"&amp;IFERROR(VLOOKUP(D247,Lists!$AK$4:$AL$21,2,0),"??")&amp;"-"&amp;TEXT(F247,"0000")&amp;"x"&amp;TEXT(G247,"0000")&amp;"-D"&amp;TEXT(H247*1000,"0000")&amp;"-"&amp;IFERROR(VLOOKUP(I247,Lists!$Y$4:$Z$21,2,0),"??")&amp;"-"&amp;AG247)</f>
        <v/>
      </c>
      <c r="B247" s="10" t="str">
        <f aca="false">IF(D247="","",D247&amp;" for "&amp;E247&amp;", "&amp;F247&amp;" x "&amp;G247&amp;" pit, "&amp;TEXT(H247,"0.0")&amp;" m deep, "&amp;I247)</f>
        <v/>
      </c>
      <c r="C247" s="9"/>
      <c r="D247" s="9"/>
      <c r="E247" s="9"/>
      <c r="F247" s="38"/>
      <c r="G247" s="38"/>
      <c r="H247" s="42"/>
      <c r="I247" s="9"/>
      <c r="J247" s="42"/>
      <c r="K247" s="38"/>
      <c r="L247" s="9"/>
      <c r="M247" s="42"/>
      <c r="N247" s="42"/>
      <c r="O247" s="38"/>
      <c r="P247" s="9"/>
      <c r="Q247" s="9"/>
      <c r="R247" s="39"/>
      <c r="S247" s="39"/>
      <c r="T247" s="38"/>
      <c r="U247" s="38"/>
      <c r="V247" s="38"/>
      <c r="W247" s="9"/>
      <c r="X247" s="9"/>
      <c r="Y247" s="38"/>
      <c r="Z247" s="9"/>
      <c r="AA247" s="9"/>
      <c r="AB247" s="38"/>
      <c r="AC247" s="9"/>
      <c r="AD247" s="39"/>
      <c r="AE247" s="9"/>
      <c r="AF247" s="9"/>
      <c r="AG247" s="9"/>
      <c r="AH247" s="9"/>
      <c r="AI247" s="9"/>
      <c r="AJ247" s="9"/>
      <c r="AK247" s="9"/>
      <c r="AL247" s="10" t="str">
        <f aca="false">IF(A247="","",SG_Criteria!$B$6&amp;SG_Criteria!$B$11&amp;"\"&amp;A247&amp;"\")</f>
        <v/>
      </c>
      <c r="AM247" s="10" t="str">
        <f aca="false">IF(A247="","",A247&amp;"_CAD.dwg")</f>
        <v/>
      </c>
      <c r="AN247" s="10" t="str">
        <f aca="false">IF(A247="","",A247&amp;"_DWG.pdf")</f>
        <v/>
      </c>
      <c r="AO247" s="10" t="str">
        <f aca="false">IF(A247="","",IF(AK247="Y",A247&amp;"_STAAD.std","n/a"))</f>
        <v/>
      </c>
      <c r="AP247" s="10" t="str">
        <f aca="false">IF(A247="","",A247&amp;"_CALC.xlsx")</f>
        <v/>
      </c>
      <c r="AQ247" s="10" t="str">
        <f aca="false">IF(A247="","",A247&amp;"_CALC.pdf")</f>
        <v/>
      </c>
      <c r="AR247" s="9"/>
      <c r="AS247" s="9"/>
      <c r="AT247" s="39"/>
      <c r="AU247" s="39"/>
      <c r="AV247" s="39"/>
      <c r="AW247" s="39"/>
      <c r="AX247" s="39"/>
      <c r="AY247" s="12" t="str">
        <f aca="false">IF(A247="","",IF(COUNTIF(Rebar_Schedule!$A$5:$A$2004,A247)=0,"",ROUND(SUMIF(Rebar_Schedule!$A$5:$A$2004,A247,Rebar_Schedule!$K$5:$K$2004),1)))</f>
        <v/>
      </c>
      <c r="AZ247" s="33" t="str">
        <f aca="false">IF(A247="","",IF(AY247="","No rebar schedule yet",IF(ABS(AY247-N(AU247))/MAX(N(AU247),1)&gt;SG_Criteria!$B$55,"NOTE: register rebar differs from schedule by "&amp;TEXT(ABS(AY247-N(AU247))/MAX(N(AU247),1),"0%"),"OK")))</f>
        <v/>
      </c>
      <c r="BA247" s="33" t="str">
        <f aca="false">IF(OR(D247="",H247=""),"",IF(H247&lt;=IF(OR(D247="Soldier Pile &amp; Timber Lagging",D247="Trench Shoring Box",D247="Open Cut (battered)"),SG_Criteria!$B$34,SG_Criteria!$B$33),"No ERSS submission",IF(H247&lt;=SG_Criteria!$B$35,"QP(ST)",IF(H247&lt;=SG_Criteria!$B$36,"QP(ST) + AC","Geotechnical building works: QP(Geo) + AC"))))</f>
        <v/>
      </c>
      <c r="BB247" s="33" t="str">
        <f aca="false">IF(D247="","",IF(LEN(IF(AND(R247&lt;&gt;"",R247&lt;SG_Criteria!$B$37),"FAIL: base stability FOS &lt; "&amp;SG_Criteria!$B$37&amp;". ","")&amp;IF(AND(E247="Manhole",H247&gt;SG_Criteria!$B$36),"NOTE: BCA lists sewer manholes (pipe &lt;= 2 m dia) &gt; 6 m as non-GBW: QP(ST) + AC. ","")&amp;IF(AND(D247="Trench Shoring Box",I247="Kallang Formation (marine clay)"),"NOTE: check base heave / ground loss for shoring box in marine clay. ","")&amp;IF(AND(D247="Steel Sheet Pile Cofferdam",N(N247)&lt;H247*0.5),"NOTE: short toe embedment, check. ",""))=0,"OK",IF(AND(R247&lt;&gt;"",R247&lt;SG_Criteria!$B$37),"FAIL: base stability FOS &lt; "&amp;SG_Criteria!$B$37&amp;". ","")&amp;IF(AND(E247="Manhole",H247&gt;SG_Criteria!$B$36),"NOTE: BCA lists sewer manholes (pipe &lt;= 2 m dia) &gt; 6 m as non-GBW: QP(ST) + AC. ","")&amp;IF(AND(D247="Trench Shoring Box",I247="Kallang Formation (marine clay)"),"NOTE: check base heave / ground loss for shoring box in marine clay. ","")&amp;IF(AND(D247="Steel Sheet Pile Cofferdam",N(N247)&lt;H247*0.5),"NOTE: short toe embedment, check. ","")))</f>
        <v/>
      </c>
      <c r="BC247" s="9"/>
      <c r="BD247" s="9"/>
      <c r="BE247" s="9"/>
      <c r="BF247" s="10" t="str">
        <f aca="false">IF(BE247="","",IFERROR(VLOOKUP(BE247,Projects!$A$5:$D$504,2,0),"Ref not in Projects"))</f>
        <v/>
      </c>
      <c r="BG247" s="10" t="str">
        <f aca="false">IF(BE247="","",IFERROR(VLOOKUP(BE247,Projects!$A$5:$D$504,4,0),"Ref not in Projects"))</f>
        <v/>
      </c>
      <c r="BH247" s="9"/>
      <c r="BI247" s="9"/>
      <c r="BJ247" s="9"/>
      <c r="BK247" s="40"/>
      <c r="BL247" s="9"/>
      <c r="BM247" s="40"/>
      <c r="BN247" s="9"/>
      <c r="BO247" s="40"/>
      <c r="BP247" s="9"/>
      <c r="BQ247" s="9"/>
      <c r="BR247" s="9"/>
      <c r="BS247" s="40"/>
      <c r="BT247" s="40"/>
      <c r="BU247" s="36" t="str">
        <f aca="false">IF(BT247="","",EDATE(BT247,SG_Criteria!$B$54*12))</f>
        <v/>
      </c>
      <c r="BV247" s="33" t="str">
        <f aca="true">IF(A247="","",IF(BT247="","NOTE: not reviewed yet",IF(TODAY()&gt;BU247,"NOTE: review overdue","OK")))</f>
        <v/>
      </c>
      <c r="BW247" s="37" t="str">
        <f aca="false">IF(A247="","",ROUND((IF(LEN(D247)&gt;0,1,0)+IF(LEN(E247)&gt;0,1,0)+IF(LEN(F247)&gt;0,1,0)+IF(LEN(G247)&gt;0,1,0)+IF(LEN(H247)&gt;0,1,0)+IF(LEN(I247)&gt;0,1,0)+IF(LEN(J247)&gt;0,1,0)+IF(LEN(L247)&gt;0,1,0)+IF(LEN(R247)&gt;0,1,0)+IF(LEN(Y247)&gt;0,1,0)+IF(LEN(AE247)&gt;0,1,0)+IF(LEN(AG247)&gt;0,1,0)+IF(LEN(AH247)&gt;0,1,0)+IF(LEN(AI247)&gt;0,1,0)+IF(LEN(AJ247)&gt;0,1,0)+IF(LEN(AS247)&gt;0,1,0)+IF(LEN(BE247)&gt;0,1,0)+IF(LEN(BR247)&gt;0,1,0))/18,2))</f>
        <v/>
      </c>
      <c r="BX247" s="10" t="str">
        <f aca="false">IF(D247="","",IF(AND(AH247="Approved",ISERROR(SEARCH("FAIL",BB247))),"Y","N"))</f>
        <v/>
      </c>
      <c r="BY247" s="10" t="str">
        <f aca="false">IF(D247="","",D247&amp;"|"&amp;H247&amp;"|"&amp;F247&amp;"|"&amp;I247&amp;"|"&amp;BX247)</f>
        <v/>
      </c>
    </row>
    <row r="248" customFormat="false" ht="15" hidden="false" customHeight="false" outlineLevel="0" collapsed="false">
      <c r="A248" s="10" t="str">
        <f aca="false">IF(D248="","","ERSS-"&amp;IFERROR(VLOOKUP(D248,Lists!$AK$4:$AL$21,2,0),"??")&amp;"-"&amp;TEXT(F248,"0000")&amp;"x"&amp;TEXT(G248,"0000")&amp;"-D"&amp;TEXT(H248*1000,"0000")&amp;"-"&amp;IFERROR(VLOOKUP(I248,Lists!$Y$4:$Z$21,2,0),"??")&amp;"-"&amp;AG248)</f>
        <v/>
      </c>
      <c r="B248" s="10" t="str">
        <f aca="false">IF(D248="","",D248&amp;" for "&amp;E248&amp;", "&amp;F248&amp;" x "&amp;G248&amp;" pit, "&amp;TEXT(H248,"0.0")&amp;" m deep, "&amp;I248)</f>
        <v/>
      </c>
      <c r="C248" s="9"/>
      <c r="D248" s="9"/>
      <c r="E248" s="9"/>
      <c r="F248" s="38"/>
      <c r="G248" s="38"/>
      <c r="H248" s="42"/>
      <c r="I248" s="9"/>
      <c r="J248" s="42"/>
      <c r="K248" s="38"/>
      <c r="L248" s="9"/>
      <c r="M248" s="42"/>
      <c r="N248" s="42"/>
      <c r="O248" s="38"/>
      <c r="P248" s="9"/>
      <c r="Q248" s="9"/>
      <c r="R248" s="39"/>
      <c r="S248" s="39"/>
      <c r="T248" s="38"/>
      <c r="U248" s="38"/>
      <c r="V248" s="38"/>
      <c r="W248" s="9"/>
      <c r="X248" s="9"/>
      <c r="Y248" s="38"/>
      <c r="Z248" s="9"/>
      <c r="AA248" s="9"/>
      <c r="AB248" s="38"/>
      <c r="AC248" s="9"/>
      <c r="AD248" s="39"/>
      <c r="AE248" s="9"/>
      <c r="AF248" s="9"/>
      <c r="AG248" s="9"/>
      <c r="AH248" s="9"/>
      <c r="AI248" s="9"/>
      <c r="AJ248" s="9"/>
      <c r="AK248" s="9"/>
      <c r="AL248" s="10" t="str">
        <f aca="false">IF(A248="","",SG_Criteria!$B$6&amp;SG_Criteria!$B$11&amp;"\"&amp;A248&amp;"\")</f>
        <v/>
      </c>
      <c r="AM248" s="10" t="str">
        <f aca="false">IF(A248="","",A248&amp;"_CAD.dwg")</f>
        <v/>
      </c>
      <c r="AN248" s="10" t="str">
        <f aca="false">IF(A248="","",A248&amp;"_DWG.pdf")</f>
        <v/>
      </c>
      <c r="AO248" s="10" t="str">
        <f aca="false">IF(A248="","",IF(AK248="Y",A248&amp;"_STAAD.std","n/a"))</f>
        <v/>
      </c>
      <c r="AP248" s="10" t="str">
        <f aca="false">IF(A248="","",A248&amp;"_CALC.xlsx")</f>
        <v/>
      </c>
      <c r="AQ248" s="10" t="str">
        <f aca="false">IF(A248="","",A248&amp;"_CALC.pdf")</f>
        <v/>
      </c>
      <c r="AR248" s="9"/>
      <c r="AS248" s="9"/>
      <c r="AT248" s="39"/>
      <c r="AU248" s="39"/>
      <c r="AV248" s="39"/>
      <c r="AW248" s="39"/>
      <c r="AX248" s="39"/>
      <c r="AY248" s="12" t="str">
        <f aca="false">IF(A248="","",IF(COUNTIF(Rebar_Schedule!$A$5:$A$2004,A248)=0,"",ROUND(SUMIF(Rebar_Schedule!$A$5:$A$2004,A248,Rebar_Schedule!$K$5:$K$2004),1)))</f>
        <v/>
      </c>
      <c r="AZ248" s="33" t="str">
        <f aca="false">IF(A248="","",IF(AY248="","No rebar schedule yet",IF(ABS(AY248-N(AU248))/MAX(N(AU248),1)&gt;SG_Criteria!$B$55,"NOTE: register rebar differs from schedule by "&amp;TEXT(ABS(AY248-N(AU248))/MAX(N(AU248),1),"0%"),"OK")))</f>
        <v/>
      </c>
      <c r="BA248" s="33" t="str">
        <f aca="false">IF(OR(D248="",H248=""),"",IF(H248&lt;=IF(OR(D248="Soldier Pile &amp; Timber Lagging",D248="Trench Shoring Box",D248="Open Cut (battered)"),SG_Criteria!$B$34,SG_Criteria!$B$33),"No ERSS submission",IF(H248&lt;=SG_Criteria!$B$35,"QP(ST)",IF(H248&lt;=SG_Criteria!$B$36,"QP(ST) + AC","Geotechnical building works: QP(Geo) + AC"))))</f>
        <v/>
      </c>
      <c r="BB248" s="33" t="str">
        <f aca="false">IF(D248="","",IF(LEN(IF(AND(R248&lt;&gt;"",R248&lt;SG_Criteria!$B$37),"FAIL: base stability FOS &lt; "&amp;SG_Criteria!$B$37&amp;". ","")&amp;IF(AND(E248="Manhole",H248&gt;SG_Criteria!$B$36),"NOTE: BCA lists sewer manholes (pipe &lt;= 2 m dia) &gt; 6 m as non-GBW: QP(ST) + AC. ","")&amp;IF(AND(D248="Trench Shoring Box",I248="Kallang Formation (marine clay)"),"NOTE: check base heave / ground loss for shoring box in marine clay. ","")&amp;IF(AND(D248="Steel Sheet Pile Cofferdam",N(N248)&lt;H248*0.5),"NOTE: short toe embedment, check. ",""))=0,"OK",IF(AND(R248&lt;&gt;"",R248&lt;SG_Criteria!$B$37),"FAIL: base stability FOS &lt; "&amp;SG_Criteria!$B$37&amp;". ","")&amp;IF(AND(E248="Manhole",H248&gt;SG_Criteria!$B$36),"NOTE: BCA lists sewer manholes (pipe &lt;= 2 m dia) &gt; 6 m as non-GBW: QP(ST) + AC. ","")&amp;IF(AND(D248="Trench Shoring Box",I248="Kallang Formation (marine clay)"),"NOTE: check base heave / ground loss for shoring box in marine clay. ","")&amp;IF(AND(D248="Steel Sheet Pile Cofferdam",N(N248)&lt;H248*0.5),"NOTE: short toe embedment, check. ","")))</f>
        <v/>
      </c>
      <c r="BC248" s="9"/>
      <c r="BD248" s="9"/>
      <c r="BE248" s="9"/>
      <c r="BF248" s="10" t="str">
        <f aca="false">IF(BE248="","",IFERROR(VLOOKUP(BE248,Projects!$A$5:$D$504,2,0),"Ref not in Projects"))</f>
        <v/>
      </c>
      <c r="BG248" s="10" t="str">
        <f aca="false">IF(BE248="","",IFERROR(VLOOKUP(BE248,Projects!$A$5:$D$504,4,0),"Ref not in Projects"))</f>
        <v/>
      </c>
      <c r="BH248" s="9"/>
      <c r="BI248" s="9"/>
      <c r="BJ248" s="9"/>
      <c r="BK248" s="40"/>
      <c r="BL248" s="9"/>
      <c r="BM248" s="40"/>
      <c r="BN248" s="9"/>
      <c r="BO248" s="40"/>
      <c r="BP248" s="9"/>
      <c r="BQ248" s="9"/>
      <c r="BR248" s="9"/>
      <c r="BS248" s="40"/>
      <c r="BT248" s="40"/>
      <c r="BU248" s="36" t="str">
        <f aca="false">IF(BT248="","",EDATE(BT248,SG_Criteria!$B$54*12))</f>
        <v/>
      </c>
      <c r="BV248" s="33" t="str">
        <f aca="true">IF(A248="","",IF(BT248="","NOTE: not reviewed yet",IF(TODAY()&gt;BU248,"NOTE: review overdue","OK")))</f>
        <v/>
      </c>
      <c r="BW248" s="37" t="str">
        <f aca="false">IF(A248="","",ROUND((IF(LEN(D248)&gt;0,1,0)+IF(LEN(E248)&gt;0,1,0)+IF(LEN(F248)&gt;0,1,0)+IF(LEN(G248)&gt;0,1,0)+IF(LEN(H248)&gt;0,1,0)+IF(LEN(I248)&gt;0,1,0)+IF(LEN(J248)&gt;0,1,0)+IF(LEN(L248)&gt;0,1,0)+IF(LEN(R248)&gt;0,1,0)+IF(LEN(Y248)&gt;0,1,0)+IF(LEN(AE248)&gt;0,1,0)+IF(LEN(AG248)&gt;0,1,0)+IF(LEN(AH248)&gt;0,1,0)+IF(LEN(AI248)&gt;0,1,0)+IF(LEN(AJ248)&gt;0,1,0)+IF(LEN(AS248)&gt;0,1,0)+IF(LEN(BE248)&gt;0,1,0)+IF(LEN(BR248)&gt;0,1,0))/18,2))</f>
        <v/>
      </c>
      <c r="BX248" s="10" t="str">
        <f aca="false">IF(D248="","",IF(AND(AH248="Approved",ISERROR(SEARCH("FAIL",BB248))),"Y","N"))</f>
        <v/>
      </c>
      <c r="BY248" s="10" t="str">
        <f aca="false">IF(D248="","",D248&amp;"|"&amp;H248&amp;"|"&amp;F248&amp;"|"&amp;I248&amp;"|"&amp;BX248)</f>
        <v/>
      </c>
    </row>
    <row r="249" customFormat="false" ht="15" hidden="false" customHeight="false" outlineLevel="0" collapsed="false">
      <c r="A249" s="10" t="str">
        <f aca="false">IF(D249="","","ERSS-"&amp;IFERROR(VLOOKUP(D249,Lists!$AK$4:$AL$21,2,0),"??")&amp;"-"&amp;TEXT(F249,"0000")&amp;"x"&amp;TEXT(G249,"0000")&amp;"-D"&amp;TEXT(H249*1000,"0000")&amp;"-"&amp;IFERROR(VLOOKUP(I249,Lists!$Y$4:$Z$21,2,0),"??")&amp;"-"&amp;AG249)</f>
        <v/>
      </c>
      <c r="B249" s="10" t="str">
        <f aca="false">IF(D249="","",D249&amp;" for "&amp;E249&amp;", "&amp;F249&amp;" x "&amp;G249&amp;" pit, "&amp;TEXT(H249,"0.0")&amp;" m deep, "&amp;I249)</f>
        <v/>
      </c>
      <c r="C249" s="9"/>
      <c r="D249" s="9"/>
      <c r="E249" s="9"/>
      <c r="F249" s="38"/>
      <c r="G249" s="38"/>
      <c r="H249" s="42"/>
      <c r="I249" s="9"/>
      <c r="J249" s="42"/>
      <c r="K249" s="38"/>
      <c r="L249" s="9"/>
      <c r="M249" s="42"/>
      <c r="N249" s="42"/>
      <c r="O249" s="38"/>
      <c r="P249" s="9"/>
      <c r="Q249" s="9"/>
      <c r="R249" s="39"/>
      <c r="S249" s="39"/>
      <c r="T249" s="38"/>
      <c r="U249" s="38"/>
      <c r="V249" s="38"/>
      <c r="W249" s="9"/>
      <c r="X249" s="9"/>
      <c r="Y249" s="38"/>
      <c r="Z249" s="9"/>
      <c r="AA249" s="9"/>
      <c r="AB249" s="38"/>
      <c r="AC249" s="9"/>
      <c r="AD249" s="39"/>
      <c r="AE249" s="9"/>
      <c r="AF249" s="9"/>
      <c r="AG249" s="9"/>
      <c r="AH249" s="9"/>
      <c r="AI249" s="9"/>
      <c r="AJ249" s="9"/>
      <c r="AK249" s="9"/>
      <c r="AL249" s="10" t="str">
        <f aca="false">IF(A249="","",SG_Criteria!$B$6&amp;SG_Criteria!$B$11&amp;"\"&amp;A249&amp;"\")</f>
        <v/>
      </c>
      <c r="AM249" s="10" t="str">
        <f aca="false">IF(A249="","",A249&amp;"_CAD.dwg")</f>
        <v/>
      </c>
      <c r="AN249" s="10" t="str">
        <f aca="false">IF(A249="","",A249&amp;"_DWG.pdf")</f>
        <v/>
      </c>
      <c r="AO249" s="10" t="str">
        <f aca="false">IF(A249="","",IF(AK249="Y",A249&amp;"_STAAD.std","n/a"))</f>
        <v/>
      </c>
      <c r="AP249" s="10" t="str">
        <f aca="false">IF(A249="","",A249&amp;"_CALC.xlsx")</f>
        <v/>
      </c>
      <c r="AQ249" s="10" t="str">
        <f aca="false">IF(A249="","",A249&amp;"_CALC.pdf")</f>
        <v/>
      </c>
      <c r="AR249" s="9"/>
      <c r="AS249" s="9"/>
      <c r="AT249" s="39"/>
      <c r="AU249" s="39"/>
      <c r="AV249" s="39"/>
      <c r="AW249" s="39"/>
      <c r="AX249" s="39"/>
      <c r="AY249" s="12" t="str">
        <f aca="false">IF(A249="","",IF(COUNTIF(Rebar_Schedule!$A$5:$A$2004,A249)=0,"",ROUND(SUMIF(Rebar_Schedule!$A$5:$A$2004,A249,Rebar_Schedule!$K$5:$K$2004),1)))</f>
        <v/>
      </c>
      <c r="AZ249" s="33" t="str">
        <f aca="false">IF(A249="","",IF(AY249="","No rebar schedule yet",IF(ABS(AY249-N(AU249))/MAX(N(AU249),1)&gt;SG_Criteria!$B$55,"NOTE: register rebar differs from schedule by "&amp;TEXT(ABS(AY249-N(AU249))/MAX(N(AU249),1),"0%"),"OK")))</f>
        <v/>
      </c>
      <c r="BA249" s="33" t="str">
        <f aca="false">IF(OR(D249="",H249=""),"",IF(H249&lt;=IF(OR(D249="Soldier Pile &amp; Timber Lagging",D249="Trench Shoring Box",D249="Open Cut (battered)"),SG_Criteria!$B$34,SG_Criteria!$B$33),"No ERSS submission",IF(H249&lt;=SG_Criteria!$B$35,"QP(ST)",IF(H249&lt;=SG_Criteria!$B$36,"QP(ST) + AC","Geotechnical building works: QP(Geo) + AC"))))</f>
        <v/>
      </c>
      <c r="BB249" s="33" t="str">
        <f aca="false">IF(D249="","",IF(LEN(IF(AND(R249&lt;&gt;"",R249&lt;SG_Criteria!$B$37),"FAIL: base stability FOS &lt; "&amp;SG_Criteria!$B$37&amp;". ","")&amp;IF(AND(E249="Manhole",H249&gt;SG_Criteria!$B$36),"NOTE: BCA lists sewer manholes (pipe &lt;= 2 m dia) &gt; 6 m as non-GBW: QP(ST) + AC. ","")&amp;IF(AND(D249="Trench Shoring Box",I249="Kallang Formation (marine clay)"),"NOTE: check base heave / ground loss for shoring box in marine clay. ","")&amp;IF(AND(D249="Steel Sheet Pile Cofferdam",N(N249)&lt;H249*0.5),"NOTE: short toe embedment, check. ",""))=0,"OK",IF(AND(R249&lt;&gt;"",R249&lt;SG_Criteria!$B$37),"FAIL: base stability FOS &lt; "&amp;SG_Criteria!$B$37&amp;". ","")&amp;IF(AND(E249="Manhole",H249&gt;SG_Criteria!$B$36),"NOTE: BCA lists sewer manholes (pipe &lt;= 2 m dia) &gt; 6 m as non-GBW: QP(ST) + AC. ","")&amp;IF(AND(D249="Trench Shoring Box",I249="Kallang Formation (marine clay)"),"NOTE: check base heave / ground loss for shoring box in marine clay. ","")&amp;IF(AND(D249="Steel Sheet Pile Cofferdam",N(N249)&lt;H249*0.5),"NOTE: short toe embedment, check. ","")))</f>
        <v/>
      </c>
      <c r="BC249" s="9"/>
      <c r="BD249" s="9"/>
      <c r="BE249" s="9"/>
      <c r="BF249" s="10" t="str">
        <f aca="false">IF(BE249="","",IFERROR(VLOOKUP(BE249,Projects!$A$5:$D$504,2,0),"Ref not in Projects"))</f>
        <v/>
      </c>
      <c r="BG249" s="10" t="str">
        <f aca="false">IF(BE249="","",IFERROR(VLOOKUP(BE249,Projects!$A$5:$D$504,4,0),"Ref not in Projects"))</f>
        <v/>
      </c>
      <c r="BH249" s="9"/>
      <c r="BI249" s="9"/>
      <c r="BJ249" s="9"/>
      <c r="BK249" s="40"/>
      <c r="BL249" s="9"/>
      <c r="BM249" s="40"/>
      <c r="BN249" s="9"/>
      <c r="BO249" s="40"/>
      <c r="BP249" s="9"/>
      <c r="BQ249" s="9"/>
      <c r="BR249" s="9"/>
      <c r="BS249" s="40"/>
      <c r="BT249" s="40"/>
      <c r="BU249" s="36" t="str">
        <f aca="false">IF(BT249="","",EDATE(BT249,SG_Criteria!$B$54*12))</f>
        <v/>
      </c>
      <c r="BV249" s="33" t="str">
        <f aca="true">IF(A249="","",IF(BT249="","NOTE: not reviewed yet",IF(TODAY()&gt;BU249,"NOTE: review overdue","OK")))</f>
        <v/>
      </c>
      <c r="BW249" s="37" t="str">
        <f aca="false">IF(A249="","",ROUND((IF(LEN(D249)&gt;0,1,0)+IF(LEN(E249)&gt;0,1,0)+IF(LEN(F249)&gt;0,1,0)+IF(LEN(G249)&gt;0,1,0)+IF(LEN(H249)&gt;0,1,0)+IF(LEN(I249)&gt;0,1,0)+IF(LEN(J249)&gt;0,1,0)+IF(LEN(L249)&gt;0,1,0)+IF(LEN(R249)&gt;0,1,0)+IF(LEN(Y249)&gt;0,1,0)+IF(LEN(AE249)&gt;0,1,0)+IF(LEN(AG249)&gt;0,1,0)+IF(LEN(AH249)&gt;0,1,0)+IF(LEN(AI249)&gt;0,1,0)+IF(LEN(AJ249)&gt;0,1,0)+IF(LEN(AS249)&gt;0,1,0)+IF(LEN(BE249)&gt;0,1,0)+IF(LEN(BR249)&gt;0,1,0))/18,2))</f>
        <v/>
      </c>
      <c r="BX249" s="10" t="str">
        <f aca="false">IF(D249="","",IF(AND(AH249="Approved",ISERROR(SEARCH("FAIL",BB249))),"Y","N"))</f>
        <v/>
      </c>
      <c r="BY249" s="10" t="str">
        <f aca="false">IF(D249="","",D249&amp;"|"&amp;H249&amp;"|"&amp;F249&amp;"|"&amp;I249&amp;"|"&amp;BX249)</f>
        <v/>
      </c>
    </row>
    <row r="250" customFormat="false" ht="15" hidden="false" customHeight="false" outlineLevel="0" collapsed="false">
      <c r="A250" s="10" t="str">
        <f aca="false">IF(D250="","","ERSS-"&amp;IFERROR(VLOOKUP(D250,Lists!$AK$4:$AL$21,2,0),"??")&amp;"-"&amp;TEXT(F250,"0000")&amp;"x"&amp;TEXT(G250,"0000")&amp;"-D"&amp;TEXT(H250*1000,"0000")&amp;"-"&amp;IFERROR(VLOOKUP(I250,Lists!$Y$4:$Z$21,2,0),"??")&amp;"-"&amp;AG250)</f>
        <v/>
      </c>
      <c r="B250" s="10" t="str">
        <f aca="false">IF(D250="","",D250&amp;" for "&amp;E250&amp;", "&amp;F250&amp;" x "&amp;G250&amp;" pit, "&amp;TEXT(H250,"0.0")&amp;" m deep, "&amp;I250)</f>
        <v/>
      </c>
      <c r="C250" s="9"/>
      <c r="D250" s="9"/>
      <c r="E250" s="9"/>
      <c r="F250" s="38"/>
      <c r="G250" s="38"/>
      <c r="H250" s="42"/>
      <c r="I250" s="9"/>
      <c r="J250" s="42"/>
      <c r="K250" s="38"/>
      <c r="L250" s="9"/>
      <c r="M250" s="42"/>
      <c r="N250" s="42"/>
      <c r="O250" s="38"/>
      <c r="P250" s="9"/>
      <c r="Q250" s="9"/>
      <c r="R250" s="39"/>
      <c r="S250" s="39"/>
      <c r="T250" s="38"/>
      <c r="U250" s="38"/>
      <c r="V250" s="38"/>
      <c r="W250" s="9"/>
      <c r="X250" s="9"/>
      <c r="Y250" s="38"/>
      <c r="Z250" s="9"/>
      <c r="AA250" s="9"/>
      <c r="AB250" s="38"/>
      <c r="AC250" s="9"/>
      <c r="AD250" s="39"/>
      <c r="AE250" s="9"/>
      <c r="AF250" s="9"/>
      <c r="AG250" s="9"/>
      <c r="AH250" s="9"/>
      <c r="AI250" s="9"/>
      <c r="AJ250" s="9"/>
      <c r="AK250" s="9"/>
      <c r="AL250" s="10" t="str">
        <f aca="false">IF(A250="","",SG_Criteria!$B$6&amp;SG_Criteria!$B$11&amp;"\"&amp;A250&amp;"\")</f>
        <v/>
      </c>
      <c r="AM250" s="10" t="str">
        <f aca="false">IF(A250="","",A250&amp;"_CAD.dwg")</f>
        <v/>
      </c>
      <c r="AN250" s="10" t="str">
        <f aca="false">IF(A250="","",A250&amp;"_DWG.pdf")</f>
        <v/>
      </c>
      <c r="AO250" s="10" t="str">
        <f aca="false">IF(A250="","",IF(AK250="Y",A250&amp;"_STAAD.std","n/a"))</f>
        <v/>
      </c>
      <c r="AP250" s="10" t="str">
        <f aca="false">IF(A250="","",A250&amp;"_CALC.xlsx")</f>
        <v/>
      </c>
      <c r="AQ250" s="10" t="str">
        <f aca="false">IF(A250="","",A250&amp;"_CALC.pdf")</f>
        <v/>
      </c>
      <c r="AR250" s="9"/>
      <c r="AS250" s="9"/>
      <c r="AT250" s="39"/>
      <c r="AU250" s="39"/>
      <c r="AV250" s="39"/>
      <c r="AW250" s="39"/>
      <c r="AX250" s="39"/>
      <c r="AY250" s="12" t="str">
        <f aca="false">IF(A250="","",IF(COUNTIF(Rebar_Schedule!$A$5:$A$2004,A250)=0,"",ROUND(SUMIF(Rebar_Schedule!$A$5:$A$2004,A250,Rebar_Schedule!$K$5:$K$2004),1)))</f>
        <v/>
      </c>
      <c r="AZ250" s="33" t="str">
        <f aca="false">IF(A250="","",IF(AY250="","No rebar schedule yet",IF(ABS(AY250-N(AU250))/MAX(N(AU250),1)&gt;SG_Criteria!$B$55,"NOTE: register rebar differs from schedule by "&amp;TEXT(ABS(AY250-N(AU250))/MAX(N(AU250),1),"0%"),"OK")))</f>
        <v/>
      </c>
      <c r="BA250" s="33" t="str">
        <f aca="false">IF(OR(D250="",H250=""),"",IF(H250&lt;=IF(OR(D250="Soldier Pile &amp; Timber Lagging",D250="Trench Shoring Box",D250="Open Cut (battered)"),SG_Criteria!$B$34,SG_Criteria!$B$33),"No ERSS submission",IF(H250&lt;=SG_Criteria!$B$35,"QP(ST)",IF(H250&lt;=SG_Criteria!$B$36,"QP(ST) + AC","Geotechnical building works: QP(Geo) + AC"))))</f>
        <v/>
      </c>
      <c r="BB250" s="33" t="str">
        <f aca="false">IF(D250="","",IF(LEN(IF(AND(R250&lt;&gt;"",R250&lt;SG_Criteria!$B$37),"FAIL: base stability FOS &lt; "&amp;SG_Criteria!$B$37&amp;". ","")&amp;IF(AND(E250="Manhole",H250&gt;SG_Criteria!$B$36),"NOTE: BCA lists sewer manholes (pipe &lt;= 2 m dia) &gt; 6 m as non-GBW: QP(ST) + AC. ","")&amp;IF(AND(D250="Trench Shoring Box",I250="Kallang Formation (marine clay)"),"NOTE: check base heave / ground loss for shoring box in marine clay. ","")&amp;IF(AND(D250="Steel Sheet Pile Cofferdam",N(N250)&lt;H250*0.5),"NOTE: short toe embedment, check. ",""))=0,"OK",IF(AND(R250&lt;&gt;"",R250&lt;SG_Criteria!$B$37),"FAIL: base stability FOS &lt; "&amp;SG_Criteria!$B$37&amp;". ","")&amp;IF(AND(E250="Manhole",H250&gt;SG_Criteria!$B$36),"NOTE: BCA lists sewer manholes (pipe &lt;= 2 m dia) &gt; 6 m as non-GBW: QP(ST) + AC. ","")&amp;IF(AND(D250="Trench Shoring Box",I250="Kallang Formation (marine clay)"),"NOTE: check base heave / ground loss for shoring box in marine clay. ","")&amp;IF(AND(D250="Steel Sheet Pile Cofferdam",N(N250)&lt;H250*0.5),"NOTE: short toe embedment, check. ","")))</f>
        <v/>
      </c>
      <c r="BC250" s="9"/>
      <c r="BD250" s="9"/>
      <c r="BE250" s="9"/>
      <c r="BF250" s="10" t="str">
        <f aca="false">IF(BE250="","",IFERROR(VLOOKUP(BE250,Projects!$A$5:$D$504,2,0),"Ref not in Projects"))</f>
        <v/>
      </c>
      <c r="BG250" s="10" t="str">
        <f aca="false">IF(BE250="","",IFERROR(VLOOKUP(BE250,Projects!$A$5:$D$504,4,0),"Ref not in Projects"))</f>
        <v/>
      </c>
      <c r="BH250" s="9"/>
      <c r="BI250" s="9"/>
      <c r="BJ250" s="9"/>
      <c r="BK250" s="40"/>
      <c r="BL250" s="9"/>
      <c r="BM250" s="40"/>
      <c r="BN250" s="9"/>
      <c r="BO250" s="40"/>
      <c r="BP250" s="9"/>
      <c r="BQ250" s="9"/>
      <c r="BR250" s="9"/>
      <c r="BS250" s="40"/>
      <c r="BT250" s="40"/>
      <c r="BU250" s="36" t="str">
        <f aca="false">IF(BT250="","",EDATE(BT250,SG_Criteria!$B$54*12))</f>
        <v/>
      </c>
      <c r="BV250" s="33" t="str">
        <f aca="true">IF(A250="","",IF(BT250="","NOTE: not reviewed yet",IF(TODAY()&gt;BU250,"NOTE: review overdue","OK")))</f>
        <v/>
      </c>
      <c r="BW250" s="37" t="str">
        <f aca="false">IF(A250="","",ROUND((IF(LEN(D250)&gt;0,1,0)+IF(LEN(E250)&gt;0,1,0)+IF(LEN(F250)&gt;0,1,0)+IF(LEN(G250)&gt;0,1,0)+IF(LEN(H250)&gt;0,1,0)+IF(LEN(I250)&gt;0,1,0)+IF(LEN(J250)&gt;0,1,0)+IF(LEN(L250)&gt;0,1,0)+IF(LEN(R250)&gt;0,1,0)+IF(LEN(Y250)&gt;0,1,0)+IF(LEN(AE250)&gt;0,1,0)+IF(LEN(AG250)&gt;0,1,0)+IF(LEN(AH250)&gt;0,1,0)+IF(LEN(AI250)&gt;0,1,0)+IF(LEN(AJ250)&gt;0,1,0)+IF(LEN(AS250)&gt;0,1,0)+IF(LEN(BE250)&gt;0,1,0)+IF(LEN(BR250)&gt;0,1,0))/18,2))</f>
        <v/>
      </c>
      <c r="BX250" s="10" t="str">
        <f aca="false">IF(D250="","",IF(AND(AH250="Approved",ISERROR(SEARCH("FAIL",BB250))),"Y","N"))</f>
        <v/>
      </c>
      <c r="BY250" s="10" t="str">
        <f aca="false">IF(D250="","",D250&amp;"|"&amp;H250&amp;"|"&amp;F250&amp;"|"&amp;I250&amp;"|"&amp;BX250)</f>
        <v/>
      </c>
    </row>
    <row r="251" customFormat="false" ht="15" hidden="false" customHeight="false" outlineLevel="0" collapsed="false">
      <c r="A251" s="10" t="str">
        <f aca="false">IF(D251="","","ERSS-"&amp;IFERROR(VLOOKUP(D251,Lists!$AK$4:$AL$21,2,0),"??")&amp;"-"&amp;TEXT(F251,"0000")&amp;"x"&amp;TEXT(G251,"0000")&amp;"-D"&amp;TEXT(H251*1000,"0000")&amp;"-"&amp;IFERROR(VLOOKUP(I251,Lists!$Y$4:$Z$21,2,0),"??")&amp;"-"&amp;AG251)</f>
        <v/>
      </c>
      <c r="B251" s="10" t="str">
        <f aca="false">IF(D251="","",D251&amp;" for "&amp;E251&amp;", "&amp;F251&amp;" x "&amp;G251&amp;" pit, "&amp;TEXT(H251,"0.0")&amp;" m deep, "&amp;I251)</f>
        <v/>
      </c>
      <c r="C251" s="9"/>
      <c r="D251" s="9"/>
      <c r="E251" s="9"/>
      <c r="F251" s="38"/>
      <c r="G251" s="38"/>
      <c r="H251" s="42"/>
      <c r="I251" s="9"/>
      <c r="J251" s="42"/>
      <c r="K251" s="38"/>
      <c r="L251" s="9"/>
      <c r="M251" s="42"/>
      <c r="N251" s="42"/>
      <c r="O251" s="38"/>
      <c r="P251" s="9"/>
      <c r="Q251" s="9"/>
      <c r="R251" s="39"/>
      <c r="S251" s="39"/>
      <c r="T251" s="38"/>
      <c r="U251" s="38"/>
      <c r="V251" s="38"/>
      <c r="W251" s="9"/>
      <c r="X251" s="9"/>
      <c r="Y251" s="38"/>
      <c r="Z251" s="9"/>
      <c r="AA251" s="9"/>
      <c r="AB251" s="38"/>
      <c r="AC251" s="9"/>
      <c r="AD251" s="39"/>
      <c r="AE251" s="9"/>
      <c r="AF251" s="9"/>
      <c r="AG251" s="9"/>
      <c r="AH251" s="9"/>
      <c r="AI251" s="9"/>
      <c r="AJ251" s="9"/>
      <c r="AK251" s="9"/>
      <c r="AL251" s="10" t="str">
        <f aca="false">IF(A251="","",SG_Criteria!$B$6&amp;SG_Criteria!$B$11&amp;"\"&amp;A251&amp;"\")</f>
        <v/>
      </c>
      <c r="AM251" s="10" t="str">
        <f aca="false">IF(A251="","",A251&amp;"_CAD.dwg")</f>
        <v/>
      </c>
      <c r="AN251" s="10" t="str">
        <f aca="false">IF(A251="","",A251&amp;"_DWG.pdf")</f>
        <v/>
      </c>
      <c r="AO251" s="10" t="str">
        <f aca="false">IF(A251="","",IF(AK251="Y",A251&amp;"_STAAD.std","n/a"))</f>
        <v/>
      </c>
      <c r="AP251" s="10" t="str">
        <f aca="false">IF(A251="","",A251&amp;"_CALC.xlsx")</f>
        <v/>
      </c>
      <c r="AQ251" s="10" t="str">
        <f aca="false">IF(A251="","",A251&amp;"_CALC.pdf")</f>
        <v/>
      </c>
      <c r="AR251" s="9"/>
      <c r="AS251" s="9"/>
      <c r="AT251" s="39"/>
      <c r="AU251" s="39"/>
      <c r="AV251" s="39"/>
      <c r="AW251" s="39"/>
      <c r="AX251" s="39"/>
      <c r="AY251" s="12" t="str">
        <f aca="false">IF(A251="","",IF(COUNTIF(Rebar_Schedule!$A$5:$A$2004,A251)=0,"",ROUND(SUMIF(Rebar_Schedule!$A$5:$A$2004,A251,Rebar_Schedule!$K$5:$K$2004),1)))</f>
        <v/>
      </c>
      <c r="AZ251" s="33" t="str">
        <f aca="false">IF(A251="","",IF(AY251="","No rebar schedule yet",IF(ABS(AY251-N(AU251))/MAX(N(AU251),1)&gt;SG_Criteria!$B$55,"NOTE: register rebar differs from schedule by "&amp;TEXT(ABS(AY251-N(AU251))/MAX(N(AU251),1),"0%"),"OK")))</f>
        <v/>
      </c>
      <c r="BA251" s="33" t="str">
        <f aca="false">IF(OR(D251="",H251=""),"",IF(H251&lt;=IF(OR(D251="Soldier Pile &amp; Timber Lagging",D251="Trench Shoring Box",D251="Open Cut (battered)"),SG_Criteria!$B$34,SG_Criteria!$B$33),"No ERSS submission",IF(H251&lt;=SG_Criteria!$B$35,"QP(ST)",IF(H251&lt;=SG_Criteria!$B$36,"QP(ST) + AC","Geotechnical building works: QP(Geo) + AC"))))</f>
        <v/>
      </c>
      <c r="BB251" s="33" t="str">
        <f aca="false">IF(D251="","",IF(LEN(IF(AND(R251&lt;&gt;"",R251&lt;SG_Criteria!$B$37),"FAIL: base stability FOS &lt; "&amp;SG_Criteria!$B$37&amp;". ","")&amp;IF(AND(E251="Manhole",H251&gt;SG_Criteria!$B$36),"NOTE: BCA lists sewer manholes (pipe &lt;= 2 m dia) &gt; 6 m as non-GBW: QP(ST) + AC. ","")&amp;IF(AND(D251="Trench Shoring Box",I251="Kallang Formation (marine clay)"),"NOTE: check base heave / ground loss for shoring box in marine clay. ","")&amp;IF(AND(D251="Steel Sheet Pile Cofferdam",N(N251)&lt;H251*0.5),"NOTE: short toe embedment, check. ",""))=0,"OK",IF(AND(R251&lt;&gt;"",R251&lt;SG_Criteria!$B$37),"FAIL: base stability FOS &lt; "&amp;SG_Criteria!$B$37&amp;". ","")&amp;IF(AND(E251="Manhole",H251&gt;SG_Criteria!$B$36),"NOTE: BCA lists sewer manholes (pipe &lt;= 2 m dia) &gt; 6 m as non-GBW: QP(ST) + AC. ","")&amp;IF(AND(D251="Trench Shoring Box",I251="Kallang Formation (marine clay)"),"NOTE: check base heave / ground loss for shoring box in marine clay. ","")&amp;IF(AND(D251="Steel Sheet Pile Cofferdam",N(N251)&lt;H251*0.5),"NOTE: short toe embedment, check. ","")))</f>
        <v/>
      </c>
      <c r="BC251" s="9"/>
      <c r="BD251" s="9"/>
      <c r="BE251" s="9"/>
      <c r="BF251" s="10" t="str">
        <f aca="false">IF(BE251="","",IFERROR(VLOOKUP(BE251,Projects!$A$5:$D$504,2,0),"Ref not in Projects"))</f>
        <v/>
      </c>
      <c r="BG251" s="10" t="str">
        <f aca="false">IF(BE251="","",IFERROR(VLOOKUP(BE251,Projects!$A$5:$D$504,4,0),"Ref not in Projects"))</f>
        <v/>
      </c>
      <c r="BH251" s="9"/>
      <c r="BI251" s="9"/>
      <c r="BJ251" s="9"/>
      <c r="BK251" s="40"/>
      <c r="BL251" s="9"/>
      <c r="BM251" s="40"/>
      <c r="BN251" s="9"/>
      <c r="BO251" s="40"/>
      <c r="BP251" s="9"/>
      <c r="BQ251" s="9"/>
      <c r="BR251" s="9"/>
      <c r="BS251" s="40"/>
      <c r="BT251" s="40"/>
      <c r="BU251" s="36" t="str">
        <f aca="false">IF(BT251="","",EDATE(BT251,SG_Criteria!$B$54*12))</f>
        <v/>
      </c>
      <c r="BV251" s="33" t="str">
        <f aca="true">IF(A251="","",IF(BT251="","NOTE: not reviewed yet",IF(TODAY()&gt;BU251,"NOTE: review overdue","OK")))</f>
        <v/>
      </c>
      <c r="BW251" s="37" t="str">
        <f aca="false">IF(A251="","",ROUND((IF(LEN(D251)&gt;0,1,0)+IF(LEN(E251)&gt;0,1,0)+IF(LEN(F251)&gt;0,1,0)+IF(LEN(G251)&gt;0,1,0)+IF(LEN(H251)&gt;0,1,0)+IF(LEN(I251)&gt;0,1,0)+IF(LEN(J251)&gt;0,1,0)+IF(LEN(L251)&gt;0,1,0)+IF(LEN(R251)&gt;0,1,0)+IF(LEN(Y251)&gt;0,1,0)+IF(LEN(AE251)&gt;0,1,0)+IF(LEN(AG251)&gt;0,1,0)+IF(LEN(AH251)&gt;0,1,0)+IF(LEN(AI251)&gt;0,1,0)+IF(LEN(AJ251)&gt;0,1,0)+IF(LEN(AS251)&gt;0,1,0)+IF(LEN(BE251)&gt;0,1,0)+IF(LEN(BR251)&gt;0,1,0))/18,2))</f>
        <v/>
      </c>
      <c r="BX251" s="10" t="str">
        <f aca="false">IF(D251="","",IF(AND(AH251="Approved",ISERROR(SEARCH("FAIL",BB251))),"Y","N"))</f>
        <v/>
      </c>
      <c r="BY251" s="10" t="str">
        <f aca="false">IF(D251="","",D251&amp;"|"&amp;H251&amp;"|"&amp;F251&amp;"|"&amp;I251&amp;"|"&amp;BX251)</f>
        <v/>
      </c>
    </row>
    <row r="252" customFormat="false" ht="15" hidden="false" customHeight="false" outlineLevel="0" collapsed="false">
      <c r="A252" s="10" t="str">
        <f aca="false">IF(D252="","","ERSS-"&amp;IFERROR(VLOOKUP(D252,Lists!$AK$4:$AL$21,2,0),"??")&amp;"-"&amp;TEXT(F252,"0000")&amp;"x"&amp;TEXT(G252,"0000")&amp;"-D"&amp;TEXT(H252*1000,"0000")&amp;"-"&amp;IFERROR(VLOOKUP(I252,Lists!$Y$4:$Z$21,2,0),"??")&amp;"-"&amp;AG252)</f>
        <v/>
      </c>
      <c r="B252" s="10" t="str">
        <f aca="false">IF(D252="","",D252&amp;" for "&amp;E252&amp;", "&amp;F252&amp;" x "&amp;G252&amp;" pit, "&amp;TEXT(H252,"0.0")&amp;" m deep, "&amp;I252)</f>
        <v/>
      </c>
      <c r="C252" s="9"/>
      <c r="D252" s="9"/>
      <c r="E252" s="9"/>
      <c r="F252" s="38"/>
      <c r="G252" s="38"/>
      <c r="H252" s="42"/>
      <c r="I252" s="9"/>
      <c r="J252" s="42"/>
      <c r="K252" s="38"/>
      <c r="L252" s="9"/>
      <c r="M252" s="42"/>
      <c r="N252" s="42"/>
      <c r="O252" s="38"/>
      <c r="P252" s="9"/>
      <c r="Q252" s="9"/>
      <c r="R252" s="39"/>
      <c r="S252" s="39"/>
      <c r="T252" s="38"/>
      <c r="U252" s="38"/>
      <c r="V252" s="38"/>
      <c r="W252" s="9"/>
      <c r="X252" s="9"/>
      <c r="Y252" s="38"/>
      <c r="Z252" s="9"/>
      <c r="AA252" s="9"/>
      <c r="AB252" s="38"/>
      <c r="AC252" s="9"/>
      <c r="AD252" s="39"/>
      <c r="AE252" s="9"/>
      <c r="AF252" s="9"/>
      <c r="AG252" s="9"/>
      <c r="AH252" s="9"/>
      <c r="AI252" s="9"/>
      <c r="AJ252" s="9"/>
      <c r="AK252" s="9"/>
      <c r="AL252" s="10" t="str">
        <f aca="false">IF(A252="","",SG_Criteria!$B$6&amp;SG_Criteria!$B$11&amp;"\"&amp;A252&amp;"\")</f>
        <v/>
      </c>
      <c r="AM252" s="10" t="str">
        <f aca="false">IF(A252="","",A252&amp;"_CAD.dwg")</f>
        <v/>
      </c>
      <c r="AN252" s="10" t="str">
        <f aca="false">IF(A252="","",A252&amp;"_DWG.pdf")</f>
        <v/>
      </c>
      <c r="AO252" s="10" t="str">
        <f aca="false">IF(A252="","",IF(AK252="Y",A252&amp;"_STAAD.std","n/a"))</f>
        <v/>
      </c>
      <c r="AP252" s="10" t="str">
        <f aca="false">IF(A252="","",A252&amp;"_CALC.xlsx")</f>
        <v/>
      </c>
      <c r="AQ252" s="10" t="str">
        <f aca="false">IF(A252="","",A252&amp;"_CALC.pdf")</f>
        <v/>
      </c>
      <c r="AR252" s="9"/>
      <c r="AS252" s="9"/>
      <c r="AT252" s="39"/>
      <c r="AU252" s="39"/>
      <c r="AV252" s="39"/>
      <c r="AW252" s="39"/>
      <c r="AX252" s="39"/>
      <c r="AY252" s="12" t="str">
        <f aca="false">IF(A252="","",IF(COUNTIF(Rebar_Schedule!$A$5:$A$2004,A252)=0,"",ROUND(SUMIF(Rebar_Schedule!$A$5:$A$2004,A252,Rebar_Schedule!$K$5:$K$2004),1)))</f>
        <v/>
      </c>
      <c r="AZ252" s="33" t="str">
        <f aca="false">IF(A252="","",IF(AY252="","No rebar schedule yet",IF(ABS(AY252-N(AU252))/MAX(N(AU252),1)&gt;SG_Criteria!$B$55,"NOTE: register rebar differs from schedule by "&amp;TEXT(ABS(AY252-N(AU252))/MAX(N(AU252),1),"0%"),"OK")))</f>
        <v/>
      </c>
      <c r="BA252" s="33" t="str">
        <f aca="false">IF(OR(D252="",H252=""),"",IF(H252&lt;=IF(OR(D252="Soldier Pile &amp; Timber Lagging",D252="Trench Shoring Box",D252="Open Cut (battered)"),SG_Criteria!$B$34,SG_Criteria!$B$33),"No ERSS submission",IF(H252&lt;=SG_Criteria!$B$35,"QP(ST)",IF(H252&lt;=SG_Criteria!$B$36,"QP(ST) + AC","Geotechnical building works: QP(Geo) + AC"))))</f>
        <v/>
      </c>
      <c r="BB252" s="33" t="str">
        <f aca="false">IF(D252="","",IF(LEN(IF(AND(R252&lt;&gt;"",R252&lt;SG_Criteria!$B$37),"FAIL: base stability FOS &lt; "&amp;SG_Criteria!$B$37&amp;". ","")&amp;IF(AND(E252="Manhole",H252&gt;SG_Criteria!$B$36),"NOTE: BCA lists sewer manholes (pipe &lt;= 2 m dia) &gt; 6 m as non-GBW: QP(ST) + AC. ","")&amp;IF(AND(D252="Trench Shoring Box",I252="Kallang Formation (marine clay)"),"NOTE: check base heave / ground loss for shoring box in marine clay. ","")&amp;IF(AND(D252="Steel Sheet Pile Cofferdam",N(N252)&lt;H252*0.5),"NOTE: short toe embedment, check. ",""))=0,"OK",IF(AND(R252&lt;&gt;"",R252&lt;SG_Criteria!$B$37),"FAIL: base stability FOS &lt; "&amp;SG_Criteria!$B$37&amp;". ","")&amp;IF(AND(E252="Manhole",H252&gt;SG_Criteria!$B$36),"NOTE: BCA lists sewer manholes (pipe &lt;= 2 m dia) &gt; 6 m as non-GBW: QP(ST) + AC. ","")&amp;IF(AND(D252="Trench Shoring Box",I252="Kallang Formation (marine clay)"),"NOTE: check base heave / ground loss for shoring box in marine clay. ","")&amp;IF(AND(D252="Steel Sheet Pile Cofferdam",N(N252)&lt;H252*0.5),"NOTE: short toe embedment, check. ","")))</f>
        <v/>
      </c>
      <c r="BC252" s="9"/>
      <c r="BD252" s="9"/>
      <c r="BE252" s="9"/>
      <c r="BF252" s="10" t="str">
        <f aca="false">IF(BE252="","",IFERROR(VLOOKUP(BE252,Projects!$A$5:$D$504,2,0),"Ref not in Projects"))</f>
        <v/>
      </c>
      <c r="BG252" s="10" t="str">
        <f aca="false">IF(BE252="","",IFERROR(VLOOKUP(BE252,Projects!$A$5:$D$504,4,0),"Ref not in Projects"))</f>
        <v/>
      </c>
      <c r="BH252" s="9"/>
      <c r="BI252" s="9"/>
      <c r="BJ252" s="9"/>
      <c r="BK252" s="40"/>
      <c r="BL252" s="9"/>
      <c r="BM252" s="40"/>
      <c r="BN252" s="9"/>
      <c r="BO252" s="40"/>
      <c r="BP252" s="9"/>
      <c r="BQ252" s="9"/>
      <c r="BR252" s="9"/>
      <c r="BS252" s="40"/>
      <c r="BT252" s="40"/>
      <c r="BU252" s="36" t="str">
        <f aca="false">IF(BT252="","",EDATE(BT252,SG_Criteria!$B$54*12))</f>
        <v/>
      </c>
      <c r="BV252" s="33" t="str">
        <f aca="true">IF(A252="","",IF(BT252="","NOTE: not reviewed yet",IF(TODAY()&gt;BU252,"NOTE: review overdue","OK")))</f>
        <v/>
      </c>
      <c r="BW252" s="37" t="str">
        <f aca="false">IF(A252="","",ROUND((IF(LEN(D252)&gt;0,1,0)+IF(LEN(E252)&gt;0,1,0)+IF(LEN(F252)&gt;0,1,0)+IF(LEN(G252)&gt;0,1,0)+IF(LEN(H252)&gt;0,1,0)+IF(LEN(I252)&gt;0,1,0)+IF(LEN(J252)&gt;0,1,0)+IF(LEN(L252)&gt;0,1,0)+IF(LEN(R252)&gt;0,1,0)+IF(LEN(Y252)&gt;0,1,0)+IF(LEN(AE252)&gt;0,1,0)+IF(LEN(AG252)&gt;0,1,0)+IF(LEN(AH252)&gt;0,1,0)+IF(LEN(AI252)&gt;0,1,0)+IF(LEN(AJ252)&gt;0,1,0)+IF(LEN(AS252)&gt;0,1,0)+IF(LEN(BE252)&gt;0,1,0)+IF(LEN(BR252)&gt;0,1,0))/18,2))</f>
        <v/>
      </c>
      <c r="BX252" s="10" t="str">
        <f aca="false">IF(D252="","",IF(AND(AH252="Approved",ISERROR(SEARCH("FAIL",BB252))),"Y","N"))</f>
        <v/>
      </c>
      <c r="BY252" s="10" t="str">
        <f aca="false">IF(D252="","",D252&amp;"|"&amp;H252&amp;"|"&amp;F252&amp;"|"&amp;I252&amp;"|"&amp;BX252)</f>
        <v/>
      </c>
    </row>
    <row r="253" customFormat="false" ht="15" hidden="false" customHeight="false" outlineLevel="0" collapsed="false">
      <c r="A253" s="10" t="str">
        <f aca="false">IF(D253="","","ERSS-"&amp;IFERROR(VLOOKUP(D253,Lists!$AK$4:$AL$21,2,0),"??")&amp;"-"&amp;TEXT(F253,"0000")&amp;"x"&amp;TEXT(G253,"0000")&amp;"-D"&amp;TEXT(H253*1000,"0000")&amp;"-"&amp;IFERROR(VLOOKUP(I253,Lists!$Y$4:$Z$21,2,0),"??")&amp;"-"&amp;AG253)</f>
        <v/>
      </c>
      <c r="B253" s="10" t="str">
        <f aca="false">IF(D253="","",D253&amp;" for "&amp;E253&amp;", "&amp;F253&amp;" x "&amp;G253&amp;" pit, "&amp;TEXT(H253,"0.0")&amp;" m deep, "&amp;I253)</f>
        <v/>
      </c>
      <c r="C253" s="9"/>
      <c r="D253" s="9"/>
      <c r="E253" s="9"/>
      <c r="F253" s="38"/>
      <c r="G253" s="38"/>
      <c r="H253" s="42"/>
      <c r="I253" s="9"/>
      <c r="J253" s="42"/>
      <c r="K253" s="38"/>
      <c r="L253" s="9"/>
      <c r="M253" s="42"/>
      <c r="N253" s="42"/>
      <c r="O253" s="38"/>
      <c r="P253" s="9"/>
      <c r="Q253" s="9"/>
      <c r="R253" s="39"/>
      <c r="S253" s="39"/>
      <c r="T253" s="38"/>
      <c r="U253" s="38"/>
      <c r="V253" s="38"/>
      <c r="W253" s="9"/>
      <c r="X253" s="9"/>
      <c r="Y253" s="38"/>
      <c r="Z253" s="9"/>
      <c r="AA253" s="9"/>
      <c r="AB253" s="38"/>
      <c r="AC253" s="9"/>
      <c r="AD253" s="39"/>
      <c r="AE253" s="9"/>
      <c r="AF253" s="9"/>
      <c r="AG253" s="9"/>
      <c r="AH253" s="9"/>
      <c r="AI253" s="9"/>
      <c r="AJ253" s="9"/>
      <c r="AK253" s="9"/>
      <c r="AL253" s="10" t="str">
        <f aca="false">IF(A253="","",SG_Criteria!$B$6&amp;SG_Criteria!$B$11&amp;"\"&amp;A253&amp;"\")</f>
        <v/>
      </c>
      <c r="AM253" s="10" t="str">
        <f aca="false">IF(A253="","",A253&amp;"_CAD.dwg")</f>
        <v/>
      </c>
      <c r="AN253" s="10" t="str">
        <f aca="false">IF(A253="","",A253&amp;"_DWG.pdf")</f>
        <v/>
      </c>
      <c r="AO253" s="10" t="str">
        <f aca="false">IF(A253="","",IF(AK253="Y",A253&amp;"_STAAD.std","n/a"))</f>
        <v/>
      </c>
      <c r="AP253" s="10" t="str">
        <f aca="false">IF(A253="","",A253&amp;"_CALC.xlsx")</f>
        <v/>
      </c>
      <c r="AQ253" s="10" t="str">
        <f aca="false">IF(A253="","",A253&amp;"_CALC.pdf")</f>
        <v/>
      </c>
      <c r="AR253" s="9"/>
      <c r="AS253" s="9"/>
      <c r="AT253" s="39"/>
      <c r="AU253" s="39"/>
      <c r="AV253" s="39"/>
      <c r="AW253" s="39"/>
      <c r="AX253" s="39"/>
      <c r="AY253" s="12" t="str">
        <f aca="false">IF(A253="","",IF(COUNTIF(Rebar_Schedule!$A$5:$A$2004,A253)=0,"",ROUND(SUMIF(Rebar_Schedule!$A$5:$A$2004,A253,Rebar_Schedule!$K$5:$K$2004),1)))</f>
        <v/>
      </c>
      <c r="AZ253" s="33" t="str">
        <f aca="false">IF(A253="","",IF(AY253="","No rebar schedule yet",IF(ABS(AY253-N(AU253))/MAX(N(AU253),1)&gt;SG_Criteria!$B$55,"NOTE: register rebar differs from schedule by "&amp;TEXT(ABS(AY253-N(AU253))/MAX(N(AU253),1),"0%"),"OK")))</f>
        <v/>
      </c>
      <c r="BA253" s="33" t="str">
        <f aca="false">IF(OR(D253="",H253=""),"",IF(H253&lt;=IF(OR(D253="Soldier Pile &amp; Timber Lagging",D253="Trench Shoring Box",D253="Open Cut (battered)"),SG_Criteria!$B$34,SG_Criteria!$B$33),"No ERSS submission",IF(H253&lt;=SG_Criteria!$B$35,"QP(ST)",IF(H253&lt;=SG_Criteria!$B$36,"QP(ST) + AC","Geotechnical building works: QP(Geo) + AC"))))</f>
        <v/>
      </c>
      <c r="BB253" s="33" t="str">
        <f aca="false">IF(D253="","",IF(LEN(IF(AND(R253&lt;&gt;"",R253&lt;SG_Criteria!$B$37),"FAIL: base stability FOS &lt; "&amp;SG_Criteria!$B$37&amp;". ","")&amp;IF(AND(E253="Manhole",H253&gt;SG_Criteria!$B$36),"NOTE: BCA lists sewer manholes (pipe &lt;= 2 m dia) &gt; 6 m as non-GBW: QP(ST) + AC. ","")&amp;IF(AND(D253="Trench Shoring Box",I253="Kallang Formation (marine clay)"),"NOTE: check base heave / ground loss for shoring box in marine clay. ","")&amp;IF(AND(D253="Steel Sheet Pile Cofferdam",N(N253)&lt;H253*0.5),"NOTE: short toe embedment, check. ",""))=0,"OK",IF(AND(R253&lt;&gt;"",R253&lt;SG_Criteria!$B$37),"FAIL: base stability FOS &lt; "&amp;SG_Criteria!$B$37&amp;". ","")&amp;IF(AND(E253="Manhole",H253&gt;SG_Criteria!$B$36),"NOTE: BCA lists sewer manholes (pipe &lt;= 2 m dia) &gt; 6 m as non-GBW: QP(ST) + AC. ","")&amp;IF(AND(D253="Trench Shoring Box",I253="Kallang Formation (marine clay)"),"NOTE: check base heave / ground loss for shoring box in marine clay. ","")&amp;IF(AND(D253="Steel Sheet Pile Cofferdam",N(N253)&lt;H253*0.5),"NOTE: short toe embedment, check. ","")))</f>
        <v/>
      </c>
      <c r="BC253" s="9"/>
      <c r="BD253" s="9"/>
      <c r="BE253" s="9"/>
      <c r="BF253" s="10" t="str">
        <f aca="false">IF(BE253="","",IFERROR(VLOOKUP(BE253,Projects!$A$5:$D$504,2,0),"Ref not in Projects"))</f>
        <v/>
      </c>
      <c r="BG253" s="10" t="str">
        <f aca="false">IF(BE253="","",IFERROR(VLOOKUP(BE253,Projects!$A$5:$D$504,4,0),"Ref not in Projects"))</f>
        <v/>
      </c>
      <c r="BH253" s="9"/>
      <c r="BI253" s="9"/>
      <c r="BJ253" s="9"/>
      <c r="BK253" s="40"/>
      <c r="BL253" s="9"/>
      <c r="BM253" s="40"/>
      <c r="BN253" s="9"/>
      <c r="BO253" s="40"/>
      <c r="BP253" s="9"/>
      <c r="BQ253" s="9"/>
      <c r="BR253" s="9"/>
      <c r="BS253" s="40"/>
      <c r="BT253" s="40"/>
      <c r="BU253" s="36" t="str">
        <f aca="false">IF(BT253="","",EDATE(BT253,SG_Criteria!$B$54*12))</f>
        <v/>
      </c>
      <c r="BV253" s="33" t="str">
        <f aca="true">IF(A253="","",IF(BT253="","NOTE: not reviewed yet",IF(TODAY()&gt;BU253,"NOTE: review overdue","OK")))</f>
        <v/>
      </c>
      <c r="BW253" s="37" t="str">
        <f aca="false">IF(A253="","",ROUND((IF(LEN(D253)&gt;0,1,0)+IF(LEN(E253)&gt;0,1,0)+IF(LEN(F253)&gt;0,1,0)+IF(LEN(G253)&gt;0,1,0)+IF(LEN(H253)&gt;0,1,0)+IF(LEN(I253)&gt;0,1,0)+IF(LEN(J253)&gt;0,1,0)+IF(LEN(L253)&gt;0,1,0)+IF(LEN(R253)&gt;0,1,0)+IF(LEN(Y253)&gt;0,1,0)+IF(LEN(AE253)&gt;0,1,0)+IF(LEN(AG253)&gt;0,1,0)+IF(LEN(AH253)&gt;0,1,0)+IF(LEN(AI253)&gt;0,1,0)+IF(LEN(AJ253)&gt;0,1,0)+IF(LEN(AS253)&gt;0,1,0)+IF(LEN(BE253)&gt;0,1,0)+IF(LEN(BR253)&gt;0,1,0))/18,2))</f>
        <v/>
      </c>
      <c r="BX253" s="10" t="str">
        <f aca="false">IF(D253="","",IF(AND(AH253="Approved",ISERROR(SEARCH("FAIL",BB253))),"Y","N"))</f>
        <v/>
      </c>
      <c r="BY253" s="10" t="str">
        <f aca="false">IF(D253="","",D253&amp;"|"&amp;H253&amp;"|"&amp;F253&amp;"|"&amp;I253&amp;"|"&amp;BX253)</f>
        <v/>
      </c>
    </row>
    <row r="254" customFormat="false" ht="15" hidden="false" customHeight="false" outlineLevel="0" collapsed="false">
      <c r="A254" s="10" t="str">
        <f aca="false">IF(D254="","","ERSS-"&amp;IFERROR(VLOOKUP(D254,Lists!$AK$4:$AL$21,2,0),"??")&amp;"-"&amp;TEXT(F254,"0000")&amp;"x"&amp;TEXT(G254,"0000")&amp;"-D"&amp;TEXT(H254*1000,"0000")&amp;"-"&amp;IFERROR(VLOOKUP(I254,Lists!$Y$4:$Z$21,2,0),"??")&amp;"-"&amp;AG254)</f>
        <v/>
      </c>
      <c r="B254" s="10" t="str">
        <f aca="false">IF(D254="","",D254&amp;" for "&amp;E254&amp;", "&amp;F254&amp;" x "&amp;G254&amp;" pit, "&amp;TEXT(H254,"0.0")&amp;" m deep, "&amp;I254)</f>
        <v/>
      </c>
      <c r="C254" s="9"/>
      <c r="D254" s="9"/>
      <c r="E254" s="9"/>
      <c r="F254" s="38"/>
      <c r="G254" s="38"/>
      <c r="H254" s="42"/>
      <c r="I254" s="9"/>
      <c r="J254" s="42"/>
      <c r="K254" s="38"/>
      <c r="L254" s="9"/>
      <c r="M254" s="42"/>
      <c r="N254" s="42"/>
      <c r="O254" s="38"/>
      <c r="P254" s="9"/>
      <c r="Q254" s="9"/>
      <c r="R254" s="39"/>
      <c r="S254" s="39"/>
      <c r="T254" s="38"/>
      <c r="U254" s="38"/>
      <c r="V254" s="38"/>
      <c r="W254" s="9"/>
      <c r="X254" s="9"/>
      <c r="Y254" s="38"/>
      <c r="Z254" s="9"/>
      <c r="AA254" s="9"/>
      <c r="AB254" s="38"/>
      <c r="AC254" s="9"/>
      <c r="AD254" s="39"/>
      <c r="AE254" s="9"/>
      <c r="AF254" s="9"/>
      <c r="AG254" s="9"/>
      <c r="AH254" s="9"/>
      <c r="AI254" s="9"/>
      <c r="AJ254" s="9"/>
      <c r="AK254" s="9"/>
      <c r="AL254" s="10" t="str">
        <f aca="false">IF(A254="","",SG_Criteria!$B$6&amp;SG_Criteria!$B$11&amp;"\"&amp;A254&amp;"\")</f>
        <v/>
      </c>
      <c r="AM254" s="10" t="str">
        <f aca="false">IF(A254="","",A254&amp;"_CAD.dwg")</f>
        <v/>
      </c>
      <c r="AN254" s="10" t="str">
        <f aca="false">IF(A254="","",A254&amp;"_DWG.pdf")</f>
        <v/>
      </c>
      <c r="AO254" s="10" t="str">
        <f aca="false">IF(A254="","",IF(AK254="Y",A254&amp;"_STAAD.std","n/a"))</f>
        <v/>
      </c>
      <c r="AP254" s="10" t="str">
        <f aca="false">IF(A254="","",A254&amp;"_CALC.xlsx")</f>
        <v/>
      </c>
      <c r="AQ254" s="10" t="str">
        <f aca="false">IF(A254="","",A254&amp;"_CALC.pdf")</f>
        <v/>
      </c>
      <c r="AR254" s="9"/>
      <c r="AS254" s="9"/>
      <c r="AT254" s="39"/>
      <c r="AU254" s="39"/>
      <c r="AV254" s="39"/>
      <c r="AW254" s="39"/>
      <c r="AX254" s="39"/>
      <c r="AY254" s="12" t="str">
        <f aca="false">IF(A254="","",IF(COUNTIF(Rebar_Schedule!$A$5:$A$2004,A254)=0,"",ROUND(SUMIF(Rebar_Schedule!$A$5:$A$2004,A254,Rebar_Schedule!$K$5:$K$2004),1)))</f>
        <v/>
      </c>
      <c r="AZ254" s="33" t="str">
        <f aca="false">IF(A254="","",IF(AY254="","No rebar schedule yet",IF(ABS(AY254-N(AU254))/MAX(N(AU254),1)&gt;SG_Criteria!$B$55,"NOTE: register rebar differs from schedule by "&amp;TEXT(ABS(AY254-N(AU254))/MAX(N(AU254),1),"0%"),"OK")))</f>
        <v/>
      </c>
      <c r="BA254" s="33" t="str">
        <f aca="false">IF(OR(D254="",H254=""),"",IF(H254&lt;=IF(OR(D254="Soldier Pile &amp; Timber Lagging",D254="Trench Shoring Box",D254="Open Cut (battered)"),SG_Criteria!$B$34,SG_Criteria!$B$33),"No ERSS submission",IF(H254&lt;=SG_Criteria!$B$35,"QP(ST)",IF(H254&lt;=SG_Criteria!$B$36,"QP(ST) + AC","Geotechnical building works: QP(Geo) + AC"))))</f>
        <v/>
      </c>
      <c r="BB254" s="33" t="str">
        <f aca="false">IF(D254="","",IF(LEN(IF(AND(R254&lt;&gt;"",R254&lt;SG_Criteria!$B$37),"FAIL: base stability FOS &lt; "&amp;SG_Criteria!$B$37&amp;". ","")&amp;IF(AND(E254="Manhole",H254&gt;SG_Criteria!$B$36),"NOTE: BCA lists sewer manholes (pipe &lt;= 2 m dia) &gt; 6 m as non-GBW: QP(ST) + AC. ","")&amp;IF(AND(D254="Trench Shoring Box",I254="Kallang Formation (marine clay)"),"NOTE: check base heave / ground loss for shoring box in marine clay. ","")&amp;IF(AND(D254="Steel Sheet Pile Cofferdam",N(N254)&lt;H254*0.5),"NOTE: short toe embedment, check. ",""))=0,"OK",IF(AND(R254&lt;&gt;"",R254&lt;SG_Criteria!$B$37),"FAIL: base stability FOS &lt; "&amp;SG_Criteria!$B$37&amp;". ","")&amp;IF(AND(E254="Manhole",H254&gt;SG_Criteria!$B$36),"NOTE: BCA lists sewer manholes (pipe &lt;= 2 m dia) &gt; 6 m as non-GBW: QP(ST) + AC. ","")&amp;IF(AND(D254="Trench Shoring Box",I254="Kallang Formation (marine clay)"),"NOTE: check base heave / ground loss for shoring box in marine clay. ","")&amp;IF(AND(D254="Steel Sheet Pile Cofferdam",N(N254)&lt;H254*0.5),"NOTE: short toe embedment, check. ","")))</f>
        <v/>
      </c>
      <c r="BC254" s="9"/>
      <c r="BD254" s="9"/>
      <c r="BE254" s="9"/>
      <c r="BF254" s="10" t="str">
        <f aca="false">IF(BE254="","",IFERROR(VLOOKUP(BE254,Projects!$A$5:$D$504,2,0),"Ref not in Projects"))</f>
        <v/>
      </c>
      <c r="BG254" s="10" t="str">
        <f aca="false">IF(BE254="","",IFERROR(VLOOKUP(BE254,Projects!$A$5:$D$504,4,0),"Ref not in Projects"))</f>
        <v/>
      </c>
      <c r="BH254" s="9"/>
      <c r="BI254" s="9"/>
      <c r="BJ254" s="9"/>
      <c r="BK254" s="40"/>
      <c r="BL254" s="9"/>
      <c r="BM254" s="40"/>
      <c r="BN254" s="9"/>
      <c r="BO254" s="40"/>
      <c r="BP254" s="9"/>
      <c r="BQ254" s="9"/>
      <c r="BR254" s="9"/>
      <c r="BS254" s="40"/>
      <c r="BT254" s="40"/>
      <c r="BU254" s="36" t="str">
        <f aca="false">IF(BT254="","",EDATE(BT254,SG_Criteria!$B$54*12))</f>
        <v/>
      </c>
      <c r="BV254" s="33" t="str">
        <f aca="true">IF(A254="","",IF(BT254="","NOTE: not reviewed yet",IF(TODAY()&gt;BU254,"NOTE: review overdue","OK")))</f>
        <v/>
      </c>
      <c r="BW254" s="37" t="str">
        <f aca="false">IF(A254="","",ROUND((IF(LEN(D254)&gt;0,1,0)+IF(LEN(E254)&gt;0,1,0)+IF(LEN(F254)&gt;0,1,0)+IF(LEN(G254)&gt;0,1,0)+IF(LEN(H254)&gt;0,1,0)+IF(LEN(I254)&gt;0,1,0)+IF(LEN(J254)&gt;0,1,0)+IF(LEN(L254)&gt;0,1,0)+IF(LEN(R254)&gt;0,1,0)+IF(LEN(Y254)&gt;0,1,0)+IF(LEN(AE254)&gt;0,1,0)+IF(LEN(AG254)&gt;0,1,0)+IF(LEN(AH254)&gt;0,1,0)+IF(LEN(AI254)&gt;0,1,0)+IF(LEN(AJ254)&gt;0,1,0)+IF(LEN(AS254)&gt;0,1,0)+IF(LEN(BE254)&gt;0,1,0)+IF(LEN(BR254)&gt;0,1,0))/18,2))</f>
        <v/>
      </c>
      <c r="BX254" s="10" t="str">
        <f aca="false">IF(D254="","",IF(AND(AH254="Approved",ISERROR(SEARCH("FAIL",BB254))),"Y","N"))</f>
        <v/>
      </c>
      <c r="BY254" s="10" t="str">
        <f aca="false">IF(D254="","",D254&amp;"|"&amp;H254&amp;"|"&amp;F254&amp;"|"&amp;I254&amp;"|"&amp;BX254)</f>
        <v/>
      </c>
    </row>
    <row r="255" customFormat="false" ht="15" hidden="false" customHeight="false" outlineLevel="0" collapsed="false">
      <c r="A255" s="10" t="str">
        <f aca="false">IF(D255="","","ERSS-"&amp;IFERROR(VLOOKUP(D255,Lists!$AK$4:$AL$21,2,0),"??")&amp;"-"&amp;TEXT(F255,"0000")&amp;"x"&amp;TEXT(G255,"0000")&amp;"-D"&amp;TEXT(H255*1000,"0000")&amp;"-"&amp;IFERROR(VLOOKUP(I255,Lists!$Y$4:$Z$21,2,0),"??")&amp;"-"&amp;AG255)</f>
        <v/>
      </c>
      <c r="B255" s="10" t="str">
        <f aca="false">IF(D255="","",D255&amp;" for "&amp;E255&amp;", "&amp;F255&amp;" x "&amp;G255&amp;" pit, "&amp;TEXT(H255,"0.0")&amp;" m deep, "&amp;I255)</f>
        <v/>
      </c>
      <c r="C255" s="9"/>
      <c r="D255" s="9"/>
      <c r="E255" s="9"/>
      <c r="F255" s="38"/>
      <c r="G255" s="38"/>
      <c r="H255" s="42"/>
      <c r="I255" s="9"/>
      <c r="J255" s="42"/>
      <c r="K255" s="38"/>
      <c r="L255" s="9"/>
      <c r="M255" s="42"/>
      <c r="N255" s="42"/>
      <c r="O255" s="38"/>
      <c r="P255" s="9"/>
      <c r="Q255" s="9"/>
      <c r="R255" s="39"/>
      <c r="S255" s="39"/>
      <c r="T255" s="38"/>
      <c r="U255" s="38"/>
      <c r="V255" s="38"/>
      <c r="W255" s="9"/>
      <c r="X255" s="9"/>
      <c r="Y255" s="38"/>
      <c r="Z255" s="9"/>
      <c r="AA255" s="9"/>
      <c r="AB255" s="38"/>
      <c r="AC255" s="9"/>
      <c r="AD255" s="39"/>
      <c r="AE255" s="9"/>
      <c r="AF255" s="9"/>
      <c r="AG255" s="9"/>
      <c r="AH255" s="9"/>
      <c r="AI255" s="9"/>
      <c r="AJ255" s="9"/>
      <c r="AK255" s="9"/>
      <c r="AL255" s="10" t="str">
        <f aca="false">IF(A255="","",SG_Criteria!$B$6&amp;SG_Criteria!$B$11&amp;"\"&amp;A255&amp;"\")</f>
        <v/>
      </c>
      <c r="AM255" s="10" t="str">
        <f aca="false">IF(A255="","",A255&amp;"_CAD.dwg")</f>
        <v/>
      </c>
      <c r="AN255" s="10" t="str">
        <f aca="false">IF(A255="","",A255&amp;"_DWG.pdf")</f>
        <v/>
      </c>
      <c r="AO255" s="10" t="str">
        <f aca="false">IF(A255="","",IF(AK255="Y",A255&amp;"_STAAD.std","n/a"))</f>
        <v/>
      </c>
      <c r="AP255" s="10" t="str">
        <f aca="false">IF(A255="","",A255&amp;"_CALC.xlsx")</f>
        <v/>
      </c>
      <c r="AQ255" s="10" t="str">
        <f aca="false">IF(A255="","",A255&amp;"_CALC.pdf")</f>
        <v/>
      </c>
      <c r="AR255" s="9"/>
      <c r="AS255" s="9"/>
      <c r="AT255" s="39"/>
      <c r="AU255" s="39"/>
      <c r="AV255" s="39"/>
      <c r="AW255" s="39"/>
      <c r="AX255" s="39"/>
      <c r="AY255" s="12" t="str">
        <f aca="false">IF(A255="","",IF(COUNTIF(Rebar_Schedule!$A$5:$A$2004,A255)=0,"",ROUND(SUMIF(Rebar_Schedule!$A$5:$A$2004,A255,Rebar_Schedule!$K$5:$K$2004),1)))</f>
        <v/>
      </c>
      <c r="AZ255" s="33" t="str">
        <f aca="false">IF(A255="","",IF(AY255="","No rebar schedule yet",IF(ABS(AY255-N(AU255))/MAX(N(AU255),1)&gt;SG_Criteria!$B$55,"NOTE: register rebar differs from schedule by "&amp;TEXT(ABS(AY255-N(AU255))/MAX(N(AU255),1),"0%"),"OK")))</f>
        <v/>
      </c>
      <c r="BA255" s="33" t="str">
        <f aca="false">IF(OR(D255="",H255=""),"",IF(H255&lt;=IF(OR(D255="Soldier Pile &amp; Timber Lagging",D255="Trench Shoring Box",D255="Open Cut (battered)"),SG_Criteria!$B$34,SG_Criteria!$B$33),"No ERSS submission",IF(H255&lt;=SG_Criteria!$B$35,"QP(ST)",IF(H255&lt;=SG_Criteria!$B$36,"QP(ST) + AC","Geotechnical building works: QP(Geo) + AC"))))</f>
        <v/>
      </c>
      <c r="BB255" s="33" t="str">
        <f aca="false">IF(D255="","",IF(LEN(IF(AND(R255&lt;&gt;"",R255&lt;SG_Criteria!$B$37),"FAIL: base stability FOS &lt; "&amp;SG_Criteria!$B$37&amp;". ","")&amp;IF(AND(E255="Manhole",H255&gt;SG_Criteria!$B$36),"NOTE: BCA lists sewer manholes (pipe &lt;= 2 m dia) &gt; 6 m as non-GBW: QP(ST) + AC. ","")&amp;IF(AND(D255="Trench Shoring Box",I255="Kallang Formation (marine clay)"),"NOTE: check base heave / ground loss for shoring box in marine clay. ","")&amp;IF(AND(D255="Steel Sheet Pile Cofferdam",N(N255)&lt;H255*0.5),"NOTE: short toe embedment, check. ",""))=0,"OK",IF(AND(R255&lt;&gt;"",R255&lt;SG_Criteria!$B$37),"FAIL: base stability FOS &lt; "&amp;SG_Criteria!$B$37&amp;". ","")&amp;IF(AND(E255="Manhole",H255&gt;SG_Criteria!$B$36),"NOTE: BCA lists sewer manholes (pipe &lt;= 2 m dia) &gt; 6 m as non-GBW: QP(ST) + AC. ","")&amp;IF(AND(D255="Trench Shoring Box",I255="Kallang Formation (marine clay)"),"NOTE: check base heave / ground loss for shoring box in marine clay. ","")&amp;IF(AND(D255="Steel Sheet Pile Cofferdam",N(N255)&lt;H255*0.5),"NOTE: short toe embedment, check. ","")))</f>
        <v/>
      </c>
      <c r="BC255" s="9"/>
      <c r="BD255" s="9"/>
      <c r="BE255" s="9"/>
      <c r="BF255" s="10" t="str">
        <f aca="false">IF(BE255="","",IFERROR(VLOOKUP(BE255,Projects!$A$5:$D$504,2,0),"Ref not in Projects"))</f>
        <v/>
      </c>
      <c r="BG255" s="10" t="str">
        <f aca="false">IF(BE255="","",IFERROR(VLOOKUP(BE255,Projects!$A$5:$D$504,4,0),"Ref not in Projects"))</f>
        <v/>
      </c>
      <c r="BH255" s="9"/>
      <c r="BI255" s="9"/>
      <c r="BJ255" s="9"/>
      <c r="BK255" s="40"/>
      <c r="BL255" s="9"/>
      <c r="BM255" s="40"/>
      <c r="BN255" s="9"/>
      <c r="BO255" s="40"/>
      <c r="BP255" s="9"/>
      <c r="BQ255" s="9"/>
      <c r="BR255" s="9"/>
      <c r="BS255" s="40"/>
      <c r="BT255" s="40"/>
      <c r="BU255" s="36" t="str">
        <f aca="false">IF(BT255="","",EDATE(BT255,SG_Criteria!$B$54*12))</f>
        <v/>
      </c>
      <c r="BV255" s="33" t="str">
        <f aca="true">IF(A255="","",IF(BT255="","NOTE: not reviewed yet",IF(TODAY()&gt;BU255,"NOTE: review overdue","OK")))</f>
        <v/>
      </c>
      <c r="BW255" s="37" t="str">
        <f aca="false">IF(A255="","",ROUND((IF(LEN(D255)&gt;0,1,0)+IF(LEN(E255)&gt;0,1,0)+IF(LEN(F255)&gt;0,1,0)+IF(LEN(G255)&gt;0,1,0)+IF(LEN(H255)&gt;0,1,0)+IF(LEN(I255)&gt;0,1,0)+IF(LEN(J255)&gt;0,1,0)+IF(LEN(L255)&gt;0,1,0)+IF(LEN(R255)&gt;0,1,0)+IF(LEN(Y255)&gt;0,1,0)+IF(LEN(AE255)&gt;0,1,0)+IF(LEN(AG255)&gt;0,1,0)+IF(LEN(AH255)&gt;0,1,0)+IF(LEN(AI255)&gt;0,1,0)+IF(LEN(AJ255)&gt;0,1,0)+IF(LEN(AS255)&gt;0,1,0)+IF(LEN(BE255)&gt;0,1,0)+IF(LEN(BR255)&gt;0,1,0))/18,2))</f>
        <v/>
      </c>
      <c r="BX255" s="10" t="str">
        <f aca="false">IF(D255="","",IF(AND(AH255="Approved",ISERROR(SEARCH("FAIL",BB255))),"Y","N"))</f>
        <v/>
      </c>
      <c r="BY255" s="10" t="str">
        <f aca="false">IF(D255="","",D255&amp;"|"&amp;H255&amp;"|"&amp;F255&amp;"|"&amp;I255&amp;"|"&amp;BX255)</f>
        <v/>
      </c>
    </row>
    <row r="256" customFormat="false" ht="15" hidden="false" customHeight="false" outlineLevel="0" collapsed="false">
      <c r="A256" s="10" t="str">
        <f aca="false">IF(D256="","","ERSS-"&amp;IFERROR(VLOOKUP(D256,Lists!$AK$4:$AL$21,2,0),"??")&amp;"-"&amp;TEXT(F256,"0000")&amp;"x"&amp;TEXT(G256,"0000")&amp;"-D"&amp;TEXT(H256*1000,"0000")&amp;"-"&amp;IFERROR(VLOOKUP(I256,Lists!$Y$4:$Z$21,2,0),"??")&amp;"-"&amp;AG256)</f>
        <v/>
      </c>
      <c r="B256" s="10" t="str">
        <f aca="false">IF(D256="","",D256&amp;" for "&amp;E256&amp;", "&amp;F256&amp;" x "&amp;G256&amp;" pit, "&amp;TEXT(H256,"0.0")&amp;" m deep, "&amp;I256)</f>
        <v/>
      </c>
      <c r="C256" s="9"/>
      <c r="D256" s="9"/>
      <c r="E256" s="9"/>
      <c r="F256" s="38"/>
      <c r="G256" s="38"/>
      <c r="H256" s="42"/>
      <c r="I256" s="9"/>
      <c r="J256" s="42"/>
      <c r="K256" s="38"/>
      <c r="L256" s="9"/>
      <c r="M256" s="42"/>
      <c r="N256" s="42"/>
      <c r="O256" s="38"/>
      <c r="P256" s="9"/>
      <c r="Q256" s="9"/>
      <c r="R256" s="39"/>
      <c r="S256" s="39"/>
      <c r="T256" s="38"/>
      <c r="U256" s="38"/>
      <c r="V256" s="38"/>
      <c r="W256" s="9"/>
      <c r="X256" s="9"/>
      <c r="Y256" s="38"/>
      <c r="Z256" s="9"/>
      <c r="AA256" s="9"/>
      <c r="AB256" s="38"/>
      <c r="AC256" s="9"/>
      <c r="AD256" s="39"/>
      <c r="AE256" s="9"/>
      <c r="AF256" s="9"/>
      <c r="AG256" s="9"/>
      <c r="AH256" s="9"/>
      <c r="AI256" s="9"/>
      <c r="AJ256" s="9"/>
      <c r="AK256" s="9"/>
      <c r="AL256" s="10" t="str">
        <f aca="false">IF(A256="","",SG_Criteria!$B$6&amp;SG_Criteria!$B$11&amp;"\"&amp;A256&amp;"\")</f>
        <v/>
      </c>
      <c r="AM256" s="10" t="str">
        <f aca="false">IF(A256="","",A256&amp;"_CAD.dwg")</f>
        <v/>
      </c>
      <c r="AN256" s="10" t="str">
        <f aca="false">IF(A256="","",A256&amp;"_DWG.pdf")</f>
        <v/>
      </c>
      <c r="AO256" s="10" t="str">
        <f aca="false">IF(A256="","",IF(AK256="Y",A256&amp;"_STAAD.std","n/a"))</f>
        <v/>
      </c>
      <c r="AP256" s="10" t="str">
        <f aca="false">IF(A256="","",A256&amp;"_CALC.xlsx")</f>
        <v/>
      </c>
      <c r="AQ256" s="10" t="str">
        <f aca="false">IF(A256="","",A256&amp;"_CALC.pdf")</f>
        <v/>
      </c>
      <c r="AR256" s="9"/>
      <c r="AS256" s="9"/>
      <c r="AT256" s="39"/>
      <c r="AU256" s="39"/>
      <c r="AV256" s="39"/>
      <c r="AW256" s="39"/>
      <c r="AX256" s="39"/>
      <c r="AY256" s="12" t="str">
        <f aca="false">IF(A256="","",IF(COUNTIF(Rebar_Schedule!$A$5:$A$2004,A256)=0,"",ROUND(SUMIF(Rebar_Schedule!$A$5:$A$2004,A256,Rebar_Schedule!$K$5:$K$2004),1)))</f>
        <v/>
      </c>
      <c r="AZ256" s="33" t="str">
        <f aca="false">IF(A256="","",IF(AY256="","No rebar schedule yet",IF(ABS(AY256-N(AU256))/MAX(N(AU256),1)&gt;SG_Criteria!$B$55,"NOTE: register rebar differs from schedule by "&amp;TEXT(ABS(AY256-N(AU256))/MAX(N(AU256),1),"0%"),"OK")))</f>
        <v/>
      </c>
      <c r="BA256" s="33" t="str">
        <f aca="false">IF(OR(D256="",H256=""),"",IF(H256&lt;=IF(OR(D256="Soldier Pile &amp; Timber Lagging",D256="Trench Shoring Box",D256="Open Cut (battered)"),SG_Criteria!$B$34,SG_Criteria!$B$33),"No ERSS submission",IF(H256&lt;=SG_Criteria!$B$35,"QP(ST)",IF(H256&lt;=SG_Criteria!$B$36,"QP(ST) + AC","Geotechnical building works: QP(Geo) + AC"))))</f>
        <v/>
      </c>
      <c r="BB256" s="33" t="str">
        <f aca="false">IF(D256="","",IF(LEN(IF(AND(R256&lt;&gt;"",R256&lt;SG_Criteria!$B$37),"FAIL: base stability FOS &lt; "&amp;SG_Criteria!$B$37&amp;". ","")&amp;IF(AND(E256="Manhole",H256&gt;SG_Criteria!$B$36),"NOTE: BCA lists sewer manholes (pipe &lt;= 2 m dia) &gt; 6 m as non-GBW: QP(ST) + AC. ","")&amp;IF(AND(D256="Trench Shoring Box",I256="Kallang Formation (marine clay)"),"NOTE: check base heave / ground loss for shoring box in marine clay. ","")&amp;IF(AND(D256="Steel Sheet Pile Cofferdam",N(N256)&lt;H256*0.5),"NOTE: short toe embedment, check. ",""))=0,"OK",IF(AND(R256&lt;&gt;"",R256&lt;SG_Criteria!$B$37),"FAIL: base stability FOS &lt; "&amp;SG_Criteria!$B$37&amp;". ","")&amp;IF(AND(E256="Manhole",H256&gt;SG_Criteria!$B$36),"NOTE: BCA lists sewer manholes (pipe &lt;= 2 m dia) &gt; 6 m as non-GBW: QP(ST) + AC. ","")&amp;IF(AND(D256="Trench Shoring Box",I256="Kallang Formation (marine clay)"),"NOTE: check base heave / ground loss for shoring box in marine clay. ","")&amp;IF(AND(D256="Steel Sheet Pile Cofferdam",N(N256)&lt;H256*0.5),"NOTE: short toe embedment, check. ","")))</f>
        <v/>
      </c>
      <c r="BC256" s="9"/>
      <c r="BD256" s="9"/>
      <c r="BE256" s="9"/>
      <c r="BF256" s="10" t="str">
        <f aca="false">IF(BE256="","",IFERROR(VLOOKUP(BE256,Projects!$A$5:$D$504,2,0),"Ref not in Projects"))</f>
        <v/>
      </c>
      <c r="BG256" s="10" t="str">
        <f aca="false">IF(BE256="","",IFERROR(VLOOKUP(BE256,Projects!$A$5:$D$504,4,0),"Ref not in Projects"))</f>
        <v/>
      </c>
      <c r="BH256" s="9"/>
      <c r="BI256" s="9"/>
      <c r="BJ256" s="9"/>
      <c r="BK256" s="40"/>
      <c r="BL256" s="9"/>
      <c r="BM256" s="40"/>
      <c r="BN256" s="9"/>
      <c r="BO256" s="40"/>
      <c r="BP256" s="9"/>
      <c r="BQ256" s="9"/>
      <c r="BR256" s="9"/>
      <c r="BS256" s="40"/>
      <c r="BT256" s="40"/>
      <c r="BU256" s="36" t="str">
        <f aca="false">IF(BT256="","",EDATE(BT256,SG_Criteria!$B$54*12))</f>
        <v/>
      </c>
      <c r="BV256" s="33" t="str">
        <f aca="true">IF(A256="","",IF(BT256="","NOTE: not reviewed yet",IF(TODAY()&gt;BU256,"NOTE: review overdue","OK")))</f>
        <v/>
      </c>
      <c r="BW256" s="37" t="str">
        <f aca="false">IF(A256="","",ROUND((IF(LEN(D256)&gt;0,1,0)+IF(LEN(E256)&gt;0,1,0)+IF(LEN(F256)&gt;0,1,0)+IF(LEN(G256)&gt;0,1,0)+IF(LEN(H256)&gt;0,1,0)+IF(LEN(I256)&gt;0,1,0)+IF(LEN(J256)&gt;0,1,0)+IF(LEN(L256)&gt;0,1,0)+IF(LEN(R256)&gt;0,1,0)+IF(LEN(Y256)&gt;0,1,0)+IF(LEN(AE256)&gt;0,1,0)+IF(LEN(AG256)&gt;0,1,0)+IF(LEN(AH256)&gt;0,1,0)+IF(LEN(AI256)&gt;0,1,0)+IF(LEN(AJ256)&gt;0,1,0)+IF(LEN(AS256)&gt;0,1,0)+IF(LEN(BE256)&gt;0,1,0)+IF(LEN(BR256)&gt;0,1,0))/18,2))</f>
        <v/>
      </c>
      <c r="BX256" s="10" t="str">
        <f aca="false">IF(D256="","",IF(AND(AH256="Approved",ISERROR(SEARCH("FAIL",BB256))),"Y","N"))</f>
        <v/>
      </c>
      <c r="BY256" s="10" t="str">
        <f aca="false">IF(D256="","",D256&amp;"|"&amp;H256&amp;"|"&amp;F256&amp;"|"&amp;I256&amp;"|"&amp;BX256)</f>
        <v/>
      </c>
    </row>
    <row r="257" customFormat="false" ht="15" hidden="false" customHeight="false" outlineLevel="0" collapsed="false">
      <c r="A257" s="10" t="str">
        <f aca="false">IF(D257="","","ERSS-"&amp;IFERROR(VLOOKUP(D257,Lists!$AK$4:$AL$21,2,0),"??")&amp;"-"&amp;TEXT(F257,"0000")&amp;"x"&amp;TEXT(G257,"0000")&amp;"-D"&amp;TEXT(H257*1000,"0000")&amp;"-"&amp;IFERROR(VLOOKUP(I257,Lists!$Y$4:$Z$21,2,0),"??")&amp;"-"&amp;AG257)</f>
        <v/>
      </c>
      <c r="B257" s="10" t="str">
        <f aca="false">IF(D257="","",D257&amp;" for "&amp;E257&amp;", "&amp;F257&amp;" x "&amp;G257&amp;" pit, "&amp;TEXT(H257,"0.0")&amp;" m deep, "&amp;I257)</f>
        <v/>
      </c>
      <c r="C257" s="9"/>
      <c r="D257" s="9"/>
      <c r="E257" s="9"/>
      <c r="F257" s="38"/>
      <c r="G257" s="38"/>
      <c r="H257" s="42"/>
      <c r="I257" s="9"/>
      <c r="J257" s="42"/>
      <c r="K257" s="38"/>
      <c r="L257" s="9"/>
      <c r="M257" s="42"/>
      <c r="N257" s="42"/>
      <c r="O257" s="38"/>
      <c r="P257" s="9"/>
      <c r="Q257" s="9"/>
      <c r="R257" s="39"/>
      <c r="S257" s="39"/>
      <c r="T257" s="38"/>
      <c r="U257" s="38"/>
      <c r="V257" s="38"/>
      <c r="W257" s="9"/>
      <c r="X257" s="9"/>
      <c r="Y257" s="38"/>
      <c r="Z257" s="9"/>
      <c r="AA257" s="9"/>
      <c r="AB257" s="38"/>
      <c r="AC257" s="9"/>
      <c r="AD257" s="39"/>
      <c r="AE257" s="9"/>
      <c r="AF257" s="9"/>
      <c r="AG257" s="9"/>
      <c r="AH257" s="9"/>
      <c r="AI257" s="9"/>
      <c r="AJ257" s="9"/>
      <c r="AK257" s="9"/>
      <c r="AL257" s="10" t="str">
        <f aca="false">IF(A257="","",SG_Criteria!$B$6&amp;SG_Criteria!$B$11&amp;"\"&amp;A257&amp;"\")</f>
        <v/>
      </c>
      <c r="AM257" s="10" t="str">
        <f aca="false">IF(A257="","",A257&amp;"_CAD.dwg")</f>
        <v/>
      </c>
      <c r="AN257" s="10" t="str">
        <f aca="false">IF(A257="","",A257&amp;"_DWG.pdf")</f>
        <v/>
      </c>
      <c r="AO257" s="10" t="str">
        <f aca="false">IF(A257="","",IF(AK257="Y",A257&amp;"_STAAD.std","n/a"))</f>
        <v/>
      </c>
      <c r="AP257" s="10" t="str">
        <f aca="false">IF(A257="","",A257&amp;"_CALC.xlsx")</f>
        <v/>
      </c>
      <c r="AQ257" s="10" t="str">
        <f aca="false">IF(A257="","",A257&amp;"_CALC.pdf")</f>
        <v/>
      </c>
      <c r="AR257" s="9"/>
      <c r="AS257" s="9"/>
      <c r="AT257" s="39"/>
      <c r="AU257" s="39"/>
      <c r="AV257" s="39"/>
      <c r="AW257" s="39"/>
      <c r="AX257" s="39"/>
      <c r="AY257" s="12" t="str">
        <f aca="false">IF(A257="","",IF(COUNTIF(Rebar_Schedule!$A$5:$A$2004,A257)=0,"",ROUND(SUMIF(Rebar_Schedule!$A$5:$A$2004,A257,Rebar_Schedule!$K$5:$K$2004),1)))</f>
        <v/>
      </c>
      <c r="AZ257" s="33" t="str">
        <f aca="false">IF(A257="","",IF(AY257="","No rebar schedule yet",IF(ABS(AY257-N(AU257))/MAX(N(AU257),1)&gt;SG_Criteria!$B$55,"NOTE: register rebar differs from schedule by "&amp;TEXT(ABS(AY257-N(AU257))/MAX(N(AU257),1),"0%"),"OK")))</f>
        <v/>
      </c>
      <c r="BA257" s="33" t="str">
        <f aca="false">IF(OR(D257="",H257=""),"",IF(H257&lt;=IF(OR(D257="Soldier Pile &amp; Timber Lagging",D257="Trench Shoring Box",D257="Open Cut (battered)"),SG_Criteria!$B$34,SG_Criteria!$B$33),"No ERSS submission",IF(H257&lt;=SG_Criteria!$B$35,"QP(ST)",IF(H257&lt;=SG_Criteria!$B$36,"QP(ST) + AC","Geotechnical building works: QP(Geo) + AC"))))</f>
        <v/>
      </c>
      <c r="BB257" s="33" t="str">
        <f aca="false">IF(D257="","",IF(LEN(IF(AND(R257&lt;&gt;"",R257&lt;SG_Criteria!$B$37),"FAIL: base stability FOS &lt; "&amp;SG_Criteria!$B$37&amp;". ","")&amp;IF(AND(E257="Manhole",H257&gt;SG_Criteria!$B$36),"NOTE: BCA lists sewer manholes (pipe &lt;= 2 m dia) &gt; 6 m as non-GBW: QP(ST) + AC. ","")&amp;IF(AND(D257="Trench Shoring Box",I257="Kallang Formation (marine clay)"),"NOTE: check base heave / ground loss for shoring box in marine clay. ","")&amp;IF(AND(D257="Steel Sheet Pile Cofferdam",N(N257)&lt;H257*0.5),"NOTE: short toe embedment, check. ",""))=0,"OK",IF(AND(R257&lt;&gt;"",R257&lt;SG_Criteria!$B$37),"FAIL: base stability FOS &lt; "&amp;SG_Criteria!$B$37&amp;". ","")&amp;IF(AND(E257="Manhole",H257&gt;SG_Criteria!$B$36),"NOTE: BCA lists sewer manholes (pipe &lt;= 2 m dia) &gt; 6 m as non-GBW: QP(ST) + AC. ","")&amp;IF(AND(D257="Trench Shoring Box",I257="Kallang Formation (marine clay)"),"NOTE: check base heave / ground loss for shoring box in marine clay. ","")&amp;IF(AND(D257="Steel Sheet Pile Cofferdam",N(N257)&lt;H257*0.5),"NOTE: short toe embedment, check. ","")))</f>
        <v/>
      </c>
      <c r="BC257" s="9"/>
      <c r="BD257" s="9"/>
      <c r="BE257" s="9"/>
      <c r="BF257" s="10" t="str">
        <f aca="false">IF(BE257="","",IFERROR(VLOOKUP(BE257,Projects!$A$5:$D$504,2,0),"Ref not in Projects"))</f>
        <v/>
      </c>
      <c r="BG257" s="10" t="str">
        <f aca="false">IF(BE257="","",IFERROR(VLOOKUP(BE257,Projects!$A$5:$D$504,4,0),"Ref not in Projects"))</f>
        <v/>
      </c>
      <c r="BH257" s="9"/>
      <c r="BI257" s="9"/>
      <c r="BJ257" s="9"/>
      <c r="BK257" s="40"/>
      <c r="BL257" s="9"/>
      <c r="BM257" s="40"/>
      <c r="BN257" s="9"/>
      <c r="BO257" s="40"/>
      <c r="BP257" s="9"/>
      <c r="BQ257" s="9"/>
      <c r="BR257" s="9"/>
      <c r="BS257" s="40"/>
      <c r="BT257" s="40"/>
      <c r="BU257" s="36" t="str">
        <f aca="false">IF(BT257="","",EDATE(BT257,SG_Criteria!$B$54*12))</f>
        <v/>
      </c>
      <c r="BV257" s="33" t="str">
        <f aca="true">IF(A257="","",IF(BT257="","NOTE: not reviewed yet",IF(TODAY()&gt;BU257,"NOTE: review overdue","OK")))</f>
        <v/>
      </c>
      <c r="BW257" s="37" t="str">
        <f aca="false">IF(A257="","",ROUND((IF(LEN(D257)&gt;0,1,0)+IF(LEN(E257)&gt;0,1,0)+IF(LEN(F257)&gt;0,1,0)+IF(LEN(G257)&gt;0,1,0)+IF(LEN(H257)&gt;0,1,0)+IF(LEN(I257)&gt;0,1,0)+IF(LEN(J257)&gt;0,1,0)+IF(LEN(L257)&gt;0,1,0)+IF(LEN(R257)&gt;0,1,0)+IF(LEN(Y257)&gt;0,1,0)+IF(LEN(AE257)&gt;0,1,0)+IF(LEN(AG257)&gt;0,1,0)+IF(LEN(AH257)&gt;0,1,0)+IF(LEN(AI257)&gt;0,1,0)+IF(LEN(AJ257)&gt;0,1,0)+IF(LEN(AS257)&gt;0,1,0)+IF(LEN(BE257)&gt;0,1,0)+IF(LEN(BR257)&gt;0,1,0))/18,2))</f>
        <v/>
      </c>
      <c r="BX257" s="10" t="str">
        <f aca="false">IF(D257="","",IF(AND(AH257="Approved",ISERROR(SEARCH("FAIL",BB257))),"Y","N"))</f>
        <v/>
      </c>
      <c r="BY257" s="10" t="str">
        <f aca="false">IF(D257="","",D257&amp;"|"&amp;H257&amp;"|"&amp;F257&amp;"|"&amp;I257&amp;"|"&amp;BX257)</f>
        <v/>
      </c>
    </row>
    <row r="258" customFormat="false" ht="15" hidden="false" customHeight="false" outlineLevel="0" collapsed="false">
      <c r="A258" s="10" t="str">
        <f aca="false">IF(D258="","","ERSS-"&amp;IFERROR(VLOOKUP(D258,Lists!$AK$4:$AL$21,2,0),"??")&amp;"-"&amp;TEXT(F258,"0000")&amp;"x"&amp;TEXT(G258,"0000")&amp;"-D"&amp;TEXT(H258*1000,"0000")&amp;"-"&amp;IFERROR(VLOOKUP(I258,Lists!$Y$4:$Z$21,2,0),"??")&amp;"-"&amp;AG258)</f>
        <v/>
      </c>
      <c r="B258" s="10" t="str">
        <f aca="false">IF(D258="","",D258&amp;" for "&amp;E258&amp;", "&amp;F258&amp;" x "&amp;G258&amp;" pit, "&amp;TEXT(H258,"0.0")&amp;" m deep, "&amp;I258)</f>
        <v/>
      </c>
      <c r="C258" s="9"/>
      <c r="D258" s="9"/>
      <c r="E258" s="9"/>
      <c r="F258" s="38"/>
      <c r="G258" s="38"/>
      <c r="H258" s="42"/>
      <c r="I258" s="9"/>
      <c r="J258" s="42"/>
      <c r="K258" s="38"/>
      <c r="L258" s="9"/>
      <c r="M258" s="42"/>
      <c r="N258" s="42"/>
      <c r="O258" s="38"/>
      <c r="P258" s="9"/>
      <c r="Q258" s="9"/>
      <c r="R258" s="39"/>
      <c r="S258" s="39"/>
      <c r="T258" s="38"/>
      <c r="U258" s="38"/>
      <c r="V258" s="38"/>
      <c r="W258" s="9"/>
      <c r="X258" s="9"/>
      <c r="Y258" s="38"/>
      <c r="Z258" s="9"/>
      <c r="AA258" s="9"/>
      <c r="AB258" s="38"/>
      <c r="AC258" s="9"/>
      <c r="AD258" s="39"/>
      <c r="AE258" s="9"/>
      <c r="AF258" s="9"/>
      <c r="AG258" s="9"/>
      <c r="AH258" s="9"/>
      <c r="AI258" s="9"/>
      <c r="AJ258" s="9"/>
      <c r="AK258" s="9"/>
      <c r="AL258" s="10" t="str">
        <f aca="false">IF(A258="","",SG_Criteria!$B$6&amp;SG_Criteria!$B$11&amp;"\"&amp;A258&amp;"\")</f>
        <v/>
      </c>
      <c r="AM258" s="10" t="str">
        <f aca="false">IF(A258="","",A258&amp;"_CAD.dwg")</f>
        <v/>
      </c>
      <c r="AN258" s="10" t="str">
        <f aca="false">IF(A258="","",A258&amp;"_DWG.pdf")</f>
        <v/>
      </c>
      <c r="AO258" s="10" t="str">
        <f aca="false">IF(A258="","",IF(AK258="Y",A258&amp;"_STAAD.std","n/a"))</f>
        <v/>
      </c>
      <c r="AP258" s="10" t="str">
        <f aca="false">IF(A258="","",A258&amp;"_CALC.xlsx")</f>
        <v/>
      </c>
      <c r="AQ258" s="10" t="str">
        <f aca="false">IF(A258="","",A258&amp;"_CALC.pdf")</f>
        <v/>
      </c>
      <c r="AR258" s="9"/>
      <c r="AS258" s="9"/>
      <c r="AT258" s="39"/>
      <c r="AU258" s="39"/>
      <c r="AV258" s="39"/>
      <c r="AW258" s="39"/>
      <c r="AX258" s="39"/>
      <c r="AY258" s="12" t="str">
        <f aca="false">IF(A258="","",IF(COUNTIF(Rebar_Schedule!$A$5:$A$2004,A258)=0,"",ROUND(SUMIF(Rebar_Schedule!$A$5:$A$2004,A258,Rebar_Schedule!$K$5:$K$2004),1)))</f>
        <v/>
      </c>
      <c r="AZ258" s="33" t="str">
        <f aca="false">IF(A258="","",IF(AY258="","No rebar schedule yet",IF(ABS(AY258-N(AU258))/MAX(N(AU258),1)&gt;SG_Criteria!$B$55,"NOTE: register rebar differs from schedule by "&amp;TEXT(ABS(AY258-N(AU258))/MAX(N(AU258),1),"0%"),"OK")))</f>
        <v/>
      </c>
      <c r="BA258" s="33" t="str">
        <f aca="false">IF(OR(D258="",H258=""),"",IF(H258&lt;=IF(OR(D258="Soldier Pile &amp; Timber Lagging",D258="Trench Shoring Box",D258="Open Cut (battered)"),SG_Criteria!$B$34,SG_Criteria!$B$33),"No ERSS submission",IF(H258&lt;=SG_Criteria!$B$35,"QP(ST)",IF(H258&lt;=SG_Criteria!$B$36,"QP(ST) + AC","Geotechnical building works: QP(Geo) + AC"))))</f>
        <v/>
      </c>
      <c r="BB258" s="33" t="str">
        <f aca="false">IF(D258="","",IF(LEN(IF(AND(R258&lt;&gt;"",R258&lt;SG_Criteria!$B$37),"FAIL: base stability FOS &lt; "&amp;SG_Criteria!$B$37&amp;". ","")&amp;IF(AND(E258="Manhole",H258&gt;SG_Criteria!$B$36),"NOTE: BCA lists sewer manholes (pipe &lt;= 2 m dia) &gt; 6 m as non-GBW: QP(ST) + AC. ","")&amp;IF(AND(D258="Trench Shoring Box",I258="Kallang Formation (marine clay)"),"NOTE: check base heave / ground loss for shoring box in marine clay. ","")&amp;IF(AND(D258="Steel Sheet Pile Cofferdam",N(N258)&lt;H258*0.5),"NOTE: short toe embedment, check. ",""))=0,"OK",IF(AND(R258&lt;&gt;"",R258&lt;SG_Criteria!$B$37),"FAIL: base stability FOS &lt; "&amp;SG_Criteria!$B$37&amp;". ","")&amp;IF(AND(E258="Manhole",H258&gt;SG_Criteria!$B$36),"NOTE: BCA lists sewer manholes (pipe &lt;= 2 m dia) &gt; 6 m as non-GBW: QP(ST) + AC. ","")&amp;IF(AND(D258="Trench Shoring Box",I258="Kallang Formation (marine clay)"),"NOTE: check base heave / ground loss for shoring box in marine clay. ","")&amp;IF(AND(D258="Steel Sheet Pile Cofferdam",N(N258)&lt;H258*0.5),"NOTE: short toe embedment, check. ","")))</f>
        <v/>
      </c>
      <c r="BC258" s="9"/>
      <c r="BD258" s="9"/>
      <c r="BE258" s="9"/>
      <c r="BF258" s="10" t="str">
        <f aca="false">IF(BE258="","",IFERROR(VLOOKUP(BE258,Projects!$A$5:$D$504,2,0),"Ref not in Projects"))</f>
        <v/>
      </c>
      <c r="BG258" s="10" t="str">
        <f aca="false">IF(BE258="","",IFERROR(VLOOKUP(BE258,Projects!$A$5:$D$504,4,0),"Ref not in Projects"))</f>
        <v/>
      </c>
      <c r="BH258" s="9"/>
      <c r="BI258" s="9"/>
      <c r="BJ258" s="9"/>
      <c r="BK258" s="40"/>
      <c r="BL258" s="9"/>
      <c r="BM258" s="40"/>
      <c r="BN258" s="9"/>
      <c r="BO258" s="40"/>
      <c r="BP258" s="9"/>
      <c r="BQ258" s="9"/>
      <c r="BR258" s="9"/>
      <c r="BS258" s="40"/>
      <c r="BT258" s="40"/>
      <c r="BU258" s="36" t="str">
        <f aca="false">IF(BT258="","",EDATE(BT258,SG_Criteria!$B$54*12))</f>
        <v/>
      </c>
      <c r="BV258" s="33" t="str">
        <f aca="true">IF(A258="","",IF(BT258="","NOTE: not reviewed yet",IF(TODAY()&gt;BU258,"NOTE: review overdue","OK")))</f>
        <v/>
      </c>
      <c r="BW258" s="37" t="str">
        <f aca="false">IF(A258="","",ROUND((IF(LEN(D258)&gt;0,1,0)+IF(LEN(E258)&gt;0,1,0)+IF(LEN(F258)&gt;0,1,0)+IF(LEN(G258)&gt;0,1,0)+IF(LEN(H258)&gt;0,1,0)+IF(LEN(I258)&gt;0,1,0)+IF(LEN(J258)&gt;0,1,0)+IF(LEN(L258)&gt;0,1,0)+IF(LEN(R258)&gt;0,1,0)+IF(LEN(Y258)&gt;0,1,0)+IF(LEN(AE258)&gt;0,1,0)+IF(LEN(AG258)&gt;0,1,0)+IF(LEN(AH258)&gt;0,1,0)+IF(LEN(AI258)&gt;0,1,0)+IF(LEN(AJ258)&gt;0,1,0)+IF(LEN(AS258)&gt;0,1,0)+IF(LEN(BE258)&gt;0,1,0)+IF(LEN(BR258)&gt;0,1,0))/18,2))</f>
        <v/>
      </c>
      <c r="BX258" s="10" t="str">
        <f aca="false">IF(D258="","",IF(AND(AH258="Approved",ISERROR(SEARCH("FAIL",BB258))),"Y","N"))</f>
        <v/>
      </c>
      <c r="BY258" s="10" t="str">
        <f aca="false">IF(D258="","",D258&amp;"|"&amp;H258&amp;"|"&amp;F258&amp;"|"&amp;I258&amp;"|"&amp;BX258)</f>
        <v/>
      </c>
    </row>
    <row r="259" customFormat="false" ht="15" hidden="false" customHeight="false" outlineLevel="0" collapsed="false">
      <c r="A259" s="10" t="str">
        <f aca="false">IF(D259="","","ERSS-"&amp;IFERROR(VLOOKUP(D259,Lists!$AK$4:$AL$21,2,0),"??")&amp;"-"&amp;TEXT(F259,"0000")&amp;"x"&amp;TEXT(G259,"0000")&amp;"-D"&amp;TEXT(H259*1000,"0000")&amp;"-"&amp;IFERROR(VLOOKUP(I259,Lists!$Y$4:$Z$21,2,0),"??")&amp;"-"&amp;AG259)</f>
        <v/>
      </c>
      <c r="B259" s="10" t="str">
        <f aca="false">IF(D259="","",D259&amp;" for "&amp;E259&amp;", "&amp;F259&amp;" x "&amp;G259&amp;" pit, "&amp;TEXT(H259,"0.0")&amp;" m deep, "&amp;I259)</f>
        <v/>
      </c>
      <c r="C259" s="9"/>
      <c r="D259" s="9"/>
      <c r="E259" s="9"/>
      <c r="F259" s="38"/>
      <c r="G259" s="38"/>
      <c r="H259" s="42"/>
      <c r="I259" s="9"/>
      <c r="J259" s="42"/>
      <c r="K259" s="38"/>
      <c r="L259" s="9"/>
      <c r="M259" s="42"/>
      <c r="N259" s="42"/>
      <c r="O259" s="38"/>
      <c r="P259" s="9"/>
      <c r="Q259" s="9"/>
      <c r="R259" s="39"/>
      <c r="S259" s="39"/>
      <c r="T259" s="38"/>
      <c r="U259" s="38"/>
      <c r="V259" s="38"/>
      <c r="W259" s="9"/>
      <c r="X259" s="9"/>
      <c r="Y259" s="38"/>
      <c r="Z259" s="9"/>
      <c r="AA259" s="9"/>
      <c r="AB259" s="38"/>
      <c r="AC259" s="9"/>
      <c r="AD259" s="39"/>
      <c r="AE259" s="9"/>
      <c r="AF259" s="9"/>
      <c r="AG259" s="9"/>
      <c r="AH259" s="9"/>
      <c r="AI259" s="9"/>
      <c r="AJ259" s="9"/>
      <c r="AK259" s="9"/>
      <c r="AL259" s="10" t="str">
        <f aca="false">IF(A259="","",SG_Criteria!$B$6&amp;SG_Criteria!$B$11&amp;"\"&amp;A259&amp;"\")</f>
        <v/>
      </c>
      <c r="AM259" s="10" t="str">
        <f aca="false">IF(A259="","",A259&amp;"_CAD.dwg")</f>
        <v/>
      </c>
      <c r="AN259" s="10" t="str">
        <f aca="false">IF(A259="","",A259&amp;"_DWG.pdf")</f>
        <v/>
      </c>
      <c r="AO259" s="10" t="str">
        <f aca="false">IF(A259="","",IF(AK259="Y",A259&amp;"_STAAD.std","n/a"))</f>
        <v/>
      </c>
      <c r="AP259" s="10" t="str">
        <f aca="false">IF(A259="","",A259&amp;"_CALC.xlsx")</f>
        <v/>
      </c>
      <c r="AQ259" s="10" t="str">
        <f aca="false">IF(A259="","",A259&amp;"_CALC.pdf")</f>
        <v/>
      </c>
      <c r="AR259" s="9"/>
      <c r="AS259" s="9"/>
      <c r="AT259" s="39"/>
      <c r="AU259" s="39"/>
      <c r="AV259" s="39"/>
      <c r="AW259" s="39"/>
      <c r="AX259" s="39"/>
      <c r="AY259" s="12" t="str">
        <f aca="false">IF(A259="","",IF(COUNTIF(Rebar_Schedule!$A$5:$A$2004,A259)=0,"",ROUND(SUMIF(Rebar_Schedule!$A$5:$A$2004,A259,Rebar_Schedule!$K$5:$K$2004),1)))</f>
        <v/>
      </c>
      <c r="AZ259" s="33" t="str">
        <f aca="false">IF(A259="","",IF(AY259="","No rebar schedule yet",IF(ABS(AY259-N(AU259))/MAX(N(AU259),1)&gt;SG_Criteria!$B$55,"NOTE: register rebar differs from schedule by "&amp;TEXT(ABS(AY259-N(AU259))/MAX(N(AU259),1),"0%"),"OK")))</f>
        <v/>
      </c>
      <c r="BA259" s="33" t="str">
        <f aca="false">IF(OR(D259="",H259=""),"",IF(H259&lt;=IF(OR(D259="Soldier Pile &amp; Timber Lagging",D259="Trench Shoring Box",D259="Open Cut (battered)"),SG_Criteria!$B$34,SG_Criteria!$B$33),"No ERSS submission",IF(H259&lt;=SG_Criteria!$B$35,"QP(ST)",IF(H259&lt;=SG_Criteria!$B$36,"QP(ST) + AC","Geotechnical building works: QP(Geo) + AC"))))</f>
        <v/>
      </c>
      <c r="BB259" s="33" t="str">
        <f aca="false">IF(D259="","",IF(LEN(IF(AND(R259&lt;&gt;"",R259&lt;SG_Criteria!$B$37),"FAIL: base stability FOS &lt; "&amp;SG_Criteria!$B$37&amp;". ","")&amp;IF(AND(E259="Manhole",H259&gt;SG_Criteria!$B$36),"NOTE: BCA lists sewer manholes (pipe &lt;= 2 m dia) &gt; 6 m as non-GBW: QP(ST) + AC. ","")&amp;IF(AND(D259="Trench Shoring Box",I259="Kallang Formation (marine clay)"),"NOTE: check base heave / ground loss for shoring box in marine clay. ","")&amp;IF(AND(D259="Steel Sheet Pile Cofferdam",N(N259)&lt;H259*0.5),"NOTE: short toe embedment, check. ",""))=0,"OK",IF(AND(R259&lt;&gt;"",R259&lt;SG_Criteria!$B$37),"FAIL: base stability FOS &lt; "&amp;SG_Criteria!$B$37&amp;". ","")&amp;IF(AND(E259="Manhole",H259&gt;SG_Criteria!$B$36),"NOTE: BCA lists sewer manholes (pipe &lt;= 2 m dia) &gt; 6 m as non-GBW: QP(ST) + AC. ","")&amp;IF(AND(D259="Trench Shoring Box",I259="Kallang Formation (marine clay)"),"NOTE: check base heave / ground loss for shoring box in marine clay. ","")&amp;IF(AND(D259="Steel Sheet Pile Cofferdam",N(N259)&lt;H259*0.5),"NOTE: short toe embedment, check. ","")))</f>
        <v/>
      </c>
      <c r="BC259" s="9"/>
      <c r="BD259" s="9"/>
      <c r="BE259" s="9"/>
      <c r="BF259" s="10" t="str">
        <f aca="false">IF(BE259="","",IFERROR(VLOOKUP(BE259,Projects!$A$5:$D$504,2,0),"Ref not in Projects"))</f>
        <v/>
      </c>
      <c r="BG259" s="10" t="str">
        <f aca="false">IF(BE259="","",IFERROR(VLOOKUP(BE259,Projects!$A$5:$D$504,4,0),"Ref not in Projects"))</f>
        <v/>
      </c>
      <c r="BH259" s="9"/>
      <c r="BI259" s="9"/>
      <c r="BJ259" s="9"/>
      <c r="BK259" s="40"/>
      <c r="BL259" s="9"/>
      <c r="BM259" s="40"/>
      <c r="BN259" s="9"/>
      <c r="BO259" s="40"/>
      <c r="BP259" s="9"/>
      <c r="BQ259" s="9"/>
      <c r="BR259" s="9"/>
      <c r="BS259" s="40"/>
      <c r="BT259" s="40"/>
      <c r="BU259" s="36" t="str">
        <f aca="false">IF(BT259="","",EDATE(BT259,SG_Criteria!$B$54*12))</f>
        <v/>
      </c>
      <c r="BV259" s="33" t="str">
        <f aca="true">IF(A259="","",IF(BT259="","NOTE: not reviewed yet",IF(TODAY()&gt;BU259,"NOTE: review overdue","OK")))</f>
        <v/>
      </c>
      <c r="BW259" s="37" t="str">
        <f aca="false">IF(A259="","",ROUND((IF(LEN(D259)&gt;0,1,0)+IF(LEN(E259)&gt;0,1,0)+IF(LEN(F259)&gt;0,1,0)+IF(LEN(G259)&gt;0,1,0)+IF(LEN(H259)&gt;0,1,0)+IF(LEN(I259)&gt;0,1,0)+IF(LEN(J259)&gt;0,1,0)+IF(LEN(L259)&gt;0,1,0)+IF(LEN(R259)&gt;0,1,0)+IF(LEN(Y259)&gt;0,1,0)+IF(LEN(AE259)&gt;0,1,0)+IF(LEN(AG259)&gt;0,1,0)+IF(LEN(AH259)&gt;0,1,0)+IF(LEN(AI259)&gt;0,1,0)+IF(LEN(AJ259)&gt;0,1,0)+IF(LEN(AS259)&gt;0,1,0)+IF(LEN(BE259)&gt;0,1,0)+IF(LEN(BR259)&gt;0,1,0))/18,2))</f>
        <v/>
      </c>
      <c r="BX259" s="10" t="str">
        <f aca="false">IF(D259="","",IF(AND(AH259="Approved",ISERROR(SEARCH("FAIL",BB259))),"Y","N"))</f>
        <v/>
      </c>
      <c r="BY259" s="10" t="str">
        <f aca="false">IF(D259="","",D259&amp;"|"&amp;H259&amp;"|"&amp;F259&amp;"|"&amp;I259&amp;"|"&amp;BX259)</f>
        <v/>
      </c>
    </row>
    <row r="260" customFormat="false" ht="15" hidden="false" customHeight="false" outlineLevel="0" collapsed="false">
      <c r="A260" s="10" t="str">
        <f aca="false">IF(D260="","","ERSS-"&amp;IFERROR(VLOOKUP(D260,Lists!$AK$4:$AL$21,2,0),"??")&amp;"-"&amp;TEXT(F260,"0000")&amp;"x"&amp;TEXT(G260,"0000")&amp;"-D"&amp;TEXT(H260*1000,"0000")&amp;"-"&amp;IFERROR(VLOOKUP(I260,Lists!$Y$4:$Z$21,2,0),"??")&amp;"-"&amp;AG260)</f>
        <v/>
      </c>
      <c r="B260" s="10" t="str">
        <f aca="false">IF(D260="","",D260&amp;" for "&amp;E260&amp;", "&amp;F260&amp;" x "&amp;G260&amp;" pit, "&amp;TEXT(H260,"0.0")&amp;" m deep, "&amp;I260)</f>
        <v/>
      </c>
      <c r="C260" s="9"/>
      <c r="D260" s="9"/>
      <c r="E260" s="9"/>
      <c r="F260" s="38"/>
      <c r="G260" s="38"/>
      <c r="H260" s="42"/>
      <c r="I260" s="9"/>
      <c r="J260" s="42"/>
      <c r="K260" s="38"/>
      <c r="L260" s="9"/>
      <c r="M260" s="42"/>
      <c r="N260" s="42"/>
      <c r="O260" s="38"/>
      <c r="P260" s="9"/>
      <c r="Q260" s="9"/>
      <c r="R260" s="39"/>
      <c r="S260" s="39"/>
      <c r="T260" s="38"/>
      <c r="U260" s="38"/>
      <c r="V260" s="38"/>
      <c r="W260" s="9"/>
      <c r="X260" s="9"/>
      <c r="Y260" s="38"/>
      <c r="Z260" s="9"/>
      <c r="AA260" s="9"/>
      <c r="AB260" s="38"/>
      <c r="AC260" s="9"/>
      <c r="AD260" s="39"/>
      <c r="AE260" s="9"/>
      <c r="AF260" s="9"/>
      <c r="AG260" s="9"/>
      <c r="AH260" s="9"/>
      <c r="AI260" s="9"/>
      <c r="AJ260" s="9"/>
      <c r="AK260" s="9"/>
      <c r="AL260" s="10" t="str">
        <f aca="false">IF(A260="","",SG_Criteria!$B$6&amp;SG_Criteria!$B$11&amp;"\"&amp;A260&amp;"\")</f>
        <v/>
      </c>
      <c r="AM260" s="10" t="str">
        <f aca="false">IF(A260="","",A260&amp;"_CAD.dwg")</f>
        <v/>
      </c>
      <c r="AN260" s="10" t="str">
        <f aca="false">IF(A260="","",A260&amp;"_DWG.pdf")</f>
        <v/>
      </c>
      <c r="AO260" s="10" t="str">
        <f aca="false">IF(A260="","",IF(AK260="Y",A260&amp;"_STAAD.std","n/a"))</f>
        <v/>
      </c>
      <c r="AP260" s="10" t="str">
        <f aca="false">IF(A260="","",A260&amp;"_CALC.xlsx")</f>
        <v/>
      </c>
      <c r="AQ260" s="10" t="str">
        <f aca="false">IF(A260="","",A260&amp;"_CALC.pdf")</f>
        <v/>
      </c>
      <c r="AR260" s="9"/>
      <c r="AS260" s="9"/>
      <c r="AT260" s="39"/>
      <c r="AU260" s="39"/>
      <c r="AV260" s="39"/>
      <c r="AW260" s="39"/>
      <c r="AX260" s="39"/>
      <c r="AY260" s="12" t="str">
        <f aca="false">IF(A260="","",IF(COUNTIF(Rebar_Schedule!$A$5:$A$2004,A260)=0,"",ROUND(SUMIF(Rebar_Schedule!$A$5:$A$2004,A260,Rebar_Schedule!$K$5:$K$2004),1)))</f>
        <v/>
      </c>
      <c r="AZ260" s="33" t="str">
        <f aca="false">IF(A260="","",IF(AY260="","No rebar schedule yet",IF(ABS(AY260-N(AU260))/MAX(N(AU260),1)&gt;SG_Criteria!$B$55,"NOTE: register rebar differs from schedule by "&amp;TEXT(ABS(AY260-N(AU260))/MAX(N(AU260),1),"0%"),"OK")))</f>
        <v/>
      </c>
      <c r="BA260" s="33" t="str">
        <f aca="false">IF(OR(D260="",H260=""),"",IF(H260&lt;=IF(OR(D260="Soldier Pile &amp; Timber Lagging",D260="Trench Shoring Box",D260="Open Cut (battered)"),SG_Criteria!$B$34,SG_Criteria!$B$33),"No ERSS submission",IF(H260&lt;=SG_Criteria!$B$35,"QP(ST)",IF(H260&lt;=SG_Criteria!$B$36,"QP(ST) + AC","Geotechnical building works: QP(Geo) + AC"))))</f>
        <v/>
      </c>
      <c r="BB260" s="33" t="str">
        <f aca="false">IF(D260="","",IF(LEN(IF(AND(R260&lt;&gt;"",R260&lt;SG_Criteria!$B$37),"FAIL: base stability FOS &lt; "&amp;SG_Criteria!$B$37&amp;". ","")&amp;IF(AND(E260="Manhole",H260&gt;SG_Criteria!$B$36),"NOTE: BCA lists sewer manholes (pipe &lt;= 2 m dia) &gt; 6 m as non-GBW: QP(ST) + AC. ","")&amp;IF(AND(D260="Trench Shoring Box",I260="Kallang Formation (marine clay)"),"NOTE: check base heave / ground loss for shoring box in marine clay. ","")&amp;IF(AND(D260="Steel Sheet Pile Cofferdam",N(N260)&lt;H260*0.5),"NOTE: short toe embedment, check. ",""))=0,"OK",IF(AND(R260&lt;&gt;"",R260&lt;SG_Criteria!$B$37),"FAIL: base stability FOS &lt; "&amp;SG_Criteria!$B$37&amp;". ","")&amp;IF(AND(E260="Manhole",H260&gt;SG_Criteria!$B$36),"NOTE: BCA lists sewer manholes (pipe &lt;= 2 m dia) &gt; 6 m as non-GBW: QP(ST) + AC. ","")&amp;IF(AND(D260="Trench Shoring Box",I260="Kallang Formation (marine clay)"),"NOTE: check base heave / ground loss for shoring box in marine clay. ","")&amp;IF(AND(D260="Steel Sheet Pile Cofferdam",N(N260)&lt;H260*0.5),"NOTE: short toe embedment, check. ","")))</f>
        <v/>
      </c>
      <c r="BC260" s="9"/>
      <c r="BD260" s="9"/>
      <c r="BE260" s="9"/>
      <c r="BF260" s="10" t="str">
        <f aca="false">IF(BE260="","",IFERROR(VLOOKUP(BE260,Projects!$A$5:$D$504,2,0),"Ref not in Projects"))</f>
        <v/>
      </c>
      <c r="BG260" s="10" t="str">
        <f aca="false">IF(BE260="","",IFERROR(VLOOKUP(BE260,Projects!$A$5:$D$504,4,0),"Ref not in Projects"))</f>
        <v/>
      </c>
      <c r="BH260" s="9"/>
      <c r="BI260" s="9"/>
      <c r="BJ260" s="9"/>
      <c r="BK260" s="40"/>
      <c r="BL260" s="9"/>
      <c r="BM260" s="40"/>
      <c r="BN260" s="9"/>
      <c r="BO260" s="40"/>
      <c r="BP260" s="9"/>
      <c r="BQ260" s="9"/>
      <c r="BR260" s="9"/>
      <c r="BS260" s="40"/>
      <c r="BT260" s="40"/>
      <c r="BU260" s="36" t="str">
        <f aca="false">IF(BT260="","",EDATE(BT260,SG_Criteria!$B$54*12))</f>
        <v/>
      </c>
      <c r="BV260" s="33" t="str">
        <f aca="true">IF(A260="","",IF(BT260="","NOTE: not reviewed yet",IF(TODAY()&gt;BU260,"NOTE: review overdue","OK")))</f>
        <v/>
      </c>
      <c r="BW260" s="37" t="str">
        <f aca="false">IF(A260="","",ROUND((IF(LEN(D260)&gt;0,1,0)+IF(LEN(E260)&gt;0,1,0)+IF(LEN(F260)&gt;0,1,0)+IF(LEN(G260)&gt;0,1,0)+IF(LEN(H260)&gt;0,1,0)+IF(LEN(I260)&gt;0,1,0)+IF(LEN(J260)&gt;0,1,0)+IF(LEN(L260)&gt;0,1,0)+IF(LEN(R260)&gt;0,1,0)+IF(LEN(Y260)&gt;0,1,0)+IF(LEN(AE260)&gt;0,1,0)+IF(LEN(AG260)&gt;0,1,0)+IF(LEN(AH260)&gt;0,1,0)+IF(LEN(AI260)&gt;0,1,0)+IF(LEN(AJ260)&gt;0,1,0)+IF(LEN(AS260)&gt;0,1,0)+IF(LEN(BE260)&gt;0,1,0)+IF(LEN(BR260)&gt;0,1,0))/18,2))</f>
        <v/>
      </c>
      <c r="BX260" s="10" t="str">
        <f aca="false">IF(D260="","",IF(AND(AH260="Approved",ISERROR(SEARCH("FAIL",BB260))),"Y","N"))</f>
        <v/>
      </c>
      <c r="BY260" s="10" t="str">
        <f aca="false">IF(D260="","",D260&amp;"|"&amp;H260&amp;"|"&amp;F260&amp;"|"&amp;I260&amp;"|"&amp;BX260)</f>
        <v/>
      </c>
    </row>
    <row r="261" customFormat="false" ht="15" hidden="false" customHeight="false" outlineLevel="0" collapsed="false">
      <c r="A261" s="10" t="str">
        <f aca="false">IF(D261="","","ERSS-"&amp;IFERROR(VLOOKUP(D261,Lists!$AK$4:$AL$21,2,0),"??")&amp;"-"&amp;TEXT(F261,"0000")&amp;"x"&amp;TEXT(G261,"0000")&amp;"-D"&amp;TEXT(H261*1000,"0000")&amp;"-"&amp;IFERROR(VLOOKUP(I261,Lists!$Y$4:$Z$21,2,0),"??")&amp;"-"&amp;AG261)</f>
        <v/>
      </c>
      <c r="B261" s="10" t="str">
        <f aca="false">IF(D261="","",D261&amp;" for "&amp;E261&amp;", "&amp;F261&amp;" x "&amp;G261&amp;" pit, "&amp;TEXT(H261,"0.0")&amp;" m deep, "&amp;I261)</f>
        <v/>
      </c>
      <c r="C261" s="9"/>
      <c r="D261" s="9"/>
      <c r="E261" s="9"/>
      <c r="F261" s="38"/>
      <c r="G261" s="38"/>
      <c r="H261" s="42"/>
      <c r="I261" s="9"/>
      <c r="J261" s="42"/>
      <c r="K261" s="38"/>
      <c r="L261" s="9"/>
      <c r="M261" s="42"/>
      <c r="N261" s="42"/>
      <c r="O261" s="38"/>
      <c r="P261" s="9"/>
      <c r="Q261" s="9"/>
      <c r="R261" s="39"/>
      <c r="S261" s="39"/>
      <c r="T261" s="38"/>
      <c r="U261" s="38"/>
      <c r="V261" s="38"/>
      <c r="W261" s="9"/>
      <c r="X261" s="9"/>
      <c r="Y261" s="38"/>
      <c r="Z261" s="9"/>
      <c r="AA261" s="9"/>
      <c r="AB261" s="38"/>
      <c r="AC261" s="9"/>
      <c r="AD261" s="39"/>
      <c r="AE261" s="9"/>
      <c r="AF261" s="9"/>
      <c r="AG261" s="9"/>
      <c r="AH261" s="9"/>
      <c r="AI261" s="9"/>
      <c r="AJ261" s="9"/>
      <c r="AK261" s="9"/>
      <c r="AL261" s="10" t="str">
        <f aca="false">IF(A261="","",SG_Criteria!$B$6&amp;SG_Criteria!$B$11&amp;"\"&amp;A261&amp;"\")</f>
        <v/>
      </c>
      <c r="AM261" s="10" t="str">
        <f aca="false">IF(A261="","",A261&amp;"_CAD.dwg")</f>
        <v/>
      </c>
      <c r="AN261" s="10" t="str">
        <f aca="false">IF(A261="","",A261&amp;"_DWG.pdf")</f>
        <v/>
      </c>
      <c r="AO261" s="10" t="str">
        <f aca="false">IF(A261="","",IF(AK261="Y",A261&amp;"_STAAD.std","n/a"))</f>
        <v/>
      </c>
      <c r="AP261" s="10" t="str">
        <f aca="false">IF(A261="","",A261&amp;"_CALC.xlsx")</f>
        <v/>
      </c>
      <c r="AQ261" s="10" t="str">
        <f aca="false">IF(A261="","",A261&amp;"_CALC.pdf")</f>
        <v/>
      </c>
      <c r="AR261" s="9"/>
      <c r="AS261" s="9"/>
      <c r="AT261" s="39"/>
      <c r="AU261" s="39"/>
      <c r="AV261" s="39"/>
      <c r="AW261" s="39"/>
      <c r="AX261" s="39"/>
      <c r="AY261" s="12" t="str">
        <f aca="false">IF(A261="","",IF(COUNTIF(Rebar_Schedule!$A$5:$A$2004,A261)=0,"",ROUND(SUMIF(Rebar_Schedule!$A$5:$A$2004,A261,Rebar_Schedule!$K$5:$K$2004),1)))</f>
        <v/>
      </c>
      <c r="AZ261" s="33" t="str">
        <f aca="false">IF(A261="","",IF(AY261="","No rebar schedule yet",IF(ABS(AY261-N(AU261))/MAX(N(AU261),1)&gt;SG_Criteria!$B$55,"NOTE: register rebar differs from schedule by "&amp;TEXT(ABS(AY261-N(AU261))/MAX(N(AU261),1),"0%"),"OK")))</f>
        <v/>
      </c>
      <c r="BA261" s="33" t="str">
        <f aca="false">IF(OR(D261="",H261=""),"",IF(H261&lt;=IF(OR(D261="Soldier Pile &amp; Timber Lagging",D261="Trench Shoring Box",D261="Open Cut (battered)"),SG_Criteria!$B$34,SG_Criteria!$B$33),"No ERSS submission",IF(H261&lt;=SG_Criteria!$B$35,"QP(ST)",IF(H261&lt;=SG_Criteria!$B$36,"QP(ST) + AC","Geotechnical building works: QP(Geo) + AC"))))</f>
        <v/>
      </c>
      <c r="BB261" s="33" t="str">
        <f aca="false">IF(D261="","",IF(LEN(IF(AND(R261&lt;&gt;"",R261&lt;SG_Criteria!$B$37),"FAIL: base stability FOS &lt; "&amp;SG_Criteria!$B$37&amp;". ","")&amp;IF(AND(E261="Manhole",H261&gt;SG_Criteria!$B$36),"NOTE: BCA lists sewer manholes (pipe &lt;= 2 m dia) &gt; 6 m as non-GBW: QP(ST) + AC. ","")&amp;IF(AND(D261="Trench Shoring Box",I261="Kallang Formation (marine clay)"),"NOTE: check base heave / ground loss for shoring box in marine clay. ","")&amp;IF(AND(D261="Steel Sheet Pile Cofferdam",N(N261)&lt;H261*0.5),"NOTE: short toe embedment, check. ",""))=0,"OK",IF(AND(R261&lt;&gt;"",R261&lt;SG_Criteria!$B$37),"FAIL: base stability FOS &lt; "&amp;SG_Criteria!$B$37&amp;". ","")&amp;IF(AND(E261="Manhole",H261&gt;SG_Criteria!$B$36),"NOTE: BCA lists sewer manholes (pipe &lt;= 2 m dia) &gt; 6 m as non-GBW: QP(ST) + AC. ","")&amp;IF(AND(D261="Trench Shoring Box",I261="Kallang Formation (marine clay)"),"NOTE: check base heave / ground loss for shoring box in marine clay. ","")&amp;IF(AND(D261="Steel Sheet Pile Cofferdam",N(N261)&lt;H261*0.5),"NOTE: short toe embedment, check. ","")))</f>
        <v/>
      </c>
      <c r="BC261" s="9"/>
      <c r="BD261" s="9"/>
      <c r="BE261" s="9"/>
      <c r="BF261" s="10" t="str">
        <f aca="false">IF(BE261="","",IFERROR(VLOOKUP(BE261,Projects!$A$5:$D$504,2,0),"Ref not in Projects"))</f>
        <v/>
      </c>
      <c r="BG261" s="10" t="str">
        <f aca="false">IF(BE261="","",IFERROR(VLOOKUP(BE261,Projects!$A$5:$D$504,4,0),"Ref not in Projects"))</f>
        <v/>
      </c>
      <c r="BH261" s="9"/>
      <c r="BI261" s="9"/>
      <c r="BJ261" s="9"/>
      <c r="BK261" s="40"/>
      <c r="BL261" s="9"/>
      <c r="BM261" s="40"/>
      <c r="BN261" s="9"/>
      <c r="BO261" s="40"/>
      <c r="BP261" s="9"/>
      <c r="BQ261" s="9"/>
      <c r="BR261" s="9"/>
      <c r="BS261" s="40"/>
      <c r="BT261" s="40"/>
      <c r="BU261" s="36" t="str">
        <f aca="false">IF(BT261="","",EDATE(BT261,SG_Criteria!$B$54*12))</f>
        <v/>
      </c>
      <c r="BV261" s="33" t="str">
        <f aca="true">IF(A261="","",IF(BT261="","NOTE: not reviewed yet",IF(TODAY()&gt;BU261,"NOTE: review overdue","OK")))</f>
        <v/>
      </c>
      <c r="BW261" s="37" t="str">
        <f aca="false">IF(A261="","",ROUND((IF(LEN(D261)&gt;0,1,0)+IF(LEN(E261)&gt;0,1,0)+IF(LEN(F261)&gt;0,1,0)+IF(LEN(G261)&gt;0,1,0)+IF(LEN(H261)&gt;0,1,0)+IF(LEN(I261)&gt;0,1,0)+IF(LEN(J261)&gt;0,1,0)+IF(LEN(L261)&gt;0,1,0)+IF(LEN(R261)&gt;0,1,0)+IF(LEN(Y261)&gt;0,1,0)+IF(LEN(AE261)&gt;0,1,0)+IF(LEN(AG261)&gt;0,1,0)+IF(LEN(AH261)&gt;0,1,0)+IF(LEN(AI261)&gt;0,1,0)+IF(LEN(AJ261)&gt;0,1,0)+IF(LEN(AS261)&gt;0,1,0)+IF(LEN(BE261)&gt;0,1,0)+IF(LEN(BR261)&gt;0,1,0))/18,2))</f>
        <v/>
      </c>
      <c r="BX261" s="10" t="str">
        <f aca="false">IF(D261="","",IF(AND(AH261="Approved",ISERROR(SEARCH("FAIL",BB261))),"Y","N"))</f>
        <v/>
      </c>
      <c r="BY261" s="10" t="str">
        <f aca="false">IF(D261="","",D261&amp;"|"&amp;H261&amp;"|"&amp;F261&amp;"|"&amp;I261&amp;"|"&amp;BX261)</f>
        <v/>
      </c>
    </row>
    <row r="262" customFormat="false" ht="15" hidden="false" customHeight="false" outlineLevel="0" collapsed="false">
      <c r="A262" s="10" t="str">
        <f aca="false">IF(D262="","","ERSS-"&amp;IFERROR(VLOOKUP(D262,Lists!$AK$4:$AL$21,2,0),"??")&amp;"-"&amp;TEXT(F262,"0000")&amp;"x"&amp;TEXT(G262,"0000")&amp;"-D"&amp;TEXT(H262*1000,"0000")&amp;"-"&amp;IFERROR(VLOOKUP(I262,Lists!$Y$4:$Z$21,2,0),"??")&amp;"-"&amp;AG262)</f>
        <v/>
      </c>
      <c r="B262" s="10" t="str">
        <f aca="false">IF(D262="","",D262&amp;" for "&amp;E262&amp;", "&amp;F262&amp;" x "&amp;G262&amp;" pit, "&amp;TEXT(H262,"0.0")&amp;" m deep, "&amp;I262)</f>
        <v/>
      </c>
      <c r="C262" s="9"/>
      <c r="D262" s="9"/>
      <c r="E262" s="9"/>
      <c r="F262" s="38"/>
      <c r="G262" s="38"/>
      <c r="H262" s="42"/>
      <c r="I262" s="9"/>
      <c r="J262" s="42"/>
      <c r="K262" s="38"/>
      <c r="L262" s="9"/>
      <c r="M262" s="42"/>
      <c r="N262" s="42"/>
      <c r="O262" s="38"/>
      <c r="P262" s="9"/>
      <c r="Q262" s="9"/>
      <c r="R262" s="39"/>
      <c r="S262" s="39"/>
      <c r="T262" s="38"/>
      <c r="U262" s="38"/>
      <c r="V262" s="38"/>
      <c r="W262" s="9"/>
      <c r="X262" s="9"/>
      <c r="Y262" s="38"/>
      <c r="Z262" s="9"/>
      <c r="AA262" s="9"/>
      <c r="AB262" s="38"/>
      <c r="AC262" s="9"/>
      <c r="AD262" s="39"/>
      <c r="AE262" s="9"/>
      <c r="AF262" s="9"/>
      <c r="AG262" s="9"/>
      <c r="AH262" s="9"/>
      <c r="AI262" s="9"/>
      <c r="AJ262" s="9"/>
      <c r="AK262" s="9"/>
      <c r="AL262" s="10" t="str">
        <f aca="false">IF(A262="","",SG_Criteria!$B$6&amp;SG_Criteria!$B$11&amp;"\"&amp;A262&amp;"\")</f>
        <v/>
      </c>
      <c r="AM262" s="10" t="str">
        <f aca="false">IF(A262="","",A262&amp;"_CAD.dwg")</f>
        <v/>
      </c>
      <c r="AN262" s="10" t="str">
        <f aca="false">IF(A262="","",A262&amp;"_DWG.pdf")</f>
        <v/>
      </c>
      <c r="AO262" s="10" t="str">
        <f aca="false">IF(A262="","",IF(AK262="Y",A262&amp;"_STAAD.std","n/a"))</f>
        <v/>
      </c>
      <c r="AP262" s="10" t="str">
        <f aca="false">IF(A262="","",A262&amp;"_CALC.xlsx")</f>
        <v/>
      </c>
      <c r="AQ262" s="10" t="str">
        <f aca="false">IF(A262="","",A262&amp;"_CALC.pdf")</f>
        <v/>
      </c>
      <c r="AR262" s="9"/>
      <c r="AS262" s="9"/>
      <c r="AT262" s="39"/>
      <c r="AU262" s="39"/>
      <c r="AV262" s="39"/>
      <c r="AW262" s="39"/>
      <c r="AX262" s="39"/>
      <c r="AY262" s="12" t="str">
        <f aca="false">IF(A262="","",IF(COUNTIF(Rebar_Schedule!$A$5:$A$2004,A262)=0,"",ROUND(SUMIF(Rebar_Schedule!$A$5:$A$2004,A262,Rebar_Schedule!$K$5:$K$2004),1)))</f>
        <v/>
      </c>
      <c r="AZ262" s="33" t="str">
        <f aca="false">IF(A262="","",IF(AY262="","No rebar schedule yet",IF(ABS(AY262-N(AU262))/MAX(N(AU262),1)&gt;SG_Criteria!$B$55,"NOTE: register rebar differs from schedule by "&amp;TEXT(ABS(AY262-N(AU262))/MAX(N(AU262),1),"0%"),"OK")))</f>
        <v/>
      </c>
      <c r="BA262" s="33" t="str">
        <f aca="false">IF(OR(D262="",H262=""),"",IF(H262&lt;=IF(OR(D262="Soldier Pile &amp; Timber Lagging",D262="Trench Shoring Box",D262="Open Cut (battered)"),SG_Criteria!$B$34,SG_Criteria!$B$33),"No ERSS submission",IF(H262&lt;=SG_Criteria!$B$35,"QP(ST)",IF(H262&lt;=SG_Criteria!$B$36,"QP(ST) + AC","Geotechnical building works: QP(Geo) + AC"))))</f>
        <v/>
      </c>
      <c r="BB262" s="33" t="str">
        <f aca="false">IF(D262="","",IF(LEN(IF(AND(R262&lt;&gt;"",R262&lt;SG_Criteria!$B$37),"FAIL: base stability FOS &lt; "&amp;SG_Criteria!$B$37&amp;". ","")&amp;IF(AND(E262="Manhole",H262&gt;SG_Criteria!$B$36),"NOTE: BCA lists sewer manholes (pipe &lt;= 2 m dia) &gt; 6 m as non-GBW: QP(ST) + AC. ","")&amp;IF(AND(D262="Trench Shoring Box",I262="Kallang Formation (marine clay)"),"NOTE: check base heave / ground loss for shoring box in marine clay. ","")&amp;IF(AND(D262="Steel Sheet Pile Cofferdam",N(N262)&lt;H262*0.5),"NOTE: short toe embedment, check. ",""))=0,"OK",IF(AND(R262&lt;&gt;"",R262&lt;SG_Criteria!$B$37),"FAIL: base stability FOS &lt; "&amp;SG_Criteria!$B$37&amp;". ","")&amp;IF(AND(E262="Manhole",H262&gt;SG_Criteria!$B$36),"NOTE: BCA lists sewer manholes (pipe &lt;= 2 m dia) &gt; 6 m as non-GBW: QP(ST) + AC. ","")&amp;IF(AND(D262="Trench Shoring Box",I262="Kallang Formation (marine clay)"),"NOTE: check base heave / ground loss for shoring box in marine clay. ","")&amp;IF(AND(D262="Steel Sheet Pile Cofferdam",N(N262)&lt;H262*0.5),"NOTE: short toe embedment, check. ","")))</f>
        <v/>
      </c>
      <c r="BC262" s="9"/>
      <c r="BD262" s="9"/>
      <c r="BE262" s="9"/>
      <c r="BF262" s="10" t="str">
        <f aca="false">IF(BE262="","",IFERROR(VLOOKUP(BE262,Projects!$A$5:$D$504,2,0),"Ref not in Projects"))</f>
        <v/>
      </c>
      <c r="BG262" s="10" t="str">
        <f aca="false">IF(BE262="","",IFERROR(VLOOKUP(BE262,Projects!$A$5:$D$504,4,0),"Ref not in Projects"))</f>
        <v/>
      </c>
      <c r="BH262" s="9"/>
      <c r="BI262" s="9"/>
      <c r="BJ262" s="9"/>
      <c r="BK262" s="40"/>
      <c r="BL262" s="9"/>
      <c r="BM262" s="40"/>
      <c r="BN262" s="9"/>
      <c r="BO262" s="40"/>
      <c r="BP262" s="9"/>
      <c r="BQ262" s="9"/>
      <c r="BR262" s="9"/>
      <c r="BS262" s="40"/>
      <c r="BT262" s="40"/>
      <c r="BU262" s="36" t="str">
        <f aca="false">IF(BT262="","",EDATE(BT262,SG_Criteria!$B$54*12))</f>
        <v/>
      </c>
      <c r="BV262" s="33" t="str">
        <f aca="true">IF(A262="","",IF(BT262="","NOTE: not reviewed yet",IF(TODAY()&gt;BU262,"NOTE: review overdue","OK")))</f>
        <v/>
      </c>
      <c r="BW262" s="37" t="str">
        <f aca="false">IF(A262="","",ROUND((IF(LEN(D262)&gt;0,1,0)+IF(LEN(E262)&gt;0,1,0)+IF(LEN(F262)&gt;0,1,0)+IF(LEN(G262)&gt;0,1,0)+IF(LEN(H262)&gt;0,1,0)+IF(LEN(I262)&gt;0,1,0)+IF(LEN(J262)&gt;0,1,0)+IF(LEN(L262)&gt;0,1,0)+IF(LEN(R262)&gt;0,1,0)+IF(LEN(Y262)&gt;0,1,0)+IF(LEN(AE262)&gt;0,1,0)+IF(LEN(AG262)&gt;0,1,0)+IF(LEN(AH262)&gt;0,1,0)+IF(LEN(AI262)&gt;0,1,0)+IF(LEN(AJ262)&gt;0,1,0)+IF(LEN(AS262)&gt;0,1,0)+IF(LEN(BE262)&gt;0,1,0)+IF(LEN(BR262)&gt;0,1,0))/18,2))</f>
        <v/>
      </c>
      <c r="BX262" s="10" t="str">
        <f aca="false">IF(D262="","",IF(AND(AH262="Approved",ISERROR(SEARCH("FAIL",BB262))),"Y","N"))</f>
        <v/>
      </c>
      <c r="BY262" s="10" t="str">
        <f aca="false">IF(D262="","",D262&amp;"|"&amp;H262&amp;"|"&amp;F262&amp;"|"&amp;I262&amp;"|"&amp;BX262)</f>
        <v/>
      </c>
    </row>
    <row r="263" customFormat="false" ht="15" hidden="false" customHeight="false" outlineLevel="0" collapsed="false">
      <c r="A263" s="10" t="str">
        <f aca="false">IF(D263="","","ERSS-"&amp;IFERROR(VLOOKUP(D263,Lists!$AK$4:$AL$21,2,0),"??")&amp;"-"&amp;TEXT(F263,"0000")&amp;"x"&amp;TEXT(G263,"0000")&amp;"-D"&amp;TEXT(H263*1000,"0000")&amp;"-"&amp;IFERROR(VLOOKUP(I263,Lists!$Y$4:$Z$21,2,0),"??")&amp;"-"&amp;AG263)</f>
        <v/>
      </c>
      <c r="B263" s="10" t="str">
        <f aca="false">IF(D263="","",D263&amp;" for "&amp;E263&amp;", "&amp;F263&amp;" x "&amp;G263&amp;" pit, "&amp;TEXT(H263,"0.0")&amp;" m deep, "&amp;I263)</f>
        <v/>
      </c>
      <c r="C263" s="9"/>
      <c r="D263" s="9"/>
      <c r="E263" s="9"/>
      <c r="F263" s="38"/>
      <c r="G263" s="38"/>
      <c r="H263" s="42"/>
      <c r="I263" s="9"/>
      <c r="J263" s="42"/>
      <c r="K263" s="38"/>
      <c r="L263" s="9"/>
      <c r="M263" s="42"/>
      <c r="N263" s="42"/>
      <c r="O263" s="38"/>
      <c r="P263" s="9"/>
      <c r="Q263" s="9"/>
      <c r="R263" s="39"/>
      <c r="S263" s="39"/>
      <c r="T263" s="38"/>
      <c r="U263" s="38"/>
      <c r="V263" s="38"/>
      <c r="W263" s="9"/>
      <c r="X263" s="9"/>
      <c r="Y263" s="38"/>
      <c r="Z263" s="9"/>
      <c r="AA263" s="9"/>
      <c r="AB263" s="38"/>
      <c r="AC263" s="9"/>
      <c r="AD263" s="39"/>
      <c r="AE263" s="9"/>
      <c r="AF263" s="9"/>
      <c r="AG263" s="9"/>
      <c r="AH263" s="9"/>
      <c r="AI263" s="9"/>
      <c r="AJ263" s="9"/>
      <c r="AK263" s="9"/>
      <c r="AL263" s="10" t="str">
        <f aca="false">IF(A263="","",SG_Criteria!$B$6&amp;SG_Criteria!$B$11&amp;"\"&amp;A263&amp;"\")</f>
        <v/>
      </c>
      <c r="AM263" s="10" t="str">
        <f aca="false">IF(A263="","",A263&amp;"_CAD.dwg")</f>
        <v/>
      </c>
      <c r="AN263" s="10" t="str">
        <f aca="false">IF(A263="","",A263&amp;"_DWG.pdf")</f>
        <v/>
      </c>
      <c r="AO263" s="10" t="str">
        <f aca="false">IF(A263="","",IF(AK263="Y",A263&amp;"_STAAD.std","n/a"))</f>
        <v/>
      </c>
      <c r="AP263" s="10" t="str">
        <f aca="false">IF(A263="","",A263&amp;"_CALC.xlsx")</f>
        <v/>
      </c>
      <c r="AQ263" s="10" t="str">
        <f aca="false">IF(A263="","",A263&amp;"_CALC.pdf")</f>
        <v/>
      </c>
      <c r="AR263" s="9"/>
      <c r="AS263" s="9"/>
      <c r="AT263" s="39"/>
      <c r="AU263" s="39"/>
      <c r="AV263" s="39"/>
      <c r="AW263" s="39"/>
      <c r="AX263" s="39"/>
      <c r="AY263" s="12" t="str">
        <f aca="false">IF(A263="","",IF(COUNTIF(Rebar_Schedule!$A$5:$A$2004,A263)=0,"",ROUND(SUMIF(Rebar_Schedule!$A$5:$A$2004,A263,Rebar_Schedule!$K$5:$K$2004),1)))</f>
        <v/>
      </c>
      <c r="AZ263" s="33" t="str">
        <f aca="false">IF(A263="","",IF(AY263="","No rebar schedule yet",IF(ABS(AY263-N(AU263))/MAX(N(AU263),1)&gt;SG_Criteria!$B$55,"NOTE: register rebar differs from schedule by "&amp;TEXT(ABS(AY263-N(AU263))/MAX(N(AU263),1),"0%"),"OK")))</f>
        <v/>
      </c>
      <c r="BA263" s="33" t="str">
        <f aca="false">IF(OR(D263="",H263=""),"",IF(H263&lt;=IF(OR(D263="Soldier Pile &amp; Timber Lagging",D263="Trench Shoring Box",D263="Open Cut (battered)"),SG_Criteria!$B$34,SG_Criteria!$B$33),"No ERSS submission",IF(H263&lt;=SG_Criteria!$B$35,"QP(ST)",IF(H263&lt;=SG_Criteria!$B$36,"QP(ST) + AC","Geotechnical building works: QP(Geo) + AC"))))</f>
        <v/>
      </c>
      <c r="BB263" s="33" t="str">
        <f aca="false">IF(D263="","",IF(LEN(IF(AND(R263&lt;&gt;"",R263&lt;SG_Criteria!$B$37),"FAIL: base stability FOS &lt; "&amp;SG_Criteria!$B$37&amp;". ","")&amp;IF(AND(E263="Manhole",H263&gt;SG_Criteria!$B$36),"NOTE: BCA lists sewer manholes (pipe &lt;= 2 m dia) &gt; 6 m as non-GBW: QP(ST) + AC. ","")&amp;IF(AND(D263="Trench Shoring Box",I263="Kallang Formation (marine clay)"),"NOTE: check base heave / ground loss for shoring box in marine clay. ","")&amp;IF(AND(D263="Steel Sheet Pile Cofferdam",N(N263)&lt;H263*0.5),"NOTE: short toe embedment, check. ",""))=0,"OK",IF(AND(R263&lt;&gt;"",R263&lt;SG_Criteria!$B$37),"FAIL: base stability FOS &lt; "&amp;SG_Criteria!$B$37&amp;". ","")&amp;IF(AND(E263="Manhole",H263&gt;SG_Criteria!$B$36),"NOTE: BCA lists sewer manholes (pipe &lt;= 2 m dia) &gt; 6 m as non-GBW: QP(ST) + AC. ","")&amp;IF(AND(D263="Trench Shoring Box",I263="Kallang Formation (marine clay)"),"NOTE: check base heave / ground loss for shoring box in marine clay. ","")&amp;IF(AND(D263="Steel Sheet Pile Cofferdam",N(N263)&lt;H263*0.5),"NOTE: short toe embedment, check. ","")))</f>
        <v/>
      </c>
      <c r="BC263" s="9"/>
      <c r="BD263" s="9"/>
      <c r="BE263" s="9"/>
      <c r="BF263" s="10" t="str">
        <f aca="false">IF(BE263="","",IFERROR(VLOOKUP(BE263,Projects!$A$5:$D$504,2,0),"Ref not in Projects"))</f>
        <v/>
      </c>
      <c r="BG263" s="10" t="str">
        <f aca="false">IF(BE263="","",IFERROR(VLOOKUP(BE263,Projects!$A$5:$D$504,4,0),"Ref not in Projects"))</f>
        <v/>
      </c>
      <c r="BH263" s="9"/>
      <c r="BI263" s="9"/>
      <c r="BJ263" s="9"/>
      <c r="BK263" s="40"/>
      <c r="BL263" s="9"/>
      <c r="BM263" s="40"/>
      <c r="BN263" s="9"/>
      <c r="BO263" s="40"/>
      <c r="BP263" s="9"/>
      <c r="BQ263" s="9"/>
      <c r="BR263" s="9"/>
      <c r="BS263" s="40"/>
      <c r="BT263" s="40"/>
      <c r="BU263" s="36" t="str">
        <f aca="false">IF(BT263="","",EDATE(BT263,SG_Criteria!$B$54*12))</f>
        <v/>
      </c>
      <c r="BV263" s="33" t="str">
        <f aca="true">IF(A263="","",IF(BT263="","NOTE: not reviewed yet",IF(TODAY()&gt;BU263,"NOTE: review overdue","OK")))</f>
        <v/>
      </c>
      <c r="BW263" s="37" t="str">
        <f aca="false">IF(A263="","",ROUND((IF(LEN(D263)&gt;0,1,0)+IF(LEN(E263)&gt;0,1,0)+IF(LEN(F263)&gt;0,1,0)+IF(LEN(G263)&gt;0,1,0)+IF(LEN(H263)&gt;0,1,0)+IF(LEN(I263)&gt;0,1,0)+IF(LEN(J263)&gt;0,1,0)+IF(LEN(L263)&gt;0,1,0)+IF(LEN(R263)&gt;0,1,0)+IF(LEN(Y263)&gt;0,1,0)+IF(LEN(AE263)&gt;0,1,0)+IF(LEN(AG263)&gt;0,1,0)+IF(LEN(AH263)&gt;0,1,0)+IF(LEN(AI263)&gt;0,1,0)+IF(LEN(AJ263)&gt;0,1,0)+IF(LEN(AS263)&gt;0,1,0)+IF(LEN(BE263)&gt;0,1,0)+IF(LEN(BR263)&gt;0,1,0))/18,2))</f>
        <v/>
      </c>
      <c r="BX263" s="10" t="str">
        <f aca="false">IF(D263="","",IF(AND(AH263="Approved",ISERROR(SEARCH("FAIL",BB263))),"Y","N"))</f>
        <v/>
      </c>
      <c r="BY263" s="10" t="str">
        <f aca="false">IF(D263="","",D263&amp;"|"&amp;H263&amp;"|"&amp;F263&amp;"|"&amp;I263&amp;"|"&amp;BX263)</f>
        <v/>
      </c>
    </row>
    <row r="264" customFormat="false" ht="15" hidden="false" customHeight="false" outlineLevel="0" collapsed="false">
      <c r="A264" s="10" t="str">
        <f aca="false">IF(D264="","","ERSS-"&amp;IFERROR(VLOOKUP(D264,Lists!$AK$4:$AL$21,2,0),"??")&amp;"-"&amp;TEXT(F264,"0000")&amp;"x"&amp;TEXT(G264,"0000")&amp;"-D"&amp;TEXT(H264*1000,"0000")&amp;"-"&amp;IFERROR(VLOOKUP(I264,Lists!$Y$4:$Z$21,2,0),"??")&amp;"-"&amp;AG264)</f>
        <v/>
      </c>
      <c r="B264" s="10" t="str">
        <f aca="false">IF(D264="","",D264&amp;" for "&amp;E264&amp;", "&amp;F264&amp;" x "&amp;G264&amp;" pit, "&amp;TEXT(H264,"0.0")&amp;" m deep, "&amp;I264)</f>
        <v/>
      </c>
      <c r="C264" s="9"/>
      <c r="D264" s="9"/>
      <c r="E264" s="9"/>
      <c r="F264" s="38"/>
      <c r="G264" s="38"/>
      <c r="H264" s="42"/>
      <c r="I264" s="9"/>
      <c r="J264" s="42"/>
      <c r="K264" s="38"/>
      <c r="L264" s="9"/>
      <c r="M264" s="42"/>
      <c r="N264" s="42"/>
      <c r="O264" s="38"/>
      <c r="P264" s="9"/>
      <c r="Q264" s="9"/>
      <c r="R264" s="39"/>
      <c r="S264" s="39"/>
      <c r="T264" s="38"/>
      <c r="U264" s="38"/>
      <c r="V264" s="38"/>
      <c r="W264" s="9"/>
      <c r="X264" s="9"/>
      <c r="Y264" s="38"/>
      <c r="Z264" s="9"/>
      <c r="AA264" s="9"/>
      <c r="AB264" s="38"/>
      <c r="AC264" s="9"/>
      <c r="AD264" s="39"/>
      <c r="AE264" s="9"/>
      <c r="AF264" s="9"/>
      <c r="AG264" s="9"/>
      <c r="AH264" s="9"/>
      <c r="AI264" s="9"/>
      <c r="AJ264" s="9"/>
      <c r="AK264" s="9"/>
      <c r="AL264" s="10" t="str">
        <f aca="false">IF(A264="","",SG_Criteria!$B$6&amp;SG_Criteria!$B$11&amp;"\"&amp;A264&amp;"\")</f>
        <v/>
      </c>
      <c r="AM264" s="10" t="str">
        <f aca="false">IF(A264="","",A264&amp;"_CAD.dwg")</f>
        <v/>
      </c>
      <c r="AN264" s="10" t="str">
        <f aca="false">IF(A264="","",A264&amp;"_DWG.pdf")</f>
        <v/>
      </c>
      <c r="AO264" s="10" t="str">
        <f aca="false">IF(A264="","",IF(AK264="Y",A264&amp;"_STAAD.std","n/a"))</f>
        <v/>
      </c>
      <c r="AP264" s="10" t="str">
        <f aca="false">IF(A264="","",A264&amp;"_CALC.xlsx")</f>
        <v/>
      </c>
      <c r="AQ264" s="10" t="str">
        <f aca="false">IF(A264="","",A264&amp;"_CALC.pdf")</f>
        <v/>
      </c>
      <c r="AR264" s="9"/>
      <c r="AS264" s="9"/>
      <c r="AT264" s="39"/>
      <c r="AU264" s="39"/>
      <c r="AV264" s="39"/>
      <c r="AW264" s="39"/>
      <c r="AX264" s="39"/>
      <c r="AY264" s="12" t="str">
        <f aca="false">IF(A264="","",IF(COUNTIF(Rebar_Schedule!$A$5:$A$2004,A264)=0,"",ROUND(SUMIF(Rebar_Schedule!$A$5:$A$2004,A264,Rebar_Schedule!$K$5:$K$2004),1)))</f>
        <v/>
      </c>
      <c r="AZ264" s="33" t="str">
        <f aca="false">IF(A264="","",IF(AY264="","No rebar schedule yet",IF(ABS(AY264-N(AU264))/MAX(N(AU264),1)&gt;SG_Criteria!$B$55,"NOTE: register rebar differs from schedule by "&amp;TEXT(ABS(AY264-N(AU264))/MAX(N(AU264),1),"0%"),"OK")))</f>
        <v/>
      </c>
      <c r="BA264" s="33" t="str">
        <f aca="false">IF(OR(D264="",H264=""),"",IF(H264&lt;=IF(OR(D264="Soldier Pile &amp; Timber Lagging",D264="Trench Shoring Box",D264="Open Cut (battered)"),SG_Criteria!$B$34,SG_Criteria!$B$33),"No ERSS submission",IF(H264&lt;=SG_Criteria!$B$35,"QP(ST)",IF(H264&lt;=SG_Criteria!$B$36,"QP(ST) + AC","Geotechnical building works: QP(Geo) + AC"))))</f>
        <v/>
      </c>
      <c r="BB264" s="33" t="str">
        <f aca="false">IF(D264="","",IF(LEN(IF(AND(R264&lt;&gt;"",R264&lt;SG_Criteria!$B$37),"FAIL: base stability FOS &lt; "&amp;SG_Criteria!$B$37&amp;". ","")&amp;IF(AND(E264="Manhole",H264&gt;SG_Criteria!$B$36),"NOTE: BCA lists sewer manholes (pipe &lt;= 2 m dia) &gt; 6 m as non-GBW: QP(ST) + AC. ","")&amp;IF(AND(D264="Trench Shoring Box",I264="Kallang Formation (marine clay)"),"NOTE: check base heave / ground loss for shoring box in marine clay. ","")&amp;IF(AND(D264="Steel Sheet Pile Cofferdam",N(N264)&lt;H264*0.5),"NOTE: short toe embedment, check. ",""))=0,"OK",IF(AND(R264&lt;&gt;"",R264&lt;SG_Criteria!$B$37),"FAIL: base stability FOS &lt; "&amp;SG_Criteria!$B$37&amp;". ","")&amp;IF(AND(E264="Manhole",H264&gt;SG_Criteria!$B$36),"NOTE: BCA lists sewer manholes (pipe &lt;= 2 m dia) &gt; 6 m as non-GBW: QP(ST) + AC. ","")&amp;IF(AND(D264="Trench Shoring Box",I264="Kallang Formation (marine clay)"),"NOTE: check base heave / ground loss for shoring box in marine clay. ","")&amp;IF(AND(D264="Steel Sheet Pile Cofferdam",N(N264)&lt;H264*0.5),"NOTE: short toe embedment, check. ","")))</f>
        <v/>
      </c>
      <c r="BC264" s="9"/>
      <c r="BD264" s="9"/>
      <c r="BE264" s="9"/>
      <c r="BF264" s="10" t="str">
        <f aca="false">IF(BE264="","",IFERROR(VLOOKUP(BE264,Projects!$A$5:$D$504,2,0),"Ref not in Projects"))</f>
        <v/>
      </c>
      <c r="BG264" s="10" t="str">
        <f aca="false">IF(BE264="","",IFERROR(VLOOKUP(BE264,Projects!$A$5:$D$504,4,0),"Ref not in Projects"))</f>
        <v/>
      </c>
      <c r="BH264" s="9"/>
      <c r="BI264" s="9"/>
      <c r="BJ264" s="9"/>
      <c r="BK264" s="40"/>
      <c r="BL264" s="9"/>
      <c r="BM264" s="40"/>
      <c r="BN264" s="9"/>
      <c r="BO264" s="40"/>
      <c r="BP264" s="9"/>
      <c r="BQ264" s="9"/>
      <c r="BR264" s="9"/>
      <c r="BS264" s="40"/>
      <c r="BT264" s="40"/>
      <c r="BU264" s="36" t="str">
        <f aca="false">IF(BT264="","",EDATE(BT264,SG_Criteria!$B$54*12))</f>
        <v/>
      </c>
      <c r="BV264" s="33" t="str">
        <f aca="true">IF(A264="","",IF(BT264="","NOTE: not reviewed yet",IF(TODAY()&gt;BU264,"NOTE: review overdue","OK")))</f>
        <v/>
      </c>
      <c r="BW264" s="37" t="str">
        <f aca="false">IF(A264="","",ROUND((IF(LEN(D264)&gt;0,1,0)+IF(LEN(E264)&gt;0,1,0)+IF(LEN(F264)&gt;0,1,0)+IF(LEN(G264)&gt;0,1,0)+IF(LEN(H264)&gt;0,1,0)+IF(LEN(I264)&gt;0,1,0)+IF(LEN(J264)&gt;0,1,0)+IF(LEN(L264)&gt;0,1,0)+IF(LEN(R264)&gt;0,1,0)+IF(LEN(Y264)&gt;0,1,0)+IF(LEN(AE264)&gt;0,1,0)+IF(LEN(AG264)&gt;0,1,0)+IF(LEN(AH264)&gt;0,1,0)+IF(LEN(AI264)&gt;0,1,0)+IF(LEN(AJ264)&gt;0,1,0)+IF(LEN(AS264)&gt;0,1,0)+IF(LEN(BE264)&gt;0,1,0)+IF(LEN(BR264)&gt;0,1,0))/18,2))</f>
        <v/>
      </c>
      <c r="BX264" s="10" t="str">
        <f aca="false">IF(D264="","",IF(AND(AH264="Approved",ISERROR(SEARCH("FAIL",BB264))),"Y","N"))</f>
        <v/>
      </c>
      <c r="BY264" s="10" t="str">
        <f aca="false">IF(D264="","",D264&amp;"|"&amp;H264&amp;"|"&amp;F264&amp;"|"&amp;I264&amp;"|"&amp;BX264)</f>
        <v/>
      </c>
    </row>
    <row r="265" customFormat="false" ht="15" hidden="false" customHeight="false" outlineLevel="0" collapsed="false">
      <c r="A265" s="10" t="str">
        <f aca="false">IF(D265="","","ERSS-"&amp;IFERROR(VLOOKUP(D265,Lists!$AK$4:$AL$21,2,0),"??")&amp;"-"&amp;TEXT(F265,"0000")&amp;"x"&amp;TEXT(G265,"0000")&amp;"-D"&amp;TEXT(H265*1000,"0000")&amp;"-"&amp;IFERROR(VLOOKUP(I265,Lists!$Y$4:$Z$21,2,0),"??")&amp;"-"&amp;AG265)</f>
        <v/>
      </c>
      <c r="B265" s="10" t="str">
        <f aca="false">IF(D265="","",D265&amp;" for "&amp;E265&amp;", "&amp;F265&amp;" x "&amp;G265&amp;" pit, "&amp;TEXT(H265,"0.0")&amp;" m deep, "&amp;I265)</f>
        <v/>
      </c>
      <c r="C265" s="9"/>
      <c r="D265" s="9"/>
      <c r="E265" s="9"/>
      <c r="F265" s="38"/>
      <c r="G265" s="38"/>
      <c r="H265" s="42"/>
      <c r="I265" s="9"/>
      <c r="J265" s="42"/>
      <c r="K265" s="38"/>
      <c r="L265" s="9"/>
      <c r="M265" s="42"/>
      <c r="N265" s="42"/>
      <c r="O265" s="38"/>
      <c r="P265" s="9"/>
      <c r="Q265" s="9"/>
      <c r="R265" s="39"/>
      <c r="S265" s="39"/>
      <c r="T265" s="38"/>
      <c r="U265" s="38"/>
      <c r="V265" s="38"/>
      <c r="W265" s="9"/>
      <c r="X265" s="9"/>
      <c r="Y265" s="38"/>
      <c r="Z265" s="9"/>
      <c r="AA265" s="9"/>
      <c r="AB265" s="38"/>
      <c r="AC265" s="9"/>
      <c r="AD265" s="39"/>
      <c r="AE265" s="9"/>
      <c r="AF265" s="9"/>
      <c r="AG265" s="9"/>
      <c r="AH265" s="9"/>
      <c r="AI265" s="9"/>
      <c r="AJ265" s="9"/>
      <c r="AK265" s="9"/>
      <c r="AL265" s="10" t="str">
        <f aca="false">IF(A265="","",SG_Criteria!$B$6&amp;SG_Criteria!$B$11&amp;"\"&amp;A265&amp;"\")</f>
        <v/>
      </c>
      <c r="AM265" s="10" t="str">
        <f aca="false">IF(A265="","",A265&amp;"_CAD.dwg")</f>
        <v/>
      </c>
      <c r="AN265" s="10" t="str">
        <f aca="false">IF(A265="","",A265&amp;"_DWG.pdf")</f>
        <v/>
      </c>
      <c r="AO265" s="10" t="str">
        <f aca="false">IF(A265="","",IF(AK265="Y",A265&amp;"_STAAD.std","n/a"))</f>
        <v/>
      </c>
      <c r="AP265" s="10" t="str">
        <f aca="false">IF(A265="","",A265&amp;"_CALC.xlsx")</f>
        <v/>
      </c>
      <c r="AQ265" s="10" t="str">
        <f aca="false">IF(A265="","",A265&amp;"_CALC.pdf")</f>
        <v/>
      </c>
      <c r="AR265" s="9"/>
      <c r="AS265" s="9"/>
      <c r="AT265" s="39"/>
      <c r="AU265" s="39"/>
      <c r="AV265" s="39"/>
      <c r="AW265" s="39"/>
      <c r="AX265" s="39"/>
      <c r="AY265" s="12" t="str">
        <f aca="false">IF(A265="","",IF(COUNTIF(Rebar_Schedule!$A$5:$A$2004,A265)=0,"",ROUND(SUMIF(Rebar_Schedule!$A$5:$A$2004,A265,Rebar_Schedule!$K$5:$K$2004),1)))</f>
        <v/>
      </c>
      <c r="AZ265" s="33" t="str">
        <f aca="false">IF(A265="","",IF(AY265="","No rebar schedule yet",IF(ABS(AY265-N(AU265))/MAX(N(AU265),1)&gt;SG_Criteria!$B$55,"NOTE: register rebar differs from schedule by "&amp;TEXT(ABS(AY265-N(AU265))/MAX(N(AU265),1),"0%"),"OK")))</f>
        <v/>
      </c>
      <c r="BA265" s="33" t="str">
        <f aca="false">IF(OR(D265="",H265=""),"",IF(H265&lt;=IF(OR(D265="Soldier Pile &amp; Timber Lagging",D265="Trench Shoring Box",D265="Open Cut (battered)"),SG_Criteria!$B$34,SG_Criteria!$B$33),"No ERSS submission",IF(H265&lt;=SG_Criteria!$B$35,"QP(ST)",IF(H265&lt;=SG_Criteria!$B$36,"QP(ST) + AC","Geotechnical building works: QP(Geo) + AC"))))</f>
        <v/>
      </c>
      <c r="BB265" s="33" t="str">
        <f aca="false">IF(D265="","",IF(LEN(IF(AND(R265&lt;&gt;"",R265&lt;SG_Criteria!$B$37),"FAIL: base stability FOS &lt; "&amp;SG_Criteria!$B$37&amp;". ","")&amp;IF(AND(E265="Manhole",H265&gt;SG_Criteria!$B$36),"NOTE: BCA lists sewer manholes (pipe &lt;= 2 m dia) &gt; 6 m as non-GBW: QP(ST) + AC. ","")&amp;IF(AND(D265="Trench Shoring Box",I265="Kallang Formation (marine clay)"),"NOTE: check base heave / ground loss for shoring box in marine clay. ","")&amp;IF(AND(D265="Steel Sheet Pile Cofferdam",N(N265)&lt;H265*0.5),"NOTE: short toe embedment, check. ",""))=0,"OK",IF(AND(R265&lt;&gt;"",R265&lt;SG_Criteria!$B$37),"FAIL: base stability FOS &lt; "&amp;SG_Criteria!$B$37&amp;". ","")&amp;IF(AND(E265="Manhole",H265&gt;SG_Criteria!$B$36),"NOTE: BCA lists sewer manholes (pipe &lt;= 2 m dia) &gt; 6 m as non-GBW: QP(ST) + AC. ","")&amp;IF(AND(D265="Trench Shoring Box",I265="Kallang Formation (marine clay)"),"NOTE: check base heave / ground loss for shoring box in marine clay. ","")&amp;IF(AND(D265="Steel Sheet Pile Cofferdam",N(N265)&lt;H265*0.5),"NOTE: short toe embedment, check. ","")))</f>
        <v/>
      </c>
      <c r="BC265" s="9"/>
      <c r="BD265" s="9"/>
      <c r="BE265" s="9"/>
      <c r="BF265" s="10" t="str">
        <f aca="false">IF(BE265="","",IFERROR(VLOOKUP(BE265,Projects!$A$5:$D$504,2,0),"Ref not in Projects"))</f>
        <v/>
      </c>
      <c r="BG265" s="10" t="str">
        <f aca="false">IF(BE265="","",IFERROR(VLOOKUP(BE265,Projects!$A$5:$D$504,4,0),"Ref not in Projects"))</f>
        <v/>
      </c>
      <c r="BH265" s="9"/>
      <c r="BI265" s="9"/>
      <c r="BJ265" s="9"/>
      <c r="BK265" s="40"/>
      <c r="BL265" s="9"/>
      <c r="BM265" s="40"/>
      <c r="BN265" s="9"/>
      <c r="BO265" s="40"/>
      <c r="BP265" s="9"/>
      <c r="BQ265" s="9"/>
      <c r="BR265" s="9"/>
      <c r="BS265" s="40"/>
      <c r="BT265" s="40"/>
      <c r="BU265" s="36" t="str">
        <f aca="false">IF(BT265="","",EDATE(BT265,SG_Criteria!$B$54*12))</f>
        <v/>
      </c>
      <c r="BV265" s="33" t="str">
        <f aca="true">IF(A265="","",IF(BT265="","NOTE: not reviewed yet",IF(TODAY()&gt;BU265,"NOTE: review overdue","OK")))</f>
        <v/>
      </c>
      <c r="BW265" s="37" t="str">
        <f aca="false">IF(A265="","",ROUND((IF(LEN(D265)&gt;0,1,0)+IF(LEN(E265)&gt;0,1,0)+IF(LEN(F265)&gt;0,1,0)+IF(LEN(G265)&gt;0,1,0)+IF(LEN(H265)&gt;0,1,0)+IF(LEN(I265)&gt;0,1,0)+IF(LEN(J265)&gt;0,1,0)+IF(LEN(L265)&gt;0,1,0)+IF(LEN(R265)&gt;0,1,0)+IF(LEN(Y265)&gt;0,1,0)+IF(LEN(AE265)&gt;0,1,0)+IF(LEN(AG265)&gt;0,1,0)+IF(LEN(AH265)&gt;0,1,0)+IF(LEN(AI265)&gt;0,1,0)+IF(LEN(AJ265)&gt;0,1,0)+IF(LEN(AS265)&gt;0,1,0)+IF(LEN(BE265)&gt;0,1,0)+IF(LEN(BR265)&gt;0,1,0))/18,2))</f>
        <v/>
      </c>
      <c r="BX265" s="10" t="str">
        <f aca="false">IF(D265="","",IF(AND(AH265="Approved",ISERROR(SEARCH("FAIL",BB265))),"Y","N"))</f>
        <v/>
      </c>
      <c r="BY265" s="10" t="str">
        <f aca="false">IF(D265="","",D265&amp;"|"&amp;H265&amp;"|"&amp;F265&amp;"|"&amp;I265&amp;"|"&amp;BX265)</f>
        <v/>
      </c>
    </row>
    <row r="266" customFormat="false" ht="15" hidden="false" customHeight="false" outlineLevel="0" collapsed="false">
      <c r="A266" s="10" t="str">
        <f aca="false">IF(D266="","","ERSS-"&amp;IFERROR(VLOOKUP(D266,Lists!$AK$4:$AL$21,2,0),"??")&amp;"-"&amp;TEXT(F266,"0000")&amp;"x"&amp;TEXT(G266,"0000")&amp;"-D"&amp;TEXT(H266*1000,"0000")&amp;"-"&amp;IFERROR(VLOOKUP(I266,Lists!$Y$4:$Z$21,2,0),"??")&amp;"-"&amp;AG266)</f>
        <v/>
      </c>
      <c r="B266" s="10" t="str">
        <f aca="false">IF(D266="","",D266&amp;" for "&amp;E266&amp;", "&amp;F266&amp;" x "&amp;G266&amp;" pit, "&amp;TEXT(H266,"0.0")&amp;" m deep, "&amp;I266)</f>
        <v/>
      </c>
      <c r="C266" s="9"/>
      <c r="D266" s="9"/>
      <c r="E266" s="9"/>
      <c r="F266" s="38"/>
      <c r="G266" s="38"/>
      <c r="H266" s="42"/>
      <c r="I266" s="9"/>
      <c r="J266" s="42"/>
      <c r="K266" s="38"/>
      <c r="L266" s="9"/>
      <c r="M266" s="42"/>
      <c r="N266" s="42"/>
      <c r="O266" s="38"/>
      <c r="P266" s="9"/>
      <c r="Q266" s="9"/>
      <c r="R266" s="39"/>
      <c r="S266" s="39"/>
      <c r="T266" s="38"/>
      <c r="U266" s="38"/>
      <c r="V266" s="38"/>
      <c r="W266" s="9"/>
      <c r="X266" s="9"/>
      <c r="Y266" s="38"/>
      <c r="Z266" s="9"/>
      <c r="AA266" s="9"/>
      <c r="AB266" s="38"/>
      <c r="AC266" s="9"/>
      <c r="AD266" s="39"/>
      <c r="AE266" s="9"/>
      <c r="AF266" s="9"/>
      <c r="AG266" s="9"/>
      <c r="AH266" s="9"/>
      <c r="AI266" s="9"/>
      <c r="AJ266" s="9"/>
      <c r="AK266" s="9"/>
      <c r="AL266" s="10" t="str">
        <f aca="false">IF(A266="","",SG_Criteria!$B$6&amp;SG_Criteria!$B$11&amp;"\"&amp;A266&amp;"\")</f>
        <v/>
      </c>
      <c r="AM266" s="10" t="str">
        <f aca="false">IF(A266="","",A266&amp;"_CAD.dwg")</f>
        <v/>
      </c>
      <c r="AN266" s="10" t="str">
        <f aca="false">IF(A266="","",A266&amp;"_DWG.pdf")</f>
        <v/>
      </c>
      <c r="AO266" s="10" t="str">
        <f aca="false">IF(A266="","",IF(AK266="Y",A266&amp;"_STAAD.std","n/a"))</f>
        <v/>
      </c>
      <c r="AP266" s="10" t="str">
        <f aca="false">IF(A266="","",A266&amp;"_CALC.xlsx")</f>
        <v/>
      </c>
      <c r="AQ266" s="10" t="str">
        <f aca="false">IF(A266="","",A266&amp;"_CALC.pdf")</f>
        <v/>
      </c>
      <c r="AR266" s="9"/>
      <c r="AS266" s="9"/>
      <c r="AT266" s="39"/>
      <c r="AU266" s="39"/>
      <c r="AV266" s="39"/>
      <c r="AW266" s="39"/>
      <c r="AX266" s="39"/>
      <c r="AY266" s="12" t="str">
        <f aca="false">IF(A266="","",IF(COUNTIF(Rebar_Schedule!$A$5:$A$2004,A266)=0,"",ROUND(SUMIF(Rebar_Schedule!$A$5:$A$2004,A266,Rebar_Schedule!$K$5:$K$2004),1)))</f>
        <v/>
      </c>
      <c r="AZ266" s="33" t="str">
        <f aca="false">IF(A266="","",IF(AY266="","No rebar schedule yet",IF(ABS(AY266-N(AU266))/MAX(N(AU266),1)&gt;SG_Criteria!$B$55,"NOTE: register rebar differs from schedule by "&amp;TEXT(ABS(AY266-N(AU266))/MAX(N(AU266),1),"0%"),"OK")))</f>
        <v/>
      </c>
      <c r="BA266" s="33" t="str">
        <f aca="false">IF(OR(D266="",H266=""),"",IF(H266&lt;=IF(OR(D266="Soldier Pile &amp; Timber Lagging",D266="Trench Shoring Box",D266="Open Cut (battered)"),SG_Criteria!$B$34,SG_Criteria!$B$33),"No ERSS submission",IF(H266&lt;=SG_Criteria!$B$35,"QP(ST)",IF(H266&lt;=SG_Criteria!$B$36,"QP(ST) + AC","Geotechnical building works: QP(Geo) + AC"))))</f>
        <v/>
      </c>
      <c r="BB266" s="33" t="str">
        <f aca="false">IF(D266="","",IF(LEN(IF(AND(R266&lt;&gt;"",R266&lt;SG_Criteria!$B$37),"FAIL: base stability FOS &lt; "&amp;SG_Criteria!$B$37&amp;". ","")&amp;IF(AND(E266="Manhole",H266&gt;SG_Criteria!$B$36),"NOTE: BCA lists sewer manholes (pipe &lt;= 2 m dia) &gt; 6 m as non-GBW: QP(ST) + AC. ","")&amp;IF(AND(D266="Trench Shoring Box",I266="Kallang Formation (marine clay)"),"NOTE: check base heave / ground loss for shoring box in marine clay. ","")&amp;IF(AND(D266="Steel Sheet Pile Cofferdam",N(N266)&lt;H266*0.5),"NOTE: short toe embedment, check. ",""))=0,"OK",IF(AND(R266&lt;&gt;"",R266&lt;SG_Criteria!$B$37),"FAIL: base stability FOS &lt; "&amp;SG_Criteria!$B$37&amp;". ","")&amp;IF(AND(E266="Manhole",H266&gt;SG_Criteria!$B$36),"NOTE: BCA lists sewer manholes (pipe &lt;= 2 m dia) &gt; 6 m as non-GBW: QP(ST) + AC. ","")&amp;IF(AND(D266="Trench Shoring Box",I266="Kallang Formation (marine clay)"),"NOTE: check base heave / ground loss for shoring box in marine clay. ","")&amp;IF(AND(D266="Steel Sheet Pile Cofferdam",N(N266)&lt;H266*0.5),"NOTE: short toe embedment, check. ","")))</f>
        <v/>
      </c>
      <c r="BC266" s="9"/>
      <c r="BD266" s="9"/>
      <c r="BE266" s="9"/>
      <c r="BF266" s="10" t="str">
        <f aca="false">IF(BE266="","",IFERROR(VLOOKUP(BE266,Projects!$A$5:$D$504,2,0),"Ref not in Projects"))</f>
        <v/>
      </c>
      <c r="BG266" s="10" t="str">
        <f aca="false">IF(BE266="","",IFERROR(VLOOKUP(BE266,Projects!$A$5:$D$504,4,0),"Ref not in Projects"))</f>
        <v/>
      </c>
      <c r="BH266" s="9"/>
      <c r="BI266" s="9"/>
      <c r="BJ266" s="9"/>
      <c r="BK266" s="40"/>
      <c r="BL266" s="9"/>
      <c r="BM266" s="40"/>
      <c r="BN266" s="9"/>
      <c r="BO266" s="40"/>
      <c r="BP266" s="9"/>
      <c r="BQ266" s="9"/>
      <c r="BR266" s="9"/>
      <c r="BS266" s="40"/>
      <c r="BT266" s="40"/>
      <c r="BU266" s="36" t="str">
        <f aca="false">IF(BT266="","",EDATE(BT266,SG_Criteria!$B$54*12))</f>
        <v/>
      </c>
      <c r="BV266" s="33" t="str">
        <f aca="true">IF(A266="","",IF(BT266="","NOTE: not reviewed yet",IF(TODAY()&gt;BU266,"NOTE: review overdue","OK")))</f>
        <v/>
      </c>
      <c r="BW266" s="37" t="str">
        <f aca="false">IF(A266="","",ROUND((IF(LEN(D266)&gt;0,1,0)+IF(LEN(E266)&gt;0,1,0)+IF(LEN(F266)&gt;0,1,0)+IF(LEN(G266)&gt;0,1,0)+IF(LEN(H266)&gt;0,1,0)+IF(LEN(I266)&gt;0,1,0)+IF(LEN(J266)&gt;0,1,0)+IF(LEN(L266)&gt;0,1,0)+IF(LEN(R266)&gt;0,1,0)+IF(LEN(Y266)&gt;0,1,0)+IF(LEN(AE266)&gt;0,1,0)+IF(LEN(AG266)&gt;0,1,0)+IF(LEN(AH266)&gt;0,1,0)+IF(LEN(AI266)&gt;0,1,0)+IF(LEN(AJ266)&gt;0,1,0)+IF(LEN(AS266)&gt;0,1,0)+IF(LEN(BE266)&gt;0,1,0)+IF(LEN(BR266)&gt;0,1,0))/18,2))</f>
        <v/>
      </c>
      <c r="BX266" s="10" t="str">
        <f aca="false">IF(D266="","",IF(AND(AH266="Approved",ISERROR(SEARCH("FAIL",BB266))),"Y","N"))</f>
        <v/>
      </c>
      <c r="BY266" s="10" t="str">
        <f aca="false">IF(D266="","",D266&amp;"|"&amp;H266&amp;"|"&amp;F266&amp;"|"&amp;I266&amp;"|"&amp;BX266)</f>
        <v/>
      </c>
    </row>
    <row r="267" customFormat="false" ht="15" hidden="false" customHeight="false" outlineLevel="0" collapsed="false">
      <c r="A267" s="10" t="str">
        <f aca="false">IF(D267="","","ERSS-"&amp;IFERROR(VLOOKUP(D267,Lists!$AK$4:$AL$21,2,0),"??")&amp;"-"&amp;TEXT(F267,"0000")&amp;"x"&amp;TEXT(G267,"0000")&amp;"-D"&amp;TEXT(H267*1000,"0000")&amp;"-"&amp;IFERROR(VLOOKUP(I267,Lists!$Y$4:$Z$21,2,0),"??")&amp;"-"&amp;AG267)</f>
        <v/>
      </c>
      <c r="B267" s="10" t="str">
        <f aca="false">IF(D267="","",D267&amp;" for "&amp;E267&amp;", "&amp;F267&amp;" x "&amp;G267&amp;" pit, "&amp;TEXT(H267,"0.0")&amp;" m deep, "&amp;I267)</f>
        <v/>
      </c>
      <c r="C267" s="9"/>
      <c r="D267" s="9"/>
      <c r="E267" s="9"/>
      <c r="F267" s="38"/>
      <c r="G267" s="38"/>
      <c r="H267" s="42"/>
      <c r="I267" s="9"/>
      <c r="J267" s="42"/>
      <c r="K267" s="38"/>
      <c r="L267" s="9"/>
      <c r="M267" s="42"/>
      <c r="N267" s="42"/>
      <c r="O267" s="38"/>
      <c r="P267" s="9"/>
      <c r="Q267" s="9"/>
      <c r="R267" s="39"/>
      <c r="S267" s="39"/>
      <c r="T267" s="38"/>
      <c r="U267" s="38"/>
      <c r="V267" s="38"/>
      <c r="W267" s="9"/>
      <c r="X267" s="9"/>
      <c r="Y267" s="38"/>
      <c r="Z267" s="9"/>
      <c r="AA267" s="9"/>
      <c r="AB267" s="38"/>
      <c r="AC267" s="9"/>
      <c r="AD267" s="39"/>
      <c r="AE267" s="9"/>
      <c r="AF267" s="9"/>
      <c r="AG267" s="9"/>
      <c r="AH267" s="9"/>
      <c r="AI267" s="9"/>
      <c r="AJ267" s="9"/>
      <c r="AK267" s="9"/>
      <c r="AL267" s="10" t="str">
        <f aca="false">IF(A267="","",SG_Criteria!$B$6&amp;SG_Criteria!$B$11&amp;"\"&amp;A267&amp;"\")</f>
        <v/>
      </c>
      <c r="AM267" s="10" t="str">
        <f aca="false">IF(A267="","",A267&amp;"_CAD.dwg")</f>
        <v/>
      </c>
      <c r="AN267" s="10" t="str">
        <f aca="false">IF(A267="","",A267&amp;"_DWG.pdf")</f>
        <v/>
      </c>
      <c r="AO267" s="10" t="str">
        <f aca="false">IF(A267="","",IF(AK267="Y",A267&amp;"_STAAD.std","n/a"))</f>
        <v/>
      </c>
      <c r="AP267" s="10" t="str">
        <f aca="false">IF(A267="","",A267&amp;"_CALC.xlsx")</f>
        <v/>
      </c>
      <c r="AQ267" s="10" t="str">
        <f aca="false">IF(A267="","",A267&amp;"_CALC.pdf")</f>
        <v/>
      </c>
      <c r="AR267" s="9"/>
      <c r="AS267" s="9"/>
      <c r="AT267" s="39"/>
      <c r="AU267" s="39"/>
      <c r="AV267" s="39"/>
      <c r="AW267" s="39"/>
      <c r="AX267" s="39"/>
      <c r="AY267" s="12" t="str">
        <f aca="false">IF(A267="","",IF(COUNTIF(Rebar_Schedule!$A$5:$A$2004,A267)=0,"",ROUND(SUMIF(Rebar_Schedule!$A$5:$A$2004,A267,Rebar_Schedule!$K$5:$K$2004),1)))</f>
        <v/>
      </c>
      <c r="AZ267" s="33" t="str">
        <f aca="false">IF(A267="","",IF(AY267="","No rebar schedule yet",IF(ABS(AY267-N(AU267))/MAX(N(AU267),1)&gt;SG_Criteria!$B$55,"NOTE: register rebar differs from schedule by "&amp;TEXT(ABS(AY267-N(AU267))/MAX(N(AU267),1),"0%"),"OK")))</f>
        <v/>
      </c>
      <c r="BA267" s="33" t="str">
        <f aca="false">IF(OR(D267="",H267=""),"",IF(H267&lt;=IF(OR(D267="Soldier Pile &amp; Timber Lagging",D267="Trench Shoring Box",D267="Open Cut (battered)"),SG_Criteria!$B$34,SG_Criteria!$B$33),"No ERSS submission",IF(H267&lt;=SG_Criteria!$B$35,"QP(ST)",IF(H267&lt;=SG_Criteria!$B$36,"QP(ST) + AC","Geotechnical building works: QP(Geo) + AC"))))</f>
        <v/>
      </c>
      <c r="BB267" s="33" t="str">
        <f aca="false">IF(D267="","",IF(LEN(IF(AND(R267&lt;&gt;"",R267&lt;SG_Criteria!$B$37),"FAIL: base stability FOS &lt; "&amp;SG_Criteria!$B$37&amp;". ","")&amp;IF(AND(E267="Manhole",H267&gt;SG_Criteria!$B$36),"NOTE: BCA lists sewer manholes (pipe &lt;= 2 m dia) &gt; 6 m as non-GBW: QP(ST) + AC. ","")&amp;IF(AND(D267="Trench Shoring Box",I267="Kallang Formation (marine clay)"),"NOTE: check base heave / ground loss for shoring box in marine clay. ","")&amp;IF(AND(D267="Steel Sheet Pile Cofferdam",N(N267)&lt;H267*0.5),"NOTE: short toe embedment, check. ",""))=0,"OK",IF(AND(R267&lt;&gt;"",R267&lt;SG_Criteria!$B$37),"FAIL: base stability FOS &lt; "&amp;SG_Criteria!$B$37&amp;". ","")&amp;IF(AND(E267="Manhole",H267&gt;SG_Criteria!$B$36),"NOTE: BCA lists sewer manholes (pipe &lt;= 2 m dia) &gt; 6 m as non-GBW: QP(ST) + AC. ","")&amp;IF(AND(D267="Trench Shoring Box",I267="Kallang Formation (marine clay)"),"NOTE: check base heave / ground loss for shoring box in marine clay. ","")&amp;IF(AND(D267="Steel Sheet Pile Cofferdam",N(N267)&lt;H267*0.5),"NOTE: short toe embedment, check. ","")))</f>
        <v/>
      </c>
      <c r="BC267" s="9"/>
      <c r="BD267" s="9"/>
      <c r="BE267" s="9"/>
      <c r="BF267" s="10" t="str">
        <f aca="false">IF(BE267="","",IFERROR(VLOOKUP(BE267,Projects!$A$5:$D$504,2,0),"Ref not in Projects"))</f>
        <v/>
      </c>
      <c r="BG267" s="10" t="str">
        <f aca="false">IF(BE267="","",IFERROR(VLOOKUP(BE267,Projects!$A$5:$D$504,4,0),"Ref not in Projects"))</f>
        <v/>
      </c>
      <c r="BH267" s="9"/>
      <c r="BI267" s="9"/>
      <c r="BJ267" s="9"/>
      <c r="BK267" s="40"/>
      <c r="BL267" s="9"/>
      <c r="BM267" s="40"/>
      <c r="BN267" s="9"/>
      <c r="BO267" s="40"/>
      <c r="BP267" s="9"/>
      <c r="BQ267" s="9"/>
      <c r="BR267" s="9"/>
      <c r="BS267" s="40"/>
      <c r="BT267" s="40"/>
      <c r="BU267" s="36" t="str">
        <f aca="false">IF(BT267="","",EDATE(BT267,SG_Criteria!$B$54*12))</f>
        <v/>
      </c>
      <c r="BV267" s="33" t="str">
        <f aca="true">IF(A267="","",IF(BT267="","NOTE: not reviewed yet",IF(TODAY()&gt;BU267,"NOTE: review overdue","OK")))</f>
        <v/>
      </c>
      <c r="BW267" s="37" t="str">
        <f aca="false">IF(A267="","",ROUND((IF(LEN(D267)&gt;0,1,0)+IF(LEN(E267)&gt;0,1,0)+IF(LEN(F267)&gt;0,1,0)+IF(LEN(G267)&gt;0,1,0)+IF(LEN(H267)&gt;0,1,0)+IF(LEN(I267)&gt;0,1,0)+IF(LEN(J267)&gt;0,1,0)+IF(LEN(L267)&gt;0,1,0)+IF(LEN(R267)&gt;0,1,0)+IF(LEN(Y267)&gt;0,1,0)+IF(LEN(AE267)&gt;0,1,0)+IF(LEN(AG267)&gt;0,1,0)+IF(LEN(AH267)&gt;0,1,0)+IF(LEN(AI267)&gt;0,1,0)+IF(LEN(AJ267)&gt;0,1,0)+IF(LEN(AS267)&gt;0,1,0)+IF(LEN(BE267)&gt;0,1,0)+IF(LEN(BR267)&gt;0,1,0))/18,2))</f>
        <v/>
      </c>
      <c r="BX267" s="10" t="str">
        <f aca="false">IF(D267="","",IF(AND(AH267="Approved",ISERROR(SEARCH("FAIL",BB267))),"Y","N"))</f>
        <v/>
      </c>
      <c r="BY267" s="10" t="str">
        <f aca="false">IF(D267="","",D267&amp;"|"&amp;H267&amp;"|"&amp;F267&amp;"|"&amp;I267&amp;"|"&amp;BX267)</f>
        <v/>
      </c>
    </row>
    <row r="268" customFormat="false" ht="15" hidden="false" customHeight="false" outlineLevel="0" collapsed="false">
      <c r="A268" s="10" t="str">
        <f aca="false">IF(D268="","","ERSS-"&amp;IFERROR(VLOOKUP(D268,Lists!$AK$4:$AL$21,2,0),"??")&amp;"-"&amp;TEXT(F268,"0000")&amp;"x"&amp;TEXT(G268,"0000")&amp;"-D"&amp;TEXT(H268*1000,"0000")&amp;"-"&amp;IFERROR(VLOOKUP(I268,Lists!$Y$4:$Z$21,2,0),"??")&amp;"-"&amp;AG268)</f>
        <v/>
      </c>
      <c r="B268" s="10" t="str">
        <f aca="false">IF(D268="","",D268&amp;" for "&amp;E268&amp;", "&amp;F268&amp;" x "&amp;G268&amp;" pit, "&amp;TEXT(H268,"0.0")&amp;" m deep, "&amp;I268)</f>
        <v/>
      </c>
      <c r="C268" s="9"/>
      <c r="D268" s="9"/>
      <c r="E268" s="9"/>
      <c r="F268" s="38"/>
      <c r="G268" s="38"/>
      <c r="H268" s="42"/>
      <c r="I268" s="9"/>
      <c r="J268" s="42"/>
      <c r="K268" s="38"/>
      <c r="L268" s="9"/>
      <c r="M268" s="42"/>
      <c r="N268" s="42"/>
      <c r="O268" s="38"/>
      <c r="P268" s="9"/>
      <c r="Q268" s="9"/>
      <c r="R268" s="39"/>
      <c r="S268" s="39"/>
      <c r="T268" s="38"/>
      <c r="U268" s="38"/>
      <c r="V268" s="38"/>
      <c r="W268" s="9"/>
      <c r="X268" s="9"/>
      <c r="Y268" s="38"/>
      <c r="Z268" s="9"/>
      <c r="AA268" s="9"/>
      <c r="AB268" s="38"/>
      <c r="AC268" s="9"/>
      <c r="AD268" s="39"/>
      <c r="AE268" s="9"/>
      <c r="AF268" s="9"/>
      <c r="AG268" s="9"/>
      <c r="AH268" s="9"/>
      <c r="AI268" s="9"/>
      <c r="AJ268" s="9"/>
      <c r="AK268" s="9"/>
      <c r="AL268" s="10" t="str">
        <f aca="false">IF(A268="","",SG_Criteria!$B$6&amp;SG_Criteria!$B$11&amp;"\"&amp;A268&amp;"\")</f>
        <v/>
      </c>
      <c r="AM268" s="10" t="str">
        <f aca="false">IF(A268="","",A268&amp;"_CAD.dwg")</f>
        <v/>
      </c>
      <c r="AN268" s="10" t="str">
        <f aca="false">IF(A268="","",A268&amp;"_DWG.pdf")</f>
        <v/>
      </c>
      <c r="AO268" s="10" t="str">
        <f aca="false">IF(A268="","",IF(AK268="Y",A268&amp;"_STAAD.std","n/a"))</f>
        <v/>
      </c>
      <c r="AP268" s="10" t="str">
        <f aca="false">IF(A268="","",A268&amp;"_CALC.xlsx")</f>
        <v/>
      </c>
      <c r="AQ268" s="10" t="str">
        <f aca="false">IF(A268="","",A268&amp;"_CALC.pdf")</f>
        <v/>
      </c>
      <c r="AR268" s="9"/>
      <c r="AS268" s="9"/>
      <c r="AT268" s="39"/>
      <c r="AU268" s="39"/>
      <c r="AV268" s="39"/>
      <c r="AW268" s="39"/>
      <c r="AX268" s="39"/>
      <c r="AY268" s="12" t="str">
        <f aca="false">IF(A268="","",IF(COUNTIF(Rebar_Schedule!$A$5:$A$2004,A268)=0,"",ROUND(SUMIF(Rebar_Schedule!$A$5:$A$2004,A268,Rebar_Schedule!$K$5:$K$2004),1)))</f>
        <v/>
      </c>
      <c r="AZ268" s="33" t="str">
        <f aca="false">IF(A268="","",IF(AY268="","No rebar schedule yet",IF(ABS(AY268-N(AU268))/MAX(N(AU268),1)&gt;SG_Criteria!$B$55,"NOTE: register rebar differs from schedule by "&amp;TEXT(ABS(AY268-N(AU268))/MAX(N(AU268),1),"0%"),"OK")))</f>
        <v/>
      </c>
      <c r="BA268" s="33" t="str">
        <f aca="false">IF(OR(D268="",H268=""),"",IF(H268&lt;=IF(OR(D268="Soldier Pile &amp; Timber Lagging",D268="Trench Shoring Box",D268="Open Cut (battered)"),SG_Criteria!$B$34,SG_Criteria!$B$33),"No ERSS submission",IF(H268&lt;=SG_Criteria!$B$35,"QP(ST)",IF(H268&lt;=SG_Criteria!$B$36,"QP(ST) + AC","Geotechnical building works: QP(Geo) + AC"))))</f>
        <v/>
      </c>
      <c r="BB268" s="33" t="str">
        <f aca="false">IF(D268="","",IF(LEN(IF(AND(R268&lt;&gt;"",R268&lt;SG_Criteria!$B$37),"FAIL: base stability FOS &lt; "&amp;SG_Criteria!$B$37&amp;". ","")&amp;IF(AND(E268="Manhole",H268&gt;SG_Criteria!$B$36),"NOTE: BCA lists sewer manholes (pipe &lt;= 2 m dia) &gt; 6 m as non-GBW: QP(ST) + AC. ","")&amp;IF(AND(D268="Trench Shoring Box",I268="Kallang Formation (marine clay)"),"NOTE: check base heave / ground loss for shoring box in marine clay. ","")&amp;IF(AND(D268="Steel Sheet Pile Cofferdam",N(N268)&lt;H268*0.5),"NOTE: short toe embedment, check. ",""))=0,"OK",IF(AND(R268&lt;&gt;"",R268&lt;SG_Criteria!$B$37),"FAIL: base stability FOS &lt; "&amp;SG_Criteria!$B$37&amp;". ","")&amp;IF(AND(E268="Manhole",H268&gt;SG_Criteria!$B$36),"NOTE: BCA lists sewer manholes (pipe &lt;= 2 m dia) &gt; 6 m as non-GBW: QP(ST) + AC. ","")&amp;IF(AND(D268="Trench Shoring Box",I268="Kallang Formation (marine clay)"),"NOTE: check base heave / ground loss for shoring box in marine clay. ","")&amp;IF(AND(D268="Steel Sheet Pile Cofferdam",N(N268)&lt;H268*0.5),"NOTE: short toe embedment, check. ","")))</f>
        <v/>
      </c>
      <c r="BC268" s="9"/>
      <c r="BD268" s="9"/>
      <c r="BE268" s="9"/>
      <c r="BF268" s="10" t="str">
        <f aca="false">IF(BE268="","",IFERROR(VLOOKUP(BE268,Projects!$A$5:$D$504,2,0),"Ref not in Projects"))</f>
        <v/>
      </c>
      <c r="BG268" s="10" t="str">
        <f aca="false">IF(BE268="","",IFERROR(VLOOKUP(BE268,Projects!$A$5:$D$504,4,0),"Ref not in Projects"))</f>
        <v/>
      </c>
      <c r="BH268" s="9"/>
      <c r="BI268" s="9"/>
      <c r="BJ268" s="9"/>
      <c r="BK268" s="40"/>
      <c r="BL268" s="9"/>
      <c r="BM268" s="40"/>
      <c r="BN268" s="9"/>
      <c r="BO268" s="40"/>
      <c r="BP268" s="9"/>
      <c r="BQ268" s="9"/>
      <c r="BR268" s="9"/>
      <c r="BS268" s="40"/>
      <c r="BT268" s="40"/>
      <c r="BU268" s="36" t="str">
        <f aca="false">IF(BT268="","",EDATE(BT268,SG_Criteria!$B$54*12))</f>
        <v/>
      </c>
      <c r="BV268" s="33" t="str">
        <f aca="true">IF(A268="","",IF(BT268="","NOTE: not reviewed yet",IF(TODAY()&gt;BU268,"NOTE: review overdue","OK")))</f>
        <v/>
      </c>
      <c r="BW268" s="37" t="str">
        <f aca="false">IF(A268="","",ROUND((IF(LEN(D268)&gt;0,1,0)+IF(LEN(E268)&gt;0,1,0)+IF(LEN(F268)&gt;0,1,0)+IF(LEN(G268)&gt;0,1,0)+IF(LEN(H268)&gt;0,1,0)+IF(LEN(I268)&gt;0,1,0)+IF(LEN(J268)&gt;0,1,0)+IF(LEN(L268)&gt;0,1,0)+IF(LEN(R268)&gt;0,1,0)+IF(LEN(Y268)&gt;0,1,0)+IF(LEN(AE268)&gt;0,1,0)+IF(LEN(AG268)&gt;0,1,0)+IF(LEN(AH268)&gt;0,1,0)+IF(LEN(AI268)&gt;0,1,0)+IF(LEN(AJ268)&gt;0,1,0)+IF(LEN(AS268)&gt;0,1,0)+IF(LEN(BE268)&gt;0,1,0)+IF(LEN(BR268)&gt;0,1,0))/18,2))</f>
        <v/>
      </c>
      <c r="BX268" s="10" t="str">
        <f aca="false">IF(D268="","",IF(AND(AH268="Approved",ISERROR(SEARCH("FAIL",BB268))),"Y","N"))</f>
        <v/>
      </c>
      <c r="BY268" s="10" t="str">
        <f aca="false">IF(D268="","",D268&amp;"|"&amp;H268&amp;"|"&amp;F268&amp;"|"&amp;I268&amp;"|"&amp;BX268)</f>
        <v/>
      </c>
    </row>
    <row r="269" customFormat="false" ht="15" hidden="false" customHeight="false" outlineLevel="0" collapsed="false">
      <c r="A269" s="10" t="str">
        <f aca="false">IF(D269="","","ERSS-"&amp;IFERROR(VLOOKUP(D269,Lists!$AK$4:$AL$21,2,0),"??")&amp;"-"&amp;TEXT(F269,"0000")&amp;"x"&amp;TEXT(G269,"0000")&amp;"-D"&amp;TEXT(H269*1000,"0000")&amp;"-"&amp;IFERROR(VLOOKUP(I269,Lists!$Y$4:$Z$21,2,0),"??")&amp;"-"&amp;AG269)</f>
        <v/>
      </c>
      <c r="B269" s="10" t="str">
        <f aca="false">IF(D269="","",D269&amp;" for "&amp;E269&amp;", "&amp;F269&amp;" x "&amp;G269&amp;" pit, "&amp;TEXT(H269,"0.0")&amp;" m deep, "&amp;I269)</f>
        <v/>
      </c>
      <c r="C269" s="9"/>
      <c r="D269" s="9"/>
      <c r="E269" s="9"/>
      <c r="F269" s="38"/>
      <c r="G269" s="38"/>
      <c r="H269" s="42"/>
      <c r="I269" s="9"/>
      <c r="J269" s="42"/>
      <c r="K269" s="38"/>
      <c r="L269" s="9"/>
      <c r="M269" s="42"/>
      <c r="N269" s="42"/>
      <c r="O269" s="38"/>
      <c r="P269" s="9"/>
      <c r="Q269" s="9"/>
      <c r="R269" s="39"/>
      <c r="S269" s="39"/>
      <c r="T269" s="38"/>
      <c r="U269" s="38"/>
      <c r="V269" s="38"/>
      <c r="W269" s="9"/>
      <c r="X269" s="9"/>
      <c r="Y269" s="38"/>
      <c r="Z269" s="9"/>
      <c r="AA269" s="9"/>
      <c r="AB269" s="38"/>
      <c r="AC269" s="9"/>
      <c r="AD269" s="39"/>
      <c r="AE269" s="9"/>
      <c r="AF269" s="9"/>
      <c r="AG269" s="9"/>
      <c r="AH269" s="9"/>
      <c r="AI269" s="9"/>
      <c r="AJ269" s="9"/>
      <c r="AK269" s="9"/>
      <c r="AL269" s="10" t="str">
        <f aca="false">IF(A269="","",SG_Criteria!$B$6&amp;SG_Criteria!$B$11&amp;"\"&amp;A269&amp;"\")</f>
        <v/>
      </c>
      <c r="AM269" s="10" t="str">
        <f aca="false">IF(A269="","",A269&amp;"_CAD.dwg")</f>
        <v/>
      </c>
      <c r="AN269" s="10" t="str">
        <f aca="false">IF(A269="","",A269&amp;"_DWG.pdf")</f>
        <v/>
      </c>
      <c r="AO269" s="10" t="str">
        <f aca="false">IF(A269="","",IF(AK269="Y",A269&amp;"_STAAD.std","n/a"))</f>
        <v/>
      </c>
      <c r="AP269" s="10" t="str">
        <f aca="false">IF(A269="","",A269&amp;"_CALC.xlsx")</f>
        <v/>
      </c>
      <c r="AQ269" s="10" t="str">
        <f aca="false">IF(A269="","",A269&amp;"_CALC.pdf")</f>
        <v/>
      </c>
      <c r="AR269" s="9"/>
      <c r="AS269" s="9"/>
      <c r="AT269" s="39"/>
      <c r="AU269" s="39"/>
      <c r="AV269" s="39"/>
      <c r="AW269" s="39"/>
      <c r="AX269" s="39"/>
      <c r="AY269" s="12" t="str">
        <f aca="false">IF(A269="","",IF(COUNTIF(Rebar_Schedule!$A$5:$A$2004,A269)=0,"",ROUND(SUMIF(Rebar_Schedule!$A$5:$A$2004,A269,Rebar_Schedule!$K$5:$K$2004),1)))</f>
        <v/>
      </c>
      <c r="AZ269" s="33" t="str">
        <f aca="false">IF(A269="","",IF(AY269="","No rebar schedule yet",IF(ABS(AY269-N(AU269))/MAX(N(AU269),1)&gt;SG_Criteria!$B$55,"NOTE: register rebar differs from schedule by "&amp;TEXT(ABS(AY269-N(AU269))/MAX(N(AU269),1),"0%"),"OK")))</f>
        <v/>
      </c>
      <c r="BA269" s="33" t="str">
        <f aca="false">IF(OR(D269="",H269=""),"",IF(H269&lt;=IF(OR(D269="Soldier Pile &amp; Timber Lagging",D269="Trench Shoring Box",D269="Open Cut (battered)"),SG_Criteria!$B$34,SG_Criteria!$B$33),"No ERSS submission",IF(H269&lt;=SG_Criteria!$B$35,"QP(ST)",IF(H269&lt;=SG_Criteria!$B$36,"QP(ST) + AC","Geotechnical building works: QP(Geo) + AC"))))</f>
        <v/>
      </c>
      <c r="BB269" s="33" t="str">
        <f aca="false">IF(D269="","",IF(LEN(IF(AND(R269&lt;&gt;"",R269&lt;SG_Criteria!$B$37),"FAIL: base stability FOS &lt; "&amp;SG_Criteria!$B$37&amp;". ","")&amp;IF(AND(E269="Manhole",H269&gt;SG_Criteria!$B$36),"NOTE: BCA lists sewer manholes (pipe &lt;= 2 m dia) &gt; 6 m as non-GBW: QP(ST) + AC. ","")&amp;IF(AND(D269="Trench Shoring Box",I269="Kallang Formation (marine clay)"),"NOTE: check base heave / ground loss for shoring box in marine clay. ","")&amp;IF(AND(D269="Steel Sheet Pile Cofferdam",N(N269)&lt;H269*0.5),"NOTE: short toe embedment, check. ",""))=0,"OK",IF(AND(R269&lt;&gt;"",R269&lt;SG_Criteria!$B$37),"FAIL: base stability FOS &lt; "&amp;SG_Criteria!$B$37&amp;". ","")&amp;IF(AND(E269="Manhole",H269&gt;SG_Criteria!$B$36),"NOTE: BCA lists sewer manholes (pipe &lt;= 2 m dia) &gt; 6 m as non-GBW: QP(ST) + AC. ","")&amp;IF(AND(D269="Trench Shoring Box",I269="Kallang Formation (marine clay)"),"NOTE: check base heave / ground loss for shoring box in marine clay. ","")&amp;IF(AND(D269="Steel Sheet Pile Cofferdam",N(N269)&lt;H269*0.5),"NOTE: short toe embedment, check. ","")))</f>
        <v/>
      </c>
      <c r="BC269" s="9"/>
      <c r="BD269" s="9"/>
      <c r="BE269" s="9"/>
      <c r="BF269" s="10" t="str">
        <f aca="false">IF(BE269="","",IFERROR(VLOOKUP(BE269,Projects!$A$5:$D$504,2,0),"Ref not in Projects"))</f>
        <v/>
      </c>
      <c r="BG269" s="10" t="str">
        <f aca="false">IF(BE269="","",IFERROR(VLOOKUP(BE269,Projects!$A$5:$D$504,4,0),"Ref not in Projects"))</f>
        <v/>
      </c>
      <c r="BH269" s="9"/>
      <c r="BI269" s="9"/>
      <c r="BJ269" s="9"/>
      <c r="BK269" s="40"/>
      <c r="BL269" s="9"/>
      <c r="BM269" s="40"/>
      <c r="BN269" s="9"/>
      <c r="BO269" s="40"/>
      <c r="BP269" s="9"/>
      <c r="BQ269" s="9"/>
      <c r="BR269" s="9"/>
      <c r="BS269" s="40"/>
      <c r="BT269" s="40"/>
      <c r="BU269" s="36" t="str">
        <f aca="false">IF(BT269="","",EDATE(BT269,SG_Criteria!$B$54*12))</f>
        <v/>
      </c>
      <c r="BV269" s="33" t="str">
        <f aca="true">IF(A269="","",IF(BT269="","NOTE: not reviewed yet",IF(TODAY()&gt;BU269,"NOTE: review overdue","OK")))</f>
        <v/>
      </c>
      <c r="BW269" s="37" t="str">
        <f aca="false">IF(A269="","",ROUND((IF(LEN(D269)&gt;0,1,0)+IF(LEN(E269)&gt;0,1,0)+IF(LEN(F269)&gt;0,1,0)+IF(LEN(G269)&gt;0,1,0)+IF(LEN(H269)&gt;0,1,0)+IF(LEN(I269)&gt;0,1,0)+IF(LEN(J269)&gt;0,1,0)+IF(LEN(L269)&gt;0,1,0)+IF(LEN(R269)&gt;0,1,0)+IF(LEN(Y269)&gt;0,1,0)+IF(LEN(AE269)&gt;0,1,0)+IF(LEN(AG269)&gt;0,1,0)+IF(LEN(AH269)&gt;0,1,0)+IF(LEN(AI269)&gt;0,1,0)+IF(LEN(AJ269)&gt;0,1,0)+IF(LEN(AS269)&gt;0,1,0)+IF(LEN(BE269)&gt;0,1,0)+IF(LEN(BR269)&gt;0,1,0))/18,2))</f>
        <v/>
      </c>
      <c r="BX269" s="10" t="str">
        <f aca="false">IF(D269="","",IF(AND(AH269="Approved",ISERROR(SEARCH("FAIL",BB269))),"Y","N"))</f>
        <v/>
      </c>
      <c r="BY269" s="10" t="str">
        <f aca="false">IF(D269="","",D269&amp;"|"&amp;H269&amp;"|"&amp;F269&amp;"|"&amp;I269&amp;"|"&amp;BX269)</f>
        <v/>
      </c>
    </row>
    <row r="270" customFormat="false" ht="15" hidden="false" customHeight="false" outlineLevel="0" collapsed="false">
      <c r="A270" s="10" t="str">
        <f aca="false">IF(D270="","","ERSS-"&amp;IFERROR(VLOOKUP(D270,Lists!$AK$4:$AL$21,2,0),"??")&amp;"-"&amp;TEXT(F270,"0000")&amp;"x"&amp;TEXT(G270,"0000")&amp;"-D"&amp;TEXT(H270*1000,"0000")&amp;"-"&amp;IFERROR(VLOOKUP(I270,Lists!$Y$4:$Z$21,2,0),"??")&amp;"-"&amp;AG270)</f>
        <v/>
      </c>
      <c r="B270" s="10" t="str">
        <f aca="false">IF(D270="","",D270&amp;" for "&amp;E270&amp;", "&amp;F270&amp;" x "&amp;G270&amp;" pit, "&amp;TEXT(H270,"0.0")&amp;" m deep, "&amp;I270)</f>
        <v/>
      </c>
      <c r="C270" s="9"/>
      <c r="D270" s="9"/>
      <c r="E270" s="9"/>
      <c r="F270" s="38"/>
      <c r="G270" s="38"/>
      <c r="H270" s="42"/>
      <c r="I270" s="9"/>
      <c r="J270" s="42"/>
      <c r="K270" s="38"/>
      <c r="L270" s="9"/>
      <c r="M270" s="42"/>
      <c r="N270" s="42"/>
      <c r="O270" s="38"/>
      <c r="P270" s="9"/>
      <c r="Q270" s="9"/>
      <c r="R270" s="39"/>
      <c r="S270" s="39"/>
      <c r="T270" s="38"/>
      <c r="U270" s="38"/>
      <c r="V270" s="38"/>
      <c r="W270" s="9"/>
      <c r="X270" s="9"/>
      <c r="Y270" s="38"/>
      <c r="Z270" s="9"/>
      <c r="AA270" s="9"/>
      <c r="AB270" s="38"/>
      <c r="AC270" s="9"/>
      <c r="AD270" s="39"/>
      <c r="AE270" s="9"/>
      <c r="AF270" s="9"/>
      <c r="AG270" s="9"/>
      <c r="AH270" s="9"/>
      <c r="AI270" s="9"/>
      <c r="AJ270" s="9"/>
      <c r="AK270" s="9"/>
      <c r="AL270" s="10" t="str">
        <f aca="false">IF(A270="","",SG_Criteria!$B$6&amp;SG_Criteria!$B$11&amp;"\"&amp;A270&amp;"\")</f>
        <v/>
      </c>
      <c r="AM270" s="10" t="str">
        <f aca="false">IF(A270="","",A270&amp;"_CAD.dwg")</f>
        <v/>
      </c>
      <c r="AN270" s="10" t="str">
        <f aca="false">IF(A270="","",A270&amp;"_DWG.pdf")</f>
        <v/>
      </c>
      <c r="AO270" s="10" t="str">
        <f aca="false">IF(A270="","",IF(AK270="Y",A270&amp;"_STAAD.std","n/a"))</f>
        <v/>
      </c>
      <c r="AP270" s="10" t="str">
        <f aca="false">IF(A270="","",A270&amp;"_CALC.xlsx")</f>
        <v/>
      </c>
      <c r="AQ270" s="10" t="str">
        <f aca="false">IF(A270="","",A270&amp;"_CALC.pdf")</f>
        <v/>
      </c>
      <c r="AR270" s="9"/>
      <c r="AS270" s="9"/>
      <c r="AT270" s="39"/>
      <c r="AU270" s="39"/>
      <c r="AV270" s="39"/>
      <c r="AW270" s="39"/>
      <c r="AX270" s="39"/>
      <c r="AY270" s="12" t="str">
        <f aca="false">IF(A270="","",IF(COUNTIF(Rebar_Schedule!$A$5:$A$2004,A270)=0,"",ROUND(SUMIF(Rebar_Schedule!$A$5:$A$2004,A270,Rebar_Schedule!$K$5:$K$2004),1)))</f>
        <v/>
      </c>
      <c r="AZ270" s="33" t="str">
        <f aca="false">IF(A270="","",IF(AY270="","No rebar schedule yet",IF(ABS(AY270-N(AU270))/MAX(N(AU270),1)&gt;SG_Criteria!$B$55,"NOTE: register rebar differs from schedule by "&amp;TEXT(ABS(AY270-N(AU270))/MAX(N(AU270),1),"0%"),"OK")))</f>
        <v/>
      </c>
      <c r="BA270" s="33" t="str">
        <f aca="false">IF(OR(D270="",H270=""),"",IF(H270&lt;=IF(OR(D270="Soldier Pile &amp; Timber Lagging",D270="Trench Shoring Box",D270="Open Cut (battered)"),SG_Criteria!$B$34,SG_Criteria!$B$33),"No ERSS submission",IF(H270&lt;=SG_Criteria!$B$35,"QP(ST)",IF(H270&lt;=SG_Criteria!$B$36,"QP(ST) + AC","Geotechnical building works: QP(Geo) + AC"))))</f>
        <v/>
      </c>
      <c r="BB270" s="33" t="str">
        <f aca="false">IF(D270="","",IF(LEN(IF(AND(R270&lt;&gt;"",R270&lt;SG_Criteria!$B$37),"FAIL: base stability FOS &lt; "&amp;SG_Criteria!$B$37&amp;". ","")&amp;IF(AND(E270="Manhole",H270&gt;SG_Criteria!$B$36),"NOTE: BCA lists sewer manholes (pipe &lt;= 2 m dia) &gt; 6 m as non-GBW: QP(ST) + AC. ","")&amp;IF(AND(D270="Trench Shoring Box",I270="Kallang Formation (marine clay)"),"NOTE: check base heave / ground loss for shoring box in marine clay. ","")&amp;IF(AND(D270="Steel Sheet Pile Cofferdam",N(N270)&lt;H270*0.5),"NOTE: short toe embedment, check. ",""))=0,"OK",IF(AND(R270&lt;&gt;"",R270&lt;SG_Criteria!$B$37),"FAIL: base stability FOS &lt; "&amp;SG_Criteria!$B$37&amp;". ","")&amp;IF(AND(E270="Manhole",H270&gt;SG_Criteria!$B$36),"NOTE: BCA lists sewer manholes (pipe &lt;= 2 m dia) &gt; 6 m as non-GBW: QP(ST) + AC. ","")&amp;IF(AND(D270="Trench Shoring Box",I270="Kallang Formation (marine clay)"),"NOTE: check base heave / ground loss for shoring box in marine clay. ","")&amp;IF(AND(D270="Steel Sheet Pile Cofferdam",N(N270)&lt;H270*0.5),"NOTE: short toe embedment, check. ","")))</f>
        <v/>
      </c>
      <c r="BC270" s="9"/>
      <c r="BD270" s="9"/>
      <c r="BE270" s="9"/>
      <c r="BF270" s="10" t="str">
        <f aca="false">IF(BE270="","",IFERROR(VLOOKUP(BE270,Projects!$A$5:$D$504,2,0),"Ref not in Projects"))</f>
        <v/>
      </c>
      <c r="BG270" s="10" t="str">
        <f aca="false">IF(BE270="","",IFERROR(VLOOKUP(BE270,Projects!$A$5:$D$504,4,0),"Ref not in Projects"))</f>
        <v/>
      </c>
      <c r="BH270" s="9"/>
      <c r="BI270" s="9"/>
      <c r="BJ270" s="9"/>
      <c r="BK270" s="40"/>
      <c r="BL270" s="9"/>
      <c r="BM270" s="40"/>
      <c r="BN270" s="9"/>
      <c r="BO270" s="40"/>
      <c r="BP270" s="9"/>
      <c r="BQ270" s="9"/>
      <c r="BR270" s="9"/>
      <c r="BS270" s="40"/>
      <c r="BT270" s="40"/>
      <c r="BU270" s="36" t="str">
        <f aca="false">IF(BT270="","",EDATE(BT270,SG_Criteria!$B$54*12))</f>
        <v/>
      </c>
      <c r="BV270" s="33" t="str">
        <f aca="true">IF(A270="","",IF(BT270="","NOTE: not reviewed yet",IF(TODAY()&gt;BU270,"NOTE: review overdue","OK")))</f>
        <v/>
      </c>
      <c r="BW270" s="37" t="str">
        <f aca="false">IF(A270="","",ROUND((IF(LEN(D270)&gt;0,1,0)+IF(LEN(E270)&gt;0,1,0)+IF(LEN(F270)&gt;0,1,0)+IF(LEN(G270)&gt;0,1,0)+IF(LEN(H270)&gt;0,1,0)+IF(LEN(I270)&gt;0,1,0)+IF(LEN(J270)&gt;0,1,0)+IF(LEN(L270)&gt;0,1,0)+IF(LEN(R270)&gt;0,1,0)+IF(LEN(Y270)&gt;0,1,0)+IF(LEN(AE270)&gt;0,1,0)+IF(LEN(AG270)&gt;0,1,0)+IF(LEN(AH270)&gt;0,1,0)+IF(LEN(AI270)&gt;0,1,0)+IF(LEN(AJ270)&gt;0,1,0)+IF(LEN(AS270)&gt;0,1,0)+IF(LEN(BE270)&gt;0,1,0)+IF(LEN(BR270)&gt;0,1,0))/18,2))</f>
        <v/>
      </c>
      <c r="BX270" s="10" t="str">
        <f aca="false">IF(D270="","",IF(AND(AH270="Approved",ISERROR(SEARCH("FAIL",BB270))),"Y","N"))</f>
        <v/>
      </c>
      <c r="BY270" s="10" t="str">
        <f aca="false">IF(D270="","",D270&amp;"|"&amp;H270&amp;"|"&amp;F270&amp;"|"&amp;I270&amp;"|"&amp;BX270)</f>
        <v/>
      </c>
    </row>
    <row r="271" customFormat="false" ht="15" hidden="false" customHeight="false" outlineLevel="0" collapsed="false">
      <c r="A271" s="10" t="str">
        <f aca="false">IF(D271="","","ERSS-"&amp;IFERROR(VLOOKUP(D271,Lists!$AK$4:$AL$21,2,0),"??")&amp;"-"&amp;TEXT(F271,"0000")&amp;"x"&amp;TEXT(G271,"0000")&amp;"-D"&amp;TEXT(H271*1000,"0000")&amp;"-"&amp;IFERROR(VLOOKUP(I271,Lists!$Y$4:$Z$21,2,0),"??")&amp;"-"&amp;AG271)</f>
        <v/>
      </c>
      <c r="B271" s="10" t="str">
        <f aca="false">IF(D271="","",D271&amp;" for "&amp;E271&amp;", "&amp;F271&amp;" x "&amp;G271&amp;" pit, "&amp;TEXT(H271,"0.0")&amp;" m deep, "&amp;I271)</f>
        <v/>
      </c>
      <c r="C271" s="9"/>
      <c r="D271" s="9"/>
      <c r="E271" s="9"/>
      <c r="F271" s="38"/>
      <c r="G271" s="38"/>
      <c r="H271" s="42"/>
      <c r="I271" s="9"/>
      <c r="J271" s="42"/>
      <c r="K271" s="38"/>
      <c r="L271" s="9"/>
      <c r="M271" s="42"/>
      <c r="N271" s="42"/>
      <c r="O271" s="38"/>
      <c r="P271" s="9"/>
      <c r="Q271" s="9"/>
      <c r="R271" s="39"/>
      <c r="S271" s="39"/>
      <c r="T271" s="38"/>
      <c r="U271" s="38"/>
      <c r="V271" s="38"/>
      <c r="W271" s="9"/>
      <c r="X271" s="9"/>
      <c r="Y271" s="38"/>
      <c r="Z271" s="9"/>
      <c r="AA271" s="9"/>
      <c r="AB271" s="38"/>
      <c r="AC271" s="9"/>
      <c r="AD271" s="39"/>
      <c r="AE271" s="9"/>
      <c r="AF271" s="9"/>
      <c r="AG271" s="9"/>
      <c r="AH271" s="9"/>
      <c r="AI271" s="9"/>
      <c r="AJ271" s="9"/>
      <c r="AK271" s="9"/>
      <c r="AL271" s="10" t="str">
        <f aca="false">IF(A271="","",SG_Criteria!$B$6&amp;SG_Criteria!$B$11&amp;"\"&amp;A271&amp;"\")</f>
        <v/>
      </c>
      <c r="AM271" s="10" t="str">
        <f aca="false">IF(A271="","",A271&amp;"_CAD.dwg")</f>
        <v/>
      </c>
      <c r="AN271" s="10" t="str">
        <f aca="false">IF(A271="","",A271&amp;"_DWG.pdf")</f>
        <v/>
      </c>
      <c r="AO271" s="10" t="str">
        <f aca="false">IF(A271="","",IF(AK271="Y",A271&amp;"_STAAD.std","n/a"))</f>
        <v/>
      </c>
      <c r="AP271" s="10" t="str">
        <f aca="false">IF(A271="","",A271&amp;"_CALC.xlsx")</f>
        <v/>
      </c>
      <c r="AQ271" s="10" t="str">
        <f aca="false">IF(A271="","",A271&amp;"_CALC.pdf")</f>
        <v/>
      </c>
      <c r="AR271" s="9"/>
      <c r="AS271" s="9"/>
      <c r="AT271" s="39"/>
      <c r="AU271" s="39"/>
      <c r="AV271" s="39"/>
      <c r="AW271" s="39"/>
      <c r="AX271" s="39"/>
      <c r="AY271" s="12" t="str">
        <f aca="false">IF(A271="","",IF(COUNTIF(Rebar_Schedule!$A$5:$A$2004,A271)=0,"",ROUND(SUMIF(Rebar_Schedule!$A$5:$A$2004,A271,Rebar_Schedule!$K$5:$K$2004),1)))</f>
        <v/>
      </c>
      <c r="AZ271" s="33" t="str">
        <f aca="false">IF(A271="","",IF(AY271="","No rebar schedule yet",IF(ABS(AY271-N(AU271))/MAX(N(AU271),1)&gt;SG_Criteria!$B$55,"NOTE: register rebar differs from schedule by "&amp;TEXT(ABS(AY271-N(AU271))/MAX(N(AU271),1),"0%"),"OK")))</f>
        <v/>
      </c>
      <c r="BA271" s="33" t="str">
        <f aca="false">IF(OR(D271="",H271=""),"",IF(H271&lt;=IF(OR(D271="Soldier Pile &amp; Timber Lagging",D271="Trench Shoring Box",D271="Open Cut (battered)"),SG_Criteria!$B$34,SG_Criteria!$B$33),"No ERSS submission",IF(H271&lt;=SG_Criteria!$B$35,"QP(ST)",IF(H271&lt;=SG_Criteria!$B$36,"QP(ST) + AC","Geotechnical building works: QP(Geo) + AC"))))</f>
        <v/>
      </c>
      <c r="BB271" s="33" t="str">
        <f aca="false">IF(D271="","",IF(LEN(IF(AND(R271&lt;&gt;"",R271&lt;SG_Criteria!$B$37),"FAIL: base stability FOS &lt; "&amp;SG_Criteria!$B$37&amp;". ","")&amp;IF(AND(E271="Manhole",H271&gt;SG_Criteria!$B$36),"NOTE: BCA lists sewer manholes (pipe &lt;= 2 m dia) &gt; 6 m as non-GBW: QP(ST) + AC. ","")&amp;IF(AND(D271="Trench Shoring Box",I271="Kallang Formation (marine clay)"),"NOTE: check base heave / ground loss for shoring box in marine clay. ","")&amp;IF(AND(D271="Steel Sheet Pile Cofferdam",N(N271)&lt;H271*0.5),"NOTE: short toe embedment, check. ",""))=0,"OK",IF(AND(R271&lt;&gt;"",R271&lt;SG_Criteria!$B$37),"FAIL: base stability FOS &lt; "&amp;SG_Criteria!$B$37&amp;". ","")&amp;IF(AND(E271="Manhole",H271&gt;SG_Criteria!$B$36),"NOTE: BCA lists sewer manholes (pipe &lt;= 2 m dia) &gt; 6 m as non-GBW: QP(ST) + AC. ","")&amp;IF(AND(D271="Trench Shoring Box",I271="Kallang Formation (marine clay)"),"NOTE: check base heave / ground loss for shoring box in marine clay. ","")&amp;IF(AND(D271="Steel Sheet Pile Cofferdam",N(N271)&lt;H271*0.5),"NOTE: short toe embedment, check. ","")))</f>
        <v/>
      </c>
      <c r="BC271" s="9"/>
      <c r="BD271" s="9"/>
      <c r="BE271" s="9"/>
      <c r="BF271" s="10" t="str">
        <f aca="false">IF(BE271="","",IFERROR(VLOOKUP(BE271,Projects!$A$5:$D$504,2,0),"Ref not in Projects"))</f>
        <v/>
      </c>
      <c r="BG271" s="10" t="str">
        <f aca="false">IF(BE271="","",IFERROR(VLOOKUP(BE271,Projects!$A$5:$D$504,4,0),"Ref not in Projects"))</f>
        <v/>
      </c>
      <c r="BH271" s="9"/>
      <c r="BI271" s="9"/>
      <c r="BJ271" s="9"/>
      <c r="BK271" s="40"/>
      <c r="BL271" s="9"/>
      <c r="BM271" s="40"/>
      <c r="BN271" s="9"/>
      <c r="BO271" s="40"/>
      <c r="BP271" s="9"/>
      <c r="BQ271" s="9"/>
      <c r="BR271" s="9"/>
      <c r="BS271" s="40"/>
      <c r="BT271" s="40"/>
      <c r="BU271" s="36" t="str">
        <f aca="false">IF(BT271="","",EDATE(BT271,SG_Criteria!$B$54*12))</f>
        <v/>
      </c>
      <c r="BV271" s="33" t="str">
        <f aca="true">IF(A271="","",IF(BT271="","NOTE: not reviewed yet",IF(TODAY()&gt;BU271,"NOTE: review overdue","OK")))</f>
        <v/>
      </c>
      <c r="BW271" s="37" t="str">
        <f aca="false">IF(A271="","",ROUND((IF(LEN(D271)&gt;0,1,0)+IF(LEN(E271)&gt;0,1,0)+IF(LEN(F271)&gt;0,1,0)+IF(LEN(G271)&gt;0,1,0)+IF(LEN(H271)&gt;0,1,0)+IF(LEN(I271)&gt;0,1,0)+IF(LEN(J271)&gt;0,1,0)+IF(LEN(L271)&gt;0,1,0)+IF(LEN(R271)&gt;0,1,0)+IF(LEN(Y271)&gt;0,1,0)+IF(LEN(AE271)&gt;0,1,0)+IF(LEN(AG271)&gt;0,1,0)+IF(LEN(AH271)&gt;0,1,0)+IF(LEN(AI271)&gt;0,1,0)+IF(LEN(AJ271)&gt;0,1,0)+IF(LEN(AS271)&gt;0,1,0)+IF(LEN(BE271)&gt;0,1,0)+IF(LEN(BR271)&gt;0,1,0))/18,2))</f>
        <v/>
      </c>
      <c r="BX271" s="10" t="str">
        <f aca="false">IF(D271="","",IF(AND(AH271="Approved",ISERROR(SEARCH("FAIL",BB271))),"Y","N"))</f>
        <v/>
      </c>
      <c r="BY271" s="10" t="str">
        <f aca="false">IF(D271="","",D271&amp;"|"&amp;H271&amp;"|"&amp;F271&amp;"|"&amp;I271&amp;"|"&amp;BX271)</f>
        <v/>
      </c>
    </row>
    <row r="272" customFormat="false" ht="15" hidden="false" customHeight="false" outlineLevel="0" collapsed="false">
      <c r="A272" s="10" t="str">
        <f aca="false">IF(D272="","","ERSS-"&amp;IFERROR(VLOOKUP(D272,Lists!$AK$4:$AL$21,2,0),"??")&amp;"-"&amp;TEXT(F272,"0000")&amp;"x"&amp;TEXT(G272,"0000")&amp;"-D"&amp;TEXT(H272*1000,"0000")&amp;"-"&amp;IFERROR(VLOOKUP(I272,Lists!$Y$4:$Z$21,2,0),"??")&amp;"-"&amp;AG272)</f>
        <v/>
      </c>
      <c r="B272" s="10" t="str">
        <f aca="false">IF(D272="","",D272&amp;" for "&amp;E272&amp;", "&amp;F272&amp;" x "&amp;G272&amp;" pit, "&amp;TEXT(H272,"0.0")&amp;" m deep, "&amp;I272)</f>
        <v/>
      </c>
      <c r="C272" s="9"/>
      <c r="D272" s="9"/>
      <c r="E272" s="9"/>
      <c r="F272" s="38"/>
      <c r="G272" s="38"/>
      <c r="H272" s="42"/>
      <c r="I272" s="9"/>
      <c r="J272" s="42"/>
      <c r="K272" s="38"/>
      <c r="L272" s="9"/>
      <c r="M272" s="42"/>
      <c r="N272" s="42"/>
      <c r="O272" s="38"/>
      <c r="P272" s="9"/>
      <c r="Q272" s="9"/>
      <c r="R272" s="39"/>
      <c r="S272" s="39"/>
      <c r="T272" s="38"/>
      <c r="U272" s="38"/>
      <c r="V272" s="38"/>
      <c r="W272" s="9"/>
      <c r="X272" s="9"/>
      <c r="Y272" s="38"/>
      <c r="Z272" s="9"/>
      <c r="AA272" s="9"/>
      <c r="AB272" s="38"/>
      <c r="AC272" s="9"/>
      <c r="AD272" s="39"/>
      <c r="AE272" s="9"/>
      <c r="AF272" s="9"/>
      <c r="AG272" s="9"/>
      <c r="AH272" s="9"/>
      <c r="AI272" s="9"/>
      <c r="AJ272" s="9"/>
      <c r="AK272" s="9"/>
      <c r="AL272" s="10" t="str">
        <f aca="false">IF(A272="","",SG_Criteria!$B$6&amp;SG_Criteria!$B$11&amp;"\"&amp;A272&amp;"\")</f>
        <v/>
      </c>
      <c r="AM272" s="10" t="str">
        <f aca="false">IF(A272="","",A272&amp;"_CAD.dwg")</f>
        <v/>
      </c>
      <c r="AN272" s="10" t="str">
        <f aca="false">IF(A272="","",A272&amp;"_DWG.pdf")</f>
        <v/>
      </c>
      <c r="AO272" s="10" t="str">
        <f aca="false">IF(A272="","",IF(AK272="Y",A272&amp;"_STAAD.std","n/a"))</f>
        <v/>
      </c>
      <c r="AP272" s="10" t="str">
        <f aca="false">IF(A272="","",A272&amp;"_CALC.xlsx")</f>
        <v/>
      </c>
      <c r="AQ272" s="10" t="str">
        <f aca="false">IF(A272="","",A272&amp;"_CALC.pdf")</f>
        <v/>
      </c>
      <c r="AR272" s="9"/>
      <c r="AS272" s="9"/>
      <c r="AT272" s="39"/>
      <c r="AU272" s="39"/>
      <c r="AV272" s="39"/>
      <c r="AW272" s="39"/>
      <c r="AX272" s="39"/>
      <c r="AY272" s="12" t="str">
        <f aca="false">IF(A272="","",IF(COUNTIF(Rebar_Schedule!$A$5:$A$2004,A272)=0,"",ROUND(SUMIF(Rebar_Schedule!$A$5:$A$2004,A272,Rebar_Schedule!$K$5:$K$2004),1)))</f>
        <v/>
      </c>
      <c r="AZ272" s="33" t="str">
        <f aca="false">IF(A272="","",IF(AY272="","No rebar schedule yet",IF(ABS(AY272-N(AU272))/MAX(N(AU272),1)&gt;SG_Criteria!$B$55,"NOTE: register rebar differs from schedule by "&amp;TEXT(ABS(AY272-N(AU272))/MAX(N(AU272),1),"0%"),"OK")))</f>
        <v/>
      </c>
      <c r="BA272" s="33" t="str">
        <f aca="false">IF(OR(D272="",H272=""),"",IF(H272&lt;=IF(OR(D272="Soldier Pile &amp; Timber Lagging",D272="Trench Shoring Box",D272="Open Cut (battered)"),SG_Criteria!$B$34,SG_Criteria!$B$33),"No ERSS submission",IF(H272&lt;=SG_Criteria!$B$35,"QP(ST)",IF(H272&lt;=SG_Criteria!$B$36,"QP(ST) + AC","Geotechnical building works: QP(Geo) + AC"))))</f>
        <v/>
      </c>
      <c r="BB272" s="33" t="str">
        <f aca="false">IF(D272="","",IF(LEN(IF(AND(R272&lt;&gt;"",R272&lt;SG_Criteria!$B$37),"FAIL: base stability FOS &lt; "&amp;SG_Criteria!$B$37&amp;". ","")&amp;IF(AND(E272="Manhole",H272&gt;SG_Criteria!$B$36),"NOTE: BCA lists sewer manholes (pipe &lt;= 2 m dia) &gt; 6 m as non-GBW: QP(ST) + AC. ","")&amp;IF(AND(D272="Trench Shoring Box",I272="Kallang Formation (marine clay)"),"NOTE: check base heave / ground loss for shoring box in marine clay. ","")&amp;IF(AND(D272="Steel Sheet Pile Cofferdam",N(N272)&lt;H272*0.5),"NOTE: short toe embedment, check. ",""))=0,"OK",IF(AND(R272&lt;&gt;"",R272&lt;SG_Criteria!$B$37),"FAIL: base stability FOS &lt; "&amp;SG_Criteria!$B$37&amp;". ","")&amp;IF(AND(E272="Manhole",H272&gt;SG_Criteria!$B$36),"NOTE: BCA lists sewer manholes (pipe &lt;= 2 m dia) &gt; 6 m as non-GBW: QP(ST) + AC. ","")&amp;IF(AND(D272="Trench Shoring Box",I272="Kallang Formation (marine clay)"),"NOTE: check base heave / ground loss for shoring box in marine clay. ","")&amp;IF(AND(D272="Steel Sheet Pile Cofferdam",N(N272)&lt;H272*0.5),"NOTE: short toe embedment, check. ","")))</f>
        <v/>
      </c>
      <c r="BC272" s="9"/>
      <c r="BD272" s="9"/>
      <c r="BE272" s="9"/>
      <c r="BF272" s="10" t="str">
        <f aca="false">IF(BE272="","",IFERROR(VLOOKUP(BE272,Projects!$A$5:$D$504,2,0),"Ref not in Projects"))</f>
        <v/>
      </c>
      <c r="BG272" s="10" t="str">
        <f aca="false">IF(BE272="","",IFERROR(VLOOKUP(BE272,Projects!$A$5:$D$504,4,0),"Ref not in Projects"))</f>
        <v/>
      </c>
      <c r="BH272" s="9"/>
      <c r="BI272" s="9"/>
      <c r="BJ272" s="9"/>
      <c r="BK272" s="40"/>
      <c r="BL272" s="9"/>
      <c r="BM272" s="40"/>
      <c r="BN272" s="9"/>
      <c r="BO272" s="40"/>
      <c r="BP272" s="9"/>
      <c r="BQ272" s="9"/>
      <c r="BR272" s="9"/>
      <c r="BS272" s="40"/>
      <c r="BT272" s="40"/>
      <c r="BU272" s="36" t="str">
        <f aca="false">IF(BT272="","",EDATE(BT272,SG_Criteria!$B$54*12))</f>
        <v/>
      </c>
      <c r="BV272" s="33" t="str">
        <f aca="true">IF(A272="","",IF(BT272="","NOTE: not reviewed yet",IF(TODAY()&gt;BU272,"NOTE: review overdue","OK")))</f>
        <v/>
      </c>
      <c r="BW272" s="37" t="str">
        <f aca="false">IF(A272="","",ROUND((IF(LEN(D272)&gt;0,1,0)+IF(LEN(E272)&gt;0,1,0)+IF(LEN(F272)&gt;0,1,0)+IF(LEN(G272)&gt;0,1,0)+IF(LEN(H272)&gt;0,1,0)+IF(LEN(I272)&gt;0,1,0)+IF(LEN(J272)&gt;0,1,0)+IF(LEN(L272)&gt;0,1,0)+IF(LEN(R272)&gt;0,1,0)+IF(LEN(Y272)&gt;0,1,0)+IF(LEN(AE272)&gt;0,1,0)+IF(LEN(AG272)&gt;0,1,0)+IF(LEN(AH272)&gt;0,1,0)+IF(LEN(AI272)&gt;0,1,0)+IF(LEN(AJ272)&gt;0,1,0)+IF(LEN(AS272)&gt;0,1,0)+IF(LEN(BE272)&gt;0,1,0)+IF(LEN(BR272)&gt;0,1,0))/18,2))</f>
        <v/>
      </c>
      <c r="BX272" s="10" t="str">
        <f aca="false">IF(D272="","",IF(AND(AH272="Approved",ISERROR(SEARCH("FAIL",BB272))),"Y","N"))</f>
        <v/>
      </c>
      <c r="BY272" s="10" t="str">
        <f aca="false">IF(D272="","",D272&amp;"|"&amp;H272&amp;"|"&amp;F272&amp;"|"&amp;I272&amp;"|"&amp;BX272)</f>
        <v/>
      </c>
    </row>
    <row r="273" customFormat="false" ht="15" hidden="false" customHeight="false" outlineLevel="0" collapsed="false">
      <c r="A273" s="10" t="str">
        <f aca="false">IF(D273="","","ERSS-"&amp;IFERROR(VLOOKUP(D273,Lists!$AK$4:$AL$21,2,0),"??")&amp;"-"&amp;TEXT(F273,"0000")&amp;"x"&amp;TEXT(G273,"0000")&amp;"-D"&amp;TEXT(H273*1000,"0000")&amp;"-"&amp;IFERROR(VLOOKUP(I273,Lists!$Y$4:$Z$21,2,0),"??")&amp;"-"&amp;AG273)</f>
        <v/>
      </c>
      <c r="B273" s="10" t="str">
        <f aca="false">IF(D273="","",D273&amp;" for "&amp;E273&amp;", "&amp;F273&amp;" x "&amp;G273&amp;" pit, "&amp;TEXT(H273,"0.0")&amp;" m deep, "&amp;I273)</f>
        <v/>
      </c>
      <c r="C273" s="9"/>
      <c r="D273" s="9"/>
      <c r="E273" s="9"/>
      <c r="F273" s="38"/>
      <c r="G273" s="38"/>
      <c r="H273" s="42"/>
      <c r="I273" s="9"/>
      <c r="J273" s="42"/>
      <c r="K273" s="38"/>
      <c r="L273" s="9"/>
      <c r="M273" s="42"/>
      <c r="N273" s="42"/>
      <c r="O273" s="38"/>
      <c r="P273" s="9"/>
      <c r="Q273" s="9"/>
      <c r="R273" s="39"/>
      <c r="S273" s="39"/>
      <c r="T273" s="38"/>
      <c r="U273" s="38"/>
      <c r="V273" s="38"/>
      <c r="W273" s="9"/>
      <c r="X273" s="9"/>
      <c r="Y273" s="38"/>
      <c r="Z273" s="9"/>
      <c r="AA273" s="9"/>
      <c r="AB273" s="38"/>
      <c r="AC273" s="9"/>
      <c r="AD273" s="39"/>
      <c r="AE273" s="9"/>
      <c r="AF273" s="9"/>
      <c r="AG273" s="9"/>
      <c r="AH273" s="9"/>
      <c r="AI273" s="9"/>
      <c r="AJ273" s="9"/>
      <c r="AK273" s="9"/>
      <c r="AL273" s="10" t="str">
        <f aca="false">IF(A273="","",SG_Criteria!$B$6&amp;SG_Criteria!$B$11&amp;"\"&amp;A273&amp;"\")</f>
        <v/>
      </c>
      <c r="AM273" s="10" t="str">
        <f aca="false">IF(A273="","",A273&amp;"_CAD.dwg")</f>
        <v/>
      </c>
      <c r="AN273" s="10" t="str">
        <f aca="false">IF(A273="","",A273&amp;"_DWG.pdf")</f>
        <v/>
      </c>
      <c r="AO273" s="10" t="str">
        <f aca="false">IF(A273="","",IF(AK273="Y",A273&amp;"_STAAD.std","n/a"))</f>
        <v/>
      </c>
      <c r="AP273" s="10" t="str">
        <f aca="false">IF(A273="","",A273&amp;"_CALC.xlsx")</f>
        <v/>
      </c>
      <c r="AQ273" s="10" t="str">
        <f aca="false">IF(A273="","",A273&amp;"_CALC.pdf")</f>
        <v/>
      </c>
      <c r="AR273" s="9"/>
      <c r="AS273" s="9"/>
      <c r="AT273" s="39"/>
      <c r="AU273" s="39"/>
      <c r="AV273" s="39"/>
      <c r="AW273" s="39"/>
      <c r="AX273" s="39"/>
      <c r="AY273" s="12" t="str">
        <f aca="false">IF(A273="","",IF(COUNTIF(Rebar_Schedule!$A$5:$A$2004,A273)=0,"",ROUND(SUMIF(Rebar_Schedule!$A$5:$A$2004,A273,Rebar_Schedule!$K$5:$K$2004),1)))</f>
        <v/>
      </c>
      <c r="AZ273" s="33" t="str">
        <f aca="false">IF(A273="","",IF(AY273="","No rebar schedule yet",IF(ABS(AY273-N(AU273))/MAX(N(AU273),1)&gt;SG_Criteria!$B$55,"NOTE: register rebar differs from schedule by "&amp;TEXT(ABS(AY273-N(AU273))/MAX(N(AU273),1),"0%"),"OK")))</f>
        <v/>
      </c>
      <c r="BA273" s="33" t="str">
        <f aca="false">IF(OR(D273="",H273=""),"",IF(H273&lt;=IF(OR(D273="Soldier Pile &amp; Timber Lagging",D273="Trench Shoring Box",D273="Open Cut (battered)"),SG_Criteria!$B$34,SG_Criteria!$B$33),"No ERSS submission",IF(H273&lt;=SG_Criteria!$B$35,"QP(ST)",IF(H273&lt;=SG_Criteria!$B$36,"QP(ST) + AC","Geotechnical building works: QP(Geo) + AC"))))</f>
        <v/>
      </c>
      <c r="BB273" s="33" t="str">
        <f aca="false">IF(D273="","",IF(LEN(IF(AND(R273&lt;&gt;"",R273&lt;SG_Criteria!$B$37),"FAIL: base stability FOS &lt; "&amp;SG_Criteria!$B$37&amp;". ","")&amp;IF(AND(E273="Manhole",H273&gt;SG_Criteria!$B$36),"NOTE: BCA lists sewer manholes (pipe &lt;= 2 m dia) &gt; 6 m as non-GBW: QP(ST) + AC. ","")&amp;IF(AND(D273="Trench Shoring Box",I273="Kallang Formation (marine clay)"),"NOTE: check base heave / ground loss for shoring box in marine clay. ","")&amp;IF(AND(D273="Steel Sheet Pile Cofferdam",N(N273)&lt;H273*0.5),"NOTE: short toe embedment, check. ",""))=0,"OK",IF(AND(R273&lt;&gt;"",R273&lt;SG_Criteria!$B$37),"FAIL: base stability FOS &lt; "&amp;SG_Criteria!$B$37&amp;". ","")&amp;IF(AND(E273="Manhole",H273&gt;SG_Criteria!$B$36),"NOTE: BCA lists sewer manholes (pipe &lt;= 2 m dia) &gt; 6 m as non-GBW: QP(ST) + AC. ","")&amp;IF(AND(D273="Trench Shoring Box",I273="Kallang Formation (marine clay)"),"NOTE: check base heave / ground loss for shoring box in marine clay. ","")&amp;IF(AND(D273="Steel Sheet Pile Cofferdam",N(N273)&lt;H273*0.5),"NOTE: short toe embedment, check. ","")))</f>
        <v/>
      </c>
      <c r="BC273" s="9"/>
      <c r="BD273" s="9"/>
      <c r="BE273" s="9"/>
      <c r="BF273" s="10" t="str">
        <f aca="false">IF(BE273="","",IFERROR(VLOOKUP(BE273,Projects!$A$5:$D$504,2,0),"Ref not in Projects"))</f>
        <v/>
      </c>
      <c r="BG273" s="10" t="str">
        <f aca="false">IF(BE273="","",IFERROR(VLOOKUP(BE273,Projects!$A$5:$D$504,4,0),"Ref not in Projects"))</f>
        <v/>
      </c>
      <c r="BH273" s="9"/>
      <c r="BI273" s="9"/>
      <c r="BJ273" s="9"/>
      <c r="BK273" s="40"/>
      <c r="BL273" s="9"/>
      <c r="BM273" s="40"/>
      <c r="BN273" s="9"/>
      <c r="BO273" s="40"/>
      <c r="BP273" s="9"/>
      <c r="BQ273" s="9"/>
      <c r="BR273" s="9"/>
      <c r="BS273" s="40"/>
      <c r="BT273" s="40"/>
      <c r="BU273" s="36" t="str">
        <f aca="false">IF(BT273="","",EDATE(BT273,SG_Criteria!$B$54*12))</f>
        <v/>
      </c>
      <c r="BV273" s="33" t="str">
        <f aca="true">IF(A273="","",IF(BT273="","NOTE: not reviewed yet",IF(TODAY()&gt;BU273,"NOTE: review overdue","OK")))</f>
        <v/>
      </c>
      <c r="BW273" s="37" t="str">
        <f aca="false">IF(A273="","",ROUND((IF(LEN(D273)&gt;0,1,0)+IF(LEN(E273)&gt;0,1,0)+IF(LEN(F273)&gt;0,1,0)+IF(LEN(G273)&gt;0,1,0)+IF(LEN(H273)&gt;0,1,0)+IF(LEN(I273)&gt;0,1,0)+IF(LEN(J273)&gt;0,1,0)+IF(LEN(L273)&gt;0,1,0)+IF(LEN(R273)&gt;0,1,0)+IF(LEN(Y273)&gt;0,1,0)+IF(LEN(AE273)&gt;0,1,0)+IF(LEN(AG273)&gt;0,1,0)+IF(LEN(AH273)&gt;0,1,0)+IF(LEN(AI273)&gt;0,1,0)+IF(LEN(AJ273)&gt;0,1,0)+IF(LEN(AS273)&gt;0,1,0)+IF(LEN(BE273)&gt;0,1,0)+IF(LEN(BR273)&gt;0,1,0))/18,2))</f>
        <v/>
      </c>
      <c r="BX273" s="10" t="str">
        <f aca="false">IF(D273="","",IF(AND(AH273="Approved",ISERROR(SEARCH("FAIL",BB273))),"Y","N"))</f>
        <v/>
      </c>
      <c r="BY273" s="10" t="str">
        <f aca="false">IF(D273="","",D273&amp;"|"&amp;H273&amp;"|"&amp;F273&amp;"|"&amp;I273&amp;"|"&amp;BX273)</f>
        <v/>
      </c>
    </row>
    <row r="274" customFormat="false" ht="15" hidden="false" customHeight="false" outlineLevel="0" collapsed="false">
      <c r="A274" s="10" t="str">
        <f aca="false">IF(D274="","","ERSS-"&amp;IFERROR(VLOOKUP(D274,Lists!$AK$4:$AL$21,2,0),"??")&amp;"-"&amp;TEXT(F274,"0000")&amp;"x"&amp;TEXT(G274,"0000")&amp;"-D"&amp;TEXT(H274*1000,"0000")&amp;"-"&amp;IFERROR(VLOOKUP(I274,Lists!$Y$4:$Z$21,2,0),"??")&amp;"-"&amp;AG274)</f>
        <v/>
      </c>
      <c r="B274" s="10" t="str">
        <f aca="false">IF(D274="","",D274&amp;" for "&amp;E274&amp;", "&amp;F274&amp;" x "&amp;G274&amp;" pit, "&amp;TEXT(H274,"0.0")&amp;" m deep, "&amp;I274)</f>
        <v/>
      </c>
      <c r="C274" s="9"/>
      <c r="D274" s="9"/>
      <c r="E274" s="9"/>
      <c r="F274" s="38"/>
      <c r="G274" s="38"/>
      <c r="H274" s="42"/>
      <c r="I274" s="9"/>
      <c r="J274" s="42"/>
      <c r="K274" s="38"/>
      <c r="L274" s="9"/>
      <c r="M274" s="42"/>
      <c r="N274" s="42"/>
      <c r="O274" s="38"/>
      <c r="P274" s="9"/>
      <c r="Q274" s="9"/>
      <c r="R274" s="39"/>
      <c r="S274" s="39"/>
      <c r="T274" s="38"/>
      <c r="U274" s="38"/>
      <c r="V274" s="38"/>
      <c r="W274" s="9"/>
      <c r="X274" s="9"/>
      <c r="Y274" s="38"/>
      <c r="Z274" s="9"/>
      <c r="AA274" s="9"/>
      <c r="AB274" s="38"/>
      <c r="AC274" s="9"/>
      <c r="AD274" s="39"/>
      <c r="AE274" s="9"/>
      <c r="AF274" s="9"/>
      <c r="AG274" s="9"/>
      <c r="AH274" s="9"/>
      <c r="AI274" s="9"/>
      <c r="AJ274" s="9"/>
      <c r="AK274" s="9"/>
      <c r="AL274" s="10" t="str">
        <f aca="false">IF(A274="","",SG_Criteria!$B$6&amp;SG_Criteria!$B$11&amp;"\"&amp;A274&amp;"\")</f>
        <v/>
      </c>
      <c r="AM274" s="10" t="str">
        <f aca="false">IF(A274="","",A274&amp;"_CAD.dwg")</f>
        <v/>
      </c>
      <c r="AN274" s="10" t="str">
        <f aca="false">IF(A274="","",A274&amp;"_DWG.pdf")</f>
        <v/>
      </c>
      <c r="AO274" s="10" t="str">
        <f aca="false">IF(A274="","",IF(AK274="Y",A274&amp;"_STAAD.std","n/a"))</f>
        <v/>
      </c>
      <c r="AP274" s="10" t="str">
        <f aca="false">IF(A274="","",A274&amp;"_CALC.xlsx")</f>
        <v/>
      </c>
      <c r="AQ274" s="10" t="str">
        <f aca="false">IF(A274="","",A274&amp;"_CALC.pdf")</f>
        <v/>
      </c>
      <c r="AR274" s="9"/>
      <c r="AS274" s="9"/>
      <c r="AT274" s="39"/>
      <c r="AU274" s="39"/>
      <c r="AV274" s="39"/>
      <c r="AW274" s="39"/>
      <c r="AX274" s="39"/>
      <c r="AY274" s="12" t="str">
        <f aca="false">IF(A274="","",IF(COUNTIF(Rebar_Schedule!$A$5:$A$2004,A274)=0,"",ROUND(SUMIF(Rebar_Schedule!$A$5:$A$2004,A274,Rebar_Schedule!$K$5:$K$2004),1)))</f>
        <v/>
      </c>
      <c r="AZ274" s="33" t="str">
        <f aca="false">IF(A274="","",IF(AY274="","No rebar schedule yet",IF(ABS(AY274-N(AU274))/MAX(N(AU274),1)&gt;SG_Criteria!$B$55,"NOTE: register rebar differs from schedule by "&amp;TEXT(ABS(AY274-N(AU274))/MAX(N(AU274),1),"0%"),"OK")))</f>
        <v/>
      </c>
      <c r="BA274" s="33" t="str">
        <f aca="false">IF(OR(D274="",H274=""),"",IF(H274&lt;=IF(OR(D274="Soldier Pile &amp; Timber Lagging",D274="Trench Shoring Box",D274="Open Cut (battered)"),SG_Criteria!$B$34,SG_Criteria!$B$33),"No ERSS submission",IF(H274&lt;=SG_Criteria!$B$35,"QP(ST)",IF(H274&lt;=SG_Criteria!$B$36,"QP(ST) + AC","Geotechnical building works: QP(Geo) + AC"))))</f>
        <v/>
      </c>
      <c r="BB274" s="33" t="str">
        <f aca="false">IF(D274="","",IF(LEN(IF(AND(R274&lt;&gt;"",R274&lt;SG_Criteria!$B$37),"FAIL: base stability FOS &lt; "&amp;SG_Criteria!$B$37&amp;". ","")&amp;IF(AND(E274="Manhole",H274&gt;SG_Criteria!$B$36),"NOTE: BCA lists sewer manholes (pipe &lt;= 2 m dia) &gt; 6 m as non-GBW: QP(ST) + AC. ","")&amp;IF(AND(D274="Trench Shoring Box",I274="Kallang Formation (marine clay)"),"NOTE: check base heave / ground loss for shoring box in marine clay. ","")&amp;IF(AND(D274="Steel Sheet Pile Cofferdam",N(N274)&lt;H274*0.5),"NOTE: short toe embedment, check. ",""))=0,"OK",IF(AND(R274&lt;&gt;"",R274&lt;SG_Criteria!$B$37),"FAIL: base stability FOS &lt; "&amp;SG_Criteria!$B$37&amp;". ","")&amp;IF(AND(E274="Manhole",H274&gt;SG_Criteria!$B$36),"NOTE: BCA lists sewer manholes (pipe &lt;= 2 m dia) &gt; 6 m as non-GBW: QP(ST) + AC. ","")&amp;IF(AND(D274="Trench Shoring Box",I274="Kallang Formation (marine clay)"),"NOTE: check base heave / ground loss for shoring box in marine clay. ","")&amp;IF(AND(D274="Steel Sheet Pile Cofferdam",N(N274)&lt;H274*0.5),"NOTE: short toe embedment, check. ","")))</f>
        <v/>
      </c>
      <c r="BC274" s="9"/>
      <c r="BD274" s="9"/>
      <c r="BE274" s="9"/>
      <c r="BF274" s="10" t="str">
        <f aca="false">IF(BE274="","",IFERROR(VLOOKUP(BE274,Projects!$A$5:$D$504,2,0),"Ref not in Projects"))</f>
        <v/>
      </c>
      <c r="BG274" s="10" t="str">
        <f aca="false">IF(BE274="","",IFERROR(VLOOKUP(BE274,Projects!$A$5:$D$504,4,0),"Ref not in Projects"))</f>
        <v/>
      </c>
      <c r="BH274" s="9"/>
      <c r="BI274" s="9"/>
      <c r="BJ274" s="9"/>
      <c r="BK274" s="40"/>
      <c r="BL274" s="9"/>
      <c r="BM274" s="40"/>
      <c r="BN274" s="9"/>
      <c r="BO274" s="40"/>
      <c r="BP274" s="9"/>
      <c r="BQ274" s="9"/>
      <c r="BR274" s="9"/>
      <c r="BS274" s="40"/>
      <c r="BT274" s="40"/>
      <c r="BU274" s="36" t="str">
        <f aca="false">IF(BT274="","",EDATE(BT274,SG_Criteria!$B$54*12))</f>
        <v/>
      </c>
      <c r="BV274" s="33" t="str">
        <f aca="true">IF(A274="","",IF(BT274="","NOTE: not reviewed yet",IF(TODAY()&gt;BU274,"NOTE: review overdue","OK")))</f>
        <v/>
      </c>
      <c r="BW274" s="37" t="str">
        <f aca="false">IF(A274="","",ROUND((IF(LEN(D274)&gt;0,1,0)+IF(LEN(E274)&gt;0,1,0)+IF(LEN(F274)&gt;0,1,0)+IF(LEN(G274)&gt;0,1,0)+IF(LEN(H274)&gt;0,1,0)+IF(LEN(I274)&gt;0,1,0)+IF(LEN(J274)&gt;0,1,0)+IF(LEN(L274)&gt;0,1,0)+IF(LEN(R274)&gt;0,1,0)+IF(LEN(Y274)&gt;0,1,0)+IF(LEN(AE274)&gt;0,1,0)+IF(LEN(AG274)&gt;0,1,0)+IF(LEN(AH274)&gt;0,1,0)+IF(LEN(AI274)&gt;0,1,0)+IF(LEN(AJ274)&gt;0,1,0)+IF(LEN(AS274)&gt;0,1,0)+IF(LEN(BE274)&gt;0,1,0)+IF(LEN(BR274)&gt;0,1,0))/18,2))</f>
        <v/>
      </c>
      <c r="BX274" s="10" t="str">
        <f aca="false">IF(D274="","",IF(AND(AH274="Approved",ISERROR(SEARCH("FAIL",BB274))),"Y","N"))</f>
        <v/>
      </c>
      <c r="BY274" s="10" t="str">
        <f aca="false">IF(D274="","",D274&amp;"|"&amp;H274&amp;"|"&amp;F274&amp;"|"&amp;I274&amp;"|"&amp;BX274)</f>
        <v/>
      </c>
    </row>
    <row r="275" customFormat="false" ht="15" hidden="false" customHeight="false" outlineLevel="0" collapsed="false">
      <c r="A275" s="10" t="str">
        <f aca="false">IF(D275="","","ERSS-"&amp;IFERROR(VLOOKUP(D275,Lists!$AK$4:$AL$21,2,0),"??")&amp;"-"&amp;TEXT(F275,"0000")&amp;"x"&amp;TEXT(G275,"0000")&amp;"-D"&amp;TEXT(H275*1000,"0000")&amp;"-"&amp;IFERROR(VLOOKUP(I275,Lists!$Y$4:$Z$21,2,0),"??")&amp;"-"&amp;AG275)</f>
        <v/>
      </c>
      <c r="B275" s="10" t="str">
        <f aca="false">IF(D275="","",D275&amp;" for "&amp;E275&amp;", "&amp;F275&amp;" x "&amp;G275&amp;" pit, "&amp;TEXT(H275,"0.0")&amp;" m deep, "&amp;I275)</f>
        <v/>
      </c>
      <c r="C275" s="9"/>
      <c r="D275" s="9"/>
      <c r="E275" s="9"/>
      <c r="F275" s="38"/>
      <c r="G275" s="38"/>
      <c r="H275" s="42"/>
      <c r="I275" s="9"/>
      <c r="J275" s="42"/>
      <c r="K275" s="38"/>
      <c r="L275" s="9"/>
      <c r="M275" s="42"/>
      <c r="N275" s="42"/>
      <c r="O275" s="38"/>
      <c r="P275" s="9"/>
      <c r="Q275" s="9"/>
      <c r="R275" s="39"/>
      <c r="S275" s="39"/>
      <c r="T275" s="38"/>
      <c r="U275" s="38"/>
      <c r="V275" s="38"/>
      <c r="W275" s="9"/>
      <c r="X275" s="9"/>
      <c r="Y275" s="38"/>
      <c r="Z275" s="9"/>
      <c r="AA275" s="9"/>
      <c r="AB275" s="38"/>
      <c r="AC275" s="9"/>
      <c r="AD275" s="39"/>
      <c r="AE275" s="9"/>
      <c r="AF275" s="9"/>
      <c r="AG275" s="9"/>
      <c r="AH275" s="9"/>
      <c r="AI275" s="9"/>
      <c r="AJ275" s="9"/>
      <c r="AK275" s="9"/>
      <c r="AL275" s="10" t="str">
        <f aca="false">IF(A275="","",SG_Criteria!$B$6&amp;SG_Criteria!$B$11&amp;"\"&amp;A275&amp;"\")</f>
        <v/>
      </c>
      <c r="AM275" s="10" t="str">
        <f aca="false">IF(A275="","",A275&amp;"_CAD.dwg")</f>
        <v/>
      </c>
      <c r="AN275" s="10" t="str">
        <f aca="false">IF(A275="","",A275&amp;"_DWG.pdf")</f>
        <v/>
      </c>
      <c r="AO275" s="10" t="str">
        <f aca="false">IF(A275="","",IF(AK275="Y",A275&amp;"_STAAD.std","n/a"))</f>
        <v/>
      </c>
      <c r="AP275" s="10" t="str">
        <f aca="false">IF(A275="","",A275&amp;"_CALC.xlsx")</f>
        <v/>
      </c>
      <c r="AQ275" s="10" t="str">
        <f aca="false">IF(A275="","",A275&amp;"_CALC.pdf")</f>
        <v/>
      </c>
      <c r="AR275" s="9"/>
      <c r="AS275" s="9"/>
      <c r="AT275" s="39"/>
      <c r="AU275" s="39"/>
      <c r="AV275" s="39"/>
      <c r="AW275" s="39"/>
      <c r="AX275" s="39"/>
      <c r="AY275" s="12" t="str">
        <f aca="false">IF(A275="","",IF(COUNTIF(Rebar_Schedule!$A$5:$A$2004,A275)=0,"",ROUND(SUMIF(Rebar_Schedule!$A$5:$A$2004,A275,Rebar_Schedule!$K$5:$K$2004),1)))</f>
        <v/>
      </c>
      <c r="AZ275" s="33" t="str">
        <f aca="false">IF(A275="","",IF(AY275="","No rebar schedule yet",IF(ABS(AY275-N(AU275))/MAX(N(AU275),1)&gt;SG_Criteria!$B$55,"NOTE: register rebar differs from schedule by "&amp;TEXT(ABS(AY275-N(AU275))/MAX(N(AU275),1),"0%"),"OK")))</f>
        <v/>
      </c>
      <c r="BA275" s="33" t="str">
        <f aca="false">IF(OR(D275="",H275=""),"",IF(H275&lt;=IF(OR(D275="Soldier Pile &amp; Timber Lagging",D275="Trench Shoring Box",D275="Open Cut (battered)"),SG_Criteria!$B$34,SG_Criteria!$B$33),"No ERSS submission",IF(H275&lt;=SG_Criteria!$B$35,"QP(ST)",IF(H275&lt;=SG_Criteria!$B$36,"QP(ST) + AC","Geotechnical building works: QP(Geo) + AC"))))</f>
        <v/>
      </c>
      <c r="BB275" s="33" t="str">
        <f aca="false">IF(D275="","",IF(LEN(IF(AND(R275&lt;&gt;"",R275&lt;SG_Criteria!$B$37),"FAIL: base stability FOS &lt; "&amp;SG_Criteria!$B$37&amp;". ","")&amp;IF(AND(E275="Manhole",H275&gt;SG_Criteria!$B$36),"NOTE: BCA lists sewer manholes (pipe &lt;= 2 m dia) &gt; 6 m as non-GBW: QP(ST) + AC. ","")&amp;IF(AND(D275="Trench Shoring Box",I275="Kallang Formation (marine clay)"),"NOTE: check base heave / ground loss for shoring box in marine clay. ","")&amp;IF(AND(D275="Steel Sheet Pile Cofferdam",N(N275)&lt;H275*0.5),"NOTE: short toe embedment, check. ",""))=0,"OK",IF(AND(R275&lt;&gt;"",R275&lt;SG_Criteria!$B$37),"FAIL: base stability FOS &lt; "&amp;SG_Criteria!$B$37&amp;". ","")&amp;IF(AND(E275="Manhole",H275&gt;SG_Criteria!$B$36),"NOTE: BCA lists sewer manholes (pipe &lt;= 2 m dia) &gt; 6 m as non-GBW: QP(ST) + AC. ","")&amp;IF(AND(D275="Trench Shoring Box",I275="Kallang Formation (marine clay)"),"NOTE: check base heave / ground loss for shoring box in marine clay. ","")&amp;IF(AND(D275="Steel Sheet Pile Cofferdam",N(N275)&lt;H275*0.5),"NOTE: short toe embedment, check. ","")))</f>
        <v/>
      </c>
      <c r="BC275" s="9"/>
      <c r="BD275" s="9"/>
      <c r="BE275" s="9"/>
      <c r="BF275" s="10" t="str">
        <f aca="false">IF(BE275="","",IFERROR(VLOOKUP(BE275,Projects!$A$5:$D$504,2,0),"Ref not in Projects"))</f>
        <v/>
      </c>
      <c r="BG275" s="10" t="str">
        <f aca="false">IF(BE275="","",IFERROR(VLOOKUP(BE275,Projects!$A$5:$D$504,4,0),"Ref not in Projects"))</f>
        <v/>
      </c>
      <c r="BH275" s="9"/>
      <c r="BI275" s="9"/>
      <c r="BJ275" s="9"/>
      <c r="BK275" s="40"/>
      <c r="BL275" s="9"/>
      <c r="BM275" s="40"/>
      <c r="BN275" s="9"/>
      <c r="BO275" s="40"/>
      <c r="BP275" s="9"/>
      <c r="BQ275" s="9"/>
      <c r="BR275" s="9"/>
      <c r="BS275" s="40"/>
      <c r="BT275" s="40"/>
      <c r="BU275" s="36" t="str">
        <f aca="false">IF(BT275="","",EDATE(BT275,SG_Criteria!$B$54*12))</f>
        <v/>
      </c>
      <c r="BV275" s="33" t="str">
        <f aca="true">IF(A275="","",IF(BT275="","NOTE: not reviewed yet",IF(TODAY()&gt;BU275,"NOTE: review overdue","OK")))</f>
        <v/>
      </c>
      <c r="BW275" s="37" t="str">
        <f aca="false">IF(A275="","",ROUND((IF(LEN(D275)&gt;0,1,0)+IF(LEN(E275)&gt;0,1,0)+IF(LEN(F275)&gt;0,1,0)+IF(LEN(G275)&gt;0,1,0)+IF(LEN(H275)&gt;0,1,0)+IF(LEN(I275)&gt;0,1,0)+IF(LEN(J275)&gt;0,1,0)+IF(LEN(L275)&gt;0,1,0)+IF(LEN(R275)&gt;0,1,0)+IF(LEN(Y275)&gt;0,1,0)+IF(LEN(AE275)&gt;0,1,0)+IF(LEN(AG275)&gt;0,1,0)+IF(LEN(AH275)&gt;0,1,0)+IF(LEN(AI275)&gt;0,1,0)+IF(LEN(AJ275)&gt;0,1,0)+IF(LEN(AS275)&gt;0,1,0)+IF(LEN(BE275)&gt;0,1,0)+IF(LEN(BR275)&gt;0,1,0))/18,2))</f>
        <v/>
      </c>
      <c r="BX275" s="10" t="str">
        <f aca="false">IF(D275="","",IF(AND(AH275="Approved",ISERROR(SEARCH("FAIL",BB275))),"Y","N"))</f>
        <v/>
      </c>
      <c r="BY275" s="10" t="str">
        <f aca="false">IF(D275="","",D275&amp;"|"&amp;H275&amp;"|"&amp;F275&amp;"|"&amp;I275&amp;"|"&amp;BX275)</f>
        <v/>
      </c>
    </row>
    <row r="276" customFormat="false" ht="15" hidden="false" customHeight="false" outlineLevel="0" collapsed="false">
      <c r="A276" s="10" t="str">
        <f aca="false">IF(D276="","","ERSS-"&amp;IFERROR(VLOOKUP(D276,Lists!$AK$4:$AL$21,2,0),"??")&amp;"-"&amp;TEXT(F276,"0000")&amp;"x"&amp;TEXT(G276,"0000")&amp;"-D"&amp;TEXT(H276*1000,"0000")&amp;"-"&amp;IFERROR(VLOOKUP(I276,Lists!$Y$4:$Z$21,2,0),"??")&amp;"-"&amp;AG276)</f>
        <v/>
      </c>
      <c r="B276" s="10" t="str">
        <f aca="false">IF(D276="","",D276&amp;" for "&amp;E276&amp;", "&amp;F276&amp;" x "&amp;G276&amp;" pit, "&amp;TEXT(H276,"0.0")&amp;" m deep, "&amp;I276)</f>
        <v/>
      </c>
      <c r="C276" s="9"/>
      <c r="D276" s="9"/>
      <c r="E276" s="9"/>
      <c r="F276" s="38"/>
      <c r="G276" s="38"/>
      <c r="H276" s="42"/>
      <c r="I276" s="9"/>
      <c r="J276" s="42"/>
      <c r="K276" s="38"/>
      <c r="L276" s="9"/>
      <c r="M276" s="42"/>
      <c r="N276" s="42"/>
      <c r="O276" s="38"/>
      <c r="P276" s="9"/>
      <c r="Q276" s="9"/>
      <c r="R276" s="39"/>
      <c r="S276" s="39"/>
      <c r="T276" s="38"/>
      <c r="U276" s="38"/>
      <c r="V276" s="38"/>
      <c r="W276" s="9"/>
      <c r="X276" s="9"/>
      <c r="Y276" s="38"/>
      <c r="Z276" s="9"/>
      <c r="AA276" s="9"/>
      <c r="AB276" s="38"/>
      <c r="AC276" s="9"/>
      <c r="AD276" s="39"/>
      <c r="AE276" s="9"/>
      <c r="AF276" s="9"/>
      <c r="AG276" s="9"/>
      <c r="AH276" s="9"/>
      <c r="AI276" s="9"/>
      <c r="AJ276" s="9"/>
      <c r="AK276" s="9"/>
      <c r="AL276" s="10" t="str">
        <f aca="false">IF(A276="","",SG_Criteria!$B$6&amp;SG_Criteria!$B$11&amp;"\"&amp;A276&amp;"\")</f>
        <v/>
      </c>
      <c r="AM276" s="10" t="str">
        <f aca="false">IF(A276="","",A276&amp;"_CAD.dwg")</f>
        <v/>
      </c>
      <c r="AN276" s="10" t="str">
        <f aca="false">IF(A276="","",A276&amp;"_DWG.pdf")</f>
        <v/>
      </c>
      <c r="AO276" s="10" t="str">
        <f aca="false">IF(A276="","",IF(AK276="Y",A276&amp;"_STAAD.std","n/a"))</f>
        <v/>
      </c>
      <c r="AP276" s="10" t="str">
        <f aca="false">IF(A276="","",A276&amp;"_CALC.xlsx")</f>
        <v/>
      </c>
      <c r="AQ276" s="10" t="str">
        <f aca="false">IF(A276="","",A276&amp;"_CALC.pdf")</f>
        <v/>
      </c>
      <c r="AR276" s="9"/>
      <c r="AS276" s="9"/>
      <c r="AT276" s="39"/>
      <c r="AU276" s="39"/>
      <c r="AV276" s="39"/>
      <c r="AW276" s="39"/>
      <c r="AX276" s="39"/>
      <c r="AY276" s="12" t="str">
        <f aca="false">IF(A276="","",IF(COUNTIF(Rebar_Schedule!$A$5:$A$2004,A276)=0,"",ROUND(SUMIF(Rebar_Schedule!$A$5:$A$2004,A276,Rebar_Schedule!$K$5:$K$2004),1)))</f>
        <v/>
      </c>
      <c r="AZ276" s="33" t="str">
        <f aca="false">IF(A276="","",IF(AY276="","No rebar schedule yet",IF(ABS(AY276-N(AU276))/MAX(N(AU276),1)&gt;SG_Criteria!$B$55,"NOTE: register rebar differs from schedule by "&amp;TEXT(ABS(AY276-N(AU276))/MAX(N(AU276),1),"0%"),"OK")))</f>
        <v/>
      </c>
      <c r="BA276" s="33" t="str">
        <f aca="false">IF(OR(D276="",H276=""),"",IF(H276&lt;=IF(OR(D276="Soldier Pile &amp; Timber Lagging",D276="Trench Shoring Box",D276="Open Cut (battered)"),SG_Criteria!$B$34,SG_Criteria!$B$33),"No ERSS submission",IF(H276&lt;=SG_Criteria!$B$35,"QP(ST)",IF(H276&lt;=SG_Criteria!$B$36,"QP(ST) + AC","Geotechnical building works: QP(Geo) + AC"))))</f>
        <v/>
      </c>
      <c r="BB276" s="33" t="str">
        <f aca="false">IF(D276="","",IF(LEN(IF(AND(R276&lt;&gt;"",R276&lt;SG_Criteria!$B$37),"FAIL: base stability FOS &lt; "&amp;SG_Criteria!$B$37&amp;". ","")&amp;IF(AND(E276="Manhole",H276&gt;SG_Criteria!$B$36),"NOTE: BCA lists sewer manholes (pipe &lt;= 2 m dia) &gt; 6 m as non-GBW: QP(ST) + AC. ","")&amp;IF(AND(D276="Trench Shoring Box",I276="Kallang Formation (marine clay)"),"NOTE: check base heave / ground loss for shoring box in marine clay. ","")&amp;IF(AND(D276="Steel Sheet Pile Cofferdam",N(N276)&lt;H276*0.5),"NOTE: short toe embedment, check. ",""))=0,"OK",IF(AND(R276&lt;&gt;"",R276&lt;SG_Criteria!$B$37),"FAIL: base stability FOS &lt; "&amp;SG_Criteria!$B$37&amp;". ","")&amp;IF(AND(E276="Manhole",H276&gt;SG_Criteria!$B$36),"NOTE: BCA lists sewer manholes (pipe &lt;= 2 m dia) &gt; 6 m as non-GBW: QP(ST) + AC. ","")&amp;IF(AND(D276="Trench Shoring Box",I276="Kallang Formation (marine clay)"),"NOTE: check base heave / ground loss for shoring box in marine clay. ","")&amp;IF(AND(D276="Steel Sheet Pile Cofferdam",N(N276)&lt;H276*0.5),"NOTE: short toe embedment, check. ","")))</f>
        <v/>
      </c>
      <c r="BC276" s="9"/>
      <c r="BD276" s="9"/>
      <c r="BE276" s="9"/>
      <c r="BF276" s="10" t="str">
        <f aca="false">IF(BE276="","",IFERROR(VLOOKUP(BE276,Projects!$A$5:$D$504,2,0),"Ref not in Projects"))</f>
        <v/>
      </c>
      <c r="BG276" s="10" t="str">
        <f aca="false">IF(BE276="","",IFERROR(VLOOKUP(BE276,Projects!$A$5:$D$504,4,0),"Ref not in Projects"))</f>
        <v/>
      </c>
      <c r="BH276" s="9"/>
      <c r="BI276" s="9"/>
      <c r="BJ276" s="9"/>
      <c r="BK276" s="40"/>
      <c r="BL276" s="9"/>
      <c r="BM276" s="40"/>
      <c r="BN276" s="9"/>
      <c r="BO276" s="40"/>
      <c r="BP276" s="9"/>
      <c r="BQ276" s="9"/>
      <c r="BR276" s="9"/>
      <c r="BS276" s="40"/>
      <c r="BT276" s="40"/>
      <c r="BU276" s="36" t="str">
        <f aca="false">IF(BT276="","",EDATE(BT276,SG_Criteria!$B$54*12))</f>
        <v/>
      </c>
      <c r="BV276" s="33" t="str">
        <f aca="true">IF(A276="","",IF(BT276="","NOTE: not reviewed yet",IF(TODAY()&gt;BU276,"NOTE: review overdue","OK")))</f>
        <v/>
      </c>
      <c r="BW276" s="37" t="str">
        <f aca="false">IF(A276="","",ROUND((IF(LEN(D276)&gt;0,1,0)+IF(LEN(E276)&gt;0,1,0)+IF(LEN(F276)&gt;0,1,0)+IF(LEN(G276)&gt;0,1,0)+IF(LEN(H276)&gt;0,1,0)+IF(LEN(I276)&gt;0,1,0)+IF(LEN(J276)&gt;0,1,0)+IF(LEN(L276)&gt;0,1,0)+IF(LEN(R276)&gt;0,1,0)+IF(LEN(Y276)&gt;0,1,0)+IF(LEN(AE276)&gt;0,1,0)+IF(LEN(AG276)&gt;0,1,0)+IF(LEN(AH276)&gt;0,1,0)+IF(LEN(AI276)&gt;0,1,0)+IF(LEN(AJ276)&gt;0,1,0)+IF(LEN(AS276)&gt;0,1,0)+IF(LEN(BE276)&gt;0,1,0)+IF(LEN(BR276)&gt;0,1,0))/18,2))</f>
        <v/>
      </c>
      <c r="BX276" s="10" t="str">
        <f aca="false">IF(D276="","",IF(AND(AH276="Approved",ISERROR(SEARCH("FAIL",BB276))),"Y","N"))</f>
        <v/>
      </c>
      <c r="BY276" s="10" t="str">
        <f aca="false">IF(D276="","",D276&amp;"|"&amp;H276&amp;"|"&amp;F276&amp;"|"&amp;I276&amp;"|"&amp;BX276)</f>
        <v/>
      </c>
    </row>
    <row r="277" customFormat="false" ht="15" hidden="false" customHeight="false" outlineLevel="0" collapsed="false">
      <c r="A277" s="10" t="str">
        <f aca="false">IF(D277="","","ERSS-"&amp;IFERROR(VLOOKUP(D277,Lists!$AK$4:$AL$21,2,0),"??")&amp;"-"&amp;TEXT(F277,"0000")&amp;"x"&amp;TEXT(G277,"0000")&amp;"-D"&amp;TEXT(H277*1000,"0000")&amp;"-"&amp;IFERROR(VLOOKUP(I277,Lists!$Y$4:$Z$21,2,0),"??")&amp;"-"&amp;AG277)</f>
        <v/>
      </c>
      <c r="B277" s="10" t="str">
        <f aca="false">IF(D277="","",D277&amp;" for "&amp;E277&amp;", "&amp;F277&amp;" x "&amp;G277&amp;" pit, "&amp;TEXT(H277,"0.0")&amp;" m deep, "&amp;I277)</f>
        <v/>
      </c>
      <c r="C277" s="9"/>
      <c r="D277" s="9"/>
      <c r="E277" s="9"/>
      <c r="F277" s="38"/>
      <c r="G277" s="38"/>
      <c r="H277" s="42"/>
      <c r="I277" s="9"/>
      <c r="J277" s="42"/>
      <c r="K277" s="38"/>
      <c r="L277" s="9"/>
      <c r="M277" s="42"/>
      <c r="N277" s="42"/>
      <c r="O277" s="38"/>
      <c r="P277" s="9"/>
      <c r="Q277" s="9"/>
      <c r="R277" s="39"/>
      <c r="S277" s="39"/>
      <c r="T277" s="38"/>
      <c r="U277" s="38"/>
      <c r="V277" s="38"/>
      <c r="W277" s="9"/>
      <c r="X277" s="9"/>
      <c r="Y277" s="38"/>
      <c r="Z277" s="9"/>
      <c r="AA277" s="9"/>
      <c r="AB277" s="38"/>
      <c r="AC277" s="9"/>
      <c r="AD277" s="39"/>
      <c r="AE277" s="9"/>
      <c r="AF277" s="9"/>
      <c r="AG277" s="9"/>
      <c r="AH277" s="9"/>
      <c r="AI277" s="9"/>
      <c r="AJ277" s="9"/>
      <c r="AK277" s="9"/>
      <c r="AL277" s="10" t="str">
        <f aca="false">IF(A277="","",SG_Criteria!$B$6&amp;SG_Criteria!$B$11&amp;"\"&amp;A277&amp;"\")</f>
        <v/>
      </c>
      <c r="AM277" s="10" t="str">
        <f aca="false">IF(A277="","",A277&amp;"_CAD.dwg")</f>
        <v/>
      </c>
      <c r="AN277" s="10" t="str">
        <f aca="false">IF(A277="","",A277&amp;"_DWG.pdf")</f>
        <v/>
      </c>
      <c r="AO277" s="10" t="str">
        <f aca="false">IF(A277="","",IF(AK277="Y",A277&amp;"_STAAD.std","n/a"))</f>
        <v/>
      </c>
      <c r="AP277" s="10" t="str">
        <f aca="false">IF(A277="","",A277&amp;"_CALC.xlsx")</f>
        <v/>
      </c>
      <c r="AQ277" s="10" t="str">
        <f aca="false">IF(A277="","",A277&amp;"_CALC.pdf")</f>
        <v/>
      </c>
      <c r="AR277" s="9"/>
      <c r="AS277" s="9"/>
      <c r="AT277" s="39"/>
      <c r="AU277" s="39"/>
      <c r="AV277" s="39"/>
      <c r="AW277" s="39"/>
      <c r="AX277" s="39"/>
      <c r="AY277" s="12" t="str">
        <f aca="false">IF(A277="","",IF(COUNTIF(Rebar_Schedule!$A$5:$A$2004,A277)=0,"",ROUND(SUMIF(Rebar_Schedule!$A$5:$A$2004,A277,Rebar_Schedule!$K$5:$K$2004),1)))</f>
        <v/>
      </c>
      <c r="AZ277" s="33" t="str">
        <f aca="false">IF(A277="","",IF(AY277="","No rebar schedule yet",IF(ABS(AY277-N(AU277))/MAX(N(AU277),1)&gt;SG_Criteria!$B$55,"NOTE: register rebar differs from schedule by "&amp;TEXT(ABS(AY277-N(AU277))/MAX(N(AU277),1),"0%"),"OK")))</f>
        <v/>
      </c>
      <c r="BA277" s="33" t="str">
        <f aca="false">IF(OR(D277="",H277=""),"",IF(H277&lt;=IF(OR(D277="Soldier Pile &amp; Timber Lagging",D277="Trench Shoring Box",D277="Open Cut (battered)"),SG_Criteria!$B$34,SG_Criteria!$B$33),"No ERSS submission",IF(H277&lt;=SG_Criteria!$B$35,"QP(ST)",IF(H277&lt;=SG_Criteria!$B$36,"QP(ST) + AC","Geotechnical building works: QP(Geo) + AC"))))</f>
        <v/>
      </c>
      <c r="BB277" s="33" t="str">
        <f aca="false">IF(D277="","",IF(LEN(IF(AND(R277&lt;&gt;"",R277&lt;SG_Criteria!$B$37),"FAIL: base stability FOS &lt; "&amp;SG_Criteria!$B$37&amp;". ","")&amp;IF(AND(E277="Manhole",H277&gt;SG_Criteria!$B$36),"NOTE: BCA lists sewer manholes (pipe &lt;= 2 m dia) &gt; 6 m as non-GBW: QP(ST) + AC. ","")&amp;IF(AND(D277="Trench Shoring Box",I277="Kallang Formation (marine clay)"),"NOTE: check base heave / ground loss for shoring box in marine clay. ","")&amp;IF(AND(D277="Steel Sheet Pile Cofferdam",N(N277)&lt;H277*0.5),"NOTE: short toe embedment, check. ",""))=0,"OK",IF(AND(R277&lt;&gt;"",R277&lt;SG_Criteria!$B$37),"FAIL: base stability FOS &lt; "&amp;SG_Criteria!$B$37&amp;". ","")&amp;IF(AND(E277="Manhole",H277&gt;SG_Criteria!$B$36),"NOTE: BCA lists sewer manholes (pipe &lt;= 2 m dia) &gt; 6 m as non-GBW: QP(ST) + AC. ","")&amp;IF(AND(D277="Trench Shoring Box",I277="Kallang Formation (marine clay)"),"NOTE: check base heave / ground loss for shoring box in marine clay. ","")&amp;IF(AND(D277="Steel Sheet Pile Cofferdam",N(N277)&lt;H277*0.5),"NOTE: short toe embedment, check. ","")))</f>
        <v/>
      </c>
      <c r="BC277" s="9"/>
      <c r="BD277" s="9"/>
      <c r="BE277" s="9"/>
      <c r="BF277" s="10" t="str">
        <f aca="false">IF(BE277="","",IFERROR(VLOOKUP(BE277,Projects!$A$5:$D$504,2,0),"Ref not in Projects"))</f>
        <v/>
      </c>
      <c r="BG277" s="10" t="str">
        <f aca="false">IF(BE277="","",IFERROR(VLOOKUP(BE277,Projects!$A$5:$D$504,4,0),"Ref not in Projects"))</f>
        <v/>
      </c>
      <c r="BH277" s="9"/>
      <c r="BI277" s="9"/>
      <c r="BJ277" s="9"/>
      <c r="BK277" s="40"/>
      <c r="BL277" s="9"/>
      <c r="BM277" s="40"/>
      <c r="BN277" s="9"/>
      <c r="BO277" s="40"/>
      <c r="BP277" s="9"/>
      <c r="BQ277" s="9"/>
      <c r="BR277" s="9"/>
      <c r="BS277" s="40"/>
      <c r="BT277" s="40"/>
      <c r="BU277" s="36" t="str">
        <f aca="false">IF(BT277="","",EDATE(BT277,SG_Criteria!$B$54*12))</f>
        <v/>
      </c>
      <c r="BV277" s="33" t="str">
        <f aca="true">IF(A277="","",IF(BT277="","NOTE: not reviewed yet",IF(TODAY()&gt;BU277,"NOTE: review overdue","OK")))</f>
        <v/>
      </c>
      <c r="BW277" s="37" t="str">
        <f aca="false">IF(A277="","",ROUND((IF(LEN(D277)&gt;0,1,0)+IF(LEN(E277)&gt;0,1,0)+IF(LEN(F277)&gt;0,1,0)+IF(LEN(G277)&gt;0,1,0)+IF(LEN(H277)&gt;0,1,0)+IF(LEN(I277)&gt;0,1,0)+IF(LEN(J277)&gt;0,1,0)+IF(LEN(L277)&gt;0,1,0)+IF(LEN(R277)&gt;0,1,0)+IF(LEN(Y277)&gt;0,1,0)+IF(LEN(AE277)&gt;0,1,0)+IF(LEN(AG277)&gt;0,1,0)+IF(LEN(AH277)&gt;0,1,0)+IF(LEN(AI277)&gt;0,1,0)+IF(LEN(AJ277)&gt;0,1,0)+IF(LEN(AS277)&gt;0,1,0)+IF(LEN(BE277)&gt;0,1,0)+IF(LEN(BR277)&gt;0,1,0))/18,2))</f>
        <v/>
      </c>
      <c r="BX277" s="10" t="str">
        <f aca="false">IF(D277="","",IF(AND(AH277="Approved",ISERROR(SEARCH("FAIL",BB277))),"Y","N"))</f>
        <v/>
      </c>
      <c r="BY277" s="10" t="str">
        <f aca="false">IF(D277="","",D277&amp;"|"&amp;H277&amp;"|"&amp;F277&amp;"|"&amp;I277&amp;"|"&amp;BX277)</f>
        <v/>
      </c>
    </row>
    <row r="278" customFormat="false" ht="15" hidden="false" customHeight="false" outlineLevel="0" collapsed="false">
      <c r="A278" s="10" t="str">
        <f aca="false">IF(D278="","","ERSS-"&amp;IFERROR(VLOOKUP(D278,Lists!$AK$4:$AL$21,2,0),"??")&amp;"-"&amp;TEXT(F278,"0000")&amp;"x"&amp;TEXT(G278,"0000")&amp;"-D"&amp;TEXT(H278*1000,"0000")&amp;"-"&amp;IFERROR(VLOOKUP(I278,Lists!$Y$4:$Z$21,2,0),"??")&amp;"-"&amp;AG278)</f>
        <v/>
      </c>
      <c r="B278" s="10" t="str">
        <f aca="false">IF(D278="","",D278&amp;" for "&amp;E278&amp;", "&amp;F278&amp;" x "&amp;G278&amp;" pit, "&amp;TEXT(H278,"0.0")&amp;" m deep, "&amp;I278)</f>
        <v/>
      </c>
      <c r="C278" s="9"/>
      <c r="D278" s="9"/>
      <c r="E278" s="9"/>
      <c r="F278" s="38"/>
      <c r="G278" s="38"/>
      <c r="H278" s="42"/>
      <c r="I278" s="9"/>
      <c r="J278" s="42"/>
      <c r="K278" s="38"/>
      <c r="L278" s="9"/>
      <c r="M278" s="42"/>
      <c r="N278" s="42"/>
      <c r="O278" s="38"/>
      <c r="P278" s="9"/>
      <c r="Q278" s="9"/>
      <c r="R278" s="39"/>
      <c r="S278" s="39"/>
      <c r="T278" s="38"/>
      <c r="U278" s="38"/>
      <c r="V278" s="38"/>
      <c r="W278" s="9"/>
      <c r="X278" s="9"/>
      <c r="Y278" s="38"/>
      <c r="Z278" s="9"/>
      <c r="AA278" s="9"/>
      <c r="AB278" s="38"/>
      <c r="AC278" s="9"/>
      <c r="AD278" s="39"/>
      <c r="AE278" s="9"/>
      <c r="AF278" s="9"/>
      <c r="AG278" s="9"/>
      <c r="AH278" s="9"/>
      <c r="AI278" s="9"/>
      <c r="AJ278" s="9"/>
      <c r="AK278" s="9"/>
      <c r="AL278" s="10" t="str">
        <f aca="false">IF(A278="","",SG_Criteria!$B$6&amp;SG_Criteria!$B$11&amp;"\"&amp;A278&amp;"\")</f>
        <v/>
      </c>
      <c r="AM278" s="10" t="str">
        <f aca="false">IF(A278="","",A278&amp;"_CAD.dwg")</f>
        <v/>
      </c>
      <c r="AN278" s="10" t="str">
        <f aca="false">IF(A278="","",A278&amp;"_DWG.pdf")</f>
        <v/>
      </c>
      <c r="AO278" s="10" t="str">
        <f aca="false">IF(A278="","",IF(AK278="Y",A278&amp;"_STAAD.std","n/a"))</f>
        <v/>
      </c>
      <c r="AP278" s="10" t="str">
        <f aca="false">IF(A278="","",A278&amp;"_CALC.xlsx")</f>
        <v/>
      </c>
      <c r="AQ278" s="10" t="str">
        <f aca="false">IF(A278="","",A278&amp;"_CALC.pdf")</f>
        <v/>
      </c>
      <c r="AR278" s="9"/>
      <c r="AS278" s="9"/>
      <c r="AT278" s="39"/>
      <c r="AU278" s="39"/>
      <c r="AV278" s="39"/>
      <c r="AW278" s="39"/>
      <c r="AX278" s="39"/>
      <c r="AY278" s="12" t="str">
        <f aca="false">IF(A278="","",IF(COUNTIF(Rebar_Schedule!$A$5:$A$2004,A278)=0,"",ROUND(SUMIF(Rebar_Schedule!$A$5:$A$2004,A278,Rebar_Schedule!$K$5:$K$2004),1)))</f>
        <v/>
      </c>
      <c r="AZ278" s="33" t="str">
        <f aca="false">IF(A278="","",IF(AY278="","No rebar schedule yet",IF(ABS(AY278-N(AU278))/MAX(N(AU278),1)&gt;SG_Criteria!$B$55,"NOTE: register rebar differs from schedule by "&amp;TEXT(ABS(AY278-N(AU278))/MAX(N(AU278),1),"0%"),"OK")))</f>
        <v/>
      </c>
      <c r="BA278" s="33" t="str">
        <f aca="false">IF(OR(D278="",H278=""),"",IF(H278&lt;=IF(OR(D278="Soldier Pile &amp; Timber Lagging",D278="Trench Shoring Box",D278="Open Cut (battered)"),SG_Criteria!$B$34,SG_Criteria!$B$33),"No ERSS submission",IF(H278&lt;=SG_Criteria!$B$35,"QP(ST)",IF(H278&lt;=SG_Criteria!$B$36,"QP(ST) + AC","Geotechnical building works: QP(Geo) + AC"))))</f>
        <v/>
      </c>
      <c r="BB278" s="33" t="str">
        <f aca="false">IF(D278="","",IF(LEN(IF(AND(R278&lt;&gt;"",R278&lt;SG_Criteria!$B$37),"FAIL: base stability FOS &lt; "&amp;SG_Criteria!$B$37&amp;". ","")&amp;IF(AND(E278="Manhole",H278&gt;SG_Criteria!$B$36),"NOTE: BCA lists sewer manholes (pipe &lt;= 2 m dia) &gt; 6 m as non-GBW: QP(ST) + AC. ","")&amp;IF(AND(D278="Trench Shoring Box",I278="Kallang Formation (marine clay)"),"NOTE: check base heave / ground loss for shoring box in marine clay. ","")&amp;IF(AND(D278="Steel Sheet Pile Cofferdam",N(N278)&lt;H278*0.5),"NOTE: short toe embedment, check. ",""))=0,"OK",IF(AND(R278&lt;&gt;"",R278&lt;SG_Criteria!$B$37),"FAIL: base stability FOS &lt; "&amp;SG_Criteria!$B$37&amp;". ","")&amp;IF(AND(E278="Manhole",H278&gt;SG_Criteria!$B$36),"NOTE: BCA lists sewer manholes (pipe &lt;= 2 m dia) &gt; 6 m as non-GBW: QP(ST) + AC. ","")&amp;IF(AND(D278="Trench Shoring Box",I278="Kallang Formation (marine clay)"),"NOTE: check base heave / ground loss for shoring box in marine clay. ","")&amp;IF(AND(D278="Steel Sheet Pile Cofferdam",N(N278)&lt;H278*0.5),"NOTE: short toe embedment, check. ","")))</f>
        <v/>
      </c>
      <c r="BC278" s="9"/>
      <c r="BD278" s="9"/>
      <c r="BE278" s="9"/>
      <c r="BF278" s="10" t="str">
        <f aca="false">IF(BE278="","",IFERROR(VLOOKUP(BE278,Projects!$A$5:$D$504,2,0),"Ref not in Projects"))</f>
        <v/>
      </c>
      <c r="BG278" s="10" t="str">
        <f aca="false">IF(BE278="","",IFERROR(VLOOKUP(BE278,Projects!$A$5:$D$504,4,0),"Ref not in Projects"))</f>
        <v/>
      </c>
      <c r="BH278" s="9"/>
      <c r="BI278" s="9"/>
      <c r="BJ278" s="9"/>
      <c r="BK278" s="40"/>
      <c r="BL278" s="9"/>
      <c r="BM278" s="40"/>
      <c r="BN278" s="9"/>
      <c r="BO278" s="40"/>
      <c r="BP278" s="9"/>
      <c r="BQ278" s="9"/>
      <c r="BR278" s="9"/>
      <c r="BS278" s="40"/>
      <c r="BT278" s="40"/>
      <c r="BU278" s="36" t="str">
        <f aca="false">IF(BT278="","",EDATE(BT278,SG_Criteria!$B$54*12))</f>
        <v/>
      </c>
      <c r="BV278" s="33" t="str">
        <f aca="true">IF(A278="","",IF(BT278="","NOTE: not reviewed yet",IF(TODAY()&gt;BU278,"NOTE: review overdue","OK")))</f>
        <v/>
      </c>
      <c r="BW278" s="37" t="str">
        <f aca="false">IF(A278="","",ROUND((IF(LEN(D278)&gt;0,1,0)+IF(LEN(E278)&gt;0,1,0)+IF(LEN(F278)&gt;0,1,0)+IF(LEN(G278)&gt;0,1,0)+IF(LEN(H278)&gt;0,1,0)+IF(LEN(I278)&gt;0,1,0)+IF(LEN(J278)&gt;0,1,0)+IF(LEN(L278)&gt;0,1,0)+IF(LEN(R278)&gt;0,1,0)+IF(LEN(Y278)&gt;0,1,0)+IF(LEN(AE278)&gt;0,1,0)+IF(LEN(AG278)&gt;0,1,0)+IF(LEN(AH278)&gt;0,1,0)+IF(LEN(AI278)&gt;0,1,0)+IF(LEN(AJ278)&gt;0,1,0)+IF(LEN(AS278)&gt;0,1,0)+IF(LEN(BE278)&gt;0,1,0)+IF(LEN(BR278)&gt;0,1,0))/18,2))</f>
        <v/>
      </c>
      <c r="BX278" s="10" t="str">
        <f aca="false">IF(D278="","",IF(AND(AH278="Approved",ISERROR(SEARCH("FAIL",BB278))),"Y","N"))</f>
        <v/>
      </c>
      <c r="BY278" s="10" t="str">
        <f aca="false">IF(D278="","",D278&amp;"|"&amp;H278&amp;"|"&amp;F278&amp;"|"&amp;I278&amp;"|"&amp;BX278)</f>
        <v/>
      </c>
    </row>
    <row r="279" customFormat="false" ht="15" hidden="false" customHeight="false" outlineLevel="0" collapsed="false">
      <c r="A279" s="10" t="str">
        <f aca="false">IF(D279="","","ERSS-"&amp;IFERROR(VLOOKUP(D279,Lists!$AK$4:$AL$21,2,0),"??")&amp;"-"&amp;TEXT(F279,"0000")&amp;"x"&amp;TEXT(G279,"0000")&amp;"-D"&amp;TEXT(H279*1000,"0000")&amp;"-"&amp;IFERROR(VLOOKUP(I279,Lists!$Y$4:$Z$21,2,0),"??")&amp;"-"&amp;AG279)</f>
        <v/>
      </c>
      <c r="B279" s="10" t="str">
        <f aca="false">IF(D279="","",D279&amp;" for "&amp;E279&amp;", "&amp;F279&amp;" x "&amp;G279&amp;" pit, "&amp;TEXT(H279,"0.0")&amp;" m deep, "&amp;I279)</f>
        <v/>
      </c>
      <c r="C279" s="9"/>
      <c r="D279" s="9"/>
      <c r="E279" s="9"/>
      <c r="F279" s="38"/>
      <c r="G279" s="38"/>
      <c r="H279" s="42"/>
      <c r="I279" s="9"/>
      <c r="J279" s="42"/>
      <c r="K279" s="38"/>
      <c r="L279" s="9"/>
      <c r="M279" s="42"/>
      <c r="N279" s="42"/>
      <c r="O279" s="38"/>
      <c r="P279" s="9"/>
      <c r="Q279" s="9"/>
      <c r="R279" s="39"/>
      <c r="S279" s="39"/>
      <c r="T279" s="38"/>
      <c r="U279" s="38"/>
      <c r="V279" s="38"/>
      <c r="W279" s="9"/>
      <c r="X279" s="9"/>
      <c r="Y279" s="38"/>
      <c r="Z279" s="9"/>
      <c r="AA279" s="9"/>
      <c r="AB279" s="38"/>
      <c r="AC279" s="9"/>
      <c r="AD279" s="39"/>
      <c r="AE279" s="9"/>
      <c r="AF279" s="9"/>
      <c r="AG279" s="9"/>
      <c r="AH279" s="9"/>
      <c r="AI279" s="9"/>
      <c r="AJ279" s="9"/>
      <c r="AK279" s="9"/>
      <c r="AL279" s="10" t="str">
        <f aca="false">IF(A279="","",SG_Criteria!$B$6&amp;SG_Criteria!$B$11&amp;"\"&amp;A279&amp;"\")</f>
        <v/>
      </c>
      <c r="AM279" s="10" t="str">
        <f aca="false">IF(A279="","",A279&amp;"_CAD.dwg")</f>
        <v/>
      </c>
      <c r="AN279" s="10" t="str">
        <f aca="false">IF(A279="","",A279&amp;"_DWG.pdf")</f>
        <v/>
      </c>
      <c r="AO279" s="10" t="str">
        <f aca="false">IF(A279="","",IF(AK279="Y",A279&amp;"_STAAD.std","n/a"))</f>
        <v/>
      </c>
      <c r="AP279" s="10" t="str">
        <f aca="false">IF(A279="","",A279&amp;"_CALC.xlsx")</f>
        <v/>
      </c>
      <c r="AQ279" s="10" t="str">
        <f aca="false">IF(A279="","",A279&amp;"_CALC.pdf")</f>
        <v/>
      </c>
      <c r="AR279" s="9"/>
      <c r="AS279" s="9"/>
      <c r="AT279" s="39"/>
      <c r="AU279" s="39"/>
      <c r="AV279" s="39"/>
      <c r="AW279" s="39"/>
      <c r="AX279" s="39"/>
      <c r="AY279" s="12" t="str">
        <f aca="false">IF(A279="","",IF(COUNTIF(Rebar_Schedule!$A$5:$A$2004,A279)=0,"",ROUND(SUMIF(Rebar_Schedule!$A$5:$A$2004,A279,Rebar_Schedule!$K$5:$K$2004),1)))</f>
        <v/>
      </c>
      <c r="AZ279" s="33" t="str">
        <f aca="false">IF(A279="","",IF(AY279="","No rebar schedule yet",IF(ABS(AY279-N(AU279))/MAX(N(AU279),1)&gt;SG_Criteria!$B$55,"NOTE: register rebar differs from schedule by "&amp;TEXT(ABS(AY279-N(AU279))/MAX(N(AU279),1),"0%"),"OK")))</f>
        <v/>
      </c>
      <c r="BA279" s="33" t="str">
        <f aca="false">IF(OR(D279="",H279=""),"",IF(H279&lt;=IF(OR(D279="Soldier Pile &amp; Timber Lagging",D279="Trench Shoring Box",D279="Open Cut (battered)"),SG_Criteria!$B$34,SG_Criteria!$B$33),"No ERSS submission",IF(H279&lt;=SG_Criteria!$B$35,"QP(ST)",IF(H279&lt;=SG_Criteria!$B$36,"QP(ST) + AC","Geotechnical building works: QP(Geo) + AC"))))</f>
        <v/>
      </c>
      <c r="BB279" s="33" t="str">
        <f aca="false">IF(D279="","",IF(LEN(IF(AND(R279&lt;&gt;"",R279&lt;SG_Criteria!$B$37),"FAIL: base stability FOS &lt; "&amp;SG_Criteria!$B$37&amp;". ","")&amp;IF(AND(E279="Manhole",H279&gt;SG_Criteria!$B$36),"NOTE: BCA lists sewer manholes (pipe &lt;= 2 m dia) &gt; 6 m as non-GBW: QP(ST) + AC. ","")&amp;IF(AND(D279="Trench Shoring Box",I279="Kallang Formation (marine clay)"),"NOTE: check base heave / ground loss for shoring box in marine clay. ","")&amp;IF(AND(D279="Steel Sheet Pile Cofferdam",N(N279)&lt;H279*0.5),"NOTE: short toe embedment, check. ",""))=0,"OK",IF(AND(R279&lt;&gt;"",R279&lt;SG_Criteria!$B$37),"FAIL: base stability FOS &lt; "&amp;SG_Criteria!$B$37&amp;". ","")&amp;IF(AND(E279="Manhole",H279&gt;SG_Criteria!$B$36),"NOTE: BCA lists sewer manholes (pipe &lt;= 2 m dia) &gt; 6 m as non-GBW: QP(ST) + AC. ","")&amp;IF(AND(D279="Trench Shoring Box",I279="Kallang Formation (marine clay)"),"NOTE: check base heave / ground loss for shoring box in marine clay. ","")&amp;IF(AND(D279="Steel Sheet Pile Cofferdam",N(N279)&lt;H279*0.5),"NOTE: short toe embedment, check. ","")))</f>
        <v/>
      </c>
      <c r="BC279" s="9"/>
      <c r="BD279" s="9"/>
      <c r="BE279" s="9"/>
      <c r="BF279" s="10" t="str">
        <f aca="false">IF(BE279="","",IFERROR(VLOOKUP(BE279,Projects!$A$5:$D$504,2,0),"Ref not in Projects"))</f>
        <v/>
      </c>
      <c r="BG279" s="10" t="str">
        <f aca="false">IF(BE279="","",IFERROR(VLOOKUP(BE279,Projects!$A$5:$D$504,4,0),"Ref not in Projects"))</f>
        <v/>
      </c>
      <c r="BH279" s="9"/>
      <c r="BI279" s="9"/>
      <c r="BJ279" s="9"/>
      <c r="BK279" s="40"/>
      <c r="BL279" s="9"/>
      <c r="BM279" s="40"/>
      <c r="BN279" s="9"/>
      <c r="BO279" s="40"/>
      <c r="BP279" s="9"/>
      <c r="BQ279" s="9"/>
      <c r="BR279" s="9"/>
      <c r="BS279" s="40"/>
      <c r="BT279" s="40"/>
      <c r="BU279" s="36" t="str">
        <f aca="false">IF(BT279="","",EDATE(BT279,SG_Criteria!$B$54*12))</f>
        <v/>
      </c>
      <c r="BV279" s="33" t="str">
        <f aca="true">IF(A279="","",IF(BT279="","NOTE: not reviewed yet",IF(TODAY()&gt;BU279,"NOTE: review overdue","OK")))</f>
        <v/>
      </c>
      <c r="BW279" s="37" t="str">
        <f aca="false">IF(A279="","",ROUND((IF(LEN(D279)&gt;0,1,0)+IF(LEN(E279)&gt;0,1,0)+IF(LEN(F279)&gt;0,1,0)+IF(LEN(G279)&gt;0,1,0)+IF(LEN(H279)&gt;0,1,0)+IF(LEN(I279)&gt;0,1,0)+IF(LEN(J279)&gt;0,1,0)+IF(LEN(L279)&gt;0,1,0)+IF(LEN(R279)&gt;0,1,0)+IF(LEN(Y279)&gt;0,1,0)+IF(LEN(AE279)&gt;0,1,0)+IF(LEN(AG279)&gt;0,1,0)+IF(LEN(AH279)&gt;0,1,0)+IF(LEN(AI279)&gt;0,1,0)+IF(LEN(AJ279)&gt;0,1,0)+IF(LEN(AS279)&gt;0,1,0)+IF(LEN(BE279)&gt;0,1,0)+IF(LEN(BR279)&gt;0,1,0))/18,2))</f>
        <v/>
      </c>
      <c r="BX279" s="10" t="str">
        <f aca="false">IF(D279="","",IF(AND(AH279="Approved",ISERROR(SEARCH("FAIL",BB279))),"Y","N"))</f>
        <v/>
      </c>
      <c r="BY279" s="10" t="str">
        <f aca="false">IF(D279="","",D279&amp;"|"&amp;H279&amp;"|"&amp;F279&amp;"|"&amp;I279&amp;"|"&amp;BX279)</f>
        <v/>
      </c>
    </row>
    <row r="280" customFormat="false" ht="15" hidden="false" customHeight="false" outlineLevel="0" collapsed="false">
      <c r="A280" s="10" t="str">
        <f aca="false">IF(D280="","","ERSS-"&amp;IFERROR(VLOOKUP(D280,Lists!$AK$4:$AL$21,2,0),"??")&amp;"-"&amp;TEXT(F280,"0000")&amp;"x"&amp;TEXT(G280,"0000")&amp;"-D"&amp;TEXT(H280*1000,"0000")&amp;"-"&amp;IFERROR(VLOOKUP(I280,Lists!$Y$4:$Z$21,2,0),"??")&amp;"-"&amp;AG280)</f>
        <v/>
      </c>
      <c r="B280" s="10" t="str">
        <f aca="false">IF(D280="","",D280&amp;" for "&amp;E280&amp;", "&amp;F280&amp;" x "&amp;G280&amp;" pit, "&amp;TEXT(H280,"0.0")&amp;" m deep, "&amp;I280)</f>
        <v/>
      </c>
      <c r="C280" s="9"/>
      <c r="D280" s="9"/>
      <c r="E280" s="9"/>
      <c r="F280" s="38"/>
      <c r="G280" s="38"/>
      <c r="H280" s="42"/>
      <c r="I280" s="9"/>
      <c r="J280" s="42"/>
      <c r="K280" s="38"/>
      <c r="L280" s="9"/>
      <c r="M280" s="42"/>
      <c r="N280" s="42"/>
      <c r="O280" s="38"/>
      <c r="P280" s="9"/>
      <c r="Q280" s="9"/>
      <c r="R280" s="39"/>
      <c r="S280" s="39"/>
      <c r="T280" s="38"/>
      <c r="U280" s="38"/>
      <c r="V280" s="38"/>
      <c r="W280" s="9"/>
      <c r="X280" s="9"/>
      <c r="Y280" s="38"/>
      <c r="Z280" s="9"/>
      <c r="AA280" s="9"/>
      <c r="AB280" s="38"/>
      <c r="AC280" s="9"/>
      <c r="AD280" s="39"/>
      <c r="AE280" s="9"/>
      <c r="AF280" s="9"/>
      <c r="AG280" s="9"/>
      <c r="AH280" s="9"/>
      <c r="AI280" s="9"/>
      <c r="AJ280" s="9"/>
      <c r="AK280" s="9"/>
      <c r="AL280" s="10" t="str">
        <f aca="false">IF(A280="","",SG_Criteria!$B$6&amp;SG_Criteria!$B$11&amp;"\"&amp;A280&amp;"\")</f>
        <v/>
      </c>
      <c r="AM280" s="10" t="str">
        <f aca="false">IF(A280="","",A280&amp;"_CAD.dwg")</f>
        <v/>
      </c>
      <c r="AN280" s="10" t="str">
        <f aca="false">IF(A280="","",A280&amp;"_DWG.pdf")</f>
        <v/>
      </c>
      <c r="AO280" s="10" t="str">
        <f aca="false">IF(A280="","",IF(AK280="Y",A280&amp;"_STAAD.std","n/a"))</f>
        <v/>
      </c>
      <c r="AP280" s="10" t="str">
        <f aca="false">IF(A280="","",A280&amp;"_CALC.xlsx")</f>
        <v/>
      </c>
      <c r="AQ280" s="10" t="str">
        <f aca="false">IF(A280="","",A280&amp;"_CALC.pdf")</f>
        <v/>
      </c>
      <c r="AR280" s="9"/>
      <c r="AS280" s="9"/>
      <c r="AT280" s="39"/>
      <c r="AU280" s="39"/>
      <c r="AV280" s="39"/>
      <c r="AW280" s="39"/>
      <c r="AX280" s="39"/>
      <c r="AY280" s="12" t="str">
        <f aca="false">IF(A280="","",IF(COUNTIF(Rebar_Schedule!$A$5:$A$2004,A280)=0,"",ROUND(SUMIF(Rebar_Schedule!$A$5:$A$2004,A280,Rebar_Schedule!$K$5:$K$2004),1)))</f>
        <v/>
      </c>
      <c r="AZ280" s="33" t="str">
        <f aca="false">IF(A280="","",IF(AY280="","No rebar schedule yet",IF(ABS(AY280-N(AU280))/MAX(N(AU280),1)&gt;SG_Criteria!$B$55,"NOTE: register rebar differs from schedule by "&amp;TEXT(ABS(AY280-N(AU280))/MAX(N(AU280),1),"0%"),"OK")))</f>
        <v/>
      </c>
      <c r="BA280" s="33" t="str">
        <f aca="false">IF(OR(D280="",H280=""),"",IF(H280&lt;=IF(OR(D280="Soldier Pile &amp; Timber Lagging",D280="Trench Shoring Box",D280="Open Cut (battered)"),SG_Criteria!$B$34,SG_Criteria!$B$33),"No ERSS submission",IF(H280&lt;=SG_Criteria!$B$35,"QP(ST)",IF(H280&lt;=SG_Criteria!$B$36,"QP(ST) + AC","Geotechnical building works: QP(Geo) + AC"))))</f>
        <v/>
      </c>
      <c r="BB280" s="33" t="str">
        <f aca="false">IF(D280="","",IF(LEN(IF(AND(R280&lt;&gt;"",R280&lt;SG_Criteria!$B$37),"FAIL: base stability FOS &lt; "&amp;SG_Criteria!$B$37&amp;". ","")&amp;IF(AND(E280="Manhole",H280&gt;SG_Criteria!$B$36),"NOTE: BCA lists sewer manholes (pipe &lt;= 2 m dia) &gt; 6 m as non-GBW: QP(ST) + AC. ","")&amp;IF(AND(D280="Trench Shoring Box",I280="Kallang Formation (marine clay)"),"NOTE: check base heave / ground loss for shoring box in marine clay. ","")&amp;IF(AND(D280="Steel Sheet Pile Cofferdam",N(N280)&lt;H280*0.5),"NOTE: short toe embedment, check. ",""))=0,"OK",IF(AND(R280&lt;&gt;"",R280&lt;SG_Criteria!$B$37),"FAIL: base stability FOS &lt; "&amp;SG_Criteria!$B$37&amp;". ","")&amp;IF(AND(E280="Manhole",H280&gt;SG_Criteria!$B$36),"NOTE: BCA lists sewer manholes (pipe &lt;= 2 m dia) &gt; 6 m as non-GBW: QP(ST) + AC. ","")&amp;IF(AND(D280="Trench Shoring Box",I280="Kallang Formation (marine clay)"),"NOTE: check base heave / ground loss for shoring box in marine clay. ","")&amp;IF(AND(D280="Steel Sheet Pile Cofferdam",N(N280)&lt;H280*0.5),"NOTE: short toe embedment, check. ","")))</f>
        <v/>
      </c>
      <c r="BC280" s="9"/>
      <c r="BD280" s="9"/>
      <c r="BE280" s="9"/>
      <c r="BF280" s="10" t="str">
        <f aca="false">IF(BE280="","",IFERROR(VLOOKUP(BE280,Projects!$A$5:$D$504,2,0),"Ref not in Projects"))</f>
        <v/>
      </c>
      <c r="BG280" s="10" t="str">
        <f aca="false">IF(BE280="","",IFERROR(VLOOKUP(BE280,Projects!$A$5:$D$504,4,0),"Ref not in Projects"))</f>
        <v/>
      </c>
      <c r="BH280" s="9"/>
      <c r="BI280" s="9"/>
      <c r="BJ280" s="9"/>
      <c r="BK280" s="40"/>
      <c r="BL280" s="9"/>
      <c r="BM280" s="40"/>
      <c r="BN280" s="9"/>
      <c r="BO280" s="40"/>
      <c r="BP280" s="9"/>
      <c r="BQ280" s="9"/>
      <c r="BR280" s="9"/>
      <c r="BS280" s="40"/>
      <c r="BT280" s="40"/>
      <c r="BU280" s="36" t="str">
        <f aca="false">IF(BT280="","",EDATE(BT280,SG_Criteria!$B$54*12))</f>
        <v/>
      </c>
      <c r="BV280" s="33" t="str">
        <f aca="true">IF(A280="","",IF(BT280="","NOTE: not reviewed yet",IF(TODAY()&gt;BU280,"NOTE: review overdue","OK")))</f>
        <v/>
      </c>
      <c r="BW280" s="37" t="str">
        <f aca="false">IF(A280="","",ROUND((IF(LEN(D280)&gt;0,1,0)+IF(LEN(E280)&gt;0,1,0)+IF(LEN(F280)&gt;0,1,0)+IF(LEN(G280)&gt;0,1,0)+IF(LEN(H280)&gt;0,1,0)+IF(LEN(I280)&gt;0,1,0)+IF(LEN(J280)&gt;0,1,0)+IF(LEN(L280)&gt;0,1,0)+IF(LEN(R280)&gt;0,1,0)+IF(LEN(Y280)&gt;0,1,0)+IF(LEN(AE280)&gt;0,1,0)+IF(LEN(AG280)&gt;0,1,0)+IF(LEN(AH280)&gt;0,1,0)+IF(LEN(AI280)&gt;0,1,0)+IF(LEN(AJ280)&gt;0,1,0)+IF(LEN(AS280)&gt;0,1,0)+IF(LEN(BE280)&gt;0,1,0)+IF(LEN(BR280)&gt;0,1,0))/18,2))</f>
        <v/>
      </c>
      <c r="BX280" s="10" t="str">
        <f aca="false">IF(D280="","",IF(AND(AH280="Approved",ISERROR(SEARCH("FAIL",BB280))),"Y","N"))</f>
        <v/>
      </c>
      <c r="BY280" s="10" t="str">
        <f aca="false">IF(D280="","",D280&amp;"|"&amp;H280&amp;"|"&amp;F280&amp;"|"&amp;I280&amp;"|"&amp;BX280)</f>
        <v/>
      </c>
    </row>
    <row r="281" customFormat="false" ht="15" hidden="false" customHeight="false" outlineLevel="0" collapsed="false">
      <c r="A281" s="10" t="str">
        <f aca="false">IF(D281="","","ERSS-"&amp;IFERROR(VLOOKUP(D281,Lists!$AK$4:$AL$21,2,0),"??")&amp;"-"&amp;TEXT(F281,"0000")&amp;"x"&amp;TEXT(G281,"0000")&amp;"-D"&amp;TEXT(H281*1000,"0000")&amp;"-"&amp;IFERROR(VLOOKUP(I281,Lists!$Y$4:$Z$21,2,0),"??")&amp;"-"&amp;AG281)</f>
        <v/>
      </c>
      <c r="B281" s="10" t="str">
        <f aca="false">IF(D281="","",D281&amp;" for "&amp;E281&amp;", "&amp;F281&amp;" x "&amp;G281&amp;" pit, "&amp;TEXT(H281,"0.0")&amp;" m deep, "&amp;I281)</f>
        <v/>
      </c>
      <c r="C281" s="9"/>
      <c r="D281" s="9"/>
      <c r="E281" s="9"/>
      <c r="F281" s="38"/>
      <c r="G281" s="38"/>
      <c r="H281" s="42"/>
      <c r="I281" s="9"/>
      <c r="J281" s="42"/>
      <c r="K281" s="38"/>
      <c r="L281" s="9"/>
      <c r="M281" s="42"/>
      <c r="N281" s="42"/>
      <c r="O281" s="38"/>
      <c r="P281" s="9"/>
      <c r="Q281" s="9"/>
      <c r="R281" s="39"/>
      <c r="S281" s="39"/>
      <c r="T281" s="38"/>
      <c r="U281" s="38"/>
      <c r="V281" s="38"/>
      <c r="W281" s="9"/>
      <c r="X281" s="9"/>
      <c r="Y281" s="38"/>
      <c r="Z281" s="9"/>
      <c r="AA281" s="9"/>
      <c r="AB281" s="38"/>
      <c r="AC281" s="9"/>
      <c r="AD281" s="39"/>
      <c r="AE281" s="9"/>
      <c r="AF281" s="9"/>
      <c r="AG281" s="9"/>
      <c r="AH281" s="9"/>
      <c r="AI281" s="9"/>
      <c r="AJ281" s="9"/>
      <c r="AK281" s="9"/>
      <c r="AL281" s="10" t="str">
        <f aca="false">IF(A281="","",SG_Criteria!$B$6&amp;SG_Criteria!$B$11&amp;"\"&amp;A281&amp;"\")</f>
        <v/>
      </c>
      <c r="AM281" s="10" t="str">
        <f aca="false">IF(A281="","",A281&amp;"_CAD.dwg")</f>
        <v/>
      </c>
      <c r="AN281" s="10" t="str">
        <f aca="false">IF(A281="","",A281&amp;"_DWG.pdf")</f>
        <v/>
      </c>
      <c r="AO281" s="10" t="str">
        <f aca="false">IF(A281="","",IF(AK281="Y",A281&amp;"_STAAD.std","n/a"))</f>
        <v/>
      </c>
      <c r="AP281" s="10" t="str">
        <f aca="false">IF(A281="","",A281&amp;"_CALC.xlsx")</f>
        <v/>
      </c>
      <c r="AQ281" s="10" t="str">
        <f aca="false">IF(A281="","",A281&amp;"_CALC.pdf")</f>
        <v/>
      </c>
      <c r="AR281" s="9"/>
      <c r="AS281" s="9"/>
      <c r="AT281" s="39"/>
      <c r="AU281" s="39"/>
      <c r="AV281" s="39"/>
      <c r="AW281" s="39"/>
      <c r="AX281" s="39"/>
      <c r="AY281" s="12" t="str">
        <f aca="false">IF(A281="","",IF(COUNTIF(Rebar_Schedule!$A$5:$A$2004,A281)=0,"",ROUND(SUMIF(Rebar_Schedule!$A$5:$A$2004,A281,Rebar_Schedule!$K$5:$K$2004),1)))</f>
        <v/>
      </c>
      <c r="AZ281" s="33" t="str">
        <f aca="false">IF(A281="","",IF(AY281="","No rebar schedule yet",IF(ABS(AY281-N(AU281))/MAX(N(AU281),1)&gt;SG_Criteria!$B$55,"NOTE: register rebar differs from schedule by "&amp;TEXT(ABS(AY281-N(AU281))/MAX(N(AU281),1),"0%"),"OK")))</f>
        <v/>
      </c>
      <c r="BA281" s="33" t="str">
        <f aca="false">IF(OR(D281="",H281=""),"",IF(H281&lt;=IF(OR(D281="Soldier Pile &amp; Timber Lagging",D281="Trench Shoring Box",D281="Open Cut (battered)"),SG_Criteria!$B$34,SG_Criteria!$B$33),"No ERSS submission",IF(H281&lt;=SG_Criteria!$B$35,"QP(ST)",IF(H281&lt;=SG_Criteria!$B$36,"QP(ST) + AC","Geotechnical building works: QP(Geo) + AC"))))</f>
        <v/>
      </c>
      <c r="BB281" s="33" t="str">
        <f aca="false">IF(D281="","",IF(LEN(IF(AND(R281&lt;&gt;"",R281&lt;SG_Criteria!$B$37),"FAIL: base stability FOS &lt; "&amp;SG_Criteria!$B$37&amp;". ","")&amp;IF(AND(E281="Manhole",H281&gt;SG_Criteria!$B$36),"NOTE: BCA lists sewer manholes (pipe &lt;= 2 m dia) &gt; 6 m as non-GBW: QP(ST) + AC. ","")&amp;IF(AND(D281="Trench Shoring Box",I281="Kallang Formation (marine clay)"),"NOTE: check base heave / ground loss for shoring box in marine clay. ","")&amp;IF(AND(D281="Steel Sheet Pile Cofferdam",N(N281)&lt;H281*0.5),"NOTE: short toe embedment, check. ",""))=0,"OK",IF(AND(R281&lt;&gt;"",R281&lt;SG_Criteria!$B$37),"FAIL: base stability FOS &lt; "&amp;SG_Criteria!$B$37&amp;". ","")&amp;IF(AND(E281="Manhole",H281&gt;SG_Criteria!$B$36),"NOTE: BCA lists sewer manholes (pipe &lt;= 2 m dia) &gt; 6 m as non-GBW: QP(ST) + AC. ","")&amp;IF(AND(D281="Trench Shoring Box",I281="Kallang Formation (marine clay)"),"NOTE: check base heave / ground loss for shoring box in marine clay. ","")&amp;IF(AND(D281="Steel Sheet Pile Cofferdam",N(N281)&lt;H281*0.5),"NOTE: short toe embedment, check. ","")))</f>
        <v/>
      </c>
      <c r="BC281" s="9"/>
      <c r="BD281" s="9"/>
      <c r="BE281" s="9"/>
      <c r="BF281" s="10" t="str">
        <f aca="false">IF(BE281="","",IFERROR(VLOOKUP(BE281,Projects!$A$5:$D$504,2,0),"Ref not in Projects"))</f>
        <v/>
      </c>
      <c r="BG281" s="10" t="str">
        <f aca="false">IF(BE281="","",IFERROR(VLOOKUP(BE281,Projects!$A$5:$D$504,4,0),"Ref not in Projects"))</f>
        <v/>
      </c>
      <c r="BH281" s="9"/>
      <c r="BI281" s="9"/>
      <c r="BJ281" s="9"/>
      <c r="BK281" s="40"/>
      <c r="BL281" s="9"/>
      <c r="BM281" s="40"/>
      <c r="BN281" s="9"/>
      <c r="BO281" s="40"/>
      <c r="BP281" s="9"/>
      <c r="BQ281" s="9"/>
      <c r="BR281" s="9"/>
      <c r="BS281" s="40"/>
      <c r="BT281" s="40"/>
      <c r="BU281" s="36" t="str">
        <f aca="false">IF(BT281="","",EDATE(BT281,SG_Criteria!$B$54*12))</f>
        <v/>
      </c>
      <c r="BV281" s="33" t="str">
        <f aca="true">IF(A281="","",IF(BT281="","NOTE: not reviewed yet",IF(TODAY()&gt;BU281,"NOTE: review overdue","OK")))</f>
        <v/>
      </c>
      <c r="BW281" s="37" t="str">
        <f aca="false">IF(A281="","",ROUND((IF(LEN(D281)&gt;0,1,0)+IF(LEN(E281)&gt;0,1,0)+IF(LEN(F281)&gt;0,1,0)+IF(LEN(G281)&gt;0,1,0)+IF(LEN(H281)&gt;0,1,0)+IF(LEN(I281)&gt;0,1,0)+IF(LEN(J281)&gt;0,1,0)+IF(LEN(L281)&gt;0,1,0)+IF(LEN(R281)&gt;0,1,0)+IF(LEN(Y281)&gt;0,1,0)+IF(LEN(AE281)&gt;0,1,0)+IF(LEN(AG281)&gt;0,1,0)+IF(LEN(AH281)&gt;0,1,0)+IF(LEN(AI281)&gt;0,1,0)+IF(LEN(AJ281)&gt;0,1,0)+IF(LEN(AS281)&gt;0,1,0)+IF(LEN(BE281)&gt;0,1,0)+IF(LEN(BR281)&gt;0,1,0))/18,2))</f>
        <v/>
      </c>
      <c r="BX281" s="10" t="str">
        <f aca="false">IF(D281="","",IF(AND(AH281="Approved",ISERROR(SEARCH("FAIL",BB281))),"Y","N"))</f>
        <v/>
      </c>
      <c r="BY281" s="10" t="str">
        <f aca="false">IF(D281="","",D281&amp;"|"&amp;H281&amp;"|"&amp;F281&amp;"|"&amp;I281&amp;"|"&amp;BX281)</f>
        <v/>
      </c>
    </row>
    <row r="282" customFormat="false" ht="15" hidden="false" customHeight="false" outlineLevel="0" collapsed="false">
      <c r="A282" s="10" t="str">
        <f aca="false">IF(D282="","","ERSS-"&amp;IFERROR(VLOOKUP(D282,Lists!$AK$4:$AL$21,2,0),"??")&amp;"-"&amp;TEXT(F282,"0000")&amp;"x"&amp;TEXT(G282,"0000")&amp;"-D"&amp;TEXT(H282*1000,"0000")&amp;"-"&amp;IFERROR(VLOOKUP(I282,Lists!$Y$4:$Z$21,2,0),"??")&amp;"-"&amp;AG282)</f>
        <v/>
      </c>
      <c r="B282" s="10" t="str">
        <f aca="false">IF(D282="","",D282&amp;" for "&amp;E282&amp;", "&amp;F282&amp;" x "&amp;G282&amp;" pit, "&amp;TEXT(H282,"0.0")&amp;" m deep, "&amp;I282)</f>
        <v/>
      </c>
      <c r="C282" s="9"/>
      <c r="D282" s="9"/>
      <c r="E282" s="9"/>
      <c r="F282" s="38"/>
      <c r="G282" s="38"/>
      <c r="H282" s="42"/>
      <c r="I282" s="9"/>
      <c r="J282" s="42"/>
      <c r="K282" s="38"/>
      <c r="L282" s="9"/>
      <c r="M282" s="42"/>
      <c r="N282" s="42"/>
      <c r="O282" s="38"/>
      <c r="P282" s="9"/>
      <c r="Q282" s="9"/>
      <c r="R282" s="39"/>
      <c r="S282" s="39"/>
      <c r="T282" s="38"/>
      <c r="U282" s="38"/>
      <c r="V282" s="38"/>
      <c r="W282" s="9"/>
      <c r="X282" s="9"/>
      <c r="Y282" s="38"/>
      <c r="Z282" s="9"/>
      <c r="AA282" s="9"/>
      <c r="AB282" s="38"/>
      <c r="AC282" s="9"/>
      <c r="AD282" s="39"/>
      <c r="AE282" s="9"/>
      <c r="AF282" s="9"/>
      <c r="AG282" s="9"/>
      <c r="AH282" s="9"/>
      <c r="AI282" s="9"/>
      <c r="AJ282" s="9"/>
      <c r="AK282" s="9"/>
      <c r="AL282" s="10" t="str">
        <f aca="false">IF(A282="","",SG_Criteria!$B$6&amp;SG_Criteria!$B$11&amp;"\"&amp;A282&amp;"\")</f>
        <v/>
      </c>
      <c r="AM282" s="10" t="str">
        <f aca="false">IF(A282="","",A282&amp;"_CAD.dwg")</f>
        <v/>
      </c>
      <c r="AN282" s="10" t="str">
        <f aca="false">IF(A282="","",A282&amp;"_DWG.pdf")</f>
        <v/>
      </c>
      <c r="AO282" s="10" t="str">
        <f aca="false">IF(A282="","",IF(AK282="Y",A282&amp;"_STAAD.std","n/a"))</f>
        <v/>
      </c>
      <c r="AP282" s="10" t="str">
        <f aca="false">IF(A282="","",A282&amp;"_CALC.xlsx")</f>
        <v/>
      </c>
      <c r="AQ282" s="10" t="str">
        <f aca="false">IF(A282="","",A282&amp;"_CALC.pdf")</f>
        <v/>
      </c>
      <c r="AR282" s="9"/>
      <c r="AS282" s="9"/>
      <c r="AT282" s="39"/>
      <c r="AU282" s="39"/>
      <c r="AV282" s="39"/>
      <c r="AW282" s="39"/>
      <c r="AX282" s="39"/>
      <c r="AY282" s="12" t="str">
        <f aca="false">IF(A282="","",IF(COUNTIF(Rebar_Schedule!$A$5:$A$2004,A282)=0,"",ROUND(SUMIF(Rebar_Schedule!$A$5:$A$2004,A282,Rebar_Schedule!$K$5:$K$2004),1)))</f>
        <v/>
      </c>
      <c r="AZ282" s="33" t="str">
        <f aca="false">IF(A282="","",IF(AY282="","No rebar schedule yet",IF(ABS(AY282-N(AU282))/MAX(N(AU282),1)&gt;SG_Criteria!$B$55,"NOTE: register rebar differs from schedule by "&amp;TEXT(ABS(AY282-N(AU282))/MAX(N(AU282),1),"0%"),"OK")))</f>
        <v/>
      </c>
      <c r="BA282" s="33" t="str">
        <f aca="false">IF(OR(D282="",H282=""),"",IF(H282&lt;=IF(OR(D282="Soldier Pile &amp; Timber Lagging",D282="Trench Shoring Box",D282="Open Cut (battered)"),SG_Criteria!$B$34,SG_Criteria!$B$33),"No ERSS submission",IF(H282&lt;=SG_Criteria!$B$35,"QP(ST)",IF(H282&lt;=SG_Criteria!$B$36,"QP(ST) + AC","Geotechnical building works: QP(Geo) + AC"))))</f>
        <v/>
      </c>
      <c r="BB282" s="33" t="str">
        <f aca="false">IF(D282="","",IF(LEN(IF(AND(R282&lt;&gt;"",R282&lt;SG_Criteria!$B$37),"FAIL: base stability FOS &lt; "&amp;SG_Criteria!$B$37&amp;". ","")&amp;IF(AND(E282="Manhole",H282&gt;SG_Criteria!$B$36),"NOTE: BCA lists sewer manholes (pipe &lt;= 2 m dia) &gt; 6 m as non-GBW: QP(ST) + AC. ","")&amp;IF(AND(D282="Trench Shoring Box",I282="Kallang Formation (marine clay)"),"NOTE: check base heave / ground loss for shoring box in marine clay. ","")&amp;IF(AND(D282="Steel Sheet Pile Cofferdam",N(N282)&lt;H282*0.5),"NOTE: short toe embedment, check. ",""))=0,"OK",IF(AND(R282&lt;&gt;"",R282&lt;SG_Criteria!$B$37),"FAIL: base stability FOS &lt; "&amp;SG_Criteria!$B$37&amp;". ","")&amp;IF(AND(E282="Manhole",H282&gt;SG_Criteria!$B$36),"NOTE: BCA lists sewer manholes (pipe &lt;= 2 m dia) &gt; 6 m as non-GBW: QP(ST) + AC. ","")&amp;IF(AND(D282="Trench Shoring Box",I282="Kallang Formation (marine clay)"),"NOTE: check base heave / ground loss for shoring box in marine clay. ","")&amp;IF(AND(D282="Steel Sheet Pile Cofferdam",N(N282)&lt;H282*0.5),"NOTE: short toe embedment, check. ","")))</f>
        <v/>
      </c>
      <c r="BC282" s="9"/>
      <c r="BD282" s="9"/>
      <c r="BE282" s="9"/>
      <c r="BF282" s="10" t="str">
        <f aca="false">IF(BE282="","",IFERROR(VLOOKUP(BE282,Projects!$A$5:$D$504,2,0),"Ref not in Projects"))</f>
        <v/>
      </c>
      <c r="BG282" s="10" t="str">
        <f aca="false">IF(BE282="","",IFERROR(VLOOKUP(BE282,Projects!$A$5:$D$504,4,0),"Ref not in Projects"))</f>
        <v/>
      </c>
      <c r="BH282" s="9"/>
      <c r="BI282" s="9"/>
      <c r="BJ282" s="9"/>
      <c r="BK282" s="40"/>
      <c r="BL282" s="9"/>
      <c r="BM282" s="40"/>
      <c r="BN282" s="9"/>
      <c r="BO282" s="40"/>
      <c r="BP282" s="9"/>
      <c r="BQ282" s="9"/>
      <c r="BR282" s="9"/>
      <c r="BS282" s="40"/>
      <c r="BT282" s="40"/>
      <c r="BU282" s="36" t="str">
        <f aca="false">IF(BT282="","",EDATE(BT282,SG_Criteria!$B$54*12))</f>
        <v/>
      </c>
      <c r="BV282" s="33" t="str">
        <f aca="true">IF(A282="","",IF(BT282="","NOTE: not reviewed yet",IF(TODAY()&gt;BU282,"NOTE: review overdue","OK")))</f>
        <v/>
      </c>
      <c r="BW282" s="37" t="str">
        <f aca="false">IF(A282="","",ROUND((IF(LEN(D282)&gt;0,1,0)+IF(LEN(E282)&gt;0,1,0)+IF(LEN(F282)&gt;0,1,0)+IF(LEN(G282)&gt;0,1,0)+IF(LEN(H282)&gt;0,1,0)+IF(LEN(I282)&gt;0,1,0)+IF(LEN(J282)&gt;0,1,0)+IF(LEN(L282)&gt;0,1,0)+IF(LEN(R282)&gt;0,1,0)+IF(LEN(Y282)&gt;0,1,0)+IF(LEN(AE282)&gt;0,1,0)+IF(LEN(AG282)&gt;0,1,0)+IF(LEN(AH282)&gt;0,1,0)+IF(LEN(AI282)&gt;0,1,0)+IF(LEN(AJ282)&gt;0,1,0)+IF(LEN(AS282)&gt;0,1,0)+IF(LEN(BE282)&gt;0,1,0)+IF(LEN(BR282)&gt;0,1,0))/18,2))</f>
        <v/>
      </c>
      <c r="BX282" s="10" t="str">
        <f aca="false">IF(D282="","",IF(AND(AH282="Approved",ISERROR(SEARCH("FAIL",BB282))),"Y","N"))</f>
        <v/>
      </c>
      <c r="BY282" s="10" t="str">
        <f aca="false">IF(D282="","",D282&amp;"|"&amp;H282&amp;"|"&amp;F282&amp;"|"&amp;I282&amp;"|"&amp;BX282)</f>
        <v/>
      </c>
    </row>
    <row r="283" customFormat="false" ht="15" hidden="false" customHeight="false" outlineLevel="0" collapsed="false">
      <c r="A283" s="10" t="str">
        <f aca="false">IF(D283="","","ERSS-"&amp;IFERROR(VLOOKUP(D283,Lists!$AK$4:$AL$21,2,0),"??")&amp;"-"&amp;TEXT(F283,"0000")&amp;"x"&amp;TEXT(G283,"0000")&amp;"-D"&amp;TEXT(H283*1000,"0000")&amp;"-"&amp;IFERROR(VLOOKUP(I283,Lists!$Y$4:$Z$21,2,0),"??")&amp;"-"&amp;AG283)</f>
        <v/>
      </c>
      <c r="B283" s="10" t="str">
        <f aca="false">IF(D283="","",D283&amp;" for "&amp;E283&amp;", "&amp;F283&amp;" x "&amp;G283&amp;" pit, "&amp;TEXT(H283,"0.0")&amp;" m deep, "&amp;I283)</f>
        <v/>
      </c>
      <c r="C283" s="9"/>
      <c r="D283" s="9"/>
      <c r="E283" s="9"/>
      <c r="F283" s="38"/>
      <c r="G283" s="38"/>
      <c r="H283" s="42"/>
      <c r="I283" s="9"/>
      <c r="J283" s="42"/>
      <c r="K283" s="38"/>
      <c r="L283" s="9"/>
      <c r="M283" s="42"/>
      <c r="N283" s="42"/>
      <c r="O283" s="38"/>
      <c r="P283" s="9"/>
      <c r="Q283" s="9"/>
      <c r="R283" s="39"/>
      <c r="S283" s="39"/>
      <c r="T283" s="38"/>
      <c r="U283" s="38"/>
      <c r="V283" s="38"/>
      <c r="W283" s="9"/>
      <c r="X283" s="9"/>
      <c r="Y283" s="38"/>
      <c r="Z283" s="9"/>
      <c r="AA283" s="9"/>
      <c r="AB283" s="38"/>
      <c r="AC283" s="9"/>
      <c r="AD283" s="39"/>
      <c r="AE283" s="9"/>
      <c r="AF283" s="9"/>
      <c r="AG283" s="9"/>
      <c r="AH283" s="9"/>
      <c r="AI283" s="9"/>
      <c r="AJ283" s="9"/>
      <c r="AK283" s="9"/>
      <c r="AL283" s="10" t="str">
        <f aca="false">IF(A283="","",SG_Criteria!$B$6&amp;SG_Criteria!$B$11&amp;"\"&amp;A283&amp;"\")</f>
        <v/>
      </c>
      <c r="AM283" s="10" t="str">
        <f aca="false">IF(A283="","",A283&amp;"_CAD.dwg")</f>
        <v/>
      </c>
      <c r="AN283" s="10" t="str">
        <f aca="false">IF(A283="","",A283&amp;"_DWG.pdf")</f>
        <v/>
      </c>
      <c r="AO283" s="10" t="str">
        <f aca="false">IF(A283="","",IF(AK283="Y",A283&amp;"_STAAD.std","n/a"))</f>
        <v/>
      </c>
      <c r="AP283" s="10" t="str">
        <f aca="false">IF(A283="","",A283&amp;"_CALC.xlsx")</f>
        <v/>
      </c>
      <c r="AQ283" s="10" t="str">
        <f aca="false">IF(A283="","",A283&amp;"_CALC.pdf")</f>
        <v/>
      </c>
      <c r="AR283" s="9"/>
      <c r="AS283" s="9"/>
      <c r="AT283" s="39"/>
      <c r="AU283" s="39"/>
      <c r="AV283" s="39"/>
      <c r="AW283" s="39"/>
      <c r="AX283" s="39"/>
      <c r="AY283" s="12" t="str">
        <f aca="false">IF(A283="","",IF(COUNTIF(Rebar_Schedule!$A$5:$A$2004,A283)=0,"",ROUND(SUMIF(Rebar_Schedule!$A$5:$A$2004,A283,Rebar_Schedule!$K$5:$K$2004),1)))</f>
        <v/>
      </c>
      <c r="AZ283" s="33" t="str">
        <f aca="false">IF(A283="","",IF(AY283="","No rebar schedule yet",IF(ABS(AY283-N(AU283))/MAX(N(AU283),1)&gt;SG_Criteria!$B$55,"NOTE: register rebar differs from schedule by "&amp;TEXT(ABS(AY283-N(AU283))/MAX(N(AU283),1),"0%"),"OK")))</f>
        <v/>
      </c>
      <c r="BA283" s="33" t="str">
        <f aca="false">IF(OR(D283="",H283=""),"",IF(H283&lt;=IF(OR(D283="Soldier Pile &amp; Timber Lagging",D283="Trench Shoring Box",D283="Open Cut (battered)"),SG_Criteria!$B$34,SG_Criteria!$B$33),"No ERSS submission",IF(H283&lt;=SG_Criteria!$B$35,"QP(ST)",IF(H283&lt;=SG_Criteria!$B$36,"QP(ST) + AC","Geotechnical building works: QP(Geo) + AC"))))</f>
        <v/>
      </c>
      <c r="BB283" s="33" t="str">
        <f aca="false">IF(D283="","",IF(LEN(IF(AND(R283&lt;&gt;"",R283&lt;SG_Criteria!$B$37),"FAIL: base stability FOS &lt; "&amp;SG_Criteria!$B$37&amp;". ","")&amp;IF(AND(E283="Manhole",H283&gt;SG_Criteria!$B$36),"NOTE: BCA lists sewer manholes (pipe &lt;= 2 m dia) &gt; 6 m as non-GBW: QP(ST) + AC. ","")&amp;IF(AND(D283="Trench Shoring Box",I283="Kallang Formation (marine clay)"),"NOTE: check base heave / ground loss for shoring box in marine clay. ","")&amp;IF(AND(D283="Steel Sheet Pile Cofferdam",N(N283)&lt;H283*0.5),"NOTE: short toe embedment, check. ",""))=0,"OK",IF(AND(R283&lt;&gt;"",R283&lt;SG_Criteria!$B$37),"FAIL: base stability FOS &lt; "&amp;SG_Criteria!$B$37&amp;". ","")&amp;IF(AND(E283="Manhole",H283&gt;SG_Criteria!$B$36),"NOTE: BCA lists sewer manholes (pipe &lt;= 2 m dia) &gt; 6 m as non-GBW: QP(ST) + AC. ","")&amp;IF(AND(D283="Trench Shoring Box",I283="Kallang Formation (marine clay)"),"NOTE: check base heave / ground loss for shoring box in marine clay. ","")&amp;IF(AND(D283="Steel Sheet Pile Cofferdam",N(N283)&lt;H283*0.5),"NOTE: short toe embedment, check. ","")))</f>
        <v/>
      </c>
      <c r="BC283" s="9"/>
      <c r="BD283" s="9"/>
      <c r="BE283" s="9"/>
      <c r="BF283" s="10" t="str">
        <f aca="false">IF(BE283="","",IFERROR(VLOOKUP(BE283,Projects!$A$5:$D$504,2,0),"Ref not in Projects"))</f>
        <v/>
      </c>
      <c r="BG283" s="10" t="str">
        <f aca="false">IF(BE283="","",IFERROR(VLOOKUP(BE283,Projects!$A$5:$D$504,4,0),"Ref not in Projects"))</f>
        <v/>
      </c>
      <c r="BH283" s="9"/>
      <c r="BI283" s="9"/>
      <c r="BJ283" s="9"/>
      <c r="BK283" s="40"/>
      <c r="BL283" s="9"/>
      <c r="BM283" s="40"/>
      <c r="BN283" s="9"/>
      <c r="BO283" s="40"/>
      <c r="BP283" s="9"/>
      <c r="BQ283" s="9"/>
      <c r="BR283" s="9"/>
      <c r="BS283" s="40"/>
      <c r="BT283" s="40"/>
      <c r="BU283" s="36" t="str">
        <f aca="false">IF(BT283="","",EDATE(BT283,SG_Criteria!$B$54*12))</f>
        <v/>
      </c>
      <c r="BV283" s="33" t="str">
        <f aca="true">IF(A283="","",IF(BT283="","NOTE: not reviewed yet",IF(TODAY()&gt;BU283,"NOTE: review overdue","OK")))</f>
        <v/>
      </c>
      <c r="BW283" s="37" t="str">
        <f aca="false">IF(A283="","",ROUND((IF(LEN(D283)&gt;0,1,0)+IF(LEN(E283)&gt;0,1,0)+IF(LEN(F283)&gt;0,1,0)+IF(LEN(G283)&gt;0,1,0)+IF(LEN(H283)&gt;0,1,0)+IF(LEN(I283)&gt;0,1,0)+IF(LEN(J283)&gt;0,1,0)+IF(LEN(L283)&gt;0,1,0)+IF(LEN(R283)&gt;0,1,0)+IF(LEN(Y283)&gt;0,1,0)+IF(LEN(AE283)&gt;0,1,0)+IF(LEN(AG283)&gt;0,1,0)+IF(LEN(AH283)&gt;0,1,0)+IF(LEN(AI283)&gt;0,1,0)+IF(LEN(AJ283)&gt;0,1,0)+IF(LEN(AS283)&gt;0,1,0)+IF(LEN(BE283)&gt;0,1,0)+IF(LEN(BR283)&gt;0,1,0))/18,2))</f>
        <v/>
      </c>
      <c r="BX283" s="10" t="str">
        <f aca="false">IF(D283="","",IF(AND(AH283="Approved",ISERROR(SEARCH("FAIL",BB283))),"Y","N"))</f>
        <v/>
      </c>
      <c r="BY283" s="10" t="str">
        <f aca="false">IF(D283="","",D283&amp;"|"&amp;H283&amp;"|"&amp;F283&amp;"|"&amp;I283&amp;"|"&amp;BX283)</f>
        <v/>
      </c>
    </row>
    <row r="284" customFormat="false" ht="15" hidden="false" customHeight="false" outlineLevel="0" collapsed="false">
      <c r="A284" s="10" t="str">
        <f aca="false">IF(D284="","","ERSS-"&amp;IFERROR(VLOOKUP(D284,Lists!$AK$4:$AL$21,2,0),"??")&amp;"-"&amp;TEXT(F284,"0000")&amp;"x"&amp;TEXT(G284,"0000")&amp;"-D"&amp;TEXT(H284*1000,"0000")&amp;"-"&amp;IFERROR(VLOOKUP(I284,Lists!$Y$4:$Z$21,2,0),"??")&amp;"-"&amp;AG284)</f>
        <v/>
      </c>
      <c r="B284" s="10" t="str">
        <f aca="false">IF(D284="","",D284&amp;" for "&amp;E284&amp;", "&amp;F284&amp;" x "&amp;G284&amp;" pit, "&amp;TEXT(H284,"0.0")&amp;" m deep, "&amp;I284)</f>
        <v/>
      </c>
      <c r="C284" s="9"/>
      <c r="D284" s="9"/>
      <c r="E284" s="9"/>
      <c r="F284" s="38"/>
      <c r="G284" s="38"/>
      <c r="H284" s="42"/>
      <c r="I284" s="9"/>
      <c r="J284" s="42"/>
      <c r="K284" s="38"/>
      <c r="L284" s="9"/>
      <c r="M284" s="42"/>
      <c r="N284" s="42"/>
      <c r="O284" s="38"/>
      <c r="P284" s="9"/>
      <c r="Q284" s="9"/>
      <c r="R284" s="39"/>
      <c r="S284" s="39"/>
      <c r="T284" s="38"/>
      <c r="U284" s="38"/>
      <c r="V284" s="38"/>
      <c r="W284" s="9"/>
      <c r="X284" s="9"/>
      <c r="Y284" s="38"/>
      <c r="Z284" s="9"/>
      <c r="AA284" s="9"/>
      <c r="AB284" s="38"/>
      <c r="AC284" s="9"/>
      <c r="AD284" s="39"/>
      <c r="AE284" s="9"/>
      <c r="AF284" s="9"/>
      <c r="AG284" s="9"/>
      <c r="AH284" s="9"/>
      <c r="AI284" s="9"/>
      <c r="AJ284" s="9"/>
      <c r="AK284" s="9"/>
      <c r="AL284" s="10" t="str">
        <f aca="false">IF(A284="","",SG_Criteria!$B$6&amp;SG_Criteria!$B$11&amp;"\"&amp;A284&amp;"\")</f>
        <v/>
      </c>
      <c r="AM284" s="10" t="str">
        <f aca="false">IF(A284="","",A284&amp;"_CAD.dwg")</f>
        <v/>
      </c>
      <c r="AN284" s="10" t="str">
        <f aca="false">IF(A284="","",A284&amp;"_DWG.pdf")</f>
        <v/>
      </c>
      <c r="AO284" s="10" t="str">
        <f aca="false">IF(A284="","",IF(AK284="Y",A284&amp;"_STAAD.std","n/a"))</f>
        <v/>
      </c>
      <c r="AP284" s="10" t="str">
        <f aca="false">IF(A284="","",A284&amp;"_CALC.xlsx")</f>
        <v/>
      </c>
      <c r="AQ284" s="10" t="str">
        <f aca="false">IF(A284="","",A284&amp;"_CALC.pdf")</f>
        <v/>
      </c>
      <c r="AR284" s="9"/>
      <c r="AS284" s="9"/>
      <c r="AT284" s="39"/>
      <c r="AU284" s="39"/>
      <c r="AV284" s="39"/>
      <c r="AW284" s="39"/>
      <c r="AX284" s="39"/>
      <c r="AY284" s="12" t="str">
        <f aca="false">IF(A284="","",IF(COUNTIF(Rebar_Schedule!$A$5:$A$2004,A284)=0,"",ROUND(SUMIF(Rebar_Schedule!$A$5:$A$2004,A284,Rebar_Schedule!$K$5:$K$2004),1)))</f>
        <v/>
      </c>
      <c r="AZ284" s="33" t="str">
        <f aca="false">IF(A284="","",IF(AY284="","No rebar schedule yet",IF(ABS(AY284-N(AU284))/MAX(N(AU284),1)&gt;SG_Criteria!$B$55,"NOTE: register rebar differs from schedule by "&amp;TEXT(ABS(AY284-N(AU284))/MAX(N(AU284),1),"0%"),"OK")))</f>
        <v/>
      </c>
      <c r="BA284" s="33" t="str">
        <f aca="false">IF(OR(D284="",H284=""),"",IF(H284&lt;=IF(OR(D284="Soldier Pile &amp; Timber Lagging",D284="Trench Shoring Box",D284="Open Cut (battered)"),SG_Criteria!$B$34,SG_Criteria!$B$33),"No ERSS submission",IF(H284&lt;=SG_Criteria!$B$35,"QP(ST)",IF(H284&lt;=SG_Criteria!$B$36,"QP(ST) + AC","Geotechnical building works: QP(Geo) + AC"))))</f>
        <v/>
      </c>
      <c r="BB284" s="33" t="str">
        <f aca="false">IF(D284="","",IF(LEN(IF(AND(R284&lt;&gt;"",R284&lt;SG_Criteria!$B$37),"FAIL: base stability FOS &lt; "&amp;SG_Criteria!$B$37&amp;". ","")&amp;IF(AND(E284="Manhole",H284&gt;SG_Criteria!$B$36),"NOTE: BCA lists sewer manholes (pipe &lt;= 2 m dia) &gt; 6 m as non-GBW: QP(ST) + AC. ","")&amp;IF(AND(D284="Trench Shoring Box",I284="Kallang Formation (marine clay)"),"NOTE: check base heave / ground loss for shoring box in marine clay. ","")&amp;IF(AND(D284="Steel Sheet Pile Cofferdam",N(N284)&lt;H284*0.5),"NOTE: short toe embedment, check. ",""))=0,"OK",IF(AND(R284&lt;&gt;"",R284&lt;SG_Criteria!$B$37),"FAIL: base stability FOS &lt; "&amp;SG_Criteria!$B$37&amp;". ","")&amp;IF(AND(E284="Manhole",H284&gt;SG_Criteria!$B$36),"NOTE: BCA lists sewer manholes (pipe &lt;= 2 m dia) &gt; 6 m as non-GBW: QP(ST) + AC. ","")&amp;IF(AND(D284="Trench Shoring Box",I284="Kallang Formation (marine clay)"),"NOTE: check base heave / ground loss for shoring box in marine clay. ","")&amp;IF(AND(D284="Steel Sheet Pile Cofferdam",N(N284)&lt;H284*0.5),"NOTE: short toe embedment, check. ","")))</f>
        <v/>
      </c>
      <c r="BC284" s="9"/>
      <c r="BD284" s="9"/>
      <c r="BE284" s="9"/>
      <c r="BF284" s="10" t="str">
        <f aca="false">IF(BE284="","",IFERROR(VLOOKUP(BE284,Projects!$A$5:$D$504,2,0),"Ref not in Projects"))</f>
        <v/>
      </c>
      <c r="BG284" s="10" t="str">
        <f aca="false">IF(BE284="","",IFERROR(VLOOKUP(BE284,Projects!$A$5:$D$504,4,0),"Ref not in Projects"))</f>
        <v/>
      </c>
      <c r="BH284" s="9"/>
      <c r="BI284" s="9"/>
      <c r="BJ284" s="9"/>
      <c r="BK284" s="40"/>
      <c r="BL284" s="9"/>
      <c r="BM284" s="40"/>
      <c r="BN284" s="9"/>
      <c r="BO284" s="40"/>
      <c r="BP284" s="9"/>
      <c r="BQ284" s="9"/>
      <c r="BR284" s="9"/>
      <c r="BS284" s="40"/>
      <c r="BT284" s="40"/>
      <c r="BU284" s="36" t="str">
        <f aca="false">IF(BT284="","",EDATE(BT284,SG_Criteria!$B$54*12))</f>
        <v/>
      </c>
      <c r="BV284" s="33" t="str">
        <f aca="true">IF(A284="","",IF(BT284="","NOTE: not reviewed yet",IF(TODAY()&gt;BU284,"NOTE: review overdue","OK")))</f>
        <v/>
      </c>
      <c r="BW284" s="37" t="str">
        <f aca="false">IF(A284="","",ROUND((IF(LEN(D284)&gt;0,1,0)+IF(LEN(E284)&gt;0,1,0)+IF(LEN(F284)&gt;0,1,0)+IF(LEN(G284)&gt;0,1,0)+IF(LEN(H284)&gt;0,1,0)+IF(LEN(I284)&gt;0,1,0)+IF(LEN(J284)&gt;0,1,0)+IF(LEN(L284)&gt;0,1,0)+IF(LEN(R284)&gt;0,1,0)+IF(LEN(Y284)&gt;0,1,0)+IF(LEN(AE284)&gt;0,1,0)+IF(LEN(AG284)&gt;0,1,0)+IF(LEN(AH284)&gt;0,1,0)+IF(LEN(AI284)&gt;0,1,0)+IF(LEN(AJ284)&gt;0,1,0)+IF(LEN(AS284)&gt;0,1,0)+IF(LEN(BE284)&gt;0,1,0)+IF(LEN(BR284)&gt;0,1,0))/18,2))</f>
        <v/>
      </c>
      <c r="BX284" s="10" t="str">
        <f aca="false">IF(D284="","",IF(AND(AH284="Approved",ISERROR(SEARCH("FAIL",BB284))),"Y","N"))</f>
        <v/>
      </c>
      <c r="BY284" s="10" t="str">
        <f aca="false">IF(D284="","",D284&amp;"|"&amp;H284&amp;"|"&amp;F284&amp;"|"&amp;I284&amp;"|"&amp;BX284)</f>
        <v/>
      </c>
    </row>
    <row r="285" customFormat="false" ht="15" hidden="false" customHeight="false" outlineLevel="0" collapsed="false">
      <c r="A285" s="10" t="str">
        <f aca="false">IF(D285="","","ERSS-"&amp;IFERROR(VLOOKUP(D285,Lists!$AK$4:$AL$21,2,0),"??")&amp;"-"&amp;TEXT(F285,"0000")&amp;"x"&amp;TEXT(G285,"0000")&amp;"-D"&amp;TEXT(H285*1000,"0000")&amp;"-"&amp;IFERROR(VLOOKUP(I285,Lists!$Y$4:$Z$21,2,0),"??")&amp;"-"&amp;AG285)</f>
        <v/>
      </c>
      <c r="B285" s="10" t="str">
        <f aca="false">IF(D285="","",D285&amp;" for "&amp;E285&amp;", "&amp;F285&amp;" x "&amp;G285&amp;" pit, "&amp;TEXT(H285,"0.0")&amp;" m deep, "&amp;I285)</f>
        <v/>
      </c>
      <c r="C285" s="9"/>
      <c r="D285" s="9"/>
      <c r="E285" s="9"/>
      <c r="F285" s="38"/>
      <c r="G285" s="38"/>
      <c r="H285" s="42"/>
      <c r="I285" s="9"/>
      <c r="J285" s="42"/>
      <c r="K285" s="38"/>
      <c r="L285" s="9"/>
      <c r="M285" s="42"/>
      <c r="N285" s="42"/>
      <c r="O285" s="38"/>
      <c r="P285" s="9"/>
      <c r="Q285" s="9"/>
      <c r="R285" s="39"/>
      <c r="S285" s="39"/>
      <c r="T285" s="38"/>
      <c r="U285" s="38"/>
      <c r="V285" s="38"/>
      <c r="W285" s="9"/>
      <c r="X285" s="9"/>
      <c r="Y285" s="38"/>
      <c r="Z285" s="9"/>
      <c r="AA285" s="9"/>
      <c r="AB285" s="38"/>
      <c r="AC285" s="9"/>
      <c r="AD285" s="39"/>
      <c r="AE285" s="9"/>
      <c r="AF285" s="9"/>
      <c r="AG285" s="9"/>
      <c r="AH285" s="9"/>
      <c r="AI285" s="9"/>
      <c r="AJ285" s="9"/>
      <c r="AK285" s="9"/>
      <c r="AL285" s="10" t="str">
        <f aca="false">IF(A285="","",SG_Criteria!$B$6&amp;SG_Criteria!$B$11&amp;"\"&amp;A285&amp;"\")</f>
        <v/>
      </c>
      <c r="AM285" s="10" t="str">
        <f aca="false">IF(A285="","",A285&amp;"_CAD.dwg")</f>
        <v/>
      </c>
      <c r="AN285" s="10" t="str">
        <f aca="false">IF(A285="","",A285&amp;"_DWG.pdf")</f>
        <v/>
      </c>
      <c r="AO285" s="10" t="str">
        <f aca="false">IF(A285="","",IF(AK285="Y",A285&amp;"_STAAD.std","n/a"))</f>
        <v/>
      </c>
      <c r="AP285" s="10" t="str">
        <f aca="false">IF(A285="","",A285&amp;"_CALC.xlsx")</f>
        <v/>
      </c>
      <c r="AQ285" s="10" t="str">
        <f aca="false">IF(A285="","",A285&amp;"_CALC.pdf")</f>
        <v/>
      </c>
      <c r="AR285" s="9"/>
      <c r="AS285" s="9"/>
      <c r="AT285" s="39"/>
      <c r="AU285" s="39"/>
      <c r="AV285" s="39"/>
      <c r="AW285" s="39"/>
      <c r="AX285" s="39"/>
      <c r="AY285" s="12" t="str">
        <f aca="false">IF(A285="","",IF(COUNTIF(Rebar_Schedule!$A$5:$A$2004,A285)=0,"",ROUND(SUMIF(Rebar_Schedule!$A$5:$A$2004,A285,Rebar_Schedule!$K$5:$K$2004),1)))</f>
        <v/>
      </c>
      <c r="AZ285" s="33" t="str">
        <f aca="false">IF(A285="","",IF(AY285="","No rebar schedule yet",IF(ABS(AY285-N(AU285))/MAX(N(AU285),1)&gt;SG_Criteria!$B$55,"NOTE: register rebar differs from schedule by "&amp;TEXT(ABS(AY285-N(AU285))/MAX(N(AU285),1),"0%"),"OK")))</f>
        <v/>
      </c>
      <c r="BA285" s="33" t="str">
        <f aca="false">IF(OR(D285="",H285=""),"",IF(H285&lt;=IF(OR(D285="Soldier Pile &amp; Timber Lagging",D285="Trench Shoring Box",D285="Open Cut (battered)"),SG_Criteria!$B$34,SG_Criteria!$B$33),"No ERSS submission",IF(H285&lt;=SG_Criteria!$B$35,"QP(ST)",IF(H285&lt;=SG_Criteria!$B$36,"QP(ST) + AC","Geotechnical building works: QP(Geo) + AC"))))</f>
        <v/>
      </c>
      <c r="BB285" s="33" t="str">
        <f aca="false">IF(D285="","",IF(LEN(IF(AND(R285&lt;&gt;"",R285&lt;SG_Criteria!$B$37),"FAIL: base stability FOS &lt; "&amp;SG_Criteria!$B$37&amp;". ","")&amp;IF(AND(E285="Manhole",H285&gt;SG_Criteria!$B$36),"NOTE: BCA lists sewer manholes (pipe &lt;= 2 m dia) &gt; 6 m as non-GBW: QP(ST) + AC. ","")&amp;IF(AND(D285="Trench Shoring Box",I285="Kallang Formation (marine clay)"),"NOTE: check base heave / ground loss for shoring box in marine clay. ","")&amp;IF(AND(D285="Steel Sheet Pile Cofferdam",N(N285)&lt;H285*0.5),"NOTE: short toe embedment, check. ",""))=0,"OK",IF(AND(R285&lt;&gt;"",R285&lt;SG_Criteria!$B$37),"FAIL: base stability FOS &lt; "&amp;SG_Criteria!$B$37&amp;". ","")&amp;IF(AND(E285="Manhole",H285&gt;SG_Criteria!$B$36),"NOTE: BCA lists sewer manholes (pipe &lt;= 2 m dia) &gt; 6 m as non-GBW: QP(ST) + AC. ","")&amp;IF(AND(D285="Trench Shoring Box",I285="Kallang Formation (marine clay)"),"NOTE: check base heave / ground loss for shoring box in marine clay. ","")&amp;IF(AND(D285="Steel Sheet Pile Cofferdam",N(N285)&lt;H285*0.5),"NOTE: short toe embedment, check. ","")))</f>
        <v/>
      </c>
      <c r="BC285" s="9"/>
      <c r="BD285" s="9"/>
      <c r="BE285" s="9"/>
      <c r="BF285" s="10" t="str">
        <f aca="false">IF(BE285="","",IFERROR(VLOOKUP(BE285,Projects!$A$5:$D$504,2,0),"Ref not in Projects"))</f>
        <v/>
      </c>
      <c r="BG285" s="10" t="str">
        <f aca="false">IF(BE285="","",IFERROR(VLOOKUP(BE285,Projects!$A$5:$D$504,4,0),"Ref not in Projects"))</f>
        <v/>
      </c>
      <c r="BH285" s="9"/>
      <c r="BI285" s="9"/>
      <c r="BJ285" s="9"/>
      <c r="BK285" s="40"/>
      <c r="BL285" s="9"/>
      <c r="BM285" s="40"/>
      <c r="BN285" s="9"/>
      <c r="BO285" s="40"/>
      <c r="BP285" s="9"/>
      <c r="BQ285" s="9"/>
      <c r="BR285" s="9"/>
      <c r="BS285" s="40"/>
      <c r="BT285" s="40"/>
      <c r="BU285" s="36" t="str">
        <f aca="false">IF(BT285="","",EDATE(BT285,SG_Criteria!$B$54*12))</f>
        <v/>
      </c>
      <c r="BV285" s="33" t="str">
        <f aca="true">IF(A285="","",IF(BT285="","NOTE: not reviewed yet",IF(TODAY()&gt;BU285,"NOTE: review overdue","OK")))</f>
        <v/>
      </c>
      <c r="BW285" s="37" t="str">
        <f aca="false">IF(A285="","",ROUND((IF(LEN(D285)&gt;0,1,0)+IF(LEN(E285)&gt;0,1,0)+IF(LEN(F285)&gt;0,1,0)+IF(LEN(G285)&gt;0,1,0)+IF(LEN(H285)&gt;0,1,0)+IF(LEN(I285)&gt;0,1,0)+IF(LEN(J285)&gt;0,1,0)+IF(LEN(L285)&gt;0,1,0)+IF(LEN(R285)&gt;0,1,0)+IF(LEN(Y285)&gt;0,1,0)+IF(LEN(AE285)&gt;0,1,0)+IF(LEN(AG285)&gt;0,1,0)+IF(LEN(AH285)&gt;0,1,0)+IF(LEN(AI285)&gt;0,1,0)+IF(LEN(AJ285)&gt;0,1,0)+IF(LEN(AS285)&gt;0,1,0)+IF(LEN(BE285)&gt;0,1,0)+IF(LEN(BR285)&gt;0,1,0))/18,2))</f>
        <v/>
      </c>
      <c r="BX285" s="10" t="str">
        <f aca="false">IF(D285="","",IF(AND(AH285="Approved",ISERROR(SEARCH("FAIL",BB285))),"Y","N"))</f>
        <v/>
      </c>
      <c r="BY285" s="10" t="str">
        <f aca="false">IF(D285="","",D285&amp;"|"&amp;H285&amp;"|"&amp;F285&amp;"|"&amp;I285&amp;"|"&amp;BX285)</f>
        <v/>
      </c>
    </row>
    <row r="286" customFormat="false" ht="15" hidden="false" customHeight="false" outlineLevel="0" collapsed="false">
      <c r="A286" s="10" t="str">
        <f aca="false">IF(D286="","","ERSS-"&amp;IFERROR(VLOOKUP(D286,Lists!$AK$4:$AL$21,2,0),"??")&amp;"-"&amp;TEXT(F286,"0000")&amp;"x"&amp;TEXT(G286,"0000")&amp;"-D"&amp;TEXT(H286*1000,"0000")&amp;"-"&amp;IFERROR(VLOOKUP(I286,Lists!$Y$4:$Z$21,2,0),"??")&amp;"-"&amp;AG286)</f>
        <v/>
      </c>
      <c r="B286" s="10" t="str">
        <f aca="false">IF(D286="","",D286&amp;" for "&amp;E286&amp;", "&amp;F286&amp;" x "&amp;G286&amp;" pit, "&amp;TEXT(H286,"0.0")&amp;" m deep, "&amp;I286)</f>
        <v/>
      </c>
      <c r="C286" s="9"/>
      <c r="D286" s="9"/>
      <c r="E286" s="9"/>
      <c r="F286" s="38"/>
      <c r="G286" s="38"/>
      <c r="H286" s="42"/>
      <c r="I286" s="9"/>
      <c r="J286" s="42"/>
      <c r="K286" s="38"/>
      <c r="L286" s="9"/>
      <c r="M286" s="42"/>
      <c r="N286" s="42"/>
      <c r="O286" s="38"/>
      <c r="P286" s="9"/>
      <c r="Q286" s="9"/>
      <c r="R286" s="39"/>
      <c r="S286" s="39"/>
      <c r="T286" s="38"/>
      <c r="U286" s="38"/>
      <c r="V286" s="38"/>
      <c r="W286" s="9"/>
      <c r="X286" s="9"/>
      <c r="Y286" s="38"/>
      <c r="Z286" s="9"/>
      <c r="AA286" s="9"/>
      <c r="AB286" s="38"/>
      <c r="AC286" s="9"/>
      <c r="AD286" s="39"/>
      <c r="AE286" s="9"/>
      <c r="AF286" s="9"/>
      <c r="AG286" s="9"/>
      <c r="AH286" s="9"/>
      <c r="AI286" s="9"/>
      <c r="AJ286" s="9"/>
      <c r="AK286" s="9"/>
      <c r="AL286" s="10" t="str">
        <f aca="false">IF(A286="","",SG_Criteria!$B$6&amp;SG_Criteria!$B$11&amp;"\"&amp;A286&amp;"\")</f>
        <v/>
      </c>
      <c r="AM286" s="10" t="str">
        <f aca="false">IF(A286="","",A286&amp;"_CAD.dwg")</f>
        <v/>
      </c>
      <c r="AN286" s="10" t="str">
        <f aca="false">IF(A286="","",A286&amp;"_DWG.pdf")</f>
        <v/>
      </c>
      <c r="AO286" s="10" t="str">
        <f aca="false">IF(A286="","",IF(AK286="Y",A286&amp;"_STAAD.std","n/a"))</f>
        <v/>
      </c>
      <c r="AP286" s="10" t="str">
        <f aca="false">IF(A286="","",A286&amp;"_CALC.xlsx")</f>
        <v/>
      </c>
      <c r="AQ286" s="10" t="str">
        <f aca="false">IF(A286="","",A286&amp;"_CALC.pdf")</f>
        <v/>
      </c>
      <c r="AR286" s="9"/>
      <c r="AS286" s="9"/>
      <c r="AT286" s="39"/>
      <c r="AU286" s="39"/>
      <c r="AV286" s="39"/>
      <c r="AW286" s="39"/>
      <c r="AX286" s="39"/>
      <c r="AY286" s="12" t="str">
        <f aca="false">IF(A286="","",IF(COUNTIF(Rebar_Schedule!$A$5:$A$2004,A286)=0,"",ROUND(SUMIF(Rebar_Schedule!$A$5:$A$2004,A286,Rebar_Schedule!$K$5:$K$2004),1)))</f>
        <v/>
      </c>
      <c r="AZ286" s="33" t="str">
        <f aca="false">IF(A286="","",IF(AY286="","No rebar schedule yet",IF(ABS(AY286-N(AU286))/MAX(N(AU286),1)&gt;SG_Criteria!$B$55,"NOTE: register rebar differs from schedule by "&amp;TEXT(ABS(AY286-N(AU286))/MAX(N(AU286),1),"0%"),"OK")))</f>
        <v/>
      </c>
      <c r="BA286" s="33" t="str">
        <f aca="false">IF(OR(D286="",H286=""),"",IF(H286&lt;=IF(OR(D286="Soldier Pile &amp; Timber Lagging",D286="Trench Shoring Box",D286="Open Cut (battered)"),SG_Criteria!$B$34,SG_Criteria!$B$33),"No ERSS submission",IF(H286&lt;=SG_Criteria!$B$35,"QP(ST)",IF(H286&lt;=SG_Criteria!$B$36,"QP(ST) + AC","Geotechnical building works: QP(Geo) + AC"))))</f>
        <v/>
      </c>
      <c r="BB286" s="33" t="str">
        <f aca="false">IF(D286="","",IF(LEN(IF(AND(R286&lt;&gt;"",R286&lt;SG_Criteria!$B$37),"FAIL: base stability FOS &lt; "&amp;SG_Criteria!$B$37&amp;". ","")&amp;IF(AND(E286="Manhole",H286&gt;SG_Criteria!$B$36),"NOTE: BCA lists sewer manholes (pipe &lt;= 2 m dia) &gt; 6 m as non-GBW: QP(ST) + AC. ","")&amp;IF(AND(D286="Trench Shoring Box",I286="Kallang Formation (marine clay)"),"NOTE: check base heave / ground loss for shoring box in marine clay. ","")&amp;IF(AND(D286="Steel Sheet Pile Cofferdam",N(N286)&lt;H286*0.5),"NOTE: short toe embedment, check. ",""))=0,"OK",IF(AND(R286&lt;&gt;"",R286&lt;SG_Criteria!$B$37),"FAIL: base stability FOS &lt; "&amp;SG_Criteria!$B$37&amp;". ","")&amp;IF(AND(E286="Manhole",H286&gt;SG_Criteria!$B$36),"NOTE: BCA lists sewer manholes (pipe &lt;= 2 m dia) &gt; 6 m as non-GBW: QP(ST) + AC. ","")&amp;IF(AND(D286="Trench Shoring Box",I286="Kallang Formation (marine clay)"),"NOTE: check base heave / ground loss for shoring box in marine clay. ","")&amp;IF(AND(D286="Steel Sheet Pile Cofferdam",N(N286)&lt;H286*0.5),"NOTE: short toe embedment, check. ","")))</f>
        <v/>
      </c>
      <c r="BC286" s="9"/>
      <c r="BD286" s="9"/>
      <c r="BE286" s="9"/>
      <c r="BF286" s="10" t="str">
        <f aca="false">IF(BE286="","",IFERROR(VLOOKUP(BE286,Projects!$A$5:$D$504,2,0),"Ref not in Projects"))</f>
        <v/>
      </c>
      <c r="BG286" s="10" t="str">
        <f aca="false">IF(BE286="","",IFERROR(VLOOKUP(BE286,Projects!$A$5:$D$504,4,0),"Ref not in Projects"))</f>
        <v/>
      </c>
      <c r="BH286" s="9"/>
      <c r="BI286" s="9"/>
      <c r="BJ286" s="9"/>
      <c r="BK286" s="40"/>
      <c r="BL286" s="9"/>
      <c r="BM286" s="40"/>
      <c r="BN286" s="9"/>
      <c r="BO286" s="40"/>
      <c r="BP286" s="9"/>
      <c r="BQ286" s="9"/>
      <c r="BR286" s="9"/>
      <c r="BS286" s="40"/>
      <c r="BT286" s="40"/>
      <c r="BU286" s="36" t="str">
        <f aca="false">IF(BT286="","",EDATE(BT286,SG_Criteria!$B$54*12))</f>
        <v/>
      </c>
      <c r="BV286" s="33" t="str">
        <f aca="true">IF(A286="","",IF(BT286="","NOTE: not reviewed yet",IF(TODAY()&gt;BU286,"NOTE: review overdue","OK")))</f>
        <v/>
      </c>
      <c r="BW286" s="37" t="str">
        <f aca="false">IF(A286="","",ROUND((IF(LEN(D286)&gt;0,1,0)+IF(LEN(E286)&gt;0,1,0)+IF(LEN(F286)&gt;0,1,0)+IF(LEN(G286)&gt;0,1,0)+IF(LEN(H286)&gt;0,1,0)+IF(LEN(I286)&gt;0,1,0)+IF(LEN(J286)&gt;0,1,0)+IF(LEN(L286)&gt;0,1,0)+IF(LEN(R286)&gt;0,1,0)+IF(LEN(Y286)&gt;0,1,0)+IF(LEN(AE286)&gt;0,1,0)+IF(LEN(AG286)&gt;0,1,0)+IF(LEN(AH286)&gt;0,1,0)+IF(LEN(AI286)&gt;0,1,0)+IF(LEN(AJ286)&gt;0,1,0)+IF(LEN(AS286)&gt;0,1,0)+IF(LEN(BE286)&gt;0,1,0)+IF(LEN(BR286)&gt;0,1,0))/18,2))</f>
        <v/>
      </c>
      <c r="BX286" s="10" t="str">
        <f aca="false">IF(D286="","",IF(AND(AH286="Approved",ISERROR(SEARCH("FAIL",BB286))),"Y","N"))</f>
        <v/>
      </c>
      <c r="BY286" s="10" t="str">
        <f aca="false">IF(D286="","",D286&amp;"|"&amp;H286&amp;"|"&amp;F286&amp;"|"&amp;I286&amp;"|"&amp;BX286)</f>
        <v/>
      </c>
    </row>
    <row r="287" customFormat="false" ht="15" hidden="false" customHeight="false" outlineLevel="0" collapsed="false">
      <c r="A287" s="10" t="str">
        <f aca="false">IF(D287="","","ERSS-"&amp;IFERROR(VLOOKUP(D287,Lists!$AK$4:$AL$21,2,0),"??")&amp;"-"&amp;TEXT(F287,"0000")&amp;"x"&amp;TEXT(G287,"0000")&amp;"-D"&amp;TEXT(H287*1000,"0000")&amp;"-"&amp;IFERROR(VLOOKUP(I287,Lists!$Y$4:$Z$21,2,0),"??")&amp;"-"&amp;AG287)</f>
        <v/>
      </c>
      <c r="B287" s="10" t="str">
        <f aca="false">IF(D287="","",D287&amp;" for "&amp;E287&amp;", "&amp;F287&amp;" x "&amp;G287&amp;" pit, "&amp;TEXT(H287,"0.0")&amp;" m deep, "&amp;I287)</f>
        <v/>
      </c>
      <c r="C287" s="9"/>
      <c r="D287" s="9"/>
      <c r="E287" s="9"/>
      <c r="F287" s="38"/>
      <c r="G287" s="38"/>
      <c r="H287" s="42"/>
      <c r="I287" s="9"/>
      <c r="J287" s="42"/>
      <c r="K287" s="38"/>
      <c r="L287" s="9"/>
      <c r="M287" s="42"/>
      <c r="N287" s="42"/>
      <c r="O287" s="38"/>
      <c r="P287" s="9"/>
      <c r="Q287" s="9"/>
      <c r="R287" s="39"/>
      <c r="S287" s="39"/>
      <c r="T287" s="38"/>
      <c r="U287" s="38"/>
      <c r="V287" s="38"/>
      <c r="W287" s="9"/>
      <c r="X287" s="9"/>
      <c r="Y287" s="38"/>
      <c r="Z287" s="9"/>
      <c r="AA287" s="9"/>
      <c r="AB287" s="38"/>
      <c r="AC287" s="9"/>
      <c r="AD287" s="39"/>
      <c r="AE287" s="9"/>
      <c r="AF287" s="9"/>
      <c r="AG287" s="9"/>
      <c r="AH287" s="9"/>
      <c r="AI287" s="9"/>
      <c r="AJ287" s="9"/>
      <c r="AK287" s="9"/>
      <c r="AL287" s="10" t="str">
        <f aca="false">IF(A287="","",SG_Criteria!$B$6&amp;SG_Criteria!$B$11&amp;"\"&amp;A287&amp;"\")</f>
        <v/>
      </c>
      <c r="AM287" s="10" t="str">
        <f aca="false">IF(A287="","",A287&amp;"_CAD.dwg")</f>
        <v/>
      </c>
      <c r="AN287" s="10" t="str">
        <f aca="false">IF(A287="","",A287&amp;"_DWG.pdf")</f>
        <v/>
      </c>
      <c r="AO287" s="10" t="str">
        <f aca="false">IF(A287="","",IF(AK287="Y",A287&amp;"_STAAD.std","n/a"))</f>
        <v/>
      </c>
      <c r="AP287" s="10" t="str">
        <f aca="false">IF(A287="","",A287&amp;"_CALC.xlsx")</f>
        <v/>
      </c>
      <c r="AQ287" s="10" t="str">
        <f aca="false">IF(A287="","",A287&amp;"_CALC.pdf")</f>
        <v/>
      </c>
      <c r="AR287" s="9"/>
      <c r="AS287" s="9"/>
      <c r="AT287" s="39"/>
      <c r="AU287" s="39"/>
      <c r="AV287" s="39"/>
      <c r="AW287" s="39"/>
      <c r="AX287" s="39"/>
      <c r="AY287" s="12" t="str">
        <f aca="false">IF(A287="","",IF(COUNTIF(Rebar_Schedule!$A$5:$A$2004,A287)=0,"",ROUND(SUMIF(Rebar_Schedule!$A$5:$A$2004,A287,Rebar_Schedule!$K$5:$K$2004),1)))</f>
        <v/>
      </c>
      <c r="AZ287" s="33" t="str">
        <f aca="false">IF(A287="","",IF(AY287="","No rebar schedule yet",IF(ABS(AY287-N(AU287))/MAX(N(AU287),1)&gt;SG_Criteria!$B$55,"NOTE: register rebar differs from schedule by "&amp;TEXT(ABS(AY287-N(AU287))/MAX(N(AU287),1),"0%"),"OK")))</f>
        <v/>
      </c>
      <c r="BA287" s="33" t="str">
        <f aca="false">IF(OR(D287="",H287=""),"",IF(H287&lt;=IF(OR(D287="Soldier Pile &amp; Timber Lagging",D287="Trench Shoring Box",D287="Open Cut (battered)"),SG_Criteria!$B$34,SG_Criteria!$B$33),"No ERSS submission",IF(H287&lt;=SG_Criteria!$B$35,"QP(ST)",IF(H287&lt;=SG_Criteria!$B$36,"QP(ST) + AC","Geotechnical building works: QP(Geo) + AC"))))</f>
        <v/>
      </c>
      <c r="BB287" s="33" t="str">
        <f aca="false">IF(D287="","",IF(LEN(IF(AND(R287&lt;&gt;"",R287&lt;SG_Criteria!$B$37),"FAIL: base stability FOS &lt; "&amp;SG_Criteria!$B$37&amp;". ","")&amp;IF(AND(E287="Manhole",H287&gt;SG_Criteria!$B$36),"NOTE: BCA lists sewer manholes (pipe &lt;= 2 m dia) &gt; 6 m as non-GBW: QP(ST) + AC. ","")&amp;IF(AND(D287="Trench Shoring Box",I287="Kallang Formation (marine clay)"),"NOTE: check base heave / ground loss for shoring box in marine clay. ","")&amp;IF(AND(D287="Steel Sheet Pile Cofferdam",N(N287)&lt;H287*0.5),"NOTE: short toe embedment, check. ",""))=0,"OK",IF(AND(R287&lt;&gt;"",R287&lt;SG_Criteria!$B$37),"FAIL: base stability FOS &lt; "&amp;SG_Criteria!$B$37&amp;". ","")&amp;IF(AND(E287="Manhole",H287&gt;SG_Criteria!$B$36),"NOTE: BCA lists sewer manholes (pipe &lt;= 2 m dia) &gt; 6 m as non-GBW: QP(ST) + AC. ","")&amp;IF(AND(D287="Trench Shoring Box",I287="Kallang Formation (marine clay)"),"NOTE: check base heave / ground loss for shoring box in marine clay. ","")&amp;IF(AND(D287="Steel Sheet Pile Cofferdam",N(N287)&lt;H287*0.5),"NOTE: short toe embedment, check. ","")))</f>
        <v/>
      </c>
      <c r="BC287" s="9"/>
      <c r="BD287" s="9"/>
      <c r="BE287" s="9"/>
      <c r="BF287" s="10" t="str">
        <f aca="false">IF(BE287="","",IFERROR(VLOOKUP(BE287,Projects!$A$5:$D$504,2,0),"Ref not in Projects"))</f>
        <v/>
      </c>
      <c r="BG287" s="10" t="str">
        <f aca="false">IF(BE287="","",IFERROR(VLOOKUP(BE287,Projects!$A$5:$D$504,4,0),"Ref not in Projects"))</f>
        <v/>
      </c>
      <c r="BH287" s="9"/>
      <c r="BI287" s="9"/>
      <c r="BJ287" s="9"/>
      <c r="BK287" s="40"/>
      <c r="BL287" s="9"/>
      <c r="BM287" s="40"/>
      <c r="BN287" s="9"/>
      <c r="BO287" s="40"/>
      <c r="BP287" s="9"/>
      <c r="BQ287" s="9"/>
      <c r="BR287" s="9"/>
      <c r="BS287" s="40"/>
      <c r="BT287" s="40"/>
      <c r="BU287" s="36" t="str">
        <f aca="false">IF(BT287="","",EDATE(BT287,SG_Criteria!$B$54*12))</f>
        <v/>
      </c>
      <c r="BV287" s="33" t="str">
        <f aca="true">IF(A287="","",IF(BT287="","NOTE: not reviewed yet",IF(TODAY()&gt;BU287,"NOTE: review overdue","OK")))</f>
        <v/>
      </c>
      <c r="BW287" s="37" t="str">
        <f aca="false">IF(A287="","",ROUND((IF(LEN(D287)&gt;0,1,0)+IF(LEN(E287)&gt;0,1,0)+IF(LEN(F287)&gt;0,1,0)+IF(LEN(G287)&gt;0,1,0)+IF(LEN(H287)&gt;0,1,0)+IF(LEN(I287)&gt;0,1,0)+IF(LEN(J287)&gt;0,1,0)+IF(LEN(L287)&gt;0,1,0)+IF(LEN(R287)&gt;0,1,0)+IF(LEN(Y287)&gt;0,1,0)+IF(LEN(AE287)&gt;0,1,0)+IF(LEN(AG287)&gt;0,1,0)+IF(LEN(AH287)&gt;0,1,0)+IF(LEN(AI287)&gt;0,1,0)+IF(LEN(AJ287)&gt;0,1,0)+IF(LEN(AS287)&gt;0,1,0)+IF(LEN(BE287)&gt;0,1,0)+IF(LEN(BR287)&gt;0,1,0))/18,2))</f>
        <v/>
      </c>
      <c r="BX287" s="10" t="str">
        <f aca="false">IF(D287="","",IF(AND(AH287="Approved",ISERROR(SEARCH("FAIL",BB287))),"Y","N"))</f>
        <v/>
      </c>
      <c r="BY287" s="10" t="str">
        <f aca="false">IF(D287="","",D287&amp;"|"&amp;H287&amp;"|"&amp;F287&amp;"|"&amp;I287&amp;"|"&amp;BX287)</f>
        <v/>
      </c>
    </row>
    <row r="288" customFormat="false" ht="15" hidden="false" customHeight="false" outlineLevel="0" collapsed="false">
      <c r="A288" s="10" t="str">
        <f aca="false">IF(D288="","","ERSS-"&amp;IFERROR(VLOOKUP(D288,Lists!$AK$4:$AL$21,2,0),"??")&amp;"-"&amp;TEXT(F288,"0000")&amp;"x"&amp;TEXT(G288,"0000")&amp;"-D"&amp;TEXT(H288*1000,"0000")&amp;"-"&amp;IFERROR(VLOOKUP(I288,Lists!$Y$4:$Z$21,2,0),"??")&amp;"-"&amp;AG288)</f>
        <v/>
      </c>
      <c r="B288" s="10" t="str">
        <f aca="false">IF(D288="","",D288&amp;" for "&amp;E288&amp;", "&amp;F288&amp;" x "&amp;G288&amp;" pit, "&amp;TEXT(H288,"0.0")&amp;" m deep, "&amp;I288)</f>
        <v/>
      </c>
      <c r="C288" s="9"/>
      <c r="D288" s="9"/>
      <c r="E288" s="9"/>
      <c r="F288" s="38"/>
      <c r="G288" s="38"/>
      <c r="H288" s="42"/>
      <c r="I288" s="9"/>
      <c r="J288" s="42"/>
      <c r="K288" s="38"/>
      <c r="L288" s="9"/>
      <c r="M288" s="42"/>
      <c r="N288" s="42"/>
      <c r="O288" s="38"/>
      <c r="P288" s="9"/>
      <c r="Q288" s="9"/>
      <c r="R288" s="39"/>
      <c r="S288" s="39"/>
      <c r="T288" s="38"/>
      <c r="U288" s="38"/>
      <c r="V288" s="38"/>
      <c r="W288" s="9"/>
      <c r="X288" s="9"/>
      <c r="Y288" s="38"/>
      <c r="Z288" s="9"/>
      <c r="AA288" s="9"/>
      <c r="AB288" s="38"/>
      <c r="AC288" s="9"/>
      <c r="AD288" s="39"/>
      <c r="AE288" s="9"/>
      <c r="AF288" s="9"/>
      <c r="AG288" s="9"/>
      <c r="AH288" s="9"/>
      <c r="AI288" s="9"/>
      <c r="AJ288" s="9"/>
      <c r="AK288" s="9"/>
      <c r="AL288" s="10" t="str">
        <f aca="false">IF(A288="","",SG_Criteria!$B$6&amp;SG_Criteria!$B$11&amp;"\"&amp;A288&amp;"\")</f>
        <v/>
      </c>
      <c r="AM288" s="10" t="str">
        <f aca="false">IF(A288="","",A288&amp;"_CAD.dwg")</f>
        <v/>
      </c>
      <c r="AN288" s="10" t="str">
        <f aca="false">IF(A288="","",A288&amp;"_DWG.pdf")</f>
        <v/>
      </c>
      <c r="AO288" s="10" t="str">
        <f aca="false">IF(A288="","",IF(AK288="Y",A288&amp;"_STAAD.std","n/a"))</f>
        <v/>
      </c>
      <c r="AP288" s="10" t="str">
        <f aca="false">IF(A288="","",A288&amp;"_CALC.xlsx")</f>
        <v/>
      </c>
      <c r="AQ288" s="10" t="str">
        <f aca="false">IF(A288="","",A288&amp;"_CALC.pdf")</f>
        <v/>
      </c>
      <c r="AR288" s="9"/>
      <c r="AS288" s="9"/>
      <c r="AT288" s="39"/>
      <c r="AU288" s="39"/>
      <c r="AV288" s="39"/>
      <c r="AW288" s="39"/>
      <c r="AX288" s="39"/>
      <c r="AY288" s="12" t="str">
        <f aca="false">IF(A288="","",IF(COUNTIF(Rebar_Schedule!$A$5:$A$2004,A288)=0,"",ROUND(SUMIF(Rebar_Schedule!$A$5:$A$2004,A288,Rebar_Schedule!$K$5:$K$2004),1)))</f>
        <v/>
      </c>
      <c r="AZ288" s="33" t="str">
        <f aca="false">IF(A288="","",IF(AY288="","No rebar schedule yet",IF(ABS(AY288-N(AU288))/MAX(N(AU288),1)&gt;SG_Criteria!$B$55,"NOTE: register rebar differs from schedule by "&amp;TEXT(ABS(AY288-N(AU288))/MAX(N(AU288),1),"0%"),"OK")))</f>
        <v/>
      </c>
      <c r="BA288" s="33" t="str">
        <f aca="false">IF(OR(D288="",H288=""),"",IF(H288&lt;=IF(OR(D288="Soldier Pile &amp; Timber Lagging",D288="Trench Shoring Box",D288="Open Cut (battered)"),SG_Criteria!$B$34,SG_Criteria!$B$33),"No ERSS submission",IF(H288&lt;=SG_Criteria!$B$35,"QP(ST)",IF(H288&lt;=SG_Criteria!$B$36,"QP(ST) + AC","Geotechnical building works: QP(Geo) + AC"))))</f>
        <v/>
      </c>
      <c r="BB288" s="33" t="str">
        <f aca="false">IF(D288="","",IF(LEN(IF(AND(R288&lt;&gt;"",R288&lt;SG_Criteria!$B$37),"FAIL: base stability FOS &lt; "&amp;SG_Criteria!$B$37&amp;". ","")&amp;IF(AND(E288="Manhole",H288&gt;SG_Criteria!$B$36),"NOTE: BCA lists sewer manholes (pipe &lt;= 2 m dia) &gt; 6 m as non-GBW: QP(ST) + AC. ","")&amp;IF(AND(D288="Trench Shoring Box",I288="Kallang Formation (marine clay)"),"NOTE: check base heave / ground loss for shoring box in marine clay. ","")&amp;IF(AND(D288="Steel Sheet Pile Cofferdam",N(N288)&lt;H288*0.5),"NOTE: short toe embedment, check. ",""))=0,"OK",IF(AND(R288&lt;&gt;"",R288&lt;SG_Criteria!$B$37),"FAIL: base stability FOS &lt; "&amp;SG_Criteria!$B$37&amp;". ","")&amp;IF(AND(E288="Manhole",H288&gt;SG_Criteria!$B$36),"NOTE: BCA lists sewer manholes (pipe &lt;= 2 m dia) &gt; 6 m as non-GBW: QP(ST) + AC. ","")&amp;IF(AND(D288="Trench Shoring Box",I288="Kallang Formation (marine clay)"),"NOTE: check base heave / ground loss for shoring box in marine clay. ","")&amp;IF(AND(D288="Steel Sheet Pile Cofferdam",N(N288)&lt;H288*0.5),"NOTE: short toe embedment, check. ","")))</f>
        <v/>
      </c>
      <c r="BC288" s="9"/>
      <c r="BD288" s="9"/>
      <c r="BE288" s="9"/>
      <c r="BF288" s="10" t="str">
        <f aca="false">IF(BE288="","",IFERROR(VLOOKUP(BE288,Projects!$A$5:$D$504,2,0),"Ref not in Projects"))</f>
        <v/>
      </c>
      <c r="BG288" s="10" t="str">
        <f aca="false">IF(BE288="","",IFERROR(VLOOKUP(BE288,Projects!$A$5:$D$504,4,0),"Ref not in Projects"))</f>
        <v/>
      </c>
      <c r="BH288" s="9"/>
      <c r="BI288" s="9"/>
      <c r="BJ288" s="9"/>
      <c r="BK288" s="40"/>
      <c r="BL288" s="9"/>
      <c r="BM288" s="40"/>
      <c r="BN288" s="9"/>
      <c r="BO288" s="40"/>
      <c r="BP288" s="9"/>
      <c r="BQ288" s="9"/>
      <c r="BR288" s="9"/>
      <c r="BS288" s="40"/>
      <c r="BT288" s="40"/>
      <c r="BU288" s="36" t="str">
        <f aca="false">IF(BT288="","",EDATE(BT288,SG_Criteria!$B$54*12))</f>
        <v/>
      </c>
      <c r="BV288" s="33" t="str">
        <f aca="true">IF(A288="","",IF(BT288="","NOTE: not reviewed yet",IF(TODAY()&gt;BU288,"NOTE: review overdue","OK")))</f>
        <v/>
      </c>
      <c r="BW288" s="37" t="str">
        <f aca="false">IF(A288="","",ROUND((IF(LEN(D288)&gt;0,1,0)+IF(LEN(E288)&gt;0,1,0)+IF(LEN(F288)&gt;0,1,0)+IF(LEN(G288)&gt;0,1,0)+IF(LEN(H288)&gt;0,1,0)+IF(LEN(I288)&gt;0,1,0)+IF(LEN(J288)&gt;0,1,0)+IF(LEN(L288)&gt;0,1,0)+IF(LEN(R288)&gt;0,1,0)+IF(LEN(Y288)&gt;0,1,0)+IF(LEN(AE288)&gt;0,1,0)+IF(LEN(AG288)&gt;0,1,0)+IF(LEN(AH288)&gt;0,1,0)+IF(LEN(AI288)&gt;0,1,0)+IF(LEN(AJ288)&gt;0,1,0)+IF(LEN(AS288)&gt;0,1,0)+IF(LEN(BE288)&gt;0,1,0)+IF(LEN(BR288)&gt;0,1,0))/18,2))</f>
        <v/>
      </c>
      <c r="BX288" s="10" t="str">
        <f aca="false">IF(D288="","",IF(AND(AH288="Approved",ISERROR(SEARCH("FAIL",BB288))),"Y","N"))</f>
        <v/>
      </c>
      <c r="BY288" s="10" t="str">
        <f aca="false">IF(D288="","",D288&amp;"|"&amp;H288&amp;"|"&amp;F288&amp;"|"&amp;I288&amp;"|"&amp;BX288)</f>
        <v/>
      </c>
    </row>
    <row r="289" customFormat="false" ht="15" hidden="false" customHeight="false" outlineLevel="0" collapsed="false">
      <c r="A289" s="10" t="str">
        <f aca="false">IF(D289="","","ERSS-"&amp;IFERROR(VLOOKUP(D289,Lists!$AK$4:$AL$21,2,0),"??")&amp;"-"&amp;TEXT(F289,"0000")&amp;"x"&amp;TEXT(G289,"0000")&amp;"-D"&amp;TEXT(H289*1000,"0000")&amp;"-"&amp;IFERROR(VLOOKUP(I289,Lists!$Y$4:$Z$21,2,0),"??")&amp;"-"&amp;AG289)</f>
        <v/>
      </c>
      <c r="B289" s="10" t="str">
        <f aca="false">IF(D289="","",D289&amp;" for "&amp;E289&amp;", "&amp;F289&amp;" x "&amp;G289&amp;" pit, "&amp;TEXT(H289,"0.0")&amp;" m deep, "&amp;I289)</f>
        <v/>
      </c>
      <c r="C289" s="9"/>
      <c r="D289" s="9"/>
      <c r="E289" s="9"/>
      <c r="F289" s="38"/>
      <c r="G289" s="38"/>
      <c r="H289" s="42"/>
      <c r="I289" s="9"/>
      <c r="J289" s="42"/>
      <c r="K289" s="38"/>
      <c r="L289" s="9"/>
      <c r="M289" s="42"/>
      <c r="N289" s="42"/>
      <c r="O289" s="38"/>
      <c r="P289" s="9"/>
      <c r="Q289" s="9"/>
      <c r="R289" s="39"/>
      <c r="S289" s="39"/>
      <c r="T289" s="38"/>
      <c r="U289" s="38"/>
      <c r="V289" s="38"/>
      <c r="W289" s="9"/>
      <c r="X289" s="9"/>
      <c r="Y289" s="38"/>
      <c r="Z289" s="9"/>
      <c r="AA289" s="9"/>
      <c r="AB289" s="38"/>
      <c r="AC289" s="9"/>
      <c r="AD289" s="39"/>
      <c r="AE289" s="9"/>
      <c r="AF289" s="9"/>
      <c r="AG289" s="9"/>
      <c r="AH289" s="9"/>
      <c r="AI289" s="9"/>
      <c r="AJ289" s="9"/>
      <c r="AK289" s="9"/>
      <c r="AL289" s="10" t="str">
        <f aca="false">IF(A289="","",SG_Criteria!$B$6&amp;SG_Criteria!$B$11&amp;"\"&amp;A289&amp;"\")</f>
        <v/>
      </c>
      <c r="AM289" s="10" t="str">
        <f aca="false">IF(A289="","",A289&amp;"_CAD.dwg")</f>
        <v/>
      </c>
      <c r="AN289" s="10" t="str">
        <f aca="false">IF(A289="","",A289&amp;"_DWG.pdf")</f>
        <v/>
      </c>
      <c r="AO289" s="10" t="str">
        <f aca="false">IF(A289="","",IF(AK289="Y",A289&amp;"_STAAD.std","n/a"))</f>
        <v/>
      </c>
      <c r="AP289" s="10" t="str">
        <f aca="false">IF(A289="","",A289&amp;"_CALC.xlsx")</f>
        <v/>
      </c>
      <c r="AQ289" s="10" t="str">
        <f aca="false">IF(A289="","",A289&amp;"_CALC.pdf")</f>
        <v/>
      </c>
      <c r="AR289" s="9"/>
      <c r="AS289" s="9"/>
      <c r="AT289" s="39"/>
      <c r="AU289" s="39"/>
      <c r="AV289" s="39"/>
      <c r="AW289" s="39"/>
      <c r="AX289" s="39"/>
      <c r="AY289" s="12" t="str">
        <f aca="false">IF(A289="","",IF(COUNTIF(Rebar_Schedule!$A$5:$A$2004,A289)=0,"",ROUND(SUMIF(Rebar_Schedule!$A$5:$A$2004,A289,Rebar_Schedule!$K$5:$K$2004),1)))</f>
        <v/>
      </c>
      <c r="AZ289" s="33" t="str">
        <f aca="false">IF(A289="","",IF(AY289="","No rebar schedule yet",IF(ABS(AY289-N(AU289))/MAX(N(AU289),1)&gt;SG_Criteria!$B$55,"NOTE: register rebar differs from schedule by "&amp;TEXT(ABS(AY289-N(AU289))/MAX(N(AU289),1),"0%"),"OK")))</f>
        <v/>
      </c>
      <c r="BA289" s="33" t="str">
        <f aca="false">IF(OR(D289="",H289=""),"",IF(H289&lt;=IF(OR(D289="Soldier Pile &amp; Timber Lagging",D289="Trench Shoring Box",D289="Open Cut (battered)"),SG_Criteria!$B$34,SG_Criteria!$B$33),"No ERSS submission",IF(H289&lt;=SG_Criteria!$B$35,"QP(ST)",IF(H289&lt;=SG_Criteria!$B$36,"QP(ST) + AC","Geotechnical building works: QP(Geo) + AC"))))</f>
        <v/>
      </c>
      <c r="BB289" s="33" t="str">
        <f aca="false">IF(D289="","",IF(LEN(IF(AND(R289&lt;&gt;"",R289&lt;SG_Criteria!$B$37),"FAIL: base stability FOS &lt; "&amp;SG_Criteria!$B$37&amp;". ","")&amp;IF(AND(E289="Manhole",H289&gt;SG_Criteria!$B$36),"NOTE: BCA lists sewer manholes (pipe &lt;= 2 m dia) &gt; 6 m as non-GBW: QP(ST) + AC. ","")&amp;IF(AND(D289="Trench Shoring Box",I289="Kallang Formation (marine clay)"),"NOTE: check base heave / ground loss for shoring box in marine clay. ","")&amp;IF(AND(D289="Steel Sheet Pile Cofferdam",N(N289)&lt;H289*0.5),"NOTE: short toe embedment, check. ",""))=0,"OK",IF(AND(R289&lt;&gt;"",R289&lt;SG_Criteria!$B$37),"FAIL: base stability FOS &lt; "&amp;SG_Criteria!$B$37&amp;". ","")&amp;IF(AND(E289="Manhole",H289&gt;SG_Criteria!$B$36),"NOTE: BCA lists sewer manholes (pipe &lt;= 2 m dia) &gt; 6 m as non-GBW: QP(ST) + AC. ","")&amp;IF(AND(D289="Trench Shoring Box",I289="Kallang Formation (marine clay)"),"NOTE: check base heave / ground loss for shoring box in marine clay. ","")&amp;IF(AND(D289="Steel Sheet Pile Cofferdam",N(N289)&lt;H289*0.5),"NOTE: short toe embedment, check. ","")))</f>
        <v/>
      </c>
      <c r="BC289" s="9"/>
      <c r="BD289" s="9"/>
      <c r="BE289" s="9"/>
      <c r="BF289" s="10" t="str">
        <f aca="false">IF(BE289="","",IFERROR(VLOOKUP(BE289,Projects!$A$5:$D$504,2,0),"Ref not in Projects"))</f>
        <v/>
      </c>
      <c r="BG289" s="10" t="str">
        <f aca="false">IF(BE289="","",IFERROR(VLOOKUP(BE289,Projects!$A$5:$D$504,4,0),"Ref not in Projects"))</f>
        <v/>
      </c>
      <c r="BH289" s="9"/>
      <c r="BI289" s="9"/>
      <c r="BJ289" s="9"/>
      <c r="BK289" s="40"/>
      <c r="BL289" s="9"/>
      <c r="BM289" s="40"/>
      <c r="BN289" s="9"/>
      <c r="BO289" s="40"/>
      <c r="BP289" s="9"/>
      <c r="BQ289" s="9"/>
      <c r="BR289" s="9"/>
      <c r="BS289" s="40"/>
      <c r="BT289" s="40"/>
      <c r="BU289" s="36" t="str">
        <f aca="false">IF(BT289="","",EDATE(BT289,SG_Criteria!$B$54*12))</f>
        <v/>
      </c>
      <c r="BV289" s="33" t="str">
        <f aca="true">IF(A289="","",IF(BT289="","NOTE: not reviewed yet",IF(TODAY()&gt;BU289,"NOTE: review overdue","OK")))</f>
        <v/>
      </c>
      <c r="BW289" s="37" t="str">
        <f aca="false">IF(A289="","",ROUND((IF(LEN(D289)&gt;0,1,0)+IF(LEN(E289)&gt;0,1,0)+IF(LEN(F289)&gt;0,1,0)+IF(LEN(G289)&gt;0,1,0)+IF(LEN(H289)&gt;0,1,0)+IF(LEN(I289)&gt;0,1,0)+IF(LEN(J289)&gt;0,1,0)+IF(LEN(L289)&gt;0,1,0)+IF(LEN(R289)&gt;0,1,0)+IF(LEN(Y289)&gt;0,1,0)+IF(LEN(AE289)&gt;0,1,0)+IF(LEN(AG289)&gt;0,1,0)+IF(LEN(AH289)&gt;0,1,0)+IF(LEN(AI289)&gt;0,1,0)+IF(LEN(AJ289)&gt;0,1,0)+IF(LEN(AS289)&gt;0,1,0)+IF(LEN(BE289)&gt;0,1,0)+IF(LEN(BR289)&gt;0,1,0))/18,2))</f>
        <v/>
      </c>
      <c r="BX289" s="10" t="str">
        <f aca="false">IF(D289="","",IF(AND(AH289="Approved",ISERROR(SEARCH("FAIL",BB289))),"Y","N"))</f>
        <v/>
      </c>
      <c r="BY289" s="10" t="str">
        <f aca="false">IF(D289="","",D289&amp;"|"&amp;H289&amp;"|"&amp;F289&amp;"|"&amp;I289&amp;"|"&amp;BX289)</f>
        <v/>
      </c>
    </row>
    <row r="290" customFormat="false" ht="15" hidden="false" customHeight="false" outlineLevel="0" collapsed="false">
      <c r="A290" s="10" t="str">
        <f aca="false">IF(D290="","","ERSS-"&amp;IFERROR(VLOOKUP(D290,Lists!$AK$4:$AL$21,2,0),"??")&amp;"-"&amp;TEXT(F290,"0000")&amp;"x"&amp;TEXT(G290,"0000")&amp;"-D"&amp;TEXT(H290*1000,"0000")&amp;"-"&amp;IFERROR(VLOOKUP(I290,Lists!$Y$4:$Z$21,2,0),"??")&amp;"-"&amp;AG290)</f>
        <v/>
      </c>
      <c r="B290" s="10" t="str">
        <f aca="false">IF(D290="","",D290&amp;" for "&amp;E290&amp;", "&amp;F290&amp;" x "&amp;G290&amp;" pit, "&amp;TEXT(H290,"0.0")&amp;" m deep, "&amp;I290)</f>
        <v/>
      </c>
      <c r="C290" s="9"/>
      <c r="D290" s="9"/>
      <c r="E290" s="9"/>
      <c r="F290" s="38"/>
      <c r="G290" s="38"/>
      <c r="H290" s="42"/>
      <c r="I290" s="9"/>
      <c r="J290" s="42"/>
      <c r="K290" s="38"/>
      <c r="L290" s="9"/>
      <c r="M290" s="42"/>
      <c r="N290" s="42"/>
      <c r="O290" s="38"/>
      <c r="P290" s="9"/>
      <c r="Q290" s="9"/>
      <c r="R290" s="39"/>
      <c r="S290" s="39"/>
      <c r="T290" s="38"/>
      <c r="U290" s="38"/>
      <c r="V290" s="38"/>
      <c r="W290" s="9"/>
      <c r="X290" s="9"/>
      <c r="Y290" s="38"/>
      <c r="Z290" s="9"/>
      <c r="AA290" s="9"/>
      <c r="AB290" s="38"/>
      <c r="AC290" s="9"/>
      <c r="AD290" s="39"/>
      <c r="AE290" s="9"/>
      <c r="AF290" s="9"/>
      <c r="AG290" s="9"/>
      <c r="AH290" s="9"/>
      <c r="AI290" s="9"/>
      <c r="AJ290" s="9"/>
      <c r="AK290" s="9"/>
      <c r="AL290" s="10" t="str">
        <f aca="false">IF(A290="","",SG_Criteria!$B$6&amp;SG_Criteria!$B$11&amp;"\"&amp;A290&amp;"\")</f>
        <v/>
      </c>
      <c r="AM290" s="10" t="str">
        <f aca="false">IF(A290="","",A290&amp;"_CAD.dwg")</f>
        <v/>
      </c>
      <c r="AN290" s="10" t="str">
        <f aca="false">IF(A290="","",A290&amp;"_DWG.pdf")</f>
        <v/>
      </c>
      <c r="AO290" s="10" t="str">
        <f aca="false">IF(A290="","",IF(AK290="Y",A290&amp;"_STAAD.std","n/a"))</f>
        <v/>
      </c>
      <c r="AP290" s="10" t="str">
        <f aca="false">IF(A290="","",A290&amp;"_CALC.xlsx")</f>
        <v/>
      </c>
      <c r="AQ290" s="10" t="str">
        <f aca="false">IF(A290="","",A290&amp;"_CALC.pdf")</f>
        <v/>
      </c>
      <c r="AR290" s="9"/>
      <c r="AS290" s="9"/>
      <c r="AT290" s="39"/>
      <c r="AU290" s="39"/>
      <c r="AV290" s="39"/>
      <c r="AW290" s="39"/>
      <c r="AX290" s="39"/>
      <c r="AY290" s="12" t="str">
        <f aca="false">IF(A290="","",IF(COUNTIF(Rebar_Schedule!$A$5:$A$2004,A290)=0,"",ROUND(SUMIF(Rebar_Schedule!$A$5:$A$2004,A290,Rebar_Schedule!$K$5:$K$2004),1)))</f>
        <v/>
      </c>
      <c r="AZ290" s="33" t="str">
        <f aca="false">IF(A290="","",IF(AY290="","No rebar schedule yet",IF(ABS(AY290-N(AU290))/MAX(N(AU290),1)&gt;SG_Criteria!$B$55,"NOTE: register rebar differs from schedule by "&amp;TEXT(ABS(AY290-N(AU290))/MAX(N(AU290),1),"0%"),"OK")))</f>
        <v/>
      </c>
      <c r="BA290" s="33" t="str">
        <f aca="false">IF(OR(D290="",H290=""),"",IF(H290&lt;=IF(OR(D290="Soldier Pile &amp; Timber Lagging",D290="Trench Shoring Box",D290="Open Cut (battered)"),SG_Criteria!$B$34,SG_Criteria!$B$33),"No ERSS submission",IF(H290&lt;=SG_Criteria!$B$35,"QP(ST)",IF(H290&lt;=SG_Criteria!$B$36,"QP(ST) + AC","Geotechnical building works: QP(Geo) + AC"))))</f>
        <v/>
      </c>
      <c r="BB290" s="33" t="str">
        <f aca="false">IF(D290="","",IF(LEN(IF(AND(R290&lt;&gt;"",R290&lt;SG_Criteria!$B$37),"FAIL: base stability FOS &lt; "&amp;SG_Criteria!$B$37&amp;". ","")&amp;IF(AND(E290="Manhole",H290&gt;SG_Criteria!$B$36),"NOTE: BCA lists sewer manholes (pipe &lt;= 2 m dia) &gt; 6 m as non-GBW: QP(ST) + AC. ","")&amp;IF(AND(D290="Trench Shoring Box",I290="Kallang Formation (marine clay)"),"NOTE: check base heave / ground loss for shoring box in marine clay. ","")&amp;IF(AND(D290="Steel Sheet Pile Cofferdam",N(N290)&lt;H290*0.5),"NOTE: short toe embedment, check. ",""))=0,"OK",IF(AND(R290&lt;&gt;"",R290&lt;SG_Criteria!$B$37),"FAIL: base stability FOS &lt; "&amp;SG_Criteria!$B$37&amp;". ","")&amp;IF(AND(E290="Manhole",H290&gt;SG_Criteria!$B$36),"NOTE: BCA lists sewer manholes (pipe &lt;= 2 m dia) &gt; 6 m as non-GBW: QP(ST) + AC. ","")&amp;IF(AND(D290="Trench Shoring Box",I290="Kallang Formation (marine clay)"),"NOTE: check base heave / ground loss for shoring box in marine clay. ","")&amp;IF(AND(D290="Steel Sheet Pile Cofferdam",N(N290)&lt;H290*0.5),"NOTE: short toe embedment, check. ","")))</f>
        <v/>
      </c>
      <c r="BC290" s="9"/>
      <c r="BD290" s="9"/>
      <c r="BE290" s="9"/>
      <c r="BF290" s="10" t="str">
        <f aca="false">IF(BE290="","",IFERROR(VLOOKUP(BE290,Projects!$A$5:$D$504,2,0),"Ref not in Projects"))</f>
        <v/>
      </c>
      <c r="BG290" s="10" t="str">
        <f aca="false">IF(BE290="","",IFERROR(VLOOKUP(BE290,Projects!$A$5:$D$504,4,0),"Ref not in Projects"))</f>
        <v/>
      </c>
      <c r="BH290" s="9"/>
      <c r="BI290" s="9"/>
      <c r="BJ290" s="9"/>
      <c r="BK290" s="40"/>
      <c r="BL290" s="9"/>
      <c r="BM290" s="40"/>
      <c r="BN290" s="9"/>
      <c r="BO290" s="40"/>
      <c r="BP290" s="9"/>
      <c r="BQ290" s="9"/>
      <c r="BR290" s="9"/>
      <c r="BS290" s="40"/>
      <c r="BT290" s="40"/>
      <c r="BU290" s="36" t="str">
        <f aca="false">IF(BT290="","",EDATE(BT290,SG_Criteria!$B$54*12))</f>
        <v/>
      </c>
      <c r="BV290" s="33" t="str">
        <f aca="true">IF(A290="","",IF(BT290="","NOTE: not reviewed yet",IF(TODAY()&gt;BU290,"NOTE: review overdue","OK")))</f>
        <v/>
      </c>
      <c r="BW290" s="37" t="str">
        <f aca="false">IF(A290="","",ROUND((IF(LEN(D290)&gt;0,1,0)+IF(LEN(E290)&gt;0,1,0)+IF(LEN(F290)&gt;0,1,0)+IF(LEN(G290)&gt;0,1,0)+IF(LEN(H290)&gt;0,1,0)+IF(LEN(I290)&gt;0,1,0)+IF(LEN(J290)&gt;0,1,0)+IF(LEN(L290)&gt;0,1,0)+IF(LEN(R290)&gt;0,1,0)+IF(LEN(Y290)&gt;0,1,0)+IF(LEN(AE290)&gt;0,1,0)+IF(LEN(AG290)&gt;0,1,0)+IF(LEN(AH290)&gt;0,1,0)+IF(LEN(AI290)&gt;0,1,0)+IF(LEN(AJ290)&gt;0,1,0)+IF(LEN(AS290)&gt;0,1,0)+IF(LEN(BE290)&gt;0,1,0)+IF(LEN(BR290)&gt;0,1,0))/18,2))</f>
        <v/>
      </c>
      <c r="BX290" s="10" t="str">
        <f aca="false">IF(D290="","",IF(AND(AH290="Approved",ISERROR(SEARCH("FAIL",BB290))),"Y","N"))</f>
        <v/>
      </c>
      <c r="BY290" s="10" t="str">
        <f aca="false">IF(D290="","",D290&amp;"|"&amp;H290&amp;"|"&amp;F290&amp;"|"&amp;I290&amp;"|"&amp;BX290)</f>
        <v/>
      </c>
    </row>
    <row r="291" customFormat="false" ht="15" hidden="false" customHeight="false" outlineLevel="0" collapsed="false">
      <c r="A291" s="10" t="str">
        <f aca="false">IF(D291="","","ERSS-"&amp;IFERROR(VLOOKUP(D291,Lists!$AK$4:$AL$21,2,0),"??")&amp;"-"&amp;TEXT(F291,"0000")&amp;"x"&amp;TEXT(G291,"0000")&amp;"-D"&amp;TEXT(H291*1000,"0000")&amp;"-"&amp;IFERROR(VLOOKUP(I291,Lists!$Y$4:$Z$21,2,0),"??")&amp;"-"&amp;AG291)</f>
        <v/>
      </c>
      <c r="B291" s="10" t="str">
        <f aca="false">IF(D291="","",D291&amp;" for "&amp;E291&amp;", "&amp;F291&amp;" x "&amp;G291&amp;" pit, "&amp;TEXT(H291,"0.0")&amp;" m deep, "&amp;I291)</f>
        <v/>
      </c>
      <c r="C291" s="9"/>
      <c r="D291" s="9"/>
      <c r="E291" s="9"/>
      <c r="F291" s="38"/>
      <c r="G291" s="38"/>
      <c r="H291" s="42"/>
      <c r="I291" s="9"/>
      <c r="J291" s="42"/>
      <c r="K291" s="38"/>
      <c r="L291" s="9"/>
      <c r="M291" s="42"/>
      <c r="N291" s="42"/>
      <c r="O291" s="38"/>
      <c r="P291" s="9"/>
      <c r="Q291" s="9"/>
      <c r="R291" s="39"/>
      <c r="S291" s="39"/>
      <c r="T291" s="38"/>
      <c r="U291" s="38"/>
      <c r="V291" s="38"/>
      <c r="W291" s="9"/>
      <c r="X291" s="9"/>
      <c r="Y291" s="38"/>
      <c r="Z291" s="9"/>
      <c r="AA291" s="9"/>
      <c r="AB291" s="38"/>
      <c r="AC291" s="9"/>
      <c r="AD291" s="39"/>
      <c r="AE291" s="9"/>
      <c r="AF291" s="9"/>
      <c r="AG291" s="9"/>
      <c r="AH291" s="9"/>
      <c r="AI291" s="9"/>
      <c r="AJ291" s="9"/>
      <c r="AK291" s="9"/>
      <c r="AL291" s="10" t="str">
        <f aca="false">IF(A291="","",SG_Criteria!$B$6&amp;SG_Criteria!$B$11&amp;"\"&amp;A291&amp;"\")</f>
        <v/>
      </c>
      <c r="AM291" s="10" t="str">
        <f aca="false">IF(A291="","",A291&amp;"_CAD.dwg")</f>
        <v/>
      </c>
      <c r="AN291" s="10" t="str">
        <f aca="false">IF(A291="","",A291&amp;"_DWG.pdf")</f>
        <v/>
      </c>
      <c r="AO291" s="10" t="str">
        <f aca="false">IF(A291="","",IF(AK291="Y",A291&amp;"_STAAD.std","n/a"))</f>
        <v/>
      </c>
      <c r="AP291" s="10" t="str">
        <f aca="false">IF(A291="","",A291&amp;"_CALC.xlsx")</f>
        <v/>
      </c>
      <c r="AQ291" s="10" t="str">
        <f aca="false">IF(A291="","",A291&amp;"_CALC.pdf")</f>
        <v/>
      </c>
      <c r="AR291" s="9"/>
      <c r="AS291" s="9"/>
      <c r="AT291" s="39"/>
      <c r="AU291" s="39"/>
      <c r="AV291" s="39"/>
      <c r="AW291" s="39"/>
      <c r="AX291" s="39"/>
      <c r="AY291" s="12" t="str">
        <f aca="false">IF(A291="","",IF(COUNTIF(Rebar_Schedule!$A$5:$A$2004,A291)=0,"",ROUND(SUMIF(Rebar_Schedule!$A$5:$A$2004,A291,Rebar_Schedule!$K$5:$K$2004),1)))</f>
        <v/>
      </c>
      <c r="AZ291" s="33" t="str">
        <f aca="false">IF(A291="","",IF(AY291="","No rebar schedule yet",IF(ABS(AY291-N(AU291))/MAX(N(AU291),1)&gt;SG_Criteria!$B$55,"NOTE: register rebar differs from schedule by "&amp;TEXT(ABS(AY291-N(AU291))/MAX(N(AU291),1),"0%"),"OK")))</f>
        <v/>
      </c>
      <c r="BA291" s="33" t="str">
        <f aca="false">IF(OR(D291="",H291=""),"",IF(H291&lt;=IF(OR(D291="Soldier Pile &amp; Timber Lagging",D291="Trench Shoring Box",D291="Open Cut (battered)"),SG_Criteria!$B$34,SG_Criteria!$B$33),"No ERSS submission",IF(H291&lt;=SG_Criteria!$B$35,"QP(ST)",IF(H291&lt;=SG_Criteria!$B$36,"QP(ST) + AC","Geotechnical building works: QP(Geo) + AC"))))</f>
        <v/>
      </c>
      <c r="BB291" s="33" t="str">
        <f aca="false">IF(D291="","",IF(LEN(IF(AND(R291&lt;&gt;"",R291&lt;SG_Criteria!$B$37),"FAIL: base stability FOS &lt; "&amp;SG_Criteria!$B$37&amp;". ","")&amp;IF(AND(E291="Manhole",H291&gt;SG_Criteria!$B$36),"NOTE: BCA lists sewer manholes (pipe &lt;= 2 m dia) &gt; 6 m as non-GBW: QP(ST) + AC. ","")&amp;IF(AND(D291="Trench Shoring Box",I291="Kallang Formation (marine clay)"),"NOTE: check base heave / ground loss for shoring box in marine clay. ","")&amp;IF(AND(D291="Steel Sheet Pile Cofferdam",N(N291)&lt;H291*0.5),"NOTE: short toe embedment, check. ",""))=0,"OK",IF(AND(R291&lt;&gt;"",R291&lt;SG_Criteria!$B$37),"FAIL: base stability FOS &lt; "&amp;SG_Criteria!$B$37&amp;". ","")&amp;IF(AND(E291="Manhole",H291&gt;SG_Criteria!$B$36),"NOTE: BCA lists sewer manholes (pipe &lt;= 2 m dia) &gt; 6 m as non-GBW: QP(ST) + AC. ","")&amp;IF(AND(D291="Trench Shoring Box",I291="Kallang Formation (marine clay)"),"NOTE: check base heave / ground loss for shoring box in marine clay. ","")&amp;IF(AND(D291="Steel Sheet Pile Cofferdam",N(N291)&lt;H291*0.5),"NOTE: short toe embedment, check. ","")))</f>
        <v/>
      </c>
      <c r="BC291" s="9"/>
      <c r="BD291" s="9"/>
      <c r="BE291" s="9"/>
      <c r="BF291" s="10" t="str">
        <f aca="false">IF(BE291="","",IFERROR(VLOOKUP(BE291,Projects!$A$5:$D$504,2,0),"Ref not in Projects"))</f>
        <v/>
      </c>
      <c r="BG291" s="10" t="str">
        <f aca="false">IF(BE291="","",IFERROR(VLOOKUP(BE291,Projects!$A$5:$D$504,4,0),"Ref not in Projects"))</f>
        <v/>
      </c>
      <c r="BH291" s="9"/>
      <c r="BI291" s="9"/>
      <c r="BJ291" s="9"/>
      <c r="BK291" s="40"/>
      <c r="BL291" s="9"/>
      <c r="BM291" s="40"/>
      <c r="BN291" s="9"/>
      <c r="BO291" s="40"/>
      <c r="BP291" s="9"/>
      <c r="BQ291" s="9"/>
      <c r="BR291" s="9"/>
      <c r="BS291" s="40"/>
      <c r="BT291" s="40"/>
      <c r="BU291" s="36" t="str">
        <f aca="false">IF(BT291="","",EDATE(BT291,SG_Criteria!$B$54*12))</f>
        <v/>
      </c>
      <c r="BV291" s="33" t="str">
        <f aca="true">IF(A291="","",IF(BT291="","NOTE: not reviewed yet",IF(TODAY()&gt;BU291,"NOTE: review overdue","OK")))</f>
        <v/>
      </c>
      <c r="BW291" s="37" t="str">
        <f aca="false">IF(A291="","",ROUND((IF(LEN(D291)&gt;0,1,0)+IF(LEN(E291)&gt;0,1,0)+IF(LEN(F291)&gt;0,1,0)+IF(LEN(G291)&gt;0,1,0)+IF(LEN(H291)&gt;0,1,0)+IF(LEN(I291)&gt;0,1,0)+IF(LEN(J291)&gt;0,1,0)+IF(LEN(L291)&gt;0,1,0)+IF(LEN(R291)&gt;0,1,0)+IF(LEN(Y291)&gt;0,1,0)+IF(LEN(AE291)&gt;0,1,0)+IF(LEN(AG291)&gt;0,1,0)+IF(LEN(AH291)&gt;0,1,0)+IF(LEN(AI291)&gt;0,1,0)+IF(LEN(AJ291)&gt;0,1,0)+IF(LEN(AS291)&gt;0,1,0)+IF(LEN(BE291)&gt;0,1,0)+IF(LEN(BR291)&gt;0,1,0))/18,2))</f>
        <v/>
      </c>
      <c r="BX291" s="10" t="str">
        <f aca="false">IF(D291="","",IF(AND(AH291="Approved",ISERROR(SEARCH("FAIL",BB291))),"Y","N"))</f>
        <v/>
      </c>
      <c r="BY291" s="10" t="str">
        <f aca="false">IF(D291="","",D291&amp;"|"&amp;H291&amp;"|"&amp;F291&amp;"|"&amp;I291&amp;"|"&amp;BX291)</f>
        <v/>
      </c>
    </row>
    <row r="292" customFormat="false" ht="15" hidden="false" customHeight="false" outlineLevel="0" collapsed="false">
      <c r="A292" s="10" t="str">
        <f aca="false">IF(D292="","","ERSS-"&amp;IFERROR(VLOOKUP(D292,Lists!$AK$4:$AL$21,2,0),"??")&amp;"-"&amp;TEXT(F292,"0000")&amp;"x"&amp;TEXT(G292,"0000")&amp;"-D"&amp;TEXT(H292*1000,"0000")&amp;"-"&amp;IFERROR(VLOOKUP(I292,Lists!$Y$4:$Z$21,2,0),"??")&amp;"-"&amp;AG292)</f>
        <v/>
      </c>
      <c r="B292" s="10" t="str">
        <f aca="false">IF(D292="","",D292&amp;" for "&amp;E292&amp;", "&amp;F292&amp;" x "&amp;G292&amp;" pit, "&amp;TEXT(H292,"0.0")&amp;" m deep, "&amp;I292)</f>
        <v/>
      </c>
      <c r="C292" s="9"/>
      <c r="D292" s="9"/>
      <c r="E292" s="9"/>
      <c r="F292" s="38"/>
      <c r="G292" s="38"/>
      <c r="H292" s="42"/>
      <c r="I292" s="9"/>
      <c r="J292" s="42"/>
      <c r="K292" s="38"/>
      <c r="L292" s="9"/>
      <c r="M292" s="42"/>
      <c r="N292" s="42"/>
      <c r="O292" s="38"/>
      <c r="P292" s="9"/>
      <c r="Q292" s="9"/>
      <c r="R292" s="39"/>
      <c r="S292" s="39"/>
      <c r="T292" s="38"/>
      <c r="U292" s="38"/>
      <c r="V292" s="38"/>
      <c r="W292" s="9"/>
      <c r="X292" s="9"/>
      <c r="Y292" s="38"/>
      <c r="Z292" s="9"/>
      <c r="AA292" s="9"/>
      <c r="AB292" s="38"/>
      <c r="AC292" s="9"/>
      <c r="AD292" s="39"/>
      <c r="AE292" s="9"/>
      <c r="AF292" s="9"/>
      <c r="AG292" s="9"/>
      <c r="AH292" s="9"/>
      <c r="AI292" s="9"/>
      <c r="AJ292" s="9"/>
      <c r="AK292" s="9"/>
      <c r="AL292" s="10" t="str">
        <f aca="false">IF(A292="","",SG_Criteria!$B$6&amp;SG_Criteria!$B$11&amp;"\"&amp;A292&amp;"\")</f>
        <v/>
      </c>
      <c r="AM292" s="10" t="str">
        <f aca="false">IF(A292="","",A292&amp;"_CAD.dwg")</f>
        <v/>
      </c>
      <c r="AN292" s="10" t="str">
        <f aca="false">IF(A292="","",A292&amp;"_DWG.pdf")</f>
        <v/>
      </c>
      <c r="AO292" s="10" t="str">
        <f aca="false">IF(A292="","",IF(AK292="Y",A292&amp;"_STAAD.std","n/a"))</f>
        <v/>
      </c>
      <c r="AP292" s="10" t="str">
        <f aca="false">IF(A292="","",A292&amp;"_CALC.xlsx")</f>
        <v/>
      </c>
      <c r="AQ292" s="10" t="str">
        <f aca="false">IF(A292="","",A292&amp;"_CALC.pdf")</f>
        <v/>
      </c>
      <c r="AR292" s="9"/>
      <c r="AS292" s="9"/>
      <c r="AT292" s="39"/>
      <c r="AU292" s="39"/>
      <c r="AV292" s="39"/>
      <c r="AW292" s="39"/>
      <c r="AX292" s="39"/>
      <c r="AY292" s="12" t="str">
        <f aca="false">IF(A292="","",IF(COUNTIF(Rebar_Schedule!$A$5:$A$2004,A292)=0,"",ROUND(SUMIF(Rebar_Schedule!$A$5:$A$2004,A292,Rebar_Schedule!$K$5:$K$2004),1)))</f>
        <v/>
      </c>
      <c r="AZ292" s="33" t="str">
        <f aca="false">IF(A292="","",IF(AY292="","No rebar schedule yet",IF(ABS(AY292-N(AU292))/MAX(N(AU292),1)&gt;SG_Criteria!$B$55,"NOTE: register rebar differs from schedule by "&amp;TEXT(ABS(AY292-N(AU292))/MAX(N(AU292),1),"0%"),"OK")))</f>
        <v/>
      </c>
      <c r="BA292" s="33" t="str">
        <f aca="false">IF(OR(D292="",H292=""),"",IF(H292&lt;=IF(OR(D292="Soldier Pile &amp; Timber Lagging",D292="Trench Shoring Box",D292="Open Cut (battered)"),SG_Criteria!$B$34,SG_Criteria!$B$33),"No ERSS submission",IF(H292&lt;=SG_Criteria!$B$35,"QP(ST)",IF(H292&lt;=SG_Criteria!$B$36,"QP(ST) + AC","Geotechnical building works: QP(Geo) + AC"))))</f>
        <v/>
      </c>
      <c r="BB292" s="33" t="str">
        <f aca="false">IF(D292="","",IF(LEN(IF(AND(R292&lt;&gt;"",R292&lt;SG_Criteria!$B$37),"FAIL: base stability FOS &lt; "&amp;SG_Criteria!$B$37&amp;". ","")&amp;IF(AND(E292="Manhole",H292&gt;SG_Criteria!$B$36),"NOTE: BCA lists sewer manholes (pipe &lt;= 2 m dia) &gt; 6 m as non-GBW: QP(ST) + AC. ","")&amp;IF(AND(D292="Trench Shoring Box",I292="Kallang Formation (marine clay)"),"NOTE: check base heave / ground loss for shoring box in marine clay. ","")&amp;IF(AND(D292="Steel Sheet Pile Cofferdam",N(N292)&lt;H292*0.5),"NOTE: short toe embedment, check. ",""))=0,"OK",IF(AND(R292&lt;&gt;"",R292&lt;SG_Criteria!$B$37),"FAIL: base stability FOS &lt; "&amp;SG_Criteria!$B$37&amp;". ","")&amp;IF(AND(E292="Manhole",H292&gt;SG_Criteria!$B$36),"NOTE: BCA lists sewer manholes (pipe &lt;= 2 m dia) &gt; 6 m as non-GBW: QP(ST) + AC. ","")&amp;IF(AND(D292="Trench Shoring Box",I292="Kallang Formation (marine clay)"),"NOTE: check base heave / ground loss for shoring box in marine clay. ","")&amp;IF(AND(D292="Steel Sheet Pile Cofferdam",N(N292)&lt;H292*0.5),"NOTE: short toe embedment, check. ","")))</f>
        <v/>
      </c>
      <c r="BC292" s="9"/>
      <c r="BD292" s="9"/>
      <c r="BE292" s="9"/>
      <c r="BF292" s="10" t="str">
        <f aca="false">IF(BE292="","",IFERROR(VLOOKUP(BE292,Projects!$A$5:$D$504,2,0),"Ref not in Projects"))</f>
        <v/>
      </c>
      <c r="BG292" s="10" t="str">
        <f aca="false">IF(BE292="","",IFERROR(VLOOKUP(BE292,Projects!$A$5:$D$504,4,0),"Ref not in Projects"))</f>
        <v/>
      </c>
      <c r="BH292" s="9"/>
      <c r="BI292" s="9"/>
      <c r="BJ292" s="9"/>
      <c r="BK292" s="40"/>
      <c r="BL292" s="9"/>
      <c r="BM292" s="40"/>
      <c r="BN292" s="9"/>
      <c r="BO292" s="40"/>
      <c r="BP292" s="9"/>
      <c r="BQ292" s="9"/>
      <c r="BR292" s="9"/>
      <c r="BS292" s="40"/>
      <c r="BT292" s="40"/>
      <c r="BU292" s="36" t="str">
        <f aca="false">IF(BT292="","",EDATE(BT292,SG_Criteria!$B$54*12))</f>
        <v/>
      </c>
      <c r="BV292" s="33" t="str">
        <f aca="true">IF(A292="","",IF(BT292="","NOTE: not reviewed yet",IF(TODAY()&gt;BU292,"NOTE: review overdue","OK")))</f>
        <v/>
      </c>
      <c r="BW292" s="37" t="str">
        <f aca="false">IF(A292="","",ROUND((IF(LEN(D292)&gt;0,1,0)+IF(LEN(E292)&gt;0,1,0)+IF(LEN(F292)&gt;0,1,0)+IF(LEN(G292)&gt;0,1,0)+IF(LEN(H292)&gt;0,1,0)+IF(LEN(I292)&gt;0,1,0)+IF(LEN(J292)&gt;0,1,0)+IF(LEN(L292)&gt;0,1,0)+IF(LEN(R292)&gt;0,1,0)+IF(LEN(Y292)&gt;0,1,0)+IF(LEN(AE292)&gt;0,1,0)+IF(LEN(AG292)&gt;0,1,0)+IF(LEN(AH292)&gt;0,1,0)+IF(LEN(AI292)&gt;0,1,0)+IF(LEN(AJ292)&gt;0,1,0)+IF(LEN(AS292)&gt;0,1,0)+IF(LEN(BE292)&gt;0,1,0)+IF(LEN(BR292)&gt;0,1,0))/18,2))</f>
        <v/>
      </c>
      <c r="BX292" s="10" t="str">
        <f aca="false">IF(D292="","",IF(AND(AH292="Approved",ISERROR(SEARCH("FAIL",BB292))),"Y","N"))</f>
        <v/>
      </c>
      <c r="BY292" s="10" t="str">
        <f aca="false">IF(D292="","",D292&amp;"|"&amp;H292&amp;"|"&amp;F292&amp;"|"&amp;I292&amp;"|"&amp;BX292)</f>
        <v/>
      </c>
    </row>
    <row r="293" customFormat="false" ht="15" hidden="false" customHeight="false" outlineLevel="0" collapsed="false">
      <c r="A293" s="10" t="str">
        <f aca="false">IF(D293="","","ERSS-"&amp;IFERROR(VLOOKUP(D293,Lists!$AK$4:$AL$21,2,0),"??")&amp;"-"&amp;TEXT(F293,"0000")&amp;"x"&amp;TEXT(G293,"0000")&amp;"-D"&amp;TEXT(H293*1000,"0000")&amp;"-"&amp;IFERROR(VLOOKUP(I293,Lists!$Y$4:$Z$21,2,0),"??")&amp;"-"&amp;AG293)</f>
        <v/>
      </c>
      <c r="B293" s="10" t="str">
        <f aca="false">IF(D293="","",D293&amp;" for "&amp;E293&amp;", "&amp;F293&amp;" x "&amp;G293&amp;" pit, "&amp;TEXT(H293,"0.0")&amp;" m deep, "&amp;I293)</f>
        <v/>
      </c>
      <c r="C293" s="9"/>
      <c r="D293" s="9"/>
      <c r="E293" s="9"/>
      <c r="F293" s="38"/>
      <c r="G293" s="38"/>
      <c r="H293" s="42"/>
      <c r="I293" s="9"/>
      <c r="J293" s="42"/>
      <c r="K293" s="38"/>
      <c r="L293" s="9"/>
      <c r="M293" s="42"/>
      <c r="N293" s="42"/>
      <c r="O293" s="38"/>
      <c r="P293" s="9"/>
      <c r="Q293" s="9"/>
      <c r="R293" s="39"/>
      <c r="S293" s="39"/>
      <c r="T293" s="38"/>
      <c r="U293" s="38"/>
      <c r="V293" s="38"/>
      <c r="W293" s="9"/>
      <c r="X293" s="9"/>
      <c r="Y293" s="38"/>
      <c r="Z293" s="9"/>
      <c r="AA293" s="9"/>
      <c r="AB293" s="38"/>
      <c r="AC293" s="9"/>
      <c r="AD293" s="39"/>
      <c r="AE293" s="9"/>
      <c r="AF293" s="9"/>
      <c r="AG293" s="9"/>
      <c r="AH293" s="9"/>
      <c r="AI293" s="9"/>
      <c r="AJ293" s="9"/>
      <c r="AK293" s="9"/>
      <c r="AL293" s="10" t="str">
        <f aca="false">IF(A293="","",SG_Criteria!$B$6&amp;SG_Criteria!$B$11&amp;"\"&amp;A293&amp;"\")</f>
        <v/>
      </c>
      <c r="AM293" s="10" t="str">
        <f aca="false">IF(A293="","",A293&amp;"_CAD.dwg")</f>
        <v/>
      </c>
      <c r="AN293" s="10" t="str">
        <f aca="false">IF(A293="","",A293&amp;"_DWG.pdf")</f>
        <v/>
      </c>
      <c r="AO293" s="10" t="str">
        <f aca="false">IF(A293="","",IF(AK293="Y",A293&amp;"_STAAD.std","n/a"))</f>
        <v/>
      </c>
      <c r="AP293" s="10" t="str">
        <f aca="false">IF(A293="","",A293&amp;"_CALC.xlsx")</f>
        <v/>
      </c>
      <c r="AQ293" s="10" t="str">
        <f aca="false">IF(A293="","",A293&amp;"_CALC.pdf")</f>
        <v/>
      </c>
      <c r="AR293" s="9"/>
      <c r="AS293" s="9"/>
      <c r="AT293" s="39"/>
      <c r="AU293" s="39"/>
      <c r="AV293" s="39"/>
      <c r="AW293" s="39"/>
      <c r="AX293" s="39"/>
      <c r="AY293" s="12" t="str">
        <f aca="false">IF(A293="","",IF(COUNTIF(Rebar_Schedule!$A$5:$A$2004,A293)=0,"",ROUND(SUMIF(Rebar_Schedule!$A$5:$A$2004,A293,Rebar_Schedule!$K$5:$K$2004),1)))</f>
        <v/>
      </c>
      <c r="AZ293" s="33" t="str">
        <f aca="false">IF(A293="","",IF(AY293="","No rebar schedule yet",IF(ABS(AY293-N(AU293))/MAX(N(AU293),1)&gt;SG_Criteria!$B$55,"NOTE: register rebar differs from schedule by "&amp;TEXT(ABS(AY293-N(AU293))/MAX(N(AU293),1),"0%"),"OK")))</f>
        <v/>
      </c>
      <c r="BA293" s="33" t="str">
        <f aca="false">IF(OR(D293="",H293=""),"",IF(H293&lt;=IF(OR(D293="Soldier Pile &amp; Timber Lagging",D293="Trench Shoring Box",D293="Open Cut (battered)"),SG_Criteria!$B$34,SG_Criteria!$B$33),"No ERSS submission",IF(H293&lt;=SG_Criteria!$B$35,"QP(ST)",IF(H293&lt;=SG_Criteria!$B$36,"QP(ST) + AC","Geotechnical building works: QP(Geo) + AC"))))</f>
        <v/>
      </c>
      <c r="BB293" s="33" t="str">
        <f aca="false">IF(D293="","",IF(LEN(IF(AND(R293&lt;&gt;"",R293&lt;SG_Criteria!$B$37),"FAIL: base stability FOS &lt; "&amp;SG_Criteria!$B$37&amp;". ","")&amp;IF(AND(E293="Manhole",H293&gt;SG_Criteria!$B$36),"NOTE: BCA lists sewer manholes (pipe &lt;= 2 m dia) &gt; 6 m as non-GBW: QP(ST) + AC. ","")&amp;IF(AND(D293="Trench Shoring Box",I293="Kallang Formation (marine clay)"),"NOTE: check base heave / ground loss for shoring box in marine clay. ","")&amp;IF(AND(D293="Steel Sheet Pile Cofferdam",N(N293)&lt;H293*0.5),"NOTE: short toe embedment, check. ",""))=0,"OK",IF(AND(R293&lt;&gt;"",R293&lt;SG_Criteria!$B$37),"FAIL: base stability FOS &lt; "&amp;SG_Criteria!$B$37&amp;". ","")&amp;IF(AND(E293="Manhole",H293&gt;SG_Criteria!$B$36),"NOTE: BCA lists sewer manholes (pipe &lt;= 2 m dia) &gt; 6 m as non-GBW: QP(ST) + AC. ","")&amp;IF(AND(D293="Trench Shoring Box",I293="Kallang Formation (marine clay)"),"NOTE: check base heave / ground loss for shoring box in marine clay. ","")&amp;IF(AND(D293="Steel Sheet Pile Cofferdam",N(N293)&lt;H293*0.5),"NOTE: short toe embedment, check. ","")))</f>
        <v/>
      </c>
      <c r="BC293" s="9"/>
      <c r="BD293" s="9"/>
      <c r="BE293" s="9"/>
      <c r="BF293" s="10" t="str">
        <f aca="false">IF(BE293="","",IFERROR(VLOOKUP(BE293,Projects!$A$5:$D$504,2,0),"Ref not in Projects"))</f>
        <v/>
      </c>
      <c r="BG293" s="10" t="str">
        <f aca="false">IF(BE293="","",IFERROR(VLOOKUP(BE293,Projects!$A$5:$D$504,4,0),"Ref not in Projects"))</f>
        <v/>
      </c>
      <c r="BH293" s="9"/>
      <c r="BI293" s="9"/>
      <c r="BJ293" s="9"/>
      <c r="BK293" s="40"/>
      <c r="BL293" s="9"/>
      <c r="BM293" s="40"/>
      <c r="BN293" s="9"/>
      <c r="BO293" s="40"/>
      <c r="BP293" s="9"/>
      <c r="BQ293" s="9"/>
      <c r="BR293" s="9"/>
      <c r="BS293" s="40"/>
      <c r="BT293" s="40"/>
      <c r="BU293" s="36" t="str">
        <f aca="false">IF(BT293="","",EDATE(BT293,SG_Criteria!$B$54*12))</f>
        <v/>
      </c>
      <c r="BV293" s="33" t="str">
        <f aca="true">IF(A293="","",IF(BT293="","NOTE: not reviewed yet",IF(TODAY()&gt;BU293,"NOTE: review overdue","OK")))</f>
        <v/>
      </c>
      <c r="BW293" s="37" t="str">
        <f aca="false">IF(A293="","",ROUND((IF(LEN(D293)&gt;0,1,0)+IF(LEN(E293)&gt;0,1,0)+IF(LEN(F293)&gt;0,1,0)+IF(LEN(G293)&gt;0,1,0)+IF(LEN(H293)&gt;0,1,0)+IF(LEN(I293)&gt;0,1,0)+IF(LEN(J293)&gt;0,1,0)+IF(LEN(L293)&gt;0,1,0)+IF(LEN(R293)&gt;0,1,0)+IF(LEN(Y293)&gt;0,1,0)+IF(LEN(AE293)&gt;0,1,0)+IF(LEN(AG293)&gt;0,1,0)+IF(LEN(AH293)&gt;0,1,0)+IF(LEN(AI293)&gt;0,1,0)+IF(LEN(AJ293)&gt;0,1,0)+IF(LEN(AS293)&gt;0,1,0)+IF(LEN(BE293)&gt;0,1,0)+IF(LEN(BR293)&gt;0,1,0))/18,2))</f>
        <v/>
      </c>
      <c r="BX293" s="10" t="str">
        <f aca="false">IF(D293="","",IF(AND(AH293="Approved",ISERROR(SEARCH("FAIL",BB293))),"Y","N"))</f>
        <v/>
      </c>
      <c r="BY293" s="10" t="str">
        <f aca="false">IF(D293="","",D293&amp;"|"&amp;H293&amp;"|"&amp;F293&amp;"|"&amp;I293&amp;"|"&amp;BX293)</f>
        <v/>
      </c>
    </row>
    <row r="294" customFormat="false" ht="15" hidden="false" customHeight="false" outlineLevel="0" collapsed="false">
      <c r="A294" s="10" t="str">
        <f aca="false">IF(D294="","","ERSS-"&amp;IFERROR(VLOOKUP(D294,Lists!$AK$4:$AL$21,2,0),"??")&amp;"-"&amp;TEXT(F294,"0000")&amp;"x"&amp;TEXT(G294,"0000")&amp;"-D"&amp;TEXT(H294*1000,"0000")&amp;"-"&amp;IFERROR(VLOOKUP(I294,Lists!$Y$4:$Z$21,2,0),"??")&amp;"-"&amp;AG294)</f>
        <v/>
      </c>
      <c r="B294" s="10" t="str">
        <f aca="false">IF(D294="","",D294&amp;" for "&amp;E294&amp;", "&amp;F294&amp;" x "&amp;G294&amp;" pit, "&amp;TEXT(H294,"0.0")&amp;" m deep, "&amp;I294)</f>
        <v/>
      </c>
      <c r="C294" s="9"/>
      <c r="D294" s="9"/>
      <c r="E294" s="9"/>
      <c r="F294" s="38"/>
      <c r="G294" s="38"/>
      <c r="H294" s="42"/>
      <c r="I294" s="9"/>
      <c r="J294" s="42"/>
      <c r="K294" s="38"/>
      <c r="L294" s="9"/>
      <c r="M294" s="42"/>
      <c r="N294" s="42"/>
      <c r="O294" s="38"/>
      <c r="P294" s="9"/>
      <c r="Q294" s="9"/>
      <c r="R294" s="39"/>
      <c r="S294" s="39"/>
      <c r="T294" s="38"/>
      <c r="U294" s="38"/>
      <c r="V294" s="38"/>
      <c r="W294" s="9"/>
      <c r="X294" s="9"/>
      <c r="Y294" s="38"/>
      <c r="Z294" s="9"/>
      <c r="AA294" s="9"/>
      <c r="AB294" s="38"/>
      <c r="AC294" s="9"/>
      <c r="AD294" s="39"/>
      <c r="AE294" s="9"/>
      <c r="AF294" s="9"/>
      <c r="AG294" s="9"/>
      <c r="AH294" s="9"/>
      <c r="AI294" s="9"/>
      <c r="AJ294" s="9"/>
      <c r="AK294" s="9"/>
      <c r="AL294" s="10" t="str">
        <f aca="false">IF(A294="","",SG_Criteria!$B$6&amp;SG_Criteria!$B$11&amp;"\"&amp;A294&amp;"\")</f>
        <v/>
      </c>
      <c r="AM294" s="10" t="str">
        <f aca="false">IF(A294="","",A294&amp;"_CAD.dwg")</f>
        <v/>
      </c>
      <c r="AN294" s="10" t="str">
        <f aca="false">IF(A294="","",A294&amp;"_DWG.pdf")</f>
        <v/>
      </c>
      <c r="AO294" s="10" t="str">
        <f aca="false">IF(A294="","",IF(AK294="Y",A294&amp;"_STAAD.std","n/a"))</f>
        <v/>
      </c>
      <c r="AP294" s="10" t="str">
        <f aca="false">IF(A294="","",A294&amp;"_CALC.xlsx")</f>
        <v/>
      </c>
      <c r="AQ294" s="10" t="str">
        <f aca="false">IF(A294="","",A294&amp;"_CALC.pdf")</f>
        <v/>
      </c>
      <c r="AR294" s="9"/>
      <c r="AS294" s="9"/>
      <c r="AT294" s="39"/>
      <c r="AU294" s="39"/>
      <c r="AV294" s="39"/>
      <c r="AW294" s="39"/>
      <c r="AX294" s="39"/>
      <c r="AY294" s="12" t="str">
        <f aca="false">IF(A294="","",IF(COUNTIF(Rebar_Schedule!$A$5:$A$2004,A294)=0,"",ROUND(SUMIF(Rebar_Schedule!$A$5:$A$2004,A294,Rebar_Schedule!$K$5:$K$2004),1)))</f>
        <v/>
      </c>
      <c r="AZ294" s="33" t="str">
        <f aca="false">IF(A294="","",IF(AY294="","No rebar schedule yet",IF(ABS(AY294-N(AU294))/MAX(N(AU294),1)&gt;SG_Criteria!$B$55,"NOTE: register rebar differs from schedule by "&amp;TEXT(ABS(AY294-N(AU294))/MAX(N(AU294),1),"0%"),"OK")))</f>
        <v/>
      </c>
      <c r="BA294" s="33" t="str">
        <f aca="false">IF(OR(D294="",H294=""),"",IF(H294&lt;=IF(OR(D294="Soldier Pile &amp; Timber Lagging",D294="Trench Shoring Box",D294="Open Cut (battered)"),SG_Criteria!$B$34,SG_Criteria!$B$33),"No ERSS submission",IF(H294&lt;=SG_Criteria!$B$35,"QP(ST)",IF(H294&lt;=SG_Criteria!$B$36,"QP(ST) + AC","Geotechnical building works: QP(Geo) + AC"))))</f>
        <v/>
      </c>
      <c r="BB294" s="33" t="str">
        <f aca="false">IF(D294="","",IF(LEN(IF(AND(R294&lt;&gt;"",R294&lt;SG_Criteria!$B$37),"FAIL: base stability FOS &lt; "&amp;SG_Criteria!$B$37&amp;". ","")&amp;IF(AND(E294="Manhole",H294&gt;SG_Criteria!$B$36),"NOTE: BCA lists sewer manholes (pipe &lt;= 2 m dia) &gt; 6 m as non-GBW: QP(ST) + AC. ","")&amp;IF(AND(D294="Trench Shoring Box",I294="Kallang Formation (marine clay)"),"NOTE: check base heave / ground loss for shoring box in marine clay. ","")&amp;IF(AND(D294="Steel Sheet Pile Cofferdam",N(N294)&lt;H294*0.5),"NOTE: short toe embedment, check. ",""))=0,"OK",IF(AND(R294&lt;&gt;"",R294&lt;SG_Criteria!$B$37),"FAIL: base stability FOS &lt; "&amp;SG_Criteria!$B$37&amp;". ","")&amp;IF(AND(E294="Manhole",H294&gt;SG_Criteria!$B$36),"NOTE: BCA lists sewer manholes (pipe &lt;= 2 m dia) &gt; 6 m as non-GBW: QP(ST) + AC. ","")&amp;IF(AND(D294="Trench Shoring Box",I294="Kallang Formation (marine clay)"),"NOTE: check base heave / ground loss for shoring box in marine clay. ","")&amp;IF(AND(D294="Steel Sheet Pile Cofferdam",N(N294)&lt;H294*0.5),"NOTE: short toe embedment, check. ","")))</f>
        <v/>
      </c>
      <c r="BC294" s="9"/>
      <c r="BD294" s="9"/>
      <c r="BE294" s="9"/>
      <c r="BF294" s="10" t="str">
        <f aca="false">IF(BE294="","",IFERROR(VLOOKUP(BE294,Projects!$A$5:$D$504,2,0),"Ref not in Projects"))</f>
        <v/>
      </c>
      <c r="BG294" s="10" t="str">
        <f aca="false">IF(BE294="","",IFERROR(VLOOKUP(BE294,Projects!$A$5:$D$504,4,0),"Ref not in Projects"))</f>
        <v/>
      </c>
      <c r="BH294" s="9"/>
      <c r="BI294" s="9"/>
      <c r="BJ294" s="9"/>
      <c r="BK294" s="40"/>
      <c r="BL294" s="9"/>
      <c r="BM294" s="40"/>
      <c r="BN294" s="9"/>
      <c r="BO294" s="40"/>
      <c r="BP294" s="9"/>
      <c r="BQ294" s="9"/>
      <c r="BR294" s="9"/>
      <c r="BS294" s="40"/>
      <c r="BT294" s="40"/>
      <c r="BU294" s="36" t="str">
        <f aca="false">IF(BT294="","",EDATE(BT294,SG_Criteria!$B$54*12))</f>
        <v/>
      </c>
      <c r="BV294" s="33" t="str">
        <f aca="true">IF(A294="","",IF(BT294="","NOTE: not reviewed yet",IF(TODAY()&gt;BU294,"NOTE: review overdue","OK")))</f>
        <v/>
      </c>
      <c r="BW294" s="37" t="str">
        <f aca="false">IF(A294="","",ROUND((IF(LEN(D294)&gt;0,1,0)+IF(LEN(E294)&gt;0,1,0)+IF(LEN(F294)&gt;0,1,0)+IF(LEN(G294)&gt;0,1,0)+IF(LEN(H294)&gt;0,1,0)+IF(LEN(I294)&gt;0,1,0)+IF(LEN(J294)&gt;0,1,0)+IF(LEN(L294)&gt;0,1,0)+IF(LEN(R294)&gt;0,1,0)+IF(LEN(Y294)&gt;0,1,0)+IF(LEN(AE294)&gt;0,1,0)+IF(LEN(AG294)&gt;0,1,0)+IF(LEN(AH294)&gt;0,1,0)+IF(LEN(AI294)&gt;0,1,0)+IF(LEN(AJ294)&gt;0,1,0)+IF(LEN(AS294)&gt;0,1,0)+IF(LEN(BE294)&gt;0,1,0)+IF(LEN(BR294)&gt;0,1,0))/18,2))</f>
        <v/>
      </c>
      <c r="BX294" s="10" t="str">
        <f aca="false">IF(D294="","",IF(AND(AH294="Approved",ISERROR(SEARCH("FAIL",BB294))),"Y","N"))</f>
        <v/>
      </c>
      <c r="BY294" s="10" t="str">
        <f aca="false">IF(D294="","",D294&amp;"|"&amp;H294&amp;"|"&amp;F294&amp;"|"&amp;I294&amp;"|"&amp;BX294)</f>
        <v/>
      </c>
    </row>
    <row r="295" customFormat="false" ht="15" hidden="false" customHeight="false" outlineLevel="0" collapsed="false">
      <c r="A295" s="10" t="str">
        <f aca="false">IF(D295="","","ERSS-"&amp;IFERROR(VLOOKUP(D295,Lists!$AK$4:$AL$21,2,0),"??")&amp;"-"&amp;TEXT(F295,"0000")&amp;"x"&amp;TEXT(G295,"0000")&amp;"-D"&amp;TEXT(H295*1000,"0000")&amp;"-"&amp;IFERROR(VLOOKUP(I295,Lists!$Y$4:$Z$21,2,0),"??")&amp;"-"&amp;AG295)</f>
        <v/>
      </c>
      <c r="B295" s="10" t="str">
        <f aca="false">IF(D295="","",D295&amp;" for "&amp;E295&amp;", "&amp;F295&amp;" x "&amp;G295&amp;" pit, "&amp;TEXT(H295,"0.0")&amp;" m deep, "&amp;I295)</f>
        <v/>
      </c>
      <c r="C295" s="9"/>
      <c r="D295" s="9"/>
      <c r="E295" s="9"/>
      <c r="F295" s="38"/>
      <c r="G295" s="38"/>
      <c r="H295" s="42"/>
      <c r="I295" s="9"/>
      <c r="J295" s="42"/>
      <c r="K295" s="38"/>
      <c r="L295" s="9"/>
      <c r="M295" s="42"/>
      <c r="N295" s="42"/>
      <c r="O295" s="38"/>
      <c r="P295" s="9"/>
      <c r="Q295" s="9"/>
      <c r="R295" s="39"/>
      <c r="S295" s="39"/>
      <c r="T295" s="38"/>
      <c r="U295" s="38"/>
      <c r="V295" s="38"/>
      <c r="W295" s="9"/>
      <c r="X295" s="9"/>
      <c r="Y295" s="38"/>
      <c r="Z295" s="9"/>
      <c r="AA295" s="9"/>
      <c r="AB295" s="38"/>
      <c r="AC295" s="9"/>
      <c r="AD295" s="39"/>
      <c r="AE295" s="9"/>
      <c r="AF295" s="9"/>
      <c r="AG295" s="9"/>
      <c r="AH295" s="9"/>
      <c r="AI295" s="9"/>
      <c r="AJ295" s="9"/>
      <c r="AK295" s="9"/>
      <c r="AL295" s="10" t="str">
        <f aca="false">IF(A295="","",SG_Criteria!$B$6&amp;SG_Criteria!$B$11&amp;"\"&amp;A295&amp;"\")</f>
        <v/>
      </c>
      <c r="AM295" s="10" t="str">
        <f aca="false">IF(A295="","",A295&amp;"_CAD.dwg")</f>
        <v/>
      </c>
      <c r="AN295" s="10" t="str">
        <f aca="false">IF(A295="","",A295&amp;"_DWG.pdf")</f>
        <v/>
      </c>
      <c r="AO295" s="10" t="str">
        <f aca="false">IF(A295="","",IF(AK295="Y",A295&amp;"_STAAD.std","n/a"))</f>
        <v/>
      </c>
      <c r="AP295" s="10" t="str">
        <f aca="false">IF(A295="","",A295&amp;"_CALC.xlsx")</f>
        <v/>
      </c>
      <c r="AQ295" s="10" t="str">
        <f aca="false">IF(A295="","",A295&amp;"_CALC.pdf")</f>
        <v/>
      </c>
      <c r="AR295" s="9"/>
      <c r="AS295" s="9"/>
      <c r="AT295" s="39"/>
      <c r="AU295" s="39"/>
      <c r="AV295" s="39"/>
      <c r="AW295" s="39"/>
      <c r="AX295" s="39"/>
      <c r="AY295" s="12" t="str">
        <f aca="false">IF(A295="","",IF(COUNTIF(Rebar_Schedule!$A$5:$A$2004,A295)=0,"",ROUND(SUMIF(Rebar_Schedule!$A$5:$A$2004,A295,Rebar_Schedule!$K$5:$K$2004),1)))</f>
        <v/>
      </c>
      <c r="AZ295" s="33" t="str">
        <f aca="false">IF(A295="","",IF(AY295="","No rebar schedule yet",IF(ABS(AY295-N(AU295))/MAX(N(AU295),1)&gt;SG_Criteria!$B$55,"NOTE: register rebar differs from schedule by "&amp;TEXT(ABS(AY295-N(AU295))/MAX(N(AU295),1),"0%"),"OK")))</f>
        <v/>
      </c>
      <c r="BA295" s="33" t="str">
        <f aca="false">IF(OR(D295="",H295=""),"",IF(H295&lt;=IF(OR(D295="Soldier Pile &amp; Timber Lagging",D295="Trench Shoring Box",D295="Open Cut (battered)"),SG_Criteria!$B$34,SG_Criteria!$B$33),"No ERSS submission",IF(H295&lt;=SG_Criteria!$B$35,"QP(ST)",IF(H295&lt;=SG_Criteria!$B$36,"QP(ST) + AC","Geotechnical building works: QP(Geo) + AC"))))</f>
        <v/>
      </c>
      <c r="BB295" s="33" t="str">
        <f aca="false">IF(D295="","",IF(LEN(IF(AND(R295&lt;&gt;"",R295&lt;SG_Criteria!$B$37),"FAIL: base stability FOS &lt; "&amp;SG_Criteria!$B$37&amp;". ","")&amp;IF(AND(E295="Manhole",H295&gt;SG_Criteria!$B$36),"NOTE: BCA lists sewer manholes (pipe &lt;= 2 m dia) &gt; 6 m as non-GBW: QP(ST) + AC. ","")&amp;IF(AND(D295="Trench Shoring Box",I295="Kallang Formation (marine clay)"),"NOTE: check base heave / ground loss for shoring box in marine clay. ","")&amp;IF(AND(D295="Steel Sheet Pile Cofferdam",N(N295)&lt;H295*0.5),"NOTE: short toe embedment, check. ",""))=0,"OK",IF(AND(R295&lt;&gt;"",R295&lt;SG_Criteria!$B$37),"FAIL: base stability FOS &lt; "&amp;SG_Criteria!$B$37&amp;". ","")&amp;IF(AND(E295="Manhole",H295&gt;SG_Criteria!$B$36),"NOTE: BCA lists sewer manholes (pipe &lt;= 2 m dia) &gt; 6 m as non-GBW: QP(ST) + AC. ","")&amp;IF(AND(D295="Trench Shoring Box",I295="Kallang Formation (marine clay)"),"NOTE: check base heave / ground loss for shoring box in marine clay. ","")&amp;IF(AND(D295="Steel Sheet Pile Cofferdam",N(N295)&lt;H295*0.5),"NOTE: short toe embedment, check. ","")))</f>
        <v/>
      </c>
      <c r="BC295" s="9"/>
      <c r="BD295" s="9"/>
      <c r="BE295" s="9"/>
      <c r="BF295" s="10" t="str">
        <f aca="false">IF(BE295="","",IFERROR(VLOOKUP(BE295,Projects!$A$5:$D$504,2,0),"Ref not in Projects"))</f>
        <v/>
      </c>
      <c r="BG295" s="10" t="str">
        <f aca="false">IF(BE295="","",IFERROR(VLOOKUP(BE295,Projects!$A$5:$D$504,4,0),"Ref not in Projects"))</f>
        <v/>
      </c>
      <c r="BH295" s="9"/>
      <c r="BI295" s="9"/>
      <c r="BJ295" s="9"/>
      <c r="BK295" s="40"/>
      <c r="BL295" s="9"/>
      <c r="BM295" s="40"/>
      <c r="BN295" s="9"/>
      <c r="BO295" s="40"/>
      <c r="BP295" s="9"/>
      <c r="BQ295" s="9"/>
      <c r="BR295" s="9"/>
      <c r="BS295" s="40"/>
      <c r="BT295" s="40"/>
      <c r="BU295" s="36" t="str">
        <f aca="false">IF(BT295="","",EDATE(BT295,SG_Criteria!$B$54*12))</f>
        <v/>
      </c>
      <c r="BV295" s="33" t="str">
        <f aca="true">IF(A295="","",IF(BT295="","NOTE: not reviewed yet",IF(TODAY()&gt;BU295,"NOTE: review overdue","OK")))</f>
        <v/>
      </c>
      <c r="BW295" s="37" t="str">
        <f aca="false">IF(A295="","",ROUND((IF(LEN(D295)&gt;0,1,0)+IF(LEN(E295)&gt;0,1,0)+IF(LEN(F295)&gt;0,1,0)+IF(LEN(G295)&gt;0,1,0)+IF(LEN(H295)&gt;0,1,0)+IF(LEN(I295)&gt;0,1,0)+IF(LEN(J295)&gt;0,1,0)+IF(LEN(L295)&gt;0,1,0)+IF(LEN(R295)&gt;0,1,0)+IF(LEN(Y295)&gt;0,1,0)+IF(LEN(AE295)&gt;0,1,0)+IF(LEN(AG295)&gt;0,1,0)+IF(LEN(AH295)&gt;0,1,0)+IF(LEN(AI295)&gt;0,1,0)+IF(LEN(AJ295)&gt;0,1,0)+IF(LEN(AS295)&gt;0,1,0)+IF(LEN(BE295)&gt;0,1,0)+IF(LEN(BR295)&gt;0,1,0))/18,2))</f>
        <v/>
      </c>
      <c r="BX295" s="10" t="str">
        <f aca="false">IF(D295="","",IF(AND(AH295="Approved",ISERROR(SEARCH("FAIL",BB295))),"Y","N"))</f>
        <v/>
      </c>
      <c r="BY295" s="10" t="str">
        <f aca="false">IF(D295="","",D295&amp;"|"&amp;H295&amp;"|"&amp;F295&amp;"|"&amp;I295&amp;"|"&amp;BX295)</f>
        <v/>
      </c>
    </row>
    <row r="296" customFormat="false" ht="15" hidden="false" customHeight="false" outlineLevel="0" collapsed="false">
      <c r="A296" s="10" t="str">
        <f aca="false">IF(D296="","","ERSS-"&amp;IFERROR(VLOOKUP(D296,Lists!$AK$4:$AL$21,2,0),"??")&amp;"-"&amp;TEXT(F296,"0000")&amp;"x"&amp;TEXT(G296,"0000")&amp;"-D"&amp;TEXT(H296*1000,"0000")&amp;"-"&amp;IFERROR(VLOOKUP(I296,Lists!$Y$4:$Z$21,2,0),"??")&amp;"-"&amp;AG296)</f>
        <v/>
      </c>
      <c r="B296" s="10" t="str">
        <f aca="false">IF(D296="","",D296&amp;" for "&amp;E296&amp;", "&amp;F296&amp;" x "&amp;G296&amp;" pit, "&amp;TEXT(H296,"0.0")&amp;" m deep, "&amp;I296)</f>
        <v/>
      </c>
      <c r="C296" s="9"/>
      <c r="D296" s="9"/>
      <c r="E296" s="9"/>
      <c r="F296" s="38"/>
      <c r="G296" s="38"/>
      <c r="H296" s="42"/>
      <c r="I296" s="9"/>
      <c r="J296" s="42"/>
      <c r="K296" s="38"/>
      <c r="L296" s="9"/>
      <c r="M296" s="42"/>
      <c r="N296" s="42"/>
      <c r="O296" s="38"/>
      <c r="P296" s="9"/>
      <c r="Q296" s="9"/>
      <c r="R296" s="39"/>
      <c r="S296" s="39"/>
      <c r="T296" s="38"/>
      <c r="U296" s="38"/>
      <c r="V296" s="38"/>
      <c r="W296" s="9"/>
      <c r="X296" s="9"/>
      <c r="Y296" s="38"/>
      <c r="Z296" s="9"/>
      <c r="AA296" s="9"/>
      <c r="AB296" s="38"/>
      <c r="AC296" s="9"/>
      <c r="AD296" s="39"/>
      <c r="AE296" s="9"/>
      <c r="AF296" s="9"/>
      <c r="AG296" s="9"/>
      <c r="AH296" s="9"/>
      <c r="AI296" s="9"/>
      <c r="AJ296" s="9"/>
      <c r="AK296" s="9"/>
      <c r="AL296" s="10" t="str">
        <f aca="false">IF(A296="","",SG_Criteria!$B$6&amp;SG_Criteria!$B$11&amp;"\"&amp;A296&amp;"\")</f>
        <v/>
      </c>
      <c r="AM296" s="10" t="str">
        <f aca="false">IF(A296="","",A296&amp;"_CAD.dwg")</f>
        <v/>
      </c>
      <c r="AN296" s="10" t="str">
        <f aca="false">IF(A296="","",A296&amp;"_DWG.pdf")</f>
        <v/>
      </c>
      <c r="AO296" s="10" t="str">
        <f aca="false">IF(A296="","",IF(AK296="Y",A296&amp;"_STAAD.std","n/a"))</f>
        <v/>
      </c>
      <c r="AP296" s="10" t="str">
        <f aca="false">IF(A296="","",A296&amp;"_CALC.xlsx")</f>
        <v/>
      </c>
      <c r="AQ296" s="10" t="str">
        <f aca="false">IF(A296="","",A296&amp;"_CALC.pdf")</f>
        <v/>
      </c>
      <c r="AR296" s="9"/>
      <c r="AS296" s="9"/>
      <c r="AT296" s="39"/>
      <c r="AU296" s="39"/>
      <c r="AV296" s="39"/>
      <c r="AW296" s="39"/>
      <c r="AX296" s="39"/>
      <c r="AY296" s="12" t="str">
        <f aca="false">IF(A296="","",IF(COUNTIF(Rebar_Schedule!$A$5:$A$2004,A296)=0,"",ROUND(SUMIF(Rebar_Schedule!$A$5:$A$2004,A296,Rebar_Schedule!$K$5:$K$2004),1)))</f>
        <v/>
      </c>
      <c r="AZ296" s="33" t="str">
        <f aca="false">IF(A296="","",IF(AY296="","No rebar schedule yet",IF(ABS(AY296-N(AU296))/MAX(N(AU296),1)&gt;SG_Criteria!$B$55,"NOTE: register rebar differs from schedule by "&amp;TEXT(ABS(AY296-N(AU296))/MAX(N(AU296),1),"0%"),"OK")))</f>
        <v/>
      </c>
      <c r="BA296" s="33" t="str">
        <f aca="false">IF(OR(D296="",H296=""),"",IF(H296&lt;=IF(OR(D296="Soldier Pile &amp; Timber Lagging",D296="Trench Shoring Box",D296="Open Cut (battered)"),SG_Criteria!$B$34,SG_Criteria!$B$33),"No ERSS submission",IF(H296&lt;=SG_Criteria!$B$35,"QP(ST)",IF(H296&lt;=SG_Criteria!$B$36,"QP(ST) + AC","Geotechnical building works: QP(Geo) + AC"))))</f>
        <v/>
      </c>
      <c r="BB296" s="33" t="str">
        <f aca="false">IF(D296="","",IF(LEN(IF(AND(R296&lt;&gt;"",R296&lt;SG_Criteria!$B$37),"FAIL: base stability FOS &lt; "&amp;SG_Criteria!$B$37&amp;". ","")&amp;IF(AND(E296="Manhole",H296&gt;SG_Criteria!$B$36),"NOTE: BCA lists sewer manholes (pipe &lt;= 2 m dia) &gt; 6 m as non-GBW: QP(ST) + AC. ","")&amp;IF(AND(D296="Trench Shoring Box",I296="Kallang Formation (marine clay)"),"NOTE: check base heave / ground loss for shoring box in marine clay. ","")&amp;IF(AND(D296="Steel Sheet Pile Cofferdam",N(N296)&lt;H296*0.5),"NOTE: short toe embedment, check. ",""))=0,"OK",IF(AND(R296&lt;&gt;"",R296&lt;SG_Criteria!$B$37),"FAIL: base stability FOS &lt; "&amp;SG_Criteria!$B$37&amp;". ","")&amp;IF(AND(E296="Manhole",H296&gt;SG_Criteria!$B$36),"NOTE: BCA lists sewer manholes (pipe &lt;= 2 m dia) &gt; 6 m as non-GBW: QP(ST) + AC. ","")&amp;IF(AND(D296="Trench Shoring Box",I296="Kallang Formation (marine clay)"),"NOTE: check base heave / ground loss for shoring box in marine clay. ","")&amp;IF(AND(D296="Steel Sheet Pile Cofferdam",N(N296)&lt;H296*0.5),"NOTE: short toe embedment, check. ","")))</f>
        <v/>
      </c>
      <c r="BC296" s="9"/>
      <c r="BD296" s="9"/>
      <c r="BE296" s="9"/>
      <c r="BF296" s="10" t="str">
        <f aca="false">IF(BE296="","",IFERROR(VLOOKUP(BE296,Projects!$A$5:$D$504,2,0),"Ref not in Projects"))</f>
        <v/>
      </c>
      <c r="BG296" s="10" t="str">
        <f aca="false">IF(BE296="","",IFERROR(VLOOKUP(BE296,Projects!$A$5:$D$504,4,0),"Ref not in Projects"))</f>
        <v/>
      </c>
      <c r="BH296" s="9"/>
      <c r="BI296" s="9"/>
      <c r="BJ296" s="9"/>
      <c r="BK296" s="40"/>
      <c r="BL296" s="9"/>
      <c r="BM296" s="40"/>
      <c r="BN296" s="9"/>
      <c r="BO296" s="40"/>
      <c r="BP296" s="9"/>
      <c r="BQ296" s="9"/>
      <c r="BR296" s="9"/>
      <c r="BS296" s="40"/>
      <c r="BT296" s="40"/>
      <c r="BU296" s="36" t="str">
        <f aca="false">IF(BT296="","",EDATE(BT296,SG_Criteria!$B$54*12))</f>
        <v/>
      </c>
      <c r="BV296" s="33" t="str">
        <f aca="true">IF(A296="","",IF(BT296="","NOTE: not reviewed yet",IF(TODAY()&gt;BU296,"NOTE: review overdue","OK")))</f>
        <v/>
      </c>
      <c r="BW296" s="37" t="str">
        <f aca="false">IF(A296="","",ROUND((IF(LEN(D296)&gt;0,1,0)+IF(LEN(E296)&gt;0,1,0)+IF(LEN(F296)&gt;0,1,0)+IF(LEN(G296)&gt;0,1,0)+IF(LEN(H296)&gt;0,1,0)+IF(LEN(I296)&gt;0,1,0)+IF(LEN(J296)&gt;0,1,0)+IF(LEN(L296)&gt;0,1,0)+IF(LEN(R296)&gt;0,1,0)+IF(LEN(Y296)&gt;0,1,0)+IF(LEN(AE296)&gt;0,1,0)+IF(LEN(AG296)&gt;0,1,0)+IF(LEN(AH296)&gt;0,1,0)+IF(LEN(AI296)&gt;0,1,0)+IF(LEN(AJ296)&gt;0,1,0)+IF(LEN(AS296)&gt;0,1,0)+IF(LEN(BE296)&gt;0,1,0)+IF(LEN(BR296)&gt;0,1,0))/18,2))</f>
        <v/>
      </c>
      <c r="BX296" s="10" t="str">
        <f aca="false">IF(D296="","",IF(AND(AH296="Approved",ISERROR(SEARCH("FAIL",BB296))),"Y","N"))</f>
        <v/>
      </c>
      <c r="BY296" s="10" t="str">
        <f aca="false">IF(D296="","",D296&amp;"|"&amp;H296&amp;"|"&amp;F296&amp;"|"&amp;I296&amp;"|"&amp;BX296)</f>
        <v/>
      </c>
    </row>
    <row r="297" customFormat="false" ht="15" hidden="false" customHeight="false" outlineLevel="0" collapsed="false">
      <c r="A297" s="10" t="str">
        <f aca="false">IF(D297="","","ERSS-"&amp;IFERROR(VLOOKUP(D297,Lists!$AK$4:$AL$21,2,0),"??")&amp;"-"&amp;TEXT(F297,"0000")&amp;"x"&amp;TEXT(G297,"0000")&amp;"-D"&amp;TEXT(H297*1000,"0000")&amp;"-"&amp;IFERROR(VLOOKUP(I297,Lists!$Y$4:$Z$21,2,0),"??")&amp;"-"&amp;AG297)</f>
        <v/>
      </c>
      <c r="B297" s="10" t="str">
        <f aca="false">IF(D297="","",D297&amp;" for "&amp;E297&amp;", "&amp;F297&amp;" x "&amp;G297&amp;" pit, "&amp;TEXT(H297,"0.0")&amp;" m deep, "&amp;I297)</f>
        <v/>
      </c>
      <c r="C297" s="9"/>
      <c r="D297" s="9"/>
      <c r="E297" s="9"/>
      <c r="F297" s="38"/>
      <c r="G297" s="38"/>
      <c r="H297" s="42"/>
      <c r="I297" s="9"/>
      <c r="J297" s="42"/>
      <c r="K297" s="38"/>
      <c r="L297" s="9"/>
      <c r="M297" s="42"/>
      <c r="N297" s="42"/>
      <c r="O297" s="38"/>
      <c r="P297" s="9"/>
      <c r="Q297" s="9"/>
      <c r="R297" s="39"/>
      <c r="S297" s="39"/>
      <c r="T297" s="38"/>
      <c r="U297" s="38"/>
      <c r="V297" s="38"/>
      <c r="W297" s="9"/>
      <c r="X297" s="9"/>
      <c r="Y297" s="38"/>
      <c r="Z297" s="9"/>
      <c r="AA297" s="9"/>
      <c r="AB297" s="38"/>
      <c r="AC297" s="9"/>
      <c r="AD297" s="39"/>
      <c r="AE297" s="9"/>
      <c r="AF297" s="9"/>
      <c r="AG297" s="9"/>
      <c r="AH297" s="9"/>
      <c r="AI297" s="9"/>
      <c r="AJ297" s="9"/>
      <c r="AK297" s="9"/>
      <c r="AL297" s="10" t="str">
        <f aca="false">IF(A297="","",SG_Criteria!$B$6&amp;SG_Criteria!$B$11&amp;"\"&amp;A297&amp;"\")</f>
        <v/>
      </c>
      <c r="AM297" s="10" t="str">
        <f aca="false">IF(A297="","",A297&amp;"_CAD.dwg")</f>
        <v/>
      </c>
      <c r="AN297" s="10" t="str">
        <f aca="false">IF(A297="","",A297&amp;"_DWG.pdf")</f>
        <v/>
      </c>
      <c r="AO297" s="10" t="str">
        <f aca="false">IF(A297="","",IF(AK297="Y",A297&amp;"_STAAD.std","n/a"))</f>
        <v/>
      </c>
      <c r="AP297" s="10" t="str">
        <f aca="false">IF(A297="","",A297&amp;"_CALC.xlsx")</f>
        <v/>
      </c>
      <c r="AQ297" s="10" t="str">
        <f aca="false">IF(A297="","",A297&amp;"_CALC.pdf")</f>
        <v/>
      </c>
      <c r="AR297" s="9"/>
      <c r="AS297" s="9"/>
      <c r="AT297" s="39"/>
      <c r="AU297" s="39"/>
      <c r="AV297" s="39"/>
      <c r="AW297" s="39"/>
      <c r="AX297" s="39"/>
      <c r="AY297" s="12" t="str">
        <f aca="false">IF(A297="","",IF(COUNTIF(Rebar_Schedule!$A$5:$A$2004,A297)=0,"",ROUND(SUMIF(Rebar_Schedule!$A$5:$A$2004,A297,Rebar_Schedule!$K$5:$K$2004),1)))</f>
        <v/>
      </c>
      <c r="AZ297" s="33" t="str">
        <f aca="false">IF(A297="","",IF(AY297="","No rebar schedule yet",IF(ABS(AY297-N(AU297))/MAX(N(AU297),1)&gt;SG_Criteria!$B$55,"NOTE: register rebar differs from schedule by "&amp;TEXT(ABS(AY297-N(AU297))/MAX(N(AU297),1),"0%"),"OK")))</f>
        <v/>
      </c>
      <c r="BA297" s="33" t="str">
        <f aca="false">IF(OR(D297="",H297=""),"",IF(H297&lt;=IF(OR(D297="Soldier Pile &amp; Timber Lagging",D297="Trench Shoring Box",D297="Open Cut (battered)"),SG_Criteria!$B$34,SG_Criteria!$B$33),"No ERSS submission",IF(H297&lt;=SG_Criteria!$B$35,"QP(ST)",IF(H297&lt;=SG_Criteria!$B$36,"QP(ST) + AC","Geotechnical building works: QP(Geo) + AC"))))</f>
        <v/>
      </c>
      <c r="BB297" s="33" t="str">
        <f aca="false">IF(D297="","",IF(LEN(IF(AND(R297&lt;&gt;"",R297&lt;SG_Criteria!$B$37),"FAIL: base stability FOS &lt; "&amp;SG_Criteria!$B$37&amp;". ","")&amp;IF(AND(E297="Manhole",H297&gt;SG_Criteria!$B$36),"NOTE: BCA lists sewer manholes (pipe &lt;= 2 m dia) &gt; 6 m as non-GBW: QP(ST) + AC. ","")&amp;IF(AND(D297="Trench Shoring Box",I297="Kallang Formation (marine clay)"),"NOTE: check base heave / ground loss for shoring box in marine clay. ","")&amp;IF(AND(D297="Steel Sheet Pile Cofferdam",N(N297)&lt;H297*0.5),"NOTE: short toe embedment, check. ",""))=0,"OK",IF(AND(R297&lt;&gt;"",R297&lt;SG_Criteria!$B$37),"FAIL: base stability FOS &lt; "&amp;SG_Criteria!$B$37&amp;". ","")&amp;IF(AND(E297="Manhole",H297&gt;SG_Criteria!$B$36),"NOTE: BCA lists sewer manholes (pipe &lt;= 2 m dia) &gt; 6 m as non-GBW: QP(ST) + AC. ","")&amp;IF(AND(D297="Trench Shoring Box",I297="Kallang Formation (marine clay)"),"NOTE: check base heave / ground loss for shoring box in marine clay. ","")&amp;IF(AND(D297="Steel Sheet Pile Cofferdam",N(N297)&lt;H297*0.5),"NOTE: short toe embedment, check. ","")))</f>
        <v/>
      </c>
      <c r="BC297" s="9"/>
      <c r="BD297" s="9"/>
      <c r="BE297" s="9"/>
      <c r="BF297" s="10" t="str">
        <f aca="false">IF(BE297="","",IFERROR(VLOOKUP(BE297,Projects!$A$5:$D$504,2,0),"Ref not in Projects"))</f>
        <v/>
      </c>
      <c r="BG297" s="10" t="str">
        <f aca="false">IF(BE297="","",IFERROR(VLOOKUP(BE297,Projects!$A$5:$D$504,4,0),"Ref not in Projects"))</f>
        <v/>
      </c>
      <c r="BH297" s="9"/>
      <c r="BI297" s="9"/>
      <c r="BJ297" s="9"/>
      <c r="BK297" s="40"/>
      <c r="BL297" s="9"/>
      <c r="BM297" s="40"/>
      <c r="BN297" s="9"/>
      <c r="BO297" s="40"/>
      <c r="BP297" s="9"/>
      <c r="BQ297" s="9"/>
      <c r="BR297" s="9"/>
      <c r="BS297" s="40"/>
      <c r="BT297" s="40"/>
      <c r="BU297" s="36" t="str">
        <f aca="false">IF(BT297="","",EDATE(BT297,SG_Criteria!$B$54*12))</f>
        <v/>
      </c>
      <c r="BV297" s="33" t="str">
        <f aca="true">IF(A297="","",IF(BT297="","NOTE: not reviewed yet",IF(TODAY()&gt;BU297,"NOTE: review overdue","OK")))</f>
        <v/>
      </c>
      <c r="BW297" s="37" t="str">
        <f aca="false">IF(A297="","",ROUND((IF(LEN(D297)&gt;0,1,0)+IF(LEN(E297)&gt;0,1,0)+IF(LEN(F297)&gt;0,1,0)+IF(LEN(G297)&gt;0,1,0)+IF(LEN(H297)&gt;0,1,0)+IF(LEN(I297)&gt;0,1,0)+IF(LEN(J297)&gt;0,1,0)+IF(LEN(L297)&gt;0,1,0)+IF(LEN(R297)&gt;0,1,0)+IF(LEN(Y297)&gt;0,1,0)+IF(LEN(AE297)&gt;0,1,0)+IF(LEN(AG297)&gt;0,1,0)+IF(LEN(AH297)&gt;0,1,0)+IF(LEN(AI297)&gt;0,1,0)+IF(LEN(AJ297)&gt;0,1,0)+IF(LEN(AS297)&gt;0,1,0)+IF(LEN(BE297)&gt;0,1,0)+IF(LEN(BR297)&gt;0,1,0))/18,2))</f>
        <v/>
      </c>
      <c r="BX297" s="10" t="str">
        <f aca="false">IF(D297="","",IF(AND(AH297="Approved",ISERROR(SEARCH("FAIL",BB297))),"Y","N"))</f>
        <v/>
      </c>
      <c r="BY297" s="10" t="str">
        <f aca="false">IF(D297="","",D297&amp;"|"&amp;H297&amp;"|"&amp;F297&amp;"|"&amp;I297&amp;"|"&amp;BX297)</f>
        <v/>
      </c>
    </row>
    <row r="298" customFormat="false" ht="15" hidden="false" customHeight="false" outlineLevel="0" collapsed="false">
      <c r="A298" s="10" t="str">
        <f aca="false">IF(D298="","","ERSS-"&amp;IFERROR(VLOOKUP(D298,Lists!$AK$4:$AL$21,2,0),"??")&amp;"-"&amp;TEXT(F298,"0000")&amp;"x"&amp;TEXT(G298,"0000")&amp;"-D"&amp;TEXT(H298*1000,"0000")&amp;"-"&amp;IFERROR(VLOOKUP(I298,Lists!$Y$4:$Z$21,2,0),"??")&amp;"-"&amp;AG298)</f>
        <v/>
      </c>
      <c r="B298" s="10" t="str">
        <f aca="false">IF(D298="","",D298&amp;" for "&amp;E298&amp;", "&amp;F298&amp;" x "&amp;G298&amp;" pit, "&amp;TEXT(H298,"0.0")&amp;" m deep, "&amp;I298)</f>
        <v/>
      </c>
      <c r="C298" s="9"/>
      <c r="D298" s="9"/>
      <c r="E298" s="9"/>
      <c r="F298" s="38"/>
      <c r="G298" s="38"/>
      <c r="H298" s="42"/>
      <c r="I298" s="9"/>
      <c r="J298" s="42"/>
      <c r="K298" s="38"/>
      <c r="L298" s="9"/>
      <c r="M298" s="42"/>
      <c r="N298" s="42"/>
      <c r="O298" s="38"/>
      <c r="P298" s="9"/>
      <c r="Q298" s="9"/>
      <c r="R298" s="39"/>
      <c r="S298" s="39"/>
      <c r="T298" s="38"/>
      <c r="U298" s="38"/>
      <c r="V298" s="38"/>
      <c r="W298" s="9"/>
      <c r="X298" s="9"/>
      <c r="Y298" s="38"/>
      <c r="Z298" s="9"/>
      <c r="AA298" s="9"/>
      <c r="AB298" s="38"/>
      <c r="AC298" s="9"/>
      <c r="AD298" s="39"/>
      <c r="AE298" s="9"/>
      <c r="AF298" s="9"/>
      <c r="AG298" s="9"/>
      <c r="AH298" s="9"/>
      <c r="AI298" s="9"/>
      <c r="AJ298" s="9"/>
      <c r="AK298" s="9"/>
      <c r="AL298" s="10" t="str">
        <f aca="false">IF(A298="","",SG_Criteria!$B$6&amp;SG_Criteria!$B$11&amp;"\"&amp;A298&amp;"\")</f>
        <v/>
      </c>
      <c r="AM298" s="10" t="str">
        <f aca="false">IF(A298="","",A298&amp;"_CAD.dwg")</f>
        <v/>
      </c>
      <c r="AN298" s="10" t="str">
        <f aca="false">IF(A298="","",A298&amp;"_DWG.pdf")</f>
        <v/>
      </c>
      <c r="AO298" s="10" t="str">
        <f aca="false">IF(A298="","",IF(AK298="Y",A298&amp;"_STAAD.std","n/a"))</f>
        <v/>
      </c>
      <c r="AP298" s="10" t="str">
        <f aca="false">IF(A298="","",A298&amp;"_CALC.xlsx")</f>
        <v/>
      </c>
      <c r="AQ298" s="10" t="str">
        <f aca="false">IF(A298="","",A298&amp;"_CALC.pdf")</f>
        <v/>
      </c>
      <c r="AR298" s="9"/>
      <c r="AS298" s="9"/>
      <c r="AT298" s="39"/>
      <c r="AU298" s="39"/>
      <c r="AV298" s="39"/>
      <c r="AW298" s="39"/>
      <c r="AX298" s="39"/>
      <c r="AY298" s="12" t="str">
        <f aca="false">IF(A298="","",IF(COUNTIF(Rebar_Schedule!$A$5:$A$2004,A298)=0,"",ROUND(SUMIF(Rebar_Schedule!$A$5:$A$2004,A298,Rebar_Schedule!$K$5:$K$2004),1)))</f>
        <v/>
      </c>
      <c r="AZ298" s="33" t="str">
        <f aca="false">IF(A298="","",IF(AY298="","No rebar schedule yet",IF(ABS(AY298-N(AU298))/MAX(N(AU298),1)&gt;SG_Criteria!$B$55,"NOTE: register rebar differs from schedule by "&amp;TEXT(ABS(AY298-N(AU298))/MAX(N(AU298),1),"0%"),"OK")))</f>
        <v/>
      </c>
      <c r="BA298" s="33" t="str">
        <f aca="false">IF(OR(D298="",H298=""),"",IF(H298&lt;=IF(OR(D298="Soldier Pile &amp; Timber Lagging",D298="Trench Shoring Box",D298="Open Cut (battered)"),SG_Criteria!$B$34,SG_Criteria!$B$33),"No ERSS submission",IF(H298&lt;=SG_Criteria!$B$35,"QP(ST)",IF(H298&lt;=SG_Criteria!$B$36,"QP(ST) + AC","Geotechnical building works: QP(Geo) + AC"))))</f>
        <v/>
      </c>
      <c r="BB298" s="33" t="str">
        <f aca="false">IF(D298="","",IF(LEN(IF(AND(R298&lt;&gt;"",R298&lt;SG_Criteria!$B$37),"FAIL: base stability FOS &lt; "&amp;SG_Criteria!$B$37&amp;". ","")&amp;IF(AND(E298="Manhole",H298&gt;SG_Criteria!$B$36),"NOTE: BCA lists sewer manholes (pipe &lt;= 2 m dia) &gt; 6 m as non-GBW: QP(ST) + AC. ","")&amp;IF(AND(D298="Trench Shoring Box",I298="Kallang Formation (marine clay)"),"NOTE: check base heave / ground loss for shoring box in marine clay. ","")&amp;IF(AND(D298="Steel Sheet Pile Cofferdam",N(N298)&lt;H298*0.5),"NOTE: short toe embedment, check. ",""))=0,"OK",IF(AND(R298&lt;&gt;"",R298&lt;SG_Criteria!$B$37),"FAIL: base stability FOS &lt; "&amp;SG_Criteria!$B$37&amp;". ","")&amp;IF(AND(E298="Manhole",H298&gt;SG_Criteria!$B$36),"NOTE: BCA lists sewer manholes (pipe &lt;= 2 m dia) &gt; 6 m as non-GBW: QP(ST) + AC. ","")&amp;IF(AND(D298="Trench Shoring Box",I298="Kallang Formation (marine clay)"),"NOTE: check base heave / ground loss for shoring box in marine clay. ","")&amp;IF(AND(D298="Steel Sheet Pile Cofferdam",N(N298)&lt;H298*0.5),"NOTE: short toe embedment, check. ","")))</f>
        <v/>
      </c>
      <c r="BC298" s="9"/>
      <c r="BD298" s="9"/>
      <c r="BE298" s="9"/>
      <c r="BF298" s="10" t="str">
        <f aca="false">IF(BE298="","",IFERROR(VLOOKUP(BE298,Projects!$A$5:$D$504,2,0),"Ref not in Projects"))</f>
        <v/>
      </c>
      <c r="BG298" s="10" t="str">
        <f aca="false">IF(BE298="","",IFERROR(VLOOKUP(BE298,Projects!$A$5:$D$504,4,0),"Ref not in Projects"))</f>
        <v/>
      </c>
      <c r="BH298" s="9"/>
      <c r="BI298" s="9"/>
      <c r="BJ298" s="9"/>
      <c r="BK298" s="40"/>
      <c r="BL298" s="9"/>
      <c r="BM298" s="40"/>
      <c r="BN298" s="9"/>
      <c r="BO298" s="40"/>
      <c r="BP298" s="9"/>
      <c r="BQ298" s="9"/>
      <c r="BR298" s="9"/>
      <c r="BS298" s="40"/>
      <c r="BT298" s="40"/>
      <c r="BU298" s="36" t="str">
        <f aca="false">IF(BT298="","",EDATE(BT298,SG_Criteria!$B$54*12))</f>
        <v/>
      </c>
      <c r="BV298" s="33" t="str">
        <f aca="true">IF(A298="","",IF(BT298="","NOTE: not reviewed yet",IF(TODAY()&gt;BU298,"NOTE: review overdue","OK")))</f>
        <v/>
      </c>
      <c r="BW298" s="37" t="str">
        <f aca="false">IF(A298="","",ROUND((IF(LEN(D298)&gt;0,1,0)+IF(LEN(E298)&gt;0,1,0)+IF(LEN(F298)&gt;0,1,0)+IF(LEN(G298)&gt;0,1,0)+IF(LEN(H298)&gt;0,1,0)+IF(LEN(I298)&gt;0,1,0)+IF(LEN(J298)&gt;0,1,0)+IF(LEN(L298)&gt;0,1,0)+IF(LEN(R298)&gt;0,1,0)+IF(LEN(Y298)&gt;0,1,0)+IF(LEN(AE298)&gt;0,1,0)+IF(LEN(AG298)&gt;0,1,0)+IF(LEN(AH298)&gt;0,1,0)+IF(LEN(AI298)&gt;0,1,0)+IF(LEN(AJ298)&gt;0,1,0)+IF(LEN(AS298)&gt;0,1,0)+IF(LEN(BE298)&gt;0,1,0)+IF(LEN(BR298)&gt;0,1,0))/18,2))</f>
        <v/>
      </c>
      <c r="BX298" s="10" t="str">
        <f aca="false">IF(D298="","",IF(AND(AH298="Approved",ISERROR(SEARCH("FAIL",BB298))),"Y","N"))</f>
        <v/>
      </c>
      <c r="BY298" s="10" t="str">
        <f aca="false">IF(D298="","",D298&amp;"|"&amp;H298&amp;"|"&amp;F298&amp;"|"&amp;I298&amp;"|"&amp;BX298)</f>
        <v/>
      </c>
    </row>
    <row r="299" customFormat="false" ht="15" hidden="false" customHeight="false" outlineLevel="0" collapsed="false">
      <c r="A299" s="10" t="str">
        <f aca="false">IF(D299="","","ERSS-"&amp;IFERROR(VLOOKUP(D299,Lists!$AK$4:$AL$21,2,0),"??")&amp;"-"&amp;TEXT(F299,"0000")&amp;"x"&amp;TEXT(G299,"0000")&amp;"-D"&amp;TEXT(H299*1000,"0000")&amp;"-"&amp;IFERROR(VLOOKUP(I299,Lists!$Y$4:$Z$21,2,0),"??")&amp;"-"&amp;AG299)</f>
        <v/>
      </c>
      <c r="B299" s="10" t="str">
        <f aca="false">IF(D299="","",D299&amp;" for "&amp;E299&amp;", "&amp;F299&amp;" x "&amp;G299&amp;" pit, "&amp;TEXT(H299,"0.0")&amp;" m deep, "&amp;I299)</f>
        <v/>
      </c>
      <c r="C299" s="9"/>
      <c r="D299" s="9"/>
      <c r="E299" s="9"/>
      <c r="F299" s="38"/>
      <c r="G299" s="38"/>
      <c r="H299" s="42"/>
      <c r="I299" s="9"/>
      <c r="J299" s="42"/>
      <c r="K299" s="38"/>
      <c r="L299" s="9"/>
      <c r="M299" s="42"/>
      <c r="N299" s="42"/>
      <c r="O299" s="38"/>
      <c r="P299" s="9"/>
      <c r="Q299" s="9"/>
      <c r="R299" s="39"/>
      <c r="S299" s="39"/>
      <c r="T299" s="38"/>
      <c r="U299" s="38"/>
      <c r="V299" s="38"/>
      <c r="W299" s="9"/>
      <c r="X299" s="9"/>
      <c r="Y299" s="38"/>
      <c r="Z299" s="9"/>
      <c r="AA299" s="9"/>
      <c r="AB299" s="38"/>
      <c r="AC299" s="9"/>
      <c r="AD299" s="39"/>
      <c r="AE299" s="9"/>
      <c r="AF299" s="9"/>
      <c r="AG299" s="9"/>
      <c r="AH299" s="9"/>
      <c r="AI299" s="9"/>
      <c r="AJ299" s="9"/>
      <c r="AK299" s="9"/>
      <c r="AL299" s="10" t="str">
        <f aca="false">IF(A299="","",SG_Criteria!$B$6&amp;SG_Criteria!$B$11&amp;"\"&amp;A299&amp;"\")</f>
        <v/>
      </c>
      <c r="AM299" s="10" t="str">
        <f aca="false">IF(A299="","",A299&amp;"_CAD.dwg")</f>
        <v/>
      </c>
      <c r="AN299" s="10" t="str">
        <f aca="false">IF(A299="","",A299&amp;"_DWG.pdf")</f>
        <v/>
      </c>
      <c r="AO299" s="10" t="str">
        <f aca="false">IF(A299="","",IF(AK299="Y",A299&amp;"_STAAD.std","n/a"))</f>
        <v/>
      </c>
      <c r="AP299" s="10" t="str">
        <f aca="false">IF(A299="","",A299&amp;"_CALC.xlsx")</f>
        <v/>
      </c>
      <c r="AQ299" s="10" t="str">
        <f aca="false">IF(A299="","",A299&amp;"_CALC.pdf")</f>
        <v/>
      </c>
      <c r="AR299" s="9"/>
      <c r="AS299" s="9"/>
      <c r="AT299" s="39"/>
      <c r="AU299" s="39"/>
      <c r="AV299" s="39"/>
      <c r="AW299" s="39"/>
      <c r="AX299" s="39"/>
      <c r="AY299" s="12" t="str">
        <f aca="false">IF(A299="","",IF(COUNTIF(Rebar_Schedule!$A$5:$A$2004,A299)=0,"",ROUND(SUMIF(Rebar_Schedule!$A$5:$A$2004,A299,Rebar_Schedule!$K$5:$K$2004),1)))</f>
        <v/>
      </c>
      <c r="AZ299" s="33" t="str">
        <f aca="false">IF(A299="","",IF(AY299="","No rebar schedule yet",IF(ABS(AY299-N(AU299))/MAX(N(AU299),1)&gt;SG_Criteria!$B$55,"NOTE: register rebar differs from schedule by "&amp;TEXT(ABS(AY299-N(AU299))/MAX(N(AU299),1),"0%"),"OK")))</f>
        <v/>
      </c>
      <c r="BA299" s="33" t="str">
        <f aca="false">IF(OR(D299="",H299=""),"",IF(H299&lt;=IF(OR(D299="Soldier Pile &amp; Timber Lagging",D299="Trench Shoring Box",D299="Open Cut (battered)"),SG_Criteria!$B$34,SG_Criteria!$B$33),"No ERSS submission",IF(H299&lt;=SG_Criteria!$B$35,"QP(ST)",IF(H299&lt;=SG_Criteria!$B$36,"QP(ST) + AC","Geotechnical building works: QP(Geo) + AC"))))</f>
        <v/>
      </c>
      <c r="BB299" s="33" t="str">
        <f aca="false">IF(D299="","",IF(LEN(IF(AND(R299&lt;&gt;"",R299&lt;SG_Criteria!$B$37),"FAIL: base stability FOS &lt; "&amp;SG_Criteria!$B$37&amp;". ","")&amp;IF(AND(E299="Manhole",H299&gt;SG_Criteria!$B$36),"NOTE: BCA lists sewer manholes (pipe &lt;= 2 m dia) &gt; 6 m as non-GBW: QP(ST) + AC. ","")&amp;IF(AND(D299="Trench Shoring Box",I299="Kallang Formation (marine clay)"),"NOTE: check base heave / ground loss for shoring box in marine clay. ","")&amp;IF(AND(D299="Steel Sheet Pile Cofferdam",N(N299)&lt;H299*0.5),"NOTE: short toe embedment, check. ",""))=0,"OK",IF(AND(R299&lt;&gt;"",R299&lt;SG_Criteria!$B$37),"FAIL: base stability FOS &lt; "&amp;SG_Criteria!$B$37&amp;". ","")&amp;IF(AND(E299="Manhole",H299&gt;SG_Criteria!$B$36),"NOTE: BCA lists sewer manholes (pipe &lt;= 2 m dia) &gt; 6 m as non-GBW: QP(ST) + AC. ","")&amp;IF(AND(D299="Trench Shoring Box",I299="Kallang Formation (marine clay)"),"NOTE: check base heave / ground loss for shoring box in marine clay. ","")&amp;IF(AND(D299="Steel Sheet Pile Cofferdam",N(N299)&lt;H299*0.5),"NOTE: short toe embedment, check. ","")))</f>
        <v/>
      </c>
      <c r="BC299" s="9"/>
      <c r="BD299" s="9"/>
      <c r="BE299" s="9"/>
      <c r="BF299" s="10" t="str">
        <f aca="false">IF(BE299="","",IFERROR(VLOOKUP(BE299,Projects!$A$5:$D$504,2,0),"Ref not in Projects"))</f>
        <v/>
      </c>
      <c r="BG299" s="10" t="str">
        <f aca="false">IF(BE299="","",IFERROR(VLOOKUP(BE299,Projects!$A$5:$D$504,4,0),"Ref not in Projects"))</f>
        <v/>
      </c>
      <c r="BH299" s="9"/>
      <c r="BI299" s="9"/>
      <c r="BJ299" s="9"/>
      <c r="BK299" s="40"/>
      <c r="BL299" s="9"/>
      <c r="BM299" s="40"/>
      <c r="BN299" s="9"/>
      <c r="BO299" s="40"/>
      <c r="BP299" s="9"/>
      <c r="BQ299" s="9"/>
      <c r="BR299" s="9"/>
      <c r="BS299" s="40"/>
      <c r="BT299" s="40"/>
      <c r="BU299" s="36" t="str">
        <f aca="false">IF(BT299="","",EDATE(BT299,SG_Criteria!$B$54*12))</f>
        <v/>
      </c>
      <c r="BV299" s="33" t="str">
        <f aca="true">IF(A299="","",IF(BT299="","NOTE: not reviewed yet",IF(TODAY()&gt;BU299,"NOTE: review overdue","OK")))</f>
        <v/>
      </c>
      <c r="BW299" s="37" t="str">
        <f aca="false">IF(A299="","",ROUND((IF(LEN(D299)&gt;0,1,0)+IF(LEN(E299)&gt;0,1,0)+IF(LEN(F299)&gt;0,1,0)+IF(LEN(G299)&gt;0,1,0)+IF(LEN(H299)&gt;0,1,0)+IF(LEN(I299)&gt;0,1,0)+IF(LEN(J299)&gt;0,1,0)+IF(LEN(L299)&gt;0,1,0)+IF(LEN(R299)&gt;0,1,0)+IF(LEN(Y299)&gt;0,1,0)+IF(LEN(AE299)&gt;0,1,0)+IF(LEN(AG299)&gt;0,1,0)+IF(LEN(AH299)&gt;0,1,0)+IF(LEN(AI299)&gt;0,1,0)+IF(LEN(AJ299)&gt;0,1,0)+IF(LEN(AS299)&gt;0,1,0)+IF(LEN(BE299)&gt;0,1,0)+IF(LEN(BR299)&gt;0,1,0))/18,2))</f>
        <v/>
      </c>
      <c r="BX299" s="10" t="str">
        <f aca="false">IF(D299="","",IF(AND(AH299="Approved",ISERROR(SEARCH("FAIL",BB299))),"Y","N"))</f>
        <v/>
      </c>
      <c r="BY299" s="10" t="str">
        <f aca="false">IF(D299="","",D299&amp;"|"&amp;H299&amp;"|"&amp;F299&amp;"|"&amp;I299&amp;"|"&amp;BX299)</f>
        <v/>
      </c>
    </row>
    <row r="300" customFormat="false" ht="15" hidden="false" customHeight="false" outlineLevel="0" collapsed="false">
      <c r="A300" s="10" t="str">
        <f aca="false">IF(D300="","","ERSS-"&amp;IFERROR(VLOOKUP(D300,Lists!$AK$4:$AL$21,2,0),"??")&amp;"-"&amp;TEXT(F300,"0000")&amp;"x"&amp;TEXT(G300,"0000")&amp;"-D"&amp;TEXT(H300*1000,"0000")&amp;"-"&amp;IFERROR(VLOOKUP(I300,Lists!$Y$4:$Z$21,2,0),"??")&amp;"-"&amp;AG300)</f>
        <v/>
      </c>
      <c r="B300" s="10" t="str">
        <f aca="false">IF(D300="","",D300&amp;" for "&amp;E300&amp;", "&amp;F300&amp;" x "&amp;G300&amp;" pit, "&amp;TEXT(H300,"0.0")&amp;" m deep, "&amp;I300)</f>
        <v/>
      </c>
      <c r="C300" s="9"/>
      <c r="D300" s="9"/>
      <c r="E300" s="9"/>
      <c r="F300" s="38"/>
      <c r="G300" s="38"/>
      <c r="H300" s="42"/>
      <c r="I300" s="9"/>
      <c r="J300" s="42"/>
      <c r="K300" s="38"/>
      <c r="L300" s="9"/>
      <c r="M300" s="42"/>
      <c r="N300" s="42"/>
      <c r="O300" s="38"/>
      <c r="P300" s="9"/>
      <c r="Q300" s="9"/>
      <c r="R300" s="39"/>
      <c r="S300" s="39"/>
      <c r="T300" s="38"/>
      <c r="U300" s="38"/>
      <c r="V300" s="38"/>
      <c r="W300" s="9"/>
      <c r="X300" s="9"/>
      <c r="Y300" s="38"/>
      <c r="Z300" s="9"/>
      <c r="AA300" s="9"/>
      <c r="AB300" s="38"/>
      <c r="AC300" s="9"/>
      <c r="AD300" s="39"/>
      <c r="AE300" s="9"/>
      <c r="AF300" s="9"/>
      <c r="AG300" s="9"/>
      <c r="AH300" s="9"/>
      <c r="AI300" s="9"/>
      <c r="AJ300" s="9"/>
      <c r="AK300" s="9"/>
      <c r="AL300" s="10" t="str">
        <f aca="false">IF(A300="","",SG_Criteria!$B$6&amp;SG_Criteria!$B$11&amp;"\"&amp;A300&amp;"\")</f>
        <v/>
      </c>
      <c r="AM300" s="10" t="str">
        <f aca="false">IF(A300="","",A300&amp;"_CAD.dwg")</f>
        <v/>
      </c>
      <c r="AN300" s="10" t="str">
        <f aca="false">IF(A300="","",A300&amp;"_DWG.pdf")</f>
        <v/>
      </c>
      <c r="AO300" s="10" t="str">
        <f aca="false">IF(A300="","",IF(AK300="Y",A300&amp;"_STAAD.std","n/a"))</f>
        <v/>
      </c>
      <c r="AP300" s="10" t="str">
        <f aca="false">IF(A300="","",A300&amp;"_CALC.xlsx")</f>
        <v/>
      </c>
      <c r="AQ300" s="10" t="str">
        <f aca="false">IF(A300="","",A300&amp;"_CALC.pdf")</f>
        <v/>
      </c>
      <c r="AR300" s="9"/>
      <c r="AS300" s="9"/>
      <c r="AT300" s="39"/>
      <c r="AU300" s="39"/>
      <c r="AV300" s="39"/>
      <c r="AW300" s="39"/>
      <c r="AX300" s="39"/>
      <c r="AY300" s="12" t="str">
        <f aca="false">IF(A300="","",IF(COUNTIF(Rebar_Schedule!$A$5:$A$2004,A300)=0,"",ROUND(SUMIF(Rebar_Schedule!$A$5:$A$2004,A300,Rebar_Schedule!$K$5:$K$2004),1)))</f>
        <v/>
      </c>
      <c r="AZ300" s="33" t="str">
        <f aca="false">IF(A300="","",IF(AY300="","No rebar schedule yet",IF(ABS(AY300-N(AU300))/MAX(N(AU300),1)&gt;SG_Criteria!$B$55,"NOTE: register rebar differs from schedule by "&amp;TEXT(ABS(AY300-N(AU300))/MAX(N(AU300),1),"0%"),"OK")))</f>
        <v/>
      </c>
      <c r="BA300" s="33" t="str">
        <f aca="false">IF(OR(D300="",H300=""),"",IF(H300&lt;=IF(OR(D300="Soldier Pile &amp; Timber Lagging",D300="Trench Shoring Box",D300="Open Cut (battered)"),SG_Criteria!$B$34,SG_Criteria!$B$33),"No ERSS submission",IF(H300&lt;=SG_Criteria!$B$35,"QP(ST)",IF(H300&lt;=SG_Criteria!$B$36,"QP(ST) + AC","Geotechnical building works: QP(Geo) + AC"))))</f>
        <v/>
      </c>
      <c r="BB300" s="33" t="str">
        <f aca="false">IF(D300="","",IF(LEN(IF(AND(R300&lt;&gt;"",R300&lt;SG_Criteria!$B$37),"FAIL: base stability FOS &lt; "&amp;SG_Criteria!$B$37&amp;". ","")&amp;IF(AND(E300="Manhole",H300&gt;SG_Criteria!$B$36),"NOTE: BCA lists sewer manholes (pipe &lt;= 2 m dia) &gt; 6 m as non-GBW: QP(ST) + AC. ","")&amp;IF(AND(D300="Trench Shoring Box",I300="Kallang Formation (marine clay)"),"NOTE: check base heave / ground loss for shoring box in marine clay. ","")&amp;IF(AND(D300="Steel Sheet Pile Cofferdam",N(N300)&lt;H300*0.5),"NOTE: short toe embedment, check. ",""))=0,"OK",IF(AND(R300&lt;&gt;"",R300&lt;SG_Criteria!$B$37),"FAIL: base stability FOS &lt; "&amp;SG_Criteria!$B$37&amp;". ","")&amp;IF(AND(E300="Manhole",H300&gt;SG_Criteria!$B$36),"NOTE: BCA lists sewer manholes (pipe &lt;= 2 m dia) &gt; 6 m as non-GBW: QP(ST) + AC. ","")&amp;IF(AND(D300="Trench Shoring Box",I300="Kallang Formation (marine clay)"),"NOTE: check base heave / ground loss for shoring box in marine clay. ","")&amp;IF(AND(D300="Steel Sheet Pile Cofferdam",N(N300)&lt;H300*0.5),"NOTE: short toe embedment, check. ","")))</f>
        <v/>
      </c>
      <c r="BC300" s="9"/>
      <c r="BD300" s="9"/>
      <c r="BE300" s="9"/>
      <c r="BF300" s="10" t="str">
        <f aca="false">IF(BE300="","",IFERROR(VLOOKUP(BE300,Projects!$A$5:$D$504,2,0),"Ref not in Projects"))</f>
        <v/>
      </c>
      <c r="BG300" s="10" t="str">
        <f aca="false">IF(BE300="","",IFERROR(VLOOKUP(BE300,Projects!$A$5:$D$504,4,0),"Ref not in Projects"))</f>
        <v/>
      </c>
      <c r="BH300" s="9"/>
      <c r="BI300" s="9"/>
      <c r="BJ300" s="9"/>
      <c r="BK300" s="40"/>
      <c r="BL300" s="9"/>
      <c r="BM300" s="40"/>
      <c r="BN300" s="9"/>
      <c r="BO300" s="40"/>
      <c r="BP300" s="9"/>
      <c r="BQ300" s="9"/>
      <c r="BR300" s="9"/>
      <c r="BS300" s="40"/>
      <c r="BT300" s="40"/>
      <c r="BU300" s="36" t="str">
        <f aca="false">IF(BT300="","",EDATE(BT300,SG_Criteria!$B$54*12))</f>
        <v/>
      </c>
      <c r="BV300" s="33" t="str">
        <f aca="true">IF(A300="","",IF(BT300="","NOTE: not reviewed yet",IF(TODAY()&gt;BU300,"NOTE: review overdue","OK")))</f>
        <v/>
      </c>
      <c r="BW300" s="37" t="str">
        <f aca="false">IF(A300="","",ROUND((IF(LEN(D300)&gt;0,1,0)+IF(LEN(E300)&gt;0,1,0)+IF(LEN(F300)&gt;0,1,0)+IF(LEN(G300)&gt;0,1,0)+IF(LEN(H300)&gt;0,1,0)+IF(LEN(I300)&gt;0,1,0)+IF(LEN(J300)&gt;0,1,0)+IF(LEN(L300)&gt;0,1,0)+IF(LEN(R300)&gt;0,1,0)+IF(LEN(Y300)&gt;0,1,0)+IF(LEN(AE300)&gt;0,1,0)+IF(LEN(AG300)&gt;0,1,0)+IF(LEN(AH300)&gt;0,1,0)+IF(LEN(AI300)&gt;0,1,0)+IF(LEN(AJ300)&gt;0,1,0)+IF(LEN(AS300)&gt;0,1,0)+IF(LEN(BE300)&gt;0,1,0)+IF(LEN(BR300)&gt;0,1,0))/18,2))</f>
        <v/>
      </c>
      <c r="BX300" s="10" t="str">
        <f aca="false">IF(D300="","",IF(AND(AH300="Approved",ISERROR(SEARCH("FAIL",BB300))),"Y","N"))</f>
        <v/>
      </c>
      <c r="BY300" s="10" t="str">
        <f aca="false">IF(D300="","",D300&amp;"|"&amp;H300&amp;"|"&amp;F300&amp;"|"&amp;I300&amp;"|"&amp;BX300)</f>
        <v/>
      </c>
    </row>
    <row r="301" customFormat="false" ht="15" hidden="false" customHeight="false" outlineLevel="0" collapsed="false">
      <c r="A301" s="10" t="str">
        <f aca="false">IF(D301="","","ERSS-"&amp;IFERROR(VLOOKUP(D301,Lists!$AK$4:$AL$21,2,0),"??")&amp;"-"&amp;TEXT(F301,"0000")&amp;"x"&amp;TEXT(G301,"0000")&amp;"-D"&amp;TEXT(H301*1000,"0000")&amp;"-"&amp;IFERROR(VLOOKUP(I301,Lists!$Y$4:$Z$21,2,0),"??")&amp;"-"&amp;AG301)</f>
        <v/>
      </c>
      <c r="B301" s="10" t="str">
        <f aca="false">IF(D301="","",D301&amp;" for "&amp;E301&amp;", "&amp;F301&amp;" x "&amp;G301&amp;" pit, "&amp;TEXT(H301,"0.0")&amp;" m deep, "&amp;I301)</f>
        <v/>
      </c>
      <c r="C301" s="9"/>
      <c r="D301" s="9"/>
      <c r="E301" s="9"/>
      <c r="F301" s="38"/>
      <c r="G301" s="38"/>
      <c r="H301" s="42"/>
      <c r="I301" s="9"/>
      <c r="J301" s="42"/>
      <c r="K301" s="38"/>
      <c r="L301" s="9"/>
      <c r="M301" s="42"/>
      <c r="N301" s="42"/>
      <c r="O301" s="38"/>
      <c r="P301" s="9"/>
      <c r="Q301" s="9"/>
      <c r="R301" s="39"/>
      <c r="S301" s="39"/>
      <c r="T301" s="38"/>
      <c r="U301" s="38"/>
      <c r="V301" s="38"/>
      <c r="W301" s="9"/>
      <c r="X301" s="9"/>
      <c r="Y301" s="38"/>
      <c r="Z301" s="9"/>
      <c r="AA301" s="9"/>
      <c r="AB301" s="38"/>
      <c r="AC301" s="9"/>
      <c r="AD301" s="39"/>
      <c r="AE301" s="9"/>
      <c r="AF301" s="9"/>
      <c r="AG301" s="9"/>
      <c r="AH301" s="9"/>
      <c r="AI301" s="9"/>
      <c r="AJ301" s="9"/>
      <c r="AK301" s="9"/>
      <c r="AL301" s="10" t="str">
        <f aca="false">IF(A301="","",SG_Criteria!$B$6&amp;SG_Criteria!$B$11&amp;"\"&amp;A301&amp;"\")</f>
        <v/>
      </c>
      <c r="AM301" s="10" t="str">
        <f aca="false">IF(A301="","",A301&amp;"_CAD.dwg")</f>
        <v/>
      </c>
      <c r="AN301" s="10" t="str">
        <f aca="false">IF(A301="","",A301&amp;"_DWG.pdf")</f>
        <v/>
      </c>
      <c r="AO301" s="10" t="str">
        <f aca="false">IF(A301="","",IF(AK301="Y",A301&amp;"_STAAD.std","n/a"))</f>
        <v/>
      </c>
      <c r="AP301" s="10" t="str">
        <f aca="false">IF(A301="","",A301&amp;"_CALC.xlsx")</f>
        <v/>
      </c>
      <c r="AQ301" s="10" t="str">
        <f aca="false">IF(A301="","",A301&amp;"_CALC.pdf")</f>
        <v/>
      </c>
      <c r="AR301" s="9"/>
      <c r="AS301" s="9"/>
      <c r="AT301" s="39"/>
      <c r="AU301" s="39"/>
      <c r="AV301" s="39"/>
      <c r="AW301" s="39"/>
      <c r="AX301" s="39"/>
      <c r="AY301" s="12" t="str">
        <f aca="false">IF(A301="","",IF(COUNTIF(Rebar_Schedule!$A$5:$A$2004,A301)=0,"",ROUND(SUMIF(Rebar_Schedule!$A$5:$A$2004,A301,Rebar_Schedule!$K$5:$K$2004),1)))</f>
        <v/>
      </c>
      <c r="AZ301" s="33" t="str">
        <f aca="false">IF(A301="","",IF(AY301="","No rebar schedule yet",IF(ABS(AY301-N(AU301))/MAX(N(AU301),1)&gt;SG_Criteria!$B$55,"NOTE: register rebar differs from schedule by "&amp;TEXT(ABS(AY301-N(AU301))/MAX(N(AU301),1),"0%"),"OK")))</f>
        <v/>
      </c>
      <c r="BA301" s="33" t="str">
        <f aca="false">IF(OR(D301="",H301=""),"",IF(H301&lt;=IF(OR(D301="Soldier Pile &amp; Timber Lagging",D301="Trench Shoring Box",D301="Open Cut (battered)"),SG_Criteria!$B$34,SG_Criteria!$B$33),"No ERSS submission",IF(H301&lt;=SG_Criteria!$B$35,"QP(ST)",IF(H301&lt;=SG_Criteria!$B$36,"QP(ST) + AC","Geotechnical building works: QP(Geo) + AC"))))</f>
        <v/>
      </c>
      <c r="BB301" s="33" t="str">
        <f aca="false">IF(D301="","",IF(LEN(IF(AND(R301&lt;&gt;"",R301&lt;SG_Criteria!$B$37),"FAIL: base stability FOS &lt; "&amp;SG_Criteria!$B$37&amp;". ","")&amp;IF(AND(E301="Manhole",H301&gt;SG_Criteria!$B$36),"NOTE: BCA lists sewer manholes (pipe &lt;= 2 m dia) &gt; 6 m as non-GBW: QP(ST) + AC. ","")&amp;IF(AND(D301="Trench Shoring Box",I301="Kallang Formation (marine clay)"),"NOTE: check base heave / ground loss for shoring box in marine clay. ","")&amp;IF(AND(D301="Steel Sheet Pile Cofferdam",N(N301)&lt;H301*0.5),"NOTE: short toe embedment, check. ",""))=0,"OK",IF(AND(R301&lt;&gt;"",R301&lt;SG_Criteria!$B$37),"FAIL: base stability FOS &lt; "&amp;SG_Criteria!$B$37&amp;". ","")&amp;IF(AND(E301="Manhole",H301&gt;SG_Criteria!$B$36),"NOTE: BCA lists sewer manholes (pipe &lt;= 2 m dia) &gt; 6 m as non-GBW: QP(ST) + AC. ","")&amp;IF(AND(D301="Trench Shoring Box",I301="Kallang Formation (marine clay)"),"NOTE: check base heave / ground loss for shoring box in marine clay. ","")&amp;IF(AND(D301="Steel Sheet Pile Cofferdam",N(N301)&lt;H301*0.5),"NOTE: short toe embedment, check. ","")))</f>
        <v/>
      </c>
      <c r="BC301" s="9"/>
      <c r="BD301" s="9"/>
      <c r="BE301" s="9"/>
      <c r="BF301" s="10" t="str">
        <f aca="false">IF(BE301="","",IFERROR(VLOOKUP(BE301,Projects!$A$5:$D$504,2,0),"Ref not in Projects"))</f>
        <v/>
      </c>
      <c r="BG301" s="10" t="str">
        <f aca="false">IF(BE301="","",IFERROR(VLOOKUP(BE301,Projects!$A$5:$D$504,4,0),"Ref not in Projects"))</f>
        <v/>
      </c>
      <c r="BH301" s="9"/>
      <c r="BI301" s="9"/>
      <c r="BJ301" s="9"/>
      <c r="BK301" s="40"/>
      <c r="BL301" s="9"/>
      <c r="BM301" s="40"/>
      <c r="BN301" s="9"/>
      <c r="BO301" s="40"/>
      <c r="BP301" s="9"/>
      <c r="BQ301" s="9"/>
      <c r="BR301" s="9"/>
      <c r="BS301" s="40"/>
      <c r="BT301" s="40"/>
      <c r="BU301" s="36" t="str">
        <f aca="false">IF(BT301="","",EDATE(BT301,SG_Criteria!$B$54*12))</f>
        <v/>
      </c>
      <c r="BV301" s="33" t="str">
        <f aca="true">IF(A301="","",IF(BT301="","NOTE: not reviewed yet",IF(TODAY()&gt;BU301,"NOTE: review overdue","OK")))</f>
        <v/>
      </c>
      <c r="BW301" s="37" t="str">
        <f aca="false">IF(A301="","",ROUND((IF(LEN(D301)&gt;0,1,0)+IF(LEN(E301)&gt;0,1,0)+IF(LEN(F301)&gt;0,1,0)+IF(LEN(G301)&gt;0,1,0)+IF(LEN(H301)&gt;0,1,0)+IF(LEN(I301)&gt;0,1,0)+IF(LEN(J301)&gt;0,1,0)+IF(LEN(L301)&gt;0,1,0)+IF(LEN(R301)&gt;0,1,0)+IF(LEN(Y301)&gt;0,1,0)+IF(LEN(AE301)&gt;0,1,0)+IF(LEN(AG301)&gt;0,1,0)+IF(LEN(AH301)&gt;0,1,0)+IF(LEN(AI301)&gt;0,1,0)+IF(LEN(AJ301)&gt;0,1,0)+IF(LEN(AS301)&gt;0,1,0)+IF(LEN(BE301)&gt;0,1,0)+IF(LEN(BR301)&gt;0,1,0))/18,2))</f>
        <v/>
      </c>
      <c r="BX301" s="10" t="str">
        <f aca="false">IF(D301="","",IF(AND(AH301="Approved",ISERROR(SEARCH("FAIL",BB301))),"Y","N"))</f>
        <v/>
      </c>
      <c r="BY301" s="10" t="str">
        <f aca="false">IF(D301="","",D301&amp;"|"&amp;H301&amp;"|"&amp;F301&amp;"|"&amp;I301&amp;"|"&amp;BX301)</f>
        <v/>
      </c>
    </row>
    <row r="302" customFormat="false" ht="15" hidden="false" customHeight="false" outlineLevel="0" collapsed="false">
      <c r="A302" s="10" t="str">
        <f aca="false">IF(D302="","","ERSS-"&amp;IFERROR(VLOOKUP(D302,Lists!$AK$4:$AL$21,2,0),"??")&amp;"-"&amp;TEXT(F302,"0000")&amp;"x"&amp;TEXT(G302,"0000")&amp;"-D"&amp;TEXT(H302*1000,"0000")&amp;"-"&amp;IFERROR(VLOOKUP(I302,Lists!$Y$4:$Z$21,2,0),"??")&amp;"-"&amp;AG302)</f>
        <v/>
      </c>
      <c r="B302" s="10" t="str">
        <f aca="false">IF(D302="","",D302&amp;" for "&amp;E302&amp;", "&amp;F302&amp;" x "&amp;G302&amp;" pit, "&amp;TEXT(H302,"0.0")&amp;" m deep, "&amp;I302)</f>
        <v/>
      </c>
      <c r="C302" s="9"/>
      <c r="D302" s="9"/>
      <c r="E302" s="9"/>
      <c r="F302" s="38"/>
      <c r="G302" s="38"/>
      <c r="H302" s="42"/>
      <c r="I302" s="9"/>
      <c r="J302" s="42"/>
      <c r="K302" s="38"/>
      <c r="L302" s="9"/>
      <c r="M302" s="42"/>
      <c r="N302" s="42"/>
      <c r="O302" s="38"/>
      <c r="P302" s="9"/>
      <c r="Q302" s="9"/>
      <c r="R302" s="39"/>
      <c r="S302" s="39"/>
      <c r="T302" s="38"/>
      <c r="U302" s="38"/>
      <c r="V302" s="38"/>
      <c r="W302" s="9"/>
      <c r="X302" s="9"/>
      <c r="Y302" s="38"/>
      <c r="Z302" s="9"/>
      <c r="AA302" s="9"/>
      <c r="AB302" s="38"/>
      <c r="AC302" s="9"/>
      <c r="AD302" s="39"/>
      <c r="AE302" s="9"/>
      <c r="AF302" s="9"/>
      <c r="AG302" s="9"/>
      <c r="AH302" s="9"/>
      <c r="AI302" s="9"/>
      <c r="AJ302" s="9"/>
      <c r="AK302" s="9"/>
      <c r="AL302" s="10" t="str">
        <f aca="false">IF(A302="","",SG_Criteria!$B$6&amp;SG_Criteria!$B$11&amp;"\"&amp;A302&amp;"\")</f>
        <v/>
      </c>
      <c r="AM302" s="10" t="str">
        <f aca="false">IF(A302="","",A302&amp;"_CAD.dwg")</f>
        <v/>
      </c>
      <c r="AN302" s="10" t="str">
        <f aca="false">IF(A302="","",A302&amp;"_DWG.pdf")</f>
        <v/>
      </c>
      <c r="AO302" s="10" t="str">
        <f aca="false">IF(A302="","",IF(AK302="Y",A302&amp;"_STAAD.std","n/a"))</f>
        <v/>
      </c>
      <c r="AP302" s="10" t="str">
        <f aca="false">IF(A302="","",A302&amp;"_CALC.xlsx")</f>
        <v/>
      </c>
      <c r="AQ302" s="10" t="str">
        <f aca="false">IF(A302="","",A302&amp;"_CALC.pdf")</f>
        <v/>
      </c>
      <c r="AR302" s="9"/>
      <c r="AS302" s="9"/>
      <c r="AT302" s="39"/>
      <c r="AU302" s="39"/>
      <c r="AV302" s="39"/>
      <c r="AW302" s="39"/>
      <c r="AX302" s="39"/>
      <c r="AY302" s="12" t="str">
        <f aca="false">IF(A302="","",IF(COUNTIF(Rebar_Schedule!$A$5:$A$2004,A302)=0,"",ROUND(SUMIF(Rebar_Schedule!$A$5:$A$2004,A302,Rebar_Schedule!$K$5:$K$2004),1)))</f>
        <v/>
      </c>
      <c r="AZ302" s="33" t="str">
        <f aca="false">IF(A302="","",IF(AY302="","No rebar schedule yet",IF(ABS(AY302-N(AU302))/MAX(N(AU302),1)&gt;SG_Criteria!$B$55,"NOTE: register rebar differs from schedule by "&amp;TEXT(ABS(AY302-N(AU302))/MAX(N(AU302),1),"0%"),"OK")))</f>
        <v/>
      </c>
      <c r="BA302" s="33" t="str">
        <f aca="false">IF(OR(D302="",H302=""),"",IF(H302&lt;=IF(OR(D302="Soldier Pile &amp; Timber Lagging",D302="Trench Shoring Box",D302="Open Cut (battered)"),SG_Criteria!$B$34,SG_Criteria!$B$33),"No ERSS submission",IF(H302&lt;=SG_Criteria!$B$35,"QP(ST)",IF(H302&lt;=SG_Criteria!$B$36,"QP(ST) + AC","Geotechnical building works: QP(Geo) + AC"))))</f>
        <v/>
      </c>
      <c r="BB302" s="33" t="str">
        <f aca="false">IF(D302="","",IF(LEN(IF(AND(R302&lt;&gt;"",R302&lt;SG_Criteria!$B$37),"FAIL: base stability FOS &lt; "&amp;SG_Criteria!$B$37&amp;". ","")&amp;IF(AND(E302="Manhole",H302&gt;SG_Criteria!$B$36),"NOTE: BCA lists sewer manholes (pipe &lt;= 2 m dia) &gt; 6 m as non-GBW: QP(ST) + AC. ","")&amp;IF(AND(D302="Trench Shoring Box",I302="Kallang Formation (marine clay)"),"NOTE: check base heave / ground loss for shoring box in marine clay. ","")&amp;IF(AND(D302="Steel Sheet Pile Cofferdam",N(N302)&lt;H302*0.5),"NOTE: short toe embedment, check. ",""))=0,"OK",IF(AND(R302&lt;&gt;"",R302&lt;SG_Criteria!$B$37),"FAIL: base stability FOS &lt; "&amp;SG_Criteria!$B$37&amp;". ","")&amp;IF(AND(E302="Manhole",H302&gt;SG_Criteria!$B$36),"NOTE: BCA lists sewer manholes (pipe &lt;= 2 m dia) &gt; 6 m as non-GBW: QP(ST) + AC. ","")&amp;IF(AND(D302="Trench Shoring Box",I302="Kallang Formation (marine clay)"),"NOTE: check base heave / ground loss for shoring box in marine clay. ","")&amp;IF(AND(D302="Steel Sheet Pile Cofferdam",N(N302)&lt;H302*0.5),"NOTE: short toe embedment, check. ","")))</f>
        <v/>
      </c>
      <c r="BC302" s="9"/>
      <c r="BD302" s="9"/>
      <c r="BE302" s="9"/>
      <c r="BF302" s="10" t="str">
        <f aca="false">IF(BE302="","",IFERROR(VLOOKUP(BE302,Projects!$A$5:$D$504,2,0),"Ref not in Projects"))</f>
        <v/>
      </c>
      <c r="BG302" s="10" t="str">
        <f aca="false">IF(BE302="","",IFERROR(VLOOKUP(BE302,Projects!$A$5:$D$504,4,0),"Ref not in Projects"))</f>
        <v/>
      </c>
      <c r="BH302" s="9"/>
      <c r="BI302" s="9"/>
      <c r="BJ302" s="9"/>
      <c r="BK302" s="40"/>
      <c r="BL302" s="9"/>
      <c r="BM302" s="40"/>
      <c r="BN302" s="9"/>
      <c r="BO302" s="40"/>
      <c r="BP302" s="9"/>
      <c r="BQ302" s="9"/>
      <c r="BR302" s="9"/>
      <c r="BS302" s="40"/>
      <c r="BT302" s="40"/>
      <c r="BU302" s="36" t="str">
        <f aca="false">IF(BT302="","",EDATE(BT302,SG_Criteria!$B$54*12))</f>
        <v/>
      </c>
      <c r="BV302" s="33" t="str">
        <f aca="true">IF(A302="","",IF(BT302="","NOTE: not reviewed yet",IF(TODAY()&gt;BU302,"NOTE: review overdue","OK")))</f>
        <v/>
      </c>
      <c r="BW302" s="37" t="str">
        <f aca="false">IF(A302="","",ROUND((IF(LEN(D302)&gt;0,1,0)+IF(LEN(E302)&gt;0,1,0)+IF(LEN(F302)&gt;0,1,0)+IF(LEN(G302)&gt;0,1,0)+IF(LEN(H302)&gt;0,1,0)+IF(LEN(I302)&gt;0,1,0)+IF(LEN(J302)&gt;0,1,0)+IF(LEN(L302)&gt;0,1,0)+IF(LEN(R302)&gt;0,1,0)+IF(LEN(Y302)&gt;0,1,0)+IF(LEN(AE302)&gt;0,1,0)+IF(LEN(AG302)&gt;0,1,0)+IF(LEN(AH302)&gt;0,1,0)+IF(LEN(AI302)&gt;0,1,0)+IF(LEN(AJ302)&gt;0,1,0)+IF(LEN(AS302)&gt;0,1,0)+IF(LEN(BE302)&gt;0,1,0)+IF(LEN(BR302)&gt;0,1,0))/18,2))</f>
        <v/>
      </c>
      <c r="BX302" s="10" t="str">
        <f aca="false">IF(D302="","",IF(AND(AH302="Approved",ISERROR(SEARCH("FAIL",BB302))),"Y","N"))</f>
        <v/>
      </c>
      <c r="BY302" s="10" t="str">
        <f aca="false">IF(D302="","",D302&amp;"|"&amp;H302&amp;"|"&amp;F302&amp;"|"&amp;I302&amp;"|"&amp;BX302)</f>
        <v/>
      </c>
    </row>
    <row r="303" customFormat="false" ht="15" hidden="false" customHeight="false" outlineLevel="0" collapsed="false">
      <c r="A303" s="10" t="str">
        <f aca="false">IF(D303="","","ERSS-"&amp;IFERROR(VLOOKUP(D303,Lists!$AK$4:$AL$21,2,0),"??")&amp;"-"&amp;TEXT(F303,"0000")&amp;"x"&amp;TEXT(G303,"0000")&amp;"-D"&amp;TEXT(H303*1000,"0000")&amp;"-"&amp;IFERROR(VLOOKUP(I303,Lists!$Y$4:$Z$21,2,0),"??")&amp;"-"&amp;AG303)</f>
        <v/>
      </c>
      <c r="B303" s="10" t="str">
        <f aca="false">IF(D303="","",D303&amp;" for "&amp;E303&amp;", "&amp;F303&amp;" x "&amp;G303&amp;" pit, "&amp;TEXT(H303,"0.0")&amp;" m deep, "&amp;I303)</f>
        <v/>
      </c>
      <c r="C303" s="9"/>
      <c r="D303" s="9"/>
      <c r="E303" s="9"/>
      <c r="F303" s="38"/>
      <c r="G303" s="38"/>
      <c r="H303" s="42"/>
      <c r="I303" s="9"/>
      <c r="J303" s="42"/>
      <c r="K303" s="38"/>
      <c r="L303" s="9"/>
      <c r="M303" s="42"/>
      <c r="N303" s="42"/>
      <c r="O303" s="38"/>
      <c r="P303" s="9"/>
      <c r="Q303" s="9"/>
      <c r="R303" s="39"/>
      <c r="S303" s="39"/>
      <c r="T303" s="38"/>
      <c r="U303" s="38"/>
      <c r="V303" s="38"/>
      <c r="W303" s="9"/>
      <c r="X303" s="9"/>
      <c r="Y303" s="38"/>
      <c r="Z303" s="9"/>
      <c r="AA303" s="9"/>
      <c r="AB303" s="38"/>
      <c r="AC303" s="9"/>
      <c r="AD303" s="39"/>
      <c r="AE303" s="9"/>
      <c r="AF303" s="9"/>
      <c r="AG303" s="9"/>
      <c r="AH303" s="9"/>
      <c r="AI303" s="9"/>
      <c r="AJ303" s="9"/>
      <c r="AK303" s="9"/>
      <c r="AL303" s="10" t="str">
        <f aca="false">IF(A303="","",SG_Criteria!$B$6&amp;SG_Criteria!$B$11&amp;"\"&amp;A303&amp;"\")</f>
        <v/>
      </c>
      <c r="AM303" s="10" t="str">
        <f aca="false">IF(A303="","",A303&amp;"_CAD.dwg")</f>
        <v/>
      </c>
      <c r="AN303" s="10" t="str">
        <f aca="false">IF(A303="","",A303&amp;"_DWG.pdf")</f>
        <v/>
      </c>
      <c r="AO303" s="10" t="str">
        <f aca="false">IF(A303="","",IF(AK303="Y",A303&amp;"_STAAD.std","n/a"))</f>
        <v/>
      </c>
      <c r="AP303" s="10" t="str">
        <f aca="false">IF(A303="","",A303&amp;"_CALC.xlsx")</f>
        <v/>
      </c>
      <c r="AQ303" s="10" t="str">
        <f aca="false">IF(A303="","",A303&amp;"_CALC.pdf")</f>
        <v/>
      </c>
      <c r="AR303" s="9"/>
      <c r="AS303" s="9"/>
      <c r="AT303" s="39"/>
      <c r="AU303" s="39"/>
      <c r="AV303" s="39"/>
      <c r="AW303" s="39"/>
      <c r="AX303" s="39"/>
      <c r="AY303" s="12" t="str">
        <f aca="false">IF(A303="","",IF(COUNTIF(Rebar_Schedule!$A$5:$A$2004,A303)=0,"",ROUND(SUMIF(Rebar_Schedule!$A$5:$A$2004,A303,Rebar_Schedule!$K$5:$K$2004),1)))</f>
        <v/>
      </c>
      <c r="AZ303" s="33" t="str">
        <f aca="false">IF(A303="","",IF(AY303="","No rebar schedule yet",IF(ABS(AY303-N(AU303))/MAX(N(AU303),1)&gt;SG_Criteria!$B$55,"NOTE: register rebar differs from schedule by "&amp;TEXT(ABS(AY303-N(AU303))/MAX(N(AU303),1),"0%"),"OK")))</f>
        <v/>
      </c>
      <c r="BA303" s="33" t="str">
        <f aca="false">IF(OR(D303="",H303=""),"",IF(H303&lt;=IF(OR(D303="Soldier Pile &amp; Timber Lagging",D303="Trench Shoring Box",D303="Open Cut (battered)"),SG_Criteria!$B$34,SG_Criteria!$B$33),"No ERSS submission",IF(H303&lt;=SG_Criteria!$B$35,"QP(ST)",IF(H303&lt;=SG_Criteria!$B$36,"QP(ST) + AC","Geotechnical building works: QP(Geo) + AC"))))</f>
        <v/>
      </c>
      <c r="BB303" s="33" t="str">
        <f aca="false">IF(D303="","",IF(LEN(IF(AND(R303&lt;&gt;"",R303&lt;SG_Criteria!$B$37),"FAIL: base stability FOS &lt; "&amp;SG_Criteria!$B$37&amp;". ","")&amp;IF(AND(E303="Manhole",H303&gt;SG_Criteria!$B$36),"NOTE: BCA lists sewer manholes (pipe &lt;= 2 m dia) &gt; 6 m as non-GBW: QP(ST) + AC. ","")&amp;IF(AND(D303="Trench Shoring Box",I303="Kallang Formation (marine clay)"),"NOTE: check base heave / ground loss for shoring box in marine clay. ","")&amp;IF(AND(D303="Steel Sheet Pile Cofferdam",N(N303)&lt;H303*0.5),"NOTE: short toe embedment, check. ",""))=0,"OK",IF(AND(R303&lt;&gt;"",R303&lt;SG_Criteria!$B$37),"FAIL: base stability FOS &lt; "&amp;SG_Criteria!$B$37&amp;". ","")&amp;IF(AND(E303="Manhole",H303&gt;SG_Criteria!$B$36),"NOTE: BCA lists sewer manholes (pipe &lt;= 2 m dia) &gt; 6 m as non-GBW: QP(ST) + AC. ","")&amp;IF(AND(D303="Trench Shoring Box",I303="Kallang Formation (marine clay)"),"NOTE: check base heave / ground loss for shoring box in marine clay. ","")&amp;IF(AND(D303="Steel Sheet Pile Cofferdam",N(N303)&lt;H303*0.5),"NOTE: short toe embedment, check. ","")))</f>
        <v/>
      </c>
      <c r="BC303" s="9"/>
      <c r="BD303" s="9"/>
      <c r="BE303" s="9"/>
      <c r="BF303" s="10" t="str">
        <f aca="false">IF(BE303="","",IFERROR(VLOOKUP(BE303,Projects!$A$5:$D$504,2,0),"Ref not in Projects"))</f>
        <v/>
      </c>
      <c r="BG303" s="10" t="str">
        <f aca="false">IF(BE303="","",IFERROR(VLOOKUP(BE303,Projects!$A$5:$D$504,4,0),"Ref not in Projects"))</f>
        <v/>
      </c>
      <c r="BH303" s="9"/>
      <c r="BI303" s="9"/>
      <c r="BJ303" s="9"/>
      <c r="BK303" s="40"/>
      <c r="BL303" s="9"/>
      <c r="BM303" s="40"/>
      <c r="BN303" s="9"/>
      <c r="BO303" s="40"/>
      <c r="BP303" s="9"/>
      <c r="BQ303" s="9"/>
      <c r="BR303" s="9"/>
      <c r="BS303" s="40"/>
      <c r="BT303" s="40"/>
      <c r="BU303" s="36" t="str">
        <f aca="false">IF(BT303="","",EDATE(BT303,SG_Criteria!$B$54*12))</f>
        <v/>
      </c>
      <c r="BV303" s="33" t="str">
        <f aca="true">IF(A303="","",IF(BT303="","NOTE: not reviewed yet",IF(TODAY()&gt;BU303,"NOTE: review overdue","OK")))</f>
        <v/>
      </c>
      <c r="BW303" s="37" t="str">
        <f aca="false">IF(A303="","",ROUND((IF(LEN(D303)&gt;0,1,0)+IF(LEN(E303)&gt;0,1,0)+IF(LEN(F303)&gt;0,1,0)+IF(LEN(G303)&gt;0,1,0)+IF(LEN(H303)&gt;0,1,0)+IF(LEN(I303)&gt;0,1,0)+IF(LEN(J303)&gt;0,1,0)+IF(LEN(L303)&gt;0,1,0)+IF(LEN(R303)&gt;0,1,0)+IF(LEN(Y303)&gt;0,1,0)+IF(LEN(AE303)&gt;0,1,0)+IF(LEN(AG303)&gt;0,1,0)+IF(LEN(AH303)&gt;0,1,0)+IF(LEN(AI303)&gt;0,1,0)+IF(LEN(AJ303)&gt;0,1,0)+IF(LEN(AS303)&gt;0,1,0)+IF(LEN(BE303)&gt;0,1,0)+IF(LEN(BR303)&gt;0,1,0))/18,2))</f>
        <v/>
      </c>
      <c r="BX303" s="10" t="str">
        <f aca="false">IF(D303="","",IF(AND(AH303="Approved",ISERROR(SEARCH("FAIL",BB303))),"Y","N"))</f>
        <v/>
      </c>
      <c r="BY303" s="10" t="str">
        <f aca="false">IF(D303="","",D303&amp;"|"&amp;H303&amp;"|"&amp;F303&amp;"|"&amp;I303&amp;"|"&amp;BX303)</f>
        <v/>
      </c>
    </row>
    <row r="304" customFormat="false" ht="15" hidden="false" customHeight="false" outlineLevel="0" collapsed="false">
      <c r="A304" s="10" t="str">
        <f aca="false">IF(D304="","","ERSS-"&amp;IFERROR(VLOOKUP(D304,Lists!$AK$4:$AL$21,2,0),"??")&amp;"-"&amp;TEXT(F304,"0000")&amp;"x"&amp;TEXT(G304,"0000")&amp;"-D"&amp;TEXT(H304*1000,"0000")&amp;"-"&amp;IFERROR(VLOOKUP(I304,Lists!$Y$4:$Z$21,2,0),"??")&amp;"-"&amp;AG304)</f>
        <v/>
      </c>
      <c r="B304" s="10" t="str">
        <f aca="false">IF(D304="","",D304&amp;" for "&amp;E304&amp;", "&amp;F304&amp;" x "&amp;G304&amp;" pit, "&amp;TEXT(H304,"0.0")&amp;" m deep, "&amp;I304)</f>
        <v/>
      </c>
      <c r="C304" s="9"/>
      <c r="D304" s="9"/>
      <c r="E304" s="9"/>
      <c r="F304" s="38"/>
      <c r="G304" s="38"/>
      <c r="H304" s="42"/>
      <c r="I304" s="9"/>
      <c r="J304" s="42"/>
      <c r="K304" s="38"/>
      <c r="L304" s="9"/>
      <c r="M304" s="42"/>
      <c r="N304" s="42"/>
      <c r="O304" s="38"/>
      <c r="P304" s="9"/>
      <c r="Q304" s="9"/>
      <c r="R304" s="39"/>
      <c r="S304" s="39"/>
      <c r="T304" s="38"/>
      <c r="U304" s="38"/>
      <c r="V304" s="38"/>
      <c r="W304" s="9"/>
      <c r="X304" s="9"/>
      <c r="Y304" s="38"/>
      <c r="Z304" s="9"/>
      <c r="AA304" s="9"/>
      <c r="AB304" s="38"/>
      <c r="AC304" s="9"/>
      <c r="AD304" s="39"/>
      <c r="AE304" s="9"/>
      <c r="AF304" s="9"/>
      <c r="AG304" s="9"/>
      <c r="AH304" s="9"/>
      <c r="AI304" s="9"/>
      <c r="AJ304" s="9"/>
      <c r="AK304" s="9"/>
      <c r="AL304" s="10" t="str">
        <f aca="false">IF(A304="","",SG_Criteria!$B$6&amp;SG_Criteria!$B$11&amp;"\"&amp;A304&amp;"\")</f>
        <v/>
      </c>
      <c r="AM304" s="10" t="str">
        <f aca="false">IF(A304="","",A304&amp;"_CAD.dwg")</f>
        <v/>
      </c>
      <c r="AN304" s="10" t="str">
        <f aca="false">IF(A304="","",A304&amp;"_DWG.pdf")</f>
        <v/>
      </c>
      <c r="AO304" s="10" t="str">
        <f aca="false">IF(A304="","",IF(AK304="Y",A304&amp;"_STAAD.std","n/a"))</f>
        <v/>
      </c>
      <c r="AP304" s="10" t="str">
        <f aca="false">IF(A304="","",A304&amp;"_CALC.xlsx")</f>
        <v/>
      </c>
      <c r="AQ304" s="10" t="str">
        <f aca="false">IF(A304="","",A304&amp;"_CALC.pdf")</f>
        <v/>
      </c>
      <c r="AR304" s="9"/>
      <c r="AS304" s="9"/>
      <c r="AT304" s="39"/>
      <c r="AU304" s="39"/>
      <c r="AV304" s="39"/>
      <c r="AW304" s="39"/>
      <c r="AX304" s="39"/>
      <c r="AY304" s="12" t="str">
        <f aca="false">IF(A304="","",IF(COUNTIF(Rebar_Schedule!$A$5:$A$2004,A304)=0,"",ROUND(SUMIF(Rebar_Schedule!$A$5:$A$2004,A304,Rebar_Schedule!$K$5:$K$2004),1)))</f>
        <v/>
      </c>
      <c r="AZ304" s="33" t="str">
        <f aca="false">IF(A304="","",IF(AY304="","No rebar schedule yet",IF(ABS(AY304-N(AU304))/MAX(N(AU304),1)&gt;SG_Criteria!$B$55,"NOTE: register rebar differs from schedule by "&amp;TEXT(ABS(AY304-N(AU304))/MAX(N(AU304),1),"0%"),"OK")))</f>
        <v/>
      </c>
      <c r="BA304" s="33" t="str">
        <f aca="false">IF(OR(D304="",H304=""),"",IF(H304&lt;=IF(OR(D304="Soldier Pile &amp; Timber Lagging",D304="Trench Shoring Box",D304="Open Cut (battered)"),SG_Criteria!$B$34,SG_Criteria!$B$33),"No ERSS submission",IF(H304&lt;=SG_Criteria!$B$35,"QP(ST)",IF(H304&lt;=SG_Criteria!$B$36,"QP(ST) + AC","Geotechnical building works: QP(Geo) + AC"))))</f>
        <v/>
      </c>
      <c r="BB304" s="33" t="str">
        <f aca="false">IF(D304="","",IF(LEN(IF(AND(R304&lt;&gt;"",R304&lt;SG_Criteria!$B$37),"FAIL: base stability FOS &lt; "&amp;SG_Criteria!$B$37&amp;". ","")&amp;IF(AND(E304="Manhole",H304&gt;SG_Criteria!$B$36),"NOTE: BCA lists sewer manholes (pipe &lt;= 2 m dia) &gt; 6 m as non-GBW: QP(ST) + AC. ","")&amp;IF(AND(D304="Trench Shoring Box",I304="Kallang Formation (marine clay)"),"NOTE: check base heave / ground loss for shoring box in marine clay. ","")&amp;IF(AND(D304="Steel Sheet Pile Cofferdam",N(N304)&lt;H304*0.5),"NOTE: short toe embedment, check. ",""))=0,"OK",IF(AND(R304&lt;&gt;"",R304&lt;SG_Criteria!$B$37),"FAIL: base stability FOS &lt; "&amp;SG_Criteria!$B$37&amp;". ","")&amp;IF(AND(E304="Manhole",H304&gt;SG_Criteria!$B$36),"NOTE: BCA lists sewer manholes (pipe &lt;= 2 m dia) &gt; 6 m as non-GBW: QP(ST) + AC. ","")&amp;IF(AND(D304="Trench Shoring Box",I304="Kallang Formation (marine clay)"),"NOTE: check base heave / ground loss for shoring box in marine clay. ","")&amp;IF(AND(D304="Steel Sheet Pile Cofferdam",N(N304)&lt;H304*0.5),"NOTE: short toe embedment, check. ","")))</f>
        <v/>
      </c>
      <c r="BC304" s="9"/>
      <c r="BD304" s="9"/>
      <c r="BE304" s="9"/>
      <c r="BF304" s="10" t="str">
        <f aca="false">IF(BE304="","",IFERROR(VLOOKUP(BE304,Projects!$A$5:$D$504,2,0),"Ref not in Projects"))</f>
        <v/>
      </c>
      <c r="BG304" s="10" t="str">
        <f aca="false">IF(BE304="","",IFERROR(VLOOKUP(BE304,Projects!$A$5:$D$504,4,0),"Ref not in Projects"))</f>
        <v/>
      </c>
      <c r="BH304" s="9"/>
      <c r="BI304" s="9"/>
      <c r="BJ304" s="9"/>
      <c r="BK304" s="40"/>
      <c r="BL304" s="9"/>
      <c r="BM304" s="40"/>
      <c r="BN304" s="9"/>
      <c r="BO304" s="40"/>
      <c r="BP304" s="9"/>
      <c r="BQ304" s="9"/>
      <c r="BR304" s="9"/>
      <c r="BS304" s="40"/>
      <c r="BT304" s="40"/>
      <c r="BU304" s="36" t="str">
        <f aca="false">IF(BT304="","",EDATE(BT304,SG_Criteria!$B$54*12))</f>
        <v/>
      </c>
      <c r="BV304" s="33" t="str">
        <f aca="true">IF(A304="","",IF(BT304="","NOTE: not reviewed yet",IF(TODAY()&gt;BU304,"NOTE: review overdue","OK")))</f>
        <v/>
      </c>
      <c r="BW304" s="37" t="str">
        <f aca="false">IF(A304="","",ROUND((IF(LEN(D304)&gt;0,1,0)+IF(LEN(E304)&gt;0,1,0)+IF(LEN(F304)&gt;0,1,0)+IF(LEN(G304)&gt;0,1,0)+IF(LEN(H304)&gt;0,1,0)+IF(LEN(I304)&gt;0,1,0)+IF(LEN(J304)&gt;0,1,0)+IF(LEN(L304)&gt;0,1,0)+IF(LEN(R304)&gt;0,1,0)+IF(LEN(Y304)&gt;0,1,0)+IF(LEN(AE304)&gt;0,1,0)+IF(LEN(AG304)&gt;0,1,0)+IF(LEN(AH304)&gt;0,1,0)+IF(LEN(AI304)&gt;0,1,0)+IF(LEN(AJ304)&gt;0,1,0)+IF(LEN(AS304)&gt;0,1,0)+IF(LEN(BE304)&gt;0,1,0)+IF(LEN(BR304)&gt;0,1,0))/18,2))</f>
        <v/>
      </c>
      <c r="BX304" s="10" t="str">
        <f aca="false">IF(D304="","",IF(AND(AH304="Approved",ISERROR(SEARCH("FAIL",BB304))),"Y","N"))</f>
        <v/>
      </c>
      <c r="BY304" s="10" t="str">
        <f aca="false">IF(D304="","",D304&amp;"|"&amp;H304&amp;"|"&amp;F304&amp;"|"&amp;I304&amp;"|"&amp;BX304)</f>
        <v/>
      </c>
    </row>
  </sheetData>
  <conditionalFormatting sqref="BB5:BB304">
    <cfRule type="expression" priority="2" aboveAverage="0" equalAverage="0" bottom="0" percent="0" rank="0" text="" dxfId="0">
      <formula>ISNUMBER(SEARCH("FAIL",BB5))</formula>
    </cfRule>
    <cfRule type="expression" priority="3" aboveAverage="0" equalAverage="0" bottom="0" percent="0" rank="0" text="" dxfId="16">
      <formula>ISNUMBER(SEARCH("NOTE",BB5))</formula>
    </cfRule>
    <cfRule type="expression" priority="4" aboveAverage="0" equalAverage="0" bottom="0" percent="0" rank="0" text="" dxfId="1">
      <formula>BB5="OK"</formula>
    </cfRule>
  </conditionalFormatting>
  <conditionalFormatting sqref="BA5:BA304">
    <cfRule type="expression" priority="5" aboveAverage="0" equalAverage="0" bottom="0" percent="0" rank="0" text="" dxfId="0">
      <formula>ISNUMBER(SEARCH("FAIL",BA5))</formula>
    </cfRule>
    <cfRule type="expression" priority="6" aboveAverage="0" equalAverage="0" bottom="0" percent="0" rank="0" text="" dxfId="16">
      <formula>ISNUMBER(SEARCH("NOTE",BA5))</formula>
    </cfRule>
    <cfRule type="expression" priority="7" aboveAverage="0" equalAverage="0" bottom="0" percent="0" rank="0" text="" dxfId="1">
      <formula>BA5="OK"</formula>
    </cfRule>
  </conditionalFormatting>
  <conditionalFormatting sqref="AZ5:AZ304">
    <cfRule type="expression" priority="8" aboveAverage="0" equalAverage="0" bottom="0" percent="0" rank="0" text="" dxfId="0">
      <formula>ISNUMBER(SEARCH("FAIL",AZ5))</formula>
    </cfRule>
    <cfRule type="expression" priority="9" aboveAverage="0" equalAverage="0" bottom="0" percent="0" rank="0" text="" dxfId="16">
      <formula>ISNUMBER(SEARCH("NOTE",AZ5))</formula>
    </cfRule>
    <cfRule type="expression" priority="10" aboveAverage="0" equalAverage="0" bottom="0" percent="0" rank="0" text="" dxfId="1">
      <formula>AZ5="OK"</formula>
    </cfRule>
  </conditionalFormatting>
  <conditionalFormatting sqref="BV5:BV304">
    <cfRule type="expression" priority="11" aboveAverage="0" equalAverage="0" bottom="0" percent="0" rank="0" text="" dxfId="0">
      <formula>ISNUMBER(SEARCH("FAIL",BV5))</formula>
    </cfRule>
    <cfRule type="expression" priority="12" aboveAverage="0" equalAverage="0" bottom="0" percent="0" rank="0" text="" dxfId="16">
      <formula>ISNUMBER(SEARCH("NOTE",BV5))</formula>
    </cfRule>
    <cfRule type="expression" priority="13" aboveAverage="0" equalAverage="0" bottom="0" percent="0" rank="0" text="" dxfId="1">
      <formula>BV5="OK"</formula>
    </cfRule>
  </conditionalFormatting>
  <conditionalFormatting sqref="BW5:BW304">
    <cfRule type="expression" priority="14" aboveAverage="0" equalAverage="0" bottom="0" percent="0" rank="0" text="" dxfId="16">
      <formula>AND(BW5&lt;&gt;"",BW5&lt;SG_Criteria!$B$56)</formula>
    </cfRule>
    <cfRule type="expression" priority="15" aboveAverage="0" equalAverage="0" bottom="0" percent="0" rank="0" text="" dxfId="1">
      <formula>AND(BW5&lt;&gt;"",BW5&gt;=SG_Criteria!$B$56)</formula>
    </cfRule>
  </conditionalFormatting>
  <dataValidations count="12">
    <dataValidation allowBlank="true" error="Pick a value from the list (add new values on the Lists sheet)." errorStyle="stop" errorTitle="Not in list" operator="between" showDropDown="false" showErrorMessage="false" showInputMessage="false" sqref="D5:D304" type="list">
      <formula1>Lists!$AK$4:$AK$21</formula1>
      <formula2>0</formula2>
    </dataValidation>
    <dataValidation allowBlank="true" error="Pick a value from the list (add new values on the Lists sheet)." errorStyle="stop" errorTitle="Not in list" operator="between" showDropDown="false" showErrorMessage="false" showInputMessage="false" sqref="E5:E304" type="list">
      <formula1>Lists!$AN$4:$AN$20</formula1>
      <formula2>0</formula2>
    </dataValidation>
    <dataValidation allowBlank="true" error="Pick a value from the list (add new values on the Lists sheet)." errorStyle="stop" errorTitle="Not in list" operator="between" showDropDown="false" showErrorMessage="false" showInputMessage="false" sqref="I5:I304" type="list">
      <formula1>Lists!$Y$4:$Y$21</formula1>
      <formula2>0</formula2>
    </dataValidation>
    <dataValidation allowBlank="true" error="Pick a value from the list (add new values on the Lists sheet)." errorStyle="stop" errorTitle="Not in list" operator="between" showDropDown="false" showErrorMessage="false" showInputMessage="false" sqref="W5:W304" type="list">
      <formula1>Lists!$CJ$4:$CJ$19</formula1>
      <formula2>0</formula2>
    </dataValidation>
    <dataValidation allowBlank="true" error="Pick a value from the list (add new values on the Lists sheet)." errorStyle="stop" errorTitle="Not in list" operator="between" showDropDown="false" showErrorMessage="false" showInputMessage="false" sqref="AA5:AA304" type="list">
      <formula1>Lists!$BU$4:$BU$27</formula1>
      <formula2>0</formula2>
    </dataValidation>
    <dataValidation allowBlank="true" error="Pick a value from the list (add new values on the Lists sheet)." errorStyle="stop" errorTitle="Not in list" operator="between" showDropDown="false" showErrorMessage="false" showInputMessage="false" sqref="AC5:AC304" type="list">
      <formula1>Lists!$BX$4:$BX$18</formula1>
      <formula2>0</formula2>
    </dataValidation>
    <dataValidation allowBlank="true" error="Pick a value from the list (add new values on the Lists sheet)." errorStyle="stop" errorTitle="Not in list" operator="between" showDropDown="false" showErrorMessage="false" showInputMessage="false" sqref="AH5:AH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AJ5:AJ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AK5:AK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R5:AR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S5:AS304" type="list">
      <formula1>Lists!$BL$4:$BL$19</formula1>
      <formula2>0</formula2>
    </dataValidation>
    <dataValidation allowBlank="true" error="Pick a Project Ref from the Projects sheet (add the project there first)." errorStyle="stop" errorTitle="Not in list" operator="between" showDropDown="false" showErrorMessage="false" showInputMessage="false" sqref="BE5:BE304" type="list">
      <formula1>Projects!$A$5:$A$504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BZ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54"/>
    <col collapsed="false" customWidth="true" hidden="false" outlineLevel="0" max="4" min="3" style="0" width="24"/>
    <col collapsed="false" customWidth="true" hidden="false" outlineLevel="0" max="5" min="5" style="0" width="20"/>
    <col collapsed="false" customWidth="true" hidden="false" outlineLevel="0" max="8" min="6" style="0" width="8"/>
    <col collapsed="false" customWidth="true" hidden="false" outlineLevel="0" max="9" min="9" style="0" width="18"/>
    <col collapsed="false" customWidth="true" hidden="false" outlineLevel="0" max="10" min="10" style="0" width="14"/>
    <col collapsed="false" customWidth="true" hidden="false" outlineLevel="0" max="11" min="11" style="0" width="16"/>
    <col collapsed="false" customWidth="true" hidden="false" outlineLevel="0" max="12" min="12" style="0" width="12"/>
    <col collapsed="false" customWidth="true" hidden="false" outlineLevel="0" max="13" min="13" style="0" width="14"/>
    <col collapsed="false" customWidth="true" hidden="false" outlineLevel="0" max="14" min="14" style="0" width="12"/>
    <col collapsed="false" customWidth="true" hidden="false" outlineLevel="0" max="15" min="15" style="0" width="14"/>
    <col collapsed="false" customWidth="true" hidden="false" outlineLevel="0" max="18" min="16" style="0" width="12"/>
    <col collapsed="false" customWidth="true" hidden="false" outlineLevel="0" max="19" min="19" style="0" width="8"/>
    <col collapsed="false" customWidth="true" hidden="false" outlineLevel="0" max="20" min="20" style="0" width="7"/>
    <col collapsed="false" customWidth="true" hidden="false" outlineLevel="0" max="21" min="21" style="0" width="12"/>
    <col collapsed="false" customWidth="true" hidden="false" outlineLevel="0" max="22" min="22" style="0" width="9"/>
    <col collapsed="false" customWidth="true" hidden="false" outlineLevel="0" max="24" min="23" style="0" width="7"/>
    <col collapsed="false" customWidth="true" hidden="false" outlineLevel="0" max="26" min="25" style="0" width="8"/>
    <col collapsed="false" customWidth="true" hidden="false" outlineLevel="0" max="27" min="27" style="0" width="12"/>
    <col collapsed="false" customWidth="true" hidden="false" outlineLevel="0" max="28" min="28" style="0" width="8"/>
    <col collapsed="false" customWidth="true" hidden="false" outlineLevel="0" max="30" min="29" style="0" width="7"/>
    <col collapsed="false" customWidth="true" hidden="false" outlineLevel="0" max="31" min="31" style="0" width="13"/>
    <col collapsed="false" customWidth="true" hidden="false" outlineLevel="0" max="32" min="32" style="0" width="7"/>
    <col collapsed="false" customWidth="true" hidden="false" outlineLevel="0" max="33" min="33" style="0" width="30"/>
    <col collapsed="false" customWidth="true" hidden="false" outlineLevel="0" max="34" min="34" style="0" width="28"/>
    <col collapsed="false" customWidth="true" hidden="false" outlineLevel="0" max="35" min="35" style="0" width="5"/>
    <col collapsed="false" customWidth="true" hidden="false" outlineLevel="0" max="36" min="36" style="0" width="10"/>
    <col collapsed="false" customWidth="true" hidden="false" outlineLevel="0" max="37" min="37" style="0" width="14"/>
    <col collapsed="false" customWidth="true" hidden="false" outlineLevel="0" max="38" min="38" style="0" width="8"/>
    <col collapsed="false" customWidth="true" hidden="false" outlineLevel="0" max="39" min="39" style="0" width="9"/>
    <col collapsed="false" customWidth="true" hidden="false" outlineLevel="0" max="40" min="40" style="0" width="46"/>
    <col collapsed="false" customWidth="true" hidden="false" outlineLevel="0" max="45" min="41" style="0" width="30"/>
    <col collapsed="false" customWidth="true" hidden="false" outlineLevel="0" max="46" min="46" style="0" width="9"/>
    <col collapsed="false" customWidth="true" hidden="false" outlineLevel="0" max="47" min="47" style="0" width="6"/>
    <col collapsed="false" customWidth="true" hidden="false" outlineLevel="0" max="52" min="48" style="0" width="9"/>
    <col collapsed="false" customWidth="true" hidden="false" outlineLevel="0" max="53" min="53" style="0" width="10"/>
    <col collapsed="false" customWidth="true" hidden="false" outlineLevel="0" max="54" min="54" style="0" width="22"/>
    <col collapsed="false" customWidth="true" hidden="false" outlineLevel="0" max="55" min="55" style="0" width="44"/>
    <col collapsed="false" customWidth="true" hidden="false" outlineLevel="0" max="56" min="56" style="0" width="36"/>
    <col collapsed="false" customWidth="true" hidden="false" outlineLevel="0" max="57" min="57" style="0" width="22"/>
    <col collapsed="false" customWidth="true" hidden="false" outlineLevel="0" max="58" min="58" style="0" width="11"/>
    <col collapsed="false" customWidth="true" hidden="false" outlineLevel="0" max="59" min="59" style="0" width="30"/>
    <col collapsed="false" customWidth="true" hidden="false" outlineLevel="0" max="60" min="60" style="0" width="10"/>
    <col collapsed="false" customWidth="true" hidden="false" outlineLevel="0" max="62" min="61" style="0" width="22"/>
    <col collapsed="false" customWidth="true" hidden="false" outlineLevel="0" max="66" min="63" style="0" width="11"/>
    <col collapsed="false" customWidth="true" hidden="false" outlineLevel="0" max="67" min="67" style="0" width="18"/>
    <col collapsed="false" customWidth="true" hidden="false" outlineLevel="0" max="68" min="68" style="0" width="11"/>
    <col collapsed="false" customWidth="true" hidden="false" outlineLevel="0" max="70" min="69" style="0" width="10"/>
    <col collapsed="false" customWidth="true" hidden="false" outlineLevel="0" max="74" min="71" style="0" width="11"/>
    <col collapsed="false" customWidth="true" hidden="false" outlineLevel="0" max="75" min="75" style="0" width="18"/>
    <col collapsed="false" customWidth="true" hidden="false" outlineLevel="0" max="76" min="76" style="0" width="9"/>
    <col collapsed="false" customWidth="true" hidden="false" outlineLevel="0" max="77" min="77" style="0" width="8"/>
    <col collapsed="false" customWidth="true" hidden="false" outlineLevel="0" max="78" min="78" style="0" width="34"/>
  </cols>
  <sheetData>
    <row r="1" customFormat="false" ht="17.35" hidden="false" customHeight="false" outlineLevel="0" collapsed="false">
      <c r="A1" s="5" t="s">
        <v>843</v>
      </c>
    </row>
    <row r="2" customFormat="false" ht="15" hidden="false" customHeight="false" outlineLevel="0" collapsed="false">
      <c r="A2" s="6" t="s">
        <v>844</v>
      </c>
    </row>
    <row r="3" customFormat="false" ht="15" hidden="false" customHeight="false" outlineLevel="0" collapsed="false">
      <c r="A3" s="6" t="s">
        <v>598</v>
      </c>
    </row>
    <row r="4" customFormat="false" ht="54" hidden="false" customHeight="true" outlineLevel="0" collapsed="false">
      <c r="A4" s="16" t="s">
        <v>102</v>
      </c>
      <c r="B4" s="16" t="s">
        <v>103</v>
      </c>
      <c r="C4" s="15" t="s">
        <v>279</v>
      </c>
      <c r="D4" s="15" t="s">
        <v>504</v>
      </c>
      <c r="E4" s="15" t="s">
        <v>505</v>
      </c>
      <c r="F4" s="15" t="s">
        <v>506</v>
      </c>
      <c r="G4" s="15" t="s">
        <v>507</v>
      </c>
      <c r="H4" s="15" t="s">
        <v>508</v>
      </c>
      <c r="I4" s="15" t="s">
        <v>509</v>
      </c>
      <c r="J4" s="15" t="s">
        <v>510</v>
      </c>
      <c r="K4" s="15" t="s">
        <v>511</v>
      </c>
      <c r="L4" s="15" t="s">
        <v>512</v>
      </c>
      <c r="M4" s="15" t="s">
        <v>513</v>
      </c>
      <c r="N4" s="15" t="s">
        <v>514</v>
      </c>
      <c r="O4" s="15" t="s">
        <v>515</v>
      </c>
      <c r="P4" s="15" t="s">
        <v>517</v>
      </c>
      <c r="Q4" s="15" t="s">
        <v>519</v>
      </c>
      <c r="R4" s="15" t="s">
        <v>520</v>
      </c>
      <c r="S4" s="15" t="s">
        <v>521</v>
      </c>
      <c r="T4" s="15" t="s">
        <v>523</v>
      </c>
      <c r="U4" s="15" t="s">
        <v>524</v>
      </c>
      <c r="V4" s="15" t="s">
        <v>525</v>
      </c>
      <c r="W4" s="15" t="s">
        <v>526</v>
      </c>
      <c r="X4" s="15" t="s">
        <v>527</v>
      </c>
      <c r="Y4" s="15" t="s">
        <v>298</v>
      </c>
      <c r="Z4" s="15" t="s">
        <v>528</v>
      </c>
      <c r="AA4" s="15" t="s">
        <v>529</v>
      </c>
      <c r="AB4" s="15" t="s">
        <v>530</v>
      </c>
      <c r="AC4" s="15" t="s">
        <v>320</v>
      </c>
      <c r="AD4" s="15" t="s">
        <v>322</v>
      </c>
      <c r="AE4" s="15" t="s">
        <v>325</v>
      </c>
      <c r="AF4" s="15" t="s">
        <v>327</v>
      </c>
      <c r="AG4" s="15" t="s">
        <v>329</v>
      </c>
      <c r="AH4" s="15" t="s">
        <v>333</v>
      </c>
      <c r="AI4" s="15" t="s">
        <v>131</v>
      </c>
      <c r="AJ4" s="15" t="s">
        <v>132</v>
      </c>
      <c r="AK4" s="15" t="s">
        <v>133</v>
      </c>
      <c r="AL4" s="15" t="s">
        <v>336</v>
      </c>
      <c r="AM4" s="15" t="s">
        <v>341</v>
      </c>
      <c r="AN4" s="30" t="s">
        <v>343</v>
      </c>
      <c r="AO4" s="30" t="s">
        <v>344</v>
      </c>
      <c r="AP4" s="30" t="s">
        <v>345</v>
      </c>
      <c r="AQ4" s="30" t="s">
        <v>346</v>
      </c>
      <c r="AR4" s="30" t="s">
        <v>347</v>
      </c>
      <c r="AS4" s="30" t="s">
        <v>348</v>
      </c>
      <c r="AT4" s="15" t="s">
        <v>349</v>
      </c>
      <c r="AU4" s="15" t="s">
        <v>351</v>
      </c>
      <c r="AV4" s="17" t="s">
        <v>355</v>
      </c>
      <c r="AW4" s="17" t="s">
        <v>357</v>
      </c>
      <c r="AX4" s="17" t="s">
        <v>359</v>
      </c>
      <c r="AY4" s="17" t="s">
        <v>360</v>
      </c>
      <c r="AZ4" s="17" t="s">
        <v>362</v>
      </c>
      <c r="BA4" s="16" t="s">
        <v>363</v>
      </c>
      <c r="BB4" s="16" t="s">
        <v>365</v>
      </c>
      <c r="BC4" s="16" t="s">
        <v>371</v>
      </c>
      <c r="BD4" s="15" t="s">
        <v>373</v>
      </c>
      <c r="BE4" s="15" t="s">
        <v>374</v>
      </c>
      <c r="BF4" s="15" t="s">
        <v>375</v>
      </c>
      <c r="BG4" s="16" t="s">
        <v>378</v>
      </c>
      <c r="BH4" s="16" t="s">
        <v>379</v>
      </c>
      <c r="BI4" s="15" t="s">
        <v>380</v>
      </c>
      <c r="BJ4" s="15" t="s">
        <v>382</v>
      </c>
      <c r="BK4" s="15" t="s">
        <v>384</v>
      </c>
      <c r="BL4" s="15" t="s">
        <v>386</v>
      </c>
      <c r="BM4" s="15" t="s">
        <v>387</v>
      </c>
      <c r="BN4" s="15" t="s">
        <v>389</v>
      </c>
      <c r="BO4" s="15" t="s">
        <v>390</v>
      </c>
      <c r="BP4" s="15" t="s">
        <v>392</v>
      </c>
      <c r="BQ4" s="15" t="s">
        <v>393</v>
      </c>
      <c r="BR4" s="15" t="s">
        <v>394</v>
      </c>
      <c r="BS4" s="15" t="s">
        <v>395</v>
      </c>
      <c r="BT4" s="15" t="s">
        <v>397</v>
      </c>
      <c r="BU4" s="15" t="s">
        <v>398</v>
      </c>
      <c r="BV4" s="16" t="s">
        <v>400</v>
      </c>
      <c r="BW4" s="16" t="s">
        <v>402</v>
      </c>
      <c r="BX4" s="16" t="s">
        <v>404</v>
      </c>
      <c r="BY4" s="16" t="s">
        <v>406</v>
      </c>
      <c r="BZ4" s="16" t="s">
        <v>409</v>
      </c>
    </row>
    <row r="5" customFormat="false" ht="15" hidden="false" customHeight="false" outlineLevel="0" collapsed="false">
      <c r="A5" s="10" t="str">
        <f aca="false">IF(D5="","","LKW-"&amp;IFERROR(VLOOKUP(D5,Lists!$AQ$4:$AR$17,2,0),"??")&amp;"-W"&amp;TEXT(F5*1000,"0000")&amp;"-H"&amp;TEXT(G5*1000,"0000")&amp;"-B"&amp;TEXT(H5*1000,"0000")&amp;"-"&amp;AI5)</f>
        <v>LKW-LCL-W2400-H2400-B6000-A</v>
      </c>
      <c r="B5" s="10" t="str">
        <f aca="false">IF(D5="","",D5&amp;", "&amp;F5&amp;" m wide, "&amp;G5&amp;" m headroom, "&amp;H5&amp;" m bays, "&amp;I5&amp;" ("&amp;E5&amp;")")</f>
        <v>Low Covered Linkway, 2.4 m wide, 2.4 m headroom, 6 m bays, Single column, central (LTA/SDRE25/22/CLW1)</v>
      </c>
      <c r="C5" s="18" t="s">
        <v>845</v>
      </c>
      <c r="D5" s="18" t="s">
        <v>250</v>
      </c>
      <c r="E5" s="18" t="s">
        <v>846</v>
      </c>
      <c r="F5" s="41" t="n">
        <v>2.4</v>
      </c>
      <c r="G5" s="41" t="n">
        <v>2.4</v>
      </c>
      <c r="H5" s="41" t="n">
        <v>6</v>
      </c>
      <c r="I5" s="18" t="s">
        <v>847</v>
      </c>
      <c r="J5" s="18" t="s">
        <v>848</v>
      </c>
      <c r="K5" s="18" t="s">
        <v>849</v>
      </c>
      <c r="L5" s="18" t="s">
        <v>850</v>
      </c>
      <c r="M5" s="18" t="s">
        <v>851</v>
      </c>
      <c r="N5" s="18" t="s">
        <v>852</v>
      </c>
      <c r="O5" s="18" t="s">
        <v>853</v>
      </c>
      <c r="P5" s="18" t="s">
        <v>854</v>
      </c>
      <c r="Q5" s="18" t="s">
        <v>855</v>
      </c>
      <c r="R5" s="18" t="s">
        <v>856</v>
      </c>
      <c r="S5" s="41" t="n">
        <v>15.6</v>
      </c>
      <c r="T5" s="18" t="n">
        <v>0.9</v>
      </c>
      <c r="U5" s="18" t="s">
        <v>857</v>
      </c>
      <c r="V5" s="18" t="s">
        <v>858</v>
      </c>
      <c r="W5" s="31" t="n">
        <v>22</v>
      </c>
      <c r="X5" s="41" t="n">
        <v>4</v>
      </c>
      <c r="Y5" s="18" t="s">
        <v>666</v>
      </c>
      <c r="Z5" s="18" t="s">
        <v>284</v>
      </c>
      <c r="AA5" s="18" t="s">
        <v>859</v>
      </c>
      <c r="AB5" s="41" t="n">
        <v>15.6</v>
      </c>
      <c r="AC5" s="18" t="s">
        <v>860</v>
      </c>
      <c r="AD5" s="31" t="n">
        <v>50</v>
      </c>
      <c r="AE5" s="18" t="s">
        <v>609</v>
      </c>
      <c r="AF5" s="32" t="n">
        <v>0.3</v>
      </c>
      <c r="AG5" s="18" t="s">
        <v>861</v>
      </c>
      <c r="AH5" s="18" t="s">
        <v>862</v>
      </c>
      <c r="AI5" s="18" t="s">
        <v>612</v>
      </c>
      <c r="AJ5" s="18" t="s">
        <v>254</v>
      </c>
      <c r="AK5" s="18" t="s">
        <v>863</v>
      </c>
      <c r="AL5" s="18" t="n">
        <v>50</v>
      </c>
      <c r="AM5" s="18" t="s">
        <v>284</v>
      </c>
      <c r="AN5" s="10" t="str">
        <f aca="false">IF(A5="","",SG_Criteria!$B$6&amp;SG_Criteria!$B$12&amp;"\"&amp;A5&amp;"\")</f>
        <v>C:\Users\yourname\YourCompany\Design Library - Documents\06_Linkway\LKW-LCL-W2400-H2400-B6000-A\</v>
      </c>
      <c r="AO5" s="10" t="str">
        <f aca="false">IF(A5="","",A5&amp;"_CAD.dwg")</f>
        <v>LKW-LCL-W2400-H2400-B6000-A_CAD.dwg</v>
      </c>
      <c r="AP5" s="10" t="str">
        <f aca="false">IF(A5="","",A5&amp;"_DWG.pdf")</f>
        <v>LKW-LCL-W2400-H2400-B6000-A_DWG.pdf</v>
      </c>
      <c r="AQ5" s="10" t="str">
        <f aca="false">IF(A5="","",IF(AM5="Y",A5&amp;"_STAAD.std","n/a"))</f>
        <v>LKW-LCL-W2400-H2400-B6000-A_STAAD.std</v>
      </c>
      <c r="AR5" s="10" t="str">
        <f aca="false">IF(A5="","",A5&amp;"_CALC.xlsx")</f>
        <v>LKW-LCL-W2400-H2400-B6000-A_CALC.xlsx</v>
      </c>
      <c r="AS5" s="10" t="str">
        <f aca="false">IF(A5="","",A5&amp;"_CALC.pdf")</f>
        <v>LKW-LCL-W2400-H2400-B6000-A_CALC.pdf</v>
      </c>
      <c r="AT5" s="18" t="s">
        <v>84</v>
      </c>
      <c r="AU5" s="18" t="s">
        <v>864</v>
      </c>
      <c r="AV5" s="32" t="n">
        <v>1</v>
      </c>
      <c r="AW5" s="32" t="n">
        <v>45</v>
      </c>
      <c r="AX5" s="32" t="n">
        <v>380</v>
      </c>
      <c r="AY5" s="32" t="n">
        <v>2.9</v>
      </c>
      <c r="AZ5" s="32" t="n">
        <v>1.4</v>
      </c>
      <c r="BA5" s="12" t="str">
        <f aca="false">IF(A5="","",IF(COUNTIF(Rebar_Schedule!$A$5:$A$2004,A5)=0,"",ROUND(SUMIF(Rebar_Schedule!$A$5:$A$2004,A5,Rebar_Schedule!$K$5:$K$2004),1)))</f>
        <v/>
      </c>
      <c r="BB5" s="33" t="str">
        <f aca="false">IF(A5="","",IF(BA5="","No rebar schedule yet",IF(ABS(BA5-N(AW5))/MAX(N(AW5),1)&gt;SG_Criteria!$B$55,"NOTE: register rebar differs from schedule by "&amp;TEXT(ABS(BA5-N(AW5))/MAX(N(AW5),1),"0%"),"OK")))</f>
        <v>No rebar schedule yet</v>
      </c>
      <c r="BC5" s="33" t="str">
        <f aca="false">IF(D5="","",IF(LEN(IF(AND(D5&lt;&gt;"High Covered Linkway",G5&lt;SG_Criteria!$B$46),"FAIL: headroom below "&amp;SG_Criteria!$B$46&amp;" m. ","")&amp;IF(AND(D5="High Covered Linkway",G5&lt;SG_Criteria!$B$47),"FAIL: high linkway headroom below "&amp;SG_Criteria!$B$47&amp;" m. ","")&amp;IF(F5&lt;SG_Criteria!$B$48,"FAIL: roof width below "&amp;SG_Criteria!$B$48&amp;" m. ",IF(F5&lt;SG_Criteria!$B$49,"NOTE: not for MRT/LRT or high-traffic routes (min "&amp;SG_Criteria!$B$49&amp;" m). ",""))&amp;IF(AND(W5&lt;&gt;"",W5&lt;SG_Criteria!$B$50),"FAIL: wind speed below "&amp;SG_Criteria!$B$50&amp;" m/s. ","")&amp;IF(AND(X5&lt;&gt;"",X5&lt;SG_Criteria!$B$51),"FAIL: roof fixing pull-out below "&amp;SG_Criteria!$B$51&amp;" kN. ","")&amp;IF(AND(Y5&lt;&gt;"",IFERROR(VALUE(MID(Y5,2,2)),0)&lt;SG_Criteria!$B$52),"FAIL: grade below C"&amp;SG_Criteria!$B$52&amp;". ","")&amp;IF(E5="Non-standard (project design)","NOTE: not an SDRE standard, needs LTA acceptance. ",""))=0,"OK",IF(AND(D5&lt;&gt;"High Covered Linkway",G5&lt;SG_Criteria!$B$46),"FAIL: headroom below "&amp;SG_Criteria!$B$46&amp;" m. ","")&amp;IF(AND(D5="High Covered Linkway",G5&lt;SG_Criteria!$B$47),"FAIL: high linkway headroom below "&amp;SG_Criteria!$B$47&amp;" m. ","")&amp;IF(F5&lt;SG_Criteria!$B$48,"FAIL: roof width below "&amp;SG_Criteria!$B$48&amp;" m. ",IF(F5&lt;SG_Criteria!$B$49,"NOTE: not for MRT/LRT or high-traffic routes (min "&amp;SG_Criteria!$B$49&amp;" m). ",""))&amp;IF(AND(W5&lt;&gt;"",W5&lt;SG_Criteria!$B$50),"FAIL: wind speed below "&amp;SG_Criteria!$B$50&amp;" m/s. ","")&amp;IF(AND(X5&lt;&gt;"",X5&lt;SG_Criteria!$B$51),"FAIL: roof fixing pull-out below "&amp;SG_Criteria!$B$51&amp;" kN. ","")&amp;IF(AND(Y5&lt;&gt;"",IFERROR(VALUE(MID(Y5,2,2)),0)&lt;SG_Criteria!$B$52),"FAIL: grade below C"&amp;SG_Criteria!$B$52&amp;". ","")&amp;IF(E5="Non-standard (project design)","NOTE: not an SDRE standard, needs LTA acceptance. ","")))</f>
        <v>NOTE: not for MRT/LRT or high-traffic routes (min 3.6 m). </v>
      </c>
      <c r="BD5" s="18" t="s">
        <v>865</v>
      </c>
      <c r="BE5" s="18"/>
      <c r="BF5" s="18" t="s">
        <v>574</v>
      </c>
      <c r="BG5" s="10" t="str">
        <f aca="false">IF(BF5="","",IFERROR(VLOOKUP(BF5,Projects!$A$5:$D$504,2,0),"Ref not in Projects"))</f>
        <v>EXAMPLE Road upgrading at Jalan Contoh</v>
      </c>
      <c r="BH5" s="10" t="str">
        <f aca="false">IF(BF5="","",IFERROR(VLOOKUP(BF5,Projects!$A$5:$D$504,4,0),"Ref not in Projects"))</f>
        <v>LTA</v>
      </c>
      <c r="BI5" s="18" t="s">
        <v>615</v>
      </c>
      <c r="BJ5" s="18" t="s">
        <v>616</v>
      </c>
      <c r="BK5" s="18" t="s">
        <v>617</v>
      </c>
      <c r="BL5" s="35" t="n">
        <v>46309</v>
      </c>
      <c r="BM5" s="18" t="s">
        <v>617</v>
      </c>
      <c r="BN5" s="35" t="n">
        <v>46309</v>
      </c>
      <c r="BO5" s="18" t="s">
        <v>618</v>
      </c>
      <c r="BP5" s="35"/>
      <c r="BQ5" s="18" t="s">
        <v>617</v>
      </c>
      <c r="BR5" s="18" t="s">
        <v>617</v>
      </c>
      <c r="BS5" s="18" t="s">
        <v>617</v>
      </c>
      <c r="BT5" s="35" t="n">
        <v>46309</v>
      </c>
      <c r="BU5" s="35" t="n">
        <v>46309</v>
      </c>
      <c r="BV5" s="36" t="n">
        <f aca="false">IF(BU5="","",EDATE(BU5,SG_Criteria!$B$54*12))</f>
        <v>47405</v>
      </c>
      <c r="BW5" s="33" t="str">
        <f aca="true">IF(A5="","",IF(BU5="","NOTE: not reviewed yet",IF(TODAY()&gt;BV5,"NOTE: review overdue","OK")))</f>
        <v>OK</v>
      </c>
      <c r="BX5" s="37" t="n">
        <f aca="false">IF(A5="","",ROUND((IF(LEN(D5)&gt;0,1,0)+IF(LEN(E5)&gt;0,1,0)+IF(LEN(F5)&gt;0,1,0)+IF(LEN(G5)&gt;0,1,0)+IF(LEN(H5)&gt;0,1,0)+IF(LEN(I5)&gt;0,1,0)+IF(LEN(J5)&gt;0,1,0)+IF(LEN(K5)&gt;0,1,0)+IF(LEN(N5)&gt;0,1,0)+IF(LEN(O5)&gt;0,1,0)+IF(LEN(W5)&gt;0,1,0)+IF(LEN(X5)&gt;0,1,0)+IF(LEN(Y5)&gt;0,1,0)+IF(LEN(AG5)&gt;0,1,0)+IF(LEN(AI5)&gt;0,1,0)+IF(LEN(AJ5)&gt;0,1,0)+IF(LEN(AK5)&gt;0,1,0)+IF(LEN(AL5)&gt;0,1,0)+IF(LEN(AU5)&gt;0,1,0)+IF(LEN(BF5)&gt;0,1,0)+IF(LEN(BS5)&gt;0,1,0))/21,2))</f>
        <v>1</v>
      </c>
      <c r="BY5" s="10" t="str">
        <f aca="false">IF(D5="","",IF(AND(AJ5="Approved",ISERROR(SEARCH("FAIL",BC5))),"Y","N"))</f>
        <v>Y</v>
      </c>
      <c r="BZ5" s="10" t="str">
        <f aca="false">IF(D5="","",D5&amp;"|"&amp;F5&amp;"|"&amp;G5&amp;"|"&amp;BY5)</f>
        <v>Low Covered Linkway|2.4|2.4|Y</v>
      </c>
    </row>
    <row r="6" customFormat="false" ht="15" hidden="false" customHeight="false" outlineLevel="0" collapsed="false">
      <c r="A6" s="10" t="str">
        <f aca="false">IF(D6="","","LKW-"&amp;IFERROR(VLOOKUP(D6,Lists!$AQ$4:$AR$17,2,0),"??")&amp;"-W"&amp;TEXT(F6*1000,"0000")&amp;"-H"&amp;TEXT(G6*1000,"0000")&amp;"-B"&amp;TEXT(H6*1000,"0000")&amp;"-"&amp;AI6)</f>
        <v>LKW-LCL-W3600-H2400-B6000-A</v>
      </c>
      <c r="B6" s="10" t="str">
        <f aca="false">IF(D6="","",D6&amp;", "&amp;F6&amp;" m wide, "&amp;G6&amp;" m headroom, "&amp;H6&amp;" m bays, "&amp;I6&amp;" ("&amp;E6&amp;")")</f>
        <v>Low Covered Linkway, 3.6 m wide, 2.4 m headroom, 6 m bays, Double column (LTA/SDRE25/22/CLW1)</v>
      </c>
      <c r="C6" s="18" t="s">
        <v>845</v>
      </c>
      <c r="D6" s="18" t="s">
        <v>250</v>
      </c>
      <c r="E6" s="18" t="s">
        <v>846</v>
      </c>
      <c r="F6" s="41" t="n">
        <v>3.6</v>
      </c>
      <c r="G6" s="41" t="n">
        <v>2.4</v>
      </c>
      <c r="H6" s="41" t="n">
        <v>6</v>
      </c>
      <c r="I6" s="18" t="s">
        <v>866</v>
      </c>
      <c r="J6" s="18" t="s">
        <v>867</v>
      </c>
      <c r="K6" s="18" t="s">
        <v>868</v>
      </c>
      <c r="L6" s="18" t="s">
        <v>850</v>
      </c>
      <c r="M6" s="18" t="s">
        <v>851</v>
      </c>
      <c r="N6" s="18" t="s">
        <v>852</v>
      </c>
      <c r="O6" s="18" t="s">
        <v>869</v>
      </c>
      <c r="P6" s="18" t="s">
        <v>854</v>
      </c>
      <c r="Q6" s="18" t="s">
        <v>855</v>
      </c>
      <c r="R6" s="18" t="s">
        <v>856</v>
      </c>
      <c r="S6" s="41" t="n">
        <v>23.3</v>
      </c>
      <c r="T6" s="18" t="n">
        <v>0.9</v>
      </c>
      <c r="U6" s="18" t="s">
        <v>857</v>
      </c>
      <c r="V6" s="18" t="s">
        <v>858</v>
      </c>
      <c r="W6" s="31" t="n">
        <v>22</v>
      </c>
      <c r="X6" s="41" t="n">
        <v>4</v>
      </c>
      <c r="Y6" s="18" t="s">
        <v>666</v>
      </c>
      <c r="Z6" s="18" t="s">
        <v>284</v>
      </c>
      <c r="AA6" s="18" t="s">
        <v>859</v>
      </c>
      <c r="AB6" s="41" t="n">
        <v>23</v>
      </c>
      <c r="AC6" s="18" t="s">
        <v>860</v>
      </c>
      <c r="AD6" s="31" t="n">
        <v>50</v>
      </c>
      <c r="AE6" s="18" t="s">
        <v>609</v>
      </c>
      <c r="AF6" s="32" t="n">
        <v>0.3</v>
      </c>
      <c r="AG6" s="18" t="s">
        <v>861</v>
      </c>
      <c r="AH6" s="18" t="s">
        <v>862</v>
      </c>
      <c r="AI6" s="18" t="s">
        <v>612</v>
      </c>
      <c r="AJ6" s="18" t="s">
        <v>254</v>
      </c>
      <c r="AK6" s="18" t="s">
        <v>870</v>
      </c>
      <c r="AL6" s="18" t="n">
        <v>50</v>
      </c>
      <c r="AM6" s="18" t="s">
        <v>284</v>
      </c>
      <c r="AN6" s="10" t="str">
        <f aca="false">IF(A6="","",SG_Criteria!$B$6&amp;SG_Criteria!$B$12&amp;"\"&amp;A6&amp;"\")</f>
        <v>C:\Users\yourname\YourCompany\Design Library - Documents\06_Linkway\LKW-LCL-W3600-H2400-B6000-A\</v>
      </c>
      <c r="AO6" s="10" t="str">
        <f aca="false">IF(A6="","",A6&amp;"_CAD.dwg")</f>
        <v>LKW-LCL-W3600-H2400-B6000-A_CAD.dwg</v>
      </c>
      <c r="AP6" s="10" t="str">
        <f aca="false">IF(A6="","",A6&amp;"_DWG.pdf")</f>
        <v>LKW-LCL-W3600-H2400-B6000-A_DWG.pdf</v>
      </c>
      <c r="AQ6" s="10" t="str">
        <f aca="false">IF(A6="","",IF(AM6="Y",A6&amp;"_STAAD.std","n/a"))</f>
        <v>LKW-LCL-W3600-H2400-B6000-A_STAAD.std</v>
      </c>
      <c r="AR6" s="10" t="str">
        <f aca="false">IF(A6="","",A6&amp;"_CALC.xlsx")</f>
        <v>LKW-LCL-W3600-H2400-B6000-A_CALC.xlsx</v>
      </c>
      <c r="AS6" s="10" t="str">
        <f aca="false">IF(A6="","",A6&amp;"_CALC.pdf")</f>
        <v>LKW-LCL-W3600-H2400-B6000-A_CALC.pdf</v>
      </c>
      <c r="AT6" s="18" t="s">
        <v>84</v>
      </c>
      <c r="AU6" s="18" t="s">
        <v>864</v>
      </c>
      <c r="AV6" s="32" t="n">
        <v>1.4</v>
      </c>
      <c r="AW6" s="32" t="n">
        <v>60</v>
      </c>
      <c r="AX6" s="32" t="n">
        <v>520</v>
      </c>
      <c r="AY6" s="32" t="n">
        <v>4</v>
      </c>
      <c r="AZ6" s="32" t="n">
        <v>2</v>
      </c>
      <c r="BA6" s="12" t="str">
        <f aca="false">IF(A6="","",IF(COUNTIF(Rebar_Schedule!$A$5:$A$2004,A6)=0,"",ROUND(SUMIF(Rebar_Schedule!$A$5:$A$2004,A6,Rebar_Schedule!$K$5:$K$2004),1)))</f>
        <v/>
      </c>
      <c r="BB6" s="33" t="str">
        <f aca="false">IF(A6="","",IF(BA6="","No rebar schedule yet",IF(ABS(BA6-N(AW6))/MAX(N(AW6),1)&gt;SG_Criteria!$B$55,"NOTE: register rebar differs from schedule by "&amp;TEXT(ABS(BA6-N(AW6))/MAX(N(AW6),1),"0%"),"OK")))</f>
        <v>No rebar schedule yet</v>
      </c>
      <c r="BC6" s="33" t="str">
        <f aca="false">IF(D6="","",IF(LEN(IF(AND(D6&lt;&gt;"High Covered Linkway",G6&lt;SG_Criteria!$B$46),"FAIL: headroom below "&amp;SG_Criteria!$B$46&amp;" m. ","")&amp;IF(AND(D6="High Covered Linkway",G6&lt;SG_Criteria!$B$47),"FAIL: high linkway headroom below "&amp;SG_Criteria!$B$47&amp;" m. ","")&amp;IF(F6&lt;SG_Criteria!$B$48,"FAIL: roof width below "&amp;SG_Criteria!$B$48&amp;" m. ",IF(F6&lt;SG_Criteria!$B$49,"NOTE: not for MRT/LRT or high-traffic routes (min "&amp;SG_Criteria!$B$49&amp;" m). ",""))&amp;IF(AND(W6&lt;&gt;"",W6&lt;SG_Criteria!$B$50),"FAIL: wind speed below "&amp;SG_Criteria!$B$50&amp;" m/s. ","")&amp;IF(AND(X6&lt;&gt;"",X6&lt;SG_Criteria!$B$51),"FAIL: roof fixing pull-out below "&amp;SG_Criteria!$B$51&amp;" kN. ","")&amp;IF(AND(Y6&lt;&gt;"",IFERROR(VALUE(MID(Y6,2,2)),0)&lt;SG_Criteria!$B$52),"FAIL: grade below C"&amp;SG_Criteria!$B$52&amp;". ","")&amp;IF(E6="Non-standard (project design)","NOTE: not an SDRE standard, needs LTA acceptance. ",""))=0,"OK",IF(AND(D6&lt;&gt;"High Covered Linkway",G6&lt;SG_Criteria!$B$46),"FAIL: headroom below "&amp;SG_Criteria!$B$46&amp;" m. ","")&amp;IF(AND(D6="High Covered Linkway",G6&lt;SG_Criteria!$B$47),"FAIL: high linkway headroom below "&amp;SG_Criteria!$B$47&amp;" m. ","")&amp;IF(F6&lt;SG_Criteria!$B$48,"FAIL: roof width below "&amp;SG_Criteria!$B$48&amp;" m. ",IF(F6&lt;SG_Criteria!$B$49,"NOTE: not for MRT/LRT or high-traffic routes (min "&amp;SG_Criteria!$B$49&amp;" m). ",""))&amp;IF(AND(W6&lt;&gt;"",W6&lt;SG_Criteria!$B$50),"FAIL: wind speed below "&amp;SG_Criteria!$B$50&amp;" m/s. ","")&amp;IF(AND(X6&lt;&gt;"",X6&lt;SG_Criteria!$B$51),"FAIL: roof fixing pull-out below "&amp;SG_Criteria!$B$51&amp;" kN. ","")&amp;IF(AND(Y6&lt;&gt;"",IFERROR(VALUE(MID(Y6,2,2)),0)&lt;SG_Criteria!$B$52),"FAIL: grade below C"&amp;SG_Criteria!$B$52&amp;". ","")&amp;IF(E6="Non-standard (project design)","NOTE: not an SDRE standard, needs LTA acceptance. ","")))</f>
        <v>OK</v>
      </c>
      <c r="BD6" s="18" t="s">
        <v>871</v>
      </c>
      <c r="BE6" s="18"/>
      <c r="BF6" s="18" t="s">
        <v>574</v>
      </c>
      <c r="BG6" s="10" t="str">
        <f aca="false">IF(BF6="","",IFERROR(VLOOKUP(BF6,Projects!$A$5:$D$504,2,0),"Ref not in Projects"))</f>
        <v>EXAMPLE Road upgrading at Jalan Contoh</v>
      </c>
      <c r="BH6" s="10" t="str">
        <f aca="false">IF(BF6="","",IFERROR(VLOOKUP(BF6,Projects!$A$5:$D$504,4,0),"Ref not in Projects"))</f>
        <v>LTA</v>
      </c>
      <c r="BI6" s="18" t="s">
        <v>622</v>
      </c>
      <c r="BJ6" s="18" t="s">
        <v>616</v>
      </c>
      <c r="BK6" s="18" t="s">
        <v>617</v>
      </c>
      <c r="BL6" s="35" t="n">
        <v>46309</v>
      </c>
      <c r="BM6" s="18" t="s">
        <v>617</v>
      </c>
      <c r="BN6" s="35" t="n">
        <v>46309</v>
      </c>
      <c r="BO6" s="18" t="s">
        <v>618</v>
      </c>
      <c r="BP6" s="35"/>
      <c r="BQ6" s="18" t="s">
        <v>617</v>
      </c>
      <c r="BR6" s="18" t="s">
        <v>617</v>
      </c>
      <c r="BS6" s="18" t="s">
        <v>617</v>
      </c>
      <c r="BT6" s="35" t="n">
        <v>46309</v>
      </c>
      <c r="BU6" s="35" t="n">
        <v>46309</v>
      </c>
      <c r="BV6" s="36" t="n">
        <f aca="false">IF(BU6="","",EDATE(BU6,SG_Criteria!$B$54*12))</f>
        <v>47405</v>
      </c>
      <c r="BW6" s="33" t="str">
        <f aca="true">IF(A6="","",IF(BU6="","NOTE: not reviewed yet",IF(TODAY()&gt;BV6,"NOTE: review overdue","OK")))</f>
        <v>OK</v>
      </c>
      <c r="BX6" s="37" t="n">
        <f aca="false">IF(A6="","",ROUND((IF(LEN(D6)&gt;0,1,0)+IF(LEN(E6)&gt;0,1,0)+IF(LEN(F6)&gt;0,1,0)+IF(LEN(G6)&gt;0,1,0)+IF(LEN(H6)&gt;0,1,0)+IF(LEN(I6)&gt;0,1,0)+IF(LEN(J6)&gt;0,1,0)+IF(LEN(K6)&gt;0,1,0)+IF(LEN(N6)&gt;0,1,0)+IF(LEN(O6)&gt;0,1,0)+IF(LEN(W6)&gt;0,1,0)+IF(LEN(X6)&gt;0,1,0)+IF(LEN(Y6)&gt;0,1,0)+IF(LEN(AG6)&gt;0,1,0)+IF(LEN(AI6)&gt;0,1,0)+IF(LEN(AJ6)&gt;0,1,0)+IF(LEN(AK6)&gt;0,1,0)+IF(LEN(AL6)&gt;0,1,0)+IF(LEN(AU6)&gt;0,1,0)+IF(LEN(BF6)&gt;0,1,0)+IF(LEN(BS6)&gt;0,1,0))/21,2))</f>
        <v>1</v>
      </c>
      <c r="BY6" s="10" t="str">
        <f aca="false">IF(D6="","",IF(AND(AJ6="Approved",ISERROR(SEARCH("FAIL",BC6))),"Y","N"))</f>
        <v>Y</v>
      </c>
      <c r="BZ6" s="10" t="str">
        <f aca="false">IF(D6="","",D6&amp;"|"&amp;F6&amp;"|"&amp;G6&amp;"|"&amp;BY6)</f>
        <v>Low Covered Linkway|3.6|2.4|Y</v>
      </c>
    </row>
    <row r="7" customFormat="false" ht="15" hidden="false" customHeight="false" outlineLevel="0" collapsed="false">
      <c r="A7" s="10" t="str">
        <f aca="false">IF(D7="","","LKW-"&amp;IFERROR(VLOOKUP(D7,Lists!$AQ$4:$AR$17,2,0),"??")&amp;"-W"&amp;TEXT(F7*1000,"0000")&amp;"-H"&amp;TEXT(G7*1000,"0000")&amp;"-B"&amp;TEXT(H7*1000,"0000")&amp;"-"&amp;AI7)</f>
        <v>LKW-HCL-W3600-H5700-B8000-A</v>
      </c>
      <c r="B7" s="10" t="str">
        <f aca="false">IF(D7="","",D7&amp;", "&amp;F7&amp;" m wide, "&amp;G7&amp;" m headroom, "&amp;H7&amp;" m bays, "&amp;I7&amp;" ("&amp;E7&amp;")")</f>
        <v>High Covered Linkway, 3.6 m wide, 5.7 m headroom, 8 m bays, Double column (LTA/SDRE25/22/CLW2)</v>
      </c>
      <c r="C7" s="18" t="s">
        <v>845</v>
      </c>
      <c r="D7" s="18" t="s">
        <v>251</v>
      </c>
      <c r="E7" s="18" t="s">
        <v>872</v>
      </c>
      <c r="F7" s="41" t="n">
        <v>3.6</v>
      </c>
      <c r="G7" s="41" t="n">
        <v>5.7</v>
      </c>
      <c r="H7" s="41" t="n">
        <v>8</v>
      </c>
      <c r="I7" s="18" t="s">
        <v>866</v>
      </c>
      <c r="J7" s="18" t="s">
        <v>873</v>
      </c>
      <c r="K7" s="18" t="s">
        <v>874</v>
      </c>
      <c r="L7" s="18" t="s">
        <v>875</v>
      </c>
      <c r="M7" s="18" t="s">
        <v>851</v>
      </c>
      <c r="N7" s="18" t="s">
        <v>852</v>
      </c>
      <c r="O7" s="18" t="s">
        <v>876</v>
      </c>
      <c r="P7" s="18" t="s">
        <v>877</v>
      </c>
      <c r="Q7" s="18" t="s">
        <v>878</v>
      </c>
      <c r="R7" s="18" t="s">
        <v>879</v>
      </c>
      <c r="S7" s="41" t="n">
        <v>73.9</v>
      </c>
      <c r="T7" s="18" t="n">
        <v>0.9</v>
      </c>
      <c r="U7" s="18" t="s">
        <v>857</v>
      </c>
      <c r="V7" s="18" t="s">
        <v>858</v>
      </c>
      <c r="W7" s="31" t="n">
        <v>22</v>
      </c>
      <c r="X7" s="41" t="n">
        <v>4</v>
      </c>
      <c r="Y7" s="18" t="s">
        <v>666</v>
      </c>
      <c r="Z7" s="18" t="s">
        <v>284</v>
      </c>
      <c r="AA7" s="18" t="s">
        <v>859</v>
      </c>
      <c r="AB7" s="41" t="n">
        <v>30.5</v>
      </c>
      <c r="AC7" s="18" t="s">
        <v>860</v>
      </c>
      <c r="AD7" s="31" t="n">
        <v>50</v>
      </c>
      <c r="AE7" s="18" t="s">
        <v>609</v>
      </c>
      <c r="AF7" s="32" t="n">
        <v>0.3</v>
      </c>
      <c r="AG7" s="18" t="s">
        <v>861</v>
      </c>
      <c r="AH7" s="18" t="s">
        <v>862</v>
      </c>
      <c r="AI7" s="18" t="s">
        <v>612</v>
      </c>
      <c r="AJ7" s="18" t="s">
        <v>255</v>
      </c>
      <c r="AK7" s="18" t="s">
        <v>880</v>
      </c>
      <c r="AL7" s="18" t="n">
        <v>100</v>
      </c>
      <c r="AM7" s="18" t="s">
        <v>284</v>
      </c>
      <c r="AN7" s="10" t="str">
        <f aca="false">IF(A7="","",SG_Criteria!$B$6&amp;SG_Criteria!$B$12&amp;"\"&amp;A7&amp;"\")</f>
        <v>C:\Users\yourname\YourCompany\Design Library - Documents\06_Linkway\LKW-HCL-W3600-H5700-B8000-A\</v>
      </c>
      <c r="AO7" s="10" t="str">
        <f aca="false">IF(A7="","",A7&amp;"_CAD.dwg")</f>
        <v>LKW-HCL-W3600-H5700-B8000-A_CAD.dwg</v>
      </c>
      <c r="AP7" s="10" t="str">
        <f aca="false">IF(A7="","",A7&amp;"_DWG.pdf")</f>
        <v>LKW-HCL-W3600-H5700-B8000-A_DWG.pdf</v>
      </c>
      <c r="AQ7" s="10" t="str">
        <f aca="false">IF(A7="","",IF(AM7="Y",A7&amp;"_STAAD.std","n/a"))</f>
        <v>LKW-HCL-W3600-H5700-B8000-A_STAAD.std</v>
      </c>
      <c r="AR7" s="10" t="str">
        <f aca="false">IF(A7="","",A7&amp;"_CALC.xlsx")</f>
        <v>LKW-HCL-W3600-H5700-B8000-A_CALC.xlsx</v>
      </c>
      <c r="AS7" s="10" t="str">
        <f aca="false">IF(A7="","",A7&amp;"_CALC.pdf")</f>
        <v>LKW-HCL-W3600-H5700-B8000-A_CALC.pdf</v>
      </c>
      <c r="AT7" s="18" t="s">
        <v>84</v>
      </c>
      <c r="AU7" s="18" t="s">
        <v>864</v>
      </c>
      <c r="AV7" s="32" t="n">
        <v>3.6</v>
      </c>
      <c r="AW7" s="32" t="n">
        <v>120</v>
      </c>
      <c r="AX7" s="32" t="n">
        <v>1450</v>
      </c>
      <c r="AY7" s="32" t="n">
        <v>6.2</v>
      </c>
      <c r="AZ7" s="32" t="n">
        <v>4.5</v>
      </c>
      <c r="BA7" s="12" t="str">
        <f aca="false">IF(A7="","",IF(COUNTIF(Rebar_Schedule!$A$5:$A$2004,A7)=0,"",ROUND(SUMIF(Rebar_Schedule!$A$5:$A$2004,A7,Rebar_Schedule!$K$5:$K$2004),1)))</f>
        <v/>
      </c>
      <c r="BB7" s="33" t="str">
        <f aca="false">IF(A7="","",IF(BA7="","No rebar schedule yet",IF(ABS(BA7-N(AW7))/MAX(N(AW7),1)&gt;SG_Criteria!$B$55,"NOTE: register rebar differs from schedule by "&amp;TEXT(ABS(BA7-N(AW7))/MAX(N(AW7),1),"0%"),"OK")))</f>
        <v>No rebar schedule yet</v>
      </c>
      <c r="BC7" s="33" t="str">
        <f aca="false">IF(D7="","",IF(LEN(IF(AND(D7&lt;&gt;"High Covered Linkway",G7&lt;SG_Criteria!$B$46),"FAIL: headroom below "&amp;SG_Criteria!$B$46&amp;" m. ","")&amp;IF(AND(D7="High Covered Linkway",G7&lt;SG_Criteria!$B$47),"FAIL: high linkway headroom below "&amp;SG_Criteria!$B$47&amp;" m. ","")&amp;IF(F7&lt;SG_Criteria!$B$48,"FAIL: roof width below "&amp;SG_Criteria!$B$48&amp;" m. ",IF(F7&lt;SG_Criteria!$B$49,"NOTE: not for MRT/LRT or high-traffic routes (min "&amp;SG_Criteria!$B$49&amp;" m). ",""))&amp;IF(AND(W7&lt;&gt;"",W7&lt;SG_Criteria!$B$50),"FAIL: wind speed below "&amp;SG_Criteria!$B$50&amp;" m/s. ","")&amp;IF(AND(X7&lt;&gt;"",X7&lt;SG_Criteria!$B$51),"FAIL: roof fixing pull-out below "&amp;SG_Criteria!$B$51&amp;" kN. ","")&amp;IF(AND(Y7&lt;&gt;"",IFERROR(VALUE(MID(Y7,2,2)),0)&lt;SG_Criteria!$B$52),"FAIL: grade below C"&amp;SG_Criteria!$B$52&amp;". ","")&amp;IF(E7="Non-standard (project design)","NOTE: not an SDRE standard, needs LTA acceptance. ",""))=0,"OK",IF(AND(D7&lt;&gt;"High Covered Linkway",G7&lt;SG_Criteria!$B$46),"FAIL: headroom below "&amp;SG_Criteria!$B$46&amp;" m. ","")&amp;IF(AND(D7="High Covered Linkway",G7&lt;SG_Criteria!$B$47),"FAIL: high linkway headroom below "&amp;SG_Criteria!$B$47&amp;" m. ","")&amp;IF(F7&lt;SG_Criteria!$B$48,"FAIL: roof width below "&amp;SG_Criteria!$B$48&amp;" m. ",IF(F7&lt;SG_Criteria!$B$49,"NOTE: not for MRT/LRT or high-traffic routes (min "&amp;SG_Criteria!$B$49&amp;" m). ",""))&amp;IF(AND(W7&lt;&gt;"",W7&lt;SG_Criteria!$B$50),"FAIL: wind speed below "&amp;SG_Criteria!$B$50&amp;" m/s. ","")&amp;IF(AND(X7&lt;&gt;"",X7&lt;SG_Criteria!$B$51),"FAIL: roof fixing pull-out below "&amp;SG_Criteria!$B$51&amp;" kN. ","")&amp;IF(AND(Y7&lt;&gt;"",IFERROR(VALUE(MID(Y7,2,2)),0)&lt;SG_Criteria!$B$52),"FAIL: grade below C"&amp;SG_Criteria!$B$52&amp;". ","")&amp;IF(E7="Non-standard (project design)","NOTE: not an SDRE standard, needs LTA acceptance. ","")))</f>
        <v>OK</v>
      </c>
      <c r="BD7" s="18" t="s">
        <v>881</v>
      </c>
      <c r="BE7" s="18"/>
      <c r="BF7" s="18" t="s">
        <v>574</v>
      </c>
      <c r="BG7" s="10" t="str">
        <f aca="false">IF(BF7="","",IFERROR(VLOOKUP(BF7,Projects!$A$5:$D$504,2,0),"Ref not in Projects"))</f>
        <v>EXAMPLE Road upgrading at Jalan Contoh</v>
      </c>
      <c r="BH7" s="10" t="str">
        <f aca="false">IF(BF7="","",IFERROR(VLOOKUP(BF7,Projects!$A$5:$D$504,4,0),"Ref not in Projects"))</f>
        <v>LTA</v>
      </c>
      <c r="BI7" s="18" t="s">
        <v>630</v>
      </c>
      <c r="BJ7" s="18" t="s">
        <v>616</v>
      </c>
      <c r="BK7" s="18" t="s">
        <v>617</v>
      </c>
      <c r="BL7" s="35" t="n">
        <v>46309</v>
      </c>
      <c r="BM7" s="18" t="s">
        <v>617</v>
      </c>
      <c r="BN7" s="35" t="n">
        <v>46309</v>
      </c>
      <c r="BO7" s="18"/>
      <c r="BP7" s="35"/>
      <c r="BQ7" s="18" t="s">
        <v>617</v>
      </c>
      <c r="BR7" s="18" t="s">
        <v>617</v>
      </c>
      <c r="BS7" s="18" t="s">
        <v>617</v>
      </c>
      <c r="BT7" s="35" t="n">
        <v>46309</v>
      </c>
      <c r="BU7" s="35" t="n">
        <v>46309</v>
      </c>
      <c r="BV7" s="36" t="n">
        <f aca="false">IF(BU7="","",EDATE(BU7,SG_Criteria!$B$54*12))</f>
        <v>47405</v>
      </c>
      <c r="BW7" s="33" t="str">
        <f aca="true">IF(A7="","",IF(BU7="","NOTE: not reviewed yet",IF(TODAY()&gt;BV7,"NOTE: review overdue","OK")))</f>
        <v>OK</v>
      </c>
      <c r="BX7" s="37" t="n">
        <f aca="false">IF(A7="","",ROUND((IF(LEN(D7)&gt;0,1,0)+IF(LEN(E7)&gt;0,1,0)+IF(LEN(F7)&gt;0,1,0)+IF(LEN(G7)&gt;0,1,0)+IF(LEN(H7)&gt;0,1,0)+IF(LEN(I7)&gt;0,1,0)+IF(LEN(J7)&gt;0,1,0)+IF(LEN(K7)&gt;0,1,0)+IF(LEN(N7)&gt;0,1,0)+IF(LEN(O7)&gt;0,1,0)+IF(LEN(W7)&gt;0,1,0)+IF(LEN(X7)&gt;0,1,0)+IF(LEN(Y7)&gt;0,1,0)+IF(LEN(AG7)&gt;0,1,0)+IF(LEN(AI7)&gt;0,1,0)+IF(LEN(AJ7)&gt;0,1,0)+IF(LEN(AK7)&gt;0,1,0)+IF(LEN(AL7)&gt;0,1,0)+IF(LEN(AU7)&gt;0,1,0)+IF(LEN(BF7)&gt;0,1,0)+IF(LEN(BS7)&gt;0,1,0))/21,2))</f>
        <v>1</v>
      </c>
      <c r="BY7" s="10" t="str">
        <f aca="false">IF(D7="","",IF(AND(AJ7="Approved",ISERROR(SEARCH("FAIL",BC7))),"Y","N"))</f>
        <v>N</v>
      </c>
      <c r="BZ7" s="10" t="str">
        <f aca="false">IF(D7="","",D7&amp;"|"&amp;F7&amp;"|"&amp;G7&amp;"|"&amp;BY7)</f>
        <v>High Covered Linkway|3.6|5.7|N</v>
      </c>
    </row>
    <row r="8" customFormat="false" ht="15" hidden="false" customHeight="false" outlineLevel="0" collapsed="false">
      <c r="A8" s="10" t="str">
        <f aca="false">IF(D8="","","LKW-"&amp;IFERROR(VLOOKUP(D8,Lists!$AQ$4:$AR$17,2,0),"??")&amp;"-W"&amp;TEXT(F8*1000,"0000")&amp;"-H"&amp;TEXT(G8*1000,"0000")&amp;"-B"&amp;TEXT(H8*1000,"0000")&amp;"-"&amp;AI8)</f>
        <v>LKW-MCL-W2400-H2400-B6000-A</v>
      </c>
      <c r="B8" s="10" t="str">
        <f aca="false">IF(D8="","",D8&amp;", "&amp;F8&amp;" m wide, "&amp;G8&amp;" m headroom, "&amp;H8&amp;" m bays, "&amp;I8&amp;" ("&amp;E8&amp;")")</f>
        <v>Modular Covered Linkway (SDRE Rev I), 2.4 m wide, 2.4 m headroom, 6 m bays, Single column, side (cantilever) (LTA/SDRE25/22/CLW3)</v>
      </c>
      <c r="C8" s="18" t="s">
        <v>845</v>
      </c>
      <c r="D8" s="18" t="s">
        <v>252</v>
      </c>
      <c r="E8" s="18" t="s">
        <v>882</v>
      </c>
      <c r="F8" s="41" t="n">
        <v>2.4</v>
      </c>
      <c r="G8" s="41" t="n">
        <v>2.4</v>
      </c>
      <c r="H8" s="41" t="n">
        <v>6</v>
      </c>
      <c r="I8" s="18" t="s">
        <v>883</v>
      </c>
      <c r="J8" s="18" t="s">
        <v>884</v>
      </c>
      <c r="K8" s="18" t="s">
        <v>849</v>
      </c>
      <c r="L8" s="18" t="s">
        <v>885</v>
      </c>
      <c r="M8" s="18" t="s">
        <v>851</v>
      </c>
      <c r="N8" s="18" t="s">
        <v>852</v>
      </c>
      <c r="O8" s="18" t="s">
        <v>885</v>
      </c>
      <c r="P8" s="18" t="s">
        <v>885</v>
      </c>
      <c r="Q8" s="18" t="s">
        <v>855</v>
      </c>
      <c r="R8" s="18" t="s">
        <v>856</v>
      </c>
      <c r="S8" s="41" t="n">
        <v>15.6</v>
      </c>
      <c r="T8" s="18" t="n">
        <v>0.9</v>
      </c>
      <c r="U8" s="18" t="s">
        <v>857</v>
      </c>
      <c r="V8" s="18" t="s">
        <v>858</v>
      </c>
      <c r="W8" s="31" t="n">
        <v>22</v>
      </c>
      <c r="X8" s="41" t="n">
        <v>4</v>
      </c>
      <c r="Y8" s="18" t="s">
        <v>666</v>
      </c>
      <c r="Z8" s="18" t="s">
        <v>284</v>
      </c>
      <c r="AA8" s="18" t="s">
        <v>859</v>
      </c>
      <c r="AB8" s="41" t="n">
        <v>15.6</v>
      </c>
      <c r="AC8" s="18" t="s">
        <v>860</v>
      </c>
      <c r="AD8" s="31" t="n">
        <v>50</v>
      </c>
      <c r="AE8" s="18" t="s">
        <v>609</v>
      </c>
      <c r="AF8" s="32" t="n">
        <v>0.3</v>
      </c>
      <c r="AG8" s="18" t="s">
        <v>861</v>
      </c>
      <c r="AH8" s="18" t="s">
        <v>862</v>
      </c>
      <c r="AI8" s="18" t="s">
        <v>612</v>
      </c>
      <c r="AJ8" s="18" t="s">
        <v>256</v>
      </c>
      <c r="AK8" s="18" t="s">
        <v>886</v>
      </c>
      <c r="AL8" s="18" t="n">
        <v>50</v>
      </c>
      <c r="AM8" s="18" t="s">
        <v>284</v>
      </c>
      <c r="AN8" s="10" t="str">
        <f aca="false">IF(A8="","",SG_Criteria!$B$6&amp;SG_Criteria!$B$12&amp;"\"&amp;A8&amp;"\")</f>
        <v>C:\Users\yourname\YourCompany\Design Library - Documents\06_Linkway\LKW-MCL-W2400-H2400-B6000-A\</v>
      </c>
      <c r="AO8" s="10" t="str">
        <f aca="false">IF(A8="","",A8&amp;"_CAD.dwg")</f>
        <v>LKW-MCL-W2400-H2400-B6000-A_CAD.dwg</v>
      </c>
      <c r="AP8" s="10" t="str">
        <f aca="false">IF(A8="","",A8&amp;"_DWG.pdf")</f>
        <v>LKW-MCL-W2400-H2400-B6000-A_DWG.pdf</v>
      </c>
      <c r="AQ8" s="10" t="str">
        <f aca="false">IF(A8="","",IF(AM8="Y",A8&amp;"_STAAD.std","n/a"))</f>
        <v>LKW-MCL-W2400-H2400-B6000-A_STAAD.std</v>
      </c>
      <c r="AR8" s="10" t="str">
        <f aca="false">IF(A8="","",A8&amp;"_CALC.xlsx")</f>
        <v>LKW-MCL-W2400-H2400-B6000-A_CALC.xlsx</v>
      </c>
      <c r="AS8" s="10" t="str">
        <f aca="false">IF(A8="","",A8&amp;"_CALC.pdf")</f>
        <v>LKW-MCL-W2400-H2400-B6000-A_CALC.pdf</v>
      </c>
      <c r="AT8" s="18" t="s">
        <v>84</v>
      </c>
      <c r="AU8" s="18" t="s">
        <v>864</v>
      </c>
      <c r="AV8" s="32" t="n">
        <v>1.1</v>
      </c>
      <c r="AW8" s="32" t="n">
        <v>50</v>
      </c>
      <c r="AX8" s="32" t="n">
        <v>420</v>
      </c>
      <c r="AY8" s="32" t="n">
        <v>3</v>
      </c>
      <c r="AZ8" s="32" t="n">
        <v>1.5</v>
      </c>
      <c r="BA8" s="12" t="str">
        <f aca="false">IF(A8="","",IF(COUNTIF(Rebar_Schedule!$A$5:$A$2004,A8)=0,"",ROUND(SUMIF(Rebar_Schedule!$A$5:$A$2004,A8,Rebar_Schedule!$K$5:$K$2004),1)))</f>
        <v/>
      </c>
      <c r="BB8" s="33" t="str">
        <f aca="false">IF(A8="","",IF(BA8="","No rebar schedule yet",IF(ABS(BA8-N(AW8))/MAX(N(AW8),1)&gt;SG_Criteria!$B$55,"NOTE: register rebar differs from schedule by "&amp;TEXT(ABS(BA8-N(AW8))/MAX(N(AW8),1),"0%"),"OK")))</f>
        <v>No rebar schedule yet</v>
      </c>
      <c r="BC8" s="33" t="str">
        <f aca="false">IF(D8="","",IF(LEN(IF(AND(D8&lt;&gt;"High Covered Linkway",G8&lt;SG_Criteria!$B$46),"FAIL: headroom below "&amp;SG_Criteria!$B$46&amp;" m. ","")&amp;IF(AND(D8="High Covered Linkway",G8&lt;SG_Criteria!$B$47),"FAIL: high linkway headroom below "&amp;SG_Criteria!$B$47&amp;" m. ","")&amp;IF(F8&lt;SG_Criteria!$B$48,"FAIL: roof width below "&amp;SG_Criteria!$B$48&amp;" m. ",IF(F8&lt;SG_Criteria!$B$49,"NOTE: not for MRT/LRT or high-traffic routes (min "&amp;SG_Criteria!$B$49&amp;" m). ",""))&amp;IF(AND(W8&lt;&gt;"",W8&lt;SG_Criteria!$B$50),"FAIL: wind speed below "&amp;SG_Criteria!$B$50&amp;" m/s. ","")&amp;IF(AND(X8&lt;&gt;"",X8&lt;SG_Criteria!$B$51),"FAIL: roof fixing pull-out below "&amp;SG_Criteria!$B$51&amp;" kN. ","")&amp;IF(AND(Y8&lt;&gt;"",IFERROR(VALUE(MID(Y8,2,2)),0)&lt;SG_Criteria!$B$52),"FAIL: grade below C"&amp;SG_Criteria!$B$52&amp;". ","")&amp;IF(E8="Non-standard (project design)","NOTE: not an SDRE standard, needs LTA acceptance. ",""))=0,"OK",IF(AND(D8&lt;&gt;"High Covered Linkway",G8&lt;SG_Criteria!$B$46),"FAIL: headroom below "&amp;SG_Criteria!$B$46&amp;" m. ","")&amp;IF(AND(D8="High Covered Linkway",G8&lt;SG_Criteria!$B$47),"FAIL: high linkway headroom below "&amp;SG_Criteria!$B$47&amp;" m. ","")&amp;IF(F8&lt;SG_Criteria!$B$48,"FAIL: roof width below "&amp;SG_Criteria!$B$48&amp;" m. ",IF(F8&lt;SG_Criteria!$B$49,"NOTE: not for MRT/LRT or high-traffic routes (min "&amp;SG_Criteria!$B$49&amp;" m). ",""))&amp;IF(AND(W8&lt;&gt;"",W8&lt;SG_Criteria!$B$50),"FAIL: wind speed below "&amp;SG_Criteria!$B$50&amp;" m/s. ","")&amp;IF(AND(X8&lt;&gt;"",X8&lt;SG_Criteria!$B$51),"FAIL: roof fixing pull-out below "&amp;SG_Criteria!$B$51&amp;" kN. ","")&amp;IF(AND(Y8&lt;&gt;"",IFERROR(VALUE(MID(Y8,2,2)),0)&lt;SG_Criteria!$B$52),"FAIL: grade below C"&amp;SG_Criteria!$B$52&amp;". ","")&amp;IF(E8="Non-standard (project design)","NOTE: not an SDRE standard, needs LTA acceptance. ","")))</f>
        <v>NOTE: not for MRT/LRT or high-traffic routes (min 3.6 m). </v>
      </c>
      <c r="BD8" s="18" t="s">
        <v>887</v>
      </c>
      <c r="BE8" s="18"/>
      <c r="BF8" s="18" t="s">
        <v>574</v>
      </c>
      <c r="BG8" s="10" t="str">
        <f aca="false">IF(BF8="","",IFERROR(VLOOKUP(BF8,Projects!$A$5:$D$504,2,0),"Ref not in Projects"))</f>
        <v>EXAMPLE Road upgrading at Jalan Contoh</v>
      </c>
      <c r="BH8" s="10" t="str">
        <f aca="false">IF(BF8="","",IFERROR(VLOOKUP(BF8,Projects!$A$5:$D$504,4,0),"Ref not in Projects"))</f>
        <v>LTA</v>
      </c>
      <c r="BI8" s="18" t="s">
        <v>635</v>
      </c>
      <c r="BJ8" s="18" t="s">
        <v>616</v>
      </c>
      <c r="BK8" s="18" t="s">
        <v>617</v>
      </c>
      <c r="BL8" s="35" t="n">
        <v>46309</v>
      </c>
      <c r="BM8" s="18" t="s">
        <v>617</v>
      </c>
      <c r="BN8" s="35" t="n">
        <v>46309</v>
      </c>
      <c r="BO8" s="18"/>
      <c r="BP8" s="35"/>
      <c r="BQ8" s="18" t="s">
        <v>617</v>
      </c>
      <c r="BR8" s="18" t="s">
        <v>617</v>
      </c>
      <c r="BS8" s="18" t="s">
        <v>617</v>
      </c>
      <c r="BT8" s="35" t="n">
        <v>46309</v>
      </c>
      <c r="BU8" s="35" t="n">
        <v>46309</v>
      </c>
      <c r="BV8" s="36" t="n">
        <f aca="false">IF(BU8="","",EDATE(BU8,SG_Criteria!$B$54*12))</f>
        <v>47405</v>
      </c>
      <c r="BW8" s="33" t="str">
        <f aca="true">IF(A8="","",IF(BU8="","NOTE: not reviewed yet",IF(TODAY()&gt;BV8,"NOTE: review overdue","OK")))</f>
        <v>OK</v>
      </c>
      <c r="BX8" s="37" t="n">
        <f aca="false">IF(A8="","",ROUND((IF(LEN(D8)&gt;0,1,0)+IF(LEN(E8)&gt;0,1,0)+IF(LEN(F8)&gt;0,1,0)+IF(LEN(G8)&gt;0,1,0)+IF(LEN(H8)&gt;0,1,0)+IF(LEN(I8)&gt;0,1,0)+IF(LEN(J8)&gt;0,1,0)+IF(LEN(K8)&gt;0,1,0)+IF(LEN(N8)&gt;0,1,0)+IF(LEN(O8)&gt;0,1,0)+IF(LEN(W8)&gt;0,1,0)+IF(LEN(X8)&gt;0,1,0)+IF(LEN(Y8)&gt;0,1,0)+IF(LEN(AG8)&gt;0,1,0)+IF(LEN(AI8)&gt;0,1,0)+IF(LEN(AJ8)&gt;0,1,0)+IF(LEN(AK8)&gt;0,1,0)+IF(LEN(AL8)&gt;0,1,0)+IF(LEN(AU8)&gt;0,1,0)+IF(LEN(BF8)&gt;0,1,0)+IF(LEN(BS8)&gt;0,1,0))/21,2))</f>
        <v>1</v>
      </c>
      <c r="BY8" s="10" t="str">
        <f aca="false">IF(D8="","",IF(AND(AJ8="Approved",ISERROR(SEARCH("FAIL",BC8))),"Y","N"))</f>
        <v>N</v>
      </c>
      <c r="BZ8" s="10" t="str">
        <f aca="false">IF(D8="","",D8&amp;"|"&amp;F8&amp;"|"&amp;G8&amp;"|"&amp;BY8)</f>
        <v>Modular Covered Linkway (SDRE Rev I)|2.4|2.4|N</v>
      </c>
    </row>
    <row r="9" customFormat="false" ht="15" hidden="false" customHeight="false" outlineLevel="0" collapsed="false">
      <c r="A9" s="10" t="str">
        <f aca="false">IF(D9="","","LKW-"&amp;IFERROR(VLOOKUP(D9,Lists!$AQ$4:$AR$17,2,0),"??")&amp;"-W"&amp;TEXT(F9*1000,"0000")&amp;"-H"&amp;TEXT(G9*1000,"0000")&amp;"-B"&amp;TEXT(H9*1000,"0000")&amp;"-"&amp;AI9)</f>
        <v/>
      </c>
      <c r="B9" s="10" t="str">
        <f aca="false">IF(D9="","",D9&amp;", "&amp;F9&amp;" m wide, "&amp;G9&amp;" m headroom, "&amp;H9&amp;" m bays, "&amp;I9&amp;" ("&amp;E9&amp;")")</f>
        <v/>
      </c>
      <c r="C9" s="9"/>
      <c r="D9" s="9"/>
      <c r="E9" s="9"/>
      <c r="F9" s="42"/>
      <c r="G9" s="42"/>
      <c r="H9" s="42"/>
      <c r="I9" s="9"/>
      <c r="J9" s="9"/>
      <c r="K9" s="9"/>
      <c r="L9" s="9"/>
      <c r="M9" s="9"/>
      <c r="N9" s="9"/>
      <c r="O9" s="9"/>
      <c r="P9" s="9"/>
      <c r="Q9" s="9"/>
      <c r="R9" s="9"/>
      <c r="S9" s="42"/>
      <c r="T9" s="9"/>
      <c r="U9" s="9"/>
      <c r="V9" s="9"/>
      <c r="W9" s="38"/>
      <c r="X9" s="42"/>
      <c r="Y9" s="9"/>
      <c r="Z9" s="9"/>
      <c r="AA9" s="9"/>
      <c r="AB9" s="42"/>
      <c r="AC9" s="9"/>
      <c r="AD9" s="38"/>
      <c r="AE9" s="9"/>
      <c r="AF9" s="39"/>
      <c r="AG9" s="9"/>
      <c r="AH9" s="9"/>
      <c r="AI9" s="9"/>
      <c r="AJ9" s="9"/>
      <c r="AK9" s="9"/>
      <c r="AL9" s="9"/>
      <c r="AM9" s="9"/>
      <c r="AN9" s="10" t="str">
        <f aca="false">IF(A9="","",SG_Criteria!$B$6&amp;SG_Criteria!$B$12&amp;"\"&amp;A9&amp;"\")</f>
        <v/>
      </c>
      <c r="AO9" s="10" t="str">
        <f aca="false">IF(A9="","",A9&amp;"_CAD.dwg")</f>
        <v/>
      </c>
      <c r="AP9" s="10" t="str">
        <f aca="false">IF(A9="","",A9&amp;"_DWG.pdf")</f>
        <v/>
      </c>
      <c r="AQ9" s="10" t="str">
        <f aca="false">IF(A9="","",IF(AM9="Y",A9&amp;"_STAAD.std","n/a"))</f>
        <v/>
      </c>
      <c r="AR9" s="10" t="str">
        <f aca="false">IF(A9="","",A9&amp;"_CALC.xlsx")</f>
        <v/>
      </c>
      <c r="AS9" s="10" t="str">
        <f aca="false">IF(A9="","",A9&amp;"_CALC.pdf")</f>
        <v/>
      </c>
      <c r="AT9" s="9"/>
      <c r="AU9" s="9"/>
      <c r="AV9" s="39"/>
      <c r="AW9" s="39"/>
      <c r="AX9" s="39"/>
      <c r="AY9" s="39"/>
      <c r="AZ9" s="39"/>
      <c r="BA9" s="12" t="str">
        <f aca="false">IF(A9="","",IF(COUNTIF(Rebar_Schedule!$A$5:$A$2004,A9)=0,"",ROUND(SUMIF(Rebar_Schedule!$A$5:$A$2004,A9,Rebar_Schedule!$K$5:$K$2004),1)))</f>
        <v/>
      </c>
      <c r="BB9" s="33" t="str">
        <f aca="false">IF(A9="","",IF(BA9="","No rebar schedule yet",IF(ABS(BA9-N(AW9))/MAX(N(AW9),1)&gt;SG_Criteria!$B$55,"NOTE: register rebar differs from schedule by "&amp;TEXT(ABS(BA9-N(AW9))/MAX(N(AW9),1),"0%"),"OK")))</f>
        <v/>
      </c>
      <c r="BC9" s="33" t="str">
        <f aca="false">IF(D9="","",IF(LEN(IF(AND(D9&lt;&gt;"High Covered Linkway",G9&lt;SG_Criteria!$B$46),"FAIL: headroom below "&amp;SG_Criteria!$B$46&amp;" m. ","")&amp;IF(AND(D9="High Covered Linkway",G9&lt;SG_Criteria!$B$47),"FAIL: high linkway headroom below "&amp;SG_Criteria!$B$47&amp;" m. ","")&amp;IF(F9&lt;SG_Criteria!$B$48,"FAIL: roof width below "&amp;SG_Criteria!$B$48&amp;" m. ",IF(F9&lt;SG_Criteria!$B$49,"NOTE: not for MRT/LRT or high-traffic routes (min "&amp;SG_Criteria!$B$49&amp;" m). ",""))&amp;IF(AND(W9&lt;&gt;"",W9&lt;SG_Criteria!$B$50),"FAIL: wind speed below "&amp;SG_Criteria!$B$50&amp;" m/s. ","")&amp;IF(AND(X9&lt;&gt;"",X9&lt;SG_Criteria!$B$51),"FAIL: roof fixing pull-out below "&amp;SG_Criteria!$B$51&amp;" kN. ","")&amp;IF(AND(Y9&lt;&gt;"",IFERROR(VALUE(MID(Y9,2,2)),0)&lt;SG_Criteria!$B$52),"FAIL: grade below C"&amp;SG_Criteria!$B$52&amp;". ","")&amp;IF(E9="Non-standard (project design)","NOTE: not an SDRE standard, needs LTA acceptance. ",""))=0,"OK",IF(AND(D9&lt;&gt;"High Covered Linkway",G9&lt;SG_Criteria!$B$46),"FAIL: headroom below "&amp;SG_Criteria!$B$46&amp;" m. ","")&amp;IF(AND(D9="High Covered Linkway",G9&lt;SG_Criteria!$B$47),"FAIL: high linkway headroom below "&amp;SG_Criteria!$B$47&amp;" m. ","")&amp;IF(F9&lt;SG_Criteria!$B$48,"FAIL: roof width below "&amp;SG_Criteria!$B$48&amp;" m. ",IF(F9&lt;SG_Criteria!$B$49,"NOTE: not for MRT/LRT or high-traffic routes (min "&amp;SG_Criteria!$B$49&amp;" m). ",""))&amp;IF(AND(W9&lt;&gt;"",W9&lt;SG_Criteria!$B$50),"FAIL: wind speed below "&amp;SG_Criteria!$B$50&amp;" m/s. ","")&amp;IF(AND(X9&lt;&gt;"",X9&lt;SG_Criteria!$B$51),"FAIL: roof fixing pull-out below "&amp;SG_Criteria!$B$51&amp;" kN. ","")&amp;IF(AND(Y9&lt;&gt;"",IFERROR(VALUE(MID(Y9,2,2)),0)&lt;SG_Criteria!$B$52),"FAIL: grade below C"&amp;SG_Criteria!$B$52&amp;". ","")&amp;IF(E9="Non-standard (project design)","NOTE: not an SDRE standard, needs LTA acceptance. ","")))</f>
        <v/>
      </c>
      <c r="BD9" s="9"/>
      <c r="BE9" s="9"/>
      <c r="BF9" s="9"/>
      <c r="BG9" s="10" t="str">
        <f aca="false">IF(BF9="","",IFERROR(VLOOKUP(BF9,Projects!$A$5:$D$504,2,0),"Ref not in Projects"))</f>
        <v/>
      </c>
      <c r="BH9" s="10" t="str">
        <f aca="false">IF(BF9="","",IFERROR(VLOOKUP(BF9,Projects!$A$5:$D$504,4,0),"Ref not in Projects"))</f>
        <v/>
      </c>
      <c r="BI9" s="9"/>
      <c r="BJ9" s="9"/>
      <c r="BK9" s="9"/>
      <c r="BL9" s="40"/>
      <c r="BM9" s="9"/>
      <c r="BN9" s="40"/>
      <c r="BO9" s="9"/>
      <c r="BP9" s="40"/>
      <c r="BQ9" s="9"/>
      <c r="BR9" s="9"/>
      <c r="BS9" s="9"/>
      <c r="BT9" s="40"/>
      <c r="BU9" s="40"/>
      <c r="BV9" s="36" t="str">
        <f aca="false">IF(BU9="","",EDATE(BU9,SG_Criteria!$B$54*12))</f>
        <v/>
      </c>
      <c r="BW9" s="33" t="str">
        <f aca="true">IF(A9="","",IF(BU9="","NOTE: not reviewed yet",IF(TODAY()&gt;BV9,"NOTE: review overdue","OK")))</f>
        <v/>
      </c>
      <c r="BX9" s="37" t="str">
        <f aca="false">IF(A9="","",ROUND((IF(LEN(D9)&gt;0,1,0)+IF(LEN(E9)&gt;0,1,0)+IF(LEN(F9)&gt;0,1,0)+IF(LEN(G9)&gt;0,1,0)+IF(LEN(H9)&gt;0,1,0)+IF(LEN(I9)&gt;0,1,0)+IF(LEN(J9)&gt;0,1,0)+IF(LEN(K9)&gt;0,1,0)+IF(LEN(N9)&gt;0,1,0)+IF(LEN(O9)&gt;0,1,0)+IF(LEN(W9)&gt;0,1,0)+IF(LEN(X9)&gt;0,1,0)+IF(LEN(Y9)&gt;0,1,0)+IF(LEN(AG9)&gt;0,1,0)+IF(LEN(AI9)&gt;0,1,0)+IF(LEN(AJ9)&gt;0,1,0)+IF(LEN(AK9)&gt;0,1,0)+IF(LEN(AL9)&gt;0,1,0)+IF(LEN(AU9)&gt;0,1,0)+IF(LEN(BF9)&gt;0,1,0)+IF(LEN(BS9)&gt;0,1,0))/21,2))</f>
        <v/>
      </c>
      <c r="BY9" s="10" t="str">
        <f aca="false">IF(D9="","",IF(AND(AJ9="Approved",ISERROR(SEARCH("FAIL",BC9))),"Y","N"))</f>
        <v/>
      </c>
      <c r="BZ9" s="10" t="str">
        <f aca="false">IF(D9="","",D9&amp;"|"&amp;F9&amp;"|"&amp;G9&amp;"|"&amp;BY9)</f>
        <v/>
      </c>
    </row>
    <row r="10" customFormat="false" ht="15" hidden="false" customHeight="false" outlineLevel="0" collapsed="false">
      <c r="A10" s="10" t="str">
        <f aca="false">IF(D10="","","LKW-"&amp;IFERROR(VLOOKUP(D10,Lists!$AQ$4:$AR$17,2,0),"??")&amp;"-W"&amp;TEXT(F10*1000,"0000")&amp;"-H"&amp;TEXT(G10*1000,"0000")&amp;"-B"&amp;TEXT(H10*1000,"0000")&amp;"-"&amp;AI10)</f>
        <v/>
      </c>
      <c r="B10" s="10" t="str">
        <f aca="false">IF(D10="","",D10&amp;", "&amp;F10&amp;" m wide, "&amp;G10&amp;" m headroom, "&amp;H10&amp;" m bays, "&amp;I10&amp;" ("&amp;E10&amp;")")</f>
        <v/>
      </c>
      <c r="C10" s="9"/>
      <c r="D10" s="9"/>
      <c r="E10" s="9"/>
      <c r="F10" s="42"/>
      <c r="G10" s="42"/>
      <c r="H10" s="42"/>
      <c r="I10" s="9"/>
      <c r="J10" s="9"/>
      <c r="K10" s="9"/>
      <c r="L10" s="9"/>
      <c r="M10" s="9"/>
      <c r="N10" s="9"/>
      <c r="O10" s="9"/>
      <c r="P10" s="9"/>
      <c r="Q10" s="9"/>
      <c r="R10" s="9"/>
      <c r="S10" s="42"/>
      <c r="T10" s="9"/>
      <c r="U10" s="9"/>
      <c r="V10" s="9"/>
      <c r="W10" s="38"/>
      <c r="X10" s="42"/>
      <c r="Y10" s="9"/>
      <c r="Z10" s="9"/>
      <c r="AA10" s="9"/>
      <c r="AB10" s="42"/>
      <c r="AC10" s="9"/>
      <c r="AD10" s="38"/>
      <c r="AE10" s="9"/>
      <c r="AF10" s="39"/>
      <c r="AG10" s="9"/>
      <c r="AH10" s="9"/>
      <c r="AI10" s="9"/>
      <c r="AJ10" s="9"/>
      <c r="AK10" s="9"/>
      <c r="AL10" s="9"/>
      <c r="AM10" s="9"/>
      <c r="AN10" s="10" t="str">
        <f aca="false">IF(A10="","",SG_Criteria!$B$6&amp;SG_Criteria!$B$12&amp;"\"&amp;A10&amp;"\")</f>
        <v/>
      </c>
      <c r="AO10" s="10" t="str">
        <f aca="false">IF(A10="","",A10&amp;"_CAD.dwg")</f>
        <v/>
      </c>
      <c r="AP10" s="10" t="str">
        <f aca="false">IF(A10="","",A10&amp;"_DWG.pdf")</f>
        <v/>
      </c>
      <c r="AQ10" s="10" t="str">
        <f aca="false">IF(A10="","",IF(AM10="Y",A10&amp;"_STAAD.std","n/a"))</f>
        <v/>
      </c>
      <c r="AR10" s="10" t="str">
        <f aca="false">IF(A10="","",A10&amp;"_CALC.xlsx")</f>
        <v/>
      </c>
      <c r="AS10" s="10" t="str">
        <f aca="false">IF(A10="","",A10&amp;"_CALC.pdf")</f>
        <v/>
      </c>
      <c r="AT10" s="9"/>
      <c r="AU10" s="9"/>
      <c r="AV10" s="39"/>
      <c r="AW10" s="39"/>
      <c r="AX10" s="39"/>
      <c r="AY10" s="39"/>
      <c r="AZ10" s="39"/>
      <c r="BA10" s="12" t="str">
        <f aca="false">IF(A10="","",IF(COUNTIF(Rebar_Schedule!$A$5:$A$2004,A10)=0,"",ROUND(SUMIF(Rebar_Schedule!$A$5:$A$2004,A10,Rebar_Schedule!$K$5:$K$2004),1)))</f>
        <v/>
      </c>
      <c r="BB10" s="33" t="str">
        <f aca="false">IF(A10="","",IF(BA10="","No rebar schedule yet",IF(ABS(BA10-N(AW10))/MAX(N(AW10),1)&gt;SG_Criteria!$B$55,"NOTE: register rebar differs from schedule by "&amp;TEXT(ABS(BA10-N(AW10))/MAX(N(AW10),1),"0%"),"OK")))</f>
        <v/>
      </c>
      <c r="BC10" s="33" t="str">
        <f aca="false">IF(D10="","",IF(LEN(IF(AND(D10&lt;&gt;"High Covered Linkway",G10&lt;SG_Criteria!$B$46),"FAIL: headroom below "&amp;SG_Criteria!$B$46&amp;" m. ","")&amp;IF(AND(D10="High Covered Linkway",G10&lt;SG_Criteria!$B$47),"FAIL: high linkway headroom below "&amp;SG_Criteria!$B$47&amp;" m. ","")&amp;IF(F10&lt;SG_Criteria!$B$48,"FAIL: roof width below "&amp;SG_Criteria!$B$48&amp;" m. ",IF(F10&lt;SG_Criteria!$B$49,"NOTE: not for MRT/LRT or high-traffic routes (min "&amp;SG_Criteria!$B$49&amp;" m). ",""))&amp;IF(AND(W10&lt;&gt;"",W10&lt;SG_Criteria!$B$50),"FAIL: wind speed below "&amp;SG_Criteria!$B$50&amp;" m/s. ","")&amp;IF(AND(X10&lt;&gt;"",X10&lt;SG_Criteria!$B$51),"FAIL: roof fixing pull-out below "&amp;SG_Criteria!$B$51&amp;" kN. ","")&amp;IF(AND(Y10&lt;&gt;"",IFERROR(VALUE(MID(Y10,2,2)),0)&lt;SG_Criteria!$B$52),"FAIL: grade below C"&amp;SG_Criteria!$B$52&amp;". ","")&amp;IF(E10="Non-standard (project design)","NOTE: not an SDRE standard, needs LTA acceptance. ",""))=0,"OK",IF(AND(D10&lt;&gt;"High Covered Linkway",G10&lt;SG_Criteria!$B$46),"FAIL: headroom below "&amp;SG_Criteria!$B$46&amp;" m. ","")&amp;IF(AND(D10="High Covered Linkway",G10&lt;SG_Criteria!$B$47),"FAIL: high linkway headroom below "&amp;SG_Criteria!$B$47&amp;" m. ","")&amp;IF(F10&lt;SG_Criteria!$B$48,"FAIL: roof width below "&amp;SG_Criteria!$B$48&amp;" m. ",IF(F10&lt;SG_Criteria!$B$49,"NOTE: not for MRT/LRT or high-traffic routes (min "&amp;SG_Criteria!$B$49&amp;" m). ",""))&amp;IF(AND(W10&lt;&gt;"",W10&lt;SG_Criteria!$B$50),"FAIL: wind speed below "&amp;SG_Criteria!$B$50&amp;" m/s. ","")&amp;IF(AND(X10&lt;&gt;"",X10&lt;SG_Criteria!$B$51),"FAIL: roof fixing pull-out below "&amp;SG_Criteria!$B$51&amp;" kN. ","")&amp;IF(AND(Y10&lt;&gt;"",IFERROR(VALUE(MID(Y10,2,2)),0)&lt;SG_Criteria!$B$52),"FAIL: grade below C"&amp;SG_Criteria!$B$52&amp;". ","")&amp;IF(E10="Non-standard (project design)","NOTE: not an SDRE standard, needs LTA acceptance. ","")))</f>
        <v/>
      </c>
      <c r="BD10" s="9"/>
      <c r="BE10" s="9"/>
      <c r="BF10" s="9"/>
      <c r="BG10" s="10" t="str">
        <f aca="false">IF(BF10="","",IFERROR(VLOOKUP(BF10,Projects!$A$5:$D$504,2,0),"Ref not in Projects"))</f>
        <v/>
      </c>
      <c r="BH10" s="10" t="str">
        <f aca="false">IF(BF10="","",IFERROR(VLOOKUP(BF10,Projects!$A$5:$D$504,4,0),"Ref not in Projects"))</f>
        <v/>
      </c>
      <c r="BI10" s="9"/>
      <c r="BJ10" s="9"/>
      <c r="BK10" s="9"/>
      <c r="BL10" s="40"/>
      <c r="BM10" s="9"/>
      <c r="BN10" s="40"/>
      <c r="BO10" s="9"/>
      <c r="BP10" s="40"/>
      <c r="BQ10" s="9"/>
      <c r="BR10" s="9"/>
      <c r="BS10" s="9"/>
      <c r="BT10" s="40"/>
      <c r="BU10" s="40"/>
      <c r="BV10" s="36" t="str">
        <f aca="false">IF(BU10="","",EDATE(BU10,SG_Criteria!$B$54*12))</f>
        <v/>
      </c>
      <c r="BW10" s="33" t="str">
        <f aca="true">IF(A10="","",IF(BU10="","NOTE: not reviewed yet",IF(TODAY()&gt;BV10,"NOTE: review overdue","OK")))</f>
        <v/>
      </c>
      <c r="BX10" s="37" t="str">
        <f aca="false">IF(A10="","",ROUND((IF(LEN(D10)&gt;0,1,0)+IF(LEN(E10)&gt;0,1,0)+IF(LEN(F10)&gt;0,1,0)+IF(LEN(G10)&gt;0,1,0)+IF(LEN(H10)&gt;0,1,0)+IF(LEN(I10)&gt;0,1,0)+IF(LEN(J10)&gt;0,1,0)+IF(LEN(K10)&gt;0,1,0)+IF(LEN(N10)&gt;0,1,0)+IF(LEN(O10)&gt;0,1,0)+IF(LEN(W10)&gt;0,1,0)+IF(LEN(X10)&gt;0,1,0)+IF(LEN(Y10)&gt;0,1,0)+IF(LEN(AG10)&gt;0,1,0)+IF(LEN(AI10)&gt;0,1,0)+IF(LEN(AJ10)&gt;0,1,0)+IF(LEN(AK10)&gt;0,1,0)+IF(LEN(AL10)&gt;0,1,0)+IF(LEN(AU10)&gt;0,1,0)+IF(LEN(BF10)&gt;0,1,0)+IF(LEN(BS10)&gt;0,1,0))/21,2))</f>
        <v/>
      </c>
      <c r="BY10" s="10" t="str">
        <f aca="false">IF(D10="","",IF(AND(AJ10="Approved",ISERROR(SEARCH("FAIL",BC10))),"Y","N"))</f>
        <v/>
      </c>
      <c r="BZ10" s="10" t="str">
        <f aca="false">IF(D10="","",D10&amp;"|"&amp;F10&amp;"|"&amp;G10&amp;"|"&amp;BY10)</f>
        <v/>
      </c>
    </row>
    <row r="11" customFormat="false" ht="15" hidden="false" customHeight="false" outlineLevel="0" collapsed="false">
      <c r="A11" s="10" t="str">
        <f aca="false">IF(D11="","","LKW-"&amp;IFERROR(VLOOKUP(D11,Lists!$AQ$4:$AR$17,2,0),"??")&amp;"-W"&amp;TEXT(F11*1000,"0000")&amp;"-H"&amp;TEXT(G11*1000,"0000")&amp;"-B"&amp;TEXT(H11*1000,"0000")&amp;"-"&amp;AI11)</f>
        <v/>
      </c>
      <c r="B11" s="10" t="str">
        <f aca="false">IF(D11="","",D11&amp;", "&amp;F11&amp;" m wide, "&amp;G11&amp;" m headroom, "&amp;H11&amp;" m bays, "&amp;I11&amp;" ("&amp;E11&amp;")")</f>
        <v/>
      </c>
      <c r="C11" s="9"/>
      <c r="D11" s="9"/>
      <c r="E11" s="9"/>
      <c r="F11" s="42"/>
      <c r="G11" s="42"/>
      <c r="H11" s="42"/>
      <c r="I11" s="9"/>
      <c r="J11" s="9"/>
      <c r="K11" s="9"/>
      <c r="L11" s="9"/>
      <c r="M11" s="9"/>
      <c r="N11" s="9"/>
      <c r="O11" s="9"/>
      <c r="P11" s="9"/>
      <c r="Q11" s="9"/>
      <c r="R11" s="9"/>
      <c r="S11" s="42"/>
      <c r="T11" s="9"/>
      <c r="U11" s="9"/>
      <c r="V11" s="9"/>
      <c r="W11" s="38"/>
      <c r="X11" s="42"/>
      <c r="Y11" s="9"/>
      <c r="Z11" s="9"/>
      <c r="AA11" s="9"/>
      <c r="AB11" s="42"/>
      <c r="AC11" s="9"/>
      <c r="AD11" s="38"/>
      <c r="AE11" s="9"/>
      <c r="AF11" s="39"/>
      <c r="AG11" s="9"/>
      <c r="AH11" s="9"/>
      <c r="AI11" s="9"/>
      <c r="AJ11" s="9"/>
      <c r="AK11" s="9"/>
      <c r="AL11" s="9"/>
      <c r="AM11" s="9"/>
      <c r="AN11" s="10" t="str">
        <f aca="false">IF(A11="","",SG_Criteria!$B$6&amp;SG_Criteria!$B$12&amp;"\"&amp;A11&amp;"\")</f>
        <v/>
      </c>
      <c r="AO11" s="10" t="str">
        <f aca="false">IF(A11="","",A11&amp;"_CAD.dwg")</f>
        <v/>
      </c>
      <c r="AP11" s="10" t="str">
        <f aca="false">IF(A11="","",A11&amp;"_DWG.pdf")</f>
        <v/>
      </c>
      <c r="AQ11" s="10" t="str">
        <f aca="false">IF(A11="","",IF(AM11="Y",A11&amp;"_STAAD.std","n/a"))</f>
        <v/>
      </c>
      <c r="AR11" s="10" t="str">
        <f aca="false">IF(A11="","",A11&amp;"_CALC.xlsx")</f>
        <v/>
      </c>
      <c r="AS11" s="10" t="str">
        <f aca="false">IF(A11="","",A11&amp;"_CALC.pdf")</f>
        <v/>
      </c>
      <c r="AT11" s="9"/>
      <c r="AU11" s="9"/>
      <c r="AV11" s="39"/>
      <c r="AW11" s="39"/>
      <c r="AX11" s="39"/>
      <c r="AY11" s="39"/>
      <c r="AZ11" s="39"/>
      <c r="BA11" s="12" t="str">
        <f aca="false">IF(A11="","",IF(COUNTIF(Rebar_Schedule!$A$5:$A$2004,A11)=0,"",ROUND(SUMIF(Rebar_Schedule!$A$5:$A$2004,A11,Rebar_Schedule!$K$5:$K$2004),1)))</f>
        <v/>
      </c>
      <c r="BB11" s="33" t="str">
        <f aca="false">IF(A11="","",IF(BA11="","No rebar schedule yet",IF(ABS(BA11-N(AW11))/MAX(N(AW11),1)&gt;SG_Criteria!$B$55,"NOTE: register rebar differs from schedule by "&amp;TEXT(ABS(BA11-N(AW11))/MAX(N(AW11),1),"0%"),"OK")))</f>
        <v/>
      </c>
      <c r="BC11" s="33" t="str">
        <f aca="false">IF(D11="","",IF(LEN(IF(AND(D11&lt;&gt;"High Covered Linkway",G11&lt;SG_Criteria!$B$46),"FAIL: headroom below "&amp;SG_Criteria!$B$46&amp;" m. ","")&amp;IF(AND(D11="High Covered Linkway",G11&lt;SG_Criteria!$B$47),"FAIL: high linkway headroom below "&amp;SG_Criteria!$B$47&amp;" m. ","")&amp;IF(F11&lt;SG_Criteria!$B$48,"FAIL: roof width below "&amp;SG_Criteria!$B$48&amp;" m. ",IF(F11&lt;SG_Criteria!$B$49,"NOTE: not for MRT/LRT or high-traffic routes (min "&amp;SG_Criteria!$B$49&amp;" m). ",""))&amp;IF(AND(W11&lt;&gt;"",W11&lt;SG_Criteria!$B$50),"FAIL: wind speed below "&amp;SG_Criteria!$B$50&amp;" m/s. ","")&amp;IF(AND(X11&lt;&gt;"",X11&lt;SG_Criteria!$B$51),"FAIL: roof fixing pull-out below "&amp;SG_Criteria!$B$51&amp;" kN. ","")&amp;IF(AND(Y11&lt;&gt;"",IFERROR(VALUE(MID(Y11,2,2)),0)&lt;SG_Criteria!$B$52),"FAIL: grade below C"&amp;SG_Criteria!$B$52&amp;". ","")&amp;IF(E11="Non-standard (project design)","NOTE: not an SDRE standard, needs LTA acceptance. ",""))=0,"OK",IF(AND(D11&lt;&gt;"High Covered Linkway",G11&lt;SG_Criteria!$B$46),"FAIL: headroom below "&amp;SG_Criteria!$B$46&amp;" m. ","")&amp;IF(AND(D11="High Covered Linkway",G11&lt;SG_Criteria!$B$47),"FAIL: high linkway headroom below "&amp;SG_Criteria!$B$47&amp;" m. ","")&amp;IF(F11&lt;SG_Criteria!$B$48,"FAIL: roof width below "&amp;SG_Criteria!$B$48&amp;" m. ",IF(F11&lt;SG_Criteria!$B$49,"NOTE: not for MRT/LRT or high-traffic routes (min "&amp;SG_Criteria!$B$49&amp;" m). ",""))&amp;IF(AND(W11&lt;&gt;"",W11&lt;SG_Criteria!$B$50),"FAIL: wind speed below "&amp;SG_Criteria!$B$50&amp;" m/s. ","")&amp;IF(AND(X11&lt;&gt;"",X11&lt;SG_Criteria!$B$51),"FAIL: roof fixing pull-out below "&amp;SG_Criteria!$B$51&amp;" kN. ","")&amp;IF(AND(Y11&lt;&gt;"",IFERROR(VALUE(MID(Y11,2,2)),0)&lt;SG_Criteria!$B$52),"FAIL: grade below C"&amp;SG_Criteria!$B$52&amp;". ","")&amp;IF(E11="Non-standard (project design)","NOTE: not an SDRE standard, needs LTA acceptance. ","")))</f>
        <v/>
      </c>
      <c r="BD11" s="9"/>
      <c r="BE11" s="9"/>
      <c r="BF11" s="9"/>
      <c r="BG11" s="10" t="str">
        <f aca="false">IF(BF11="","",IFERROR(VLOOKUP(BF11,Projects!$A$5:$D$504,2,0),"Ref not in Projects"))</f>
        <v/>
      </c>
      <c r="BH11" s="10" t="str">
        <f aca="false">IF(BF11="","",IFERROR(VLOOKUP(BF11,Projects!$A$5:$D$504,4,0),"Ref not in Projects"))</f>
        <v/>
      </c>
      <c r="BI11" s="9"/>
      <c r="BJ11" s="9"/>
      <c r="BK11" s="9"/>
      <c r="BL11" s="40"/>
      <c r="BM11" s="9"/>
      <c r="BN11" s="40"/>
      <c r="BO11" s="9"/>
      <c r="BP11" s="40"/>
      <c r="BQ11" s="9"/>
      <c r="BR11" s="9"/>
      <c r="BS11" s="9"/>
      <c r="BT11" s="40"/>
      <c r="BU11" s="40"/>
      <c r="BV11" s="36" t="str">
        <f aca="false">IF(BU11="","",EDATE(BU11,SG_Criteria!$B$54*12))</f>
        <v/>
      </c>
      <c r="BW11" s="33" t="str">
        <f aca="true">IF(A11="","",IF(BU11="","NOTE: not reviewed yet",IF(TODAY()&gt;BV11,"NOTE: review overdue","OK")))</f>
        <v/>
      </c>
      <c r="BX11" s="37" t="str">
        <f aca="false">IF(A11="","",ROUND((IF(LEN(D11)&gt;0,1,0)+IF(LEN(E11)&gt;0,1,0)+IF(LEN(F11)&gt;0,1,0)+IF(LEN(G11)&gt;0,1,0)+IF(LEN(H11)&gt;0,1,0)+IF(LEN(I11)&gt;0,1,0)+IF(LEN(J11)&gt;0,1,0)+IF(LEN(K11)&gt;0,1,0)+IF(LEN(N11)&gt;0,1,0)+IF(LEN(O11)&gt;0,1,0)+IF(LEN(W11)&gt;0,1,0)+IF(LEN(X11)&gt;0,1,0)+IF(LEN(Y11)&gt;0,1,0)+IF(LEN(AG11)&gt;0,1,0)+IF(LEN(AI11)&gt;0,1,0)+IF(LEN(AJ11)&gt;0,1,0)+IF(LEN(AK11)&gt;0,1,0)+IF(LEN(AL11)&gt;0,1,0)+IF(LEN(AU11)&gt;0,1,0)+IF(LEN(BF11)&gt;0,1,0)+IF(LEN(BS11)&gt;0,1,0))/21,2))</f>
        <v/>
      </c>
      <c r="BY11" s="10" t="str">
        <f aca="false">IF(D11="","",IF(AND(AJ11="Approved",ISERROR(SEARCH("FAIL",BC11))),"Y","N"))</f>
        <v/>
      </c>
      <c r="BZ11" s="10" t="str">
        <f aca="false">IF(D11="","",D11&amp;"|"&amp;F11&amp;"|"&amp;G11&amp;"|"&amp;BY11)</f>
        <v/>
      </c>
    </row>
    <row r="12" customFormat="false" ht="15" hidden="false" customHeight="false" outlineLevel="0" collapsed="false">
      <c r="A12" s="10" t="str">
        <f aca="false">IF(D12="","","LKW-"&amp;IFERROR(VLOOKUP(D12,Lists!$AQ$4:$AR$17,2,0),"??")&amp;"-W"&amp;TEXT(F12*1000,"0000")&amp;"-H"&amp;TEXT(G12*1000,"0000")&amp;"-B"&amp;TEXT(H12*1000,"0000")&amp;"-"&amp;AI12)</f>
        <v/>
      </c>
      <c r="B12" s="10" t="str">
        <f aca="false">IF(D12="","",D12&amp;", "&amp;F12&amp;" m wide, "&amp;G12&amp;" m headroom, "&amp;H12&amp;" m bays, "&amp;I12&amp;" ("&amp;E12&amp;")")</f>
        <v/>
      </c>
      <c r="C12" s="9"/>
      <c r="D12" s="9"/>
      <c r="E12" s="9"/>
      <c r="F12" s="42"/>
      <c r="G12" s="42"/>
      <c r="H12" s="42"/>
      <c r="I12" s="9"/>
      <c r="J12" s="9"/>
      <c r="K12" s="9"/>
      <c r="L12" s="9"/>
      <c r="M12" s="9"/>
      <c r="N12" s="9"/>
      <c r="O12" s="9"/>
      <c r="P12" s="9"/>
      <c r="Q12" s="9"/>
      <c r="R12" s="9"/>
      <c r="S12" s="42"/>
      <c r="T12" s="9"/>
      <c r="U12" s="9"/>
      <c r="V12" s="9"/>
      <c r="W12" s="38"/>
      <c r="X12" s="42"/>
      <c r="Y12" s="9"/>
      <c r="Z12" s="9"/>
      <c r="AA12" s="9"/>
      <c r="AB12" s="42"/>
      <c r="AC12" s="9"/>
      <c r="AD12" s="38"/>
      <c r="AE12" s="9"/>
      <c r="AF12" s="39"/>
      <c r="AG12" s="9"/>
      <c r="AH12" s="9"/>
      <c r="AI12" s="9"/>
      <c r="AJ12" s="9"/>
      <c r="AK12" s="9"/>
      <c r="AL12" s="9"/>
      <c r="AM12" s="9"/>
      <c r="AN12" s="10" t="str">
        <f aca="false">IF(A12="","",SG_Criteria!$B$6&amp;SG_Criteria!$B$12&amp;"\"&amp;A12&amp;"\")</f>
        <v/>
      </c>
      <c r="AO12" s="10" t="str">
        <f aca="false">IF(A12="","",A12&amp;"_CAD.dwg")</f>
        <v/>
      </c>
      <c r="AP12" s="10" t="str">
        <f aca="false">IF(A12="","",A12&amp;"_DWG.pdf")</f>
        <v/>
      </c>
      <c r="AQ12" s="10" t="str">
        <f aca="false">IF(A12="","",IF(AM12="Y",A12&amp;"_STAAD.std","n/a"))</f>
        <v/>
      </c>
      <c r="AR12" s="10" t="str">
        <f aca="false">IF(A12="","",A12&amp;"_CALC.xlsx")</f>
        <v/>
      </c>
      <c r="AS12" s="10" t="str">
        <f aca="false">IF(A12="","",A12&amp;"_CALC.pdf")</f>
        <v/>
      </c>
      <c r="AT12" s="9"/>
      <c r="AU12" s="9"/>
      <c r="AV12" s="39"/>
      <c r="AW12" s="39"/>
      <c r="AX12" s="39"/>
      <c r="AY12" s="39"/>
      <c r="AZ12" s="39"/>
      <c r="BA12" s="12" t="str">
        <f aca="false">IF(A12="","",IF(COUNTIF(Rebar_Schedule!$A$5:$A$2004,A12)=0,"",ROUND(SUMIF(Rebar_Schedule!$A$5:$A$2004,A12,Rebar_Schedule!$K$5:$K$2004),1)))</f>
        <v/>
      </c>
      <c r="BB12" s="33" t="str">
        <f aca="false">IF(A12="","",IF(BA12="","No rebar schedule yet",IF(ABS(BA12-N(AW12))/MAX(N(AW12),1)&gt;SG_Criteria!$B$55,"NOTE: register rebar differs from schedule by "&amp;TEXT(ABS(BA12-N(AW12))/MAX(N(AW12),1),"0%"),"OK")))</f>
        <v/>
      </c>
      <c r="BC12" s="33" t="str">
        <f aca="false">IF(D12="","",IF(LEN(IF(AND(D12&lt;&gt;"High Covered Linkway",G12&lt;SG_Criteria!$B$46),"FAIL: headroom below "&amp;SG_Criteria!$B$46&amp;" m. ","")&amp;IF(AND(D12="High Covered Linkway",G12&lt;SG_Criteria!$B$47),"FAIL: high linkway headroom below "&amp;SG_Criteria!$B$47&amp;" m. ","")&amp;IF(F12&lt;SG_Criteria!$B$48,"FAIL: roof width below "&amp;SG_Criteria!$B$48&amp;" m. ",IF(F12&lt;SG_Criteria!$B$49,"NOTE: not for MRT/LRT or high-traffic routes (min "&amp;SG_Criteria!$B$49&amp;" m). ",""))&amp;IF(AND(W12&lt;&gt;"",W12&lt;SG_Criteria!$B$50),"FAIL: wind speed below "&amp;SG_Criteria!$B$50&amp;" m/s. ","")&amp;IF(AND(X12&lt;&gt;"",X12&lt;SG_Criteria!$B$51),"FAIL: roof fixing pull-out below "&amp;SG_Criteria!$B$51&amp;" kN. ","")&amp;IF(AND(Y12&lt;&gt;"",IFERROR(VALUE(MID(Y12,2,2)),0)&lt;SG_Criteria!$B$52),"FAIL: grade below C"&amp;SG_Criteria!$B$52&amp;". ","")&amp;IF(E12="Non-standard (project design)","NOTE: not an SDRE standard, needs LTA acceptance. ",""))=0,"OK",IF(AND(D12&lt;&gt;"High Covered Linkway",G12&lt;SG_Criteria!$B$46),"FAIL: headroom below "&amp;SG_Criteria!$B$46&amp;" m. ","")&amp;IF(AND(D12="High Covered Linkway",G12&lt;SG_Criteria!$B$47),"FAIL: high linkway headroom below "&amp;SG_Criteria!$B$47&amp;" m. ","")&amp;IF(F12&lt;SG_Criteria!$B$48,"FAIL: roof width below "&amp;SG_Criteria!$B$48&amp;" m. ",IF(F12&lt;SG_Criteria!$B$49,"NOTE: not for MRT/LRT or high-traffic routes (min "&amp;SG_Criteria!$B$49&amp;" m). ",""))&amp;IF(AND(W12&lt;&gt;"",W12&lt;SG_Criteria!$B$50),"FAIL: wind speed below "&amp;SG_Criteria!$B$50&amp;" m/s. ","")&amp;IF(AND(X12&lt;&gt;"",X12&lt;SG_Criteria!$B$51),"FAIL: roof fixing pull-out below "&amp;SG_Criteria!$B$51&amp;" kN. ","")&amp;IF(AND(Y12&lt;&gt;"",IFERROR(VALUE(MID(Y12,2,2)),0)&lt;SG_Criteria!$B$52),"FAIL: grade below C"&amp;SG_Criteria!$B$52&amp;". ","")&amp;IF(E12="Non-standard (project design)","NOTE: not an SDRE standard, needs LTA acceptance. ","")))</f>
        <v/>
      </c>
      <c r="BD12" s="9"/>
      <c r="BE12" s="9"/>
      <c r="BF12" s="9"/>
      <c r="BG12" s="10" t="str">
        <f aca="false">IF(BF12="","",IFERROR(VLOOKUP(BF12,Projects!$A$5:$D$504,2,0),"Ref not in Projects"))</f>
        <v/>
      </c>
      <c r="BH12" s="10" t="str">
        <f aca="false">IF(BF12="","",IFERROR(VLOOKUP(BF12,Projects!$A$5:$D$504,4,0),"Ref not in Projects"))</f>
        <v/>
      </c>
      <c r="BI12" s="9"/>
      <c r="BJ12" s="9"/>
      <c r="BK12" s="9"/>
      <c r="BL12" s="40"/>
      <c r="BM12" s="9"/>
      <c r="BN12" s="40"/>
      <c r="BO12" s="9"/>
      <c r="BP12" s="40"/>
      <c r="BQ12" s="9"/>
      <c r="BR12" s="9"/>
      <c r="BS12" s="9"/>
      <c r="BT12" s="40"/>
      <c r="BU12" s="40"/>
      <c r="BV12" s="36" t="str">
        <f aca="false">IF(BU12="","",EDATE(BU12,SG_Criteria!$B$54*12))</f>
        <v/>
      </c>
      <c r="BW12" s="33" t="str">
        <f aca="true">IF(A12="","",IF(BU12="","NOTE: not reviewed yet",IF(TODAY()&gt;BV12,"NOTE: review overdue","OK")))</f>
        <v/>
      </c>
      <c r="BX12" s="37" t="str">
        <f aca="false">IF(A12="","",ROUND((IF(LEN(D12)&gt;0,1,0)+IF(LEN(E12)&gt;0,1,0)+IF(LEN(F12)&gt;0,1,0)+IF(LEN(G12)&gt;0,1,0)+IF(LEN(H12)&gt;0,1,0)+IF(LEN(I12)&gt;0,1,0)+IF(LEN(J12)&gt;0,1,0)+IF(LEN(K12)&gt;0,1,0)+IF(LEN(N12)&gt;0,1,0)+IF(LEN(O12)&gt;0,1,0)+IF(LEN(W12)&gt;0,1,0)+IF(LEN(X12)&gt;0,1,0)+IF(LEN(Y12)&gt;0,1,0)+IF(LEN(AG12)&gt;0,1,0)+IF(LEN(AI12)&gt;0,1,0)+IF(LEN(AJ12)&gt;0,1,0)+IF(LEN(AK12)&gt;0,1,0)+IF(LEN(AL12)&gt;0,1,0)+IF(LEN(AU12)&gt;0,1,0)+IF(LEN(BF12)&gt;0,1,0)+IF(LEN(BS12)&gt;0,1,0))/21,2))</f>
        <v/>
      </c>
      <c r="BY12" s="10" t="str">
        <f aca="false">IF(D12="","",IF(AND(AJ12="Approved",ISERROR(SEARCH("FAIL",BC12))),"Y","N"))</f>
        <v/>
      </c>
      <c r="BZ12" s="10" t="str">
        <f aca="false">IF(D12="","",D12&amp;"|"&amp;F12&amp;"|"&amp;G12&amp;"|"&amp;BY12)</f>
        <v/>
      </c>
    </row>
    <row r="13" customFormat="false" ht="15" hidden="false" customHeight="false" outlineLevel="0" collapsed="false">
      <c r="A13" s="10" t="str">
        <f aca="false">IF(D13="","","LKW-"&amp;IFERROR(VLOOKUP(D13,Lists!$AQ$4:$AR$17,2,0),"??")&amp;"-W"&amp;TEXT(F13*1000,"0000")&amp;"-H"&amp;TEXT(G13*1000,"0000")&amp;"-B"&amp;TEXT(H13*1000,"0000")&amp;"-"&amp;AI13)</f>
        <v/>
      </c>
      <c r="B13" s="10" t="str">
        <f aca="false">IF(D13="","",D13&amp;", "&amp;F13&amp;" m wide, "&amp;G13&amp;" m headroom, "&amp;H13&amp;" m bays, "&amp;I13&amp;" ("&amp;E13&amp;")")</f>
        <v/>
      </c>
      <c r="C13" s="9"/>
      <c r="D13" s="9"/>
      <c r="E13" s="9"/>
      <c r="F13" s="42"/>
      <c r="G13" s="42"/>
      <c r="H13" s="42"/>
      <c r="I13" s="9"/>
      <c r="J13" s="9"/>
      <c r="K13" s="9"/>
      <c r="L13" s="9"/>
      <c r="M13" s="9"/>
      <c r="N13" s="9"/>
      <c r="O13" s="9"/>
      <c r="P13" s="9"/>
      <c r="Q13" s="9"/>
      <c r="R13" s="9"/>
      <c r="S13" s="42"/>
      <c r="T13" s="9"/>
      <c r="U13" s="9"/>
      <c r="V13" s="9"/>
      <c r="W13" s="38"/>
      <c r="X13" s="42"/>
      <c r="Y13" s="9"/>
      <c r="Z13" s="9"/>
      <c r="AA13" s="9"/>
      <c r="AB13" s="42"/>
      <c r="AC13" s="9"/>
      <c r="AD13" s="38"/>
      <c r="AE13" s="9"/>
      <c r="AF13" s="39"/>
      <c r="AG13" s="9"/>
      <c r="AH13" s="9"/>
      <c r="AI13" s="9"/>
      <c r="AJ13" s="9"/>
      <c r="AK13" s="9"/>
      <c r="AL13" s="9"/>
      <c r="AM13" s="9"/>
      <c r="AN13" s="10" t="str">
        <f aca="false">IF(A13="","",SG_Criteria!$B$6&amp;SG_Criteria!$B$12&amp;"\"&amp;A13&amp;"\")</f>
        <v/>
      </c>
      <c r="AO13" s="10" t="str">
        <f aca="false">IF(A13="","",A13&amp;"_CAD.dwg")</f>
        <v/>
      </c>
      <c r="AP13" s="10" t="str">
        <f aca="false">IF(A13="","",A13&amp;"_DWG.pdf")</f>
        <v/>
      </c>
      <c r="AQ13" s="10" t="str">
        <f aca="false">IF(A13="","",IF(AM13="Y",A13&amp;"_STAAD.std","n/a"))</f>
        <v/>
      </c>
      <c r="AR13" s="10" t="str">
        <f aca="false">IF(A13="","",A13&amp;"_CALC.xlsx")</f>
        <v/>
      </c>
      <c r="AS13" s="10" t="str">
        <f aca="false">IF(A13="","",A13&amp;"_CALC.pdf")</f>
        <v/>
      </c>
      <c r="AT13" s="9"/>
      <c r="AU13" s="9"/>
      <c r="AV13" s="39"/>
      <c r="AW13" s="39"/>
      <c r="AX13" s="39"/>
      <c r="AY13" s="39"/>
      <c r="AZ13" s="39"/>
      <c r="BA13" s="12" t="str">
        <f aca="false">IF(A13="","",IF(COUNTIF(Rebar_Schedule!$A$5:$A$2004,A13)=0,"",ROUND(SUMIF(Rebar_Schedule!$A$5:$A$2004,A13,Rebar_Schedule!$K$5:$K$2004),1)))</f>
        <v/>
      </c>
      <c r="BB13" s="33" t="str">
        <f aca="false">IF(A13="","",IF(BA13="","No rebar schedule yet",IF(ABS(BA13-N(AW13))/MAX(N(AW13),1)&gt;SG_Criteria!$B$55,"NOTE: register rebar differs from schedule by "&amp;TEXT(ABS(BA13-N(AW13))/MAX(N(AW13),1),"0%"),"OK")))</f>
        <v/>
      </c>
      <c r="BC13" s="33" t="str">
        <f aca="false">IF(D13="","",IF(LEN(IF(AND(D13&lt;&gt;"High Covered Linkway",G13&lt;SG_Criteria!$B$46),"FAIL: headroom below "&amp;SG_Criteria!$B$46&amp;" m. ","")&amp;IF(AND(D13="High Covered Linkway",G13&lt;SG_Criteria!$B$47),"FAIL: high linkway headroom below "&amp;SG_Criteria!$B$47&amp;" m. ","")&amp;IF(F13&lt;SG_Criteria!$B$48,"FAIL: roof width below "&amp;SG_Criteria!$B$48&amp;" m. ",IF(F13&lt;SG_Criteria!$B$49,"NOTE: not for MRT/LRT or high-traffic routes (min "&amp;SG_Criteria!$B$49&amp;" m). ",""))&amp;IF(AND(W13&lt;&gt;"",W13&lt;SG_Criteria!$B$50),"FAIL: wind speed below "&amp;SG_Criteria!$B$50&amp;" m/s. ","")&amp;IF(AND(X13&lt;&gt;"",X13&lt;SG_Criteria!$B$51),"FAIL: roof fixing pull-out below "&amp;SG_Criteria!$B$51&amp;" kN. ","")&amp;IF(AND(Y13&lt;&gt;"",IFERROR(VALUE(MID(Y13,2,2)),0)&lt;SG_Criteria!$B$52),"FAIL: grade below C"&amp;SG_Criteria!$B$52&amp;". ","")&amp;IF(E13="Non-standard (project design)","NOTE: not an SDRE standard, needs LTA acceptance. ",""))=0,"OK",IF(AND(D13&lt;&gt;"High Covered Linkway",G13&lt;SG_Criteria!$B$46),"FAIL: headroom below "&amp;SG_Criteria!$B$46&amp;" m. ","")&amp;IF(AND(D13="High Covered Linkway",G13&lt;SG_Criteria!$B$47),"FAIL: high linkway headroom below "&amp;SG_Criteria!$B$47&amp;" m. ","")&amp;IF(F13&lt;SG_Criteria!$B$48,"FAIL: roof width below "&amp;SG_Criteria!$B$48&amp;" m. ",IF(F13&lt;SG_Criteria!$B$49,"NOTE: not for MRT/LRT or high-traffic routes (min "&amp;SG_Criteria!$B$49&amp;" m). ",""))&amp;IF(AND(W13&lt;&gt;"",W13&lt;SG_Criteria!$B$50),"FAIL: wind speed below "&amp;SG_Criteria!$B$50&amp;" m/s. ","")&amp;IF(AND(X13&lt;&gt;"",X13&lt;SG_Criteria!$B$51),"FAIL: roof fixing pull-out below "&amp;SG_Criteria!$B$51&amp;" kN. ","")&amp;IF(AND(Y13&lt;&gt;"",IFERROR(VALUE(MID(Y13,2,2)),0)&lt;SG_Criteria!$B$52),"FAIL: grade below C"&amp;SG_Criteria!$B$52&amp;". ","")&amp;IF(E13="Non-standard (project design)","NOTE: not an SDRE standard, needs LTA acceptance. ","")))</f>
        <v/>
      </c>
      <c r="BD13" s="9"/>
      <c r="BE13" s="9"/>
      <c r="BF13" s="9"/>
      <c r="BG13" s="10" t="str">
        <f aca="false">IF(BF13="","",IFERROR(VLOOKUP(BF13,Projects!$A$5:$D$504,2,0),"Ref not in Projects"))</f>
        <v/>
      </c>
      <c r="BH13" s="10" t="str">
        <f aca="false">IF(BF13="","",IFERROR(VLOOKUP(BF13,Projects!$A$5:$D$504,4,0),"Ref not in Projects"))</f>
        <v/>
      </c>
      <c r="BI13" s="9"/>
      <c r="BJ13" s="9"/>
      <c r="BK13" s="9"/>
      <c r="BL13" s="40"/>
      <c r="BM13" s="9"/>
      <c r="BN13" s="40"/>
      <c r="BO13" s="9"/>
      <c r="BP13" s="40"/>
      <c r="BQ13" s="9"/>
      <c r="BR13" s="9"/>
      <c r="BS13" s="9"/>
      <c r="BT13" s="40"/>
      <c r="BU13" s="40"/>
      <c r="BV13" s="36" t="str">
        <f aca="false">IF(BU13="","",EDATE(BU13,SG_Criteria!$B$54*12))</f>
        <v/>
      </c>
      <c r="BW13" s="33" t="str">
        <f aca="true">IF(A13="","",IF(BU13="","NOTE: not reviewed yet",IF(TODAY()&gt;BV13,"NOTE: review overdue","OK")))</f>
        <v/>
      </c>
      <c r="BX13" s="37" t="str">
        <f aca="false">IF(A13="","",ROUND((IF(LEN(D13)&gt;0,1,0)+IF(LEN(E13)&gt;0,1,0)+IF(LEN(F13)&gt;0,1,0)+IF(LEN(G13)&gt;0,1,0)+IF(LEN(H13)&gt;0,1,0)+IF(LEN(I13)&gt;0,1,0)+IF(LEN(J13)&gt;0,1,0)+IF(LEN(K13)&gt;0,1,0)+IF(LEN(N13)&gt;0,1,0)+IF(LEN(O13)&gt;0,1,0)+IF(LEN(W13)&gt;0,1,0)+IF(LEN(X13)&gt;0,1,0)+IF(LEN(Y13)&gt;0,1,0)+IF(LEN(AG13)&gt;0,1,0)+IF(LEN(AI13)&gt;0,1,0)+IF(LEN(AJ13)&gt;0,1,0)+IF(LEN(AK13)&gt;0,1,0)+IF(LEN(AL13)&gt;0,1,0)+IF(LEN(AU13)&gt;0,1,0)+IF(LEN(BF13)&gt;0,1,0)+IF(LEN(BS13)&gt;0,1,0))/21,2))</f>
        <v/>
      </c>
      <c r="BY13" s="10" t="str">
        <f aca="false">IF(D13="","",IF(AND(AJ13="Approved",ISERROR(SEARCH("FAIL",BC13))),"Y","N"))</f>
        <v/>
      </c>
      <c r="BZ13" s="10" t="str">
        <f aca="false">IF(D13="","",D13&amp;"|"&amp;F13&amp;"|"&amp;G13&amp;"|"&amp;BY13)</f>
        <v/>
      </c>
    </row>
    <row r="14" customFormat="false" ht="15" hidden="false" customHeight="false" outlineLevel="0" collapsed="false">
      <c r="A14" s="10" t="str">
        <f aca="false">IF(D14="","","LKW-"&amp;IFERROR(VLOOKUP(D14,Lists!$AQ$4:$AR$17,2,0),"??")&amp;"-W"&amp;TEXT(F14*1000,"0000")&amp;"-H"&amp;TEXT(G14*1000,"0000")&amp;"-B"&amp;TEXT(H14*1000,"0000")&amp;"-"&amp;AI14)</f>
        <v/>
      </c>
      <c r="B14" s="10" t="str">
        <f aca="false">IF(D14="","",D14&amp;", "&amp;F14&amp;" m wide, "&amp;G14&amp;" m headroom, "&amp;H14&amp;" m bays, "&amp;I14&amp;" ("&amp;E14&amp;")")</f>
        <v/>
      </c>
      <c r="C14" s="9"/>
      <c r="D14" s="9"/>
      <c r="E14" s="9"/>
      <c r="F14" s="42"/>
      <c r="G14" s="42"/>
      <c r="H14" s="42"/>
      <c r="I14" s="9"/>
      <c r="J14" s="9"/>
      <c r="K14" s="9"/>
      <c r="L14" s="9"/>
      <c r="M14" s="9"/>
      <c r="N14" s="9"/>
      <c r="O14" s="9"/>
      <c r="P14" s="9"/>
      <c r="Q14" s="9"/>
      <c r="R14" s="9"/>
      <c r="S14" s="42"/>
      <c r="T14" s="9"/>
      <c r="U14" s="9"/>
      <c r="V14" s="9"/>
      <c r="W14" s="38"/>
      <c r="X14" s="42"/>
      <c r="Y14" s="9"/>
      <c r="Z14" s="9"/>
      <c r="AA14" s="9"/>
      <c r="AB14" s="42"/>
      <c r="AC14" s="9"/>
      <c r="AD14" s="38"/>
      <c r="AE14" s="9"/>
      <c r="AF14" s="39"/>
      <c r="AG14" s="9"/>
      <c r="AH14" s="9"/>
      <c r="AI14" s="9"/>
      <c r="AJ14" s="9"/>
      <c r="AK14" s="9"/>
      <c r="AL14" s="9"/>
      <c r="AM14" s="9"/>
      <c r="AN14" s="10" t="str">
        <f aca="false">IF(A14="","",SG_Criteria!$B$6&amp;SG_Criteria!$B$12&amp;"\"&amp;A14&amp;"\")</f>
        <v/>
      </c>
      <c r="AO14" s="10" t="str">
        <f aca="false">IF(A14="","",A14&amp;"_CAD.dwg")</f>
        <v/>
      </c>
      <c r="AP14" s="10" t="str">
        <f aca="false">IF(A14="","",A14&amp;"_DWG.pdf")</f>
        <v/>
      </c>
      <c r="AQ14" s="10" t="str">
        <f aca="false">IF(A14="","",IF(AM14="Y",A14&amp;"_STAAD.std","n/a"))</f>
        <v/>
      </c>
      <c r="AR14" s="10" t="str">
        <f aca="false">IF(A14="","",A14&amp;"_CALC.xlsx")</f>
        <v/>
      </c>
      <c r="AS14" s="10" t="str">
        <f aca="false">IF(A14="","",A14&amp;"_CALC.pdf")</f>
        <v/>
      </c>
      <c r="AT14" s="9"/>
      <c r="AU14" s="9"/>
      <c r="AV14" s="39"/>
      <c r="AW14" s="39"/>
      <c r="AX14" s="39"/>
      <c r="AY14" s="39"/>
      <c r="AZ14" s="39"/>
      <c r="BA14" s="12" t="str">
        <f aca="false">IF(A14="","",IF(COUNTIF(Rebar_Schedule!$A$5:$A$2004,A14)=0,"",ROUND(SUMIF(Rebar_Schedule!$A$5:$A$2004,A14,Rebar_Schedule!$K$5:$K$2004),1)))</f>
        <v/>
      </c>
      <c r="BB14" s="33" t="str">
        <f aca="false">IF(A14="","",IF(BA14="","No rebar schedule yet",IF(ABS(BA14-N(AW14))/MAX(N(AW14),1)&gt;SG_Criteria!$B$55,"NOTE: register rebar differs from schedule by "&amp;TEXT(ABS(BA14-N(AW14))/MAX(N(AW14),1),"0%"),"OK")))</f>
        <v/>
      </c>
      <c r="BC14" s="33" t="str">
        <f aca="false">IF(D14="","",IF(LEN(IF(AND(D14&lt;&gt;"High Covered Linkway",G14&lt;SG_Criteria!$B$46),"FAIL: headroom below "&amp;SG_Criteria!$B$46&amp;" m. ","")&amp;IF(AND(D14="High Covered Linkway",G14&lt;SG_Criteria!$B$47),"FAIL: high linkway headroom below "&amp;SG_Criteria!$B$47&amp;" m. ","")&amp;IF(F14&lt;SG_Criteria!$B$48,"FAIL: roof width below "&amp;SG_Criteria!$B$48&amp;" m. ",IF(F14&lt;SG_Criteria!$B$49,"NOTE: not for MRT/LRT or high-traffic routes (min "&amp;SG_Criteria!$B$49&amp;" m). ",""))&amp;IF(AND(W14&lt;&gt;"",W14&lt;SG_Criteria!$B$50),"FAIL: wind speed below "&amp;SG_Criteria!$B$50&amp;" m/s. ","")&amp;IF(AND(X14&lt;&gt;"",X14&lt;SG_Criteria!$B$51),"FAIL: roof fixing pull-out below "&amp;SG_Criteria!$B$51&amp;" kN. ","")&amp;IF(AND(Y14&lt;&gt;"",IFERROR(VALUE(MID(Y14,2,2)),0)&lt;SG_Criteria!$B$52),"FAIL: grade below C"&amp;SG_Criteria!$B$52&amp;". ","")&amp;IF(E14="Non-standard (project design)","NOTE: not an SDRE standard, needs LTA acceptance. ",""))=0,"OK",IF(AND(D14&lt;&gt;"High Covered Linkway",G14&lt;SG_Criteria!$B$46),"FAIL: headroom below "&amp;SG_Criteria!$B$46&amp;" m. ","")&amp;IF(AND(D14="High Covered Linkway",G14&lt;SG_Criteria!$B$47),"FAIL: high linkway headroom below "&amp;SG_Criteria!$B$47&amp;" m. ","")&amp;IF(F14&lt;SG_Criteria!$B$48,"FAIL: roof width below "&amp;SG_Criteria!$B$48&amp;" m. ",IF(F14&lt;SG_Criteria!$B$49,"NOTE: not for MRT/LRT or high-traffic routes (min "&amp;SG_Criteria!$B$49&amp;" m). ",""))&amp;IF(AND(W14&lt;&gt;"",W14&lt;SG_Criteria!$B$50),"FAIL: wind speed below "&amp;SG_Criteria!$B$50&amp;" m/s. ","")&amp;IF(AND(X14&lt;&gt;"",X14&lt;SG_Criteria!$B$51),"FAIL: roof fixing pull-out below "&amp;SG_Criteria!$B$51&amp;" kN. ","")&amp;IF(AND(Y14&lt;&gt;"",IFERROR(VALUE(MID(Y14,2,2)),0)&lt;SG_Criteria!$B$52),"FAIL: grade below C"&amp;SG_Criteria!$B$52&amp;". ","")&amp;IF(E14="Non-standard (project design)","NOTE: not an SDRE standard, needs LTA acceptance. ","")))</f>
        <v/>
      </c>
      <c r="BD14" s="9"/>
      <c r="BE14" s="9"/>
      <c r="BF14" s="9"/>
      <c r="BG14" s="10" t="str">
        <f aca="false">IF(BF14="","",IFERROR(VLOOKUP(BF14,Projects!$A$5:$D$504,2,0),"Ref not in Projects"))</f>
        <v/>
      </c>
      <c r="BH14" s="10" t="str">
        <f aca="false">IF(BF14="","",IFERROR(VLOOKUP(BF14,Projects!$A$5:$D$504,4,0),"Ref not in Projects"))</f>
        <v/>
      </c>
      <c r="BI14" s="9"/>
      <c r="BJ14" s="9"/>
      <c r="BK14" s="9"/>
      <c r="BL14" s="40"/>
      <c r="BM14" s="9"/>
      <c r="BN14" s="40"/>
      <c r="BO14" s="9"/>
      <c r="BP14" s="40"/>
      <c r="BQ14" s="9"/>
      <c r="BR14" s="9"/>
      <c r="BS14" s="9"/>
      <c r="BT14" s="40"/>
      <c r="BU14" s="40"/>
      <c r="BV14" s="36" t="str">
        <f aca="false">IF(BU14="","",EDATE(BU14,SG_Criteria!$B$54*12))</f>
        <v/>
      </c>
      <c r="BW14" s="33" t="str">
        <f aca="true">IF(A14="","",IF(BU14="","NOTE: not reviewed yet",IF(TODAY()&gt;BV14,"NOTE: review overdue","OK")))</f>
        <v/>
      </c>
      <c r="BX14" s="37" t="str">
        <f aca="false">IF(A14="","",ROUND((IF(LEN(D14)&gt;0,1,0)+IF(LEN(E14)&gt;0,1,0)+IF(LEN(F14)&gt;0,1,0)+IF(LEN(G14)&gt;0,1,0)+IF(LEN(H14)&gt;0,1,0)+IF(LEN(I14)&gt;0,1,0)+IF(LEN(J14)&gt;0,1,0)+IF(LEN(K14)&gt;0,1,0)+IF(LEN(N14)&gt;0,1,0)+IF(LEN(O14)&gt;0,1,0)+IF(LEN(W14)&gt;0,1,0)+IF(LEN(X14)&gt;0,1,0)+IF(LEN(Y14)&gt;0,1,0)+IF(LEN(AG14)&gt;0,1,0)+IF(LEN(AI14)&gt;0,1,0)+IF(LEN(AJ14)&gt;0,1,0)+IF(LEN(AK14)&gt;0,1,0)+IF(LEN(AL14)&gt;0,1,0)+IF(LEN(AU14)&gt;0,1,0)+IF(LEN(BF14)&gt;0,1,0)+IF(LEN(BS14)&gt;0,1,0))/21,2))</f>
        <v/>
      </c>
      <c r="BY14" s="10" t="str">
        <f aca="false">IF(D14="","",IF(AND(AJ14="Approved",ISERROR(SEARCH("FAIL",BC14))),"Y","N"))</f>
        <v/>
      </c>
      <c r="BZ14" s="10" t="str">
        <f aca="false">IF(D14="","",D14&amp;"|"&amp;F14&amp;"|"&amp;G14&amp;"|"&amp;BY14)</f>
        <v/>
      </c>
    </row>
    <row r="15" customFormat="false" ht="15" hidden="false" customHeight="false" outlineLevel="0" collapsed="false">
      <c r="A15" s="10" t="str">
        <f aca="false">IF(D15="","","LKW-"&amp;IFERROR(VLOOKUP(D15,Lists!$AQ$4:$AR$17,2,0),"??")&amp;"-W"&amp;TEXT(F15*1000,"0000")&amp;"-H"&amp;TEXT(G15*1000,"0000")&amp;"-B"&amp;TEXT(H15*1000,"0000")&amp;"-"&amp;AI15)</f>
        <v/>
      </c>
      <c r="B15" s="10" t="str">
        <f aca="false">IF(D15="","",D15&amp;", "&amp;F15&amp;" m wide, "&amp;G15&amp;" m headroom, "&amp;H15&amp;" m bays, "&amp;I15&amp;" ("&amp;E15&amp;")")</f>
        <v/>
      </c>
      <c r="C15" s="9"/>
      <c r="D15" s="9"/>
      <c r="E15" s="9"/>
      <c r="F15" s="42"/>
      <c r="G15" s="42"/>
      <c r="H15" s="42"/>
      <c r="I15" s="9"/>
      <c r="J15" s="9"/>
      <c r="K15" s="9"/>
      <c r="L15" s="9"/>
      <c r="M15" s="9"/>
      <c r="N15" s="9"/>
      <c r="O15" s="9"/>
      <c r="P15" s="9"/>
      <c r="Q15" s="9"/>
      <c r="R15" s="9"/>
      <c r="S15" s="42"/>
      <c r="T15" s="9"/>
      <c r="U15" s="9"/>
      <c r="V15" s="9"/>
      <c r="W15" s="38"/>
      <c r="X15" s="42"/>
      <c r="Y15" s="9"/>
      <c r="Z15" s="9"/>
      <c r="AA15" s="9"/>
      <c r="AB15" s="42"/>
      <c r="AC15" s="9"/>
      <c r="AD15" s="38"/>
      <c r="AE15" s="9"/>
      <c r="AF15" s="39"/>
      <c r="AG15" s="9"/>
      <c r="AH15" s="9"/>
      <c r="AI15" s="9"/>
      <c r="AJ15" s="9"/>
      <c r="AK15" s="9"/>
      <c r="AL15" s="9"/>
      <c r="AM15" s="9"/>
      <c r="AN15" s="10" t="str">
        <f aca="false">IF(A15="","",SG_Criteria!$B$6&amp;SG_Criteria!$B$12&amp;"\"&amp;A15&amp;"\")</f>
        <v/>
      </c>
      <c r="AO15" s="10" t="str">
        <f aca="false">IF(A15="","",A15&amp;"_CAD.dwg")</f>
        <v/>
      </c>
      <c r="AP15" s="10" t="str">
        <f aca="false">IF(A15="","",A15&amp;"_DWG.pdf")</f>
        <v/>
      </c>
      <c r="AQ15" s="10" t="str">
        <f aca="false">IF(A15="","",IF(AM15="Y",A15&amp;"_STAAD.std","n/a"))</f>
        <v/>
      </c>
      <c r="AR15" s="10" t="str">
        <f aca="false">IF(A15="","",A15&amp;"_CALC.xlsx")</f>
        <v/>
      </c>
      <c r="AS15" s="10" t="str">
        <f aca="false">IF(A15="","",A15&amp;"_CALC.pdf")</f>
        <v/>
      </c>
      <c r="AT15" s="9"/>
      <c r="AU15" s="9"/>
      <c r="AV15" s="39"/>
      <c r="AW15" s="39"/>
      <c r="AX15" s="39"/>
      <c r="AY15" s="39"/>
      <c r="AZ15" s="39"/>
      <c r="BA15" s="12" t="str">
        <f aca="false">IF(A15="","",IF(COUNTIF(Rebar_Schedule!$A$5:$A$2004,A15)=0,"",ROUND(SUMIF(Rebar_Schedule!$A$5:$A$2004,A15,Rebar_Schedule!$K$5:$K$2004),1)))</f>
        <v/>
      </c>
      <c r="BB15" s="33" t="str">
        <f aca="false">IF(A15="","",IF(BA15="","No rebar schedule yet",IF(ABS(BA15-N(AW15))/MAX(N(AW15),1)&gt;SG_Criteria!$B$55,"NOTE: register rebar differs from schedule by "&amp;TEXT(ABS(BA15-N(AW15))/MAX(N(AW15),1),"0%"),"OK")))</f>
        <v/>
      </c>
      <c r="BC15" s="33" t="str">
        <f aca="false">IF(D15="","",IF(LEN(IF(AND(D15&lt;&gt;"High Covered Linkway",G15&lt;SG_Criteria!$B$46),"FAIL: headroom below "&amp;SG_Criteria!$B$46&amp;" m. ","")&amp;IF(AND(D15="High Covered Linkway",G15&lt;SG_Criteria!$B$47),"FAIL: high linkway headroom below "&amp;SG_Criteria!$B$47&amp;" m. ","")&amp;IF(F15&lt;SG_Criteria!$B$48,"FAIL: roof width below "&amp;SG_Criteria!$B$48&amp;" m. ",IF(F15&lt;SG_Criteria!$B$49,"NOTE: not for MRT/LRT or high-traffic routes (min "&amp;SG_Criteria!$B$49&amp;" m). ",""))&amp;IF(AND(W15&lt;&gt;"",W15&lt;SG_Criteria!$B$50),"FAIL: wind speed below "&amp;SG_Criteria!$B$50&amp;" m/s. ","")&amp;IF(AND(X15&lt;&gt;"",X15&lt;SG_Criteria!$B$51),"FAIL: roof fixing pull-out below "&amp;SG_Criteria!$B$51&amp;" kN. ","")&amp;IF(AND(Y15&lt;&gt;"",IFERROR(VALUE(MID(Y15,2,2)),0)&lt;SG_Criteria!$B$52),"FAIL: grade below C"&amp;SG_Criteria!$B$52&amp;". ","")&amp;IF(E15="Non-standard (project design)","NOTE: not an SDRE standard, needs LTA acceptance. ",""))=0,"OK",IF(AND(D15&lt;&gt;"High Covered Linkway",G15&lt;SG_Criteria!$B$46),"FAIL: headroom below "&amp;SG_Criteria!$B$46&amp;" m. ","")&amp;IF(AND(D15="High Covered Linkway",G15&lt;SG_Criteria!$B$47),"FAIL: high linkway headroom below "&amp;SG_Criteria!$B$47&amp;" m. ","")&amp;IF(F15&lt;SG_Criteria!$B$48,"FAIL: roof width below "&amp;SG_Criteria!$B$48&amp;" m. ",IF(F15&lt;SG_Criteria!$B$49,"NOTE: not for MRT/LRT or high-traffic routes (min "&amp;SG_Criteria!$B$49&amp;" m). ",""))&amp;IF(AND(W15&lt;&gt;"",W15&lt;SG_Criteria!$B$50),"FAIL: wind speed below "&amp;SG_Criteria!$B$50&amp;" m/s. ","")&amp;IF(AND(X15&lt;&gt;"",X15&lt;SG_Criteria!$B$51),"FAIL: roof fixing pull-out below "&amp;SG_Criteria!$B$51&amp;" kN. ","")&amp;IF(AND(Y15&lt;&gt;"",IFERROR(VALUE(MID(Y15,2,2)),0)&lt;SG_Criteria!$B$52),"FAIL: grade below C"&amp;SG_Criteria!$B$52&amp;". ","")&amp;IF(E15="Non-standard (project design)","NOTE: not an SDRE standard, needs LTA acceptance. ","")))</f>
        <v/>
      </c>
      <c r="BD15" s="9"/>
      <c r="BE15" s="9"/>
      <c r="BF15" s="9"/>
      <c r="BG15" s="10" t="str">
        <f aca="false">IF(BF15="","",IFERROR(VLOOKUP(BF15,Projects!$A$5:$D$504,2,0),"Ref not in Projects"))</f>
        <v/>
      </c>
      <c r="BH15" s="10" t="str">
        <f aca="false">IF(BF15="","",IFERROR(VLOOKUP(BF15,Projects!$A$5:$D$504,4,0),"Ref not in Projects"))</f>
        <v/>
      </c>
      <c r="BI15" s="9"/>
      <c r="BJ15" s="9"/>
      <c r="BK15" s="9"/>
      <c r="BL15" s="40"/>
      <c r="BM15" s="9"/>
      <c r="BN15" s="40"/>
      <c r="BO15" s="9"/>
      <c r="BP15" s="40"/>
      <c r="BQ15" s="9"/>
      <c r="BR15" s="9"/>
      <c r="BS15" s="9"/>
      <c r="BT15" s="40"/>
      <c r="BU15" s="40"/>
      <c r="BV15" s="36" t="str">
        <f aca="false">IF(BU15="","",EDATE(BU15,SG_Criteria!$B$54*12))</f>
        <v/>
      </c>
      <c r="BW15" s="33" t="str">
        <f aca="true">IF(A15="","",IF(BU15="","NOTE: not reviewed yet",IF(TODAY()&gt;BV15,"NOTE: review overdue","OK")))</f>
        <v/>
      </c>
      <c r="BX15" s="37" t="str">
        <f aca="false">IF(A15="","",ROUND((IF(LEN(D15)&gt;0,1,0)+IF(LEN(E15)&gt;0,1,0)+IF(LEN(F15)&gt;0,1,0)+IF(LEN(G15)&gt;0,1,0)+IF(LEN(H15)&gt;0,1,0)+IF(LEN(I15)&gt;0,1,0)+IF(LEN(J15)&gt;0,1,0)+IF(LEN(K15)&gt;0,1,0)+IF(LEN(N15)&gt;0,1,0)+IF(LEN(O15)&gt;0,1,0)+IF(LEN(W15)&gt;0,1,0)+IF(LEN(X15)&gt;0,1,0)+IF(LEN(Y15)&gt;0,1,0)+IF(LEN(AG15)&gt;0,1,0)+IF(LEN(AI15)&gt;0,1,0)+IF(LEN(AJ15)&gt;0,1,0)+IF(LEN(AK15)&gt;0,1,0)+IF(LEN(AL15)&gt;0,1,0)+IF(LEN(AU15)&gt;0,1,0)+IF(LEN(BF15)&gt;0,1,0)+IF(LEN(BS15)&gt;0,1,0))/21,2))</f>
        <v/>
      </c>
      <c r="BY15" s="10" t="str">
        <f aca="false">IF(D15="","",IF(AND(AJ15="Approved",ISERROR(SEARCH("FAIL",BC15))),"Y","N"))</f>
        <v/>
      </c>
      <c r="BZ15" s="10" t="str">
        <f aca="false">IF(D15="","",D15&amp;"|"&amp;F15&amp;"|"&amp;G15&amp;"|"&amp;BY15)</f>
        <v/>
      </c>
    </row>
    <row r="16" customFormat="false" ht="15" hidden="false" customHeight="false" outlineLevel="0" collapsed="false">
      <c r="A16" s="10" t="str">
        <f aca="false">IF(D16="","","LKW-"&amp;IFERROR(VLOOKUP(D16,Lists!$AQ$4:$AR$17,2,0),"??")&amp;"-W"&amp;TEXT(F16*1000,"0000")&amp;"-H"&amp;TEXT(G16*1000,"0000")&amp;"-B"&amp;TEXT(H16*1000,"0000")&amp;"-"&amp;AI16)</f>
        <v/>
      </c>
      <c r="B16" s="10" t="str">
        <f aca="false">IF(D16="","",D16&amp;", "&amp;F16&amp;" m wide, "&amp;G16&amp;" m headroom, "&amp;H16&amp;" m bays, "&amp;I16&amp;" ("&amp;E16&amp;")")</f>
        <v/>
      </c>
      <c r="C16" s="9"/>
      <c r="D16" s="9"/>
      <c r="E16" s="9"/>
      <c r="F16" s="42"/>
      <c r="G16" s="42"/>
      <c r="H16" s="42"/>
      <c r="I16" s="9"/>
      <c r="J16" s="9"/>
      <c r="K16" s="9"/>
      <c r="L16" s="9"/>
      <c r="M16" s="9"/>
      <c r="N16" s="9"/>
      <c r="O16" s="9"/>
      <c r="P16" s="9"/>
      <c r="Q16" s="9"/>
      <c r="R16" s="9"/>
      <c r="S16" s="42"/>
      <c r="T16" s="9"/>
      <c r="U16" s="9"/>
      <c r="V16" s="9"/>
      <c r="W16" s="38"/>
      <c r="X16" s="42"/>
      <c r="Y16" s="9"/>
      <c r="Z16" s="9"/>
      <c r="AA16" s="9"/>
      <c r="AB16" s="42"/>
      <c r="AC16" s="9"/>
      <c r="AD16" s="38"/>
      <c r="AE16" s="9"/>
      <c r="AF16" s="39"/>
      <c r="AG16" s="9"/>
      <c r="AH16" s="9"/>
      <c r="AI16" s="9"/>
      <c r="AJ16" s="9"/>
      <c r="AK16" s="9"/>
      <c r="AL16" s="9"/>
      <c r="AM16" s="9"/>
      <c r="AN16" s="10" t="str">
        <f aca="false">IF(A16="","",SG_Criteria!$B$6&amp;SG_Criteria!$B$12&amp;"\"&amp;A16&amp;"\")</f>
        <v/>
      </c>
      <c r="AO16" s="10" t="str">
        <f aca="false">IF(A16="","",A16&amp;"_CAD.dwg")</f>
        <v/>
      </c>
      <c r="AP16" s="10" t="str">
        <f aca="false">IF(A16="","",A16&amp;"_DWG.pdf")</f>
        <v/>
      </c>
      <c r="AQ16" s="10" t="str">
        <f aca="false">IF(A16="","",IF(AM16="Y",A16&amp;"_STAAD.std","n/a"))</f>
        <v/>
      </c>
      <c r="AR16" s="10" t="str">
        <f aca="false">IF(A16="","",A16&amp;"_CALC.xlsx")</f>
        <v/>
      </c>
      <c r="AS16" s="10" t="str">
        <f aca="false">IF(A16="","",A16&amp;"_CALC.pdf")</f>
        <v/>
      </c>
      <c r="AT16" s="9"/>
      <c r="AU16" s="9"/>
      <c r="AV16" s="39"/>
      <c r="AW16" s="39"/>
      <c r="AX16" s="39"/>
      <c r="AY16" s="39"/>
      <c r="AZ16" s="39"/>
      <c r="BA16" s="12" t="str">
        <f aca="false">IF(A16="","",IF(COUNTIF(Rebar_Schedule!$A$5:$A$2004,A16)=0,"",ROUND(SUMIF(Rebar_Schedule!$A$5:$A$2004,A16,Rebar_Schedule!$K$5:$K$2004),1)))</f>
        <v/>
      </c>
      <c r="BB16" s="33" t="str">
        <f aca="false">IF(A16="","",IF(BA16="","No rebar schedule yet",IF(ABS(BA16-N(AW16))/MAX(N(AW16),1)&gt;SG_Criteria!$B$55,"NOTE: register rebar differs from schedule by "&amp;TEXT(ABS(BA16-N(AW16))/MAX(N(AW16),1),"0%"),"OK")))</f>
        <v/>
      </c>
      <c r="BC16" s="33" t="str">
        <f aca="false">IF(D16="","",IF(LEN(IF(AND(D16&lt;&gt;"High Covered Linkway",G16&lt;SG_Criteria!$B$46),"FAIL: headroom below "&amp;SG_Criteria!$B$46&amp;" m. ","")&amp;IF(AND(D16="High Covered Linkway",G16&lt;SG_Criteria!$B$47),"FAIL: high linkway headroom below "&amp;SG_Criteria!$B$47&amp;" m. ","")&amp;IF(F16&lt;SG_Criteria!$B$48,"FAIL: roof width below "&amp;SG_Criteria!$B$48&amp;" m. ",IF(F16&lt;SG_Criteria!$B$49,"NOTE: not for MRT/LRT or high-traffic routes (min "&amp;SG_Criteria!$B$49&amp;" m). ",""))&amp;IF(AND(W16&lt;&gt;"",W16&lt;SG_Criteria!$B$50),"FAIL: wind speed below "&amp;SG_Criteria!$B$50&amp;" m/s. ","")&amp;IF(AND(X16&lt;&gt;"",X16&lt;SG_Criteria!$B$51),"FAIL: roof fixing pull-out below "&amp;SG_Criteria!$B$51&amp;" kN. ","")&amp;IF(AND(Y16&lt;&gt;"",IFERROR(VALUE(MID(Y16,2,2)),0)&lt;SG_Criteria!$B$52),"FAIL: grade below C"&amp;SG_Criteria!$B$52&amp;". ","")&amp;IF(E16="Non-standard (project design)","NOTE: not an SDRE standard, needs LTA acceptance. ",""))=0,"OK",IF(AND(D16&lt;&gt;"High Covered Linkway",G16&lt;SG_Criteria!$B$46),"FAIL: headroom below "&amp;SG_Criteria!$B$46&amp;" m. ","")&amp;IF(AND(D16="High Covered Linkway",G16&lt;SG_Criteria!$B$47),"FAIL: high linkway headroom below "&amp;SG_Criteria!$B$47&amp;" m. ","")&amp;IF(F16&lt;SG_Criteria!$B$48,"FAIL: roof width below "&amp;SG_Criteria!$B$48&amp;" m. ",IF(F16&lt;SG_Criteria!$B$49,"NOTE: not for MRT/LRT or high-traffic routes (min "&amp;SG_Criteria!$B$49&amp;" m). ",""))&amp;IF(AND(W16&lt;&gt;"",W16&lt;SG_Criteria!$B$50),"FAIL: wind speed below "&amp;SG_Criteria!$B$50&amp;" m/s. ","")&amp;IF(AND(X16&lt;&gt;"",X16&lt;SG_Criteria!$B$51),"FAIL: roof fixing pull-out below "&amp;SG_Criteria!$B$51&amp;" kN. ","")&amp;IF(AND(Y16&lt;&gt;"",IFERROR(VALUE(MID(Y16,2,2)),0)&lt;SG_Criteria!$B$52),"FAIL: grade below C"&amp;SG_Criteria!$B$52&amp;". ","")&amp;IF(E16="Non-standard (project design)","NOTE: not an SDRE standard, needs LTA acceptance. ","")))</f>
        <v/>
      </c>
      <c r="BD16" s="9"/>
      <c r="BE16" s="9"/>
      <c r="BF16" s="9"/>
      <c r="BG16" s="10" t="str">
        <f aca="false">IF(BF16="","",IFERROR(VLOOKUP(BF16,Projects!$A$5:$D$504,2,0),"Ref not in Projects"))</f>
        <v/>
      </c>
      <c r="BH16" s="10" t="str">
        <f aca="false">IF(BF16="","",IFERROR(VLOOKUP(BF16,Projects!$A$5:$D$504,4,0),"Ref not in Projects"))</f>
        <v/>
      </c>
      <c r="BI16" s="9"/>
      <c r="BJ16" s="9"/>
      <c r="BK16" s="9"/>
      <c r="BL16" s="40"/>
      <c r="BM16" s="9"/>
      <c r="BN16" s="40"/>
      <c r="BO16" s="9"/>
      <c r="BP16" s="40"/>
      <c r="BQ16" s="9"/>
      <c r="BR16" s="9"/>
      <c r="BS16" s="9"/>
      <c r="BT16" s="40"/>
      <c r="BU16" s="40"/>
      <c r="BV16" s="36" t="str">
        <f aca="false">IF(BU16="","",EDATE(BU16,SG_Criteria!$B$54*12))</f>
        <v/>
      </c>
      <c r="BW16" s="33" t="str">
        <f aca="true">IF(A16="","",IF(BU16="","NOTE: not reviewed yet",IF(TODAY()&gt;BV16,"NOTE: review overdue","OK")))</f>
        <v/>
      </c>
      <c r="BX16" s="37" t="str">
        <f aca="false">IF(A16="","",ROUND((IF(LEN(D16)&gt;0,1,0)+IF(LEN(E16)&gt;0,1,0)+IF(LEN(F16)&gt;0,1,0)+IF(LEN(G16)&gt;0,1,0)+IF(LEN(H16)&gt;0,1,0)+IF(LEN(I16)&gt;0,1,0)+IF(LEN(J16)&gt;0,1,0)+IF(LEN(K16)&gt;0,1,0)+IF(LEN(N16)&gt;0,1,0)+IF(LEN(O16)&gt;0,1,0)+IF(LEN(W16)&gt;0,1,0)+IF(LEN(X16)&gt;0,1,0)+IF(LEN(Y16)&gt;0,1,0)+IF(LEN(AG16)&gt;0,1,0)+IF(LEN(AI16)&gt;0,1,0)+IF(LEN(AJ16)&gt;0,1,0)+IF(LEN(AK16)&gt;0,1,0)+IF(LEN(AL16)&gt;0,1,0)+IF(LEN(AU16)&gt;0,1,0)+IF(LEN(BF16)&gt;0,1,0)+IF(LEN(BS16)&gt;0,1,0))/21,2))</f>
        <v/>
      </c>
      <c r="BY16" s="10" t="str">
        <f aca="false">IF(D16="","",IF(AND(AJ16="Approved",ISERROR(SEARCH("FAIL",BC16))),"Y","N"))</f>
        <v/>
      </c>
      <c r="BZ16" s="10" t="str">
        <f aca="false">IF(D16="","",D16&amp;"|"&amp;F16&amp;"|"&amp;G16&amp;"|"&amp;BY16)</f>
        <v/>
      </c>
    </row>
    <row r="17" customFormat="false" ht="15" hidden="false" customHeight="false" outlineLevel="0" collapsed="false">
      <c r="A17" s="10" t="str">
        <f aca="false">IF(D17="","","LKW-"&amp;IFERROR(VLOOKUP(D17,Lists!$AQ$4:$AR$17,2,0),"??")&amp;"-W"&amp;TEXT(F17*1000,"0000")&amp;"-H"&amp;TEXT(G17*1000,"0000")&amp;"-B"&amp;TEXT(H17*1000,"0000")&amp;"-"&amp;AI17)</f>
        <v/>
      </c>
      <c r="B17" s="10" t="str">
        <f aca="false">IF(D17="","",D17&amp;", "&amp;F17&amp;" m wide, "&amp;G17&amp;" m headroom, "&amp;H17&amp;" m bays, "&amp;I17&amp;" ("&amp;E17&amp;")")</f>
        <v/>
      </c>
      <c r="C17" s="9"/>
      <c r="D17" s="9"/>
      <c r="E17" s="9"/>
      <c r="F17" s="42"/>
      <c r="G17" s="42"/>
      <c r="H17" s="42"/>
      <c r="I17" s="9"/>
      <c r="J17" s="9"/>
      <c r="K17" s="9"/>
      <c r="L17" s="9"/>
      <c r="M17" s="9"/>
      <c r="N17" s="9"/>
      <c r="O17" s="9"/>
      <c r="P17" s="9"/>
      <c r="Q17" s="9"/>
      <c r="R17" s="9"/>
      <c r="S17" s="42"/>
      <c r="T17" s="9"/>
      <c r="U17" s="9"/>
      <c r="V17" s="9"/>
      <c r="W17" s="38"/>
      <c r="X17" s="42"/>
      <c r="Y17" s="9"/>
      <c r="Z17" s="9"/>
      <c r="AA17" s="9"/>
      <c r="AB17" s="42"/>
      <c r="AC17" s="9"/>
      <c r="AD17" s="38"/>
      <c r="AE17" s="9"/>
      <c r="AF17" s="39"/>
      <c r="AG17" s="9"/>
      <c r="AH17" s="9"/>
      <c r="AI17" s="9"/>
      <c r="AJ17" s="9"/>
      <c r="AK17" s="9"/>
      <c r="AL17" s="9"/>
      <c r="AM17" s="9"/>
      <c r="AN17" s="10" t="str">
        <f aca="false">IF(A17="","",SG_Criteria!$B$6&amp;SG_Criteria!$B$12&amp;"\"&amp;A17&amp;"\")</f>
        <v/>
      </c>
      <c r="AO17" s="10" t="str">
        <f aca="false">IF(A17="","",A17&amp;"_CAD.dwg")</f>
        <v/>
      </c>
      <c r="AP17" s="10" t="str">
        <f aca="false">IF(A17="","",A17&amp;"_DWG.pdf")</f>
        <v/>
      </c>
      <c r="AQ17" s="10" t="str">
        <f aca="false">IF(A17="","",IF(AM17="Y",A17&amp;"_STAAD.std","n/a"))</f>
        <v/>
      </c>
      <c r="AR17" s="10" t="str">
        <f aca="false">IF(A17="","",A17&amp;"_CALC.xlsx")</f>
        <v/>
      </c>
      <c r="AS17" s="10" t="str">
        <f aca="false">IF(A17="","",A17&amp;"_CALC.pdf")</f>
        <v/>
      </c>
      <c r="AT17" s="9"/>
      <c r="AU17" s="9"/>
      <c r="AV17" s="39"/>
      <c r="AW17" s="39"/>
      <c r="AX17" s="39"/>
      <c r="AY17" s="39"/>
      <c r="AZ17" s="39"/>
      <c r="BA17" s="12" t="str">
        <f aca="false">IF(A17="","",IF(COUNTIF(Rebar_Schedule!$A$5:$A$2004,A17)=0,"",ROUND(SUMIF(Rebar_Schedule!$A$5:$A$2004,A17,Rebar_Schedule!$K$5:$K$2004),1)))</f>
        <v/>
      </c>
      <c r="BB17" s="33" t="str">
        <f aca="false">IF(A17="","",IF(BA17="","No rebar schedule yet",IF(ABS(BA17-N(AW17))/MAX(N(AW17),1)&gt;SG_Criteria!$B$55,"NOTE: register rebar differs from schedule by "&amp;TEXT(ABS(BA17-N(AW17))/MAX(N(AW17),1),"0%"),"OK")))</f>
        <v/>
      </c>
      <c r="BC17" s="33" t="str">
        <f aca="false">IF(D17="","",IF(LEN(IF(AND(D17&lt;&gt;"High Covered Linkway",G17&lt;SG_Criteria!$B$46),"FAIL: headroom below "&amp;SG_Criteria!$B$46&amp;" m. ","")&amp;IF(AND(D17="High Covered Linkway",G17&lt;SG_Criteria!$B$47),"FAIL: high linkway headroom below "&amp;SG_Criteria!$B$47&amp;" m. ","")&amp;IF(F17&lt;SG_Criteria!$B$48,"FAIL: roof width below "&amp;SG_Criteria!$B$48&amp;" m. ",IF(F17&lt;SG_Criteria!$B$49,"NOTE: not for MRT/LRT or high-traffic routes (min "&amp;SG_Criteria!$B$49&amp;" m). ",""))&amp;IF(AND(W17&lt;&gt;"",W17&lt;SG_Criteria!$B$50),"FAIL: wind speed below "&amp;SG_Criteria!$B$50&amp;" m/s. ","")&amp;IF(AND(X17&lt;&gt;"",X17&lt;SG_Criteria!$B$51),"FAIL: roof fixing pull-out below "&amp;SG_Criteria!$B$51&amp;" kN. ","")&amp;IF(AND(Y17&lt;&gt;"",IFERROR(VALUE(MID(Y17,2,2)),0)&lt;SG_Criteria!$B$52),"FAIL: grade below C"&amp;SG_Criteria!$B$52&amp;". ","")&amp;IF(E17="Non-standard (project design)","NOTE: not an SDRE standard, needs LTA acceptance. ",""))=0,"OK",IF(AND(D17&lt;&gt;"High Covered Linkway",G17&lt;SG_Criteria!$B$46),"FAIL: headroom below "&amp;SG_Criteria!$B$46&amp;" m. ","")&amp;IF(AND(D17="High Covered Linkway",G17&lt;SG_Criteria!$B$47),"FAIL: high linkway headroom below "&amp;SG_Criteria!$B$47&amp;" m. ","")&amp;IF(F17&lt;SG_Criteria!$B$48,"FAIL: roof width below "&amp;SG_Criteria!$B$48&amp;" m. ",IF(F17&lt;SG_Criteria!$B$49,"NOTE: not for MRT/LRT or high-traffic routes (min "&amp;SG_Criteria!$B$49&amp;" m). ",""))&amp;IF(AND(W17&lt;&gt;"",W17&lt;SG_Criteria!$B$50),"FAIL: wind speed below "&amp;SG_Criteria!$B$50&amp;" m/s. ","")&amp;IF(AND(X17&lt;&gt;"",X17&lt;SG_Criteria!$B$51),"FAIL: roof fixing pull-out below "&amp;SG_Criteria!$B$51&amp;" kN. ","")&amp;IF(AND(Y17&lt;&gt;"",IFERROR(VALUE(MID(Y17,2,2)),0)&lt;SG_Criteria!$B$52),"FAIL: grade below C"&amp;SG_Criteria!$B$52&amp;". ","")&amp;IF(E17="Non-standard (project design)","NOTE: not an SDRE standard, needs LTA acceptance. ","")))</f>
        <v/>
      </c>
      <c r="BD17" s="9"/>
      <c r="BE17" s="9"/>
      <c r="BF17" s="9"/>
      <c r="BG17" s="10" t="str">
        <f aca="false">IF(BF17="","",IFERROR(VLOOKUP(BF17,Projects!$A$5:$D$504,2,0),"Ref not in Projects"))</f>
        <v/>
      </c>
      <c r="BH17" s="10" t="str">
        <f aca="false">IF(BF17="","",IFERROR(VLOOKUP(BF17,Projects!$A$5:$D$504,4,0),"Ref not in Projects"))</f>
        <v/>
      </c>
      <c r="BI17" s="9"/>
      <c r="BJ17" s="9"/>
      <c r="BK17" s="9"/>
      <c r="BL17" s="40"/>
      <c r="BM17" s="9"/>
      <c r="BN17" s="40"/>
      <c r="BO17" s="9"/>
      <c r="BP17" s="40"/>
      <c r="BQ17" s="9"/>
      <c r="BR17" s="9"/>
      <c r="BS17" s="9"/>
      <c r="BT17" s="40"/>
      <c r="BU17" s="40"/>
      <c r="BV17" s="36" t="str">
        <f aca="false">IF(BU17="","",EDATE(BU17,SG_Criteria!$B$54*12))</f>
        <v/>
      </c>
      <c r="BW17" s="33" t="str">
        <f aca="true">IF(A17="","",IF(BU17="","NOTE: not reviewed yet",IF(TODAY()&gt;BV17,"NOTE: review overdue","OK")))</f>
        <v/>
      </c>
      <c r="BX17" s="37" t="str">
        <f aca="false">IF(A17="","",ROUND((IF(LEN(D17)&gt;0,1,0)+IF(LEN(E17)&gt;0,1,0)+IF(LEN(F17)&gt;0,1,0)+IF(LEN(G17)&gt;0,1,0)+IF(LEN(H17)&gt;0,1,0)+IF(LEN(I17)&gt;0,1,0)+IF(LEN(J17)&gt;0,1,0)+IF(LEN(K17)&gt;0,1,0)+IF(LEN(N17)&gt;0,1,0)+IF(LEN(O17)&gt;0,1,0)+IF(LEN(W17)&gt;0,1,0)+IF(LEN(X17)&gt;0,1,0)+IF(LEN(Y17)&gt;0,1,0)+IF(LEN(AG17)&gt;0,1,0)+IF(LEN(AI17)&gt;0,1,0)+IF(LEN(AJ17)&gt;0,1,0)+IF(LEN(AK17)&gt;0,1,0)+IF(LEN(AL17)&gt;0,1,0)+IF(LEN(AU17)&gt;0,1,0)+IF(LEN(BF17)&gt;0,1,0)+IF(LEN(BS17)&gt;0,1,0))/21,2))</f>
        <v/>
      </c>
      <c r="BY17" s="10" t="str">
        <f aca="false">IF(D17="","",IF(AND(AJ17="Approved",ISERROR(SEARCH("FAIL",BC17))),"Y","N"))</f>
        <v/>
      </c>
      <c r="BZ17" s="10" t="str">
        <f aca="false">IF(D17="","",D17&amp;"|"&amp;F17&amp;"|"&amp;G17&amp;"|"&amp;BY17)</f>
        <v/>
      </c>
    </row>
    <row r="18" customFormat="false" ht="15" hidden="false" customHeight="false" outlineLevel="0" collapsed="false">
      <c r="A18" s="10" t="str">
        <f aca="false">IF(D18="","","LKW-"&amp;IFERROR(VLOOKUP(D18,Lists!$AQ$4:$AR$17,2,0),"??")&amp;"-W"&amp;TEXT(F18*1000,"0000")&amp;"-H"&amp;TEXT(G18*1000,"0000")&amp;"-B"&amp;TEXT(H18*1000,"0000")&amp;"-"&amp;AI18)</f>
        <v/>
      </c>
      <c r="B18" s="10" t="str">
        <f aca="false">IF(D18="","",D18&amp;", "&amp;F18&amp;" m wide, "&amp;G18&amp;" m headroom, "&amp;H18&amp;" m bays, "&amp;I18&amp;" ("&amp;E18&amp;")")</f>
        <v/>
      </c>
      <c r="C18" s="9"/>
      <c r="D18" s="9"/>
      <c r="E18" s="9"/>
      <c r="F18" s="42"/>
      <c r="G18" s="42"/>
      <c r="H18" s="42"/>
      <c r="I18" s="9"/>
      <c r="J18" s="9"/>
      <c r="K18" s="9"/>
      <c r="L18" s="9"/>
      <c r="M18" s="9"/>
      <c r="N18" s="9"/>
      <c r="O18" s="9"/>
      <c r="P18" s="9"/>
      <c r="Q18" s="9"/>
      <c r="R18" s="9"/>
      <c r="S18" s="42"/>
      <c r="T18" s="9"/>
      <c r="U18" s="9"/>
      <c r="V18" s="9"/>
      <c r="W18" s="38"/>
      <c r="X18" s="42"/>
      <c r="Y18" s="9"/>
      <c r="Z18" s="9"/>
      <c r="AA18" s="9"/>
      <c r="AB18" s="42"/>
      <c r="AC18" s="9"/>
      <c r="AD18" s="38"/>
      <c r="AE18" s="9"/>
      <c r="AF18" s="39"/>
      <c r="AG18" s="9"/>
      <c r="AH18" s="9"/>
      <c r="AI18" s="9"/>
      <c r="AJ18" s="9"/>
      <c r="AK18" s="9"/>
      <c r="AL18" s="9"/>
      <c r="AM18" s="9"/>
      <c r="AN18" s="10" t="str">
        <f aca="false">IF(A18="","",SG_Criteria!$B$6&amp;SG_Criteria!$B$12&amp;"\"&amp;A18&amp;"\")</f>
        <v/>
      </c>
      <c r="AO18" s="10" t="str">
        <f aca="false">IF(A18="","",A18&amp;"_CAD.dwg")</f>
        <v/>
      </c>
      <c r="AP18" s="10" t="str">
        <f aca="false">IF(A18="","",A18&amp;"_DWG.pdf")</f>
        <v/>
      </c>
      <c r="AQ18" s="10" t="str">
        <f aca="false">IF(A18="","",IF(AM18="Y",A18&amp;"_STAAD.std","n/a"))</f>
        <v/>
      </c>
      <c r="AR18" s="10" t="str">
        <f aca="false">IF(A18="","",A18&amp;"_CALC.xlsx")</f>
        <v/>
      </c>
      <c r="AS18" s="10" t="str">
        <f aca="false">IF(A18="","",A18&amp;"_CALC.pdf")</f>
        <v/>
      </c>
      <c r="AT18" s="9"/>
      <c r="AU18" s="9"/>
      <c r="AV18" s="39"/>
      <c r="AW18" s="39"/>
      <c r="AX18" s="39"/>
      <c r="AY18" s="39"/>
      <c r="AZ18" s="39"/>
      <c r="BA18" s="12" t="str">
        <f aca="false">IF(A18="","",IF(COUNTIF(Rebar_Schedule!$A$5:$A$2004,A18)=0,"",ROUND(SUMIF(Rebar_Schedule!$A$5:$A$2004,A18,Rebar_Schedule!$K$5:$K$2004),1)))</f>
        <v/>
      </c>
      <c r="BB18" s="33" t="str">
        <f aca="false">IF(A18="","",IF(BA18="","No rebar schedule yet",IF(ABS(BA18-N(AW18))/MAX(N(AW18),1)&gt;SG_Criteria!$B$55,"NOTE: register rebar differs from schedule by "&amp;TEXT(ABS(BA18-N(AW18))/MAX(N(AW18),1),"0%"),"OK")))</f>
        <v/>
      </c>
      <c r="BC18" s="33" t="str">
        <f aca="false">IF(D18="","",IF(LEN(IF(AND(D18&lt;&gt;"High Covered Linkway",G18&lt;SG_Criteria!$B$46),"FAIL: headroom below "&amp;SG_Criteria!$B$46&amp;" m. ","")&amp;IF(AND(D18="High Covered Linkway",G18&lt;SG_Criteria!$B$47),"FAIL: high linkway headroom below "&amp;SG_Criteria!$B$47&amp;" m. ","")&amp;IF(F18&lt;SG_Criteria!$B$48,"FAIL: roof width below "&amp;SG_Criteria!$B$48&amp;" m. ",IF(F18&lt;SG_Criteria!$B$49,"NOTE: not for MRT/LRT or high-traffic routes (min "&amp;SG_Criteria!$B$49&amp;" m). ",""))&amp;IF(AND(W18&lt;&gt;"",W18&lt;SG_Criteria!$B$50),"FAIL: wind speed below "&amp;SG_Criteria!$B$50&amp;" m/s. ","")&amp;IF(AND(X18&lt;&gt;"",X18&lt;SG_Criteria!$B$51),"FAIL: roof fixing pull-out below "&amp;SG_Criteria!$B$51&amp;" kN. ","")&amp;IF(AND(Y18&lt;&gt;"",IFERROR(VALUE(MID(Y18,2,2)),0)&lt;SG_Criteria!$B$52),"FAIL: grade below C"&amp;SG_Criteria!$B$52&amp;". ","")&amp;IF(E18="Non-standard (project design)","NOTE: not an SDRE standard, needs LTA acceptance. ",""))=0,"OK",IF(AND(D18&lt;&gt;"High Covered Linkway",G18&lt;SG_Criteria!$B$46),"FAIL: headroom below "&amp;SG_Criteria!$B$46&amp;" m. ","")&amp;IF(AND(D18="High Covered Linkway",G18&lt;SG_Criteria!$B$47),"FAIL: high linkway headroom below "&amp;SG_Criteria!$B$47&amp;" m. ","")&amp;IF(F18&lt;SG_Criteria!$B$48,"FAIL: roof width below "&amp;SG_Criteria!$B$48&amp;" m. ",IF(F18&lt;SG_Criteria!$B$49,"NOTE: not for MRT/LRT or high-traffic routes (min "&amp;SG_Criteria!$B$49&amp;" m). ",""))&amp;IF(AND(W18&lt;&gt;"",W18&lt;SG_Criteria!$B$50),"FAIL: wind speed below "&amp;SG_Criteria!$B$50&amp;" m/s. ","")&amp;IF(AND(X18&lt;&gt;"",X18&lt;SG_Criteria!$B$51),"FAIL: roof fixing pull-out below "&amp;SG_Criteria!$B$51&amp;" kN. ","")&amp;IF(AND(Y18&lt;&gt;"",IFERROR(VALUE(MID(Y18,2,2)),0)&lt;SG_Criteria!$B$52),"FAIL: grade below C"&amp;SG_Criteria!$B$52&amp;". ","")&amp;IF(E18="Non-standard (project design)","NOTE: not an SDRE standard, needs LTA acceptance. ","")))</f>
        <v/>
      </c>
      <c r="BD18" s="9"/>
      <c r="BE18" s="9"/>
      <c r="BF18" s="9"/>
      <c r="BG18" s="10" t="str">
        <f aca="false">IF(BF18="","",IFERROR(VLOOKUP(BF18,Projects!$A$5:$D$504,2,0),"Ref not in Projects"))</f>
        <v/>
      </c>
      <c r="BH18" s="10" t="str">
        <f aca="false">IF(BF18="","",IFERROR(VLOOKUP(BF18,Projects!$A$5:$D$504,4,0),"Ref not in Projects"))</f>
        <v/>
      </c>
      <c r="BI18" s="9"/>
      <c r="BJ18" s="9"/>
      <c r="BK18" s="9"/>
      <c r="BL18" s="40"/>
      <c r="BM18" s="9"/>
      <c r="BN18" s="40"/>
      <c r="BO18" s="9"/>
      <c r="BP18" s="40"/>
      <c r="BQ18" s="9"/>
      <c r="BR18" s="9"/>
      <c r="BS18" s="9"/>
      <c r="BT18" s="40"/>
      <c r="BU18" s="40"/>
      <c r="BV18" s="36" t="str">
        <f aca="false">IF(BU18="","",EDATE(BU18,SG_Criteria!$B$54*12))</f>
        <v/>
      </c>
      <c r="BW18" s="33" t="str">
        <f aca="true">IF(A18="","",IF(BU18="","NOTE: not reviewed yet",IF(TODAY()&gt;BV18,"NOTE: review overdue","OK")))</f>
        <v/>
      </c>
      <c r="BX18" s="37" t="str">
        <f aca="false">IF(A18="","",ROUND((IF(LEN(D18)&gt;0,1,0)+IF(LEN(E18)&gt;0,1,0)+IF(LEN(F18)&gt;0,1,0)+IF(LEN(G18)&gt;0,1,0)+IF(LEN(H18)&gt;0,1,0)+IF(LEN(I18)&gt;0,1,0)+IF(LEN(J18)&gt;0,1,0)+IF(LEN(K18)&gt;0,1,0)+IF(LEN(N18)&gt;0,1,0)+IF(LEN(O18)&gt;0,1,0)+IF(LEN(W18)&gt;0,1,0)+IF(LEN(X18)&gt;0,1,0)+IF(LEN(Y18)&gt;0,1,0)+IF(LEN(AG18)&gt;0,1,0)+IF(LEN(AI18)&gt;0,1,0)+IF(LEN(AJ18)&gt;0,1,0)+IF(LEN(AK18)&gt;0,1,0)+IF(LEN(AL18)&gt;0,1,0)+IF(LEN(AU18)&gt;0,1,0)+IF(LEN(BF18)&gt;0,1,0)+IF(LEN(BS18)&gt;0,1,0))/21,2))</f>
        <v/>
      </c>
      <c r="BY18" s="10" t="str">
        <f aca="false">IF(D18="","",IF(AND(AJ18="Approved",ISERROR(SEARCH("FAIL",BC18))),"Y","N"))</f>
        <v/>
      </c>
      <c r="BZ18" s="10" t="str">
        <f aca="false">IF(D18="","",D18&amp;"|"&amp;F18&amp;"|"&amp;G18&amp;"|"&amp;BY18)</f>
        <v/>
      </c>
    </row>
    <row r="19" customFormat="false" ht="15" hidden="false" customHeight="false" outlineLevel="0" collapsed="false">
      <c r="A19" s="10" t="str">
        <f aca="false">IF(D19="","","LKW-"&amp;IFERROR(VLOOKUP(D19,Lists!$AQ$4:$AR$17,2,0),"??")&amp;"-W"&amp;TEXT(F19*1000,"0000")&amp;"-H"&amp;TEXT(G19*1000,"0000")&amp;"-B"&amp;TEXT(H19*1000,"0000")&amp;"-"&amp;AI19)</f>
        <v/>
      </c>
      <c r="B19" s="10" t="str">
        <f aca="false">IF(D19="","",D19&amp;", "&amp;F19&amp;" m wide, "&amp;G19&amp;" m headroom, "&amp;H19&amp;" m bays, "&amp;I19&amp;" ("&amp;E19&amp;")")</f>
        <v/>
      </c>
      <c r="C19" s="9"/>
      <c r="D19" s="9"/>
      <c r="E19" s="9"/>
      <c r="F19" s="42"/>
      <c r="G19" s="42"/>
      <c r="H19" s="42"/>
      <c r="I19" s="9"/>
      <c r="J19" s="9"/>
      <c r="K19" s="9"/>
      <c r="L19" s="9"/>
      <c r="M19" s="9"/>
      <c r="N19" s="9"/>
      <c r="O19" s="9"/>
      <c r="P19" s="9"/>
      <c r="Q19" s="9"/>
      <c r="R19" s="9"/>
      <c r="S19" s="42"/>
      <c r="T19" s="9"/>
      <c r="U19" s="9"/>
      <c r="V19" s="9"/>
      <c r="W19" s="38"/>
      <c r="X19" s="42"/>
      <c r="Y19" s="9"/>
      <c r="Z19" s="9"/>
      <c r="AA19" s="9"/>
      <c r="AB19" s="42"/>
      <c r="AC19" s="9"/>
      <c r="AD19" s="38"/>
      <c r="AE19" s="9"/>
      <c r="AF19" s="39"/>
      <c r="AG19" s="9"/>
      <c r="AH19" s="9"/>
      <c r="AI19" s="9"/>
      <c r="AJ19" s="9"/>
      <c r="AK19" s="9"/>
      <c r="AL19" s="9"/>
      <c r="AM19" s="9"/>
      <c r="AN19" s="10" t="str">
        <f aca="false">IF(A19="","",SG_Criteria!$B$6&amp;SG_Criteria!$B$12&amp;"\"&amp;A19&amp;"\")</f>
        <v/>
      </c>
      <c r="AO19" s="10" t="str">
        <f aca="false">IF(A19="","",A19&amp;"_CAD.dwg")</f>
        <v/>
      </c>
      <c r="AP19" s="10" t="str">
        <f aca="false">IF(A19="","",A19&amp;"_DWG.pdf")</f>
        <v/>
      </c>
      <c r="AQ19" s="10" t="str">
        <f aca="false">IF(A19="","",IF(AM19="Y",A19&amp;"_STAAD.std","n/a"))</f>
        <v/>
      </c>
      <c r="AR19" s="10" t="str">
        <f aca="false">IF(A19="","",A19&amp;"_CALC.xlsx")</f>
        <v/>
      </c>
      <c r="AS19" s="10" t="str">
        <f aca="false">IF(A19="","",A19&amp;"_CALC.pdf")</f>
        <v/>
      </c>
      <c r="AT19" s="9"/>
      <c r="AU19" s="9"/>
      <c r="AV19" s="39"/>
      <c r="AW19" s="39"/>
      <c r="AX19" s="39"/>
      <c r="AY19" s="39"/>
      <c r="AZ19" s="39"/>
      <c r="BA19" s="12" t="str">
        <f aca="false">IF(A19="","",IF(COUNTIF(Rebar_Schedule!$A$5:$A$2004,A19)=0,"",ROUND(SUMIF(Rebar_Schedule!$A$5:$A$2004,A19,Rebar_Schedule!$K$5:$K$2004),1)))</f>
        <v/>
      </c>
      <c r="BB19" s="33" t="str">
        <f aca="false">IF(A19="","",IF(BA19="","No rebar schedule yet",IF(ABS(BA19-N(AW19))/MAX(N(AW19),1)&gt;SG_Criteria!$B$55,"NOTE: register rebar differs from schedule by "&amp;TEXT(ABS(BA19-N(AW19))/MAX(N(AW19),1),"0%"),"OK")))</f>
        <v/>
      </c>
      <c r="BC19" s="33" t="str">
        <f aca="false">IF(D19="","",IF(LEN(IF(AND(D19&lt;&gt;"High Covered Linkway",G19&lt;SG_Criteria!$B$46),"FAIL: headroom below "&amp;SG_Criteria!$B$46&amp;" m. ","")&amp;IF(AND(D19="High Covered Linkway",G19&lt;SG_Criteria!$B$47),"FAIL: high linkway headroom below "&amp;SG_Criteria!$B$47&amp;" m. ","")&amp;IF(F19&lt;SG_Criteria!$B$48,"FAIL: roof width below "&amp;SG_Criteria!$B$48&amp;" m. ",IF(F19&lt;SG_Criteria!$B$49,"NOTE: not for MRT/LRT or high-traffic routes (min "&amp;SG_Criteria!$B$49&amp;" m). ",""))&amp;IF(AND(W19&lt;&gt;"",W19&lt;SG_Criteria!$B$50),"FAIL: wind speed below "&amp;SG_Criteria!$B$50&amp;" m/s. ","")&amp;IF(AND(X19&lt;&gt;"",X19&lt;SG_Criteria!$B$51),"FAIL: roof fixing pull-out below "&amp;SG_Criteria!$B$51&amp;" kN. ","")&amp;IF(AND(Y19&lt;&gt;"",IFERROR(VALUE(MID(Y19,2,2)),0)&lt;SG_Criteria!$B$52),"FAIL: grade below C"&amp;SG_Criteria!$B$52&amp;". ","")&amp;IF(E19="Non-standard (project design)","NOTE: not an SDRE standard, needs LTA acceptance. ",""))=0,"OK",IF(AND(D19&lt;&gt;"High Covered Linkway",G19&lt;SG_Criteria!$B$46),"FAIL: headroom below "&amp;SG_Criteria!$B$46&amp;" m. ","")&amp;IF(AND(D19="High Covered Linkway",G19&lt;SG_Criteria!$B$47),"FAIL: high linkway headroom below "&amp;SG_Criteria!$B$47&amp;" m. ","")&amp;IF(F19&lt;SG_Criteria!$B$48,"FAIL: roof width below "&amp;SG_Criteria!$B$48&amp;" m. ",IF(F19&lt;SG_Criteria!$B$49,"NOTE: not for MRT/LRT or high-traffic routes (min "&amp;SG_Criteria!$B$49&amp;" m). ",""))&amp;IF(AND(W19&lt;&gt;"",W19&lt;SG_Criteria!$B$50),"FAIL: wind speed below "&amp;SG_Criteria!$B$50&amp;" m/s. ","")&amp;IF(AND(X19&lt;&gt;"",X19&lt;SG_Criteria!$B$51),"FAIL: roof fixing pull-out below "&amp;SG_Criteria!$B$51&amp;" kN. ","")&amp;IF(AND(Y19&lt;&gt;"",IFERROR(VALUE(MID(Y19,2,2)),0)&lt;SG_Criteria!$B$52),"FAIL: grade below C"&amp;SG_Criteria!$B$52&amp;". ","")&amp;IF(E19="Non-standard (project design)","NOTE: not an SDRE standard, needs LTA acceptance. ","")))</f>
        <v/>
      </c>
      <c r="BD19" s="9"/>
      <c r="BE19" s="9"/>
      <c r="BF19" s="9"/>
      <c r="BG19" s="10" t="str">
        <f aca="false">IF(BF19="","",IFERROR(VLOOKUP(BF19,Projects!$A$5:$D$504,2,0),"Ref not in Projects"))</f>
        <v/>
      </c>
      <c r="BH19" s="10" t="str">
        <f aca="false">IF(BF19="","",IFERROR(VLOOKUP(BF19,Projects!$A$5:$D$504,4,0),"Ref not in Projects"))</f>
        <v/>
      </c>
      <c r="BI19" s="9"/>
      <c r="BJ19" s="9"/>
      <c r="BK19" s="9"/>
      <c r="BL19" s="40"/>
      <c r="BM19" s="9"/>
      <c r="BN19" s="40"/>
      <c r="BO19" s="9"/>
      <c r="BP19" s="40"/>
      <c r="BQ19" s="9"/>
      <c r="BR19" s="9"/>
      <c r="BS19" s="9"/>
      <c r="BT19" s="40"/>
      <c r="BU19" s="40"/>
      <c r="BV19" s="36" t="str">
        <f aca="false">IF(BU19="","",EDATE(BU19,SG_Criteria!$B$54*12))</f>
        <v/>
      </c>
      <c r="BW19" s="33" t="str">
        <f aca="true">IF(A19="","",IF(BU19="","NOTE: not reviewed yet",IF(TODAY()&gt;BV19,"NOTE: review overdue","OK")))</f>
        <v/>
      </c>
      <c r="BX19" s="37" t="str">
        <f aca="false">IF(A19="","",ROUND((IF(LEN(D19)&gt;0,1,0)+IF(LEN(E19)&gt;0,1,0)+IF(LEN(F19)&gt;0,1,0)+IF(LEN(G19)&gt;0,1,0)+IF(LEN(H19)&gt;0,1,0)+IF(LEN(I19)&gt;0,1,0)+IF(LEN(J19)&gt;0,1,0)+IF(LEN(K19)&gt;0,1,0)+IF(LEN(N19)&gt;0,1,0)+IF(LEN(O19)&gt;0,1,0)+IF(LEN(W19)&gt;0,1,0)+IF(LEN(X19)&gt;0,1,0)+IF(LEN(Y19)&gt;0,1,0)+IF(LEN(AG19)&gt;0,1,0)+IF(LEN(AI19)&gt;0,1,0)+IF(LEN(AJ19)&gt;0,1,0)+IF(LEN(AK19)&gt;0,1,0)+IF(LEN(AL19)&gt;0,1,0)+IF(LEN(AU19)&gt;0,1,0)+IF(LEN(BF19)&gt;0,1,0)+IF(LEN(BS19)&gt;0,1,0))/21,2))</f>
        <v/>
      </c>
      <c r="BY19" s="10" t="str">
        <f aca="false">IF(D19="","",IF(AND(AJ19="Approved",ISERROR(SEARCH("FAIL",BC19))),"Y","N"))</f>
        <v/>
      </c>
      <c r="BZ19" s="10" t="str">
        <f aca="false">IF(D19="","",D19&amp;"|"&amp;F19&amp;"|"&amp;G19&amp;"|"&amp;BY19)</f>
        <v/>
      </c>
    </row>
    <row r="20" customFormat="false" ht="15" hidden="false" customHeight="false" outlineLevel="0" collapsed="false">
      <c r="A20" s="10" t="str">
        <f aca="false">IF(D20="","","LKW-"&amp;IFERROR(VLOOKUP(D20,Lists!$AQ$4:$AR$17,2,0),"??")&amp;"-W"&amp;TEXT(F20*1000,"0000")&amp;"-H"&amp;TEXT(G20*1000,"0000")&amp;"-B"&amp;TEXT(H20*1000,"0000")&amp;"-"&amp;AI20)</f>
        <v/>
      </c>
      <c r="B20" s="10" t="str">
        <f aca="false">IF(D20="","",D20&amp;", "&amp;F20&amp;" m wide, "&amp;G20&amp;" m headroom, "&amp;H20&amp;" m bays, "&amp;I20&amp;" ("&amp;E20&amp;")")</f>
        <v/>
      </c>
      <c r="C20" s="9"/>
      <c r="D20" s="9"/>
      <c r="E20" s="9"/>
      <c r="F20" s="42"/>
      <c r="G20" s="42"/>
      <c r="H20" s="42"/>
      <c r="I20" s="9"/>
      <c r="J20" s="9"/>
      <c r="K20" s="9"/>
      <c r="L20" s="9"/>
      <c r="M20" s="9"/>
      <c r="N20" s="9"/>
      <c r="O20" s="9"/>
      <c r="P20" s="9"/>
      <c r="Q20" s="9"/>
      <c r="R20" s="9"/>
      <c r="S20" s="42"/>
      <c r="T20" s="9"/>
      <c r="U20" s="9"/>
      <c r="V20" s="9"/>
      <c r="W20" s="38"/>
      <c r="X20" s="42"/>
      <c r="Y20" s="9"/>
      <c r="Z20" s="9"/>
      <c r="AA20" s="9"/>
      <c r="AB20" s="42"/>
      <c r="AC20" s="9"/>
      <c r="AD20" s="38"/>
      <c r="AE20" s="9"/>
      <c r="AF20" s="39"/>
      <c r="AG20" s="9"/>
      <c r="AH20" s="9"/>
      <c r="AI20" s="9"/>
      <c r="AJ20" s="9"/>
      <c r="AK20" s="9"/>
      <c r="AL20" s="9"/>
      <c r="AM20" s="9"/>
      <c r="AN20" s="10" t="str">
        <f aca="false">IF(A20="","",SG_Criteria!$B$6&amp;SG_Criteria!$B$12&amp;"\"&amp;A20&amp;"\")</f>
        <v/>
      </c>
      <c r="AO20" s="10" t="str">
        <f aca="false">IF(A20="","",A20&amp;"_CAD.dwg")</f>
        <v/>
      </c>
      <c r="AP20" s="10" t="str">
        <f aca="false">IF(A20="","",A20&amp;"_DWG.pdf")</f>
        <v/>
      </c>
      <c r="AQ20" s="10" t="str">
        <f aca="false">IF(A20="","",IF(AM20="Y",A20&amp;"_STAAD.std","n/a"))</f>
        <v/>
      </c>
      <c r="AR20" s="10" t="str">
        <f aca="false">IF(A20="","",A20&amp;"_CALC.xlsx")</f>
        <v/>
      </c>
      <c r="AS20" s="10" t="str">
        <f aca="false">IF(A20="","",A20&amp;"_CALC.pdf")</f>
        <v/>
      </c>
      <c r="AT20" s="9"/>
      <c r="AU20" s="9"/>
      <c r="AV20" s="39"/>
      <c r="AW20" s="39"/>
      <c r="AX20" s="39"/>
      <c r="AY20" s="39"/>
      <c r="AZ20" s="39"/>
      <c r="BA20" s="12" t="str">
        <f aca="false">IF(A20="","",IF(COUNTIF(Rebar_Schedule!$A$5:$A$2004,A20)=0,"",ROUND(SUMIF(Rebar_Schedule!$A$5:$A$2004,A20,Rebar_Schedule!$K$5:$K$2004),1)))</f>
        <v/>
      </c>
      <c r="BB20" s="33" t="str">
        <f aca="false">IF(A20="","",IF(BA20="","No rebar schedule yet",IF(ABS(BA20-N(AW20))/MAX(N(AW20),1)&gt;SG_Criteria!$B$55,"NOTE: register rebar differs from schedule by "&amp;TEXT(ABS(BA20-N(AW20))/MAX(N(AW20),1),"0%"),"OK")))</f>
        <v/>
      </c>
      <c r="BC20" s="33" t="str">
        <f aca="false">IF(D20="","",IF(LEN(IF(AND(D20&lt;&gt;"High Covered Linkway",G20&lt;SG_Criteria!$B$46),"FAIL: headroom below "&amp;SG_Criteria!$B$46&amp;" m. ","")&amp;IF(AND(D20="High Covered Linkway",G20&lt;SG_Criteria!$B$47),"FAIL: high linkway headroom below "&amp;SG_Criteria!$B$47&amp;" m. ","")&amp;IF(F20&lt;SG_Criteria!$B$48,"FAIL: roof width below "&amp;SG_Criteria!$B$48&amp;" m. ",IF(F20&lt;SG_Criteria!$B$49,"NOTE: not for MRT/LRT or high-traffic routes (min "&amp;SG_Criteria!$B$49&amp;" m). ",""))&amp;IF(AND(W20&lt;&gt;"",W20&lt;SG_Criteria!$B$50),"FAIL: wind speed below "&amp;SG_Criteria!$B$50&amp;" m/s. ","")&amp;IF(AND(X20&lt;&gt;"",X20&lt;SG_Criteria!$B$51),"FAIL: roof fixing pull-out below "&amp;SG_Criteria!$B$51&amp;" kN. ","")&amp;IF(AND(Y20&lt;&gt;"",IFERROR(VALUE(MID(Y20,2,2)),0)&lt;SG_Criteria!$B$52),"FAIL: grade below C"&amp;SG_Criteria!$B$52&amp;". ","")&amp;IF(E20="Non-standard (project design)","NOTE: not an SDRE standard, needs LTA acceptance. ",""))=0,"OK",IF(AND(D20&lt;&gt;"High Covered Linkway",G20&lt;SG_Criteria!$B$46),"FAIL: headroom below "&amp;SG_Criteria!$B$46&amp;" m. ","")&amp;IF(AND(D20="High Covered Linkway",G20&lt;SG_Criteria!$B$47),"FAIL: high linkway headroom below "&amp;SG_Criteria!$B$47&amp;" m. ","")&amp;IF(F20&lt;SG_Criteria!$B$48,"FAIL: roof width below "&amp;SG_Criteria!$B$48&amp;" m. ",IF(F20&lt;SG_Criteria!$B$49,"NOTE: not for MRT/LRT or high-traffic routes (min "&amp;SG_Criteria!$B$49&amp;" m). ",""))&amp;IF(AND(W20&lt;&gt;"",W20&lt;SG_Criteria!$B$50),"FAIL: wind speed below "&amp;SG_Criteria!$B$50&amp;" m/s. ","")&amp;IF(AND(X20&lt;&gt;"",X20&lt;SG_Criteria!$B$51),"FAIL: roof fixing pull-out below "&amp;SG_Criteria!$B$51&amp;" kN. ","")&amp;IF(AND(Y20&lt;&gt;"",IFERROR(VALUE(MID(Y20,2,2)),0)&lt;SG_Criteria!$B$52),"FAIL: grade below C"&amp;SG_Criteria!$B$52&amp;". ","")&amp;IF(E20="Non-standard (project design)","NOTE: not an SDRE standard, needs LTA acceptance. ","")))</f>
        <v/>
      </c>
      <c r="BD20" s="9"/>
      <c r="BE20" s="9"/>
      <c r="BF20" s="9"/>
      <c r="BG20" s="10" t="str">
        <f aca="false">IF(BF20="","",IFERROR(VLOOKUP(BF20,Projects!$A$5:$D$504,2,0),"Ref not in Projects"))</f>
        <v/>
      </c>
      <c r="BH20" s="10" t="str">
        <f aca="false">IF(BF20="","",IFERROR(VLOOKUP(BF20,Projects!$A$5:$D$504,4,0),"Ref not in Projects"))</f>
        <v/>
      </c>
      <c r="BI20" s="9"/>
      <c r="BJ20" s="9"/>
      <c r="BK20" s="9"/>
      <c r="BL20" s="40"/>
      <c r="BM20" s="9"/>
      <c r="BN20" s="40"/>
      <c r="BO20" s="9"/>
      <c r="BP20" s="40"/>
      <c r="BQ20" s="9"/>
      <c r="BR20" s="9"/>
      <c r="BS20" s="9"/>
      <c r="BT20" s="40"/>
      <c r="BU20" s="40"/>
      <c r="BV20" s="36" t="str">
        <f aca="false">IF(BU20="","",EDATE(BU20,SG_Criteria!$B$54*12))</f>
        <v/>
      </c>
      <c r="BW20" s="33" t="str">
        <f aca="true">IF(A20="","",IF(BU20="","NOTE: not reviewed yet",IF(TODAY()&gt;BV20,"NOTE: review overdue","OK")))</f>
        <v/>
      </c>
      <c r="BX20" s="37" t="str">
        <f aca="false">IF(A20="","",ROUND((IF(LEN(D20)&gt;0,1,0)+IF(LEN(E20)&gt;0,1,0)+IF(LEN(F20)&gt;0,1,0)+IF(LEN(G20)&gt;0,1,0)+IF(LEN(H20)&gt;0,1,0)+IF(LEN(I20)&gt;0,1,0)+IF(LEN(J20)&gt;0,1,0)+IF(LEN(K20)&gt;0,1,0)+IF(LEN(N20)&gt;0,1,0)+IF(LEN(O20)&gt;0,1,0)+IF(LEN(W20)&gt;0,1,0)+IF(LEN(X20)&gt;0,1,0)+IF(LEN(Y20)&gt;0,1,0)+IF(LEN(AG20)&gt;0,1,0)+IF(LEN(AI20)&gt;0,1,0)+IF(LEN(AJ20)&gt;0,1,0)+IF(LEN(AK20)&gt;0,1,0)+IF(LEN(AL20)&gt;0,1,0)+IF(LEN(AU20)&gt;0,1,0)+IF(LEN(BF20)&gt;0,1,0)+IF(LEN(BS20)&gt;0,1,0))/21,2))</f>
        <v/>
      </c>
      <c r="BY20" s="10" t="str">
        <f aca="false">IF(D20="","",IF(AND(AJ20="Approved",ISERROR(SEARCH("FAIL",BC20))),"Y","N"))</f>
        <v/>
      </c>
      <c r="BZ20" s="10" t="str">
        <f aca="false">IF(D20="","",D20&amp;"|"&amp;F20&amp;"|"&amp;G20&amp;"|"&amp;BY20)</f>
        <v/>
      </c>
    </row>
    <row r="21" customFormat="false" ht="15" hidden="false" customHeight="false" outlineLevel="0" collapsed="false">
      <c r="A21" s="10" t="str">
        <f aca="false">IF(D21="","","LKW-"&amp;IFERROR(VLOOKUP(D21,Lists!$AQ$4:$AR$17,2,0),"??")&amp;"-W"&amp;TEXT(F21*1000,"0000")&amp;"-H"&amp;TEXT(G21*1000,"0000")&amp;"-B"&amp;TEXT(H21*1000,"0000")&amp;"-"&amp;AI21)</f>
        <v/>
      </c>
      <c r="B21" s="10" t="str">
        <f aca="false">IF(D21="","",D21&amp;", "&amp;F21&amp;" m wide, "&amp;G21&amp;" m headroom, "&amp;H21&amp;" m bays, "&amp;I21&amp;" ("&amp;E21&amp;")")</f>
        <v/>
      </c>
      <c r="C21" s="9"/>
      <c r="D21" s="9"/>
      <c r="E21" s="9"/>
      <c r="F21" s="42"/>
      <c r="G21" s="42"/>
      <c r="H21" s="42"/>
      <c r="I21" s="9"/>
      <c r="J21" s="9"/>
      <c r="K21" s="9"/>
      <c r="L21" s="9"/>
      <c r="M21" s="9"/>
      <c r="N21" s="9"/>
      <c r="O21" s="9"/>
      <c r="P21" s="9"/>
      <c r="Q21" s="9"/>
      <c r="R21" s="9"/>
      <c r="S21" s="42"/>
      <c r="T21" s="9"/>
      <c r="U21" s="9"/>
      <c r="V21" s="9"/>
      <c r="W21" s="38"/>
      <c r="X21" s="42"/>
      <c r="Y21" s="9"/>
      <c r="Z21" s="9"/>
      <c r="AA21" s="9"/>
      <c r="AB21" s="42"/>
      <c r="AC21" s="9"/>
      <c r="AD21" s="38"/>
      <c r="AE21" s="9"/>
      <c r="AF21" s="39"/>
      <c r="AG21" s="9"/>
      <c r="AH21" s="9"/>
      <c r="AI21" s="9"/>
      <c r="AJ21" s="9"/>
      <c r="AK21" s="9"/>
      <c r="AL21" s="9"/>
      <c r="AM21" s="9"/>
      <c r="AN21" s="10" t="str">
        <f aca="false">IF(A21="","",SG_Criteria!$B$6&amp;SG_Criteria!$B$12&amp;"\"&amp;A21&amp;"\")</f>
        <v/>
      </c>
      <c r="AO21" s="10" t="str">
        <f aca="false">IF(A21="","",A21&amp;"_CAD.dwg")</f>
        <v/>
      </c>
      <c r="AP21" s="10" t="str">
        <f aca="false">IF(A21="","",A21&amp;"_DWG.pdf")</f>
        <v/>
      </c>
      <c r="AQ21" s="10" t="str">
        <f aca="false">IF(A21="","",IF(AM21="Y",A21&amp;"_STAAD.std","n/a"))</f>
        <v/>
      </c>
      <c r="AR21" s="10" t="str">
        <f aca="false">IF(A21="","",A21&amp;"_CALC.xlsx")</f>
        <v/>
      </c>
      <c r="AS21" s="10" t="str">
        <f aca="false">IF(A21="","",A21&amp;"_CALC.pdf")</f>
        <v/>
      </c>
      <c r="AT21" s="9"/>
      <c r="AU21" s="9"/>
      <c r="AV21" s="39"/>
      <c r="AW21" s="39"/>
      <c r="AX21" s="39"/>
      <c r="AY21" s="39"/>
      <c r="AZ21" s="39"/>
      <c r="BA21" s="12" t="str">
        <f aca="false">IF(A21="","",IF(COUNTIF(Rebar_Schedule!$A$5:$A$2004,A21)=0,"",ROUND(SUMIF(Rebar_Schedule!$A$5:$A$2004,A21,Rebar_Schedule!$K$5:$K$2004),1)))</f>
        <v/>
      </c>
      <c r="BB21" s="33" t="str">
        <f aca="false">IF(A21="","",IF(BA21="","No rebar schedule yet",IF(ABS(BA21-N(AW21))/MAX(N(AW21),1)&gt;SG_Criteria!$B$55,"NOTE: register rebar differs from schedule by "&amp;TEXT(ABS(BA21-N(AW21))/MAX(N(AW21),1),"0%"),"OK")))</f>
        <v/>
      </c>
      <c r="BC21" s="33" t="str">
        <f aca="false">IF(D21="","",IF(LEN(IF(AND(D21&lt;&gt;"High Covered Linkway",G21&lt;SG_Criteria!$B$46),"FAIL: headroom below "&amp;SG_Criteria!$B$46&amp;" m. ","")&amp;IF(AND(D21="High Covered Linkway",G21&lt;SG_Criteria!$B$47),"FAIL: high linkway headroom below "&amp;SG_Criteria!$B$47&amp;" m. ","")&amp;IF(F21&lt;SG_Criteria!$B$48,"FAIL: roof width below "&amp;SG_Criteria!$B$48&amp;" m. ",IF(F21&lt;SG_Criteria!$B$49,"NOTE: not for MRT/LRT or high-traffic routes (min "&amp;SG_Criteria!$B$49&amp;" m). ",""))&amp;IF(AND(W21&lt;&gt;"",W21&lt;SG_Criteria!$B$50),"FAIL: wind speed below "&amp;SG_Criteria!$B$50&amp;" m/s. ","")&amp;IF(AND(X21&lt;&gt;"",X21&lt;SG_Criteria!$B$51),"FAIL: roof fixing pull-out below "&amp;SG_Criteria!$B$51&amp;" kN. ","")&amp;IF(AND(Y21&lt;&gt;"",IFERROR(VALUE(MID(Y21,2,2)),0)&lt;SG_Criteria!$B$52),"FAIL: grade below C"&amp;SG_Criteria!$B$52&amp;". ","")&amp;IF(E21="Non-standard (project design)","NOTE: not an SDRE standard, needs LTA acceptance. ",""))=0,"OK",IF(AND(D21&lt;&gt;"High Covered Linkway",G21&lt;SG_Criteria!$B$46),"FAIL: headroom below "&amp;SG_Criteria!$B$46&amp;" m. ","")&amp;IF(AND(D21="High Covered Linkway",G21&lt;SG_Criteria!$B$47),"FAIL: high linkway headroom below "&amp;SG_Criteria!$B$47&amp;" m. ","")&amp;IF(F21&lt;SG_Criteria!$B$48,"FAIL: roof width below "&amp;SG_Criteria!$B$48&amp;" m. ",IF(F21&lt;SG_Criteria!$B$49,"NOTE: not for MRT/LRT or high-traffic routes (min "&amp;SG_Criteria!$B$49&amp;" m). ",""))&amp;IF(AND(W21&lt;&gt;"",W21&lt;SG_Criteria!$B$50),"FAIL: wind speed below "&amp;SG_Criteria!$B$50&amp;" m/s. ","")&amp;IF(AND(X21&lt;&gt;"",X21&lt;SG_Criteria!$B$51),"FAIL: roof fixing pull-out below "&amp;SG_Criteria!$B$51&amp;" kN. ","")&amp;IF(AND(Y21&lt;&gt;"",IFERROR(VALUE(MID(Y21,2,2)),0)&lt;SG_Criteria!$B$52),"FAIL: grade below C"&amp;SG_Criteria!$B$52&amp;". ","")&amp;IF(E21="Non-standard (project design)","NOTE: not an SDRE standard, needs LTA acceptance. ","")))</f>
        <v/>
      </c>
      <c r="BD21" s="9"/>
      <c r="BE21" s="9"/>
      <c r="BF21" s="9"/>
      <c r="BG21" s="10" t="str">
        <f aca="false">IF(BF21="","",IFERROR(VLOOKUP(BF21,Projects!$A$5:$D$504,2,0),"Ref not in Projects"))</f>
        <v/>
      </c>
      <c r="BH21" s="10" t="str">
        <f aca="false">IF(BF21="","",IFERROR(VLOOKUP(BF21,Projects!$A$5:$D$504,4,0),"Ref not in Projects"))</f>
        <v/>
      </c>
      <c r="BI21" s="9"/>
      <c r="BJ21" s="9"/>
      <c r="BK21" s="9"/>
      <c r="BL21" s="40"/>
      <c r="BM21" s="9"/>
      <c r="BN21" s="40"/>
      <c r="BO21" s="9"/>
      <c r="BP21" s="40"/>
      <c r="BQ21" s="9"/>
      <c r="BR21" s="9"/>
      <c r="BS21" s="9"/>
      <c r="BT21" s="40"/>
      <c r="BU21" s="40"/>
      <c r="BV21" s="36" t="str">
        <f aca="false">IF(BU21="","",EDATE(BU21,SG_Criteria!$B$54*12))</f>
        <v/>
      </c>
      <c r="BW21" s="33" t="str">
        <f aca="true">IF(A21="","",IF(BU21="","NOTE: not reviewed yet",IF(TODAY()&gt;BV21,"NOTE: review overdue","OK")))</f>
        <v/>
      </c>
      <c r="BX21" s="37" t="str">
        <f aca="false">IF(A21="","",ROUND((IF(LEN(D21)&gt;0,1,0)+IF(LEN(E21)&gt;0,1,0)+IF(LEN(F21)&gt;0,1,0)+IF(LEN(G21)&gt;0,1,0)+IF(LEN(H21)&gt;0,1,0)+IF(LEN(I21)&gt;0,1,0)+IF(LEN(J21)&gt;0,1,0)+IF(LEN(K21)&gt;0,1,0)+IF(LEN(N21)&gt;0,1,0)+IF(LEN(O21)&gt;0,1,0)+IF(LEN(W21)&gt;0,1,0)+IF(LEN(X21)&gt;0,1,0)+IF(LEN(Y21)&gt;0,1,0)+IF(LEN(AG21)&gt;0,1,0)+IF(LEN(AI21)&gt;0,1,0)+IF(LEN(AJ21)&gt;0,1,0)+IF(LEN(AK21)&gt;0,1,0)+IF(LEN(AL21)&gt;0,1,0)+IF(LEN(AU21)&gt;0,1,0)+IF(LEN(BF21)&gt;0,1,0)+IF(LEN(BS21)&gt;0,1,0))/21,2))</f>
        <v/>
      </c>
      <c r="BY21" s="10" t="str">
        <f aca="false">IF(D21="","",IF(AND(AJ21="Approved",ISERROR(SEARCH("FAIL",BC21))),"Y","N"))</f>
        <v/>
      </c>
      <c r="BZ21" s="10" t="str">
        <f aca="false">IF(D21="","",D21&amp;"|"&amp;F21&amp;"|"&amp;G21&amp;"|"&amp;BY21)</f>
        <v/>
      </c>
    </row>
    <row r="22" customFormat="false" ht="15" hidden="false" customHeight="false" outlineLevel="0" collapsed="false">
      <c r="A22" s="10" t="str">
        <f aca="false">IF(D22="","","LKW-"&amp;IFERROR(VLOOKUP(D22,Lists!$AQ$4:$AR$17,2,0),"??")&amp;"-W"&amp;TEXT(F22*1000,"0000")&amp;"-H"&amp;TEXT(G22*1000,"0000")&amp;"-B"&amp;TEXT(H22*1000,"0000")&amp;"-"&amp;AI22)</f>
        <v/>
      </c>
      <c r="B22" s="10" t="str">
        <f aca="false">IF(D22="","",D22&amp;", "&amp;F22&amp;" m wide, "&amp;G22&amp;" m headroom, "&amp;H22&amp;" m bays, "&amp;I22&amp;" ("&amp;E22&amp;")")</f>
        <v/>
      </c>
      <c r="C22" s="9"/>
      <c r="D22" s="9"/>
      <c r="E22" s="9"/>
      <c r="F22" s="42"/>
      <c r="G22" s="42"/>
      <c r="H22" s="42"/>
      <c r="I22" s="9"/>
      <c r="J22" s="9"/>
      <c r="K22" s="9"/>
      <c r="L22" s="9"/>
      <c r="M22" s="9"/>
      <c r="N22" s="9"/>
      <c r="O22" s="9"/>
      <c r="P22" s="9"/>
      <c r="Q22" s="9"/>
      <c r="R22" s="9"/>
      <c r="S22" s="42"/>
      <c r="T22" s="9"/>
      <c r="U22" s="9"/>
      <c r="V22" s="9"/>
      <c r="W22" s="38"/>
      <c r="X22" s="42"/>
      <c r="Y22" s="9"/>
      <c r="Z22" s="9"/>
      <c r="AA22" s="9"/>
      <c r="AB22" s="42"/>
      <c r="AC22" s="9"/>
      <c r="AD22" s="38"/>
      <c r="AE22" s="9"/>
      <c r="AF22" s="39"/>
      <c r="AG22" s="9"/>
      <c r="AH22" s="9"/>
      <c r="AI22" s="9"/>
      <c r="AJ22" s="9"/>
      <c r="AK22" s="9"/>
      <c r="AL22" s="9"/>
      <c r="AM22" s="9"/>
      <c r="AN22" s="10" t="str">
        <f aca="false">IF(A22="","",SG_Criteria!$B$6&amp;SG_Criteria!$B$12&amp;"\"&amp;A22&amp;"\")</f>
        <v/>
      </c>
      <c r="AO22" s="10" t="str">
        <f aca="false">IF(A22="","",A22&amp;"_CAD.dwg")</f>
        <v/>
      </c>
      <c r="AP22" s="10" t="str">
        <f aca="false">IF(A22="","",A22&amp;"_DWG.pdf")</f>
        <v/>
      </c>
      <c r="AQ22" s="10" t="str">
        <f aca="false">IF(A22="","",IF(AM22="Y",A22&amp;"_STAAD.std","n/a"))</f>
        <v/>
      </c>
      <c r="AR22" s="10" t="str">
        <f aca="false">IF(A22="","",A22&amp;"_CALC.xlsx")</f>
        <v/>
      </c>
      <c r="AS22" s="10" t="str">
        <f aca="false">IF(A22="","",A22&amp;"_CALC.pdf")</f>
        <v/>
      </c>
      <c r="AT22" s="9"/>
      <c r="AU22" s="9"/>
      <c r="AV22" s="39"/>
      <c r="AW22" s="39"/>
      <c r="AX22" s="39"/>
      <c r="AY22" s="39"/>
      <c r="AZ22" s="39"/>
      <c r="BA22" s="12" t="str">
        <f aca="false">IF(A22="","",IF(COUNTIF(Rebar_Schedule!$A$5:$A$2004,A22)=0,"",ROUND(SUMIF(Rebar_Schedule!$A$5:$A$2004,A22,Rebar_Schedule!$K$5:$K$2004),1)))</f>
        <v/>
      </c>
      <c r="BB22" s="33" t="str">
        <f aca="false">IF(A22="","",IF(BA22="","No rebar schedule yet",IF(ABS(BA22-N(AW22))/MAX(N(AW22),1)&gt;SG_Criteria!$B$55,"NOTE: register rebar differs from schedule by "&amp;TEXT(ABS(BA22-N(AW22))/MAX(N(AW22),1),"0%"),"OK")))</f>
        <v/>
      </c>
      <c r="BC22" s="33" t="str">
        <f aca="false">IF(D22="","",IF(LEN(IF(AND(D22&lt;&gt;"High Covered Linkway",G22&lt;SG_Criteria!$B$46),"FAIL: headroom below "&amp;SG_Criteria!$B$46&amp;" m. ","")&amp;IF(AND(D22="High Covered Linkway",G22&lt;SG_Criteria!$B$47),"FAIL: high linkway headroom below "&amp;SG_Criteria!$B$47&amp;" m. ","")&amp;IF(F22&lt;SG_Criteria!$B$48,"FAIL: roof width below "&amp;SG_Criteria!$B$48&amp;" m. ",IF(F22&lt;SG_Criteria!$B$49,"NOTE: not for MRT/LRT or high-traffic routes (min "&amp;SG_Criteria!$B$49&amp;" m). ",""))&amp;IF(AND(W22&lt;&gt;"",W22&lt;SG_Criteria!$B$50),"FAIL: wind speed below "&amp;SG_Criteria!$B$50&amp;" m/s. ","")&amp;IF(AND(X22&lt;&gt;"",X22&lt;SG_Criteria!$B$51),"FAIL: roof fixing pull-out below "&amp;SG_Criteria!$B$51&amp;" kN. ","")&amp;IF(AND(Y22&lt;&gt;"",IFERROR(VALUE(MID(Y22,2,2)),0)&lt;SG_Criteria!$B$52),"FAIL: grade below C"&amp;SG_Criteria!$B$52&amp;". ","")&amp;IF(E22="Non-standard (project design)","NOTE: not an SDRE standard, needs LTA acceptance. ",""))=0,"OK",IF(AND(D22&lt;&gt;"High Covered Linkway",G22&lt;SG_Criteria!$B$46),"FAIL: headroom below "&amp;SG_Criteria!$B$46&amp;" m. ","")&amp;IF(AND(D22="High Covered Linkway",G22&lt;SG_Criteria!$B$47),"FAIL: high linkway headroom below "&amp;SG_Criteria!$B$47&amp;" m. ","")&amp;IF(F22&lt;SG_Criteria!$B$48,"FAIL: roof width below "&amp;SG_Criteria!$B$48&amp;" m. ",IF(F22&lt;SG_Criteria!$B$49,"NOTE: not for MRT/LRT or high-traffic routes (min "&amp;SG_Criteria!$B$49&amp;" m). ",""))&amp;IF(AND(W22&lt;&gt;"",W22&lt;SG_Criteria!$B$50),"FAIL: wind speed below "&amp;SG_Criteria!$B$50&amp;" m/s. ","")&amp;IF(AND(X22&lt;&gt;"",X22&lt;SG_Criteria!$B$51),"FAIL: roof fixing pull-out below "&amp;SG_Criteria!$B$51&amp;" kN. ","")&amp;IF(AND(Y22&lt;&gt;"",IFERROR(VALUE(MID(Y22,2,2)),0)&lt;SG_Criteria!$B$52),"FAIL: grade below C"&amp;SG_Criteria!$B$52&amp;". ","")&amp;IF(E22="Non-standard (project design)","NOTE: not an SDRE standard, needs LTA acceptance. ","")))</f>
        <v/>
      </c>
      <c r="BD22" s="9"/>
      <c r="BE22" s="9"/>
      <c r="BF22" s="9"/>
      <c r="BG22" s="10" t="str">
        <f aca="false">IF(BF22="","",IFERROR(VLOOKUP(BF22,Projects!$A$5:$D$504,2,0),"Ref not in Projects"))</f>
        <v/>
      </c>
      <c r="BH22" s="10" t="str">
        <f aca="false">IF(BF22="","",IFERROR(VLOOKUP(BF22,Projects!$A$5:$D$504,4,0),"Ref not in Projects"))</f>
        <v/>
      </c>
      <c r="BI22" s="9"/>
      <c r="BJ22" s="9"/>
      <c r="BK22" s="9"/>
      <c r="BL22" s="40"/>
      <c r="BM22" s="9"/>
      <c r="BN22" s="40"/>
      <c r="BO22" s="9"/>
      <c r="BP22" s="40"/>
      <c r="BQ22" s="9"/>
      <c r="BR22" s="9"/>
      <c r="BS22" s="9"/>
      <c r="BT22" s="40"/>
      <c r="BU22" s="40"/>
      <c r="BV22" s="36" t="str">
        <f aca="false">IF(BU22="","",EDATE(BU22,SG_Criteria!$B$54*12))</f>
        <v/>
      </c>
      <c r="BW22" s="33" t="str">
        <f aca="true">IF(A22="","",IF(BU22="","NOTE: not reviewed yet",IF(TODAY()&gt;BV22,"NOTE: review overdue","OK")))</f>
        <v/>
      </c>
      <c r="BX22" s="37" t="str">
        <f aca="false">IF(A22="","",ROUND((IF(LEN(D22)&gt;0,1,0)+IF(LEN(E22)&gt;0,1,0)+IF(LEN(F22)&gt;0,1,0)+IF(LEN(G22)&gt;0,1,0)+IF(LEN(H22)&gt;0,1,0)+IF(LEN(I22)&gt;0,1,0)+IF(LEN(J22)&gt;0,1,0)+IF(LEN(K22)&gt;0,1,0)+IF(LEN(N22)&gt;0,1,0)+IF(LEN(O22)&gt;0,1,0)+IF(LEN(W22)&gt;0,1,0)+IF(LEN(X22)&gt;0,1,0)+IF(LEN(Y22)&gt;0,1,0)+IF(LEN(AG22)&gt;0,1,0)+IF(LEN(AI22)&gt;0,1,0)+IF(LEN(AJ22)&gt;0,1,0)+IF(LEN(AK22)&gt;0,1,0)+IF(LEN(AL22)&gt;0,1,0)+IF(LEN(AU22)&gt;0,1,0)+IF(LEN(BF22)&gt;0,1,0)+IF(LEN(BS22)&gt;0,1,0))/21,2))</f>
        <v/>
      </c>
      <c r="BY22" s="10" t="str">
        <f aca="false">IF(D22="","",IF(AND(AJ22="Approved",ISERROR(SEARCH("FAIL",BC22))),"Y","N"))</f>
        <v/>
      </c>
      <c r="BZ22" s="10" t="str">
        <f aca="false">IF(D22="","",D22&amp;"|"&amp;F22&amp;"|"&amp;G22&amp;"|"&amp;BY22)</f>
        <v/>
      </c>
    </row>
    <row r="23" customFormat="false" ht="15" hidden="false" customHeight="false" outlineLevel="0" collapsed="false">
      <c r="A23" s="10" t="str">
        <f aca="false">IF(D23="","","LKW-"&amp;IFERROR(VLOOKUP(D23,Lists!$AQ$4:$AR$17,2,0),"??")&amp;"-W"&amp;TEXT(F23*1000,"0000")&amp;"-H"&amp;TEXT(G23*1000,"0000")&amp;"-B"&amp;TEXT(H23*1000,"0000")&amp;"-"&amp;AI23)</f>
        <v/>
      </c>
      <c r="B23" s="10" t="str">
        <f aca="false">IF(D23="","",D23&amp;", "&amp;F23&amp;" m wide, "&amp;G23&amp;" m headroom, "&amp;H23&amp;" m bays, "&amp;I23&amp;" ("&amp;E23&amp;")")</f>
        <v/>
      </c>
      <c r="C23" s="9"/>
      <c r="D23" s="9"/>
      <c r="E23" s="9"/>
      <c r="F23" s="42"/>
      <c r="G23" s="42"/>
      <c r="H23" s="42"/>
      <c r="I23" s="9"/>
      <c r="J23" s="9"/>
      <c r="K23" s="9"/>
      <c r="L23" s="9"/>
      <c r="M23" s="9"/>
      <c r="N23" s="9"/>
      <c r="O23" s="9"/>
      <c r="P23" s="9"/>
      <c r="Q23" s="9"/>
      <c r="R23" s="9"/>
      <c r="S23" s="42"/>
      <c r="T23" s="9"/>
      <c r="U23" s="9"/>
      <c r="V23" s="9"/>
      <c r="W23" s="38"/>
      <c r="X23" s="42"/>
      <c r="Y23" s="9"/>
      <c r="Z23" s="9"/>
      <c r="AA23" s="9"/>
      <c r="AB23" s="42"/>
      <c r="AC23" s="9"/>
      <c r="AD23" s="38"/>
      <c r="AE23" s="9"/>
      <c r="AF23" s="39"/>
      <c r="AG23" s="9"/>
      <c r="AH23" s="9"/>
      <c r="AI23" s="9"/>
      <c r="AJ23" s="9"/>
      <c r="AK23" s="9"/>
      <c r="AL23" s="9"/>
      <c r="AM23" s="9"/>
      <c r="AN23" s="10" t="str">
        <f aca="false">IF(A23="","",SG_Criteria!$B$6&amp;SG_Criteria!$B$12&amp;"\"&amp;A23&amp;"\")</f>
        <v/>
      </c>
      <c r="AO23" s="10" t="str">
        <f aca="false">IF(A23="","",A23&amp;"_CAD.dwg")</f>
        <v/>
      </c>
      <c r="AP23" s="10" t="str">
        <f aca="false">IF(A23="","",A23&amp;"_DWG.pdf")</f>
        <v/>
      </c>
      <c r="AQ23" s="10" t="str">
        <f aca="false">IF(A23="","",IF(AM23="Y",A23&amp;"_STAAD.std","n/a"))</f>
        <v/>
      </c>
      <c r="AR23" s="10" t="str">
        <f aca="false">IF(A23="","",A23&amp;"_CALC.xlsx")</f>
        <v/>
      </c>
      <c r="AS23" s="10" t="str">
        <f aca="false">IF(A23="","",A23&amp;"_CALC.pdf")</f>
        <v/>
      </c>
      <c r="AT23" s="9"/>
      <c r="AU23" s="9"/>
      <c r="AV23" s="39"/>
      <c r="AW23" s="39"/>
      <c r="AX23" s="39"/>
      <c r="AY23" s="39"/>
      <c r="AZ23" s="39"/>
      <c r="BA23" s="12" t="str">
        <f aca="false">IF(A23="","",IF(COUNTIF(Rebar_Schedule!$A$5:$A$2004,A23)=0,"",ROUND(SUMIF(Rebar_Schedule!$A$5:$A$2004,A23,Rebar_Schedule!$K$5:$K$2004),1)))</f>
        <v/>
      </c>
      <c r="BB23" s="33" t="str">
        <f aca="false">IF(A23="","",IF(BA23="","No rebar schedule yet",IF(ABS(BA23-N(AW23))/MAX(N(AW23),1)&gt;SG_Criteria!$B$55,"NOTE: register rebar differs from schedule by "&amp;TEXT(ABS(BA23-N(AW23))/MAX(N(AW23),1),"0%"),"OK")))</f>
        <v/>
      </c>
      <c r="BC23" s="33" t="str">
        <f aca="false">IF(D23="","",IF(LEN(IF(AND(D23&lt;&gt;"High Covered Linkway",G23&lt;SG_Criteria!$B$46),"FAIL: headroom below "&amp;SG_Criteria!$B$46&amp;" m. ","")&amp;IF(AND(D23="High Covered Linkway",G23&lt;SG_Criteria!$B$47),"FAIL: high linkway headroom below "&amp;SG_Criteria!$B$47&amp;" m. ","")&amp;IF(F23&lt;SG_Criteria!$B$48,"FAIL: roof width below "&amp;SG_Criteria!$B$48&amp;" m. ",IF(F23&lt;SG_Criteria!$B$49,"NOTE: not for MRT/LRT or high-traffic routes (min "&amp;SG_Criteria!$B$49&amp;" m). ",""))&amp;IF(AND(W23&lt;&gt;"",W23&lt;SG_Criteria!$B$50),"FAIL: wind speed below "&amp;SG_Criteria!$B$50&amp;" m/s. ","")&amp;IF(AND(X23&lt;&gt;"",X23&lt;SG_Criteria!$B$51),"FAIL: roof fixing pull-out below "&amp;SG_Criteria!$B$51&amp;" kN. ","")&amp;IF(AND(Y23&lt;&gt;"",IFERROR(VALUE(MID(Y23,2,2)),0)&lt;SG_Criteria!$B$52),"FAIL: grade below C"&amp;SG_Criteria!$B$52&amp;". ","")&amp;IF(E23="Non-standard (project design)","NOTE: not an SDRE standard, needs LTA acceptance. ",""))=0,"OK",IF(AND(D23&lt;&gt;"High Covered Linkway",G23&lt;SG_Criteria!$B$46),"FAIL: headroom below "&amp;SG_Criteria!$B$46&amp;" m. ","")&amp;IF(AND(D23="High Covered Linkway",G23&lt;SG_Criteria!$B$47),"FAIL: high linkway headroom below "&amp;SG_Criteria!$B$47&amp;" m. ","")&amp;IF(F23&lt;SG_Criteria!$B$48,"FAIL: roof width below "&amp;SG_Criteria!$B$48&amp;" m. ",IF(F23&lt;SG_Criteria!$B$49,"NOTE: not for MRT/LRT or high-traffic routes (min "&amp;SG_Criteria!$B$49&amp;" m). ",""))&amp;IF(AND(W23&lt;&gt;"",W23&lt;SG_Criteria!$B$50),"FAIL: wind speed below "&amp;SG_Criteria!$B$50&amp;" m/s. ","")&amp;IF(AND(X23&lt;&gt;"",X23&lt;SG_Criteria!$B$51),"FAIL: roof fixing pull-out below "&amp;SG_Criteria!$B$51&amp;" kN. ","")&amp;IF(AND(Y23&lt;&gt;"",IFERROR(VALUE(MID(Y23,2,2)),0)&lt;SG_Criteria!$B$52),"FAIL: grade below C"&amp;SG_Criteria!$B$52&amp;". ","")&amp;IF(E23="Non-standard (project design)","NOTE: not an SDRE standard, needs LTA acceptance. ","")))</f>
        <v/>
      </c>
      <c r="BD23" s="9"/>
      <c r="BE23" s="9"/>
      <c r="BF23" s="9"/>
      <c r="BG23" s="10" t="str">
        <f aca="false">IF(BF23="","",IFERROR(VLOOKUP(BF23,Projects!$A$5:$D$504,2,0),"Ref not in Projects"))</f>
        <v/>
      </c>
      <c r="BH23" s="10" t="str">
        <f aca="false">IF(BF23="","",IFERROR(VLOOKUP(BF23,Projects!$A$5:$D$504,4,0),"Ref not in Projects"))</f>
        <v/>
      </c>
      <c r="BI23" s="9"/>
      <c r="BJ23" s="9"/>
      <c r="BK23" s="9"/>
      <c r="BL23" s="40"/>
      <c r="BM23" s="9"/>
      <c r="BN23" s="40"/>
      <c r="BO23" s="9"/>
      <c r="BP23" s="40"/>
      <c r="BQ23" s="9"/>
      <c r="BR23" s="9"/>
      <c r="BS23" s="9"/>
      <c r="BT23" s="40"/>
      <c r="BU23" s="40"/>
      <c r="BV23" s="36" t="str">
        <f aca="false">IF(BU23="","",EDATE(BU23,SG_Criteria!$B$54*12))</f>
        <v/>
      </c>
      <c r="BW23" s="33" t="str">
        <f aca="true">IF(A23="","",IF(BU23="","NOTE: not reviewed yet",IF(TODAY()&gt;BV23,"NOTE: review overdue","OK")))</f>
        <v/>
      </c>
      <c r="BX23" s="37" t="str">
        <f aca="false">IF(A23="","",ROUND((IF(LEN(D23)&gt;0,1,0)+IF(LEN(E23)&gt;0,1,0)+IF(LEN(F23)&gt;0,1,0)+IF(LEN(G23)&gt;0,1,0)+IF(LEN(H23)&gt;0,1,0)+IF(LEN(I23)&gt;0,1,0)+IF(LEN(J23)&gt;0,1,0)+IF(LEN(K23)&gt;0,1,0)+IF(LEN(N23)&gt;0,1,0)+IF(LEN(O23)&gt;0,1,0)+IF(LEN(W23)&gt;0,1,0)+IF(LEN(X23)&gt;0,1,0)+IF(LEN(Y23)&gt;0,1,0)+IF(LEN(AG23)&gt;0,1,0)+IF(LEN(AI23)&gt;0,1,0)+IF(LEN(AJ23)&gt;0,1,0)+IF(LEN(AK23)&gt;0,1,0)+IF(LEN(AL23)&gt;0,1,0)+IF(LEN(AU23)&gt;0,1,0)+IF(LEN(BF23)&gt;0,1,0)+IF(LEN(BS23)&gt;0,1,0))/21,2))</f>
        <v/>
      </c>
      <c r="BY23" s="10" t="str">
        <f aca="false">IF(D23="","",IF(AND(AJ23="Approved",ISERROR(SEARCH("FAIL",BC23))),"Y","N"))</f>
        <v/>
      </c>
      <c r="BZ23" s="10" t="str">
        <f aca="false">IF(D23="","",D23&amp;"|"&amp;F23&amp;"|"&amp;G23&amp;"|"&amp;BY23)</f>
        <v/>
      </c>
    </row>
    <row r="24" customFormat="false" ht="15" hidden="false" customHeight="false" outlineLevel="0" collapsed="false">
      <c r="A24" s="10" t="str">
        <f aca="false">IF(D24="","","LKW-"&amp;IFERROR(VLOOKUP(D24,Lists!$AQ$4:$AR$17,2,0),"??")&amp;"-W"&amp;TEXT(F24*1000,"0000")&amp;"-H"&amp;TEXT(G24*1000,"0000")&amp;"-B"&amp;TEXT(H24*1000,"0000")&amp;"-"&amp;AI24)</f>
        <v/>
      </c>
      <c r="B24" s="10" t="str">
        <f aca="false">IF(D24="","",D24&amp;", "&amp;F24&amp;" m wide, "&amp;G24&amp;" m headroom, "&amp;H24&amp;" m bays, "&amp;I24&amp;" ("&amp;E24&amp;")")</f>
        <v/>
      </c>
      <c r="C24" s="9"/>
      <c r="D24" s="9"/>
      <c r="E24" s="9"/>
      <c r="F24" s="42"/>
      <c r="G24" s="42"/>
      <c r="H24" s="42"/>
      <c r="I24" s="9"/>
      <c r="J24" s="9"/>
      <c r="K24" s="9"/>
      <c r="L24" s="9"/>
      <c r="M24" s="9"/>
      <c r="N24" s="9"/>
      <c r="O24" s="9"/>
      <c r="P24" s="9"/>
      <c r="Q24" s="9"/>
      <c r="R24" s="9"/>
      <c r="S24" s="42"/>
      <c r="T24" s="9"/>
      <c r="U24" s="9"/>
      <c r="V24" s="9"/>
      <c r="W24" s="38"/>
      <c r="X24" s="42"/>
      <c r="Y24" s="9"/>
      <c r="Z24" s="9"/>
      <c r="AA24" s="9"/>
      <c r="AB24" s="42"/>
      <c r="AC24" s="9"/>
      <c r="AD24" s="38"/>
      <c r="AE24" s="9"/>
      <c r="AF24" s="39"/>
      <c r="AG24" s="9"/>
      <c r="AH24" s="9"/>
      <c r="AI24" s="9"/>
      <c r="AJ24" s="9"/>
      <c r="AK24" s="9"/>
      <c r="AL24" s="9"/>
      <c r="AM24" s="9"/>
      <c r="AN24" s="10" t="str">
        <f aca="false">IF(A24="","",SG_Criteria!$B$6&amp;SG_Criteria!$B$12&amp;"\"&amp;A24&amp;"\")</f>
        <v/>
      </c>
      <c r="AO24" s="10" t="str">
        <f aca="false">IF(A24="","",A24&amp;"_CAD.dwg")</f>
        <v/>
      </c>
      <c r="AP24" s="10" t="str">
        <f aca="false">IF(A24="","",A24&amp;"_DWG.pdf")</f>
        <v/>
      </c>
      <c r="AQ24" s="10" t="str">
        <f aca="false">IF(A24="","",IF(AM24="Y",A24&amp;"_STAAD.std","n/a"))</f>
        <v/>
      </c>
      <c r="AR24" s="10" t="str">
        <f aca="false">IF(A24="","",A24&amp;"_CALC.xlsx")</f>
        <v/>
      </c>
      <c r="AS24" s="10" t="str">
        <f aca="false">IF(A24="","",A24&amp;"_CALC.pdf")</f>
        <v/>
      </c>
      <c r="AT24" s="9"/>
      <c r="AU24" s="9"/>
      <c r="AV24" s="39"/>
      <c r="AW24" s="39"/>
      <c r="AX24" s="39"/>
      <c r="AY24" s="39"/>
      <c r="AZ24" s="39"/>
      <c r="BA24" s="12" t="str">
        <f aca="false">IF(A24="","",IF(COUNTIF(Rebar_Schedule!$A$5:$A$2004,A24)=0,"",ROUND(SUMIF(Rebar_Schedule!$A$5:$A$2004,A24,Rebar_Schedule!$K$5:$K$2004),1)))</f>
        <v/>
      </c>
      <c r="BB24" s="33" t="str">
        <f aca="false">IF(A24="","",IF(BA24="","No rebar schedule yet",IF(ABS(BA24-N(AW24))/MAX(N(AW24),1)&gt;SG_Criteria!$B$55,"NOTE: register rebar differs from schedule by "&amp;TEXT(ABS(BA24-N(AW24))/MAX(N(AW24),1),"0%"),"OK")))</f>
        <v/>
      </c>
      <c r="BC24" s="33" t="str">
        <f aca="false">IF(D24="","",IF(LEN(IF(AND(D24&lt;&gt;"High Covered Linkway",G24&lt;SG_Criteria!$B$46),"FAIL: headroom below "&amp;SG_Criteria!$B$46&amp;" m. ","")&amp;IF(AND(D24="High Covered Linkway",G24&lt;SG_Criteria!$B$47),"FAIL: high linkway headroom below "&amp;SG_Criteria!$B$47&amp;" m. ","")&amp;IF(F24&lt;SG_Criteria!$B$48,"FAIL: roof width below "&amp;SG_Criteria!$B$48&amp;" m. ",IF(F24&lt;SG_Criteria!$B$49,"NOTE: not for MRT/LRT or high-traffic routes (min "&amp;SG_Criteria!$B$49&amp;" m). ",""))&amp;IF(AND(W24&lt;&gt;"",W24&lt;SG_Criteria!$B$50),"FAIL: wind speed below "&amp;SG_Criteria!$B$50&amp;" m/s. ","")&amp;IF(AND(X24&lt;&gt;"",X24&lt;SG_Criteria!$B$51),"FAIL: roof fixing pull-out below "&amp;SG_Criteria!$B$51&amp;" kN. ","")&amp;IF(AND(Y24&lt;&gt;"",IFERROR(VALUE(MID(Y24,2,2)),0)&lt;SG_Criteria!$B$52),"FAIL: grade below C"&amp;SG_Criteria!$B$52&amp;". ","")&amp;IF(E24="Non-standard (project design)","NOTE: not an SDRE standard, needs LTA acceptance. ",""))=0,"OK",IF(AND(D24&lt;&gt;"High Covered Linkway",G24&lt;SG_Criteria!$B$46),"FAIL: headroom below "&amp;SG_Criteria!$B$46&amp;" m. ","")&amp;IF(AND(D24="High Covered Linkway",G24&lt;SG_Criteria!$B$47),"FAIL: high linkway headroom below "&amp;SG_Criteria!$B$47&amp;" m. ","")&amp;IF(F24&lt;SG_Criteria!$B$48,"FAIL: roof width below "&amp;SG_Criteria!$B$48&amp;" m. ",IF(F24&lt;SG_Criteria!$B$49,"NOTE: not for MRT/LRT or high-traffic routes (min "&amp;SG_Criteria!$B$49&amp;" m). ",""))&amp;IF(AND(W24&lt;&gt;"",W24&lt;SG_Criteria!$B$50),"FAIL: wind speed below "&amp;SG_Criteria!$B$50&amp;" m/s. ","")&amp;IF(AND(X24&lt;&gt;"",X24&lt;SG_Criteria!$B$51),"FAIL: roof fixing pull-out below "&amp;SG_Criteria!$B$51&amp;" kN. ","")&amp;IF(AND(Y24&lt;&gt;"",IFERROR(VALUE(MID(Y24,2,2)),0)&lt;SG_Criteria!$B$52),"FAIL: grade below C"&amp;SG_Criteria!$B$52&amp;". ","")&amp;IF(E24="Non-standard (project design)","NOTE: not an SDRE standard, needs LTA acceptance. ","")))</f>
        <v/>
      </c>
      <c r="BD24" s="9"/>
      <c r="BE24" s="9"/>
      <c r="BF24" s="9"/>
      <c r="BG24" s="10" t="str">
        <f aca="false">IF(BF24="","",IFERROR(VLOOKUP(BF24,Projects!$A$5:$D$504,2,0),"Ref not in Projects"))</f>
        <v/>
      </c>
      <c r="BH24" s="10" t="str">
        <f aca="false">IF(BF24="","",IFERROR(VLOOKUP(BF24,Projects!$A$5:$D$504,4,0),"Ref not in Projects"))</f>
        <v/>
      </c>
      <c r="BI24" s="9"/>
      <c r="BJ24" s="9"/>
      <c r="BK24" s="9"/>
      <c r="BL24" s="40"/>
      <c r="BM24" s="9"/>
      <c r="BN24" s="40"/>
      <c r="BO24" s="9"/>
      <c r="BP24" s="40"/>
      <c r="BQ24" s="9"/>
      <c r="BR24" s="9"/>
      <c r="BS24" s="9"/>
      <c r="BT24" s="40"/>
      <c r="BU24" s="40"/>
      <c r="BV24" s="36" t="str">
        <f aca="false">IF(BU24="","",EDATE(BU24,SG_Criteria!$B$54*12))</f>
        <v/>
      </c>
      <c r="BW24" s="33" t="str">
        <f aca="true">IF(A24="","",IF(BU24="","NOTE: not reviewed yet",IF(TODAY()&gt;BV24,"NOTE: review overdue","OK")))</f>
        <v/>
      </c>
      <c r="BX24" s="37" t="str">
        <f aca="false">IF(A24="","",ROUND((IF(LEN(D24)&gt;0,1,0)+IF(LEN(E24)&gt;0,1,0)+IF(LEN(F24)&gt;0,1,0)+IF(LEN(G24)&gt;0,1,0)+IF(LEN(H24)&gt;0,1,0)+IF(LEN(I24)&gt;0,1,0)+IF(LEN(J24)&gt;0,1,0)+IF(LEN(K24)&gt;0,1,0)+IF(LEN(N24)&gt;0,1,0)+IF(LEN(O24)&gt;0,1,0)+IF(LEN(W24)&gt;0,1,0)+IF(LEN(X24)&gt;0,1,0)+IF(LEN(Y24)&gt;0,1,0)+IF(LEN(AG24)&gt;0,1,0)+IF(LEN(AI24)&gt;0,1,0)+IF(LEN(AJ24)&gt;0,1,0)+IF(LEN(AK24)&gt;0,1,0)+IF(LEN(AL24)&gt;0,1,0)+IF(LEN(AU24)&gt;0,1,0)+IF(LEN(BF24)&gt;0,1,0)+IF(LEN(BS24)&gt;0,1,0))/21,2))</f>
        <v/>
      </c>
      <c r="BY24" s="10" t="str">
        <f aca="false">IF(D24="","",IF(AND(AJ24="Approved",ISERROR(SEARCH("FAIL",BC24))),"Y","N"))</f>
        <v/>
      </c>
      <c r="BZ24" s="10" t="str">
        <f aca="false">IF(D24="","",D24&amp;"|"&amp;F24&amp;"|"&amp;G24&amp;"|"&amp;BY24)</f>
        <v/>
      </c>
    </row>
    <row r="25" customFormat="false" ht="15" hidden="false" customHeight="false" outlineLevel="0" collapsed="false">
      <c r="A25" s="10" t="str">
        <f aca="false">IF(D25="","","LKW-"&amp;IFERROR(VLOOKUP(D25,Lists!$AQ$4:$AR$17,2,0),"??")&amp;"-W"&amp;TEXT(F25*1000,"0000")&amp;"-H"&amp;TEXT(G25*1000,"0000")&amp;"-B"&amp;TEXT(H25*1000,"0000")&amp;"-"&amp;AI25)</f>
        <v/>
      </c>
      <c r="B25" s="10" t="str">
        <f aca="false">IF(D25="","",D25&amp;", "&amp;F25&amp;" m wide, "&amp;G25&amp;" m headroom, "&amp;H25&amp;" m bays, "&amp;I25&amp;" ("&amp;E25&amp;")")</f>
        <v/>
      </c>
      <c r="C25" s="9"/>
      <c r="D25" s="9"/>
      <c r="E25" s="9"/>
      <c r="F25" s="42"/>
      <c r="G25" s="42"/>
      <c r="H25" s="42"/>
      <c r="I25" s="9"/>
      <c r="J25" s="9"/>
      <c r="K25" s="9"/>
      <c r="L25" s="9"/>
      <c r="M25" s="9"/>
      <c r="N25" s="9"/>
      <c r="O25" s="9"/>
      <c r="P25" s="9"/>
      <c r="Q25" s="9"/>
      <c r="R25" s="9"/>
      <c r="S25" s="42"/>
      <c r="T25" s="9"/>
      <c r="U25" s="9"/>
      <c r="V25" s="9"/>
      <c r="W25" s="38"/>
      <c r="X25" s="42"/>
      <c r="Y25" s="9"/>
      <c r="Z25" s="9"/>
      <c r="AA25" s="9"/>
      <c r="AB25" s="42"/>
      <c r="AC25" s="9"/>
      <c r="AD25" s="38"/>
      <c r="AE25" s="9"/>
      <c r="AF25" s="39"/>
      <c r="AG25" s="9"/>
      <c r="AH25" s="9"/>
      <c r="AI25" s="9"/>
      <c r="AJ25" s="9"/>
      <c r="AK25" s="9"/>
      <c r="AL25" s="9"/>
      <c r="AM25" s="9"/>
      <c r="AN25" s="10" t="str">
        <f aca="false">IF(A25="","",SG_Criteria!$B$6&amp;SG_Criteria!$B$12&amp;"\"&amp;A25&amp;"\")</f>
        <v/>
      </c>
      <c r="AO25" s="10" t="str">
        <f aca="false">IF(A25="","",A25&amp;"_CAD.dwg")</f>
        <v/>
      </c>
      <c r="AP25" s="10" t="str">
        <f aca="false">IF(A25="","",A25&amp;"_DWG.pdf")</f>
        <v/>
      </c>
      <c r="AQ25" s="10" t="str">
        <f aca="false">IF(A25="","",IF(AM25="Y",A25&amp;"_STAAD.std","n/a"))</f>
        <v/>
      </c>
      <c r="AR25" s="10" t="str">
        <f aca="false">IF(A25="","",A25&amp;"_CALC.xlsx")</f>
        <v/>
      </c>
      <c r="AS25" s="10" t="str">
        <f aca="false">IF(A25="","",A25&amp;"_CALC.pdf")</f>
        <v/>
      </c>
      <c r="AT25" s="9"/>
      <c r="AU25" s="9"/>
      <c r="AV25" s="39"/>
      <c r="AW25" s="39"/>
      <c r="AX25" s="39"/>
      <c r="AY25" s="39"/>
      <c r="AZ25" s="39"/>
      <c r="BA25" s="12" t="str">
        <f aca="false">IF(A25="","",IF(COUNTIF(Rebar_Schedule!$A$5:$A$2004,A25)=0,"",ROUND(SUMIF(Rebar_Schedule!$A$5:$A$2004,A25,Rebar_Schedule!$K$5:$K$2004),1)))</f>
        <v/>
      </c>
      <c r="BB25" s="33" t="str">
        <f aca="false">IF(A25="","",IF(BA25="","No rebar schedule yet",IF(ABS(BA25-N(AW25))/MAX(N(AW25),1)&gt;SG_Criteria!$B$55,"NOTE: register rebar differs from schedule by "&amp;TEXT(ABS(BA25-N(AW25))/MAX(N(AW25),1),"0%"),"OK")))</f>
        <v/>
      </c>
      <c r="BC25" s="33" t="str">
        <f aca="false">IF(D25="","",IF(LEN(IF(AND(D25&lt;&gt;"High Covered Linkway",G25&lt;SG_Criteria!$B$46),"FAIL: headroom below "&amp;SG_Criteria!$B$46&amp;" m. ","")&amp;IF(AND(D25="High Covered Linkway",G25&lt;SG_Criteria!$B$47),"FAIL: high linkway headroom below "&amp;SG_Criteria!$B$47&amp;" m. ","")&amp;IF(F25&lt;SG_Criteria!$B$48,"FAIL: roof width below "&amp;SG_Criteria!$B$48&amp;" m. ",IF(F25&lt;SG_Criteria!$B$49,"NOTE: not for MRT/LRT or high-traffic routes (min "&amp;SG_Criteria!$B$49&amp;" m). ",""))&amp;IF(AND(W25&lt;&gt;"",W25&lt;SG_Criteria!$B$50),"FAIL: wind speed below "&amp;SG_Criteria!$B$50&amp;" m/s. ","")&amp;IF(AND(X25&lt;&gt;"",X25&lt;SG_Criteria!$B$51),"FAIL: roof fixing pull-out below "&amp;SG_Criteria!$B$51&amp;" kN. ","")&amp;IF(AND(Y25&lt;&gt;"",IFERROR(VALUE(MID(Y25,2,2)),0)&lt;SG_Criteria!$B$52),"FAIL: grade below C"&amp;SG_Criteria!$B$52&amp;". ","")&amp;IF(E25="Non-standard (project design)","NOTE: not an SDRE standard, needs LTA acceptance. ",""))=0,"OK",IF(AND(D25&lt;&gt;"High Covered Linkway",G25&lt;SG_Criteria!$B$46),"FAIL: headroom below "&amp;SG_Criteria!$B$46&amp;" m. ","")&amp;IF(AND(D25="High Covered Linkway",G25&lt;SG_Criteria!$B$47),"FAIL: high linkway headroom below "&amp;SG_Criteria!$B$47&amp;" m. ","")&amp;IF(F25&lt;SG_Criteria!$B$48,"FAIL: roof width below "&amp;SG_Criteria!$B$48&amp;" m. ",IF(F25&lt;SG_Criteria!$B$49,"NOTE: not for MRT/LRT or high-traffic routes (min "&amp;SG_Criteria!$B$49&amp;" m). ",""))&amp;IF(AND(W25&lt;&gt;"",W25&lt;SG_Criteria!$B$50),"FAIL: wind speed below "&amp;SG_Criteria!$B$50&amp;" m/s. ","")&amp;IF(AND(X25&lt;&gt;"",X25&lt;SG_Criteria!$B$51),"FAIL: roof fixing pull-out below "&amp;SG_Criteria!$B$51&amp;" kN. ","")&amp;IF(AND(Y25&lt;&gt;"",IFERROR(VALUE(MID(Y25,2,2)),0)&lt;SG_Criteria!$B$52),"FAIL: grade below C"&amp;SG_Criteria!$B$52&amp;". ","")&amp;IF(E25="Non-standard (project design)","NOTE: not an SDRE standard, needs LTA acceptance. ","")))</f>
        <v/>
      </c>
      <c r="BD25" s="9"/>
      <c r="BE25" s="9"/>
      <c r="BF25" s="9"/>
      <c r="BG25" s="10" t="str">
        <f aca="false">IF(BF25="","",IFERROR(VLOOKUP(BF25,Projects!$A$5:$D$504,2,0),"Ref not in Projects"))</f>
        <v/>
      </c>
      <c r="BH25" s="10" t="str">
        <f aca="false">IF(BF25="","",IFERROR(VLOOKUP(BF25,Projects!$A$5:$D$504,4,0),"Ref not in Projects"))</f>
        <v/>
      </c>
      <c r="BI25" s="9"/>
      <c r="BJ25" s="9"/>
      <c r="BK25" s="9"/>
      <c r="BL25" s="40"/>
      <c r="BM25" s="9"/>
      <c r="BN25" s="40"/>
      <c r="BO25" s="9"/>
      <c r="BP25" s="40"/>
      <c r="BQ25" s="9"/>
      <c r="BR25" s="9"/>
      <c r="BS25" s="9"/>
      <c r="BT25" s="40"/>
      <c r="BU25" s="40"/>
      <c r="BV25" s="36" t="str">
        <f aca="false">IF(BU25="","",EDATE(BU25,SG_Criteria!$B$54*12))</f>
        <v/>
      </c>
      <c r="BW25" s="33" t="str">
        <f aca="true">IF(A25="","",IF(BU25="","NOTE: not reviewed yet",IF(TODAY()&gt;BV25,"NOTE: review overdue","OK")))</f>
        <v/>
      </c>
      <c r="BX25" s="37" t="str">
        <f aca="false">IF(A25="","",ROUND((IF(LEN(D25)&gt;0,1,0)+IF(LEN(E25)&gt;0,1,0)+IF(LEN(F25)&gt;0,1,0)+IF(LEN(G25)&gt;0,1,0)+IF(LEN(H25)&gt;0,1,0)+IF(LEN(I25)&gt;0,1,0)+IF(LEN(J25)&gt;0,1,0)+IF(LEN(K25)&gt;0,1,0)+IF(LEN(N25)&gt;0,1,0)+IF(LEN(O25)&gt;0,1,0)+IF(LEN(W25)&gt;0,1,0)+IF(LEN(X25)&gt;0,1,0)+IF(LEN(Y25)&gt;0,1,0)+IF(LEN(AG25)&gt;0,1,0)+IF(LEN(AI25)&gt;0,1,0)+IF(LEN(AJ25)&gt;0,1,0)+IF(LEN(AK25)&gt;0,1,0)+IF(LEN(AL25)&gt;0,1,0)+IF(LEN(AU25)&gt;0,1,0)+IF(LEN(BF25)&gt;0,1,0)+IF(LEN(BS25)&gt;0,1,0))/21,2))</f>
        <v/>
      </c>
      <c r="BY25" s="10" t="str">
        <f aca="false">IF(D25="","",IF(AND(AJ25="Approved",ISERROR(SEARCH("FAIL",BC25))),"Y","N"))</f>
        <v/>
      </c>
      <c r="BZ25" s="10" t="str">
        <f aca="false">IF(D25="","",D25&amp;"|"&amp;F25&amp;"|"&amp;G25&amp;"|"&amp;BY25)</f>
        <v/>
      </c>
    </row>
    <row r="26" customFormat="false" ht="15" hidden="false" customHeight="false" outlineLevel="0" collapsed="false">
      <c r="A26" s="10" t="str">
        <f aca="false">IF(D26="","","LKW-"&amp;IFERROR(VLOOKUP(D26,Lists!$AQ$4:$AR$17,2,0),"??")&amp;"-W"&amp;TEXT(F26*1000,"0000")&amp;"-H"&amp;TEXT(G26*1000,"0000")&amp;"-B"&amp;TEXT(H26*1000,"0000")&amp;"-"&amp;AI26)</f>
        <v/>
      </c>
      <c r="B26" s="10" t="str">
        <f aca="false">IF(D26="","",D26&amp;", "&amp;F26&amp;" m wide, "&amp;G26&amp;" m headroom, "&amp;H26&amp;" m bays, "&amp;I26&amp;" ("&amp;E26&amp;")")</f>
        <v/>
      </c>
      <c r="C26" s="9"/>
      <c r="D26" s="9"/>
      <c r="E26" s="9"/>
      <c r="F26" s="42"/>
      <c r="G26" s="42"/>
      <c r="H26" s="42"/>
      <c r="I26" s="9"/>
      <c r="J26" s="9"/>
      <c r="K26" s="9"/>
      <c r="L26" s="9"/>
      <c r="M26" s="9"/>
      <c r="N26" s="9"/>
      <c r="O26" s="9"/>
      <c r="P26" s="9"/>
      <c r="Q26" s="9"/>
      <c r="R26" s="9"/>
      <c r="S26" s="42"/>
      <c r="T26" s="9"/>
      <c r="U26" s="9"/>
      <c r="V26" s="9"/>
      <c r="W26" s="38"/>
      <c r="X26" s="42"/>
      <c r="Y26" s="9"/>
      <c r="Z26" s="9"/>
      <c r="AA26" s="9"/>
      <c r="AB26" s="42"/>
      <c r="AC26" s="9"/>
      <c r="AD26" s="38"/>
      <c r="AE26" s="9"/>
      <c r="AF26" s="39"/>
      <c r="AG26" s="9"/>
      <c r="AH26" s="9"/>
      <c r="AI26" s="9"/>
      <c r="AJ26" s="9"/>
      <c r="AK26" s="9"/>
      <c r="AL26" s="9"/>
      <c r="AM26" s="9"/>
      <c r="AN26" s="10" t="str">
        <f aca="false">IF(A26="","",SG_Criteria!$B$6&amp;SG_Criteria!$B$12&amp;"\"&amp;A26&amp;"\")</f>
        <v/>
      </c>
      <c r="AO26" s="10" t="str">
        <f aca="false">IF(A26="","",A26&amp;"_CAD.dwg")</f>
        <v/>
      </c>
      <c r="AP26" s="10" t="str">
        <f aca="false">IF(A26="","",A26&amp;"_DWG.pdf")</f>
        <v/>
      </c>
      <c r="AQ26" s="10" t="str">
        <f aca="false">IF(A26="","",IF(AM26="Y",A26&amp;"_STAAD.std","n/a"))</f>
        <v/>
      </c>
      <c r="AR26" s="10" t="str">
        <f aca="false">IF(A26="","",A26&amp;"_CALC.xlsx")</f>
        <v/>
      </c>
      <c r="AS26" s="10" t="str">
        <f aca="false">IF(A26="","",A26&amp;"_CALC.pdf")</f>
        <v/>
      </c>
      <c r="AT26" s="9"/>
      <c r="AU26" s="9"/>
      <c r="AV26" s="39"/>
      <c r="AW26" s="39"/>
      <c r="AX26" s="39"/>
      <c r="AY26" s="39"/>
      <c r="AZ26" s="39"/>
      <c r="BA26" s="12" t="str">
        <f aca="false">IF(A26="","",IF(COUNTIF(Rebar_Schedule!$A$5:$A$2004,A26)=0,"",ROUND(SUMIF(Rebar_Schedule!$A$5:$A$2004,A26,Rebar_Schedule!$K$5:$K$2004),1)))</f>
        <v/>
      </c>
      <c r="BB26" s="33" t="str">
        <f aca="false">IF(A26="","",IF(BA26="","No rebar schedule yet",IF(ABS(BA26-N(AW26))/MAX(N(AW26),1)&gt;SG_Criteria!$B$55,"NOTE: register rebar differs from schedule by "&amp;TEXT(ABS(BA26-N(AW26))/MAX(N(AW26),1),"0%"),"OK")))</f>
        <v/>
      </c>
      <c r="BC26" s="33" t="str">
        <f aca="false">IF(D26="","",IF(LEN(IF(AND(D26&lt;&gt;"High Covered Linkway",G26&lt;SG_Criteria!$B$46),"FAIL: headroom below "&amp;SG_Criteria!$B$46&amp;" m. ","")&amp;IF(AND(D26="High Covered Linkway",G26&lt;SG_Criteria!$B$47),"FAIL: high linkway headroom below "&amp;SG_Criteria!$B$47&amp;" m. ","")&amp;IF(F26&lt;SG_Criteria!$B$48,"FAIL: roof width below "&amp;SG_Criteria!$B$48&amp;" m. ",IF(F26&lt;SG_Criteria!$B$49,"NOTE: not for MRT/LRT or high-traffic routes (min "&amp;SG_Criteria!$B$49&amp;" m). ",""))&amp;IF(AND(W26&lt;&gt;"",W26&lt;SG_Criteria!$B$50),"FAIL: wind speed below "&amp;SG_Criteria!$B$50&amp;" m/s. ","")&amp;IF(AND(X26&lt;&gt;"",X26&lt;SG_Criteria!$B$51),"FAIL: roof fixing pull-out below "&amp;SG_Criteria!$B$51&amp;" kN. ","")&amp;IF(AND(Y26&lt;&gt;"",IFERROR(VALUE(MID(Y26,2,2)),0)&lt;SG_Criteria!$B$52),"FAIL: grade below C"&amp;SG_Criteria!$B$52&amp;". ","")&amp;IF(E26="Non-standard (project design)","NOTE: not an SDRE standard, needs LTA acceptance. ",""))=0,"OK",IF(AND(D26&lt;&gt;"High Covered Linkway",G26&lt;SG_Criteria!$B$46),"FAIL: headroom below "&amp;SG_Criteria!$B$46&amp;" m. ","")&amp;IF(AND(D26="High Covered Linkway",G26&lt;SG_Criteria!$B$47),"FAIL: high linkway headroom below "&amp;SG_Criteria!$B$47&amp;" m. ","")&amp;IF(F26&lt;SG_Criteria!$B$48,"FAIL: roof width below "&amp;SG_Criteria!$B$48&amp;" m. ",IF(F26&lt;SG_Criteria!$B$49,"NOTE: not for MRT/LRT or high-traffic routes (min "&amp;SG_Criteria!$B$49&amp;" m). ",""))&amp;IF(AND(W26&lt;&gt;"",W26&lt;SG_Criteria!$B$50),"FAIL: wind speed below "&amp;SG_Criteria!$B$50&amp;" m/s. ","")&amp;IF(AND(X26&lt;&gt;"",X26&lt;SG_Criteria!$B$51),"FAIL: roof fixing pull-out below "&amp;SG_Criteria!$B$51&amp;" kN. ","")&amp;IF(AND(Y26&lt;&gt;"",IFERROR(VALUE(MID(Y26,2,2)),0)&lt;SG_Criteria!$B$52),"FAIL: grade below C"&amp;SG_Criteria!$B$52&amp;". ","")&amp;IF(E26="Non-standard (project design)","NOTE: not an SDRE standard, needs LTA acceptance. ","")))</f>
        <v/>
      </c>
      <c r="BD26" s="9"/>
      <c r="BE26" s="9"/>
      <c r="BF26" s="9"/>
      <c r="BG26" s="10" t="str">
        <f aca="false">IF(BF26="","",IFERROR(VLOOKUP(BF26,Projects!$A$5:$D$504,2,0),"Ref not in Projects"))</f>
        <v/>
      </c>
      <c r="BH26" s="10" t="str">
        <f aca="false">IF(BF26="","",IFERROR(VLOOKUP(BF26,Projects!$A$5:$D$504,4,0),"Ref not in Projects"))</f>
        <v/>
      </c>
      <c r="BI26" s="9"/>
      <c r="BJ26" s="9"/>
      <c r="BK26" s="9"/>
      <c r="BL26" s="40"/>
      <c r="BM26" s="9"/>
      <c r="BN26" s="40"/>
      <c r="BO26" s="9"/>
      <c r="BP26" s="40"/>
      <c r="BQ26" s="9"/>
      <c r="BR26" s="9"/>
      <c r="BS26" s="9"/>
      <c r="BT26" s="40"/>
      <c r="BU26" s="40"/>
      <c r="BV26" s="36" t="str">
        <f aca="false">IF(BU26="","",EDATE(BU26,SG_Criteria!$B$54*12))</f>
        <v/>
      </c>
      <c r="BW26" s="33" t="str">
        <f aca="true">IF(A26="","",IF(BU26="","NOTE: not reviewed yet",IF(TODAY()&gt;BV26,"NOTE: review overdue","OK")))</f>
        <v/>
      </c>
      <c r="BX26" s="37" t="str">
        <f aca="false">IF(A26="","",ROUND((IF(LEN(D26)&gt;0,1,0)+IF(LEN(E26)&gt;0,1,0)+IF(LEN(F26)&gt;0,1,0)+IF(LEN(G26)&gt;0,1,0)+IF(LEN(H26)&gt;0,1,0)+IF(LEN(I26)&gt;0,1,0)+IF(LEN(J26)&gt;0,1,0)+IF(LEN(K26)&gt;0,1,0)+IF(LEN(N26)&gt;0,1,0)+IF(LEN(O26)&gt;0,1,0)+IF(LEN(W26)&gt;0,1,0)+IF(LEN(X26)&gt;0,1,0)+IF(LEN(Y26)&gt;0,1,0)+IF(LEN(AG26)&gt;0,1,0)+IF(LEN(AI26)&gt;0,1,0)+IF(LEN(AJ26)&gt;0,1,0)+IF(LEN(AK26)&gt;0,1,0)+IF(LEN(AL26)&gt;0,1,0)+IF(LEN(AU26)&gt;0,1,0)+IF(LEN(BF26)&gt;0,1,0)+IF(LEN(BS26)&gt;0,1,0))/21,2))</f>
        <v/>
      </c>
      <c r="BY26" s="10" t="str">
        <f aca="false">IF(D26="","",IF(AND(AJ26="Approved",ISERROR(SEARCH("FAIL",BC26))),"Y","N"))</f>
        <v/>
      </c>
      <c r="BZ26" s="10" t="str">
        <f aca="false">IF(D26="","",D26&amp;"|"&amp;F26&amp;"|"&amp;G26&amp;"|"&amp;BY26)</f>
        <v/>
      </c>
    </row>
    <row r="27" customFormat="false" ht="15" hidden="false" customHeight="false" outlineLevel="0" collapsed="false">
      <c r="A27" s="10" t="str">
        <f aca="false">IF(D27="","","LKW-"&amp;IFERROR(VLOOKUP(D27,Lists!$AQ$4:$AR$17,2,0),"??")&amp;"-W"&amp;TEXT(F27*1000,"0000")&amp;"-H"&amp;TEXT(G27*1000,"0000")&amp;"-B"&amp;TEXT(H27*1000,"0000")&amp;"-"&amp;AI27)</f>
        <v/>
      </c>
      <c r="B27" s="10" t="str">
        <f aca="false">IF(D27="","",D27&amp;", "&amp;F27&amp;" m wide, "&amp;G27&amp;" m headroom, "&amp;H27&amp;" m bays, "&amp;I27&amp;" ("&amp;E27&amp;")")</f>
        <v/>
      </c>
      <c r="C27" s="9"/>
      <c r="D27" s="9"/>
      <c r="E27" s="9"/>
      <c r="F27" s="42"/>
      <c r="G27" s="42"/>
      <c r="H27" s="42"/>
      <c r="I27" s="9"/>
      <c r="J27" s="9"/>
      <c r="K27" s="9"/>
      <c r="L27" s="9"/>
      <c r="M27" s="9"/>
      <c r="N27" s="9"/>
      <c r="O27" s="9"/>
      <c r="P27" s="9"/>
      <c r="Q27" s="9"/>
      <c r="R27" s="9"/>
      <c r="S27" s="42"/>
      <c r="T27" s="9"/>
      <c r="U27" s="9"/>
      <c r="V27" s="9"/>
      <c r="W27" s="38"/>
      <c r="X27" s="42"/>
      <c r="Y27" s="9"/>
      <c r="Z27" s="9"/>
      <c r="AA27" s="9"/>
      <c r="AB27" s="42"/>
      <c r="AC27" s="9"/>
      <c r="AD27" s="38"/>
      <c r="AE27" s="9"/>
      <c r="AF27" s="39"/>
      <c r="AG27" s="9"/>
      <c r="AH27" s="9"/>
      <c r="AI27" s="9"/>
      <c r="AJ27" s="9"/>
      <c r="AK27" s="9"/>
      <c r="AL27" s="9"/>
      <c r="AM27" s="9"/>
      <c r="AN27" s="10" t="str">
        <f aca="false">IF(A27="","",SG_Criteria!$B$6&amp;SG_Criteria!$B$12&amp;"\"&amp;A27&amp;"\")</f>
        <v/>
      </c>
      <c r="AO27" s="10" t="str">
        <f aca="false">IF(A27="","",A27&amp;"_CAD.dwg")</f>
        <v/>
      </c>
      <c r="AP27" s="10" t="str">
        <f aca="false">IF(A27="","",A27&amp;"_DWG.pdf")</f>
        <v/>
      </c>
      <c r="AQ27" s="10" t="str">
        <f aca="false">IF(A27="","",IF(AM27="Y",A27&amp;"_STAAD.std","n/a"))</f>
        <v/>
      </c>
      <c r="AR27" s="10" t="str">
        <f aca="false">IF(A27="","",A27&amp;"_CALC.xlsx")</f>
        <v/>
      </c>
      <c r="AS27" s="10" t="str">
        <f aca="false">IF(A27="","",A27&amp;"_CALC.pdf")</f>
        <v/>
      </c>
      <c r="AT27" s="9"/>
      <c r="AU27" s="9"/>
      <c r="AV27" s="39"/>
      <c r="AW27" s="39"/>
      <c r="AX27" s="39"/>
      <c r="AY27" s="39"/>
      <c r="AZ27" s="39"/>
      <c r="BA27" s="12" t="str">
        <f aca="false">IF(A27="","",IF(COUNTIF(Rebar_Schedule!$A$5:$A$2004,A27)=0,"",ROUND(SUMIF(Rebar_Schedule!$A$5:$A$2004,A27,Rebar_Schedule!$K$5:$K$2004),1)))</f>
        <v/>
      </c>
      <c r="BB27" s="33" t="str">
        <f aca="false">IF(A27="","",IF(BA27="","No rebar schedule yet",IF(ABS(BA27-N(AW27))/MAX(N(AW27),1)&gt;SG_Criteria!$B$55,"NOTE: register rebar differs from schedule by "&amp;TEXT(ABS(BA27-N(AW27))/MAX(N(AW27),1),"0%"),"OK")))</f>
        <v/>
      </c>
      <c r="BC27" s="33" t="str">
        <f aca="false">IF(D27="","",IF(LEN(IF(AND(D27&lt;&gt;"High Covered Linkway",G27&lt;SG_Criteria!$B$46),"FAIL: headroom below "&amp;SG_Criteria!$B$46&amp;" m. ","")&amp;IF(AND(D27="High Covered Linkway",G27&lt;SG_Criteria!$B$47),"FAIL: high linkway headroom below "&amp;SG_Criteria!$B$47&amp;" m. ","")&amp;IF(F27&lt;SG_Criteria!$B$48,"FAIL: roof width below "&amp;SG_Criteria!$B$48&amp;" m. ",IF(F27&lt;SG_Criteria!$B$49,"NOTE: not for MRT/LRT or high-traffic routes (min "&amp;SG_Criteria!$B$49&amp;" m). ",""))&amp;IF(AND(W27&lt;&gt;"",W27&lt;SG_Criteria!$B$50),"FAIL: wind speed below "&amp;SG_Criteria!$B$50&amp;" m/s. ","")&amp;IF(AND(X27&lt;&gt;"",X27&lt;SG_Criteria!$B$51),"FAIL: roof fixing pull-out below "&amp;SG_Criteria!$B$51&amp;" kN. ","")&amp;IF(AND(Y27&lt;&gt;"",IFERROR(VALUE(MID(Y27,2,2)),0)&lt;SG_Criteria!$B$52),"FAIL: grade below C"&amp;SG_Criteria!$B$52&amp;". ","")&amp;IF(E27="Non-standard (project design)","NOTE: not an SDRE standard, needs LTA acceptance. ",""))=0,"OK",IF(AND(D27&lt;&gt;"High Covered Linkway",G27&lt;SG_Criteria!$B$46),"FAIL: headroom below "&amp;SG_Criteria!$B$46&amp;" m. ","")&amp;IF(AND(D27="High Covered Linkway",G27&lt;SG_Criteria!$B$47),"FAIL: high linkway headroom below "&amp;SG_Criteria!$B$47&amp;" m. ","")&amp;IF(F27&lt;SG_Criteria!$B$48,"FAIL: roof width below "&amp;SG_Criteria!$B$48&amp;" m. ",IF(F27&lt;SG_Criteria!$B$49,"NOTE: not for MRT/LRT or high-traffic routes (min "&amp;SG_Criteria!$B$49&amp;" m). ",""))&amp;IF(AND(W27&lt;&gt;"",W27&lt;SG_Criteria!$B$50),"FAIL: wind speed below "&amp;SG_Criteria!$B$50&amp;" m/s. ","")&amp;IF(AND(X27&lt;&gt;"",X27&lt;SG_Criteria!$B$51),"FAIL: roof fixing pull-out below "&amp;SG_Criteria!$B$51&amp;" kN. ","")&amp;IF(AND(Y27&lt;&gt;"",IFERROR(VALUE(MID(Y27,2,2)),0)&lt;SG_Criteria!$B$52),"FAIL: grade below C"&amp;SG_Criteria!$B$52&amp;". ","")&amp;IF(E27="Non-standard (project design)","NOTE: not an SDRE standard, needs LTA acceptance. ","")))</f>
        <v/>
      </c>
      <c r="BD27" s="9"/>
      <c r="BE27" s="9"/>
      <c r="BF27" s="9"/>
      <c r="BG27" s="10" t="str">
        <f aca="false">IF(BF27="","",IFERROR(VLOOKUP(BF27,Projects!$A$5:$D$504,2,0),"Ref not in Projects"))</f>
        <v/>
      </c>
      <c r="BH27" s="10" t="str">
        <f aca="false">IF(BF27="","",IFERROR(VLOOKUP(BF27,Projects!$A$5:$D$504,4,0),"Ref not in Projects"))</f>
        <v/>
      </c>
      <c r="BI27" s="9"/>
      <c r="BJ27" s="9"/>
      <c r="BK27" s="9"/>
      <c r="BL27" s="40"/>
      <c r="BM27" s="9"/>
      <c r="BN27" s="40"/>
      <c r="BO27" s="9"/>
      <c r="BP27" s="40"/>
      <c r="BQ27" s="9"/>
      <c r="BR27" s="9"/>
      <c r="BS27" s="9"/>
      <c r="BT27" s="40"/>
      <c r="BU27" s="40"/>
      <c r="BV27" s="36" t="str">
        <f aca="false">IF(BU27="","",EDATE(BU27,SG_Criteria!$B$54*12))</f>
        <v/>
      </c>
      <c r="BW27" s="33" t="str">
        <f aca="true">IF(A27="","",IF(BU27="","NOTE: not reviewed yet",IF(TODAY()&gt;BV27,"NOTE: review overdue","OK")))</f>
        <v/>
      </c>
      <c r="BX27" s="37" t="str">
        <f aca="false">IF(A27="","",ROUND((IF(LEN(D27)&gt;0,1,0)+IF(LEN(E27)&gt;0,1,0)+IF(LEN(F27)&gt;0,1,0)+IF(LEN(G27)&gt;0,1,0)+IF(LEN(H27)&gt;0,1,0)+IF(LEN(I27)&gt;0,1,0)+IF(LEN(J27)&gt;0,1,0)+IF(LEN(K27)&gt;0,1,0)+IF(LEN(N27)&gt;0,1,0)+IF(LEN(O27)&gt;0,1,0)+IF(LEN(W27)&gt;0,1,0)+IF(LEN(X27)&gt;0,1,0)+IF(LEN(Y27)&gt;0,1,0)+IF(LEN(AG27)&gt;0,1,0)+IF(LEN(AI27)&gt;0,1,0)+IF(LEN(AJ27)&gt;0,1,0)+IF(LEN(AK27)&gt;0,1,0)+IF(LEN(AL27)&gt;0,1,0)+IF(LEN(AU27)&gt;0,1,0)+IF(LEN(BF27)&gt;0,1,0)+IF(LEN(BS27)&gt;0,1,0))/21,2))</f>
        <v/>
      </c>
      <c r="BY27" s="10" t="str">
        <f aca="false">IF(D27="","",IF(AND(AJ27="Approved",ISERROR(SEARCH("FAIL",BC27))),"Y","N"))</f>
        <v/>
      </c>
      <c r="BZ27" s="10" t="str">
        <f aca="false">IF(D27="","",D27&amp;"|"&amp;F27&amp;"|"&amp;G27&amp;"|"&amp;BY27)</f>
        <v/>
      </c>
    </row>
    <row r="28" customFormat="false" ht="15" hidden="false" customHeight="false" outlineLevel="0" collapsed="false">
      <c r="A28" s="10" t="str">
        <f aca="false">IF(D28="","","LKW-"&amp;IFERROR(VLOOKUP(D28,Lists!$AQ$4:$AR$17,2,0),"??")&amp;"-W"&amp;TEXT(F28*1000,"0000")&amp;"-H"&amp;TEXT(G28*1000,"0000")&amp;"-B"&amp;TEXT(H28*1000,"0000")&amp;"-"&amp;AI28)</f>
        <v/>
      </c>
      <c r="B28" s="10" t="str">
        <f aca="false">IF(D28="","",D28&amp;", "&amp;F28&amp;" m wide, "&amp;G28&amp;" m headroom, "&amp;H28&amp;" m bays, "&amp;I28&amp;" ("&amp;E28&amp;")")</f>
        <v/>
      </c>
      <c r="C28" s="9"/>
      <c r="D28" s="9"/>
      <c r="E28" s="9"/>
      <c r="F28" s="42"/>
      <c r="G28" s="42"/>
      <c r="H28" s="42"/>
      <c r="I28" s="9"/>
      <c r="J28" s="9"/>
      <c r="K28" s="9"/>
      <c r="L28" s="9"/>
      <c r="M28" s="9"/>
      <c r="N28" s="9"/>
      <c r="O28" s="9"/>
      <c r="P28" s="9"/>
      <c r="Q28" s="9"/>
      <c r="R28" s="9"/>
      <c r="S28" s="42"/>
      <c r="T28" s="9"/>
      <c r="U28" s="9"/>
      <c r="V28" s="9"/>
      <c r="W28" s="38"/>
      <c r="X28" s="42"/>
      <c r="Y28" s="9"/>
      <c r="Z28" s="9"/>
      <c r="AA28" s="9"/>
      <c r="AB28" s="42"/>
      <c r="AC28" s="9"/>
      <c r="AD28" s="38"/>
      <c r="AE28" s="9"/>
      <c r="AF28" s="39"/>
      <c r="AG28" s="9"/>
      <c r="AH28" s="9"/>
      <c r="AI28" s="9"/>
      <c r="AJ28" s="9"/>
      <c r="AK28" s="9"/>
      <c r="AL28" s="9"/>
      <c r="AM28" s="9"/>
      <c r="AN28" s="10" t="str">
        <f aca="false">IF(A28="","",SG_Criteria!$B$6&amp;SG_Criteria!$B$12&amp;"\"&amp;A28&amp;"\")</f>
        <v/>
      </c>
      <c r="AO28" s="10" t="str">
        <f aca="false">IF(A28="","",A28&amp;"_CAD.dwg")</f>
        <v/>
      </c>
      <c r="AP28" s="10" t="str">
        <f aca="false">IF(A28="","",A28&amp;"_DWG.pdf")</f>
        <v/>
      </c>
      <c r="AQ28" s="10" t="str">
        <f aca="false">IF(A28="","",IF(AM28="Y",A28&amp;"_STAAD.std","n/a"))</f>
        <v/>
      </c>
      <c r="AR28" s="10" t="str">
        <f aca="false">IF(A28="","",A28&amp;"_CALC.xlsx")</f>
        <v/>
      </c>
      <c r="AS28" s="10" t="str">
        <f aca="false">IF(A28="","",A28&amp;"_CALC.pdf")</f>
        <v/>
      </c>
      <c r="AT28" s="9"/>
      <c r="AU28" s="9"/>
      <c r="AV28" s="39"/>
      <c r="AW28" s="39"/>
      <c r="AX28" s="39"/>
      <c r="AY28" s="39"/>
      <c r="AZ28" s="39"/>
      <c r="BA28" s="12" t="str">
        <f aca="false">IF(A28="","",IF(COUNTIF(Rebar_Schedule!$A$5:$A$2004,A28)=0,"",ROUND(SUMIF(Rebar_Schedule!$A$5:$A$2004,A28,Rebar_Schedule!$K$5:$K$2004),1)))</f>
        <v/>
      </c>
      <c r="BB28" s="33" t="str">
        <f aca="false">IF(A28="","",IF(BA28="","No rebar schedule yet",IF(ABS(BA28-N(AW28))/MAX(N(AW28),1)&gt;SG_Criteria!$B$55,"NOTE: register rebar differs from schedule by "&amp;TEXT(ABS(BA28-N(AW28))/MAX(N(AW28),1),"0%"),"OK")))</f>
        <v/>
      </c>
      <c r="BC28" s="33" t="str">
        <f aca="false">IF(D28="","",IF(LEN(IF(AND(D28&lt;&gt;"High Covered Linkway",G28&lt;SG_Criteria!$B$46),"FAIL: headroom below "&amp;SG_Criteria!$B$46&amp;" m. ","")&amp;IF(AND(D28="High Covered Linkway",G28&lt;SG_Criteria!$B$47),"FAIL: high linkway headroom below "&amp;SG_Criteria!$B$47&amp;" m. ","")&amp;IF(F28&lt;SG_Criteria!$B$48,"FAIL: roof width below "&amp;SG_Criteria!$B$48&amp;" m. ",IF(F28&lt;SG_Criteria!$B$49,"NOTE: not for MRT/LRT or high-traffic routes (min "&amp;SG_Criteria!$B$49&amp;" m). ",""))&amp;IF(AND(W28&lt;&gt;"",W28&lt;SG_Criteria!$B$50),"FAIL: wind speed below "&amp;SG_Criteria!$B$50&amp;" m/s. ","")&amp;IF(AND(X28&lt;&gt;"",X28&lt;SG_Criteria!$B$51),"FAIL: roof fixing pull-out below "&amp;SG_Criteria!$B$51&amp;" kN. ","")&amp;IF(AND(Y28&lt;&gt;"",IFERROR(VALUE(MID(Y28,2,2)),0)&lt;SG_Criteria!$B$52),"FAIL: grade below C"&amp;SG_Criteria!$B$52&amp;". ","")&amp;IF(E28="Non-standard (project design)","NOTE: not an SDRE standard, needs LTA acceptance. ",""))=0,"OK",IF(AND(D28&lt;&gt;"High Covered Linkway",G28&lt;SG_Criteria!$B$46),"FAIL: headroom below "&amp;SG_Criteria!$B$46&amp;" m. ","")&amp;IF(AND(D28="High Covered Linkway",G28&lt;SG_Criteria!$B$47),"FAIL: high linkway headroom below "&amp;SG_Criteria!$B$47&amp;" m. ","")&amp;IF(F28&lt;SG_Criteria!$B$48,"FAIL: roof width below "&amp;SG_Criteria!$B$48&amp;" m. ",IF(F28&lt;SG_Criteria!$B$49,"NOTE: not for MRT/LRT or high-traffic routes (min "&amp;SG_Criteria!$B$49&amp;" m). ",""))&amp;IF(AND(W28&lt;&gt;"",W28&lt;SG_Criteria!$B$50),"FAIL: wind speed below "&amp;SG_Criteria!$B$50&amp;" m/s. ","")&amp;IF(AND(X28&lt;&gt;"",X28&lt;SG_Criteria!$B$51),"FAIL: roof fixing pull-out below "&amp;SG_Criteria!$B$51&amp;" kN. ","")&amp;IF(AND(Y28&lt;&gt;"",IFERROR(VALUE(MID(Y28,2,2)),0)&lt;SG_Criteria!$B$52),"FAIL: grade below C"&amp;SG_Criteria!$B$52&amp;". ","")&amp;IF(E28="Non-standard (project design)","NOTE: not an SDRE standard, needs LTA acceptance. ","")))</f>
        <v/>
      </c>
      <c r="BD28" s="9"/>
      <c r="BE28" s="9"/>
      <c r="BF28" s="9"/>
      <c r="BG28" s="10" t="str">
        <f aca="false">IF(BF28="","",IFERROR(VLOOKUP(BF28,Projects!$A$5:$D$504,2,0),"Ref not in Projects"))</f>
        <v/>
      </c>
      <c r="BH28" s="10" t="str">
        <f aca="false">IF(BF28="","",IFERROR(VLOOKUP(BF28,Projects!$A$5:$D$504,4,0),"Ref not in Projects"))</f>
        <v/>
      </c>
      <c r="BI28" s="9"/>
      <c r="BJ28" s="9"/>
      <c r="BK28" s="9"/>
      <c r="BL28" s="40"/>
      <c r="BM28" s="9"/>
      <c r="BN28" s="40"/>
      <c r="BO28" s="9"/>
      <c r="BP28" s="40"/>
      <c r="BQ28" s="9"/>
      <c r="BR28" s="9"/>
      <c r="BS28" s="9"/>
      <c r="BT28" s="40"/>
      <c r="BU28" s="40"/>
      <c r="BV28" s="36" t="str">
        <f aca="false">IF(BU28="","",EDATE(BU28,SG_Criteria!$B$54*12))</f>
        <v/>
      </c>
      <c r="BW28" s="33" t="str">
        <f aca="true">IF(A28="","",IF(BU28="","NOTE: not reviewed yet",IF(TODAY()&gt;BV28,"NOTE: review overdue","OK")))</f>
        <v/>
      </c>
      <c r="BX28" s="37" t="str">
        <f aca="false">IF(A28="","",ROUND((IF(LEN(D28)&gt;0,1,0)+IF(LEN(E28)&gt;0,1,0)+IF(LEN(F28)&gt;0,1,0)+IF(LEN(G28)&gt;0,1,0)+IF(LEN(H28)&gt;0,1,0)+IF(LEN(I28)&gt;0,1,0)+IF(LEN(J28)&gt;0,1,0)+IF(LEN(K28)&gt;0,1,0)+IF(LEN(N28)&gt;0,1,0)+IF(LEN(O28)&gt;0,1,0)+IF(LEN(W28)&gt;0,1,0)+IF(LEN(X28)&gt;0,1,0)+IF(LEN(Y28)&gt;0,1,0)+IF(LEN(AG28)&gt;0,1,0)+IF(LEN(AI28)&gt;0,1,0)+IF(LEN(AJ28)&gt;0,1,0)+IF(LEN(AK28)&gt;0,1,0)+IF(LEN(AL28)&gt;0,1,0)+IF(LEN(AU28)&gt;0,1,0)+IF(LEN(BF28)&gt;0,1,0)+IF(LEN(BS28)&gt;0,1,0))/21,2))</f>
        <v/>
      </c>
      <c r="BY28" s="10" t="str">
        <f aca="false">IF(D28="","",IF(AND(AJ28="Approved",ISERROR(SEARCH("FAIL",BC28))),"Y","N"))</f>
        <v/>
      </c>
      <c r="BZ28" s="10" t="str">
        <f aca="false">IF(D28="","",D28&amp;"|"&amp;F28&amp;"|"&amp;G28&amp;"|"&amp;BY28)</f>
        <v/>
      </c>
    </row>
    <row r="29" customFormat="false" ht="15" hidden="false" customHeight="false" outlineLevel="0" collapsed="false">
      <c r="A29" s="10" t="str">
        <f aca="false">IF(D29="","","LKW-"&amp;IFERROR(VLOOKUP(D29,Lists!$AQ$4:$AR$17,2,0),"??")&amp;"-W"&amp;TEXT(F29*1000,"0000")&amp;"-H"&amp;TEXT(G29*1000,"0000")&amp;"-B"&amp;TEXT(H29*1000,"0000")&amp;"-"&amp;AI29)</f>
        <v/>
      </c>
      <c r="B29" s="10" t="str">
        <f aca="false">IF(D29="","",D29&amp;", "&amp;F29&amp;" m wide, "&amp;G29&amp;" m headroom, "&amp;H29&amp;" m bays, "&amp;I29&amp;" ("&amp;E29&amp;")")</f>
        <v/>
      </c>
      <c r="C29" s="9"/>
      <c r="D29" s="9"/>
      <c r="E29" s="9"/>
      <c r="F29" s="42"/>
      <c r="G29" s="42"/>
      <c r="H29" s="42"/>
      <c r="I29" s="9"/>
      <c r="J29" s="9"/>
      <c r="K29" s="9"/>
      <c r="L29" s="9"/>
      <c r="M29" s="9"/>
      <c r="N29" s="9"/>
      <c r="O29" s="9"/>
      <c r="P29" s="9"/>
      <c r="Q29" s="9"/>
      <c r="R29" s="9"/>
      <c r="S29" s="42"/>
      <c r="T29" s="9"/>
      <c r="U29" s="9"/>
      <c r="V29" s="9"/>
      <c r="W29" s="38"/>
      <c r="X29" s="42"/>
      <c r="Y29" s="9"/>
      <c r="Z29" s="9"/>
      <c r="AA29" s="9"/>
      <c r="AB29" s="42"/>
      <c r="AC29" s="9"/>
      <c r="AD29" s="38"/>
      <c r="AE29" s="9"/>
      <c r="AF29" s="39"/>
      <c r="AG29" s="9"/>
      <c r="AH29" s="9"/>
      <c r="AI29" s="9"/>
      <c r="AJ29" s="9"/>
      <c r="AK29" s="9"/>
      <c r="AL29" s="9"/>
      <c r="AM29" s="9"/>
      <c r="AN29" s="10" t="str">
        <f aca="false">IF(A29="","",SG_Criteria!$B$6&amp;SG_Criteria!$B$12&amp;"\"&amp;A29&amp;"\")</f>
        <v/>
      </c>
      <c r="AO29" s="10" t="str">
        <f aca="false">IF(A29="","",A29&amp;"_CAD.dwg")</f>
        <v/>
      </c>
      <c r="AP29" s="10" t="str">
        <f aca="false">IF(A29="","",A29&amp;"_DWG.pdf")</f>
        <v/>
      </c>
      <c r="AQ29" s="10" t="str">
        <f aca="false">IF(A29="","",IF(AM29="Y",A29&amp;"_STAAD.std","n/a"))</f>
        <v/>
      </c>
      <c r="AR29" s="10" t="str">
        <f aca="false">IF(A29="","",A29&amp;"_CALC.xlsx")</f>
        <v/>
      </c>
      <c r="AS29" s="10" t="str">
        <f aca="false">IF(A29="","",A29&amp;"_CALC.pdf")</f>
        <v/>
      </c>
      <c r="AT29" s="9"/>
      <c r="AU29" s="9"/>
      <c r="AV29" s="39"/>
      <c r="AW29" s="39"/>
      <c r="AX29" s="39"/>
      <c r="AY29" s="39"/>
      <c r="AZ29" s="39"/>
      <c r="BA29" s="12" t="str">
        <f aca="false">IF(A29="","",IF(COUNTIF(Rebar_Schedule!$A$5:$A$2004,A29)=0,"",ROUND(SUMIF(Rebar_Schedule!$A$5:$A$2004,A29,Rebar_Schedule!$K$5:$K$2004),1)))</f>
        <v/>
      </c>
      <c r="BB29" s="33" t="str">
        <f aca="false">IF(A29="","",IF(BA29="","No rebar schedule yet",IF(ABS(BA29-N(AW29))/MAX(N(AW29),1)&gt;SG_Criteria!$B$55,"NOTE: register rebar differs from schedule by "&amp;TEXT(ABS(BA29-N(AW29))/MAX(N(AW29),1),"0%"),"OK")))</f>
        <v/>
      </c>
      <c r="BC29" s="33" t="str">
        <f aca="false">IF(D29="","",IF(LEN(IF(AND(D29&lt;&gt;"High Covered Linkway",G29&lt;SG_Criteria!$B$46),"FAIL: headroom below "&amp;SG_Criteria!$B$46&amp;" m. ","")&amp;IF(AND(D29="High Covered Linkway",G29&lt;SG_Criteria!$B$47),"FAIL: high linkway headroom below "&amp;SG_Criteria!$B$47&amp;" m. ","")&amp;IF(F29&lt;SG_Criteria!$B$48,"FAIL: roof width below "&amp;SG_Criteria!$B$48&amp;" m. ",IF(F29&lt;SG_Criteria!$B$49,"NOTE: not for MRT/LRT or high-traffic routes (min "&amp;SG_Criteria!$B$49&amp;" m). ",""))&amp;IF(AND(W29&lt;&gt;"",W29&lt;SG_Criteria!$B$50),"FAIL: wind speed below "&amp;SG_Criteria!$B$50&amp;" m/s. ","")&amp;IF(AND(X29&lt;&gt;"",X29&lt;SG_Criteria!$B$51),"FAIL: roof fixing pull-out below "&amp;SG_Criteria!$B$51&amp;" kN. ","")&amp;IF(AND(Y29&lt;&gt;"",IFERROR(VALUE(MID(Y29,2,2)),0)&lt;SG_Criteria!$B$52),"FAIL: grade below C"&amp;SG_Criteria!$B$52&amp;". ","")&amp;IF(E29="Non-standard (project design)","NOTE: not an SDRE standard, needs LTA acceptance. ",""))=0,"OK",IF(AND(D29&lt;&gt;"High Covered Linkway",G29&lt;SG_Criteria!$B$46),"FAIL: headroom below "&amp;SG_Criteria!$B$46&amp;" m. ","")&amp;IF(AND(D29="High Covered Linkway",G29&lt;SG_Criteria!$B$47),"FAIL: high linkway headroom below "&amp;SG_Criteria!$B$47&amp;" m. ","")&amp;IF(F29&lt;SG_Criteria!$B$48,"FAIL: roof width below "&amp;SG_Criteria!$B$48&amp;" m. ",IF(F29&lt;SG_Criteria!$B$49,"NOTE: not for MRT/LRT or high-traffic routes (min "&amp;SG_Criteria!$B$49&amp;" m). ",""))&amp;IF(AND(W29&lt;&gt;"",W29&lt;SG_Criteria!$B$50),"FAIL: wind speed below "&amp;SG_Criteria!$B$50&amp;" m/s. ","")&amp;IF(AND(X29&lt;&gt;"",X29&lt;SG_Criteria!$B$51),"FAIL: roof fixing pull-out below "&amp;SG_Criteria!$B$51&amp;" kN. ","")&amp;IF(AND(Y29&lt;&gt;"",IFERROR(VALUE(MID(Y29,2,2)),0)&lt;SG_Criteria!$B$52),"FAIL: grade below C"&amp;SG_Criteria!$B$52&amp;". ","")&amp;IF(E29="Non-standard (project design)","NOTE: not an SDRE standard, needs LTA acceptance. ","")))</f>
        <v/>
      </c>
      <c r="BD29" s="9"/>
      <c r="BE29" s="9"/>
      <c r="BF29" s="9"/>
      <c r="BG29" s="10" t="str">
        <f aca="false">IF(BF29="","",IFERROR(VLOOKUP(BF29,Projects!$A$5:$D$504,2,0),"Ref not in Projects"))</f>
        <v/>
      </c>
      <c r="BH29" s="10" t="str">
        <f aca="false">IF(BF29="","",IFERROR(VLOOKUP(BF29,Projects!$A$5:$D$504,4,0),"Ref not in Projects"))</f>
        <v/>
      </c>
      <c r="BI29" s="9"/>
      <c r="BJ29" s="9"/>
      <c r="BK29" s="9"/>
      <c r="BL29" s="40"/>
      <c r="BM29" s="9"/>
      <c r="BN29" s="40"/>
      <c r="BO29" s="9"/>
      <c r="BP29" s="40"/>
      <c r="BQ29" s="9"/>
      <c r="BR29" s="9"/>
      <c r="BS29" s="9"/>
      <c r="BT29" s="40"/>
      <c r="BU29" s="40"/>
      <c r="BV29" s="36" t="str">
        <f aca="false">IF(BU29="","",EDATE(BU29,SG_Criteria!$B$54*12))</f>
        <v/>
      </c>
      <c r="BW29" s="33" t="str">
        <f aca="true">IF(A29="","",IF(BU29="","NOTE: not reviewed yet",IF(TODAY()&gt;BV29,"NOTE: review overdue","OK")))</f>
        <v/>
      </c>
      <c r="BX29" s="37" t="str">
        <f aca="false">IF(A29="","",ROUND((IF(LEN(D29)&gt;0,1,0)+IF(LEN(E29)&gt;0,1,0)+IF(LEN(F29)&gt;0,1,0)+IF(LEN(G29)&gt;0,1,0)+IF(LEN(H29)&gt;0,1,0)+IF(LEN(I29)&gt;0,1,0)+IF(LEN(J29)&gt;0,1,0)+IF(LEN(K29)&gt;0,1,0)+IF(LEN(N29)&gt;0,1,0)+IF(LEN(O29)&gt;0,1,0)+IF(LEN(W29)&gt;0,1,0)+IF(LEN(X29)&gt;0,1,0)+IF(LEN(Y29)&gt;0,1,0)+IF(LEN(AG29)&gt;0,1,0)+IF(LEN(AI29)&gt;0,1,0)+IF(LEN(AJ29)&gt;0,1,0)+IF(LEN(AK29)&gt;0,1,0)+IF(LEN(AL29)&gt;0,1,0)+IF(LEN(AU29)&gt;0,1,0)+IF(LEN(BF29)&gt;0,1,0)+IF(LEN(BS29)&gt;0,1,0))/21,2))</f>
        <v/>
      </c>
      <c r="BY29" s="10" t="str">
        <f aca="false">IF(D29="","",IF(AND(AJ29="Approved",ISERROR(SEARCH("FAIL",BC29))),"Y","N"))</f>
        <v/>
      </c>
      <c r="BZ29" s="10" t="str">
        <f aca="false">IF(D29="","",D29&amp;"|"&amp;F29&amp;"|"&amp;G29&amp;"|"&amp;BY29)</f>
        <v/>
      </c>
    </row>
    <row r="30" customFormat="false" ht="15" hidden="false" customHeight="false" outlineLevel="0" collapsed="false">
      <c r="A30" s="10" t="str">
        <f aca="false">IF(D30="","","LKW-"&amp;IFERROR(VLOOKUP(D30,Lists!$AQ$4:$AR$17,2,0),"??")&amp;"-W"&amp;TEXT(F30*1000,"0000")&amp;"-H"&amp;TEXT(G30*1000,"0000")&amp;"-B"&amp;TEXT(H30*1000,"0000")&amp;"-"&amp;AI30)</f>
        <v/>
      </c>
      <c r="B30" s="10" t="str">
        <f aca="false">IF(D30="","",D30&amp;", "&amp;F30&amp;" m wide, "&amp;G30&amp;" m headroom, "&amp;H30&amp;" m bays, "&amp;I30&amp;" ("&amp;E30&amp;")")</f>
        <v/>
      </c>
      <c r="C30" s="9"/>
      <c r="D30" s="9"/>
      <c r="E30" s="9"/>
      <c r="F30" s="42"/>
      <c r="G30" s="42"/>
      <c r="H30" s="42"/>
      <c r="I30" s="9"/>
      <c r="J30" s="9"/>
      <c r="K30" s="9"/>
      <c r="L30" s="9"/>
      <c r="M30" s="9"/>
      <c r="N30" s="9"/>
      <c r="O30" s="9"/>
      <c r="P30" s="9"/>
      <c r="Q30" s="9"/>
      <c r="R30" s="9"/>
      <c r="S30" s="42"/>
      <c r="T30" s="9"/>
      <c r="U30" s="9"/>
      <c r="V30" s="9"/>
      <c r="W30" s="38"/>
      <c r="X30" s="42"/>
      <c r="Y30" s="9"/>
      <c r="Z30" s="9"/>
      <c r="AA30" s="9"/>
      <c r="AB30" s="42"/>
      <c r="AC30" s="9"/>
      <c r="AD30" s="38"/>
      <c r="AE30" s="9"/>
      <c r="AF30" s="39"/>
      <c r="AG30" s="9"/>
      <c r="AH30" s="9"/>
      <c r="AI30" s="9"/>
      <c r="AJ30" s="9"/>
      <c r="AK30" s="9"/>
      <c r="AL30" s="9"/>
      <c r="AM30" s="9"/>
      <c r="AN30" s="10" t="str">
        <f aca="false">IF(A30="","",SG_Criteria!$B$6&amp;SG_Criteria!$B$12&amp;"\"&amp;A30&amp;"\")</f>
        <v/>
      </c>
      <c r="AO30" s="10" t="str">
        <f aca="false">IF(A30="","",A30&amp;"_CAD.dwg")</f>
        <v/>
      </c>
      <c r="AP30" s="10" t="str">
        <f aca="false">IF(A30="","",A30&amp;"_DWG.pdf")</f>
        <v/>
      </c>
      <c r="AQ30" s="10" t="str">
        <f aca="false">IF(A30="","",IF(AM30="Y",A30&amp;"_STAAD.std","n/a"))</f>
        <v/>
      </c>
      <c r="AR30" s="10" t="str">
        <f aca="false">IF(A30="","",A30&amp;"_CALC.xlsx")</f>
        <v/>
      </c>
      <c r="AS30" s="10" t="str">
        <f aca="false">IF(A30="","",A30&amp;"_CALC.pdf")</f>
        <v/>
      </c>
      <c r="AT30" s="9"/>
      <c r="AU30" s="9"/>
      <c r="AV30" s="39"/>
      <c r="AW30" s="39"/>
      <c r="AX30" s="39"/>
      <c r="AY30" s="39"/>
      <c r="AZ30" s="39"/>
      <c r="BA30" s="12" t="str">
        <f aca="false">IF(A30="","",IF(COUNTIF(Rebar_Schedule!$A$5:$A$2004,A30)=0,"",ROUND(SUMIF(Rebar_Schedule!$A$5:$A$2004,A30,Rebar_Schedule!$K$5:$K$2004),1)))</f>
        <v/>
      </c>
      <c r="BB30" s="33" t="str">
        <f aca="false">IF(A30="","",IF(BA30="","No rebar schedule yet",IF(ABS(BA30-N(AW30))/MAX(N(AW30),1)&gt;SG_Criteria!$B$55,"NOTE: register rebar differs from schedule by "&amp;TEXT(ABS(BA30-N(AW30))/MAX(N(AW30),1),"0%"),"OK")))</f>
        <v/>
      </c>
      <c r="BC30" s="33" t="str">
        <f aca="false">IF(D30="","",IF(LEN(IF(AND(D30&lt;&gt;"High Covered Linkway",G30&lt;SG_Criteria!$B$46),"FAIL: headroom below "&amp;SG_Criteria!$B$46&amp;" m. ","")&amp;IF(AND(D30="High Covered Linkway",G30&lt;SG_Criteria!$B$47),"FAIL: high linkway headroom below "&amp;SG_Criteria!$B$47&amp;" m. ","")&amp;IF(F30&lt;SG_Criteria!$B$48,"FAIL: roof width below "&amp;SG_Criteria!$B$48&amp;" m. ",IF(F30&lt;SG_Criteria!$B$49,"NOTE: not for MRT/LRT or high-traffic routes (min "&amp;SG_Criteria!$B$49&amp;" m). ",""))&amp;IF(AND(W30&lt;&gt;"",W30&lt;SG_Criteria!$B$50),"FAIL: wind speed below "&amp;SG_Criteria!$B$50&amp;" m/s. ","")&amp;IF(AND(X30&lt;&gt;"",X30&lt;SG_Criteria!$B$51),"FAIL: roof fixing pull-out below "&amp;SG_Criteria!$B$51&amp;" kN. ","")&amp;IF(AND(Y30&lt;&gt;"",IFERROR(VALUE(MID(Y30,2,2)),0)&lt;SG_Criteria!$B$52),"FAIL: grade below C"&amp;SG_Criteria!$B$52&amp;". ","")&amp;IF(E30="Non-standard (project design)","NOTE: not an SDRE standard, needs LTA acceptance. ",""))=0,"OK",IF(AND(D30&lt;&gt;"High Covered Linkway",G30&lt;SG_Criteria!$B$46),"FAIL: headroom below "&amp;SG_Criteria!$B$46&amp;" m. ","")&amp;IF(AND(D30="High Covered Linkway",G30&lt;SG_Criteria!$B$47),"FAIL: high linkway headroom below "&amp;SG_Criteria!$B$47&amp;" m. ","")&amp;IF(F30&lt;SG_Criteria!$B$48,"FAIL: roof width below "&amp;SG_Criteria!$B$48&amp;" m. ",IF(F30&lt;SG_Criteria!$B$49,"NOTE: not for MRT/LRT or high-traffic routes (min "&amp;SG_Criteria!$B$49&amp;" m). ",""))&amp;IF(AND(W30&lt;&gt;"",W30&lt;SG_Criteria!$B$50),"FAIL: wind speed below "&amp;SG_Criteria!$B$50&amp;" m/s. ","")&amp;IF(AND(X30&lt;&gt;"",X30&lt;SG_Criteria!$B$51),"FAIL: roof fixing pull-out below "&amp;SG_Criteria!$B$51&amp;" kN. ","")&amp;IF(AND(Y30&lt;&gt;"",IFERROR(VALUE(MID(Y30,2,2)),0)&lt;SG_Criteria!$B$52),"FAIL: grade below C"&amp;SG_Criteria!$B$52&amp;". ","")&amp;IF(E30="Non-standard (project design)","NOTE: not an SDRE standard, needs LTA acceptance. ","")))</f>
        <v/>
      </c>
      <c r="BD30" s="9"/>
      <c r="BE30" s="9"/>
      <c r="BF30" s="9"/>
      <c r="BG30" s="10" t="str">
        <f aca="false">IF(BF30="","",IFERROR(VLOOKUP(BF30,Projects!$A$5:$D$504,2,0),"Ref not in Projects"))</f>
        <v/>
      </c>
      <c r="BH30" s="10" t="str">
        <f aca="false">IF(BF30="","",IFERROR(VLOOKUP(BF30,Projects!$A$5:$D$504,4,0),"Ref not in Projects"))</f>
        <v/>
      </c>
      <c r="BI30" s="9"/>
      <c r="BJ30" s="9"/>
      <c r="BK30" s="9"/>
      <c r="BL30" s="40"/>
      <c r="BM30" s="9"/>
      <c r="BN30" s="40"/>
      <c r="BO30" s="9"/>
      <c r="BP30" s="40"/>
      <c r="BQ30" s="9"/>
      <c r="BR30" s="9"/>
      <c r="BS30" s="9"/>
      <c r="BT30" s="40"/>
      <c r="BU30" s="40"/>
      <c r="BV30" s="36" t="str">
        <f aca="false">IF(BU30="","",EDATE(BU30,SG_Criteria!$B$54*12))</f>
        <v/>
      </c>
      <c r="BW30" s="33" t="str">
        <f aca="true">IF(A30="","",IF(BU30="","NOTE: not reviewed yet",IF(TODAY()&gt;BV30,"NOTE: review overdue","OK")))</f>
        <v/>
      </c>
      <c r="BX30" s="37" t="str">
        <f aca="false">IF(A30="","",ROUND((IF(LEN(D30)&gt;0,1,0)+IF(LEN(E30)&gt;0,1,0)+IF(LEN(F30)&gt;0,1,0)+IF(LEN(G30)&gt;0,1,0)+IF(LEN(H30)&gt;0,1,0)+IF(LEN(I30)&gt;0,1,0)+IF(LEN(J30)&gt;0,1,0)+IF(LEN(K30)&gt;0,1,0)+IF(LEN(N30)&gt;0,1,0)+IF(LEN(O30)&gt;0,1,0)+IF(LEN(W30)&gt;0,1,0)+IF(LEN(X30)&gt;0,1,0)+IF(LEN(Y30)&gt;0,1,0)+IF(LEN(AG30)&gt;0,1,0)+IF(LEN(AI30)&gt;0,1,0)+IF(LEN(AJ30)&gt;0,1,0)+IF(LEN(AK30)&gt;0,1,0)+IF(LEN(AL30)&gt;0,1,0)+IF(LEN(AU30)&gt;0,1,0)+IF(LEN(BF30)&gt;0,1,0)+IF(LEN(BS30)&gt;0,1,0))/21,2))</f>
        <v/>
      </c>
      <c r="BY30" s="10" t="str">
        <f aca="false">IF(D30="","",IF(AND(AJ30="Approved",ISERROR(SEARCH("FAIL",BC30))),"Y","N"))</f>
        <v/>
      </c>
      <c r="BZ30" s="10" t="str">
        <f aca="false">IF(D30="","",D30&amp;"|"&amp;F30&amp;"|"&amp;G30&amp;"|"&amp;BY30)</f>
        <v/>
      </c>
    </row>
    <row r="31" customFormat="false" ht="15" hidden="false" customHeight="false" outlineLevel="0" collapsed="false">
      <c r="A31" s="10" t="str">
        <f aca="false">IF(D31="","","LKW-"&amp;IFERROR(VLOOKUP(D31,Lists!$AQ$4:$AR$17,2,0),"??")&amp;"-W"&amp;TEXT(F31*1000,"0000")&amp;"-H"&amp;TEXT(G31*1000,"0000")&amp;"-B"&amp;TEXT(H31*1000,"0000")&amp;"-"&amp;AI31)</f>
        <v/>
      </c>
      <c r="B31" s="10" t="str">
        <f aca="false">IF(D31="","",D31&amp;", "&amp;F31&amp;" m wide, "&amp;G31&amp;" m headroom, "&amp;H31&amp;" m bays, "&amp;I31&amp;" ("&amp;E31&amp;")")</f>
        <v/>
      </c>
      <c r="C31" s="9"/>
      <c r="D31" s="9"/>
      <c r="E31" s="9"/>
      <c r="F31" s="42"/>
      <c r="G31" s="42"/>
      <c r="H31" s="42"/>
      <c r="I31" s="9"/>
      <c r="J31" s="9"/>
      <c r="K31" s="9"/>
      <c r="L31" s="9"/>
      <c r="M31" s="9"/>
      <c r="N31" s="9"/>
      <c r="O31" s="9"/>
      <c r="P31" s="9"/>
      <c r="Q31" s="9"/>
      <c r="R31" s="9"/>
      <c r="S31" s="42"/>
      <c r="T31" s="9"/>
      <c r="U31" s="9"/>
      <c r="V31" s="9"/>
      <c r="W31" s="38"/>
      <c r="X31" s="42"/>
      <c r="Y31" s="9"/>
      <c r="Z31" s="9"/>
      <c r="AA31" s="9"/>
      <c r="AB31" s="42"/>
      <c r="AC31" s="9"/>
      <c r="AD31" s="38"/>
      <c r="AE31" s="9"/>
      <c r="AF31" s="39"/>
      <c r="AG31" s="9"/>
      <c r="AH31" s="9"/>
      <c r="AI31" s="9"/>
      <c r="AJ31" s="9"/>
      <c r="AK31" s="9"/>
      <c r="AL31" s="9"/>
      <c r="AM31" s="9"/>
      <c r="AN31" s="10" t="str">
        <f aca="false">IF(A31="","",SG_Criteria!$B$6&amp;SG_Criteria!$B$12&amp;"\"&amp;A31&amp;"\")</f>
        <v/>
      </c>
      <c r="AO31" s="10" t="str">
        <f aca="false">IF(A31="","",A31&amp;"_CAD.dwg")</f>
        <v/>
      </c>
      <c r="AP31" s="10" t="str">
        <f aca="false">IF(A31="","",A31&amp;"_DWG.pdf")</f>
        <v/>
      </c>
      <c r="AQ31" s="10" t="str">
        <f aca="false">IF(A31="","",IF(AM31="Y",A31&amp;"_STAAD.std","n/a"))</f>
        <v/>
      </c>
      <c r="AR31" s="10" t="str">
        <f aca="false">IF(A31="","",A31&amp;"_CALC.xlsx")</f>
        <v/>
      </c>
      <c r="AS31" s="10" t="str">
        <f aca="false">IF(A31="","",A31&amp;"_CALC.pdf")</f>
        <v/>
      </c>
      <c r="AT31" s="9"/>
      <c r="AU31" s="9"/>
      <c r="AV31" s="39"/>
      <c r="AW31" s="39"/>
      <c r="AX31" s="39"/>
      <c r="AY31" s="39"/>
      <c r="AZ31" s="39"/>
      <c r="BA31" s="12" t="str">
        <f aca="false">IF(A31="","",IF(COUNTIF(Rebar_Schedule!$A$5:$A$2004,A31)=0,"",ROUND(SUMIF(Rebar_Schedule!$A$5:$A$2004,A31,Rebar_Schedule!$K$5:$K$2004),1)))</f>
        <v/>
      </c>
      <c r="BB31" s="33" t="str">
        <f aca="false">IF(A31="","",IF(BA31="","No rebar schedule yet",IF(ABS(BA31-N(AW31))/MAX(N(AW31),1)&gt;SG_Criteria!$B$55,"NOTE: register rebar differs from schedule by "&amp;TEXT(ABS(BA31-N(AW31))/MAX(N(AW31),1),"0%"),"OK")))</f>
        <v/>
      </c>
      <c r="BC31" s="33" t="str">
        <f aca="false">IF(D31="","",IF(LEN(IF(AND(D31&lt;&gt;"High Covered Linkway",G31&lt;SG_Criteria!$B$46),"FAIL: headroom below "&amp;SG_Criteria!$B$46&amp;" m. ","")&amp;IF(AND(D31="High Covered Linkway",G31&lt;SG_Criteria!$B$47),"FAIL: high linkway headroom below "&amp;SG_Criteria!$B$47&amp;" m. ","")&amp;IF(F31&lt;SG_Criteria!$B$48,"FAIL: roof width below "&amp;SG_Criteria!$B$48&amp;" m. ",IF(F31&lt;SG_Criteria!$B$49,"NOTE: not for MRT/LRT or high-traffic routes (min "&amp;SG_Criteria!$B$49&amp;" m). ",""))&amp;IF(AND(W31&lt;&gt;"",W31&lt;SG_Criteria!$B$50),"FAIL: wind speed below "&amp;SG_Criteria!$B$50&amp;" m/s. ","")&amp;IF(AND(X31&lt;&gt;"",X31&lt;SG_Criteria!$B$51),"FAIL: roof fixing pull-out below "&amp;SG_Criteria!$B$51&amp;" kN. ","")&amp;IF(AND(Y31&lt;&gt;"",IFERROR(VALUE(MID(Y31,2,2)),0)&lt;SG_Criteria!$B$52),"FAIL: grade below C"&amp;SG_Criteria!$B$52&amp;". ","")&amp;IF(E31="Non-standard (project design)","NOTE: not an SDRE standard, needs LTA acceptance. ",""))=0,"OK",IF(AND(D31&lt;&gt;"High Covered Linkway",G31&lt;SG_Criteria!$B$46),"FAIL: headroom below "&amp;SG_Criteria!$B$46&amp;" m. ","")&amp;IF(AND(D31="High Covered Linkway",G31&lt;SG_Criteria!$B$47),"FAIL: high linkway headroom below "&amp;SG_Criteria!$B$47&amp;" m. ","")&amp;IF(F31&lt;SG_Criteria!$B$48,"FAIL: roof width below "&amp;SG_Criteria!$B$48&amp;" m. ",IF(F31&lt;SG_Criteria!$B$49,"NOTE: not for MRT/LRT or high-traffic routes (min "&amp;SG_Criteria!$B$49&amp;" m). ",""))&amp;IF(AND(W31&lt;&gt;"",W31&lt;SG_Criteria!$B$50),"FAIL: wind speed below "&amp;SG_Criteria!$B$50&amp;" m/s. ","")&amp;IF(AND(X31&lt;&gt;"",X31&lt;SG_Criteria!$B$51),"FAIL: roof fixing pull-out below "&amp;SG_Criteria!$B$51&amp;" kN. ","")&amp;IF(AND(Y31&lt;&gt;"",IFERROR(VALUE(MID(Y31,2,2)),0)&lt;SG_Criteria!$B$52),"FAIL: grade below C"&amp;SG_Criteria!$B$52&amp;". ","")&amp;IF(E31="Non-standard (project design)","NOTE: not an SDRE standard, needs LTA acceptance. ","")))</f>
        <v/>
      </c>
      <c r="BD31" s="9"/>
      <c r="BE31" s="9"/>
      <c r="BF31" s="9"/>
      <c r="BG31" s="10" t="str">
        <f aca="false">IF(BF31="","",IFERROR(VLOOKUP(BF31,Projects!$A$5:$D$504,2,0),"Ref not in Projects"))</f>
        <v/>
      </c>
      <c r="BH31" s="10" t="str">
        <f aca="false">IF(BF31="","",IFERROR(VLOOKUP(BF31,Projects!$A$5:$D$504,4,0),"Ref not in Projects"))</f>
        <v/>
      </c>
      <c r="BI31" s="9"/>
      <c r="BJ31" s="9"/>
      <c r="BK31" s="9"/>
      <c r="BL31" s="40"/>
      <c r="BM31" s="9"/>
      <c r="BN31" s="40"/>
      <c r="BO31" s="9"/>
      <c r="BP31" s="40"/>
      <c r="BQ31" s="9"/>
      <c r="BR31" s="9"/>
      <c r="BS31" s="9"/>
      <c r="BT31" s="40"/>
      <c r="BU31" s="40"/>
      <c r="BV31" s="36" t="str">
        <f aca="false">IF(BU31="","",EDATE(BU31,SG_Criteria!$B$54*12))</f>
        <v/>
      </c>
      <c r="BW31" s="33" t="str">
        <f aca="true">IF(A31="","",IF(BU31="","NOTE: not reviewed yet",IF(TODAY()&gt;BV31,"NOTE: review overdue","OK")))</f>
        <v/>
      </c>
      <c r="BX31" s="37" t="str">
        <f aca="false">IF(A31="","",ROUND((IF(LEN(D31)&gt;0,1,0)+IF(LEN(E31)&gt;0,1,0)+IF(LEN(F31)&gt;0,1,0)+IF(LEN(G31)&gt;0,1,0)+IF(LEN(H31)&gt;0,1,0)+IF(LEN(I31)&gt;0,1,0)+IF(LEN(J31)&gt;0,1,0)+IF(LEN(K31)&gt;0,1,0)+IF(LEN(N31)&gt;0,1,0)+IF(LEN(O31)&gt;0,1,0)+IF(LEN(W31)&gt;0,1,0)+IF(LEN(X31)&gt;0,1,0)+IF(LEN(Y31)&gt;0,1,0)+IF(LEN(AG31)&gt;0,1,0)+IF(LEN(AI31)&gt;0,1,0)+IF(LEN(AJ31)&gt;0,1,0)+IF(LEN(AK31)&gt;0,1,0)+IF(LEN(AL31)&gt;0,1,0)+IF(LEN(AU31)&gt;0,1,0)+IF(LEN(BF31)&gt;0,1,0)+IF(LEN(BS31)&gt;0,1,0))/21,2))</f>
        <v/>
      </c>
      <c r="BY31" s="10" t="str">
        <f aca="false">IF(D31="","",IF(AND(AJ31="Approved",ISERROR(SEARCH("FAIL",BC31))),"Y","N"))</f>
        <v/>
      </c>
      <c r="BZ31" s="10" t="str">
        <f aca="false">IF(D31="","",D31&amp;"|"&amp;F31&amp;"|"&amp;G31&amp;"|"&amp;BY31)</f>
        <v/>
      </c>
    </row>
    <row r="32" customFormat="false" ht="15" hidden="false" customHeight="false" outlineLevel="0" collapsed="false">
      <c r="A32" s="10" t="str">
        <f aca="false">IF(D32="","","LKW-"&amp;IFERROR(VLOOKUP(D32,Lists!$AQ$4:$AR$17,2,0),"??")&amp;"-W"&amp;TEXT(F32*1000,"0000")&amp;"-H"&amp;TEXT(G32*1000,"0000")&amp;"-B"&amp;TEXT(H32*1000,"0000")&amp;"-"&amp;AI32)</f>
        <v/>
      </c>
      <c r="B32" s="10" t="str">
        <f aca="false">IF(D32="","",D32&amp;", "&amp;F32&amp;" m wide, "&amp;G32&amp;" m headroom, "&amp;H32&amp;" m bays, "&amp;I32&amp;" ("&amp;E32&amp;")")</f>
        <v/>
      </c>
      <c r="C32" s="9"/>
      <c r="D32" s="9"/>
      <c r="E32" s="9"/>
      <c r="F32" s="42"/>
      <c r="G32" s="42"/>
      <c r="H32" s="42"/>
      <c r="I32" s="9"/>
      <c r="J32" s="9"/>
      <c r="K32" s="9"/>
      <c r="L32" s="9"/>
      <c r="M32" s="9"/>
      <c r="N32" s="9"/>
      <c r="O32" s="9"/>
      <c r="P32" s="9"/>
      <c r="Q32" s="9"/>
      <c r="R32" s="9"/>
      <c r="S32" s="42"/>
      <c r="T32" s="9"/>
      <c r="U32" s="9"/>
      <c r="V32" s="9"/>
      <c r="W32" s="38"/>
      <c r="X32" s="42"/>
      <c r="Y32" s="9"/>
      <c r="Z32" s="9"/>
      <c r="AA32" s="9"/>
      <c r="AB32" s="42"/>
      <c r="AC32" s="9"/>
      <c r="AD32" s="38"/>
      <c r="AE32" s="9"/>
      <c r="AF32" s="39"/>
      <c r="AG32" s="9"/>
      <c r="AH32" s="9"/>
      <c r="AI32" s="9"/>
      <c r="AJ32" s="9"/>
      <c r="AK32" s="9"/>
      <c r="AL32" s="9"/>
      <c r="AM32" s="9"/>
      <c r="AN32" s="10" t="str">
        <f aca="false">IF(A32="","",SG_Criteria!$B$6&amp;SG_Criteria!$B$12&amp;"\"&amp;A32&amp;"\")</f>
        <v/>
      </c>
      <c r="AO32" s="10" t="str">
        <f aca="false">IF(A32="","",A32&amp;"_CAD.dwg")</f>
        <v/>
      </c>
      <c r="AP32" s="10" t="str">
        <f aca="false">IF(A32="","",A32&amp;"_DWG.pdf")</f>
        <v/>
      </c>
      <c r="AQ32" s="10" t="str">
        <f aca="false">IF(A32="","",IF(AM32="Y",A32&amp;"_STAAD.std","n/a"))</f>
        <v/>
      </c>
      <c r="AR32" s="10" t="str">
        <f aca="false">IF(A32="","",A32&amp;"_CALC.xlsx")</f>
        <v/>
      </c>
      <c r="AS32" s="10" t="str">
        <f aca="false">IF(A32="","",A32&amp;"_CALC.pdf")</f>
        <v/>
      </c>
      <c r="AT32" s="9"/>
      <c r="AU32" s="9"/>
      <c r="AV32" s="39"/>
      <c r="AW32" s="39"/>
      <c r="AX32" s="39"/>
      <c r="AY32" s="39"/>
      <c r="AZ32" s="39"/>
      <c r="BA32" s="12" t="str">
        <f aca="false">IF(A32="","",IF(COUNTIF(Rebar_Schedule!$A$5:$A$2004,A32)=0,"",ROUND(SUMIF(Rebar_Schedule!$A$5:$A$2004,A32,Rebar_Schedule!$K$5:$K$2004),1)))</f>
        <v/>
      </c>
      <c r="BB32" s="33" t="str">
        <f aca="false">IF(A32="","",IF(BA32="","No rebar schedule yet",IF(ABS(BA32-N(AW32))/MAX(N(AW32),1)&gt;SG_Criteria!$B$55,"NOTE: register rebar differs from schedule by "&amp;TEXT(ABS(BA32-N(AW32))/MAX(N(AW32),1),"0%"),"OK")))</f>
        <v/>
      </c>
      <c r="BC32" s="33" t="str">
        <f aca="false">IF(D32="","",IF(LEN(IF(AND(D32&lt;&gt;"High Covered Linkway",G32&lt;SG_Criteria!$B$46),"FAIL: headroom below "&amp;SG_Criteria!$B$46&amp;" m. ","")&amp;IF(AND(D32="High Covered Linkway",G32&lt;SG_Criteria!$B$47),"FAIL: high linkway headroom below "&amp;SG_Criteria!$B$47&amp;" m. ","")&amp;IF(F32&lt;SG_Criteria!$B$48,"FAIL: roof width below "&amp;SG_Criteria!$B$48&amp;" m. ",IF(F32&lt;SG_Criteria!$B$49,"NOTE: not for MRT/LRT or high-traffic routes (min "&amp;SG_Criteria!$B$49&amp;" m). ",""))&amp;IF(AND(W32&lt;&gt;"",W32&lt;SG_Criteria!$B$50),"FAIL: wind speed below "&amp;SG_Criteria!$B$50&amp;" m/s. ","")&amp;IF(AND(X32&lt;&gt;"",X32&lt;SG_Criteria!$B$51),"FAIL: roof fixing pull-out below "&amp;SG_Criteria!$B$51&amp;" kN. ","")&amp;IF(AND(Y32&lt;&gt;"",IFERROR(VALUE(MID(Y32,2,2)),0)&lt;SG_Criteria!$B$52),"FAIL: grade below C"&amp;SG_Criteria!$B$52&amp;". ","")&amp;IF(E32="Non-standard (project design)","NOTE: not an SDRE standard, needs LTA acceptance. ",""))=0,"OK",IF(AND(D32&lt;&gt;"High Covered Linkway",G32&lt;SG_Criteria!$B$46),"FAIL: headroom below "&amp;SG_Criteria!$B$46&amp;" m. ","")&amp;IF(AND(D32="High Covered Linkway",G32&lt;SG_Criteria!$B$47),"FAIL: high linkway headroom below "&amp;SG_Criteria!$B$47&amp;" m. ","")&amp;IF(F32&lt;SG_Criteria!$B$48,"FAIL: roof width below "&amp;SG_Criteria!$B$48&amp;" m. ",IF(F32&lt;SG_Criteria!$B$49,"NOTE: not for MRT/LRT or high-traffic routes (min "&amp;SG_Criteria!$B$49&amp;" m). ",""))&amp;IF(AND(W32&lt;&gt;"",W32&lt;SG_Criteria!$B$50),"FAIL: wind speed below "&amp;SG_Criteria!$B$50&amp;" m/s. ","")&amp;IF(AND(X32&lt;&gt;"",X32&lt;SG_Criteria!$B$51),"FAIL: roof fixing pull-out below "&amp;SG_Criteria!$B$51&amp;" kN. ","")&amp;IF(AND(Y32&lt;&gt;"",IFERROR(VALUE(MID(Y32,2,2)),0)&lt;SG_Criteria!$B$52),"FAIL: grade below C"&amp;SG_Criteria!$B$52&amp;". ","")&amp;IF(E32="Non-standard (project design)","NOTE: not an SDRE standard, needs LTA acceptance. ","")))</f>
        <v/>
      </c>
      <c r="BD32" s="9"/>
      <c r="BE32" s="9"/>
      <c r="BF32" s="9"/>
      <c r="BG32" s="10" t="str">
        <f aca="false">IF(BF32="","",IFERROR(VLOOKUP(BF32,Projects!$A$5:$D$504,2,0),"Ref not in Projects"))</f>
        <v/>
      </c>
      <c r="BH32" s="10" t="str">
        <f aca="false">IF(BF32="","",IFERROR(VLOOKUP(BF32,Projects!$A$5:$D$504,4,0),"Ref not in Projects"))</f>
        <v/>
      </c>
      <c r="BI32" s="9"/>
      <c r="BJ32" s="9"/>
      <c r="BK32" s="9"/>
      <c r="BL32" s="40"/>
      <c r="BM32" s="9"/>
      <c r="BN32" s="40"/>
      <c r="BO32" s="9"/>
      <c r="BP32" s="40"/>
      <c r="BQ32" s="9"/>
      <c r="BR32" s="9"/>
      <c r="BS32" s="9"/>
      <c r="BT32" s="40"/>
      <c r="BU32" s="40"/>
      <c r="BV32" s="36" t="str">
        <f aca="false">IF(BU32="","",EDATE(BU32,SG_Criteria!$B$54*12))</f>
        <v/>
      </c>
      <c r="BW32" s="33" t="str">
        <f aca="true">IF(A32="","",IF(BU32="","NOTE: not reviewed yet",IF(TODAY()&gt;BV32,"NOTE: review overdue","OK")))</f>
        <v/>
      </c>
      <c r="BX32" s="37" t="str">
        <f aca="false">IF(A32="","",ROUND((IF(LEN(D32)&gt;0,1,0)+IF(LEN(E32)&gt;0,1,0)+IF(LEN(F32)&gt;0,1,0)+IF(LEN(G32)&gt;0,1,0)+IF(LEN(H32)&gt;0,1,0)+IF(LEN(I32)&gt;0,1,0)+IF(LEN(J32)&gt;0,1,0)+IF(LEN(K32)&gt;0,1,0)+IF(LEN(N32)&gt;0,1,0)+IF(LEN(O32)&gt;0,1,0)+IF(LEN(W32)&gt;0,1,0)+IF(LEN(X32)&gt;0,1,0)+IF(LEN(Y32)&gt;0,1,0)+IF(LEN(AG32)&gt;0,1,0)+IF(LEN(AI32)&gt;0,1,0)+IF(LEN(AJ32)&gt;0,1,0)+IF(LEN(AK32)&gt;0,1,0)+IF(LEN(AL32)&gt;0,1,0)+IF(LEN(AU32)&gt;0,1,0)+IF(LEN(BF32)&gt;0,1,0)+IF(LEN(BS32)&gt;0,1,0))/21,2))</f>
        <v/>
      </c>
      <c r="BY32" s="10" t="str">
        <f aca="false">IF(D32="","",IF(AND(AJ32="Approved",ISERROR(SEARCH("FAIL",BC32))),"Y","N"))</f>
        <v/>
      </c>
      <c r="BZ32" s="10" t="str">
        <f aca="false">IF(D32="","",D32&amp;"|"&amp;F32&amp;"|"&amp;G32&amp;"|"&amp;BY32)</f>
        <v/>
      </c>
    </row>
    <row r="33" customFormat="false" ht="15" hidden="false" customHeight="false" outlineLevel="0" collapsed="false">
      <c r="A33" s="10" t="str">
        <f aca="false">IF(D33="","","LKW-"&amp;IFERROR(VLOOKUP(D33,Lists!$AQ$4:$AR$17,2,0),"??")&amp;"-W"&amp;TEXT(F33*1000,"0000")&amp;"-H"&amp;TEXT(G33*1000,"0000")&amp;"-B"&amp;TEXT(H33*1000,"0000")&amp;"-"&amp;AI33)</f>
        <v/>
      </c>
      <c r="B33" s="10" t="str">
        <f aca="false">IF(D33="","",D33&amp;", "&amp;F33&amp;" m wide, "&amp;G33&amp;" m headroom, "&amp;H33&amp;" m bays, "&amp;I33&amp;" ("&amp;E33&amp;")")</f>
        <v/>
      </c>
      <c r="C33" s="9"/>
      <c r="D33" s="9"/>
      <c r="E33" s="9"/>
      <c r="F33" s="42"/>
      <c r="G33" s="42"/>
      <c r="H33" s="42"/>
      <c r="I33" s="9"/>
      <c r="J33" s="9"/>
      <c r="K33" s="9"/>
      <c r="L33" s="9"/>
      <c r="M33" s="9"/>
      <c r="N33" s="9"/>
      <c r="O33" s="9"/>
      <c r="P33" s="9"/>
      <c r="Q33" s="9"/>
      <c r="R33" s="9"/>
      <c r="S33" s="42"/>
      <c r="T33" s="9"/>
      <c r="U33" s="9"/>
      <c r="V33" s="9"/>
      <c r="W33" s="38"/>
      <c r="X33" s="42"/>
      <c r="Y33" s="9"/>
      <c r="Z33" s="9"/>
      <c r="AA33" s="9"/>
      <c r="AB33" s="42"/>
      <c r="AC33" s="9"/>
      <c r="AD33" s="38"/>
      <c r="AE33" s="9"/>
      <c r="AF33" s="39"/>
      <c r="AG33" s="9"/>
      <c r="AH33" s="9"/>
      <c r="AI33" s="9"/>
      <c r="AJ33" s="9"/>
      <c r="AK33" s="9"/>
      <c r="AL33" s="9"/>
      <c r="AM33" s="9"/>
      <c r="AN33" s="10" t="str">
        <f aca="false">IF(A33="","",SG_Criteria!$B$6&amp;SG_Criteria!$B$12&amp;"\"&amp;A33&amp;"\")</f>
        <v/>
      </c>
      <c r="AO33" s="10" t="str">
        <f aca="false">IF(A33="","",A33&amp;"_CAD.dwg")</f>
        <v/>
      </c>
      <c r="AP33" s="10" t="str">
        <f aca="false">IF(A33="","",A33&amp;"_DWG.pdf")</f>
        <v/>
      </c>
      <c r="AQ33" s="10" t="str">
        <f aca="false">IF(A33="","",IF(AM33="Y",A33&amp;"_STAAD.std","n/a"))</f>
        <v/>
      </c>
      <c r="AR33" s="10" t="str">
        <f aca="false">IF(A33="","",A33&amp;"_CALC.xlsx")</f>
        <v/>
      </c>
      <c r="AS33" s="10" t="str">
        <f aca="false">IF(A33="","",A33&amp;"_CALC.pdf")</f>
        <v/>
      </c>
      <c r="AT33" s="9"/>
      <c r="AU33" s="9"/>
      <c r="AV33" s="39"/>
      <c r="AW33" s="39"/>
      <c r="AX33" s="39"/>
      <c r="AY33" s="39"/>
      <c r="AZ33" s="39"/>
      <c r="BA33" s="12" t="str">
        <f aca="false">IF(A33="","",IF(COUNTIF(Rebar_Schedule!$A$5:$A$2004,A33)=0,"",ROUND(SUMIF(Rebar_Schedule!$A$5:$A$2004,A33,Rebar_Schedule!$K$5:$K$2004),1)))</f>
        <v/>
      </c>
      <c r="BB33" s="33" t="str">
        <f aca="false">IF(A33="","",IF(BA33="","No rebar schedule yet",IF(ABS(BA33-N(AW33))/MAX(N(AW33),1)&gt;SG_Criteria!$B$55,"NOTE: register rebar differs from schedule by "&amp;TEXT(ABS(BA33-N(AW33))/MAX(N(AW33),1),"0%"),"OK")))</f>
        <v/>
      </c>
      <c r="BC33" s="33" t="str">
        <f aca="false">IF(D33="","",IF(LEN(IF(AND(D33&lt;&gt;"High Covered Linkway",G33&lt;SG_Criteria!$B$46),"FAIL: headroom below "&amp;SG_Criteria!$B$46&amp;" m. ","")&amp;IF(AND(D33="High Covered Linkway",G33&lt;SG_Criteria!$B$47),"FAIL: high linkway headroom below "&amp;SG_Criteria!$B$47&amp;" m. ","")&amp;IF(F33&lt;SG_Criteria!$B$48,"FAIL: roof width below "&amp;SG_Criteria!$B$48&amp;" m. ",IF(F33&lt;SG_Criteria!$B$49,"NOTE: not for MRT/LRT or high-traffic routes (min "&amp;SG_Criteria!$B$49&amp;" m). ",""))&amp;IF(AND(W33&lt;&gt;"",W33&lt;SG_Criteria!$B$50),"FAIL: wind speed below "&amp;SG_Criteria!$B$50&amp;" m/s. ","")&amp;IF(AND(X33&lt;&gt;"",X33&lt;SG_Criteria!$B$51),"FAIL: roof fixing pull-out below "&amp;SG_Criteria!$B$51&amp;" kN. ","")&amp;IF(AND(Y33&lt;&gt;"",IFERROR(VALUE(MID(Y33,2,2)),0)&lt;SG_Criteria!$B$52),"FAIL: grade below C"&amp;SG_Criteria!$B$52&amp;". ","")&amp;IF(E33="Non-standard (project design)","NOTE: not an SDRE standard, needs LTA acceptance. ",""))=0,"OK",IF(AND(D33&lt;&gt;"High Covered Linkway",G33&lt;SG_Criteria!$B$46),"FAIL: headroom below "&amp;SG_Criteria!$B$46&amp;" m. ","")&amp;IF(AND(D33="High Covered Linkway",G33&lt;SG_Criteria!$B$47),"FAIL: high linkway headroom below "&amp;SG_Criteria!$B$47&amp;" m. ","")&amp;IF(F33&lt;SG_Criteria!$B$48,"FAIL: roof width below "&amp;SG_Criteria!$B$48&amp;" m. ",IF(F33&lt;SG_Criteria!$B$49,"NOTE: not for MRT/LRT or high-traffic routes (min "&amp;SG_Criteria!$B$49&amp;" m). ",""))&amp;IF(AND(W33&lt;&gt;"",W33&lt;SG_Criteria!$B$50),"FAIL: wind speed below "&amp;SG_Criteria!$B$50&amp;" m/s. ","")&amp;IF(AND(X33&lt;&gt;"",X33&lt;SG_Criteria!$B$51),"FAIL: roof fixing pull-out below "&amp;SG_Criteria!$B$51&amp;" kN. ","")&amp;IF(AND(Y33&lt;&gt;"",IFERROR(VALUE(MID(Y33,2,2)),0)&lt;SG_Criteria!$B$52),"FAIL: grade below C"&amp;SG_Criteria!$B$52&amp;". ","")&amp;IF(E33="Non-standard (project design)","NOTE: not an SDRE standard, needs LTA acceptance. ","")))</f>
        <v/>
      </c>
      <c r="BD33" s="9"/>
      <c r="BE33" s="9"/>
      <c r="BF33" s="9"/>
      <c r="BG33" s="10" t="str">
        <f aca="false">IF(BF33="","",IFERROR(VLOOKUP(BF33,Projects!$A$5:$D$504,2,0),"Ref not in Projects"))</f>
        <v/>
      </c>
      <c r="BH33" s="10" t="str">
        <f aca="false">IF(BF33="","",IFERROR(VLOOKUP(BF33,Projects!$A$5:$D$504,4,0),"Ref not in Projects"))</f>
        <v/>
      </c>
      <c r="BI33" s="9"/>
      <c r="BJ33" s="9"/>
      <c r="BK33" s="9"/>
      <c r="BL33" s="40"/>
      <c r="BM33" s="9"/>
      <c r="BN33" s="40"/>
      <c r="BO33" s="9"/>
      <c r="BP33" s="40"/>
      <c r="BQ33" s="9"/>
      <c r="BR33" s="9"/>
      <c r="BS33" s="9"/>
      <c r="BT33" s="40"/>
      <c r="BU33" s="40"/>
      <c r="BV33" s="36" t="str">
        <f aca="false">IF(BU33="","",EDATE(BU33,SG_Criteria!$B$54*12))</f>
        <v/>
      </c>
      <c r="BW33" s="33" t="str">
        <f aca="true">IF(A33="","",IF(BU33="","NOTE: not reviewed yet",IF(TODAY()&gt;BV33,"NOTE: review overdue","OK")))</f>
        <v/>
      </c>
      <c r="BX33" s="37" t="str">
        <f aca="false">IF(A33="","",ROUND((IF(LEN(D33)&gt;0,1,0)+IF(LEN(E33)&gt;0,1,0)+IF(LEN(F33)&gt;0,1,0)+IF(LEN(G33)&gt;0,1,0)+IF(LEN(H33)&gt;0,1,0)+IF(LEN(I33)&gt;0,1,0)+IF(LEN(J33)&gt;0,1,0)+IF(LEN(K33)&gt;0,1,0)+IF(LEN(N33)&gt;0,1,0)+IF(LEN(O33)&gt;0,1,0)+IF(LEN(W33)&gt;0,1,0)+IF(LEN(X33)&gt;0,1,0)+IF(LEN(Y33)&gt;0,1,0)+IF(LEN(AG33)&gt;0,1,0)+IF(LEN(AI33)&gt;0,1,0)+IF(LEN(AJ33)&gt;0,1,0)+IF(LEN(AK33)&gt;0,1,0)+IF(LEN(AL33)&gt;0,1,0)+IF(LEN(AU33)&gt;0,1,0)+IF(LEN(BF33)&gt;0,1,0)+IF(LEN(BS33)&gt;0,1,0))/21,2))</f>
        <v/>
      </c>
      <c r="BY33" s="10" t="str">
        <f aca="false">IF(D33="","",IF(AND(AJ33="Approved",ISERROR(SEARCH("FAIL",BC33))),"Y","N"))</f>
        <v/>
      </c>
      <c r="BZ33" s="10" t="str">
        <f aca="false">IF(D33="","",D33&amp;"|"&amp;F33&amp;"|"&amp;G33&amp;"|"&amp;BY33)</f>
        <v/>
      </c>
    </row>
    <row r="34" customFormat="false" ht="15" hidden="false" customHeight="false" outlineLevel="0" collapsed="false">
      <c r="A34" s="10" t="str">
        <f aca="false">IF(D34="","","LKW-"&amp;IFERROR(VLOOKUP(D34,Lists!$AQ$4:$AR$17,2,0),"??")&amp;"-W"&amp;TEXT(F34*1000,"0000")&amp;"-H"&amp;TEXT(G34*1000,"0000")&amp;"-B"&amp;TEXT(H34*1000,"0000")&amp;"-"&amp;AI34)</f>
        <v/>
      </c>
      <c r="B34" s="10" t="str">
        <f aca="false">IF(D34="","",D34&amp;", "&amp;F34&amp;" m wide, "&amp;G34&amp;" m headroom, "&amp;H34&amp;" m bays, "&amp;I34&amp;" ("&amp;E34&amp;")")</f>
        <v/>
      </c>
      <c r="C34" s="9"/>
      <c r="D34" s="9"/>
      <c r="E34" s="9"/>
      <c r="F34" s="42"/>
      <c r="G34" s="42"/>
      <c r="H34" s="42"/>
      <c r="I34" s="9"/>
      <c r="J34" s="9"/>
      <c r="K34" s="9"/>
      <c r="L34" s="9"/>
      <c r="M34" s="9"/>
      <c r="N34" s="9"/>
      <c r="O34" s="9"/>
      <c r="P34" s="9"/>
      <c r="Q34" s="9"/>
      <c r="R34" s="9"/>
      <c r="S34" s="42"/>
      <c r="T34" s="9"/>
      <c r="U34" s="9"/>
      <c r="V34" s="9"/>
      <c r="W34" s="38"/>
      <c r="X34" s="42"/>
      <c r="Y34" s="9"/>
      <c r="Z34" s="9"/>
      <c r="AA34" s="9"/>
      <c r="AB34" s="42"/>
      <c r="AC34" s="9"/>
      <c r="AD34" s="38"/>
      <c r="AE34" s="9"/>
      <c r="AF34" s="39"/>
      <c r="AG34" s="9"/>
      <c r="AH34" s="9"/>
      <c r="AI34" s="9"/>
      <c r="AJ34" s="9"/>
      <c r="AK34" s="9"/>
      <c r="AL34" s="9"/>
      <c r="AM34" s="9"/>
      <c r="AN34" s="10" t="str">
        <f aca="false">IF(A34="","",SG_Criteria!$B$6&amp;SG_Criteria!$B$12&amp;"\"&amp;A34&amp;"\")</f>
        <v/>
      </c>
      <c r="AO34" s="10" t="str">
        <f aca="false">IF(A34="","",A34&amp;"_CAD.dwg")</f>
        <v/>
      </c>
      <c r="AP34" s="10" t="str">
        <f aca="false">IF(A34="","",A34&amp;"_DWG.pdf")</f>
        <v/>
      </c>
      <c r="AQ34" s="10" t="str">
        <f aca="false">IF(A34="","",IF(AM34="Y",A34&amp;"_STAAD.std","n/a"))</f>
        <v/>
      </c>
      <c r="AR34" s="10" t="str">
        <f aca="false">IF(A34="","",A34&amp;"_CALC.xlsx")</f>
        <v/>
      </c>
      <c r="AS34" s="10" t="str">
        <f aca="false">IF(A34="","",A34&amp;"_CALC.pdf")</f>
        <v/>
      </c>
      <c r="AT34" s="9"/>
      <c r="AU34" s="9"/>
      <c r="AV34" s="39"/>
      <c r="AW34" s="39"/>
      <c r="AX34" s="39"/>
      <c r="AY34" s="39"/>
      <c r="AZ34" s="39"/>
      <c r="BA34" s="12" t="str">
        <f aca="false">IF(A34="","",IF(COUNTIF(Rebar_Schedule!$A$5:$A$2004,A34)=0,"",ROUND(SUMIF(Rebar_Schedule!$A$5:$A$2004,A34,Rebar_Schedule!$K$5:$K$2004),1)))</f>
        <v/>
      </c>
      <c r="BB34" s="33" t="str">
        <f aca="false">IF(A34="","",IF(BA34="","No rebar schedule yet",IF(ABS(BA34-N(AW34))/MAX(N(AW34),1)&gt;SG_Criteria!$B$55,"NOTE: register rebar differs from schedule by "&amp;TEXT(ABS(BA34-N(AW34))/MAX(N(AW34),1),"0%"),"OK")))</f>
        <v/>
      </c>
      <c r="BC34" s="33" t="str">
        <f aca="false">IF(D34="","",IF(LEN(IF(AND(D34&lt;&gt;"High Covered Linkway",G34&lt;SG_Criteria!$B$46),"FAIL: headroom below "&amp;SG_Criteria!$B$46&amp;" m. ","")&amp;IF(AND(D34="High Covered Linkway",G34&lt;SG_Criteria!$B$47),"FAIL: high linkway headroom below "&amp;SG_Criteria!$B$47&amp;" m. ","")&amp;IF(F34&lt;SG_Criteria!$B$48,"FAIL: roof width below "&amp;SG_Criteria!$B$48&amp;" m. ",IF(F34&lt;SG_Criteria!$B$49,"NOTE: not for MRT/LRT or high-traffic routes (min "&amp;SG_Criteria!$B$49&amp;" m). ",""))&amp;IF(AND(W34&lt;&gt;"",W34&lt;SG_Criteria!$B$50),"FAIL: wind speed below "&amp;SG_Criteria!$B$50&amp;" m/s. ","")&amp;IF(AND(X34&lt;&gt;"",X34&lt;SG_Criteria!$B$51),"FAIL: roof fixing pull-out below "&amp;SG_Criteria!$B$51&amp;" kN. ","")&amp;IF(AND(Y34&lt;&gt;"",IFERROR(VALUE(MID(Y34,2,2)),0)&lt;SG_Criteria!$B$52),"FAIL: grade below C"&amp;SG_Criteria!$B$52&amp;". ","")&amp;IF(E34="Non-standard (project design)","NOTE: not an SDRE standard, needs LTA acceptance. ",""))=0,"OK",IF(AND(D34&lt;&gt;"High Covered Linkway",G34&lt;SG_Criteria!$B$46),"FAIL: headroom below "&amp;SG_Criteria!$B$46&amp;" m. ","")&amp;IF(AND(D34="High Covered Linkway",G34&lt;SG_Criteria!$B$47),"FAIL: high linkway headroom below "&amp;SG_Criteria!$B$47&amp;" m. ","")&amp;IF(F34&lt;SG_Criteria!$B$48,"FAIL: roof width below "&amp;SG_Criteria!$B$48&amp;" m. ",IF(F34&lt;SG_Criteria!$B$49,"NOTE: not for MRT/LRT or high-traffic routes (min "&amp;SG_Criteria!$B$49&amp;" m). ",""))&amp;IF(AND(W34&lt;&gt;"",W34&lt;SG_Criteria!$B$50),"FAIL: wind speed below "&amp;SG_Criteria!$B$50&amp;" m/s. ","")&amp;IF(AND(X34&lt;&gt;"",X34&lt;SG_Criteria!$B$51),"FAIL: roof fixing pull-out below "&amp;SG_Criteria!$B$51&amp;" kN. ","")&amp;IF(AND(Y34&lt;&gt;"",IFERROR(VALUE(MID(Y34,2,2)),0)&lt;SG_Criteria!$B$52),"FAIL: grade below C"&amp;SG_Criteria!$B$52&amp;". ","")&amp;IF(E34="Non-standard (project design)","NOTE: not an SDRE standard, needs LTA acceptance. ","")))</f>
        <v/>
      </c>
      <c r="BD34" s="9"/>
      <c r="BE34" s="9"/>
      <c r="BF34" s="9"/>
      <c r="BG34" s="10" t="str">
        <f aca="false">IF(BF34="","",IFERROR(VLOOKUP(BF34,Projects!$A$5:$D$504,2,0),"Ref not in Projects"))</f>
        <v/>
      </c>
      <c r="BH34" s="10" t="str">
        <f aca="false">IF(BF34="","",IFERROR(VLOOKUP(BF34,Projects!$A$5:$D$504,4,0),"Ref not in Projects"))</f>
        <v/>
      </c>
      <c r="BI34" s="9"/>
      <c r="BJ34" s="9"/>
      <c r="BK34" s="9"/>
      <c r="BL34" s="40"/>
      <c r="BM34" s="9"/>
      <c r="BN34" s="40"/>
      <c r="BO34" s="9"/>
      <c r="BP34" s="40"/>
      <c r="BQ34" s="9"/>
      <c r="BR34" s="9"/>
      <c r="BS34" s="9"/>
      <c r="BT34" s="40"/>
      <c r="BU34" s="40"/>
      <c r="BV34" s="36" t="str">
        <f aca="false">IF(BU34="","",EDATE(BU34,SG_Criteria!$B$54*12))</f>
        <v/>
      </c>
      <c r="BW34" s="33" t="str">
        <f aca="true">IF(A34="","",IF(BU34="","NOTE: not reviewed yet",IF(TODAY()&gt;BV34,"NOTE: review overdue","OK")))</f>
        <v/>
      </c>
      <c r="BX34" s="37" t="str">
        <f aca="false">IF(A34="","",ROUND((IF(LEN(D34)&gt;0,1,0)+IF(LEN(E34)&gt;0,1,0)+IF(LEN(F34)&gt;0,1,0)+IF(LEN(G34)&gt;0,1,0)+IF(LEN(H34)&gt;0,1,0)+IF(LEN(I34)&gt;0,1,0)+IF(LEN(J34)&gt;0,1,0)+IF(LEN(K34)&gt;0,1,0)+IF(LEN(N34)&gt;0,1,0)+IF(LEN(O34)&gt;0,1,0)+IF(LEN(W34)&gt;0,1,0)+IF(LEN(X34)&gt;0,1,0)+IF(LEN(Y34)&gt;0,1,0)+IF(LEN(AG34)&gt;0,1,0)+IF(LEN(AI34)&gt;0,1,0)+IF(LEN(AJ34)&gt;0,1,0)+IF(LEN(AK34)&gt;0,1,0)+IF(LEN(AL34)&gt;0,1,0)+IF(LEN(AU34)&gt;0,1,0)+IF(LEN(BF34)&gt;0,1,0)+IF(LEN(BS34)&gt;0,1,0))/21,2))</f>
        <v/>
      </c>
      <c r="BY34" s="10" t="str">
        <f aca="false">IF(D34="","",IF(AND(AJ34="Approved",ISERROR(SEARCH("FAIL",BC34))),"Y","N"))</f>
        <v/>
      </c>
      <c r="BZ34" s="10" t="str">
        <f aca="false">IF(D34="","",D34&amp;"|"&amp;F34&amp;"|"&amp;G34&amp;"|"&amp;BY34)</f>
        <v/>
      </c>
    </row>
    <row r="35" customFormat="false" ht="15" hidden="false" customHeight="false" outlineLevel="0" collapsed="false">
      <c r="A35" s="10" t="str">
        <f aca="false">IF(D35="","","LKW-"&amp;IFERROR(VLOOKUP(D35,Lists!$AQ$4:$AR$17,2,0),"??")&amp;"-W"&amp;TEXT(F35*1000,"0000")&amp;"-H"&amp;TEXT(G35*1000,"0000")&amp;"-B"&amp;TEXT(H35*1000,"0000")&amp;"-"&amp;AI35)</f>
        <v/>
      </c>
      <c r="B35" s="10" t="str">
        <f aca="false">IF(D35="","",D35&amp;", "&amp;F35&amp;" m wide, "&amp;G35&amp;" m headroom, "&amp;H35&amp;" m bays, "&amp;I35&amp;" ("&amp;E35&amp;")")</f>
        <v/>
      </c>
      <c r="C35" s="9"/>
      <c r="D35" s="9"/>
      <c r="E35" s="9"/>
      <c r="F35" s="42"/>
      <c r="G35" s="42"/>
      <c r="H35" s="42"/>
      <c r="I35" s="9"/>
      <c r="J35" s="9"/>
      <c r="K35" s="9"/>
      <c r="L35" s="9"/>
      <c r="M35" s="9"/>
      <c r="N35" s="9"/>
      <c r="O35" s="9"/>
      <c r="P35" s="9"/>
      <c r="Q35" s="9"/>
      <c r="R35" s="9"/>
      <c r="S35" s="42"/>
      <c r="T35" s="9"/>
      <c r="U35" s="9"/>
      <c r="V35" s="9"/>
      <c r="W35" s="38"/>
      <c r="X35" s="42"/>
      <c r="Y35" s="9"/>
      <c r="Z35" s="9"/>
      <c r="AA35" s="9"/>
      <c r="AB35" s="42"/>
      <c r="AC35" s="9"/>
      <c r="AD35" s="38"/>
      <c r="AE35" s="9"/>
      <c r="AF35" s="39"/>
      <c r="AG35" s="9"/>
      <c r="AH35" s="9"/>
      <c r="AI35" s="9"/>
      <c r="AJ35" s="9"/>
      <c r="AK35" s="9"/>
      <c r="AL35" s="9"/>
      <c r="AM35" s="9"/>
      <c r="AN35" s="10" t="str">
        <f aca="false">IF(A35="","",SG_Criteria!$B$6&amp;SG_Criteria!$B$12&amp;"\"&amp;A35&amp;"\")</f>
        <v/>
      </c>
      <c r="AO35" s="10" t="str">
        <f aca="false">IF(A35="","",A35&amp;"_CAD.dwg")</f>
        <v/>
      </c>
      <c r="AP35" s="10" t="str">
        <f aca="false">IF(A35="","",A35&amp;"_DWG.pdf")</f>
        <v/>
      </c>
      <c r="AQ35" s="10" t="str">
        <f aca="false">IF(A35="","",IF(AM35="Y",A35&amp;"_STAAD.std","n/a"))</f>
        <v/>
      </c>
      <c r="AR35" s="10" t="str">
        <f aca="false">IF(A35="","",A35&amp;"_CALC.xlsx")</f>
        <v/>
      </c>
      <c r="AS35" s="10" t="str">
        <f aca="false">IF(A35="","",A35&amp;"_CALC.pdf")</f>
        <v/>
      </c>
      <c r="AT35" s="9"/>
      <c r="AU35" s="9"/>
      <c r="AV35" s="39"/>
      <c r="AW35" s="39"/>
      <c r="AX35" s="39"/>
      <c r="AY35" s="39"/>
      <c r="AZ35" s="39"/>
      <c r="BA35" s="12" t="str">
        <f aca="false">IF(A35="","",IF(COUNTIF(Rebar_Schedule!$A$5:$A$2004,A35)=0,"",ROUND(SUMIF(Rebar_Schedule!$A$5:$A$2004,A35,Rebar_Schedule!$K$5:$K$2004),1)))</f>
        <v/>
      </c>
      <c r="BB35" s="33" t="str">
        <f aca="false">IF(A35="","",IF(BA35="","No rebar schedule yet",IF(ABS(BA35-N(AW35))/MAX(N(AW35),1)&gt;SG_Criteria!$B$55,"NOTE: register rebar differs from schedule by "&amp;TEXT(ABS(BA35-N(AW35))/MAX(N(AW35),1),"0%"),"OK")))</f>
        <v/>
      </c>
      <c r="BC35" s="33" t="str">
        <f aca="false">IF(D35="","",IF(LEN(IF(AND(D35&lt;&gt;"High Covered Linkway",G35&lt;SG_Criteria!$B$46),"FAIL: headroom below "&amp;SG_Criteria!$B$46&amp;" m. ","")&amp;IF(AND(D35="High Covered Linkway",G35&lt;SG_Criteria!$B$47),"FAIL: high linkway headroom below "&amp;SG_Criteria!$B$47&amp;" m. ","")&amp;IF(F35&lt;SG_Criteria!$B$48,"FAIL: roof width below "&amp;SG_Criteria!$B$48&amp;" m. ",IF(F35&lt;SG_Criteria!$B$49,"NOTE: not for MRT/LRT or high-traffic routes (min "&amp;SG_Criteria!$B$49&amp;" m). ",""))&amp;IF(AND(W35&lt;&gt;"",W35&lt;SG_Criteria!$B$50),"FAIL: wind speed below "&amp;SG_Criteria!$B$50&amp;" m/s. ","")&amp;IF(AND(X35&lt;&gt;"",X35&lt;SG_Criteria!$B$51),"FAIL: roof fixing pull-out below "&amp;SG_Criteria!$B$51&amp;" kN. ","")&amp;IF(AND(Y35&lt;&gt;"",IFERROR(VALUE(MID(Y35,2,2)),0)&lt;SG_Criteria!$B$52),"FAIL: grade below C"&amp;SG_Criteria!$B$52&amp;". ","")&amp;IF(E35="Non-standard (project design)","NOTE: not an SDRE standard, needs LTA acceptance. ",""))=0,"OK",IF(AND(D35&lt;&gt;"High Covered Linkway",G35&lt;SG_Criteria!$B$46),"FAIL: headroom below "&amp;SG_Criteria!$B$46&amp;" m. ","")&amp;IF(AND(D35="High Covered Linkway",G35&lt;SG_Criteria!$B$47),"FAIL: high linkway headroom below "&amp;SG_Criteria!$B$47&amp;" m. ","")&amp;IF(F35&lt;SG_Criteria!$B$48,"FAIL: roof width below "&amp;SG_Criteria!$B$48&amp;" m. ",IF(F35&lt;SG_Criteria!$B$49,"NOTE: not for MRT/LRT or high-traffic routes (min "&amp;SG_Criteria!$B$49&amp;" m). ",""))&amp;IF(AND(W35&lt;&gt;"",W35&lt;SG_Criteria!$B$50),"FAIL: wind speed below "&amp;SG_Criteria!$B$50&amp;" m/s. ","")&amp;IF(AND(X35&lt;&gt;"",X35&lt;SG_Criteria!$B$51),"FAIL: roof fixing pull-out below "&amp;SG_Criteria!$B$51&amp;" kN. ","")&amp;IF(AND(Y35&lt;&gt;"",IFERROR(VALUE(MID(Y35,2,2)),0)&lt;SG_Criteria!$B$52),"FAIL: grade below C"&amp;SG_Criteria!$B$52&amp;". ","")&amp;IF(E35="Non-standard (project design)","NOTE: not an SDRE standard, needs LTA acceptance. ","")))</f>
        <v/>
      </c>
      <c r="BD35" s="9"/>
      <c r="BE35" s="9"/>
      <c r="BF35" s="9"/>
      <c r="BG35" s="10" t="str">
        <f aca="false">IF(BF35="","",IFERROR(VLOOKUP(BF35,Projects!$A$5:$D$504,2,0),"Ref not in Projects"))</f>
        <v/>
      </c>
      <c r="BH35" s="10" t="str">
        <f aca="false">IF(BF35="","",IFERROR(VLOOKUP(BF35,Projects!$A$5:$D$504,4,0),"Ref not in Projects"))</f>
        <v/>
      </c>
      <c r="BI35" s="9"/>
      <c r="BJ35" s="9"/>
      <c r="BK35" s="9"/>
      <c r="BL35" s="40"/>
      <c r="BM35" s="9"/>
      <c r="BN35" s="40"/>
      <c r="BO35" s="9"/>
      <c r="BP35" s="40"/>
      <c r="BQ35" s="9"/>
      <c r="BR35" s="9"/>
      <c r="BS35" s="9"/>
      <c r="BT35" s="40"/>
      <c r="BU35" s="40"/>
      <c r="BV35" s="36" t="str">
        <f aca="false">IF(BU35="","",EDATE(BU35,SG_Criteria!$B$54*12))</f>
        <v/>
      </c>
      <c r="BW35" s="33" t="str">
        <f aca="true">IF(A35="","",IF(BU35="","NOTE: not reviewed yet",IF(TODAY()&gt;BV35,"NOTE: review overdue","OK")))</f>
        <v/>
      </c>
      <c r="BX35" s="37" t="str">
        <f aca="false">IF(A35="","",ROUND((IF(LEN(D35)&gt;0,1,0)+IF(LEN(E35)&gt;0,1,0)+IF(LEN(F35)&gt;0,1,0)+IF(LEN(G35)&gt;0,1,0)+IF(LEN(H35)&gt;0,1,0)+IF(LEN(I35)&gt;0,1,0)+IF(LEN(J35)&gt;0,1,0)+IF(LEN(K35)&gt;0,1,0)+IF(LEN(N35)&gt;0,1,0)+IF(LEN(O35)&gt;0,1,0)+IF(LEN(W35)&gt;0,1,0)+IF(LEN(X35)&gt;0,1,0)+IF(LEN(Y35)&gt;0,1,0)+IF(LEN(AG35)&gt;0,1,0)+IF(LEN(AI35)&gt;0,1,0)+IF(LEN(AJ35)&gt;0,1,0)+IF(LEN(AK35)&gt;0,1,0)+IF(LEN(AL35)&gt;0,1,0)+IF(LEN(AU35)&gt;0,1,0)+IF(LEN(BF35)&gt;0,1,0)+IF(LEN(BS35)&gt;0,1,0))/21,2))</f>
        <v/>
      </c>
      <c r="BY35" s="10" t="str">
        <f aca="false">IF(D35="","",IF(AND(AJ35="Approved",ISERROR(SEARCH("FAIL",BC35))),"Y","N"))</f>
        <v/>
      </c>
      <c r="BZ35" s="10" t="str">
        <f aca="false">IF(D35="","",D35&amp;"|"&amp;F35&amp;"|"&amp;G35&amp;"|"&amp;BY35)</f>
        <v/>
      </c>
    </row>
    <row r="36" customFormat="false" ht="15" hidden="false" customHeight="false" outlineLevel="0" collapsed="false">
      <c r="A36" s="10" t="str">
        <f aca="false">IF(D36="","","LKW-"&amp;IFERROR(VLOOKUP(D36,Lists!$AQ$4:$AR$17,2,0),"??")&amp;"-W"&amp;TEXT(F36*1000,"0000")&amp;"-H"&amp;TEXT(G36*1000,"0000")&amp;"-B"&amp;TEXT(H36*1000,"0000")&amp;"-"&amp;AI36)</f>
        <v/>
      </c>
      <c r="B36" s="10" t="str">
        <f aca="false">IF(D36="","",D36&amp;", "&amp;F36&amp;" m wide, "&amp;G36&amp;" m headroom, "&amp;H36&amp;" m bays, "&amp;I36&amp;" ("&amp;E36&amp;")")</f>
        <v/>
      </c>
      <c r="C36" s="9"/>
      <c r="D36" s="9"/>
      <c r="E36" s="9"/>
      <c r="F36" s="42"/>
      <c r="G36" s="42"/>
      <c r="H36" s="42"/>
      <c r="I36" s="9"/>
      <c r="J36" s="9"/>
      <c r="K36" s="9"/>
      <c r="L36" s="9"/>
      <c r="M36" s="9"/>
      <c r="N36" s="9"/>
      <c r="O36" s="9"/>
      <c r="P36" s="9"/>
      <c r="Q36" s="9"/>
      <c r="R36" s="9"/>
      <c r="S36" s="42"/>
      <c r="T36" s="9"/>
      <c r="U36" s="9"/>
      <c r="V36" s="9"/>
      <c r="W36" s="38"/>
      <c r="X36" s="42"/>
      <c r="Y36" s="9"/>
      <c r="Z36" s="9"/>
      <c r="AA36" s="9"/>
      <c r="AB36" s="42"/>
      <c r="AC36" s="9"/>
      <c r="AD36" s="38"/>
      <c r="AE36" s="9"/>
      <c r="AF36" s="39"/>
      <c r="AG36" s="9"/>
      <c r="AH36" s="9"/>
      <c r="AI36" s="9"/>
      <c r="AJ36" s="9"/>
      <c r="AK36" s="9"/>
      <c r="AL36" s="9"/>
      <c r="AM36" s="9"/>
      <c r="AN36" s="10" t="str">
        <f aca="false">IF(A36="","",SG_Criteria!$B$6&amp;SG_Criteria!$B$12&amp;"\"&amp;A36&amp;"\")</f>
        <v/>
      </c>
      <c r="AO36" s="10" t="str">
        <f aca="false">IF(A36="","",A36&amp;"_CAD.dwg")</f>
        <v/>
      </c>
      <c r="AP36" s="10" t="str">
        <f aca="false">IF(A36="","",A36&amp;"_DWG.pdf")</f>
        <v/>
      </c>
      <c r="AQ36" s="10" t="str">
        <f aca="false">IF(A36="","",IF(AM36="Y",A36&amp;"_STAAD.std","n/a"))</f>
        <v/>
      </c>
      <c r="AR36" s="10" t="str">
        <f aca="false">IF(A36="","",A36&amp;"_CALC.xlsx")</f>
        <v/>
      </c>
      <c r="AS36" s="10" t="str">
        <f aca="false">IF(A36="","",A36&amp;"_CALC.pdf")</f>
        <v/>
      </c>
      <c r="AT36" s="9"/>
      <c r="AU36" s="9"/>
      <c r="AV36" s="39"/>
      <c r="AW36" s="39"/>
      <c r="AX36" s="39"/>
      <c r="AY36" s="39"/>
      <c r="AZ36" s="39"/>
      <c r="BA36" s="12" t="str">
        <f aca="false">IF(A36="","",IF(COUNTIF(Rebar_Schedule!$A$5:$A$2004,A36)=0,"",ROUND(SUMIF(Rebar_Schedule!$A$5:$A$2004,A36,Rebar_Schedule!$K$5:$K$2004),1)))</f>
        <v/>
      </c>
      <c r="BB36" s="33" t="str">
        <f aca="false">IF(A36="","",IF(BA36="","No rebar schedule yet",IF(ABS(BA36-N(AW36))/MAX(N(AW36),1)&gt;SG_Criteria!$B$55,"NOTE: register rebar differs from schedule by "&amp;TEXT(ABS(BA36-N(AW36))/MAX(N(AW36),1),"0%"),"OK")))</f>
        <v/>
      </c>
      <c r="BC36" s="33" t="str">
        <f aca="false">IF(D36="","",IF(LEN(IF(AND(D36&lt;&gt;"High Covered Linkway",G36&lt;SG_Criteria!$B$46),"FAIL: headroom below "&amp;SG_Criteria!$B$46&amp;" m. ","")&amp;IF(AND(D36="High Covered Linkway",G36&lt;SG_Criteria!$B$47),"FAIL: high linkway headroom below "&amp;SG_Criteria!$B$47&amp;" m. ","")&amp;IF(F36&lt;SG_Criteria!$B$48,"FAIL: roof width below "&amp;SG_Criteria!$B$48&amp;" m. ",IF(F36&lt;SG_Criteria!$B$49,"NOTE: not for MRT/LRT or high-traffic routes (min "&amp;SG_Criteria!$B$49&amp;" m). ",""))&amp;IF(AND(W36&lt;&gt;"",W36&lt;SG_Criteria!$B$50),"FAIL: wind speed below "&amp;SG_Criteria!$B$50&amp;" m/s. ","")&amp;IF(AND(X36&lt;&gt;"",X36&lt;SG_Criteria!$B$51),"FAIL: roof fixing pull-out below "&amp;SG_Criteria!$B$51&amp;" kN. ","")&amp;IF(AND(Y36&lt;&gt;"",IFERROR(VALUE(MID(Y36,2,2)),0)&lt;SG_Criteria!$B$52),"FAIL: grade below C"&amp;SG_Criteria!$B$52&amp;". ","")&amp;IF(E36="Non-standard (project design)","NOTE: not an SDRE standard, needs LTA acceptance. ",""))=0,"OK",IF(AND(D36&lt;&gt;"High Covered Linkway",G36&lt;SG_Criteria!$B$46),"FAIL: headroom below "&amp;SG_Criteria!$B$46&amp;" m. ","")&amp;IF(AND(D36="High Covered Linkway",G36&lt;SG_Criteria!$B$47),"FAIL: high linkway headroom below "&amp;SG_Criteria!$B$47&amp;" m. ","")&amp;IF(F36&lt;SG_Criteria!$B$48,"FAIL: roof width below "&amp;SG_Criteria!$B$48&amp;" m. ",IF(F36&lt;SG_Criteria!$B$49,"NOTE: not for MRT/LRT or high-traffic routes (min "&amp;SG_Criteria!$B$49&amp;" m). ",""))&amp;IF(AND(W36&lt;&gt;"",W36&lt;SG_Criteria!$B$50),"FAIL: wind speed below "&amp;SG_Criteria!$B$50&amp;" m/s. ","")&amp;IF(AND(X36&lt;&gt;"",X36&lt;SG_Criteria!$B$51),"FAIL: roof fixing pull-out below "&amp;SG_Criteria!$B$51&amp;" kN. ","")&amp;IF(AND(Y36&lt;&gt;"",IFERROR(VALUE(MID(Y36,2,2)),0)&lt;SG_Criteria!$B$52),"FAIL: grade below C"&amp;SG_Criteria!$B$52&amp;". ","")&amp;IF(E36="Non-standard (project design)","NOTE: not an SDRE standard, needs LTA acceptance. ","")))</f>
        <v/>
      </c>
      <c r="BD36" s="9"/>
      <c r="BE36" s="9"/>
      <c r="BF36" s="9"/>
      <c r="BG36" s="10" t="str">
        <f aca="false">IF(BF36="","",IFERROR(VLOOKUP(BF36,Projects!$A$5:$D$504,2,0),"Ref not in Projects"))</f>
        <v/>
      </c>
      <c r="BH36" s="10" t="str">
        <f aca="false">IF(BF36="","",IFERROR(VLOOKUP(BF36,Projects!$A$5:$D$504,4,0),"Ref not in Projects"))</f>
        <v/>
      </c>
      <c r="BI36" s="9"/>
      <c r="BJ36" s="9"/>
      <c r="BK36" s="9"/>
      <c r="BL36" s="40"/>
      <c r="BM36" s="9"/>
      <c r="BN36" s="40"/>
      <c r="BO36" s="9"/>
      <c r="BP36" s="40"/>
      <c r="BQ36" s="9"/>
      <c r="BR36" s="9"/>
      <c r="BS36" s="9"/>
      <c r="BT36" s="40"/>
      <c r="BU36" s="40"/>
      <c r="BV36" s="36" t="str">
        <f aca="false">IF(BU36="","",EDATE(BU36,SG_Criteria!$B$54*12))</f>
        <v/>
      </c>
      <c r="BW36" s="33" t="str">
        <f aca="true">IF(A36="","",IF(BU36="","NOTE: not reviewed yet",IF(TODAY()&gt;BV36,"NOTE: review overdue","OK")))</f>
        <v/>
      </c>
      <c r="BX36" s="37" t="str">
        <f aca="false">IF(A36="","",ROUND((IF(LEN(D36)&gt;0,1,0)+IF(LEN(E36)&gt;0,1,0)+IF(LEN(F36)&gt;0,1,0)+IF(LEN(G36)&gt;0,1,0)+IF(LEN(H36)&gt;0,1,0)+IF(LEN(I36)&gt;0,1,0)+IF(LEN(J36)&gt;0,1,0)+IF(LEN(K36)&gt;0,1,0)+IF(LEN(N36)&gt;0,1,0)+IF(LEN(O36)&gt;0,1,0)+IF(LEN(W36)&gt;0,1,0)+IF(LEN(X36)&gt;0,1,0)+IF(LEN(Y36)&gt;0,1,0)+IF(LEN(AG36)&gt;0,1,0)+IF(LEN(AI36)&gt;0,1,0)+IF(LEN(AJ36)&gt;0,1,0)+IF(LEN(AK36)&gt;0,1,0)+IF(LEN(AL36)&gt;0,1,0)+IF(LEN(AU36)&gt;0,1,0)+IF(LEN(BF36)&gt;0,1,0)+IF(LEN(BS36)&gt;0,1,0))/21,2))</f>
        <v/>
      </c>
      <c r="BY36" s="10" t="str">
        <f aca="false">IF(D36="","",IF(AND(AJ36="Approved",ISERROR(SEARCH("FAIL",BC36))),"Y","N"))</f>
        <v/>
      </c>
      <c r="BZ36" s="10" t="str">
        <f aca="false">IF(D36="","",D36&amp;"|"&amp;F36&amp;"|"&amp;G36&amp;"|"&amp;BY36)</f>
        <v/>
      </c>
    </row>
    <row r="37" customFormat="false" ht="15" hidden="false" customHeight="false" outlineLevel="0" collapsed="false">
      <c r="A37" s="10" t="str">
        <f aca="false">IF(D37="","","LKW-"&amp;IFERROR(VLOOKUP(D37,Lists!$AQ$4:$AR$17,2,0),"??")&amp;"-W"&amp;TEXT(F37*1000,"0000")&amp;"-H"&amp;TEXT(G37*1000,"0000")&amp;"-B"&amp;TEXT(H37*1000,"0000")&amp;"-"&amp;AI37)</f>
        <v/>
      </c>
      <c r="B37" s="10" t="str">
        <f aca="false">IF(D37="","",D37&amp;", "&amp;F37&amp;" m wide, "&amp;G37&amp;" m headroom, "&amp;H37&amp;" m bays, "&amp;I37&amp;" ("&amp;E37&amp;")")</f>
        <v/>
      </c>
      <c r="C37" s="9"/>
      <c r="D37" s="9"/>
      <c r="E37" s="9"/>
      <c r="F37" s="42"/>
      <c r="G37" s="42"/>
      <c r="H37" s="42"/>
      <c r="I37" s="9"/>
      <c r="J37" s="9"/>
      <c r="K37" s="9"/>
      <c r="L37" s="9"/>
      <c r="M37" s="9"/>
      <c r="N37" s="9"/>
      <c r="O37" s="9"/>
      <c r="P37" s="9"/>
      <c r="Q37" s="9"/>
      <c r="R37" s="9"/>
      <c r="S37" s="42"/>
      <c r="T37" s="9"/>
      <c r="U37" s="9"/>
      <c r="V37" s="9"/>
      <c r="W37" s="38"/>
      <c r="X37" s="42"/>
      <c r="Y37" s="9"/>
      <c r="Z37" s="9"/>
      <c r="AA37" s="9"/>
      <c r="AB37" s="42"/>
      <c r="AC37" s="9"/>
      <c r="AD37" s="38"/>
      <c r="AE37" s="9"/>
      <c r="AF37" s="39"/>
      <c r="AG37" s="9"/>
      <c r="AH37" s="9"/>
      <c r="AI37" s="9"/>
      <c r="AJ37" s="9"/>
      <c r="AK37" s="9"/>
      <c r="AL37" s="9"/>
      <c r="AM37" s="9"/>
      <c r="AN37" s="10" t="str">
        <f aca="false">IF(A37="","",SG_Criteria!$B$6&amp;SG_Criteria!$B$12&amp;"\"&amp;A37&amp;"\")</f>
        <v/>
      </c>
      <c r="AO37" s="10" t="str">
        <f aca="false">IF(A37="","",A37&amp;"_CAD.dwg")</f>
        <v/>
      </c>
      <c r="AP37" s="10" t="str">
        <f aca="false">IF(A37="","",A37&amp;"_DWG.pdf")</f>
        <v/>
      </c>
      <c r="AQ37" s="10" t="str">
        <f aca="false">IF(A37="","",IF(AM37="Y",A37&amp;"_STAAD.std","n/a"))</f>
        <v/>
      </c>
      <c r="AR37" s="10" t="str">
        <f aca="false">IF(A37="","",A37&amp;"_CALC.xlsx")</f>
        <v/>
      </c>
      <c r="AS37" s="10" t="str">
        <f aca="false">IF(A37="","",A37&amp;"_CALC.pdf")</f>
        <v/>
      </c>
      <c r="AT37" s="9"/>
      <c r="AU37" s="9"/>
      <c r="AV37" s="39"/>
      <c r="AW37" s="39"/>
      <c r="AX37" s="39"/>
      <c r="AY37" s="39"/>
      <c r="AZ37" s="39"/>
      <c r="BA37" s="12" t="str">
        <f aca="false">IF(A37="","",IF(COUNTIF(Rebar_Schedule!$A$5:$A$2004,A37)=0,"",ROUND(SUMIF(Rebar_Schedule!$A$5:$A$2004,A37,Rebar_Schedule!$K$5:$K$2004),1)))</f>
        <v/>
      </c>
      <c r="BB37" s="33" t="str">
        <f aca="false">IF(A37="","",IF(BA37="","No rebar schedule yet",IF(ABS(BA37-N(AW37))/MAX(N(AW37),1)&gt;SG_Criteria!$B$55,"NOTE: register rebar differs from schedule by "&amp;TEXT(ABS(BA37-N(AW37))/MAX(N(AW37),1),"0%"),"OK")))</f>
        <v/>
      </c>
      <c r="BC37" s="33" t="str">
        <f aca="false">IF(D37="","",IF(LEN(IF(AND(D37&lt;&gt;"High Covered Linkway",G37&lt;SG_Criteria!$B$46),"FAIL: headroom below "&amp;SG_Criteria!$B$46&amp;" m. ","")&amp;IF(AND(D37="High Covered Linkway",G37&lt;SG_Criteria!$B$47),"FAIL: high linkway headroom below "&amp;SG_Criteria!$B$47&amp;" m. ","")&amp;IF(F37&lt;SG_Criteria!$B$48,"FAIL: roof width below "&amp;SG_Criteria!$B$48&amp;" m. ",IF(F37&lt;SG_Criteria!$B$49,"NOTE: not for MRT/LRT or high-traffic routes (min "&amp;SG_Criteria!$B$49&amp;" m). ",""))&amp;IF(AND(W37&lt;&gt;"",W37&lt;SG_Criteria!$B$50),"FAIL: wind speed below "&amp;SG_Criteria!$B$50&amp;" m/s. ","")&amp;IF(AND(X37&lt;&gt;"",X37&lt;SG_Criteria!$B$51),"FAIL: roof fixing pull-out below "&amp;SG_Criteria!$B$51&amp;" kN. ","")&amp;IF(AND(Y37&lt;&gt;"",IFERROR(VALUE(MID(Y37,2,2)),0)&lt;SG_Criteria!$B$52),"FAIL: grade below C"&amp;SG_Criteria!$B$52&amp;". ","")&amp;IF(E37="Non-standard (project design)","NOTE: not an SDRE standard, needs LTA acceptance. ",""))=0,"OK",IF(AND(D37&lt;&gt;"High Covered Linkway",G37&lt;SG_Criteria!$B$46),"FAIL: headroom below "&amp;SG_Criteria!$B$46&amp;" m. ","")&amp;IF(AND(D37="High Covered Linkway",G37&lt;SG_Criteria!$B$47),"FAIL: high linkway headroom below "&amp;SG_Criteria!$B$47&amp;" m. ","")&amp;IF(F37&lt;SG_Criteria!$B$48,"FAIL: roof width below "&amp;SG_Criteria!$B$48&amp;" m. ",IF(F37&lt;SG_Criteria!$B$49,"NOTE: not for MRT/LRT or high-traffic routes (min "&amp;SG_Criteria!$B$49&amp;" m). ",""))&amp;IF(AND(W37&lt;&gt;"",W37&lt;SG_Criteria!$B$50),"FAIL: wind speed below "&amp;SG_Criteria!$B$50&amp;" m/s. ","")&amp;IF(AND(X37&lt;&gt;"",X37&lt;SG_Criteria!$B$51),"FAIL: roof fixing pull-out below "&amp;SG_Criteria!$B$51&amp;" kN. ","")&amp;IF(AND(Y37&lt;&gt;"",IFERROR(VALUE(MID(Y37,2,2)),0)&lt;SG_Criteria!$B$52),"FAIL: grade below C"&amp;SG_Criteria!$B$52&amp;". ","")&amp;IF(E37="Non-standard (project design)","NOTE: not an SDRE standard, needs LTA acceptance. ","")))</f>
        <v/>
      </c>
      <c r="BD37" s="9"/>
      <c r="BE37" s="9"/>
      <c r="BF37" s="9"/>
      <c r="BG37" s="10" t="str">
        <f aca="false">IF(BF37="","",IFERROR(VLOOKUP(BF37,Projects!$A$5:$D$504,2,0),"Ref not in Projects"))</f>
        <v/>
      </c>
      <c r="BH37" s="10" t="str">
        <f aca="false">IF(BF37="","",IFERROR(VLOOKUP(BF37,Projects!$A$5:$D$504,4,0),"Ref not in Projects"))</f>
        <v/>
      </c>
      <c r="BI37" s="9"/>
      <c r="BJ37" s="9"/>
      <c r="BK37" s="9"/>
      <c r="BL37" s="40"/>
      <c r="BM37" s="9"/>
      <c r="BN37" s="40"/>
      <c r="BO37" s="9"/>
      <c r="BP37" s="40"/>
      <c r="BQ37" s="9"/>
      <c r="BR37" s="9"/>
      <c r="BS37" s="9"/>
      <c r="BT37" s="40"/>
      <c r="BU37" s="40"/>
      <c r="BV37" s="36" t="str">
        <f aca="false">IF(BU37="","",EDATE(BU37,SG_Criteria!$B$54*12))</f>
        <v/>
      </c>
      <c r="BW37" s="33" t="str">
        <f aca="true">IF(A37="","",IF(BU37="","NOTE: not reviewed yet",IF(TODAY()&gt;BV37,"NOTE: review overdue","OK")))</f>
        <v/>
      </c>
      <c r="BX37" s="37" t="str">
        <f aca="false">IF(A37="","",ROUND((IF(LEN(D37)&gt;0,1,0)+IF(LEN(E37)&gt;0,1,0)+IF(LEN(F37)&gt;0,1,0)+IF(LEN(G37)&gt;0,1,0)+IF(LEN(H37)&gt;0,1,0)+IF(LEN(I37)&gt;0,1,0)+IF(LEN(J37)&gt;0,1,0)+IF(LEN(K37)&gt;0,1,0)+IF(LEN(N37)&gt;0,1,0)+IF(LEN(O37)&gt;0,1,0)+IF(LEN(W37)&gt;0,1,0)+IF(LEN(X37)&gt;0,1,0)+IF(LEN(Y37)&gt;0,1,0)+IF(LEN(AG37)&gt;0,1,0)+IF(LEN(AI37)&gt;0,1,0)+IF(LEN(AJ37)&gt;0,1,0)+IF(LEN(AK37)&gt;0,1,0)+IF(LEN(AL37)&gt;0,1,0)+IF(LEN(AU37)&gt;0,1,0)+IF(LEN(BF37)&gt;0,1,0)+IF(LEN(BS37)&gt;0,1,0))/21,2))</f>
        <v/>
      </c>
      <c r="BY37" s="10" t="str">
        <f aca="false">IF(D37="","",IF(AND(AJ37="Approved",ISERROR(SEARCH("FAIL",BC37))),"Y","N"))</f>
        <v/>
      </c>
      <c r="BZ37" s="10" t="str">
        <f aca="false">IF(D37="","",D37&amp;"|"&amp;F37&amp;"|"&amp;G37&amp;"|"&amp;BY37)</f>
        <v/>
      </c>
    </row>
    <row r="38" customFormat="false" ht="15" hidden="false" customHeight="false" outlineLevel="0" collapsed="false">
      <c r="A38" s="10" t="str">
        <f aca="false">IF(D38="","","LKW-"&amp;IFERROR(VLOOKUP(D38,Lists!$AQ$4:$AR$17,2,0),"??")&amp;"-W"&amp;TEXT(F38*1000,"0000")&amp;"-H"&amp;TEXT(G38*1000,"0000")&amp;"-B"&amp;TEXT(H38*1000,"0000")&amp;"-"&amp;AI38)</f>
        <v/>
      </c>
      <c r="B38" s="10" t="str">
        <f aca="false">IF(D38="","",D38&amp;", "&amp;F38&amp;" m wide, "&amp;G38&amp;" m headroom, "&amp;H38&amp;" m bays, "&amp;I38&amp;" ("&amp;E38&amp;")")</f>
        <v/>
      </c>
      <c r="C38" s="9"/>
      <c r="D38" s="9"/>
      <c r="E38" s="9"/>
      <c r="F38" s="42"/>
      <c r="G38" s="42"/>
      <c r="H38" s="42"/>
      <c r="I38" s="9"/>
      <c r="J38" s="9"/>
      <c r="K38" s="9"/>
      <c r="L38" s="9"/>
      <c r="M38" s="9"/>
      <c r="N38" s="9"/>
      <c r="O38" s="9"/>
      <c r="P38" s="9"/>
      <c r="Q38" s="9"/>
      <c r="R38" s="9"/>
      <c r="S38" s="42"/>
      <c r="T38" s="9"/>
      <c r="U38" s="9"/>
      <c r="V38" s="9"/>
      <c r="W38" s="38"/>
      <c r="X38" s="42"/>
      <c r="Y38" s="9"/>
      <c r="Z38" s="9"/>
      <c r="AA38" s="9"/>
      <c r="AB38" s="42"/>
      <c r="AC38" s="9"/>
      <c r="AD38" s="38"/>
      <c r="AE38" s="9"/>
      <c r="AF38" s="39"/>
      <c r="AG38" s="9"/>
      <c r="AH38" s="9"/>
      <c r="AI38" s="9"/>
      <c r="AJ38" s="9"/>
      <c r="AK38" s="9"/>
      <c r="AL38" s="9"/>
      <c r="AM38" s="9"/>
      <c r="AN38" s="10" t="str">
        <f aca="false">IF(A38="","",SG_Criteria!$B$6&amp;SG_Criteria!$B$12&amp;"\"&amp;A38&amp;"\")</f>
        <v/>
      </c>
      <c r="AO38" s="10" t="str">
        <f aca="false">IF(A38="","",A38&amp;"_CAD.dwg")</f>
        <v/>
      </c>
      <c r="AP38" s="10" t="str">
        <f aca="false">IF(A38="","",A38&amp;"_DWG.pdf")</f>
        <v/>
      </c>
      <c r="AQ38" s="10" t="str">
        <f aca="false">IF(A38="","",IF(AM38="Y",A38&amp;"_STAAD.std","n/a"))</f>
        <v/>
      </c>
      <c r="AR38" s="10" t="str">
        <f aca="false">IF(A38="","",A38&amp;"_CALC.xlsx")</f>
        <v/>
      </c>
      <c r="AS38" s="10" t="str">
        <f aca="false">IF(A38="","",A38&amp;"_CALC.pdf")</f>
        <v/>
      </c>
      <c r="AT38" s="9"/>
      <c r="AU38" s="9"/>
      <c r="AV38" s="39"/>
      <c r="AW38" s="39"/>
      <c r="AX38" s="39"/>
      <c r="AY38" s="39"/>
      <c r="AZ38" s="39"/>
      <c r="BA38" s="12" t="str">
        <f aca="false">IF(A38="","",IF(COUNTIF(Rebar_Schedule!$A$5:$A$2004,A38)=0,"",ROUND(SUMIF(Rebar_Schedule!$A$5:$A$2004,A38,Rebar_Schedule!$K$5:$K$2004),1)))</f>
        <v/>
      </c>
      <c r="BB38" s="33" t="str">
        <f aca="false">IF(A38="","",IF(BA38="","No rebar schedule yet",IF(ABS(BA38-N(AW38))/MAX(N(AW38),1)&gt;SG_Criteria!$B$55,"NOTE: register rebar differs from schedule by "&amp;TEXT(ABS(BA38-N(AW38))/MAX(N(AW38),1),"0%"),"OK")))</f>
        <v/>
      </c>
      <c r="BC38" s="33" t="str">
        <f aca="false">IF(D38="","",IF(LEN(IF(AND(D38&lt;&gt;"High Covered Linkway",G38&lt;SG_Criteria!$B$46),"FAIL: headroom below "&amp;SG_Criteria!$B$46&amp;" m. ","")&amp;IF(AND(D38="High Covered Linkway",G38&lt;SG_Criteria!$B$47),"FAIL: high linkway headroom below "&amp;SG_Criteria!$B$47&amp;" m. ","")&amp;IF(F38&lt;SG_Criteria!$B$48,"FAIL: roof width below "&amp;SG_Criteria!$B$48&amp;" m. ",IF(F38&lt;SG_Criteria!$B$49,"NOTE: not for MRT/LRT or high-traffic routes (min "&amp;SG_Criteria!$B$49&amp;" m). ",""))&amp;IF(AND(W38&lt;&gt;"",W38&lt;SG_Criteria!$B$50),"FAIL: wind speed below "&amp;SG_Criteria!$B$50&amp;" m/s. ","")&amp;IF(AND(X38&lt;&gt;"",X38&lt;SG_Criteria!$B$51),"FAIL: roof fixing pull-out below "&amp;SG_Criteria!$B$51&amp;" kN. ","")&amp;IF(AND(Y38&lt;&gt;"",IFERROR(VALUE(MID(Y38,2,2)),0)&lt;SG_Criteria!$B$52),"FAIL: grade below C"&amp;SG_Criteria!$B$52&amp;". ","")&amp;IF(E38="Non-standard (project design)","NOTE: not an SDRE standard, needs LTA acceptance. ",""))=0,"OK",IF(AND(D38&lt;&gt;"High Covered Linkway",G38&lt;SG_Criteria!$B$46),"FAIL: headroom below "&amp;SG_Criteria!$B$46&amp;" m. ","")&amp;IF(AND(D38="High Covered Linkway",G38&lt;SG_Criteria!$B$47),"FAIL: high linkway headroom below "&amp;SG_Criteria!$B$47&amp;" m. ","")&amp;IF(F38&lt;SG_Criteria!$B$48,"FAIL: roof width below "&amp;SG_Criteria!$B$48&amp;" m. ",IF(F38&lt;SG_Criteria!$B$49,"NOTE: not for MRT/LRT or high-traffic routes (min "&amp;SG_Criteria!$B$49&amp;" m). ",""))&amp;IF(AND(W38&lt;&gt;"",W38&lt;SG_Criteria!$B$50),"FAIL: wind speed below "&amp;SG_Criteria!$B$50&amp;" m/s. ","")&amp;IF(AND(X38&lt;&gt;"",X38&lt;SG_Criteria!$B$51),"FAIL: roof fixing pull-out below "&amp;SG_Criteria!$B$51&amp;" kN. ","")&amp;IF(AND(Y38&lt;&gt;"",IFERROR(VALUE(MID(Y38,2,2)),0)&lt;SG_Criteria!$B$52),"FAIL: grade below C"&amp;SG_Criteria!$B$52&amp;". ","")&amp;IF(E38="Non-standard (project design)","NOTE: not an SDRE standard, needs LTA acceptance. ","")))</f>
        <v/>
      </c>
      <c r="BD38" s="9"/>
      <c r="BE38" s="9"/>
      <c r="BF38" s="9"/>
      <c r="BG38" s="10" t="str">
        <f aca="false">IF(BF38="","",IFERROR(VLOOKUP(BF38,Projects!$A$5:$D$504,2,0),"Ref not in Projects"))</f>
        <v/>
      </c>
      <c r="BH38" s="10" t="str">
        <f aca="false">IF(BF38="","",IFERROR(VLOOKUP(BF38,Projects!$A$5:$D$504,4,0),"Ref not in Projects"))</f>
        <v/>
      </c>
      <c r="BI38" s="9"/>
      <c r="BJ38" s="9"/>
      <c r="BK38" s="9"/>
      <c r="BL38" s="40"/>
      <c r="BM38" s="9"/>
      <c r="BN38" s="40"/>
      <c r="BO38" s="9"/>
      <c r="BP38" s="40"/>
      <c r="BQ38" s="9"/>
      <c r="BR38" s="9"/>
      <c r="BS38" s="9"/>
      <c r="BT38" s="40"/>
      <c r="BU38" s="40"/>
      <c r="BV38" s="36" t="str">
        <f aca="false">IF(BU38="","",EDATE(BU38,SG_Criteria!$B$54*12))</f>
        <v/>
      </c>
      <c r="BW38" s="33" t="str">
        <f aca="true">IF(A38="","",IF(BU38="","NOTE: not reviewed yet",IF(TODAY()&gt;BV38,"NOTE: review overdue","OK")))</f>
        <v/>
      </c>
      <c r="BX38" s="37" t="str">
        <f aca="false">IF(A38="","",ROUND((IF(LEN(D38)&gt;0,1,0)+IF(LEN(E38)&gt;0,1,0)+IF(LEN(F38)&gt;0,1,0)+IF(LEN(G38)&gt;0,1,0)+IF(LEN(H38)&gt;0,1,0)+IF(LEN(I38)&gt;0,1,0)+IF(LEN(J38)&gt;0,1,0)+IF(LEN(K38)&gt;0,1,0)+IF(LEN(N38)&gt;0,1,0)+IF(LEN(O38)&gt;0,1,0)+IF(LEN(W38)&gt;0,1,0)+IF(LEN(X38)&gt;0,1,0)+IF(LEN(Y38)&gt;0,1,0)+IF(LEN(AG38)&gt;0,1,0)+IF(LEN(AI38)&gt;0,1,0)+IF(LEN(AJ38)&gt;0,1,0)+IF(LEN(AK38)&gt;0,1,0)+IF(LEN(AL38)&gt;0,1,0)+IF(LEN(AU38)&gt;0,1,0)+IF(LEN(BF38)&gt;0,1,0)+IF(LEN(BS38)&gt;0,1,0))/21,2))</f>
        <v/>
      </c>
      <c r="BY38" s="10" t="str">
        <f aca="false">IF(D38="","",IF(AND(AJ38="Approved",ISERROR(SEARCH("FAIL",BC38))),"Y","N"))</f>
        <v/>
      </c>
      <c r="BZ38" s="10" t="str">
        <f aca="false">IF(D38="","",D38&amp;"|"&amp;F38&amp;"|"&amp;G38&amp;"|"&amp;BY38)</f>
        <v/>
      </c>
    </row>
    <row r="39" customFormat="false" ht="15" hidden="false" customHeight="false" outlineLevel="0" collapsed="false">
      <c r="A39" s="10" t="str">
        <f aca="false">IF(D39="","","LKW-"&amp;IFERROR(VLOOKUP(D39,Lists!$AQ$4:$AR$17,2,0),"??")&amp;"-W"&amp;TEXT(F39*1000,"0000")&amp;"-H"&amp;TEXT(G39*1000,"0000")&amp;"-B"&amp;TEXT(H39*1000,"0000")&amp;"-"&amp;AI39)</f>
        <v/>
      </c>
      <c r="B39" s="10" t="str">
        <f aca="false">IF(D39="","",D39&amp;", "&amp;F39&amp;" m wide, "&amp;G39&amp;" m headroom, "&amp;H39&amp;" m bays, "&amp;I39&amp;" ("&amp;E39&amp;")")</f>
        <v/>
      </c>
      <c r="C39" s="9"/>
      <c r="D39" s="9"/>
      <c r="E39" s="9"/>
      <c r="F39" s="42"/>
      <c r="G39" s="42"/>
      <c r="H39" s="42"/>
      <c r="I39" s="9"/>
      <c r="J39" s="9"/>
      <c r="K39" s="9"/>
      <c r="L39" s="9"/>
      <c r="M39" s="9"/>
      <c r="N39" s="9"/>
      <c r="O39" s="9"/>
      <c r="P39" s="9"/>
      <c r="Q39" s="9"/>
      <c r="R39" s="9"/>
      <c r="S39" s="42"/>
      <c r="T39" s="9"/>
      <c r="U39" s="9"/>
      <c r="V39" s="9"/>
      <c r="W39" s="38"/>
      <c r="X39" s="42"/>
      <c r="Y39" s="9"/>
      <c r="Z39" s="9"/>
      <c r="AA39" s="9"/>
      <c r="AB39" s="42"/>
      <c r="AC39" s="9"/>
      <c r="AD39" s="38"/>
      <c r="AE39" s="9"/>
      <c r="AF39" s="39"/>
      <c r="AG39" s="9"/>
      <c r="AH39" s="9"/>
      <c r="AI39" s="9"/>
      <c r="AJ39" s="9"/>
      <c r="AK39" s="9"/>
      <c r="AL39" s="9"/>
      <c r="AM39" s="9"/>
      <c r="AN39" s="10" t="str">
        <f aca="false">IF(A39="","",SG_Criteria!$B$6&amp;SG_Criteria!$B$12&amp;"\"&amp;A39&amp;"\")</f>
        <v/>
      </c>
      <c r="AO39" s="10" t="str">
        <f aca="false">IF(A39="","",A39&amp;"_CAD.dwg")</f>
        <v/>
      </c>
      <c r="AP39" s="10" t="str">
        <f aca="false">IF(A39="","",A39&amp;"_DWG.pdf")</f>
        <v/>
      </c>
      <c r="AQ39" s="10" t="str">
        <f aca="false">IF(A39="","",IF(AM39="Y",A39&amp;"_STAAD.std","n/a"))</f>
        <v/>
      </c>
      <c r="AR39" s="10" t="str">
        <f aca="false">IF(A39="","",A39&amp;"_CALC.xlsx")</f>
        <v/>
      </c>
      <c r="AS39" s="10" t="str">
        <f aca="false">IF(A39="","",A39&amp;"_CALC.pdf")</f>
        <v/>
      </c>
      <c r="AT39" s="9"/>
      <c r="AU39" s="9"/>
      <c r="AV39" s="39"/>
      <c r="AW39" s="39"/>
      <c r="AX39" s="39"/>
      <c r="AY39" s="39"/>
      <c r="AZ39" s="39"/>
      <c r="BA39" s="12" t="str">
        <f aca="false">IF(A39="","",IF(COUNTIF(Rebar_Schedule!$A$5:$A$2004,A39)=0,"",ROUND(SUMIF(Rebar_Schedule!$A$5:$A$2004,A39,Rebar_Schedule!$K$5:$K$2004),1)))</f>
        <v/>
      </c>
      <c r="BB39" s="33" t="str">
        <f aca="false">IF(A39="","",IF(BA39="","No rebar schedule yet",IF(ABS(BA39-N(AW39))/MAX(N(AW39),1)&gt;SG_Criteria!$B$55,"NOTE: register rebar differs from schedule by "&amp;TEXT(ABS(BA39-N(AW39))/MAX(N(AW39),1),"0%"),"OK")))</f>
        <v/>
      </c>
      <c r="BC39" s="33" t="str">
        <f aca="false">IF(D39="","",IF(LEN(IF(AND(D39&lt;&gt;"High Covered Linkway",G39&lt;SG_Criteria!$B$46),"FAIL: headroom below "&amp;SG_Criteria!$B$46&amp;" m. ","")&amp;IF(AND(D39="High Covered Linkway",G39&lt;SG_Criteria!$B$47),"FAIL: high linkway headroom below "&amp;SG_Criteria!$B$47&amp;" m. ","")&amp;IF(F39&lt;SG_Criteria!$B$48,"FAIL: roof width below "&amp;SG_Criteria!$B$48&amp;" m. ",IF(F39&lt;SG_Criteria!$B$49,"NOTE: not for MRT/LRT or high-traffic routes (min "&amp;SG_Criteria!$B$49&amp;" m). ",""))&amp;IF(AND(W39&lt;&gt;"",W39&lt;SG_Criteria!$B$50),"FAIL: wind speed below "&amp;SG_Criteria!$B$50&amp;" m/s. ","")&amp;IF(AND(X39&lt;&gt;"",X39&lt;SG_Criteria!$B$51),"FAIL: roof fixing pull-out below "&amp;SG_Criteria!$B$51&amp;" kN. ","")&amp;IF(AND(Y39&lt;&gt;"",IFERROR(VALUE(MID(Y39,2,2)),0)&lt;SG_Criteria!$B$52),"FAIL: grade below C"&amp;SG_Criteria!$B$52&amp;". ","")&amp;IF(E39="Non-standard (project design)","NOTE: not an SDRE standard, needs LTA acceptance. ",""))=0,"OK",IF(AND(D39&lt;&gt;"High Covered Linkway",G39&lt;SG_Criteria!$B$46),"FAIL: headroom below "&amp;SG_Criteria!$B$46&amp;" m. ","")&amp;IF(AND(D39="High Covered Linkway",G39&lt;SG_Criteria!$B$47),"FAIL: high linkway headroom below "&amp;SG_Criteria!$B$47&amp;" m. ","")&amp;IF(F39&lt;SG_Criteria!$B$48,"FAIL: roof width below "&amp;SG_Criteria!$B$48&amp;" m. ",IF(F39&lt;SG_Criteria!$B$49,"NOTE: not for MRT/LRT or high-traffic routes (min "&amp;SG_Criteria!$B$49&amp;" m). ",""))&amp;IF(AND(W39&lt;&gt;"",W39&lt;SG_Criteria!$B$50),"FAIL: wind speed below "&amp;SG_Criteria!$B$50&amp;" m/s. ","")&amp;IF(AND(X39&lt;&gt;"",X39&lt;SG_Criteria!$B$51),"FAIL: roof fixing pull-out below "&amp;SG_Criteria!$B$51&amp;" kN. ","")&amp;IF(AND(Y39&lt;&gt;"",IFERROR(VALUE(MID(Y39,2,2)),0)&lt;SG_Criteria!$B$52),"FAIL: grade below C"&amp;SG_Criteria!$B$52&amp;". ","")&amp;IF(E39="Non-standard (project design)","NOTE: not an SDRE standard, needs LTA acceptance. ","")))</f>
        <v/>
      </c>
      <c r="BD39" s="9"/>
      <c r="BE39" s="9"/>
      <c r="BF39" s="9"/>
      <c r="BG39" s="10" t="str">
        <f aca="false">IF(BF39="","",IFERROR(VLOOKUP(BF39,Projects!$A$5:$D$504,2,0),"Ref not in Projects"))</f>
        <v/>
      </c>
      <c r="BH39" s="10" t="str">
        <f aca="false">IF(BF39="","",IFERROR(VLOOKUP(BF39,Projects!$A$5:$D$504,4,0),"Ref not in Projects"))</f>
        <v/>
      </c>
      <c r="BI39" s="9"/>
      <c r="BJ39" s="9"/>
      <c r="BK39" s="9"/>
      <c r="BL39" s="40"/>
      <c r="BM39" s="9"/>
      <c r="BN39" s="40"/>
      <c r="BO39" s="9"/>
      <c r="BP39" s="40"/>
      <c r="BQ39" s="9"/>
      <c r="BR39" s="9"/>
      <c r="BS39" s="9"/>
      <c r="BT39" s="40"/>
      <c r="BU39" s="40"/>
      <c r="BV39" s="36" t="str">
        <f aca="false">IF(BU39="","",EDATE(BU39,SG_Criteria!$B$54*12))</f>
        <v/>
      </c>
      <c r="BW39" s="33" t="str">
        <f aca="true">IF(A39="","",IF(BU39="","NOTE: not reviewed yet",IF(TODAY()&gt;BV39,"NOTE: review overdue","OK")))</f>
        <v/>
      </c>
      <c r="BX39" s="37" t="str">
        <f aca="false">IF(A39="","",ROUND((IF(LEN(D39)&gt;0,1,0)+IF(LEN(E39)&gt;0,1,0)+IF(LEN(F39)&gt;0,1,0)+IF(LEN(G39)&gt;0,1,0)+IF(LEN(H39)&gt;0,1,0)+IF(LEN(I39)&gt;0,1,0)+IF(LEN(J39)&gt;0,1,0)+IF(LEN(K39)&gt;0,1,0)+IF(LEN(N39)&gt;0,1,0)+IF(LEN(O39)&gt;0,1,0)+IF(LEN(W39)&gt;0,1,0)+IF(LEN(X39)&gt;0,1,0)+IF(LEN(Y39)&gt;0,1,0)+IF(LEN(AG39)&gt;0,1,0)+IF(LEN(AI39)&gt;0,1,0)+IF(LEN(AJ39)&gt;0,1,0)+IF(LEN(AK39)&gt;0,1,0)+IF(LEN(AL39)&gt;0,1,0)+IF(LEN(AU39)&gt;0,1,0)+IF(LEN(BF39)&gt;0,1,0)+IF(LEN(BS39)&gt;0,1,0))/21,2))</f>
        <v/>
      </c>
      <c r="BY39" s="10" t="str">
        <f aca="false">IF(D39="","",IF(AND(AJ39="Approved",ISERROR(SEARCH("FAIL",BC39))),"Y","N"))</f>
        <v/>
      </c>
      <c r="BZ39" s="10" t="str">
        <f aca="false">IF(D39="","",D39&amp;"|"&amp;F39&amp;"|"&amp;G39&amp;"|"&amp;BY39)</f>
        <v/>
      </c>
    </row>
    <row r="40" customFormat="false" ht="15" hidden="false" customHeight="false" outlineLevel="0" collapsed="false">
      <c r="A40" s="10" t="str">
        <f aca="false">IF(D40="","","LKW-"&amp;IFERROR(VLOOKUP(D40,Lists!$AQ$4:$AR$17,2,0),"??")&amp;"-W"&amp;TEXT(F40*1000,"0000")&amp;"-H"&amp;TEXT(G40*1000,"0000")&amp;"-B"&amp;TEXT(H40*1000,"0000")&amp;"-"&amp;AI40)</f>
        <v/>
      </c>
      <c r="B40" s="10" t="str">
        <f aca="false">IF(D40="","",D40&amp;", "&amp;F40&amp;" m wide, "&amp;G40&amp;" m headroom, "&amp;H40&amp;" m bays, "&amp;I40&amp;" ("&amp;E40&amp;")")</f>
        <v/>
      </c>
      <c r="C40" s="9"/>
      <c r="D40" s="9"/>
      <c r="E40" s="9"/>
      <c r="F40" s="42"/>
      <c r="G40" s="42"/>
      <c r="H40" s="42"/>
      <c r="I40" s="9"/>
      <c r="J40" s="9"/>
      <c r="K40" s="9"/>
      <c r="L40" s="9"/>
      <c r="M40" s="9"/>
      <c r="N40" s="9"/>
      <c r="O40" s="9"/>
      <c r="P40" s="9"/>
      <c r="Q40" s="9"/>
      <c r="R40" s="9"/>
      <c r="S40" s="42"/>
      <c r="T40" s="9"/>
      <c r="U40" s="9"/>
      <c r="V40" s="9"/>
      <c r="W40" s="38"/>
      <c r="X40" s="42"/>
      <c r="Y40" s="9"/>
      <c r="Z40" s="9"/>
      <c r="AA40" s="9"/>
      <c r="AB40" s="42"/>
      <c r="AC40" s="9"/>
      <c r="AD40" s="38"/>
      <c r="AE40" s="9"/>
      <c r="AF40" s="39"/>
      <c r="AG40" s="9"/>
      <c r="AH40" s="9"/>
      <c r="AI40" s="9"/>
      <c r="AJ40" s="9"/>
      <c r="AK40" s="9"/>
      <c r="AL40" s="9"/>
      <c r="AM40" s="9"/>
      <c r="AN40" s="10" t="str">
        <f aca="false">IF(A40="","",SG_Criteria!$B$6&amp;SG_Criteria!$B$12&amp;"\"&amp;A40&amp;"\")</f>
        <v/>
      </c>
      <c r="AO40" s="10" t="str">
        <f aca="false">IF(A40="","",A40&amp;"_CAD.dwg")</f>
        <v/>
      </c>
      <c r="AP40" s="10" t="str">
        <f aca="false">IF(A40="","",A40&amp;"_DWG.pdf")</f>
        <v/>
      </c>
      <c r="AQ40" s="10" t="str">
        <f aca="false">IF(A40="","",IF(AM40="Y",A40&amp;"_STAAD.std","n/a"))</f>
        <v/>
      </c>
      <c r="AR40" s="10" t="str">
        <f aca="false">IF(A40="","",A40&amp;"_CALC.xlsx")</f>
        <v/>
      </c>
      <c r="AS40" s="10" t="str">
        <f aca="false">IF(A40="","",A40&amp;"_CALC.pdf")</f>
        <v/>
      </c>
      <c r="AT40" s="9"/>
      <c r="AU40" s="9"/>
      <c r="AV40" s="39"/>
      <c r="AW40" s="39"/>
      <c r="AX40" s="39"/>
      <c r="AY40" s="39"/>
      <c r="AZ40" s="39"/>
      <c r="BA40" s="12" t="str">
        <f aca="false">IF(A40="","",IF(COUNTIF(Rebar_Schedule!$A$5:$A$2004,A40)=0,"",ROUND(SUMIF(Rebar_Schedule!$A$5:$A$2004,A40,Rebar_Schedule!$K$5:$K$2004),1)))</f>
        <v/>
      </c>
      <c r="BB40" s="33" t="str">
        <f aca="false">IF(A40="","",IF(BA40="","No rebar schedule yet",IF(ABS(BA40-N(AW40))/MAX(N(AW40),1)&gt;SG_Criteria!$B$55,"NOTE: register rebar differs from schedule by "&amp;TEXT(ABS(BA40-N(AW40))/MAX(N(AW40),1),"0%"),"OK")))</f>
        <v/>
      </c>
      <c r="BC40" s="33" t="str">
        <f aca="false">IF(D40="","",IF(LEN(IF(AND(D40&lt;&gt;"High Covered Linkway",G40&lt;SG_Criteria!$B$46),"FAIL: headroom below "&amp;SG_Criteria!$B$46&amp;" m. ","")&amp;IF(AND(D40="High Covered Linkway",G40&lt;SG_Criteria!$B$47),"FAIL: high linkway headroom below "&amp;SG_Criteria!$B$47&amp;" m. ","")&amp;IF(F40&lt;SG_Criteria!$B$48,"FAIL: roof width below "&amp;SG_Criteria!$B$48&amp;" m. ",IF(F40&lt;SG_Criteria!$B$49,"NOTE: not for MRT/LRT or high-traffic routes (min "&amp;SG_Criteria!$B$49&amp;" m). ",""))&amp;IF(AND(W40&lt;&gt;"",W40&lt;SG_Criteria!$B$50),"FAIL: wind speed below "&amp;SG_Criteria!$B$50&amp;" m/s. ","")&amp;IF(AND(X40&lt;&gt;"",X40&lt;SG_Criteria!$B$51),"FAIL: roof fixing pull-out below "&amp;SG_Criteria!$B$51&amp;" kN. ","")&amp;IF(AND(Y40&lt;&gt;"",IFERROR(VALUE(MID(Y40,2,2)),0)&lt;SG_Criteria!$B$52),"FAIL: grade below C"&amp;SG_Criteria!$B$52&amp;". ","")&amp;IF(E40="Non-standard (project design)","NOTE: not an SDRE standard, needs LTA acceptance. ",""))=0,"OK",IF(AND(D40&lt;&gt;"High Covered Linkway",G40&lt;SG_Criteria!$B$46),"FAIL: headroom below "&amp;SG_Criteria!$B$46&amp;" m. ","")&amp;IF(AND(D40="High Covered Linkway",G40&lt;SG_Criteria!$B$47),"FAIL: high linkway headroom below "&amp;SG_Criteria!$B$47&amp;" m. ","")&amp;IF(F40&lt;SG_Criteria!$B$48,"FAIL: roof width below "&amp;SG_Criteria!$B$48&amp;" m. ",IF(F40&lt;SG_Criteria!$B$49,"NOTE: not for MRT/LRT or high-traffic routes (min "&amp;SG_Criteria!$B$49&amp;" m). ",""))&amp;IF(AND(W40&lt;&gt;"",W40&lt;SG_Criteria!$B$50),"FAIL: wind speed below "&amp;SG_Criteria!$B$50&amp;" m/s. ","")&amp;IF(AND(X40&lt;&gt;"",X40&lt;SG_Criteria!$B$51),"FAIL: roof fixing pull-out below "&amp;SG_Criteria!$B$51&amp;" kN. ","")&amp;IF(AND(Y40&lt;&gt;"",IFERROR(VALUE(MID(Y40,2,2)),0)&lt;SG_Criteria!$B$52),"FAIL: grade below C"&amp;SG_Criteria!$B$52&amp;". ","")&amp;IF(E40="Non-standard (project design)","NOTE: not an SDRE standard, needs LTA acceptance. ","")))</f>
        <v/>
      </c>
      <c r="BD40" s="9"/>
      <c r="BE40" s="9"/>
      <c r="BF40" s="9"/>
      <c r="BG40" s="10" t="str">
        <f aca="false">IF(BF40="","",IFERROR(VLOOKUP(BF40,Projects!$A$5:$D$504,2,0),"Ref not in Projects"))</f>
        <v/>
      </c>
      <c r="BH40" s="10" t="str">
        <f aca="false">IF(BF40="","",IFERROR(VLOOKUP(BF40,Projects!$A$5:$D$504,4,0),"Ref not in Projects"))</f>
        <v/>
      </c>
      <c r="BI40" s="9"/>
      <c r="BJ40" s="9"/>
      <c r="BK40" s="9"/>
      <c r="BL40" s="40"/>
      <c r="BM40" s="9"/>
      <c r="BN40" s="40"/>
      <c r="BO40" s="9"/>
      <c r="BP40" s="40"/>
      <c r="BQ40" s="9"/>
      <c r="BR40" s="9"/>
      <c r="BS40" s="9"/>
      <c r="BT40" s="40"/>
      <c r="BU40" s="40"/>
      <c r="BV40" s="36" t="str">
        <f aca="false">IF(BU40="","",EDATE(BU40,SG_Criteria!$B$54*12))</f>
        <v/>
      </c>
      <c r="BW40" s="33" t="str">
        <f aca="true">IF(A40="","",IF(BU40="","NOTE: not reviewed yet",IF(TODAY()&gt;BV40,"NOTE: review overdue","OK")))</f>
        <v/>
      </c>
      <c r="BX40" s="37" t="str">
        <f aca="false">IF(A40="","",ROUND((IF(LEN(D40)&gt;0,1,0)+IF(LEN(E40)&gt;0,1,0)+IF(LEN(F40)&gt;0,1,0)+IF(LEN(G40)&gt;0,1,0)+IF(LEN(H40)&gt;0,1,0)+IF(LEN(I40)&gt;0,1,0)+IF(LEN(J40)&gt;0,1,0)+IF(LEN(K40)&gt;0,1,0)+IF(LEN(N40)&gt;0,1,0)+IF(LEN(O40)&gt;0,1,0)+IF(LEN(W40)&gt;0,1,0)+IF(LEN(X40)&gt;0,1,0)+IF(LEN(Y40)&gt;0,1,0)+IF(LEN(AG40)&gt;0,1,0)+IF(LEN(AI40)&gt;0,1,0)+IF(LEN(AJ40)&gt;0,1,0)+IF(LEN(AK40)&gt;0,1,0)+IF(LEN(AL40)&gt;0,1,0)+IF(LEN(AU40)&gt;0,1,0)+IF(LEN(BF40)&gt;0,1,0)+IF(LEN(BS40)&gt;0,1,0))/21,2))</f>
        <v/>
      </c>
      <c r="BY40" s="10" t="str">
        <f aca="false">IF(D40="","",IF(AND(AJ40="Approved",ISERROR(SEARCH("FAIL",BC40))),"Y","N"))</f>
        <v/>
      </c>
      <c r="BZ40" s="10" t="str">
        <f aca="false">IF(D40="","",D40&amp;"|"&amp;F40&amp;"|"&amp;G40&amp;"|"&amp;BY40)</f>
        <v/>
      </c>
    </row>
    <row r="41" customFormat="false" ht="15" hidden="false" customHeight="false" outlineLevel="0" collapsed="false">
      <c r="A41" s="10" t="str">
        <f aca="false">IF(D41="","","LKW-"&amp;IFERROR(VLOOKUP(D41,Lists!$AQ$4:$AR$17,2,0),"??")&amp;"-W"&amp;TEXT(F41*1000,"0000")&amp;"-H"&amp;TEXT(G41*1000,"0000")&amp;"-B"&amp;TEXT(H41*1000,"0000")&amp;"-"&amp;AI41)</f>
        <v/>
      </c>
      <c r="B41" s="10" t="str">
        <f aca="false">IF(D41="","",D41&amp;", "&amp;F41&amp;" m wide, "&amp;G41&amp;" m headroom, "&amp;H41&amp;" m bays, "&amp;I41&amp;" ("&amp;E41&amp;")")</f>
        <v/>
      </c>
      <c r="C41" s="9"/>
      <c r="D41" s="9"/>
      <c r="E41" s="9"/>
      <c r="F41" s="42"/>
      <c r="G41" s="42"/>
      <c r="H41" s="42"/>
      <c r="I41" s="9"/>
      <c r="J41" s="9"/>
      <c r="K41" s="9"/>
      <c r="L41" s="9"/>
      <c r="M41" s="9"/>
      <c r="N41" s="9"/>
      <c r="O41" s="9"/>
      <c r="P41" s="9"/>
      <c r="Q41" s="9"/>
      <c r="R41" s="9"/>
      <c r="S41" s="42"/>
      <c r="T41" s="9"/>
      <c r="U41" s="9"/>
      <c r="V41" s="9"/>
      <c r="W41" s="38"/>
      <c r="X41" s="42"/>
      <c r="Y41" s="9"/>
      <c r="Z41" s="9"/>
      <c r="AA41" s="9"/>
      <c r="AB41" s="42"/>
      <c r="AC41" s="9"/>
      <c r="AD41" s="38"/>
      <c r="AE41" s="9"/>
      <c r="AF41" s="39"/>
      <c r="AG41" s="9"/>
      <c r="AH41" s="9"/>
      <c r="AI41" s="9"/>
      <c r="AJ41" s="9"/>
      <c r="AK41" s="9"/>
      <c r="AL41" s="9"/>
      <c r="AM41" s="9"/>
      <c r="AN41" s="10" t="str">
        <f aca="false">IF(A41="","",SG_Criteria!$B$6&amp;SG_Criteria!$B$12&amp;"\"&amp;A41&amp;"\")</f>
        <v/>
      </c>
      <c r="AO41" s="10" t="str">
        <f aca="false">IF(A41="","",A41&amp;"_CAD.dwg")</f>
        <v/>
      </c>
      <c r="AP41" s="10" t="str">
        <f aca="false">IF(A41="","",A41&amp;"_DWG.pdf")</f>
        <v/>
      </c>
      <c r="AQ41" s="10" t="str">
        <f aca="false">IF(A41="","",IF(AM41="Y",A41&amp;"_STAAD.std","n/a"))</f>
        <v/>
      </c>
      <c r="AR41" s="10" t="str">
        <f aca="false">IF(A41="","",A41&amp;"_CALC.xlsx")</f>
        <v/>
      </c>
      <c r="AS41" s="10" t="str">
        <f aca="false">IF(A41="","",A41&amp;"_CALC.pdf")</f>
        <v/>
      </c>
      <c r="AT41" s="9"/>
      <c r="AU41" s="9"/>
      <c r="AV41" s="39"/>
      <c r="AW41" s="39"/>
      <c r="AX41" s="39"/>
      <c r="AY41" s="39"/>
      <c r="AZ41" s="39"/>
      <c r="BA41" s="12" t="str">
        <f aca="false">IF(A41="","",IF(COUNTIF(Rebar_Schedule!$A$5:$A$2004,A41)=0,"",ROUND(SUMIF(Rebar_Schedule!$A$5:$A$2004,A41,Rebar_Schedule!$K$5:$K$2004),1)))</f>
        <v/>
      </c>
      <c r="BB41" s="33" t="str">
        <f aca="false">IF(A41="","",IF(BA41="","No rebar schedule yet",IF(ABS(BA41-N(AW41))/MAX(N(AW41),1)&gt;SG_Criteria!$B$55,"NOTE: register rebar differs from schedule by "&amp;TEXT(ABS(BA41-N(AW41))/MAX(N(AW41),1),"0%"),"OK")))</f>
        <v/>
      </c>
      <c r="BC41" s="33" t="str">
        <f aca="false">IF(D41="","",IF(LEN(IF(AND(D41&lt;&gt;"High Covered Linkway",G41&lt;SG_Criteria!$B$46),"FAIL: headroom below "&amp;SG_Criteria!$B$46&amp;" m. ","")&amp;IF(AND(D41="High Covered Linkway",G41&lt;SG_Criteria!$B$47),"FAIL: high linkway headroom below "&amp;SG_Criteria!$B$47&amp;" m. ","")&amp;IF(F41&lt;SG_Criteria!$B$48,"FAIL: roof width below "&amp;SG_Criteria!$B$48&amp;" m. ",IF(F41&lt;SG_Criteria!$B$49,"NOTE: not for MRT/LRT or high-traffic routes (min "&amp;SG_Criteria!$B$49&amp;" m). ",""))&amp;IF(AND(W41&lt;&gt;"",W41&lt;SG_Criteria!$B$50),"FAIL: wind speed below "&amp;SG_Criteria!$B$50&amp;" m/s. ","")&amp;IF(AND(X41&lt;&gt;"",X41&lt;SG_Criteria!$B$51),"FAIL: roof fixing pull-out below "&amp;SG_Criteria!$B$51&amp;" kN. ","")&amp;IF(AND(Y41&lt;&gt;"",IFERROR(VALUE(MID(Y41,2,2)),0)&lt;SG_Criteria!$B$52),"FAIL: grade below C"&amp;SG_Criteria!$B$52&amp;". ","")&amp;IF(E41="Non-standard (project design)","NOTE: not an SDRE standard, needs LTA acceptance. ",""))=0,"OK",IF(AND(D41&lt;&gt;"High Covered Linkway",G41&lt;SG_Criteria!$B$46),"FAIL: headroom below "&amp;SG_Criteria!$B$46&amp;" m. ","")&amp;IF(AND(D41="High Covered Linkway",G41&lt;SG_Criteria!$B$47),"FAIL: high linkway headroom below "&amp;SG_Criteria!$B$47&amp;" m. ","")&amp;IF(F41&lt;SG_Criteria!$B$48,"FAIL: roof width below "&amp;SG_Criteria!$B$48&amp;" m. ",IF(F41&lt;SG_Criteria!$B$49,"NOTE: not for MRT/LRT or high-traffic routes (min "&amp;SG_Criteria!$B$49&amp;" m). ",""))&amp;IF(AND(W41&lt;&gt;"",W41&lt;SG_Criteria!$B$50),"FAIL: wind speed below "&amp;SG_Criteria!$B$50&amp;" m/s. ","")&amp;IF(AND(X41&lt;&gt;"",X41&lt;SG_Criteria!$B$51),"FAIL: roof fixing pull-out below "&amp;SG_Criteria!$B$51&amp;" kN. ","")&amp;IF(AND(Y41&lt;&gt;"",IFERROR(VALUE(MID(Y41,2,2)),0)&lt;SG_Criteria!$B$52),"FAIL: grade below C"&amp;SG_Criteria!$B$52&amp;". ","")&amp;IF(E41="Non-standard (project design)","NOTE: not an SDRE standard, needs LTA acceptance. ","")))</f>
        <v/>
      </c>
      <c r="BD41" s="9"/>
      <c r="BE41" s="9"/>
      <c r="BF41" s="9"/>
      <c r="BG41" s="10" t="str">
        <f aca="false">IF(BF41="","",IFERROR(VLOOKUP(BF41,Projects!$A$5:$D$504,2,0),"Ref not in Projects"))</f>
        <v/>
      </c>
      <c r="BH41" s="10" t="str">
        <f aca="false">IF(BF41="","",IFERROR(VLOOKUP(BF41,Projects!$A$5:$D$504,4,0),"Ref not in Projects"))</f>
        <v/>
      </c>
      <c r="BI41" s="9"/>
      <c r="BJ41" s="9"/>
      <c r="BK41" s="9"/>
      <c r="BL41" s="40"/>
      <c r="BM41" s="9"/>
      <c r="BN41" s="40"/>
      <c r="BO41" s="9"/>
      <c r="BP41" s="40"/>
      <c r="BQ41" s="9"/>
      <c r="BR41" s="9"/>
      <c r="BS41" s="9"/>
      <c r="BT41" s="40"/>
      <c r="BU41" s="40"/>
      <c r="BV41" s="36" t="str">
        <f aca="false">IF(BU41="","",EDATE(BU41,SG_Criteria!$B$54*12))</f>
        <v/>
      </c>
      <c r="BW41" s="33" t="str">
        <f aca="true">IF(A41="","",IF(BU41="","NOTE: not reviewed yet",IF(TODAY()&gt;BV41,"NOTE: review overdue","OK")))</f>
        <v/>
      </c>
      <c r="BX41" s="37" t="str">
        <f aca="false">IF(A41="","",ROUND((IF(LEN(D41)&gt;0,1,0)+IF(LEN(E41)&gt;0,1,0)+IF(LEN(F41)&gt;0,1,0)+IF(LEN(G41)&gt;0,1,0)+IF(LEN(H41)&gt;0,1,0)+IF(LEN(I41)&gt;0,1,0)+IF(LEN(J41)&gt;0,1,0)+IF(LEN(K41)&gt;0,1,0)+IF(LEN(N41)&gt;0,1,0)+IF(LEN(O41)&gt;0,1,0)+IF(LEN(W41)&gt;0,1,0)+IF(LEN(X41)&gt;0,1,0)+IF(LEN(Y41)&gt;0,1,0)+IF(LEN(AG41)&gt;0,1,0)+IF(LEN(AI41)&gt;0,1,0)+IF(LEN(AJ41)&gt;0,1,0)+IF(LEN(AK41)&gt;0,1,0)+IF(LEN(AL41)&gt;0,1,0)+IF(LEN(AU41)&gt;0,1,0)+IF(LEN(BF41)&gt;0,1,0)+IF(LEN(BS41)&gt;0,1,0))/21,2))</f>
        <v/>
      </c>
      <c r="BY41" s="10" t="str">
        <f aca="false">IF(D41="","",IF(AND(AJ41="Approved",ISERROR(SEARCH("FAIL",BC41))),"Y","N"))</f>
        <v/>
      </c>
      <c r="BZ41" s="10" t="str">
        <f aca="false">IF(D41="","",D41&amp;"|"&amp;F41&amp;"|"&amp;G41&amp;"|"&amp;BY41)</f>
        <v/>
      </c>
    </row>
    <row r="42" customFormat="false" ht="15" hidden="false" customHeight="false" outlineLevel="0" collapsed="false">
      <c r="A42" s="10" t="str">
        <f aca="false">IF(D42="","","LKW-"&amp;IFERROR(VLOOKUP(D42,Lists!$AQ$4:$AR$17,2,0),"??")&amp;"-W"&amp;TEXT(F42*1000,"0000")&amp;"-H"&amp;TEXT(G42*1000,"0000")&amp;"-B"&amp;TEXT(H42*1000,"0000")&amp;"-"&amp;AI42)</f>
        <v/>
      </c>
      <c r="B42" s="10" t="str">
        <f aca="false">IF(D42="","",D42&amp;", "&amp;F42&amp;" m wide, "&amp;G42&amp;" m headroom, "&amp;H42&amp;" m bays, "&amp;I42&amp;" ("&amp;E42&amp;")")</f>
        <v/>
      </c>
      <c r="C42" s="9"/>
      <c r="D42" s="9"/>
      <c r="E42" s="9"/>
      <c r="F42" s="42"/>
      <c r="G42" s="42"/>
      <c r="H42" s="42"/>
      <c r="I42" s="9"/>
      <c r="J42" s="9"/>
      <c r="K42" s="9"/>
      <c r="L42" s="9"/>
      <c r="M42" s="9"/>
      <c r="N42" s="9"/>
      <c r="O42" s="9"/>
      <c r="P42" s="9"/>
      <c r="Q42" s="9"/>
      <c r="R42" s="9"/>
      <c r="S42" s="42"/>
      <c r="T42" s="9"/>
      <c r="U42" s="9"/>
      <c r="V42" s="9"/>
      <c r="W42" s="38"/>
      <c r="X42" s="42"/>
      <c r="Y42" s="9"/>
      <c r="Z42" s="9"/>
      <c r="AA42" s="9"/>
      <c r="AB42" s="42"/>
      <c r="AC42" s="9"/>
      <c r="AD42" s="38"/>
      <c r="AE42" s="9"/>
      <c r="AF42" s="39"/>
      <c r="AG42" s="9"/>
      <c r="AH42" s="9"/>
      <c r="AI42" s="9"/>
      <c r="AJ42" s="9"/>
      <c r="AK42" s="9"/>
      <c r="AL42" s="9"/>
      <c r="AM42" s="9"/>
      <c r="AN42" s="10" t="str">
        <f aca="false">IF(A42="","",SG_Criteria!$B$6&amp;SG_Criteria!$B$12&amp;"\"&amp;A42&amp;"\")</f>
        <v/>
      </c>
      <c r="AO42" s="10" t="str">
        <f aca="false">IF(A42="","",A42&amp;"_CAD.dwg")</f>
        <v/>
      </c>
      <c r="AP42" s="10" t="str">
        <f aca="false">IF(A42="","",A42&amp;"_DWG.pdf")</f>
        <v/>
      </c>
      <c r="AQ42" s="10" t="str">
        <f aca="false">IF(A42="","",IF(AM42="Y",A42&amp;"_STAAD.std","n/a"))</f>
        <v/>
      </c>
      <c r="AR42" s="10" t="str">
        <f aca="false">IF(A42="","",A42&amp;"_CALC.xlsx")</f>
        <v/>
      </c>
      <c r="AS42" s="10" t="str">
        <f aca="false">IF(A42="","",A42&amp;"_CALC.pdf")</f>
        <v/>
      </c>
      <c r="AT42" s="9"/>
      <c r="AU42" s="9"/>
      <c r="AV42" s="39"/>
      <c r="AW42" s="39"/>
      <c r="AX42" s="39"/>
      <c r="AY42" s="39"/>
      <c r="AZ42" s="39"/>
      <c r="BA42" s="12" t="str">
        <f aca="false">IF(A42="","",IF(COUNTIF(Rebar_Schedule!$A$5:$A$2004,A42)=0,"",ROUND(SUMIF(Rebar_Schedule!$A$5:$A$2004,A42,Rebar_Schedule!$K$5:$K$2004),1)))</f>
        <v/>
      </c>
      <c r="BB42" s="33" t="str">
        <f aca="false">IF(A42="","",IF(BA42="","No rebar schedule yet",IF(ABS(BA42-N(AW42))/MAX(N(AW42),1)&gt;SG_Criteria!$B$55,"NOTE: register rebar differs from schedule by "&amp;TEXT(ABS(BA42-N(AW42))/MAX(N(AW42),1),"0%"),"OK")))</f>
        <v/>
      </c>
      <c r="BC42" s="33" t="str">
        <f aca="false">IF(D42="","",IF(LEN(IF(AND(D42&lt;&gt;"High Covered Linkway",G42&lt;SG_Criteria!$B$46),"FAIL: headroom below "&amp;SG_Criteria!$B$46&amp;" m. ","")&amp;IF(AND(D42="High Covered Linkway",G42&lt;SG_Criteria!$B$47),"FAIL: high linkway headroom below "&amp;SG_Criteria!$B$47&amp;" m. ","")&amp;IF(F42&lt;SG_Criteria!$B$48,"FAIL: roof width below "&amp;SG_Criteria!$B$48&amp;" m. ",IF(F42&lt;SG_Criteria!$B$49,"NOTE: not for MRT/LRT or high-traffic routes (min "&amp;SG_Criteria!$B$49&amp;" m). ",""))&amp;IF(AND(W42&lt;&gt;"",W42&lt;SG_Criteria!$B$50),"FAIL: wind speed below "&amp;SG_Criteria!$B$50&amp;" m/s. ","")&amp;IF(AND(X42&lt;&gt;"",X42&lt;SG_Criteria!$B$51),"FAIL: roof fixing pull-out below "&amp;SG_Criteria!$B$51&amp;" kN. ","")&amp;IF(AND(Y42&lt;&gt;"",IFERROR(VALUE(MID(Y42,2,2)),0)&lt;SG_Criteria!$B$52),"FAIL: grade below C"&amp;SG_Criteria!$B$52&amp;". ","")&amp;IF(E42="Non-standard (project design)","NOTE: not an SDRE standard, needs LTA acceptance. ",""))=0,"OK",IF(AND(D42&lt;&gt;"High Covered Linkway",G42&lt;SG_Criteria!$B$46),"FAIL: headroom below "&amp;SG_Criteria!$B$46&amp;" m. ","")&amp;IF(AND(D42="High Covered Linkway",G42&lt;SG_Criteria!$B$47),"FAIL: high linkway headroom below "&amp;SG_Criteria!$B$47&amp;" m. ","")&amp;IF(F42&lt;SG_Criteria!$B$48,"FAIL: roof width below "&amp;SG_Criteria!$B$48&amp;" m. ",IF(F42&lt;SG_Criteria!$B$49,"NOTE: not for MRT/LRT or high-traffic routes (min "&amp;SG_Criteria!$B$49&amp;" m). ",""))&amp;IF(AND(W42&lt;&gt;"",W42&lt;SG_Criteria!$B$50),"FAIL: wind speed below "&amp;SG_Criteria!$B$50&amp;" m/s. ","")&amp;IF(AND(X42&lt;&gt;"",X42&lt;SG_Criteria!$B$51),"FAIL: roof fixing pull-out below "&amp;SG_Criteria!$B$51&amp;" kN. ","")&amp;IF(AND(Y42&lt;&gt;"",IFERROR(VALUE(MID(Y42,2,2)),0)&lt;SG_Criteria!$B$52),"FAIL: grade below C"&amp;SG_Criteria!$B$52&amp;". ","")&amp;IF(E42="Non-standard (project design)","NOTE: not an SDRE standard, needs LTA acceptance. ","")))</f>
        <v/>
      </c>
      <c r="BD42" s="9"/>
      <c r="BE42" s="9"/>
      <c r="BF42" s="9"/>
      <c r="BG42" s="10" t="str">
        <f aca="false">IF(BF42="","",IFERROR(VLOOKUP(BF42,Projects!$A$5:$D$504,2,0),"Ref not in Projects"))</f>
        <v/>
      </c>
      <c r="BH42" s="10" t="str">
        <f aca="false">IF(BF42="","",IFERROR(VLOOKUP(BF42,Projects!$A$5:$D$504,4,0),"Ref not in Projects"))</f>
        <v/>
      </c>
      <c r="BI42" s="9"/>
      <c r="BJ42" s="9"/>
      <c r="BK42" s="9"/>
      <c r="BL42" s="40"/>
      <c r="BM42" s="9"/>
      <c r="BN42" s="40"/>
      <c r="BO42" s="9"/>
      <c r="BP42" s="40"/>
      <c r="BQ42" s="9"/>
      <c r="BR42" s="9"/>
      <c r="BS42" s="9"/>
      <c r="BT42" s="40"/>
      <c r="BU42" s="40"/>
      <c r="BV42" s="36" t="str">
        <f aca="false">IF(BU42="","",EDATE(BU42,SG_Criteria!$B$54*12))</f>
        <v/>
      </c>
      <c r="BW42" s="33" t="str">
        <f aca="true">IF(A42="","",IF(BU42="","NOTE: not reviewed yet",IF(TODAY()&gt;BV42,"NOTE: review overdue","OK")))</f>
        <v/>
      </c>
      <c r="BX42" s="37" t="str">
        <f aca="false">IF(A42="","",ROUND((IF(LEN(D42)&gt;0,1,0)+IF(LEN(E42)&gt;0,1,0)+IF(LEN(F42)&gt;0,1,0)+IF(LEN(G42)&gt;0,1,0)+IF(LEN(H42)&gt;0,1,0)+IF(LEN(I42)&gt;0,1,0)+IF(LEN(J42)&gt;0,1,0)+IF(LEN(K42)&gt;0,1,0)+IF(LEN(N42)&gt;0,1,0)+IF(LEN(O42)&gt;0,1,0)+IF(LEN(W42)&gt;0,1,0)+IF(LEN(X42)&gt;0,1,0)+IF(LEN(Y42)&gt;0,1,0)+IF(LEN(AG42)&gt;0,1,0)+IF(LEN(AI42)&gt;0,1,0)+IF(LEN(AJ42)&gt;0,1,0)+IF(LEN(AK42)&gt;0,1,0)+IF(LEN(AL42)&gt;0,1,0)+IF(LEN(AU42)&gt;0,1,0)+IF(LEN(BF42)&gt;0,1,0)+IF(LEN(BS42)&gt;0,1,0))/21,2))</f>
        <v/>
      </c>
      <c r="BY42" s="10" t="str">
        <f aca="false">IF(D42="","",IF(AND(AJ42="Approved",ISERROR(SEARCH("FAIL",BC42))),"Y","N"))</f>
        <v/>
      </c>
      <c r="BZ42" s="10" t="str">
        <f aca="false">IF(D42="","",D42&amp;"|"&amp;F42&amp;"|"&amp;G42&amp;"|"&amp;BY42)</f>
        <v/>
      </c>
    </row>
    <row r="43" customFormat="false" ht="15" hidden="false" customHeight="false" outlineLevel="0" collapsed="false">
      <c r="A43" s="10" t="str">
        <f aca="false">IF(D43="","","LKW-"&amp;IFERROR(VLOOKUP(D43,Lists!$AQ$4:$AR$17,2,0),"??")&amp;"-W"&amp;TEXT(F43*1000,"0000")&amp;"-H"&amp;TEXT(G43*1000,"0000")&amp;"-B"&amp;TEXT(H43*1000,"0000")&amp;"-"&amp;AI43)</f>
        <v/>
      </c>
      <c r="B43" s="10" t="str">
        <f aca="false">IF(D43="","",D43&amp;", "&amp;F43&amp;" m wide, "&amp;G43&amp;" m headroom, "&amp;H43&amp;" m bays, "&amp;I43&amp;" ("&amp;E43&amp;")")</f>
        <v/>
      </c>
      <c r="C43" s="9"/>
      <c r="D43" s="9"/>
      <c r="E43" s="9"/>
      <c r="F43" s="42"/>
      <c r="G43" s="42"/>
      <c r="H43" s="42"/>
      <c r="I43" s="9"/>
      <c r="J43" s="9"/>
      <c r="K43" s="9"/>
      <c r="L43" s="9"/>
      <c r="M43" s="9"/>
      <c r="N43" s="9"/>
      <c r="O43" s="9"/>
      <c r="P43" s="9"/>
      <c r="Q43" s="9"/>
      <c r="R43" s="9"/>
      <c r="S43" s="42"/>
      <c r="T43" s="9"/>
      <c r="U43" s="9"/>
      <c r="V43" s="9"/>
      <c r="W43" s="38"/>
      <c r="X43" s="42"/>
      <c r="Y43" s="9"/>
      <c r="Z43" s="9"/>
      <c r="AA43" s="9"/>
      <c r="AB43" s="42"/>
      <c r="AC43" s="9"/>
      <c r="AD43" s="38"/>
      <c r="AE43" s="9"/>
      <c r="AF43" s="39"/>
      <c r="AG43" s="9"/>
      <c r="AH43" s="9"/>
      <c r="AI43" s="9"/>
      <c r="AJ43" s="9"/>
      <c r="AK43" s="9"/>
      <c r="AL43" s="9"/>
      <c r="AM43" s="9"/>
      <c r="AN43" s="10" t="str">
        <f aca="false">IF(A43="","",SG_Criteria!$B$6&amp;SG_Criteria!$B$12&amp;"\"&amp;A43&amp;"\")</f>
        <v/>
      </c>
      <c r="AO43" s="10" t="str">
        <f aca="false">IF(A43="","",A43&amp;"_CAD.dwg")</f>
        <v/>
      </c>
      <c r="AP43" s="10" t="str">
        <f aca="false">IF(A43="","",A43&amp;"_DWG.pdf")</f>
        <v/>
      </c>
      <c r="AQ43" s="10" t="str">
        <f aca="false">IF(A43="","",IF(AM43="Y",A43&amp;"_STAAD.std","n/a"))</f>
        <v/>
      </c>
      <c r="AR43" s="10" t="str">
        <f aca="false">IF(A43="","",A43&amp;"_CALC.xlsx")</f>
        <v/>
      </c>
      <c r="AS43" s="10" t="str">
        <f aca="false">IF(A43="","",A43&amp;"_CALC.pdf")</f>
        <v/>
      </c>
      <c r="AT43" s="9"/>
      <c r="AU43" s="9"/>
      <c r="AV43" s="39"/>
      <c r="AW43" s="39"/>
      <c r="AX43" s="39"/>
      <c r="AY43" s="39"/>
      <c r="AZ43" s="39"/>
      <c r="BA43" s="12" t="str">
        <f aca="false">IF(A43="","",IF(COUNTIF(Rebar_Schedule!$A$5:$A$2004,A43)=0,"",ROUND(SUMIF(Rebar_Schedule!$A$5:$A$2004,A43,Rebar_Schedule!$K$5:$K$2004),1)))</f>
        <v/>
      </c>
      <c r="BB43" s="33" t="str">
        <f aca="false">IF(A43="","",IF(BA43="","No rebar schedule yet",IF(ABS(BA43-N(AW43))/MAX(N(AW43),1)&gt;SG_Criteria!$B$55,"NOTE: register rebar differs from schedule by "&amp;TEXT(ABS(BA43-N(AW43))/MAX(N(AW43),1),"0%"),"OK")))</f>
        <v/>
      </c>
      <c r="BC43" s="33" t="str">
        <f aca="false">IF(D43="","",IF(LEN(IF(AND(D43&lt;&gt;"High Covered Linkway",G43&lt;SG_Criteria!$B$46),"FAIL: headroom below "&amp;SG_Criteria!$B$46&amp;" m. ","")&amp;IF(AND(D43="High Covered Linkway",G43&lt;SG_Criteria!$B$47),"FAIL: high linkway headroom below "&amp;SG_Criteria!$B$47&amp;" m. ","")&amp;IF(F43&lt;SG_Criteria!$B$48,"FAIL: roof width below "&amp;SG_Criteria!$B$48&amp;" m. ",IF(F43&lt;SG_Criteria!$B$49,"NOTE: not for MRT/LRT or high-traffic routes (min "&amp;SG_Criteria!$B$49&amp;" m). ",""))&amp;IF(AND(W43&lt;&gt;"",W43&lt;SG_Criteria!$B$50),"FAIL: wind speed below "&amp;SG_Criteria!$B$50&amp;" m/s. ","")&amp;IF(AND(X43&lt;&gt;"",X43&lt;SG_Criteria!$B$51),"FAIL: roof fixing pull-out below "&amp;SG_Criteria!$B$51&amp;" kN. ","")&amp;IF(AND(Y43&lt;&gt;"",IFERROR(VALUE(MID(Y43,2,2)),0)&lt;SG_Criteria!$B$52),"FAIL: grade below C"&amp;SG_Criteria!$B$52&amp;". ","")&amp;IF(E43="Non-standard (project design)","NOTE: not an SDRE standard, needs LTA acceptance. ",""))=0,"OK",IF(AND(D43&lt;&gt;"High Covered Linkway",G43&lt;SG_Criteria!$B$46),"FAIL: headroom below "&amp;SG_Criteria!$B$46&amp;" m. ","")&amp;IF(AND(D43="High Covered Linkway",G43&lt;SG_Criteria!$B$47),"FAIL: high linkway headroom below "&amp;SG_Criteria!$B$47&amp;" m. ","")&amp;IF(F43&lt;SG_Criteria!$B$48,"FAIL: roof width below "&amp;SG_Criteria!$B$48&amp;" m. ",IF(F43&lt;SG_Criteria!$B$49,"NOTE: not for MRT/LRT or high-traffic routes (min "&amp;SG_Criteria!$B$49&amp;" m). ",""))&amp;IF(AND(W43&lt;&gt;"",W43&lt;SG_Criteria!$B$50),"FAIL: wind speed below "&amp;SG_Criteria!$B$50&amp;" m/s. ","")&amp;IF(AND(X43&lt;&gt;"",X43&lt;SG_Criteria!$B$51),"FAIL: roof fixing pull-out below "&amp;SG_Criteria!$B$51&amp;" kN. ","")&amp;IF(AND(Y43&lt;&gt;"",IFERROR(VALUE(MID(Y43,2,2)),0)&lt;SG_Criteria!$B$52),"FAIL: grade below C"&amp;SG_Criteria!$B$52&amp;". ","")&amp;IF(E43="Non-standard (project design)","NOTE: not an SDRE standard, needs LTA acceptance. ","")))</f>
        <v/>
      </c>
      <c r="BD43" s="9"/>
      <c r="BE43" s="9"/>
      <c r="BF43" s="9"/>
      <c r="BG43" s="10" t="str">
        <f aca="false">IF(BF43="","",IFERROR(VLOOKUP(BF43,Projects!$A$5:$D$504,2,0),"Ref not in Projects"))</f>
        <v/>
      </c>
      <c r="BH43" s="10" t="str">
        <f aca="false">IF(BF43="","",IFERROR(VLOOKUP(BF43,Projects!$A$5:$D$504,4,0),"Ref not in Projects"))</f>
        <v/>
      </c>
      <c r="BI43" s="9"/>
      <c r="BJ43" s="9"/>
      <c r="BK43" s="9"/>
      <c r="BL43" s="40"/>
      <c r="BM43" s="9"/>
      <c r="BN43" s="40"/>
      <c r="BO43" s="9"/>
      <c r="BP43" s="40"/>
      <c r="BQ43" s="9"/>
      <c r="BR43" s="9"/>
      <c r="BS43" s="9"/>
      <c r="BT43" s="40"/>
      <c r="BU43" s="40"/>
      <c r="BV43" s="36" t="str">
        <f aca="false">IF(BU43="","",EDATE(BU43,SG_Criteria!$B$54*12))</f>
        <v/>
      </c>
      <c r="BW43" s="33" t="str">
        <f aca="true">IF(A43="","",IF(BU43="","NOTE: not reviewed yet",IF(TODAY()&gt;BV43,"NOTE: review overdue","OK")))</f>
        <v/>
      </c>
      <c r="BX43" s="37" t="str">
        <f aca="false">IF(A43="","",ROUND((IF(LEN(D43)&gt;0,1,0)+IF(LEN(E43)&gt;0,1,0)+IF(LEN(F43)&gt;0,1,0)+IF(LEN(G43)&gt;0,1,0)+IF(LEN(H43)&gt;0,1,0)+IF(LEN(I43)&gt;0,1,0)+IF(LEN(J43)&gt;0,1,0)+IF(LEN(K43)&gt;0,1,0)+IF(LEN(N43)&gt;0,1,0)+IF(LEN(O43)&gt;0,1,0)+IF(LEN(W43)&gt;0,1,0)+IF(LEN(X43)&gt;0,1,0)+IF(LEN(Y43)&gt;0,1,0)+IF(LEN(AG43)&gt;0,1,0)+IF(LEN(AI43)&gt;0,1,0)+IF(LEN(AJ43)&gt;0,1,0)+IF(LEN(AK43)&gt;0,1,0)+IF(LEN(AL43)&gt;0,1,0)+IF(LEN(AU43)&gt;0,1,0)+IF(LEN(BF43)&gt;0,1,0)+IF(LEN(BS43)&gt;0,1,0))/21,2))</f>
        <v/>
      </c>
      <c r="BY43" s="10" t="str">
        <f aca="false">IF(D43="","",IF(AND(AJ43="Approved",ISERROR(SEARCH("FAIL",BC43))),"Y","N"))</f>
        <v/>
      </c>
      <c r="BZ43" s="10" t="str">
        <f aca="false">IF(D43="","",D43&amp;"|"&amp;F43&amp;"|"&amp;G43&amp;"|"&amp;BY43)</f>
        <v/>
      </c>
    </row>
    <row r="44" customFormat="false" ht="15" hidden="false" customHeight="false" outlineLevel="0" collapsed="false">
      <c r="A44" s="10" t="str">
        <f aca="false">IF(D44="","","LKW-"&amp;IFERROR(VLOOKUP(D44,Lists!$AQ$4:$AR$17,2,0),"??")&amp;"-W"&amp;TEXT(F44*1000,"0000")&amp;"-H"&amp;TEXT(G44*1000,"0000")&amp;"-B"&amp;TEXT(H44*1000,"0000")&amp;"-"&amp;AI44)</f>
        <v/>
      </c>
      <c r="B44" s="10" t="str">
        <f aca="false">IF(D44="","",D44&amp;", "&amp;F44&amp;" m wide, "&amp;G44&amp;" m headroom, "&amp;H44&amp;" m bays, "&amp;I44&amp;" ("&amp;E44&amp;")")</f>
        <v/>
      </c>
      <c r="C44" s="9"/>
      <c r="D44" s="9"/>
      <c r="E44" s="9"/>
      <c r="F44" s="42"/>
      <c r="G44" s="42"/>
      <c r="H44" s="42"/>
      <c r="I44" s="9"/>
      <c r="J44" s="9"/>
      <c r="K44" s="9"/>
      <c r="L44" s="9"/>
      <c r="M44" s="9"/>
      <c r="N44" s="9"/>
      <c r="O44" s="9"/>
      <c r="P44" s="9"/>
      <c r="Q44" s="9"/>
      <c r="R44" s="9"/>
      <c r="S44" s="42"/>
      <c r="T44" s="9"/>
      <c r="U44" s="9"/>
      <c r="V44" s="9"/>
      <c r="W44" s="38"/>
      <c r="X44" s="42"/>
      <c r="Y44" s="9"/>
      <c r="Z44" s="9"/>
      <c r="AA44" s="9"/>
      <c r="AB44" s="42"/>
      <c r="AC44" s="9"/>
      <c r="AD44" s="38"/>
      <c r="AE44" s="9"/>
      <c r="AF44" s="39"/>
      <c r="AG44" s="9"/>
      <c r="AH44" s="9"/>
      <c r="AI44" s="9"/>
      <c r="AJ44" s="9"/>
      <c r="AK44" s="9"/>
      <c r="AL44" s="9"/>
      <c r="AM44" s="9"/>
      <c r="AN44" s="10" t="str">
        <f aca="false">IF(A44="","",SG_Criteria!$B$6&amp;SG_Criteria!$B$12&amp;"\"&amp;A44&amp;"\")</f>
        <v/>
      </c>
      <c r="AO44" s="10" t="str">
        <f aca="false">IF(A44="","",A44&amp;"_CAD.dwg")</f>
        <v/>
      </c>
      <c r="AP44" s="10" t="str">
        <f aca="false">IF(A44="","",A44&amp;"_DWG.pdf")</f>
        <v/>
      </c>
      <c r="AQ44" s="10" t="str">
        <f aca="false">IF(A44="","",IF(AM44="Y",A44&amp;"_STAAD.std","n/a"))</f>
        <v/>
      </c>
      <c r="AR44" s="10" t="str">
        <f aca="false">IF(A44="","",A44&amp;"_CALC.xlsx")</f>
        <v/>
      </c>
      <c r="AS44" s="10" t="str">
        <f aca="false">IF(A44="","",A44&amp;"_CALC.pdf")</f>
        <v/>
      </c>
      <c r="AT44" s="9"/>
      <c r="AU44" s="9"/>
      <c r="AV44" s="39"/>
      <c r="AW44" s="39"/>
      <c r="AX44" s="39"/>
      <c r="AY44" s="39"/>
      <c r="AZ44" s="39"/>
      <c r="BA44" s="12" t="str">
        <f aca="false">IF(A44="","",IF(COUNTIF(Rebar_Schedule!$A$5:$A$2004,A44)=0,"",ROUND(SUMIF(Rebar_Schedule!$A$5:$A$2004,A44,Rebar_Schedule!$K$5:$K$2004),1)))</f>
        <v/>
      </c>
      <c r="BB44" s="33" t="str">
        <f aca="false">IF(A44="","",IF(BA44="","No rebar schedule yet",IF(ABS(BA44-N(AW44))/MAX(N(AW44),1)&gt;SG_Criteria!$B$55,"NOTE: register rebar differs from schedule by "&amp;TEXT(ABS(BA44-N(AW44))/MAX(N(AW44),1),"0%"),"OK")))</f>
        <v/>
      </c>
      <c r="BC44" s="33" t="str">
        <f aca="false">IF(D44="","",IF(LEN(IF(AND(D44&lt;&gt;"High Covered Linkway",G44&lt;SG_Criteria!$B$46),"FAIL: headroom below "&amp;SG_Criteria!$B$46&amp;" m. ","")&amp;IF(AND(D44="High Covered Linkway",G44&lt;SG_Criteria!$B$47),"FAIL: high linkway headroom below "&amp;SG_Criteria!$B$47&amp;" m. ","")&amp;IF(F44&lt;SG_Criteria!$B$48,"FAIL: roof width below "&amp;SG_Criteria!$B$48&amp;" m. ",IF(F44&lt;SG_Criteria!$B$49,"NOTE: not for MRT/LRT or high-traffic routes (min "&amp;SG_Criteria!$B$49&amp;" m). ",""))&amp;IF(AND(W44&lt;&gt;"",W44&lt;SG_Criteria!$B$50),"FAIL: wind speed below "&amp;SG_Criteria!$B$50&amp;" m/s. ","")&amp;IF(AND(X44&lt;&gt;"",X44&lt;SG_Criteria!$B$51),"FAIL: roof fixing pull-out below "&amp;SG_Criteria!$B$51&amp;" kN. ","")&amp;IF(AND(Y44&lt;&gt;"",IFERROR(VALUE(MID(Y44,2,2)),0)&lt;SG_Criteria!$B$52),"FAIL: grade below C"&amp;SG_Criteria!$B$52&amp;". ","")&amp;IF(E44="Non-standard (project design)","NOTE: not an SDRE standard, needs LTA acceptance. ",""))=0,"OK",IF(AND(D44&lt;&gt;"High Covered Linkway",G44&lt;SG_Criteria!$B$46),"FAIL: headroom below "&amp;SG_Criteria!$B$46&amp;" m. ","")&amp;IF(AND(D44="High Covered Linkway",G44&lt;SG_Criteria!$B$47),"FAIL: high linkway headroom below "&amp;SG_Criteria!$B$47&amp;" m. ","")&amp;IF(F44&lt;SG_Criteria!$B$48,"FAIL: roof width below "&amp;SG_Criteria!$B$48&amp;" m. ",IF(F44&lt;SG_Criteria!$B$49,"NOTE: not for MRT/LRT or high-traffic routes (min "&amp;SG_Criteria!$B$49&amp;" m). ",""))&amp;IF(AND(W44&lt;&gt;"",W44&lt;SG_Criteria!$B$50),"FAIL: wind speed below "&amp;SG_Criteria!$B$50&amp;" m/s. ","")&amp;IF(AND(X44&lt;&gt;"",X44&lt;SG_Criteria!$B$51),"FAIL: roof fixing pull-out below "&amp;SG_Criteria!$B$51&amp;" kN. ","")&amp;IF(AND(Y44&lt;&gt;"",IFERROR(VALUE(MID(Y44,2,2)),0)&lt;SG_Criteria!$B$52),"FAIL: grade below C"&amp;SG_Criteria!$B$52&amp;". ","")&amp;IF(E44="Non-standard (project design)","NOTE: not an SDRE standard, needs LTA acceptance. ","")))</f>
        <v/>
      </c>
      <c r="BD44" s="9"/>
      <c r="BE44" s="9"/>
      <c r="BF44" s="9"/>
      <c r="BG44" s="10" t="str">
        <f aca="false">IF(BF44="","",IFERROR(VLOOKUP(BF44,Projects!$A$5:$D$504,2,0),"Ref not in Projects"))</f>
        <v/>
      </c>
      <c r="BH44" s="10" t="str">
        <f aca="false">IF(BF44="","",IFERROR(VLOOKUP(BF44,Projects!$A$5:$D$504,4,0),"Ref not in Projects"))</f>
        <v/>
      </c>
      <c r="BI44" s="9"/>
      <c r="BJ44" s="9"/>
      <c r="BK44" s="9"/>
      <c r="BL44" s="40"/>
      <c r="BM44" s="9"/>
      <c r="BN44" s="40"/>
      <c r="BO44" s="9"/>
      <c r="BP44" s="40"/>
      <c r="BQ44" s="9"/>
      <c r="BR44" s="9"/>
      <c r="BS44" s="9"/>
      <c r="BT44" s="40"/>
      <c r="BU44" s="40"/>
      <c r="BV44" s="36" t="str">
        <f aca="false">IF(BU44="","",EDATE(BU44,SG_Criteria!$B$54*12))</f>
        <v/>
      </c>
      <c r="BW44" s="33" t="str">
        <f aca="true">IF(A44="","",IF(BU44="","NOTE: not reviewed yet",IF(TODAY()&gt;BV44,"NOTE: review overdue","OK")))</f>
        <v/>
      </c>
      <c r="BX44" s="37" t="str">
        <f aca="false">IF(A44="","",ROUND((IF(LEN(D44)&gt;0,1,0)+IF(LEN(E44)&gt;0,1,0)+IF(LEN(F44)&gt;0,1,0)+IF(LEN(G44)&gt;0,1,0)+IF(LEN(H44)&gt;0,1,0)+IF(LEN(I44)&gt;0,1,0)+IF(LEN(J44)&gt;0,1,0)+IF(LEN(K44)&gt;0,1,0)+IF(LEN(N44)&gt;0,1,0)+IF(LEN(O44)&gt;0,1,0)+IF(LEN(W44)&gt;0,1,0)+IF(LEN(X44)&gt;0,1,0)+IF(LEN(Y44)&gt;0,1,0)+IF(LEN(AG44)&gt;0,1,0)+IF(LEN(AI44)&gt;0,1,0)+IF(LEN(AJ44)&gt;0,1,0)+IF(LEN(AK44)&gt;0,1,0)+IF(LEN(AL44)&gt;0,1,0)+IF(LEN(AU44)&gt;0,1,0)+IF(LEN(BF44)&gt;0,1,0)+IF(LEN(BS44)&gt;0,1,0))/21,2))</f>
        <v/>
      </c>
      <c r="BY44" s="10" t="str">
        <f aca="false">IF(D44="","",IF(AND(AJ44="Approved",ISERROR(SEARCH("FAIL",BC44))),"Y","N"))</f>
        <v/>
      </c>
      <c r="BZ44" s="10" t="str">
        <f aca="false">IF(D44="","",D44&amp;"|"&amp;F44&amp;"|"&amp;G44&amp;"|"&amp;BY44)</f>
        <v/>
      </c>
    </row>
    <row r="45" customFormat="false" ht="15" hidden="false" customHeight="false" outlineLevel="0" collapsed="false">
      <c r="A45" s="10" t="str">
        <f aca="false">IF(D45="","","LKW-"&amp;IFERROR(VLOOKUP(D45,Lists!$AQ$4:$AR$17,2,0),"??")&amp;"-W"&amp;TEXT(F45*1000,"0000")&amp;"-H"&amp;TEXT(G45*1000,"0000")&amp;"-B"&amp;TEXT(H45*1000,"0000")&amp;"-"&amp;AI45)</f>
        <v/>
      </c>
      <c r="B45" s="10" t="str">
        <f aca="false">IF(D45="","",D45&amp;", "&amp;F45&amp;" m wide, "&amp;G45&amp;" m headroom, "&amp;H45&amp;" m bays, "&amp;I45&amp;" ("&amp;E45&amp;")")</f>
        <v/>
      </c>
      <c r="C45" s="9"/>
      <c r="D45" s="9"/>
      <c r="E45" s="9"/>
      <c r="F45" s="42"/>
      <c r="G45" s="42"/>
      <c r="H45" s="42"/>
      <c r="I45" s="9"/>
      <c r="J45" s="9"/>
      <c r="K45" s="9"/>
      <c r="L45" s="9"/>
      <c r="M45" s="9"/>
      <c r="N45" s="9"/>
      <c r="O45" s="9"/>
      <c r="P45" s="9"/>
      <c r="Q45" s="9"/>
      <c r="R45" s="9"/>
      <c r="S45" s="42"/>
      <c r="T45" s="9"/>
      <c r="U45" s="9"/>
      <c r="V45" s="9"/>
      <c r="W45" s="38"/>
      <c r="X45" s="42"/>
      <c r="Y45" s="9"/>
      <c r="Z45" s="9"/>
      <c r="AA45" s="9"/>
      <c r="AB45" s="42"/>
      <c r="AC45" s="9"/>
      <c r="AD45" s="38"/>
      <c r="AE45" s="9"/>
      <c r="AF45" s="39"/>
      <c r="AG45" s="9"/>
      <c r="AH45" s="9"/>
      <c r="AI45" s="9"/>
      <c r="AJ45" s="9"/>
      <c r="AK45" s="9"/>
      <c r="AL45" s="9"/>
      <c r="AM45" s="9"/>
      <c r="AN45" s="10" t="str">
        <f aca="false">IF(A45="","",SG_Criteria!$B$6&amp;SG_Criteria!$B$12&amp;"\"&amp;A45&amp;"\")</f>
        <v/>
      </c>
      <c r="AO45" s="10" t="str">
        <f aca="false">IF(A45="","",A45&amp;"_CAD.dwg")</f>
        <v/>
      </c>
      <c r="AP45" s="10" t="str">
        <f aca="false">IF(A45="","",A45&amp;"_DWG.pdf")</f>
        <v/>
      </c>
      <c r="AQ45" s="10" t="str">
        <f aca="false">IF(A45="","",IF(AM45="Y",A45&amp;"_STAAD.std","n/a"))</f>
        <v/>
      </c>
      <c r="AR45" s="10" t="str">
        <f aca="false">IF(A45="","",A45&amp;"_CALC.xlsx")</f>
        <v/>
      </c>
      <c r="AS45" s="10" t="str">
        <f aca="false">IF(A45="","",A45&amp;"_CALC.pdf")</f>
        <v/>
      </c>
      <c r="AT45" s="9"/>
      <c r="AU45" s="9"/>
      <c r="AV45" s="39"/>
      <c r="AW45" s="39"/>
      <c r="AX45" s="39"/>
      <c r="AY45" s="39"/>
      <c r="AZ45" s="39"/>
      <c r="BA45" s="12" t="str">
        <f aca="false">IF(A45="","",IF(COUNTIF(Rebar_Schedule!$A$5:$A$2004,A45)=0,"",ROUND(SUMIF(Rebar_Schedule!$A$5:$A$2004,A45,Rebar_Schedule!$K$5:$K$2004),1)))</f>
        <v/>
      </c>
      <c r="BB45" s="33" t="str">
        <f aca="false">IF(A45="","",IF(BA45="","No rebar schedule yet",IF(ABS(BA45-N(AW45))/MAX(N(AW45),1)&gt;SG_Criteria!$B$55,"NOTE: register rebar differs from schedule by "&amp;TEXT(ABS(BA45-N(AW45))/MAX(N(AW45),1),"0%"),"OK")))</f>
        <v/>
      </c>
      <c r="BC45" s="33" t="str">
        <f aca="false">IF(D45="","",IF(LEN(IF(AND(D45&lt;&gt;"High Covered Linkway",G45&lt;SG_Criteria!$B$46),"FAIL: headroom below "&amp;SG_Criteria!$B$46&amp;" m. ","")&amp;IF(AND(D45="High Covered Linkway",G45&lt;SG_Criteria!$B$47),"FAIL: high linkway headroom below "&amp;SG_Criteria!$B$47&amp;" m. ","")&amp;IF(F45&lt;SG_Criteria!$B$48,"FAIL: roof width below "&amp;SG_Criteria!$B$48&amp;" m. ",IF(F45&lt;SG_Criteria!$B$49,"NOTE: not for MRT/LRT or high-traffic routes (min "&amp;SG_Criteria!$B$49&amp;" m). ",""))&amp;IF(AND(W45&lt;&gt;"",W45&lt;SG_Criteria!$B$50),"FAIL: wind speed below "&amp;SG_Criteria!$B$50&amp;" m/s. ","")&amp;IF(AND(X45&lt;&gt;"",X45&lt;SG_Criteria!$B$51),"FAIL: roof fixing pull-out below "&amp;SG_Criteria!$B$51&amp;" kN. ","")&amp;IF(AND(Y45&lt;&gt;"",IFERROR(VALUE(MID(Y45,2,2)),0)&lt;SG_Criteria!$B$52),"FAIL: grade below C"&amp;SG_Criteria!$B$52&amp;". ","")&amp;IF(E45="Non-standard (project design)","NOTE: not an SDRE standard, needs LTA acceptance. ",""))=0,"OK",IF(AND(D45&lt;&gt;"High Covered Linkway",G45&lt;SG_Criteria!$B$46),"FAIL: headroom below "&amp;SG_Criteria!$B$46&amp;" m. ","")&amp;IF(AND(D45="High Covered Linkway",G45&lt;SG_Criteria!$B$47),"FAIL: high linkway headroom below "&amp;SG_Criteria!$B$47&amp;" m. ","")&amp;IF(F45&lt;SG_Criteria!$B$48,"FAIL: roof width below "&amp;SG_Criteria!$B$48&amp;" m. ",IF(F45&lt;SG_Criteria!$B$49,"NOTE: not for MRT/LRT or high-traffic routes (min "&amp;SG_Criteria!$B$49&amp;" m). ",""))&amp;IF(AND(W45&lt;&gt;"",W45&lt;SG_Criteria!$B$50),"FAIL: wind speed below "&amp;SG_Criteria!$B$50&amp;" m/s. ","")&amp;IF(AND(X45&lt;&gt;"",X45&lt;SG_Criteria!$B$51),"FAIL: roof fixing pull-out below "&amp;SG_Criteria!$B$51&amp;" kN. ","")&amp;IF(AND(Y45&lt;&gt;"",IFERROR(VALUE(MID(Y45,2,2)),0)&lt;SG_Criteria!$B$52),"FAIL: grade below C"&amp;SG_Criteria!$B$52&amp;". ","")&amp;IF(E45="Non-standard (project design)","NOTE: not an SDRE standard, needs LTA acceptance. ","")))</f>
        <v/>
      </c>
      <c r="BD45" s="9"/>
      <c r="BE45" s="9"/>
      <c r="BF45" s="9"/>
      <c r="BG45" s="10" t="str">
        <f aca="false">IF(BF45="","",IFERROR(VLOOKUP(BF45,Projects!$A$5:$D$504,2,0),"Ref not in Projects"))</f>
        <v/>
      </c>
      <c r="BH45" s="10" t="str">
        <f aca="false">IF(BF45="","",IFERROR(VLOOKUP(BF45,Projects!$A$5:$D$504,4,0),"Ref not in Projects"))</f>
        <v/>
      </c>
      <c r="BI45" s="9"/>
      <c r="BJ45" s="9"/>
      <c r="BK45" s="9"/>
      <c r="BL45" s="40"/>
      <c r="BM45" s="9"/>
      <c r="BN45" s="40"/>
      <c r="BO45" s="9"/>
      <c r="BP45" s="40"/>
      <c r="BQ45" s="9"/>
      <c r="BR45" s="9"/>
      <c r="BS45" s="9"/>
      <c r="BT45" s="40"/>
      <c r="BU45" s="40"/>
      <c r="BV45" s="36" t="str">
        <f aca="false">IF(BU45="","",EDATE(BU45,SG_Criteria!$B$54*12))</f>
        <v/>
      </c>
      <c r="BW45" s="33" t="str">
        <f aca="true">IF(A45="","",IF(BU45="","NOTE: not reviewed yet",IF(TODAY()&gt;BV45,"NOTE: review overdue","OK")))</f>
        <v/>
      </c>
      <c r="BX45" s="37" t="str">
        <f aca="false">IF(A45="","",ROUND((IF(LEN(D45)&gt;0,1,0)+IF(LEN(E45)&gt;0,1,0)+IF(LEN(F45)&gt;0,1,0)+IF(LEN(G45)&gt;0,1,0)+IF(LEN(H45)&gt;0,1,0)+IF(LEN(I45)&gt;0,1,0)+IF(LEN(J45)&gt;0,1,0)+IF(LEN(K45)&gt;0,1,0)+IF(LEN(N45)&gt;0,1,0)+IF(LEN(O45)&gt;0,1,0)+IF(LEN(W45)&gt;0,1,0)+IF(LEN(X45)&gt;0,1,0)+IF(LEN(Y45)&gt;0,1,0)+IF(LEN(AG45)&gt;0,1,0)+IF(LEN(AI45)&gt;0,1,0)+IF(LEN(AJ45)&gt;0,1,0)+IF(LEN(AK45)&gt;0,1,0)+IF(LEN(AL45)&gt;0,1,0)+IF(LEN(AU45)&gt;0,1,0)+IF(LEN(BF45)&gt;0,1,0)+IF(LEN(BS45)&gt;0,1,0))/21,2))</f>
        <v/>
      </c>
      <c r="BY45" s="10" t="str">
        <f aca="false">IF(D45="","",IF(AND(AJ45="Approved",ISERROR(SEARCH("FAIL",BC45))),"Y","N"))</f>
        <v/>
      </c>
      <c r="BZ45" s="10" t="str">
        <f aca="false">IF(D45="","",D45&amp;"|"&amp;F45&amp;"|"&amp;G45&amp;"|"&amp;BY45)</f>
        <v/>
      </c>
    </row>
    <row r="46" customFormat="false" ht="15" hidden="false" customHeight="false" outlineLevel="0" collapsed="false">
      <c r="A46" s="10" t="str">
        <f aca="false">IF(D46="","","LKW-"&amp;IFERROR(VLOOKUP(D46,Lists!$AQ$4:$AR$17,2,0),"??")&amp;"-W"&amp;TEXT(F46*1000,"0000")&amp;"-H"&amp;TEXT(G46*1000,"0000")&amp;"-B"&amp;TEXT(H46*1000,"0000")&amp;"-"&amp;AI46)</f>
        <v/>
      </c>
      <c r="B46" s="10" t="str">
        <f aca="false">IF(D46="","",D46&amp;", "&amp;F46&amp;" m wide, "&amp;G46&amp;" m headroom, "&amp;H46&amp;" m bays, "&amp;I46&amp;" ("&amp;E46&amp;")")</f>
        <v/>
      </c>
      <c r="C46" s="9"/>
      <c r="D46" s="9"/>
      <c r="E46" s="9"/>
      <c r="F46" s="42"/>
      <c r="G46" s="42"/>
      <c r="H46" s="42"/>
      <c r="I46" s="9"/>
      <c r="J46" s="9"/>
      <c r="K46" s="9"/>
      <c r="L46" s="9"/>
      <c r="M46" s="9"/>
      <c r="N46" s="9"/>
      <c r="O46" s="9"/>
      <c r="P46" s="9"/>
      <c r="Q46" s="9"/>
      <c r="R46" s="9"/>
      <c r="S46" s="42"/>
      <c r="T46" s="9"/>
      <c r="U46" s="9"/>
      <c r="V46" s="9"/>
      <c r="W46" s="38"/>
      <c r="X46" s="42"/>
      <c r="Y46" s="9"/>
      <c r="Z46" s="9"/>
      <c r="AA46" s="9"/>
      <c r="AB46" s="42"/>
      <c r="AC46" s="9"/>
      <c r="AD46" s="38"/>
      <c r="AE46" s="9"/>
      <c r="AF46" s="39"/>
      <c r="AG46" s="9"/>
      <c r="AH46" s="9"/>
      <c r="AI46" s="9"/>
      <c r="AJ46" s="9"/>
      <c r="AK46" s="9"/>
      <c r="AL46" s="9"/>
      <c r="AM46" s="9"/>
      <c r="AN46" s="10" t="str">
        <f aca="false">IF(A46="","",SG_Criteria!$B$6&amp;SG_Criteria!$B$12&amp;"\"&amp;A46&amp;"\")</f>
        <v/>
      </c>
      <c r="AO46" s="10" t="str">
        <f aca="false">IF(A46="","",A46&amp;"_CAD.dwg")</f>
        <v/>
      </c>
      <c r="AP46" s="10" t="str">
        <f aca="false">IF(A46="","",A46&amp;"_DWG.pdf")</f>
        <v/>
      </c>
      <c r="AQ46" s="10" t="str">
        <f aca="false">IF(A46="","",IF(AM46="Y",A46&amp;"_STAAD.std","n/a"))</f>
        <v/>
      </c>
      <c r="AR46" s="10" t="str">
        <f aca="false">IF(A46="","",A46&amp;"_CALC.xlsx")</f>
        <v/>
      </c>
      <c r="AS46" s="10" t="str">
        <f aca="false">IF(A46="","",A46&amp;"_CALC.pdf")</f>
        <v/>
      </c>
      <c r="AT46" s="9"/>
      <c r="AU46" s="9"/>
      <c r="AV46" s="39"/>
      <c r="AW46" s="39"/>
      <c r="AX46" s="39"/>
      <c r="AY46" s="39"/>
      <c r="AZ46" s="39"/>
      <c r="BA46" s="12" t="str">
        <f aca="false">IF(A46="","",IF(COUNTIF(Rebar_Schedule!$A$5:$A$2004,A46)=0,"",ROUND(SUMIF(Rebar_Schedule!$A$5:$A$2004,A46,Rebar_Schedule!$K$5:$K$2004),1)))</f>
        <v/>
      </c>
      <c r="BB46" s="33" t="str">
        <f aca="false">IF(A46="","",IF(BA46="","No rebar schedule yet",IF(ABS(BA46-N(AW46))/MAX(N(AW46),1)&gt;SG_Criteria!$B$55,"NOTE: register rebar differs from schedule by "&amp;TEXT(ABS(BA46-N(AW46))/MAX(N(AW46),1),"0%"),"OK")))</f>
        <v/>
      </c>
      <c r="BC46" s="33" t="str">
        <f aca="false">IF(D46="","",IF(LEN(IF(AND(D46&lt;&gt;"High Covered Linkway",G46&lt;SG_Criteria!$B$46),"FAIL: headroom below "&amp;SG_Criteria!$B$46&amp;" m. ","")&amp;IF(AND(D46="High Covered Linkway",G46&lt;SG_Criteria!$B$47),"FAIL: high linkway headroom below "&amp;SG_Criteria!$B$47&amp;" m. ","")&amp;IF(F46&lt;SG_Criteria!$B$48,"FAIL: roof width below "&amp;SG_Criteria!$B$48&amp;" m. ",IF(F46&lt;SG_Criteria!$B$49,"NOTE: not for MRT/LRT or high-traffic routes (min "&amp;SG_Criteria!$B$49&amp;" m). ",""))&amp;IF(AND(W46&lt;&gt;"",W46&lt;SG_Criteria!$B$50),"FAIL: wind speed below "&amp;SG_Criteria!$B$50&amp;" m/s. ","")&amp;IF(AND(X46&lt;&gt;"",X46&lt;SG_Criteria!$B$51),"FAIL: roof fixing pull-out below "&amp;SG_Criteria!$B$51&amp;" kN. ","")&amp;IF(AND(Y46&lt;&gt;"",IFERROR(VALUE(MID(Y46,2,2)),0)&lt;SG_Criteria!$B$52),"FAIL: grade below C"&amp;SG_Criteria!$B$52&amp;". ","")&amp;IF(E46="Non-standard (project design)","NOTE: not an SDRE standard, needs LTA acceptance. ",""))=0,"OK",IF(AND(D46&lt;&gt;"High Covered Linkway",G46&lt;SG_Criteria!$B$46),"FAIL: headroom below "&amp;SG_Criteria!$B$46&amp;" m. ","")&amp;IF(AND(D46="High Covered Linkway",G46&lt;SG_Criteria!$B$47),"FAIL: high linkway headroom below "&amp;SG_Criteria!$B$47&amp;" m. ","")&amp;IF(F46&lt;SG_Criteria!$B$48,"FAIL: roof width below "&amp;SG_Criteria!$B$48&amp;" m. ",IF(F46&lt;SG_Criteria!$B$49,"NOTE: not for MRT/LRT or high-traffic routes (min "&amp;SG_Criteria!$B$49&amp;" m). ",""))&amp;IF(AND(W46&lt;&gt;"",W46&lt;SG_Criteria!$B$50),"FAIL: wind speed below "&amp;SG_Criteria!$B$50&amp;" m/s. ","")&amp;IF(AND(X46&lt;&gt;"",X46&lt;SG_Criteria!$B$51),"FAIL: roof fixing pull-out below "&amp;SG_Criteria!$B$51&amp;" kN. ","")&amp;IF(AND(Y46&lt;&gt;"",IFERROR(VALUE(MID(Y46,2,2)),0)&lt;SG_Criteria!$B$52),"FAIL: grade below C"&amp;SG_Criteria!$B$52&amp;". ","")&amp;IF(E46="Non-standard (project design)","NOTE: not an SDRE standard, needs LTA acceptance. ","")))</f>
        <v/>
      </c>
      <c r="BD46" s="9"/>
      <c r="BE46" s="9"/>
      <c r="BF46" s="9"/>
      <c r="BG46" s="10" t="str">
        <f aca="false">IF(BF46="","",IFERROR(VLOOKUP(BF46,Projects!$A$5:$D$504,2,0),"Ref not in Projects"))</f>
        <v/>
      </c>
      <c r="BH46" s="10" t="str">
        <f aca="false">IF(BF46="","",IFERROR(VLOOKUP(BF46,Projects!$A$5:$D$504,4,0),"Ref not in Projects"))</f>
        <v/>
      </c>
      <c r="BI46" s="9"/>
      <c r="BJ46" s="9"/>
      <c r="BK46" s="9"/>
      <c r="BL46" s="40"/>
      <c r="BM46" s="9"/>
      <c r="BN46" s="40"/>
      <c r="BO46" s="9"/>
      <c r="BP46" s="40"/>
      <c r="BQ46" s="9"/>
      <c r="BR46" s="9"/>
      <c r="BS46" s="9"/>
      <c r="BT46" s="40"/>
      <c r="BU46" s="40"/>
      <c r="BV46" s="36" t="str">
        <f aca="false">IF(BU46="","",EDATE(BU46,SG_Criteria!$B$54*12))</f>
        <v/>
      </c>
      <c r="BW46" s="33" t="str">
        <f aca="true">IF(A46="","",IF(BU46="","NOTE: not reviewed yet",IF(TODAY()&gt;BV46,"NOTE: review overdue","OK")))</f>
        <v/>
      </c>
      <c r="BX46" s="37" t="str">
        <f aca="false">IF(A46="","",ROUND((IF(LEN(D46)&gt;0,1,0)+IF(LEN(E46)&gt;0,1,0)+IF(LEN(F46)&gt;0,1,0)+IF(LEN(G46)&gt;0,1,0)+IF(LEN(H46)&gt;0,1,0)+IF(LEN(I46)&gt;0,1,0)+IF(LEN(J46)&gt;0,1,0)+IF(LEN(K46)&gt;0,1,0)+IF(LEN(N46)&gt;0,1,0)+IF(LEN(O46)&gt;0,1,0)+IF(LEN(W46)&gt;0,1,0)+IF(LEN(X46)&gt;0,1,0)+IF(LEN(Y46)&gt;0,1,0)+IF(LEN(AG46)&gt;0,1,0)+IF(LEN(AI46)&gt;0,1,0)+IF(LEN(AJ46)&gt;0,1,0)+IF(LEN(AK46)&gt;0,1,0)+IF(LEN(AL46)&gt;0,1,0)+IF(LEN(AU46)&gt;0,1,0)+IF(LEN(BF46)&gt;0,1,0)+IF(LEN(BS46)&gt;0,1,0))/21,2))</f>
        <v/>
      </c>
      <c r="BY46" s="10" t="str">
        <f aca="false">IF(D46="","",IF(AND(AJ46="Approved",ISERROR(SEARCH("FAIL",BC46))),"Y","N"))</f>
        <v/>
      </c>
      <c r="BZ46" s="10" t="str">
        <f aca="false">IF(D46="","",D46&amp;"|"&amp;F46&amp;"|"&amp;G46&amp;"|"&amp;BY46)</f>
        <v/>
      </c>
    </row>
    <row r="47" customFormat="false" ht="15" hidden="false" customHeight="false" outlineLevel="0" collapsed="false">
      <c r="A47" s="10" t="str">
        <f aca="false">IF(D47="","","LKW-"&amp;IFERROR(VLOOKUP(D47,Lists!$AQ$4:$AR$17,2,0),"??")&amp;"-W"&amp;TEXT(F47*1000,"0000")&amp;"-H"&amp;TEXT(G47*1000,"0000")&amp;"-B"&amp;TEXT(H47*1000,"0000")&amp;"-"&amp;AI47)</f>
        <v/>
      </c>
      <c r="B47" s="10" t="str">
        <f aca="false">IF(D47="","",D47&amp;", "&amp;F47&amp;" m wide, "&amp;G47&amp;" m headroom, "&amp;H47&amp;" m bays, "&amp;I47&amp;" ("&amp;E47&amp;")")</f>
        <v/>
      </c>
      <c r="C47" s="9"/>
      <c r="D47" s="9"/>
      <c r="E47" s="9"/>
      <c r="F47" s="42"/>
      <c r="G47" s="42"/>
      <c r="H47" s="42"/>
      <c r="I47" s="9"/>
      <c r="J47" s="9"/>
      <c r="K47" s="9"/>
      <c r="L47" s="9"/>
      <c r="M47" s="9"/>
      <c r="N47" s="9"/>
      <c r="O47" s="9"/>
      <c r="P47" s="9"/>
      <c r="Q47" s="9"/>
      <c r="R47" s="9"/>
      <c r="S47" s="42"/>
      <c r="T47" s="9"/>
      <c r="U47" s="9"/>
      <c r="V47" s="9"/>
      <c r="W47" s="38"/>
      <c r="X47" s="42"/>
      <c r="Y47" s="9"/>
      <c r="Z47" s="9"/>
      <c r="AA47" s="9"/>
      <c r="AB47" s="42"/>
      <c r="AC47" s="9"/>
      <c r="AD47" s="38"/>
      <c r="AE47" s="9"/>
      <c r="AF47" s="39"/>
      <c r="AG47" s="9"/>
      <c r="AH47" s="9"/>
      <c r="AI47" s="9"/>
      <c r="AJ47" s="9"/>
      <c r="AK47" s="9"/>
      <c r="AL47" s="9"/>
      <c r="AM47" s="9"/>
      <c r="AN47" s="10" t="str">
        <f aca="false">IF(A47="","",SG_Criteria!$B$6&amp;SG_Criteria!$B$12&amp;"\"&amp;A47&amp;"\")</f>
        <v/>
      </c>
      <c r="AO47" s="10" t="str">
        <f aca="false">IF(A47="","",A47&amp;"_CAD.dwg")</f>
        <v/>
      </c>
      <c r="AP47" s="10" t="str">
        <f aca="false">IF(A47="","",A47&amp;"_DWG.pdf")</f>
        <v/>
      </c>
      <c r="AQ47" s="10" t="str">
        <f aca="false">IF(A47="","",IF(AM47="Y",A47&amp;"_STAAD.std","n/a"))</f>
        <v/>
      </c>
      <c r="AR47" s="10" t="str">
        <f aca="false">IF(A47="","",A47&amp;"_CALC.xlsx")</f>
        <v/>
      </c>
      <c r="AS47" s="10" t="str">
        <f aca="false">IF(A47="","",A47&amp;"_CALC.pdf")</f>
        <v/>
      </c>
      <c r="AT47" s="9"/>
      <c r="AU47" s="9"/>
      <c r="AV47" s="39"/>
      <c r="AW47" s="39"/>
      <c r="AX47" s="39"/>
      <c r="AY47" s="39"/>
      <c r="AZ47" s="39"/>
      <c r="BA47" s="12" t="str">
        <f aca="false">IF(A47="","",IF(COUNTIF(Rebar_Schedule!$A$5:$A$2004,A47)=0,"",ROUND(SUMIF(Rebar_Schedule!$A$5:$A$2004,A47,Rebar_Schedule!$K$5:$K$2004),1)))</f>
        <v/>
      </c>
      <c r="BB47" s="33" t="str">
        <f aca="false">IF(A47="","",IF(BA47="","No rebar schedule yet",IF(ABS(BA47-N(AW47))/MAX(N(AW47),1)&gt;SG_Criteria!$B$55,"NOTE: register rebar differs from schedule by "&amp;TEXT(ABS(BA47-N(AW47))/MAX(N(AW47),1),"0%"),"OK")))</f>
        <v/>
      </c>
      <c r="BC47" s="33" t="str">
        <f aca="false">IF(D47="","",IF(LEN(IF(AND(D47&lt;&gt;"High Covered Linkway",G47&lt;SG_Criteria!$B$46),"FAIL: headroom below "&amp;SG_Criteria!$B$46&amp;" m. ","")&amp;IF(AND(D47="High Covered Linkway",G47&lt;SG_Criteria!$B$47),"FAIL: high linkway headroom below "&amp;SG_Criteria!$B$47&amp;" m. ","")&amp;IF(F47&lt;SG_Criteria!$B$48,"FAIL: roof width below "&amp;SG_Criteria!$B$48&amp;" m. ",IF(F47&lt;SG_Criteria!$B$49,"NOTE: not for MRT/LRT or high-traffic routes (min "&amp;SG_Criteria!$B$49&amp;" m). ",""))&amp;IF(AND(W47&lt;&gt;"",W47&lt;SG_Criteria!$B$50),"FAIL: wind speed below "&amp;SG_Criteria!$B$50&amp;" m/s. ","")&amp;IF(AND(X47&lt;&gt;"",X47&lt;SG_Criteria!$B$51),"FAIL: roof fixing pull-out below "&amp;SG_Criteria!$B$51&amp;" kN. ","")&amp;IF(AND(Y47&lt;&gt;"",IFERROR(VALUE(MID(Y47,2,2)),0)&lt;SG_Criteria!$B$52),"FAIL: grade below C"&amp;SG_Criteria!$B$52&amp;". ","")&amp;IF(E47="Non-standard (project design)","NOTE: not an SDRE standard, needs LTA acceptance. ",""))=0,"OK",IF(AND(D47&lt;&gt;"High Covered Linkway",G47&lt;SG_Criteria!$B$46),"FAIL: headroom below "&amp;SG_Criteria!$B$46&amp;" m. ","")&amp;IF(AND(D47="High Covered Linkway",G47&lt;SG_Criteria!$B$47),"FAIL: high linkway headroom below "&amp;SG_Criteria!$B$47&amp;" m. ","")&amp;IF(F47&lt;SG_Criteria!$B$48,"FAIL: roof width below "&amp;SG_Criteria!$B$48&amp;" m. ",IF(F47&lt;SG_Criteria!$B$49,"NOTE: not for MRT/LRT or high-traffic routes (min "&amp;SG_Criteria!$B$49&amp;" m). ",""))&amp;IF(AND(W47&lt;&gt;"",W47&lt;SG_Criteria!$B$50),"FAIL: wind speed below "&amp;SG_Criteria!$B$50&amp;" m/s. ","")&amp;IF(AND(X47&lt;&gt;"",X47&lt;SG_Criteria!$B$51),"FAIL: roof fixing pull-out below "&amp;SG_Criteria!$B$51&amp;" kN. ","")&amp;IF(AND(Y47&lt;&gt;"",IFERROR(VALUE(MID(Y47,2,2)),0)&lt;SG_Criteria!$B$52),"FAIL: grade below C"&amp;SG_Criteria!$B$52&amp;". ","")&amp;IF(E47="Non-standard (project design)","NOTE: not an SDRE standard, needs LTA acceptance. ","")))</f>
        <v/>
      </c>
      <c r="BD47" s="9"/>
      <c r="BE47" s="9"/>
      <c r="BF47" s="9"/>
      <c r="BG47" s="10" t="str">
        <f aca="false">IF(BF47="","",IFERROR(VLOOKUP(BF47,Projects!$A$5:$D$504,2,0),"Ref not in Projects"))</f>
        <v/>
      </c>
      <c r="BH47" s="10" t="str">
        <f aca="false">IF(BF47="","",IFERROR(VLOOKUP(BF47,Projects!$A$5:$D$504,4,0),"Ref not in Projects"))</f>
        <v/>
      </c>
      <c r="BI47" s="9"/>
      <c r="BJ47" s="9"/>
      <c r="BK47" s="9"/>
      <c r="BL47" s="40"/>
      <c r="BM47" s="9"/>
      <c r="BN47" s="40"/>
      <c r="BO47" s="9"/>
      <c r="BP47" s="40"/>
      <c r="BQ47" s="9"/>
      <c r="BR47" s="9"/>
      <c r="BS47" s="9"/>
      <c r="BT47" s="40"/>
      <c r="BU47" s="40"/>
      <c r="BV47" s="36" t="str">
        <f aca="false">IF(BU47="","",EDATE(BU47,SG_Criteria!$B$54*12))</f>
        <v/>
      </c>
      <c r="BW47" s="33" t="str">
        <f aca="true">IF(A47="","",IF(BU47="","NOTE: not reviewed yet",IF(TODAY()&gt;BV47,"NOTE: review overdue","OK")))</f>
        <v/>
      </c>
      <c r="BX47" s="37" t="str">
        <f aca="false">IF(A47="","",ROUND((IF(LEN(D47)&gt;0,1,0)+IF(LEN(E47)&gt;0,1,0)+IF(LEN(F47)&gt;0,1,0)+IF(LEN(G47)&gt;0,1,0)+IF(LEN(H47)&gt;0,1,0)+IF(LEN(I47)&gt;0,1,0)+IF(LEN(J47)&gt;0,1,0)+IF(LEN(K47)&gt;0,1,0)+IF(LEN(N47)&gt;0,1,0)+IF(LEN(O47)&gt;0,1,0)+IF(LEN(W47)&gt;0,1,0)+IF(LEN(X47)&gt;0,1,0)+IF(LEN(Y47)&gt;0,1,0)+IF(LEN(AG47)&gt;0,1,0)+IF(LEN(AI47)&gt;0,1,0)+IF(LEN(AJ47)&gt;0,1,0)+IF(LEN(AK47)&gt;0,1,0)+IF(LEN(AL47)&gt;0,1,0)+IF(LEN(AU47)&gt;0,1,0)+IF(LEN(BF47)&gt;0,1,0)+IF(LEN(BS47)&gt;0,1,0))/21,2))</f>
        <v/>
      </c>
      <c r="BY47" s="10" t="str">
        <f aca="false">IF(D47="","",IF(AND(AJ47="Approved",ISERROR(SEARCH("FAIL",BC47))),"Y","N"))</f>
        <v/>
      </c>
      <c r="BZ47" s="10" t="str">
        <f aca="false">IF(D47="","",D47&amp;"|"&amp;F47&amp;"|"&amp;G47&amp;"|"&amp;BY47)</f>
        <v/>
      </c>
    </row>
    <row r="48" customFormat="false" ht="15" hidden="false" customHeight="false" outlineLevel="0" collapsed="false">
      <c r="A48" s="10" t="str">
        <f aca="false">IF(D48="","","LKW-"&amp;IFERROR(VLOOKUP(D48,Lists!$AQ$4:$AR$17,2,0),"??")&amp;"-W"&amp;TEXT(F48*1000,"0000")&amp;"-H"&amp;TEXT(G48*1000,"0000")&amp;"-B"&amp;TEXT(H48*1000,"0000")&amp;"-"&amp;AI48)</f>
        <v/>
      </c>
      <c r="B48" s="10" t="str">
        <f aca="false">IF(D48="","",D48&amp;", "&amp;F48&amp;" m wide, "&amp;G48&amp;" m headroom, "&amp;H48&amp;" m bays, "&amp;I48&amp;" ("&amp;E48&amp;")")</f>
        <v/>
      </c>
      <c r="C48" s="9"/>
      <c r="D48" s="9"/>
      <c r="E48" s="9"/>
      <c r="F48" s="42"/>
      <c r="G48" s="42"/>
      <c r="H48" s="42"/>
      <c r="I48" s="9"/>
      <c r="J48" s="9"/>
      <c r="K48" s="9"/>
      <c r="L48" s="9"/>
      <c r="M48" s="9"/>
      <c r="N48" s="9"/>
      <c r="O48" s="9"/>
      <c r="P48" s="9"/>
      <c r="Q48" s="9"/>
      <c r="R48" s="9"/>
      <c r="S48" s="42"/>
      <c r="T48" s="9"/>
      <c r="U48" s="9"/>
      <c r="V48" s="9"/>
      <c r="W48" s="38"/>
      <c r="X48" s="42"/>
      <c r="Y48" s="9"/>
      <c r="Z48" s="9"/>
      <c r="AA48" s="9"/>
      <c r="AB48" s="42"/>
      <c r="AC48" s="9"/>
      <c r="AD48" s="38"/>
      <c r="AE48" s="9"/>
      <c r="AF48" s="39"/>
      <c r="AG48" s="9"/>
      <c r="AH48" s="9"/>
      <c r="AI48" s="9"/>
      <c r="AJ48" s="9"/>
      <c r="AK48" s="9"/>
      <c r="AL48" s="9"/>
      <c r="AM48" s="9"/>
      <c r="AN48" s="10" t="str">
        <f aca="false">IF(A48="","",SG_Criteria!$B$6&amp;SG_Criteria!$B$12&amp;"\"&amp;A48&amp;"\")</f>
        <v/>
      </c>
      <c r="AO48" s="10" t="str">
        <f aca="false">IF(A48="","",A48&amp;"_CAD.dwg")</f>
        <v/>
      </c>
      <c r="AP48" s="10" t="str">
        <f aca="false">IF(A48="","",A48&amp;"_DWG.pdf")</f>
        <v/>
      </c>
      <c r="AQ48" s="10" t="str">
        <f aca="false">IF(A48="","",IF(AM48="Y",A48&amp;"_STAAD.std","n/a"))</f>
        <v/>
      </c>
      <c r="AR48" s="10" t="str">
        <f aca="false">IF(A48="","",A48&amp;"_CALC.xlsx")</f>
        <v/>
      </c>
      <c r="AS48" s="10" t="str">
        <f aca="false">IF(A48="","",A48&amp;"_CALC.pdf")</f>
        <v/>
      </c>
      <c r="AT48" s="9"/>
      <c r="AU48" s="9"/>
      <c r="AV48" s="39"/>
      <c r="AW48" s="39"/>
      <c r="AX48" s="39"/>
      <c r="AY48" s="39"/>
      <c r="AZ48" s="39"/>
      <c r="BA48" s="12" t="str">
        <f aca="false">IF(A48="","",IF(COUNTIF(Rebar_Schedule!$A$5:$A$2004,A48)=0,"",ROUND(SUMIF(Rebar_Schedule!$A$5:$A$2004,A48,Rebar_Schedule!$K$5:$K$2004),1)))</f>
        <v/>
      </c>
      <c r="BB48" s="33" t="str">
        <f aca="false">IF(A48="","",IF(BA48="","No rebar schedule yet",IF(ABS(BA48-N(AW48))/MAX(N(AW48),1)&gt;SG_Criteria!$B$55,"NOTE: register rebar differs from schedule by "&amp;TEXT(ABS(BA48-N(AW48))/MAX(N(AW48),1),"0%"),"OK")))</f>
        <v/>
      </c>
      <c r="BC48" s="33" t="str">
        <f aca="false">IF(D48="","",IF(LEN(IF(AND(D48&lt;&gt;"High Covered Linkway",G48&lt;SG_Criteria!$B$46),"FAIL: headroom below "&amp;SG_Criteria!$B$46&amp;" m. ","")&amp;IF(AND(D48="High Covered Linkway",G48&lt;SG_Criteria!$B$47),"FAIL: high linkway headroom below "&amp;SG_Criteria!$B$47&amp;" m. ","")&amp;IF(F48&lt;SG_Criteria!$B$48,"FAIL: roof width below "&amp;SG_Criteria!$B$48&amp;" m. ",IF(F48&lt;SG_Criteria!$B$49,"NOTE: not for MRT/LRT or high-traffic routes (min "&amp;SG_Criteria!$B$49&amp;" m). ",""))&amp;IF(AND(W48&lt;&gt;"",W48&lt;SG_Criteria!$B$50),"FAIL: wind speed below "&amp;SG_Criteria!$B$50&amp;" m/s. ","")&amp;IF(AND(X48&lt;&gt;"",X48&lt;SG_Criteria!$B$51),"FAIL: roof fixing pull-out below "&amp;SG_Criteria!$B$51&amp;" kN. ","")&amp;IF(AND(Y48&lt;&gt;"",IFERROR(VALUE(MID(Y48,2,2)),0)&lt;SG_Criteria!$B$52),"FAIL: grade below C"&amp;SG_Criteria!$B$52&amp;". ","")&amp;IF(E48="Non-standard (project design)","NOTE: not an SDRE standard, needs LTA acceptance. ",""))=0,"OK",IF(AND(D48&lt;&gt;"High Covered Linkway",G48&lt;SG_Criteria!$B$46),"FAIL: headroom below "&amp;SG_Criteria!$B$46&amp;" m. ","")&amp;IF(AND(D48="High Covered Linkway",G48&lt;SG_Criteria!$B$47),"FAIL: high linkway headroom below "&amp;SG_Criteria!$B$47&amp;" m. ","")&amp;IF(F48&lt;SG_Criteria!$B$48,"FAIL: roof width below "&amp;SG_Criteria!$B$48&amp;" m. ",IF(F48&lt;SG_Criteria!$B$49,"NOTE: not for MRT/LRT or high-traffic routes (min "&amp;SG_Criteria!$B$49&amp;" m). ",""))&amp;IF(AND(W48&lt;&gt;"",W48&lt;SG_Criteria!$B$50),"FAIL: wind speed below "&amp;SG_Criteria!$B$50&amp;" m/s. ","")&amp;IF(AND(X48&lt;&gt;"",X48&lt;SG_Criteria!$B$51),"FAIL: roof fixing pull-out below "&amp;SG_Criteria!$B$51&amp;" kN. ","")&amp;IF(AND(Y48&lt;&gt;"",IFERROR(VALUE(MID(Y48,2,2)),0)&lt;SG_Criteria!$B$52),"FAIL: grade below C"&amp;SG_Criteria!$B$52&amp;". ","")&amp;IF(E48="Non-standard (project design)","NOTE: not an SDRE standard, needs LTA acceptance. ","")))</f>
        <v/>
      </c>
      <c r="BD48" s="9"/>
      <c r="BE48" s="9"/>
      <c r="BF48" s="9"/>
      <c r="BG48" s="10" t="str">
        <f aca="false">IF(BF48="","",IFERROR(VLOOKUP(BF48,Projects!$A$5:$D$504,2,0),"Ref not in Projects"))</f>
        <v/>
      </c>
      <c r="BH48" s="10" t="str">
        <f aca="false">IF(BF48="","",IFERROR(VLOOKUP(BF48,Projects!$A$5:$D$504,4,0),"Ref not in Projects"))</f>
        <v/>
      </c>
      <c r="BI48" s="9"/>
      <c r="BJ48" s="9"/>
      <c r="BK48" s="9"/>
      <c r="BL48" s="40"/>
      <c r="BM48" s="9"/>
      <c r="BN48" s="40"/>
      <c r="BO48" s="9"/>
      <c r="BP48" s="40"/>
      <c r="BQ48" s="9"/>
      <c r="BR48" s="9"/>
      <c r="BS48" s="9"/>
      <c r="BT48" s="40"/>
      <c r="BU48" s="40"/>
      <c r="BV48" s="36" t="str">
        <f aca="false">IF(BU48="","",EDATE(BU48,SG_Criteria!$B$54*12))</f>
        <v/>
      </c>
      <c r="BW48" s="33" t="str">
        <f aca="true">IF(A48="","",IF(BU48="","NOTE: not reviewed yet",IF(TODAY()&gt;BV48,"NOTE: review overdue","OK")))</f>
        <v/>
      </c>
      <c r="BX48" s="37" t="str">
        <f aca="false">IF(A48="","",ROUND((IF(LEN(D48)&gt;0,1,0)+IF(LEN(E48)&gt;0,1,0)+IF(LEN(F48)&gt;0,1,0)+IF(LEN(G48)&gt;0,1,0)+IF(LEN(H48)&gt;0,1,0)+IF(LEN(I48)&gt;0,1,0)+IF(LEN(J48)&gt;0,1,0)+IF(LEN(K48)&gt;0,1,0)+IF(LEN(N48)&gt;0,1,0)+IF(LEN(O48)&gt;0,1,0)+IF(LEN(W48)&gt;0,1,0)+IF(LEN(X48)&gt;0,1,0)+IF(LEN(Y48)&gt;0,1,0)+IF(LEN(AG48)&gt;0,1,0)+IF(LEN(AI48)&gt;0,1,0)+IF(LEN(AJ48)&gt;0,1,0)+IF(LEN(AK48)&gt;0,1,0)+IF(LEN(AL48)&gt;0,1,0)+IF(LEN(AU48)&gt;0,1,0)+IF(LEN(BF48)&gt;0,1,0)+IF(LEN(BS48)&gt;0,1,0))/21,2))</f>
        <v/>
      </c>
      <c r="BY48" s="10" t="str">
        <f aca="false">IF(D48="","",IF(AND(AJ48="Approved",ISERROR(SEARCH("FAIL",BC48))),"Y","N"))</f>
        <v/>
      </c>
      <c r="BZ48" s="10" t="str">
        <f aca="false">IF(D48="","",D48&amp;"|"&amp;F48&amp;"|"&amp;G48&amp;"|"&amp;BY48)</f>
        <v/>
      </c>
    </row>
    <row r="49" customFormat="false" ht="15" hidden="false" customHeight="false" outlineLevel="0" collapsed="false">
      <c r="A49" s="10" t="str">
        <f aca="false">IF(D49="","","LKW-"&amp;IFERROR(VLOOKUP(D49,Lists!$AQ$4:$AR$17,2,0),"??")&amp;"-W"&amp;TEXT(F49*1000,"0000")&amp;"-H"&amp;TEXT(G49*1000,"0000")&amp;"-B"&amp;TEXT(H49*1000,"0000")&amp;"-"&amp;AI49)</f>
        <v/>
      </c>
      <c r="B49" s="10" t="str">
        <f aca="false">IF(D49="","",D49&amp;", "&amp;F49&amp;" m wide, "&amp;G49&amp;" m headroom, "&amp;H49&amp;" m bays, "&amp;I49&amp;" ("&amp;E49&amp;")")</f>
        <v/>
      </c>
      <c r="C49" s="9"/>
      <c r="D49" s="9"/>
      <c r="E49" s="9"/>
      <c r="F49" s="42"/>
      <c r="G49" s="42"/>
      <c r="H49" s="42"/>
      <c r="I49" s="9"/>
      <c r="J49" s="9"/>
      <c r="K49" s="9"/>
      <c r="L49" s="9"/>
      <c r="M49" s="9"/>
      <c r="N49" s="9"/>
      <c r="O49" s="9"/>
      <c r="P49" s="9"/>
      <c r="Q49" s="9"/>
      <c r="R49" s="9"/>
      <c r="S49" s="42"/>
      <c r="T49" s="9"/>
      <c r="U49" s="9"/>
      <c r="V49" s="9"/>
      <c r="W49" s="38"/>
      <c r="X49" s="42"/>
      <c r="Y49" s="9"/>
      <c r="Z49" s="9"/>
      <c r="AA49" s="9"/>
      <c r="AB49" s="42"/>
      <c r="AC49" s="9"/>
      <c r="AD49" s="38"/>
      <c r="AE49" s="9"/>
      <c r="AF49" s="39"/>
      <c r="AG49" s="9"/>
      <c r="AH49" s="9"/>
      <c r="AI49" s="9"/>
      <c r="AJ49" s="9"/>
      <c r="AK49" s="9"/>
      <c r="AL49" s="9"/>
      <c r="AM49" s="9"/>
      <c r="AN49" s="10" t="str">
        <f aca="false">IF(A49="","",SG_Criteria!$B$6&amp;SG_Criteria!$B$12&amp;"\"&amp;A49&amp;"\")</f>
        <v/>
      </c>
      <c r="AO49" s="10" t="str">
        <f aca="false">IF(A49="","",A49&amp;"_CAD.dwg")</f>
        <v/>
      </c>
      <c r="AP49" s="10" t="str">
        <f aca="false">IF(A49="","",A49&amp;"_DWG.pdf")</f>
        <v/>
      </c>
      <c r="AQ49" s="10" t="str">
        <f aca="false">IF(A49="","",IF(AM49="Y",A49&amp;"_STAAD.std","n/a"))</f>
        <v/>
      </c>
      <c r="AR49" s="10" t="str">
        <f aca="false">IF(A49="","",A49&amp;"_CALC.xlsx")</f>
        <v/>
      </c>
      <c r="AS49" s="10" t="str">
        <f aca="false">IF(A49="","",A49&amp;"_CALC.pdf")</f>
        <v/>
      </c>
      <c r="AT49" s="9"/>
      <c r="AU49" s="9"/>
      <c r="AV49" s="39"/>
      <c r="AW49" s="39"/>
      <c r="AX49" s="39"/>
      <c r="AY49" s="39"/>
      <c r="AZ49" s="39"/>
      <c r="BA49" s="12" t="str">
        <f aca="false">IF(A49="","",IF(COUNTIF(Rebar_Schedule!$A$5:$A$2004,A49)=0,"",ROUND(SUMIF(Rebar_Schedule!$A$5:$A$2004,A49,Rebar_Schedule!$K$5:$K$2004),1)))</f>
        <v/>
      </c>
      <c r="BB49" s="33" t="str">
        <f aca="false">IF(A49="","",IF(BA49="","No rebar schedule yet",IF(ABS(BA49-N(AW49))/MAX(N(AW49),1)&gt;SG_Criteria!$B$55,"NOTE: register rebar differs from schedule by "&amp;TEXT(ABS(BA49-N(AW49))/MAX(N(AW49),1),"0%"),"OK")))</f>
        <v/>
      </c>
      <c r="BC49" s="33" t="str">
        <f aca="false">IF(D49="","",IF(LEN(IF(AND(D49&lt;&gt;"High Covered Linkway",G49&lt;SG_Criteria!$B$46),"FAIL: headroom below "&amp;SG_Criteria!$B$46&amp;" m. ","")&amp;IF(AND(D49="High Covered Linkway",G49&lt;SG_Criteria!$B$47),"FAIL: high linkway headroom below "&amp;SG_Criteria!$B$47&amp;" m. ","")&amp;IF(F49&lt;SG_Criteria!$B$48,"FAIL: roof width below "&amp;SG_Criteria!$B$48&amp;" m. ",IF(F49&lt;SG_Criteria!$B$49,"NOTE: not for MRT/LRT or high-traffic routes (min "&amp;SG_Criteria!$B$49&amp;" m). ",""))&amp;IF(AND(W49&lt;&gt;"",W49&lt;SG_Criteria!$B$50),"FAIL: wind speed below "&amp;SG_Criteria!$B$50&amp;" m/s. ","")&amp;IF(AND(X49&lt;&gt;"",X49&lt;SG_Criteria!$B$51),"FAIL: roof fixing pull-out below "&amp;SG_Criteria!$B$51&amp;" kN. ","")&amp;IF(AND(Y49&lt;&gt;"",IFERROR(VALUE(MID(Y49,2,2)),0)&lt;SG_Criteria!$B$52),"FAIL: grade below C"&amp;SG_Criteria!$B$52&amp;". ","")&amp;IF(E49="Non-standard (project design)","NOTE: not an SDRE standard, needs LTA acceptance. ",""))=0,"OK",IF(AND(D49&lt;&gt;"High Covered Linkway",G49&lt;SG_Criteria!$B$46),"FAIL: headroom below "&amp;SG_Criteria!$B$46&amp;" m. ","")&amp;IF(AND(D49="High Covered Linkway",G49&lt;SG_Criteria!$B$47),"FAIL: high linkway headroom below "&amp;SG_Criteria!$B$47&amp;" m. ","")&amp;IF(F49&lt;SG_Criteria!$B$48,"FAIL: roof width below "&amp;SG_Criteria!$B$48&amp;" m. ",IF(F49&lt;SG_Criteria!$B$49,"NOTE: not for MRT/LRT or high-traffic routes (min "&amp;SG_Criteria!$B$49&amp;" m). ",""))&amp;IF(AND(W49&lt;&gt;"",W49&lt;SG_Criteria!$B$50),"FAIL: wind speed below "&amp;SG_Criteria!$B$50&amp;" m/s. ","")&amp;IF(AND(X49&lt;&gt;"",X49&lt;SG_Criteria!$B$51),"FAIL: roof fixing pull-out below "&amp;SG_Criteria!$B$51&amp;" kN. ","")&amp;IF(AND(Y49&lt;&gt;"",IFERROR(VALUE(MID(Y49,2,2)),0)&lt;SG_Criteria!$B$52),"FAIL: grade below C"&amp;SG_Criteria!$B$52&amp;". ","")&amp;IF(E49="Non-standard (project design)","NOTE: not an SDRE standard, needs LTA acceptance. ","")))</f>
        <v/>
      </c>
      <c r="BD49" s="9"/>
      <c r="BE49" s="9"/>
      <c r="BF49" s="9"/>
      <c r="BG49" s="10" t="str">
        <f aca="false">IF(BF49="","",IFERROR(VLOOKUP(BF49,Projects!$A$5:$D$504,2,0),"Ref not in Projects"))</f>
        <v/>
      </c>
      <c r="BH49" s="10" t="str">
        <f aca="false">IF(BF49="","",IFERROR(VLOOKUP(BF49,Projects!$A$5:$D$504,4,0),"Ref not in Projects"))</f>
        <v/>
      </c>
      <c r="BI49" s="9"/>
      <c r="BJ49" s="9"/>
      <c r="BK49" s="9"/>
      <c r="BL49" s="40"/>
      <c r="BM49" s="9"/>
      <c r="BN49" s="40"/>
      <c r="BO49" s="9"/>
      <c r="BP49" s="40"/>
      <c r="BQ49" s="9"/>
      <c r="BR49" s="9"/>
      <c r="BS49" s="9"/>
      <c r="BT49" s="40"/>
      <c r="BU49" s="40"/>
      <c r="BV49" s="36" t="str">
        <f aca="false">IF(BU49="","",EDATE(BU49,SG_Criteria!$B$54*12))</f>
        <v/>
      </c>
      <c r="BW49" s="33" t="str">
        <f aca="true">IF(A49="","",IF(BU49="","NOTE: not reviewed yet",IF(TODAY()&gt;BV49,"NOTE: review overdue","OK")))</f>
        <v/>
      </c>
      <c r="BX49" s="37" t="str">
        <f aca="false">IF(A49="","",ROUND((IF(LEN(D49)&gt;0,1,0)+IF(LEN(E49)&gt;0,1,0)+IF(LEN(F49)&gt;0,1,0)+IF(LEN(G49)&gt;0,1,0)+IF(LEN(H49)&gt;0,1,0)+IF(LEN(I49)&gt;0,1,0)+IF(LEN(J49)&gt;0,1,0)+IF(LEN(K49)&gt;0,1,0)+IF(LEN(N49)&gt;0,1,0)+IF(LEN(O49)&gt;0,1,0)+IF(LEN(W49)&gt;0,1,0)+IF(LEN(X49)&gt;0,1,0)+IF(LEN(Y49)&gt;0,1,0)+IF(LEN(AG49)&gt;0,1,0)+IF(LEN(AI49)&gt;0,1,0)+IF(LEN(AJ49)&gt;0,1,0)+IF(LEN(AK49)&gt;0,1,0)+IF(LEN(AL49)&gt;0,1,0)+IF(LEN(AU49)&gt;0,1,0)+IF(LEN(BF49)&gt;0,1,0)+IF(LEN(BS49)&gt;0,1,0))/21,2))</f>
        <v/>
      </c>
      <c r="BY49" s="10" t="str">
        <f aca="false">IF(D49="","",IF(AND(AJ49="Approved",ISERROR(SEARCH("FAIL",BC49))),"Y","N"))</f>
        <v/>
      </c>
      <c r="BZ49" s="10" t="str">
        <f aca="false">IF(D49="","",D49&amp;"|"&amp;F49&amp;"|"&amp;G49&amp;"|"&amp;BY49)</f>
        <v/>
      </c>
    </row>
    <row r="50" customFormat="false" ht="15" hidden="false" customHeight="false" outlineLevel="0" collapsed="false">
      <c r="A50" s="10" t="str">
        <f aca="false">IF(D50="","","LKW-"&amp;IFERROR(VLOOKUP(D50,Lists!$AQ$4:$AR$17,2,0),"??")&amp;"-W"&amp;TEXT(F50*1000,"0000")&amp;"-H"&amp;TEXT(G50*1000,"0000")&amp;"-B"&amp;TEXT(H50*1000,"0000")&amp;"-"&amp;AI50)</f>
        <v/>
      </c>
      <c r="B50" s="10" t="str">
        <f aca="false">IF(D50="","",D50&amp;", "&amp;F50&amp;" m wide, "&amp;G50&amp;" m headroom, "&amp;H50&amp;" m bays, "&amp;I50&amp;" ("&amp;E50&amp;")")</f>
        <v/>
      </c>
      <c r="C50" s="9"/>
      <c r="D50" s="9"/>
      <c r="E50" s="9"/>
      <c r="F50" s="42"/>
      <c r="G50" s="42"/>
      <c r="H50" s="42"/>
      <c r="I50" s="9"/>
      <c r="J50" s="9"/>
      <c r="K50" s="9"/>
      <c r="L50" s="9"/>
      <c r="M50" s="9"/>
      <c r="N50" s="9"/>
      <c r="O50" s="9"/>
      <c r="P50" s="9"/>
      <c r="Q50" s="9"/>
      <c r="R50" s="9"/>
      <c r="S50" s="42"/>
      <c r="T50" s="9"/>
      <c r="U50" s="9"/>
      <c r="V50" s="9"/>
      <c r="W50" s="38"/>
      <c r="X50" s="42"/>
      <c r="Y50" s="9"/>
      <c r="Z50" s="9"/>
      <c r="AA50" s="9"/>
      <c r="AB50" s="42"/>
      <c r="AC50" s="9"/>
      <c r="AD50" s="38"/>
      <c r="AE50" s="9"/>
      <c r="AF50" s="39"/>
      <c r="AG50" s="9"/>
      <c r="AH50" s="9"/>
      <c r="AI50" s="9"/>
      <c r="AJ50" s="9"/>
      <c r="AK50" s="9"/>
      <c r="AL50" s="9"/>
      <c r="AM50" s="9"/>
      <c r="AN50" s="10" t="str">
        <f aca="false">IF(A50="","",SG_Criteria!$B$6&amp;SG_Criteria!$B$12&amp;"\"&amp;A50&amp;"\")</f>
        <v/>
      </c>
      <c r="AO50" s="10" t="str">
        <f aca="false">IF(A50="","",A50&amp;"_CAD.dwg")</f>
        <v/>
      </c>
      <c r="AP50" s="10" t="str">
        <f aca="false">IF(A50="","",A50&amp;"_DWG.pdf")</f>
        <v/>
      </c>
      <c r="AQ50" s="10" t="str">
        <f aca="false">IF(A50="","",IF(AM50="Y",A50&amp;"_STAAD.std","n/a"))</f>
        <v/>
      </c>
      <c r="AR50" s="10" t="str">
        <f aca="false">IF(A50="","",A50&amp;"_CALC.xlsx")</f>
        <v/>
      </c>
      <c r="AS50" s="10" t="str">
        <f aca="false">IF(A50="","",A50&amp;"_CALC.pdf")</f>
        <v/>
      </c>
      <c r="AT50" s="9"/>
      <c r="AU50" s="9"/>
      <c r="AV50" s="39"/>
      <c r="AW50" s="39"/>
      <c r="AX50" s="39"/>
      <c r="AY50" s="39"/>
      <c r="AZ50" s="39"/>
      <c r="BA50" s="12" t="str">
        <f aca="false">IF(A50="","",IF(COUNTIF(Rebar_Schedule!$A$5:$A$2004,A50)=0,"",ROUND(SUMIF(Rebar_Schedule!$A$5:$A$2004,A50,Rebar_Schedule!$K$5:$K$2004),1)))</f>
        <v/>
      </c>
      <c r="BB50" s="33" t="str">
        <f aca="false">IF(A50="","",IF(BA50="","No rebar schedule yet",IF(ABS(BA50-N(AW50))/MAX(N(AW50),1)&gt;SG_Criteria!$B$55,"NOTE: register rebar differs from schedule by "&amp;TEXT(ABS(BA50-N(AW50))/MAX(N(AW50),1),"0%"),"OK")))</f>
        <v/>
      </c>
      <c r="BC50" s="33" t="str">
        <f aca="false">IF(D50="","",IF(LEN(IF(AND(D50&lt;&gt;"High Covered Linkway",G50&lt;SG_Criteria!$B$46),"FAIL: headroom below "&amp;SG_Criteria!$B$46&amp;" m. ","")&amp;IF(AND(D50="High Covered Linkway",G50&lt;SG_Criteria!$B$47),"FAIL: high linkway headroom below "&amp;SG_Criteria!$B$47&amp;" m. ","")&amp;IF(F50&lt;SG_Criteria!$B$48,"FAIL: roof width below "&amp;SG_Criteria!$B$48&amp;" m. ",IF(F50&lt;SG_Criteria!$B$49,"NOTE: not for MRT/LRT or high-traffic routes (min "&amp;SG_Criteria!$B$49&amp;" m). ",""))&amp;IF(AND(W50&lt;&gt;"",W50&lt;SG_Criteria!$B$50),"FAIL: wind speed below "&amp;SG_Criteria!$B$50&amp;" m/s. ","")&amp;IF(AND(X50&lt;&gt;"",X50&lt;SG_Criteria!$B$51),"FAIL: roof fixing pull-out below "&amp;SG_Criteria!$B$51&amp;" kN. ","")&amp;IF(AND(Y50&lt;&gt;"",IFERROR(VALUE(MID(Y50,2,2)),0)&lt;SG_Criteria!$B$52),"FAIL: grade below C"&amp;SG_Criteria!$B$52&amp;". ","")&amp;IF(E50="Non-standard (project design)","NOTE: not an SDRE standard, needs LTA acceptance. ",""))=0,"OK",IF(AND(D50&lt;&gt;"High Covered Linkway",G50&lt;SG_Criteria!$B$46),"FAIL: headroom below "&amp;SG_Criteria!$B$46&amp;" m. ","")&amp;IF(AND(D50="High Covered Linkway",G50&lt;SG_Criteria!$B$47),"FAIL: high linkway headroom below "&amp;SG_Criteria!$B$47&amp;" m. ","")&amp;IF(F50&lt;SG_Criteria!$B$48,"FAIL: roof width below "&amp;SG_Criteria!$B$48&amp;" m. ",IF(F50&lt;SG_Criteria!$B$49,"NOTE: not for MRT/LRT or high-traffic routes (min "&amp;SG_Criteria!$B$49&amp;" m). ",""))&amp;IF(AND(W50&lt;&gt;"",W50&lt;SG_Criteria!$B$50),"FAIL: wind speed below "&amp;SG_Criteria!$B$50&amp;" m/s. ","")&amp;IF(AND(X50&lt;&gt;"",X50&lt;SG_Criteria!$B$51),"FAIL: roof fixing pull-out below "&amp;SG_Criteria!$B$51&amp;" kN. ","")&amp;IF(AND(Y50&lt;&gt;"",IFERROR(VALUE(MID(Y50,2,2)),0)&lt;SG_Criteria!$B$52),"FAIL: grade below C"&amp;SG_Criteria!$B$52&amp;". ","")&amp;IF(E50="Non-standard (project design)","NOTE: not an SDRE standard, needs LTA acceptance. ","")))</f>
        <v/>
      </c>
      <c r="BD50" s="9"/>
      <c r="BE50" s="9"/>
      <c r="BF50" s="9"/>
      <c r="BG50" s="10" t="str">
        <f aca="false">IF(BF50="","",IFERROR(VLOOKUP(BF50,Projects!$A$5:$D$504,2,0),"Ref not in Projects"))</f>
        <v/>
      </c>
      <c r="BH50" s="10" t="str">
        <f aca="false">IF(BF50="","",IFERROR(VLOOKUP(BF50,Projects!$A$5:$D$504,4,0),"Ref not in Projects"))</f>
        <v/>
      </c>
      <c r="BI50" s="9"/>
      <c r="BJ50" s="9"/>
      <c r="BK50" s="9"/>
      <c r="BL50" s="40"/>
      <c r="BM50" s="9"/>
      <c r="BN50" s="40"/>
      <c r="BO50" s="9"/>
      <c r="BP50" s="40"/>
      <c r="BQ50" s="9"/>
      <c r="BR50" s="9"/>
      <c r="BS50" s="9"/>
      <c r="BT50" s="40"/>
      <c r="BU50" s="40"/>
      <c r="BV50" s="36" t="str">
        <f aca="false">IF(BU50="","",EDATE(BU50,SG_Criteria!$B$54*12))</f>
        <v/>
      </c>
      <c r="BW50" s="33" t="str">
        <f aca="true">IF(A50="","",IF(BU50="","NOTE: not reviewed yet",IF(TODAY()&gt;BV50,"NOTE: review overdue","OK")))</f>
        <v/>
      </c>
      <c r="BX50" s="37" t="str">
        <f aca="false">IF(A50="","",ROUND((IF(LEN(D50)&gt;0,1,0)+IF(LEN(E50)&gt;0,1,0)+IF(LEN(F50)&gt;0,1,0)+IF(LEN(G50)&gt;0,1,0)+IF(LEN(H50)&gt;0,1,0)+IF(LEN(I50)&gt;0,1,0)+IF(LEN(J50)&gt;0,1,0)+IF(LEN(K50)&gt;0,1,0)+IF(LEN(N50)&gt;0,1,0)+IF(LEN(O50)&gt;0,1,0)+IF(LEN(W50)&gt;0,1,0)+IF(LEN(X50)&gt;0,1,0)+IF(LEN(Y50)&gt;0,1,0)+IF(LEN(AG50)&gt;0,1,0)+IF(LEN(AI50)&gt;0,1,0)+IF(LEN(AJ50)&gt;0,1,0)+IF(LEN(AK50)&gt;0,1,0)+IF(LEN(AL50)&gt;0,1,0)+IF(LEN(AU50)&gt;0,1,0)+IF(LEN(BF50)&gt;0,1,0)+IF(LEN(BS50)&gt;0,1,0))/21,2))</f>
        <v/>
      </c>
      <c r="BY50" s="10" t="str">
        <f aca="false">IF(D50="","",IF(AND(AJ50="Approved",ISERROR(SEARCH("FAIL",BC50))),"Y","N"))</f>
        <v/>
      </c>
      <c r="BZ50" s="10" t="str">
        <f aca="false">IF(D50="","",D50&amp;"|"&amp;F50&amp;"|"&amp;G50&amp;"|"&amp;BY50)</f>
        <v/>
      </c>
    </row>
    <row r="51" customFormat="false" ht="15" hidden="false" customHeight="false" outlineLevel="0" collapsed="false">
      <c r="A51" s="10" t="str">
        <f aca="false">IF(D51="","","LKW-"&amp;IFERROR(VLOOKUP(D51,Lists!$AQ$4:$AR$17,2,0),"??")&amp;"-W"&amp;TEXT(F51*1000,"0000")&amp;"-H"&amp;TEXT(G51*1000,"0000")&amp;"-B"&amp;TEXT(H51*1000,"0000")&amp;"-"&amp;AI51)</f>
        <v/>
      </c>
      <c r="B51" s="10" t="str">
        <f aca="false">IF(D51="","",D51&amp;", "&amp;F51&amp;" m wide, "&amp;G51&amp;" m headroom, "&amp;H51&amp;" m bays, "&amp;I51&amp;" ("&amp;E51&amp;")")</f>
        <v/>
      </c>
      <c r="C51" s="9"/>
      <c r="D51" s="9"/>
      <c r="E51" s="9"/>
      <c r="F51" s="42"/>
      <c r="G51" s="42"/>
      <c r="H51" s="42"/>
      <c r="I51" s="9"/>
      <c r="J51" s="9"/>
      <c r="K51" s="9"/>
      <c r="L51" s="9"/>
      <c r="M51" s="9"/>
      <c r="N51" s="9"/>
      <c r="O51" s="9"/>
      <c r="P51" s="9"/>
      <c r="Q51" s="9"/>
      <c r="R51" s="9"/>
      <c r="S51" s="42"/>
      <c r="T51" s="9"/>
      <c r="U51" s="9"/>
      <c r="V51" s="9"/>
      <c r="W51" s="38"/>
      <c r="X51" s="42"/>
      <c r="Y51" s="9"/>
      <c r="Z51" s="9"/>
      <c r="AA51" s="9"/>
      <c r="AB51" s="42"/>
      <c r="AC51" s="9"/>
      <c r="AD51" s="38"/>
      <c r="AE51" s="9"/>
      <c r="AF51" s="39"/>
      <c r="AG51" s="9"/>
      <c r="AH51" s="9"/>
      <c r="AI51" s="9"/>
      <c r="AJ51" s="9"/>
      <c r="AK51" s="9"/>
      <c r="AL51" s="9"/>
      <c r="AM51" s="9"/>
      <c r="AN51" s="10" t="str">
        <f aca="false">IF(A51="","",SG_Criteria!$B$6&amp;SG_Criteria!$B$12&amp;"\"&amp;A51&amp;"\")</f>
        <v/>
      </c>
      <c r="AO51" s="10" t="str">
        <f aca="false">IF(A51="","",A51&amp;"_CAD.dwg")</f>
        <v/>
      </c>
      <c r="AP51" s="10" t="str">
        <f aca="false">IF(A51="","",A51&amp;"_DWG.pdf")</f>
        <v/>
      </c>
      <c r="AQ51" s="10" t="str">
        <f aca="false">IF(A51="","",IF(AM51="Y",A51&amp;"_STAAD.std","n/a"))</f>
        <v/>
      </c>
      <c r="AR51" s="10" t="str">
        <f aca="false">IF(A51="","",A51&amp;"_CALC.xlsx")</f>
        <v/>
      </c>
      <c r="AS51" s="10" t="str">
        <f aca="false">IF(A51="","",A51&amp;"_CALC.pdf")</f>
        <v/>
      </c>
      <c r="AT51" s="9"/>
      <c r="AU51" s="9"/>
      <c r="AV51" s="39"/>
      <c r="AW51" s="39"/>
      <c r="AX51" s="39"/>
      <c r="AY51" s="39"/>
      <c r="AZ51" s="39"/>
      <c r="BA51" s="12" t="str">
        <f aca="false">IF(A51="","",IF(COUNTIF(Rebar_Schedule!$A$5:$A$2004,A51)=0,"",ROUND(SUMIF(Rebar_Schedule!$A$5:$A$2004,A51,Rebar_Schedule!$K$5:$K$2004),1)))</f>
        <v/>
      </c>
      <c r="BB51" s="33" t="str">
        <f aca="false">IF(A51="","",IF(BA51="","No rebar schedule yet",IF(ABS(BA51-N(AW51))/MAX(N(AW51),1)&gt;SG_Criteria!$B$55,"NOTE: register rebar differs from schedule by "&amp;TEXT(ABS(BA51-N(AW51))/MAX(N(AW51),1),"0%"),"OK")))</f>
        <v/>
      </c>
      <c r="BC51" s="33" t="str">
        <f aca="false">IF(D51="","",IF(LEN(IF(AND(D51&lt;&gt;"High Covered Linkway",G51&lt;SG_Criteria!$B$46),"FAIL: headroom below "&amp;SG_Criteria!$B$46&amp;" m. ","")&amp;IF(AND(D51="High Covered Linkway",G51&lt;SG_Criteria!$B$47),"FAIL: high linkway headroom below "&amp;SG_Criteria!$B$47&amp;" m. ","")&amp;IF(F51&lt;SG_Criteria!$B$48,"FAIL: roof width below "&amp;SG_Criteria!$B$48&amp;" m. ",IF(F51&lt;SG_Criteria!$B$49,"NOTE: not for MRT/LRT or high-traffic routes (min "&amp;SG_Criteria!$B$49&amp;" m). ",""))&amp;IF(AND(W51&lt;&gt;"",W51&lt;SG_Criteria!$B$50),"FAIL: wind speed below "&amp;SG_Criteria!$B$50&amp;" m/s. ","")&amp;IF(AND(X51&lt;&gt;"",X51&lt;SG_Criteria!$B$51),"FAIL: roof fixing pull-out below "&amp;SG_Criteria!$B$51&amp;" kN. ","")&amp;IF(AND(Y51&lt;&gt;"",IFERROR(VALUE(MID(Y51,2,2)),0)&lt;SG_Criteria!$B$52),"FAIL: grade below C"&amp;SG_Criteria!$B$52&amp;". ","")&amp;IF(E51="Non-standard (project design)","NOTE: not an SDRE standard, needs LTA acceptance. ",""))=0,"OK",IF(AND(D51&lt;&gt;"High Covered Linkway",G51&lt;SG_Criteria!$B$46),"FAIL: headroom below "&amp;SG_Criteria!$B$46&amp;" m. ","")&amp;IF(AND(D51="High Covered Linkway",G51&lt;SG_Criteria!$B$47),"FAIL: high linkway headroom below "&amp;SG_Criteria!$B$47&amp;" m. ","")&amp;IF(F51&lt;SG_Criteria!$B$48,"FAIL: roof width below "&amp;SG_Criteria!$B$48&amp;" m. ",IF(F51&lt;SG_Criteria!$B$49,"NOTE: not for MRT/LRT or high-traffic routes (min "&amp;SG_Criteria!$B$49&amp;" m). ",""))&amp;IF(AND(W51&lt;&gt;"",W51&lt;SG_Criteria!$B$50),"FAIL: wind speed below "&amp;SG_Criteria!$B$50&amp;" m/s. ","")&amp;IF(AND(X51&lt;&gt;"",X51&lt;SG_Criteria!$B$51),"FAIL: roof fixing pull-out below "&amp;SG_Criteria!$B$51&amp;" kN. ","")&amp;IF(AND(Y51&lt;&gt;"",IFERROR(VALUE(MID(Y51,2,2)),0)&lt;SG_Criteria!$B$52),"FAIL: grade below C"&amp;SG_Criteria!$B$52&amp;". ","")&amp;IF(E51="Non-standard (project design)","NOTE: not an SDRE standard, needs LTA acceptance. ","")))</f>
        <v/>
      </c>
      <c r="BD51" s="9"/>
      <c r="BE51" s="9"/>
      <c r="BF51" s="9"/>
      <c r="BG51" s="10" t="str">
        <f aca="false">IF(BF51="","",IFERROR(VLOOKUP(BF51,Projects!$A$5:$D$504,2,0),"Ref not in Projects"))</f>
        <v/>
      </c>
      <c r="BH51" s="10" t="str">
        <f aca="false">IF(BF51="","",IFERROR(VLOOKUP(BF51,Projects!$A$5:$D$504,4,0),"Ref not in Projects"))</f>
        <v/>
      </c>
      <c r="BI51" s="9"/>
      <c r="BJ51" s="9"/>
      <c r="BK51" s="9"/>
      <c r="BL51" s="40"/>
      <c r="BM51" s="9"/>
      <c r="BN51" s="40"/>
      <c r="BO51" s="9"/>
      <c r="BP51" s="40"/>
      <c r="BQ51" s="9"/>
      <c r="BR51" s="9"/>
      <c r="BS51" s="9"/>
      <c r="BT51" s="40"/>
      <c r="BU51" s="40"/>
      <c r="BV51" s="36" t="str">
        <f aca="false">IF(BU51="","",EDATE(BU51,SG_Criteria!$B$54*12))</f>
        <v/>
      </c>
      <c r="BW51" s="33" t="str">
        <f aca="true">IF(A51="","",IF(BU51="","NOTE: not reviewed yet",IF(TODAY()&gt;BV51,"NOTE: review overdue","OK")))</f>
        <v/>
      </c>
      <c r="BX51" s="37" t="str">
        <f aca="false">IF(A51="","",ROUND((IF(LEN(D51)&gt;0,1,0)+IF(LEN(E51)&gt;0,1,0)+IF(LEN(F51)&gt;0,1,0)+IF(LEN(G51)&gt;0,1,0)+IF(LEN(H51)&gt;0,1,0)+IF(LEN(I51)&gt;0,1,0)+IF(LEN(J51)&gt;0,1,0)+IF(LEN(K51)&gt;0,1,0)+IF(LEN(N51)&gt;0,1,0)+IF(LEN(O51)&gt;0,1,0)+IF(LEN(W51)&gt;0,1,0)+IF(LEN(X51)&gt;0,1,0)+IF(LEN(Y51)&gt;0,1,0)+IF(LEN(AG51)&gt;0,1,0)+IF(LEN(AI51)&gt;0,1,0)+IF(LEN(AJ51)&gt;0,1,0)+IF(LEN(AK51)&gt;0,1,0)+IF(LEN(AL51)&gt;0,1,0)+IF(LEN(AU51)&gt;0,1,0)+IF(LEN(BF51)&gt;0,1,0)+IF(LEN(BS51)&gt;0,1,0))/21,2))</f>
        <v/>
      </c>
      <c r="BY51" s="10" t="str">
        <f aca="false">IF(D51="","",IF(AND(AJ51="Approved",ISERROR(SEARCH("FAIL",BC51))),"Y","N"))</f>
        <v/>
      </c>
      <c r="BZ51" s="10" t="str">
        <f aca="false">IF(D51="","",D51&amp;"|"&amp;F51&amp;"|"&amp;G51&amp;"|"&amp;BY51)</f>
        <v/>
      </c>
    </row>
    <row r="52" customFormat="false" ht="15" hidden="false" customHeight="false" outlineLevel="0" collapsed="false">
      <c r="A52" s="10" t="str">
        <f aca="false">IF(D52="","","LKW-"&amp;IFERROR(VLOOKUP(D52,Lists!$AQ$4:$AR$17,2,0),"??")&amp;"-W"&amp;TEXT(F52*1000,"0000")&amp;"-H"&amp;TEXT(G52*1000,"0000")&amp;"-B"&amp;TEXT(H52*1000,"0000")&amp;"-"&amp;AI52)</f>
        <v/>
      </c>
      <c r="B52" s="10" t="str">
        <f aca="false">IF(D52="","",D52&amp;", "&amp;F52&amp;" m wide, "&amp;G52&amp;" m headroom, "&amp;H52&amp;" m bays, "&amp;I52&amp;" ("&amp;E52&amp;")")</f>
        <v/>
      </c>
      <c r="C52" s="9"/>
      <c r="D52" s="9"/>
      <c r="E52" s="9"/>
      <c r="F52" s="42"/>
      <c r="G52" s="42"/>
      <c r="H52" s="42"/>
      <c r="I52" s="9"/>
      <c r="J52" s="9"/>
      <c r="K52" s="9"/>
      <c r="L52" s="9"/>
      <c r="M52" s="9"/>
      <c r="N52" s="9"/>
      <c r="O52" s="9"/>
      <c r="P52" s="9"/>
      <c r="Q52" s="9"/>
      <c r="R52" s="9"/>
      <c r="S52" s="42"/>
      <c r="T52" s="9"/>
      <c r="U52" s="9"/>
      <c r="V52" s="9"/>
      <c r="W52" s="38"/>
      <c r="X52" s="42"/>
      <c r="Y52" s="9"/>
      <c r="Z52" s="9"/>
      <c r="AA52" s="9"/>
      <c r="AB52" s="42"/>
      <c r="AC52" s="9"/>
      <c r="AD52" s="38"/>
      <c r="AE52" s="9"/>
      <c r="AF52" s="39"/>
      <c r="AG52" s="9"/>
      <c r="AH52" s="9"/>
      <c r="AI52" s="9"/>
      <c r="AJ52" s="9"/>
      <c r="AK52" s="9"/>
      <c r="AL52" s="9"/>
      <c r="AM52" s="9"/>
      <c r="AN52" s="10" t="str">
        <f aca="false">IF(A52="","",SG_Criteria!$B$6&amp;SG_Criteria!$B$12&amp;"\"&amp;A52&amp;"\")</f>
        <v/>
      </c>
      <c r="AO52" s="10" t="str">
        <f aca="false">IF(A52="","",A52&amp;"_CAD.dwg")</f>
        <v/>
      </c>
      <c r="AP52" s="10" t="str">
        <f aca="false">IF(A52="","",A52&amp;"_DWG.pdf")</f>
        <v/>
      </c>
      <c r="AQ52" s="10" t="str">
        <f aca="false">IF(A52="","",IF(AM52="Y",A52&amp;"_STAAD.std","n/a"))</f>
        <v/>
      </c>
      <c r="AR52" s="10" t="str">
        <f aca="false">IF(A52="","",A52&amp;"_CALC.xlsx")</f>
        <v/>
      </c>
      <c r="AS52" s="10" t="str">
        <f aca="false">IF(A52="","",A52&amp;"_CALC.pdf")</f>
        <v/>
      </c>
      <c r="AT52" s="9"/>
      <c r="AU52" s="9"/>
      <c r="AV52" s="39"/>
      <c r="AW52" s="39"/>
      <c r="AX52" s="39"/>
      <c r="AY52" s="39"/>
      <c r="AZ52" s="39"/>
      <c r="BA52" s="12" t="str">
        <f aca="false">IF(A52="","",IF(COUNTIF(Rebar_Schedule!$A$5:$A$2004,A52)=0,"",ROUND(SUMIF(Rebar_Schedule!$A$5:$A$2004,A52,Rebar_Schedule!$K$5:$K$2004),1)))</f>
        <v/>
      </c>
      <c r="BB52" s="33" t="str">
        <f aca="false">IF(A52="","",IF(BA52="","No rebar schedule yet",IF(ABS(BA52-N(AW52))/MAX(N(AW52),1)&gt;SG_Criteria!$B$55,"NOTE: register rebar differs from schedule by "&amp;TEXT(ABS(BA52-N(AW52))/MAX(N(AW52),1),"0%"),"OK")))</f>
        <v/>
      </c>
      <c r="BC52" s="33" t="str">
        <f aca="false">IF(D52="","",IF(LEN(IF(AND(D52&lt;&gt;"High Covered Linkway",G52&lt;SG_Criteria!$B$46),"FAIL: headroom below "&amp;SG_Criteria!$B$46&amp;" m. ","")&amp;IF(AND(D52="High Covered Linkway",G52&lt;SG_Criteria!$B$47),"FAIL: high linkway headroom below "&amp;SG_Criteria!$B$47&amp;" m. ","")&amp;IF(F52&lt;SG_Criteria!$B$48,"FAIL: roof width below "&amp;SG_Criteria!$B$48&amp;" m. ",IF(F52&lt;SG_Criteria!$B$49,"NOTE: not for MRT/LRT or high-traffic routes (min "&amp;SG_Criteria!$B$49&amp;" m). ",""))&amp;IF(AND(W52&lt;&gt;"",W52&lt;SG_Criteria!$B$50),"FAIL: wind speed below "&amp;SG_Criteria!$B$50&amp;" m/s. ","")&amp;IF(AND(X52&lt;&gt;"",X52&lt;SG_Criteria!$B$51),"FAIL: roof fixing pull-out below "&amp;SG_Criteria!$B$51&amp;" kN. ","")&amp;IF(AND(Y52&lt;&gt;"",IFERROR(VALUE(MID(Y52,2,2)),0)&lt;SG_Criteria!$B$52),"FAIL: grade below C"&amp;SG_Criteria!$B$52&amp;". ","")&amp;IF(E52="Non-standard (project design)","NOTE: not an SDRE standard, needs LTA acceptance. ",""))=0,"OK",IF(AND(D52&lt;&gt;"High Covered Linkway",G52&lt;SG_Criteria!$B$46),"FAIL: headroom below "&amp;SG_Criteria!$B$46&amp;" m. ","")&amp;IF(AND(D52="High Covered Linkway",G52&lt;SG_Criteria!$B$47),"FAIL: high linkway headroom below "&amp;SG_Criteria!$B$47&amp;" m. ","")&amp;IF(F52&lt;SG_Criteria!$B$48,"FAIL: roof width below "&amp;SG_Criteria!$B$48&amp;" m. ",IF(F52&lt;SG_Criteria!$B$49,"NOTE: not for MRT/LRT or high-traffic routes (min "&amp;SG_Criteria!$B$49&amp;" m). ",""))&amp;IF(AND(W52&lt;&gt;"",W52&lt;SG_Criteria!$B$50),"FAIL: wind speed below "&amp;SG_Criteria!$B$50&amp;" m/s. ","")&amp;IF(AND(X52&lt;&gt;"",X52&lt;SG_Criteria!$B$51),"FAIL: roof fixing pull-out below "&amp;SG_Criteria!$B$51&amp;" kN. ","")&amp;IF(AND(Y52&lt;&gt;"",IFERROR(VALUE(MID(Y52,2,2)),0)&lt;SG_Criteria!$B$52),"FAIL: grade below C"&amp;SG_Criteria!$B$52&amp;". ","")&amp;IF(E52="Non-standard (project design)","NOTE: not an SDRE standard, needs LTA acceptance. ","")))</f>
        <v/>
      </c>
      <c r="BD52" s="9"/>
      <c r="BE52" s="9"/>
      <c r="BF52" s="9"/>
      <c r="BG52" s="10" t="str">
        <f aca="false">IF(BF52="","",IFERROR(VLOOKUP(BF52,Projects!$A$5:$D$504,2,0),"Ref not in Projects"))</f>
        <v/>
      </c>
      <c r="BH52" s="10" t="str">
        <f aca="false">IF(BF52="","",IFERROR(VLOOKUP(BF52,Projects!$A$5:$D$504,4,0),"Ref not in Projects"))</f>
        <v/>
      </c>
      <c r="BI52" s="9"/>
      <c r="BJ52" s="9"/>
      <c r="BK52" s="9"/>
      <c r="BL52" s="40"/>
      <c r="BM52" s="9"/>
      <c r="BN52" s="40"/>
      <c r="BO52" s="9"/>
      <c r="BP52" s="40"/>
      <c r="BQ52" s="9"/>
      <c r="BR52" s="9"/>
      <c r="BS52" s="9"/>
      <c r="BT52" s="40"/>
      <c r="BU52" s="40"/>
      <c r="BV52" s="36" t="str">
        <f aca="false">IF(BU52="","",EDATE(BU52,SG_Criteria!$B$54*12))</f>
        <v/>
      </c>
      <c r="BW52" s="33" t="str">
        <f aca="true">IF(A52="","",IF(BU52="","NOTE: not reviewed yet",IF(TODAY()&gt;BV52,"NOTE: review overdue","OK")))</f>
        <v/>
      </c>
      <c r="BX52" s="37" t="str">
        <f aca="false">IF(A52="","",ROUND((IF(LEN(D52)&gt;0,1,0)+IF(LEN(E52)&gt;0,1,0)+IF(LEN(F52)&gt;0,1,0)+IF(LEN(G52)&gt;0,1,0)+IF(LEN(H52)&gt;0,1,0)+IF(LEN(I52)&gt;0,1,0)+IF(LEN(J52)&gt;0,1,0)+IF(LEN(K52)&gt;0,1,0)+IF(LEN(N52)&gt;0,1,0)+IF(LEN(O52)&gt;0,1,0)+IF(LEN(W52)&gt;0,1,0)+IF(LEN(X52)&gt;0,1,0)+IF(LEN(Y52)&gt;0,1,0)+IF(LEN(AG52)&gt;0,1,0)+IF(LEN(AI52)&gt;0,1,0)+IF(LEN(AJ52)&gt;0,1,0)+IF(LEN(AK52)&gt;0,1,0)+IF(LEN(AL52)&gt;0,1,0)+IF(LEN(AU52)&gt;0,1,0)+IF(LEN(BF52)&gt;0,1,0)+IF(LEN(BS52)&gt;0,1,0))/21,2))</f>
        <v/>
      </c>
      <c r="BY52" s="10" t="str">
        <f aca="false">IF(D52="","",IF(AND(AJ52="Approved",ISERROR(SEARCH("FAIL",BC52))),"Y","N"))</f>
        <v/>
      </c>
      <c r="BZ52" s="10" t="str">
        <f aca="false">IF(D52="","",D52&amp;"|"&amp;F52&amp;"|"&amp;G52&amp;"|"&amp;BY52)</f>
        <v/>
      </c>
    </row>
    <row r="53" customFormat="false" ht="15" hidden="false" customHeight="false" outlineLevel="0" collapsed="false">
      <c r="A53" s="10" t="str">
        <f aca="false">IF(D53="","","LKW-"&amp;IFERROR(VLOOKUP(D53,Lists!$AQ$4:$AR$17,2,0),"??")&amp;"-W"&amp;TEXT(F53*1000,"0000")&amp;"-H"&amp;TEXT(G53*1000,"0000")&amp;"-B"&amp;TEXT(H53*1000,"0000")&amp;"-"&amp;AI53)</f>
        <v/>
      </c>
      <c r="B53" s="10" t="str">
        <f aca="false">IF(D53="","",D53&amp;", "&amp;F53&amp;" m wide, "&amp;G53&amp;" m headroom, "&amp;H53&amp;" m bays, "&amp;I53&amp;" ("&amp;E53&amp;")")</f>
        <v/>
      </c>
      <c r="C53" s="9"/>
      <c r="D53" s="9"/>
      <c r="E53" s="9"/>
      <c r="F53" s="42"/>
      <c r="G53" s="42"/>
      <c r="H53" s="42"/>
      <c r="I53" s="9"/>
      <c r="J53" s="9"/>
      <c r="K53" s="9"/>
      <c r="L53" s="9"/>
      <c r="M53" s="9"/>
      <c r="N53" s="9"/>
      <c r="O53" s="9"/>
      <c r="P53" s="9"/>
      <c r="Q53" s="9"/>
      <c r="R53" s="9"/>
      <c r="S53" s="42"/>
      <c r="T53" s="9"/>
      <c r="U53" s="9"/>
      <c r="V53" s="9"/>
      <c r="W53" s="38"/>
      <c r="X53" s="42"/>
      <c r="Y53" s="9"/>
      <c r="Z53" s="9"/>
      <c r="AA53" s="9"/>
      <c r="AB53" s="42"/>
      <c r="AC53" s="9"/>
      <c r="AD53" s="38"/>
      <c r="AE53" s="9"/>
      <c r="AF53" s="39"/>
      <c r="AG53" s="9"/>
      <c r="AH53" s="9"/>
      <c r="AI53" s="9"/>
      <c r="AJ53" s="9"/>
      <c r="AK53" s="9"/>
      <c r="AL53" s="9"/>
      <c r="AM53" s="9"/>
      <c r="AN53" s="10" t="str">
        <f aca="false">IF(A53="","",SG_Criteria!$B$6&amp;SG_Criteria!$B$12&amp;"\"&amp;A53&amp;"\")</f>
        <v/>
      </c>
      <c r="AO53" s="10" t="str">
        <f aca="false">IF(A53="","",A53&amp;"_CAD.dwg")</f>
        <v/>
      </c>
      <c r="AP53" s="10" t="str">
        <f aca="false">IF(A53="","",A53&amp;"_DWG.pdf")</f>
        <v/>
      </c>
      <c r="AQ53" s="10" t="str">
        <f aca="false">IF(A53="","",IF(AM53="Y",A53&amp;"_STAAD.std","n/a"))</f>
        <v/>
      </c>
      <c r="AR53" s="10" t="str">
        <f aca="false">IF(A53="","",A53&amp;"_CALC.xlsx")</f>
        <v/>
      </c>
      <c r="AS53" s="10" t="str">
        <f aca="false">IF(A53="","",A53&amp;"_CALC.pdf")</f>
        <v/>
      </c>
      <c r="AT53" s="9"/>
      <c r="AU53" s="9"/>
      <c r="AV53" s="39"/>
      <c r="AW53" s="39"/>
      <c r="AX53" s="39"/>
      <c r="AY53" s="39"/>
      <c r="AZ53" s="39"/>
      <c r="BA53" s="12" t="str">
        <f aca="false">IF(A53="","",IF(COUNTIF(Rebar_Schedule!$A$5:$A$2004,A53)=0,"",ROUND(SUMIF(Rebar_Schedule!$A$5:$A$2004,A53,Rebar_Schedule!$K$5:$K$2004),1)))</f>
        <v/>
      </c>
      <c r="BB53" s="33" t="str">
        <f aca="false">IF(A53="","",IF(BA53="","No rebar schedule yet",IF(ABS(BA53-N(AW53))/MAX(N(AW53),1)&gt;SG_Criteria!$B$55,"NOTE: register rebar differs from schedule by "&amp;TEXT(ABS(BA53-N(AW53))/MAX(N(AW53),1),"0%"),"OK")))</f>
        <v/>
      </c>
      <c r="BC53" s="33" t="str">
        <f aca="false">IF(D53="","",IF(LEN(IF(AND(D53&lt;&gt;"High Covered Linkway",G53&lt;SG_Criteria!$B$46),"FAIL: headroom below "&amp;SG_Criteria!$B$46&amp;" m. ","")&amp;IF(AND(D53="High Covered Linkway",G53&lt;SG_Criteria!$B$47),"FAIL: high linkway headroom below "&amp;SG_Criteria!$B$47&amp;" m. ","")&amp;IF(F53&lt;SG_Criteria!$B$48,"FAIL: roof width below "&amp;SG_Criteria!$B$48&amp;" m. ",IF(F53&lt;SG_Criteria!$B$49,"NOTE: not for MRT/LRT or high-traffic routes (min "&amp;SG_Criteria!$B$49&amp;" m). ",""))&amp;IF(AND(W53&lt;&gt;"",W53&lt;SG_Criteria!$B$50),"FAIL: wind speed below "&amp;SG_Criteria!$B$50&amp;" m/s. ","")&amp;IF(AND(X53&lt;&gt;"",X53&lt;SG_Criteria!$B$51),"FAIL: roof fixing pull-out below "&amp;SG_Criteria!$B$51&amp;" kN. ","")&amp;IF(AND(Y53&lt;&gt;"",IFERROR(VALUE(MID(Y53,2,2)),0)&lt;SG_Criteria!$B$52),"FAIL: grade below C"&amp;SG_Criteria!$B$52&amp;". ","")&amp;IF(E53="Non-standard (project design)","NOTE: not an SDRE standard, needs LTA acceptance. ",""))=0,"OK",IF(AND(D53&lt;&gt;"High Covered Linkway",G53&lt;SG_Criteria!$B$46),"FAIL: headroom below "&amp;SG_Criteria!$B$46&amp;" m. ","")&amp;IF(AND(D53="High Covered Linkway",G53&lt;SG_Criteria!$B$47),"FAIL: high linkway headroom below "&amp;SG_Criteria!$B$47&amp;" m. ","")&amp;IF(F53&lt;SG_Criteria!$B$48,"FAIL: roof width below "&amp;SG_Criteria!$B$48&amp;" m. ",IF(F53&lt;SG_Criteria!$B$49,"NOTE: not for MRT/LRT or high-traffic routes (min "&amp;SG_Criteria!$B$49&amp;" m). ",""))&amp;IF(AND(W53&lt;&gt;"",W53&lt;SG_Criteria!$B$50),"FAIL: wind speed below "&amp;SG_Criteria!$B$50&amp;" m/s. ","")&amp;IF(AND(X53&lt;&gt;"",X53&lt;SG_Criteria!$B$51),"FAIL: roof fixing pull-out below "&amp;SG_Criteria!$B$51&amp;" kN. ","")&amp;IF(AND(Y53&lt;&gt;"",IFERROR(VALUE(MID(Y53,2,2)),0)&lt;SG_Criteria!$B$52),"FAIL: grade below C"&amp;SG_Criteria!$B$52&amp;". ","")&amp;IF(E53="Non-standard (project design)","NOTE: not an SDRE standard, needs LTA acceptance. ","")))</f>
        <v/>
      </c>
      <c r="BD53" s="9"/>
      <c r="BE53" s="9"/>
      <c r="BF53" s="9"/>
      <c r="BG53" s="10" t="str">
        <f aca="false">IF(BF53="","",IFERROR(VLOOKUP(BF53,Projects!$A$5:$D$504,2,0),"Ref not in Projects"))</f>
        <v/>
      </c>
      <c r="BH53" s="10" t="str">
        <f aca="false">IF(BF53="","",IFERROR(VLOOKUP(BF53,Projects!$A$5:$D$504,4,0),"Ref not in Projects"))</f>
        <v/>
      </c>
      <c r="BI53" s="9"/>
      <c r="BJ53" s="9"/>
      <c r="BK53" s="9"/>
      <c r="BL53" s="40"/>
      <c r="BM53" s="9"/>
      <c r="BN53" s="40"/>
      <c r="BO53" s="9"/>
      <c r="BP53" s="40"/>
      <c r="BQ53" s="9"/>
      <c r="BR53" s="9"/>
      <c r="BS53" s="9"/>
      <c r="BT53" s="40"/>
      <c r="BU53" s="40"/>
      <c r="BV53" s="36" t="str">
        <f aca="false">IF(BU53="","",EDATE(BU53,SG_Criteria!$B$54*12))</f>
        <v/>
      </c>
      <c r="BW53" s="33" t="str">
        <f aca="true">IF(A53="","",IF(BU53="","NOTE: not reviewed yet",IF(TODAY()&gt;BV53,"NOTE: review overdue","OK")))</f>
        <v/>
      </c>
      <c r="BX53" s="37" t="str">
        <f aca="false">IF(A53="","",ROUND((IF(LEN(D53)&gt;0,1,0)+IF(LEN(E53)&gt;0,1,0)+IF(LEN(F53)&gt;0,1,0)+IF(LEN(G53)&gt;0,1,0)+IF(LEN(H53)&gt;0,1,0)+IF(LEN(I53)&gt;0,1,0)+IF(LEN(J53)&gt;0,1,0)+IF(LEN(K53)&gt;0,1,0)+IF(LEN(N53)&gt;0,1,0)+IF(LEN(O53)&gt;0,1,0)+IF(LEN(W53)&gt;0,1,0)+IF(LEN(X53)&gt;0,1,0)+IF(LEN(Y53)&gt;0,1,0)+IF(LEN(AG53)&gt;0,1,0)+IF(LEN(AI53)&gt;0,1,0)+IF(LEN(AJ53)&gt;0,1,0)+IF(LEN(AK53)&gt;0,1,0)+IF(LEN(AL53)&gt;0,1,0)+IF(LEN(AU53)&gt;0,1,0)+IF(LEN(BF53)&gt;0,1,0)+IF(LEN(BS53)&gt;0,1,0))/21,2))</f>
        <v/>
      </c>
      <c r="BY53" s="10" t="str">
        <f aca="false">IF(D53="","",IF(AND(AJ53="Approved",ISERROR(SEARCH("FAIL",BC53))),"Y","N"))</f>
        <v/>
      </c>
      <c r="BZ53" s="10" t="str">
        <f aca="false">IF(D53="","",D53&amp;"|"&amp;F53&amp;"|"&amp;G53&amp;"|"&amp;BY53)</f>
        <v/>
      </c>
    </row>
    <row r="54" customFormat="false" ht="15" hidden="false" customHeight="false" outlineLevel="0" collapsed="false">
      <c r="A54" s="10" t="str">
        <f aca="false">IF(D54="","","LKW-"&amp;IFERROR(VLOOKUP(D54,Lists!$AQ$4:$AR$17,2,0),"??")&amp;"-W"&amp;TEXT(F54*1000,"0000")&amp;"-H"&amp;TEXT(G54*1000,"0000")&amp;"-B"&amp;TEXT(H54*1000,"0000")&amp;"-"&amp;AI54)</f>
        <v/>
      </c>
      <c r="B54" s="10" t="str">
        <f aca="false">IF(D54="","",D54&amp;", "&amp;F54&amp;" m wide, "&amp;G54&amp;" m headroom, "&amp;H54&amp;" m bays, "&amp;I54&amp;" ("&amp;E54&amp;")")</f>
        <v/>
      </c>
      <c r="C54" s="9"/>
      <c r="D54" s="9"/>
      <c r="E54" s="9"/>
      <c r="F54" s="42"/>
      <c r="G54" s="42"/>
      <c r="H54" s="42"/>
      <c r="I54" s="9"/>
      <c r="J54" s="9"/>
      <c r="K54" s="9"/>
      <c r="L54" s="9"/>
      <c r="M54" s="9"/>
      <c r="N54" s="9"/>
      <c r="O54" s="9"/>
      <c r="P54" s="9"/>
      <c r="Q54" s="9"/>
      <c r="R54" s="9"/>
      <c r="S54" s="42"/>
      <c r="T54" s="9"/>
      <c r="U54" s="9"/>
      <c r="V54" s="9"/>
      <c r="W54" s="38"/>
      <c r="X54" s="42"/>
      <c r="Y54" s="9"/>
      <c r="Z54" s="9"/>
      <c r="AA54" s="9"/>
      <c r="AB54" s="42"/>
      <c r="AC54" s="9"/>
      <c r="AD54" s="38"/>
      <c r="AE54" s="9"/>
      <c r="AF54" s="39"/>
      <c r="AG54" s="9"/>
      <c r="AH54" s="9"/>
      <c r="AI54" s="9"/>
      <c r="AJ54" s="9"/>
      <c r="AK54" s="9"/>
      <c r="AL54" s="9"/>
      <c r="AM54" s="9"/>
      <c r="AN54" s="10" t="str">
        <f aca="false">IF(A54="","",SG_Criteria!$B$6&amp;SG_Criteria!$B$12&amp;"\"&amp;A54&amp;"\")</f>
        <v/>
      </c>
      <c r="AO54" s="10" t="str">
        <f aca="false">IF(A54="","",A54&amp;"_CAD.dwg")</f>
        <v/>
      </c>
      <c r="AP54" s="10" t="str">
        <f aca="false">IF(A54="","",A54&amp;"_DWG.pdf")</f>
        <v/>
      </c>
      <c r="AQ54" s="10" t="str">
        <f aca="false">IF(A54="","",IF(AM54="Y",A54&amp;"_STAAD.std","n/a"))</f>
        <v/>
      </c>
      <c r="AR54" s="10" t="str">
        <f aca="false">IF(A54="","",A54&amp;"_CALC.xlsx")</f>
        <v/>
      </c>
      <c r="AS54" s="10" t="str">
        <f aca="false">IF(A54="","",A54&amp;"_CALC.pdf")</f>
        <v/>
      </c>
      <c r="AT54" s="9"/>
      <c r="AU54" s="9"/>
      <c r="AV54" s="39"/>
      <c r="AW54" s="39"/>
      <c r="AX54" s="39"/>
      <c r="AY54" s="39"/>
      <c r="AZ54" s="39"/>
      <c r="BA54" s="12" t="str">
        <f aca="false">IF(A54="","",IF(COUNTIF(Rebar_Schedule!$A$5:$A$2004,A54)=0,"",ROUND(SUMIF(Rebar_Schedule!$A$5:$A$2004,A54,Rebar_Schedule!$K$5:$K$2004),1)))</f>
        <v/>
      </c>
      <c r="BB54" s="33" t="str">
        <f aca="false">IF(A54="","",IF(BA54="","No rebar schedule yet",IF(ABS(BA54-N(AW54))/MAX(N(AW54),1)&gt;SG_Criteria!$B$55,"NOTE: register rebar differs from schedule by "&amp;TEXT(ABS(BA54-N(AW54))/MAX(N(AW54),1),"0%"),"OK")))</f>
        <v/>
      </c>
      <c r="BC54" s="33" t="str">
        <f aca="false">IF(D54="","",IF(LEN(IF(AND(D54&lt;&gt;"High Covered Linkway",G54&lt;SG_Criteria!$B$46),"FAIL: headroom below "&amp;SG_Criteria!$B$46&amp;" m. ","")&amp;IF(AND(D54="High Covered Linkway",G54&lt;SG_Criteria!$B$47),"FAIL: high linkway headroom below "&amp;SG_Criteria!$B$47&amp;" m. ","")&amp;IF(F54&lt;SG_Criteria!$B$48,"FAIL: roof width below "&amp;SG_Criteria!$B$48&amp;" m. ",IF(F54&lt;SG_Criteria!$B$49,"NOTE: not for MRT/LRT or high-traffic routes (min "&amp;SG_Criteria!$B$49&amp;" m). ",""))&amp;IF(AND(W54&lt;&gt;"",W54&lt;SG_Criteria!$B$50),"FAIL: wind speed below "&amp;SG_Criteria!$B$50&amp;" m/s. ","")&amp;IF(AND(X54&lt;&gt;"",X54&lt;SG_Criteria!$B$51),"FAIL: roof fixing pull-out below "&amp;SG_Criteria!$B$51&amp;" kN. ","")&amp;IF(AND(Y54&lt;&gt;"",IFERROR(VALUE(MID(Y54,2,2)),0)&lt;SG_Criteria!$B$52),"FAIL: grade below C"&amp;SG_Criteria!$B$52&amp;". ","")&amp;IF(E54="Non-standard (project design)","NOTE: not an SDRE standard, needs LTA acceptance. ",""))=0,"OK",IF(AND(D54&lt;&gt;"High Covered Linkway",G54&lt;SG_Criteria!$B$46),"FAIL: headroom below "&amp;SG_Criteria!$B$46&amp;" m. ","")&amp;IF(AND(D54="High Covered Linkway",G54&lt;SG_Criteria!$B$47),"FAIL: high linkway headroom below "&amp;SG_Criteria!$B$47&amp;" m. ","")&amp;IF(F54&lt;SG_Criteria!$B$48,"FAIL: roof width below "&amp;SG_Criteria!$B$48&amp;" m. ",IF(F54&lt;SG_Criteria!$B$49,"NOTE: not for MRT/LRT or high-traffic routes (min "&amp;SG_Criteria!$B$49&amp;" m). ",""))&amp;IF(AND(W54&lt;&gt;"",W54&lt;SG_Criteria!$B$50),"FAIL: wind speed below "&amp;SG_Criteria!$B$50&amp;" m/s. ","")&amp;IF(AND(X54&lt;&gt;"",X54&lt;SG_Criteria!$B$51),"FAIL: roof fixing pull-out below "&amp;SG_Criteria!$B$51&amp;" kN. ","")&amp;IF(AND(Y54&lt;&gt;"",IFERROR(VALUE(MID(Y54,2,2)),0)&lt;SG_Criteria!$B$52),"FAIL: grade below C"&amp;SG_Criteria!$B$52&amp;". ","")&amp;IF(E54="Non-standard (project design)","NOTE: not an SDRE standard, needs LTA acceptance. ","")))</f>
        <v/>
      </c>
      <c r="BD54" s="9"/>
      <c r="BE54" s="9"/>
      <c r="BF54" s="9"/>
      <c r="BG54" s="10" t="str">
        <f aca="false">IF(BF54="","",IFERROR(VLOOKUP(BF54,Projects!$A$5:$D$504,2,0),"Ref not in Projects"))</f>
        <v/>
      </c>
      <c r="BH54" s="10" t="str">
        <f aca="false">IF(BF54="","",IFERROR(VLOOKUP(BF54,Projects!$A$5:$D$504,4,0),"Ref not in Projects"))</f>
        <v/>
      </c>
      <c r="BI54" s="9"/>
      <c r="BJ54" s="9"/>
      <c r="BK54" s="9"/>
      <c r="BL54" s="40"/>
      <c r="BM54" s="9"/>
      <c r="BN54" s="40"/>
      <c r="BO54" s="9"/>
      <c r="BP54" s="40"/>
      <c r="BQ54" s="9"/>
      <c r="BR54" s="9"/>
      <c r="BS54" s="9"/>
      <c r="BT54" s="40"/>
      <c r="BU54" s="40"/>
      <c r="BV54" s="36" t="str">
        <f aca="false">IF(BU54="","",EDATE(BU54,SG_Criteria!$B$54*12))</f>
        <v/>
      </c>
      <c r="BW54" s="33" t="str">
        <f aca="true">IF(A54="","",IF(BU54="","NOTE: not reviewed yet",IF(TODAY()&gt;BV54,"NOTE: review overdue","OK")))</f>
        <v/>
      </c>
      <c r="BX54" s="37" t="str">
        <f aca="false">IF(A54="","",ROUND((IF(LEN(D54)&gt;0,1,0)+IF(LEN(E54)&gt;0,1,0)+IF(LEN(F54)&gt;0,1,0)+IF(LEN(G54)&gt;0,1,0)+IF(LEN(H54)&gt;0,1,0)+IF(LEN(I54)&gt;0,1,0)+IF(LEN(J54)&gt;0,1,0)+IF(LEN(K54)&gt;0,1,0)+IF(LEN(N54)&gt;0,1,0)+IF(LEN(O54)&gt;0,1,0)+IF(LEN(W54)&gt;0,1,0)+IF(LEN(X54)&gt;0,1,0)+IF(LEN(Y54)&gt;0,1,0)+IF(LEN(AG54)&gt;0,1,0)+IF(LEN(AI54)&gt;0,1,0)+IF(LEN(AJ54)&gt;0,1,0)+IF(LEN(AK54)&gt;0,1,0)+IF(LEN(AL54)&gt;0,1,0)+IF(LEN(AU54)&gt;0,1,0)+IF(LEN(BF54)&gt;0,1,0)+IF(LEN(BS54)&gt;0,1,0))/21,2))</f>
        <v/>
      </c>
      <c r="BY54" s="10" t="str">
        <f aca="false">IF(D54="","",IF(AND(AJ54="Approved",ISERROR(SEARCH("FAIL",BC54))),"Y","N"))</f>
        <v/>
      </c>
      <c r="BZ54" s="10" t="str">
        <f aca="false">IF(D54="","",D54&amp;"|"&amp;F54&amp;"|"&amp;G54&amp;"|"&amp;BY54)</f>
        <v/>
      </c>
    </row>
    <row r="55" customFormat="false" ht="15" hidden="false" customHeight="false" outlineLevel="0" collapsed="false">
      <c r="A55" s="10" t="str">
        <f aca="false">IF(D55="","","LKW-"&amp;IFERROR(VLOOKUP(D55,Lists!$AQ$4:$AR$17,2,0),"??")&amp;"-W"&amp;TEXT(F55*1000,"0000")&amp;"-H"&amp;TEXT(G55*1000,"0000")&amp;"-B"&amp;TEXT(H55*1000,"0000")&amp;"-"&amp;AI55)</f>
        <v/>
      </c>
      <c r="B55" s="10" t="str">
        <f aca="false">IF(D55="","",D55&amp;", "&amp;F55&amp;" m wide, "&amp;G55&amp;" m headroom, "&amp;H55&amp;" m bays, "&amp;I55&amp;" ("&amp;E55&amp;")")</f>
        <v/>
      </c>
      <c r="C55" s="9"/>
      <c r="D55" s="9"/>
      <c r="E55" s="9"/>
      <c r="F55" s="42"/>
      <c r="G55" s="42"/>
      <c r="H55" s="42"/>
      <c r="I55" s="9"/>
      <c r="J55" s="9"/>
      <c r="K55" s="9"/>
      <c r="L55" s="9"/>
      <c r="M55" s="9"/>
      <c r="N55" s="9"/>
      <c r="O55" s="9"/>
      <c r="P55" s="9"/>
      <c r="Q55" s="9"/>
      <c r="R55" s="9"/>
      <c r="S55" s="42"/>
      <c r="T55" s="9"/>
      <c r="U55" s="9"/>
      <c r="V55" s="9"/>
      <c r="W55" s="38"/>
      <c r="X55" s="42"/>
      <c r="Y55" s="9"/>
      <c r="Z55" s="9"/>
      <c r="AA55" s="9"/>
      <c r="AB55" s="42"/>
      <c r="AC55" s="9"/>
      <c r="AD55" s="38"/>
      <c r="AE55" s="9"/>
      <c r="AF55" s="39"/>
      <c r="AG55" s="9"/>
      <c r="AH55" s="9"/>
      <c r="AI55" s="9"/>
      <c r="AJ55" s="9"/>
      <c r="AK55" s="9"/>
      <c r="AL55" s="9"/>
      <c r="AM55" s="9"/>
      <c r="AN55" s="10" t="str">
        <f aca="false">IF(A55="","",SG_Criteria!$B$6&amp;SG_Criteria!$B$12&amp;"\"&amp;A55&amp;"\")</f>
        <v/>
      </c>
      <c r="AO55" s="10" t="str">
        <f aca="false">IF(A55="","",A55&amp;"_CAD.dwg")</f>
        <v/>
      </c>
      <c r="AP55" s="10" t="str">
        <f aca="false">IF(A55="","",A55&amp;"_DWG.pdf")</f>
        <v/>
      </c>
      <c r="AQ55" s="10" t="str">
        <f aca="false">IF(A55="","",IF(AM55="Y",A55&amp;"_STAAD.std","n/a"))</f>
        <v/>
      </c>
      <c r="AR55" s="10" t="str">
        <f aca="false">IF(A55="","",A55&amp;"_CALC.xlsx")</f>
        <v/>
      </c>
      <c r="AS55" s="10" t="str">
        <f aca="false">IF(A55="","",A55&amp;"_CALC.pdf")</f>
        <v/>
      </c>
      <c r="AT55" s="9"/>
      <c r="AU55" s="9"/>
      <c r="AV55" s="39"/>
      <c r="AW55" s="39"/>
      <c r="AX55" s="39"/>
      <c r="AY55" s="39"/>
      <c r="AZ55" s="39"/>
      <c r="BA55" s="12" t="str">
        <f aca="false">IF(A55="","",IF(COUNTIF(Rebar_Schedule!$A$5:$A$2004,A55)=0,"",ROUND(SUMIF(Rebar_Schedule!$A$5:$A$2004,A55,Rebar_Schedule!$K$5:$K$2004),1)))</f>
        <v/>
      </c>
      <c r="BB55" s="33" t="str">
        <f aca="false">IF(A55="","",IF(BA55="","No rebar schedule yet",IF(ABS(BA55-N(AW55))/MAX(N(AW55),1)&gt;SG_Criteria!$B$55,"NOTE: register rebar differs from schedule by "&amp;TEXT(ABS(BA55-N(AW55))/MAX(N(AW55),1),"0%"),"OK")))</f>
        <v/>
      </c>
      <c r="BC55" s="33" t="str">
        <f aca="false">IF(D55="","",IF(LEN(IF(AND(D55&lt;&gt;"High Covered Linkway",G55&lt;SG_Criteria!$B$46),"FAIL: headroom below "&amp;SG_Criteria!$B$46&amp;" m. ","")&amp;IF(AND(D55="High Covered Linkway",G55&lt;SG_Criteria!$B$47),"FAIL: high linkway headroom below "&amp;SG_Criteria!$B$47&amp;" m. ","")&amp;IF(F55&lt;SG_Criteria!$B$48,"FAIL: roof width below "&amp;SG_Criteria!$B$48&amp;" m. ",IF(F55&lt;SG_Criteria!$B$49,"NOTE: not for MRT/LRT or high-traffic routes (min "&amp;SG_Criteria!$B$49&amp;" m). ",""))&amp;IF(AND(W55&lt;&gt;"",W55&lt;SG_Criteria!$B$50),"FAIL: wind speed below "&amp;SG_Criteria!$B$50&amp;" m/s. ","")&amp;IF(AND(X55&lt;&gt;"",X55&lt;SG_Criteria!$B$51),"FAIL: roof fixing pull-out below "&amp;SG_Criteria!$B$51&amp;" kN. ","")&amp;IF(AND(Y55&lt;&gt;"",IFERROR(VALUE(MID(Y55,2,2)),0)&lt;SG_Criteria!$B$52),"FAIL: grade below C"&amp;SG_Criteria!$B$52&amp;". ","")&amp;IF(E55="Non-standard (project design)","NOTE: not an SDRE standard, needs LTA acceptance. ",""))=0,"OK",IF(AND(D55&lt;&gt;"High Covered Linkway",G55&lt;SG_Criteria!$B$46),"FAIL: headroom below "&amp;SG_Criteria!$B$46&amp;" m. ","")&amp;IF(AND(D55="High Covered Linkway",G55&lt;SG_Criteria!$B$47),"FAIL: high linkway headroom below "&amp;SG_Criteria!$B$47&amp;" m. ","")&amp;IF(F55&lt;SG_Criteria!$B$48,"FAIL: roof width below "&amp;SG_Criteria!$B$48&amp;" m. ",IF(F55&lt;SG_Criteria!$B$49,"NOTE: not for MRT/LRT or high-traffic routes (min "&amp;SG_Criteria!$B$49&amp;" m). ",""))&amp;IF(AND(W55&lt;&gt;"",W55&lt;SG_Criteria!$B$50),"FAIL: wind speed below "&amp;SG_Criteria!$B$50&amp;" m/s. ","")&amp;IF(AND(X55&lt;&gt;"",X55&lt;SG_Criteria!$B$51),"FAIL: roof fixing pull-out below "&amp;SG_Criteria!$B$51&amp;" kN. ","")&amp;IF(AND(Y55&lt;&gt;"",IFERROR(VALUE(MID(Y55,2,2)),0)&lt;SG_Criteria!$B$52),"FAIL: grade below C"&amp;SG_Criteria!$B$52&amp;". ","")&amp;IF(E55="Non-standard (project design)","NOTE: not an SDRE standard, needs LTA acceptance. ","")))</f>
        <v/>
      </c>
      <c r="BD55" s="9"/>
      <c r="BE55" s="9"/>
      <c r="BF55" s="9"/>
      <c r="BG55" s="10" t="str">
        <f aca="false">IF(BF55="","",IFERROR(VLOOKUP(BF55,Projects!$A$5:$D$504,2,0),"Ref not in Projects"))</f>
        <v/>
      </c>
      <c r="BH55" s="10" t="str">
        <f aca="false">IF(BF55="","",IFERROR(VLOOKUP(BF55,Projects!$A$5:$D$504,4,0),"Ref not in Projects"))</f>
        <v/>
      </c>
      <c r="BI55" s="9"/>
      <c r="BJ55" s="9"/>
      <c r="BK55" s="9"/>
      <c r="BL55" s="40"/>
      <c r="BM55" s="9"/>
      <c r="BN55" s="40"/>
      <c r="BO55" s="9"/>
      <c r="BP55" s="40"/>
      <c r="BQ55" s="9"/>
      <c r="BR55" s="9"/>
      <c r="BS55" s="9"/>
      <c r="BT55" s="40"/>
      <c r="BU55" s="40"/>
      <c r="BV55" s="36" t="str">
        <f aca="false">IF(BU55="","",EDATE(BU55,SG_Criteria!$B$54*12))</f>
        <v/>
      </c>
      <c r="BW55" s="33" t="str">
        <f aca="true">IF(A55="","",IF(BU55="","NOTE: not reviewed yet",IF(TODAY()&gt;BV55,"NOTE: review overdue","OK")))</f>
        <v/>
      </c>
      <c r="BX55" s="37" t="str">
        <f aca="false">IF(A55="","",ROUND((IF(LEN(D55)&gt;0,1,0)+IF(LEN(E55)&gt;0,1,0)+IF(LEN(F55)&gt;0,1,0)+IF(LEN(G55)&gt;0,1,0)+IF(LEN(H55)&gt;0,1,0)+IF(LEN(I55)&gt;0,1,0)+IF(LEN(J55)&gt;0,1,0)+IF(LEN(K55)&gt;0,1,0)+IF(LEN(N55)&gt;0,1,0)+IF(LEN(O55)&gt;0,1,0)+IF(LEN(W55)&gt;0,1,0)+IF(LEN(X55)&gt;0,1,0)+IF(LEN(Y55)&gt;0,1,0)+IF(LEN(AG55)&gt;0,1,0)+IF(LEN(AI55)&gt;0,1,0)+IF(LEN(AJ55)&gt;0,1,0)+IF(LEN(AK55)&gt;0,1,0)+IF(LEN(AL55)&gt;0,1,0)+IF(LEN(AU55)&gt;0,1,0)+IF(LEN(BF55)&gt;0,1,0)+IF(LEN(BS55)&gt;0,1,0))/21,2))</f>
        <v/>
      </c>
      <c r="BY55" s="10" t="str">
        <f aca="false">IF(D55="","",IF(AND(AJ55="Approved",ISERROR(SEARCH("FAIL",BC55))),"Y","N"))</f>
        <v/>
      </c>
      <c r="BZ55" s="10" t="str">
        <f aca="false">IF(D55="","",D55&amp;"|"&amp;F55&amp;"|"&amp;G55&amp;"|"&amp;BY55)</f>
        <v/>
      </c>
    </row>
    <row r="56" customFormat="false" ht="15" hidden="false" customHeight="false" outlineLevel="0" collapsed="false">
      <c r="A56" s="10" t="str">
        <f aca="false">IF(D56="","","LKW-"&amp;IFERROR(VLOOKUP(D56,Lists!$AQ$4:$AR$17,2,0),"??")&amp;"-W"&amp;TEXT(F56*1000,"0000")&amp;"-H"&amp;TEXT(G56*1000,"0000")&amp;"-B"&amp;TEXT(H56*1000,"0000")&amp;"-"&amp;AI56)</f>
        <v/>
      </c>
      <c r="B56" s="10" t="str">
        <f aca="false">IF(D56="","",D56&amp;", "&amp;F56&amp;" m wide, "&amp;G56&amp;" m headroom, "&amp;H56&amp;" m bays, "&amp;I56&amp;" ("&amp;E56&amp;")")</f>
        <v/>
      </c>
      <c r="C56" s="9"/>
      <c r="D56" s="9"/>
      <c r="E56" s="9"/>
      <c r="F56" s="42"/>
      <c r="G56" s="42"/>
      <c r="H56" s="42"/>
      <c r="I56" s="9"/>
      <c r="J56" s="9"/>
      <c r="K56" s="9"/>
      <c r="L56" s="9"/>
      <c r="M56" s="9"/>
      <c r="N56" s="9"/>
      <c r="O56" s="9"/>
      <c r="P56" s="9"/>
      <c r="Q56" s="9"/>
      <c r="R56" s="9"/>
      <c r="S56" s="42"/>
      <c r="T56" s="9"/>
      <c r="U56" s="9"/>
      <c r="V56" s="9"/>
      <c r="W56" s="38"/>
      <c r="X56" s="42"/>
      <c r="Y56" s="9"/>
      <c r="Z56" s="9"/>
      <c r="AA56" s="9"/>
      <c r="AB56" s="42"/>
      <c r="AC56" s="9"/>
      <c r="AD56" s="38"/>
      <c r="AE56" s="9"/>
      <c r="AF56" s="39"/>
      <c r="AG56" s="9"/>
      <c r="AH56" s="9"/>
      <c r="AI56" s="9"/>
      <c r="AJ56" s="9"/>
      <c r="AK56" s="9"/>
      <c r="AL56" s="9"/>
      <c r="AM56" s="9"/>
      <c r="AN56" s="10" t="str">
        <f aca="false">IF(A56="","",SG_Criteria!$B$6&amp;SG_Criteria!$B$12&amp;"\"&amp;A56&amp;"\")</f>
        <v/>
      </c>
      <c r="AO56" s="10" t="str">
        <f aca="false">IF(A56="","",A56&amp;"_CAD.dwg")</f>
        <v/>
      </c>
      <c r="AP56" s="10" t="str">
        <f aca="false">IF(A56="","",A56&amp;"_DWG.pdf")</f>
        <v/>
      </c>
      <c r="AQ56" s="10" t="str">
        <f aca="false">IF(A56="","",IF(AM56="Y",A56&amp;"_STAAD.std","n/a"))</f>
        <v/>
      </c>
      <c r="AR56" s="10" t="str">
        <f aca="false">IF(A56="","",A56&amp;"_CALC.xlsx")</f>
        <v/>
      </c>
      <c r="AS56" s="10" t="str">
        <f aca="false">IF(A56="","",A56&amp;"_CALC.pdf")</f>
        <v/>
      </c>
      <c r="AT56" s="9"/>
      <c r="AU56" s="9"/>
      <c r="AV56" s="39"/>
      <c r="AW56" s="39"/>
      <c r="AX56" s="39"/>
      <c r="AY56" s="39"/>
      <c r="AZ56" s="39"/>
      <c r="BA56" s="12" t="str">
        <f aca="false">IF(A56="","",IF(COUNTIF(Rebar_Schedule!$A$5:$A$2004,A56)=0,"",ROUND(SUMIF(Rebar_Schedule!$A$5:$A$2004,A56,Rebar_Schedule!$K$5:$K$2004),1)))</f>
        <v/>
      </c>
      <c r="BB56" s="33" t="str">
        <f aca="false">IF(A56="","",IF(BA56="","No rebar schedule yet",IF(ABS(BA56-N(AW56))/MAX(N(AW56),1)&gt;SG_Criteria!$B$55,"NOTE: register rebar differs from schedule by "&amp;TEXT(ABS(BA56-N(AW56))/MAX(N(AW56),1),"0%"),"OK")))</f>
        <v/>
      </c>
      <c r="BC56" s="33" t="str">
        <f aca="false">IF(D56="","",IF(LEN(IF(AND(D56&lt;&gt;"High Covered Linkway",G56&lt;SG_Criteria!$B$46),"FAIL: headroom below "&amp;SG_Criteria!$B$46&amp;" m. ","")&amp;IF(AND(D56="High Covered Linkway",G56&lt;SG_Criteria!$B$47),"FAIL: high linkway headroom below "&amp;SG_Criteria!$B$47&amp;" m. ","")&amp;IF(F56&lt;SG_Criteria!$B$48,"FAIL: roof width below "&amp;SG_Criteria!$B$48&amp;" m. ",IF(F56&lt;SG_Criteria!$B$49,"NOTE: not for MRT/LRT or high-traffic routes (min "&amp;SG_Criteria!$B$49&amp;" m). ",""))&amp;IF(AND(W56&lt;&gt;"",W56&lt;SG_Criteria!$B$50),"FAIL: wind speed below "&amp;SG_Criteria!$B$50&amp;" m/s. ","")&amp;IF(AND(X56&lt;&gt;"",X56&lt;SG_Criteria!$B$51),"FAIL: roof fixing pull-out below "&amp;SG_Criteria!$B$51&amp;" kN. ","")&amp;IF(AND(Y56&lt;&gt;"",IFERROR(VALUE(MID(Y56,2,2)),0)&lt;SG_Criteria!$B$52),"FAIL: grade below C"&amp;SG_Criteria!$B$52&amp;". ","")&amp;IF(E56="Non-standard (project design)","NOTE: not an SDRE standard, needs LTA acceptance. ",""))=0,"OK",IF(AND(D56&lt;&gt;"High Covered Linkway",G56&lt;SG_Criteria!$B$46),"FAIL: headroom below "&amp;SG_Criteria!$B$46&amp;" m. ","")&amp;IF(AND(D56="High Covered Linkway",G56&lt;SG_Criteria!$B$47),"FAIL: high linkway headroom below "&amp;SG_Criteria!$B$47&amp;" m. ","")&amp;IF(F56&lt;SG_Criteria!$B$48,"FAIL: roof width below "&amp;SG_Criteria!$B$48&amp;" m. ",IF(F56&lt;SG_Criteria!$B$49,"NOTE: not for MRT/LRT or high-traffic routes (min "&amp;SG_Criteria!$B$49&amp;" m). ",""))&amp;IF(AND(W56&lt;&gt;"",W56&lt;SG_Criteria!$B$50),"FAIL: wind speed below "&amp;SG_Criteria!$B$50&amp;" m/s. ","")&amp;IF(AND(X56&lt;&gt;"",X56&lt;SG_Criteria!$B$51),"FAIL: roof fixing pull-out below "&amp;SG_Criteria!$B$51&amp;" kN. ","")&amp;IF(AND(Y56&lt;&gt;"",IFERROR(VALUE(MID(Y56,2,2)),0)&lt;SG_Criteria!$B$52),"FAIL: grade below C"&amp;SG_Criteria!$B$52&amp;". ","")&amp;IF(E56="Non-standard (project design)","NOTE: not an SDRE standard, needs LTA acceptance. ","")))</f>
        <v/>
      </c>
      <c r="BD56" s="9"/>
      <c r="BE56" s="9"/>
      <c r="BF56" s="9"/>
      <c r="BG56" s="10" t="str">
        <f aca="false">IF(BF56="","",IFERROR(VLOOKUP(BF56,Projects!$A$5:$D$504,2,0),"Ref not in Projects"))</f>
        <v/>
      </c>
      <c r="BH56" s="10" t="str">
        <f aca="false">IF(BF56="","",IFERROR(VLOOKUP(BF56,Projects!$A$5:$D$504,4,0),"Ref not in Projects"))</f>
        <v/>
      </c>
      <c r="BI56" s="9"/>
      <c r="BJ56" s="9"/>
      <c r="BK56" s="9"/>
      <c r="BL56" s="40"/>
      <c r="BM56" s="9"/>
      <c r="BN56" s="40"/>
      <c r="BO56" s="9"/>
      <c r="BP56" s="40"/>
      <c r="BQ56" s="9"/>
      <c r="BR56" s="9"/>
      <c r="BS56" s="9"/>
      <c r="BT56" s="40"/>
      <c r="BU56" s="40"/>
      <c r="BV56" s="36" t="str">
        <f aca="false">IF(BU56="","",EDATE(BU56,SG_Criteria!$B$54*12))</f>
        <v/>
      </c>
      <c r="BW56" s="33" t="str">
        <f aca="true">IF(A56="","",IF(BU56="","NOTE: not reviewed yet",IF(TODAY()&gt;BV56,"NOTE: review overdue","OK")))</f>
        <v/>
      </c>
      <c r="BX56" s="37" t="str">
        <f aca="false">IF(A56="","",ROUND((IF(LEN(D56)&gt;0,1,0)+IF(LEN(E56)&gt;0,1,0)+IF(LEN(F56)&gt;0,1,0)+IF(LEN(G56)&gt;0,1,0)+IF(LEN(H56)&gt;0,1,0)+IF(LEN(I56)&gt;0,1,0)+IF(LEN(J56)&gt;0,1,0)+IF(LEN(K56)&gt;0,1,0)+IF(LEN(N56)&gt;0,1,0)+IF(LEN(O56)&gt;0,1,0)+IF(LEN(W56)&gt;0,1,0)+IF(LEN(X56)&gt;0,1,0)+IF(LEN(Y56)&gt;0,1,0)+IF(LEN(AG56)&gt;0,1,0)+IF(LEN(AI56)&gt;0,1,0)+IF(LEN(AJ56)&gt;0,1,0)+IF(LEN(AK56)&gt;0,1,0)+IF(LEN(AL56)&gt;0,1,0)+IF(LEN(AU56)&gt;0,1,0)+IF(LEN(BF56)&gt;0,1,0)+IF(LEN(BS56)&gt;0,1,0))/21,2))</f>
        <v/>
      </c>
      <c r="BY56" s="10" t="str">
        <f aca="false">IF(D56="","",IF(AND(AJ56="Approved",ISERROR(SEARCH("FAIL",BC56))),"Y","N"))</f>
        <v/>
      </c>
      <c r="BZ56" s="10" t="str">
        <f aca="false">IF(D56="","",D56&amp;"|"&amp;F56&amp;"|"&amp;G56&amp;"|"&amp;BY56)</f>
        <v/>
      </c>
    </row>
    <row r="57" customFormat="false" ht="15" hidden="false" customHeight="false" outlineLevel="0" collapsed="false">
      <c r="A57" s="10" t="str">
        <f aca="false">IF(D57="","","LKW-"&amp;IFERROR(VLOOKUP(D57,Lists!$AQ$4:$AR$17,2,0),"??")&amp;"-W"&amp;TEXT(F57*1000,"0000")&amp;"-H"&amp;TEXT(G57*1000,"0000")&amp;"-B"&amp;TEXT(H57*1000,"0000")&amp;"-"&amp;AI57)</f>
        <v/>
      </c>
      <c r="B57" s="10" t="str">
        <f aca="false">IF(D57="","",D57&amp;", "&amp;F57&amp;" m wide, "&amp;G57&amp;" m headroom, "&amp;H57&amp;" m bays, "&amp;I57&amp;" ("&amp;E57&amp;")")</f>
        <v/>
      </c>
      <c r="C57" s="9"/>
      <c r="D57" s="9"/>
      <c r="E57" s="9"/>
      <c r="F57" s="42"/>
      <c r="G57" s="42"/>
      <c r="H57" s="42"/>
      <c r="I57" s="9"/>
      <c r="J57" s="9"/>
      <c r="K57" s="9"/>
      <c r="L57" s="9"/>
      <c r="M57" s="9"/>
      <c r="N57" s="9"/>
      <c r="O57" s="9"/>
      <c r="P57" s="9"/>
      <c r="Q57" s="9"/>
      <c r="R57" s="9"/>
      <c r="S57" s="42"/>
      <c r="T57" s="9"/>
      <c r="U57" s="9"/>
      <c r="V57" s="9"/>
      <c r="W57" s="38"/>
      <c r="X57" s="42"/>
      <c r="Y57" s="9"/>
      <c r="Z57" s="9"/>
      <c r="AA57" s="9"/>
      <c r="AB57" s="42"/>
      <c r="AC57" s="9"/>
      <c r="AD57" s="38"/>
      <c r="AE57" s="9"/>
      <c r="AF57" s="39"/>
      <c r="AG57" s="9"/>
      <c r="AH57" s="9"/>
      <c r="AI57" s="9"/>
      <c r="AJ57" s="9"/>
      <c r="AK57" s="9"/>
      <c r="AL57" s="9"/>
      <c r="AM57" s="9"/>
      <c r="AN57" s="10" t="str">
        <f aca="false">IF(A57="","",SG_Criteria!$B$6&amp;SG_Criteria!$B$12&amp;"\"&amp;A57&amp;"\")</f>
        <v/>
      </c>
      <c r="AO57" s="10" t="str">
        <f aca="false">IF(A57="","",A57&amp;"_CAD.dwg")</f>
        <v/>
      </c>
      <c r="AP57" s="10" t="str">
        <f aca="false">IF(A57="","",A57&amp;"_DWG.pdf")</f>
        <v/>
      </c>
      <c r="AQ57" s="10" t="str">
        <f aca="false">IF(A57="","",IF(AM57="Y",A57&amp;"_STAAD.std","n/a"))</f>
        <v/>
      </c>
      <c r="AR57" s="10" t="str">
        <f aca="false">IF(A57="","",A57&amp;"_CALC.xlsx")</f>
        <v/>
      </c>
      <c r="AS57" s="10" t="str">
        <f aca="false">IF(A57="","",A57&amp;"_CALC.pdf")</f>
        <v/>
      </c>
      <c r="AT57" s="9"/>
      <c r="AU57" s="9"/>
      <c r="AV57" s="39"/>
      <c r="AW57" s="39"/>
      <c r="AX57" s="39"/>
      <c r="AY57" s="39"/>
      <c r="AZ57" s="39"/>
      <c r="BA57" s="12" t="str">
        <f aca="false">IF(A57="","",IF(COUNTIF(Rebar_Schedule!$A$5:$A$2004,A57)=0,"",ROUND(SUMIF(Rebar_Schedule!$A$5:$A$2004,A57,Rebar_Schedule!$K$5:$K$2004),1)))</f>
        <v/>
      </c>
      <c r="BB57" s="33" t="str">
        <f aca="false">IF(A57="","",IF(BA57="","No rebar schedule yet",IF(ABS(BA57-N(AW57))/MAX(N(AW57),1)&gt;SG_Criteria!$B$55,"NOTE: register rebar differs from schedule by "&amp;TEXT(ABS(BA57-N(AW57))/MAX(N(AW57),1),"0%"),"OK")))</f>
        <v/>
      </c>
      <c r="BC57" s="33" t="str">
        <f aca="false">IF(D57="","",IF(LEN(IF(AND(D57&lt;&gt;"High Covered Linkway",G57&lt;SG_Criteria!$B$46),"FAIL: headroom below "&amp;SG_Criteria!$B$46&amp;" m. ","")&amp;IF(AND(D57="High Covered Linkway",G57&lt;SG_Criteria!$B$47),"FAIL: high linkway headroom below "&amp;SG_Criteria!$B$47&amp;" m. ","")&amp;IF(F57&lt;SG_Criteria!$B$48,"FAIL: roof width below "&amp;SG_Criteria!$B$48&amp;" m. ",IF(F57&lt;SG_Criteria!$B$49,"NOTE: not for MRT/LRT or high-traffic routes (min "&amp;SG_Criteria!$B$49&amp;" m). ",""))&amp;IF(AND(W57&lt;&gt;"",W57&lt;SG_Criteria!$B$50),"FAIL: wind speed below "&amp;SG_Criteria!$B$50&amp;" m/s. ","")&amp;IF(AND(X57&lt;&gt;"",X57&lt;SG_Criteria!$B$51),"FAIL: roof fixing pull-out below "&amp;SG_Criteria!$B$51&amp;" kN. ","")&amp;IF(AND(Y57&lt;&gt;"",IFERROR(VALUE(MID(Y57,2,2)),0)&lt;SG_Criteria!$B$52),"FAIL: grade below C"&amp;SG_Criteria!$B$52&amp;". ","")&amp;IF(E57="Non-standard (project design)","NOTE: not an SDRE standard, needs LTA acceptance. ",""))=0,"OK",IF(AND(D57&lt;&gt;"High Covered Linkway",G57&lt;SG_Criteria!$B$46),"FAIL: headroom below "&amp;SG_Criteria!$B$46&amp;" m. ","")&amp;IF(AND(D57="High Covered Linkway",G57&lt;SG_Criteria!$B$47),"FAIL: high linkway headroom below "&amp;SG_Criteria!$B$47&amp;" m. ","")&amp;IF(F57&lt;SG_Criteria!$B$48,"FAIL: roof width below "&amp;SG_Criteria!$B$48&amp;" m. ",IF(F57&lt;SG_Criteria!$B$49,"NOTE: not for MRT/LRT or high-traffic routes (min "&amp;SG_Criteria!$B$49&amp;" m). ",""))&amp;IF(AND(W57&lt;&gt;"",W57&lt;SG_Criteria!$B$50),"FAIL: wind speed below "&amp;SG_Criteria!$B$50&amp;" m/s. ","")&amp;IF(AND(X57&lt;&gt;"",X57&lt;SG_Criteria!$B$51),"FAIL: roof fixing pull-out below "&amp;SG_Criteria!$B$51&amp;" kN. ","")&amp;IF(AND(Y57&lt;&gt;"",IFERROR(VALUE(MID(Y57,2,2)),0)&lt;SG_Criteria!$B$52),"FAIL: grade below C"&amp;SG_Criteria!$B$52&amp;". ","")&amp;IF(E57="Non-standard (project design)","NOTE: not an SDRE standard, needs LTA acceptance. ","")))</f>
        <v/>
      </c>
      <c r="BD57" s="9"/>
      <c r="BE57" s="9"/>
      <c r="BF57" s="9"/>
      <c r="BG57" s="10" t="str">
        <f aca="false">IF(BF57="","",IFERROR(VLOOKUP(BF57,Projects!$A$5:$D$504,2,0),"Ref not in Projects"))</f>
        <v/>
      </c>
      <c r="BH57" s="10" t="str">
        <f aca="false">IF(BF57="","",IFERROR(VLOOKUP(BF57,Projects!$A$5:$D$504,4,0),"Ref not in Projects"))</f>
        <v/>
      </c>
      <c r="BI57" s="9"/>
      <c r="BJ57" s="9"/>
      <c r="BK57" s="9"/>
      <c r="BL57" s="40"/>
      <c r="BM57" s="9"/>
      <c r="BN57" s="40"/>
      <c r="BO57" s="9"/>
      <c r="BP57" s="40"/>
      <c r="BQ57" s="9"/>
      <c r="BR57" s="9"/>
      <c r="BS57" s="9"/>
      <c r="BT57" s="40"/>
      <c r="BU57" s="40"/>
      <c r="BV57" s="36" t="str">
        <f aca="false">IF(BU57="","",EDATE(BU57,SG_Criteria!$B$54*12))</f>
        <v/>
      </c>
      <c r="BW57" s="33" t="str">
        <f aca="true">IF(A57="","",IF(BU57="","NOTE: not reviewed yet",IF(TODAY()&gt;BV57,"NOTE: review overdue","OK")))</f>
        <v/>
      </c>
      <c r="BX57" s="37" t="str">
        <f aca="false">IF(A57="","",ROUND((IF(LEN(D57)&gt;0,1,0)+IF(LEN(E57)&gt;0,1,0)+IF(LEN(F57)&gt;0,1,0)+IF(LEN(G57)&gt;0,1,0)+IF(LEN(H57)&gt;0,1,0)+IF(LEN(I57)&gt;0,1,0)+IF(LEN(J57)&gt;0,1,0)+IF(LEN(K57)&gt;0,1,0)+IF(LEN(N57)&gt;0,1,0)+IF(LEN(O57)&gt;0,1,0)+IF(LEN(W57)&gt;0,1,0)+IF(LEN(X57)&gt;0,1,0)+IF(LEN(Y57)&gt;0,1,0)+IF(LEN(AG57)&gt;0,1,0)+IF(LEN(AI57)&gt;0,1,0)+IF(LEN(AJ57)&gt;0,1,0)+IF(LEN(AK57)&gt;0,1,0)+IF(LEN(AL57)&gt;0,1,0)+IF(LEN(AU57)&gt;0,1,0)+IF(LEN(BF57)&gt;0,1,0)+IF(LEN(BS57)&gt;0,1,0))/21,2))</f>
        <v/>
      </c>
      <c r="BY57" s="10" t="str">
        <f aca="false">IF(D57="","",IF(AND(AJ57="Approved",ISERROR(SEARCH("FAIL",BC57))),"Y","N"))</f>
        <v/>
      </c>
      <c r="BZ57" s="10" t="str">
        <f aca="false">IF(D57="","",D57&amp;"|"&amp;F57&amp;"|"&amp;G57&amp;"|"&amp;BY57)</f>
        <v/>
      </c>
    </row>
    <row r="58" customFormat="false" ht="15" hidden="false" customHeight="false" outlineLevel="0" collapsed="false">
      <c r="A58" s="10" t="str">
        <f aca="false">IF(D58="","","LKW-"&amp;IFERROR(VLOOKUP(D58,Lists!$AQ$4:$AR$17,2,0),"??")&amp;"-W"&amp;TEXT(F58*1000,"0000")&amp;"-H"&amp;TEXT(G58*1000,"0000")&amp;"-B"&amp;TEXT(H58*1000,"0000")&amp;"-"&amp;AI58)</f>
        <v/>
      </c>
      <c r="B58" s="10" t="str">
        <f aca="false">IF(D58="","",D58&amp;", "&amp;F58&amp;" m wide, "&amp;G58&amp;" m headroom, "&amp;H58&amp;" m bays, "&amp;I58&amp;" ("&amp;E58&amp;")")</f>
        <v/>
      </c>
      <c r="C58" s="9"/>
      <c r="D58" s="9"/>
      <c r="E58" s="9"/>
      <c r="F58" s="42"/>
      <c r="G58" s="42"/>
      <c r="H58" s="42"/>
      <c r="I58" s="9"/>
      <c r="J58" s="9"/>
      <c r="K58" s="9"/>
      <c r="L58" s="9"/>
      <c r="M58" s="9"/>
      <c r="N58" s="9"/>
      <c r="O58" s="9"/>
      <c r="P58" s="9"/>
      <c r="Q58" s="9"/>
      <c r="R58" s="9"/>
      <c r="S58" s="42"/>
      <c r="T58" s="9"/>
      <c r="U58" s="9"/>
      <c r="V58" s="9"/>
      <c r="W58" s="38"/>
      <c r="X58" s="42"/>
      <c r="Y58" s="9"/>
      <c r="Z58" s="9"/>
      <c r="AA58" s="9"/>
      <c r="AB58" s="42"/>
      <c r="AC58" s="9"/>
      <c r="AD58" s="38"/>
      <c r="AE58" s="9"/>
      <c r="AF58" s="39"/>
      <c r="AG58" s="9"/>
      <c r="AH58" s="9"/>
      <c r="AI58" s="9"/>
      <c r="AJ58" s="9"/>
      <c r="AK58" s="9"/>
      <c r="AL58" s="9"/>
      <c r="AM58" s="9"/>
      <c r="AN58" s="10" t="str">
        <f aca="false">IF(A58="","",SG_Criteria!$B$6&amp;SG_Criteria!$B$12&amp;"\"&amp;A58&amp;"\")</f>
        <v/>
      </c>
      <c r="AO58" s="10" t="str">
        <f aca="false">IF(A58="","",A58&amp;"_CAD.dwg")</f>
        <v/>
      </c>
      <c r="AP58" s="10" t="str">
        <f aca="false">IF(A58="","",A58&amp;"_DWG.pdf")</f>
        <v/>
      </c>
      <c r="AQ58" s="10" t="str">
        <f aca="false">IF(A58="","",IF(AM58="Y",A58&amp;"_STAAD.std","n/a"))</f>
        <v/>
      </c>
      <c r="AR58" s="10" t="str">
        <f aca="false">IF(A58="","",A58&amp;"_CALC.xlsx")</f>
        <v/>
      </c>
      <c r="AS58" s="10" t="str">
        <f aca="false">IF(A58="","",A58&amp;"_CALC.pdf")</f>
        <v/>
      </c>
      <c r="AT58" s="9"/>
      <c r="AU58" s="9"/>
      <c r="AV58" s="39"/>
      <c r="AW58" s="39"/>
      <c r="AX58" s="39"/>
      <c r="AY58" s="39"/>
      <c r="AZ58" s="39"/>
      <c r="BA58" s="12" t="str">
        <f aca="false">IF(A58="","",IF(COUNTIF(Rebar_Schedule!$A$5:$A$2004,A58)=0,"",ROUND(SUMIF(Rebar_Schedule!$A$5:$A$2004,A58,Rebar_Schedule!$K$5:$K$2004),1)))</f>
        <v/>
      </c>
      <c r="BB58" s="33" t="str">
        <f aca="false">IF(A58="","",IF(BA58="","No rebar schedule yet",IF(ABS(BA58-N(AW58))/MAX(N(AW58),1)&gt;SG_Criteria!$B$55,"NOTE: register rebar differs from schedule by "&amp;TEXT(ABS(BA58-N(AW58))/MAX(N(AW58),1),"0%"),"OK")))</f>
        <v/>
      </c>
      <c r="BC58" s="33" t="str">
        <f aca="false">IF(D58="","",IF(LEN(IF(AND(D58&lt;&gt;"High Covered Linkway",G58&lt;SG_Criteria!$B$46),"FAIL: headroom below "&amp;SG_Criteria!$B$46&amp;" m. ","")&amp;IF(AND(D58="High Covered Linkway",G58&lt;SG_Criteria!$B$47),"FAIL: high linkway headroom below "&amp;SG_Criteria!$B$47&amp;" m. ","")&amp;IF(F58&lt;SG_Criteria!$B$48,"FAIL: roof width below "&amp;SG_Criteria!$B$48&amp;" m. ",IF(F58&lt;SG_Criteria!$B$49,"NOTE: not for MRT/LRT or high-traffic routes (min "&amp;SG_Criteria!$B$49&amp;" m). ",""))&amp;IF(AND(W58&lt;&gt;"",W58&lt;SG_Criteria!$B$50),"FAIL: wind speed below "&amp;SG_Criteria!$B$50&amp;" m/s. ","")&amp;IF(AND(X58&lt;&gt;"",X58&lt;SG_Criteria!$B$51),"FAIL: roof fixing pull-out below "&amp;SG_Criteria!$B$51&amp;" kN. ","")&amp;IF(AND(Y58&lt;&gt;"",IFERROR(VALUE(MID(Y58,2,2)),0)&lt;SG_Criteria!$B$52),"FAIL: grade below C"&amp;SG_Criteria!$B$52&amp;". ","")&amp;IF(E58="Non-standard (project design)","NOTE: not an SDRE standard, needs LTA acceptance. ",""))=0,"OK",IF(AND(D58&lt;&gt;"High Covered Linkway",G58&lt;SG_Criteria!$B$46),"FAIL: headroom below "&amp;SG_Criteria!$B$46&amp;" m. ","")&amp;IF(AND(D58="High Covered Linkway",G58&lt;SG_Criteria!$B$47),"FAIL: high linkway headroom below "&amp;SG_Criteria!$B$47&amp;" m. ","")&amp;IF(F58&lt;SG_Criteria!$B$48,"FAIL: roof width below "&amp;SG_Criteria!$B$48&amp;" m. ",IF(F58&lt;SG_Criteria!$B$49,"NOTE: not for MRT/LRT or high-traffic routes (min "&amp;SG_Criteria!$B$49&amp;" m). ",""))&amp;IF(AND(W58&lt;&gt;"",W58&lt;SG_Criteria!$B$50),"FAIL: wind speed below "&amp;SG_Criteria!$B$50&amp;" m/s. ","")&amp;IF(AND(X58&lt;&gt;"",X58&lt;SG_Criteria!$B$51),"FAIL: roof fixing pull-out below "&amp;SG_Criteria!$B$51&amp;" kN. ","")&amp;IF(AND(Y58&lt;&gt;"",IFERROR(VALUE(MID(Y58,2,2)),0)&lt;SG_Criteria!$B$52),"FAIL: grade below C"&amp;SG_Criteria!$B$52&amp;". ","")&amp;IF(E58="Non-standard (project design)","NOTE: not an SDRE standard, needs LTA acceptance. ","")))</f>
        <v/>
      </c>
      <c r="BD58" s="9"/>
      <c r="BE58" s="9"/>
      <c r="BF58" s="9"/>
      <c r="BG58" s="10" t="str">
        <f aca="false">IF(BF58="","",IFERROR(VLOOKUP(BF58,Projects!$A$5:$D$504,2,0),"Ref not in Projects"))</f>
        <v/>
      </c>
      <c r="BH58" s="10" t="str">
        <f aca="false">IF(BF58="","",IFERROR(VLOOKUP(BF58,Projects!$A$5:$D$504,4,0),"Ref not in Projects"))</f>
        <v/>
      </c>
      <c r="BI58" s="9"/>
      <c r="BJ58" s="9"/>
      <c r="BK58" s="9"/>
      <c r="BL58" s="40"/>
      <c r="BM58" s="9"/>
      <c r="BN58" s="40"/>
      <c r="BO58" s="9"/>
      <c r="BP58" s="40"/>
      <c r="BQ58" s="9"/>
      <c r="BR58" s="9"/>
      <c r="BS58" s="9"/>
      <c r="BT58" s="40"/>
      <c r="BU58" s="40"/>
      <c r="BV58" s="36" t="str">
        <f aca="false">IF(BU58="","",EDATE(BU58,SG_Criteria!$B$54*12))</f>
        <v/>
      </c>
      <c r="BW58" s="33" t="str">
        <f aca="true">IF(A58="","",IF(BU58="","NOTE: not reviewed yet",IF(TODAY()&gt;BV58,"NOTE: review overdue","OK")))</f>
        <v/>
      </c>
      <c r="BX58" s="37" t="str">
        <f aca="false">IF(A58="","",ROUND((IF(LEN(D58)&gt;0,1,0)+IF(LEN(E58)&gt;0,1,0)+IF(LEN(F58)&gt;0,1,0)+IF(LEN(G58)&gt;0,1,0)+IF(LEN(H58)&gt;0,1,0)+IF(LEN(I58)&gt;0,1,0)+IF(LEN(J58)&gt;0,1,0)+IF(LEN(K58)&gt;0,1,0)+IF(LEN(N58)&gt;0,1,0)+IF(LEN(O58)&gt;0,1,0)+IF(LEN(W58)&gt;0,1,0)+IF(LEN(X58)&gt;0,1,0)+IF(LEN(Y58)&gt;0,1,0)+IF(LEN(AG58)&gt;0,1,0)+IF(LEN(AI58)&gt;0,1,0)+IF(LEN(AJ58)&gt;0,1,0)+IF(LEN(AK58)&gt;0,1,0)+IF(LEN(AL58)&gt;0,1,0)+IF(LEN(AU58)&gt;0,1,0)+IF(LEN(BF58)&gt;0,1,0)+IF(LEN(BS58)&gt;0,1,0))/21,2))</f>
        <v/>
      </c>
      <c r="BY58" s="10" t="str">
        <f aca="false">IF(D58="","",IF(AND(AJ58="Approved",ISERROR(SEARCH("FAIL",BC58))),"Y","N"))</f>
        <v/>
      </c>
      <c r="BZ58" s="10" t="str">
        <f aca="false">IF(D58="","",D58&amp;"|"&amp;F58&amp;"|"&amp;G58&amp;"|"&amp;BY58)</f>
        <v/>
      </c>
    </row>
    <row r="59" customFormat="false" ht="15" hidden="false" customHeight="false" outlineLevel="0" collapsed="false">
      <c r="A59" s="10" t="str">
        <f aca="false">IF(D59="","","LKW-"&amp;IFERROR(VLOOKUP(D59,Lists!$AQ$4:$AR$17,2,0),"??")&amp;"-W"&amp;TEXT(F59*1000,"0000")&amp;"-H"&amp;TEXT(G59*1000,"0000")&amp;"-B"&amp;TEXT(H59*1000,"0000")&amp;"-"&amp;AI59)</f>
        <v/>
      </c>
      <c r="B59" s="10" t="str">
        <f aca="false">IF(D59="","",D59&amp;", "&amp;F59&amp;" m wide, "&amp;G59&amp;" m headroom, "&amp;H59&amp;" m bays, "&amp;I59&amp;" ("&amp;E59&amp;")")</f>
        <v/>
      </c>
      <c r="C59" s="9"/>
      <c r="D59" s="9"/>
      <c r="E59" s="9"/>
      <c r="F59" s="42"/>
      <c r="G59" s="42"/>
      <c r="H59" s="42"/>
      <c r="I59" s="9"/>
      <c r="J59" s="9"/>
      <c r="K59" s="9"/>
      <c r="L59" s="9"/>
      <c r="M59" s="9"/>
      <c r="N59" s="9"/>
      <c r="O59" s="9"/>
      <c r="P59" s="9"/>
      <c r="Q59" s="9"/>
      <c r="R59" s="9"/>
      <c r="S59" s="42"/>
      <c r="T59" s="9"/>
      <c r="U59" s="9"/>
      <c r="V59" s="9"/>
      <c r="W59" s="38"/>
      <c r="X59" s="42"/>
      <c r="Y59" s="9"/>
      <c r="Z59" s="9"/>
      <c r="AA59" s="9"/>
      <c r="AB59" s="42"/>
      <c r="AC59" s="9"/>
      <c r="AD59" s="38"/>
      <c r="AE59" s="9"/>
      <c r="AF59" s="39"/>
      <c r="AG59" s="9"/>
      <c r="AH59" s="9"/>
      <c r="AI59" s="9"/>
      <c r="AJ59" s="9"/>
      <c r="AK59" s="9"/>
      <c r="AL59" s="9"/>
      <c r="AM59" s="9"/>
      <c r="AN59" s="10" t="str">
        <f aca="false">IF(A59="","",SG_Criteria!$B$6&amp;SG_Criteria!$B$12&amp;"\"&amp;A59&amp;"\")</f>
        <v/>
      </c>
      <c r="AO59" s="10" t="str">
        <f aca="false">IF(A59="","",A59&amp;"_CAD.dwg")</f>
        <v/>
      </c>
      <c r="AP59" s="10" t="str">
        <f aca="false">IF(A59="","",A59&amp;"_DWG.pdf")</f>
        <v/>
      </c>
      <c r="AQ59" s="10" t="str">
        <f aca="false">IF(A59="","",IF(AM59="Y",A59&amp;"_STAAD.std","n/a"))</f>
        <v/>
      </c>
      <c r="AR59" s="10" t="str">
        <f aca="false">IF(A59="","",A59&amp;"_CALC.xlsx")</f>
        <v/>
      </c>
      <c r="AS59" s="10" t="str">
        <f aca="false">IF(A59="","",A59&amp;"_CALC.pdf")</f>
        <v/>
      </c>
      <c r="AT59" s="9"/>
      <c r="AU59" s="9"/>
      <c r="AV59" s="39"/>
      <c r="AW59" s="39"/>
      <c r="AX59" s="39"/>
      <c r="AY59" s="39"/>
      <c r="AZ59" s="39"/>
      <c r="BA59" s="12" t="str">
        <f aca="false">IF(A59="","",IF(COUNTIF(Rebar_Schedule!$A$5:$A$2004,A59)=0,"",ROUND(SUMIF(Rebar_Schedule!$A$5:$A$2004,A59,Rebar_Schedule!$K$5:$K$2004),1)))</f>
        <v/>
      </c>
      <c r="BB59" s="33" t="str">
        <f aca="false">IF(A59="","",IF(BA59="","No rebar schedule yet",IF(ABS(BA59-N(AW59))/MAX(N(AW59),1)&gt;SG_Criteria!$B$55,"NOTE: register rebar differs from schedule by "&amp;TEXT(ABS(BA59-N(AW59))/MAX(N(AW59),1),"0%"),"OK")))</f>
        <v/>
      </c>
      <c r="BC59" s="33" t="str">
        <f aca="false">IF(D59="","",IF(LEN(IF(AND(D59&lt;&gt;"High Covered Linkway",G59&lt;SG_Criteria!$B$46),"FAIL: headroom below "&amp;SG_Criteria!$B$46&amp;" m. ","")&amp;IF(AND(D59="High Covered Linkway",G59&lt;SG_Criteria!$B$47),"FAIL: high linkway headroom below "&amp;SG_Criteria!$B$47&amp;" m. ","")&amp;IF(F59&lt;SG_Criteria!$B$48,"FAIL: roof width below "&amp;SG_Criteria!$B$48&amp;" m. ",IF(F59&lt;SG_Criteria!$B$49,"NOTE: not for MRT/LRT or high-traffic routes (min "&amp;SG_Criteria!$B$49&amp;" m). ",""))&amp;IF(AND(W59&lt;&gt;"",W59&lt;SG_Criteria!$B$50),"FAIL: wind speed below "&amp;SG_Criteria!$B$50&amp;" m/s. ","")&amp;IF(AND(X59&lt;&gt;"",X59&lt;SG_Criteria!$B$51),"FAIL: roof fixing pull-out below "&amp;SG_Criteria!$B$51&amp;" kN. ","")&amp;IF(AND(Y59&lt;&gt;"",IFERROR(VALUE(MID(Y59,2,2)),0)&lt;SG_Criteria!$B$52),"FAIL: grade below C"&amp;SG_Criteria!$B$52&amp;". ","")&amp;IF(E59="Non-standard (project design)","NOTE: not an SDRE standard, needs LTA acceptance. ",""))=0,"OK",IF(AND(D59&lt;&gt;"High Covered Linkway",G59&lt;SG_Criteria!$B$46),"FAIL: headroom below "&amp;SG_Criteria!$B$46&amp;" m. ","")&amp;IF(AND(D59="High Covered Linkway",G59&lt;SG_Criteria!$B$47),"FAIL: high linkway headroom below "&amp;SG_Criteria!$B$47&amp;" m. ","")&amp;IF(F59&lt;SG_Criteria!$B$48,"FAIL: roof width below "&amp;SG_Criteria!$B$48&amp;" m. ",IF(F59&lt;SG_Criteria!$B$49,"NOTE: not for MRT/LRT or high-traffic routes (min "&amp;SG_Criteria!$B$49&amp;" m). ",""))&amp;IF(AND(W59&lt;&gt;"",W59&lt;SG_Criteria!$B$50),"FAIL: wind speed below "&amp;SG_Criteria!$B$50&amp;" m/s. ","")&amp;IF(AND(X59&lt;&gt;"",X59&lt;SG_Criteria!$B$51),"FAIL: roof fixing pull-out below "&amp;SG_Criteria!$B$51&amp;" kN. ","")&amp;IF(AND(Y59&lt;&gt;"",IFERROR(VALUE(MID(Y59,2,2)),0)&lt;SG_Criteria!$B$52),"FAIL: grade below C"&amp;SG_Criteria!$B$52&amp;". ","")&amp;IF(E59="Non-standard (project design)","NOTE: not an SDRE standard, needs LTA acceptance. ","")))</f>
        <v/>
      </c>
      <c r="BD59" s="9"/>
      <c r="BE59" s="9"/>
      <c r="BF59" s="9"/>
      <c r="BG59" s="10" t="str">
        <f aca="false">IF(BF59="","",IFERROR(VLOOKUP(BF59,Projects!$A$5:$D$504,2,0),"Ref not in Projects"))</f>
        <v/>
      </c>
      <c r="BH59" s="10" t="str">
        <f aca="false">IF(BF59="","",IFERROR(VLOOKUP(BF59,Projects!$A$5:$D$504,4,0),"Ref not in Projects"))</f>
        <v/>
      </c>
      <c r="BI59" s="9"/>
      <c r="BJ59" s="9"/>
      <c r="BK59" s="9"/>
      <c r="BL59" s="40"/>
      <c r="BM59" s="9"/>
      <c r="BN59" s="40"/>
      <c r="BO59" s="9"/>
      <c r="BP59" s="40"/>
      <c r="BQ59" s="9"/>
      <c r="BR59" s="9"/>
      <c r="BS59" s="9"/>
      <c r="BT59" s="40"/>
      <c r="BU59" s="40"/>
      <c r="BV59" s="36" t="str">
        <f aca="false">IF(BU59="","",EDATE(BU59,SG_Criteria!$B$54*12))</f>
        <v/>
      </c>
      <c r="BW59" s="33" t="str">
        <f aca="true">IF(A59="","",IF(BU59="","NOTE: not reviewed yet",IF(TODAY()&gt;BV59,"NOTE: review overdue","OK")))</f>
        <v/>
      </c>
      <c r="BX59" s="37" t="str">
        <f aca="false">IF(A59="","",ROUND((IF(LEN(D59)&gt;0,1,0)+IF(LEN(E59)&gt;0,1,0)+IF(LEN(F59)&gt;0,1,0)+IF(LEN(G59)&gt;0,1,0)+IF(LEN(H59)&gt;0,1,0)+IF(LEN(I59)&gt;0,1,0)+IF(LEN(J59)&gt;0,1,0)+IF(LEN(K59)&gt;0,1,0)+IF(LEN(N59)&gt;0,1,0)+IF(LEN(O59)&gt;0,1,0)+IF(LEN(W59)&gt;0,1,0)+IF(LEN(X59)&gt;0,1,0)+IF(LEN(Y59)&gt;0,1,0)+IF(LEN(AG59)&gt;0,1,0)+IF(LEN(AI59)&gt;0,1,0)+IF(LEN(AJ59)&gt;0,1,0)+IF(LEN(AK59)&gt;0,1,0)+IF(LEN(AL59)&gt;0,1,0)+IF(LEN(AU59)&gt;0,1,0)+IF(LEN(BF59)&gt;0,1,0)+IF(LEN(BS59)&gt;0,1,0))/21,2))</f>
        <v/>
      </c>
      <c r="BY59" s="10" t="str">
        <f aca="false">IF(D59="","",IF(AND(AJ59="Approved",ISERROR(SEARCH("FAIL",BC59))),"Y","N"))</f>
        <v/>
      </c>
      <c r="BZ59" s="10" t="str">
        <f aca="false">IF(D59="","",D59&amp;"|"&amp;F59&amp;"|"&amp;G59&amp;"|"&amp;BY59)</f>
        <v/>
      </c>
    </row>
    <row r="60" customFormat="false" ht="15" hidden="false" customHeight="false" outlineLevel="0" collapsed="false">
      <c r="A60" s="10" t="str">
        <f aca="false">IF(D60="","","LKW-"&amp;IFERROR(VLOOKUP(D60,Lists!$AQ$4:$AR$17,2,0),"??")&amp;"-W"&amp;TEXT(F60*1000,"0000")&amp;"-H"&amp;TEXT(G60*1000,"0000")&amp;"-B"&amp;TEXT(H60*1000,"0000")&amp;"-"&amp;AI60)</f>
        <v/>
      </c>
      <c r="B60" s="10" t="str">
        <f aca="false">IF(D60="","",D60&amp;", "&amp;F60&amp;" m wide, "&amp;G60&amp;" m headroom, "&amp;H60&amp;" m bays, "&amp;I60&amp;" ("&amp;E60&amp;")")</f>
        <v/>
      </c>
      <c r="C60" s="9"/>
      <c r="D60" s="9"/>
      <c r="E60" s="9"/>
      <c r="F60" s="42"/>
      <c r="G60" s="42"/>
      <c r="H60" s="42"/>
      <c r="I60" s="9"/>
      <c r="J60" s="9"/>
      <c r="K60" s="9"/>
      <c r="L60" s="9"/>
      <c r="M60" s="9"/>
      <c r="N60" s="9"/>
      <c r="O60" s="9"/>
      <c r="P60" s="9"/>
      <c r="Q60" s="9"/>
      <c r="R60" s="9"/>
      <c r="S60" s="42"/>
      <c r="T60" s="9"/>
      <c r="U60" s="9"/>
      <c r="V60" s="9"/>
      <c r="W60" s="38"/>
      <c r="X60" s="42"/>
      <c r="Y60" s="9"/>
      <c r="Z60" s="9"/>
      <c r="AA60" s="9"/>
      <c r="AB60" s="42"/>
      <c r="AC60" s="9"/>
      <c r="AD60" s="38"/>
      <c r="AE60" s="9"/>
      <c r="AF60" s="39"/>
      <c r="AG60" s="9"/>
      <c r="AH60" s="9"/>
      <c r="AI60" s="9"/>
      <c r="AJ60" s="9"/>
      <c r="AK60" s="9"/>
      <c r="AL60" s="9"/>
      <c r="AM60" s="9"/>
      <c r="AN60" s="10" t="str">
        <f aca="false">IF(A60="","",SG_Criteria!$B$6&amp;SG_Criteria!$B$12&amp;"\"&amp;A60&amp;"\")</f>
        <v/>
      </c>
      <c r="AO60" s="10" t="str">
        <f aca="false">IF(A60="","",A60&amp;"_CAD.dwg")</f>
        <v/>
      </c>
      <c r="AP60" s="10" t="str">
        <f aca="false">IF(A60="","",A60&amp;"_DWG.pdf")</f>
        <v/>
      </c>
      <c r="AQ60" s="10" t="str">
        <f aca="false">IF(A60="","",IF(AM60="Y",A60&amp;"_STAAD.std","n/a"))</f>
        <v/>
      </c>
      <c r="AR60" s="10" t="str">
        <f aca="false">IF(A60="","",A60&amp;"_CALC.xlsx")</f>
        <v/>
      </c>
      <c r="AS60" s="10" t="str">
        <f aca="false">IF(A60="","",A60&amp;"_CALC.pdf")</f>
        <v/>
      </c>
      <c r="AT60" s="9"/>
      <c r="AU60" s="9"/>
      <c r="AV60" s="39"/>
      <c r="AW60" s="39"/>
      <c r="AX60" s="39"/>
      <c r="AY60" s="39"/>
      <c r="AZ60" s="39"/>
      <c r="BA60" s="12" t="str">
        <f aca="false">IF(A60="","",IF(COUNTIF(Rebar_Schedule!$A$5:$A$2004,A60)=0,"",ROUND(SUMIF(Rebar_Schedule!$A$5:$A$2004,A60,Rebar_Schedule!$K$5:$K$2004),1)))</f>
        <v/>
      </c>
      <c r="BB60" s="33" t="str">
        <f aca="false">IF(A60="","",IF(BA60="","No rebar schedule yet",IF(ABS(BA60-N(AW60))/MAX(N(AW60),1)&gt;SG_Criteria!$B$55,"NOTE: register rebar differs from schedule by "&amp;TEXT(ABS(BA60-N(AW60))/MAX(N(AW60),1),"0%"),"OK")))</f>
        <v/>
      </c>
      <c r="BC60" s="33" t="str">
        <f aca="false">IF(D60="","",IF(LEN(IF(AND(D60&lt;&gt;"High Covered Linkway",G60&lt;SG_Criteria!$B$46),"FAIL: headroom below "&amp;SG_Criteria!$B$46&amp;" m. ","")&amp;IF(AND(D60="High Covered Linkway",G60&lt;SG_Criteria!$B$47),"FAIL: high linkway headroom below "&amp;SG_Criteria!$B$47&amp;" m. ","")&amp;IF(F60&lt;SG_Criteria!$B$48,"FAIL: roof width below "&amp;SG_Criteria!$B$48&amp;" m. ",IF(F60&lt;SG_Criteria!$B$49,"NOTE: not for MRT/LRT or high-traffic routes (min "&amp;SG_Criteria!$B$49&amp;" m). ",""))&amp;IF(AND(W60&lt;&gt;"",W60&lt;SG_Criteria!$B$50),"FAIL: wind speed below "&amp;SG_Criteria!$B$50&amp;" m/s. ","")&amp;IF(AND(X60&lt;&gt;"",X60&lt;SG_Criteria!$B$51),"FAIL: roof fixing pull-out below "&amp;SG_Criteria!$B$51&amp;" kN. ","")&amp;IF(AND(Y60&lt;&gt;"",IFERROR(VALUE(MID(Y60,2,2)),0)&lt;SG_Criteria!$B$52),"FAIL: grade below C"&amp;SG_Criteria!$B$52&amp;". ","")&amp;IF(E60="Non-standard (project design)","NOTE: not an SDRE standard, needs LTA acceptance. ",""))=0,"OK",IF(AND(D60&lt;&gt;"High Covered Linkway",G60&lt;SG_Criteria!$B$46),"FAIL: headroom below "&amp;SG_Criteria!$B$46&amp;" m. ","")&amp;IF(AND(D60="High Covered Linkway",G60&lt;SG_Criteria!$B$47),"FAIL: high linkway headroom below "&amp;SG_Criteria!$B$47&amp;" m. ","")&amp;IF(F60&lt;SG_Criteria!$B$48,"FAIL: roof width below "&amp;SG_Criteria!$B$48&amp;" m. ",IF(F60&lt;SG_Criteria!$B$49,"NOTE: not for MRT/LRT or high-traffic routes (min "&amp;SG_Criteria!$B$49&amp;" m). ",""))&amp;IF(AND(W60&lt;&gt;"",W60&lt;SG_Criteria!$B$50),"FAIL: wind speed below "&amp;SG_Criteria!$B$50&amp;" m/s. ","")&amp;IF(AND(X60&lt;&gt;"",X60&lt;SG_Criteria!$B$51),"FAIL: roof fixing pull-out below "&amp;SG_Criteria!$B$51&amp;" kN. ","")&amp;IF(AND(Y60&lt;&gt;"",IFERROR(VALUE(MID(Y60,2,2)),0)&lt;SG_Criteria!$B$52),"FAIL: grade below C"&amp;SG_Criteria!$B$52&amp;". ","")&amp;IF(E60="Non-standard (project design)","NOTE: not an SDRE standard, needs LTA acceptance. ","")))</f>
        <v/>
      </c>
      <c r="BD60" s="9"/>
      <c r="BE60" s="9"/>
      <c r="BF60" s="9"/>
      <c r="BG60" s="10" t="str">
        <f aca="false">IF(BF60="","",IFERROR(VLOOKUP(BF60,Projects!$A$5:$D$504,2,0),"Ref not in Projects"))</f>
        <v/>
      </c>
      <c r="BH60" s="10" t="str">
        <f aca="false">IF(BF60="","",IFERROR(VLOOKUP(BF60,Projects!$A$5:$D$504,4,0),"Ref not in Projects"))</f>
        <v/>
      </c>
      <c r="BI60" s="9"/>
      <c r="BJ60" s="9"/>
      <c r="BK60" s="9"/>
      <c r="BL60" s="40"/>
      <c r="BM60" s="9"/>
      <c r="BN60" s="40"/>
      <c r="BO60" s="9"/>
      <c r="BP60" s="40"/>
      <c r="BQ60" s="9"/>
      <c r="BR60" s="9"/>
      <c r="BS60" s="9"/>
      <c r="BT60" s="40"/>
      <c r="BU60" s="40"/>
      <c r="BV60" s="36" t="str">
        <f aca="false">IF(BU60="","",EDATE(BU60,SG_Criteria!$B$54*12))</f>
        <v/>
      </c>
      <c r="BW60" s="33" t="str">
        <f aca="true">IF(A60="","",IF(BU60="","NOTE: not reviewed yet",IF(TODAY()&gt;BV60,"NOTE: review overdue","OK")))</f>
        <v/>
      </c>
      <c r="BX60" s="37" t="str">
        <f aca="false">IF(A60="","",ROUND((IF(LEN(D60)&gt;0,1,0)+IF(LEN(E60)&gt;0,1,0)+IF(LEN(F60)&gt;0,1,0)+IF(LEN(G60)&gt;0,1,0)+IF(LEN(H60)&gt;0,1,0)+IF(LEN(I60)&gt;0,1,0)+IF(LEN(J60)&gt;0,1,0)+IF(LEN(K60)&gt;0,1,0)+IF(LEN(N60)&gt;0,1,0)+IF(LEN(O60)&gt;0,1,0)+IF(LEN(W60)&gt;0,1,0)+IF(LEN(X60)&gt;0,1,0)+IF(LEN(Y60)&gt;0,1,0)+IF(LEN(AG60)&gt;0,1,0)+IF(LEN(AI60)&gt;0,1,0)+IF(LEN(AJ60)&gt;0,1,0)+IF(LEN(AK60)&gt;0,1,0)+IF(LEN(AL60)&gt;0,1,0)+IF(LEN(AU60)&gt;0,1,0)+IF(LEN(BF60)&gt;0,1,0)+IF(LEN(BS60)&gt;0,1,0))/21,2))</f>
        <v/>
      </c>
      <c r="BY60" s="10" t="str">
        <f aca="false">IF(D60="","",IF(AND(AJ60="Approved",ISERROR(SEARCH("FAIL",BC60))),"Y","N"))</f>
        <v/>
      </c>
      <c r="BZ60" s="10" t="str">
        <f aca="false">IF(D60="","",D60&amp;"|"&amp;F60&amp;"|"&amp;G60&amp;"|"&amp;BY60)</f>
        <v/>
      </c>
    </row>
    <row r="61" customFormat="false" ht="15" hidden="false" customHeight="false" outlineLevel="0" collapsed="false">
      <c r="A61" s="10" t="str">
        <f aca="false">IF(D61="","","LKW-"&amp;IFERROR(VLOOKUP(D61,Lists!$AQ$4:$AR$17,2,0),"??")&amp;"-W"&amp;TEXT(F61*1000,"0000")&amp;"-H"&amp;TEXT(G61*1000,"0000")&amp;"-B"&amp;TEXT(H61*1000,"0000")&amp;"-"&amp;AI61)</f>
        <v/>
      </c>
      <c r="B61" s="10" t="str">
        <f aca="false">IF(D61="","",D61&amp;", "&amp;F61&amp;" m wide, "&amp;G61&amp;" m headroom, "&amp;H61&amp;" m bays, "&amp;I61&amp;" ("&amp;E61&amp;")")</f>
        <v/>
      </c>
      <c r="C61" s="9"/>
      <c r="D61" s="9"/>
      <c r="E61" s="9"/>
      <c r="F61" s="42"/>
      <c r="G61" s="42"/>
      <c r="H61" s="42"/>
      <c r="I61" s="9"/>
      <c r="J61" s="9"/>
      <c r="K61" s="9"/>
      <c r="L61" s="9"/>
      <c r="M61" s="9"/>
      <c r="N61" s="9"/>
      <c r="O61" s="9"/>
      <c r="P61" s="9"/>
      <c r="Q61" s="9"/>
      <c r="R61" s="9"/>
      <c r="S61" s="42"/>
      <c r="T61" s="9"/>
      <c r="U61" s="9"/>
      <c r="V61" s="9"/>
      <c r="W61" s="38"/>
      <c r="X61" s="42"/>
      <c r="Y61" s="9"/>
      <c r="Z61" s="9"/>
      <c r="AA61" s="9"/>
      <c r="AB61" s="42"/>
      <c r="AC61" s="9"/>
      <c r="AD61" s="38"/>
      <c r="AE61" s="9"/>
      <c r="AF61" s="39"/>
      <c r="AG61" s="9"/>
      <c r="AH61" s="9"/>
      <c r="AI61" s="9"/>
      <c r="AJ61" s="9"/>
      <c r="AK61" s="9"/>
      <c r="AL61" s="9"/>
      <c r="AM61" s="9"/>
      <c r="AN61" s="10" t="str">
        <f aca="false">IF(A61="","",SG_Criteria!$B$6&amp;SG_Criteria!$B$12&amp;"\"&amp;A61&amp;"\")</f>
        <v/>
      </c>
      <c r="AO61" s="10" t="str">
        <f aca="false">IF(A61="","",A61&amp;"_CAD.dwg")</f>
        <v/>
      </c>
      <c r="AP61" s="10" t="str">
        <f aca="false">IF(A61="","",A61&amp;"_DWG.pdf")</f>
        <v/>
      </c>
      <c r="AQ61" s="10" t="str">
        <f aca="false">IF(A61="","",IF(AM61="Y",A61&amp;"_STAAD.std","n/a"))</f>
        <v/>
      </c>
      <c r="AR61" s="10" t="str">
        <f aca="false">IF(A61="","",A61&amp;"_CALC.xlsx")</f>
        <v/>
      </c>
      <c r="AS61" s="10" t="str">
        <f aca="false">IF(A61="","",A61&amp;"_CALC.pdf")</f>
        <v/>
      </c>
      <c r="AT61" s="9"/>
      <c r="AU61" s="9"/>
      <c r="AV61" s="39"/>
      <c r="AW61" s="39"/>
      <c r="AX61" s="39"/>
      <c r="AY61" s="39"/>
      <c r="AZ61" s="39"/>
      <c r="BA61" s="12" t="str">
        <f aca="false">IF(A61="","",IF(COUNTIF(Rebar_Schedule!$A$5:$A$2004,A61)=0,"",ROUND(SUMIF(Rebar_Schedule!$A$5:$A$2004,A61,Rebar_Schedule!$K$5:$K$2004),1)))</f>
        <v/>
      </c>
      <c r="BB61" s="33" t="str">
        <f aca="false">IF(A61="","",IF(BA61="","No rebar schedule yet",IF(ABS(BA61-N(AW61))/MAX(N(AW61),1)&gt;SG_Criteria!$B$55,"NOTE: register rebar differs from schedule by "&amp;TEXT(ABS(BA61-N(AW61))/MAX(N(AW61),1),"0%"),"OK")))</f>
        <v/>
      </c>
      <c r="BC61" s="33" t="str">
        <f aca="false">IF(D61="","",IF(LEN(IF(AND(D61&lt;&gt;"High Covered Linkway",G61&lt;SG_Criteria!$B$46),"FAIL: headroom below "&amp;SG_Criteria!$B$46&amp;" m. ","")&amp;IF(AND(D61="High Covered Linkway",G61&lt;SG_Criteria!$B$47),"FAIL: high linkway headroom below "&amp;SG_Criteria!$B$47&amp;" m. ","")&amp;IF(F61&lt;SG_Criteria!$B$48,"FAIL: roof width below "&amp;SG_Criteria!$B$48&amp;" m. ",IF(F61&lt;SG_Criteria!$B$49,"NOTE: not for MRT/LRT or high-traffic routes (min "&amp;SG_Criteria!$B$49&amp;" m). ",""))&amp;IF(AND(W61&lt;&gt;"",W61&lt;SG_Criteria!$B$50),"FAIL: wind speed below "&amp;SG_Criteria!$B$50&amp;" m/s. ","")&amp;IF(AND(X61&lt;&gt;"",X61&lt;SG_Criteria!$B$51),"FAIL: roof fixing pull-out below "&amp;SG_Criteria!$B$51&amp;" kN. ","")&amp;IF(AND(Y61&lt;&gt;"",IFERROR(VALUE(MID(Y61,2,2)),0)&lt;SG_Criteria!$B$52),"FAIL: grade below C"&amp;SG_Criteria!$B$52&amp;". ","")&amp;IF(E61="Non-standard (project design)","NOTE: not an SDRE standard, needs LTA acceptance. ",""))=0,"OK",IF(AND(D61&lt;&gt;"High Covered Linkway",G61&lt;SG_Criteria!$B$46),"FAIL: headroom below "&amp;SG_Criteria!$B$46&amp;" m. ","")&amp;IF(AND(D61="High Covered Linkway",G61&lt;SG_Criteria!$B$47),"FAIL: high linkway headroom below "&amp;SG_Criteria!$B$47&amp;" m. ","")&amp;IF(F61&lt;SG_Criteria!$B$48,"FAIL: roof width below "&amp;SG_Criteria!$B$48&amp;" m. ",IF(F61&lt;SG_Criteria!$B$49,"NOTE: not for MRT/LRT or high-traffic routes (min "&amp;SG_Criteria!$B$49&amp;" m). ",""))&amp;IF(AND(W61&lt;&gt;"",W61&lt;SG_Criteria!$B$50),"FAIL: wind speed below "&amp;SG_Criteria!$B$50&amp;" m/s. ","")&amp;IF(AND(X61&lt;&gt;"",X61&lt;SG_Criteria!$B$51),"FAIL: roof fixing pull-out below "&amp;SG_Criteria!$B$51&amp;" kN. ","")&amp;IF(AND(Y61&lt;&gt;"",IFERROR(VALUE(MID(Y61,2,2)),0)&lt;SG_Criteria!$B$52),"FAIL: grade below C"&amp;SG_Criteria!$B$52&amp;". ","")&amp;IF(E61="Non-standard (project design)","NOTE: not an SDRE standard, needs LTA acceptance. ","")))</f>
        <v/>
      </c>
      <c r="BD61" s="9"/>
      <c r="BE61" s="9"/>
      <c r="BF61" s="9"/>
      <c r="BG61" s="10" t="str">
        <f aca="false">IF(BF61="","",IFERROR(VLOOKUP(BF61,Projects!$A$5:$D$504,2,0),"Ref not in Projects"))</f>
        <v/>
      </c>
      <c r="BH61" s="10" t="str">
        <f aca="false">IF(BF61="","",IFERROR(VLOOKUP(BF61,Projects!$A$5:$D$504,4,0),"Ref not in Projects"))</f>
        <v/>
      </c>
      <c r="BI61" s="9"/>
      <c r="BJ61" s="9"/>
      <c r="BK61" s="9"/>
      <c r="BL61" s="40"/>
      <c r="BM61" s="9"/>
      <c r="BN61" s="40"/>
      <c r="BO61" s="9"/>
      <c r="BP61" s="40"/>
      <c r="BQ61" s="9"/>
      <c r="BR61" s="9"/>
      <c r="BS61" s="9"/>
      <c r="BT61" s="40"/>
      <c r="BU61" s="40"/>
      <c r="BV61" s="36" t="str">
        <f aca="false">IF(BU61="","",EDATE(BU61,SG_Criteria!$B$54*12))</f>
        <v/>
      </c>
      <c r="BW61" s="33" t="str">
        <f aca="true">IF(A61="","",IF(BU61="","NOTE: not reviewed yet",IF(TODAY()&gt;BV61,"NOTE: review overdue","OK")))</f>
        <v/>
      </c>
      <c r="BX61" s="37" t="str">
        <f aca="false">IF(A61="","",ROUND((IF(LEN(D61)&gt;0,1,0)+IF(LEN(E61)&gt;0,1,0)+IF(LEN(F61)&gt;0,1,0)+IF(LEN(G61)&gt;0,1,0)+IF(LEN(H61)&gt;0,1,0)+IF(LEN(I61)&gt;0,1,0)+IF(LEN(J61)&gt;0,1,0)+IF(LEN(K61)&gt;0,1,0)+IF(LEN(N61)&gt;0,1,0)+IF(LEN(O61)&gt;0,1,0)+IF(LEN(W61)&gt;0,1,0)+IF(LEN(X61)&gt;0,1,0)+IF(LEN(Y61)&gt;0,1,0)+IF(LEN(AG61)&gt;0,1,0)+IF(LEN(AI61)&gt;0,1,0)+IF(LEN(AJ61)&gt;0,1,0)+IF(LEN(AK61)&gt;0,1,0)+IF(LEN(AL61)&gt;0,1,0)+IF(LEN(AU61)&gt;0,1,0)+IF(LEN(BF61)&gt;0,1,0)+IF(LEN(BS61)&gt;0,1,0))/21,2))</f>
        <v/>
      </c>
      <c r="BY61" s="10" t="str">
        <f aca="false">IF(D61="","",IF(AND(AJ61="Approved",ISERROR(SEARCH("FAIL",BC61))),"Y","N"))</f>
        <v/>
      </c>
      <c r="BZ61" s="10" t="str">
        <f aca="false">IF(D61="","",D61&amp;"|"&amp;F61&amp;"|"&amp;G61&amp;"|"&amp;BY61)</f>
        <v/>
      </c>
    </row>
    <row r="62" customFormat="false" ht="15" hidden="false" customHeight="false" outlineLevel="0" collapsed="false">
      <c r="A62" s="10" t="str">
        <f aca="false">IF(D62="","","LKW-"&amp;IFERROR(VLOOKUP(D62,Lists!$AQ$4:$AR$17,2,0),"??")&amp;"-W"&amp;TEXT(F62*1000,"0000")&amp;"-H"&amp;TEXT(G62*1000,"0000")&amp;"-B"&amp;TEXT(H62*1000,"0000")&amp;"-"&amp;AI62)</f>
        <v/>
      </c>
      <c r="B62" s="10" t="str">
        <f aca="false">IF(D62="","",D62&amp;", "&amp;F62&amp;" m wide, "&amp;G62&amp;" m headroom, "&amp;H62&amp;" m bays, "&amp;I62&amp;" ("&amp;E62&amp;")")</f>
        <v/>
      </c>
      <c r="C62" s="9"/>
      <c r="D62" s="9"/>
      <c r="E62" s="9"/>
      <c r="F62" s="42"/>
      <c r="G62" s="42"/>
      <c r="H62" s="42"/>
      <c r="I62" s="9"/>
      <c r="J62" s="9"/>
      <c r="K62" s="9"/>
      <c r="L62" s="9"/>
      <c r="M62" s="9"/>
      <c r="N62" s="9"/>
      <c r="O62" s="9"/>
      <c r="P62" s="9"/>
      <c r="Q62" s="9"/>
      <c r="R62" s="9"/>
      <c r="S62" s="42"/>
      <c r="T62" s="9"/>
      <c r="U62" s="9"/>
      <c r="V62" s="9"/>
      <c r="W62" s="38"/>
      <c r="X62" s="42"/>
      <c r="Y62" s="9"/>
      <c r="Z62" s="9"/>
      <c r="AA62" s="9"/>
      <c r="AB62" s="42"/>
      <c r="AC62" s="9"/>
      <c r="AD62" s="38"/>
      <c r="AE62" s="9"/>
      <c r="AF62" s="39"/>
      <c r="AG62" s="9"/>
      <c r="AH62" s="9"/>
      <c r="AI62" s="9"/>
      <c r="AJ62" s="9"/>
      <c r="AK62" s="9"/>
      <c r="AL62" s="9"/>
      <c r="AM62" s="9"/>
      <c r="AN62" s="10" t="str">
        <f aca="false">IF(A62="","",SG_Criteria!$B$6&amp;SG_Criteria!$B$12&amp;"\"&amp;A62&amp;"\")</f>
        <v/>
      </c>
      <c r="AO62" s="10" t="str">
        <f aca="false">IF(A62="","",A62&amp;"_CAD.dwg")</f>
        <v/>
      </c>
      <c r="AP62" s="10" t="str">
        <f aca="false">IF(A62="","",A62&amp;"_DWG.pdf")</f>
        <v/>
      </c>
      <c r="AQ62" s="10" t="str">
        <f aca="false">IF(A62="","",IF(AM62="Y",A62&amp;"_STAAD.std","n/a"))</f>
        <v/>
      </c>
      <c r="AR62" s="10" t="str">
        <f aca="false">IF(A62="","",A62&amp;"_CALC.xlsx")</f>
        <v/>
      </c>
      <c r="AS62" s="10" t="str">
        <f aca="false">IF(A62="","",A62&amp;"_CALC.pdf")</f>
        <v/>
      </c>
      <c r="AT62" s="9"/>
      <c r="AU62" s="9"/>
      <c r="AV62" s="39"/>
      <c r="AW62" s="39"/>
      <c r="AX62" s="39"/>
      <c r="AY62" s="39"/>
      <c r="AZ62" s="39"/>
      <c r="BA62" s="12" t="str">
        <f aca="false">IF(A62="","",IF(COUNTIF(Rebar_Schedule!$A$5:$A$2004,A62)=0,"",ROUND(SUMIF(Rebar_Schedule!$A$5:$A$2004,A62,Rebar_Schedule!$K$5:$K$2004),1)))</f>
        <v/>
      </c>
      <c r="BB62" s="33" t="str">
        <f aca="false">IF(A62="","",IF(BA62="","No rebar schedule yet",IF(ABS(BA62-N(AW62))/MAX(N(AW62),1)&gt;SG_Criteria!$B$55,"NOTE: register rebar differs from schedule by "&amp;TEXT(ABS(BA62-N(AW62))/MAX(N(AW62),1),"0%"),"OK")))</f>
        <v/>
      </c>
      <c r="BC62" s="33" t="str">
        <f aca="false">IF(D62="","",IF(LEN(IF(AND(D62&lt;&gt;"High Covered Linkway",G62&lt;SG_Criteria!$B$46),"FAIL: headroom below "&amp;SG_Criteria!$B$46&amp;" m. ","")&amp;IF(AND(D62="High Covered Linkway",G62&lt;SG_Criteria!$B$47),"FAIL: high linkway headroom below "&amp;SG_Criteria!$B$47&amp;" m. ","")&amp;IF(F62&lt;SG_Criteria!$B$48,"FAIL: roof width below "&amp;SG_Criteria!$B$48&amp;" m. ",IF(F62&lt;SG_Criteria!$B$49,"NOTE: not for MRT/LRT or high-traffic routes (min "&amp;SG_Criteria!$B$49&amp;" m). ",""))&amp;IF(AND(W62&lt;&gt;"",W62&lt;SG_Criteria!$B$50),"FAIL: wind speed below "&amp;SG_Criteria!$B$50&amp;" m/s. ","")&amp;IF(AND(X62&lt;&gt;"",X62&lt;SG_Criteria!$B$51),"FAIL: roof fixing pull-out below "&amp;SG_Criteria!$B$51&amp;" kN. ","")&amp;IF(AND(Y62&lt;&gt;"",IFERROR(VALUE(MID(Y62,2,2)),0)&lt;SG_Criteria!$B$52),"FAIL: grade below C"&amp;SG_Criteria!$B$52&amp;". ","")&amp;IF(E62="Non-standard (project design)","NOTE: not an SDRE standard, needs LTA acceptance. ",""))=0,"OK",IF(AND(D62&lt;&gt;"High Covered Linkway",G62&lt;SG_Criteria!$B$46),"FAIL: headroom below "&amp;SG_Criteria!$B$46&amp;" m. ","")&amp;IF(AND(D62="High Covered Linkway",G62&lt;SG_Criteria!$B$47),"FAIL: high linkway headroom below "&amp;SG_Criteria!$B$47&amp;" m. ","")&amp;IF(F62&lt;SG_Criteria!$B$48,"FAIL: roof width below "&amp;SG_Criteria!$B$48&amp;" m. ",IF(F62&lt;SG_Criteria!$B$49,"NOTE: not for MRT/LRT or high-traffic routes (min "&amp;SG_Criteria!$B$49&amp;" m). ",""))&amp;IF(AND(W62&lt;&gt;"",W62&lt;SG_Criteria!$B$50),"FAIL: wind speed below "&amp;SG_Criteria!$B$50&amp;" m/s. ","")&amp;IF(AND(X62&lt;&gt;"",X62&lt;SG_Criteria!$B$51),"FAIL: roof fixing pull-out below "&amp;SG_Criteria!$B$51&amp;" kN. ","")&amp;IF(AND(Y62&lt;&gt;"",IFERROR(VALUE(MID(Y62,2,2)),0)&lt;SG_Criteria!$B$52),"FAIL: grade below C"&amp;SG_Criteria!$B$52&amp;". ","")&amp;IF(E62="Non-standard (project design)","NOTE: not an SDRE standard, needs LTA acceptance. ","")))</f>
        <v/>
      </c>
      <c r="BD62" s="9"/>
      <c r="BE62" s="9"/>
      <c r="BF62" s="9"/>
      <c r="BG62" s="10" t="str">
        <f aca="false">IF(BF62="","",IFERROR(VLOOKUP(BF62,Projects!$A$5:$D$504,2,0),"Ref not in Projects"))</f>
        <v/>
      </c>
      <c r="BH62" s="10" t="str">
        <f aca="false">IF(BF62="","",IFERROR(VLOOKUP(BF62,Projects!$A$5:$D$504,4,0),"Ref not in Projects"))</f>
        <v/>
      </c>
      <c r="BI62" s="9"/>
      <c r="BJ62" s="9"/>
      <c r="BK62" s="9"/>
      <c r="BL62" s="40"/>
      <c r="BM62" s="9"/>
      <c r="BN62" s="40"/>
      <c r="BO62" s="9"/>
      <c r="BP62" s="40"/>
      <c r="BQ62" s="9"/>
      <c r="BR62" s="9"/>
      <c r="BS62" s="9"/>
      <c r="BT62" s="40"/>
      <c r="BU62" s="40"/>
      <c r="BV62" s="36" t="str">
        <f aca="false">IF(BU62="","",EDATE(BU62,SG_Criteria!$B$54*12))</f>
        <v/>
      </c>
      <c r="BW62" s="33" t="str">
        <f aca="true">IF(A62="","",IF(BU62="","NOTE: not reviewed yet",IF(TODAY()&gt;BV62,"NOTE: review overdue","OK")))</f>
        <v/>
      </c>
      <c r="BX62" s="37" t="str">
        <f aca="false">IF(A62="","",ROUND((IF(LEN(D62)&gt;0,1,0)+IF(LEN(E62)&gt;0,1,0)+IF(LEN(F62)&gt;0,1,0)+IF(LEN(G62)&gt;0,1,0)+IF(LEN(H62)&gt;0,1,0)+IF(LEN(I62)&gt;0,1,0)+IF(LEN(J62)&gt;0,1,0)+IF(LEN(K62)&gt;0,1,0)+IF(LEN(N62)&gt;0,1,0)+IF(LEN(O62)&gt;0,1,0)+IF(LEN(W62)&gt;0,1,0)+IF(LEN(X62)&gt;0,1,0)+IF(LEN(Y62)&gt;0,1,0)+IF(LEN(AG62)&gt;0,1,0)+IF(LEN(AI62)&gt;0,1,0)+IF(LEN(AJ62)&gt;0,1,0)+IF(LEN(AK62)&gt;0,1,0)+IF(LEN(AL62)&gt;0,1,0)+IF(LEN(AU62)&gt;0,1,0)+IF(LEN(BF62)&gt;0,1,0)+IF(LEN(BS62)&gt;0,1,0))/21,2))</f>
        <v/>
      </c>
      <c r="BY62" s="10" t="str">
        <f aca="false">IF(D62="","",IF(AND(AJ62="Approved",ISERROR(SEARCH("FAIL",BC62))),"Y","N"))</f>
        <v/>
      </c>
      <c r="BZ62" s="10" t="str">
        <f aca="false">IF(D62="","",D62&amp;"|"&amp;F62&amp;"|"&amp;G62&amp;"|"&amp;BY62)</f>
        <v/>
      </c>
    </row>
    <row r="63" customFormat="false" ht="15" hidden="false" customHeight="false" outlineLevel="0" collapsed="false">
      <c r="A63" s="10" t="str">
        <f aca="false">IF(D63="","","LKW-"&amp;IFERROR(VLOOKUP(D63,Lists!$AQ$4:$AR$17,2,0),"??")&amp;"-W"&amp;TEXT(F63*1000,"0000")&amp;"-H"&amp;TEXT(G63*1000,"0000")&amp;"-B"&amp;TEXT(H63*1000,"0000")&amp;"-"&amp;AI63)</f>
        <v/>
      </c>
      <c r="B63" s="10" t="str">
        <f aca="false">IF(D63="","",D63&amp;", "&amp;F63&amp;" m wide, "&amp;G63&amp;" m headroom, "&amp;H63&amp;" m bays, "&amp;I63&amp;" ("&amp;E63&amp;")")</f>
        <v/>
      </c>
      <c r="C63" s="9"/>
      <c r="D63" s="9"/>
      <c r="E63" s="9"/>
      <c r="F63" s="42"/>
      <c r="G63" s="42"/>
      <c r="H63" s="42"/>
      <c r="I63" s="9"/>
      <c r="J63" s="9"/>
      <c r="K63" s="9"/>
      <c r="L63" s="9"/>
      <c r="M63" s="9"/>
      <c r="N63" s="9"/>
      <c r="O63" s="9"/>
      <c r="P63" s="9"/>
      <c r="Q63" s="9"/>
      <c r="R63" s="9"/>
      <c r="S63" s="42"/>
      <c r="T63" s="9"/>
      <c r="U63" s="9"/>
      <c r="V63" s="9"/>
      <c r="W63" s="38"/>
      <c r="X63" s="42"/>
      <c r="Y63" s="9"/>
      <c r="Z63" s="9"/>
      <c r="AA63" s="9"/>
      <c r="AB63" s="42"/>
      <c r="AC63" s="9"/>
      <c r="AD63" s="38"/>
      <c r="AE63" s="9"/>
      <c r="AF63" s="39"/>
      <c r="AG63" s="9"/>
      <c r="AH63" s="9"/>
      <c r="AI63" s="9"/>
      <c r="AJ63" s="9"/>
      <c r="AK63" s="9"/>
      <c r="AL63" s="9"/>
      <c r="AM63" s="9"/>
      <c r="AN63" s="10" t="str">
        <f aca="false">IF(A63="","",SG_Criteria!$B$6&amp;SG_Criteria!$B$12&amp;"\"&amp;A63&amp;"\")</f>
        <v/>
      </c>
      <c r="AO63" s="10" t="str">
        <f aca="false">IF(A63="","",A63&amp;"_CAD.dwg")</f>
        <v/>
      </c>
      <c r="AP63" s="10" t="str">
        <f aca="false">IF(A63="","",A63&amp;"_DWG.pdf")</f>
        <v/>
      </c>
      <c r="AQ63" s="10" t="str">
        <f aca="false">IF(A63="","",IF(AM63="Y",A63&amp;"_STAAD.std","n/a"))</f>
        <v/>
      </c>
      <c r="AR63" s="10" t="str">
        <f aca="false">IF(A63="","",A63&amp;"_CALC.xlsx")</f>
        <v/>
      </c>
      <c r="AS63" s="10" t="str">
        <f aca="false">IF(A63="","",A63&amp;"_CALC.pdf")</f>
        <v/>
      </c>
      <c r="AT63" s="9"/>
      <c r="AU63" s="9"/>
      <c r="AV63" s="39"/>
      <c r="AW63" s="39"/>
      <c r="AX63" s="39"/>
      <c r="AY63" s="39"/>
      <c r="AZ63" s="39"/>
      <c r="BA63" s="12" t="str">
        <f aca="false">IF(A63="","",IF(COUNTIF(Rebar_Schedule!$A$5:$A$2004,A63)=0,"",ROUND(SUMIF(Rebar_Schedule!$A$5:$A$2004,A63,Rebar_Schedule!$K$5:$K$2004),1)))</f>
        <v/>
      </c>
      <c r="BB63" s="33" t="str">
        <f aca="false">IF(A63="","",IF(BA63="","No rebar schedule yet",IF(ABS(BA63-N(AW63))/MAX(N(AW63),1)&gt;SG_Criteria!$B$55,"NOTE: register rebar differs from schedule by "&amp;TEXT(ABS(BA63-N(AW63))/MAX(N(AW63),1),"0%"),"OK")))</f>
        <v/>
      </c>
      <c r="BC63" s="33" t="str">
        <f aca="false">IF(D63="","",IF(LEN(IF(AND(D63&lt;&gt;"High Covered Linkway",G63&lt;SG_Criteria!$B$46),"FAIL: headroom below "&amp;SG_Criteria!$B$46&amp;" m. ","")&amp;IF(AND(D63="High Covered Linkway",G63&lt;SG_Criteria!$B$47),"FAIL: high linkway headroom below "&amp;SG_Criteria!$B$47&amp;" m. ","")&amp;IF(F63&lt;SG_Criteria!$B$48,"FAIL: roof width below "&amp;SG_Criteria!$B$48&amp;" m. ",IF(F63&lt;SG_Criteria!$B$49,"NOTE: not for MRT/LRT or high-traffic routes (min "&amp;SG_Criteria!$B$49&amp;" m). ",""))&amp;IF(AND(W63&lt;&gt;"",W63&lt;SG_Criteria!$B$50),"FAIL: wind speed below "&amp;SG_Criteria!$B$50&amp;" m/s. ","")&amp;IF(AND(X63&lt;&gt;"",X63&lt;SG_Criteria!$B$51),"FAIL: roof fixing pull-out below "&amp;SG_Criteria!$B$51&amp;" kN. ","")&amp;IF(AND(Y63&lt;&gt;"",IFERROR(VALUE(MID(Y63,2,2)),0)&lt;SG_Criteria!$B$52),"FAIL: grade below C"&amp;SG_Criteria!$B$52&amp;". ","")&amp;IF(E63="Non-standard (project design)","NOTE: not an SDRE standard, needs LTA acceptance. ",""))=0,"OK",IF(AND(D63&lt;&gt;"High Covered Linkway",G63&lt;SG_Criteria!$B$46),"FAIL: headroom below "&amp;SG_Criteria!$B$46&amp;" m. ","")&amp;IF(AND(D63="High Covered Linkway",G63&lt;SG_Criteria!$B$47),"FAIL: high linkway headroom below "&amp;SG_Criteria!$B$47&amp;" m. ","")&amp;IF(F63&lt;SG_Criteria!$B$48,"FAIL: roof width below "&amp;SG_Criteria!$B$48&amp;" m. ",IF(F63&lt;SG_Criteria!$B$49,"NOTE: not for MRT/LRT or high-traffic routes (min "&amp;SG_Criteria!$B$49&amp;" m). ",""))&amp;IF(AND(W63&lt;&gt;"",W63&lt;SG_Criteria!$B$50),"FAIL: wind speed below "&amp;SG_Criteria!$B$50&amp;" m/s. ","")&amp;IF(AND(X63&lt;&gt;"",X63&lt;SG_Criteria!$B$51),"FAIL: roof fixing pull-out below "&amp;SG_Criteria!$B$51&amp;" kN. ","")&amp;IF(AND(Y63&lt;&gt;"",IFERROR(VALUE(MID(Y63,2,2)),0)&lt;SG_Criteria!$B$52),"FAIL: grade below C"&amp;SG_Criteria!$B$52&amp;". ","")&amp;IF(E63="Non-standard (project design)","NOTE: not an SDRE standard, needs LTA acceptance. ","")))</f>
        <v/>
      </c>
      <c r="BD63" s="9"/>
      <c r="BE63" s="9"/>
      <c r="BF63" s="9"/>
      <c r="BG63" s="10" t="str">
        <f aca="false">IF(BF63="","",IFERROR(VLOOKUP(BF63,Projects!$A$5:$D$504,2,0),"Ref not in Projects"))</f>
        <v/>
      </c>
      <c r="BH63" s="10" t="str">
        <f aca="false">IF(BF63="","",IFERROR(VLOOKUP(BF63,Projects!$A$5:$D$504,4,0),"Ref not in Projects"))</f>
        <v/>
      </c>
      <c r="BI63" s="9"/>
      <c r="BJ63" s="9"/>
      <c r="BK63" s="9"/>
      <c r="BL63" s="40"/>
      <c r="BM63" s="9"/>
      <c r="BN63" s="40"/>
      <c r="BO63" s="9"/>
      <c r="BP63" s="40"/>
      <c r="BQ63" s="9"/>
      <c r="BR63" s="9"/>
      <c r="BS63" s="9"/>
      <c r="BT63" s="40"/>
      <c r="BU63" s="40"/>
      <c r="BV63" s="36" t="str">
        <f aca="false">IF(BU63="","",EDATE(BU63,SG_Criteria!$B$54*12))</f>
        <v/>
      </c>
      <c r="BW63" s="33" t="str">
        <f aca="true">IF(A63="","",IF(BU63="","NOTE: not reviewed yet",IF(TODAY()&gt;BV63,"NOTE: review overdue","OK")))</f>
        <v/>
      </c>
      <c r="BX63" s="37" t="str">
        <f aca="false">IF(A63="","",ROUND((IF(LEN(D63)&gt;0,1,0)+IF(LEN(E63)&gt;0,1,0)+IF(LEN(F63)&gt;0,1,0)+IF(LEN(G63)&gt;0,1,0)+IF(LEN(H63)&gt;0,1,0)+IF(LEN(I63)&gt;0,1,0)+IF(LEN(J63)&gt;0,1,0)+IF(LEN(K63)&gt;0,1,0)+IF(LEN(N63)&gt;0,1,0)+IF(LEN(O63)&gt;0,1,0)+IF(LEN(W63)&gt;0,1,0)+IF(LEN(X63)&gt;0,1,0)+IF(LEN(Y63)&gt;0,1,0)+IF(LEN(AG63)&gt;0,1,0)+IF(LEN(AI63)&gt;0,1,0)+IF(LEN(AJ63)&gt;0,1,0)+IF(LEN(AK63)&gt;0,1,0)+IF(LEN(AL63)&gt;0,1,0)+IF(LEN(AU63)&gt;0,1,0)+IF(LEN(BF63)&gt;0,1,0)+IF(LEN(BS63)&gt;0,1,0))/21,2))</f>
        <v/>
      </c>
      <c r="BY63" s="10" t="str">
        <f aca="false">IF(D63="","",IF(AND(AJ63="Approved",ISERROR(SEARCH("FAIL",BC63))),"Y","N"))</f>
        <v/>
      </c>
      <c r="BZ63" s="10" t="str">
        <f aca="false">IF(D63="","",D63&amp;"|"&amp;F63&amp;"|"&amp;G63&amp;"|"&amp;BY63)</f>
        <v/>
      </c>
    </row>
    <row r="64" customFormat="false" ht="15" hidden="false" customHeight="false" outlineLevel="0" collapsed="false">
      <c r="A64" s="10" t="str">
        <f aca="false">IF(D64="","","LKW-"&amp;IFERROR(VLOOKUP(D64,Lists!$AQ$4:$AR$17,2,0),"??")&amp;"-W"&amp;TEXT(F64*1000,"0000")&amp;"-H"&amp;TEXT(G64*1000,"0000")&amp;"-B"&amp;TEXT(H64*1000,"0000")&amp;"-"&amp;AI64)</f>
        <v/>
      </c>
      <c r="B64" s="10" t="str">
        <f aca="false">IF(D64="","",D64&amp;", "&amp;F64&amp;" m wide, "&amp;G64&amp;" m headroom, "&amp;H64&amp;" m bays, "&amp;I64&amp;" ("&amp;E64&amp;")")</f>
        <v/>
      </c>
      <c r="C64" s="9"/>
      <c r="D64" s="9"/>
      <c r="E64" s="9"/>
      <c r="F64" s="42"/>
      <c r="G64" s="42"/>
      <c r="H64" s="42"/>
      <c r="I64" s="9"/>
      <c r="J64" s="9"/>
      <c r="K64" s="9"/>
      <c r="L64" s="9"/>
      <c r="M64" s="9"/>
      <c r="N64" s="9"/>
      <c r="O64" s="9"/>
      <c r="P64" s="9"/>
      <c r="Q64" s="9"/>
      <c r="R64" s="9"/>
      <c r="S64" s="42"/>
      <c r="T64" s="9"/>
      <c r="U64" s="9"/>
      <c r="V64" s="9"/>
      <c r="W64" s="38"/>
      <c r="X64" s="42"/>
      <c r="Y64" s="9"/>
      <c r="Z64" s="9"/>
      <c r="AA64" s="9"/>
      <c r="AB64" s="42"/>
      <c r="AC64" s="9"/>
      <c r="AD64" s="38"/>
      <c r="AE64" s="9"/>
      <c r="AF64" s="39"/>
      <c r="AG64" s="9"/>
      <c r="AH64" s="9"/>
      <c r="AI64" s="9"/>
      <c r="AJ64" s="9"/>
      <c r="AK64" s="9"/>
      <c r="AL64" s="9"/>
      <c r="AM64" s="9"/>
      <c r="AN64" s="10" t="str">
        <f aca="false">IF(A64="","",SG_Criteria!$B$6&amp;SG_Criteria!$B$12&amp;"\"&amp;A64&amp;"\")</f>
        <v/>
      </c>
      <c r="AO64" s="10" t="str">
        <f aca="false">IF(A64="","",A64&amp;"_CAD.dwg")</f>
        <v/>
      </c>
      <c r="AP64" s="10" t="str">
        <f aca="false">IF(A64="","",A64&amp;"_DWG.pdf")</f>
        <v/>
      </c>
      <c r="AQ64" s="10" t="str">
        <f aca="false">IF(A64="","",IF(AM64="Y",A64&amp;"_STAAD.std","n/a"))</f>
        <v/>
      </c>
      <c r="AR64" s="10" t="str">
        <f aca="false">IF(A64="","",A64&amp;"_CALC.xlsx")</f>
        <v/>
      </c>
      <c r="AS64" s="10" t="str">
        <f aca="false">IF(A64="","",A64&amp;"_CALC.pdf")</f>
        <v/>
      </c>
      <c r="AT64" s="9"/>
      <c r="AU64" s="9"/>
      <c r="AV64" s="39"/>
      <c r="AW64" s="39"/>
      <c r="AX64" s="39"/>
      <c r="AY64" s="39"/>
      <c r="AZ64" s="39"/>
      <c r="BA64" s="12" t="str">
        <f aca="false">IF(A64="","",IF(COUNTIF(Rebar_Schedule!$A$5:$A$2004,A64)=0,"",ROUND(SUMIF(Rebar_Schedule!$A$5:$A$2004,A64,Rebar_Schedule!$K$5:$K$2004),1)))</f>
        <v/>
      </c>
      <c r="BB64" s="33" t="str">
        <f aca="false">IF(A64="","",IF(BA64="","No rebar schedule yet",IF(ABS(BA64-N(AW64))/MAX(N(AW64),1)&gt;SG_Criteria!$B$55,"NOTE: register rebar differs from schedule by "&amp;TEXT(ABS(BA64-N(AW64))/MAX(N(AW64),1),"0%"),"OK")))</f>
        <v/>
      </c>
      <c r="BC64" s="33" t="str">
        <f aca="false">IF(D64="","",IF(LEN(IF(AND(D64&lt;&gt;"High Covered Linkway",G64&lt;SG_Criteria!$B$46),"FAIL: headroom below "&amp;SG_Criteria!$B$46&amp;" m. ","")&amp;IF(AND(D64="High Covered Linkway",G64&lt;SG_Criteria!$B$47),"FAIL: high linkway headroom below "&amp;SG_Criteria!$B$47&amp;" m. ","")&amp;IF(F64&lt;SG_Criteria!$B$48,"FAIL: roof width below "&amp;SG_Criteria!$B$48&amp;" m. ",IF(F64&lt;SG_Criteria!$B$49,"NOTE: not for MRT/LRT or high-traffic routes (min "&amp;SG_Criteria!$B$49&amp;" m). ",""))&amp;IF(AND(W64&lt;&gt;"",W64&lt;SG_Criteria!$B$50),"FAIL: wind speed below "&amp;SG_Criteria!$B$50&amp;" m/s. ","")&amp;IF(AND(X64&lt;&gt;"",X64&lt;SG_Criteria!$B$51),"FAIL: roof fixing pull-out below "&amp;SG_Criteria!$B$51&amp;" kN. ","")&amp;IF(AND(Y64&lt;&gt;"",IFERROR(VALUE(MID(Y64,2,2)),0)&lt;SG_Criteria!$B$52),"FAIL: grade below C"&amp;SG_Criteria!$B$52&amp;". ","")&amp;IF(E64="Non-standard (project design)","NOTE: not an SDRE standard, needs LTA acceptance. ",""))=0,"OK",IF(AND(D64&lt;&gt;"High Covered Linkway",G64&lt;SG_Criteria!$B$46),"FAIL: headroom below "&amp;SG_Criteria!$B$46&amp;" m. ","")&amp;IF(AND(D64="High Covered Linkway",G64&lt;SG_Criteria!$B$47),"FAIL: high linkway headroom below "&amp;SG_Criteria!$B$47&amp;" m. ","")&amp;IF(F64&lt;SG_Criteria!$B$48,"FAIL: roof width below "&amp;SG_Criteria!$B$48&amp;" m. ",IF(F64&lt;SG_Criteria!$B$49,"NOTE: not for MRT/LRT or high-traffic routes (min "&amp;SG_Criteria!$B$49&amp;" m). ",""))&amp;IF(AND(W64&lt;&gt;"",W64&lt;SG_Criteria!$B$50),"FAIL: wind speed below "&amp;SG_Criteria!$B$50&amp;" m/s. ","")&amp;IF(AND(X64&lt;&gt;"",X64&lt;SG_Criteria!$B$51),"FAIL: roof fixing pull-out below "&amp;SG_Criteria!$B$51&amp;" kN. ","")&amp;IF(AND(Y64&lt;&gt;"",IFERROR(VALUE(MID(Y64,2,2)),0)&lt;SG_Criteria!$B$52),"FAIL: grade below C"&amp;SG_Criteria!$B$52&amp;". ","")&amp;IF(E64="Non-standard (project design)","NOTE: not an SDRE standard, needs LTA acceptance. ","")))</f>
        <v/>
      </c>
      <c r="BD64" s="9"/>
      <c r="BE64" s="9"/>
      <c r="BF64" s="9"/>
      <c r="BG64" s="10" t="str">
        <f aca="false">IF(BF64="","",IFERROR(VLOOKUP(BF64,Projects!$A$5:$D$504,2,0),"Ref not in Projects"))</f>
        <v/>
      </c>
      <c r="BH64" s="10" t="str">
        <f aca="false">IF(BF64="","",IFERROR(VLOOKUP(BF64,Projects!$A$5:$D$504,4,0),"Ref not in Projects"))</f>
        <v/>
      </c>
      <c r="BI64" s="9"/>
      <c r="BJ64" s="9"/>
      <c r="BK64" s="9"/>
      <c r="BL64" s="40"/>
      <c r="BM64" s="9"/>
      <c r="BN64" s="40"/>
      <c r="BO64" s="9"/>
      <c r="BP64" s="40"/>
      <c r="BQ64" s="9"/>
      <c r="BR64" s="9"/>
      <c r="BS64" s="9"/>
      <c r="BT64" s="40"/>
      <c r="BU64" s="40"/>
      <c r="BV64" s="36" t="str">
        <f aca="false">IF(BU64="","",EDATE(BU64,SG_Criteria!$B$54*12))</f>
        <v/>
      </c>
      <c r="BW64" s="33" t="str">
        <f aca="true">IF(A64="","",IF(BU64="","NOTE: not reviewed yet",IF(TODAY()&gt;BV64,"NOTE: review overdue","OK")))</f>
        <v/>
      </c>
      <c r="BX64" s="37" t="str">
        <f aca="false">IF(A64="","",ROUND((IF(LEN(D64)&gt;0,1,0)+IF(LEN(E64)&gt;0,1,0)+IF(LEN(F64)&gt;0,1,0)+IF(LEN(G64)&gt;0,1,0)+IF(LEN(H64)&gt;0,1,0)+IF(LEN(I64)&gt;0,1,0)+IF(LEN(J64)&gt;0,1,0)+IF(LEN(K64)&gt;0,1,0)+IF(LEN(N64)&gt;0,1,0)+IF(LEN(O64)&gt;0,1,0)+IF(LEN(W64)&gt;0,1,0)+IF(LEN(X64)&gt;0,1,0)+IF(LEN(Y64)&gt;0,1,0)+IF(LEN(AG64)&gt;0,1,0)+IF(LEN(AI64)&gt;0,1,0)+IF(LEN(AJ64)&gt;0,1,0)+IF(LEN(AK64)&gt;0,1,0)+IF(LEN(AL64)&gt;0,1,0)+IF(LEN(AU64)&gt;0,1,0)+IF(LEN(BF64)&gt;0,1,0)+IF(LEN(BS64)&gt;0,1,0))/21,2))</f>
        <v/>
      </c>
      <c r="BY64" s="10" t="str">
        <f aca="false">IF(D64="","",IF(AND(AJ64="Approved",ISERROR(SEARCH("FAIL",BC64))),"Y","N"))</f>
        <v/>
      </c>
      <c r="BZ64" s="10" t="str">
        <f aca="false">IF(D64="","",D64&amp;"|"&amp;F64&amp;"|"&amp;G64&amp;"|"&amp;BY64)</f>
        <v/>
      </c>
    </row>
    <row r="65" customFormat="false" ht="15" hidden="false" customHeight="false" outlineLevel="0" collapsed="false">
      <c r="A65" s="10" t="str">
        <f aca="false">IF(D65="","","LKW-"&amp;IFERROR(VLOOKUP(D65,Lists!$AQ$4:$AR$17,2,0),"??")&amp;"-W"&amp;TEXT(F65*1000,"0000")&amp;"-H"&amp;TEXT(G65*1000,"0000")&amp;"-B"&amp;TEXT(H65*1000,"0000")&amp;"-"&amp;AI65)</f>
        <v/>
      </c>
      <c r="B65" s="10" t="str">
        <f aca="false">IF(D65="","",D65&amp;", "&amp;F65&amp;" m wide, "&amp;G65&amp;" m headroom, "&amp;H65&amp;" m bays, "&amp;I65&amp;" ("&amp;E65&amp;")")</f>
        <v/>
      </c>
      <c r="C65" s="9"/>
      <c r="D65" s="9"/>
      <c r="E65" s="9"/>
      <c r="F65" s="42"/>
      <c r="G65" s="42"/>
      <c r="H65" s="42"/>
      <c r="I65" s="9"/>
      <c r="J65" s="9"/>
      <c r="K65" s="9"/>
      <c r="L65" s="9"/>
      <c r="M65" s="9"/>
      <c r="N65" s="9"/>
      <c r="O65" s="9"/>
      <c r="P65" s="9"/>
      <c r="Q65" s="9"/>
      <c r="R65" s="9"/>
      <c r="S65" s="42"/>
      <c r="T65" s="9"/>
      <c r="U65" s="9"/>
      <c r="V65" s="9"/>
      <c r="W65" s="38"/>
      <c r="X65" s="42"/>
      <c r="Y65" s="9"/>
      <c r="Z65" s="9"/>
      <c r="AA65" s="9"/>
      <c r="AB65" s="42"/>
      <c r="AC65" s="9"/>
      <c r="AD65" s="38"/>
      <c r="AE65" s="9"/>
      <c r="AF65" s="39"/>
      <c r="AG65" s="9"/>
      <c r="AH65" s="9"/>
      <c r="AI65" s="9"/>
      <c r="AJ65" s="9"/>
      <c r="AK65" s="9"/>
      <c r="AL65" s="9"/>
      <c r="AM65" s="9"/>
      <c r="AN65" s="10" t="str">
        <f aca="false">IF(A65="","",SG_Criteria!$B$6&amp;SG_Criteria!$B$12&amp;"\"&amp;A65&amp;"\")</f>
        <v/>
      </c>
      <c r="AO65" s="10" t="str">
        <f aca="false">IF(A65="","",A65&amp;"_CAD.dwg")</f>
        <v/>
      </c>
      <c r="AP65" s="10" t="str">
        <f aca="false">IF(A65="","",A65&amp;"_DWG.pdf")</f>
        <v/>
      </c>
      <c r="AQ65" s="10" t="str">
        <f aca="false">IF(A65="","",IF(AM65="Y",A65&amp;"_STAAD.std","n/a"))</f>
        <v/>
      </c>
      <c r="AR65" s="10" t="str">
        <f aca="false">IF(A65="","",A65&amp;"_CALC.xlsx")</f>
        <v/>
      </c>
      <c r="AS65" s="10" t="str">
        <f aca="false">IF(A65="","",A65&amp;"_CALC.pdf")</f>
        <v/>
      </c>
      <c r="AT65" s="9"/>
      <c r="AU65" s="9"/>
      <c r="AV65" s="39"/>
      <c r="AW65" s="39"/>
      <c r="AX65" s="39"/>
      <c r="AY65" s="39"/>
      <c r="AZ65" s="39"/>
      <c r="BA65" s="12" t="str">
        <f aca="false">IF(A65="","",IF(COUNTIF(Rebar_Schedule!$A$5:$A$2004,A65)=0,"",ROUND(SUMIF(Rebar_Schedule!$A$5:$A$2004,A65,Rebar_Schedule!$K$5:$K$2004),1)))</f>
        <v/>
      </c>
      <c r="BB65" s="33" t="str">
        <f aca="false">IF(A65="","",IF(BA65="","No rebar schedule yet",IF(ABS(BA65-N(AW65))/MAX(N(AW65),1)&gt;SG_Criteria!$B$55,"NOTE: register rebar differs from schedule by "&amp;TEXT(ABS(BA65-N(AW65))/MAX(N(AW65),1),"0%"),"OK")))</f>
        <v/>
      </c>
      <c r="BC65" s="33" t="str">
        <f aca="false">IF(D65="","",IF(LEN(IF(AND(D65&lt;&gt;"High Covered Linkway",G65&lt;SG_Criteria!$B$46),"FAIL: headroom below "&amp;SG_Criteria!$B$46&amp;" m. ","")&amp;IF(AND(D65="High Covered Linkway",G65&lt;SG_Criteria!$B$47),"FAIL: high linkway headroom below "&amp;SG_Criteria!$B$47&amp;" m. ","")&amp;IF(F65&lt;SG_Criteria!$B$48,"FAIL: roof width below "&amp;SG_Criteria!$B$48&amp;" m. ",IF(F65&lt;SG_Criteria!$B$49,"NOTE: not for MRT/LRT or high-traffic routes (min "&amp;SG_Criteria!$B$49&amp;" m). ",""))&amp;IF(AND(W65&lt;&gt;"",W65&lt;SG_Criteria!$B$50),"FAIL: wind speed below "&amp;SG_Criteria!$B$50&amp;" m/s. ","")&amp;IF(AND(X65&lt;&gt;"",X65&lt;SG_Criteria!$B$51),"FAIL: roof fixing pull-out below "&amp;SG_Criteria!$B$51&amp;" kN. ","")&amp;IF(AND(Y65&lt;&gt;"",IFERROR(VALUE(MID(Y65,2,2)),0)&lt;SG_Criteria!$B$52),"FAIL: grade below C"&amp;SG_Criteria!$B$52&amp;". ","")&amp;IF(E65="Non-standard (project design)","NOTE: not an SDRE standard, needs LTA acceptance. ",""))=0,"OK",IF(AND(D65&lt;&gt;"High Covered Linkway",G65&lt;SG_Criteria!$B$46),"FAIL: headroom below "&amp;SG_Criteria!$B$46&amp;" m. ","")&amp;IF(AND(D65="High Covered Linkway",G65&lt;SG_Criteria!$B$47),"FAIL: high linkway headroom below "&amp;SG_Criteria!$B$47&amp;" m. ","")&amp;IF(F65&lt;SG_Criteria!$B$48,"FAIL: roof width below "&amp;SG_Criteria!$B$48&amp;" m. ",IF(F65&lt;SG_Criteria!$B$49,"NOTE: not for MRT/LRT or high-traffic routes (min "&amp;SG_Criteria!$B$49&amp;" m). ",""))&amp;IF(AND(W65&lt;&gt;"",W65&lt;SG_Criteria!$B$50),"FAIL: wind speed below "&amp;SG_Criteria!$B$50&amp;" m/s. ","")&amp;IF(AND(X65&lt;&gt;"",X65&lt;SG_Criteria!$B$51),"FAIL: roof fixing pull-out below "&amp;SG_Criteria!$B$51&amp;" kN. ","")&amp;IF(AND(Y65&lt;&gt;"",IFERROR(VALUE(MID(Y65,2,2)),0)&lt;SG_Criteria!$B$52),"FAIL: grade below C"&amp;SG_Criteria!$B$52&amp;". ","")&amp;IF(E65="Non-standard (project design)","NOTE: not an SDRE standard, needs LTA acceptance. ","")))</f>
        <v/>
      </c>
      <c r="BD65" s="9"/>
      <c r="BE65" s="9"/>
      <c r="BF65" s="9"/>
      <c r="BG65" s="10" t="str">
        <f aca="false">IF(BF65="","",IFERROR(VLOOKUP(BF65,Projects!$A$5:$D$504,2,0),"Ref not in Projects"))</f>
        <v/>
      </c>
      <c r="BH65" s="10" t="str">
        <f aca="false">IF(BF65="","",IFERROR(VLOOKUP(BF65,Projects!$A$5:$D$504,4,0),"Ref not in Projects"))</f>
        <v/>
      </c>
      <c r="BI65" s="9"/>
      <c r="BJ65" s="9"/>
      <c r="BK65" s="9"/>
      <c r="BL65" s="40"/>
      <c r="BM65" s="9"/>
      <c r="BN65" s="40"/>
      <c r="BO65" s="9"/>
      <c r="BP65" s="40"/>
      <c r="BQ65" s="9"/>
      <c r="BR65" s="9"/>
      <c r="BS65" s="9"/>
      <c r="BT65" s="40"/>
      <c r="BU65" s="40"/>
      <c r="BV65" s="36" t="str">
        <f aca="false">IF(BU65="","",EDATE(BU65,SG_Criteria!$B$54*12))</f>
        <v/>
      </c>
      <c r="BW65" s="33" t="str">
        <f aca="true">IF(A65="","",IF(BU65="","NOTE: not reviewed yet",IF(TODAY()&gt;BV65,"NOTE: review overdue","OK")))</f>
        <v/>
      </c>
      <c r="BX65" s="37" t="str">
        <f aca="false">IF(A65="","",ROUND((IF(LEN(D65)&gt;0,1,0)+IF(LEN(E65)&gt;0,1,0)+IF(LEN(F65)&gt;0,1,0)+IF(LEN(G65)&gt;0,1,0)+IF(LEN(H65)&gt;0,1,0)+IF(LEN(I65)&gt;0,1,0)+IF(LEN(J65)&gt;0,1,0)+IF(LEN(K65)&gt;0,1,0)+IF(LEN(N65)&gt;0,1,0)+IF(LEN(O65)&gt;0,1,0)+IF(LEN(W65)&gt;0,1,0)+IF(LEN(X65)&gt;0,1,0)+IF(LEN(Y65)&gt;0,1,0)+IF(LEN(AG65)&gt;0,1,0)+IF(LEN(AI65)&gt;0,1,0)+IF(LEN(AJ65)&gt;0,1,0)+IF(LEN(AK65)&gt;0,1,0)+IF(LEN(AL65)&gt;0,1,0)+IF(LEN(AU65)&gt;0,1,0)+IF(LEN(BF65)&gt;0,1,0)+IF(LEN(BS65)&gt;0,1,0))/21,2))</f>
        <v/>
      </c>
      <c r="BY65" s="10" t="str">
        <f aca="false">IF(D65="","",IF(AND(AJ65="Approved",ISERROR(SEARCH("FAIL",BC65))),"Y","N"))</f>
        <v/>
      </c>
      <c r="BZ65" s="10" t="str">
        <f aca="false">IF(D65="","",D65&amp;"|"&amp;F65&amp;"|"&amp;G65&amp;"|"&amp;BY65)</f>
        <v/>
      </c>
    </row>
    <row r="66" customFormat="false" ht="15" hidden="false" customHeight="false" outlineLevel="0" collapsed="false">
      <c r="A66" s="10" t="str">
        <f aca="false">IF(D66="","","LKW-"&amp;IFERROR(VLOOKUP(D66,Lists!$AQ$4:$AR$17,2,0),"??")&amp;"-W"&amp;TEXT(F66*1000,"0000")&amp;"-H"&amp;TEXT(G66*1000,"0000")&amp;"-B"&amp;TEXT(H66*1000,"0000")&amp;"-"&amp;AI66)</f>
        <v/>
      </c>
      <c r="B66" s="10" t="str">
        <f aca="false">IF(D66="","",D66&amp;", "&amp;F66&amp;" m wide, "&amp;G66&amp;" m headroom, "&amp;H66&amp;" m bays, "&amp;I66&amp;" ("&amp;E66&amp;")")</f>
        <v/>
      </c>
      <c r="C66" s="9"/>
      <c r="D66" s="9"/>
      <c r="E66" s="9"/>
      <c r="F66" s="42"/>
      <c r="G66" s="42"/>
      <c r="H66" s="42"/>
      <c r="I66" s="9"/>
      <c r="J66" s="9"/>
      <c r="K66" s="9"/>
      <c r="L66" s="9"/>
      <c r="M66" s="9"/>
      <c r="N66" s="9"/>
      <c r="O66" s="9"/>
      <c r="P66" s="9"/>
      <c r="Q66" s="9"/>
      <c r="R66" s="9"/>
      <c r="S66" s="42"/>
      <c r="T66" s="9"/>
      <c r="U66" s="9"/>
      <c r="V66" s="9"/>
      <c r="W66" s="38"/>
      <c r="X66" s="42"/>
      <c r="Y66" s="9"/>
      <c r="Z66" s="9"/>
      <c r="AA66" s="9"/>
      <c r="AB66" s="42"/>
      <c r="AC66" s="9"/>
      <c r="AD66" s="38"/>
      <c r="AE66" s="9"/>
      <c r="AF66" s="39"/>
      <c r="AG66" s="9"/>
      <c r="AH66" s="9"/>
      <c r="AI66" s="9"/>
      <c r="AJ66" s="9"/>
      <c r="AK66" s="9"/>
      <c r="AL66" s="9"/>
      <c r="AM66" s="9"/>
      <c r="AN66" s="10" t="str">
        <f aca="false">IF(A66="","",SG_Criteria!$B$6&amp;SG_Criteria!$B$12&amp;"\"&amp;A66&amp;"\")</f>
        <v/>
      </c>
      <c r="AO66" s="10" t="str">
        <f aca="false">IF(A66="","",A66&amp;"_CAD.dwg")</f>
        <v/>
      </c>
      <c r="AP66" s="10" t="str">
        <f aca="false">IF(A66="","",A66&amp;"_DWG.pdf")</f>
        <v/>
      </c>
      <c r="AQ66" s="10" t="str">
        <f aca="false">IF(A66="","",IF(AM66="Y",A66&amp;"_STAAD.std","n/a"))</f>
        <v/>
      </c>
      <c r="AR66" s="10" t="str">
        <f aca="false">IF(A66="","",A66&amp;"_CALC.xlsx")</f>
        <v/>
      </c>
      <c r="AS66" s="10" t="str">
        <f aca="false">IF(A66="","",A66&amp;"_CALC.pdf")</f>
        <v/>
      </c>
      <c r="AT66" s="9"/>
      <c r="AU66" s="9"/>
      <c r="AV66" s="39"/>
      <c r="AW66" s="39"/>
      <c r="AX66" s="39"/>
      <c r="AY66" s="39"/>
      <c r="AZ66" s="39"/>
      <c r="BA66" s="12" t="str">
        <f aca="false">IF(A66="","",IF(COUNTIF(Rebar_Schedule!$A$5:$A$2004,A66)=0,"",ROUND(SUMIF(Rebar_Schedule!$A$5:$A$2004,A66,Rebar_Schedule!$K$5:$K$2004),1)))</f>
        <v/>
      </c>
      <c r="BB66" s="33" t="str">
        <f aca="false">IF(A66="","",IF(BA66="","No rebar schedule yet",IF(ABS(BA66-N(AW66))/MAX(N(AW66),1)&gt;SG_Criteria!$B$55,"NOTE: register rebar differs from schedule by "&amp;TEXT(ABS(BA66-N(AW66))/MAX(N(AW66),1),"0%"),"OK")))</f>
        <v/>
      </c>
      <c r="BC66" s="33" t="str">
        <f aca="false">IF(D66="","",IF(LEN(IF(AND(D66&lt;&gt;"High Covered Linkway",G66&lt;SG_Criteria!$B$46),"FAIL: headroom below "&amp;SG_Criteria!$B$46&amp;" m. ","")&amp;IF(AND(D66="High Covered Linkway",G66&lt;SG_Criteria!$B$47),"FAIL: high linkway headroom below "&amp;SG_Criteria!$B$47&amp;" m. ","")&amp;IF(F66&lt;SG_Criteria!$B$48,"FAIL: roof width below "&amp;SG_Criteria!$B$48&amp;" m. ",IF(F66&lt;SG_Criteria!$B$49,"NOTE: not for MRT/LRT or high-traffic routes (min "&amp;SG_Criteria!$B$49&amp;" m). ",""))&amp;IF(AND(W66&lt;&gt;"",W66&lt;SG_Criteria!$B$50),"FAIL: wind speed below "&amp;SG_Criteria!$B$50&amp;" m/s. ","")&amp;IF(AND(X66&lt;&gt;"",X66&lt;SG_Criteria!$B$51),"FAIL: roof fixing pull-out below "&amp;SG_Criteria!$B$51&amp;" kN. ","")&amp;IF(AND(Y66&lt;&gt;"",IFERROR(VALUE(MID(Y66,2,2)),0)&lt;SG_Criteria!$B$52),"FAIL: grade below C"&amp;SG_Criteria!$B$52&amp;". ","")&amp;IF(E66="Non-standard (project design)","NOTE: not an SDRE standard, needs LTA acceptance. ",""))=0,"OK",IF(AND(D66&lt;&gt;"High Covered Linkway",G66&lt;SG_Criteria!$B$46),"FAIL: headroom below "&amp;SG_Criteria!$B$46&amp;" m. ","")&amp;IF(AND(D66="High Covered Linkway",G66&lt;SG_Criteria!$B$47),"FAIL: high linkway headroom below "&amp;SG_Criteria!$B$47&amp;" m. ","")&amp;IF(F66&lt;SG_Criteria!$B$48,"FAIL: roof width below "&amp;SG_Criteria!$B$48&amp;" m. ",IF(F66&lt;SG_Criteria!$B$49,"NOTE: not for MRT/LRT or high-traffic routes (min "&amp;SG_Criteria!$B$49&amp;" m). ",""))&amp;IF(AND(W66&lt;&gt;"",W66&lt;SG_Criteria!$B$50),"FAIL: wind speed below "&amp;SG_Criteria!$B$50&amp;" m/s. ","")&amp;IF(AND(X66&lt;&gt;"",X66&lt;SG_Criteria!$B$51),"FAIL: roof fixing pull-out below "&amp;SG_Criteria!$B$51&amp;" kN. ","")&amp;IF(AND(Y66&lt;&gt;"",IFERROR(VALUE(MID(Y66,2,2)),0)&lt;SG_Criteria!$B$52),"FAIL: grade below C"&amp;SG_Criteria!$B$52&amp;". ","")&amp;IF(E66="Non-standard (project design)","NOTE: not an SDRE standard, needs LTA acceptance. ","")))</f>
        <v/>
      </c>
      <c r="BD66" s="9"/>
      <c r="BE66" s="9"/>
      <c r="BF66" s="9"/>
      <c r="BG66" s="10" t="str">
        <f aca="false">IF(BF66="","",IFERROR(VLOOKUP(BF66,Projects!$A$5:$D$504,2,0),"Ref not in Projects"))</f>
        <v/>
      </c>
      <c r="BH66" s="10" t="str">
        <f aca="false">IF(BF66="","",IFERROR(VLOOKUP(BF66,Projects!$A$5:$D$504,4,0),"Ref not in Projects"))</f>
        <v/>
      </c>
      <c r="BI66" s="9"/>
      <c r="BJ66" s="9"/>
      <c r="BK66" s="9"/>
      <c r="BL66" s="40"/>
      <c r="BM66" s="9"/>
      <c r="BN66" s="40"/>
      <c r="BO66" s="9"/>
      <c r="BP66" s="40"/>
      <c r="BQ66" s="9"/>
      <c r="BR66" s="9"/>
      <c r="BS66" s="9"/>
      <c r="BT66" s="40"/>
      <c r="BU66" s="40"/>
      <c r="BV66" s="36" t="str">
        <f aca="false">IF(BU66="","",EDATE(BU66,SG_Criteria!$B$54*12))</f>
        <v/>
      </c>
      <c r="BW66" s="33" t="str">
        <f aca="true">IF(A66="","",IF(BU66="","NOTE: not reviewed yet",IF(TODAY()&gt;BV66,"NOTE: review overdue","OK")))</f>
        <v/>
      </c>
      <c r="BX66" s="37" t="str">
        <f aca="false">IF(A66="","",ROUND((IF(LEN(D66)&gt;0,1,0)+IF(LEN(E66)&gt;0,1,0)+IF(LEN(F66)&gt;0,1,0)+IF(LEN(G66)&gt;0,1,0)+IF(LEN(H66)&gt;0,1,0)+IF(LEN(I66)&gt;0,1,0)+IF(LEN(J66)&gt;0,1,0)+IF(LEN(K66)&gt;0,1,0)+IF(LEN(N66)&gt;0,1,0)+IF(LEN(O66)&gt;0,1,0)+IF(LEN(W66)&gt;0,1,0)+IF(LEN(X66)&gt;0,1,0)+IF(LEN(Y66)&gt;0,1,0)+IF(LEN(AG66)&gt;0,1,0)+IF(LEN(AI66)&gt;0,1,0)+IF(LEN(AJ66)&gt;0,1,0)+IF(LEN(AK66)&gt;0,1,0)+IF(LEN(AL66)&gt;0,1,0)+IF(LEN(AU66)&gt;0,1,0)+IF(LEN(BF66)&gt;0,1,0)+IF(LEN(BS66)&gt;0,1,0))/21,2))</f>
        <v/>
      </c>
      <c r="BY66" s="10" t="str">
        <f aca="false">IF(D66="","",IF(AND(AJ66="Approved",ISERROR(SEARCH("FAIL",BC66))),"Y","N"))</f>
        <v/>
      </c>
      <c r="BZ66" s="10" t="str">
        <f aca="false">IF(D66="","",D66&amp;"|"&amp;F66&amp;"|"&amp;G66&amp;"|"&amp;BY66)</f>
        <v/>
      </c>
    </row>
    <row r="67" customFormat="false" ht="15" hidden="false" customHeight="false" outlineLevel="0" collapsed="false">
      <c r="A67" s="10" t="str">
        <f aca="false">IF(D67="","","LKW-"&amp;IFERROR(VLOOKUP(D67,Lists!$AQ$4:$AR$17,2,0),"??")&amp;"-W"&amp;TEXT(F67*1000,"0000")&amp;"-H"&amp;TEXT(G67*1000,"0000")&amp;"-B"&amp;TEXT(H67*1000,"0000")&amp;"-"&amp;AI67)</f>
        <v/>
      </c>
      <c r="B67" s="10" t="str">
        <f aca="false">IF(D67="","",D67&amp;", "&amp;F67&amp;" m wide, "&amp;G67&amp;" m headroom, "&amp;H67&amp;" m bays, "&amp;I67&amp;" ("&amp;E67&amp;")")</f>
        <v/>
      </c>
      <c r="C67" s="9"/>
      <c r="D67" s="9"/>
      <c r="E67" s="9"/>
      <c r="F67" s="42"/>
      <c r="G67" s="42"/>
      <c r="H67" s="42"/>
      <c r="I67" s="9"/>
      <c r="J67" s="9"/>
      <c r="K67" s="9"/>
      <c r="L67" s="9"/>
      <c r="M67" s="9"/>
      <c r="N67" s="9"/>
      <c r="O67" s="9"/>
      <c r="P67" s="9"/>
      <c r="Q67" s="9"/>
      <c r="R67" s="9"/>
      <c r="S67" s="42"/>
      <c r="T67" s="9"/>
      <c r="U67" s="9"/>
      <c r="V67" s="9"/>
      <c r="W67" s="38"/>
      <c r="X67" s="42"/>
      <c r="Y67" s="9"/>
      <c r="Z67" s="9"/>
      <c r="AA67" s="9"/>
      <c r="AB67" s="42"/>
      <c r="AC67" s="9"/>
      <c r="AD67" s="38"/>
      <c r="AE67" s="9"/>
      <c r="AF67" s="39"/>
      <c r="AG67" s="9"/>
      <c r="AH67" s="9"/>
      <c r="AI67" s="9"/>
      <c r="AJ67" s="9"/>
      <c r="AK67" s="9"/>
      <c r="AL67" s="9"/>
      <c r="AM67" s="9"/>
      <c r="AN67" s="10" t="str">
        <f aca="false">IF(A67="","",SG_Criteria!$B$6&amp;SG_Criteria!$B$12&amp;"\"&amp;A67&amp;"\")</f>
        <v/>
      </c>
      <c r="AO67" s="10" t="str">
        <f aca="false">IF(A67="","",A67&amp;"_CAD.dwg")</f>
        <v/>
      </c>
      <c r="AP67" s="10" t="str">
        <f aca="false">IF(A67="","",A67&amp;"_DWG.pdf")</f>
        <v/>
      </c>
      <c r="AQ67" s="10" t="str">
        <f aca="false">IF(A67="","",IF(AM67="Y",A67&amp;"_STAAD.std","n/a"))</f>
        <v/>
      </c>
      <c r="AR67" s="10" t="str">
        <f aca="false">IF(A67="","",A67&amp;"_CALC.xlsx")</f>
        <v/>
      </c>
      <c r="AS67" s="10" t="str">
        <f aca="false">IF(A67="","",A67&amp;"_CALC.pdf")</f>
        <v/>
      </c>
      <c r="AT67" s="9"/>
      <c r="AU67" s="9"/>
      <c r="AV67" s="39"/>
      <c r="AW67" s="39"/>
      <c r="AX67" s="39"/>
      <c r="AY67" s="39"/>
      <c r="AZ67" s="39"/>
      <c r="BA67" s="12" t="str">
        <f aca="false">IF(A67="","",IF(COUNTIF(Rebar_Schedule!$A$5:$A$2004,A67)=0,"",ROUND(SUMIF(Rebar_Schedule!$A$5:$A$2004,A67,Rebar_Schedule!$K$5:$K$2004),1)))</f>
        <v/>
      </c>
      <c r="BB67" s="33" t="str">
        <f aca="false">IF(A67="","",IF(BA67="","No rebar schedule yet",IF(ABS(BA67-N(AW67))/MAX(N(AW67),1)&gt;SG_Criteria!$B$55,"NOTE: register rebar differs from schedule by "&amp;TEXT(ABS(BA67-N(AW67))/MAX(N(AW67),1),"0%"),"OK")))</f>
        <v/>
      </c>
      <c r="BC67" s="33" t="str">
        <f aca="false">IF(D67="","",IF(LEN(IF(AND(D67&lt;&gt;"High Covered Linkway",G67&lt;SG_Criteria!$B$46),"FAIL: headroom below "&amp;SG_Criteria!$B$46&amp;" m. ","")&amp;IF(AND(D67="High Covered Linkway",G67&lt;SG_Criteria!$B$47),"FAIL: high linkway headroom below "&amp;SG_Criteria!$B$47&amp;" m. ","")&amp;IF(F67&lt;SG_Criteria!$B$48,"FAIL: roof width below "&amp;SG_Criteria!$B$48&amp;" m. ",IF(F67&lt;SG_Criteria!$B$49,"NOTE: not for MRT/LRT or high-traffic routes (min "&amp;SG_Criteria!$B$49&amp;" m). ",""))&amp;IF(AND(W67&lt;&gt;"",W67&lt;SG_Criteria!$B$50),"FAIL: wind speed below "&amp;SG_Criteria!$B$50&amp;" m/s. ","")&amp;IF(AND(X67&lt;&gt;"",X67&lt;SG_Criteria!$B$51),"FAIL: roof fixing pull-out below "&amp;SG_Criteria!$B$51&amp;" kN. ","")&amp;IF(AND(Y67&lt;&gt;"",IFERROR(VALUE(MID(Y67,2,2)),0)&lt;SG_Criteria!$B$52),"FAIL: grade below C"&amp;SG_Criteria!$B$52&amp;". ","")&amp;IF(E67="Non-standard (project design)","NOTE: not an SDRE standard, needs LTA acceptance. ",""))=0,"OK",IF(AND(D67&lt;&gt;"High Covered Linkway",G67&lt;SG_Criteria!$B$46),"FAIL: headroom below "&amp;SG_Criteria!$B$46&amp;" m. ","")&amp;IF(AND(D67="High Covered Linkway",G67&lt;SG_Criteria!$B$47),"FAIL: high linkway headroom below "&amp;SG_Criteria!$B$47&amp;" m. ","")&amp;IF(F67&lt;SG_Criteria!$B$48,"FAIL: roof width below "&amp;SG_Criteria!$B$48&amp;" m. ",IF(F67&lt;SG_Criteria!$B$49,"NOTE: not for MRT/LRT or high-traffic routes (min "&amp;SG_Criteria!$B$49&amp;" m). ",""))&amp;IF(AND(W67&lt;&gt;"",W67&lt;SG_Criteria!$B$50),"FAIL: wind speed below "&amp;SG_Criteria!$B$50&amp;" m/s. ","")&amp;IF(AND(X67&lt;&gt;"",X67&lt;SG_Criteria!$B$51),"FAIL: roof fixing pull-out below "&amp;SG_Criteria!$B$51&amp;" kN. ","")&amp;IF(AND(Y67&lt;&gt;"",IFERROR(VALUE(MID(Y67,2,2)),0)&lt;SG_Criteria!$B$52),"FAIL: grade below C"&amp;SG_Criteria!$B$52&amp;". ","")&amp;IF(E67="Non-standard (project design)","NOTE: not an SDRE standard, needs LTA acceptance. ","")))</f>
        <v/>
      </c>
      <c r="BD67" s="9"/>
      <c r="BE67" s="9"/>
      <c r="BF67" s="9"/>
      <c r="BG67" s="10" t="str">
        <f aca="false">IF(BF67="","",IFERROR(VLOOKUP(BF67,Projects!$A$5:$D$504,2,0),"Ref not in Projects"))</f>
        <v/>
      </c>
      <c r="BH67" s="10" t="str">
        <f aca="false">IF(BF67="","",IFERROR(VLOOKUP(BF67,Projects!$A$5:$D$504,4,0),"Ref not in Projects"))</f>
        <v/>
      </c>
      <c r="BI67" s="9"/>
      <c r="BJ67" s="9"/>
      <c r="BK67" s="9"/>
      <c r="BL67" s="40"/>
      <c r="BM67" s="9"/>
      <c r="BN67" s="40"/>
      <c r="BO67" s="9"/>
      <c r="BP67" s="40"/>
      <c r="BQ67" s="9"/>
      <c r="BR67" s="9"/>
      <c r="BS67" s="9"/>
      <c r="BT67" s="40"/>
      <c r="BU67" s="40"/>
      <c r="BV67" s="36" t="str">
        <f aca="false">IF(BU67="","",EDATE(BU67,SG_Criteria!$B$54*12))</f>
        <v/>
      </c>
      <c r="BW67" s="33" t="str">
        <f aca="true">IF(A67="","",IF(BU67="","NOTE: not reviewed yet",IF(TODAY()&gt;BV67,"NOTE: review overdue","OK")))</f>
        <v/>
      </c>
      <c r="BX67" s="37" t="str">
        <f aca="false">IF(A67="","",ROUND((IF(LEN(D67)&gt;0,1,0)+IF(LEN(E67)&gt;0,1,0)+IF(LEN(F67)&gt;0,1,0)+IF(LEN(G67)&gt;0,1,0)+IF(LEN(H67)&gt;0,1,0)+IF(LEN(I67)&gt;0,1,0)+IF(LEN(J67)&gt;0,1,0)+IF(LEN(K67)&gt;0,1,0)+IF(LEN(N67)&gt;0,1,0)+IF(LEN(O67)&gt;0,1,0)+IF(LEN(W67)&gt;0,1,0)+IF(LEN(X67)&gt;0,1,0)+IF(LEN(Y67)&gt;0,1,0)+IF(LEN(AG67)&gt;0,1,0)+IF(LEN(AI67)&gt;0,1,0)+IF(LEN(AJ67)&gt;0,1,0)+IF(LEN(AK67)&gt;0,1,0)+IF(LEN(AL67)&gt;0,1,0)+IF(LEN(AU67)&gt;0,1,0)+IF(LEN(BF67)&gt;0,1,0)+IF(LEN(BS67)&gt;0,1,0))/21,2))</f>
        <v/>
      </c>
      <c r="BY67" s="10" t="str">
        <f aca="false">IF(D67="","",IF(AND(AJ67="Approved",ISERROR(SEARCH("FAIL",BC67))),"Y","N"))</f>
        <v/>
      </c>
      <c r="BZ67" s="10" t="str">
        <f aca="false">IF(D67="","",D67&amp;"|"&amp;F67&amp;"|"&amp;G67&amp;"|"&amp;BY67)</f>
        <v/>
      </c>
    </row>
    <row r="68" customFormat="false" ht="15" hidden="false" customHeight="false" outlineLevel="0" collapsed="false">
      <c r="A68" s="10" t="str">
        <f aca="false">IF(D68="","","LKW-"&amp;IFERROR(VLOOKUP(D68,Lists!$AQ$4:$AR$17,2,0),"??")&amp;"-W"&amp;TEXT(F68*1000,"0000")&amp;"-H"&amp;TEXT(G68*1000,"0000")&amp;"-B"&amp;TEXT(H68*1000,"0000")&amp;"-"&amp;AI68)</f>
        <v/>
      </c>
      <c r="B68" s="10" t="str">
        <f aca="false">IF(D68="","",D68&amp;", "&amp;F68&amp;" m wide, "&amp;G68&amp;" m headroom, "&amp;H68&amp;" m bays, "&amp;I68&amp;" ("&amp;E68&amp;")")</f>
        <v/>
      </c>
      <c r="C68" s="9"/>
      <c r="D68" s="9"/>
      <c r="E68" s="9"/>
      <c r="F68" s="42"/>
      <c r="G68" s="42"/>
      <c r="H68" s="42"/>
      <c r="I68" s="9"/>
      <c r="J68" s="9"/>
      <c r="K68" s="9"/>
      <c r="L68" s="9"/>
      <c r="M68" s="9"/>
      <c r="N68" s="9"/>
      <c r="O68" s="9"/>
      <c r="P68" s="9"/>
      <c r="Q68" s="9"/>
      <c r="R68" s="9"/>
      <c r="S68" s="42"/>
      <c r="T68" s="9"/>
      <c r="U68" s="9"/>
      <c r="V68" s="9"/>
      <c r="W68" s="38"/>
      <c r="X68" s="42"/>
      <c r="Y68" s="9"/>
      <c r="Z68" s="9"/>
      <c r="AA68" s="9"/>
      <c r="AB68" s="42"/>
      <c r="AC68" s="9"/>
      <c r="AD68" s="38"/>
      <c r="AE68" s="9"/>
      <c r="AF68" s="39"/>
      <c r="AG68" s="9"/>
      <c r="AH68" s="9"/>
      <c r="AI68" s="9"/>
      <c r="AJ68" s="9"/>
      <c r="AK68" s="9"/>
      <c r="AL68" s="9"/>
      <c r="AM68" s="9"/>
      <c r="AN68" s="10" t="str">
        <f aca="false">IF(A68="","",SG_Criteria!$B$6&amp;SG_Criteria!$B$12&amp;"\"&amp;A68&amp;"\")</f>
        <v/>
      </c>
      <c r="AO68" s="10" t="str">
        <f aca="false">IF(A68="","",A68&amp;"_CAD.dwg")</f>
        <v/>
      </c>
      <c r="AP68" s="10" t="str">
        <f aca="false">IF(A68="","",A68&amp;"_DWG.pdf")</f>
        <v/>
      </c>
      <c r="AQ68" s="10" t="str">
        <f aca="false">IF(A68="","",IF(AM68="Y",A68&amp;"_STAAD.std","n/a"))</f>
        <v/>
      </c>
      <c r="AR68" s="10" t="str">
        <f aca="false">IF(A68="","",A68&amp;"_CALC.xlsx")</f>
        <v/>
      </c>
      <c r="AS68" s="10" t="str">
        <f aca="false">IF(A68="","",A68&amp;"_CALC.pdf")</f>
        <v/>
      </c>
      <c r="AT68" s="9"/>
      <c r="AU68" s="9"/>
      <c r="AV68" s="39"/>
      <c r="AW68" s="39"/>
      <c r="AX68" s="39"/>
      <c r="AY68" s="39"/>
      <c r="AZ68" s="39"/>
      <c r="BA68" s="12" t="str">
        <f aca="false">IF(A68="","",IF(COUNTIF(Rebar_Schedule!$A$5:$A$2004,A68)=0,"",ROUND(SUMIF(Rebar_Schedule!$A$5:$A$2004,A68,Rebar_Schedule!$K$5:$K$2004),1)))</f>
        <v/>
      </c>
      <c r="BB68" s="33" t="str">
        <f aca="false">IF(A68="","",IF(BA68="","No rebar schedule yet",IF(ABS(BA68-N(AW68))/MAX(N(AW68),1)&gt;SG_Criteria!$B$55,"NOTE: register rebar differs from schedule by "&amp;TEXT(ABS(BA68-N(AW68))/MAX(N(AW68),1),"0%"),"OK")))</f>
        <v/>
      </c>
      <c r="BC68" s="33" t="str">
        <f aca="false">IF(D68="","",IF(LEN(IF(AND(D68&lt;&gt;"High Covered Linkway",G68&lt;SG_Criteria!$B$46),"FAIL: headroom below "&amp;SG_Criteria!$B$46&amp;" m. ","")&amp;IF(AND(D68="High Covered Linkway",G68&lt;SG_Criteria!$B$47),"FAIL: high linkway headroom below "&amp;SG_Criteria!$B$47&amp;" m. ","")&amp;IF(F68&lt;SG_Criteria!$B$48,"FAIL: roof width below "&amp;SG_Criteria!$B$48&amp;" m. ",IF(F68&lt;SG_Criteria!$B$49,"NOTE: not for MRT/LRT or high-traffic routes (min "&amp;SG_Criteria!$B$49&amp;" m). ",""))&amp;IF(AND(W68&lt;&gt;"",W68&lt;SG_Criteria!$B$50),"FAIL: wind speed below "&amp;SG_Criteria!$B$50&amp;" m/s. ","")&amp;IF(AND(X68&lt;&gt;"",X68&lt;SG_Criteria!$B$51),"FAIL: roof fixing pull-out below "&amp;SG_Criteria!$B$51&amp;" kN. ","")&amp;IF(AND(Y68&lt;&gt;"",IFERROR(VALUE(MID(Y68,2,2)),0)&lt;SG_Criteria!$B$52),"FAIL: grade below C"&amp;SG_Criteria!$B$52&amp;". ","")&amp;IF(E68="Non-standard (project design)","NOTE: not an SDRE standard, needs LTA acceptance. ",""))=0,"OK",IF(AND(D68&lt;&gt;"High Covered Linkway",G68&lt;SG_Criteria!$B$46),"FAIL: headroom below "&amp;SG_Criteria!$B$46&amp;" m. ","")&amp;IF(AND(D68="High Covered Linkway",G68&lt;SG_Criteria!$B$47),"FAIL: high linkway headroom below "&amp;SG_Criteria!$B$47&amp;" m. ","")&amp;IF(F68&lt;SG_Criteria!$B$48,"FAIL: roof width below "&amp;SG_Criteria!$B$48&amp;" m. ",IF(F68&lt;SG_Criteria!$B$49,"NOTE: not for MRT/LRT or high-traffic routes (min "&amp;SG_Criteria!$B$49&amp;" m). ",""))&amp;IF(AND(W68&lt;&gt;"",W68&lt;SG_Criteria!$B$50),"FAIL: wind speed below "&amp;SG_Criteria!$B$50&amp;" m/s. ","")&amp;IF(AND(X68&lt;&gt;"",X68&lt;SG_Criteria!$B$51),"FAIL: roof fixing pull-out below "&amp;SG_Criteria!$B$51&amp;" kN. ","")&amp;IF(AND(Y68&lt;&gt;"",IFERROR(VALUE(MID(Y68,2,2)),0)&lt;SG_Criteria!$B$52),"FAIL: grade below C"&amp;SG_Criteria!$B$52&amp;". ","")&amp;IF(E68="Non-standard (project design)","NOTE: not an SDRE standard, needs LTA acceptance. ","")))</f>
        <v/>
      </c>
      <c r="BD68" s="9"/>
      <c r="BE68" s="9"/>
      <c r="BF68" s="9"/>
      <c r="BG68" s="10" t="str">
        <f aca="false">IF(BF68="","",IFERROR(VLOOKUP(BF68,Projects!$A$5:$D$504,2,0),"Ref not in Projects"))</f>
        <v/>
      </c>
      <c r="BH68" s="10" t="str">
        <f aca="false">IF(BF68="","",IFERROR(VLOOKUP(BF68,Projects!$A$5:$D$504,4,0),"Ref not in Projects"))</f>
        <v/>
      </c>
      <c r="BI68" s="9"/>
      <c r="BJ68" s="9"/>
      <c r="BK68" s="9"/>
      <c r="BL68" s="40"/>
      <c r="BM68" s="9"/>
      <c r="BN68" s="40"/>
      <c r="BO68" s="9"/>
      <c r="BP68" s="40"/>
      <c r="BQ68" s="9"/>
      <c r="BR68" s="9"/>
      <c r="BS68" s="9"/>
      <c r="BT68" s="40"/>
      <c r="BU68" s="40"/>
      <c r="BV68" s="36" t="str">
        <f aca="false">IF(BU68="","",EDATE(BU68,SG_Criteria!$B$54*12))</f>
        <v/>
      </c>
      <c r="BW68" s="33" t="str">
        <f aca="true">IF(A68="","",IF(BU68="","NOTE: not reviewed yet",IF(TODAY()&gt;BV68,"NOTE: review overdue","OK")))</f>
        <v/>
      </c>
      <c r="BX68" s="37" t="str">
        <f aca="false">IF(A68="","",ROUND((IF(LEN(D68)&gt;0,1,0)+IF(LEN(E68)&gt;0,1,0)+IF(LEN(F68)&gt;0,1,0)+IF(LEN(G68)&gt;0,1,0)+IF(LEN(H68)&gt;0,1,0)+IF(LEN(I68)&gt;0,1,0)+IF(LEN(J68)&gt;0,1,0)+IF(LEN(K68)&gt;0,1,0)+IF(LEN(N68)&gt;0,1,0)+IF(LEN(O68)&gt;0,1,0)+IF(LEN(W68)&gt;0,1,0)+IF(LEN(X68)&gt;0,1,0)+IF(LEN(Y68)&gt;0,1,0)+IF(LEN(AG68)&gt;0,1,0)+IF(LEN(AI68)&gt;0,1,0)+IF(LEN(AJ68)&gt;0,1,0)+IF(LEN(AK68)&gt;0,1,0)+IF(LEN(AL68)&gt;0,1,0)+IF(LEN(AU68)&gt;0,1,0)+IF(LEN(BF68)&gt;0,1,0)+IF(LEN(BS68)&gt;0,1,0))/21,2))</f>
        <v/>
      </c>
      <c r="BY68" s="10" t="str">
        <f aca="false">IF(D68="","",IF(AND(AJ68="Approved",ISERROR(SEARCH("FAIL",BC68))),"Y","N"))</f>
        <v/>
      </c>
      <c r="BZ68" s="10" t="str">
        <f aca="false">IF(D68="","",D68&amp;"|"&amp;F68&amp;"|"&amp;G68&amp;"|"&amp;BY68)</f>
        <v/>
      </c>
    </row>
    <row r="69" customFormat="false" ht="15" hidden="false" customHeight="false" outlineLevel="0" collapsed="false">
      <c r="A69" s="10" t="str">
        <f aca="false">IF(D69="","","LKW-"&amp;IFERROR(VLOOKUP(D69,Lists!$AQ$4:$AR$17,2,0),"??")&amp;"-W"&amp;TEXT(F69*1000,"0000")&amp;"-H"&amp;TEXT(G69*1000,"0000")&amp;"-B"&amp;TEXT(H69*1000,"0000")&amp;"-"&amp;AI69)</f>
        <v/>
      </c>
      <c r="B69" s="10" t="str">
        <f aca="false">IF(D69="","",D69&amp;", "&amp;F69&amp;" m wide, "&amp;G69&amp;" m headroom, "&amp;H69&amp;" m bays, "&amp;I69&amp;" ("&amp;E69&amp;")")</f>
        <v/>
      </c>
      <c r="C69" s="9"/>
      <c r="D69" s="9"/>
      <c r="E69" s="9"/>
      <c r="F69" s="42"/>
      <c r="G69" s="42"/>
      <c r="H69" s="42"/>
      <c r="I69" s="9"/>
      <c r="J69" s="9"/>
      <c r="K69" s="9"/>
      <c r="L69" s="9"/>
      <c r="M69" s="9"/>
      <c r="N69" s="9"/>
      <c r="O69" s="9"/>
      <c r="P69" s="9"/>
      <c r="Q69" s="9"/>
      <c r="R69" s="9"/>
      <c r="S69" s="42"/>
      <c r="T69" s="9"/>
      <c r="U69" s="9"/>
      <c r="V69" s="9"/>
      <c r="W69" s="38"/>
      <c r="X69" s="42"/>
      <c r="Y69" s="9"/>
      <c r="Z69" s="9"/>
      <c r="AA69" s="9"/>
      <c r="AB69" s="42"/>
      <c r="AC69" s="9"/>
      <c r="AD69" s="38"/>
      <c r="AE69" s="9"/>
      <c r="AF69" s="39"/>
      <c r="AG69" s="9"/>
      <c r="AH69" s="9"/>
      <c r="AI69" s="9"/>
      <c r="AJ69" s="9"/>
      <c r="AK69" s="9"/>
      <c r="AL69" s="9"/>
      <c r="AM69" s="9"/>
      <c r="AN69" s="10" t="str">
        <f aca="false">IF(A69="","",SG_Criteria!$B$6&amp;SG_Criteria!$B$12&amp;"\"&amp;A69&amp;"\")</f>
        <v/>
      </c>
      <c r="AO69" s="10" t="str">
        <f aca="false">IF(A69="","",A69&amp;"_CAD.dwg")</f>
        <v/>
      </c>
      <c r="AP69" s="10" t="str">
        <f aca="false">IF(A69="","",A69&amp;"_DWG.pdf")</f>
        <v/>
      </c>
      <c r="AQ69" s="10" t="str">
        <f aca="false">IF(A69="","",IF(AM69="Y",A69&amp;"_STAAD.std","n/a"))</f>
        <v/>
      </c>
      <c r="AR69" s="10" t="str">
        <f aca="false">IF(A69="","",A69&amp;"_CALC.xlsx")</f>
        <v/>
      </c>
      <c r="AS69" s="10" t="str">
        <f aca="false">IF(A69="","",A69&amp;"_CALC.pdf")</f>
        <v/>
      </c>
      <c r="AT69" s="9"/>
      <c r="AU69" s="9"/>
      <c r="AV69" s="39"/>
      <c r="AW69" s="39"/>
      <c r="AX69" s="39"/>
      <c r="AY69" s="39"/>
      <c r="AZ69" s="39"/>
      <c r="BA69" s="12" t="str">
        <f aca="false">IF(A69="","",IF(COUNTIF(Rebar_Schedule!$A$5:$A$2004,A69)=0,"",ROUND(SUMIF(Rebar_Schedule!$A$5:$A$2004,A69,Rebar_Schedule!$K$5:$K$2004),1)))</f>
        <v/>
      </c>
      <c r="BB69" s="33" t="str">
        <f aca="false">IF(A69="","",IF(BA69="","No rebar schedule yet",IF(ABS(BA69-N(AW69))/MAX(N(AW69),1)&gt;SG_Criteria!$B$55,"NOTE: register rebar differs from schedule by "&amp;TEXT(ABS(BA69-N(AW69))/MAX(N(AW69),1),"0%"),"OK")))</f>
        <v/>
      </c>
      <c r="BC69" s="33" t="str">
        <f aca="false">IF(D69="","",IF(LEN(IF(AND(D69&lt;&gt;"High Covered Linkway",G69&lt;SG_Criteria!$B$46),"FAIL: headroom below "&amp;SG_Criteria!$B$46&amp;" m. ","")&amp;IF(AND(D69="High Covered Linkway",G69&lt;SG_Criteria!$B$47),"FAIL: high linkway headroom below "&amp;SG_Criteria!$B$47&amp;" m. ","")&amp;IF(F69&lt;SG_Criteria!$B$48,"FAIL: roof width below "&amp;SG_Criteria!$B$48&amp;" m. ",IF(F69&lt;SG_Criteria!$B$49,"NOTE: not for MRT/LRT or high-traffic routes (min "&amp;SG_Criteria!$B$49&amp;" m). ",""))&amp;IF(AND(W69&lt;&gt;"",W69&lt;SG_Criteria!$B$50),"FAIL: wind speed below "&amp;SG_Criteria!$B$50&amp;" m/s. ","")&amp;IF(AND(X69&lt;&gt;"",X69&lt;SG_Criteria!$B$51),"FAIL: roof fixing pull-out below "&amp;SG_Criteria!$B$51&amp;" kN. ","")&amp;IF(AND(Y69&lt;&gt;"",IFERROR(VALUE(MID(Y69,2,2)),0)&lt;SG_Criteria!$B$52),"FAIL: grade below C"&amp;SG_Criteria!$B$52&amp;". ","")&amp;IF(E69="Non-standard (project design)","NOTE: not an SDRE standard, needs LTA acceptance. ",""))=0,"OK",IF(AND(D69&lt;&gt;"High Covered Linkway",G69&lt;SG_Criteria!$B$46),"FAIL: headroom below "&amp;SG_Criteria!$B$46&amp;" m. ","")&amp;IF(AND(D69="High Covered Linkway",G69&lt;SG_Criteria!$B$47),"FAIL: high linkway headroom below "&amp;SG_Criteria!$B$47&amp;" m. ","")&amp;IF(F69&lt;SG_Criteria!$B$48,"FAIL: roof width below "&amp;SG_Criteria!$B$48&amp;" m. ",IF(F69&lt;SG_Criteria!$B$49,"NOTE: not for MRT/LRT or high-traffic routes (min "&amp;SG_Criteria!$B$49&amp;" m). ",""))&amp;IF(AND(W69&lt;&gt;"",W69&lt;SG_Criteria!$B$50),"FAIL: wind speed below "&amp;SG_Criteria!$B$50&amp;" m/s. ","")&amp;IF(AND(X69&lt;&gt;"",X69&lt;SG_Criteria!$B$51),"FAIL: roof fixing pull-out below "&amp;SG_Criteria!$B$51&amp;" kN. ","")&amp;IF(AND(Y69&lt;&gt;"",IFERROR(VALUE(MID(Y69,2,2)),0)&lt;SG_Criteria!$B$52),"FAIL: grade below C"&amp;SG_Criteria!$B$52&amp;". ","")&amp;IF(E69="Non-standard (project design)","NOTE: not an SDRE standard, needs LTA acceptance. ","")))</f>
        <v/>
      </c>
      <c r="BD69" s="9"/>
      <c r="BE69" s="9"/>
      <c r="BF69" s="9"/>
      <c r="BG69" s="10" t="str">
        <f aca="false">IF(BF69="","",IFERROR(VLOOKUP(BF69,Projects!$A$5:$D$504,2,0),"Ref not in Projects"))</f>
        <v/>
      </c>
      <c r="BH69" s="10" t="str">
        <f aca="false">IF(BF69="","",IFERROR(VLOOKUP(BF69,Projects!$A$5:$D$504,4,0),"Ref not in Projects"))</f>
        <v/>
      </c>
      <c r="BI69" s="9"/>
      <c r="BJ69" s="9"/>
      <c r="BK69" s="9"/>
      <c r="BL69" s="40"/>
      <c r="BM69" s="9"/>
      <c r="BN69" s="40"/>
      <c r="BO69" s="9"/>
      <c r="BP69" s="40"/>
      <c r="BQ69" s="9"/>
      <c r="BR69" s="9"/>
      <c r="BS69" s="9"/>
      <c r="BT69" s="40"/>
      <c r="BU69" s="40"/>
      <c r="BV69" s="36" t="str">
        <f aca="false">IF(BU69="","",EDATE(BU69,SG_Criteria!$B$54*12))</f>
        <v/>
      </c>
      <c r="BW69" s="33" t="str">
        <f aca="true">IF(A69="","",IF(BU69="","NOTE: not reviewed yet",IF(TODAY()&gt;BV69,"NOTE: review overdue","OK")))</f>
        <v/>
      </c>
      <c r="BX69" s="37" t="str">
        <f aca="false">IF(A69="","",ROUND((IF(LEN(D69)&gt;0,1,0)+IF(LEN(E69)&gt;0,1,0)+IF(LEN(F69)&gt;0,1,0)+IF(LEN(G69)&gt;0,1,0)+IF(LEN(H69)&gt;0,1,0)+IF(LEN(I69)&gt;0,1,0)+IF(LEN(J69)&gt;0,1,0)+IF(LEN(K69)&gt;0,1,0)+IF(LEN(N69)&gt;0,1,0)+IF(LEN(O69)&gt;0,1,0)+IF(LEN(W69)&gt;0,1,0)+IF(LEN(X69)&gt;0,1,0)+IF(LEN(Y69)&gt;0,1,0)+IF(LEN(AG69)&gt;0,1,0)+IF(LEN(AI69)&gt;0,1,0)+IF(LEN(AJ69)&gt;0,1,0)+IF(LEN(AK69)&gt;0,1,0)+IF(LEN(AL69)&gt;0,1,0)+IF(LEN(AU69)&gt;0,1,0)+IF(LEN(BF69)&gt;0,1,0)+IF(LEN(BS69)&gt;0,1,0))/21,2))</f>
        <v/>
      </c>
      <c r="BY69" s="10" t="str">
        <f aca="false">IF(D69="","",IF(AND(AJ69="Approved",ISERROR(SEARCH("FAIL",BC69))),"Y","N"))</f>
        <v/>
      </c>
      <c r="BZ69" s="10" t="str">
        <f aca="false">IF(D69="","",D69&amp;"|"&amp;F69&amp;"|"&amp;G69&amp;"|"&amp;BY69)</f>
        <v/>
      </c>
    </row>
    <row r="70" customFormat="false" ht="15" hidden="false" customHeight="false" outlineLevel="0" collapsed="false">
      <c r="A70" s="10" t="str">
        <f aca="false">IF(D70="","","LKW-"&amp;IFERROR(VLOOKUP(D70,Lists!$AQ$4:$AR$17,2,0),"??")&amp;"-W"&amp;TEXT(F70*1000,"0000")&amp;"-H"&amp;TEXT(G70*1000,"0000")&amp;"-B"&amp;TEXT(H70*1000,"0000")&amp;"-"&amp;AI70)</f>
        <v/>
      </c>
      <c r="B70" s="10" t="str">
        <f aca="false">IF(D70="","",D70&amp;", "&amp;F70&amp;" m wide, "&amp;G70&amp;" m headroom, "&amp;H70&amp;" m bays, "&amp;I70&amp;" ("&amp;E70&amp;")")</f>
        <v/>
      </c>
      <c r="C70" s="9"/>
      <c r="D70" s="9"/>
      <c r="E70" s="9"/>
      <c r="F70" s="42"/>
      <c r="G70" s="42"/>
      <c r="H70" s="42"/>
      <c r="I70" s="9"/>
      <c r="J70" s="9"/>
      <c r="K70" s="9"/>
      <c r="L70" s="9"/>
      <c r="M70" s="9"/>
      <c r="N70" s="9"/>
      <c r="O70" s="9"/>
      <c r="P70" s="9"/>
      <c r="Q70" s="9"/>
      <c r="R70" s="9"/>
      <c r="S70" s="42"/>
      <c r="T70" s="9"/>
      <c r="U70" s="9"/>
      <c r="V70" s="9"/>
      <c r="W70" s="38"/>
      <c r="X70" s="42"/>
      <c r="Y70" s="9"/>
      <c r="Z70" s="9"/>
      <c r="AA70" s="9"/>
      <c r="AB70" s="42"/>
      <c r="AC70" s="9"/>
      <c r="AD70" s="38"/>
      <c r="AE70" s="9"/>
      <c r="AF70" s="39"/>
      <c r="AG70" s="9"/>
      <c r="AH70" s="9"/>
      <c r="AI70" s="9"/>
      <c r="AJ70" s="9"/>
      <c r="AK70" s="9"/>
      <c r="AL70" s="9"/>
      <c r="AM70" s="9"/>
      <c r="AN70" s="10" t="str">
        <f aca="false">IF(A70="","",SG_Criteria!$B$6&amp;SG_Criteria!$B$12&amp;"\"&amp;A70&amp;"\")</f>
        <v/>
      </c>
      <c r="AO70" s="10" t="str">
        <f aca="false">IF(A70="","",A70&amp;"_CAD.dwg")</f>
        <v/>
      </c>
      <c r="AP70" s="10" t="str">
        <f aca="false">IF(A70="","",A70&amp;"_DWG.pdf")</f>
        <v/>
      </c>
      <c r="AQ70" s="10" t="str">
        <f aca="false">IF(A70="","",IF(AM70="Y",A70&amp;"_STAAD.std","n/a"))</f>
        <v/>
      </c>
      <c r="AR70" s="10" t="str">
        <f aca="false">IF(A70="","",A70&amp;"_CALC.xlsx")</f>
        <v/>
      </c>
      <c r="AS70" s="10" t="str">
        <f aca="false">IF(A70="","",A70&amp;"_CALC.pdf")</f>
        <v/>
      </c>
      <c r="AT70" s="9"/>
      <c r="AU70" s="9"/>
      <c r="AV70" s="39"/>
      <c r="AW70" s="39"/>
      <c r="AX70" s="39"/>
      <c r="AY70" s="39"/>
      <c r="AZ70" s="39"/>
      <c r="BA70" s="12" t="str">
        <f aca="false">IF(A70="","",IF(COUNTIF(Rebar_Schedule!$A$5:$A$2004,A70)=0,"",ROUND(SUMIF(Rebar_Schedule!$A$5:$A$2004,A70,Rebar_Schedule!$K$5:$K$2004),1)))</f>
        <v/>
      </c>
      <c r="BB70" s="33" t="str">
        <f aca="false">IF(A70="","",IF(BA70="","No rebar schedule yet",IF(ABS(BA70-N(AW70))/MAX(N(AW70),1)&gt;SG_Criteria!$B$55,"NOTE: register rebar differs from schedule by "&amp;TEXT(ABS(BA70-N(AW70))/MAX(N(AW70),1),"0%"),"OK")))</f>
        <v/>
      </c>
      <c r="BC70" s="33" t="str">
        <f aca="false">IF(D70="","",IF(LEN(IF(AND(D70&lt;&gt;"High Covered Linkway",G70&lt;SG_Criteria!$B$46),"FAIL: headroom below "&amp;SG_Criteria!$B$46&amp;" m. ","")&amp;IF(AND(D70="High Covered Linkway",G70&lt;SG_Criteria!$B$47),"FAIL: high linkway headroom below "&amp;SG_Criteria!$B$47&amp;" m. ","")&amp;IF(F70&lt;SG_Criteria!$B$48,"FAIL: roof width below "&amp;SG_Criteria!$B$48&amp;" m. ",IF(F70&lt;SG_Criteria!$B$49,"NOTE: not for MRT/LRT or high-traffic routes (min "&amp;SG_Criteria!$B$49&amp;" m). ",""))&amp;IF(AND(W70&lt;&gt;"",W70&lt;SG_Criteria!$B$50),"FAIL: wind speed below "&amp;SG_Criteria!$B$50&amp;" m/s. ","")&amp;IF(AND(X70&lt;&gt;"",X70&lt;SG_Criteria!$B$51),"FAIL: roof fixing pull-out below "&amp;SG_Criteria!$B$51&amp;" kN. ","")&amp;IF(AND(Y70&lt;&gt;"",IFERROR(VALUE(MID(Y70,2,2)),0)&lt;SG_Criteria!$B$52),"FAIL: grade below C"&amp;SG_Criteria!$B$52&amp;". ","")&amp;IF(E70="Non-standard (project design)","NOTE: not an SDRE standard, needs LTA acceptance. ",""))=0,"OK",IF(AND(D70&lt;&gt;"High Covered Linkway",G70&lt;SG_Criteria!$B$46),"FAIL: headroom below "&amp;SG_Criteria!$B$46&amp;" m. ","")&amp;IF(AND(D70="High Covered Linkway",G70&lt;SG_Criteria!$B$47),"FAIL: high linkway headroom below "&amp;SG_Criteria!$B$47&amp;" m. ","")&amp;IF(F70&lt;SG_Criteria!$B$48,"FAIL: roof width below "&amp;SG_Criteria!$B$48&amp;" m. ",IF(F70&lt;SG_Criteria!$B$49,"NOTE: not for MRT/LRT or high-traffic routes (min "&amp;SG_Criteria!$B$49&amp;" m). ",""))&amp;IF(AND(W70&lt;&gt;"",W70&lt;SG_Criteria!$B$50),"FAIL: wind speed below "&amp;SG_Criteria!$B$50&amp;" m/s. ","")&amp;IF(AND(X70&lt;&gt;"",X70&lt;SG_Criteria!$B$51),"FAIL: roof fixing pull-out below "&amp;SG_Criteria!$B$51&amp;" kN. ","")&amp;IF(AND(Y70&lt;&gt;"",IFERROR(VALUE(MID(Y70,2,2)),0)&lt;SG_Criteria!$B$52),"FAIL: grade below C"&amp;SG_Criteria!$B$52&amp;". ","")&amp;IF(E70="Non-standard (project design)","NOTE: not an SDRE standard, needs LTA acceptance. ","")))</f>
        <v/>
      </c>
      <c r="BD70" s="9"/>
      <c r="BE70" s="9"/>
      <c r="BF70" s="9"/>
      <c r="BG70" s="10" t="str">
        <f aca="false">IF(BF70="","",IFERROR(VLOOKUP(BF70,Projects!$A$5:$D$504,2,0),"Ref not in Projects"))</f>
        <v/>
      </c>
      <c r="BH70" s="10" t="str">
        <f aca="false">IF(BF70="","",IFERROR(VLOOKUP(BF70,Projects!$A$5:$D$504,4,0),"Ref not in Projects"))</f>
        <v/>
      </c>
      <c r="BI70" s="9"/>
      <c r="BJ70" s="9"/>
      <c r="BK70" s="9"/>
      <c r="BL70" s="40"/>
      <c r="BM70" s="9"/>
      <c r="BN70" s="40"/>
      <c r="BO70" s="9"/>
      <c r="BP70" s="40"/>
      <c r="BQ70" s="9"/>
      <c r="BR70" s="9"/>
      <c r="BS70" s="9"/>
      <c r="BT70" s="40"/>
      <c r="BU70" s="40"/>
      <c r="BV70" s="36" t="str">
        <f aca="false">IF(BU70="","",EDATE(BU70,SG_Criteria!$B$54*12))</f>
        <v/>
      </c>
      <c r="BW70" s="33" t="str">
        <f aca="true">IF(A70="","",IF(BU70="","NOTE: not reviewed yet",IF(TODAY()&gt;BV70,"NOTE: review overdue","OK")))</f>
        <v/>
      </c>
      <c r="BX70" s="37" t="str">
        <f aca="false">IF(A70="","",ROUND((IF(LEN(D70)&gt;0,1,0)+IF(LEN(E70)&gt;0,1,0)+IF(LEN(F70)&gt;0,1,0)+IF(LEN(G70)&gt;0,1,0)+IF(LEN(H70)&gt;0,1,0)+IF(LEN(I70)&gt;0,1,0)+IF(LEN(J70)&gt;0,1,0)+IF(LEN(K70)&gt;0,1,0)+IF(LEN(N70)&gt;0,1,0)+IF(LEN(O70)&gt;0,1,0)+IF(LEN(W70)&gt;0,1,0)+IF(LEN(X70)&gt;0,1,0)+IF(LEN(Y70)&gt;0,1,0)+IF(LEN(AG70)&gt;0,1,0)+IF(LEN(AI70)&gt;0,1,0)+IF(LEN(AJ70)&gt;0,1,0)+IF(LEN(AK70)&gt;0,1,0)+IF(LEN(AL70)&gt;0,1,0)+IF(LEN(AU70)&gt;0,1,0)+IF(LEN(BF70)&gt;0,1,0)+IF(LEN(BS70)&gt;0,1,0))/21,2))</f>
        <v/>
      </c>
      <c r="BY70" s="10" t="str">
        <f aca="false">IF(D70="","",IF(AND(AJ70="Approved",ISERROR(SEARCH("FAIL",BC70))),"Y","N"))</f>
        <v/>
      </c>
      <c r="BZ70" s="10" t="str">
        <f aca="false">IF(D70="","",D70&amp;"|"&amp;F70&amp;"|"&amp;G70&amp;"|"&amp;BY70)</f>
        <v/>
      </c>
    </row>
    <row r="71" customFormat="false" ht="15" hidden="false" customHeight="false" outlineLevel="0" collapsed="false">
      <c r="A71" s="10" t="str">
        <f aca="false">IF(D71="","","LKW-"&amp;IFERROR(VLOOKUP(D71,Lists!$AQ$4:$AR$17,2,0),"??")&amp;"-W"&amp;TEXT(F71*1000,"0000")&amp;"-H"&amp;TEXT(G71*1000,"0000")&amp;"-B"&amp;TEXT(H71*1000,"0000")&amp;"-"&amp;AI71)</f>
        <v/>
      </c>
      <c r="B71" s="10" t="str">
        <f aca="false">IF(D71="","",D71&amp;", "&amp;F71&amp;" m wide, "&amp;G71&amp;" m headroom, "&amp;H71&amp;" m bays, "&amp;I71&amp;" ("&amp;E71&amp;")")</f>
        <v/>
      </c>
      <c r="C71" s="9"/>
      <c r="D71" s="9"/>
      <c r="E71" s="9"/>
      <c r="F71" s="42"/>
      <c r="G71" s="42"/>
      <c r="H71" s="42"/>
      <c r="I71" s="9"/>
      <c r="J71" s="9"/>
      <c r="K71" s="9"/>
      <c r="L71" s="9"/>
      <c r="M71" s="9"/>
      <c r="N71" s="9"/>
      <c r="O71" s="9"/>
      <c r="P71" s="9"/>
      <c r="Q71" s="9"/>
      <c r="R71" s="9"/>
      <c r="S71" s="42"/>
      <c r="T71" s="9"/>
      <c r="U71" s="9"/>
      <c r="V71" s="9"/>
      <c r="W71" s="38"/>
      <c r="X71" s="42"/>
      <c r="Y71" s="9"/>
      <c r="Z71" s="9"/>
      <c r="AA71" s="9"/>
      <c r="AB71" s="42"/>
      <c r="AC71" s="9"/>
      <c r="AD71" s="38"/>
      <c r="AE71" s="9"/>
      <c r="AF71" s="39"/>
      <c r="AG71" s="9"/>
      <c r="AH71" s="9"/>
      <c r="AI71" s="9"/>
      <c r="AJ71" s="9"/>
      <c r="AK71" s="9"/>
      <c r="AL71" s="9"/>
      <c r="AM71" s="9"/>
      <c r="AN71" s="10" t="str">
        <f aca="false">IF(A71="","",SG_Criteria!$B$6&amp;SG_Criteria!$B$12&amp;"\"&amp;A71&amp;"\")</f>
        <v/>
      </c>
      <c r="AO71" s="10" t="str">
        <f aca="false">IF(A71="","",A71&amp;"_CAD.dwg")</f>
        <v/>
      </c>
      <c r="AP71" s="10" t="str">
        <f aca="false">IF(A71="","",A71&amp;"_DWG.pdf")</f>
        <v/>
      </c>
      <c r="AQ71" s="10" t="str">
        <f aca="false">IF(A71="","",IF(AM71="Y",A71&amp;"_STAAD.std","n/a"))</f>
        <v/>
      </c>
      <c r="AR71" s="10" t="str">
        <f aca="false">IF(A71="","",A71&amp;"_CALC.xlsx")</f>
        <v/>
      </c>
      <c r="AS71" s="10" t="str">
        <f aca="false">IF(A71="","",A71&amp;"_CALC.pdf")</f>
        <v/>
      </c>
      <c r="AT71" s="9"/>
      <c r="AU71" s="9"/>
      <c r="AV71" s="39"/>
      <c r="AW71" s="39"/>
      <c r="AX71" s="39"/>
      <c r="AY71" s="39"/>
      <c r="AZ71" s="39"/>
      <c r="BA71" s="12" t="str">
        <f aca="false">IF(A71="","",IF(COUNTIF(Rebar_Schedule!$A$5:$A$2004,A71)=0,"",ROUND(SUMIF(Rebar_Schedule!$A$5:$A$2004,A71,Rebar_Schedule!$K$5:$K$2004),1)))</f>
        <v/>
      </c>
      <c r="BB71" s="33" t="str">
        <f aca="false">IF(A71="","",IF(BA71="","No rebar schedule yet",IF(ABS(BA71-N(AW71))/MAX(N(AW71),1)&gt;SG_Criteria!$B$55,"NOTE: register rebar differs from schedule by "&amp;TEXT(ABS(BA71-N(AW71))/MAX(N(AW71),1),"0%"),"OK")))</f>
        <v/>
      </c>
      <c r="BC71" s="33" t="str">
        <f aca="false">IF(D71="","",IF(LEN(IF(AND(D71&lt;&gt;"High Covered Linkway",G71&lt;SG_Criteria!$B$46),"FAIL: headroom below "&amp;SG_Criteria!$B$46&amp;" m. ","")&amp;IF(AND(D71="High Covered Linkway",G71&lt;SG_Criteria!$B$47),"FAIL: high linkway headroom below "&amp;SG_Criteria!$B$47&amp;" m. ","")&amp;IF(F71&lt;SG_Criteria!$B$48,"FAIL: roof width below "&amp;SG_Criteria!$B$48&amp;" m. ",IF(F71&lt;SG_Criteria!$B$49,"NOTE: not for MRT/LRT or high-traffic routes (min "&amp;SG_Criteria!$B$49&amp;" m). ",""))&amp;IF(AND(W71&lt;&gt;"",W71&lt;SG_Criteria!$B$50),"FAIL: wind speed below "&amp;SG_Criteria!$B$50&amp;" m/s. ","")&amp;IF(AND(X71&lt;&gt;"",X71&lt;SG_Criteria!$B$51),"FAIL: roof fixing pull-out below "&amp;SG_Criteria!$B$51&amp;" kN. ","")&amp;IF(AND(Y71&lt;&gt;"",IFERROR(VALUE(MID(Y71,2,2)),0)&lt;SG_Criteria!$B$52),"FAIL: grade below C"&amp;SG_Criteria!$B$52&amp;". ","")&amp;IF(E71="Non-standard (project design)","NOTE: not an SDRE standard, needs LTA acceptance. ",""))=0,"OK",IF(AND(D71&lt;&gt;"High Covered Linkway",G71&lt;SG_Criteria!$B$46),"FAIL: headroom below "&amp;SG_Criteria!$B$46&amp;" m. ","")&amp;IF(AND(D71="High Covered Linkway",G71&lt;SG_Criteria!$B$47),"FAIL: high linkway headroom below "&amp;SG_Criteria!$B$47&amp;" m. ","")&amp;IF(F71&lt;SG_Criteria!$B$48,"FAIL: roof width below "&amp;SG_Criteria!$B$48&amp;" m. ",IF(F71&lt;SG_Criteria!$B$49,"NOTE: not for MRT/LRT or high-traffic routes (min "&amp;SG_Criteria!$B$49&amp;" m). ",""))&amp;IF(AND(W71&lt;&gt;"",W71&lt;SG_Criteria!$B$50),"FAIL: wind speed below "&amp;SG_Criteria!$B$50&amp;" m/s. ","")&amp;IF(AND(X71&lt;&gt;"",X71&lt;SG_Criteria!$B$51),"FAIL: roof fixing pull-out below "&amp;SG_Criteria!$B$51&amp;" kN. ","")&amp;IF(AND(Y71&lt;&gt;"",IFERROR(VALUE(MID(Y71,2,2)),0)&lt;SG_Criteria!$B$52),"FAIL: grade below C"&amp;SG_Criteria!$B$52&amp;". ","")&amp;IF(E71="Non-standard (project design)","NOTE: not an SDRE standard, needs LTA acceptance. ","")))</f>
        <v/>
      </c>
      <c r="BD71" s="9"/>
      <c r="BE71" s="9"/>
      <c r="BF71" s="9"/>
      <c r="BG71" s="10" t="str">
        <f aca="false">IF(BF71="","",IFERROR(VLOOKUP(BF71,Projects!$A$5:$D$504,2,0),"Ref not in Projects"))</f>
        <v/>
      </c>
      <c r="BH71" s="10" t="str">
        <f aca="false">IF(BF71="","",IFERROR(VLOOKUP(BF71,Projects!$A$5:$D$504,4,0),"Ref not in Projects"))</f>
        <v/>
      </c>
      <c r="BI71" s="9"/>
      <c r="BJ71" s="9"/>
      <c r="BK71" s="9"/>
      <c r="BL71" s="40"/>
      <c r="BM71" s="9"/>
      <c r="BN71" s="40"/>
      <c r="BO71" s="9"/>
      <c r="BP71" s="40"/>
      <c r="BQ71" s="9"/>
      <c r="BR71" s="9"/>
      <c r="BS71" s="9"/>
      <c r="BT71" s="40"/>
      <c r="BU71" s="40"/>
      <c r="BV71" s="36" t="str">
        <f aca="false">IF(BU71="","",EDATE(BU71,SG_Criteria!$B$54*12))</f>
        <v/>
      </c>
      <c r="BW71" s="33" t="str">
        <f aca="true">IF(A71="","",IF(BU71="","NOTE: not reviewed yet",IF(TODAY()&gt;BV71,"NOTE: review overdue","OK")))</f>
        <v/>
      </c>
      <c r="BX71" s="37" t="str">
        <f aca="false">IF(A71="","",ROUND((IF(LEN(D71)&gt;0,1,0)+IF(LEN(E71)&gt;0,1,0)+IF(LEN(F71)&gt;0,1,0)+IF(LEN(G71)&gt;0,1,0)+IF(LEN(H71)&gt;0,1,0)+IF(LEN(I71)&gt;0,1,0)+IF(LEN(J71)&gt;0,1,0)+IF(LEN(K71)&gt;0,1,0)+IF(LEN(N71)&gt;0,1,0)+IF(LEN(O71)&gt;0,1,0)+IF(LEN(W71)&gt;0,1,0)+IF(LEN(X71)&gt;0,1,0)+IF(LEN(Y71)&gt;0,1,0)+IF(LEN(AG71)&gt;0,1,0)+IF(LEN(AI71)&gt;0,1,0)+IF(LEN(AJ71)&gt;0,1,0)+IF(LEN(AK71)&gt;0,1,0)+IF(LEN(AL71)&gt;0,1,0)+IF(LEN(AU71)&gt;0,1,0)+IF(LEN(BF71)&gt;0,1,0)+IF(LEN(BS71)&gt;0,1,0))/21,2))</f>
        <v/>
      </c>
      <c r="BY71" s="10" t="str">
        <f aca="false">IF(D71="","",IF(AND(AJ71="Approved",ISERROR(SEARCH("FAIL",BC71))),"Y","N"))</f>
        <v/>
      </c>
      <c r="BZ71" s="10" t="str">
        <f aca="false">IF(D71="","",D71&amp;"|"&amp;F71&amp;"|"&amp;G71&amp;"|"&amp;BY71)</f>
        <v/>
      </c>
    </row>
    <row r="72" customFormat="false" ht="15" hidden="false" customHeight="false" outlineLevel="0" collapsed="false">
      <c r="A72" s="10" t="str">
        <f aca="false">IF(D72="","","LKW-"&amp;IFERROR(VLOOKUP(D72,Lists!$AQ$4:$AR$17,2,0),"??")&amp;"-W"&amp;TEXT(F72*1000,"0000")&amp;"-H"&amp;TEXT(G72*1000,"0000")&amp;"-B"&amp;TEXT(H72*1000,"0000")&amp;"-"&amp;AI72)</f>
        <v/>
      </c>
      <c r="B72" s="10" t="str">
        <f aca="false">IF(D72="","",D72&amp;", "&amp;F72&amp;" m wide, "&amp;G72&amp;" m headroom, "&amp;H72&amp;" m bays, "&amp;I72&amp;" ("&amp;E72&amp;")")</f>
        <v/>
      </c>
      <c r="C72" s="9"/>
      <c r="D72" s="9"/>
      <c r="E72" s="9"/>
      <c r="F72" s="42"/>
      <c r="G72" s="42"/>
      <c r="H72" s="42"/>
      <c r="I72" s="9"/>
      <c r="J72" s="9"/>
      <c r="K72" s="9"/>
      <c r="L72" s="9"/>
      <c r="M72" s="9"/>
      <c r="N72" s="9"/>
      <c r="O72" s="9"/>
      <c r="P72" s="9"/>
      <c r="Q72" s="9"/>
      <c r="R72" s="9"/>
      <c r="S72" s="42"/>
      <c r="T72" s="9"/>
      <c r="U72" s="9"/>
      <c r="V72" s="9"/>
      <c r="W72" s="38"/>
      <c r="X72" s="42"/>
      <c r="Y72" s="9"/>
      <c r="Z72" s="9"/>
      <c r="AA72" s="9"/>
      <c r="AB72" s="42"/>
      <c r="AC72" s="9"/>
      <c r="AD72" s="38"/>
      <c r="AE72" s="9"/>
      <c r="AF72" s="39"/>
      <c r="AG72" s="9"/>
      <c r="AH72" s="9"/>
      <c r="AI72" s="9"/>
      <c r="AJ72" s="9"/>
      <c r="AK72" s="9"/>
      <c r="AL72" s="9"/>
      <c r="AM72" s="9"/>
      <c r="AN72" s="10" t="str">
        <f aca="false">IF(A72="","",SG_Criteria!$B$6&amp;SG_Criteria!$B$12&amp;"\"&amp;A72&amp;"\")</f>
        <v/>
      </c>
      <c r="AO72" s="10" t="str">
        <f aca="false">IF(A72="","",A72&amp;"_CAD.dwg")</f>
        <v/>
      </c>
      <c r="AP72" s="10" t="str">
        <f aca="false">IF(A72="","",A72&amp;"_DWG.pdf")</f>
        <v/>
      </c>
      <c r="AQ72" s="10" t="str">
        <f aca="false">IF(A72="","",IF(AM72="Y",A72&amp;"_STAAD.std","n/a"))</f>
        <v/>
      </c>
      <c r="AR72" s="10" t="str">
        <f aca="false">IF(A72="","",A72&amp;"_CALC.xlsx")</f>
        <v/>
      </c>
      <c r="AS72" s="10" t="str">
        <f aca="false">IF(A72="","",A72&amp;"_CALC.pdf")</f>
        <v/>
      </c>
      <c r="AT72" s="9"/>
      <c r="AU72" s="9"/>
      <c r="AV72" s="39"/>
      <c r="AW72" s="39"/>
      <c r="AX72" s="39"/>
      <c r="AY72" s="39"/>
      <c r="AZ72" s="39"/>
      <c r="BA72" s="12" t="str">
        <f aca="false">IF(A72="","",IF(COUNTIF(Rebar_Schedule!$A$5:$A$2004,A72)=0,"",ROUND(SUMIF(Rebar_Schedule!$A$5:$A$2004,A72,Rebar_Schedule!$K$5:$K$2004),1)))</f>
        <v/>
      </c>
      <c r="BB72" s="33" t="str">
        <f aca="false">IF(A72="","",IF(BA72="","No rebar schedule yet",IF(ABS(BA72-N(AW72))/MAX(N(AW72),1)&gt;SG_Criteria!$B$55,"NOTE: register rebar differs from schedule by "&amp;TEXT(ABS(BA72-N(AW72))/MAX(N(AW72),1),"0%"),"OK")))</f>
        <v/>
      </c>
      <c r="BC72" s="33" t="str">
        <f aca="false">IF(D72="","",IF(LEN(IF(AND(D72&lt;&gt;"High Covered Linkway",G72&lt;SG_Criteria!$B$46),"FAIL: headroom below "&amp;SG_Criteria!$B$46&amp;" m. ","")&amp;IF(AND(D72="High Covered Linkway",G72&lt;SG_Criteria!$B$47),"FAIL: high linkway headroom below "&amp;SG_Criteria!$B$47&amp;" m. ","")&amp;IF(F72&lt;SG_Criteria!$B$48,"FAIL: roof width below "&amp;SG_Criteria!$B$48&amp;" m. ",IF(F72&lt;SG_Criteria!$B$49,"NOTE: not for MRT/LRT or high-traffic routes (min "&amp;SG_Criteria!$B$49&amp;" m). ",""))&amp;IF(AND(W72&lt;&gt;"",W72&lt;SG_Criteria!$B$50),"FAIL: wind speed below "&amp;SG_Criteria!$B$50&amp;" m/s. ","")&amp;IF(AND(X72&lt;&gt;"",X72&lt;SG_Criteria!$B$51),"FAIL: roof fixing pull-out below "&amp;SG_Criteria!$B$51&amp;" kN. ","")&amp;IF(AND(Y72&lt;&gt;"",IFERROR(VALUE(MID(Y72,2,2)),0)&lt;SG_Criteria!$B$52),"FAIL: grade below C"&amp;SG_Criteria!$B$52&amp;". ","")&amp;IF(E72="Non-standard (project design)","NOTE: not an SDRE standard, needs LTA acceptance. ",""))=0,"OK",IF(AND(D72&lt;&gt;"High Covered Linkway",G72&lt;SG_Criteria!$B$46),"FAIL: headroom below "&amp;SG_Criteria!$B$46&amp;" m. ","")&amp;IF(AND(D72="High Covered Linkway",G72&lt;SG_Criteria!$B$47),"FAIL: high linkway headroom below "&amp;SG_Criteria!$B$47&amp;" m. ","")&amp;IF(F72&lt;SG_Criteria!$B$48,"FAIL: roof width below "&amp;SG_Criteria!$B$48&amp;" m. ",IF(F72&lt;SG_Criteria!$B$49,"NOTE: not for MRT/LRT or high-traffic routes (min "&amp;SG_Criteria!$B$49&amp;" m). ",""))&amp;IF(AND(W72&lt;&gt;"",W72&lt;SG_Criteria!$B$50),"FAIL: wind speed below "&amp;SG_Criteria!$B$50&amp;" m/s. ","")&amp;IF(AND(X72&lt;&gt;"",X72&lt;SG_Criteria!$B$51),"FAIL: roof fixing pull-out below "&amp;SG_Criteria!$B$51&amp;" kN. ","")&amp;IF(AND(Y72&lt;&gt;"",IFERROR(VALUE(MID(Y72,2,2)),0)&lt;SG_Criteria!$B$52),"FAIL: grade below C"&amp;SG_Criteria!$B$52&amp;". ","")&amp;IF(E72="Non-standard (project design)","NOTE: not an SDRE standard, needs LTA acceptance. ","")))</f>
        <v/>
      </c>
      <c r="BD72" s="9"/>
      <c r="BE72" s="9"/>
      <c r="BF72" s="9"/>
      <c r="BG72" s="10" t="str">
        <f aca="false">IF(BF72="","",IFERROR(VLOOKUP(BF72,Projects!$A$5:$D$504,2,0),"Ref not in Projects"))</f>
        <v/>
      </c>
      <c r="BH72" s="10" t="str">
        <f aca="false">IF(BF72="","",IFERROR(VLOOKUP(BF72,Projects!$A$5:$D$504,4,0),"Ref not in Projects"))</f>
        <v/>
      </c>
      <c r="BI72" s="9"/>
      <c r="BJ72" s="9"/>
      <c r="BK72" s="9"/>
      <c r="BL72" s="40"/>
      <c r="BM72" s="9"/>
      <c r="BN72" s="40"/>
      <c r="BO72" s="9"/>
      <c r="BP72" s="40"/>
      <c r="BQ72" s="9"/>
      <c r="BR72" s="9"/>
      <c r="BS72" s="9"/>
      <c r="BT72" s="40"/>
      <c r="BU72" s="40"/>
      <c r="BV72" s="36" t="str">
        <f aca="false">IF(BU72="","",EDATE(BU72,SG_Criteria!$B$54*12))</f>
        <v/>
      </c>
      <c r="BW72" s="33" t="str">
        <f aca="true">IF(A72="","",IF(BU72="","NOTE: not reviewed yet",IF(TODAY()&gt;BV72,"NOTE: review overdue","OK")))</f>
        <v/>
      </c>
      <c r="BX72" s="37" t="str">
        <f aca="false">IF(A72="","",ROUND((IF(LEN(D72)&gt;0,1,0)+IF(LEN(E72)&gt;0,1,0)+IF(LEN(F72)&gt;0,1,0)+IF(LEN(G72)&gt;0,1,0)+IF(LEN(H72)&gt;0,1,0)+IF(LEN(I72)&gt;0,1,0)+IF(LEN(J72)&gt;0,1,0)+IF(LEN(K72)&gt;0,1,0)+IF(LEN(N72)&gt;0,1,0)+IF(LEN(O72)&gt;0,1,0)+IF(LEN(W72)&gt;0,1,0)+IF(LEN(X72)&gt;0,1,0)+IF(LEN(Y72)&gt;0,1,0)+IF(LEN(AG72)&gt;0,1,0)+IF(LEN(AI72)&gt;0,1,0)+IF(LEN(AJ72)&gt;0,1,0)+IF(LEN(AK72)&gt;0,1,0)+IF(LEN(AL72)&gt;0,1,0)+IF(LEN(AU72)&gt;0,1,0)+IF(LEN(BF72)&gt;0,1,0)+IF(LEN(BS72)&gt;0,1,0))/21,2))</f>
        <v/>
      </c>
      <c r="BY72" s="10" t="str">
        <f aca="false">IF(D72="","",IF(AND(AJ72="Approved",ISERROR(SEARCH("FAIL",BC72))),"Y","N"))</f>
        <v/>
      </c>
      <c r="BZ72" s="10" t="str">
        <f aca="false">IF(D72="","",D72&amp;"|"&amp;F72&amp;"|"&amp;G72&amp;"|"&amp;BY72)</f>
        <v/>
      </c>
    </row>
    <row r="73" customFormat="false" ht="15" hidden="false" customHeight="false" outlineLevel="0" collapsed="false">
      <c r="A73" s="10" t="str">
        <f aca="false">IF(D73="","","LKW-"&amp;IFERROR(VLOOKUP(D73,Lists!$AQ$4:$AR$17,2,0),"??")&amp;"-W"&amp;TEXT(F73*1000,"0000")&amp;"-H"&amp;TEXT(G73*1000,"0000")&amp;"-B"&amp;TEXT(H73*1000,"0000")&amp;"-"&amp;AI73)</f>
        <v/>
      </c>
      <c r="B73" s="10" t="str">
        <f aca="false">IF(D73="","",D73&amp;", "&amp;F73&amp;" m wide, "&amp;G73&amp;" m headroom, "&amp;H73&amp;" m bays, "&amp;I73&amp;" ("&amp;E73&amp;")")</f>
        <v/>
      </c>
      <c r="C73" s="9"/>
      <c r="D73" s="9"/>
      <c r="E73" s="9"/>
      <c r="F73" s="42"/>
      <c r="G73" s="42"/>
      <c r="H73" s="42"/>
      <c r="I73" s="9"/>
      <c r="J73" s="9"/>
      <c r="K73" s="9"/>
      <c r="L73" s="9"/>
      <c r="M73" s="9"/>
      <c r="N73" s="9"/>
      <c r="O73" s="9"/>
      <c r="P73" s="9"/>
      <c r="Q73" s="9"/>
      <c r="R73" s="9"/>
      <c r="S73" s="42"/>
      <c r="T73" s="9"/>
      <c r="U73" s="9"/>
      <c r="V73" s="9"/>
      <c r="W73" s="38"/>
      <c r="X73" s="42"/>
      <c r="Y73" s="9"/>
      <c r="Z73" s="9"/>
      <c r="AA73" s="9"/>
      <c r="AB73" s="42"/>
      <c r="AC73" s="9"/>
      <c r="AD73" s="38"/>
      <c r="AE73" s="9"/>
      <c r="AF73" s="39"/>
      <c r="AG73" s="9"/>
      <c r="AH73" s="9"/>
      <c r="AI73" s="9"/>
      <c r="AJ73" s="9"/>
      <c r="AK73" s="9"/>
      <c r="AL73" s="9"/>
      <c r="AM73" s="9"/>
      <c r="AN73" s="10" t="str">
        <f aca="false">IF(A73="","",SG_Criteria!$B$6&amp;SG_Criteria!$B$12&amp;"\"&amp;A73&amp;"\")</f>
        <v/>
      </c>
      <c r="AO73" s="10" t="str">
        <f aca="false">IF(A73="","",A73&amp;"_CAD.dwg")</f>
        <v/>
      </c>
      <c r="AP73" s="10" t="str">
        <f aca="false">IF(A73="","",A73&amp;"_DWG.pdf")</f>
        <v/>
      </c>
      <c r="AQ73" s="10" t="str">
        <f aca="false">IF(A73="","",IF(AM73="Y",A73&amp;"_STAAD.std","n/a"))</f>
        <v/>
      </c>
      <c r="AR73" s="10" t="str">
        <f aca="false">IF(A73="","",A73&amp;"_CALC.xlsx")</f>
        <v/>
      </c>
      <c r="AS73" s="10" t="str">
        <f aca="false">IF(A73="","",A73&amp;"_CALC.pdf")</f>
        <v/>
      </c>
      <c r="AT73" s="9"/>
      <c r="AU73" s="9"/>
      <c r="AV73" s="39"/>
      <c r="AW73" s="39"/>
      <c r="AX73" s="39"/>
      <c r="AY73" s="39"/>
      <c r="AZ73" s="39"/>
      <c r="BA73" s="12" t="str">
        <f aca="false">IF(A73="","",IF(COUNTIF(Rebar_Schedule!$A$5:$A$2004,A73)=0,"",ROUND(SUMIF(Rebar_Schedule!$A$5:$A$2004,A73,Rebar_Schedule!$K$5:$K$2004),1)))</f>
        <v/>
      </c>
      <c r="BB73" s="33" t="str">
        <f aca="false">IF(A73="","",IF(BA73="","No rebar schedule yet",IF(ABS(BA73-N(AW73))/MAX(N(AW73),1)&gt;SG_Criteria!$B$55,"NOTE: register rebar differs from schedule by "&amp;TEXT(ABS(BA73-N(AW73))/MAX(N(AW73),1),"0%"),"OK")))</f>
        <v/>
      </c>
      <c r="BC73" s="33" t="str">
        <f aca="false">IF(D73="","",IF(LEN(IF(AND(D73&lt;&gt;"High Covered Linkway",G73&lt;SG_Criteria!$B$46),"FAIL: headroom below "&amp;SG_Criteria!$B$46&amp;" m. ","")&amp;IF(AND(D73="High Covered Linkway",G73&lt;SG_Criteria!$B$47),"FAIL: high linkway headroom below "&amp;SG_Criteria!$B$47&amp;" m. ","")&amp;IF(F73&lt;SG_Criteria!$B$48,"FAIL: roof width below "&amp;SG_Criteria!$B$48&amp;" m. ",IF(F73&lt;SG_Criteria!$B$49,"NOTE: not for MRT/LRT or high-traffic routes (min "&amp;SG_Criteria!$B$49&amp;" m). ",""))&amp;IF(AND(W73&lt;&gt;"",W73&lt;SG_Criteria!$B$50),"FAIL: wind speed below "&amp;SG_Criteria!$B$50&amp;" m/s. ","")&amp;IF(AND(X73&lt;&gt;"",X73&lt;SG_Criteria!$B$51),"FAIL: roof fixing pull-out below "&amp;SG_Criteria!$B$51&amp;" kN. ","")&amp;IF(AND(Y73&lt;&gt;"",IFERROR(VALUE(MID(Y73,2,2)),0)&lt;SG_Criteria!$B$52),"FAIL: grade below C"&amp;SG_Criteria!$B$52&amp;". ","")&amp;IF(E73="Non-standard (project design)","NOTE: not an SDRE standard, needs LTA acceptance. ",""))=0,"OK",IF(AND(D73&lt;&gt;"High Covered Linkway",G73&lt;SG_Criteria!$B$46),"FAIL: headroom below "&amp;SG_Criteria!$B$46&amp;" m. ","")&amp;IF(AND(D73="High Covered Linkway",G73&lt;SG_Criteria!$B$47),"FAIL: high linkway headroom below "&amp;SG_Criteria!$B$47&amp;" m. ","")&amp;IF(F73&lt;SG_Criteria!$B$48,"FAIL: roof width below "&amp;SG_Criteria!$B$48&amp;" m. ",IF(F73&lt;SG_Criteria!$B$49,"NOTE: not for MRT/LRT or high-traffic routes (min "&amp;SG_Criteria!$B$49&amp;" m). ",""))&amp;IF(AND(W73&lt;&gt;"",W73&lt;SG_Criteria!$B$50),"FAIL: wind speed below "&amp;SG_Criteria!$B$50&amp;" m/s. ","")&amp;IF(AND(X73&lt;&gt;"",X73&lt;SG_Criteria!$B$51),"FAIL: roof fixing pull-out below "&amp;SG_Criteria!$B$51&amp;" kN. ","")&amp;IF(AND(Y73&lt;&gt;"",IFERROR(VALUE(MID(Y73,2,2)),0)&lt;SG_Criteria!$B$52),"FAIL: grade below C"&amp;SG_Criteria!$B$52&amp;". ","")&amp;IF(E73="Non-standard (project design)","NOTE: not an SDRE standard, needs LTA acceptance. ","")))</f>
        <v/>
      </c>
      <c r="BD73" s="9"/>
      <c r="BE73" s="9"/>
      <c r="BF73" s="9"/>
      <c r="BG73" s="10" t="str">
        <f aca="false">IF(BF73="","",IFERROR(VLOOKUP(BF73,Projects!$A$5:$D$504,2,0),"Ref not in Projects"))</f>
        <v/>
      </c>
      <c r="BH73" s="10" t="str">
        <f aca="false">IF(BF73="","",IFERROR(VLOOKUP(BF73,Projects!$A$5:$D$504,4,0),"Ref not in Projects"))</f>
        <v/>
      </c>
      <c r="BI73" s="9"/>
      <c r="BJ73" s="9"/>
      <c r="BK73" s="9"/>
      <c r="BL73" s="40"/>
      <c r="BM73" s="9"/>
      <c r="BN73" s="40"/>
      <c r="BO73" s="9"/>
      <c r="BP73" s="40"/>
      <c r="BQ73" s="9"/>
      <c r="BR73" s="9"/>
      <c r="BS73" s="9"/>
      <c r="BT73" s="40"/>
      <c r="BU73" s="40"/>
      <c r="BV73" s="36" t="str">
        <f aca="false">IF(BU73="","",EDATE(BU73,SG_Criteria!$B$54*12))</f>
        <v/>
      </c>
      <c r="BW73" s="33" t="str">
        <f aca="true">IF(A73="","",IF(BU73="","NOTE: not reviewed yet",IF(TODAY()&gt;BV73,"NOTE: review overdue","OK")))</f>
        <v/>
      </c>
      <c r="BX73" s="37" t="str">
        <f aca="false">IF(A73="","",ROUND((IF(LEN(D73)&gt;0,1,0)+IF(LEN(E73)&gt;0,1,0)+IF(LEN(F73)&gt;0,1,0)+IF(LEN(G73)&gt;0,1,0)+IF(LEN(H73)&gt;0,1,0)+IF(LEN(I73)&gt;0,1,0)+IF(LEN(J73)&gt;0,1,0)+IF(LEN(K73)&gt;0,1,0)+IF(LEN(N73)&gt;0,1,0)+IF(LEN(O73)&gt;0,1,0)+IF(LEN(W73)&gt;0,1,0)+IF(LEN(X73)&gt;0,1,0)+IF(LEN(Y73)&gt;0,1,0)+IF(LEN(AG73)&gt;0,1,0)+IF(LEN(AI73)&gt;0,1,0)+IF(LEN(AJ73)&gt;0,1,0)+IF(LEN(AK73)&gt;0,1,0)+IF(LEN(AL73)&gt;0,1,0)+IF(LEN(AU73)&gt;0,1,0)+IF(LEN(BF73)&gt;0,1,0)+IF(LEN(BS73)&gt;0,1,0))/21,2))</f>
        <v/>
      </c>
      <c r="BY73" s="10" t="str">
        <f aca="false">IF(D73="","",IF(AND(AJ73="Approved",ISERROR(SEARCH("FAIL",BC73))),"Y","N"))</f>
        <v/>
      </c>
      <c r="BZ73" s="10" t="str">
        <f aca="false">IF(D73="","",D73&amp;"|"&amp;F73&amp;"|"&amp;G73&amp;"|"&amp;BY73)</f>
        <v/>
      </c>
    </row>
    <row r="74" customFormat="false" ht="15" hidden="false" customHeight="false" outlineLevel="0" collapsed="false">
      <c r="A74" s="10" t="str">
        <f aca="false">IF(D74="","","LKW-"&amp;IFERROR(VLOOKUP(D74,Lists!$AQ$4:$AR$17,2,0),"??")&amp;"-W"&amp;TEXT(F74*1000,"0000")&amp;"-H"&amp;TEXT(G74*1000,"0000")&amp;"-B"&amp;TEXT(H74*1000,"0000")&amp;"-"&amp;AI74)</f>
        <v/>
      </c>
      <c r="B74" s="10" t="str">
        <f aca="false">IF(D74="","",D74&amp;", "&amp;F74&amp;" m wide, "&amp;G74&amp;" m headroom, "&amp;H74&amp;" m bays, "&amp;I74&amp;" ("&amp;E74&amp;")")</f>
        <v/>
      </c>
      <c r="C74" s="9"/>
      <c r="D74" s="9"/>
      <c r="E74" s="9"/>
      <c r="F74" s="42"/>
      <c r="G74" s="42"/>
      <c r="H74" s="42"/>
      <c r="I74" s="9"/>
      <c r="J74" s="9"/>
      <c r="K74" s="9"/>
      <c r="L74" s="9"/>
      <c r="M74" s="9"/>
      <c r="N74" s="9"/>
      <c r="O74" s="9"/>
      <c r="P74" s="9"/>
      <c r="Q74" s="9"/>
      <c r="R74" s="9"/>
      <c r="S74" s="42"/>
      <c r="T74" s="9"/>
      <c r="U74" s="9"/>
      <c r="V74" s="9"/>
      <c r="W74" s="38"/>
      <c r="X74" s="42"/>
      <c r="Y74" s="9"/>
      <c r="Z74" s="9"/>
      <c r="AA74" s="9"/>
      <c r="AB74" s="42"/>
      <c r="AC74" s="9"/>
      <c r="AD74" s="38"/>
      <c r="AE74" s="9"/>
      <c r="AF74" s="39"/>
      <c r="AG74" s="9"/>
      <c r="AH74" s="9"/>
      <c r="AI74" s="9"/>
      <c r="AJ74" s="9"/>
      <c r="AK74" s="9"/>
      <c r="AL74" s="9"/>
      <c r="AM74" s="9"/>
      <c r="AN74" s="10" t="str">
        <f aca="false">IF(A74="","",SG_Criteria!$B$6&amp;SG_Criteria!$B$12&amp;"\"&amp;A74&amp;"\")</f>
        <v/>
      </c>
      <c r="AO74" s="10" t="str">
        <f aca="false">IF(A74="","",A74&amp;"_CAD.dwg")</f>
        <v/>
      </c>
      <c r="AP74" s="10" t="str">
        <f aca="false">IF(A74="","",A74&amp;"_DWG.pdf")</f>
        <v/>
      </c>
      <c r="AQ74" s="10" t="str">
        <f aca="false">IF(A74="","",IF(AM74="Y",A74&amp;"_STAAD.std","n/a"))</f>
        <v/>
      </c>
      <c r="AR74" s="10" t="str">
        <f aca="false">IF(A74="","",A74&amp;"_CALC.xlsx")</f>
        <v/>
      </c>
      <c r="AS74" s="10" t="str">
        <f aca="false">IF(A74="","",A74&amp;"_CALC.pdf")</f>
        <v/>
      </c>
      <c r="AT74" s="9"/>
      <c r="AU74" s="9"/>
      <c r="AV74" s="39"/>
      <c r="AW74" s="39"/>
      <c r="AX74" s="39"/>
      <c r="AY74" s="39"/>
      <c r="AZ74" s="39"/>
      <c r="BA74" s="12" t="str">
        <f aca="false">IF(A74="","",IF(COUNTIF(Rebar_Schedule!$A$5:$A$2004,A74)=0,"",ROUND(SUMIF(Rebar_Schedule!$A$5:$A$2004,A74,Rebar_Schedule!$K$5:$K$2004),1)))</f>
        <v/>
      </c>
      <c r="BB74" s="33" t="str">
        <f aca="false">IF(A74="","",IF(BA74="","No rebar schedule yet",IF(ABS(BA74-N(AW74))/MAX(N(AW74),1)&gt;SG_Criteria!$B$55,"NOTE: register rebar differs from schedule by "&amp;TEXT(ABS(BA74-N(AW74))/MAX(N(AW74),1),"0%"),"OK")))</f>
        <v/>
      </c>
      <c r="BC74" s="33" t="str">
        <f aca="false">IF(D74="","",IF(LEN(IF(AND(D74&lt;&gt;"High Covered Linkway",G74&lt;SG_Criteria!$B$46),"FAIL: headroom below "&amp;SG_Criteria!$B$46&amp;" m. ","")&amp;IF(AND(D74="High Covered Linkway",G74&lt;SG_Criteria!$B$47),"FAIL: high linkway headroom below "&amp;SG_Criteria!$B$47&amp;" m. ","")&amp;IF(F74&lt;SG_Criteria!$B$48,"FAIL: roof width below "&amp;SG_Criteria!$B$48&amp;" m. ",IF(F74&lt;SG_Criteria!$B$49,"NOTE: not for MRT/LRT or high-traffic routes (min "&amp;SG_Criteria!$B$49&amp;" m). ",""))&amp;IF(AND(W74&lt;&gt;"",W74&lt;SG_Criteria!$B$50),"FAIL: wind speed below "&amp;SG_Criteria!$B$50&amp;" m/s. ","")&amp;IF(AND(X74&lt;&gt;"",X74&lt;SG_Criteria!$B$51),"FAIL: roof fixing pull-out below "&amp;SG_Criteria!$B$51&amp;" kN. ","")&amp;IF(AND(Y74&lt;&gt;"",IFERROR(VALUE(MID(Y74,2,2)),0)&lt;SG_Criteria!$B$52),"FAIL: grade below C"&amp;SG_Criteria!$B$52&amp;". ","")&amp;IF(E74="Non-standard (project design)","NOTE: not an SDRE standard, needs LTA acceptance. ",""))=0,"OK",IF(AND(D74&lt;&gt;"High Covered Linkway",G74&lt;SG_Criteria!$B$46),"FAIL: headroom below "&amp;SG_Criteria!$B$46&amp;" m. ","")&amp;IF(AND(D74="High Covered Linkway",G74&lt;SG_Criteria!$B$47),"FAIL: high linkway headroom below "&amp;SG_Criteria!$B$47&amp;" m. ","")&amp;IF(F74&lt;SG_Criteria!$B$48,"FAIL: roof width below "&amp;SG_Criteria!$B$48&amp;" m. ",IF(F74&lt;SG_Criteria!$B$49,"NOTE: not for MRT/LRT or high-traffic routes (min "&amp;SG_Criteria!$B$49&amp;" m). ",""))&amp;IF(AND(W74&lt;&gt;"",W74&lt;SG_Criteria!$B$50),"FAIL: wind speed below "&amp;SG_Criteria!$B$50&amp;" m/s. ","")&amp;IF(AND(X74&lt;&gt;"",X74&lt;SG_Criteria!$B$51),"FAIL: roof fixing pull-out below "&amp;SG_Criteria!$B$51&amp;" kN. ","")&amp;IF(AND(Y74&lt;&gt;"",IFERROR(VALUE(MID(Y74,2,2)),0)&lt;SG_Criteria!$B$52),"FAIL: grade below C"&amp;SG_Criteria!$B$52&amp;". ","")&amp;IF(E74="Non-standard (project design)","NOTE: not an SDRE standard, needs LTA acceptance. ","")))</f>
        <v/>
      </c>
      <c r="BD74" s="9"/>
      <c r="BE74" s="9"/>
      <c r="BF74" s="9"/>
      <c r="BG74" s="10" t="str">
        <f aca="false">IF(BF74="","",IFERROR(VLOOKUP(BF74,Projects!$A$5:$D$504,2,0),"Ref not in Projects"))</f>
        <v/>
      </c>
      <c r="BH74" s="10" t="str">
        <f aca="false">IF(BF74="","",IFERROR(VLOOKUP(BF74,Projects!$A$5:$D$504,4,0),"Ref not in Projects"))</f>
        <v/>
      </c>
      <c r="BI74" s="9"/>
      <c r="BJ74" s="9"/>
      <c r="BK74" s="9"/>
      <c r="BL74" s="40"/>
      <c r="BM74" s="9"/>
      <c r="BN74" s="40"/>
      <c r="BO74" s="9"/>
      <c r="BP74" s="40"/>
      <c r="BQ74" s="9"/>
      <c r="BR74" s="9"/>
      <c r="BS74" s="9"/>
      <c r="BT74" s="40"/>
      <c r="BU74" s="40"/>
      <c r="BV74" s="36" t="str">
        <f aca="false">IF(BU74="","",EDATE(BU74,SG_Criteria!$B$54*12))</f>
        <v/>
      </c>
      <c r="BW74" s="33" t="str">
        <f aca="true">IF(A74="","",IF(BU74="","NOTE: not reviewed yet",IF(TODAY()&gt;BV74,"NOTE: review overdue","OK")))</f>
        <v/>
      </c>
      <c r="BX74" s="37" t="str">
        <f aca="false">IF(A74="","",ROUND((IF(LEN(D74)&gt;0,1,0)+IF(LEN(E74)&gt;0,1,0)+IF(LEN(F74)&gt;0,1,0)+IF(LEN(G74)&gt;0,1,0)+IF(LEN(H74)&gt;0,1,0)+IF(LEN(I74)&gt;0,1,0)+IF(LEN(J74)&gt;0,1,0)+IF(LEN(K74)&gt;0,1,0)+IF(LEN(N74)&gt;0,1,0)+IF(LEN(O74)&gt;0,1,0)+IF(LEN(W74)&gt;0,1,0)+IF(LEN(X74)&gt;0,1,0)+IF(LEN(Y74)&gt;0,1,0)+IF(LEN(AG74)&gt;0,1,0)+IF(LEN(AI74)&gt;0,1,0)+IF(LEN(AJ74)&gt;0,1,0)+IF(LEN(AK74)&gt;0,1,0)+IF(LEN(AL74)&gt;0,1,0)+IF(LEN(AU74)&gt;0,1,0)+IF(LEN(BF74)&gt;0,1,0)+IF(LEN(BS74)&gt;0,1,0))/21,2))</f>
        <v/>
      </c>
      <c r="BY74" s="10" t="str">
        <f aca="false">IF(D74="","",IF(AND(AJ74="Approved",ISERROR(SEARCH("FAIL",BC74))),"Y","N"))</f>
        <v/>
      </c>
      <c r="BZ74" s="10" t="str">
        <f aca="false">IF(D74="","",D74&amp;"|"&amp;F74&amp;"|"&amp;G74&amp;"|"&amp;BY74)</f>
        <v/>
      </c>
    </row>
    <row r="75" customFormat="false" ht="15" hidden="false" customHeight="false" outlineLevel="0" collapsed="false">
      <c r="A75" s="10" t="str">
        <f aca="false">IF(D75="","","LKW-"&amp;IFERROR(VLOOKUP(D75,Lists!$AQ$4:$AR$17,2,0),"??")&amp;"-W"&amp;TEXT(F75*1000,"0000")&amp;"-H"&amp;TEXT(G75*1000,"0000")&amp;"-B"&amp;TEXT(H75*1000,"0000")&amp;"-"&amp;AI75)</f>
        <v/>
      </c>
      <c r="B75" s="10" t="str">
        <f aca="false">IF(D75="","",D75&amp;", "&amp;F75&amp;" m wide, "&amp;G75&amp;" m headroom, "&amp;H75&amp;" m bays, "&amp;I75&amp;" ("&amp;E75&amp;")")</f>
        <v/>
      </c>
      <c r="C75" s="9"/>
      <c r="D75" s="9"/>
      <c r="E75" s="9"/>
      <c r="F75" s="42"/>
      <c r="G75" s="42"/>
      <c r="H75" s="42"/>
      <c r="I75" s="9"/>
      <c r="J75" s="9"/>
      <c r="K75" s="9"/>
      <c r="L75" s="9"/>
      <c r="M75" s="9"/>
      <c r="N75" s="9"/>
      <c r="O75" s="9"/>
      <c r="P75" s="9"/>
      <c r="Q75" s="9"/>
      <c r="R75" s="9"/>
      <c r="S75" s="42"/>
      <c r="T75" s="9"/>
      <c r="U75" s="9"/>
      <c r="V75" s="9"/>
      <c r="W75" s="38"/>
      <c r="X75" s="42"/>
      <c r="Y75" s="9"/>
      <c r="Z75" s="9"/>
      <c r="AA75" s="9"/>
      <c r="AB75" s="42"/>
      <c r="AC75" s="9"/>
      <c r="AD75" s="38"/>
      <c r="AE75" s="9"/>
      <c r="AF75" s="39"/>
      <c r="AG75" s="9"/>
      <c r="AH75" s="9"/>
      <c r="AI75" s="9"/>
      <c r="AJ75" s="9"/>
      <c r="AK75" s="9"/>
      <c r="AL75" s="9"/>
      <c r="AM75" s="9"/>
      <c r="AN75" s="10" t="str">
        <f aca="false">IF(A75="","",SG_Criteria!$B$6&amp;SG_Criteria!$B$12&amp;"\"&amp;A75&amp;"\")</f>
        <v/>
      </c>
      <c r="AO75" s="10" t="str">
        <f aca="false">IF(A75="","",A75&amp;"_CAD.dwg")</f>
        <v/>
      </c>
      <c r="AP75" s="10" t="str">
        <f aca="false">IF(A75="","",A75&amp;"_DWG.pdf")</f>
        <v/>
      </c>
      <c r="AQ75" s="10" t="str">
        <f aca="false">IF(A75="","",IF(AM75="Y",A75&amp;"_STAAD.std","n/a"))</f>
        <v/>
      </c>
      <c r="AR75" s="10" t="str">
        <f aca="false">IF(A75="","",A75&amp;"_CALC.xlsx")</f>
        <v/>
      </c>
      <c r="AS75" s="10" t="str">
        <f aca="false">IF(A75="","",A75&amp;"_CALC.pdf")</f>
        <v/>
      </c>
      <c r="AT75" s="9"/>
      <c r="AU75" s="9"/>
      <c r="AV75" s="39"/>
      <c r="AW75" s="39"/>
      <c r="AX75" s="39"/>
      <c r="AY75" s="39"/>
      <c r="AZ75" s="39"/>
      <c r="BA75" s="12" t="str">
        <f aca="false">IF(A75="","",IF(COUNTIF(Rebar_Schedule!$A$5:$A$2004,A75)=0,"",ROUND(SUMIF(Rebar_Schedule!$A$5:$A$2004,A75,Rebar_Schedule!$K$5:$K$2004),1)))</f>
        <v/>
      </c>
      <c r="BB75" s="33" t="str">
        <f aca="false">IF(A75="","",IF(BA75="","No rebar schedule yet",IF(ABS(BA75-N(AW75))/MAX(N(AW75),1)&gt;SG_Criteria!$B$55,"NOTE: register rebar differs from schedule by "&amp;TEXT(ABS(BA75-N(AW75))/MAX(N(AW75),1),"0%"),"OK")))</f>
        <v/>
      </c>
      <c r="BC75" s="33" t="str">
        <f aca="false">IF(D75="","",IF(LEN(IF(AND(D75&lt;&gt;"High Covered Linkway",G75&lt;SG_Criteria!$B$46),"FAIL: headroom below "&amp;SG_Criteria!$B$46&amp;" m. ","")&amp;IF(AND(D75="High Covered Linkway",G75&lt;SG_Criteria!$B$47),"FAIL: high linkway headroom below "&amp;SG_Criteria!$B$47&amp;" m. ","")&amp;IF(F75&lt;SG_Criteria!$B$48,"FAIL: roof width below "&amp;SG_Criteria!$B$48&amp;" m. ",IF(F75&lt;SG_Criteria!$B$49,"NOTE: not for MRT/LRT or high-traffic routes (min "&amp;SG_Criteria!$B$49&amp;" m). ",""))&amp;IF(AND(W75&lt;&gt;"",W75&lt;SG_Criteria!$B$50),"FAIL: wind speed below "&amp;SG_Criteria!$B$50&amp;" m/s. ","")&amp;IF(AND(X75&lt;&gt;"",X75&lt;SG_Criteria!$B$51),"FAIL: roof fixing pull-out below "&amp;SG_Criteria!$B$51&amp;" kN. ","")&amp;IF(AND(Y75&lt;&gt;"",IFERROR(VALUE(MID(Y75,2,2)),0)&lt;SG_Criteria!$B$52),"FAIL: grade below C"&amp;SG_Criteria!$B$52&amp;". ","")&amp;IF(E75="Non-standard (project design)","NOTE: not an SDRE standard, needs LTA acceptance. ",""))=0,"OK",IF(AND(D75&lt;&gt;"High Covered Linkway",G75&lt;SG_Criteria!$B$46),"FAIL: headroom below "&amp;SG_Criteria!$B$46&amp;" m. ","")&amp;IF(AND(D75="High Covered Linkway",G75&lt;SG_Criteria!$B$47),"FAIL: high linkway headroom below "&amp;SG_Criteria!$B$47&amp;" m. ","")&amp;IF(F75&lt;SG_Criteria!$B$48,"FAIL: roof width below "&amp;SG_Criteria!$B$48&amp;" m. ",IF(F75&lt;SG_Criteria!$B$49,"NOTE: not for MRT/LRT or high-traffic routes (min "&amp;SG_Criteria!$B$49&amp;" m). ",""))&amp;IF(AND(W75&lt;&gt;"",W75&lt;SG_Criteria!$B$50),"FAIL: wind speed below "&amp;SG_Criteria!$B$50&amp;" m/s. ","")&amp;IF(AND(X75&lt;&gt;"",X75&lt;SG_Criteria!$B$51),"FAIL: roof fixing pull-out below "&amp;SG_Criteria!$B$51&amp;" kN. ","")&amp;IF(AND(Y75&lt;&gt;"",IFERROR(VALUE(MID(Y75,2,2)),0)&lt;SG_Criteria!$B$52),"FAIL: grade below C"&amp;SG_Criteria!$B$52&amp;". ","")&amp;IF(E75="Non-standard (project design)","NOTE: not an SDRE standard, needs LTA acceptance. ","")))</f>
        <v/>
      </c>
      <c r="BD75" s="9"/>
      <c r="BE75" s="9"/>
      <c r="BF75" s="9"/>
      <c r="BG75" s="10" t="str">
        <f aca="false">IF(BF75="","",IFERROR(VLOOKUP(BF75,Projects!$A$5:$D$504,2,0),"Ref not in Projects"))</f>
        <v/>
      </c>
      <c r="BH75" s="10" t="str">
        <f aca="false">IF(BF75="","",IFERROR(VLOOKUP(BF75,Projects!$A$5:$D$504,4,0),"Ref not in Projects"))</f>
        <v/>
      </c>
      <c r="BI75" s="9"/>
      <c r="BJ75" s="9"/>
      <c r="BK75" s="9"/>
      <c r="BL75" s="40"/>
      <c r="BM75" s="9"/>
      <c r="BN75" s="40"/>
      <c r="BO75" s="9"/>
      <c r="BP75" s="40"/>
      <c r="BQ75" s="9"/>
      <c r="BR75" s="9"/>
      <c r="BS75" s="9"/>
      <c r="BT75" s="40"/>
      <c r="BU75" s="40"/>
      <c r="BV75" s="36" t="str">
        <f aca="false">IF(BU75="","",EDATE(BU75,SG_Criteria!$B$54*12))</f>
        <v/>
      </c>
      <c r="BW75" s="33" t="str">
        <f aca="true">IF(A75="","",IF(BU75="","NOTE: not reviewed yet",IF(TODAY()&gt;BV75,"NOTE: review overdue","OK")))</f>
        <v/>
      </c>
      <c r="BX75" s="37" t="str">
        <f aca="false">IF(A75="","",ROUND((IF(LEN(D75)&gt;0,1,0)+IF(LEN(E75)&gt;0,1,0)+IF(LEN(F75)&gt;0,1,0)+IF(LEN(G75)&gt;0,1,0)+IF(LEN(H75)&gt;0,1,0)+IF(LEN(I75)&gt;0,1,0)+IF(LEN(J75)&gt;0,1,0)+IF(LEN(K75)&gt;0,1,0)+IF(LEN(N75)&gt;0,1,0)+IF(LEN(O75)&gt;0,1,0)+IF(LEN(W75)&gt;0,1,0)+IF(LEN(X75)&gt;0,1,0)+IF(LEN(Y75)&gt;0,1,0)+IF(LEN(AG75)&gt;0,1,0)+IF(LEN(AI75)&gt;0,1,0)+IF(LEN(AJ75)&gt;0,1,0)+IF(LEN(AK75)&gt;0,1,0)+IF(LEN(AL75)&gt;0,1,0)+IF(LEN(AU75)&gt;0,1,0)+IF(LEN(BF75)&gt;0,1,0)+IF(LEN(BS75)&gt;0,1,0))/21,2))</f>
        <v/>
      </c>
      <c r="BY75" s="10" t="str">
        <f aca="false">IF(D75="","",IF(AND(AJ75="Approved",ISERROR(SEARCH("FAIL",BC75))),"Y","N"))</f>
        <v/>
      </c>
      <c r="BZ75" s="10" t="str">
        <f aca="false">IF(D75="","",D75&amp;"|"&amp;F75&amp;"|"&amp;G75&amp;"|"&amp;BY75)</f>
        <v/>
      </c>
    </row>
    <row r="76" customFormat="false" ht="15" hidden="false" customHeight="false" outlineLevel="0" collapsed="false">
      <c r="A76" s="10" t="str">
        <f aca="false">IF(D76="","","LKW-"&amp;IFERROR(VLOOKUP(D76,Lists!$AQ$4:$AR$17,2,0),"??")&amp;"-W"&amp;TEXT(F76*1000,"0000")&amp;"-H"&amp;TEXT(G76*1000,"0000")&amp;"-B"&amp;TEXT(H76*1000,"0000")&amp;"-"&amp;AI76)</f>
        <v/>
      </c>
      <c r="B76" s="10" t="str">
        <f aca="false">IF(D76="","",D76&amp;", "&amp;F76&amp;" m wide, "&amp;G76&amp;" m headroom, "&amp;H76&amp;" m bays, "&amp;I76&amp;" ("&amp;E76&amp;")")</f>
        <v/>
      </c>
      <c r="C76" s="9"/>
      <c r="D76" s="9"/>
      <c r="E76" s="9"/>
      <c r="F76" s="42"/>
      <c r="G76" s="42"/>
      <c r="H76" s="42"/>
      <c r="I76" s="9"/>
      <c r="J76" s="9"/>
      <c r="K76" s="9"/>
      <c r="L76" s="9"/>
      <c r="M76" s="9"/>
      <c r="N76" s="9"/>
      <c r="O76" s="9"/>
      <c r="P76" s="9"/>
      <c r="Q76" s="9"/>
      <c r="R76" s="9"/>
      <c r="S76" s="42"/>
      <c r="T76" s="9"/>
      <c r="U76" s="9"/>
      <c r="V76" s="9"/>
      <c r="W76" s="38"/>
      <c r="X76" s="42"/>
      <c r="Y76" s="9"/>
      <c r="Z76" s="9"/>
      <c r="AA76" s="9"/>
      <c r="AB76" s="42"/>
      <c r="AC76" s="9"/>
      <c r="AD76" s="38"/>
      <c r="AE76" s="9"/>
      <c r="AF76" s="39"/>
      <c r="AG76" s="9"/>
      <c r="AH76" s="9"/>
      <c r="AI76" s="9"/>
      <c r="AJ76" s="9"/>
      <c r="AK76" s="9"/>
      <c r="AL76" s="9"/>
      <c r="AM76" s="9"/>
      <c r="AN76" s="10" t="str">
        <f aca="false">IF(A76="","",SG_Criteria!$B$6&amp;SG_Criteria!$B$12&amp;"\"&amp;A76&amp;"\")</f>
        <v/>
      </c>
      <c r="AO76" s="10" t="str">
        <f aca="false">IF(A76="","",A76&amp;"_CAD.dwg")</f>
        <v/>
      </c>
      <c r="AP76" s="10" t="str">
        <f aca="false">IF(A76="","",A76&amp;"_DWG.pdf")</f>
        <v/>
      </c>
      <c r="AQ76" s="10" t="str">
        <f aca="false">IF(A76="","",IF(AM76="Y",A76&amp;"_STAAD.std","n/a"))</f>
        <v/>
      </c>
      <c r="AR76" s="10" t="str">
        <f aca="false">IF(A76="","",A76&amp;"_CALC.xlsx")</f>
        <v/>
      </c>
      <c r="AS76" s="10" t="str">
        <f aca="false">IF(A76="","",A76&amp;"_CALC.pdf")</f>
        <v/>
      </c>
      <c r="AT76" s="9"/>
      <c r="AU76" s="9"/>
      <c r="AV76" s="39"/>
      <c r="AW76" s="39"/>
      <c r="AX76" s="39"/>
      <c r="AY76" s="39"/>
      <c r="AZ76" s="39"/>
      <c r="BA76" s="12" t="str">
        <f aca="false">IF(A76="","",IF(COUNTIF(Rebar_Schedule!$A$5:$A$2004,A76)=0,"",ROUND(SUMIF(Rebar_Schedule!$A$5:$A$2004,A76,Rebar_Schedule!$K$5:$K$2004),1)))</f>
        <v/>
      </c>
      <c r="BB76" s="33" t="str">
        <f aca="false">IF(A76="","",IF(BA76="","No rebar schedule yet",IF(ABS(BA76-N(AW76))/MAX(N(AW76),1)&gt;SG_Criteria!$B$55,"NOTE: register rebar differs from schedule by "&amp;TEXT(ABS(BA76-N(AW76))/MAX(N(AW76),1),"0%"),"OK")))</f>
        <v/>
      </c>
      <c r="BC76" s="33" t="str">
        <f aca="false">IF(D76="","",IF(LEN(IF(AND(D76&lt;&gt;"High Covered Linkway",G76&lt;SG_Criteria!$B$46),"FAIL: headroom below "&amp;SG_Criteria!$B$46&amp;" m. ","")&amp;IF(AND(D76="High Covered Linkway",G76&lt;SG_Criteria!$B$47),"FAIL: high linkway headroom below "&amp;SG_Criteria!$B$47&amp;" m. ","")&amp;IF(F76&lt;SG_Criteria!$B$48,"FAIL: roof width below "&amp;SG_Criteria!$B$48&amp;" m. ",IF(F76&lt;SG_Criteria!$B$49,"NOTE: not for MRT/LRT or high-traffic routes (min "&amp;SG_Criteria!$B$49&amp;" m). ",""))&amp;IF(AND(W76&lt;&gt;"",W76&lt;SG_Criteria!$B$50),"FAIL: wind speed below "&amp;SG_Criteria!$B$50&amp;" m/s. ","")&amp;IF(AND(X76&lt;&gt;"",X76&lt;SG_Criteria!$B$51),"FAIL: roof fixing pull-out below "&amp;SG_Criteria!$B$51&amp;" kN. ","")&amp;IF(AND(Y76&lt;&gt;"",IFERROR(VALUE(MID(Y76,2,2)),0)&lt;SG_Criteria!$B$52),"FAIL: grade below C"&amp;SG_Criteria!$B$52&amp;". ","")&amp;IF(E76="Non-standard (project design)","NOTE: not an SDRE standard, needs LTA acceptance. ",""))=0,"OK",IF(AND(D76&lt;&gt;"High Covered Linkway",G76&lt;SG_Criteria!$B$46),"FAIL: headroom below "&amp;SG_Criteria!$B$46&amp;" m. ","")&amp;IF(AND(D76="High Covered Linkway",G76&lt;SG_Criteria!$B$47),"FAIL: high linkway headroom below "&amp;SG_Criteria!$B$47&amp;" m. ","")&amp;IF(F76&lt;SG_Criteria!$B$48,"FAIL: roof width below "&amp;SG_Criteria!$B$48&amp;" m. ",IF(F76&lt;SG_Criteria!$B$49,"NOTE: not for MRT/LRT or high-traffic routes (min "&amp;SG_Criteria!$B$49&amp;" m). ",""))&amp;IF(AND(W76&lt;&gt;"",W76&lt;SG_Criteria!$B$50),"FAIL: wind speed below "&amp;SG_Criteria!$B$50&amp;" m/s. ","")&amp;IF(AND(X76&lt;&gt;"",X76&lt;SG_Criteria!$B$51),"FAIL: roof fixing pull-out below "&amp;SG_Criteria!$B$51&amp;" kN. ","")&amp;IF(AND(Y76&lt;&gt;"",IFERROR(VALUE(MID(Y76,2,2)),0)&lt;SG_Criteria!$B$52),"FAIL: grade below C"&amp;SG_Criteria!$B$52&amp;". ","")&amp;IF(E76="Non-standard (project design)","NOTE: not an SDRE standard, needs LTA acceptance. ","")))</f>
        <v/>
      </c>
      <c r="BD76" s="9"/>
      <c r="BE76" s="9"/>
      <c r="BF76" s="9"/>
      <c r="BG76" s="10" t="str">
        <f aca="false">IF(BF76="","",IFERROR(VLOOKUP(BF76,Projects!$A$5:$D$504,2,0),"Ref not in Projects"))</f>
        <v/>
      </c>
      <c r="BH76" s="10" t="str">
        <f aca="false">IF(BF76="","",IFERROR(VLOOKUP(BF76,Projects!$A$5:$D$504,4,0),"Ref not in Projects"))</f>
        <v/>
      </c>
      <c r="BI76" s="9"/>
      <c r="BJ76" s="9"/>
      <c r="BK76" s="9"/>
      <c r="BL76" s="40"/>
      <c r="BM76" s="9"/>
      <c r="BN76" s="40"/>
      <c r="BO76" s="9"/>
      <c r="BP76" s="40"/>
      <c r="BQ76" s="9"/>
      <c r="BR76" s="9"/>
      <c r="BS76" s="9"/>
      <c r="BT76" s="40"/>
      <c r="BU76" s="40"/>
      <c r="BV76" s="36" t="str">
        <f aca="false">IF(BU76="","",EDATE(BU76,SG_Criteria!$B$54*12))</f>
        <v/>
      </c>
      <c r="BW76" s="33" t="str">
        <f aca="true">IF(A76="","",IF(BU76="","NOTE: not reviewed yet",IF(TODAY()&gt;BV76,"NOTE: review overdue","OK")))</f>
        <v/>
      </c>
      <c r="BX76" s="37" t="str">
        <f aca="false">IF(A76="","",ROUND((IF(LEN(D76)&gt;0,1,0)+IF(LEN(E76)&gt;0,1,0)+IF(LEN(F76)&gt;0,1,0)+IF(LEN(G76)&gt;0,1,0)+IF(LEN(H76)&gt;0,1,0)+IF(LEN(I76)&gt;0,1,0)+IF(LEN(J76)&gt;0,1,0)+IF(LEN(K76)&gt;0,1,0)+IF(LEN(N76)&gt;0,1,0)+IF(LEN(O76)&gt;0,1,0)+IF(LEN(W76)&gt;0,1,0)+IF(LEN(X76)&gt;0,1,0)+IF(LEN(Y76)&gt;0,1,0)+IF(LEN(AG76)&gt;0,1,0)+IF(LEN(AI76)&gt;0,1,0)+IF(LEN(AJ76)&gt;0,1,0)+IF(LEN(AK76)&gt;0,1,0)+IF(LEN(AL76)&gt;0,1,0)+IF(LEN(AU76)&gt;0,1,0)+IF(LEN(BF76)&gt;0,1,0)+IF(LEN(BS76)&gt;0,1,0))/21,2))</f>
        <v/>
      </c>
      <c r="BY76" s="10" t="str">
        <f aca="false">IF(D76="","",IF(AND(AJ76="Approved",ISERROR(SEARCH("FAIL",BC76))),"Y","N"))</f>
        <v/>
      </c>
      <c r="BZ76" s="10" t="str">
        <f aca="false">IF(D76="","",D76&amp;"|"&amp;F76&amp;"|"&amp;G76&amp;"|"&amp;BY76)</f>
        <v/>
      </c>
    </row>
    <row r="77" customFormat="false" ht="15" hidden="false" customHeight="false" outlineLevel="0" collapsed="false">
      <c r="A77" s="10" t="str">
        <f aca="false">IF(D77="","","LKW-"&amp;IFERROR(VLOOKUP(D77,Lists!$AQ$4:$AR$17,2,0),"??")&amp;"-W"&amp;TEXT(F77*1000,"0000")&amp;"-H"&amp;TEXT(G77*1000,"0000")&amp;"-B"&amp;TEXT(H77*1000,"0000")&amp;"-"&amp;AI77)</f>
        <v/>
      </c>
      <c r="B77" s="10" t="str">
        <f aca="false">IF(D77="","",D77&amp;", "&amp;F77&amp;" m wide, "&amp;G77&amp;" m headroom, "&amp;H77&amp;" m bays, "&amp;I77&amp;" ("&amp;E77&amp;")")</f>
        <v/>
      </c>
      <c r="C77" s="9"/>
      <c r="D77" s="9"/>
      <c r="E77" s="9"/>
      <c r="F77" s="42"/>
      <c r="G77" s="42"/>
      <c r="H77" s="42"/>
      <c r="I77" s="9"/>
      <c r="J77" s="9"/>
      <c r="K77" s="9"/>
      <c r="L77" s="9"/>
      <c r="M77" s="9"/>
      <c r="N77" s="9"/>
      <c r="O77" s="9"/>
      <c r="P77" s="9"/>
      <c r="Q77" s="9"/>
      <c r="R77" s="9"/>
      <c r="S77" s="42"/>
      <c r="T77" s="9"/>
      <c r="U77" s="9"/>
      <c r="V77" s="9"/>
      <c r="W77" s="38"/>
      <c r="X77" s="42"/>
      <c r="Y77" s="9"/>
      <c r="Z77" s="9"/>
      <c r="AA77" s="9"/>
      <c r="AB77" s="42"/>
      <c r="AC77" s="9"/>
      <c r="AD77" s="38"/>
      <c r="AE77" s="9"/>
      <c r="AF77" s="39"/>
      <c r="AG77" s="9"/>
      <c r="AH77" s="9"/>
      <c r="AI77" s="9"/>
      <c r="AJ77" s="9"/>
      <c r="AK77" s="9"/>
      <c r="AL77" s="9"/>
      <c r="AM77" s="9"/>
      <c r="AN77" s="10" t="str">
        <f aca="false">IF(A77="","",SG_Criteria!$B$6&amp;SG_Criteria!$B$12&amp;"\"&amp;A77&amp;"\")</f>
        <v/>
      </c>
      <c r="AO77" s="10" t="str">
        <f aca="false">IF(A77="","",A77&amp;"_CAD.dwg")</f>
        <v/>
      </c>
      <c r="AP77" s="10" t="str">
        <f aca="false">IF(A77="","",A77&amp;"_DWG.pdf")</f>
        <v/>
      </c>
      <c r="AQ77" s="10" t="str">
        <f aca="false">IF(A77="","",IF(AM77="Y",A77&amp;"_STAAD.std","n/a"))</f>
        <v/>
      </c>
      <c r="AR77" s="10" t="str">
        <f aca="false">IF(A77="","",A77&amp;"_CALC.xlsx")</f>
        <v/>
      </c>
      <c r="AS77" s="10" t="str">
        <f aca="false">IF(A77="","",A77&amp;"_CALC.pdf")</f>
        <v/>
      </c>
      <c r="AT77" s="9"/>
      <c r="AU77" s="9"/>
      <c r="AV77" s="39"/>
      <c r="AW77" s="39"/>
      <c r="AX77" s="39"/>
      <c r="AY77" s="39"/>
      <c r="AZ77" s="39"/>
      <c r="BA77" s="12" t="str">
        <f aca="false">IF(A77="","",IF(COUNTIF(Rebar_Schedule!$A$5:$A$2004,A77)=0,"",ROUND(SUMIF(Rebar_Schedule!$A$5:$A$2004,A77,Rebar_Schedule!$K$5:$K$2004),1)))</f>
        <v/>
      </c>
      <c r="BB77" s="33" t="str">
        <f aca="false">IF(A77="","",IF(BA77="","No rebar schedule yet",IF(ABS(BA77-N(AW77))/MAX(N(AW77),1)&gt;SG_Criteria!$B$55,"NOTE: register rebar differs from schedule by "&amp;TEXT(ABS(BA77-N(AW77))/MAX(N(AW77),1),"0%"),"OK")))</f>
        <v/>
      </c>
      <c r="BC77" s="33" t="str">
        <f aca="false">IF(D77="","",IF(LEN(IF(AND(D77&lt;&gt;"High Covered Linkway",G77&lt;SG_Criteria!$B$46),"FAIL: headroom below "&amp;SG_Criteria!$B$46&amp;" m. ","")&amp;IF(AND(D77="High Covered Linkway",G77&lt;SG_Criteria!$B$47),"FAIL: high linkway headroom below "&amp;SG_Criteria!$B$47&amp;" m. ","")&amp;IF(F77&lt;SG_Criteria!$B$48,"FAIL: roof width below "&amp;SG_Criteria!$B$48&amp;" m. ",IF(F77&lt;SG_Criteria!$B$49,"NOTE: not for MRT/LRT or high-traffic routes (min "&amp;SG_Criteria!$B$49&amp;" m). ",""))&amp;IF(AND(W77&lt;&gt;"",W77&lt;SG_Criteria!$B$50),"FAIL: wind speed below "&amp;SG_Criteria!$B$50&amp;" m/s. ","")&amp;IF(AND(X77&lt;&gt;"",X77&lt;SG_Criteria!$B$51),"FAIL: roof fixing pull-out below "&amp;SG_Criteria!$B$51&amp;" kN. ","")&amp;IF(AND(Y77&lt;&gt;"",IFERROR(VALUE(MID(Y77,2,2)),0)&lt;SG_Criteria!$B$52),"FAIL: grade below C"&amp;SG_Criteria!$B$52&amp;". ","")&amp;IF(E77="Non-standard (project design)","NOTE: not an SDRE standard, needs LTA acceptance. ",""))=0,"OK",IF(AND(D77&lt;&gt;"High Covered Linkway",G77&lt;SG_Criteria!$B$46),"FAIL: headroom below "&amp;SG_Criteria!$B$46&amp;" m. ","")&amp;IF(AND(D77="High Covered Linkway",G77&lt;SG_Criteria!$B$47),"FAIL: high linkway headroom below "&amp;SG_Criteria!$B$47&amp;" m. ","")&amp;IF(F77&lt;SG_Criteria!$B$48,"FAIL: roof width below "&amp;SG_Criteria!$B$48&amp;" m. ",IF(F77&lt;SG_Criteria!$B$49,"NOTE: not for MRT/LRT or high-traffic routes (min "&amp;SG_Criteria!$B$49&amp;" m). ",""))&amp;IF(AND(W77&lt;&gt;"",W77&lt;SG_Criteria!$B$50),"FAIL: wind speed below "&amp;SG_Criteria!$B$50&amp;" m/s. ","")&amp;IF(AND(X77&lt;&gt;"",X77&lt;SG_Criteria!$B$51),"FAIL: roof fixing pull-out below "&amp;SG_Criteria!$B$51&amp;" kN. ","")&amp;IF(AND(Y77&lt;&gt;"",IFERROR(VALUE(MID(Y77,2,2)),0)&lt;SG_Criteria!$B$52),"FAIL: grade below C"&amp;SG_Criteria!$B$52&amp;". ","")&amp;IF(E77="Non-standard (project design)","NOTE: not an SDRE standard, needs LTA acceptance. ","")))</f>
        <v/>
      </c>
      <c r="BD77" s="9"/>
      <c r="BE77" s="9"/>
      <c r="BF77" s="9"/>
      <c r="BG77" s="10" t="str">
        <f aca="false">IF(BF77="","",IFERROR(VLOOKUP(BF77,Projects!$A$5:$D$504,2,0),"Ref not in Projects"))</f>
        <v/>
      </c>
      <c r="BH77" s="10" t="str">
        <f aca="false">IF(BF77="","",IFERROR(VLOOKUP(BF77,Projects!$A$5:$D$504,4,0),"Ref not in Projects"))</f>
        <v/>
      </c>
      <c r="BI77" s="9"/>
      <c r="BJ77" s="9"/>
      <c r="BK77" s="9"/>
      <c r="BL77" s="40"/>
      <c r="BM77" s="9"/>
      <c r="BN77" s="40"/>
      <c r="BO77" s="9"/>
      <c r="BP77" s="40"/>
      <c r="BQ77" s="9"/>
      <c r="BR77" s="9"/>
      <c r="BS77" s="9"/>
      <c r="BT77" s="40"/>
      <c r="BU77" s="40"/>
      <c r="BV77" s="36" t="str">
        <f aca="false">IF(BU77="","",EDATE(BU77,SG_Criteria!$B$54*12))</f>
        <v/>
      </c>
      <c r="BW77" s="33" t="str">
        <f aca="true">IF(A77="","",IF(BU77="","NOTE: not reviewed yet",IF(TODAY()&gt;BV77,"NOTE: review overdue","OK")))</f>
        <v/>
      </c>
      <c r="BX77" s="37" t="str">
        <f aca="false">IF(A77="","",ROUND((IF(LEN(D77)&gt;0,1,0)+IF(LEN(E77)&gt;0,1,0)+IF(LEN(F77)&gt;0,1,0)+IF(LEN(G77)&gt;0,1,0)+IF(LEN(H77)&gt;0,1,0)+IF(LEN(I77)&gt;0,1,0)+IF(LEN(J77)&gt;0,1,0)+IF(LEN(K77)&gt;0,1,0)+IF(LEN(N77)&gt;0,1,0)+IF(LEN(O77)&gt;0,1,0)+IF(LEN(W77)&gt;0,1,0)+IF(LEN(X77)&gt;0,1,0)+IF(LEN(Y77)&gt;0,1,0)+IF(LEN(AG77)&gt;0,1,0)+IF(LEN(AI77)&gt;0,1,0)+IF(LEN(AJ77)&gt;0,1,0)+IF(LEN(AK77)&gt;0,1,0)+IF(LEN(AL77)&gt;0,1,0)+IF(LEN(AU77)&gt;0,1,0)+IF(LEN(BF77)&gt;0,1,0)+IF(LEN(BS77)&gt;0,1,0))/21,2))</f>
        <v/>
      </c>
      <c r="BY77" s="10" t="str">
        <f aca="false">IF(D77="","",IF(AND(AJ77="Approved",ISERROR(SEARCH("FAIL",BC77))),"Y","N"))</f>
        <v/>
      </c>
      <c r="BZ77" s="10" t="str">
        <f aca="false">IF(D77="","",D77&amp;"|"&amp;F77&amp;"|"&amp;G77&amp;"|"&amp;BY77)</f>
        <v/>
      </c>
    </row>
    <row r="78" customFormat="false" ht="15" hidden="false" customHeight="false" outlineLevel="0" collapsed="false">
      <c r="A78" s="10" t="str">
        <f aca="false">IF(D78="","","LKW-"&amp;IFERROR(VLOOKUP(D78,Lists!$AQ$4:$AR$17,2,0),"??")&amp;"-W"&amp;TEXT(F78*1000,"0000")&amp;"-H"&amp;TEXT(G78*1000,"0000")&amp;"-B"&amp;TEXT(H78*1000,"0000")&amp;"-"&amp;AI78)</f>
        <v/>
      </c>
      <c r="B78" s="10" t="str">
        <f aca="false">IF(D78="","",D78&amp;", "&amp;F78&amp;" m wide, "&amp;G78&amp;" m headroom, "&amp;H78&amp;" m bays, "&amp;I78&amp;" ("&amp;E78&amp;")")</f>
        <v/>
      </c>
      <c r="C78" s="9"/>
      <c r="D78" s="9"/>
      <c r="E78" s="9"/>
      <c r="F78" s="42"/>
      <c r="G78" s="42"/>
      <c r="H78" s="42"/>
      <c r="I78" s="9"/>
      <c r="J78" s="9"/>
      <c r="K78" s="9"/>
      <c r="L78" s="9"/>
      <c r="M78" s="9"/>
      <c r="N78" s="9"/>
      <c r="O78" s="9"/>
      <c r="P78" s="9"/>
      <c r="Q78" s="9"/>
      <c r="R78" s="9"/>
      <c r="S78" s="42"/>
      <c r="T78" s="9"/>
      <c r="U78" s="9"/>
      <c r="V78" s="9"/>
      <c r="W78" s="38"/>
      <c r="X78" s="42"/>
      <c r="Y78" s="9"/>
      <c r="Z78" s="9"/>
      <c r="AA78" s="9"/>
      <c r="AB78" s="42"/>
      <c r="AC78" s="9"/>
      <c r="AD78" s="38"/>
      <c r="AE78" s="9"/>
      <c r="AF78" s="39"/>
      <c r="AG78" s="9"/>
      <c r="AH78" s="9"/>
      <c r="AI78" s="9"/>
      <c r="AJ78" s="9"/>
      <c r="AK78" s="9"/>
      <c r="AL78" s="9"/>
      <c r="AM78" s="9"/>
      <c r="AN78" s="10" t="str">
        <f aca="false">IF(A78="","",SG_Criteria!$B$6&amp;SG_Criteria!$B$12&amp;"\"&amp;A78&amp;"\")</f>
        <v/>
      </c>
      <c r="AO78" s="10" t="str">
        <f aca="false">IF(A78="","",A78&amp;"_CAD.dwg")</f>
        <v/>
      </c>
      <c r="AP78" s="10" t="str">
        <f aca="false">IF(A78="","",A78&amp;"_DWG.pdf")</f>
        <v/>
      </c>
      <c r="AQ78" s="10" t="str">
        <f aca="false">IF(A78="","",IF(AM78="Y",A78&amp;"_STAAD.std","n/a"))</f>
        <v/>
      </c>
      <c r="AR78" s="10" t="str">
        <f aca="false">IF(A78="","",A78&amp;"_CALC.xlsx")</f>
        <v/>
      </c>
      <c r="AS78" s="10" t="str">
        <f aca="false">IF(A78="","",A78&amp;"_CALC.pdf")</f>
        <v/>
      </c>
      <c r="AT78" s="9"/>
      <c r="AU78" s="9"/>
      <c r="AV78" s="39"/>
      <c r="AW78" s="39"/>
      <c r="AX78" s="39"/>
      <c r="AY78" s="39"/>
      <c r="AZ78" s="39"/>
      <c r="BA78" s="12" t="str">
        <f aca="false">IF(A78="","",IF(COUNTIF(Rebar_Schedule!$A$5:$A$2004,A78)=0,"",ROUND(SUMIF(Rebar_Schedule!$A$5:$A$2004,A78,Rebar_Schedule!$K$5:$K$2004),1)))</f>
        <v/>
      </c>
      <c r="BB78" s="33" t="str">
        <f aca="false">IF(A78="","",IF(BA78="","No rebar schedule yet",IF(ABS(BA78-N(AW78))/MAX(N(AW78),1)&gt;SG_Criteria!$B$55,"NOTE: register rebar differs from schedule by "&amp;TEXT(ABS(BA78-N(AW78))/MAX(N(AW78),1),"0%"),"OK")))</f>
        <v/>
      </c>
      <c r="BC78" s="33" t="str">
        <f aca="false">IF(D78="","",IF(LEN(IF(AND(D78&lt;&gt;"High Covered Linkway",G78&lt;SG_Criteria!$B$46),"FAIL: headroom below "&amp;SG_Criteria!$B$46&amp;" m. ","")&amp;IF(AND(D78="High Covered Linkway",G78&lt;SG_Criteria!$B$47),"FAIL: high linkway headroom below "&amp;SG_Criteria!$B$47&amp;" m. ","")&amp;IF(F78&lt;SG_Criteria!$B$48,"FAIL: roof width below "&amp;SG_Criteria!$B$48&amp;" m. ",IF(F78&lt;SG_Criteria!$B$49,"NOTE: not for MRT/LRT or high-traffic routes (min "&amp;SG_Criteria!$B$49&amp;" m). ",""))&amp;IF(AND(W78&lt;&gt;"",W78&lt;SG_Criteria!$B$50),"FAIL: wind speed below "&amp;SG_Criteria!$B$50&amp;" m/s. ","")&amp;IF(AND(X78&lt;&gt;"",X78&lt;SG_Criteria!$B$51),"FAIL: roof fixing pull-out below "&amp;SG_Criteria!$B$51&amp;" kN. ","")&amp;IF(AND(Y78&lt;&gt;"",IFERROR(VALUE(MID(Y78,2,2)),0)&lt;SG_Criteria!$B$52),"FAIL: grade below C"&amp;SG_Criteria!$B$52&amp;". ","")&amp;IF(E78="Non-standard (project design)","NOTE: not an SDRE standard, needs LTA acceptance. ",""))=0,"OK",IF(AND(D78&lt;&gt;"High Covered Linkway",G78&lt;SG_Criteria!$B$46),"FAIL: headroom below "&amp;SG_Criteria!$B$46&amp;" m. ","")&amp;IF(AND(D78="High Covered Linkway",G78&lt;SG_Criteria!$B$47),"FAIL: high linkway headroom below "&amp;SG_Criteria!$B$47&amp;" m. ","")&amp;IF(F78&lt;SG_Criteria!$B$48,"FAIL: roof width below "&amp;SG_Criteria!$B$48&amp;" m. ",IF(F78&lt;SG_Criteria!$B$49,"NOTE: not for MRT/LRT or high-traffic routes (min "&amp;SG_Criteria!$B$49&amp;" m). ",""))&amp;IF(AND(W78&lt;&gt;"",W78&lt;SG_Criteria!$B$50),"FAIL: wind speed below "&amp;SG_Criteria!$B$50&amp;" m/s. ","")&amp;IF(AND(X78&lt;&gt;"",X78&lt;SG_Criteria!$B$51),"FAIL: roof fixing pull-out below "&amp;SG_Criteria!$B$51&amp;" kN. ","")&amp;IF(AND(Y78&lt;&gt;"",IFERROR(VALUE(MID(Y78,2,2)),0)&lt;SG_Criteria!$B$52),"FAIL: grade below C"&amp;SG_Criteria!$B$52&amp;". ","")&amp;IF(E78="Non-standard (project design)","NOTE: not an SDRE standard, needs LTA acceptance. ","")))</f>
        <v/>
      </c>
      <c r="BD78" s="9"/>
      <c r="BE78" s="9"/>
      <c r="BF78" s="9"/>
      <c r="BG78" s="10" t="str">
        <f aca="false">IF(BF78="","",IFERROR(VLOOKUP(BF78,Projects!$A$5:$D$504,2,0),"Ref not in Projects"))</f>
        <v/>
      </c>
      <c r="BH78" s="10" t="str">
        <f aca="false">IF(BF78="","",IFERROR(VLOOKUP(BF78,Projects!$A$5:$D$504,4,0),"Ref not in Projects"))</f>
        <v/>
      </c>
      <c r="BI78" s="9"/>
      <c r="BJ78" s="9"/>
      <c r="BK78" s="9"/>
      <c r="BL78" s="40"/>
      <c r="BM78" s="9"/>
      <c r="BN78" s="40"/>
      <c r="BO78" s="9"/>
      <c r="BP78" s="40"/>
      <c r="BQ78" s="9"/>
      <c r="BR78" s="9"/>
      <c r="BS78" s="9"/>
      <c r="BT78" s="40"/>
      <c r="BU78" s="40"/>
      <c r="BV78" s="36" t="str">
        <f aca="false">IF(BU78="","",EDATE(BU78,SG_Criteria!$B$54*12))</f>
        <v/>
      </c>
      <c r="BW78" s="33" t="str">
        <f aca="true">IF(A78="","",IF(BU78="","NOTE: not reviewed yet",IF(TODAY()&gt;BV78,"NOTE: review overdue","OK")))</f>
        <v/>
      </c>
      <c r="BX78" s="37" t="str">
        <f aca="false">IF(A78="","",ROUND((IF(LEN(D78)&gt;0,1,0)+IF(LEN(E78)&gt;0,1,0)+IF(LEN(F78)&gt;0,1,0)+IF(LEN(G78)&gt;0,1,0)+IF(LEN(H78)&gt;0,1,0)+IF(LEN(I78)&gt;0,1,0)+IF(LEN(J78)&gt;0,1,0)+IF(LEN(K78)&gt;0,1,0)+IF(LEN(N78)&gt;0,1,0)+IF(LEN(O78)&gt;0,1,0)+IF(LEN(W78)&gt;0,1,0)+IF(LEN(X78)&gt;0,1,0)+IF(LEN(Y78)&gt;0,1,0)+IF(LEN(AG78)&gt;0,1,0)+IF(LEN(AI78)&gt;0,1,0)+IF(LEN(AJ78)&gt;0,1,0)+IF(LEN(AK78)&gt;0,1,0)+IF(LEN(AL78)&gt;0,1,0)+IF(LEN(AU78)&gt;0,1,0)+IF(LEN(BF78)&gt;0,1,0)+IF(LEN(BS78)&gt;0,1,0))/21,2))</f>
        <v/>
      </c>
      <c r="BY78" s="10" t="str">
        <f aca="false">IF(D78="","",IF(AND(AJ78="Approved",ISERROR(SEARCH("FAIL",BC78))),"Y","N"))</f>
        <v/>
      </c>
      <c r="BZ78" s="10" t="str">
        <f aca="false">IF(D78="","",D78&amp;"|"&amp;F78&amp;"|"&amp;G78&amp;"|"&amp;BY78)</f>
        <v/>
      </c>
    </row>
    <row r="79" customFormat="false" ht="15" hidden="false" customHeight="false" outlineLevel="0" collapsed="false">
      <c r="A79" s="10" t="str">
        <f aca="false">IF(D79="","","LKW-"&amp;IFERROR(VLOOKUP(D79,Lists!$AQ$4:$AR$17,2,0),"??")&amp;"-W"&amp;TEXT(F79*1000,"0000")&amp;"-H"&amp;TEXT(G79*1000,"0000")&amp;"-B"&amp;TEXT(H79*1000,"0000")&amp;"-"&amp;AI79)</f>
        <v/>
      </c>
      <c r="B79" s="10" t="str">
        <f aca="false">IF(D79="","",D79&amp;", "&amp;F79&amp;" m wide, "&amp;G79&amp;" m headroom, "&amp;H79&amp;" m bays, "&amp;I79&amp;" ("&amp;E79&amp;")")</f>
        <v/>
      </c>
      <c r="C79" s="9"/>
      <c r="D79" s="9"/>
      <c r="E79" s="9"/>
      <c r="F79" s="42"/>
      <c r="G79" s="42"/>
      <c r="H79" s="42"/>
      <c r="I79" s="9"/>
      <c r="J79" s="9"/>
      <c r="K79" s="9"/>
      <c r="L79" s="9"/>
      <c r="M79" s="9"/>
      <c r="N79" s="9"/>
      <c r="O79" s="9"/>
      <c r="P79" s="9"/>
      <c r="Q79" s="9"/>
      <c r="R79" s="9"/>
      <c r="S79" s="42"/>
      <c r="T79" s="9"/>
      <c r="U79" s="9"/>
      <c r="V79" s="9"/>
      <c r="W79" s="38"/>
      <c r="X79" s="42"/>
      <c r="Y79" s="9"/>
      <c r="Z79" s="9"/>
      <c r="AA79" s="9"/>
      <c r="AB79" s="42"/>
      <c r="AC79" s="9"/>
      <c r="AD79" s="38"/>
      <c r="AE79" s="9"/>
      <c r="AF79" s="39"/>
      <c r="AG79" s="9"/>
      <c r="AH79" s="9"/>
      <c r="AI79" s="9"/>
      <c r="AJ79" s="9"/>
      <c r="AK79" s="9"/>
      <c r="AL79" s="9"/>
      <c r="AM79" s="9"/>
      <c r="AN79" s="10" t="str">
        <f aca="false">IF(A79="","",SG_Criteria!$B$6&amp;SG_Criteria!$B$12&amp;"\"&amp;A79&amp;"\")</f>
        <v/>
      </c>
      <c r="AO79" s="10" t="str">
        <f aca="false">IF(A79="","",A79&amp;"_CAD.dwg")</f>
        <v/>
      </c>
      <c r="AP79" s="10" t="str">
        <f aca="false">IF(A79="","",A79&amp;"_DWG.pdf")</f>
        <v/>
      </c>
      <c r="AQ79" s="10" t="str">
        <f aca="false">IF(A79="","",IF(AM79="Y",A79&amp;"_STAAD.std","n/a"))</f>
        <v/>
      </c>
      <c r="AR79" s="10" t="str">
        <f aca="false">IF(A79="","",A79&amp;"_CALC.xlsx")</f>
        <v/>
      </c>
      <c r="AS79" s="10" t="str">
        <f aca="false">IF(A79="","",A79&amp;"_CALC.pdf")</f>
        <v/>
      </c>
      <c r="AT79" s="9"/>
      <c r="AU79" s="9"/>
      <c r="AV79" s="39"/>
      <c r="AW79" s="39"/>
      <c r="AX79" s="39"/>
      <c r="AY79" s="39"/>
      <c r="AZ79" s="39"/>
      <c r="BA79" s="12" t="str">
        <f aca="false">IF(A79="","",IF(COUNTIF(Rebar_Schedule!$A$5:$A$2004,A79)=0,"",ROUND(SUMIF(Rebar_Schedule!$A$5:$A$2004,A79,Rebar_Schedule!$K$5:$K$2004),1)))</f>
        <v/>
      </c>
      <c r="BB79" s="33" t="str">
        <f aca="false">IF(A79="","",IF(BA79="","No rebar schedule yet",IF(ABS(BA79-N(AW79))/MAX(N(AW79),1)&gt;SG_Criteria!$B$55,"NOTE: register rebar differs from schedule by "&amp;TEXT(ABS(BA79-N(AW79))/MAX(N(AW79),1),"0%"),"OK")))</f>
        <v/>
      </c>
      <c r="BC79" s="33" t="str">
        <f aca="false">IF(D79="","",IF(LEN(IF(AND(D79&lt;&gt;"High Covered Linkway",G79&lt;SG_Criteria!$B$46),"FAIL: headroom below "&amp;SG_Criteria!$B$46&amp;" m. ","")&amp;IF(AND(D79="High Covered Linkway",G79&lt;SG_Criteria!$B$47),"FAIL: high linkway headroom below "&amp;SG_Criteria!$B$47&amp;" m. ","")&amp;IF(F79&lt;SG_Criteria!$B$48,"FAIL: roof width below "&amp;SG_Criteria!$B$48&amp;" m. ",IF(F79&lt;SG_Criteria!$B$49,"NOTE: not for MRT/LRT or high-traffic routes (min "&amp;SG_Criteria!$B$49&amp;" m). ",""))&amp;IF(AND(W79&lt;&gt;"",W79&lt;SG_Criteria!$B$50),"FAIL: wind speed below "&amp;SG_Criteria!$B$50&amp;" m/s. ","")&amp;IF(AND(X79&lt;&gt;"",X79&lt;SG_Criteria!$B$51),"FAIL: roof fixing pull-out below "&amp;SG_Criteria!$B$51&amp;" kN. ","")&amp;IF(AND(Y79&lt;&gt;"",IFERROR(VALUE(MID(Y79,2,2)),0)&lt;SG_Criteria!$B$52),"FAIL: grade below C"&amp;SG_Criteria!$B$52&amp;". ","")&amp;IF(E79="Non-standard (project design)","NOTE: not an SDRE standard, needs LTA acceptance. ",""))=0,"OK",IF(AND(D79&lt;&gt;"High Covered Linkway",G79&lt;SG_Criteria!$B$46),"FAIL: headroom below "&amp;SG_Criteria!$B$46&amp;" m. ","")&amp;IF(AND(D79="High Covered Linkway",G79&lt;SG_Criteria!$B$47),"FAIL: high linkway headroom below "&amp;SG_Criteria!$B$47&amp;" m. ","")&amp;IF(F79&lt;SG_Criteria!$B$48,"FAIL: roof width below "&amp;SG_Criteria!$B$48&amp;" m. ",IF(F79&lt;SG_Criteria!$B$49,"NOTE: not for MRT/LRT or high-traffic routes (min "&amp;SG_Criteria!$B$49&amp;" m). ",""))&amp;IF(AND(W79&lt;&gt;"",W79&lt;SG_Criteria!$B$50),"FAIL: wind speed below "&amp;SG_Criteria!$B$50&amp;" m/s. ","")&amp;IF(AND(X79&lt;&gt;"",X79&lt;SG_Criteria!$B$51),"FAIL: roof fixing pull-out below "&amp;SG_Criteria!$B$51&amp;" kN. ","")&amp;IF(AND(Y79&lt;&gt;"",IFERROR(VALUE(MID(Y79,2,2)),0)&lt;SG_Criteria!$B$52),"FAIL: grade below C"&amp;SG_Criteria!$B$52&amp;". ","")&amp;IF(E79="Non-standard (project design)","NOTE: not an SDRE standard, needs LTA acceptance. ","")))</f>
        <v/>
      </c>
      <c r="BD79" s="9"/>
      <c r="BE79" s="9"/>
      <c r="BF79" s="9"/>
      <c r="BG79" s="10" t="str">
        <f aca="false">IF(BF79="","",IFERROR(VLOOKUP(BF79,Projects!$A$5:$D$504,2,0),"Ref not in Projects"))</f>
        <v/>
      </c>
      <c r="BH79" s="10" t="str">
        <f aca="false">IF(BF79="","",IFERROR(VLOOKUP(BF79,Projects!$A$5:$D$504,4,0),"Ref not in Projects"))</f>
        <v/>
      </c>
      <c r="BI79" s="9"/>
      <c r="BJ79" s="9"/>
      <c r="BK79" s="9"/>
      <c r="BL79" s="40"/>
      <c r="BM79" s="9"/>
      <c r="BN79" s="40"/>
      <c r="BO79" s="9"/>
      <c r="BP79" s="40"/>
      <c r="BQ79" s="9"/>
      <c r="BR79" s="9"/>
      <c r="BS79" s="9"/>
      <c r="BT79" s="40"/>
      <c r="BU79" s="40"/>
      <c r="BV79" s="36" t="str">
        <f aca="false">IF(BU79="","",EDATE(BU79,SG_Criteria!$B$54*12))</f>
        <v/>
      </c>
      <c r="BW79" s="33" t="str">
        <f aca="true">IF(A79="","",IF(BU79="","NOTE: not reviewed yet",IF(TODAY()&gt;BV79,"NOTE: review overdue","OK")))</f>
        <v/>
      </c>
      <c r="BX79" s="37" t="str">
        <f aca="false">IF(A79="","",ROUND((IF(LEN(D79)&gt;0,1,0)+IF(LEN(E79)&gt;0,1,0)+IF(LEN(F79)&gt;0,1,0)+IF(LEN(G79)&gt;0,1,0)+IF(LEN(H79)&gt;0,1,0)+IF(LEN(I79)&gt;0,1,0)+IF(LEN(J79)&gt;0,1,0)+IF(LEN(K79)&gt;0,1,0)+IF(LEN(N79)&gt;0,1,0)+IF(LEN(O79)&gt;0,1,0)+IF(LEN(W79)&gt;0,1,0)+IF(LEN(X79)&gt;0,1,0)+IF(LEN(Y79)&gt;0,1,0)+IF(LEN(AG79)&gt;0,1,0)+IF(LEN(AI79)&gt;0,1,0)+IF(LEN(AJ79)&gt;0,1,0)+IF(LEN(AK79)&gt;0,1,0)+IF(LEN(AL79)&gt;0,1,0)+IF(LEN(AU79)&gt;0,1,0)+IF(LEN(BF79)&gt;0,1,0)+IF(LEN(BS79)&gt;0,1,0))/21,2))</f>
        <v/>
      </c>
      <c r="BY79" s="10" t="str">
        <f aca="false">IF(D79="","",IF(AND(AJ79="Approved",ISERROR(SEARCH("FAIL",BC79))),"Y","N"))</f>
        <v/>
      </c>
      <c r="BZ79" s="10" t="str">
        <f aca="false">IF(D79="","",D79&amp;"|"&amp;F79&amp;"|"&amp;G79&amp;"|"&amp;BY79)</f>
        <v/>
      </c>
    </row>
    <row r="80" customFormat="false" ht="15" hidden="false" customHeight="false" outlineLevel="0" collapsed="false">
      <c r="A80" s="10" t="str">
        <f aca="false">IF(D80="","","LKW-"&amp;IFERROR(VLOOKUP(D80,Lists!$AQ$4:$AR$17,2,0),"??")&amp;"-W"&amp;TEXT(F80*1000,"0000")&amp;"-H"&amp;TEXT(G80*1000,"0000")&amp;"-B"&amp;TEXT(H80*1000,"0000")&amp;"-"&amp;AI80)</f>
        <v/>
      </c>
      <c r="B80" s="10" t="str">
        <f aca="false">IF(D80="","",D80&amp;", "&amp;F80&amp;" m wide, "&amp;G80&amp;" m headroom, "&amp;H80&amp;" m bays, "&amp;I80&amp;" ("&amp;E80&amp;")")</f>
        <v/>
      </c>
      <c r="C80" s="9"/>
      <c r="D80" s="9"/>
      <c r="E80" s="9"/>
      <c r="F80" s="42"/>
      <c r="G80" s="42"/>
      <c r="H80" s="42"/>
      <c r="I80" s="9"/>
      <c r="J80" s="9"/>
      <c r="K80" s="9"/>
      <c r="L80" s="9"/>
      <c r="M80" s="9"/>
      <c r="N80" s="9"/>
      <c r="O80" s="9"/>
      <c r="P80" s="9"/>
      <c r="Q80" s="9"/>
      <c r="R80" s="9"/>
      <c r="S80" s="42"/>
      <c r="T80" s="9"/>
      <c r="U80" s="9"/>
      <c r="V80" s="9"/>
      <c r="W80" s="38"/>
      <c r="X80" s="42"/>
      <c r="Y80" s="9"/>
      <c r="Z80" s="9"/>
      <c r="AA80" s="9"/>
      <c r="AB80" s="42"/>
      <c r="AC80" s="9"/>
      <c r="AD80" s="38"/>
      <c r="AE80" s="9"/>
      <c r="AF80" s="39"/>
      <c r="AG80" s="9"/>
      <c r="AH80" s="9"/>
      <c r="AI80" s="9"/>
      <c r="AJ80" s="9"/>
      <c r="AK80" s="9"/>
      <c r="AL80" s="9"/>
      <c r="AM80" s="9"/>
      <c r="AN80" s="10" t="str">
        <f aca="false">IF(A80="","",SG_Criteria!$B$6&amp;SG_Criteria!$B$12&amp;"\"&amp;A80&amp;"\")</f>
        <v/>
      </c>
      <c r="AO80" s="10" t="str">
        <f aca="false">IF(A80="","",A80&amp;"_CAD.dwg")</f>
        <v/>
      </c>
      <c r="AP80" s="10" t="str">
        <f aca="false">IF(A80="","",A80&amp;"_DWG.pdf")</f>
        <v/>
      </c>
      <c r="AQ80" s="10" t="str">
        <f aca="false">IF(A80="","",IF(AM80="Y",A80&amp;"_STAAD.std","n/a"))</f>
        <v/>
      </c>
      <c r="AR80" s="10" t="str">
        <f aca="false">IF(A80="","",A80&amp;"_CALC.xlsx")</f>
        <v/>
      </c>
      <c r="AS80" s="10" t="str">
        <f aca="false">IF(A80="","",A80&amp;"_CALC.pdf")</f>
        <v/>
      </c>
      <c r="AT80" s="9"/>
      <c r="AU80" s="9"/>
      <c r="AV80" s="39"/>
      <c r="AW80" s="39"/>
      <c r="AX80" s="39"/>
      <c r="AY80" s="39"/>
      <c r="AZ80" s="39"/>
      <c r="BA80" s="12" t="str">
        <f aca="false">IF(A80="","",IF(COUNTIF(Rebar_Schedule!$A$5:$A$2004,A80)=0,"",ROUND(SUMIF(Rebar_Schedule!$A$5:$A$2004,A80,Rebar_Schedule!$K$5:$K$2004),1)))</f>
        <v/>
      </c>
      <c r="BB80" s="33" t="str">
        <f aca="false">IF(A80="","",IF(BA80="","No rebar schedule yet",IF(ABS(BA80-N(AW80))/MAX(N(AW80),1)&gt;SG_Criteria!$B$55,"NOTE: register rebar differs from schedule by "&amp;TEXT(ABS(BA80-N(AW80))/MAX(N(AW80),1),"0%"),"OK")))</f>
        <v/>
      </c>
      <c r="BC80" s="33" t="str">
        <f aca="false">IF(D80="","",IF(LEN(IF(AND(D80&lt;&gt;"High Covered Linkway",G80&lt;SG_Criteria!$B$46),"FAIL: headroom below "&amp;SG_Criteria!$B$46&amp;" m. ","")&amp;IF(AND(D80="High Covered Linkway",G80&lt;SG_Criteria!$B$47),"FAIL: high linkway headroom below "&amp;SG_Criteria!$B$47&amp;" m. ","")&amp;IF(F80&lt;SG_Criteria!$B$48,"FAIL: roof width below "&amp;SG_Criteria!$B$48&amp;" m. ",IF(F80&lt;SG_Criteria!$B$49,"NOTE: not for MRT/LRT or high-traffic routes (min "&amp;SG_Criteria!$B$49&amp;" m). ",""))&amp;IF(AND(W80&lt;&gt;"",W80&lt;SG_Criteria!$B$50),"FAIL: wind speed below "&amp;SG_Criteria!$B$50&amp;" m/s. ","")&amp;IF(AND(X80&lt;&gt;"",X80&lt;SG_Criteria!$B$51),"FAIL: roof fixing pull-out below "&amp;SG_Criteria!$B$51&amp;" kN. ","")&amp;IF(AND(Y80&lt;&gt;"",IFERROR(VALUE(MID(Y80,2,2)),0)&lt;SG_Criteria!$B$52),"FAIL: grade below C"&amp;SG_Criteria!$B$52&amp;". ","")&amp;IF(E80="Non-standard (project design)","NOTE: not an SDRE standard, needs LTA acceptance. ",""))=0,"OK",IF(AND(D80&lt;&gt;"High Covered Linkway",G80&lt;SG_Criteria!$B$46),"FAIL: headroom below "&amp;SG_Criteria!$B$46&amp;" m. ","")&amp;IF(AND(D80="High Covered Linkway",G80&lt;SG_Criteria!$B$47),"FAIL: high linkway headroom below "&amp;SG_Criteria!$B$47&amp;" m. ","")&amp;IF(F80&lt;SG_Criteria!$B$48,"FAIL: roof width below "&amp;SG_Criteria!$B$48&amp;" m. ",IF(F80&lt;SG_Criteria!$B$49,"NOTE: not for MRT/LRT or high-traffic routes (min "&amp;SG_Criteria!$B$49&amp;" m). ",""))&amp;IF(AND(W80&lt;&gt;"",W80&lt;SG_Criteria!$B$50),"FAIL: wind speed below "&amp;SG_Criteria!$B$50&amp;" m/s. ","")&amp;IF(AND(X80&lt;&gt;"",X80&lt;SG_Criteria!$B$51),"FAIL: roof fixing pull-out below "&amp;SG_Criteria!$B$51&amp;" kN. ","")&amp;IF(AND(Y80&lt;&gt;"",IFERROR(VALUE(MID(Y80,2,2)),0)&lt;SG_Criteria!$B$52),"FAIL: grade below C"&amp;SG_Criteria!$B$52&amp;". ","")&amp;IF(E80="Non-standard (project design)","NOTE: not an SDRE standard, needs LTA acceptance. ","")))</f>
        <v/>
      </c>
      <c r="BD80" s="9"/>
      <c r="BE80" s="9"/>
      <c r="BF80" s="9"/>
      <c r="BG80" s="10" t="str">
        <f aca="false">IF(BF80="","",IFERROR(VLOOKUP(BF80,Projects!$A$5:$D$504,2,0),"Ref not in Projects"))</f>
        <v/>
      </c>
      <c r="BH80" s="10" t="str">
        <f aca="false">IF(BF80="","",IFERROR(VLOOKUP(BF80,Projects!$A$5:$D$504,4,0),"Ref not in Projects"))</f>
        <v/>
      </c>
      <c r="BI80" s="9"/>
      <c r="BJ80" s="9"/>
      <c r="BK80" s="9"/>
      <c r="BL80" s="40"/>
      <c r="BM80" s="9"/>
      <c r="BN80" s="40"/>
      <c r="BO80" s="9"/>
      <c r="BP80" s="40"/>
      <c r="BQ80" s="9"/>
      <c r="BR80" s="9"/>
      <c r="BS80" s="9"/>
      <c r="BT80" s="40"/>
      <c r="BU80" s="40"/>
      <c r="BV80" s="36" t="str">
        <f aca="false">IF(BU80="","",EDATE(BU80,SG_Criteria!$B$54*12))</f>
        <v/>
      </c>
      <c r="BW80" s="33" t="str">
        <f aca="true">IF(A80="","",IF(BU80="","NOTE: not reviewed yet",IF(TODAY()&gt;BV80,"NOTE: review overdue","OK")))</f>
        <v/>
      </c>
      <c r="BX80" s="37" t="str">
        <f aca="false">IF(A80="","",ROUND((IF(LEN(D80)&gt;0,1,0)+IF(LEN(E80)&gt;0,1,0)+IF(LEN(F80)&gt;0,1,0)+IF(LEN(G80)&gt;0,1,0)+IF(LEN(H80)&gt;0,1,0)+IF(LEN(I80)&gt;0,1,0)+IF(LEN(J80)&gt;0,1,0)+IF(LEN(K80)&gt;0,1,0)+IF(LEN(N80)&gt;0,1,0)+IF(LEN(O80)&gt;0,1,0)+IF(LEN(W80)&gt;0,1,0)+IF(LEN(X80)&gt;0,1,0)+IF(LEN(Y80)&gt;0,1,0)+IF(LEN(AG80)&gt;0,1,0)+IF(LEN(AI80)&gt;0,1,0)+IF(LEN(AJ80)&gt;0,1,0)+IF(LEN(AK80)&gt;0,1,0)+IF(LEN(AL80)&gt;0,1,0)+IF(LEN(AU80)&gt;0,1,0)+IF(LEN(BF80)&gt;0,1,0)+IF(LEN(BS80)&gt;0,1,0))/21,2))</f>
        <v/>
      </c>
      <c r="BY80" s="10" t="str">
        <f aca="false">IF(D80="","",IF(AND(AJ80="Approved",ISERROR(SEARCH("FAIL",BC80))),"Y","N"))</f>
        <v/>
      </c>
      <c r="BZ80" s="10" t="str">
        <f aca="false">IF(D80="","",D80&amp;"|"&amp;F80&amp;"|"&amp;G80&amp;"|"&amp;BY80)</f>
        <v/>
      </c>
    </row>
    <row r="81" customFormat="false" ht="15" hidden="false" customHeight="false" outlineLevel="0" collapsed="false">
      <c r="A81" s="10" t="str">
        <f aca="false">IF(D81="","","LKW-"&amp;IFERROR(VLOOKUP(D81,Lists!$AQ$4:$AR$17,2,0),"??")&amp;"-W"&amp;TEXT(F81*1000,"0000")&amp;"-H"&amp;TEXT(G81*1000,"0000")&amp;"-B"&amp;TEXT(H81*1000,"0000")&amp;"-"&amp;AI81)</f>
        <v/>
      </c>
      <c r="B81" s="10" t="str">
        <f aca="false">IF(D81="","",D81&amp;", "&amp;F81&amp;" m wide, "&amp;G81&amp;" m headroom, "&amp;H81&amp;" m bays, "&amp;I81&amp;" ("&amp;E81&amp;")")</f>
        <v/>
      </c>
      <c r="C81" s="9"/>
      <c r="D81" s="9"/>
      <c r="E81" s="9"/>
      <c r="F81" s="42"/>
      <c r="G81" s="42"/>
      <c r="H81" s="42"/>
      <c r="I81" s="9"/>
      <c r="J81" s="9"/>
      <c r="K81" s="9"/>
      <c r="L81" s="9"/>
      <c r="M81" s="9"/>
      <c r="N81" s="9"/>
      <c r="O81" s="9"/>
      <c r="P81" s="9"/>
      <c r="Q81" s="9"/>
      <c r="R81" s="9"/>
      <c r="S81" s="42"/>
      <c r="T81" s="9"/>
      <c r="U81" s="9"/>
      <c r="V81" s="9"/>
      <c r="W81" s="38"/>
      <c r="X81" s="42"/>
      <c r="Y81" s="9"/>
      <c r="Z81" s="9"/>
      <c r="AA81" s="9"/>
      <c r="AB81" s="42"/>
      <c r="AC81" s="9"/>
      <c r="AD81" s="38"/>
      <c r="AE81" s="9"/>
      <c r="AF81" s="39"/>
      <c r="AG81" s="9"/>
      <c r="AH81" s="9"/>
      <c r="AI81" s="9"/>
      <c r="AJ81" s="9"/>
      <c r="AK81" s="9"/>
      <c r="AL81" s="9"/>
      <c r="AM81" s="9"/>
      <c r="AN81" s="10" t="str">
        <f aca="false">IF(A81="","",SG_Criteria!$B$6&amp;SG_Criteria!$B$12&amp;"\"&amp;A81&amp;"\")</f>
        <v/>
      </c>
      <c r="AO81" s="10" t="str">
        <f aca="false">IF(A81="","",A81&amp;"_CAD.dwg")</f>
        <v/>
      </c>
      <c r="AP81" s="10" t="str">
        <f aca="false">IF(A81="","",A81&amp;"_DWG.pdf")</f>
        <v/>
      </c>
      <c r="AQ81" s="10" t="str">
        <f aca="false">IF(A81="","",IF(AM81="Y",A81&amp;"_STAAD.std","n/a"))</f>
        <v/>
      </c>
      <c r="AR81" s="10" t="str">
        <f aca="false">IF(A81="","",A81&amp;"_CALC.xlsx")</f>
        <v/>
      </c>
      <c r="AS81" s="10" t="str">
        <f aca="false">IF(A81="","",A81&amp;"_CALC.pdf")</f>
        <v/>
      </c>
      <c r="AT81" s="9"/>
      <c r="AU81" s="9"/>
      <c r="AV81" s="39"/>
      <c r="AW81" s="39"/>
      <c r="AX81" s="39"/>
      <c r="AY81" s="39"/>
      <c r="AZ81" s="39"/>
      <c r="BA81" s="12" t="str">
        <f aca="false">IF(A81="","",IF(COUNTIF(Rebar_Schedule!$A$5:$A$2004,A81)=0,"",ROUND(SUMIF(Rebar_Schedule!$A$5:$A$2004,A81,Rebar_Schedule!$K$5:$K$2004),1)))</f>
        <v/>
      </c>
      <c r="BB81" s="33" t="str">
        <f aca="false">IF(A81="","",IF(BA81="","No rebar schedule yet",IF(ABS(BA81-N(AW81))/MAX(N(AW81),1)&gt;SG_Criteria!$B$55,"NOTE: register rebar differs from schedule by "&amp;TEXT(ABS(BA81-N(AW81))/MAX(N(AW81),1),"0%"),"OK")))</f>
        <v/>
      </c>
      <c r="BC81" s="33" t="str">
        <f aca="false">IF(D81="","",IF(LEN(IF(AND(D81&lt;&gt;"High Covered Linkway",G81&lt;SG_Criteria!$B$46),"FAIL: headroom below "&amp;SG_Criteria!$B$46&amp;" m. ","")&amp;IF(AND(D81="High Covered Linkway",G81&lt;SG_Criteria!$B$47),"FAIL: high linkway headroom below "&amp;SG_Criteria!$B$47&amp;" m. ","")&amp;IF(F81&lt;SG_Criteria!$B$48,"FAIL: roof width below "&amp;SG_Criteria!$B$48&amp;" m. ",IF(F81&lt;SG_Criteria!$B$49,"NOTE: not for MRT/LRT or high-traffic routes (min "&amp;SG_Criteria!$B$49&amp;" m). ",""))&amp;IF(AND(W81&lt;&gt;"",W81&lt;SG_Criteria!$B$50),"FAIL: wind speed below "&amp;SG_Criteria!$B$50&amp;" m/s. ","")&amp;IF(AND(X81&lt;&gt;"",X81&lt;SG_Criteria!$B$51),"FAIL: roof fixing pull-out below "&amp;SG_Criteria!$B$51&amp;" kN. ","")&amp;IF(AND(Y81&lt;&gt;"",IFERROR(VALUE(MID(Y81,2,2)),0)&lt;SG_Criteria!$B$52),"FAIL: grade below C"&amp;SG_Criteria!$B$52&amp;". ","")&amp;IF(E81="Non-standard (project design)","NOTE: not an SDRE standard, needs LTA acceptance. ",""))=0,"OK",IF(AND(D81&lt;&gt;"High Covered Linkway",G81&lt;SG_Criteria!$B$46),"FAIL: headroom below "&amp;SG_Criteria!$B$46&amp;" m. ","")&amp;IF(AND(D81="High Covered Linkway",G81&lt;SG_Criteria!$B$47),"FAIL: high linkway headroom below "&amp;SG_Criteria!$B$47&amp;" m. ","")&amp;IF(F81&lt;SG_Criteria!$B$48,"FAIL: roof width below "&amp;SG_Criteria!$B$48&amp;" m. ",IF(F81&lt;SG_Criteria!$B$49,"NOTE: not for MRT/LRT or high-traffic routes (min "&amp;SG_Criteria!$B$49&amp;" m). ",""))&amp;IF(AND(W81&lt;&gt;"",W81&lt;SG_Criteria!$B$50),"FAIL: wind speed below "&amp;SG_Criteria!$B$50&amp;" m/s. ","")&amp;IF(AND(X81&lt;&gt;"",X81&lt;SG_Criteria!$B$51),"FAIL: roof fixing pull-out below "&amp;SG_Criteria!$B$51&amp;" kN. ","")&amp;IF(AND(Y81&lt;&gt;"",IFERROR(VALUE(MID(Y81,2,2)),0)&lt;SG_Criteria!$B$52),"FAIL: grade below C"&amp;SG_Criteria!$B$52&amp;". ","")&amp;IF(E81="Non-standard (project design)","NOTE: not an SDRE standard, needs LTA acceptance. ","")))</f>
        <v/>
      </c>
      <c r="BD81" s="9"/>
      <c r="BE81" s="9"/>
      <c r="BF81" s="9"/>
      <c r="BG81" s="10" t="str">
        <f aca="false">IF(BF81="","",IFERROR(VLOOKUP(BF81,Projects!$A$5:$D$504,2,0),"Ref not in Projects"))</f>
        <v/>
      </c>
      <c r="BH81" s="10" t="str">
        <f aca="false">IF(BF81="","",IFERROR(VLOOKUP(BF81,Projects!$A$5:$D$504,4,0),"Ref not in Projects"))</f>
        <v/>
      </c>
      <c r="BI81" s="9"/>
      <c r="BJ81" s="9"/>
      <c r="BK81" s="9"/>
      <c r="BL81" s="40"/>
      <c r="BM81" s="9"/>
      <c r="BN81" s="40"/>
      <c r="BO81" s="9"/>
      <c r="BP81" s="40"/>
      <c r="BQ81" s="9"/>
      <c r="BR81" s="9"/>
      <c r="BS81" s="9"/>
      <c r="BT81" s="40"/>
      <c r="BU81" s="40"/>
      <c r="BV81" s="36" t="str">
        <f aca="false">IF(BU81="","",EDATE(BU81,SG_Criteria!$B$54*12))</f>
        <v/>
      </c>
      <c r="BW81" s="33" t="str">
        <f aca="true">IF(A81="","",IF(BU81="","NOTE: not reviewed yet",IF(TODAY()&gt;BV81,"NOTE: review overdue","OK")))</f>
        <v/>
      </c>
      <c r="BX81" s="37" t="str">
        <f aca="false">IF(A81="","",ROUND((IF(LEN(D81)&gt;0,1,0)+IF(LEN(E81)&gt;0,1,0)+IF(LEN(F81)&gt;0,1,0)+IF(LEN(G81)&gt;0,1,0)+IF(LEN(H81)&gt;0,1,0)+IF(LEN(I81)&gt;0,1,0)+IF(LEN(J81)&gt;0,1,0)+IF(LEN(K81)&gt;0,1,0)+IF(LEN(N81)&gt;0,1,0)+IF(LEN(O81)&gt;0,1,0)+IF(LEN(W81)&gt;0,1,0)+IF(LEN(X81)&gt;0,1,0)+IF(LEN(Y81)&gt;0,1,0)+IF(LEN(AG81)&gt;0,1,0)+IF(LEN(AI81)&gt;0,1,0)+IF(LEN(AJ81)&gt;0,1,0)+IF(LEN(AK81)&gt;0,1,0)+IF(LEN(AL81)&gt;0,1,0)+IF(LEN(AU81)&gt;0,1,0)+IF(LEN(BF81)&gt;0,1,0)+IF(LEN(BS81)&gt;0,1,0))/21,2))</f>
        <v/>
      </c>
      <c r="BY81" s="10" t="str">
        <f aca="false">IF(D81="","",IF(AND(AJ81="Approved",ISERROR(SEARCH("FAIL",BC81))),"Y","N"))</f>
        <v/>
      </c>
      <c r="BZ81" s="10" t="str">
        <f aca="false">IF(D81="","",D81&amp;"|"&amp;F81&amp;"|"&amp;G81&amp;"|"&amp;BY81)</f>
        <v/>
      </c>
    </row>
    <row r="82" customFormat="false" ht="15" hidden="false" customHeight="false" outlineLevel="0" collapsed="false">
      <c r="A82" s="10" t="str">
        <f aca="false">IF(D82="","","LKW-"&amp;IFERROR(VLOOKUP(D82,Lists!$AQ$4:$AR$17,2,0),"??")&amp;"-W"&amp;TEXT(F82*1000,"0000")&amp;"-H"&amp;TEXT(G82*1000,"0000")&amp;"-B"&amp;TEXT(H82*1000,"0000")&amp;"-"&amp;AI82)</f>
        <v/>
      </c>
      <c r="B82" s="10" t="str">
        <f aca="false">IF(D82="","",D82&amp;", "&amp;F82&amp;" m wide, "&amp;G82&amp;" m headroom, "&amp;H82&amp;" m bays, "&amp;I82&amp;" ("&amp;E82&amp;")")</f>
        <v/>
      </c>
      <c r="C82" s="9"/>
      <c r="D82" s="9"/>
      <c r="E82" s="9"/>
      <c r="F82" s="42"/>
      <c r="G82" s="42"/>
      <c r="H82" s="42"/>
      <c r="I82" s="9"/>
      <c r="J82" s="9"/>
      <c r="K82" s="9"/>
      <c r="L82" s="9"/>
      <c r="M82" s="9"/>
      <c r="N82" s="9"/>
      <c r="O82" s="9"/>
      <c r="P82" s="9"/>
      <c r="Q82" s="9"/>
      <c r="R82" s="9"/>
      <c r="S82" s="42"/>
      <c r="T82" s="9"/>
      <c r="U82" s="9"/>
      <c r="V82" s="9"/>
      <c r="W82" s="38"/>
      <c r="X82" s="42"/>
      <c r="Y82" s="9"/>
      <c r="Z82" s="9"/>
      <c r="AA82" s="9"/>
      <c r="AB82" s="42"/>
      <c r="AC82" s="9"/>
      <c r="AD82" s="38"/>
      <c r="AE82" s="9"/>
      <c r="AF82" s="39"/>
      <c r="AG82" s="9"/>
      <c r="AH82" s="9"/>
      <c r="AI82" s="9"/>
      <c r="AJ82" s="9"/>
      <c r="AK82" s="9"/>
      <c r="AL82" s="9"/>
      <c r="AM82" s="9"/>
      <c r="AN82" s="10" t="str">
        <f aca="false">IF(A82="","",SG_Criteria!$B$6&amp;SG_Criteria!$B$12&amp;"\"&amp;A82&amp;"\")</f>
        <v/>
      </c>
      <c r="AO82" s="10" t="str">
        <f aca="false">IF(A82="","",A82&amp;"_CAD.dwg")</f>
        <v/>
      </c>
      <c r="AP82" s="10" t="str">
        <f aca="false">IF(A82="","",A82&amp;"_DWG.pdf")</f>
        <v/>
      </c>
      <c r="AQ82" s="10" t="str">
        <f aca="false">IF(A82="","",IF(AM82="Y",A82&amp;"_STAAD.std","n/a"))</f>
        <v/>
      </c>
      <c r="AR82" s="10" t="str">
        <f aca="false">IF(A82="","",A82&amp;"_CALC.xlsx")</f>
        <v/>
      </c>
      <c r="AS82" s="10" t="str">
        <f aca="false">IF(A82="","",A82&amp;"_CALC.pdf")</f>
        <v/>
      </c>
      <c r="AT82" s="9"/>
      <c r="AU82" s="9"/>
      <c r="AV82" s="39"/>
      <c r="AW82" s="39"/>
      <c r="AX82" s="39"/>
      <c r="AY82" s="39"/>
      <c r="AZ82" s="39"/>
      <c r="BA82" s="12" t="str">
        <f aca="false">IF(A82="","",IF(COUNTIF(Rebar_Schedule!$A$5:$A$2004,A82)=0,"",ROUND(SUMIF(Rebar_Schedule!$A$5:$A$2004,A82,Rebar_Schedule!$K$5:$K$2004),1)))</f>
        <v/>
      </c>
      <c r="BB82" s="33" t="str">
        <f aca="false">IF(A82="","",IF(BA82="","No rebar schedule yet",IF(ABS(BA82-N(AW82))/MAX(N(AW82),1)&gt;SG_Criteria!$B$55,"NOTE: register rebar differs from schedule by "&amp;TEXT(ABS(BA82-N(AW82))/MAX(N(AW82),1),"0%"),"OK")))</f>
        <v/>
      </c>
      <c r="BC82" s="33" t="str">
        <f aca="false">IF(D82="","",IF(LEN(IF(AND(D82&lt;&gt;"High Covered Linkway",G82&lt;SG_Criteria!$B$46),"FAIL: headroom below "&amp;SG_Criteria!$B$46&amp;" m. ","")&amp;IF(AND(D82="High Covered Linkway",G82&lt;SG_Criteria!$B$47),"FAIL: high linkway headroom below "&amp;SG_Criteria!$B$47&amp;" m. ","")&amp;IF(F82&lt;SG_Criteria!$B$48,"FAIL: roof width below "&amp;SG_Criteria!$B$48&amp;" m. ",IF(F82&lt;SG_Criteria!$B$49,"NOTE: not for MRT/LRT or high-traffic routes (min "&amp;SG_Criteria!$B$49&amp;" m). ",""))&amp;IF(AND(W82&lt;&gt;"",W82&lt;SG_Criteria!$B$50),"FAIL: wind speed below "&amp;SG_Criteria!$B$50&amp;" m/s. ","")&amp;IF(AND(X82&lt;&gt;"",X82&lt;SG_Criteria!$B$51),"FAIL: roof fixing pull-out below "&amp;SG_Criteria!$B$51&amp;" kN. ","")&amp;IF(AND(Y82&lt;&gt;"",IFERROR(VALUE(MID(Y82,2,2)),0)&lt;SG_Criteria!$B$52),"FAIL: grade below C"&amp;SG_Criteria!$B$52&amp;". ","")&amp;IF(E82="Non-standard (project design)","NOTE: not an SDRE standard, needs LTA acceptance. ",""))=0,"OK",IF(AND(D82&lt;&gt;"High Covered Linkway",G82&lt;SG_Criteria!$B$46),"FAIL: headroom below "&amp;SG_Criteria!$B$46&amp;" m. ","")&amp;IF(AND(D82="High Covered Linkway",G82&lt;SG_Criteria!$B$47),"FAIL: high linkway headroom below "&amp;SG_Criteria!$B$47&amp;" m. ","")&amp;IF(F82&lt;SG_Criteria!$B$48,"FAIL: roof width below "&amp;SG_Criteria!$B$48&amp;" m. ",IF(F82&lt;SG_Criteria!$B$49,"NOTE: not for MRT/LRT or high-traffic routes (min "&amp;SG_Criteria!$B$49&amp;" m). ",""))&amp;IF(AND(W82&lt;&gt;"",W82&lt;SG_Criteria!$B$50),"FAIL: wind speed below "&amp;SG_Criteria!$B$50&amp;" m/s. ","")&amp;IF(AND(X82&lt;&gt;"",X82&lt;SG_Criteria!$B$51),"FAIL: roof fixing pull-out below "&amp;SG_Criteria!$B$51&amp;" kN. ","")&amp;IF(AND(Y82&lt;&gt;"",IFERROR(VALUE(MID(Y82,2,2)),0)&lt;SG_Criteria!$B$52),"FAIL: grade below C"&amp;SG_Criteria!$B$52&amp;". ","")&amp;IF(E82="Non-standard (project design)","NOTE: not an SDRE standard, needs LTA acceptance. ","")))</f>
        <v/>
      </c>
      <c r="BD82" s="9"/>
      <c r="BE82" s="9"/>
      <c r="BF82" s="9"/>
      <c r="BG82" s="10" t="str">
        <f aca="false">IF(BF82="","",IFERROR(VLOOKUP(BF82,Projects!$A$5:$D$504,2,0),"Ref not in Projects"))</f>
        <v/>
      </c>
      <c r="BH82" s="10" t="str">
        <f aca="false">IF(BF82="","",IFERROR(VLOOKUP(BF82,Projects!$A$5:$D$504,4,0),"Ref not in Projects"))</f>
        <v/>
      </c>
      <c r="BI82" s="9"/>
      <c r="BJ82" s="9"/>
      <c r="BK82" s="9"/>
      <c r="BL82" s="40"/>
      <c r="BM82" s="9"/>
      <c r="BN82" s="40"/>
      <c r="BO82" s="9"/>
      <c r="BP82" s="40"/>
      <c r="BQ82" s="9"/>
      <c r="BR82" s="9"/>
      <c r="BS82" s="9"/>
      <c r="BT82" s="40"/>
      <c r="BU82" s="40"/>
      <c r="BV82" s="36" t="str">
        <f aca="false">IF(BU82="","",EDATE(BU82,SG_Criteria!$B$54*12))</f>
        <v/>
      </c>
      <c r="BW82" s="33" t="str">
        <f aca="true">IF(A82="","",IF(BU82="","NOTE: not reviewed yet",IF(TODAY()&gt;BV82,"NOTE: review overdue","OK")))</f>
        <v/>
      </c>
      <c r="BX82" s="37" t="str">
        <f aca="false">IF(A82="","",ROUND((IF(LEN(D82)&gt;0,1,0)+IF(LEN(E82)&gt;0,1,0)+IF(LEN(F82)&gt;0,1,0)+IF(LEN(G82)&gt;0,1,0)+IF(LEN(H82)&gt;0,1,0)+IF(LEN(I82)&gt;0,1,0)+IF(LEN(J82)&gt;0,1,0)+IF(LEN(K82)&gt;0,1,0)+IF(LEN(N82)&gt;0,1,0)+IF(LEN(O82)&gt;0,1,0)+IF(LEN(W82)&gt;0,1,0)+IF(LEN(X82)&gt;0,1,0)+IF(LEN(Y82)&gt;0,1,0)+IF(LEN(AG82)&gt;0,1,0)+IF(LEN(AI82)&gt;0,1,0)+IF(LEN(AJ82)&gt;0,1,0)+IF(LEN(AK82)&gt;0,1,0)+IF(LEN(AL82)&gt;0,1,0)+IF(LEN(AU82)&gt;0,1,0)+IF(LEN(BF82)&gt;0,1,0)+IF(LEN(BS82)&gt;0,1,0))/21,2))</f>
        <v/>
      </c>
      <c r="BY82" s="10" t="str">
        <f aca="false">IF(D82="","",IF(AND(AJ82="Approved",ISERROR(SEARCH("FAIL",BC82))),"Y","N"))</f>
        <v/>
      </c>
      <c r="BZ82" s="10" t="str">
        <f aca="false">IF(D82="","",D82&amp;"|"&amp;F82&amp;"|"&amp;G82&amp;"|"&amp;BY82)</f>
        <v/>
      </c>
    </row>
    <row r="83" customFormat="false" ht="15" hidden="false" customHeight="false" outlineLevel="0" collapsed="false">
      <c r="A83" s="10" t="str">
        <f aca="false">IF(D83="","","LKW-"&amp;IFERROR(VLOOKUP(D83,Lists!$AQ$4:$AR$17,2,0),"??")&amp;"-W"&amp;TEXT(F83*1000,"0000")&amp;"-H"&amp;TEXT(G83*1000,"0000")&amp;"-B"&amp;TEXT(H83*1000,"0000")&amp;"-"&amp;AI83)</f>
        <v/>
      </c>
      <c r="B83" s="10" t="str">
        <f aca="false">IF(D83="","",D83&amp;", "&amp;F83&amp;" m wide, "&amp;G83&amp;" m headroom, "&amp;H83&amp;" m bays, "&amp;I83&amp;" ("&amp;E83&amp;")")</f>
        <v/>
      </c>
      <c r="C83" s="9"/>
      <c r="D83" s="9"/>
      <c r="E83" s="9"/>
      <c r="F83" s="42"/>
      <c r="G83" s="42"/>
      <c r="H83" s="42"/>
      <c r="I83" s="9"/>
      <c r="J83" s="9"/>
      <c r="K83" s="9"/>
      <c r="L83" s="9"/>
      <c r="M83" s="9"/>
      <c r="N83" s="9"/>
      <c r="O83" s="9"/>
      <c r="P83" s="9"/>
      <c r="Q83" s="9"/>
      <c r="R83" s="9"/>
      <c r="S83" s="42"/>
      <c r="T83" s="9"/>
      <c r="U83" s="9"/>
      <c r="V83" s="9"/>
      <c r="W83" s="38"/>
      <c r="X83" s="42"/>
      <c r="Y83" s="9"/>
      <c r="Z83" s="9"/>
      <c r="AA83" s="9"/>
      <c r="AB83" s="42"/>
      <c r="AC83" s="9"/>
      <c r="AD83" s="38"/>
      <c r="AE83" s="9"/>
      <c r="AF83" s="39"/>
      <c r="AG83" s="9"/>
      <c r="AH83" s="9"/>
      <c r="AI83" s="9"/>
      <c r="AJ83" s="9"/>
      <c r="AK83" s="9"/>
      <c r="AL83" s="9"/>
      <c r="AM83" s="9"/>
      <c r="AN83" s="10" t="str">
        <f aca="false">IF(A83="","",SG_Criteria!$B$6&amp;SG_Criteria!$B$12&amp;"\"&amp;A83&amp;"\")</f>
        <v/>
      </c>
      <c r="AO83" s="10" t="str">
        <f aca="false">IF(A83="","",A83&amp;"_CAD.dwg")</f>
        <v/>
      </c>
      <c r="AP83" s="10" t="str">
        <f aca="false">IF(A83="","",A83&amp;"_DWG.pdf")</f>
        <v/>
      </c>
      <c r="AQ83" s="10" t="str">
        <f aca="false">IF(A83="","",IF(AM83="Y",A83&amp;"_STAAD.std","n/a"))</f>
        <v/>
      </c>
      <c r="AR83" s="10" t="str">
        <f aca="false">IF(A83="","",A83&amp;"_CALC.xlsx")</f>
        <v/>
      </c>
      <c r="AS83" s="10" t="str">
        <f aca="false">IF(A83="","",A83&amp;"_CALC.pdf")</f>
        <v/>
      </c>
      <c r="AT83" s="9"/>
      <c r="AU83" s="9"/>
      <c r="AV83" s="39"/>
      <c r="AW83" s="39"/>
      <c r="AX83" s="39"/>
      <c r="AY83" s="39"/>
      <c r="AZ83" s="39"/>
      <c r="BA83" s="12" t="str">
        <f aca="false">IF(A83="","",IF(COUNTIF(Rebar_Schedule!$A$5:$A$2004,A83)=0,"",ROUND(SUMIF(Rebar_Schedule!$A$5:$A$2004,A83,Rebar_Schedule!$K$5:$K$2004),1)))</f>
        <v/>
      </c>
      <c r="BB83" s="33" t="str">
        <f aca="false">IF(A83="","",IF(BA83="","No rebar schedule yet",IF(ABS(BA83-N(AW83))/MAX(N(AW83),1)&gt;SG_Criteria!$B$55,"NOTE: register rebar differs from schedule by "&amp;TEXT(ABS(BA83-N(AW83))/MAX(N(AW83),1),"0%"),"OK")))</f>
        <v/>
      </c>
      <c r="BC83" s="33" t="str">
        <f aca="false">IF(D83="","",IF(LEN(IF(AND(D83&lt;&gt;"High Covered Linkway",G83&lt;SG_Criteria!$B$46),"FAIL: headroom below "&amp;SG_Criteria!$B$46&amp;" m. ","")&amp;IF(AND(D83="High Covered Linkway",G83&lt;SG_Criteria!$B$47),"FAIL: high linkway headroom below "&amp;SG_Criteria!$B$47&amp;" m. ","")&amp;IF(F83&lt;SG_Criteria!$B$48,"FAIL: roof width below "&amp;SG_Criteria!$B$48&amp;" m. ",IF(F83&lt;SG_Criteria!$B$49,"NOTE: not for MRT/LRT or high-traffic routes (min "&amp;SG_Criteria!$B$49&amp;" m). ",""))&amp;IF(AND(W83&lt;&gt;"",W83&lt;SG_Criteria!$B$50),"FAIL: wind speed below "&amp;SG_Criteria!$B$50&amp;" m/s. ","")&amp;IF(AND(X83&lt;&gt;"",X83&lt;SG_Criteria!$B$51),"FAIL: roof fixing pull-out below "&amp;SG_Criteria!$B$51&amp;" kN. ","")&amp;IF(AND(Y83&lt;&gt;"",IFERROR(VALUE(MID(Y83,2,2)),0)&lt;SG_Criteria!$B$52),"FAIL: grade below C"&amp;SG_Criteria!$B$52&amp;". ","")&amp;IF(E83="Non-standard (project design)","NOTE: not an SDRE standard, needs LTA acceptance. ",""))=0,"OK",IF(AND(D83&lt;&gt;"High Covered Linkway",G83&lt;SG_Criteria!$B$46),"FAIL: headroom below "&amp;SG_Criteria!$B$46&amp;" m. ","")&amp;IF(AND(D83="High Covered Linkway",G83&lt;SG_Criteria!$B$47),"FAIL: high linkway headroom below "&amp;SG_Criteria!$B$47&amp;" m. ","")&amp;IF(F83&lt;SG_Criteria!$B$48,"FAIL: roof width below "&amp;SG_Criteria!$B$48&amp;" m. ",IF(F83&lt;SG_Criteria!$B$49,"NOTE: not for MRT/LRT or high-traffic routes (min "&amp;SG_Criteria!$B$49&amp;" m). ",""))&amp;IF(AND(W83&lt;&gt;"",W83&lt;SG_Criteria!$B$50),"FAIL: wind speed below "&amp;SG_Criteria!$B$50&amp;" m/s. ","")&amp;IF(AND(X83&lt;&gt;"",X83&lt;SG_Criteria!$B$51),"FAIL: roof fixing pull-out below "&amp;SG_Criteria!$B$51&amp;" kN. ","")&amp;IF(AND(Y83&lt;&gt;"",IFERROR(VALUE(MID(Y83,2,2)),0)&lt;SG_Criteria!$B$52),"FAIL: grade below C"&amp;SG_Criteria!$B$52&amp;". ","")&amp;IF(E83="Non-standard (project design)","NOTE: not an SDRE standard, needs LTA acceptance. ","")))</f>
        <v/>
      </c>
      <c r="BD83" s="9"/>
      <c r="BE83" s="9"/>
      <c r="BF83" s="9"/>
      <c r="BG83" s="10" t="str">
        <f aca="false">IF(BF83="","",IFERROR(VLOOKUP(BF83,Projects!$A$5:$D$504,2,0),"Ref not in Projects"))</f>
        <v/>
      </c>
      <c r="BH83" s="10" t="str">
        <f aca="false">IF(BF83="","",IFERROR(VLOOKUP(BF83,Projects!$A$5:$D$504,4,0),"Ref not in Projects"))</f>
        <v/>
      </c>
      <c r="BI83" s="9"/>
      <c r="BJ83" s="9"/>
      <c r="BK83" s="9"/>
      <c r="BL83" s="40"/>
      <c r="BM83" s="9"/>
      <c r="BN83" s="40"/>
      <c r="BO83" s="9"/>
      <c r="BP83" s="40"/>
      <c r="BQ83" s="9"/>
      <c r="BR83" s="9"/>
      <c r="BS83" s="9"/>
      <c r="BT83" s="40"/>
      <c r="BU83" s="40"/>
      <c r="BV83" s="36" t="str">
        <f aca="false">IF(BU83="","",EDATE(BU83,SG_Criteria!$B$54*12))</f>
        <v/>
      </c>
      <c r="BW83" s="33" t="str">
        <f aca="true">IF(A83="","",IF(BU83="","NOTE: not reviewed yet",IF(TODAY()&gt;BV83,"NOTE: review overdue","OK")))</f>
        <v/>
      </c>
      <c r="BX83" s="37" t="str">
        <f aca="false">IF(A83="","",ROUND((IF(LEN(D83)&gt;0,1,0)+IF(LEN(E83)&gt;0,1,0)+IF(LEN(F83)&gt;0,1,0)+IF(LEN(G83)&gt;0,1,0)+IF(LEN(H83)&gt;0,1,0)+IF(LEN(I83)&gt;0,1,0)+IF(LEN(J83)&gt;0,1,0)+IF(LEN(K83)&gt;0,1,0)+IF(LEN(N83)&gt;0,1,0)+IF(LEN(O83)&gt;0,1,0)+IF(LEN(W83)&gt;0,1,0)+IF(LEN(X83)&gt;0,1,0)+IF(LEN(Y83)&gt;0,1,0)+IF(LEN(AG83)&gt;0,1,0)+IF(LEN(AI83)&gt;0,1,0)+IF(LEN(AJ83)&gt;0,1,0)+IF(LEN(AK83)&gt;0,1,0)+IF(LEN(AL83)&gt;0,1,0)+IF(LEN(AU83)&gt;0,1,0)+IF(LEN(BF83)&gt;0,1,0)+IF(LEN(BS83)&gt;0,1,0))/21,2))</f>
        <v/>
      </c>
      <c r="BY83" s="10" t="str">
        <f aca="false">IF(D83="","",IF(AND(AJ83="Approved",ISERROR(SEARCH("FAIL",BC83))),"Y","N"))</f>
        <v/>
      </c>
      <c r="BZ83" s="10" t="str">
        <f aca="false">IF(D83="","",D83&amp;"|"&amp;F83&amp;"|"&amp;G83&amp;"|"&amp;BY83)</f>
        <v/>
      </c>
    </row>
    <row r="84" customFormat="false" ht="15" hidden="false" customHeight="false" outlineLevel="0" collapsed="false">
      <c r="A84" s="10" t="str">
        <f aca="false">IF(D84="","","LKW-"&amp;IFERROR(VLOOKUP(D84,Lists!$AQ$4:$AR$17,2,0),"??")&amp;"-W"&amp;TEXT(F84*1000,"0000")&amp;"-H"&amp;TEXT(G84*1000,"0000")&amp;"-B"&amp;TEXT(H84*1000,"0000")&amp;"-"&amp;AI84)</f>
        <v/>
      </c>
      <c r="B84" s="10" t="str">
        <f aca="false">IF(D84="","",D84&amp;", "&amp;F84&amp;" m wide, "&amp;G84&amp;" m headroom, "&amp;H84&amp;" m bays, "&amp;I84&amp;" ("&amp;E84&amp;")")</f>
        <v/>
      </c>
      <c r="C84" s="9"/>
      <c r="D84" s="9"/>
      <c r="E84" s="9"/>
      <c r="F84" s="42"/>
      <c r="G84" s="42"/>
      <c r="H84" s="42"/>
      <c r="I84" s="9"/>
      <c r="J84" s="9"/>
      <c r="K84" s="9"/>
      <c r="L84" s="9"/>
      <c r="M84" s="9"/>
      <c r="N84" s="9"/>
      <c r="O84" s="9"/>
      <c r="P84" s="9"/>
      <c r="Q84" s="9"/>
      <c r="R84" s="9"/>
      <c r="S84" s="42"/>
      <c r="T84" s="9"/>
      <c r="U84" s="9"/>
      <c r="V84" s="9"/>
      <c r="W84" s="38"/>
      <c r="X84" s="42"/>
      <c r="Y84" s="9"/>
      <c r="Z84" s="9"/>
      <c r="AA84" s="9"/>
      <c r="AB84" s="42"/>
      <c r="AC84" s="9"/>
      <c r="AD84" s="38"/>
      <c r="AE84" s="9"/>
      <c r="AF84" s="39"/>
      <c r="AG84" s="9"/>
      <c r="AH84" s="9"/>
      <c r="AI84" s="9"/>
      <c r="AJ84" s="9"/>
      <c r="AK84" s="9"/>
      <c r="AL84" s="9"/>
      <c r="AM84" s="9"/>
      <c r="AN84" s="10" t="str">
        <f aca="false">IF(A84="","",SG_Criteria!$B$6&amp;SG_Criteria!$B$12&amp;"\"&amp;A84&amp;"\")</f>
        <v/>
      </c>
      <c r="AO84" s="10" t="str">
        <f aca="false">IF(A84="","",A84&amp;"_CAD.dwg")</f>
        <v/>
      </c>
      <c r="AP84" s="10" t="str">
        <f aca="false">IF(A84="","",A84&amp;"_DWG.pdf")</f>
        <v/>
      </c>
      <c r="AQ84" s="10" t="str">
        <f aca="false">IF(A84="","",IF(AM84="Y",A84&amp;"_STAAD.std","n/a"))</f>
        <v/>
      </c>
      <c r="AR84" s="10" t="str">
        <f aca="false">IF(A84="","",A84&amp;"_CALC.xlsx")</f>
        <v/>
      </c>
      <c r="AS84" s="10" t="str">
        <f aca="false">IF(A84="","",A84&amp;"_CALC.pdf")</f>
        <v/>
      </c>
      <c r="AT84" s="9"/>
      <c r="AU84" s="9"/>
      <c r="AV84" s="39"/>
      <c r="AW84" s="39"/>
      <c r="AX84" s="39"/>
      <c r="AY84" s="39"/>
      <c r="AZ84" s="39"/>
      <c r="BA84" s="12" t="str">
        <f aca="false">IF(A84="","",IF(COUNTIF(Rebar_Schedule!$A$5:$A$2004,A84)=0,"",ROUND(SUMIF(Rebar_Schedule!$A$5:$A$2004,A84,Rebar_Schedule!$K$5:$K$2004),1)))</f>
        <v/>
      </c>
      <c r="BB84" s="33" t="str">
        <f aca="false">IF(A84="","",IF(BA84="","No rebar schedule yet",IF(ABS(BA84-N(AW84))/MAX(N(AW84),1)&gt;SG_Criteria!$B$55,"NOTE: register rebar differs from schedule by "&amp;TEXT(ABS(BA84-N(AW84))/MAX(N(AW84),1),"0%"),"OK")))</f>
        <v/>
      </c>
      <c r="BC84" s="33" t="str">
        <f aca="false">IF(D84="","",IF(LEN(IF(AND(D84&lt;&gt;"High Covered Linkway",G84&lt;SG_Criteria!$B$46),"FAIL: headroom below "&amp;SG_Criteria!$B$46&amp;" m. ","")&amp;IF(AND(D84="High Covered Linkway",G84&lt;SG_Criteria!$B$47),"FAIL: high linkway headroom below "&amp;SG_Criteria!$B$47&amp;" m. ","")&amp;IF(F84&lt;SG_Criteria!$B$48,"FAIL: roof width below "&amp;SG_Criteria!$B$48&amp;" m. ",IF(F84&lt;SG_Criteria!$B$49,"NOTE: not for MRT/LRT or high-traffic routes (min "&amp;SG_Criteria!$B$49&amp;" m). ",""))&amp;IF(AND(W84&lt;&gt;"",W84&lt;SG_Criteria!$B$50),"FAIL: wind speed below "&amp;SG_Criteria!$B$50&amp;" m/s. ","")&amp;IF(AND(X84&lt;&gt;"",X84&lt;SG_Criteria!$B$51),"FAIL: roof fixing pull-out below "&amp;SG_Criteria!$B$51&amp;" kN. ","")&amp;IF(AND(Y84&lt;&gt;"",IFERROR(VALUE(MID(Y84,2,2)),0)&lt;SG_Criteria!$B$52),"FAIL: grade below C"&amp;SG_Criteria!$B$52&amp;". ","")&amp;IF(E84="Non-standard (project design)","NOTE: not an SDRE standard, needs LTA acceptance. ",""))=0,"OK",IF(AND(D84&lt;&gt;"High Covered Linkway",G84&lt;SG_Criteria!$B$46),"FAIL: headroom below "&amp;SG_Criteria!$B$46&amp;" m. ","")&amp;IF(AND(D84="High Covered Linkway",G84&lt;SG_Criteria!$B$47),"FAIL: high linkway headroom below "&amp;SG_Criteria!$B$47&amp;" m. ","")&amp;IF(F84&lt;SG_Criteria!$B$48,"FAIL: roof width below "&amp;SG_Criteria!$B$48&amp;" m. ",IF(F84&lt;SG_Criteria!$B$49,"NOTE: not for MRT/LRT or high-traffic routes (min "&amp;SG_Criteria!$B$49&amp;" m). ",""))&amp;IF(AND(W84&lt;&gt;"",W84&lt;SG_Criteria!$B$50),"FAIL: wind speed below "&amp;SG_Criteria!$B$50&amp;" m/s. ","")&amp;IF(AND(X84&lt;&gt;"",X84&lt;SG_Criteria!$B$51),"FAIL: roof fixing pull-out below "&amp;SG_Criteria!$B$51&amp;" kN. ","")&amp;IF(AND(Y84&lt;&gt;"",IFERROR(VALUE(MID(Y84,2,2)),0)&lt;SG_Criteria!$B$52),"FAIL: grade below C"&amp;SG_Criteria!$B$52&amp;". ","")&amp;IF(E84="Non-standard (project design)","NOTE: not an SDRE standard, needs LTA acceptance. ","")))</f>
        <v/>
      </c>
      <c r="BD84" s="9"/>
      <c r="BE84" s="9"/>
      <c r="BF84" s="9"/>
      <c r="BG84" s="10" t="str">
        <f aca="false">IF(BF84="","",IFERROR(VLOOKUP(BF84,Projects!$A$5:$D$504,2,0),"Ref not in Projects"))</f>
        <v/>
      </c>
      <c r="BH84" s="10" t="str">
        <f aca="false">IF(BF84="","",IFERROR(VLOOKUP(BF84,Projects!$A$5:$D$504,4,0),"Ref not in Projects"))</f>
        <v/>
      </c>
      <c r="BI84" s="9"/>
      <c r="BJ84" s="9"/>
      <c r="BK84" s="9"/>
      <c r="BL84" s="40"/>
      <c r="BM84" s="9"/>
      <c r="BN84" s="40"/>
      <c r="BO84" s="9"/>
      <c r="BP84" s="40"/>
      <c r="BQ84" s="9"/>
      <c r="BR84" s="9"/>
      <c r="BS84" s="9"/>
      <c r="BT84" s="40"/>
      <c r="BU84" s="40"/>
      <c r="BV84" s="36" t="str">
        <f aca="false">IF(BU84="","",EDATE(BU84,SG_Criteria!$B$54*12))</f>
        <v/>
      </c>
      <c r="BW84" s="33" t="str">
        <f aca="true">IF(A84="","",IF(BU84="","NOTE: not reviewed yet",IF(TODAY()&gt;BV84,"NOTE: review overdue","OK")))</f>
        <v/>
      </c>
      <c r="BX84" s="37" t="str">
        <f aca="false">IF(A84="","",ROUND((IF(LEN(D84)&gt;0,1,0)+IF(LEN(E84)&gt;0,1,0)+IF(LEN(F84)&gt;0,1,0)+IF(LEN(G84)&gt;0,1,0)+IF(LEN(H84)&gt;0,1,0)+IF(LEN(I84)&gt;0,1,0)+IF(LEN(J84)&gt;0,1,0)+IF(LEN(K84)&gt;0,1,0)+IF(LEN(N84)&gt;0,1,0)+IF(LEN(O84)&gt;0,1,0)+IF(LEN(W84)&gt;0,1,0)+IF(LEN(X84)&gt;0,1,0)+IF(LEN(Y84)&gt;0,1,0)+IF(LEN(AG84)&gt;0,1,0)+IF(LEN(AI84)&gt;0,1,0)+IF(LEN(AJ84)&gt;0,1,0)+IF(LEN(AK84)&gt;0,1,0)+IF(LEN(AL84)&gt;0,1,0)+IF(LEN(AU84)&gt;0,1,0)+IF(LEN(BF84)&gt;0,1,0)+IF(LEN(BS84)&gt;0,1,0))/21,2))</f>
        <v/>
      </c>
      <c r="BY84" s="10" t="str">
        <f aca="false">IF(D84="","",IF(AND(AJ84="Approved",ISERROR(SEARCH("FAIL",BC84))),"Y","N"))</f>
        <v/>
      </c>
      <c r="BZ84" s="10" t="str">
        <f aca="false">IF(D84="","",D84&amp;"|"&amp;F84&amp;"|"&amp;G84&amp;"|"&amp;BY84)</f>
        <v/>
      </c>
    </row>
    <row r="85" customFormat="false" ht="15" hidden="false" customHeight="false" outlineLevel="0" collapsed="false">
      <c r="A85" s="10" t="str">
        <f aca="false">IF(D85="","","LKW-"&amp;IFERROR(VLOOKUP(D85,Lists!$AQ$4:$AR$17,2,0),"??")&amp;"-W"&amp;TEXT(F85*1000,"0000")&amp;"-H"&amp;TEXT(G85*1000,"0000")&amp;"-B"&amp;TEXT(H85*1000,"0000")&amp;"-"&amp;AI85)</f>
        <v/>
      </c>
      <c r="B85" s="10" t="str">
        <f aca="false">IF(D85="","",D85&amp;", "&amp;F85&amp;" m wide, "&amp;G85&amp;" m headroom, "&amp;H85&amp;" m bays, "&amp;I85&amp;" ("&amp;E85&amp;")")</f>
        <v/>
      </c>
      <c r="C85" s="9"/>
      <c r="D85" s="9"/>
      <c r="E85" s="9"/>
      <c r="F85" s="42"/>
      <c r="G85" s="42"/>
      <c r="H85" s="42"/>
      <c r="I85" s="9"/>
      <c r="J85" s="9"/>
      <c r="K85" s="9"/>
      <c r="L85" s="9"/>
      <c r="M85" s="9"/>
      <c r="N85" s="9"/>
      <c r="O85" s="9"/>
      <c r="P85" s="9"/>
      <c r="Q85" s="9"/>
      <c r="R85" s="9"/>
      <c r="S85" s="42"/>
      <c r="T85" s="9"/>
      <c r="U85" s="9"/>
      <c r="V85" s="9"/>
      <c r="W85" s="38"/>
      <c r="X85" s="42"/>
      <c r="Y85" s="9"/>
      <c r="Z85" s="9"/>
      <c r="AA85" s="9"/>
      <c r="AB85" s="42"/>
      <c r="AC85" s="9"/>
      <c r="AD85" s="38"/>
      <c r="AE85" s="9"/>
      <c r="AF85" s="39"/>
      <c r="AG85" s="9"/>
      <c r="AH85" s="9"/>
      <c r="AI85" s="9"/>
      <c r="AJ85" s="9"/>
      <c r="AK85" s="9"/>
      <c r="AL85" s="9"/>
      <c r="AM85" s="9"/>
      <c r="AN85" s="10" t="str">
        <f aca="false">IF(A85="","",SG_Criteria!$B$6&amp;SG_Criteria!$B$12&amp;"\"&amp;A85&amp;"\")</f>
        <v/>
      </c>
      <c r="AO85" s="10" t="str">
        <f aca="false">IF(A85="","",A85&amp;"_CAD.dwg")</f>
        <v/>
      </c>
      <c r="AP85" s="10" t="str">
        <f aca="false">IF(A85="","",A85&amp;"_DWG.pdf")</f>
        <v/>
      </c>
      <c r="AQ85" s="10" t="str">
        <f aca="false">IF(A85="","",IF(AM85="Y",A85&amp;"_STAAD.std","n/a"))</f>
        <v/>
      </c>
      <c r="AR85" s="10" t="str">
        <f aca="false">IF(A85="","",A85&amp;"_CALC.xlsx")</f>
        <v/>
      </c>
      <c r="AS85" s="10" t="str">
        <f aca="false">IF(A85="","",A85&amp;"_CALC.pdf")</f>
        <v/>
      </c>
      <c r="AT85" s="9"/>
      <c r="AU85" s="9"/>
      <c r="AV85" s="39"/>
      <c r="AW85" s="39"/>
      <c r="AX85" s="39"/>
      <c r="AY85" s="39"/>
      <c r="AZ85" s="39"/>
      <c r="BA85" s="12" t="str">
        <f aca="false">IF(A85="","",IF(COUNTIF(Rebar_Schedule!$A$5:$A$2004,A85)=0,"",ROUND(SUMIF(Rebar_Schedule!$A$5:$A$2004,A85,Rebar_Schedule!$K$5:$K$2004),1)))</f>
        <v/>
      </c>
      <c r="BB85" s="33" t="str">
        <f aca="false">IF(A85="","",IF(BA85="","No rebar schedule yet",IF(ABS(BA85-N(AW85))/MAX(N(AW85),1)&gt;SG_Criteria!$B$55,"NOTE: register rebar differs from schedule by "&amp;TEXT(ABS(BA85-N(AW85))/MAX(N(AW85),1),"0%"),"OK")))</f>
        <v/>
      </c>
      <c r="BC85" s="33" t="str">
        <f aca="false">IF(D85="","",IF(LEN(IF(AND(D85&lt;&gt;"High Covered Linkway",G85&lt;SG_Criteria!$B$46),"FAIL: headroom below "&amp;SG_Criteria!$B$46&amp;" m. ","")&amp;IF(AND(D85="High Covered Linkway",G85&lt;SG_Criteria!$B$47),"FAIL: high linkway headroom below "&amp;SG_Criteria!$B$47&amp;" m. ","")&amp;IF(F85&lt;SG_Criteria!$B$48,"FAIL: roof width below "&amp;SG_Criteria!$B$48&amp;" m. ",IF(F85&lt;SG_Criteria!$B$49,"NOTE: not for MRT/LRT or high-traffic routes (min "&amp;SG_Criteria!$B$49&amp;" m). ",""))&amp;IF(AND(W85&lt;&gt;"",W85&lt;SG_Criteria!$B$50),"FAIL: wind speed below "&amp;SG_Criteria!$B$50&amp;" m/s. ","")&amp;IF(AND(X85&lt;&gt;"",X85&lt;SG_Criteria!$B$51),"FAIL: roof fixing pull-out below "&amp;SG_Criteria!$B$51&amp;" kN. ","")&amp;IF(AND(Y85&lt;&gt;"",IFERROR(VALUE(MID(Y85,2,2)),0)&lt;SG_Criteria!$B$52),"FAIL: grade below C"&amp;SG_Criteria!$B$52&amp;". ","")&amp;IF(E85="Non-standard (project design)","NOTE: not an SDRE standard, needs LTA acceptance. ",""))=0,"OK",IF(AND(D85&lt;&gt;"High Covered Linkway",G85&lt;SG_Criteria!$B$46),"FAIL: headroom below "&amp;SG_Criteria!$B$46&amp;" m. ","")&amp;IF(AND(D85="High Covered Linkway",G85&lt;SG_Criteria!$B$47),"FAIL: high linkway headroom below "&amp;SG_Criteria!$B$47&amp;" m. ","")&amp;IF(F85&lt;SG_Criteria!$B$48,"FAIL: roof width below "&amp;SG_Criteria!$B$48&amp;" m. ",IF(F85&lt;SG_Criteria!$B$49,"NOTE: not for MRT/LRT or high-traffic routes (min "&amp;SG_Criteria!$B$49&amp;" m). ",""))&amp;IF(AND(W85&lt;&gt;"",W85&lt;SG_Criteria!$B$50),"FAIL: wind speed below "&amp;SG_Criteria!$B$50&amp;" m/s. ","")&amp;IF(AND(X85&lt;&gt;"",X85&lt;SG_Criteria!$B$51),"FAIL: roof fixing pull-out below "&amp;SG_Criteria!$B$51&amp;" kN. ","")&amp;IF(AND(Y85&lt;&gt;"",IFERROR(VALUE(MID(Y85,2,2)),0)&lt;SG_Criteria!$B$52),"FAIL: grade below C"&amp;SG_Criteria!$B$52&amp;". ","")&amp;IF(E85="Non-standard (project design)","NOTE: not an SDRE standard, needs LTA acceptance. ","")))</f>
        <v/>
      </c>
      <c r="BD85" s="9"/>
      <c r="BE85" s="9"/>
      <c r="BF85" s="9"/>
      <c r="BG85" s="10" t="str">
        <f aca="false">IF(BF85="","",IFERROR(VLOOKUP(BF85,Projects!$A$5:$D$504,2,0),"Ref not in Projects"))</f>
        <v/>
      </c>
      <c r="BH85" s="10" t="str">
        <f aca="false">IF(BF85="","",IFERROR(VLOOKUP(BF85,Projects!$A$5:$D$504,4,0),"Ref not in Projects"))</f>
        <v/>
      </c>
      <c r="BI85" s="9"/>
      <c r="BJ85" s="9"/>
      <c r="BK85" s="9"/>
      <c r="BL85" s="40"/>
      <c r="BM85" s="9"/>
      <c r="BN85" s="40"/>
      <c r="BO85" s="9"/>
      <c r="BP85" s="40"/>
      <c r="BQ85" s="9"/>
      <c r="BR85" s="9"/>
      <c r="BS85" s="9"/>
      <c r="BT85" s="40"/>
      <c r="BU85" s="40"/>
      <c r="BV85" s="36" t="str">
        <f aca="false">IF(BU85="","",EDATE(BU85,SG_Criteria!$B$54*12))</f>
        <v/>
      </c>
      <c r="BW85" s="33" t="str">
        <f aca="true">IF(A85="","",IF(BU85="","NOTE: not reviewed yet",IF(TODAY()&gt;BV85,"NOTE: review overdue","OK")))</f>
        <v/>
      </c>
      <c r="BX85" s="37" t="str">
        <f aca="false">IF(A85="","",ROUND((IF(LEN(D85)&gt;0,1,0)+IF(LEN(E85)&gt;0,1,0)+IF(LEN(F85)&gt;0,1,0)+IF(LEN(G85)&gt;0,1,0)+IF(LEN(H85)&gt;0,1,0)+IF(LEN(I85)&gt;0,1,0)+IF(LEN(J85)&gt;0,1,0)+IF(LEN(K85)&gt;0,1,0)+IF(LEN(N85)&gt;0,1,0)+IF(LEN(O85)&gt;0,1,0)+IF(LEN(W85)&gt;0,1,0)+IF(LEN(X85)&gt;0,1,0)+IF(LEN(Y85)&gt;0,1,0)+IF(LEN(AG85)&gt;0,1,0)+IF(LEN(AI85)&gt;0,1,0)+IF(LEN(AJ85)&gt;0,1,0)+IF(LEN(AK85)&gt;0,1,0)+IF(LEN(AL85)&gt;0,1,0)+IF(LEN(AU85)&gt;0,1,0)+IF(LEN(BF85)&gt;0,1,0)+IF(LEN(BS85)&gt;0,1,0))/21,2))</f>
        <v/>
      </c>
      <c r="BY85" s="10" t="str">
        <f aca="false">IF(D85="","",IF(AND(AJ85="Approved",ISERROR(SEARCH("FAIL",BC85))),"Y","N"))</f>
        <v/>
      </c>
      <c r="BZ85" s="10" t="str">
        <f aca="false">IF(D85="","",D85&amp;"|"&amp;F85&amp;"|"&amp;G85&amp;"|"&amp;BY85)</f>
        <v/>
      </c>
    </row>
    <row r="86" customFormat="false" ht="15" hidden="false" customHeight="false" outlineLevel="0" collapsed="false">
      <c r="A86" s="10" t="str">
        <f aca="false">IF(D86="","","LKW-"&amp;IFERROR(VLOOKUP(D86,Lists!$AQ$4:$AR$17,2,0),"??")&amp;"-W"&amp;TEXT(F86*1000,"0000")&amp;"-H"&amp;TEXT(G86*1000,"0000")&amp;"-B"&amp;TEXT(H86*1000,"0000")&amp;"-"&amp;AI86)</f>
        <v/>
      </c>
      <c r="B86" s="10" t="str">
        <f aca="false">IF(D86="","",D86&amp;", "&amp;F86&amp;" m wide, "&amp;G86&amp;" m headroom, "&amp;H86&amp;" m bays, "&amp;I86&amp;" ("&amp;E86&amp;")")</f>
        <v/>
      </c>
      <c r="C86" s="9"/>
      <c r="D86" s="9"/>
      <c r="E86" s="9"/>
      <c r="F86" s="42"/>
      <c r="G86" s="42"/>
      <c r="H86" s="42"/>
      <c r="I86" s="9"/>
      <c r="J86" s="9"/>
      <c r="K86" s="9"/>
      <c r="L86" s="9"/>
      <c r="M86" s="9"/>
      <c r="N86" s="9"/>
      <c r="O86" s="9"/>
      <c r="P86" s="9"/>
      <c r="Q86" s="9"/>
      <c r="R86" s="9"/>
      <c r="S86" s="42"/>
      <c r="T86" s="9"/>
      <c r="U86" s="9"/>
      <c r="V86" s="9"/>
      <c r="W86" s="38"/>
      <c r="X86" s="42"/>
      <c r="Y86" s="9"/>
      <c r="Z86" s="9"/>
      <c r="AA86" s="9"/>
      <c r="AB86" s="42"/>
      <c r="AC86" s="9"/>
      <c r="AD86" s="38"/>
      <c r="AE86" s="9"/>
      <c r="AF86" s="39"/>
      <c r="AG86" s="9"/>
      <c r="AH86" s="9"/>
      <c r="AI86" s="9"/>
      <c r="AJ86" s="9"/>
      <c r="AK86" s="9"/>
      <c r="AL86" s="9"/>
      <c r="AM86" s="9"/>
      <c r="AN86" s="10" t="str">
        <f aca="false">IF(A86="","",SG_Criteria!$B$6&amp;SG_Criteria!$B$12&amp;"\"&amp;A86&amp;"\")</f>
        <v/>
      </c>
      <c r="AO86" s="10" t="str">
        <f aca="false">IF(A86="","",A86&amp;"_CAD.dwg")</f>
        <v/>
      </c>
      <c r="AP86" s="10" t="str">
        <f aca="false">IF(A86="","",A86&amp;"_DWG.pdf")</f>
        <v/>
      </c>
      <c r="AQ86" s="10" t="str">
        <f aca="false">IF(A86="","",IF(AM86="Y",A86&amp;"_STAAD.std","n/a"))</f>
        <v/>
      </c>
      <c r="AR86" s="10" t="str">
        <f aca="false">IF(A86="","",A86&amp;"_CALC.xlsx")</f>
        <v/>
      </c>
      <c r="AS86" s="10" t="str">
        <f aca="false">IF(A86="","",A86&amp;"_CALC.pdf")</f>
        <v/>
      </c>
      <c r="AT86" s="9"/>
      <c r="AU86" s="9"/>
      <c r="AV86" s="39"/>
      <c r="AW86" s="39"/>
      <c r="AX86" s="39"/>
      <c r="AY86" s="39"/>
      <c r="AZ86" s="39"/>
      <c r="BA86" s="12" t="str">
        <f aca="false">IF(A86="","",IF(COUNTIF(Rebar_Schedule!$A$5:$A$2004,A86)=0,"",ROUND(SUMIF(Rebar_Schedule!$A$5:$A$2004,A86,Rebar_Schedule!$K$5:$K$2004),1)))</f>
        <v/>
      </c>
      <c r="BB86" s="33" t="str">
        <f aca="false">IF(A86="","",IF(BA86="","No rebar schedule yet",IF(ABS(BA86-N(AW86))/MAX(N(AW86),1)&gt;SG_Criteria!$B$55,"NOTE: register rebar differs from schedule by "&amp;TEXT(ABS(BA86-N(AW86))/MAX(N(AW86),1),"0%"),"OK")))</f>
        <v/>
      </c>
      <c r="BC86" s="33" t="str">
        <f aca="false">IF(D86="","",IF(LEN(IF(AND(D86&lt;&gt;"High Covered Linkway",G86&lt;SG_Criteria!$B$46),"FAIL: headroom below "&amp;SG_Criteria!$B$46&amp;" m. ","")&amp;IF(AND(D86="High Covered Linkway",G86&lt;SG_Criteria!$B$47),"FAIL: high linkway headroom below "&amp;SG_Criteria!$B$47&amp;" m. ","")&amp;IF(F86&lt;SG_Criteria!$B$48,"FAIL: roof width below "&amp;SG_Criteria!$B$48&amp;" m. ",IF(F86&lt;SG_Criteria!$B$49,"NOTE: not for MRT/LRT or high-traffic routes (min "&amp;SG_Criteria!$B$49&amp;" m). ",""))&amp;IF(AND(W86&lt;&gt;"",W86&lt;SG_Criteria!$B$50),"FAIL: wind speed below "&amp;SG_Criteria!$B$50&amp;" m/s. ","")&amp;IF(AND(X86&lt;&gt;"",X86&lt;SG_Criteria!$B$51),"FAIL: roof fixing pull-out below "&amp;SG_Criteria!$B$51&amp;" kN. ","")&amp;IF(AND(Y86&lt;&gt;"",IFERROR(VALUE(MID(Y86,2,2)),0)&lt;SG_Criteria!$B$52),"FAIL: grade below C"&amp;SG_Criteria!$B$52&amp;". ","")&amp;IF(E86="Non-standard (project design)","NOTE: not an SDRE standard, needs LTA acceptance. ",""))=0,"OK",IF(AND(D86&lt;&gt;"High Covered Linkway",G86&lt;SG_Criteria!$B$46),"FAIL: headroom below "&amp;SG_Criteria!$B$46&amp;" m. ","")&amp;IF(AND(D86="High Covered Linkway",G86&lt;SG_Criteria!$B$47),"FAIL: high linkway headroom below "&amp;SG_Criteria!$B$47&amp;" m. ","")&amp;IF(F86&lt;SG_Criteria!$B$48,"FAIL: roof width below "&amp;SG_Criteria!$B$48&amp;" m. ",IF(F86&lt;SG_Criteria!$B$49,"NOTE: not for MRT/LRT or high-traffic routes (min "&amp;SG_Criteria!$B$49&amp;" m). ",""))&amp;IF(AND(W86&lt;&gt;"",W86&lt;SG_Criteria!$B$50),"FAIL: wind speed below "&amp;SG_Criteria!$B$50&amp;" m/s. ","")&amp;IF(AND(X86&lt;&gt;"",X86&lt;SG_Criteria!$B$51),"FAIL: roof fixing pull-out below "&amp;SG_Criteria!$B$51&amp;" kN. ","")&amp;IF(AND(Y86&lt;&gt;"",IFERROR(VALUE(MID(Y86,2,2)),0)&lt;SG_Criteria!$B$52),"FAIL: grade below C"&amp;SG_Criteria!$B$52&amp;". ","")&amp;IF(E86="Non-standard (project design)","NOTE: not an SDRE standard, needs LTA acceptance. ","")))</f>
        <v/>
      </c>
      <c r="BD86" s="9"/>
      <c r="BE86" s="9"/>
      <c r="BF86" s="9"/>
      <c r="BG86" s="10" t="str">
        <f aca="false">IF(BF86="","",IFERROR(VLOOKUP(BF86,Projects!$A$5:$D$504,2,0),"Ref not in Projects"))</f>
        <v/>
      </c>
      <c r="BH86" s="10" t="str">
        <f aca="false">IF(BF86="","",IFERROR(VLOOKUP(BF86,Projects!$A$5:$D$504,4,0),"Ref not in Projects"))</f>
        <v/>
      </c>
      <c r="BI86" s="9"/>
      <c r="BJ86" s="9"/>
      <c r="BK86" s="9"/>
      <c r="BL86" s="40"/>
      <c r="BM86" s="9"/>
      <c r="BN86" s="40"/>
      <c r="BO86" s="9"/>
      <c r="BP86" s="40"/>
      <c r="BQ86" s="9"/>
      <c r="BR86" s="9"/>
      <c r="BS86" s="9"/>
      <c r="BT86" s="40"/>
      <c r="BU86" s="40"/>
      <c r="BV86" s="36" t="str">
        <f aca="false">IF(BU86="","",EDATE(BU86,SG_Criteria!$B$54*12))</f>
        <v/>
      </c>
      <c r="BW86" s="33" t="str">
        <f aca="true">IF(A86="","",IF(BU86="","NOTE: not reviewed yet",IF(TODAY()&gt;BV86,"NOTE: review overdue","OK")))</f>
        <v/>
      </c>
      <c r="BX86" s="37" t="str">
        <f aca="false">IF(A86="","",ROUND((IF(LEN(D86)&gt;0,1,0)+IF(LEN(E86)&gt;0,1,0)+IF(LEN(F86)&gt;0,1,0)+IF(LEN(G86)&gt;0,1,0)+IF(LEN(H86)&gt;0,1,0)+IF(LEN(I86)&gt;0,1,0)+IF(LEN(J86)&gt;0,1,0)+IF(LEN(K86)&gt;0,1,0)+IF(LEN(N86)&gt;0,1,0)+IF(LEN(O86)&gt;0,1,0)+IF(LEN(W86)&gt;0,1,0)+IF(LEN(X86)&gt;0,1,0)+IF(LEN(Y86)&gt;0,1,0)+IF(LEN(AG86)&gt;0,1,0)+IF(LEN(AI86)&gt;0,1,0)+IF(LEN(AJ86)&gt;0,1,0)+IF(LEN(AK86)&gt;0,1,0)+IF(LEN(AL86)&gt;0,1,0)+IF(LEN(AU86)&gt;0,1,0)+IF(LEN(BF86)&gt;0,1,0)+IF(LEN(BS86)&gt;0,1,0))/21,2))</f>
        <v/>
      </c>
      <c r="BY86" s="10" t="str">
        <f aca="false">IF(D86="","",IF(AND(AJ86="Approved",ISERROR(SEARCH("FAIL",BC86))),"Y","N"))</f>
        <v/>
      </c>
      <c r="BZ86" s="10" t="str">
        <f aca="false">IF(D86="","",D86&amp;"|"&amp;F86&amp;"|"&amp;G86&amp;"|"&amp;BY86)</f>
        <v/>
      </c>
    </row>
    <row r="87" customFormat="false" ht="15" hidden="false" customHeight="false" outlineLevel="0" collapsed="false">
      <c r="A87" s="10" t="str">
        <f aca="false">IF(D87="","","LKW-"&amp;IFERROR(VLOOKUP(D87,Lists!$AQ$4:$AR$17,2,0),"??")&amp;"-W"&amp;TEXT(F87*1000,"0000")&amp;"-H"&amp;TEXT(G87*1000,"0000")&amp;"-B"&amp;TEXT(H87*1000,"0000")&amp;"-"&amp;AI87)</f>
        <v/>
      </c>
      <c r="B87" s="10" t="str">
        <f aca="false">IF(D87="","",D87&amp;", "&amp;F87&amp;" m wide, "&amp;G87&amp;" m headroom, "&amp;H87&amp;" m bays, "&amp;I87&amp;" ("&amp;E87&amp;")")</f>
        <v/>
      </c>
      <c r="C87" s="9"/>
      <c r="D87" s="9"/>
      <c r="E87" s="9"/>
      <c r="F87" s="42"/>
      <c r="G87" s="42"/>
      <c r="H87" s="42"/>
      <c r="I87" s="9"/>
      <c r="J87" s="9"/>
      <c r="K87" s="9"/>
      <c r="L87" s="9"/>
      <c r="M87" s="9"/>
      <c r="N87" s="9"/>
      <c r="O87" s="9"/>
      <c r="P87" s="9"/>
      <c r="Q87" s="9"/>
      <c r="R87" s="9"/>
      <c r="S87" s="42"/>
      <c r="T87" s="9"/>
      <c r="U87" s="9"/>
      <c r="V87" s="9"/>
      <c r="W87" s="38"/>
      <c r="X87" s="42"/>
      <c r="Y87" s="9"/>
      <c r="Z87" s="9"/>
      <c r="AA87" s="9"/>
      <c r="AB87" s="42"/>
      <c r="AC87" s="9"/>
      <c r="AD87" s="38"/>
      <c r="AE87" s="9"/>
      <c r="AF87" s="39"/>
      <c r="AG87" s="9"/>
      <c r="AH87" s="9"/>
      <c r="AI87" s="9"/>
      <c r="AJ87" s="9"/>
      <c r="AK87" s="9"/>
      <c r="AL87" s="9"/>
      <c r="AM87" s="9"/>
      <c r="AN87" s="10" t="str">
        <f aca="false">IF(A87="","",SG_Criteria!$B$6&amp;SG_Criteria!$B$12&amp;"\"&amp;A87&amp;"\")</f>
        <v/>
      </c>
      <c r="AO87" s="10" t="str">
        <f aca="false">IF(A87="","",A87&amp;"_CAD.dwg")</f>
        <v/>
      </c>
      <c r="AP87" s="10" t="str">
        <f aca="false">IF(A87="","",A87&amp;"_DWG.pdf")</f>
        <v/>
      </c>
      <c r="AQ87" s="10" t="str">
        <f aca="false">IF(A87="","",IF(AM87="Y",A87&amp;"_STAAD.std","n/a"))</f>
        <v/>
      </c>
      <c r="AR87" s="10" t="str">
        <f aca="false">IF(A87="","",A87&amp;"_CALC.xlsx")</f>
        <v/>
      </c>
      <c r="AS87" s="10" t="str">
        <f aca="false">IF(A87="","",A87&amp;"_CALC.pdf")</f>
        <v/>
      </c>
      <c r="AT87" s="9"/>
      <c r="AU87" s="9"/>
      <c r="AV87" s="39"/>
      <c r="AW87" s="39"/>
      <c r="AX87" s="39"/>
      <c r="AY87" s="39"/>
      <c r="AZ87" s="39"/>
      <c r="BA87" s="12" t="str">
        <f aca="false">IF(A87="","",IF(COUNTIF(Rebar_Schedule!$A$5:$A$2004,A87)=0,"",ROUND(SUMIF(Rebar_Schedule!$A$5:$A$2004,A87,Rebar_Schedule!$K$5:$K$2004),1)))</f>
        <v/>
      </c>
      <c r="BB87" s="33" t="str">
        <f aca="false">IF(A87="","",IF(BA87="","No rebar schedule yet",IF(ABS(BA87-N(AW87))/MAX(N(AW87),1)&gt;SG_Criteria!$B$55,"NOTE: register rebar differs from schedule by "&amp;TEXT(ABS(BA87-N(AW87))/MAX(N(AW87),1),"0%"),"OK")))</f>
        <v/>
      </c>
      <c r="BC87" s="33" t="str">
        <f aca="false">IF(D87="","",IF(LEN(IF(AND(D87&lt;&gt;"High Covered Linkway",G87&lt;SG_Criteria!$B$46),"FAIL: headroom below "&amp;SG_Criteria!$B$46&amp;" m. ","")&amp;IF(AND(D87="High Covered Linkway",G87&lt;SG_Criteria!$B$47),"FAIL: high linkway headroom below "&amp;SG_Criteria!$B$47&amp;" m. ","")&amp;IF(F87&lt;SG_Criteria!$B$48,"FAIL: roof width below "&amp;SG_Criteria!$B$48&amp;" m. ",IF(F87&lt;SG_Criteria!$B$49,"NOTE: not for MRT/LRT or high-traffic routes (min "&amp;SG_Criteria!$B$49&amp;" m). ",""))&amp;IF(AND(W87&lt;&gt;"",W87&lt;SG_Criteria!$B$50),"FAIL: wind speed below "&amp;SG_Criteria!$B$50&amp;" m/s. ","")&amp;IF(AND(X87&lt;&gt;"",X87&lt;SG_Criteria!$B$51),"FAIL: roof fixing pull-out below "&amp;SG_Criteria!$B$51&amp;" kN. ","")&amp;IF(AND(Y87&lt;&gt;"",IFERROR(VALUE(MID(Y87,2,2)),0)&lt;SG_Criteria!$B$52),"FAIL: grade below C"&amp;SG_Criteria!$B$52&amp;". ","")&amp;IF(E87="Non-standard (project design)","NOTE: not an SDRE standard, needs LTA acceptance. ",""))=0,"OK",IF(AND(D87&lt;&gt;"High Covered Linkway",G87&lt;SG_Criteria!$B$46),"FAIL: headroom below "&amp;SG_Criteria!$B$46&amp;" m. ","")&amp;IF(AND(D87="High Covered Linkway",G87&lt;SG_Criteria!$B$47),"FAIL: high linkway headroom below "&amp;SG_Criteria!$B$47&amp;" m. ","")&amp;IF(F87&lt;SG_Criteria!$B$48,"FAIL: roof width below "&amp;SG_Criteria!$B$48&amp;" m. ",IF(F87&lt;SG_Criteria!$B$49,"NOTE: not for MRT/LRT or high-traffic routes (min "&amp;SG_Criteria!$B$49&amp;" m). ",""))&amp;IF(AND(W87&lt;&gt;"",W87&lt;SG_Criteria!$B$50),"FAIL: wind speed below "&amp;SG_Criteria!$B$50&amp;" m/s. ","")&amp;IF(AND(X87&lt;&gt;"",X87&lt;SG_Criteria!$B$51),"FAIL: roof fixing pull-out below "&amp;SG_Criteria!$B$51&amp;" kN. ","")&amp;IF(AND(Y87&lt;&gt;"",IFERROR(VALUE(MID(Y87,2,2)),0)&lt;SG_Criteria!$B$52),"FAIL: grade below C"&amp;SG_Criteria!$B$52&amp;". ","")&amp;IF(E87="Non-standard (project design)","NOTE: not an SDRE standard, needs LTA acceptance. ","")))</f>
        <v/>
      </c>
      <c r="BD87" s="9"/>
      <c r="BE87" s="9"/>
      <c r="BF87" s="9"/>
      <c r="BG87" s="10" t="str">
        <f aca="false">IF(BF87="","",IFERROR(VLOOKUP(BF87,Projects!$A$5:$D$504,2,0),"Ref not in Projects"))</f>
        <v/>
      </c>
      <c r="BH87" s="10" t="str">
        <f aca="false">IF(BF87="","",IFERROR(VLOOKUP(BF87,Projects!$A$5:$D$504,4,0),"Ref not in Projects"))</f>
        <v/>
      </c>
      <c r="BI87" s="9"/>
      <c r="BJ87" s="9"/>
      <c r="BK87" s="9"/>
      <c r="BL87" s="40"/>
      <c r="BM87" s="9"/>
      <c r="BN87" s="40"/>
      <c r="BO87" s="9"/>
      <c r="BP87" s="40"/>
      <c r="BQ87" s="9"/>
      <c r="BR87" s="9"/>
      <c r="BS87" s="9"/>
      <c r="BT87" s="40"/>
      <c r="BU87" s="40"/>
      <c r="BV87" s="36" t="str">
        <f aca="false">IF(BU87="","",EDATE(BU87,SG_Criteria!$B$54*12))</f>
        <v/>
      </c>
      <c r="BW87" s="33" t="str">
        <f aca="true">IF(A87="","",IF(BU87="","NOTE: not reviewed yet",IF(TODAY()&gt;BV87,"NOTE: review overdue","OK")))</f>
        <v/>
      </c>
      <c r="BX87" s="37" t="str">
        <f aca="false">IF(A87="","",ROUND((IF(LEN(D87)&gt;0,1,0)+IF(LEN(E87)&gt;0,1,0)+IF(LEN(F87)&gt;0,1,0)+IF(LEN(G87)&gt;0,1,0)+IF(LEN(H87)&gt;0,1,0)+IF(LEN(I87)&gt;0,1,0)+IF(LEN(J87)&gt;0,1,0)+IF(LEN(K87)&gt;0,1,0)+IF(LEN(N87)&gt;0,1,0)+IF(LEN(O87)&gt;0,1,0)+IF(LEN(W87)&gt;0,1,0)+IF(LEN(X87)&gt;0,1,0)+IF(LEN(Y87)&gt;0,1,0)+IF(LEN(AG87)&gt;0,1,0)+IF(LEN(AI87)&gt;0,1,0)+IF(LEN(AJ87)&gt;0,1,0)+IF(LEN(AK87)&gt;0,1,0)+IF(LEN(AL87)&gt;0,1,0)+IF(LEN(AU87)&gt;0,1,0)+IF(LEN(BF87)&gt;0,1,0)+IF(LEN(BS87)&gt;0,1,0))/21,2))</f>
        <v/>
      </c>
      <c r="BY87" s="10" t="str">
        <f aca="false">IF(D87="","",IF(AND(AJ87="Approved",ISERROR(SEARCH("FAIL",BC87))),"Y","N"))</f>
        <v/>
      </c>
      <c r="BZ87" s="10" t="str">
        <f aca="false">IF(D87="","",D87&amp;"|"&amp;F87&amp;"|"&amp;G87&amp;"|"&amp;BY87)</f>
        <v/>
      </c>
    </row>
    <row r="88" customFormat="false" ht="15" hidden="false" customHeight="false" outlineLevel="0" collapsed="false">
      <c r="A88" s="10" t="str">
        <f aca="false">IF(D88="","","LKW-"&amp;IFERROR(VLOOKUP(D88,Lists!$AQ$4:$AR$17,2,0),"??")&amp;"-W"&amp;TEXT(F88*1000,"0000")&amp;"-H"&amp;TEXT(G88*1000,"0000")&amp;"-B"&amp;TEXT(H88*1000,"0000")&amp;"-"&amp;AI88)</f>
        <v/>
      </c>
      <c r="B88" s="10" t="str">
        <f aca="false">IF(D88="","",D88&amp;", "&amp;F88&amp;" m wide, "&amp;G88&amp;" m headroom, "&amp;H88&amp;" m bays, "&amp;I88&amp;" ("&amp;E88&amp;")")</f>
        <v/>
      </c>
      <c r="C88" s="9"/>
      <c r="D88" s="9"/>
      <c r="E88" s="9"/>
      <c r="F88" s="42"/>
      <c r="G88" s="42"/>
      <c r="H88" s="42"/>
      <c r="I88" s="9"/>
      <c r="J88" s="9"/>
      <c r="K88" s="9"/>
      <c r="L88" s="9"/>
      <c r="M88" s="9"/>
      <c r="N88" s="9"/>
      <c r="O88" s="9"/>
      <c r="P88" s="9"/>
      <c r="Q88" s="9"/>
      <c r="R88" s="9"/>
      <c r="S88" s="42"/>
      <c r="T88" s="9"/>
      <c r="U88" s="9"/>
      <c r="V88" s="9"/>
      <c r="W88" s="38"/>
      <c r="X88" s="42"/>
      <c r="Y88" s="9"/>
      <c r="Z88" s="9"/>
      <c r="AA88" s="9"/>
      <c r="AB88" s="42"/>
      <c r="AC88" s="9"/>
      <c r="AD88" s="38"/>
      <c r="AE88" s="9"/>
      <c r="AF88" s="39"/>
      <c r="AG88" s="9"/>
      <c r="AH88" s="9"/>
      <c r="AI88" s="9"/>
      <c r="AJ88" s="9"/>
      <c r="AK88" s="9"/>
      <c r="AL88" s="9"/>
      <c r="AM88" s="9"/>
      <c r="AN88" s="10" t="str">
        <f aca="false">IF(A88="","",SG_Criteria!$B$6&amp;SG_Criteria!$B$12&amp;"\"&amp;A88&amp;"\")</f>
        <v/>
      </c>
      <c r="AO88" s="10" t="str">
        <f aca="false">IF(A88="","",A88&amp;"_CAD.dwg")</f>
        <v/>
      </c>
      <c r="AP88" s="10" t="str">
        <f aca="false">IF(A88="","",A88&amp;"_DWG.pdf")</f>
        <v/>
      </c>
      <c r="AQ88" s="10" t="str">
        <f aca="false">IF(A88="","",IF(AM88="Y",A88&amp;"_STAAD.std","n/a"))</f>
        <v/>
      </c>
      <c r="AR88" s="10" t="str">
        <f aca="false">IF(A88="","",A88&amp;"_CALC.xlsx")</f>
        <v/>
      </c>
      <c r="AS88" s="10" t="str">
        <f aca="false">IF(A88="","",A88&amp;"_CALC.pdf")</f>
        <v/>
      </c>
      <c r="AT88" s="9"/>
      <c r="AU88" s="9"/>
      <c r="AV88" s="39"/>
      <c r="AW88" s="39"/>
      <c r="AX88" s="39"/>
      <c r="AY88" s="39"/>
      <c r="AZ88" s="39"/>
      <c r="BA88" s="12" t="str">
        <f aca="false">IF(A88="","",IF(COUNTIF(Rebar_Schedule!$A$5:$A$2004,A88)=0,"",ROUND(SUMIF(Rebar_Schedule!$A$5:$A$2004,A88,Rebar_Schedule!$K$5:$K$2004),1)))</f>
        <v/>
      </c>
      <c r="BB88" s="33" t="str">
        <f aca="false">IF(A88="","",IF(BA88="","No rebar schedule yet",IF(ABS(BA88-N(AW88))/MAX(N(AW88),1)&gt;SG_Criteria!$B$55,"NOTE: register rebar differs from schedule by "&amp;TEXT(ABS(BA88-N(AW88))/MAX(N(AW88),1),"0%"),"OK")))</f>
        <v/>
      </c>
      <c r="BC88" s="33" t="str">
        <f aca="false">IF(D88="","",IF(LEN(IF(AND(D88&lt;&gt;"High Covered Linkway",G88&lt;SG_Criteria!$B$46),"FAIL: headroom below "&amp;SG_Criteria!$B$46&amp;" m. ","")&amp;IF(AND(D88="High Covered Linkway",G88&lt;SG_Criteria!$B$47),"FAIL: high linkway headroom below "&amp;SG_Criteria!$B$47&amp;" m. ","")&amp;IF(F88&lt;SG_Criteria!$B$48,"FAIL: roof width below "&amp;SG_Criteria!$B$48&amp;" m. ",IF(F88&lt;SG_Criteria!$B$49,"NOTE: not for MRT/LRT or high-traffic routes (min "&amp;SG_Criteria!$B$49&amp;" m). ",""))&amp;IF(AND(W88&lt;&gt;"",W88&lt;SG_Criteria!$B$50),"FAIL: wind speed below "&amp;SG_Criteria!$B$50&amp;" m/s. ","")&amp;IF(AND(X88&lt;&gt;"",X88&lt;SG_Criteria!$B$51),"FAIL: roof fixing pull-out below "&amp;SG_Criteria!$B$51&amp;" kN. ","")&amp;IF(AND(Y88&lt;&gt;"",IFERROR(VALUE(MID(Y88,2,2)),0)&lt;SG_Criteria!$B$52),"FAIL: grade below C"&amp;SG_Criteria!$B$52&amp;". ","")&amp;IF(E88="Non-standard (project design)","NOTE: not an SDRE standard, needs LTA acceptance. ",""))=0,"OK",IF(AND(D88&lt;&gt;"High Covered Linkway",G88&lt;SG_Criteria!$B$46),"FAIL: headroom below "&amp;SG_Criteria!$B$46&amp;" m. ","")&amp;IF(AND(D88="High Covered Linkway",G88&lt;SG_Criteria!$B$47),"FAIL: high linkway headroom below "&amp;SG_Criteria!$B$47&amp;" m. ","")&amp;IF(F88&lt;SG_Criteria!$B$48,"FAIL: roof width below "&amp;SG_Criteria!$B$48&amp;" m. ",IF(F88&lt;SG_Criteria!$B$49,"NOTE: not for MRT/LRT or high-traffic routes (min "&amp;SG_Criteria!$B$49&amp;" m). ",""))&amp;IF(AND(W88&lt;&gt;"",W88&lt;SG_Criteria!$B$50),"FAIL: wind speed below "&amp;SG_Criteria!$B$50&amp;" m/s. ","")&amp;IF(AND(X88&lt;&gt;"",X88&lt;SG_Criteria!$B$51),"FAIL: roof fixing pull-out below "&amp;SG_Criteria!$B$51&amp;" kN. ","")&amp;IF(AND(Y88&lt;&gt;"",IFERROR(VALUE(MID(Y88,2,2)),0)&lt;SG_Criteria!$B$52),"FAIL: grade below C"&amp;SG_Criteria!$B$52&amp;". ","")&amp;IF(E88="Non-standard (project design)","NOTE: not an SDRE standard, needs LTA acceptance. ","")))</f>
        <v/>
      </c>
      <c r="BD88" s="9"/>
      <c r="BE88" s="9"/>
      <c r="BF88" s="9"/>
      <c r="BG88" s="10" t="str">
        <f aca="false">IF(BF88="","",IFERROR(VLOOKUP(BF88,Projects!$A$5:$D$504,2,0),"Ref not in Projects"))</f>
        <v/>
      </c>
      <c r="BH88" s="10" t="str">
        <f aca="false">IF(BF88="","",IFERROR(VLOOKUP(BF88,Projects!$A$5:$D$504,4,0),"Ref not in Projects"))</f>
        <v/>
      </c>
      <c r="BI88" s="9"/>
      <c r="BJ88" s="9"/>
      <c r="BK88" s="9"/>
      <c r="BL88" s="40"/>
      <c r="BM88" s="9"/>
      <c r="BN88" s="40"/>
      <c r="BO88" s="9"/>
      <c r="BP88" s="40"/>
      <c r="BQ88" s="9"/>
      <c r="BR88" s="9"/>
      <c r="BS88" s="9"/>
      <c r="BT88" s="40"/>
      <c r="BU88" s="40"/>
      <c r="BV88" s="36" t="str">
        <f aca="false">IF(BU88="","",EDATE(BU88,SG_Criteria!$B$54*12))</f>
        <v/>
      </c>
      <c r="BW88" s="33" t="str">
        <f aca="true">IF(A88="","",IF(BU88="","NOTE: not reviewed yet",IF(TODAY()&gt;BV88,"NOTE: review overdue","OK")))</f>
        <v/>
      </c>
      <c r="BX88" s="37" t="str">
        <f aca="false">IF(A88="","",ROUND((IF(LEN(D88)&gt;0,1,0)+IF(LEN(E88)&gt;0,1,0)+IF(LEN(F88)&gt;0,1,0)+IF(LEN(G88)&gt;0,1,0)+IF(LEN(H88)&gt;0,1,0)+IF(LEN(I88)&gt;0,1,0)+IF(LEN(J88)&gt;0,1,0)+IF(LEN(K88)&gt;0,1,0)+IF(LEN(N88)&gt;0,1,0)+IF(LEN(O88)&gt;0,1,0)+IF(LEN(W88)&gt;0,1,0)+IF(LEN(X88)&gt;0,1,0)+IF(LEN(Y88)&gt;0,1,0)+IF(LEN(AG88)&gt;0,1,0)+IF(LEN(AI88)&gt;0,1,0)+IF(LEN(AJ88)&gt;0,1,0)+IF(LEN(AK88)&gt;0,1,0)+IF(LEN(AL88)&gt;0,1,0)+IF(LEN(AU88)&gt;0,1,0)+IF(LEN(BF88)&gt;0,1,0)+IF(LEN(BS88)&gt;0,1,0))/21,2))</f>
        <v/>
      </c>
      <c r="BY88" s="10" t="str">
        <f aca="false">IF(D88="","",IF(AND(AJ88="Approved",ISERROR(SEARCH("FAIL",BC88))),"Y","N"))</f>
        <v/>
      </c>
      <c r="BZ88" s="10" t="str">
        <f aca="false">IF(D88="","",D88&amp;"|"&amp;F88&amp;"|"&amp;G88&amp;"|"&amp;BY88)</f>
        <v/>
      </c>
    </row>
    <row r="89" customFormat="false" ht="15" hidden="false" customHeight="false" outlineLevel="0" collapsed="false">
      <c r="A89" s="10" t="str">
        <f aca="false">IF(D89="","","LKW-"&amp;IFERROR(VLOOKUP(D89,Lists!$AQ$4:$AR$17,2,0),"??")&amp;"-W"&amp;TEXT(F89*1000,"0000")&amp;"-H"&amp;TEXT(G89*1000,"0000")&amp;"-B"&amp;TEXT(H89*1000,"0000")&amp;"-"&amp;AI89)</f>
        <v/>
      </c>
      <c r="B89" s="10" t="str">
        <f aca="false">IF(D89="","",D89&amp;", "&amp;F89&amp;" m wide, "&amp;G89&amp;" m headroom, "&amp;H89&amp;" m bays, "&amp;I89&amp;" ("&amp;E89&amp;")")</f>
        <v/>
      </c>
      <c r="C89" s="9"/>
      <c r="D89" s="9"/>
      <c r="E89" s="9"/>
      <c r="F89" s="42"/>
      <c r="G89" s="42"/>
      <c r="H89" s="42"/>
      <c r="I89" s="9"/>
      <c r="J89" s="9"/>
      <c r="K89" s="9"/>
      <c r="L89" s="9"/>
      <c r="M89" s="9"/>
      <c r="N89" s="9"/>
      <c r="O89" s="9"/>
      <c r="P89" s="9"/>
      <c r="Q89" s="9"/>
      <c r="R89" s="9"/>
      <c r="S89" s="42"/>
      <c r="T89" s="9"/>
      <c r="U89" s="9"/>
      <c r="V89" s="9"/>
      <c r="W89" s="38"/>
      <c r="X89" s="42"/>
      <c r="Y89" s="9"/>
      <c r="Z89" s="9"/>
      <c r="AA89" s="9"/>
      <c r="AB89" s="42"/>
      <c r="AC89" s="9"/>
      <c r="AD89" s="38"/>
      <c r="AE89" s="9"/>
      <c r="AF89" s="39"/>
      <c r="AG89" s="9"/>
      <c r="AH89" s="9"/>
      <c r="AI89" s="9"/>
      <c r="AJ89" s="9"/>
      <c r="AK89" s="9"/>
      <c r="AL89" s="9"/>
      <c r="AM89" s="9"/>
      <c r="AN89" s="10" t="str">
        <f aca="false">IF(A89="","",SG_Criteria!$B$6&amp;SG_Criteria!$B$12&amp;"\"&amp;A89&amp;"\")</f>
        <v/>
      </c>
      <c r="AO89" s="10" t="str">
        <f aca="false">IF(A89="","",A89&amp;"_CAD.dwg")</f>
        <v/>
      </c>
      <c r="AP89" s="10" t="str">
        <f aca="false">IF(A89="","",A89&amp;"_DWG.pdf")</f>
        <v/>
      </c>
      <c r="AQ89" s="10" t="str">
        <f aca="false">IF(A89="","",IF(AM89="Y",A89&amp;"_STAAD.std","n/a"))</f>
        <v/>
      </c>
      <c r="AR89" s="10" t="str">
        <f aca="false">IF(A89="","",A89&amp;"_CALC.xlsx")</f>
        <v/>
      </c>
      <c r="AS89" s="10" t="str">
        <f aca="false">IF(A89="","",A89&amp;"_CALC.pdf")</f>
        <v/>
      </c>
      <c r="AT89" s="9"/>
      <c r="AU89" s="9"/>
      <c r="AV89" s="39"/>
      <c r="AW89" s="39"/>
      <c r="AX89" s="39"/>
      <c r="AY89" s="39"/>
      <c r="AZ89" s="39"/>
      <c r="BA89" s="12" t="str">
        <f aca="false">IF(A89="","",IF(COUNTIF(Rebar_Schedule!$A$5:$A$2004,A89)=0,"",ROUND(SUMIF(Rebar_Schedule!$A$5:$A$2004,A89,Rebar_Schedule!$K$5:$K$2004),1)))</f>
        <v/>
      </c>
      <c r="BB89" s="33" t="str">
        <f aca="false">IF(A89="","",IF(BA89="","No rebar schedule yet",IF(ABS(BA89-N(AW89))/MAX(N(AW89),1)&gt;SG_Criteria!$B$55,"NOTE: register rebar differs from schedule by "&amp;TEXT(ABS(BA89-N(AW89))/MAX(N(AW89),1),"0%"),"OK")))</f>
        <v/>
      </c>
      <c r="BC89" s="33" t="str">
        <f aca="false">IF(D89="","",IF(LEN(IF(AND(D89&lt;&gt;"High Covered Linkway",G89&lt;SG_Criteria!$B$46),"FAIL: headroom below "&amp;SG_Criteria!$B$46&amp;" m. ","")&amp;IF(AND(D89="High Covered Linkway",G89&lt;SG_Criteria!$B$47),"FAIL: high linkway headroom below "&amp;SG_Criteria!$B$47&amp;" m. ","")&amp;IF(F89&lt;SG_Criteria!$B$48,"FAIL: roof width below "&amp;SG_Criteria!$B$48&amp;" m. ",IF(F89&lt;SG_Criteria!$B$49,"NOTE: not for MRT/LRT or high-traffic routes (min "&amp;SG_Criteria!$B$49&amp;" m). ",""))&amp;IF(AND(W89&lt;&gt;"",W89&lt;SG_Criteria!$B$50),"FAIL: wind speed below "&amp;SG_Criteria!$B$50&amp;" m/s. ","")&amp;IF(AND(X89&lt;&gt;"",X89&lt;SG_Criteria!$B$51),"FAIL: roof fixing pull-out below "&amp;SG_Criteria!$B$51&amp;" kN. ","")&amp;IF(AND(Y89&lt;&gt;"",IFERROR(VALUE(MID(Y89,2,2)),0)&lt;SG_Criteria!$B$52),"FAIL: grade below C"&amp;SG_Criteria!$B$52&amp;". ","")&amp;IF(E89="Non-standard (project design)","NOTE: not an SDRE standard, needs LTA acceptance. ",""))=0,"OK",IF(AND(D89&lt;&gt;"High Covered Linkway",G89&lt;SG_Criteria!$B$46),"FAIL: headroom below "&amp;SG_Criteria!$B$46&amp;" m. ","")&amp;IF(AND(D89="High Covered Linkway",G89&lt;SG_Criteria!$B$47),"FAIL: high linkway headroom below "&amp;SG_Criteria!$B$47&amp;" m. ","")&amp;IF(F89&lt;SG_Criteria!$B$48,"FAIL: roof width below "&amp;SG_Criteria!$B$48&amp;" m. ",IF(F89&lt;SG_Criteria!$B$49,"NOTE: not for MRT/LRT or high-traffic routes (min "&amp;SG_Criteria!$B$49&amp;" m). ",""))&amp;IF(AND(W89&lt;&gt;"",W89&lt;SG_Criteria!$B$50),"FAIL: wind speed below "&amp;SG_Criteria!$B$50&amp;" m/s. ","")&amp;IF(AND(X89&lt;&gt;"",X89&lt;SG_Criteria!$B$51),"FAIL: roof fixing pull-out below "&amp;SG_Criteria!$B$51&amp;" kN. ","")&amp;IF(AND(Y89&lt;&gt;"",IFERROR(VALUE(MID(Y89,2,2)),0)&lt;SG_Criteria!$B$52),"FAIL: grade below C"&amp;SG_Criteria!$B$52&amp;". ","")&amp;IF(E89="Non-standard (project design)","NOTE: not an SDRE standard, needs LTA acceptance. ","")))</f>
        <v/>
      </c>
      <c r="BD89" s="9"/>
      <c r="BE89" s="9"/>
      <c r="BF89" s="9"/>
      <c r="BG89" s="10" t="str">
        <f aca="false">IF(BF89="","",IFERROR(VLOOKUP(BF89,Projects!$A$5:$D$504,2,0),"Ref not in Projects"))</f>
        <v/>
      </c>
      <c r="BH89" s="10" t="str">
        <f aca="false">IF(BF89="","",IFERROR(VLOOKUP(BF89,Projects!$A$5:$D$504,4,0),"Ref not in Projects"))</f>
        <v/>
      </c>
      <c r="BI89" s="9"/>
      <c r="BJ89" s="9"/>
      <c r="BK89" s="9"/>
      <c r="BL89" s="40"/>
      <c r="BM89" s="9"/>
      <c r="BN89" s="40"/>
      <c r="BO89" s="9"/>
      <c r="BP89" s="40"/>
      <c r="BQ89" s="9"/>
      <c r="BR89" s="9"/>
      <c r="BS89" s="9"/>
      <c r="BT89" s="40"/>
      <c r="BU89" s="40"/>
      <c r="BV89" s="36" t="str">
        <f aca="false">IF(BU89="","",EDATE(BU89,SG_Criteria!$B$54*12))</f>
        <v/>
      </c>
      <c r="BW89" s="33" t="str">
        <f aca="true">IF(A89="","",IF(BU89="","NOTE: not reviewed yet",IF(TODAY()&gt;BV89,"NOTE: review overdue","OK")))</f>
        <v/>
      </c>
      <c r="BX89" s="37" t="str">
        <f aca="false">IF(A89="","",ROUND((IF(LEN(D89)&gt;0,1,0)+IF(LEN(E89)&gt;0,1,0)+IF(LEN(F89)&gt;0,1,0)+IF(LEN(G89)&gt;0,1,0)+IF(LEN(H89)&gt;0,1,0)+IF(LEN(I89)&gt;0,1,0)+IF(LEN(J89)&gt;0,1,0)+IF(LEN(K89)&gt;0,1,0)+IF(LEN(N89)&gt;0,1,0)+IF(LEN(O89)&gt;0,1,0)+IF(LEN(W89)&gt;0,1,0)+IF(LEN(X89)&gt;0,1,0)+IF(LEN(Y89)&gt;0,1,0)+IF(LEN(AG89)&gt;0,1,0)+IF(LEN(AI89)&gt;0,1,0)+IF(LEN(AJ89)&gt;0,1,0)+IF(LEN(AK89)&gt;0,1,0)+IF(LEN(AL89)&gt;0,1,0)+IF(LEN(AU89)&gt;0,1,0)+IF(LEN(BF89)&gt;0,1,0)+IF(LEN(BS89)&gt;0,1,0))/21,2))</f>
        <v/>
      </c>
      <c r="BY89" s="10" t="str">
        <f aca="false">IF(D89="","",IF(AND(AJ89="Approved",ISERROR(SEARCH("FAIL",BC89))),"Y","N"))</f>
        <v/>
      </c>
      <c r="BZ89" s="10" t="str">
        <f aca="false">IF(D89="","",D89&amp;"|"&amp;F89&amp;"|"&amp;G89&amp;"|"&amp;BY89)</f>
        <v/>
      </c>
    </row>
    <row r="90" customFormat="false" ht="15" hidden="false" customHeight="false" outlineLevel="0" collapsed="false">
      <c r="A90" s="10" t="str">
        <f aca="false">IF(D90="","","LKW-"&amp;IFERROR(VLOOKUP(D90,Lists!$AQ$4:$AR$17,2,0),"??")&amp;"-W"&amp;TEXT(F90*1000,"0000")&amp;"-H"&amp;TEXT(G90*1000,"0000")&amp;"-B"&amp;TEXT(H90*1000,"0000")&amp;"-"&amp;AI90)</f>
        <v/>
      </c>
      <c r="B90" s="10" t="str">
        <f aca="false">IF(D90="","",D90&amp;", "&amp;F90&amp;" m wide, "&amp;G90&amp;" m headroom, "&amp;H90&amp;" m bays, "&amp;I90&amp;" ("&amp;E90&amp;")")</f>
        <v/>
      </c>
      <c r="C90" s="9"/>
      <c r="D90" s="9"/>
      <c r="E90" s="9"/>
      <c r="F90" s="42"/>
      <c r="G90" s="42"/>
      <c r="H90" s="42"/>
      <c r="I90" s="9"/>
      <c r="J90" s="9"/>
      <c r="K90" s="9"/>
      <c r="L90" s="9"/>
      <c r="M90" s="9"/>
      <c r="N90" s="9"/>
      <c r="O90" s="9"/>
      <c r="P90" s="9"/>
      <c r="Q90" s="9"/>
      <c r="R90" s="9"/>
      <c r="S90" s="42"/>
      <c r="T90" s="9"/>
      <c r="U90" s="9"/>
      <c r="V90" s="9"/>
      <c r="W90" s="38"/>
      <c r="X90" s="42"/>
      <c r="Y90" s="9"/>
      <c r="Z90" s="9"/>
      <c r="AA90" s="9"/>
      <c r="AB90" s="42"/>
      <c r="AC90" s="9"/>
      <c r="AD90" s="38"/>
      <c r="AE90" s="9"/>
      <c r="AF90" s="39"/>
      <c r="AG90" s="9"/>
      <c r="AH90" s="9"/>
      <c r="AI90" s="9"/>
      <c r="AJ90" s="9"/>
      <c r="AK90" s="9"/>
      <c r="AL90" s="9"/>
      <c r="AM90" s="9"/>
      <c r="AN90" s="10" t="str">
        <f aca="false">IF(A90="","",SG_Criteria!$B$6&amp;SG_Criteria!$B$12&amp;"\"&amp;A90&amp;"\")</f>
        <v/>
      </c>
      <c r="AO90" s="10" t="str">
        <f aca="false">IF(A90="","",A90&amp;"_CAD.dwg")</f>
        <v/>
      </c>
      <c r="AP90" s="10" t="str">
        <f aca="false">IF(A90="","",A90&amp;"_DWG.pdf")</f>
        <v/>
      </c>
      <c r="AQ90" s="10" t="str">
        <f aca="false">IF(A90="","",IF(AM90="Y",A90&amp;"_STAAD.std","n/a"))</f>
        <v/>
      </c>
      <c r="AR90" s="10" t="str">
        <f aca="false">IF(A90="","",A90&amp;"_CALC.xlsx")</f>
        <v/>
      </c>
      <c r="AS90" s="10" t="str">
        <f aca="false">IF(A90="","",A90&amp;"_CALC.pdf")</f>
        <v/>
      </c>
      <c r="AT90" s="9"/>
      <c r="AU90" s="9"/>
      <c r="AV90" s="39"/>
      <c r="AW90" s="39"/>
      <c r="AX90" s="39"/>
      <c r="AY90" s="39"/>
      <c r="AZ90" s="39"/>
      <c r="BA90" s="12" t="str">
        <f aca="false">IF(A90="","",IF(COUNTIF(Rebar_Schedule!$A$5:$A$2004,A90)=0,"",ROUND(SUMIF(Rebar_Schedule!$A$5:$A$2004,A90,Rebar_Schedule!$K$5:$K$2004),1)))</f>
        <v/>
      </c>
      <c r="BB90" s="33" t="str">
        <f aca="false">IF(A90="","",IF(BA90="","No rebar schedule yet",IF(ABS(BA90-N(AW90))/MAX(N(AW90),1)&gt;SG_Criteria!$B$55,"NOTE: register rebar differs from schedule by "&amp;TEXT(ABS(BA90-N(AW90))/MAX(N(AW90),1),"0%"),"OK")))</f>
        <v/>
      </c>
      <c r="BC90" s="33" t="str">
        <f aca="false">IF(D90="","",IF(LEN(IF(AND(D90&lt;&gt;"High Covered Linkway",G90&lt;SG_Criteria!$B$46),"FAIL: headroom below "&amp;SG_Criteria!$B$46&amp;" m. ","")&amp;IF(AND(D90="High Covered Linkway",G90&lt;SG_Criteria!$B$47),"FAIL: high linkway headroom below "&amp;SG_Criteria!$B$47&amp;" m. ","")&amp;IF(F90&lt;SG_Criteria!$B$48,"FAIL: roof width below "&amp;SG_Criteria!$B$48&amp;" m. ",IF(F90&lt;SG_Criteria!$B$49,"NOTE: not for MRT/LRT or high-traffic routes (min "&amp;SG_Criteria!$B$49&amp;" m). ",""))&amp;IF(AND(W90&lt;&gt;"",W90&lt;SG_Criteria!$B$50),"FAIL: wind speed below "&amp;SG_Criteria!$B$50&amp;" m/s. ","")&amp;IF(AND(X90&lt;&gt;"",X90&lt;SG_Criteria!$B$51),"FAIL: roof fixing pull-out below "&amp;SG_Criteria!$B$51&amp;" kN. ","")&amp;IF(AND(Y90&lt;&gt;"",IFERROR(VALUE(MID(Y90,2,2)),0)&lt;SG_Criteria!$B$52),"FAIL: grade below C"&amp;SG_Criteria!$B$52&amp;". ","")&amp;IF(E90="Non-standard (project design)","NOTE: not an SDRE standard, needs LTA acceptance. ",""))=0,"OK",IF(AND(D90&lt;&gt;"High Covered Linkway",G90&lt;SG_Criteria!$B$46),"FAIL: headroom below "&amp;SG_Criteria!$B$46&amp;" m. ","")&amp;IF(AND(D90="High Covered Linkway",G90&lt;SG_Criteria!$B$47),"FAIL: high linkway headroom below "&amp;SG_Criteria!$B$47&amp;" m. ","")&amp;IF(F90&lt;SG_Criteria!$B$48,"FAIL: roof width below "&amp;SG_Criteria!$B$48&amp;" m. ",IF(F90&lt;SG_Criteria!$B$49,"NOTE: not for MRT/LRT or high-traffic routes (min "&amp;SG_Criteria!$B$49&amp;" m). ",""))&amp;IF(AND(W90&lt;&gt;"",W90&lt;SG_Criteria!$B$50),"FAIL: wind speed below "&amp;SG_Criteria!$B$50&amp;" m/s. ","")&amp;IF(AND(X90&lt;&gt;"",X90&lt;SG_Criteria!$B$51),"FAIL: roof fixing pull-out below "&amp;SG_Criteria!$B$51&amp;" kN. ","")&amp;IF(AND(Y90&lt;&gt;"",IFERROR(VALUE(MID(Y90,2,2)),0)&lt;SG_Criteria!$B$52),"FAIL: grade below C"&amp;SG_Criteria!$B$52&amp;". ","")&amp;IF(E90="Non-standard (project design)","NOTE: not an SDRE standard, needs LTA acceptance. ","")))</f>
        <v/>
      </c>
      <c r="BD90" s="9"/>
      <c r="BE90" s="9"/>
      <c r="BF90" s="9"/>
      <c r="BG90" s="10" t="str">
        <f aca="false">IF(BF90="","",IFERROR(VLOOKUP(BF90,Projects!$A$5:$D$504,2,0),"Ref not in Projects"))</f>
        <v/>
      </c>
      <c r="BH90" s="10" t="str">
        <f aca="false">IF(BF90="","",IFERROR(VLOOKUP(BF90,Projects!$A$5:$D$504,4,0),"Ref not in Projects"))</f>
        <v/>
      </c>
      <c r="BI90" s="9"/>
      <c r="BJ90" s="9"/>
      <c r="BK90" s="9"/>
      <c r="BL90" s="40"/>
      <c r="BM90" s="9"/>
      <c r="BN90" s="40"/>
      <c r="BO90" s="9"/>
      <c r="BP90" s="40"/>
      <c r="BQ90" s="9"/>
      <c r="BR90" s="9"/>
      <c r="BS90" s="9"/>
      <c r="BT90" s="40"/>
      <c r="BU90" s="40"/>
      <c r="BV90" s="36" t="str">
        <f aca="false">IF(BU90="","",EDATE(BU90,SG_Criteria!$B$54*12))</f>
        <v/>
      </c>
      <c r="BW90" s="33" t="str">
        <f aca="true">IF(A90="","",IF(BU90="","NOTE: not reviewed yet",IF(TODAY()&gt;BV90,"NOTE: review overdue","OK")))</f>
        <v/>
      </c>
      <c r="BX90" s="37" t="str">
        <f aca="false">IF(A90="","",ROUND((IF(LEN(D90)&gt;0,1,0)+IF(LEN(E90)&gt;0,1,0)+IF(LEN(F90)&gt;0,1,0)+IF(LEN(G90)&gt;0,1,0)+IF(LEN(H90)&gt;0,1,0)+IF(LEN(I90)&gt;0,1,0)+IF(LEN(J90)&gt;0,1,0)+IF(LEN(K90)&gt;0,1,0)+IF(LEN(N90)&gt;0,1,0)+IF(LEN(O90)&gt;0,1,0)+IF(LEN(W90)&gt;0,1,0)+IF(LEN(X90)&gt;0,1,0)+IF(LEN(Y90)&gt;0,1,0)+IF(LEN(AG90)&gt;0,1,0)+IF(LEN(AI90)&gt;0,1,0)+IF(LEN(AJ90)&gt;0,1,0)+IF(LEN(AK90)&gt;0,1,0)+IF(LEN(AL90)&gt;0,1,0)+IF(LEN(AU90)&gt;0,1,0)+IF(LEN(BF90)&gt;0,1,0)+IF(LEN(BS90)&gt;0,1,0))/21,2))</f>
        <v/>
      </c>
      <c r="BY90" s="10" t="str">
        <f aca="false">IF(D90="","",IF(AND(AJ90="Approved",ISERROR(SEARCH("FAIL",BC90))),"Y","N"))</f>
        <v/>
      </c>
      <c r="BZ90" s="10" t="str">
        <f aca="false">IF(D90="","",D90&amp;"|"&amp;F90&amp;"|"&amp;G90&amp;"|"&amp;BY90)</f>
        <v/>
      </c>
    </row>
    <row r="91" customFormat="false" ht="15" hidden="false" customHeight="false" outlineLevel="0" collapsed="false">
      <c r="A91" s="10" t="str">
        <f aca="false">IF(D91="","","LKW-"&amp;IFERROR(VLOOKUP(D91,Lists!$AQ$4:$AR$17,2,0),"??")&amp;"-W"&amp;TEXT(F91*1000,"0000")&amp;"-H"&amp;TEXT(G91*1000,"0000")&amp;"-B"&amp;TEXT(H91*1000,"0000")&amp;"-"&amp;AI91)</f>
        <v/>
      </c>
      <c r="B91" s="10" t="str">
        <f aca="false">IF(D91="","",D91&amp;", "&amp;F91&amp;" m wide, "&amp;G91&amp;" m headroom, "&amp;H91&amp;" m bays, "&amp;I91&amp;" ("&amp;E91&amp;")")</f>
        <v/>
      </c>
      <c r="C91" s="9"/>
      <c r="D91" s="9"/>
      <c r="E91" s="9"/>
      <c r="F91" s="42"/>
      <c r="G91" s="42"/>
      <c r="H91" s="42"/>
      <c r="I91" s="9"/>
      <c r="J91" s="9"/>
      <c r="K91" s="9"/>
      <c r="L91" s="9"/>
      <c r="M91" s="9"/>
      <c r="N91" s="9"/>
      <c r="O91" s="9"/>
      <c r="P91" s="9"/>
      <c r="Q91" s="9"/>
      <c r="R91" s="9"/>
      <c r="S91" s="42"/>
      <c r="T91" s="9"/>
      <c r="U91" s="9"/>
      <c r="V91" s="9"/>
      <c r="W91" s="38"/>
      <c r="X91" s="42"/>
      <c r="Y91" s="9"/>
      <c r="Z91" s="9"/>
      <c r="AA91" s="9"/>
      <c r="AB91" s="42"/>
      <c r="AC91" s="9"/>
      <c r="AD91" s="38"/>
      <c r="AE91" s="9"/>
      <c r="AF91" s="39"/>
      <c r="AG91" s="9"/>
      <c r="AH91" s="9"/>
      <c r="AI91" s="9"/>
      <c r="AJ91" s="9"/>
      <c r="AK91" s="9"/>
      <c r="AL91" s="9"/>
      <c r="AM91" s="9"/>
      <c r="AN91" s="10" t="str">
        <f aca="false">IF(A91="","",SG_Criteria!$B$6&amp;SG_Criteria!$B$12&amp;"\"&amp;A91&amp;"\")</f>
        <v/>
      </c>
      <c r="AO91" s="10" t="str">
        <f aca="false">IF(A91="","",A91&amp;"_CAD.dwg")</f>
        <v/>
      </c>
      <c r="AP91" s="10" t="str">
        <f aca="false">IF(A91="","",A91&amp;"_DWG.pdf")</f>
        <v/>
      </c>
      <c r="AQ91" s="10" t="str">
        <f aca="false">IF(A91="","",IF(AM91="Y",A91&amp;"_STAAD.std","n/a"))</f>
        <v/>
      </c>
      <c r="AR91" s="10" t="str">
        <f aca="false">IF(A91="","",A91&amp;"_CALC.xlsx")</f>
        <v/>
      </c>
      <c r="AS91" s="10" t="str">
        <f aca="false">IF(A91="","",A91&amp;"_CALC.pdf")</f>
        <v/>
      </c>
      <c r="AT91" s="9"/>
      <c r="AU91" s="9"/>
      <c r="AV91" s="39"/>
      <c r="AW91" s="39"/>
      <c r="AX91" s="39"/>
      <c r="AY91" s="39"/>
      <c r="AZ91" s="39"/>
      <c r="BA91" s="12" t="str">
        <f aca="false">IF(A91="","",IF(COUNTIF(Rebar_Schedule!$A$5:$A$2004,A91)=0,"",ROUND(SUMIF(Rebar_Schedule!$A$5:$A$2004,A91,Rebar_Schedule!$K$5:$K$2004),1)))</f>
        <v/>
      </c>
      <c r="BB91" s="33" t="str">
        <f aca="false">IF(A91="","",IF(BA91="","No rebar schedule yet",IF(ABS(BA91-N(AW91))/MAX(N(AW91),1)&gt;SG_Criteria!$B$55,"NOTE: register rebar differs from schedule by "&amp;TEXT(ABS(BA91-N(AW91))/MAX(N(AW91),1),"0%"),"OK")))</f>
        <v/>
      </c>
      <c r="BC91" s="33" t="str">
        <f aca="false">IF(D91="","",IF(LEN(IF(AND(D91&lt;&gt;"High Covered Linkway",G91&lt;SG_Criteria!$B$46),"FAIL: headroom below "&amp;SG_Criteria!$B$46&amp;" m. ","")&amp;IF(AND(D91="High Covered Linkway",G91&lt;SG_Criteria!$B$47),"FAIL: high linkway headroom below "&amp;SG_Criteria!$B$47&amp;" m. ","")&amp;IF(F91&lt;SG_Criteria!$B$48,"FAIL: roof width below "&amp;SG_Criteria!$B$48&amp;" m. ",IF(F91&lt;SG_Criteria!$B$49,"NOTE: not for MRT/LRT or high-traffic routes (min "&amp;SG_Criteria!$B$49&amp;" m). ",""))&amp;IF(AND(W91&lt;&gt;"",W91&lt;SG_Criteria!$B$50),"FAIL: wind speed below "&amp;SG_Criteria!$B$50&amp;" m/s. ","")&amp;IF(AND(X91&lt;&gt;"",X91&lt;SG_Criteria!$B$51),"FAIL: roof fixing pull-out below "&amp;SG_Criteria!$B$51&amp;" kN. ","")&amp;IF(AND(Y91&lt;&gt;"",IFERROR(VALUE(MID(Y91,2,2)),0)&lt;SG_Criteria!$B$52),"FAIL: grade below C"&amp;SG_Criteria!$B$52&amp;". ","")&amp;IF(E91="Non-standard (project design)","NOTE: not an SDRE standard, needs LTA acceptance. ",""))=0,"OK",IF(AND(D91&lt;&gt;"High Covered Linkway",G91&lt;SG_Criteria!$B$46),"FAIL: headroom below "&amp;SG_Criteria!$B$46&amp;" m. ","")&amp;IF(AND(D91="High Covered Linkway",G91&lt;SG_Criteria!$B$47),"FAIL: high linkway headroom below "&amp;SG_Criteria!$B$47&amp;" m. ","")&amp;IF(F91&lt;SG_Criteria!$B$48,"FAIL: roof width below "&amp;SG_Criteria!$B$48&amp;" m. ",IF(F91&lt;SG_Criteria!$B$49,"NOTE: not for MRT/LRT or high-traffic routes (min "&amp;SG_Criteria!$B$49&amp;" m). ",""))&amp;IF(AND(W91&lt;&gt;"",W91&lt;SG_Criteria!$B$50),"FAIL: wind speed below "&amp;SG_Criteria!$B$50&amp;" m/s. ","")&amp;IF(AND(X91&lt;&gt;"",X91&lt;SG_Criteria!$B$51),"FAIL: roof fixing pull-out below "&amp;SG_Criteria!$B$51&amp;" kN. ","")&amp;IF(AND(Y91&lt;&gt;"",IFERROR(VALUE(MID(Y91,2,2)),0)&lt;SG_Criteria!$B$52),"FAIL: grade below C"&amp;SG_Criteria!$B$52&amp;". ","")&amp;IF(E91="Non-standard (project design)","NOTE: not an SDRE standard, needs LTA acceptance. ","")))</f>
        <v/>
      </c>
      <c r="BD91" s="9"/>
      <c r="BE91" s="9"/>
      <c r="BF91" s="9"/>
      <c r="BG91" s="10" t="str">
        <f aca="false">IF(BF91="","",IFERROR(VLOOKUP(BF91,Projects!$A$5:$D$504,2,0),"Ref not in Projects"))</f>
        <v/>
      </c>
      <c r="BH91" s="10" t="str">
        <f aca="false">IF(BF91="","",IFERROR(VLOOKUP(BF91,Projects!$A$5:$D$504,4,0),"Ref not in Projects"))</f>
        <v/>
      </c>
      <c r="BI91" s="9"/>
      <c r="BJ91" s="9"/>
      <c r="BK91" s="9"/>
      <c r="BL91" s="40"/>
      <c r="BM91" s="9"/>
      <c r="BN91" s="40"/>
      <c r="BO91" s="9"/>
      <c r="BP91" s="40"/>
      <c r="BQ91" s="9"/>
      <c r="BR91" s="9"/>
      <c r="BS91" s="9"/>
      <c r="BT91" s="40"/>
      <c r="BU91" s="40"/>
      <c r="BV91" s="36" t="str">
        <f aca="false">IF(BU91="","",EDATE(BU91,SG_Criteria!$B$54*12))</f>
        <v/>
      </c>
      <c r="BW91" s="33" t="str">
        <f aca="true">IF(A91="","",IF(BU91="","NOTE: not reviewed yet",IF(TODAY()&gt;BV91,"NOTE: review overdue","OK")))</f>
        <v/>
      </c>
      <c r="BX91" s="37" t="str">
        <f aca="false">IF(A91="","",ROUND((IF(LEN(D91)&gt;0,1,0)+IF(LEN(E91)&gt;0,1,0)+IF(LEN(F91)&gt;0,1,0)+IF(LEN(G91)&gt;0,1,0)+IF(LEN(H91)&gt;0,1,0)+IF(LEN(I91)&gt;0,1,0)+IF(LEN(J91)&gt;0,1,0)+IF(LEN(K91)&gt;0,1,0)+IF(LEN(N91)&gt;0,1,0)+IF(LEN(O91)&gt;0,1,0)+IF(LEN(W91)&gt;0,1,0)+IF(LEN(X91)&gt;0,1,0)+IF(LEN(Y91)&gt;0,1,0)+IF(LEN(AG91)&gt;0,1,0)+IF(LEN(AI91)&gt;0,1,0)+IF(LEN(AJ91)&gt;0,1,0)+IF(LEN(AK91)&gt;0,1,0)+IF(LEN(AL91)&gt;0,1,0)+IF(LEN(AU91)&gt;0,1,0)+IF(LEN(BF91)&gt;0,1,0)+IF(LEN(BS91)&gt;0,1,0))/21,2))</f>
        <v/>
      </c>
      <c r="BY91" s="10" t="str">
        <f aca="false">IF(D91="","",IF(AND(AJ91="Approved",ISERROR(SEARCH("FAIL",BC91))),"Y","N"))</f>
        <v/>
      </c>
      <c r="BZ91" s="10" t="str">
        <f aca="false">IF(D91="","",D91&amp;"|"&amp;F91&amp;"|"&amp;G91&amp;"|"&amp;BY91)</f>
        <v/>
      </c>
    </row>
    <row r="92" customFormat="false" ht="15" hidden="false" customHeight="false" outlineLevel="0" collapsed="false">
      <c r="A92" s="10" t="str">
        <f aca="false">IF(D92="","","LKW-"&amp;IFERROR(VLOOKUP(D92,Lists!$AQ$4:$AR$17,2,0),"??")&amp;"-W"&amp;TEXT(F92*1000,"0000")&amp;"-H"&amp;TEXT(G92*1000,"0000")&amp;"-B"&amp;TEXT(H92*1000,"0000")&amp;"-"&amp;AI92)</f>
        <v/>
      </c>
      <c r="B92" s="10" t="str">
        <f aca="false">IF(D92="","",D92&amp;", "&amp;F92&amp;" m wide, "&amp;G92&amp;" m headroom, "&amp;H92&amp;" m bays, "&amp;I92&amp;" ("&amp;E92&amp;")")</f>
        <v/>
      </c>
      <c r="C92" s="9"/>
      <c r="D92" s="9"/>
      <c r="E92" s="9"/>
      <c r="F92" s="42"/>
      <c r="G92" s="42"/>
      <c r="H92" s="42"/>
      <c r="I92" s="9"/>
      <c r="J92" s="9"/>
      <c r="K92" s="9"/>
      <c r="L92" s="9"/>
      <c r="M92" s="9"/>
      <c r="N92" s="9"/>
      <c r="O92" s="9"/>
      <c r="P92" s="9"/>
      <c r="Q92" s="9"/>
      <c r="R92" s="9"/>
      <c r="S92" s="42"/>
      <c r="T92" s="9"/>
      <c r="U92" s="9"/>
      <c r="V92" s="9"/>
      <c r="W92" s="38"/>
      <c r="X92" s="42"/>
      <c r="Y92" s="9"/>
      <c r="Z92" s="9"/>
      <c r="AA92" s="9"/>
      <c r="AB92" s="42"/>
      <c r="AC92" s="9"/>
      <c r="AD92" s="38"/>
      <c r="AE92" s="9"/>
      <c r="AF92" s="39"/>
      <c r="AG92" s="9"/>
      <c r="AH92" s="9"/>
      <c r="AI92" s="9"/>
      <c r="AJ92" s="9"/>
      <c r="AK92" s="9"/>
      <c r="AL92" s="9"/>
      <c r="AM92" s="9"/>
      <c r="AN92" s="10" t="str">
        <f aca="false">IF(A92="","",SG_Criteria!$B$6&amp;SG_Criteria!$B$12&amp;"\"&amp;A92&amp;"\")</f>
        <v/>
      </c>
      <c r="AO92" s="10" t="str">
        <f aca="false">IF(A92="","",A92&amp;"_CAD.dwg")</f>
        <v/>
      </c>
      <c r="AP92" s="10" t="str">
        <f aca="false">IF(A92="","",A92&amp;"_DWG.pdf")</f>
        <v/>
      </c>
      <c r="AQ92" s="10" t="str">
        <f aca="false">IF(A92="","",IF(AM92="Y",A92&amp;"_STAAD.std","n/a"))</f>
        <v/>
      </c>
      <c r="AR92" s="10" t="str">
        <f aca="false">IF(A92="","",A92&amp;"_CALC.xlsx")</f>
        <v/>
      </c>
      <c r="AS92" s="10" t="str">
        <f aca="false">IF(A92="","",A92&amp;"_CALC.pdf")</f>
        <v/>
      </c>
      <c r="AT92" s="9"/>
      <c r="AU92" s="9"/>
      <c r="AV92" s="39"/>
      <c r="AW92" s="39"/>
      <c r="AX92" s="39"/>
      <c r="AY92" s="39"/>
      <c r="AZ92" s="39"/>
      <c r="BA92" s="12" t="str">
        <f aca="false">IF(A92="","",IF(COUNTIF(Rebar_Schedule!$A$5:$A$2004,A92)=0,"",ROUND(SUMIF(Rebar_Schedule!$A$5:$A$2004,A92,Rebar_Schedule!$K$5:$K$2004),1)))</f>
        <v/>
      </c>
      <c r="BB92" s="33" t="str">
        <f aca="false">IF(A92="","",IF(BA92="","No rebar schedule yet",IF(ABS(BA92-N(AW92))/MAX(N(AW92),1)&gt;SG_Criteria!$B$55,"NOTE: register rebar differs from schedule by "&amp;TEXT(ABS(BA92-N(AW92))/MAX(N(AW92),1),"0%"),"OK")))</f>
        <v/>
      </c>
      <c r="BC92" s="33" t="str">
        <f aca="false">IF(D92="","",IF(LEN(IF(AND(D92&lt;&gt;"High Covered Linkway",G92&lt;SG_Criteria!$B$46),"FAIL: headroom below "&amp;SG_Criteria!$B$46&amp;" m. ","")&amp;IF(AND(D92="High Covered Linkway",G92&lt;SG_Criteria!$B$47),"FAIL: high linkway headroom below "&amp;SG_Criteria!$B$47&amp;" m. ","")&amp;IF(F92&lt;SG_Criteria!$B$48,"FAIL: roof width below "&amp;SG_Criteria!$B$48&amp;" m. ",IF(F92&lt;SG_Criteria!$B$49,"NOTE: not for MRT/LRT or high-traffic routes (min "&amp;SG_Criteria!$B$49&amp;" m). ",""))&amp;IF(AND(W92&lt;&gt;"",W92&lt;SG_Criteria!$B$50),"FAIL: wind speed below "&amp;SG_Criteria!$B$50&amp;" m/s. ","")&amp;IF(AND(X92&lt;&gt;"",X92&lt;SG_Criteria!$B$51),"FAIL: roof fixing pull-out below "&amp;SG_Criteria!$B$51&amp;" kN. ","")&amp;IF(AND(Y92&lt;&gt;"",IFERROR(VALUE(MID(Y92,2,2)),0)&lt;SG_Criteria!$B$52),"FAIL: grade below C"&amp;SG_Criteria!$B$52&amp;". ","")&amp;IF(E92="Non-standard (project design)","NOTE: not an SDRE standard, needs LTA acceptance. ",""))=0,"OK",IF(AND(D92&lt;&gt;"High Covered Linkway",G92&lt;SG_Criteria!$B$46),"FAIL: headroom below "&amp;SG_Criteria!$B$46&amp;" m. ","")&amp;IF(AND(D92="High Covered Linkway",G92&lt;SG_Criteria!$B$47),"FAIL: high linkway headroom below "&amp;SG_Criteria!$B$47&amp;" m. ","")&amp;IF(F92&lt;SG_Criteria!$B$48,"FAIL: roof width below "&amp;SG_Criteria!$B$48&amp;" m. ",IF(F92&lt;SG_Criteria!$B$49,"NOTE: not for MRT/LRT or high-traffic routes (min "&amp;SG_Criteria!$B$49&amp;" m). ",""))&amp;IF(AND(W92&lt;&gt;"",W92&lt;SG_Criteria!$B$50),"FAIL: wind speed below "&amp;SG_Criteria!$B$50&amp;" m/s. ","")&amp;IF(AND(X92&lt;&gt;"",X92&lt;SG_Criteria!$B$51),"FAIL: roof fixing pull-out below "&amp;SG_Criteria!$B$51&amp;" kN. ","")&amp;IF(AND(Y92&lt;&gt;"",IFERROR(VALUE(MID(Y92,2,2)),0)&lt;SG_Criteria!$B$52),"FAIL: grade below C"&amp;SG_Criteria!$B$52&amp;". ","")&amp;IF(E92="Non-standard (project design)","NOTE: not an SDRE standard, needs LTA acceptance. ","")))</f>
        <v/>
      </c>
      <c r="BD92" s="9"/>
      <c r="BE92" s="9"/>
      <c r="BF92" s="9"/>
      <c r="BG92" s="10" t="str">
        <f aca="false">IF(BF92="","",IFERROR(VLOOKUP(BF92,Projects!$A$5:$D$504,2,0),"Ref not in Projects"))</f>
        <v/>
      </c>
      <c r="BH92" s="10" t="str">
        <f aca="false">IF(BF92="","",IFERROR(VLOOKUP(BF92,Projects!$A$5:$D$504,4,0),"Ref not in Projects"))</f>
        <v/>
      </c>
      <c r="BI92" s="9"/>
      <c r="BJ92" s="9"/>
      <c r="BK92" s="9"/>
      <c r="BL92" s="40"/>
      <c r="BM92" s="9"/>
      <c r="BN92" s="40"/>
      <c r="BO92" s="9"/>
      <c r="BP92" s="40"/>
      <c r="BQ92" s="9"/>
      <c r="BR92" s="9"/>
      <c r="BS92" s="9"/>
      <c r="BT92" s="40"/>
      <c r="BU92" s="40"/>
      <c r="BV92" s="36" t="str">
        <f aca="false">IF(BU92="","",EDATE(BU92,SG_Criteria!$B$54*12))</f>
        <v/>
      </c>
      <c r="BW92" s="33" t="str">
        <f aca="true">IF(A92="","",IF(BU92="","NOTE: not reviewed yet",IF(TODAY()&gt;BV92,"NOTE: review overdue","OK")))</f>
        <v/>
      </c>
      <c r="BX92" s="37" t="str">
        <f aca="false">IF(A92="","",ROUND((IF(LEN(D92)&gt;0,1,0)+IF(LEN(E92)&gt;0,1,0)+IF(LEN(F92)&gt;0,1,0)+IF(LEN(G92)&gt;0,1,0)+IF(LEN(H92)&gt;0,1,0)+IF(LEN(I92)&gt;0,1,0)+IF(LEN(J92)&gt;0,1,0)+IF(LEN(K92)&gt;0,1,0)+IF(LEN(N92)&gt;0,1,0)+IF(LEN(O92)&gt;0,1,0)+IF(LEN(W92)&gt;0,1,0)+IF(LEN(X92)&gt;0,1,0)+IF(LEN(Y92)&gt;0,1,0)+IF(LEN(AG92)&gt;0,1,0)+IF(LEN(AI92)&gt;0,1,0)+IF(LEN(AJ92)&gt;0,1,0)+IF(LEN(AK92)&gt;0,1,0)+IF(LEN(AL92)&gt;0,1,0)+IF(LEN(AU92)&gt;0,1,0)+IF(LEN(BF92)&gt;0,1,0)+IF(LEN(BS92)&gt;0,1,0))/21,2))</f>
        <v/>
      </c>
      <c r="BY92" s="10" t="str">
        <f aca="false">IF(D92="","",IF(AND(AJ92="Approved",ISERROR(SEARCH("FAIL",BC92))),"Y","N"))</f>
        <v/>
      </c>
      <c r="BZ92" s="10" t="str">
        <f aca="false">IF(D92="","",D92&amp;"|"&amp;F92&amp;"|"&amp;G92&amp;"|"&amp;BY92)</f>
        <v/>
      </c>
    </row>
    <row r="93" customFormat="false" ht="15" hidden="false" customHeight="false" outlineLevel="0" collapsed="false">
      <c r="A93" s="10" t="str">
        <f aca="false">IF(D93="","","LKW-"&amp;IFERROR(VLOOKUP(D93,Lists!$AQ$4:$AR$17,2,0),"??")&amp;"-W"&amp;TEXT(F93*1000,"0000")&amp;"-H"&amp;TEXT(G93*1000,"0000")&amp;"-B"&amp;TEXT(H93*1000,"0000")&amp;"-"&amp;AI93)</f>
        <v/>
      </c>
      <c r="B93" s="10" t="str">
        <f aca="false">IF(D93="","",D93&amp;", "&amp;F93&amp;" m wide, "&amp;G93&amp;" m headroom, "&amp;H93&amp;" m bays, "&amp;I93&amp;" ("&amp;E93&amp;")")</f>
        <v/>
      </c>
      <c r="C93" s="9"/>
      <c r="D93" s="9"/>
      <c r="E93" s="9"/>
      <c r="F93" s="42"/>
      <c r="G93" s="42"/>
      <c r="H93" s="42"/>
      <c r="I93" s="9"/>
      <c r="J93" s="9"/>
      <c r="K93" s="9"/>
      <c r="L93" s="9"/>
      <c r="M93" s="9"/>
      <c r="N93" s="9"/>
      <c r="O93" s="9"/>
      <c r="P93" s="9"/>
      <c r="Q93" s="9"/>
      <c r="R93" s="9"/>
      <c r="S93" s="42"/>
      <c r="T93" s="9"/>
      <c r="U93" s="9"/>
      <c r="V93" s="9"/>
      <c r="W93" s="38"/>
      <c r="X93" s="42"/>
      <c r="Y93" s="9"/>
      <c r="Z93" s="9"/>
      <c r="AA93" s="9"/>
      <c r="AB93" s="42"/>
      <c r="AC93" s="9"/>
      <c r="AD93" s="38"/>
      <c r="AE93" s="9"/>
      <c r="AF93" s="39"/>
      <c r="AG93" s="9"/>
      <c r="AH93" s="9"/>
      <c r="AI93" s="9"/>
      <c r="AJ93" s="9"/>
      <c r="AK93" s="9"/>
      <c r="AL93" s="9"/>
      <c r="AM93" s="9"/>
      <c r="AN93" s="10" t="str">
        <f aca="false">IF(A93="","",SG_Criteria!$B$6&amp;SG_Criteria!$B$12&amp;"\"&amp;A93&amp;"\")</f>
        <v/>
      </c>
      <c r="AO93" s="10" t="str">
        <f aca="false">IF(A93="","",A93&amp;"_CAD.dwg")</f>
        <v/>
      </c>
      <c r="AP93" s="10" t="str">
        <f aca="false">IF(A93="","",A93&amp;"_DWG.pdf")</f>
        <v/>
      </c>
      <c r="AQ93" s="10" t="str">
        <f aca="false">IF(A93="","",IF(AM93="Y",A93&amp;"_STAAD.std","n/a"))</f>
        <v/>
      </c>
      <c r="AR93" s="10" t="str">
        <f aca="false">IF(A93="","",A93&amp;"_CALC.xlsx")</f>
        <v/>
      </c>
      <c r="AS93" s="10" t="str">
        <f aca="false">IF(A93="","",A93&amp;"_CALC.pdf")</f>
        <v/>
      </c>
      <c r="AT93" s="9"/>
      <c r="AU93" s="9"/>
      <c r="AV93" s="39"/>
      <c r="AW93" s="39"/>
      <c r="AX93" s="39"/>
      <c r="AY93" s="39"/>
      <c r="AZ93" s="39"/>
      <c r="BA93" s="12" t="str">
        <f aca="false">IF(A93="","",IF(COUNTIF(Rebar_Schedule!$A$5:$A$2004,A93)=0,"",ROUND(SUMIF(Rebar_Schedule!$A$5:$A$2004,A93,Rebar_Schedule!$K$5:$K$2004),1)))</f>
        <v/>
      </c>
      <c r="BB93" s="33" t="str">
        <f aca="false">IF(A93="","",IF(BA93="","No rebar schedule yet",IF(ABS(BA93-N(AW93))/MAX(N(AW93),1)&gt;SG_Criteria!$B$55,"NOTE: register rebar differs from schedule by "&amp;TEXT(ABS(BA93-N(AW93))/MAX(N(AW93),1),"0%"),"OK")))</f>
        <v/>
      </c>
      <c r="BC93" s="33" t="str">
        <f aca="false">IF(D93="","",IF(LEN(IF(AND(D93&lt;&gt;"High Covered Linkway",G93&lt;SG_Criteria!$B$46),"FAIL: headroom below "&amp;SG_Criteria!$B$46&amp;" m. ","")&amp;IF(AND(D93="High Covered Linkway",G93&lt;SG_Criteria!$B$47),"FAIL: high linkway headroom below "&amp;SG_Criteria!$B$47&amp;" m. ","")&amp;IF(F93&lt;SG_Criteria!$B$48,"FAIL: roof width below "&amp;SG_Criteria!$B$48&amp;" m. ",IF(F93&lt;SG_Criteria!$B$49,"NOTE: not for MRT/LRT or high-traffic routes (min "&amp;SG_Criteria!$B$49&amp;" m). ",""))&amp;IF(AND(W93&lt;&gt;"",W93&lt;SG_Criteria!$B$50),"FAIL: wind speed below "&amp;SG_Criteria!$B$50&amp;" m/s. ","")&amp;IF(AND(X93&lt;&gt;"",X93&lt;SG_Criteria!$B$51),"FAIL: roof fixing pull-out below "&amp;SG_Criteria!$B$51&amp;" kN. ","")&amp;IF(AND(Y93&lt;&gt;"",IFERROR(VALUE(MID(Y93,2,2)),0)&lt;SG_Criteria!$B$52),"FAIL: grade below C"&amp;SG_Criteria!$B$52&amp;". ","")&amp;IF(E93="Non-standard (project design)","NOTE: not an SDRE standard, needs LTA acceptance. ",""))=0,"OK",IF(AND(D93&lt;&gt;"High Covered Linkway",G93&lt;SG_Criteria!$B$46),"FAIL: headroom below "&amp;SG_Criteria!$B$46&amp;" m. ","")&amp;IF(AND(D93="High Covered Linkway",G93&lt;SG_Criteria!$B$47),"FAIL: high linkway headroom below "&amp;SG_Criteria!$B$47&amp;" m. ","")&amp;IF(F93&lt;SG_Criteria!$B$48,"FAIL: roof width below "&amp;SG_Criteria!$B$48&amp;" m. ",IF(F93&lt;SG_Criteria!$B$49,"NOTE: not for MRT/LRT or high-traffic routes (min "&amp;SG_Criteria!$B$49&amp;" m). ",""))&amp;IF(AND(W93&lt;&gt;"",W93&lt;SG_Criteria!$B$50),"FAIL: wind speed below "&amp;SG_Criteria!$B$50&amp;" m/s. ","")&amp;IF(AND(X93&lt;&gt;"",X93&lt;SG_Criteria!$B$51),"FAIL: roof fixing pull-out below "&amp;SG_Criteria!$B$51&amp;" kN. ","")&amp;IF(AND(Y93&lt;&gt;"",IFERROR(VALUE(MID(Y93,2,2)),0)&lt;SG_Criteria!$B$52),"FAIL: grade below C"&amp;SG_Criteria!$B$52&amp;". ","")&amp;IF(E93="Non-standard (project design)","NOTE: not an SDRE standard, needs LTA acceptance. ","")))</f>
        <v/>
      </c>
      <c r="BD93" s="9"/>
      <c r="BE93" s="9"/>
      <c r="BF93" s="9"/>
      <c r="BG93" s="10" t="str">
        <f aca="false">IF(BF93="","",IFERROR(VLOOKUP(BF93,Projects!$A$5:$D$504,2,0),"Ref not in Projects"))</f>
        <v/>
      </c>
      <c r="BH93" s="10" t="str">
        <f aca="false">IF(BF93="","",IFERROR(VLOOKUP(BF93,Projects!$A$5:$D$504,4,0),"Ref not in Projects"))</f>
        <v/>
      </c>
      <c r="BI93" s="9"/>
      <c r="BJ93" s="9"/>
      <c r="BK93" s="9"/>
      <c r="BL93" s="40"/>
      <c r="BM93" s="9"/>
      <c r="BN93" s="40"/>
      <c r="BO93" s="9"/>
      <c r="BP93" s="40"/>
      <c r="BQ93" s="9"/>
      <c r="BR93" s="9"/>
      <c r="BS93" s="9"/>
      <c r="BT93" s="40"/>
      <c r="BU93" s="40"/>
      <c r="BV93" s="36" t="str">
        <f aca="false">IF(BU93="","",EDATE(BU93,SG_Criteria!$B$54*12))</f>
        <v/>
      </c>
      <c r="BW93" s="33" t="str">
        <f aca="true">IF(A93="","",IF(BU93="","NOTE: not reviewed yet",IF(TODAY()&gt;BV93,"NOTE: review overdue","OK")))</f>
        <v/>
      </c>
      <c r="BX93" s="37" t="str">
        <f aca="false">IF(A93="","",ROUND((IF(LEN(D93)&gt;0,1,0)+IF(LEN(E93)&gt;0,1,0)+IF(LEN(F93)&gt;0,1,0)+IF(LEN(G93)&gt;0,1,0)+IF(LEN(H93)&gt;0,1,0)+IF(LEN(I93)&gt;0,1,0)+IF(LEN(J93)&gt;0,1,0)+IF(LEN(K93)&gt;0,1,0)+IF(LEN(N93)&gt;0,1,0)+IF(LEN(O93)&gt;0,1,0)+IF(LEN(W93)&gt;0,1,0)+IF(LEN(X93)&gt;0,1,0)+IF(LEN(Y93)&gt;0,1,0)+IF(LEN(AG93)&gt;0,1,0)+IF(LEN(AI93)&gt;0,1,0)+IF(LEN(AJ93)&gt;0,1,0)+IF(LEN(AK93)&gt;0,1,0)+IF(LEN(AL93)&gt;0,1,0)+IF(LEN(AU93)&gt;0,1,0)+IF(LEN(BF93)&gt;0,1,0)+IF(LEN(BS93)&gt;0,1,0))/21,2))</f>
        <v/>
      </c>
      <c r="BY93" s="10" t="str">
        <f aca="false">IF(D93="","",IF(AND(AJ93="Approved",ISERROR(SEARCH("FAIL",BC93))),"Y","N"))</f>
        <v/>
      </c>
      <c r="BZ93" s="10" t="str">
        <f aca="false">IF(D93="","",D93&amp;"|"&amp;F93&amp;"|"&amp;G93&amp;"|"&amp;BY93)</f>
        <v/>
      </c>
    </row>
    <row r="94" customFormat="false" ht="15" hidden="false" customHeight="false" outlineLevel="0" collapsed="false">
      <c r="A94" s="10" t="str">
        <f aca="false">IF(D94="","","LKW-"&amp;IFERROR(VLOOKUP(D94,Lists!$AQ$4:$AR$17,2,0),"??")&amp;"-W"&amp;TEXT(F94*1000,"0000")&amp;"-H"&amp;TEXT(G94*1000,"0000")&amp;"-B"&amp;TEXT(H94*1000,"0000")&amp;"-"&amp;AI94)</f>
        <v/>
      </c>
      <c r="B94" s="10" t="str">
        <f aca="false">IF(D94="","",D94&amp;", "&amp;F94&amp;" m wide, "&amp;G94&amp;" m headroom, "&amp;H94&amp;" m bays, "&amp;I94&amp;" ("&amp;E94&amp;")")</f>
        <v/>
      </c>
      <c r="C94" s="9"/>
      <c r="D94" s="9"/>
      <c r="E94" s="9"/>
      <c r="F94" s="42"/>
      <c r="G94" s="42"/>
      <c r="H94" s="42"/>
      <c r="I94" s="9"/>
      <c r="J94" s="9"/>
      <c r="K94" s="9"/>
      <c r="L94" s="9"/>
      <c r="M94" s="9"/>
      <c r="N94" s="9"/>
      <c r="O94" s="9"/>
      <c r="P94" s="9"/>
      <c r="Q94" s="9"/>
      <c r="R94" s="9"/>
      <c r="S94" s="42"/>
      <c r="T94" s="9"/>
      <c r="U94" s="9"/>
      <c r="V94" s="9"/>
      <c r="W94" s="38"/>
      <c r="X94" s="42"/>
      <c r="Y94" s="9"/>
      <c r="Z94" s="9"/>
      <c r="AA94" s="9"/>
      <c r="AB94" s="42"/>
      <c r="AC94" s="9"/>
      <c r="AD94" s="38"/>
      <c r="AE94" s="9"/>
      <c r="AF94" s="39"/>
      <c r="AG94" s="9"/>
      <c r="AH94" s="9"/>
      <c r="AI94" s="9"/>
      <c r="AJ94" s="9"/>
      <c r="AK94" s="9"/>
      <c r="AL94" s="9"/>
      <c r="AM94" s="9"/>
      <c r="AN94" s="10" t="str">
        <f aca="false">IF(A94="","",SG_Criteria!$B$6&amp;SG_Criteria!$B$12&amp;"\"&amp;A94&amp;"\")</f>
        <v/>
      </c>
      <c r="AO94" s="10" t="str">
        <f aca="false">IF(A94="","",A94&amp;"_CAD.dwg")</f>
        <v/>
      </c>
      <c r="AP94" s="10" t="str">
        <f aca="false">IF(A94="","",A94&amp;"_DWG.pdf")</f>
        <v/>
      </c>
      <c r="AQ94" s="10" t="str">
        <f aca="false">IF(A94="","",IF(AM94="Y",A94&amp;"_STAAD.std","n/a"))</f>
        <v/>
      </c>
      <c r="AR94" s="10" t="str">
        <f aca="false">IF(A94="","",A94&amp;"_CALC.xlsx")</f>
        <v/>
      </c>
      <c r="AS94" s="10" t="str">
        <f aca="false">IF(A94="","",A94&amp;"_CALC.pdf")</f>
        <v/>
      </c>
      <c r="AT94" s="9"/>
      <c r="AU94" s="9"/>
      <c r="AV94" s="39"/>
      <c r="AW94" s="39"/>
      <c r="AX94" s="39"/>
      <c r="AY94" s="39"/>
      <c r="AZ94" s="39"/>
      <c r="BA94" s="12" t="str">
        <f aca="false">IF(A94="","",IF(COUNTIF(Rebar_Schedule!$A$5:$A$2004,A94)=0,"",ROUND(SUMIF(Rebar_Schedule!$A$5:$A$2004,A94,Rebar_Schedule!$K$5:$K$2004),1)))</f>
        <v/>
      </c>
      <c r="BB94" s="33" t="str">
        <f aca="false">IF(A94="","",IF(BA94="","No rebar schedule yet",IF(ABS(BA94-N(AW94))/MAX(N(AW94),1)&gt;SG_Criteria!$B$55,"NOTE: register rebar differs from schedule by "&amp;TEXT(ABS(BA94-N(AW94))/MAX(N(AW94),1),"0%"),"OK")))</f>
        <v/>
      </c>
      <c r="BC94" s="33" t="str">
        <f aca="false">IF(D94="","",IF(LEN(IF(AND(D94&lt;&gt;"High Covered Linkway",G94&lt;SG_Criteria!$B$46),"FAIL: headroom below "&amp;SG_Criteria!$B$46&amp;" m. ","")&amp;IF(AND(D94="High Covered Linkway",G94&lt;SG_Criteria!$B$47),"FAIL: high linkway headroom below "&amp;SG_Criteria!$B$47&amp;" m. ","")&amp;IF(F94&lt;SG_Criteria!$B$48,"FAIL: roof width below "&amp;SG_Criteria!$B$48&amp;" m. ",IF(F94&lt;SG_Criteria!$B$49,"NOTE: not for MRT/LRT or high-traffic routes (min "&amp;SG_Criteria!$B$49&amp;" m). ",""))&amp;IF(AND(W94&lt;&gt;"",W94&lt;SG_Criteria!$B$50),"FAIL: wind speed below "&amp;SG_Criteria!$B$50&amp;" m/s. ","")&amp;IF(AND(X94&lt;&gt;"",X94&lt;SG_Criteria!$B$51),"FAIL: roof fixing pull-out below "&amp;SG_Criteria!$B$51&amp;" kN. ","")&amp;IF(AND(Y94&lt;&gt;"",IFERROR(VALUE(MID(Y94,2,2)),0)&lt;SG_Criteria!$B$52),"FAIL: grade below C"&amp;SG_Criteria!$B$52&amp;". ","")&amp;IF(E94="Non-standard (project design)","NOTE: not an SDRE standard, needs LTA acceptance. ",""))=0,"OK",IF(AND(D94&lt;&gt;"High Covered Linkway",G94&lt;SG_Criteria!$B$46),"FAIL: headroom below "&amp;SG_Criteria!$B$46&amp;" m. ","")&amp;IF(AND(D94="High Covered Linkway",G94&lt;SG_Criteria!$B$47),"FAIL: high linkway headroom below "&amp;SG_Criteria!$B$47&amp;" m. ","")&amp;IF(F94&lt;SG_Criteria!$B$48,"FAIL: roof width below "&amp;SG_Criteria!$B$48&amp;" m. ",IF(F94&lt;SG_Criteria!$B$49,"NOTE: not for MRT/LRT or high-traffic routes (min "&amp;SG_Criteria!$B$49&amp;" m). ",""))&amp;IF(AND(W94&lt;&gt;"",W94&lt;SG_Criteria!$B$50),"FAIL: wind speed below "&amp;SG_Criteria!$B$50&amp;" m/s. ","")&amp;IF(AND(X94&lt;&gt;"",X94&lt;SG_Criteria!$B$51),"FAIL: roof fixing pull-out below "&amp;SG_Criteria!$B$51&amp;" kN. ","")&amp;IF(AND(Y94&lt;&gt;"",IFERROR(VALUE(MID(Y94,2,2)),0)&lt;SG_Criteria!$B$52),"FAIL: grade below C"&amp;SG_Criteria!$B$52&amp;". ","")&amp;IF(E94="Non-standard (project design)","NOTE: not an SDRE standard, needs LTA acceptance. ","")))</f>
        <v/>
      </c>
      <c r="BD94" s="9"/>
      <c r="BE94" s="9"/>
      <c r="BF94" s="9"/>
      <c r="BG94" s="10" t="str">
        <f aca="false">IF(BF94="","",IFERROR(VLOOKUP(BF94,Projects!$A$5:$D$504,2,0),"Ref not in Projects"))</f>
        <v/>
      </c>
      <c r="BH94" s="10" t="str">
        <f aca="false">IF(BF94="","",IFERROR(VLOOKUP(BF94,Projects!$A$5:$D$504,4,0),"Ref not in Projects"))</f>
        <v/>
      </c>
      <c r="BI94" s="9"/>
      <c r="BJ94" s="9"/>
      <c r="BK94" s="9"/>
      <c r="BL94" s="40"/>
      <c r="BM94" s="9"/>
      <c r="BN94" s="40"/>
      <c r="BO94" s="9"/>
      <c r="BP94" s="40"/>
      <c r="BQ94" s="9"/>
      <c r="BR94" s="9"/>
      <c r="BS94" s="9"/>
      <c r="BT94" s="40"/>
      <c r="BU94" s="40"/>
      <c r="BV94" s="36" t="str">
        <f aca="false">IF(BU94="","",EDATE(BU94,SG_Criteria!$B$54*12))</f>
        <v/>
      </c>
      <c r="BW94" s="33" t="str">
        <f aca="true">IF(A94="","",IF(BU94="","NOTE: not reviewed yet",IF(TODAY()&gt;BV94,"NOTE: review overdue","OK")))</f>
        <v/>
      </c>
      <c r="BX94" s="37" t="str">
        <f aca="false">IF(A94="","",ROUND((IF(LEN(D94)&gt;0,1,0)+IF(LEN(E94)&gt;0,1,0)+IF(LEN(F94)&gt;0,1,0)+IF(LEN(G94)&gt;0,1,0)+IF(LEN(H94)&gt;0,1,0)+IF(LEN(I94)&gt;0,1,0)+IF(LEN(J94)&gt;0,1,0)+IF(LEN(K94)&gt;0,1,0)+IF(LEN(N94)&gt;0,1,0)+IF(LEN(O94)&gt;0,1,0)+IF(LEN(W94)&gt;0,1,0)+IF(LEN(X94)&gt;0,1,0)+IF(LEN(Y94)&gt;0,1,0)+IF(LEN(AG94)&gt;0,1,0)+IF(LEN(AI94)&gt;0,1,0)+IF(LEN(AJ94)&gt;0,1,0)+IF(LEN(AK94)&gt;0,1,0)+IF(LEN(AL94)&gt;0,1,0)+IF(LEN(AU94)&gt;0,1,0)+IF(LEN(BF94)&gt;0,1,0)+IF(LEN(BS94)&gt;0,1,0))/21,2))</f>
        <v/>
      </c>
      <c r="BY94" s="10" t="str">
        <f aca="false">IF(D94="","",IF(AND(AJ94="Approved",ISERROR(SEARCH("FAIL",BC94))),"Y","N"))</f>
        <v/>
      </c>
      <c r="BZ94" s="10" t="str">
        <f aca="false">IF(D94="","",D94&amp;"|"&amp;F94&amp;"|"&amp;G94&amp;"|"&amp;BY94)</f>
        <v/>
      </c>
    </row>
    <row r="95" customFormat="false" ht="15" hidden="false" customHeight="false" outlineLevel="0" collapsed="false">
      <c r="A95" s="10" t="str">
        <f aca="false">IF(D95="","","LKW-"&amp;IFERROR(VLOOKUP(D95,Lists!$AQ$4:$AR$17,2,0),"??")&amp;"-W"&amp;TEXT(F95*1000,"0000")&amp;"-H"&amp;TEXT(G95*1000,"0000")&amp;"-B"&amp;TEXT(H95*1000,"0000")&amp;"-"&amp;AI95)</f>
        <v/>
      </c>
      <c r="B95" s="10" t="str">
        <f aca="false">IF(D95="","",D95&amp;", "&amp;F95&amp;" m wide, "&amp;G95&amp;" m headroom, "&amp;H95&amp;" m bays, "&amp;I95&amp;" ("&amp;E95&amp;")")</f>
        <v/>
      </c>
      <c r="C95" s="9"/>
      <c r="D95" s="9"/>
      <c r="E95" s="9"/>
      <c r="F95" s="42"/>
      <c r="G95" s="42"/>
      <c r="H95" s="42"/>
      <c r="I95" s="9"/>
      <c r="J95" s="9"/>
      <c r="K95" s="9"/>
      <c r="L95" s="9"/>
      <c r="M95" s="9"/>
      <c r="N95" s="9"/>
      <c r="O95" s="9"/>
      <c r="P95" s="9"/>
      <c r="Q95" s="9"/>
      <c r="R95" s="9"/>
      <c r="S95" s="42"/>
      <c r="T95" s="9"/>
      <c r="U95" s="9"/>
      <c r="V95" s="9"/>
      <c r="W95" s="38"/>
      <c r="X95" s="42"/>
      <c r="Y95" s="9"/>
      <c r="Z95" s="9"/>
      <c r="AA95" s="9"/>
      <c r="AB95" s="42"/>
      <c r="AC95" s="9"/>
      <c r="AD95" s="38"/>
      <c r="AE95" s="9"/>
      <c r="AF95" s="39"/>
      <c r="AG95" s="9"/>
      <c r="AH95" s="9"/>
      <c r="AI95" s="9"/>
      <c r="AJ95" s="9"/>
      <c r="AK95" s="9"/>
      <c r="AL95" s="9"/>
      <c r="AM95" s="9"/>
      <c r="AN95" s="10" t="str">
        <f aca="false">IF(A95="","",SG_Criteria!$B$6&amp;SG_Criteria!$B$12&amp;"\"&amp;A95&amp;"\")</f>
        <v/>
      </c>
      <c r="AO95" s="10" t="str">
        <f aca="false">IF(A95="","",A95&amp;"_CAD.dwg")</f>
        <v/>
      </c>
      <c r="AP95" s="10" t="str">
        <f aca="false">IF(A95="","",A95&amp;"_DWG.pdf")</f>
        <v/>
      </c>
      <c r="AQ95" s="10" t="str">
        <f aca="false">IF(A95="","",IF(AM95="Y",A95&amp;"_STAAD.std","n/a"))</f>
        <v/>
      </c>
      <c r="AR95" s="10" t="str">
        <f aca="false">IF(A95="","",A95&amp;"_CALC.xlsx")</f>
        <v/>
      </c>
      <c r="AS95" s="10" t="str">
        <f aca="false">IF(A95="","",A95&amp;"_CALC.pdf")</f>
        <v/>
      </c>
      <c r="AT95" s="9"/>
      <c r="AU95" s="9"/>
      <c r="AV95" s="39"/>
      <c r="AW95" s="39"/>
      <c r="AX95" s="39"/>
      <c r="AY95" s="39"/>
      <c r="AZ95" s="39"/>
      <c r="BA95" s="12" t="str">
        <f aca="false">IF(A95="","",IF(COUNTIF(Rebar_Schedule!$A$5:$A$2004,A95)=0,"",ROUND(SUMIF(Rebar_Schedule!$A$5:$A$2004,A95,Rebar_Schedule!$K$5:$K$2004),1)))</f>
        <v/>
      </c>
      <c r="BB95" s="33" t="str">
        <f aca="false">IF(A95="","",IF(BA95="","No rebar schedule yet",IF(ABS(BA95-N(AW95))/MAX(N(AW95),1)&gt;SG_Criteria!$B$55,"NOTE: register rebar differs from schedule by "&amp;TEXT(ABS(BA95-N(AW95))/MAX(N(AW95),1),"0%"),"OK")))</f>
        <v/>
      </c>
      <c r="BC95" s="33" t="str">
        <f aca="false">IF(D95="","",IF(LEN(IF(AND(D95&lt;&gt;"High Covered Linkway",G95&lt;SG_Criteria!$B$46),"FAIL: headroom below "&amp;SG_Criteria!$B$46&amp;" m. ","")&amp;IF(AND(D95="High Covered Linkway",G95&lt;SG_Criteria!$B$47),"FAIL: high linkway headroom below "&amp;SG_Criteria!$B$47&amp;" m. ","")&amp;IF(F95&lt;SG_Criteria!$B$48,"FAIL: roof width below "&amp;SG_Criteria!$B$48&amp;" m. ",IF(F95&lt;SG_Criteria!$B$49,"NOTE: not for MRT/LRT or high-traffic routes (min "&amp;SG_Criteria!$B$49&amp;" m). ",""))&amp;IF(AND(W95&lt;&gt;"",W95&lt;SG_Criteria!$B$50),"FAIL: wind speed below "&amp;SG_Criteria!$B$50&amp;" m/s. ","")&amp;IF(AND(X95&lt;&gt;"",X95&lt;SG_Criteria!$B$51),"FAIL: roof fixing pull-out below "&amp;SG_Criteria!$B$51&amp;" kN. ","")&amp;IF(AND(Y95&lt;&gt;"",IFERROR(VALUE(MID(Y95,2,2)),0)&lt;SG_Criteria!$B$52),"FAIL: grade below C"&amp;SG_Criteria!$B$52&amp;". ","")&amp;IF(E95="Non-standard (project design)","NOTE: not an SDRE standard, needs LTA acceptance. ",""))=0,"OK",IF(AND(D95&lt;&gt;"High Covered Linkway",G95&lt;SG_Criteria!$B$46),"FAIL: headroom below "&amp;SG_Criteria!$B$46&amp;" m. ","")&amp;IF(AND(D95="High Covered Linkway",G95&lt;SG_Criteria!$B$47),"FAIL: high linkway headroom below "&amp;SG_Criteria!$B$47&amp;" m. ","")&amp;IF(F95&lt;SG_Criteria!$B$48,"FAIL: roof width below "&amp;SG_Criteria!$B$48&amp;" m. ",IF(F95&lt;SG_Criteria!$B$49,"NOTE: not for MRT/LRT or high-traffic routes (min "&amp;SG_Criteria!$B$49&amp;" m). ",""))&amp;IF(AND(W95&lt;&gt;"",W95&lt;SG_Criteria!$B$50),"FAIL: wind speed below "&amp;SG_Criteria!$B$50&amp;" m/s. ","")&amp;IF(AND(X95&lt;&gt;"",X95&lt;SG_Criteria!$B$51),"FAIL: roof fixing pull-out below "&amp;SG_Criteria!$B$51&amp;" kN. ","")&amp;IF(AND(Y95&lt;&gt;"",IFERROR(VALUE(MID(Y95,2,2)),0)&lt;SG_Criteria!$B$52),"FAIL: grade below C"&amp;SG_Criteria!$B$52&amp;". ","")&amp;IF(E95="Non-standard (project design)","NOTE: not an SDRE standard, needs LTA acceptance. ","")))</f>
        <v/>
      </c>
      <c r="BD95" s="9"/>
      <c r="BE95" s="9"/>
      <c r="BF95" s="9"/>
      <c r="BG95" s="10" t="str">
        <f aca="false">IF(BF95="","",IFERROR(VLOOKUP(BF95,Projects!$A$5:$D$504,2,0),"Ref not in Projects"))</f>
        <v/>
      </c>
      <c r="BH95" s="10" t="str">
        <f aca="false">IF(BF95="","",IFERROR(VLOOKUP(BF95,Projects!$A$5:$D$504,4,0),"Ref not in Projects"))</f>
        <v/>
      </c>
      <c r="BI95" s="9"/>
      <c r="BJ95" s="9"/>
      <c r="BK95" s="9"/>
      <c r="BL95" s="40"/>
      <c r="BM95" s="9"/>
      <c r="BN95" s="40"/>
      <c r="BO95" s="9"/>
      <c r="BP95" s="40"/>
      <c r="BQ95" s="9"/>
      <c r="BR95" s="9"/>
      <c r="BS95" s="9"/>
      <c r="BT95" s="40"/>
      <c r="BU95" s="40"/>
      <c r="BV95" s="36" t="str">
        <f aca="false">IF(BU95="","",EDATE(BU95,SG_Criteria!$B$54*12))</f>
        <v/>
      </c>
      <c r="BW95" s="33" t="str">
        <f aca="true">IF(A95="","",IF(BU95="","NOTE: not reviewed yet",IF(TODAY()&gt;BV95,"NOTE: review overdue","OK")))</f>
        <v/>
      </c>
      <c r="BX95" s="37" t="str">
        <f aca="false">IF(A95="","",ROUND((IF(LEN(D95)&gt;0,1,0)+IF(LEN(E95)&gt;0,1,0)+IF(LEN(F95)&gt;0,1,0)+IF(LEN(G95)&gt;0,1,0)+IF(LEN(H95)&gt;0,1,0)+IF(LEN(I95)&gt;0,1,0)+IF(LEN(J95)&gt;0,1,0)+IF(LEN(K95)&gt;0,1,0)+IF(LEN(N95)&gt;0,1,0)+IF(LEN(O95)&gt;0,1,0)+IF(LEN(W95)&gt;0,1,0)+IF(LEN(X95)&gt;0,1,0)+IF(LEN(Y95)&gt;0,1,0)+IF(LEN(AG95)&gt;0,1,0)+IF(LEN(AI95)&gt;0,1,0)+IF(LEN(AJ95)&gt;0,1,0)+IF(LEN(AK95)&gt;0,1,0)+IF(LEN(AL95)&gt;0,1,0)+IF(LEN(AU95)&gt;0,1,0)+IF(LEN(BF95)&gt;0,1,0)+IF(LEN(BS95)&gt;0,1,0))/21,2))</f>
        <v/>
      </c>
      <c r="BY95" s="10" t="str">
        <f aca="false">IF(D95="","",IF(AND(AJ95="Approved",ISERROR(SEARCH("FAIL",BC95))),"Y","N"))</f>
        <v/>
      </c>
      <c r="BZ95" s="10" t="str">
        <f aca="false">IF(D95="","",D95&amp;"|"&amp;F95&amp;"|"&amp;G95&amp;"|"&amp;BY95)</f>
        <v/>
      </c>
    </row>
    <row r="96" customFormat="false" ht="15" hidden="false" customHeight="false" outlineLevel="0" collapsed="false">
      <c r="A96" s="10" t="str">
        <f aca="false">IF(D96="","","LKW-"&amp;IFERROR(VLOOKUP(D96,Lists!$AQ$4:$AR$17,2,0),"??")&amp;"-W"&amp;TEXT(F96*1000,"0000")&amp;"-H"&amp;TEXT(G96*1000,"0000")&amp;"-B"&amp;TEXT(H96*1000,"0000")&amp;"-"&amp;AI96)</f>
        <v/>
      </c>
      <c r="B96" s="10" t="str">
        <f aca="false">IF(D96="","",D96&amp;", "&amp;F96&amp;" m wide, "&amp;G96&amp;" m headroom, "&amp;H96&amp;" m bays, "&amp;I96&amp;" ("&amp;E96&amp;")")</f>
        <v/>
      </c>
      <c r="C96" s="9"/>
      <c r="D96" s="9"/>
      <c r="E96" s="9"/>
      <c r="F96" s="42"/>
      <c r="G96" s="42"/>
      <c r="H96" s="42"/>
      <c r="I96" s="9"/>
      <c r="J96" s="9"/>
      <c r="K96" s="9"/>
      <c r="L96" s="9"/>
      <c r="M96" s="9"/>
      <c r="N96" s="9"/>
      <c r="O96" s="9"/>
      <c r="P96" s="9"/>
      <c r="Q96" s="9"/>
      <c r="R96" s="9"/>
      <c r="S96" s="42"/>
      <c r="T96" s="9"/>
      <c r="U96" s="9"/>
      <c r="V96" s="9"/>
      <c r="W96" s="38"/>
      <c r="X96" s="42"/>
      <c r="Y96" s="9"/>
      <c r="Z96" s="9"/>
      <c r="AA96" s="9"/>
      <c r="AB96" s="42"/>
      <c r="AC96" s="9"/>
      <c r="AD96" s="38"/>
      <c r="AE96" s="9"/>
      <c r="AF96" s="39"/>
      <c r="AG96" s="9"/>
      <c r="AH96" s="9"/>
      <c r="AI96" s="9"/>
      <c r="AJ96" s="9"/>
      <c r="AK96" s="9"/>
      <c r="AL96" s="9"/>
      <c r="AM96" s="9"/>
      <c r="AN96" s="10" t="str">
        <f aca="false">IF(A96="","",SG_Criteria!$B$6&amp;SG_Criteria!$B$12&amp;"\"&amp;A96&amp;"\")</f>
        <v/>
      </c>
      <c r="AO96" s="10" t="str">
        <f aca="false">IF(A96="","",A96&amp;"_CAD.dwg")</f>
        <v/>
      </c>
      <c r="AP96" s="10" t="str">
        <f aca="false">IF(A96="","",A96&amp;"_DWG.pdf")</f>
        <v/>
      </c>
      <c r="AQ96" s="10" t="str">
        <f aca="false">IF(A96="","",IF(AM96="Y",A96&amp;"_STAAD.std","n/a"))</f>
        <v/>
      </c>
      <c r="AR96" s="10" t="str">
        <f aca="false">IF(A96="","",A96&amp;"_CALC.xlsx")</f>
        <v/>
      </c>
      <c r="AS96" s="10" t="str">
        <f aca="false">IF(A96="","",A96&amp;"_CALC.pdf")</f>
        <v/>
      </c>
      <c r="AT96" s="9"/>
      <c r="AU96" s="9"/>
      <c r="AV96" s="39"/>
      <c r="AW96" s="39"/>
      <c r="AX96" s="39"/>
      <c r="AY96" s="39"/>
      <c r="AZ96" s="39"/>
      <c r="BA96" s="12" t="str">
        <f aca="false">IF(A96="","",IF(COUNTIF(Rebar_Schedule!$A$5:$A$2004,A96)=0,"",ROUND(SUMIF(Rebar_Schedule!$A$5:$A$2004,A96,Rebar_Schedule!$K$5:$K$2004),1)))</f>
        <v/>
      </c>
      <c r="BB96" s="33" t="str">
        <f aca="false">IF(A96="","",IF(BA96="","No rebar schedule yet",IF(ABS(BA96-N(AW96))/MAX(N(AW96),1)&gt;SG_Criteria!$B$55,"NOTE: register rebar differs from schedule by "&amp;TEXT(ABS(BA96-N(AW96))/MAX(N(AW96),1),"0%"),"OK")))</f>
        <v/>
      </c>
      <c r="BC96" s="33" t="str">
        <f aca="false">IF(D96="","",IF(LEN(IF(AND(D96&lt;&gt;"High Covered Linkway",G96&lt;SG_Criteria!$B$46),"FAIL: headroom below "&amp;SG_Criteria!$B$46&amp;" m. ","")&amp;IF(AND(D96="High Covered Linkway",G96&lt;SG_Criteria!$B$47),"FAIL: high linkway headroom below "&amp;SG_Criteria!$B$47&amp;" m. ","")&amp;IF(F96&lt;SG_Criteria!$B$48,"FAIL: roof width below "&amp;SG_Criteria!$B$48&amp;" m. ",IF(F96&lt;SG_Criteria!$B$49,"NOTE: not for MRT/LRT or high-traffic routes (min "&amp;SG_Criteria!$B$49&amp;" m). ",""))&amp;IF(AND(W96&lt;&gt;"",W96&lt;SG_Criteria!$B$50),"FAIL: wind speed below "&amp;SG_Criteria!$B$50&amp;" m/s. ","")&amp;IF(AND(X96&lt;&gt;"",X96&lt;SG_Criteria!$B$51),"FAIL: roof fixing pull-out below "&amp;SG_Criteria!$B$51&amp;" kN. ","")&amp;IF(AND(Y96&lt;&gt;"",IFERROR(VALUE(MID(Y96,2,2)),0)&lt;SG_Criteria!$B$52),"FAIL: grade below C"&amp;SG_Criteria!$B$52&amp;". ","")&amp;IF(E96="Non-standard (project design)","NOTE: not an SDRE standard, needs LTA acceptance. ",""))=0,"OK",IF(AND(D96&lt;&gt;"High Covered Linkway",G96&lt;SG_Criteria!$B$46),"FAIL: headroom below "&amp;SG_Criteria!$B$46&amp;" m. ","")&amp;IF(AND(D96="High Covered Linkway",G96&lt;SG_Criteria!$B$47),"FAIL: high linkway headroom below "&amp;SG_Criteria!$B$47&amp;" m. ","")&amp;IF(F96&lt;SG_Criteria!$B$48,"FAIL: roof width below "&amp;SG_Criteria!$B$48&amp;" m. ",IF(F96&lt;SG_Criteria!$B$49,"NOTE: not for MRT/LRT or high-traffic routes (min "&amp;SG_Criteria!$B$49&amp;" m). ",""))&amp;IF(AND(W96&lt;&gt;"",W96&lt;SG_Criteria!$B$50),"FAIL: wind speed below "&amp;SG_Criteria!$B$50&amp;" m/s. ","")&amp;IF(AND(X96&lt;&gt;"",X96&lt;SG_Criteria!$B$51),"FAIL: roof fixing pull-out below "&amp;SG_Criteria!$B$51&amp;" kN. ","")&amp;IF(AND(Y96&lt;&gt;"",IFERROR(VALUE(MID(Y96,2,2)),0)&lt;SG_Criteria!$B$52),"FAIL: grade below C"&amp;SG_Criteria!$B$52&amp;". ","")&amp;IF(E96="Non-standard (project design)","NOTE: not an SDRE standard, needs LTA acceptance. ","")))</f>
        <v/>
      </c>
      <c r="BD96" s="9"/>
      <c r="BE96" s="9"/>
      <c r="BF96" s="9"/>
      <c r="BG96" s="10" t="str">
        <f aca="false">IF(BF96="","",IFERROR(VLOOKUP(BF96,Projects!$A$5:$D$504,2,0),"Ref not in Projects"))</f>
        <v/>
      </c>
      <c r="BH96" s="10" t="str">
        <f aca="false">IF(BF96="","",IFERROR(VLOOKUP(BF96,Projects!$A$5:$D$504,4,0),"Ref not in Projects"))</f>
        <v/>
      </c>
      <c r="BI96" s="9"/>
      <c r="BJ96" s="9"/>
      <c r="BK96" s="9"/>
      <c r="BL96" s="40"/>
      <c r="BM96" s="9"/>
      <c r="BN96" s="40"/>
      <c r="BO96" s="9"/>
      <c r="BP96" s="40"/>
      <c r="BQ96" s="9"/>
      <c r="BR96" s="9"/>
      <c r="BS96" s="9"/>
      <c r="BT96" s="40"/>
      <c r="BU96" s="40"/>
      <c r="BV96" s="36" t="str">
        <f aca="false">IF(BU96="","",EDATE(BU96,SG_Criteria!$B$54*12))</f>
        <v/>
      </c>
      <c r="BW96" s="33" t="str">
        <f aca="true">IF(A96="","",IF(BU96="","NOTE: not reviewed yet",IF(TODAY()&gt;BV96,"NOTE: review overdue","OK")))</f>
        <v/>
      </c>
      <c r="BX96" s="37" t="str">
        <f aca="false">IF(A96="","",ROUND((IF(LEN(D96)&gt;0,1,0)+IF(LEN(E96)&gt;0,1,0)+IF(LEN(F96)&gt;0,1,0)+IF(LEN(G96)&gt;0,1,0)+IF(LEN(H96)&gt;0,1,0)+IF(LEN(I96)&gt;0,1,0)+IF(LEN(J96)&gt;0,1,0)+IF(LEN(K96)&gt;0,1,0)+IF(LEN(N96)&gt;0,1,0)+IF(LEN(O96)&gt;0,1,0)+IF(LEN(W96)&gt;0,1,0)+IF(LEN(X96)&gt;0,1,0)+IF(LEN(Y96)&gt;0,1,0)+IF(LEN(AG96)&gt;0,1,0)+IF(LEN(AI96)&gt;0,1,0)+IF(LEN(AJ96)&gt;0,1,0)+IF(LEN(AK96)&gt;0,1,0)+IF(LEN(AL96)&gt;0,1,0)+IF(LEN(AU96)&gt;0,1,0)+IF(LEN(BF96)&gt;0,1,0)+IF(LEN(BS96)&gt;0,1,0))/21,2))</f>
        <v/>
      </c>
      <c r="BY96" s="10" t="str">
        <f aca="false">IF(D96="","",IF(AND(AJ96="Approved",ISERROR(SEARCH("FAIL",BC96))),"Y","N"))</f>
        <v/>
      </c>
      <c r="BZ96" s="10" t="str">
        <f aca="false">IF(D96="","",D96&amp;"|"&amp;F96&amp;"|"&amp;G96&amp;"|"&amp;BY96)</f>
        <v/>
      </c>
    </row>
    <row r="97" customFormat="false" ht="15" hidden="false" customHeight="false" outlineLevel="0" collapsed="false">
      <c r="A97" s="10" t="str">
        <f aca="false">IF(D97="","","LKW-"&amp;IFERROR(VLOOKUP(D97,Lists!$AQ$4:$AR$17,2,0),"??")&amp;"-W"&amp;TEXT(F97*1000,"0000")&amp;"-H"&amp;TEXT(G97*1000,"0000")&amp;"-B"&amp;TEXT(H97*1000,"0000")&amp;"-"&amp;AI97)</f>
        <v/>
      </c>
      <c r="B97" s="10" t="str">
        <f aca="false">IF(D97="","",D97&amp;", "&amp;F97&amp;" m wide, "&amp;G97&amp;" m headroom, "&amp;H97&amp;" m bays, "&amp;I97&amp;" ("&amp;E97&amp;")")</f>
        <v/>
      </c>
      <c r="C97" s="9"/>
      <c r="D97" s="9"/>
      <c r="E97" s="9"/>
      <c r="F97" s="42"/>
      <c r="G97" s="42"/>
      <c r="H97" s="42"/>
      <c r="I97" s="9"/>
      <c r="J97" s="9"/>
      <c r="K97" s="9"/>
      <c r="L97" s="9"/>
      <c r="M97" s="9"/>
      <c r="N97" s="9"/>
      <c r="O97" s="9"/>
      <c r="P97" s="9"/>
      <c r="Q97" s="9"/>
      <c r="R97" s="9"/>
      <c r="S97" s="42"/>
      <c r="T97" s="9"/>
      <c r="U97" s="9"/>
      <c r="V97" s="9"/>
      <c r="W97" s="38"/>
      <c r="X97" s="42"/>
      <c r="Y97" s="9"/>
      <c r="Z97" s="9"/>
      <c r="AA97" s="9"/>
      <c r="AB97" s="42"/>
      <c r="AC97" s="9"/>
      <c r="AD97" s="38"/>
      <c r="AE97" s="9"/>
      <c r="AF97" s="39"/>
      <c r="AG97" s="9"/>
      <c r="AH97" s="9"/>
      <c r="AI97" s="9"/>
      <c r="AJ97" s="9"/>
      <c r="AK97" s="9"/>
      <c r="AL97" s="9"/>
      <c r="AM97" s="9"/>
      <c r="AN97" s="10" t="str">
        <f aca="false">IF(A97="","",SG_Criteria!$B$6&amp;SG_Criteria!$B$12&amp;"\"&amp;A97&amp;"\")</f>
        <v/>
      </c>
      <c r="AO97" s="10" t="str">
        <f aca="false">IF(A97="","",A97&amp;"_CAD.dwg")</f>
        <v/>
      </c>
      <c r="AP97" s="10" t="str">
        <f aca="false">IF(A97="","",A97&amp;"_DWG.pdf")</f>
        <v/>
      </c>
      <c r="AQ97" s="10" t="str">
        <f aca="false">IF(A97="","",IF(AM97="Y",A97&amp;"_STAAD.std","n/a"))</f>
        <v/>
      </c>
      <c r="AR97" s="10" t="str">
        <f aca="false">IF(A97="","",A97&amp;"_CALC.xlsx")</f>
        <v/>
      </c>
      <c r="AS97" s="10" t="str">
        <f aca="false">IF(A97="","",A97&amp;"_CALC.pdf")</f>
        <v/>
      </c>
      <c r="AT97" s="9"/>
      <c r="AU97" s="9"/>
      <c r="AV97" s="39"/>
      <c r="AW97" s="39"/>
      <c r="AX97" s="39"/>
      <c r="AY97" s="39"/>
      <c r="AZ97" s="39"/>
      <c r="BA97" s="12" t="str">
        <f aca="false">IF(A97="","",IF(COUNTIF(Rebar_Schedule!$A$5:$A$2004,A97)=0,"",ROUND(SUMIF(Rebar_Schedule!$A$5:$A$2004,A97,Rebar_Schedule!$K$5:$K$2004),1)))</f>
        <v/>
      </c>
      <c r="BB97" s="33" t="str">
        <f aca="false">IF(A97="","",IF(BA97="","No rebar schedule yet",IF(ABS(BA97-N(AW97))/MAX(N(AW97),1)&gt;SG_Criteria!$B$55,"NOTE: register rebar differs from schedule by "&amp;TEXT(ABS(BA97-N(AW97))/MAX(N(AW97),1),"0%"),"OK")))</f>
        <v/>
      </c>
      <c r="BC97" s="33" t="str">
        <f aca="false">IF(D97="","",IF(LEN(IF(AND(D97&lt;&gt;"High Covered Linkway",G97&lt;SG_Criteria!$B$46),"FAIL: headroom below "&amp;SG_Criteria!$B$46&amp;" m. ","")&amp;IF(AND(D97="High Covered Linkway",G97&lt;SG_Criteria!$B$47),"FAIL: high linkway headroom below "&amp;SG_Criteria!$B$47&amp;" m. ","")&amp;IF(F97&lt;SG_Criteria!$B$48,"FAIL: roof width below "&amp;SG_Criteria!$B$48&amp;" m. ",IF(F97&lt;SG_Criteria!$B$49,"NOTE: not for MRT/LRT or high-traffic routes (min "&amp;SG_Criteria!$B$49&amp;" m). ",""))&amp;IF(AND(W97&lt;&gt;"",W97&lt;SG_Criteria!$B$50),"FAIL: wind speed below "&amp;SG_Criteria!$B$50&amp;" m/s. ","")&amp;IF(AND(X97&lt;&gt;"",X97&lt;SG_Criteria!$B$51),"FAIL: roof fixing pull-out below "&amp;SG_Criteria!$B$51&amp;" kN. ","")&amp;IF(AND(Y97&lt;&gt;"",IFERROR(VALUE(MID(Y97,2,2)),0)&lt;SG_Criteria!$B$52),"FAIL: grade below C"&amp;SG_Criteria!$B$52&amp;". ","")&amp;IF(E97="Non-standard (project design)","NOTE: not an SDRE standard, needs LTA acceptance. ",""))=0,"OK",IF(AND(D97&lt;&gt;"High Covered Linkway",G97&lt;SG_Criteria!$B$46),"FAIL: headroom below "&amp;SG_Criteria!$B$46&amp;" m. ","")&amp;IF(AND(D97="High Covered Linkway",G97&lt;SG_Criteria!$B$47),"FAIL: high linkway headroom below "&amp;SG_Criteria!$B$47&amp;" m. ","")&amp;IF(F97&lt;SG_Criteria!$B$48,"FAIL: roof width below "&amp;SG_Criteria!$B$48&amp;" m. ",IF(F97&lt;SG_Criteria!$B$49,"NOTE: not for MRT/LRT or high-traffic routes (min "&amp;SG_Criteria!$B$49&amp;" m). ",""))&amp;IF(AND(W97&lt;&gt;"",W97&lt;SG_Criteria!$B$50),"FAIL: wind speed below "&amp;SG_Criteria!$B$50&amp;" m/s. ","")&amp;IF(AND(X97&lt;&gt;"",X97&lt;SG_Criteria!$B$51),"FAIL: roof fixing pull-out below "&amp;SG_Criteria!$B$51&amp;" kN. ","")&amp;IF(AND(Y97&lt;&gt;"",IFERROR(VALUE(MID(Y97,2,2)),0)&lt;SG_Criteria!$B$52),"FAIL: grade below C"&amp;SG_Criteria!$B$52&amp;". ","")&amp;IF(E97="Non-standard (project design)","NOTE: not an SDRE standard, needs LTA acceptance. ","")))</f>
        <v/>
      </c>
      <c r="BD97" s="9"/>
      <c r="BE97" s="9"/>
      <c r="BF97" s="9"/>
      <c r="BG97" s="10" t="str">
        <f aca="false">IF(BF97="","",IFERROR(VLOOKUP(BF97,Projects!$A$5:$D$504,2,0),"Ref not in Projects"))</f>
        <v/>
      </c>
      <c r="BH97" s="10" t="str">
        <f aca="false">IF(BF97="","",IFERROR(VLOOKUP(BF97,Projects!$A$5:$D$504,4,0),"Ref not in Projects"))</f>
        <v/>
      </c>
      <c r="BI97" s="9"/>
      <c r="BJ97" s="9"/>
      <c r="BK97" s="9"/>
      <c r="BL97" s="40"/>
      <c r="BM97" s="9"/>
      <c r="BN97" s="40"/>
      <c r="BO97" s="9"/>
      <c r="BP97" s="40"/>
      <c r="BQ97" s="9"/>
      <c r="BR97" s="9"/>
      <c r="BS97" s="9"/>
      <c r="BT97" s="40"/>
      <c r="BU97" s="40"/>
      <c r="BV97" s="36" t="str">
        <f aca="false">IF(BU97="","",EDATE(BU97,SG_Criteria!$B$54*12))</f>
        <v/>
      </c>
      <c r="BW97" s="33" t="str">
        <f aca="true">IF(A97="","",IF(BU97="","NOTE: not reviewed yet",IF(TODAY()&gt;BV97,"NOTE: review overdue","OK")))</f>
        <v/>
      </c>
      <c r="BX97" s="37" t="str">
        <f aca="false">IF(A97="","",ROUND((IF(LEN(D97)&gt;0,1,0)+IF(LEN(E97)&gt;0,1,0)+IF(LEN(F97)&gt;0,1,0)+IF(LEN(G97)&gt;0,1,0)+IF(LEN(H97)&gt;0,1,0)+IF(LEN(I97)&gt;0,1,0)+IF(LEN(J97)&gt;0,1,0)+IF(LEN(K97)&gt;0,1,0)+IF(LEN(N97)&gt;0,1,0)+IF(LEN(O97)&gt;0,1,0)+IF(LEN(W97)&gt;0,1,0)+IF(LEN(X97)&gt;0,1,0)+IF(LEN(Y97)&gt;0,1,0)+IF(LEN(AG97)&gt;0,1,0)+IF(LEN(AI97)&gt;0,1,0)+IF(LEN(AJ97)&gt;0,1,0)+IF(LEN(AK97)&gt;0,1,0)+IF(LEN(AL97)&gt;0,1,0)+IF(LEN(AU97)&gt;0,1,0)+IF(LEN(BF97)&gt;0,1,0)+IF(LEN(BS97)&gt;0,1,0))/21,2))</f>
        <v/>
      </c>
      <c r="BY97" s="10" t="str">
        <f aca="false">IF(D97="","",IF(AND(AJ97="Approved",ISERROR(SEARCH("FAIL",BC97))),"Y","N"))</f>
        <v/>
      </c>
      <c r="BZ97" s="10" t="str">
        <f aca="false">IF(D97="","",D97&amp;"|"&amp;F97&amp;"|"&amp;G97&amp;"|"&amp;BY97)</f>
        <v/>
      </c>
    </row>
    <row r="98" customFormat="false" ht="15" hidden="false" customHeight="false" outlineLevel="0" collapsed="false">
      <c r="A98" s="10" t="str">
        <f aca="false">IF(D98="","","LKW-"&amp;IFERROR(VLOOKUP(D98,Lists!$AQ$4:$AR$17,2,0),"??")&amp;"-W"&amp;TEXT(F98*1000,"0000")&amp;"-H"&amp;TEXT(G98*1000,"0000")&amp;"-B"&amp;TEXT(H98*1000,"0000")&amp;"-"&amp;AI98)</f>
        <v/>
      </c>
      <c r="B98" s="10" t="str">
        <f aca="false">IF(D98="","",D98&amp;", "&amp;F98&amp;" m wide, "&amp;G98&amp;" m headroom, "&amp;H98&amp;" m bays, "&amp;I98&amp;" ("&amp;E98&amp;")")</f>
        <v/>
      </c>
      <c r="C98" s="9"/>
      <c r="D98" s="9"/>
      <c r="E98" s="9"/>
      <c r="F98" s="42"/>
      <c r="G98" s="42"/>
      <c r="H98" s="42"/>
      <c r="I98" s="9"/>
      <c r="J98" s="9"/>
      <c r="K98" s="9"/>
      <c r="L98" s="9"/>
      <c r="M98" s="9"/>
      <c r="N98" s="9"/>
      <c r="O98" s="9"/>
      <c r="P98" s="9"/>
      <c r="Q98" s="9"/>
      <c r="R98" s="9"/>
      <c r="S98" s="42"/>
      <c r="T98" s="9"/>
      <c r="U98" s="9"/>
      <c r="V98" s="9"/>
      <c r="W98" s="38"/>
      <c r="X98" s="42"/>
      <c r="Y98" s="9"/>
      <c r="Z98" s="9"/>
      <c r="AA98" s="9"/>
      <c r="AB98" s="42"/>
      <c r="AC98" s="9"/>
      <c r="AD98" s="38"/>
      <c r="AE98" s="9"/>
      <c r="AF98" s="39"/>
      <c r="AG98" s="9"/>
      <c r="AH98" s="9"/>
      <c r="AI98" s="9"/>
      <c r="AJ98" s="9"/>
      <c r="AK98" s="9"/>
      <c r="AL98" s="9"/>
      <c r="AM98" s="9"/>
      <c r="AN98" s="10" t="str">
        <f aca="false">IF(A98="","",SG_Criteria!$B$6&amp;SG_Criteria!$B$12&amp;"\"&amp;A98&amp;"\")</f>
        <v/>
      </c>
      <c r="AO98" s="10" t="str">
        <f aca="false">IF(A98="","",A98&amp;"_CAD.dwg")</f>
        <v/>
      </c>
      <c r="AP98" s="10" t="str">
        <f aca="false">IF(A98="","",A98&amp;"_DWG.pdf")</f>
        <v/>
      </c>
      <c r="AQ98" s="10" t="str">
        <f aca="false">IF(A98="","",IF(AM98="Y",A98&amp;"_STAAD.std","n/a"))</f>
        <v/>
      </c>
      <c r="AR98" s="10" t="str">
        <f aca="false">IF(A98="","",A98&amp;"_CALC.xlsx")</f>
        <v/>
      </c>
      <c r="AS98" s="10" t="str">
        <f aca="false">IF(A98="","",A98&amp;"_CALC.pdf")</f>
        <v/>
      </c>
      <c r="AT98" s="9"/>
      <c r="AU98" s="9"/>
      <c r="AV98" s="39"/>
      <c r="AW98" s="39"/>
      <c r="AX98" s="39"/>
      <c r="AY98" s="39"/>
      <c r="AZ98" s="39"/>
      <c r="BA98" s="12" t="str">
        <f aca="false">IF(A98="","",IF(COUNTIF(Rebar_Schedule!$A$5:$A$2004,A98)=0,"",ROUND(SUMIF(Rebar_Schedule!$A$5:$A$2004,A98,Rebar_Schedule!$K$5:$K$2004),1)))</f>
        <v/>
      </c>
      <c r="BB98" s="33" t="str">
        <f aca="false">IF(A98="","",IF(BA98="","No rebar schedule yet",IF(ABS(BA98-N(AW98))/MAX(N(AW98),1)&gt;SG_Criteria!$B$55,"NOTE: register rebar differs from schedule by "&amp;TEXT(ABS(BA98-N(AW98))/MAX(N(AW98),1),"0%"),"OK")))</f>
        <v/>
      </c>
      <c r="BC98" s="33" t="str">
        <f aca="false">IF(D98="","",IF(LEN(IF(AND(D98&lt;&gt;"High Covered Linkway",G98&lt;SG_Criteria!$B$46),"FAIL: headroom below "&amp;SG_Criteria!$B$46&amp;" m. ","")&amp;IF(AND(D98="High Covered Linkway",G98&lt;SG_Criteria!$B$47),"FAIL: high linkway headroom below "&amp;SG_Criteria!$B$47&amp;" m. ","")&amp;IF(F98&lt;SG_Criteria!$B$48,"FAIL: roof width below "&amp;SG_Criteria!$B$48&amp;" m. ",IF(F98&lt;SG_Criteria!$B$49,"NOTE: not for MRT/LRT or high-traffic routes (min "&amp;SG_Criteria!$B$49&amp;" m). ",""))&amp;IF(AND(W98&lt;&gt;"",W98&lt;SG_Criteria!$B$50),"FAIL: wind speed below "&amp;SG_Criteria!$B$50&amp;" m/s. ","")&amp;IF(AND(X98&lt;&gt;"",X98&lt;SG_Criteria!$B$51),"FAIL: roof fixing pull-out below "&amp;SG_Criteria!$B$51&amp;" kN. ","")&amp;IF(AND(Y98&lt;&gt;"",IFERROR(VALUE(MID(Y98,2,2)),0)&lt;SG_Criteria!$B$52),"FAIL: grade below C"&amp;SG_Criteria!$B$52&amp;". ","")&amp;IF(E98="Non-standard (project design)","NOTE: not an SDRE standard, needs LTA acceptance. ",""))=0,"OK",IF(AND(D98&lt;&gt;"High Covered Linkway",G98&lt;SG_Criteria!$B$46),"FAIL: headroom below "&amp;SG_Criteria!$B$46&amp;" m. ","")&amp;IF(AND(D98="High Covered Linkway",G98&lt;SG_Criteria!$B$47),"FAIL: high linkway headroom below "&amp;SG_Criteria!$B$47&amp;" m. ","")&amp;IF(F98&lt;SG_Criteria!$B$48,"FAIL: roof width below "&amp;SG_Criteria!$B$48&amp;" m. ",IF(F98&lt;SG_Criteria!$B$49,"NOTE: not for MRT/LRT or high-traffic routes (min "&amp;SG_Criteria!$B$49&amp;" m). ",""))&amp;IF(AND(W98&lt;&gt;"",W98&lt;SG_Criteria!$B$50),"FAIL: wind speed below "&amp;SG_Criteria!$B$50&amp;" m/s. ","")&amp;IF(AND(X98&lt;&gt;"",X98&lt;SG_Criteria!$B$51),"FAIL: roof fixing pull-out below "&amp;SG_Criteria!$B$51&amp;" kN. ","")&amp;IF(AND(Y98&lt;&gt;"",IFERROR(VALUE(MID(Y98,2,2)),0)&lt;SG_Criteria!$B$52),"FAIL: grade below C"&amp;SG_Criteria!$B$52&amp;". ","")&amp;IF(E98="Non-standard (project design)","NOTE: not an SDRE standard, needs LTA acceptance. ","")))</f>
        <v/>
      </c>
      <c r="BD98" s="9"/>
      <c r="BE98" s="9"/>
      <c r="BF98" s="9"/>
      <c r="BG98" s="10" t="str">
        <f aca="false">IF(BF98="","",IFERROR(VLOOKUP(BF98,Projects!$A$5:$D$504,2,0),"Ref not in Projects"))</f>
        <v/>
      </c>
      <c r="BH98" s="10" t="str">
        <f aca="false">IF(BF98="","",IFERROR(VLOOKUP(BF98,Projects!$A$5:$D$504,4,0),"Ref not in Projects"))</f>
        <v/>
      </c>
      <c r="BI98" s="9"/>
      <c r="BJ98" s="9"/>
      <c r="BK98" s="9"/>
      <c r="BL98" s="40"/>
      <c r="BM98" s="9"/>
      <c r="BN98" s="40"/>
      <c r="BO98" s="9"/>
      <c r="BP98" s="40"/>
      <c r="BQ98" s="9"/>
      <c r="BR98" s="9"/>
      <c r="BS98" s="9"/>
      <c r="BT98" s="40"/>
      <c r="BU98" s="40"/>
      <c r="BV98" s="36" t="str">
        <f aca="false">IF(BU98="","",EDATE(BU98,SG_Criteria!$B$54*12))</f>
        <v/>
      </c>
      <c r="BW98" s="33" t="str">
        <f aca="true">IF(A98="","",IF(BU98="","NOTE: not reviewed yet",IF(TODAY()&gt;BV98,"NOTE: review overdue","OK")))</f>
        <v/>
      </c>
      <c r="BX98" s="37" t="str">
        <f aca="false">IF(A98="","",ROUND((IF(LEN(D98)&gt;0,1,0)+IF(LEN(E98)&gt;0,1,0)+IF(LEN(F98)&gt;0,1,0)+IF(LEN(G98)&gt;0,1,0)+IF(LEN(H98)&gt;0,1,0)+IF(LEN(I98)&gt;0,1,0)+IF(LEN(J98)&gt;0,1,0)+IF(LEN(K98)&gt;0,1,0)+IF(LEN(N98)&gt;0,1,0)+IF(LEN(O98)&gt;0,1,0)+IF(LEN(W98)&gt;0,1,0)+IF(LEN(X98)&gt;0,1,0)+IF(LEN(Y98)&gt;0,1,0)+IF(LEN(AG98)&gt;0,1,0)+IF(LEN(AI98)&gt;0,1,0)+IF(LEN(AJ98)&gt;0,1,0)+IF(LEN(AK98)&gt;0,1,0)+IF(LEN(AL98)&gt;0,1,0)+IF(LEN(AU98)&gt;0,1,0)+IF(LEN(BF98)&gt;0,1,0)+IF(LEN(BS98)&gt;0,1,0))/21,2))</f>
        <v/>
      </c>
      <c r="BY98" s="10" t="str">
        <f aca="false">IF(D98="","",IF(AND(AJ98="Approved",ISERROR(SEARCH("FAIL",BC98))),"Y","N"))</f>
        <v/>
      </c>
      <c r="BZ98" s="10" t="str">
        <f aca="false">IF(D98="","",D98&amp;"|"&amp;F98&amp;"|"&amp;G98&amp;"|"&amp;BY98)</f>
        <v/>
      </c>
    </row>
    <row r="99" customFormat="false" ht="15" hidden="false" customHeight="false" outlineLevel="0" collapsed="false">
      <c r="A99" s="10" t="str">
        <f aca="false">IF(D99="","","LKW-"&amp;IFERROR(VLOOKUP(D99,Lists!$AQ$4:$AR$17,2,0),"??")&amp;"-W"&amp;TEXT(F99*1000,"0000")&amp;"-H"&amp;TEXT(G99*1000,"0000")&amp;"-B"&amp;TEXT(H99*1000,"0000")&amp;"-"&amp;AI99)</f>
        <v/>
      </c>
      <c r="B99" s="10" t="str">
        <f aca="false">IF(D99="","",D99&amp;", "&amp;F99&amp;" m wide, "&amp;G99&amp;" m headroom, "&amp;H99&amp;" m bays, "&amp;I99&amp;" ("&amp;E99&amp;")")</f>
        <v/>
      </c>
      <c r="C99" s="9"/>
      <c r="D99" s="9"/>
      <c r="E99" s="9"/>
      <c r="F99" s="42"/>
      <c r="G99" s="42"/>
      <c r="H99" s="42"/>
      <c r="I99" s="9"/>
      <c r="J99" s="9"/>
      <c r="K99" s="9"/>
      <c r="L99" s="9"/>
      <c r="M99" s="9"/>
      <c r="N99" s="9"/>
      <c r="O99" s="9"/>
      <c r="P99" s="9"/>
      <c r="Q99" s="9"/>
      <c r="R99" s="9"/>
      <c r="S99" s="42"/>
      <c r="T99" s="9"/>
      <c r="U99" s="9"/>
      <c r="V99" s="9"/>
      <c r="W99" s="38"/>
      <c r="X99" s="42"/>
      <c r="Y99" s="9"/>
      <c r="Z99" s="9"/>
      <c r="AA99" s="9"/>
      <c r="AB99" s="42"/>
      <c r="AC99" s="9"/>
      <c r="AD99" s="38"/>
      <c r="AE99" s="9"/>
      <c r="AF99" s="39"/>
      <c r="AG99" s="9"/>
      <c r="AH99" s="9"/>
      <c r="AI99" s="9"/>
      <c r="AJ99" s="9"/>
      <c r="AK99" s="9"/>
      <c r="AL99" s="9"/>
      <c r="AM99" s="9"/>
      <c r="AN99" s="10" t="str">
        <f aca="false">IF(A99="","",SG_Criteria!$B$6&amp;SG_Criteria!$B$12&amp;"\"&amp;A99&amp;"\")</f>
        <v/>
      </c>
      <c r="AO99" s="10" t="str">
        <f aca="false">IF(A99="","",A99&amp;"_CAD.dwg")</f>
        <v/>
      </c>
      <c r="AP99" s="10" t="str">
        <f aca="false">IF(A99="","",A99&amp;"_DWG.pdf")</f>
        <v/>
      </c>
      <c r="AQ99" s="10" t="str">
        <f aca="false">IF(A99="","",IF(AM99="Y",A99&amp;"_STAAD.std","n/a"))</f>
        <v/>
      </c>
      <c r="AR99" s="10" t="str">
        <f aca="false">IF(A99="","",A99&amp;"_CALC.xlsx")</f>
        <v/>
      </c>
      <c r="AS99" s="10" t="str">
        <f aca="false">IF(A99="","",A99&amp;"_CALC.pdf")</f>
        <v/>
      </c>
      <c r="AT99" s="9"/>
      <c r="AU99" s="9"/>
      <c r="AV99" s="39"/>
      <c r="AW99" s="39"/>
      <c r="AX99" s="39"/>
      <c r="AY99" s="39"/>
      <c r="AZ99" s="39"/>
      <c r="BA99" s="12" t="str">
        <f aca="false">IF(A99="","",IF(COUNTIF(Rebar_Schedule!$A$5:$A$2004,A99)=0,"",ROUND(SUMIF(Rebar_Schedule!$A$5:$A$2004,A99,Rebar_Schedule!$K$5:$K$2004),1)))</f>
        <v/>
      </c>
      <c r="BB99" s="33" t="str">
        <f aca="false">IF(A99="","",IF(BA99="","No rebar schedule yet",IF(ABS(BA99-N(AW99))/MAX(N(AW99),1)&gt;SG_Criteria!$B$55,"NOTE: register rebar differs from schedule by "&amp;TEXT(ABS(BA99-N(AW99))/MAX(N(AW99),1),"0%"),"OK")))</f>
        <v/>
      </c>
      <c r="BC99" s="33" t="str">
        <f aca="false">IF(D99="","",IF(LEN(IF(AND(D99&lt;&gt;"High Covered Linkway",G99&lt;SG_Criteria!$B$46),"FAIL: headroom below "&amp;SG_Criteria!$B$46&amp;" m. ","")&amp;IF(AND(D99="High Covered Linkway",G99&lt;SG_Criteria!$B$47),"FAIL: high linkway headroom below "&amp;SG_Criteria!$B$47&amp;" m. ","")&amp;IF(F99&lt;SG_Criteria!$B$48,"FAIL: roof width below "&amp;SG_Criteria!$B$48&amp;" m. ",IF(F99&lt;SG_Criteria!$B$49,"NOTE: not for MRT/LRT or high-traffic routes (min "&amp;SG_Criteria!$B$49&amp;" m). ",""))&amp;IF(AND(W99&lt;&gt;"",W99&lt;SG_Criteria!$B$50),"FAIL: wind speed below "&amp;SG_Criteria!$B$50&amp;" m/s. ","")&amp;IF(AND(X99&lt;&gt;"",X99&lt;SG_Criteria!$B$51),"FAIL: roof fixing pull-out below "&amp;SG_Criteria!$B$51&amp;" kN. ","")&amp;IF(AND(Y99&lt;&gt;"",IFERROR(VALUE(MID(Y99,2,2)),0)&lt;SG_Criteria!$B$52),"FAIL: grade below C"&amp;SG_Criteria!$B$52&amp;". ","")&amp;IF(E99="Non-standard (project design)","NOTE: not an SDRE standard, needs LTA acceptance. ",""))=0,"OK",IF(AND(D99&lt;&gt;"High Covered Linkway",G99&lt;SG_Criteria!$B$46),"FAIL: headroom below "&amp;SG_Criteria!$B$46&amp;" m. ","")&amp;IF(AND(D99="High Covered Linkway",G99&lt;SG_Criteria!$B$47),"FAIL: high linkway headroom below "&amp;SG_Criteria!$B$47&amp;" m. ","")&amp;IF(F99&lt;SG_Criteria!$B$48,"FAIL: roof width below "&amp;SG_Criteria!$B$48&amp;" m. ",IF(F99&lt;SG_Criteria!$B$49,"NOTE: not for MRT/LRT or high-traffic routes (min "&amp;SG_Criteria!$B$49&amp;" m). ",""))&amp;IF(AND(W99&lt;&gt;"",W99&lt;SG_Criteria!$B$50),"FAIL: wind speed below "&amp;SG_Criteria!$B$50&amp;" m/s. ","")&amp;IF(AND(X99&lt;&gt;"",X99&lt;SG_Criteria!$B$51),"FAIL: roof fixing pull-out below "&amp;SG_Criteria!$B$51&amp;" kN. ","")&amp;IF(AND(Y99&lt;&gt;"",IFERROR(VALUE(MID(Y99,2,2)),0)&lt;SG_Criteria!$B$52),"FAIL: grade below C"&amp;SG_Criteria!$B$52&amp;". ","")&amp;IF(E99="Non-standard (project design)","NOTE: not an SDRE standard, needs LTA acceptance. ","")))</f>
        <v/>
      </c>
      <c r="BD99" s="9"/>
      <c r="BE99" s="9"/>
      <c r="BF99" s="9"/>
      <c r="BG99" s="10" t="str">
        <f aca="false">IF(BF99="","",IFERROR(VLOOKUP(BF99,Projects!$A$5:$D$504,2,0),"Ref not in Projects"))</f>
        <v/>
      </c>
      <c r="BH99" s="10" t="str">
        <f aca="false">IF(BF99="","",IFERROR(VLOOKUP(BF99,Projects!$A$5:$D$504,4,0),"Ref not in Projects"))</f>
        <v/>
      </c>
      <c r="BI99" s="9"/>
      <c r="BJ99" s="9"/>
      <c r="BK99" s="9"/>
      <c r="BL99" s="40"/>
      <c r="BM99" s="9"/>
      <c r="BN99" s="40"/>
      <c r="BO99" s="9"/>
      <c r="BP99" s="40"/>
      <c r="BQ99" s="9"/>
      <c r="BR99" s="9"/>
      <c r="BS99" s="9"/>
      <c r="BT99" s="40"/>
      <c r="BU99" s="40"/>
      <c r="BV99" s="36" t="str">
        <f aca="false">IF(BU99="","",EDATE(BU99,SG_Criteria!$B$54*12))</f>
        <v/>
      </c>
      <c r="BW99" s="33" t="str">
        <f aca="true">IF(A99="","",IF(BU99="","NOTE: not reviewed yet",IF(TODAY()&gt;BV99,"NOTE: review overdue","OK")))</f>
        <v/>
      </c>
      <c r="BX99" s="37" t="str">
        <f aca="false">IF(A99="","",ROUND((IF(LEN(D99)&gt;0,1,0)+IF(LEN(E99)&gt;0,1,0)+IF(LEN(F99)&gt;0,1,0)+IF(LEN(G99)&gt;0,1,0)+IF(LEN(H99)&gt;0,1,0)+IF(LEN(I99)&gt;0,1,0)+IF(LEN(J99)&gt;0,1,0)+IF(LEN(K99)&gt;0,1,0)+IF(LEN(N99)&gt;0,1,0)+IF(LEN(O99)&gt;0,1,0)+IF(LEN(W99)&gt;0,1,0)+IF(LEN(X99)&gt;0,1,0)+IF(LEN(Y99)&gt;0,1,0)+IF(LEN(AG99)&gt;0,1,0)+IF(LEN(AI99)&gt;0,1,0)+IF(LEN(AJ99)&gt;0,1,0)+IF(LEN(AK99)&gt;0,1,0)+IF(LEN(AL99)&gt;0,1,0)+IF(LEN(AU99)&gt;0,1,0)+IF(LEN(BF99)&gt;0,1,0)+IF(LEN(BS99)&gt;0,1,0))/21,2))</f>
        <v/>
      </c>
      <c r="BY99" s="10" t="str">
        <f aca="false">IF(D99="","",IF(AND(AJ99="Approved",ISERROR(SEARCH("FAIL",BC99))),"Y","N"))</f>
        <v/>
      </c>
      <c r="BZ99" s="10" t="str">
        <f aca="false">IF(D99="","",D99&amp;"|"&amp;F99&amp;"|"&amp;G99&amp;"|"&amp;BY99)</f>
        <v/>
      </c>
    </row>
    <row r="100" customFormat="false" ht="15" hidden="false" customHeight="false" outlineLevel="0" collapsed="false">
      <c r="A100" s="10" t="str">
        <f aca="false">IF(D100="","","LKW-"&amp;IFERROR(VLOOKUP(D100,Lists!$AQ$4:$AR$17,2,0),"??")&amp;"-W"&amp;TEXT(F100*1000,"0000")&amp;"-H"&amp;TEXT(G100*1000,"0000")&amp;"-B"&amp;TEXT(H100*1000,"0000")&amp;"-"&amp;AI100)</f>
        <v/>
      </c>
      <c r="B100" s="10" t="str">
        <f aca="false">IF(D100="","",D100&amp;", "&amp;F100&amp;" m wide, "&amp;G100&amp;" m headroom, "&amp;H100&amp;" m bays, "&amp;I100&amp;" ("&amp;E100&amp;")")</f>
        <v/>
      </c>
      <c r="C100" s="9"/>
      <c r="D100" s="9"/>
      <c r="E100" s="9"/>
      <c r="F100" s="42"/>
      <c r="G100" s="42"/>
      <c r="H100" s="42"/>
      <c r="I100" s="9"/>
      <c r="J100" s="9"/>
      <c r="K100" s="9"/>
      <c r="L100" s="9"/>
      <c r="M100" s="9"/>
      <c r="N100" s="9"/>
      <c r="O100" s="9"/>
      <c r="P100" s="9"/>
      <c r="Q100" s="9"/>
      <c r="R100" s="9"/>
      <c r="S100" s="42"/>
      <c r="T100" s="9"/>
      <c r="U100" s="9"/>
      <c r="V100" s="9"/>
      <c r="W100" s="38"/>
      <c r="X100" s="42"/>
      <c r="Y100" s="9"/>
      <c r="Z100" s="9"/>
      <c r="AA100" s="9"/>
      <c r="AB100" s="42"/>
      <c r="AC100" s="9"/>
      <c r="AD100" s="38"/>
      <c r="AE100" s="9"/>
      <c r="AF100" s="39"/>
      <c r="AG100" s="9"/>
      <c r="AH100" s="9"/>
      <c r="AI100" s="9"/>
      <c r="AJ100" s="9"/>
      <c r="AK100" s="9"/>
      <c r="AL100" s="9"/>
      <c r="AM100" s="9"/>
      <c r="AN100" s="10" t="str">
        <f aca="false">IF(A100="","",SG_Criteria!$B$6&amp;SG_Criteria!$B$12&amp;"\"&amp;A100&amp;"\")</f>
        <v/>
      </c>
      <c r="AO100" s="10" t="str">
        <f aca="false">IF(A100="","",A100&amp;"_CAD.dwg")</f>
        <v/>
      </c>
      <c r="AP100" s="10" t="str">
        <f aca="false">IF(A100="","",A100&amp;"_DWG.pdf")</f>
        <v/>
      </c>
      <c r="AQ100" s="10" t="str">
        <f aca="false">IF(A100="","",IF(AM100="Y",A100&amp;"_STAAD.std","n/a"))</f>
        <v/>
      </c>
      <c r="AR100" s="10" t="str">
        <f aca="false">IF(A100="","",A100&amp;"_CALC.xlsx")</f>
        <v/>
      </c>
      <c r="AS100" s="10" t="str">
        <f aca="false">IF(A100="","",A100&amp;"_CALC.pdf")</f>
        <v/>
      </c>
      <c r="AT100" s="9"/>
      <c r="AU100" s="9"/>
      <c r="AV100" s="39"/>
      <c r="AW100" s="39"/>
      <c r="AX100" s="39"/>
      <c r="AY100" s="39"/>
      <c r="AZ100" s="39"/>
      <c r="BA100" s="12" t="str">
        <f aca="false">IF(A100="","",IF(COUNTIF(Rebar_Schedule!$A$5:$A$2004,A100)=0,"",ROUND(SUMIF(Rebar_Schedule!$A$5:$A$2004,A100,Rebar_Schedule!$K$5:$K$2004),1)))</f>
        <v/>
      </c>
      <c r="BB100" s="33" t="str">
        <f aca="false">IF(A100="","",IF(BA100="","No rebar schedule yet",IF(ABS(BA100-N(AW100))/MAX(N(AW100),1)&gt;SG_Criteria!$B$55,"NOTE: register rebar differs from schedule by "&amp;TEXT(ABS(BA100-N(AW100))/MAX(N(AW100),1),"0%"),"OK")))</f>
        <v/>
      </c>
      <c r="BC100" s="33" t="str">
        <f aca="false">IF(D100="","",IF(LEN(IF(AND(D100&lt;&gt;"High Covered Linkway",G100&lt;SG_Criteria!$B$46),"FAIL: headroom below "&amp;SG_Criteria!$B$46&amp;" m. ","")&amp;IF(AND(D100="High Covered Linkway",G100&lt;SG_Criteria!$B$47),"FAIL: high linkway headroom below "&amp;SG_Criteria!$B$47&amp;" m. ","")&amp;IF(F100&lt;SG_Criteria!$B$48,"FAIL: roof width below "&amp;SG_Criteria!$B$48&amp;" m. ",IF(F100&lt;SG_Criteria!$B$49,"NOTE: not for MRT/LRT or high-traffic routes (min "&amp;SG_Criteria!$B$49&amp;" m). ",""))&amp;IF(AND(W100&lt;&gt;"",W100&lt;SG_Criteria!$B$50),"FAIL: wind speed below "&amp;SG_Criteria!$B$50&amp;" m/s. ","")&amp;IF(AND(X100&lt;&gt;"",X100&lt;SG_Criteria!$B$51),"FAIL: roof fixing pull-out below "&amp;SG_Criteria!$B$51&amp;" kN. ","")&amp;IF(AND(Y100&lt;&gt;"",IFERROR(VALUE(MID(Y100,2,2)),0)&lt;SG_Criteria!$B$52),"FAIL: grade below C"&amp;SG_Criteria!$B$52&amp;". ","")&amp;IF(E100="Non-standard (project design)","NOTE: not an SDRE standard, needs LTA acceptance. ",""))=0,"OK",IF(AND(D100&lt;&gt;"High Covered Linkway",G100&lt;SG_Criteria!$B$46),"FAIL: headroom below "&amp;SG_Criteria!$B$46&amp;" m. ","")&amp;IF(AND(D100="High Covered Linkway",G100&lt;SG_Criteria!$B$47),"FAIL: high linkway headroom below "&amp;SG_Criteria!$B$47&amp;" m. ","")&amp;IF(F100&lt;SG_Criteria!$B$48,"FAIL: roof width below "&amp;SG_Criteria!$B$48&amp;" m. ",IF(F100&lt;SG_Criteria!$B$49,"NOTE: not for MRT/LRT or high-traffic routes (min "&amp;SG_Criteria!$B$49&amp;" m). ",""))&amp;IF(AND(W100&lt;&gt;"",W100&lt;SG_Criteria!$B$50),"FAIL: wind speed below "&amp;SG_Criteria!$B$50&amp;" m/s. ","")&amp;IF(AND(X100&lt;&gt;"",X100&lt;SG_Criteria!$B$51),"FAIL: roof fixing pull-out below "&amp;SG_Criteria!$B$51&amp;" kN. ","")&amp;IF(AND(Y100&lt;&gt;"",IFERROR(VALUE(MID(Y100,2,2)),0)&lt;SG_Criteria!$B$52),"FAIL: grade below C"&amp;SG_Criteria!$B$52&amp;". ","")&amp;IF(E100="Non-standard (project design)","NOTE: not an SDRE standard, needs LTA acceptance. ","")))</f>
        <v/>
      </c>
      <c r="BD100" s="9"/>
      <c r="BE100" s="9"/>
      <c r="BF100" s="9"/>
      <c r="BG100" s="10" t="str">
        <f aca="false">IF(BF100="","",IFERROR(VLOOKUP(BF100,Projects!$A$5:$D$504,2,0),"Ref not in Projects"))</f>
        <v/>
      </c>
      <c r="BH100" s="10" t="str">
        <f aca="false">IF(BF100="","",IFERROR(VLOOKUP(BF100,Projects!$A$5:$D$504,4,0),"Ref not in Projects"))</f>
        <v/>
      </c>
      <c r="BI100" s="9"/>
      <c r="BJ100" s="9"/>
      <c r="BK100" s="9"/>
      <c r="BL100" s="40"/>
      <c r="BM100" s="9"/>
      <c r="BN100" s="40"/>
      <c r="BO100" s="9"/>
      <c r="BP100" s="40"/>
      <c r="BQ100" s="9"/>
      <c r="BR100" s="9"/>
      <c r="BS100" s="9"/>
      <c r="BT100" s="40"/>
      <c r="BU100" s="40"/>
      <c r="BV100" s="36" t="str">
        <f aca="false">IF(BU100="","",EDATE(BU100,SG_Criteria!$B$54*12))</f>
        <v/>
      </c>
      <c r="BW100" s="33" t="str">
        <f aca="true">IF(A100="","",IF(BU100="","NOTE: not reviewed yet",IF(TODAY()&gt;BV100,"NOTE: review overdue","OK")))</f>
        <v/>
      </c>
      <c r="BX100" s="37" t="str">
        <f aca="false">IF(A100="","",ROUND((IF(LEN(D100)&gt;0,1,0)+IF(LEN(E100)&gt;0,1,0)+IF(LEN(F100)&gt;0,1,0)+IF(LEN(G100)&gt;0,1,0)+IF(LEN(H100)&gt;0,1,0)+IF(LEN(I100)&gt;0,1,0)+IF(LEN(J100)&gt;0,1,0)+IF(LEN(K100)&gt;0,1,0)+IF(LEN(N100)&gt;0,1,0)+IF(LEN(O100)&gt;0,1,0)+IF(LEN(W100)&gt;0,1,0)+IF(LEN(X100)&gt;0,1,0)+IF(LEN(Y100)&gt;0,1,0)+IF(LEN(AG100)&gt;0,1,0)+IF(LEN(AI100)&gt;0,1,0)+IF(LEN(AJ100)&gt;0,1,0)+IF(LEN(AK100)&gt;0,1,0)+IF(LEN(AL100)&gt;0,1,0)+IF(LEN(AU100)&gt;0,1,0)+IF(LEN(BF100)&gt;0,1,0)+IF(LEN(BS100)&gt;0,1,0))/21,2))</f>
        <v/>
      </c>
      <c r="BY100" s="10" t="str">
        <f aca="false">IF(D100="","",IF(AND(AJ100="Approved",ISERROR(SEARCH("FAIL",BC100))),"Y","N"))</f>
        <v/>
      </c>
      <c r="BZ100" s="10" t="str">
        <f aca="false">IF(D100="","",D100&amp;"|"&amp;F100&amp;"|"&amp;G100&amp;"|"&amp;BY100)</f>
        <v/>
      </c>
    </row>
    <row r="101" customFormat="false" ht="15" hidden="false" customHeight="false" outlineLevel="0" collapsed="false">
      <c r="A101" s="10" t="str">
        <f aca="false">IF(D101="","","LKW-"&amp;IFERROR(VLOOKUP(D101,Lists!$AQ$4:$AR$17,2,0),"??")&amp;"-W"&amp;TEXT(F101*1000,"0000")&amp;"-H"&amp;TEXT(G101*1000,"0000")&amp;"-B"&amp;TEXT(H101*1000,"0000")&amp;"-"&amp;AI101)</f>
        <v/>
      </c>
      <c r="B101" s="10" t="str">
        <f aca="false">IF(D101="","",D101&amp;", "&amp;F101&amp;" m wide, "&amp;G101&amp;" m headroom, "&amp;H101&amp;" m bays, "&amp;I101&amp;" ("&amp;E101&amp;")")</f>
        <v/>
      </c>
      <c r="C101" s="9"/>
      <c r="D101" s="9"/>
      <c r="E101" s="9"/>
      <c r="F101" s="42"/>
      <c r="G101" s="42"/>
      <c r="H101" s="42"/>
      <c r="I101" s="9"/>
      <c r="J101" s="9"/>
      <c r="K101" s="9"/>
      <c r="L101" s="9"/>
      <c r="M101" s="9"/>
      <c r="N101" s="9"/>
      <c r="O101" s="9"/>
      <c r="P101" s="9"/>
      <c r="Q101" s="9"/>
      <c r="R101" s="9"/>
      <c r="S101" s="42"/>
      <c r="T101" s="9"/>
      <c r="U101" s="9"/>
      <c r="V101" s="9"/>
      <c r="W101" s="38"/>
      <c r="X101" s="42"/>
      <c r="Y101" s="9"/>
      <c r="Z101" s="9"/>
      <c r="AA101" s="9"/>
      <c r="AB101" s="42"/>
      <c r="AC101" s="9"/>
      <c r="AD101" s="38"/>
      <c r="AE101" s="9"/>
      <c r="AF101" s="39"/>
      <c r="AG101" s="9"/>
      <c r="AH101" s="9"/>
      <c r="AI101" s="9"/>
      <c r="AJ101" s="9"/>
      <c r="AK101" s="9"/>
      <c r="AL101" s="9"/>
      <c r="AM101" s="9"/>
      <c r="AN101" s="10" t="str">
        <f aca="false">IF(A101="","",SG_Criteria!$B$6&amp;SG_Criteria!$B$12&amp;"\"&amp;A101&amp;"\")</f>
        <v/>
      </c>
      <c r="AO101" s="10" t="str">
        <f aca="false">IF(A101="","",A101&amp;"_CAD.dwg")</f>
        <v/>
      </c>
      <c r="AP101" s="10" t="str">
        <f aca="false">IF(A101="","",A101&amp;"_DWG.pdf")</f>
        <v/>
      </c>
      <c r="AQ101" s="10" t="str">
        <f aca="false">IF(A101="","",IF(AM101="Y",A101&amp;"_STAAD.std","n/a"))</f>
        <v/>
      </c>
      <c r="AR101" s="10" t="str">
        <f aca="false">IF(A101="","",A101&amp;"_CALC.xlsx")</f>
        <v/>
      </c>
      <c r="AS101" s="10" t="str">
        <f aca="false">IF(A101="","",A101&amp;"_CALC.pdf")</f>
        <v/>
      </c>
      <c r="AT101" s="9"/>
      <c r="AU101" s="9"/>
      <c r="AV101" s="39"/>
      <c r="AW101" s="39"/>
      <c r="AX101" s="39"/>
      <c r="AY101" s="39"/>
      <c r="AZ101" s="39"/>
      <c r="BA101" s="12" t="str">
        <f aca="false">IF(A101="","",IF(COUNTIF(Rebar_Schedule!$A$5:$A$2004,A101)=0,"",ROUND(SUMIF(Rebar_Schedule!$A$5:$A$2004,A101,Rebar_Schedule!$K$5:$K$2004),1)))</f>
        <v/>
      </c>
      <c r="BB101" s="33" t="str">
        <f aca="false">IF(A101="","",IF(BA101="","No rebar schedule yet",IF(ABS(BA101-N(AW101))/MAX(N(AW101),1)&gt;SG_Criteria!$B$55,"NOTE: register rebar differs from schedule by "&amp;TEXT(ABS(BA101-N(AW101))/MAX(N(AW101),1),"0%"),"OK")))</f>
        <v/>
      </c>
      <c r="BC101" s="33" t="str">
        <f aca="false">IF(D101="","",IF(LEN(IF(AND(D101&lt;&gt;"High Covered Linkway",G101&lt;SG_Criteria!$B$46),"FAIL: headroom below "&amp;SG_Criteria!$B$46&amp;" m. ","")&amp;IF(AND(D101="High Covered Linkway",G101&lt;SG_Criteria!$B$47),"FAIL: high linkway headroom below "&amp;SG_Criteria!$B$47&amp;" m. ","")&amp;IF(F101&lt;SG_Criteria!$B$48,"FAIL: roof width below "&amp;SG_Criteria!$B$48&amp;" m. ",IF(F101&lt;SG_Criteria!$B$49,"NOTE: not for MRT/LRT or high-traffic routes (min "&amp;SG_Criteria!$B$49&amp;" m). ",""))&amp;IF(AND(W101&lt;&gt;"",W101&lt;SG_Criteria!$B$50),"FAIL: wind speed below "&amp;SG_Criteria!$B$50&amp;" m/s. ","")&amp;IF(AND(X101&lt;&gt;"",X101&lt;SG_Criteria!$B$51),"FAIL: roof fixing pull-out below "&amp;SG_Criteria!$B$51&amp;" kN. ","")&amp;IF(AND(Y101&lt;&gt;"",IFERROR(VALUE(MID(Y101,2,2)),0)&lt;SG_Criteria!$B$52),"FAIL: grade below C"&amp;SG_Criteria!$B$52&amp;". ","")&amp;IF(E101="Non-standard (project design)","NOTE: not an SDRE standard, needs LTA acceptance. ",""))=0,"OK",IF(AND(D101&lt;&gt;"High Covered Linkway",G101&lt;SG_Criteria!$B$46),"FAIL: headroom below "&amp;SG_Criteria!$B$46&amp;" m. ","")&amp;IF(AND(D101="High Covered Linkway",G101&lt;SG_Criteria!$B$47),"FAIL: high linkway headroom below "&amp;SG_Criteria!$B$47&amp;" m. ","")&amp;IF(F101&lt;SG_Criteria!$B$48,"FAIL: roof width below "&amp;SG_Criteria!$B$48&amp;" m. ",IF(F101&lt;SG_Criteria!$B$49,"NOTE: not for MRT/LRT or high-traffic routes (min "&amp;SG_Criteria!$B$49&amp;" m). ",""))&amp;IF(AND(W101&lt;&gt;"",W101&lt;SG_Criteria!$B$50),"FAIL: wind speed below "&amp;SG_Criteria!$B$50&amp;" m/s. ","")&amp;IF(AND(X101&lt;&gt;"",X101&lt;SG_Criteria!$B$51),"FAIL: roof fixing pull-out below "&amp;SG_Criteria!$B$51&amp;" kN. ","")&amp;IF(AND(Y101&lt;&gt;"",IFERROR(VALUE(MID(Y101,2,2)),0)&lt;SG_Criteria!$B$52),"FAIL: grade below C"&amp;SG_Criteria!$B$52&amp;". ","")&amp;IF(E101="Non-standard (project design)","NOTE: not an SDRE standard, needs LTA acceptance. ","")))</f>
        <v/>
      </c>
      <c r="BD101" s="9"/>
      <c r="BE101" s="9"/>
      <c r="BF101" s="9"/>
      <c r="BG101" s="10" t="str">
        <f aca="false">IF(BF101="","",IFERROR(VLOOKUP(BF101,Projects!$A$5:$D$504,2,0),"Ref not in Projects"))</f>
        <v/>
      </c>
      <c r="BH101" s="10" t="str">
        <f aca="false">IF(BF101="","",IFERROR(VLOOKUP(BF101,Projects!$A$5:$D$504,4,0),"Ref not in Projects"))</f>
        <v/>
      </c>
      <c r="BI101" s="9"/>
      <c r="BJ101" s="9"/>
      <c r="BK101" s="9"/>
      <c r="BL101" s="40"/>
      <c r="BM101" s="9"/>
      <c r="BN101" s="40"/>
      <c r="BO101" s="9"/>
      <c r="BP101" s="40"/>
      <c r="BQ101" s="9"/>
      <c r="BR101" s="9"/>
      <c r="BS101" s="9"/>
      <c r="BT101" s="40"/>
      <c r="BU101" s="40"/>
      <c r="BV101" s="36" t="str">
        <f aca="false">IF(BU101="","",EDATE(BU101,SG_Criteria!$B$54*12))</f>
        <v/>
      </c>
      <c r="BW101" s="33" t="str">
        <f aca="true">IF(A101="","",IF(BU101="","NOTE: not reviewed yet",IF(TODAY()&gt;BV101,"NOTE: review overdue","OK")))</f>
        <v/>
      </c>
      <c r="BX101" s="37" t="str">
        <f aca="false">IF(A101="","",ROUND((IF(LEN(D101)&gt;0,1,0)+IF(LEN(E101)&gt;0,1,0)+IF(LEN(F101)&gt;0,1,0)+IF(LEN(G101)&gt;0,1,0)+IF(LEN(H101)&gt;0,1,0)+IF(LEN(I101)&gt;0,1,0)+IF(LEN(J101)&gt;0,1,0)+IF(LEN(K101)&gt;0,1,0)+IF(LEN(N101)&gt;0,1,0)+IF(LEN(O101)&gt;0,1,0)+IF(LEN(W101)&gt;0,1,0)+IF(LEN(X101)&gt;0,1,0)+IF(LEN(Y101)&gt;0,1,0)+IF(LEN(AG101)&gt;0,1,0)+IF(LEN(AI101)&gt;0,1,0)+IF(LEN(AJ101)&gt;0,1,0)+IF(LEN(AK101)&gt;0,1,0)+IF(LEN(AL101)&gt;0,1,0)+IF(LEN(AU101)&gt;0,1,0)+IF(LEN(BF101)&gt;0,1,0)+IF(LEN(BS101)&gt;0,1,0))/21,2))</f>
        <v/>
      </c>
      <c r="BY101" s="10" t="str">
        <f aca="false">IF(D101="","",IF(AND(AJ101="Approved",ISERROR(SEARCH("FAIL",BC101))),"Y","N"))</f>
        <v/>
      </c>
      <c r="BZ101" s="10" t="str">
        <f aca="false">IF(D101="","",D101&amp;"|"&amp;F101&amp;"|"&amp;G101&amp;"|"&amp;BY101)</f>
        <v/>
      </c>
    </row>
    <row r="102" customFormat="false" ht="15" hidden="false" customHeight="false" outlineLevel="0" collapsed="false">
      <c r="A102" s="10" t="str">
        <f aca="false">IF(D102="","","LKW-"&amp;IFERROR(VLOOKUP(D102,Lists!$AQ$4:$AR$17,2,0),"??")&amp;"-W"&amp;TEXT(F102*1000,"0000")&amp;"-H"&amp;TEXT(G102*1000,"0000")&amp;"-B"&amp;TEXT(H102*1000,"0000")&amp;"-"&amp;AI102)</f>
        <v/>
      </c>
      <c r="B102" s="10" t="str">
        <f aca="false">IF(D102="","",D102&amp;", "&amp;F102&amp;" m wide, "&amp;G102&amp;" m headroom, "&amp;H102&amp;" m bays, "&amp;I102&amp;" ("&amp;E102&amp;")")</f>
        <v/>
      </c>
      <c r="C102" s="9"/>
      <c r="D102" s="9"/>
      <c r="E102" s="9"/>
      <c r="F102" s="42"/>
      <c r="G102" s="42"/>
      <c r="H102" s="42"/>
      <c r="I102" s="9"/>
      <c r="J102" s="9"/>
      <c r="K102" s="9"/>
      <c r="L102" s="9"/>
      <c r="M102" s="9"/>
      <c r="N102" s="9"/>
      <c r="O102" s="9"/>
      <c r="P102" s="9"/>
      <c r="Q102" s="9"/>
      <c r="R102" s="9"/>
      <c r="S102" s="42"/>
      <c r="T102" s="9"/>
      <c r="U102" s="9"/>
      <c r="V102" s="9"/>
      <c r="W102" s="38"/>
      <c r="X102" s="42"/>
      <c r="Y102" s="9"/>
      <c r="Z102" s="9"/>
      <c r="AA102" s="9"/>
      <c r="AB102" s="42"/>
      <c r="AC102" s="9"/>
      <c r="AD102" s="38"/>
      <c r="AE102" s="9"/>
      <c r="AF102" s="39"/>
      <c r="AG102" s="9"/>
      <c r="AH102" s="9"/>
      <c r="AI102" s="9"/>
      <c r="AJ102" s="9"/>
      <c r="AK102" s="9"/>
      <c r="AL102" s="9"/>
      <c r="AM102" s="9"/>
      <c r="AN102" s="10" t="str">
        <f aca="false">IF(A102="","",SG_Criteria!$B$6&amp;SG_Criteria!$B$12&amp;"\"&amp;A102&amp;"\")</f>
        <v/>
      </c>
      <c r="AO102" s="10" t="str">
        <f aca="false">IF(A102="","",A102&amp;"_CAD.dwg")</f>
        <v/>
      </c>
      <c r="AP102" s="10" t="str">
        <f aca="false">IF(A102="","",A102&amp;"_DWG.pdf")</f>
        <v/>
      </c>
      <c r="AQ102" s="10" t="str">
        <f aca="false">IF(A102="","",IF(AM102="Y",A102&amp;"_STAAD.std","n/a"))</f>
        <v/>
      </c>
      <c r="AR102" s="10" t="str">
        <f aca="false">IF(A102="","",A102&amp;"_CALC.xlsx")</f>
        <v/>
      </c>
      <c r="AS102" s="10" t="str">
        <f aca="false">IF(A102="","",A102&amp;"_CALC.pdf")</f>
        <v/>
      </c>
      <c r="AT102" s="9"/>
      <c r="AU102" s="9"/>
      <c r="AV102" s="39"/>
      <c r="AW102" s="39"/>
      <c r="AX102" s="39"/>
      <c r="AY102" s="39"/>
      <c r="AZ102" s="39"/>
      <c r="BA102" s="12" t="str">
        <f aca="false">IF(A102="","",IF(COUNTIF(Rebar_Schedule!$A$5:$A$2004,A102)=0,"",ROUND(SUMIF(Rebar_Schedule!$A$5:$A$2004,A102,Rebar_Schedule!$K$5:$K$2004),1)))</f>
        <v/>
      </c>
      <c r="BB102" s="33" t="str">
        <f aca="false">IF(A102="","",IF(BA102="","No rebar schedule yet",IF(ABS(BA102-N(AW102))/MAX(N(AW102),1)&gt;SG_Criteria!$B$55,"NOTE: register rebar differs from schedule by "&amp;TEXT(ABS(BA102-N(AW102))/MAX(N(AW102),1),"0%"),"OK")))</f>
        <v/>
      </c>
      <c r="BC102" s="33" t="str">
        <f aca="false">IF(D102="","",IF(LEN(IF(AND(D102&lt;&gt;"High Covered Linkway",G102&lt;SG_Criteria!$B$46),"FAIL: headroom below "&amp;SG_Criteria!$B$46&amp;" m. ","")&amp;IF(AND(D102="High Covered Linkway",G102&lt;SG_Criteria!$B$47),"FAIL: high linkway headroom below "&amp;SG_Criteria!$B$47&amp;" m. ","")&amp;IF(F102&lt;SG_Criteria!$B$48,"FAIL: roof width below "&amp;SG_Criteria!$B$48&amp;" m. ",IF(F102&lt;SG_Criteria!$B$49,"NOTE: not for MRT/LRT or high-traffic routes (min "&amp;SG_Criteria!$B$49&amp;" m). ",""))&amp;IF(AND(W102&lt;&gt;"",W102&lt;SG_Criteria!$B$50),"FAIL: wind speed below "&amp;SG_Criteria!$B$50&amp;" m/s. ","")&amp;IF(AND(X102&lt;&gt;"",X102&lt;SG_Criteria!$B$51),"FAIL: roof fixing pull-out below "&amp;SG_Criteria!$B$51&amp;" kN. ","")&amp;IF(AND(Y102&lt;&gt;"",IFERROR(VALUE(MID(Y102,2,2)),0)&lt;SG_Criteria!$B$52),"FAIL: grade below C"&amp;SG_Criteria!$B$52&amp;". ","")&amp;IF(E102="Non-standard (project design)","NOTE: not an SDRE standard, needs LTA acceptance. ",""))=0,"OK",IF(AND(D102&lt;&gt;"High Covered Linkway",G102&lt;SG_Criteria!$B$46),"FAIL: headroom below "&amp;SG_Criteria!$B$46&amp;" m. ","")&amp;IF(AND(D102="High Covered Linkway",G102&lt;SG_Criteria!$B$47),"FAIL: high linkway headroom below "&amp;SG_Criteria!$B$47&amp;" m. ","")&amp;IF(F102&lt;SG_Criteria!$B$48,"FAIL: roof width below "&amp;SG_Criteria!$B$48&amp;" m. ",IF(F102&lt;SG_Criteria!$B$49,"NOTE: not for MRT/LRT or high-traffic routes (min "&amp;SG_Criteria!$B$49&amp;" m). ",""))&amp;IF(AND(W102&lt;&gt;"",W102&lt;SG_Criteria!$B$50),"FAIL: wind speed below "&amp;SG_Criteria!$B$50&amp;" m/s. ","")&amp;IF(AND(X102&lt;&gt;"",X102&lt;SG_Criteria!$B$51),"FAIL: roof fixing pull-out below "&amp;SG_Criteria!$B$51&amp;" kN. ","")&amp;IF(AND(Y102&lt;&gt;"",IFERROR(VALUE(MID(Y102,2,2)),0)&lt;SG_Criteria!$B$52),"FAIL: grade below C"&amp;SG_Criteria!$B$52&amp;". ","")&amp;IF(E102="Non-standard (project design)","NOTE: not an SDRE standard, needs LTA acceptance. ","")))</f>
        <v/>
      </c>
      <c r="BD102" s="9"/>
      <c r="BE102" s="9"/>
      <c r="BF102" s="9"/>
      <c r="BG102" s="10" t="str">
        <f aca="false">IF(BF102="","",IFERROR(VLOOKUP(BF102,Projects!$A$5:$D$504,2,0),"Ref not in Projects"))</f>
        <v/>
      </c>
      <c r="BH102" s="10" t="str">
        <f aca="false">IF(BF102="","",IFERROR(VLOOKUP(BF102,Projects!$A$5:$D$504,4,0),"Ref not in Projects"))</f>
        <v/>
      </c>
      <c r="BI102" s="9"/>
      <c r="BJ102" s="9"/>
      <c r="BK102" s="9"/>
      <c r="BL102" s="40"/>
      <c r="BM102" s="9"/>
      <c r="BN102" s="40"/>
      <c r="BO102" s="9"/>
      <c r="BP102" s="40"/>
      <c r="BQ102" s="9"/>
      <c r="BR102" s="9"/>
      <c r="BS102" s="9"/>
      <c r="BT102" s="40"/>
      <c r="BU102" s="40"/>
      <c r="BV102" s="36" t="str">
        <f aca="false">IF(BU102="","",EDATE(BU102,SG_Criteria!$B$54*12))</f>
        <v/>
      </c>
      <c r="BW102" s="33" t="str">
        <f aca="true">IF(A102="","",IF(BU102="","NOTE: not reviewed yet",IF(TODAY()&gt;BV102,"NOTE: review overdue","OK")))</f>
        <v/>
      </c>
      <c r="BX102" s="37" t="str">
        <f aca="false">IF(A102="","",ROUND((IF(LEN(D102)&gt;0,1,0)+IF(LEN(E102)&gt;0,1,0)+IF(LEN(F102)&gt;0,1,0)+IF(LEN(G102)&gt;0,1,0)+IF(LEN(H102)&gt;0,1,0)+IF(LEN(I102)&gt;0,1,0)+IF(LEN(J102)&gt;0,1,0)+IF(LEN(K102)&gt;0,1,0)+IF(LEN(N102)&gt;0,1,0)+IF(LEN(O102)&gt;0,1,0)+IF(LEN(W102)&gt;0,1,0)+IF(LEN(X102)&gt;0,1,0)+IF(LEN(Y102)&gt;0,1,0)+IF(LEN(AG102)&gt;0,1,0)+IF(LEN(AI102)&gt;0,1,0)+IF(LEN(AJ102)&gt;0,1,0)+IF(LEN(AK102)&gt;0,1,0)+IF(LEN(AL102)&gt;0,1,0)+IF(LEN(AU102)&gt;0,1,0)+IF(LEN(BF102)&gt;0,1,0)+IF(LEN(BS102)&gt;0,1,0))/21,2))</f>
        <v/>
      </c>
      <c r="BY102" s="10" t="str">
        <f aca="false">IF(D102="","",IF(AND(AJ102="Approved",ISERROR(SEARCH("FAIL",BC102))),"Y","N"))</f>
        <v/>
      </c>
      <c r="BZ102" s="10" t="str">
        <f aca="false">IF(D102="","",D102&amp;"|"&amp;F102&amp;"|"&amp;G102&amp;"|"&amp;BY102)</f>
        <v/>
      </c>
    </row>
    <row r="103" customFormat="false" ht="15" hidden="false" customHeight="false" outlineLevel="0" collapsed="false">
      <c r="A103" s="10" t="str">
        <f aca="false">IF(D103="","","LKW-"&amp;IFERROR(VLOOKUP(D103,Lists!$AQ$4:$AR$17,2,0),"??")&amp;"-W"&amp;TEXT(F103*1000,"0000")&amp;"-H"&amp;TEXT(G103*1000,"0000")&amp;"-B"&amp;TEXT(H103*1000,"0000")&amp;"-"&amp;AI103)</f>
        <v/>
      </c>
      <c r="B103" s="10" t="str">
        <f aca="false">IF(D103="","",D103&amp;", "&amp;F103&amp;" m wide, "&amp;G103&amp;" m headroom, "&amp;H103&amp;" m bays, "&amp;I103&amp;" ("&amp;E103&amp;")")</f>
        <v/>
      </c>
      <c r="C103" s="9"/>
      <c r="D103" s="9"/>
      <c r="E103" s="9"/>
      <c r="F103" s="42"/>
      <c r="G103" s="42"/>
      <c r="H103" s="42"/>
      <c r="I103" s="9"/>
      <c r="J103" s="9"/>
      <c r="K103" s="9"/>
      <c r="L103" s="9"/>
      <c r="M103" s="9"/>
      <c r="N103" s="9"/>
      <c r="O103" s="9"/>
      <c r="P103" s="9"/>
      <c r="Q103" s="9"/>
      <c r="R103" s="9"/>
      <c r="S103" s="42"/>
      <c r="T103" s="9"/>
      <c r="U103" s="9"/>
      <c r="V103" s="9"/>
      <c r="W103" s="38"/>
      <c r="X103" s="42"/>
      <c r="Y103" s="9"/>
      <c r="Z103" s="9"/>
      <c r="AA103" s="9"/>
      <c r="AB103" s="42"/>
      <c r="AC103" s="9"/>
      <c r="AD103" s="38"/>
      <c r="AE103" s="9"/>
      <c r="AF103" s="39"/>
      <c r="AG103" s="9"/>
      <c r="AH103" s="9"/>
      <c r="AI103" s="9"/>
      <c r="AJ103" s="9"/>
      <c r="AK103" s="9"/>
      <c r="AL103" s="9"/>
      <c r="AM103" s="9"/>
      <c r="AN103" s="10" t="str">
        <f aca="false">IF(A103="","",SG_Criteria!$B$6&amp;SG_Criteria!$B$12&amp;"\"&amp;A103&amp;"\")</f>
        <v/>
      </c>
      <c r="AO103" s="10" t="str">
        <f aca="false">IF(A103="","",A103&amp;"_CAD.dwg")</f>
        <v/>
      </c>
      <c r="AP103" s="10" t="str">
        <f aca="false">IF(A103="","",A103&amp;"_DWG.pdf")</f>
        <v/>
      </c>
      <c r="AQ103" s="10" t="str">
        <f aca="false">IF(A103="","",IF(AM103="Y",A103&amp;"_STAAD.std","n/a"))</f>
        <v/>
      </c>
      <c r="AR103" s="10" t="str">
        <f aca="false">IF(A103="","",A103&amp;"_CALC.xlsx")</f>
        <v/>
      </c>
      <c r="AS103" s="10" t="str">
        <f aca="false">IF(A103="","",A103&amp;"_CALC.pdf")</f>
        <v/>
      </c>
      <c r="AT103" s="9"/>
      <c r="AU103" s="9"/>
      <c r="AV103" s="39"/>
      <c r="AW103" s="39"/>
      <c r="AX103" s="39"/>
      <c r="AY103" s="39"/>
      <c r="AZ103" s="39"/>
      <c r="BA103" s="12" t="str">
        <f aca="false">IF(A103="","",IF(COUNTIF(Rebar_Schedule!$A$5:$A$2004,A103)=0,"",ROUND(SUMIF(Rebar_Schedule!$A$5:$A$2004,A103,Rebar_Schedule!$K$5:$K$2004),1)))</f>
        <v/>
      </c>
      <c r="BB103" s="33" t="str">
        <f aca="false">IF(A103="","",IF(BA103="","No rebar schedule yet",IF(ABS(BA103-N(AW103))/MAX(N(AW103),1)&gt;SG_Criteria!$B$55,"NOTE: register rebar differs from schedule by "&amp;TEXT(ABS(BA103-N(AW103))/MAX(N(AW103),1),"0%"),"OK")))</f>
        <v/>
      </c>
      <c r="BC103" s="33" t="str">
        <f aca="false">IF(D103="","",IF(LEN(IF(AND(D103&lt;&gt;"High Covered Linkway",G103&lt;SG_Criteria!$B$46),"FAIL: headroom below "&amp;SG_Criteria!$B$46&amp;" m. ","")&amp;IF(AND(D103="High Covered Linkway",G103&lt;SG_Criteria!$B$47),"FAIL: high linkway headroom below "&amp;SG_Criteria!$B$47&amp;" m. ","")&amp;IF(F103&lt;SG_Criteria!$B$48,"FAIL: roof width below "&amp;SG_Criteria!$B$48&amp;" m. ",IF(F103&lt;SG_Criteria!$B$49,"NOTE: not for MRT/LRT or high-traffic routes (min "&amp;SG_Criteria!$B$49&amp;" m). ",""))&amp;IF(AND(W103&lt;&gt;"",W103&lt;SG_Criteria!$B$50),"FAIL: wind speed below "&amp;SG_Criteria!$B$50&amp;" m/s. ","")&amp;IF(AND(X103&lt;&gt;"",X103&lt;SG_Criteria!$B$51),"FAIL: roof fixing pull-out below "&amp;SG_Criteria!$B$51&amp;" kN. ","")&amp;IF(AND(Y103&lt;&gt;"",IFERROR(VALUE(MID(Y103,2,2)),0)&lt;SG_Criteria!$B$52),"FAIL: grade below C"&amp;SG_Criteria!$B$52&amp;". ","")&amp;IF(E103="Non-standard (project design)","NOTE: not an SDRE standard, needs LTA acceptance. ",""))=0,"OK",IF(AND(D103&lt;&gt;"High Covered Linkway",G103&lt;SG_Criteria!$B$46),"FAIL: headroom below "&amp;SG_Criteria!$B$46&amp;" m. ","")&amp;IF(AND(D103="High Covered Linkway",G103&lt;SG_Criteria!$B$47),"FAIL: high linkway headroom below "&amp;SG_Criteria!$B$47&amp;" m. ","")&amp;IF(F103&lt;SG_Criteria!$B$48,"FAIL: roof width below "&amp;SG_Criteria!$B$48&amp;" m. ",IF(F103&lt;SG_Criteria!$B$49,"NOTE: not for MRT/LRT or high-traffic routes (min "&amp;SG_Criteria!$B$49&amp;" m). ",""))&amp;IF(AND(W103&lt;&gt;"",W103&lt;SG_Criteria!$B$50),"FAIL: wind speed below "&amp;SG_Criteria!$B$50&amp;" m/s. ","")&amp;IF(AND(X103&lt;&gt;"",X103&lt;SG_Criteria!$B$51),"FAIL: roof fixing pull-out below "&amp;SG_Criteria!$B$51&amp;" kN. ","")&amp;IF(AND(Y103&lt;&gt;"",IFERROR(VALUE(MID(Y103,2,2)),0)&lt;SG_Criteria!$B$52),"FAIL: grade below C"&amp;SG_Criteria!$B$52&amp;". ","")&amp;IF(E103="Non-standard (project design)","NOTE: not an SDRE standard, needs LTA acceptance. ","")))</f>
        <v/>
      </c>
      <c r="BD103" s="9"/>
      <c r="BE103" s="9"/>
      <c r="BF103" s="9"/>
      <c r="BG103" s="10" t="str">
        <f aca="false">IF(BF103="","",IFERROR(VLOOKUP(BF103,Projects!$A$5:$D$504,2,0),"Ref not in Projects"))</f>
        <v/>
      </c>
      <c r="BH103" s="10" t="str">
        <f aca="false">IF(BF103="","",IFERROR(VLOOKUP(BF103,Projects!$A$5:$D$504,4,0),"Ref not in Projects"))</f>
        <v/>
      </c>
      <c r="BI103" s="9"/>
      <c r="BJ103" s="9"/>
      <c r="BK103" s="9"/>
      <c r="BL103" s="40"/>
      <c r="BM103" s="9"/>
      <c r="BN103" s="40"/>
      <c r="BO103" s="9"/>
      <c r="BP103" s="40"/>
      <c r="BQ103" s="9"/>
      <c r="BR103" s="9"/>
      <c r="BS103" s="9"/>
      <c r="BT103" s="40"/>
      <c r="BU103" s="40"/>
      <c r="BV103" s="36" t="str">
        <f aca="false">IF(BU103="","",EDATE(BU103,SG_Criteria!$B$54*12))</f>
        <v/>
      </c>
      <c r="BW103" s="33" t="str">
        <f aca="true">IF(A103="","",IF(BU103="","NOTE: not reviewed yet",IF(TODAY()&gt;BV103,"NOTE: review overdue","OK")))</f>
        <v/>
      </c>
      <c r="BX103" s="37" t="str">
        <f aca="false">IF(A103="","",ROUND((IF(LEN(D103)&gt;0,1,0)+IF(LEN(E103)&gt;0,1,0)+IF(LEN(F103)&gt;0,1,0)+IF(LEN(G103)&gt;0,1,0)+IF(LEN(H103)&gt;0,1,0)+IF(LEN(I103)&gt;0,1,0)+IF(LEN(J103)&gt;0,1,0)+IF(LEN(K103)&gt;0,1,0)+IF(LEN(N103)&gt;0,1,0)+IF(LEN(O103)&gt;0,1,0)+IF(LEN(W103)&gt;0,1,0)+IF(LEN(X103)&gt;0,1,0)+IF(LEN(Y103)&gt;0,1,0)+IF(LEN(AG103)&gt;0,1,0)+IF(LEN(AI103)&gt;0,1,0)+IF(LEN(AJ103)&gt;0,1,0)+IF(LEN(AK103)&gt;0,1,0)+IF(LEN(AL103)&gt;0,1,0)+IF(LEN(AU103)&gt;0,1,0)+IF(LEN(BF103)&gt;0,1,0)+IF(LEN(BS103)&gt;0,1,0))/21,2))</f>
        <v/>
      </c>
      <c r="BY103" s="10" t="str">
        <f aca="false">IF(D103="","",IF(AND(AJ103="Approved",ISERROR(SEARCH("FAIL",BC103))),"Y","N"))</f>
        <v/>
      </c>
      <c r="BZ103" s="10" t="str">
        <f aca="false">IF(D103="","",D103&amp;"|"&amp;F103&amp;"|"&amp;G103&amp;"|"&amp;BY103)</f>
        <v/>
      </c>
    </row>
    <row r="104" customFormat="false" ht="15" hidden="false" customHeight="false" outlineLevel="0" collapsed="false">
      <c r="A104" s="10" t="str">
        <f aca="false">IF(D104="","","LKW-"&amp;IFERROR(VLOOKUP(D104,Lists!$AQ$4:$AR$17,2,0),"??")&amp;"-W"&amp;TEXT(F104*1000,"0000")&amp;"-H"&amp;TEXT(G104*1000,"0000")&amp;"-B"&amp;TEXT(H104*1000,"0000")&amp;"-"&amp;AI104)</f>
        <v/>
      </c>
      <c r="B104" s="10" t="str">
        <f aca="false">IF(D104="","",D104&amp;", "&amp;F104&amp;" m wide, "&amp;G104&amp;" m headroom, "&amp;H104&amp;" m bays, "&amp;I104&amp;" ("&amp;E104&amp;")")</f>
        <v/>
      </c>
      <c r="C104" s="9"/>
      <c r="D104" s="9"/>
      <c r="E104" s="9"/>
      <c r="F104" s="42"/>
      <c r="G104" s="42"/>
      <c r="H104" s="42"/>
      <c r="I104" s="9"/>
      <c r="J104" s="9"/>
      <c r="K104" s="9"/>
      <c r="L104" s="9"/>
      <c r="M104" s="9"/>
      <c r="N104" s="9"/>
      <c r="O104" s="9"/>
      <c r="P104" s="9"/>
      <c r="Q104" s="9"/>
      <c r="R104" s="9"/>
      <c r="S104" s="42"/>
      <c r="T104" s="9"/>
      <c r="U104" s="9"/>
      <c r="V104" s="9"/>
      <c r="W104" s="38"/>
      <c r="X104" s="42"/>
      <c r="Y104" s="9"/>
      <c r="Z104" s="9"/>
      <c r="AA104" s="9"/>
      <c r="AB104" s="42"/>
      <c r="AC104" s="9"/>
      <c r="AD104" s="38"/>
      <c r="AE104" s="9"/>
      <c r="AF104" s="39"/>
      <c r="AG104" s="9"/>
      <c r="AH104" s="9"/>
      <c r="AI104" s="9"/>
      <c r="AJ104" s="9"/>
      <c r="AK104" s="9"/>
      <c r="AL104" s="9"/>
      <c r="AM104" s="9"/>
      <c r="AN104" s="10" t="str">
        <f aca="false">IF(A104="","",SG_Criteria!$B$6&amp;SG_Criteria!$B$12&amp;"\"&amp;A104&amp;"\")</f>
        <v/>
      </c>
      <c r="AO104" s="10" t="str">
        <f aca="false">IF(A104="","",A104&amp;"_CAD.dwg")</f>
        <v/>
      </c>
      <c r="AP104" s="10" t="str">
        <f aca="false">IF(A104="","",A104&amp;"_DWG.pdf")</f>
        <v/>
      </c>
      <c r="AQ104" s="10" t="str">
        <f aca="false">IF(A104="","",IF(AM104="Y",A104&amp;"_STAAD.std","n/a"))</f>
        <v/>
      </c>
      <c r="AR104" s="10" t="str">
        <f aca="false">IF(A104="","",A104&amp;"_CALC.xlsx")</f>
        <v/>
      </c>
      <c r="AS104" s="10" t="str">
        <f aca="false">IF(A104="","",A104&amp;"_CALC.pdf")</f>
        <v/>
      </c>
      <c r="AT104" s="9"/>
      <c r="AU104" s="9"/>
      <c r="AV104" s="39"/>
      <c r="AW104" s="39"/>
      <c r="AX104" s="39"/>
      <c r="AY104" s="39"/>
      <c r="AZ104" s="39"/>
      <c r="BA104" s="12" t="str">
        <f aca="false">IF(A104="","",IF(COUNTIF(Rebar_Schedule!$A$5:$A$2004,A104)=0,"",ROUND(SUMIF(Rebar_Schedule!$A$5:$A$2004,A104,Rebar_Schedule!$K$5:$K$2004),1)))</f>
        <v/>
      </c>
      <c r="BB104" s="33" t="str">
        <f aca="false">IF(A104="","",IF(BA104="","No rebar schedule yet",IF(ABS(BA104-N(AW104))/MAX(N(AW104),1)&gt;SG_Criteria!$B$55,"NOTE: register rebar differs from schedule by "&amp;TEXT(ABS(BA104-N(AW104))/MAX(N(AW104),1),"0%"),"OK")))</f>
        <v/>
      </c>
      <c r="BC104" s="33" t="str">
        <f aca="false">IF(D104="","",IF(LEN(IF(AND(D104&lt;&gt;"High Covered Linkway",G104&lt;SG_Criteria!$B$46),"FAIL: headroom below "&amp;SG_Criteria!$B$46&amp;" m. ","")&amp;IF(AND(D104="High Covered Linkway",G104&lt;SG_Criteria!$B$47),"FAIL: high linkway headroom below "&amp;SG_Criteria!$B$47&amp;" m. ","")&amp;IF(F104&lt;SG_Criteria!$B$48,"FAIL: roof width below "&amp;SG_Criteria!$B$48&amp;" m. ",IF(F104&lt;SG_Criteria!$B$49,"NOTE: not for MRT/LRT or high-traffic routes (min "&amp;SG_Criteria!$B$49&amp;" m). ",""))&amp;IF(AND(W104&lt;&gt;"",W104&lt;SG_Criteria!$B$50),"FAIL: wind speed below "&amp;SG_Criteria!$B$50&amp;" m/s. ","")&amp;IF(AND(X104&lt;&gt;"",X104&lt;SG_Criteria!$B$51),"FAIL: roof fixing pull-out below "&amp;SG_Criteria!$B$51&amp;" kN. ","")&amp;IF(AND(Y104&lt;&gt;"",IFERROR(VALUE(MID(Y104,2,2)),0)&lt;SG_Criteria!$B$52),"FAIL: grade below C"&amp;SG_Criteria!$B$52&amp;". ","")&amp;IF(E104="Non-standard (project design)","NOTE: not an SDRE standard, needs LTA acceptance. ",""))=0,"OK",IF(AND(D104&lt;&gt;"High Covered Linkway",G104&lt;SG_Criteria!$B$46),"FAIL: headroom below "&amp;SG_Criteria!$B$46&amp;" m. ","")&amp;IF(AND(D104="High Covered Linkway",G104&lt;SG_Criteria!$B$47),"FAIL: high linkway headroom below "&amp;SG_Criteria!$B$47&amp;" m. ","")&amp;IF(F104&lt;SG_Criteria!$B$48,"FAIL: roof width below "&amp;SG_Criteria!$B$48&amp;" m. ",IF(F104&lt;SG_Criteria!$B$49,"NOTE: not for MRT/LRT or high-traffic routes (min "&amp;SG_Criteria!$B$49&amp;" m). ",""))&amp;IF(AND(W104&lt;&gt;"",W104&lt;SG_Criteria!$B$50),"FAIL: wind speed below "&amp;SG_Criteria!$B$50&amp;" m/s. ","")&amp;IF(AND(X104&lt;&gt;"",X104&lt;SG_Criteria!$B$51),"FAIL: roof fixing pull-out below "&amp;SG_Criteria!$B$51&amp;" kN. ","")&amp;IF(AND(Y104&lt;&gt;"",IFERROR(VALUE(MID(Y104,2,2)),0)&lt;SG_Criteria!$B$52),"FAIL: grade below C"&amp;SG_Criteria!$B$52&amp;". ","")&amp;IF(E104="Non-standard (project design)","NOTE: not an SDRE standard, needs LTA acceptance. ","")))</f>
        <v/>
      </c>
      <c r="BD104" s="9"/>
      <c r="BE104" s="9"/>
      <c r="BF104" s="9"/>
      <c r="BG104" s="10" t="str">
        <f aca="false">IF(BF104="","",IFERROR(VLOOKUP(BF104,Projects!$A$5:$D$504,2,0),"Ref not in Projects"))</f>
        <v/>
      </c>
      <c r="BH104" s="10" t="str">
        <f aca="false">IF(BF104="","",IFERROR(VLOOKUP(BF104,Projects!$A$5:$D$504,4,0),"Ref not in Projects"))</f>
        <v/>
      </c>
      <c r="BI104" s="9"/>
      <c r="BJ104" s="9"/>
      <c r="BK104" s="9"/>
      <c r="BL104" s="40"/>
      <c r="BM104" s="9"/>
      <c r="BN104" s="40"/>
      <c r="BO104" s="9"/>
      <c r="BP104" s="40"/>
      <c r="BQ104" s="9"/>
      <c r="BR104" s="9"/>
      <c r="BS104" s="9"/>
      <c r="BT104" s="40"/>
      <c r="BU104" s="40"/>
      <c r="BV104" s="36" t="str">
        <f aca="false">IF(BU104="","",EDATE(BU104,SG_Criteria!$B$54*12))</f>
        <v/>
      </c>
      <c r="BW104" s="33" t="str">
        <f aca="true">IF(A104="","",IF(BU104="","NOTE: not reviewed yet",IF(TODAY()&gt;BV104,"NOTE: review overdue","OK")))</f>
        <v/>
      </c>
      <c r="BX104" s="37" t="str">
        <f aca="false">IF(A104="","",ROUND((IF(LEN(D104)&gt;0,1,0)+IF(LEN(E104)&gt;0,1,0)+IF(LEN(F104)&gt;0,1,0)+IF(LEN(G104)&gt;0,1,0)+IF(LEN(H104)&gt;0,1,0)+IF(LEN(I104)&gt;0,1,0)+IF(LEN(J104)&gt;0,1,0)+IF(LEN(K104)&gt;0,1,0)+IF(LEN(N104)&gt;0,1,0)+IF(LEN(O104)&gt;0,1,0)+IF(LEN(W104)&gt;0,1,0)+IF(LEN(X104)&gt;0,1,0)+IF(LEN(Y104)&gt;0,1,0)+IF(LEN(AG104)&gt;0,1,0)+IF(LEN(AI104)&gt;0,1,0)+IF(LEN(AJ104)&gt;0,1,0)+IF(LEN(AK104)&gt;0,1,0)+IF(LEN(AL104)&gt;0,1,0)+IF(LEN(AU104)&gt;0,1,0)+IF(LEN(BF104)&gt;0,1,0)+IF(LEN(BS104)&gt;0,1,0))/21,2))</f>
        <v/>
      </c>
      <c r="BY104" s="10" t="str">
        <f aca="false">IF(D104="","",IF(AND(AJ104="Approved",ISERROR(SEARCH("FAIL",BC104))),"Y","N"))</f>
        <v/>
      </c>
      <c r="BZ104" s="10" t="str">
        <f aca="false">IF(D104="","",D104&amp;"|"&amp;F104&amp;"|"&amp;G104&amp;"|"&amp;BY104)</f>
        <v/>
      </c>
    </row>
    <row r="105" customFormat="false" ht="15" hidden="false" customHeight="false" outlineLevel="0" collapsed="false">
      <c r="A105" s="10" t="str">
        <f aca="false">IF(D105="","","LKW-"&amp;IFERROR(VLOOKUP(D105,Lists!$AQ$4:$AR$17,2,0),"??")&amp;"-W"&amp;TEXT(F105*1000,"0000")&amp;"-H"&amp;TEXT(G105*1000,"0000")&amp;"-B"&amp;TEXT(H105*1000,"0000")&amp;"-"&amp;AI105)</f>
        <v/>
      </c>
      <c r="B105" s="10" t="str">
        <f aca="false">IF(D105="","",D105&amp;", "&amp;F105&amp;" m wide, "&amp;G105&amp;" m headroom, "&amp;H105&amp;" m bays, "&amp;I105&amp;" ("&amp;E105&amp;")")</f>
        <v/>
      </c>
      <c r="C105" s="9"/>
      <c r="D105" s="9"/>
      <c r="E105" s="9"/>
      <c r="F105" s="42"/>
      <c r="G105" s="42"/>
      <c r="H105" s="42"/>
      <c r="I105" s="9"/>
      <c r="J105" s="9"/>
      <c r="K105" s="9"/>
      <c r="L105" s="9"/>
      <c r="M105" s="9"/>
      <c r="N105" s="9"/>
      <c r="O105" s="9"/>
      <c r="P105" s="9"/>
      <c r="Q105" s="9"/>
      <c r="R105" s="9"/>
      <c r="S105" s="42"/>
      <c r="T105" s="9"/>
      <c r="U105" s="9"/>
      <c r="V105" s="9"/>
      <c r="W105" s="38"/>
      <c r="X105" s="42"/>
      <c r="Y105" s="9"/>
      <c r="Z105" s="9"/>
      <c r="AA105" s="9"/>
      <c r="AB105" s="42"/>
      <c r="AC105" s="9"/>
      <c r="AD105" s="38"/>
      <c r="AE105" s="9"/>
      <c r="AF105" s="39"/>
      <c r="AG105" s="9"/>
      <c r="AH105" s="9"/>
      <c r="AI105" s="9"/>
      <c r="AJ105" s="9"/>
      <c r="AK105" s="9"/>
      <c r="AL105" s="9"/>
      <c r="AM105" s="9"/>
      <c r="AN105" s="10" t="str">
        <f aca="false">IF(A105="","",SG_Criteria!$B$6&amp;SG_Criteria!$B$12&amp;"\"&amp;A105&amp;"\")</f>
        <v/>
      </c>
      <c r="AO105" s="10" t="str">
        <f aca="false">IF(A105="","",A105&amp;"_CAD.dwg")</f>
        <v/>
      </c>
      <c r="AP105" s="10" t="str">
        <f aca="false">IF(A105="","",A105&amp;"_DWG.pdf")</f>
        <v/>
      </c>
      <c r="AQ105" s="10" t="str">
        <f aca="false">IF(A105="","",IF(AM105="Y",A105&amp;"_STAAD.std","n/a"))</f>
        <v/>
      </c>
      <c r="AR105" s="10" t="str">
        <f aca="false">IF(A105="","",A105&amp;"_CALC.xlsx")</f>
        <v/>
      </c>
      <c r="AS105" s="10" t="str">
        <f aca="false">IF(A105="","",A105&amp;"_CALC.pdf")</f>
        <v/>
      </c>
      <c r="AT105" s="9"/>
      <c r="AU105" s="9"/>
      <c r="AV105" s="39"/>
      <c r="AW105" s="39"/>
      <c r="AX105" s="39"/>
      <c r="AY105" s="39"/>
      <c r="AZ105" s="39"/>
      <c r="BA105" s="12" t="str">
        <f aca="false">IF(A105="","",IF(COUNTIF(Rebar_Schedule!$A$5:$A$2004,A105)=0,"",ROUND(SUMIF(Rebar_Schedule!$A$5:$A$2004,A105,Rebar_Schedule!$K$5:$K$2004),1)))</f>
        <v/>
      </c>
      <c r="BB105" s="33" t="str">
        <f aca="false">IF(A105="","",IF(BA105="","No rebar schedule yet",IF(ABS(BA105-N(AW105))/MAX(N(AW105),1)&gt;SG_Criteria!$B$55,"NOTE: register rebar differs from schedule by "&amp;TEXT(ABS(BA105-N(AW105))/MAX(N(AW105),1),"0%"),"OK")))</f>
        <v/>
      </c>
      <c r="BC105" s="33" t="str">
        <f aca="false">IF(D105="","",IF(LEN(IF(AND(D105&lt;&gt;"High Covered Linkway",G105&lt;SG_Criteria!$B$46),"FAIL: headroom below "&amp;SG_Criteria!$B$46&amp;" m. ","")&amp;IF(AND(D105="High Covered Linkway",G105&lt;SG_Criteria!$B$47),"FAIL: high linkway headroom below "&amp;SG_Criteria!$B$47&amp;" m. ","")&amp;IF(F105&lt;SG_Criteria!$B$48,"FAIL: roof width below "&amp;SG_Criteria!$B$48&amp;" m. ",IF(F105&lt;SG_Criteria!$B$49,"NOTE: not for MRT/LRT or high-traffic routes (min "&amp;SG_Criteria!$B$49&amp;" m). ",""))&amp;IF(AND(W105&lt;&gt;"",W105&lt;SG_Criteria!$B$50),"FAIL: wind speed below "&amp;SG_Criteria!$B$50&amp;" m/s. ","")&amp;IF(AND(X105&lt;&gt;"",X105&lt;SG_Criteria!$B$51),"FAIL: roof fixing pull-out below "&amp;SG_Criteria!$B$51&amp;" kN. ","")&amp;IF(AND(Y105&lt;&gt;"",IFERROR(VALUE(MID(Y105,2,2)),0)&lt;SG_Criteria!$B$52),"FAIL: grade below C"&amp;SG_Criteria!$B$52&amp;". ","")&amp;IF(E105="Non-standard (project design)","NOTE: not an SDRE standard, needs LTA acceptance. ",""))=0,"OK",IF(AND(D105&lt;&gt;"High Covered Linkway",G105&lt;SG_Criteria!$B$46),"FAIL: headroom below "&amp;SG_Criteria!$B$46&amp;" m. ","")&amp;IF(AND(D105="High Covered Linkway",G105&lt;SG_Criteria!$B$47),"FAIL: high linkway headroom below "&amp;SG_Criteria!$B$47&amp;" m. ","")&amp;IF(F105&lt;SG_Criteria!$B$48,"FAIL: roof width below "&amp;SG_Criteria!$B$48&amp;" m. ",IF(F105&lt;SG_Criteria!$B$49,"NOTE: not for MRT/LRT or high-traffic routes (min "&amp;SG_Criteria!$B$49&amp;" m). ",""))&amp;IF(AND(W105&lt;&gt;"",W105&lt;SG_Criteria!$B$50),"FAIL: wind speed below "&amp;SG_Criteria!$B$50&amp;" m/s. ","")&amp;IF(AND(X105&lt;&gt;"",X105&lt;SG_Criteria!$B$51),"FAIL: roof fixing pull-out below "&amp;SG_Criteria!$B$51&amp;" kN. ","")&amp;IF(AND(Y105&lt;&gt;"",IFERROR(VALUE(MID(Y105,2,2)),0)&lt;SG_Criteria!$B$52),"FAIL: grade below C"&amp;SG_Criteria!$B$52&amp;". ","")&amp;IF(E105="Non-standard (project design)","NOTE: not an SDRE standard, needs LTA acceptance. ","")))</f>
        <v/>
      </c>
      <c r="BD105" s="9"/>
      <c r="BE105" s="9"/>
      <c r="BF105" s="9"/>
      <c r="BG105" s="10" t="str">
        <f aca="false">IF(BF105="","",IFERROR(VLOOKUP(BF105,Projects!$A$5:$D$504,2,0),"Ref not in Projects"))</f>
        <v/>
      </c>
      <c r="BH105" s="10" t="str">
        <f aca="false">IF(BF105="","",IFERROR(VLOOKUP(BF105,Projects!$A$5:$D$504,4,0),"Ref not in Projects"))</f>
        <v/>
      </c>
      <c r="BI105" s="9"/>
      <c r="BJ105" s="9"/>
      <c r="BK105" s="9"/>
      <c r="BL105" s="40"/>
      <c r="BM105" s="9"/>
      <c r="BN105" s="40"/>
      <c r="BO105" s="9"/>
      <c r="BP105" s="40"/>
      <c r="BQ105" s="9"/>
      <c r="BR105" s="9"/>
      <c r="BS105" s="9"/>
      <c r="BT105" s="40"/>
      <c r="BU105" s="40"/>
      <c r="BV105" s="36" t="str">
        <f aca="false">IF(BU105="","",EDATE(BU105,SG_Criteria!$B$54*12))</f>
        <v/>
      </c>
      <c r="BW105" s="33" t="str">
        <f aca="true">IF(A105="","",IF(BU105="","NOTE: not reviewed yet",IF(TODAY()&gt;BV105,"NOTE: review overdue","OK")))</f>
        <v/>
      </c>
      <c r="BX105" s="37" t="str">
        <f aca="false">IF(A105="","",ROUND((IF(LEN(D105)&gt;0,1,0)+IF(LEN(E105)&gt;0,1,0)+IF(LEN(F105)&gt;0,1,0)+IF(LEN(G105)&gt;0,1,0)+IF(LEN(H105)&gt;0,1,0)+IF(LEN(I105)&gt;0,1,0)+IF(LEN(J105)&gt;0,1,0)+IF(LEN(K105)&gt;0,1,0)+IF(LEN(N105)&gt;0,1,0)+IF(LEN(O105)&gt;0,1,0)+IF(LEN(W105)&gt;0,1,0)+IF(LEN(X105)&gt;0,1,0)+IF(LEN(Y105)&gt;0,1,0)+IF(LEN(AG105)&gt;0,1,0)+IF(LEN(AI105)&gt;0,1,0)+IF(LEN(AJ105)&gt;0,1,0)+IF(LEN(AK105)&gt;0,1,0)+IF(LEN(AL105)&gt;0,1,0)+IF(LEN(AU105)&gt;0,1,0)+IF(LEN(BF105)&gt;0,1,0)+IF(LEN(BS105)&gt;0,1,0))/21,2))</f>
        <v/>
      </c>
      <c r="BY105" s="10" t="str">
        <f aca="false">IF(D105="","",IF(AND(AJ105="Approved",ISERROR(SEARCH("FAIL",BC105))),"Y","N"))</f>
        <v/>
      </c>
      <c r="BZ105" s="10" t="str">
        <f aca="false">IF(D105="","",D105&amp;"|"&amp;F105&amp;"|"&amp;G105&amp;"|"&amp;BY105)</f>
        <v/>
      </c>
    </row>
    <row r="106" customFormat="false" ht="15" hidden="false" customHeight="false" outlineLevel="0" collapsed="false">
      <c r="A106" s="10" t="str">
        <f aca="false">IF(D106="","","LKW-"&amp;IFERROR(VLOOKUP(D106,Lists!$AQ$4:$AR$17,2,0),"??")&amp;"-W"&amp;TEXT(F106*1000,"0000")&amp;"-H"&amp;TEXT(G106*1000,"0000")&amp;"-B"&amp;TEXT(H106*1000,"0000")&amp;"-"&amp;AI106)</f>
        <v/>
      </c>
      <c r="B106" s="10" t="str">
        <f aca="false">IF(D106="","",D106&amp;", "&amp;F106&amp;" m wide, "&amp;G106&amp;" m headroom, "&amp;H106&amp;" m bays, "&amp;I106&amp;" ("&amp;E106&amp;")")</f>
        <v/>
      </c>
      <c r="C106" s="9"/>
      <c r="D106" s="9"/>
      <c r="E106" s="9"/>
      <c r="F106" s="42"/>
      <c r="G106" s="42"/>
      <c r="H106" s="42"/>
      <c r="I106" s="9"/>
      <c r="J106" s="9"/>
      <c r="K106" s="9"/>
      <c r="L106" s="9"/>
      <c r="M106" s="9"/>
      <c r="N106" s="9"/>
      <c r="O106" s="9"/>
      <c r="P106" s="9"/>
      <c r="Q106" s="9"/>
      <c r="R106" s="9"/>
      <c r="S106" s="42"/>
      <c r="T106" s="9"/>
      <c r="U106" s="9"/>
      <c r="V106" s="9"/>
      <c r="W106" s="38"/>
      <c r="X106" s="42"/>
      <c r="Y106" s="9"/>
      <c r="Z106" s="9"/>
      <c r="AA106" s="9"/>
      <c r="AB106" s="42"/>
      <c r="AC106" s="9"/>
      <c r="AD106" s="38"/>
      <c r="AE106" s="9"/>
      <c r="AF106" s="39"/>
      <c r="AG106" s="9"/>
      <c r="AH106" s="9"/>
      <c r="AI106" s="9"/>
      <c r="AJ106" s="9"/>
      <c r="AK106" s="9"/>
      <c r="AL106" s="9"/>
      <c r="AM106" s="9"/>
      <c r="AN106" s="10" t="str">
        <f aca="false">IF(A106="","",SG_Criteria!$B$6&amp;SG_Criteria!$B$12&amp;"\"&amp;A106&amp;"\")</f>
        <v/>
      </c>
      <c r="AO106" s="10" t="str">
        <f aca="false">IF(A106="","",A106&amp;"_CAD.dwg")</f>
        <v/>
      </c>
      <c r="AP106" s="10" t="str">
        <f aca="false">IF(A106="","",A106&amp;"_DWG.pdf")</f>
        <v/>
      </c>
      <c r="AQ106" s="10" t="str">
        <f aca="false">IF(A106="","",IF(AM106="Y",A106&amp;"_STAAD.std","n/a"))</f>
        <v/>
      </c>
      <c r="AR106" s="10" t="str">
        <f aca="false">IF(A106="","",A106&amp;"_CALC.xlsx")</f>
        <v/>
      </c>
      <c r="AS106" s="10" t="str">
        <f aca="false">IF(A106="","",A106&amp;"_CALC.pdf")</f>
        <v/>
      </c>
      <c r="AT106" s="9"/>
      <c r="AU106" s="9"/>
      <c r="AV106" s="39"/>
      <c r="AW106" s="39"/>
      <c r="AX106" s="39"/>
      <c r="AY106" s="39"/>
      <c r="AZ106" s="39"/>
      <c r="BA106" s="12" t="str">
        <f aca="false">IF(A106="","",IF(COUNTIF(Rebar_Schedule!$A$5:$A$2004,A106)=0,"",ROUND(SUMIF(Rebar_Schedule!$A$5:$A$2004,A106,Rebar_Schedule!$K$5:$K$2004),1)))</f>
        <v/>
      </c>
      <c r="BB106" s="33" t="str">
        <f aca="false">IF(A106="","",IF(BA106="","No rebar schedule yet",IF(ABS(BA106-N(AW106))/MAX(N(AW106),1)&gt;SG_Criteria!$B$55,"NOTE: register rebar differs from schedule by "&amp;TEXT(ABS(BA106-N(AW106))/MAX(N(AW106),1),"0%"),"OK")))</f>
        <v/>
      </c>
      <c r="BC106" s="33" t="str">
        <f aca="false">IF(D106="","",IF(LEN(IF(AND(D106&lt;&gt;"High Covered Linkway",G106&lt;SG_Criteria!$B$46),"FAIL: headroom below "&amp;SG_Criteria!$B$46&amp;" m. ","")&amp;IF(AND(D106="High Covered Linkway",G106&lt;SG_Criteria!$B$47),"FAIL: high linkway headroom below "&amp;SG_Criteria!$B$47&amp;" m. ","")&amp;IF(F106&lt;SG_Criteria!$B$48,"FAIL: roof width below "&amp;SG_Criteria!$B$48&amp;" m. ",IF(F106&lt;SG_Criteria!$B$49,"NOTE: not for MRT/LRT or high-traffic routes (min "&amp;SG_Criteria!$B$49&amp;" m). ",""))&amp;IF(AND(W106&lt;&gt;"",W106&lt;SG_Criteria!$B$50),"FAIL: wind speed below "&amp;SG_Criteria!$B$50&amp;" m/s. ","")&amp;IF(AND(X106&lt;&gt;"",X106&lt;SG_Criteria!$B$51),"FAIL: roof fixing pull-out below "&amp;SG_Criteria!$B$51&amp;" kN. ","")&amp;IF(AND(Y106&lt;&gt;"",IFERROR(VALUE(MID(Y106,2,2)),0)&lt;SG_Criteria!$B$52),"FAIL: grade below C"&amp;SG_Criteria!$B$52&amp;". ","")&amp;IF(E106="Non-standard (project design)","NOTE: not an SDRE standard, needs LTA acceptance. ",""))=0,"OK",IF(AND(D106&lt;&gt;"High Covered Linkway",G106&lt;SG_Criteria!$B$46),"FAIL: headroom below "&amp;SG_Criteria!$B$46&amp;" m. ","")&amp;IF(AND(D106="High Covered Linkway",G106&lt;SG_Criteria!$B$47),"FAIL: high linkway headroom below "&amp;SG_Criteria!$B$47&amp;" m. ","")&amp;IF(F106&lt;SG_Criteria!$B$48,"FAIL: roof width below "&amp;SG_Criteria!$B$48&amp;" m. ",IF(F106&lt;SG_Criteria!$B$49,"NOTE: not for MRT/LRT or high-traffic routes (min "&amp;SG_Criteria!$B$49&amp;" m). ",""))&amp;IF(AND(W106&lt;&gt;"",W106&lt;SG_Criteria!$B$50),"FAIL: wind speed below "&amp;SG_Criteria!$B$50&amp;" m/s. ","")&amp;IF(AND(X106&lt;&gt;"",X106&lt;SG_Criteria!$B$51),"FAIL: roof fixing pull-out below "&amp;SG_Criteria!$B$51&amp;" kN. ","")&amp;IF(AND(Y106&lt;&gt;"",IFERROR(VALUE(MID(Y106,2,2)),0)&lt;SG_Criteria!$B$52),"FAIL: grade below C"&amp;SG_Criteria!$B$52&amp;". ","")&amp;IF(E106="Non-standard (project design)","NOTE: not an SDRE standard, needs LTA acceptance. ","")))</f>
        <v/>
      </c>
      <c r="BD106" s="9"/>
      <c r="BE106" s="9"/>
      <c r="BF106" s="9"/>
      <c r="BG106" s="10" t="str">
        <f aca="false">IF(BF106="","",IFERROR(VLOOKUP(BF106,Projects!$A$5:$D$504,2,0),"Ref not in Projects"))</f>
        <v/>
      </c>
      <c r="BH106" s="10" t="str">
        <f aca="false">IF(BF106="","",IFERROR(VLOOKUP(BF106,Projects!$A$5:$D$504,4,0),"Ref not in Projects"))</f>
        <v/>
      </c>
      <c r="BI106" s="9"/>
      <c r="BJ106" s="9"/>
      <c r="BK106" s="9"/>
      <c r="BL106" s="40"/>
      <c r="BM106" s="9"/>
      <c r="BN106" s="40"/>
      <c r="BO106" s="9"/>
      <c r="BP106" s="40"/>
      <c r="BQ106" s="9"/>
      <c r="BR106" s="9"/>
      <c r="BS106" s="9"/>
      <c r="BT106" s="40"/>
      <c r="BU106" s="40"/>
      <c r="BV106" s="36" t="str">
        <f aca="false">IF(BU106="","",EDATE(BU106,SG_Criteria!$B$54*12))</f>
        <v/>
      </c>
      <c r="BW106" s="33" t="str">
        <f aca="true">IF(A106="","",IF(BU106="","NOTE: not reviewed yet",IF(TODAY()&gt;BV106,"NOTE: review overdue","OK")))</f>
        <v/>
      </c>
      <c r="BX106" s="37" t="str">
        <f aca="false">IF(A106="","",ROUND((IF(LEN(D106)&gt;0,1,0)+IF(LEN(E106)&gt;0,1,0)+IF(LEN(F106)&gt;0,1,0)+IF(LEN(G106)&gt;0,1,0)+IF(LEN(H106)&gt;0,1,0)+IF(LEN(I106)&gt;0,1,0)+IF(LEN(J106)&gt;0,1,0)+IF(LEN(K106)&gt;0,1,0)+IF(LEN(N106)&gt;0,1,0)+IF(LEN(O106)&gt;0,1,0)+IF(LEN(W106)&gt;0,1,0)+IF(LEN(X106)&gt;0,1,0)+IF(LEN(Y106)&gt;0,1,0)+IF(LEN(AG106)&gt;0,1,0)+IF(LEN(AI106)&gt;0,1,0)+IF(LEN(AJ106)&gt;0,1,0)+IF(LEN(AK106)&gt;0,1,0)+IF(LEN(AL106)&gt;0,1,0)+IF(LEN(AU106)&gt;0,1,0)+IF(LEN(BF106)&gt;0,1,0)+IF(LEN(BS106)&gt;0,1,0))/21,2))</f>
        <v/>
      </c>
      <c r="BY106" s="10" t="str">
        <f aca="false">IF(D106="","",IF(AND(AJ106="Approved",ISERROR(SEARCH("FAIL",BC106))),"Y","N"))</f>
        <v/>
      </c>
      <c r="BZ106" s="10" t="str">
        <f aca="false">IF(D106="","",D106&amp;"|"&amp;F106&amp;"|"&amp;G106&amp;"|"&amp;BY106)</f>
        <v/>
      </c>
    </row>
    <row r="107" customFormat="false" ht="15" hidden="false" customHeight="false" outlineLevel="0" collapsed="false">
      <c r="A107" s="10" t="str">
        <f aca="false">IF(D107="","","LKW-"&amp;IFERROR(VLOOKUP(D107,Lists!$AQ$4:$AR$17,2,0),"??")&amp;"-W"&amp;TEXT(F107*1000,"0000")&amp;"-H"&amp;TEXT(G107*1000,"0000")&amp;"-B"&amp;TEXT(H107*1000,"0000")&amp;"-"&amp;AI107)</f>
        <v/>
      </c>
      <c r="B107" s="10" t="str">
        <f aca="false">IF(D107="","",D107&amp;", "&amp;F107&amp;" m wide, "&amp;G107&amp;" m headroom, "&amp;H107&amp;" m bays, "&amp;I107&amp;" ("&amp;E107&amp;")")</f>
        <v/>
      </c>
      <c r="C107" s="9"/>
      <c r="D107" s="9"/>
      <c r="E107" s="9"/>
      <c r="F107" s="42"/>
      <c r="G107" s="42"/>
      <c r="H107" s="42"/>
      <c r="I107" s="9"/>
      <c r="J107" s="9"/>
      <c r="K107" s="9"/>
      <c r="L107" s="9"/>
      <c r="M107" s="9"/>
      <c r="N107" s="9"/>
      <c r="O107" s="9"/>
      <c r="P107" s="9"/>
      <c r="Q107" s="9"/>
      <c r="R107" s="9"/>
      <c r="S107" s="42"/>
      <c r="T107" s="9"/>
      <c r="U107" s="9"/>
      <c r="V107" s="9"/>
      <c r="W107" s="38"/>
      <c r="X107" s="42"/>
      <c r="Y107" s="9"/>
      <c r="Z107" s="9"/>
      <c r="AA107" s="9"/>
      <c r="AB107" s="42"/>
      <c r="AC107" s="9"/>
      <c r="AD107" s="38"/>
      <c r="AE107" s="9"/>
      <c r="AF107" s="39"/>
      <c r="AG107" s="9"/>
      <c r="AH107" s="9"/>
      <c r="AI107" s="9"/>
      <c r="AJ107" s="9"/>
      <c r="AK107" s="9"/>
      <c r="AL107" s="9"/>
      <c r="AM107" s="9"/>
      <c r="AN107" s="10" t="str">
        <f aca="false">IF(A107="","",SG_Criteria!$B$6&amp;SG_Criteria!$B$12&amp;"\"&amp;A107&amp;"\")</f>
        <v/>
      </c>
      <c r="AO107" s="10" t="str">
        <f aca="false">IF(A107="","",A107&amp;"_CAD.dwg")</f>
        <v/>
      </c>
      <c r="AP107" s="10" t="str">
        <f aca="false">IF(A107="","",A107&amp;"_DWG.pdf")</f>
        <v/>
      </c>
      <c r="AQ107" s="10" t="str">
        <f aca="false">IF(A107="","",IF(AM107="Y",A107&amp;"_STAAD.std","n/a"))</f>
        <v/>
      </c>
      <c r="AR107" s="10" t="str">
        <f aca="false">IF(A107="","",A107&amp;"_CALC.xlsx")</f>
        <v/>
      </c>
      <c r="AS107" s="10" t="str">
        <f aca="false">IF(A107="","",A107&amp;"_CALC.pdf")</f>
        <v/>
      </c>
      <c r="AT107" s="9"/>
      <c r="AU107" s="9"/>
      <c r="AV107" s="39"/>
      <c r="AW107" s="39"/>
      <c r="AX107" s="39"/>
      <c r="AY107" s="39"/>
      <c r="AZ107" s="39"/>
      <c r="BA107" s="12" t="str">
        <f aca="false">IF(A107="","",IF(COUNTIF(Rebar_Schedule!$A$5:$A$2004,A107)=0,"",ROUND(SUMIF(Rebar_Schedule!$A$5:$A$2004,A107,Rebar_Schedule!$K$5:$K$2004),1)))</f>
        <v/>
      </c>
      <c r="BB107" s="33" t="str">
        <f aca="false">IF(A107="","",IF(BA107="","No rebar schedule yet",IF(ABS(BA107-N(AW107))/MAX(N(AW107),1)&gt;SG_Criteria!$B$55,"NOTE: register rebar differs from schedule by "&amp;TEXT(ABS(BA107-N(AW107))/MAX(N(AW107),1),"0%"),"OK")))</f>
        <v/>
      </c>
      <c r="BC107" s="33" t="str">
        <f aca="false">IF(D107="","",IF(LEN(IF(AND(D107&lt;&gt;"High Covered Linkway",G107&lt;SG_Criteria!$B$46),"FAIL: headroom below "&amp;SG_Criteria!$B$46&amp;" m. ","")&amp;IF(AND(D107="High Covered Linkway",G107&lt;SG_Criteria!$B$47),"FAIL: high linkway headroom below "&amp;SG_Criteria!$B$47&amp;" m. ","")&amp;IF(F107&lt;SG_Criteria!$B$48,"FAIL: roof width below "&amp;SG_Criteria!$B$48&amp;" m. ",IF(F107&lt;SG_Criteria!$B$49,"NOTE: not for MRT/LRT or high-traffic routes (min "&amp;SG_Criteria!$B$49&amp;" m). ",""))&amp;IF(AND(W107&lt;&gt;"",W107&lt;SG_Criteria!$B$50),"FAIL: wind speed below "&amp;SG_Criteria!$B$50&amp;" m/s. ","")&amp;IF(AND(X107&lt;&gt;"",X107&lt;SG_Criteria!$B$51),"FAIL: roof fixing pull-out below "&amp;SG_Criteria!$B$51&amp;" kN. ","")&amp;IF(AND(Y107&lt;&gt;"",IFERROR(VALUE(MID(Y107,2,2)),0)&lt;SG_Criteria!$B$52),"FAIL: grade below C"&amp;SG_Criteria!$B$52&amp;". ","")&amp;IF(E107="Non-standard (project design)","NOTE: not an SDRE standard, needs LTA acceptance. ",""))=0,"OK",IF(AND(D107&lt;&gt;"High Covered Linkway",G107&lt;SG_Criteria!$B$46),"FAIL: headroom below "&amp;SG_Criteria!$B$46&amp;" m. ","")&amp;IF(AND(D107="High Covered Linkway",G107&lt;SG_Criteria!$B$47),"FAIL: high linkway headroom below "&amp;SG_Criteria!$B$47&amp;" m. ","")&amp;IF(F107&lt;SG_Criteria!$B$48,"FAIL: roof width below "&amp;SG_Criteria!$B$48&amp;" m. ",IF(F107&lt;SG_Criteria!$B$49,"NOTE: not for MRT/LRT or high-traffic routes (min "&amp;SG_Criteria!$B$49&amp;" m). ",""))&amp;IF(AND(W107&lt;&gt;"",W107&lt;SG_Criteria!$B$50),"FAIL: wind speed below "&amp;SG_Criteria!$B$50&amp;" m/s. ","")&amp;IF(AND(X107&lt;&gt;"",X107&lt;SG_Criteria!$B$51),"FAIL: roof fixing pull-out below "&amp;SG_Criteria!$B$51&amp;" kN. ","")&amp;IF(AND(Y107&lt;&gt;"",IFERROR(VALUE(MID(Y107,2,2)),0)&lt;SG_Criteria!$B$52),"FAIL: grade below C"&amp;SG_Criteria!$B$52&amp;". ","")&amp;IF(E107="Non-standard (project design)","NOTE: not an SDRE standard, needs LTA acceptance. ","")))</f>
        <v/>
      </c>
      <c r="BD107" s="9"/>
      <c r="BE107" s="9"/>
      <c r="BF107" s="9"/>
      <c r="BG107" s="10" t="str">
        <f aca="false">IF(BF107="","",IFERROR(VLOOKUP(BF107,Projects!$A$5:$D$504,2,0),"Ref not in Projects"))</f>
        <v/>
      </c>
      <c r="BH107" s="10" t="str">
        <f aca="false">IF(BF107="","",IFERROR(VLOOKUP(BF107,Projects!$A$5:$D$504,4,0),"Ref not in Projects"))</f>
        <v/>
      </c>
      <c r="BI107" s="9"/>
      <c r="BJ107" s="9"/>
      <c r="BK107" s="9"/>
      <c r="BL107" s="40"/>
      <c r="BM107" s="9"/>
      <c r="BN107" s="40"/>
      <c r="BO107" s="9"/>
      <c r="BP107" s="40"/>
      <c r="BQ107" s="9"/>
      <c r="BR107" s="9"/>
      <c r="BS107" s="9"/>
      <c r="BT107" s="40"/>
      <c r="BU107" s="40"/>
      <c r="BV107" s="36" t="str">
        <f aca="false">IF(BU107="","",EDATE(BU107,SG_Criteria!$B$54*12))</f>
        <v/>
      </c>
      <c r="BW107" s="33" t="str">
        <f aca="true">IF(A107="","",IF(BU107="","NOTE: not reviewed yet",IF(TODAY()&gt;BV107,"NOTE: review overdue","OK")))</f>
        <v/>
      </c>
      <c r="BX107" s="37" t="str">
        <f aca="false">IF(A107="","",ROUND((IF(LEN(D107)&gt;0,1,0)+IF(LEN(E107)&gt;0,1,0)+IF(LEN(F107)&gt;0,1,0)+IF(LEN(G107)&gt;0,1,0)+IF(LEN(H107)&gt;0,1,0)+IF(LEN(I107)&gt;0,1,0)+IF(LEN(J107)&gt;0,1,0)+IF(LEN(K107)&gt;0,1,0)+IF(LEN(N107)&gt;0,1,0)+IF(LEN(O107)&gt;0,1,0)+IF(LEN(W107)&gt;0,1,0)+IF(LEN(X107)&gt;0,1,0)+IF(LEN(Y107)&gt;0,1,0)+IF(LEN(AG107)&gt;0,1,0)+IF(LEN(AI107)&gt;0,1,0)+IF(LEN(AJ107)&gt;0,1,0)+IF(LEN(AK107)&gt;0,1,0)+IF(LEN(AL107)&gt;0,1,0)+IF(LEN(AU107)&gt;0,1,0)+IF(LEN(BF107)&gt;0,1,0)+IF(LEN(BS107)&gt;0,1,0))/21,2))</f>
        <v/>
      </c>
      <c r="BY107" s="10" t="str">
        <f aca="false">IF(D107="","",IF(AND(AJ107="Approved",ISERROR(SEARCH("FAIL",BC107))),"Y","N"))</f>
        <v/>
      </c>
      <c r="BZ107" s="10" t="str">
        <f aca="false">IF(D107="","",D107&amp;"|"&amp;F107&amp;"|"&amp;G107&amp;"|"&amp;BY107)</f>
        <v/>
      </c>
    </row>
    <row r="108" customFormat="false" ht="15" hidden="false" customHeight="false" outlineLevel="0" collapsed="false">
      <c r="A108" s="10" t="str">
        <f aca="false">IF(D108="","","LKW-"&amp;IFERROR(VLOOKUP(D108,Lists!$AQ$4:$AR$17,2,0),"??")&amp;"-W"&amp;TEXT(F108*1000,"0000")&amp;"-H"&amp;TEXT(G108*1000,"0000")&amp;"-B"&amp;TEXT(H108*1000,"0000")&amp;"-"&amp;AI108)</f>
        <v/>
      </c>
      <c r="B108" s="10" t="str">
        <f aca="false">IF(D108="","",D108&amp;", "&amp;F108&amp;" m wide, "&amp;G108&amp;" m headroom, "&amp;H108&amp;" m bays, "&amp;I108&amp;" ("&amp;E108&amp;")")</f>
        <v/>
      </c>
      <c r="C108" s="9"/>
      <c r="D108" s="9"/>
      <c r="E108" s="9"/>
      <c r="F108" s="42"/>
      <c r="G108" s="42"/>
      <c r="H108" s="42"/>
      <c r="I108" s="9"/>
      <c r="J108" s="9"/>
      <c r="K108" s="9"/>
      <c r="L108" s="9"/>
      <c r="M108" s="9"/>
      <c r="N108" s="9"/>
      <c r="O108" s="9"/>
      <c r="P108" s="9"/>
      <c r="Q108" s="9"/>
      <c r="R108" s="9"/>
      <c r="S108" s="42"/>
      <c r="T108" s="9"/>
      <c r="U108" s="9"/>
      <c r="V108" s="9"/>
      <c r="W108" s="38"/>
      <c r="X108" s="42"/>
      <c r="Y108" s="9"/>
      <c r="Z108" s="9"/>
      <c r="AA108" s="9"/>
      <c r="AB108" s="42"/>
      <c r="AC108" s="9"/>
      <c r="AD108" s="38"/>
      <c r="AE108" s="9"/>
      <c r="AF108" s="39"/>
      <c r="AG108" s="9"/>
      <c r="AH108" s="9"/>
      <c r="AI108" s="9"/>
      <c r="AJ108" s="9"/>
      <c r="AK108" s="9"/>
      <c r="AL108" s="9"/>
      <c r="AM108" s="9"/>
      <c r="AN108" s="10" t="str">
        <f aca="false">IF(A108="","",SG_Criteria!$B$6&amp;SG_Criteria!$B$12&amp;"\"&amp;A108&amp;"\")</f>
        <v/>
      </c>
      <c r="AO108" s="10" t="str">
        <f aca="false">IF(A108="","",A108&amp;"_CAD.dwg")</f>
        <v/>
      </c>
      <c r="AP108" s="10" t="str">
        <f aca="false">IF(A108="","",A108&amp;"_DWG.pdf")</f>
        <v/>
      </c>
      <c r="AQ108" s="10" t="str">
        <f aca="false">IF(A108="","",IF(AM108="Y",A108&amp;"_STAAD.std","n/a"))</f>
        <v/>
      </c>
      <c r="AR108" s="10" t="str">
        <f aca="false">IF(A108="","",A108&amp;"_CALC.xlsx")</f>
        <v/>
      </c>
      <c r="AS108" s="10" t="str">
        <f aca="false">IF(A108="","",A108&amp;"_CALC.pdf")</f>
        <v/>
      </c>
      <c r="AT108" s="9"/>
      <c r="AU108" s="9"/>
      <c r="AV108" s="39"/>
      <c r="AW108" s="39"/>
      <c r="AX108" s="39"/>
      <c r="AY108" s="39"/>
      <c r="AZ108" s="39"/>
      <c r="BA108" s="12" t="str">
        <f aca="false">IF(A108="","",IF(COUNTIF(Rebar_Schedule!$A$5:$A$2004,A108)=0,"",ROUND(SUMIF(Rebar_Schedule!$A$5:$A$2004,A108,Rebar_Schedule!$K$5:$K$2004),1)))</f>
        <v/>
      </c>
      <c r="BB108" s="33" t="str">
        <f aca="false">IF(A108="","",IF(BA108="","No rebar schedule yet",IF(ABS(BA108-N(AW108))/MAX(N(AW108),1)&gt;SG_Criteria!$B$55,"NOTE: register rebar differs from schedule by "&amp;TEXT(ABS(BA108-N(AW108))/MAX(N(AW108),1),"0%"),"OK")))</f>
        <v/>
      </c>
      <c r="BC108" s="33" t="str">
        <f aca="false">IF(D108="","",IF(LEN(IF(AND(D108&lt;&gt;"High Covered Linkway",G108&lt;SG_Criteria!$B$46),"FAIL: headroom below "&amp;SG_Criteria!$B$46&amp;" m. ","")&amp;IF(AND(D108="High Covered Linkway",G108&lt;SG_Criteria!$B$47),"FAIL: high linkway headroom below "&amp;SG_Criteria!$B$47&amp;" m. ","")&amp;IF(F108&lt;SG_Criteria!$B$48,"FAIL: roof width below "&amp;SG_Criteria!$B$48&amp;" m. ",IF(F108&lt;SG_Criteria!$B$49,"NOTE: not for MRT/LRT or high-traffic routes (min "&amp;SG_Criteria!$B$49&amp;" m). ",""))&amp;IF(AND(W108&lt;&gt;"",W108&lt;SG_Criteria!$B$50),"FAIL: wind speed below "&amp;SG_Criteria!$B$50&amp;" m/s. ","")&amp;IF(AND(X108&lt;&gt;"",X108&lt;SG_Criteria!$B$51),"FAIL: roof fixing pull-out below "&amp;SG_Criteria!$B$51&amp;" kN. ","")&amp;IF(AND(Y108&lt;&gt;"",IFERROR(VALUE(MID(Y108,2,2)),0)&lt;SG_Criteria!$B$52),"FAIL: grade below C"&amp;SG_Criteria!$B$52&amp;". ","")&amp;IF(E108="Non-standard (project design)","NOTE: not an SDRE standard, needs LTA acceptance. ",""))=0,"OK",IF(AND(D108&lt;&gt;"High Covered Linkway",G108&lt;SG_Criteria!$B$46),"FAIL: headroom below "&amp;SG_Criteria!$B$46&amp;" m. ","")&amp;IF(AND(D108="High Covered Linkway",G108&lt;SG_Criteria!$B$47),"FAIL: high linkway headroom below "&amp;SG_Criteria!$B$47&amp;" m. ","")&amp;IF(F108&lt;SG_Criteria!$B$48,"FAIL: roof width below "&amp;SG_Criteria!$B$48&amp;" m. ",IF(F108&lt;SG_Criteria!$B$49,"NOTE: not for MRT/LRT or high-traffic routes (min "&amp;SG_Criteria!$B$49&amp;" m). ",""))&amp;IF(AND(W108&lt;&gt;"",W108&lt;SG_Criteria!$B$50),"FAIL: wind speed below "&amp;SG_Criteria!$B$50&amp;" m/s. ","")&amp;IF(AND(X108&lt;&gt;"",X108&lt;SG_Criteria!$B$51),"FAIL: roof fixing pull-out below "&amp;SG_Criteria!$B$51&amp;" kN. ","")&amp;IF(AND(Y108&lt;&gt;"",IFERROR(VALUE(MID(Y108,2,2)),0)&lt;SG_Criteria!$B$52),"FAIL: grade below C"&amp;SG_Criteria!$B$52&amp;". ","")&amp;IF(E108="Non-standard (project design)","NOTE: not an SDRE standard, needs LTA acceptance. ","")))</f>
        <v/>
      </c>
      <c r="BD108" s="9"/>
      <c r="BE108" s="9"/>
      <c r="BF108" s="9"/>
      <c r="BG108" s="10" t="str">
        <f aca="false">IF(BF108="","",IFERROR(VLOOKUP(BF108,Projects!$A$5:$D$504,2,0),"Ref not in Projects"))</f>
        <v/>
      </c>
      <c r="BH108" s="10" t="str">
        <f aca="false">IF(BF108="","",IFERROR(VLOOKUP(BF108,Projects!$A$5:$D$504,4,0),"Ref not in Projects"))</f>
        <v/>
      </c>
      <c r="BI108" s="9"/>
      <c r="BJ108" s="9"/>
      <c r="BK108" s="9"/>
      <c r="BL108" s="40"/>
      <c r="BM108" s="9"/>
      <c r="BN108" s="40"/>
      <c r="BO108" s="9"/>
      <c r="BP108" s="40"/>
      <c r="BQ108" s="9"/>
      <c r="BR108" s="9"/>
      <c r="BS108" s="9"/>
      <c r="BT108" s="40"/>
      <c r="BU108" s="40"/>
      <c r="BV108" s="36" t="str">
        <f aca="false">IF(BU108="","",EDATE(BU108,SG_Criteria!$B$54*12))</f>
        <v/>
      </c>
      <c r="BW108" s="33" t="str">
        <f aca="true">IF(A108="","",IF(BU108="","NOTE: not reviewed yet",IF(TODAY()&gt;BV108,"NOTE: review overdue","OK")))</f>
        <v/>
      </c>
      <c r="BX108" s="37" t="str">
        <f aca="false">IF(A108="","",ROUND((IF(LEN(D108)&gt;0,1,0)+IF(LEN(E108)&gt;0,1,0)+IF(LEN(F108)&gt;0,1,0)+IF(LEN(G108)&gt;0,1,0)+IF(LEN(H108)&gt;0,1,0)+IF(LEN(I108)&gt;0,1,0)+IF(LEN(J108)&gt;0,1,0)+IF(LEN(K108)&gt;0,1,0)+IF(LEN(N108)&gt;0,1,0)+IF(LEN(O108)&gt;0,1,0)+IF(LEN(W108)&gt;0,1,0)+IF(LEN(X108)&gt;0,1,0)+IF(LEN(Y108)&gt;0,1,0)+IF(LEN(AG108)&gt;0,1,0)+IF(LEN(AI108)&gt;0,1,0)+IF(LEN(AJ108)&gt;0,1,0)+IF(LEN(AK108)&gt;0,1,0)+IF(LEN(AL108)&gt;0,1,0)+IF(LEN(AU108)&gt;0,1,0)+IF(LEN(BF108)&gt;0,1,0)+IF(LEN(BS108)&gt;0,1,0))/21,2))</f>
        <v/>
      </c>
      <c r="BY108" s="10" t="str">
        <f aca="false">IF(D108="","",IF(AND(AJ108="Approved",ISERROR(SEARCH("FAIL",BC108))),"Y","N"))</f>
        <v/>
      </c>
      <c r="BZ108" s="10" t="str">
        <f aca="false">IF(D108="","",D108&amp;"|"&amp;F108&amp;"|"&amp;G108&amp;"|"&amp;BY108)</f>
        <v/>
      </c>
    </row>
    <row r="109" customFormat="false" ht="15" hidden="false" customHeight="false" outlineLevel="0" collapsed="false">
      <c r="A109" s="10" t="str">
        <f aca="false">IF(D109="","","LKW-"&amp;IFERROR(VLOOKUP(D109,Lists!$AQ$4:$AR$17,2,0),"??")&amp;"-W"&amp;TEXT(F109*1000,"0000")&amp;"-H"&amp;TEXT(G109*1000,"0000")&amp;"-B"&amp;TEXT(H109*1000,"0000")&amp;"-"&amp;AI109)</f>
        <v/>
      </c>
      <c r="B109" s="10" t="str">
        <f aca="false">IF(D109="","",D109&amp;", "&amp;F109&amp;" m wide, "&amp;G109&amp;" m headroom, "&amp;H109&amp;" m bays, "&amp;I109&amp;" ("&amp;E109&amp;")")</f>
        <v/>
      </c>
      <c r="C109" s="9"/>
      <c r="D109" s="9"/>
      <c r="E109" s="9"/>
      <c r="F109" s="42"/>
      <c r="G109" s="42"/>
      <c r="H109" s="42"/>
      <c r="I109" s="9"/>
      <c r="J109" s="9"/>
      <c r="K109" s="9"/>
      <c r="L109" s="9"/>
      <c r="M109" s="9"/>
      <c r="N109" s="9"/>
      <c r="O109" s="9"/>
      <c r="P109" s="9"/>
      <c r="Q109" s="9"/>
      <c r="R109" s="9"/>
      <c r="S109" s="42"/>
      <c r="T109" s="9"/>
      <c r="U109" s="9"/>
      <c r="V109" s="9"/>
      <c r="W109" s="38"/>
      <c r="X109" s="42"/>
      <c r="Y109" s="9"/>
      <c r="Z109" s="9"/>
      <c r="AA109" s="9"/>
      <c r="AB109" s="42"/>
      <c r="AC109" s="9"/>
      <c r="AD109" s="38"/>
      <c r="AE109" s="9"/>
      <c r="AF109" s="39"/>
      <c r="AG109" s="9"/>
      <c r="AH109" s="9"/>
      <c r="AI109" s="9"/>
      <c r="AJ109" s="9"/>
      <c r="AK109" s="9"/>
      <c r="AL109" s="9"/>
      <c r="AM109" s="9"/>
      <c r="AN109" s="10" t="str">
        <f aca="false">IF(A109="","",SG_Criteria!$B$6&amp;SG_Criteria!$B$12&amp;"\"&amp;A109&amp;"\")</f>
        <v/>
      </c>
      <c r="AO109" s="10" t="str">
        <f aca="false">IF(A109="","",A109&amp;"_CAD.dwg")</f>
        <v/>
      </c>
      <c r="AP109" s="10" t="str">
        <f aca="false">IF(A109="","",A109&amp;"_DWG.pdf")</f>
        <v/>
      </c>
      <c r="AQ109" s="10" t="str">
        <f aca="false">IF(A109="","",IF(AM109="Y",A109&amp;"_STAAD.std","n/a"))</f>
        <v/>
      </c>
      <c r="AR109" s="10" t="str">
        <f aca="false">IF(A109="","",A109&amp;"_CALC.xlsx")</f>
        <v/>
      </c>
      <c r="AS109" s="10" t="str">
        <f aca="false">IF(A109="","",A109&amp;"_CALC.pdf")</f>
        <v/>
      </c>
      <c r="AT109" s="9"/>
      <c r="AU109" s="9"/>
      <c r="AV109" s="39"/>
      <c r="AW109" s="39"/>
      <c r="AX109" s="39"/>
      <c r="AY109" s="39"/>
      <c r="AZ109" s="39"/>
      <c r="BA109" s="12" t="str">
        <f aca="false">IF(A109="","",IF(COUNTIF(Rebar_Schedule!$A$5:$A$2004,A109)=0,"",ROUND(SUMIF(Rebar_Schedule!$A$5:$A$2004,A109,Rebar_Schedule!$K$5:$K$2004),1)))</f>
        <v/>
      </c>
      <c r="BB109" s="33" t="str">
        <f aca="false">IF(A109="","",IF(BA109="","No rebar schedule yet",IF(ABS(BA109-N(AW109))/MAX(N(AW109),1)&gt;SG_Criteria!$B$55,"NOTE: register rebar differs from schedule by "&amp;TEXT(ABS(BA109-N(AW109))/MAX(N(AW109),1),"0%"),"OK")))</f>
        <v/>
      </c>
      <c r="BC109" s="33" t="str">
        <f aca="false">IF(D109="","",IF(LEN(IF(AND(D109&lt;&gt;"High Covered Linkway",G109&lt;SG_Criteria!$B$46),"FAIL: headroom below "&amp;SG_Criteria!$B$46&amp;" m. ","")&amp;IF(AND(D109="High Covered Linkway",G109&lt;SG_Criteria!$B$47),"FAIL: high linkway headroom below "&amp;SG_Criteria!$B$47&amp;" m. ","")&amp;IF(F109&lt;SG_Criteria!$B$48,"FAIL: roof width below "&amp;SG_Criteria!$B$48&amp;" m. ",IF(F109&lt;SG_Criteria!$B$49,"NOTE: not for MRT/LRT or high-traffic routes (min "&amp;SG_Criteria!$B$49&amp;" m). ",""))&amp;IF(AND(W109&lt;&gt;"",W109&lt;SG_Criteria!$B$50),"FAIL: wind speed below "&amp;SG_Criteria!$B$50&amp;" m/s. ","")&amp;IF(AND(X109&lt;&gt;"",X109&lt;SG_Criteria!$B$51),"FAIL: roof fixing pull-out below "&amp;SG_Criteria!$B$51&amp;" kN. ","")&amp;IF(AND(Y109&lt;&gt;"",IFERROR(VALUE(MID(Y109,2,2)),0)&lt;SG_Criteria!$B$52),"FAIL: grade below C"&amp;SG_Criteria!$B$52&amp;". ","")&amp;IF(E109="Non-standard (project design)","NOTE: not an SDRE standard, needs LTA acceptance. ",""))=0,"OK",IF(AND(D109&lt;&gt;"High Covered Linkway",G109&lt;SG_Criteria!$B$46),"FAIL: headroom below "&amp;SG_Criteria!$B$46&amp;" m. ","")&amp;IF(AND(D109="High Covered Linkway",G109&lt;SG_Criteria!$B$47),"FAIL: high linkway headroom below "&amp;SG_Criteria!$B$47&amp;" m. ","")&amp;IF(F109&lt;SG_Criteria!$B$48,"FAIL: roof width below "&amp;SG_Criteria!$B$48&amp;" m. ",IF(F109&lt;SG_Criteria!$B$49,"NOTE: not for MRT/LRT or high-traffic routes (min "&amp;SG_Criteria!$B$49&amp;" m). ",""))&amp;IF(AND(W109&lt;&gt;"",W109&lt;SG_Criteria!$B$50),"FAIL: wind speed below "&amp;SG_Criteria!$B$50&amp;" m/s. ","")&amp;IF(AND(X109&lt;&gt;"",X109&lt;SG_Criteria!$B$51),"FAIL: roof fixing pull-out below "&amp;SG_Criteria!$B$51&amp;" kN. ","")&amp;IF(AND(Y109&lt;&gt;"",IFERROR(VALUE(MID(Y109,2,2)),0)&lt;SG_Criteria!$B$52),"FAIL: grade below C"&amp;SG_Criteria!$B$52&amp;". ","")&amp;IF(E109="Non-standard (project design)","NOTE: not an SDRE standard, needs LTA acceptance. ","")))</f>
        <v/>
      </c>
      <c r="BD109" s="9"/>
      <c r="BE109" s="9"/>
      <c r="BF109" s="9"/>
      <c r="BG109" s="10" t="str">
        <f aca="false">IF(BF109="","",IFERROR(VLOOKUP(BF109,Projects!$A$5:$D$504,2,0),"Ref not in Projects"))</f>
        <v/>
      </c>
      <c r="BH109" s="10" t="str">
        <f aca="false">IF(BF109="","",IFERROR(VLOOKUP(BF109,Projects!$A$5:$D$504,4,0),"Ref not in Projects"))</f>
        <v/>
      </c>
      <c r="BI109" s="9"/>
      <c r="BJ109" s="9"/>
      <c r="BK109" s="9"/>
      <c r="BL109" s="40"/>
      <c r="BM109" s="9"/>
      <c r="BN109" s="40"/>
      <c r="BO109" s="9"/>
      <c r="BP109" s="40"/>
      <c r="BQ109" s="9"/>
      <c r="BR109" s="9"/>
      <c r="BS109" s="9"/>
      <c r="BT109" s="40"/>
      <c r="BU109" s="40"/>
      <c r="BV109" s="36" t="str">
        <f aca="false">IF(BU109="","",EDATE(BU109,SG_Criteria!$B$54*12))</f>
        <v/>
      </c>
      <c r="BW109" s="33" t="str">
        <f aca="true">IF(A109="","",IF(BU109="","NOTE: not reviewed yet",IF(TODAY()&gt;BV109,"NOTE: review overdue","OK")))</f>
        <v/>
      </c>
      <c r="BX109" s="37" t="str">
        <f aca="false">IF(A109="","",ROUND((IF(LEN(D109)&gt;0,1,0)+IF(LEN(E109)&gt;0,1,0)+IF(LEN(F109)&gt;0,1,0)+IF(LEN(G109)&gt;0,1,0)+IF(LEN(H109)&gt;0,1,0)+IF(LEN(I109)&gt;0,1,0)+IF(LEN(J109)&gt;0,1,0)+IF(LEN(K109)&gt;0,1,0)+IF(LEN(N109)&gt;0,1,0)+IF(LEN(O109)&gt;0,1,0)+IF(LEN(W109)&gt;0,1,0)+IF(LEN(X109)&gt;0,1,0)+IF(LEN(Y109)&gt;0,1,0)+IF(LEN(AG109)&gt;0,1,0)+IF(LEN(AI109)&gt;0,1,0)+IF(LEN(AJ109)&gt;0,1,0)+IF(LEN(AK109)&gt;0,1,0)+IF(LEN(AL109)&gt;0,1,0)+IF(LEN(AU109)&gt;0,1,0)+IF(LEN(BF109)&gt;0,1,0)+IF(LEN(BS109)&gt;0,1,0))/21,2))</f>
        <v/>
      </c>
      <c r="BY109" s="10" t="str">
        <f aca="false">IF(D109="","",IF(AND(AJ109="Approved",ISERROR(SEARCH("FAIL",BC109))),"Y","N"))</f>
        <v/>
      </c>
      <c r="BZ109" s="10" t="str">
        <f aca="false">IF(D109="","",D109&amp;"|"&amp;F109&amp;"|"&amp;G109&amp;"|"&amp;BY109)</f>
        <v/>
      </c>
    </row>
    <row r="110" customFormat="false" ht="15" hidden="false" customHeight="false" outlineLevel="0" collapsed="false">
      <c r="A110" s="10" t="str">
        <f aca="false">IF(D110="","","LKW-"&amp;IFERROR(VLOOKUP(D110,Lists!$AQ$4:$AR$17,2,0),"??")&amp;"-W"&amp;TEXT(F110*1000,"0000")&amp;"-H"&amp;TEXT(G110*1000,"0000")&amp;"-B"&amp;TEXT(H110*1000,"0000")&amp;"-"&amp;AI110)</f>
        <v/>
      </c>
      <c r="B110" s="10" t="str">
        <f aca="false">IF(D110="","",D110&amp;", "&amp;F110&amp;" m wide, "&amp;G110&amp;" m headroom, "&amp;H110&amp;" m bays, "&amp;I110&amp;" ("&amp;E110&amp;")")</f>
        <v/>
      </c>
      <c r="C110" s="9"/>
      <c r="D110" s="9"/>
      <c r="E110" s="9"/>
      <c r="F110" s="42"/>
      <c r="G110" s="42"/>
      <c r="H110" s="42"/>
      <c r="I110" s="9"/>
      <c r="J110" s="9"/>
      <c r="K110" s="9"/>
      <c r="L110" s="9"/>
      <c r="M110" s="9"/>
      <c r="N110" s="9"/>
      <c r="O110" s="9"/>
      <c r="P110" s="9"/>
      <c r="Q110" s="9"/>
      <c r="R110" s="9"/>
      <c r="S110" s="42"/>
      <c r="T110" s="9"/>
      <c r="U110" s="9"/>
      <c r="V110" s="9"/>
      <c r="W110" s="38"/>
      <c r="X110" s="42"/>
      <c r="Y110" s="9"/>
      <c r="Z110" s="9"/>
      <c r="AA110" s="9"/>
      <c r="AB110" s="42"/>
      <c r="AC110" s="9"/>
      <c r="AD110" s="38"/>
      <c r="AE110" s="9"/>
      <c r="AF110" s="39"/>
      <c r="AG110" s="9"/>
      <c r="AH110" s="9"/>
      <c r="AI110" s="9"/>
      <c r="AJ110" s="9"/>
      <c r="AK110" s="9"/>
      <c r="AL110" s="9"/>
      <c r="AM110" s="9"/>
      <c r="AN110" s="10" t="str">
        <f aca="false">IF(A110="","",SG_Criteria!$B$6&amp;SG_Criteria!$B$12&amp;"\"&amp;A110&amp;"\")</f>
        <v/>
      </c>
      <c r="AO110" s="10" t="str">
        <f aca="false">IF(A110="","",A110&amp;"_CAD.dwg")</f>
        <v/>
      </c>
      <c r="AP110" s="10" t="str">
        <f aca="false">IF(A110="","",A110&amp;"_DWG.pdf")</f>
        <v/>
      </c>
      <c r="AQ110" s="10" t="str">
        <f aca="false">IF(A110="","",IF(AM110="Y",A110&amp;"_STAAD.std","n/a"))</f>
        <v/>
      </c>
      <c r="AR110" s="10" t="str">
        <f aca="false">IF(A110="","",A110&amp;"_CALC.xlsx")</f>
        <v/>
      </c>
      <c r="AS110" s="10" t="str">
        <f aca="false">IF(A110="","",A110&amp;"_CALC.pdf")</f>
        <v/>
      </c>
      <c r="AT110" s="9"/>
      <c r="AU110" s="9"/>
      <c r="AV110" s="39"/>
      <c r="AW110" s="39"/>
      <c r="AX110" s="39"/>
      <c r="AY110" s="39"/>
      <c r="AZ110" s="39"/>
      <c r="BA110" s="12" t="str">
        <f aca="false">IF(A110="","",IF(COUNTIF(Rebar_Schedule!$A$5:$A$2004,A110)=0,"",ROUND(SUMIF(Rebar_Schedule!$A$5:$A$2004,A110,Rebar_Schedule!$K$5:$K$2004),1)))</f>
        <v/>
      </c>
      <c r="BB110" s="33" t="str">
        <f aca="false">IF(A110="","",IF(BA110="","No rebar schedule yet",IF(ABS(BA110-N(AW110))/MAX(N(AW110),1)&gt;SG_Criteria!$B$55,"NOTE: register rebar differs from schedule by "&amp;TEXT(ABS(BA110-N(AW110))/MAX(N(AW110),1),"0%"),"OK")))</f>
        <v/>
      </c>
      <c r="BC110" s="33" t="str">
        <f aca="false">IF(D110="","",IF(LEN(IF(AND(D110&lt;&gt;"High Covered Linkway",G110&lt;SG_Criteria!$B$46),"FAIL: headroom below "&amp;SG_Criteria!$B$46&amp;" m. ","")&amp;IF(AND(D110="High Covered Linkway",G110&lt;SG_Criteria!$B$47),"FAIL: high linkway headroom below "&amp;SG_Criteria!$B$47&amp;" m. ","")&amp;IF(F110&lt;SG_Criteria!$B$48,"FAIL: roof width below "&amp;SG_Criteria!$B$48&amp;" m. ",IF(F110&lt;SG_Criteria!$B$49,"NOTE: not for MRT/LRT or high-traffic routes (min "&amp;SG_Criteria!$B$49&amp;" m). ",""))&amp;IF(AND(W110&lt;&gt;"",W110&lt;SG_Criteria!$B$50),"FAIL: wind speed below "&amp;SG_Criteria!$B$50&amp;" m/s. ","")&amp;IF(AND(X110&lt;&gt;"",X110&lt;SG_Criteria!$B$51),"FAIL: roof fixing pull-out below "&amp;SG_Criteria!$B$51&amp;" kN. ","")&amp;IF(AND(Y110&lt;&gt;"",IFERROR(VALUE(MID(Y110,2,2)),0)&lt;SG_Criteria!$B$52),"FAIL: grade below C"&amp;SG_Criteria!$B$52&amp;". ","")&amp;IF(E110="Non-standard (project design)","NOTE: not an SDRE standard, needs LTA acceptance. ",""))=0,"OK",IF(AND(D110&lt;&gt;"High Covered Linkway",G110&lt;SG_Criteria!$B$46),"FAIL: headroom below "&amp;SG_Criteria!$B$46&amp;" m. ","")&amp;IF(AND(D110="High Covered Linkway",G110&lt;SG_Criteria!$B$47),"FAIL: high linkway headroom below "&amp;SG_Criteria!$B$47&amp;" m. ","")&amp;IF(F110&lt;SG_Criteria!$B$48,"FAIL: roof width below "&amp;SG_Criteria!$B$48&amp;" m. ",IF(F110&lt;SG_Criteria!$B$49,"NOTE: not for MRT/LRT or high-traffic routes (min "&amp;SG_Criteria!$B$49&amp;" m). ",""))&amp;IF(AND(W110&lt;&gt;"",W110&lt;SG_Criteria!$B$50),"FAIL: wind speed below "&amp;SG_Criteria!$B$50&amp;" m/s. ","")&amp;IF(AND(X110&lt;&gt;"",X110&lt;SG_Criteria!$B$51),"FAIL: roof fixing pull-out below "&amp;SG_Criteria!$B$51&amp;" kN. ","")&amp;IF(AND(Y110&lt;&gt;"",IFERROR(VALUE(MID(Y110,2,2)),0)&lt;SG_Criteria!$B$52),"FAIL: grade below C"&amp;SG_Criteria!$B$52&amp;". ","")&amp;IF(E110="Non-standard (project design)","NOTE: not an SDRE standard, needs LTA acceptance. ","")))</f>
        <v/>
      </c>
      <c r="BD110" s="9"/>
      <c r="BE110" s="9"/>
      <c r="BF110" s="9"/>
      <c r="BG110" s="10" t="str">
        <f aca="false">IF(BF110="","",IFERROR(VLOOKUP(BF110,Projects!$A$5:$D$504,2,0),"Ref not in Projects"))</f>
        <v/>
      </c>
      <c r="BH110" s="10" t="str">
        <f aca="false">IF(BF110="","",IFERROR(VLOOKUP(BF110,Projects!$A$5:$D$504,4,0),"Ref not in Projects"))</f>
        <v/>
      </c>
      <c r="BI110" s="9"/>
      <c r="BJ110" s="9"/>
      <c r="BK110" s="9"/>
      <c r="BL110" s="40"/>
      <c r="BM110" s="9"/>
      <c r="BN110" s="40"/>
      <c r="BO110" s="9"/>
      <c r="BP110" s="40"/>
      <c r="BQ110" s="9"/>
      <c r="BR110" s="9"/>
      <c r="BS110" s="9"/>
      <c r="BT110" s="40"/>
      <c r="BU110" s="40"/>
      <c r="BV110" s="36" t="str">
        <f aca="false">IF(BU110="","",EDATE(BU110,SG_Criteria!$B$54*12))</f>
        <v/>
      </c>
      <c r="BW110" s="33" t="str">
        <f aca="true">IF(A110="","",IF(BU110="","NOTE: not reviewed yet",IF(TODAY()&gt;BV110,"NOTE: review overdue","OK")))</f>
        <v/>
      </c>
      <c r="BX110" s="37" t="str">
        <f aca="false">IF(A110="","",ROUND((IF(LEN(D110)&gt;0,1,0)+IF(LEN(E110)&gt;0,1,0)+IF(LEN(F110)&gt;0,1,0)+IF(LEN(G110)&gt;0,1,0)+IF(LEN(H110)&gt;0,1,0)+IF(LEN(I110)&gt;0,1,0)+IF(LEN(J110)&gt;0,1,0)+IF(LEN(K110)&gt;0,1,0)+IF(LEN(N110)&gt;0,1,0)+IF(LEN(O110)&gt;0,1,0)+IF(LEN(W110)&gt;0,1,0)+IF(LEN(X110)&gt;0,1,0)+IF(LEN(Y110)&gt;0,1,0)+IF(LEN(AG110)&gt;0,1,0)+IF(LEN(AI110)&gt;0,1,0)+IF(LEN(AJ110)&gt;0,1,0)+IF(LEN(AK110)&gt;0,1,0)+IF(LEN(AL110)&gt;0,1,0)+IF(LEN(AU110)&gt;0,1,0)+IF(LEN(BF110)&gt;0,1,0)+IF(LEN(BS110)&gt;0,1,0))/21,2))</f>
        <v/>
      </c>
      <c r="BY110" s="10" t="str">
        <f aca="false">IF(D110="","",IF(AND(AJ110="Approved",ISERROR(SEARCH("FAIL",BC110))),"Y","N"))</f>
        <v/>
      </c>
      <c r="BZ110" s="10" t="str">
        <f aca="false">IF(D110="","",D110&amp;"|"&amp;F110&amp;"|"&amp;G110&amp;"|"&amp;BY110)</f>
        <v/>
      </c>
    </row>
    <row r="111" customFormat="false" ht="15" hidden="false" customHeight="false" outlineLevel="0" collapsed="false">
      <c r="A111" s="10" t="str">
        <f aca="false">IF(D111="","","LKW-"&amp;IFERROR(VLOOKUP(D111,Lists!$AQ$4:$AR$17,2,0),"??")&amp;"-W"&amp;TEXT(F111*1000,"0000")&amp;"-H"&amp;TEXT(G111*1000,"0000")&amp;"-B"&amp;TEXT(H111*1000,"0000")&amp;"-"&amp;AI111)</f>
        <v/>
      </c>
      <c r="B111" s="10" t="str">
        <f aca="false">IF(D111="","",D111&amp;", "&amp;F111&amp;" m wide, "&amp;G111&amp;" m headroom, "&amp;H111&amp;" m bays, "&amp;I111&amp;" ("&amp;E111&amp;")")</f>
        <v/>
      </c>
      <c r="C111" s="9"/>
      <c r="D111" s="9"/>
      <c r="E111" s="9"/>
      <c r="F111" s="42"/>
      <c r="G111" s="42"/>
      <c r="H111" s="42"/>
      <c r="I111" s="9"/>
      <c r="J111" s="9"/>
      <c r="K111" s="9"/>
      <c r="L111" s="9"/>
      <c r="M111" s="9"/>
      <c r="N111" s="9"/>
      <c r="O111" s="9"/>
      <c r="P111" s="9"/>
      <c r="Q111" s="9"/>
      <c r="R111" s="9"/>
      <c r="S111" s="42"/>
      <c r="T111" s="9"/>
      <c r="U111" s="9"/>
      <c r="V111" s="9"/>
      <c r="W111" s="38"/>
      <c r="X111" s="42"/>
      <c r="Y111" s="9"/>
      <c r="Z111" s="9"/>
      <c r="AA111" s="9"/>
      <c r="AB111" s="42"/>
      <c r="AC111" s="9"/>
      <c r="AD111" s="38"/>
      <c r="AE111" s="9"/>
      <c r="AF111" s="39"/>
      <c r="AG111" s="9"/>
      <c r="AH111" s="9"/>
      <c r="AI111" s="9"/>
      <c r="AJ111" s="9"/>
      <c r="AK111" s="9"/>
      <c r="AL111" s="9"/>
      <c r="AM111" s="9"/>
      <c r="AN111" s="10" t="str">
        <f aca="false">IF(A111="","",SG_Criteria!$B$6&amp;SG_Criteria!$B$12&amp;"\"&amp;A111&amp;"\")</f>
        <v/>
      </c>
      <c r="AO111" s="10" t="str">
        <f aca="false">IF(A111="","",A111&amp;"_CAD.dwg")</f>
        <v/>
      </c>
      <c r="AP111" s="10" t="str">
        <f aca="false">IF(A111="","",A111&amp;"_DWG.pdf")</f>
        <v/>
      </c>
      <c r="AQ111" s="10" t="str">
        <f aca="false">IF(A111="","",IF(AM111="Y",A111&amp;"_STAAD.std","n/a"))</f>
        <v/>
      </c>
      <c r="AR111" s="10" t="str">
        <f aca="false">IF(A111="","",A111&amp;"_CALC.xlsx")</f>
        <v/>
      </c>
      <c r="AS111" s="10" t="str">
        <f aca="false">IF(A111="","",A111&amp;"_CALC.pdf")</f>
        <v/>
      </c>
      <c r="AT111" s="9"/>
      <c r="AU111" s="9"/>
      <c r="AV111" s="39"/>
      <c r="AW111" s="39"/>
      <c r="AX111" s="39"/>
      <c r="AY111" s="39"/>
      <c r="AZ111" s="39"/>
      <c r="BA111" s="12" t="str">
        <f aca="false">IF(A111="","",IF(COUNTIF(Rebar_Schedule!$A$5:$A$2004,A111)=0,"",ROUND(SUMIF(Rebar_Schedule!$A$5:$A$2004,A111,Rebar_Schedule!$K$5:$K$2004),1)))</f>
        <v/>
      </c>
      <c r="BB111" s="33" t="str">
        <f aca="false">IF(A111="","",IF(BA111="","No rebar schedule yet",IF(ABS(BA111-N(AW111))/MAX(N(AW111),1)&gt;SG_Criteria!$B$55,"NOTE: register rebar differs from schedule by "&amp;TEXT(ABS(BA111-N(AW111))/MAX(N(AW111),1),"0%"),"OK")))</f>
        <v/>
      </c>
      <c r="BC111" s="33" t="str">
        <f aca="false">IF(D111="","",IF(LEN(IF(AND(D111&lt;&gt;"High Covered Linkway",G111&lt;SG_Criteria!$B$46),"FAIL: headroom below "&amp;SG_Criteria!$B$46&amp;" m. ","")&amp;IF(AND(D111="High Covered Linkway",G111&lt;SG_Criteria!$B$47),"FAIL: high linkway headroom below "&amp;SG_Criteria!$B$47&amp;" m. ","")&amp;IF(F111&lt;SG_Criteria!$B$48,"FAIL: roof width below "&amp;SG_Criteria!$B$48&amp;" m. ",IF(F111&lt;SG_Criteria!$B$49,"NOTE: not for MRT/LRT or high-traffic routes (min "&amp;SG_Criteria!$B$49&amp;" m). ",""))&amp;IF(AND(W111&lt;&gt;"",W111&lt;SG_Criteria!$B$50),"FAIL: wind speed below "&amp;SG_Criteria!$B$50&amp;" m/s. ","")&amp;IF(AND(X111&lt;&gt;"",X111&lt;SG_Criteria!$B$51),"FAIL: roof fixing pull-out below "&amp;SG_Criteria!$B$51&amp;" kN. ","")&amp;IF(AND(Y111&lt;&gt;"",IFERROR(VALUE(MID(Y111,2,2)),0)&lt;SG_Criteria!$B$52),"FAIL: grade below C"&amp;SG_Criteria!$B$52&amp;". ","")&amp;IF(E111="Non-standard (project design)","NOTE: not an SDRE standard, needs LTA acceptance. ",""))=0,"OK",IF(AND(D111&lt;&gt;"High Covered Linkway",G111&lt;SG_Criteria!$B$46),"FAIL: headroom below "&amp;SG_Criteria!$B$46&amp;" m. ","")&amp;IF(AND(D111="High Covered Linkway",G111&lt;SG_Criteria!$B$47),"FAIL: high linkway headroom below "&amp;SG_Criteria!$B$47&amp;" m. ","")&amp;IF(F111&lt;SG_Criteria!$B$48,"FAIL: roof width below "&amp;SG_Criteria!$B$48&amp;" m. ",IF(F111&lt;SG_Criteria!$B$49,"NOTE: not for MRT/LRT or high-traffic routes (min "&amp;SG_Criteria!$B$49&amp;" m). ",""))&amp;IF(AND(W111&lt;&gt;"",W111&lt;SG_Criteria!$B$50),"FAIL: wind speed below "&amp;SG_Criteria!$B$50&amp;" m/s. ","")&amp;IF(AND(X111&lt;&gt;"",X111&lt;SG_Criteria!$B$51),"FAIL: roof fixing pull-out below "&amp;SG_Criteria!$B$51&amp;" kN. ","")&amp;IF(AND(Y111&lt;&gt;"",IFERROR(VALUE(MID(Y111,2,2)),0)&lt;SG_Criteria!$B$52),"FAIL: grade below C"&amp;SG_Criteria!$B$52&amp;". ","")&amp;IF(E111="Non-standard (project design)","NOTE: not an SDRE standard, needs LTA acceptance. ","")))</f>
        <v/>
      </c>
      <c r="BD111" s="9"/>
      <c r="BE111" s="9"/>
      <c r="BF111" s="9"/>
      <c r="BG111" s="10" t="str">
        <f aca="false">IF(BF111="","",IFERROR(VLOOKUP(BF111,Projects!$A$5:$D$504,2,0),"Ref not in Projects"))</f>
        <v/>
      </c>
      <c r="BH111" s="10" t="str">
        <f aca="false">IF(BF111="","",IFERROR(VLOOKUP(BF111,Projects!$A$5:$D$504,4,0),"Ref not in Projects"))</f>
        <v/>
      </c>
      <c r="BI111" s="9"/>
      <c r="BJ111" s="9"/>
      <c r="BK111" s="9"/>
      <c r="BL111" s="40"/>
      <c r="BM111" s="9"/>
      <c r="BN111" s="40"/>
      <c r="BO111" s="9"/>
      <c r="BP111" s="40"/>
      <c r="BQ111" s="9"/>
      <c r="BR111" s="9"/>
      <c r="BS111" s="9"/>
      <c r="BT111" s="40"/>
      <c r="BU111" s="40"/>
      <c r="BV111" s="36" t="str">
        <f aca="false">IF(BU111="","",EDATE(BU111,SG_Criteria!$B$54*12))</f>
        <v/>
      </c>
      <c r="BW111" s="33" t="str">
        <f aca="true">IF(A111="","",IF(BU111="","NOTE: not reviewed yet",IF(TODAY()&gt;BV111,"NOTE: review overdue","OK")))</f>
        <v/>
      </c>
      <c r="BX111" s="37" t="str">
        <f aca="false">IF(A111="","",ROUND((IF(LEN(D111)&gt;0,1,0)+IF(LEN(E111)&gt;0,1,0)+IF(LEN(F111)&gt;0,1,0)+IF(LEN(G111)&gt;0,1,0)+IF(LEN(H111)&gt;0,1,0)+IF(LEN(I111)&gt;0,1,0)+IF(LEN(J111)&gt;0,1,0)+IF(LEN(K111)&gt;0,1,0)+IF(LEN(N111)&gt;0,1,0)+IF(LEN(O111)&gt;0,1,0)+IF(LEN(W111)&gt;0,1,0)+IF(LEN(X111)&gt;0,1,0)+IF(LEN(Y111)&gt;0,1,0)+IF(LEN(AG111)&gt;0,1,0)+IF(LEN(AI111)&gt;0,1,0)+IF(LEN(AJ111)&gt;0,1,0)+IF(LEN(AK111)&gt;0,1,0)+IF(LEN(AL111)&gt;0,1,0)+IF(LEN(AU111)&gt;0,1,0)+IF(LEN(BF111)&gt;0,1,0)+IF(LEN(BS111)&gt;0,1,0))/21,2))</f>
        <v/>
      </c>
      <c r="BY111" s="10" t="str">
        <f aca="false">IF(D111="","",IF(AND(AJ111="Approved",ISERROR(SEARCH("FAIL",BC111))),"Y","N"))</f>
        <v/>
      </c>
      <c r="BZ111" s="10" t="str">
        <f aca="false">IF(D111="","",D111&amp;"|"&amp;F111&amp;"|"&amp;G111&amp;"|"&amp;BY111)</f>
        <v/>
      </c>
    </row>
    <row r="112" customFormat="false" ht="15" hidden="false" customHeight="false" outlineLevel="0" collapsed="false">
      <c r="A112" s="10" t="str">
        <f aca="false">IF(D112="","","LKW-"&amp;IFERROR(VLOOKUP(D112,Lists!$AQ$4:$AR$17,2,0),"??")&amp;"-W"&amp;TEXT(F112*1000,"0000")&amp;"-H"&amp;TEXT(G112*1000,"0000")&amp;"-B"&amp;TEXT(H112*1000,"0000")&amp;"-"&amp;AI112)</f>
        <v/>
      </c>
      <c r="B112" s="10" t="str">
        <f aca="false">IF(D112="","",D112&amp;", "&amp;F112&amp;" m wide, "&amp;G112&amp;" m headroom, "&amp;H112&amp;" m bays, "&amp;I112&amp;" ("&amp;E112&amp;")")</f>
        <v/>
      </c>
      <c r="C112" s="9"/>
      <c r="D112" s="9"/>
      <c r="E112" s="9"/>
      <c r="F112" s="42"/>
      <c r="G112" s="42"/>
      <c r="H112" s="42"/>
      <c r="I112" s="9"/>
      <c r="J112" s="9"/>
      <c r="K112" s="9"/>
      <c r="L112" s="9"/>
      <c r="M112" s="9"/>
      <c r="N112" s="9"/>
      <c r="O112" s="9"/>
      <c r="P112" s="9"/>
      <c r="Q112" s="9"/>
      <c r="R112" s="9"/>
      <c r="S112" s="42"/>
      <c r="T112" s="9"/>
      <c r="U112" s="9"/>
      <c r="V112" s="9"/>
      <c r="W112" s="38"/>
      <c r="X112" s="42"/>
      <c r="Y112" s="9"/>
      <c r="Z112" s="9"/>
      <c r="AA112" s="9"/>
      <c r="AB112" s="42"/>
      <c r="AC112" s="9"/>
      <c r="AD112" s="38"/>
      <c r="AE112" s="9"/>
      <c r="AF112" s="39"/>
      <c r="AG112" s="9"/>
      <c r="AH112" s="9"/>
      <c r="AI112" s="9"/>
      <c r="AJ112" s="9"/>
      <c r="AK112" s="9"/>
      <c r="AL112" s="9"/>
      <c r="AM112" s="9"/>
      <c r="AN112" s="10" t="str">
        <f aca="false">IF(A112="","",SG_Criteria!$B$6&amp;SG_Criteria!$B$12&amp;"\"&amp;A112&amp;"\")</f>
        <v/>
      </c>
      <c r="AO112" s="10" t="str">
        <f aca="false">IF(A112="","",A112&amp;"_CAD.dwg")</f>
        <v/>
      </c>
      <c r="AP112" s="10" t="str">
        <f aca="false">IF(A112="","",A112&amp;"_DWG.pdf")</f>
        <v/>
      </c>
      <c r="AQ112" s="10" t="str">
        <f aca="false">IF(A112="","",IF(AM112="Y",A112&amp;"_STAAD.std","n/a"))</f>
        <v/>
      </c>
      <c r="AR112" s="10" t="str">
        <f aca="false">IF(A112="","",A112&amp;"_CALC.xlsx")</f>
        <v/>
      </c>
      <c r="AS112" s="10" t="str">
        <f aca="false">IF(A112="","",A112&amp;"_CALC.pdf")</f>
        <v/>
      </c>
      <c r="AT112" s="9"/>
      <c r="AU112" s="9"/>
      <c r="AV112" s="39"/>
      <c r="AW112" s="39"/>
      <c r="AX112" s="39"/>
      <c r="AY112" s="39"/>
      <c r="AZ112" s="39"/>
      <c r="BA112" s="12" t="str">
        <f aca="false">IF(A112="","",IF(COUNTIF(Rebar_Schedule!$A$5:$A$2004,A112)=0,"",ROUND(SUMIF(Rebar_Schedule!$A$5:$A$2004,A112,Rebar_Schedule!$K$5:$K$2004),1)))</f>
        <v/>
      </c>
      <c r="BB112" s="33" t="str">
        <f aca="false">IF(A112="","",IF(BA112="","No rebar schedule yet",IF(ABS(BA112-N(AW112))/MAX(N(AW112),1)&gt;SG_Criteria!$B$55,"NOTE: register rebar differs from schedule by "&amp;TEXT(ABS(BA112-N(AW112))/MAX(N(AW112),1),"0%"),"OK")))</f>
        <v/>
      </c>
      <c r="BC112" s="33" t="str">
        <f aca="false">IF(D112="","",IF(LEN(IF(AND(D112&lt;&gt;"High Covered Linkway",G112&lt;SG_Criteria!$B$46),"FAIL: headroom below "&amp;SG_Criteria!$B$46&amp;" m. ","")&amp;IF(AND(D112="High Covered Linkway",G112&lt;SG_Criteria!$B$47),"FAIL: high linkway headroom below "&amp;SG_Criteria!$B$47&amp;" m. ","")&amp;IF(F112&lt;SG_Criteria!$B$48,"FAIL: roof width below "&amp;SG_Criteria!$B$48&amp;" m. ",IF(F112&lt;SG_Criteria!$B$49,"NOTE: not for MRT/LRT or high-traffic routes (min "&amp;SG_Criteria!$B$49&amp;" m). ",""))&amp;IF(AND(W112&lt;&gt;"",W112&lt;SG_Criteria!$B$50),"FAIL: wind speed below "&amp;SG_Criteria!$B$50&amp;" m/s. ","")&amp;IF(AND(X112&lt;&gt;"",X112&lt;SG_Criteria!$B$51),"FAIL: roof fixing pull-out below "&amp;SG_Criteria!$B$51&amp;" kN. ","")&amp;IF(AND(Y112&lt;&gt;"",IFERROR(VALUE(MID(Y112,2,2)),0)&lt;SG_Criteria!$B$52),"FAIL: grade below C"&amp;SG_Criteria!$B$52&amp;". ","")&amp;IF(E112="Non-standard (project design)","NOTE: not an SDRE standard, needs LTA acceptance. ",""))=0,"OK",IF(AND(D112&lt;&gt;"High Covered Linkway",G112&lt;SG_Criteria!$B$46),"FAIL: headroom below "&amp;SG_Criteria!$B$46&amp;" m. ","")&amp;IF(AND(D112="High Covered Linkway",G112&lt;SG_Criteria!$B$47),"FAIL: high linkway headroom below "&amp;SG_Criteria!$B$47&amp;" m. ","")&amp;IF(F112&lt;SG_Criteria!$B$48,"FAIL: roof width below "&amp;SG_Criteria!$B$48&amp;" m. ",IF(F112&lt;SG_Criteria!$B$49,"NOTE: not for MRT/LRT or high-traffic routes (min "&amp;SG_Criteria!$B$49&amp;" m). ",""))&amp;IF(AND(W112&lt;&gt;"",W112&lt;SG_Criteria!$B$50),"FAIL: wind speed below "&amp;SG_Criteria!$B$50&amp;" m/s. ","")&amp;IF(AND(X112&lt;&gt;"",X112&lt;SG_Criteria!$B$51),"FAIL: roof fixing pull-out below "&amp;SG_Criteria!$B$51&amp;" kN. ","")&amp;IF(AND(Y112&lt;&gt;"",IFERROR(VALUE(MID(Y112,2,2)),0)&lt;SG_Criteria!$B$52),"FAIL: grade below C"&amp;SG_Criteria!$B$52&amp;". ","")&amp;IF(E112="Non-standard (project design)","NOTE: not an SDRE standard, needs LTA acceptance. ","")))</f>
        <v/>
      </c>
      <c r="BD112" s="9"/>
      <c r="BE112" s="9"/>
      <c r="BF112" s="9"/>
      <c r="BG112" s="10" t="str">
        <f aca="false">IF(BF112="","",IFERROR(VLOOKUP(BF112,Projects!$A$5:$D$504,2,0),"Ref not in Projects"))</f>
        <v/>
      </c>
      <c r="BH112" s="10" t="str">
        <f aca="false">IF(BF112="","",IFERROR(VLOOKUP(BF112,Projects!$A$5:$D$504,4,0),"Ref not in Projects"))</f>
        <v/>
      </c>
      <c r="BI112" s="9"/>
      <c r="BJ112" s="9"/>
      <c r="BK112" s="9"/>
      <c r="BL112" s="40"/>
      <c r="BM112" s="9"/>
      <c r="BN112" s="40"/>
      <c r="BO112" s="9"/>
      <c r="BP112" s="40"/>
      <c r="BQ112" s="9"/>
      <c r="BR112" s="9"/>
      <c r="BS112" s="9"/>
      <c r="BT112" s="40"/>
      <c r="BU112" s="40"/>
      <c r="BV112" s="36" t="str">
        <f aca="false">IF(BU112="","",EDATE(BU112,SG_Criteria!$B$54*12))</f>
        <v/>
      </c>
      <c r="BW112" s="33" t="str">
        <f aca="true">IF(A112="","",IF(BU112="","NOTE: not reviewed yet",IF(TODAY()&gt;BV112,"NOTE: review overdue","OK")))</f>
        <v/>
      </c>
      <c r="BX112" s="37" t="str">
        <f aca="false">IF(A112="","",ROUND((IF(LEN(D112)&gt;0,1,0)+IF(LEN(E112)&gt;0,1,0)+IF(LEN(F112)&gt;0,1,0)+IF(LEN(G112)&gt;0,1,0)+IF(LEN(H112)&gt;0,1,0)+IF(LEN(I112)&gt;0,1,0)+IF(LEN(J112)&gt;0,1,0)+IF(LEN(K112)&gt;0,1,0)+IF(LEN(N112)&gt;0,1,0)+IF(LEN(O112)&gt;0,1,0)+IF(LEN(W112)&gt;0,1,0)+IF(LEN(X112)&gt;0,1,0)+IF(LEN(Y112)&gt;0,1,0)+IF(LEN(AG112)&gt;0,1,0)+IF(LEN(AI112)&gt;0,1,0)+IF(LEN(AJ112)&gt;0,1,0)+IF(LEN(AK112)&gt;0,1,0)+IF(LEN(AL112)&gt;0,1,0)+IF(LEN(AU112)&gt;0,1,0)+IF(LEN(BF112)&gt;0,1,0)+IF(LEN(BS112)&gt;0,1,0))/21,2))</f>
        <v/>
      </c>
      <c r="BY112" s="10" t="str">
        <f aca="false">IF(D112="","",IF(AND(AJ112="Approved",ISERROR(SEARCH("FAIL",BC112))),"Y","N"))</f>
        <v/>
      </c>
      <c r="BZ112" s="10" t="str">
        <f aca="false">IF(D112="","",D112&amp;"|"&amp;F112&amp;"|"&amp;G112&amp;"|"&amp;BY112)</f>
        <v/>
      </c>
    </row>
    <row r="113" customFormat="false" ht="15" hidden="false" customHeight="false" outlineLevel="0" collapsed="false">
      <c r="A113" s="10" t="str">
        <f aca="false">IF(D113="","","LKW-"&amp;IFERROR(VLOOKUP(D113,Lists!$AQ$4:$AR$17,2,0),"??")&amp;"-W"&amp;TEXT(F113*1000,"0000")&amp;"-H"&amp;TEXT(G113*1000,"0000")&amp;"-B"&amp;TEXT(H113*1000,"0000")&amp;"-"&amp;AI113)</f>
        <v/>
      </c>
      <c r="B113" s="10" t="str">
        <f aca="false">IF(D113="","",D113&amp;", "&amp;F113&amp;" m wide, "&amp;G113&amp;" m headroom, "&amp;H113&amp;" m bays, "&amp;I113&amp;" ("&amp;E113&amp;")")</f>
        <v/>
      </c>
      <c r="C113" s="9"/>
      <c r="D113" s="9"/>
      <c r="E113" s="9"/>
      <c r="F113" s="42"/>
      <c r="G113" s="42"/>
      <c r="H113" s="42"/>
      <c r="I113" s="9"/>
      <c r="J113" s="9"/>
      <c r="K113" s="9"/>
      <c r="L113" s="9"/>
      <c r="M113" s="9"/>
      <c r="N113" s="9"/>
      <c r="O113" s="9"/>
      <c r="P113" s="9"/>
      <c r="Q113" s="9"/>
      <c r="R113" s="9"/>
      <c r="S113" s="42"/>
      <c r="T113" s="9"/>
      <c r="U113" s="9"/>
      <c r="V113" s="9"/>
      <c r="W113" s="38"/>
      <c r="X113" s="42"/>
      <c r="Y113" s="9"/>
      <c r="Z113" s="9"/>
      <c r="AA113" s="9"/>
      <c r="AB113" s="42"/>
      <c r="AC113" s="9"/>
      <c r="AD113" s="38"/>
      <c r="AE113" s="9"/>
      <c r="AF113" s="39"/>
      <c r="AG113" s="9"/>
      <c r="AH113" s="9"/>
      <c r="AI113" s="9"/>
      <c r="AJ113" s="9"/>
      <c r="AK113" s="9"/>
      <c r="AL113" s="9"/>
      <c r="AM113" s="9"/>
      <c r="AN113" s="10" t="str">
        <f aca="false">IF(A113="","",SG_Criteria!$B$6&amp;SG_Criteria!$B$12&amp;"\"&amp;A113&amp;"\")</f>
        <v/>
      </c>
      <c r="AO113" s="10" t="str">
        <f aca="false">IF(A113="","",A113&amp;"_CAD.dwg")</f>
        <v/>
      </c>
      <c r="AP113" s="10" t="str">
        <f aca="false">IF(A113="","",A113&amp;"_DWG.pdf")</f>
        <v/>
      </c>
      <c r="AQ113" s="10" t="str">
        <f aca="false">IF(A113="","",IF(AM113="Y",A113&amp;"_STAAD.std","n/a"))</f>
        <v/>
      </c>
      <c r="AR113" s="10" t="str">
        <f aca="false">IF(A113="","",A113&amp;"_CALC.xlsx")</f>
        <v/>
      </c>
      <c r="AS113" s="10" t="str">
        <f aca="false">IF(A113="","",A113&amp;"_CALC.pdf")</f>
        <v/>
      </c>
      <c r="AT113" s="9"/>
      <c r="AU113" s="9"/>
      <c r="AV113" s="39"/>
      <c r="AW113" s="39"/>
      <c r="AX113" s="39"/>
      <c r="AY113" s="39"/>
      <c r="AZ113" s="39"/>
      <c r="BA113" s="12" t="str">
        <f aca="false">IF(A113="","",IF(COUNTIF(Rebar_Schedule!$A$5:$A$2004,A113)=0,"",ROUND(SUMIF(Rebar_Schedule!$A$5:$A$2004,A113,Rebar_Schedule!$K$5:$K$2004),1)))</f>
        <v/>
      </c>
      <c r="BB113" s="33" t="str">
        <f aca="false">IF(A113="","",IF(BA113="","No rebar schedule yet",IF(ABS(BA113-N(AW113))/MAX(N(AW113),1)&gt;SG_Criteria!$B$55,"NOTE: register rebar differs from schedule by "&amp;TEXT(ABS(BA113-N(AW113))/MAX(N(AW113),1),"0%"),"OK")))</f>
        <v/>
      </c>
      <c r="BC113" s="33" t="str">
        <f aca="false">IF(D113="","",IF(LEN(IF(AND(D113&lt;&gt;"High Covered Linkway",G113&lt;SG_Criteria!$B$46),"FAIL: headroom below "&amp;SG_Criteria!$B$46&amp;" m. ","")&amp;IF(AND(D113="High Covered Linkway",G113&lt;SG_Criteria!$B$47),"FAIL: high linkway headroom below "&amp;SG_Criteria!$B$47&amp;" m. ","")&amp;IF(F113&lt;SG_Criteria!$B$48,"FAIL: roof width below "&amp;SG_Criteria!$B$48&amp;" m. ",IF(F113&lt;SG_Criteria!$B$49,"NOTE: not for MRT/LRT or high-traffic routes (min "&amp;SG_Criteria!$B$49&amp;" m). ",""))&amp;IF(AND(W113&lt;&gt;"",W113&lt;SG_Criteria!$B$50),"FAIL: wind speed below "&amp;SG_Criteria!$B$50&amp;" m/s. ","")&amp;IF(AND(X113&lt;&gt;"",X113&lt;SG_Criteria!$B$51),"FAIL: roof fixing pull-out below "&amp;SG_Criteria!$B$51&amp;" kN. ","")&amp;IF(AND(Y113&lt;&gt;"",IFERROR(VALUE(MID(Y113,2,2)),0)&lt;SG_Criteria!$B$52),"FAIL: grade below C"&amp;SG_Criteria!$B$52&amp;". ","")&amp;IF(E113="Non-standard (project design)","NOTE: not an SDRE standard, needs LTA acceptance. ",""))=0,"OK",IF(AND(D113&lt;&gt;"High Covered Linkway",G113&lt;SG_Criteria!$B$46),"FAIL: headroom below "&amp;SG_Criteria!$B$46&amp;" m. ","")&amp;IF(AND(D113="High Covered Linkway",G113&lt;SG_Criteria!$B$47),"FAIL: high linkway headroom below "&amp;SG_Criteria!$B$47&amp;" m. ","")&amp;IF(F113&lt;SG_Criteria!$B$48,"FAIL: roof width below "&amp;SG_Criteria!$B$48&amp;" m. ",IF(F113&lt;SG_Criteria!$B$49,"NOTE: not for MRT/LRT or high-traffic routes (min "&amp;SG_Criteria!$B$49&amp;" m). ",""))&amp;IF(AND(W113&lt;&gt;"",W113&lt;SG_Criteria!$B$50),"FAIL: wind speed below "&amp;SG_Criteria!$B$50&amp;" m/s. ","")&amp;IF(AND(X113&lt;&gt;"",X113&lt;SG_Criteria!$B$51),"FAIL: roof fixing pull-out below "&amp;SG_Criteria!$B$51&amp;" kN. ","")&amp;IF(AND(Y113&lt;&gt;"",IFERROR(VALUE(MID(Y113,2,2)),0)&lt;SG_Criteria!$B$52),"FAIL: grade below C"&amp;SG_Criteria!$B$52&amp;". ","")&amp;IF(E113="Non-standard (project design)","NOTE: not an SDRE standard, needs LTA acceptance. ","")))</f>
        <v/>
      </c>
      <c r="BD113" s="9"/>
      <c r="BE113" s="9"/>
      <c r="BF113" s="9"/>
      <c r="BG113" s="10" t="str">
        <f aca="false">IF(BF113="","",IFERROR(VLOOKUP(BF113,Projects!$A$5:$D$504,2,0),"Ref not in Projects"))</f>
        <v/>
      </c>
      <c r="BH113" s="10" t="str">
        <f aca="false">IF(BF113="","",IFERROR(VLOOKUP(BF113,Projects!$A$5:$D$504,4,0),"Ref not in Projects"))</f>
        <v/>
      </c>
      <c r="BI113" s="9"/>
      <c r="BJ113" s="9"/>
      <c r="BK113" s="9"/>
      <c r="BL113" s="40"/>
      <c r="BM113" s="9"/>
      <c r="BN113" s="40"/>
      <c r="BO113" s="9"/>
      <c r="BP113" s="40"/>
      <c r="BQ113" s="9"/>
      <c r="BR113" s="9"/>
      <c r="BS113" s="9"/>
      <c r="BT113" s="40"/>
      <c r="BU113" s="40"/>
      <c r="BV113" s="36" t="str">
        <f aca="false">IF(BU113="","",EDATE(BU113,SG_Criteria!$B$54*12))</f>
        <v/>
      </c>
      <c r="BW113" s="33" t="str">
        <f aca="true">IF(A113="","",IF(BU113="","NOTE: not reviewed yet",IF(TODAY()&gt;BV113,"NOTE: review overdue","OK")))</f>
        <v/>
      </c>
      <c r="BX113" s="37" t="str">
        <f aca="false">IF(A113="","",ROUND((IF(LEN(D113)&gt;0,1,0)+IF(LEN(E113)&gt;0,1,0)+IF(LEN(F113)&gt;0,1,0)+IF(LEN(G113)&gt;0,1,0)+IF(LEN(H113)&gt;0,1,0)+IF(LEN(I113)&gt;0,1,0)+IF(LEN(J113)&gt;0,1,0)+IF(LEN(K113)&gt;0,1,0)+IF(LEN(N113)&gt;0,1,0)+IF(LEN(O113)&gt;0,1,0)+IF(LEN(W113)&gt;0,1,0)+IF(LEN(X113)&gt;0,1,0)+IF(LEN(Y113)&gt;0,1,0)+IF(LEN(AG113)&gt;0,1,0)+IF(LEN(AI113)&gt;0,1,0)+IF(LEN(AJ113)&gt;0,1,0)+IF(LEN(AK113)&gt;0,1,0)+IF(LEN(AL113)&gt;0,1,0)+IF(LEN(AU113)&gt;0,1,0)+IF(LEN(BF113)&gt;0,1,0)+IF(LEN(BS113)&gt;0,1,0))/21,2))</f>
        <v/>
      </c>
      <c r="BY113" s="10" t="str">
        <f aca="false">IF(D113="","",IF(AND(AJ113="Approved",ISERROR(SEARCH("FAIL",BC113))),"Y","N"))</f>
        <v/>
      </c>
      <c r="BZ113" s="10" t="str">
        <f aca="false">IF(D113="","",D113&amp;"|"&amp;F113&amp;"|"&amp;G113&amp;"|"&amp;BY113)</f>
        <v/>
      </c>
    </row>
    <row r="114" customFormat="false" ht="15" hidden="false" customHeight="false" outlineLevel="0" collapsed="false">
      <c r="A114" s="10" t="str">
        <f aca="false">IF(D114="","","LKW-"&amp;IFERROR(VLOOKUP(D114,Lists!$AQ$4:$AR$17,2,0),"??")&amp;"-W"&amp;TEXT(F114*1000,"0000")&amp;"-H"&amp;TEXT(G114*1000,"0000")&amp;"-B"&amp;TEXT(H114*1000,"0000")&amp;"-"&amp;AI114)</f>
        <v/>
      </c>
      <c r="B114" s="10" t="str">
        <f aca="false">IF(D114="","",D114&amp;", "&amp;F114&amp;" m wide, "&amp;G114&amp;" m headroom, "&amp;H114&amp;" m bays, "&amp;I114&amp;" ("&amp;E114&amp;")")</f>
        <v/>
      </c>
      <c r="C114" s="9"/>
      <c r="D114" s="9"/>
      <c r="E114" s="9"/>
      <c r="F114" s="42"/>
      <c r="G114" s="42"/>
      <c r="H114" s="42"/>
      <c r="I114" s="9"/>
      <c r="J114" s="9"/>
      <c r="K114" s="9"/>
      <c r="L114" s="9"/>
      <c r="M114" s="9"/>
      <c r="N114" s="9"/>
      <c r="O114" s="9"/>
      <c r="P114" s="9"/>
      <c r="Q114" s="9"/>
      <c r="R114" s="9"/>
      <c r="S114" s="42"/>
      <c r="T114" s="9"/>
      <c r="U114" s="9"/>
      <c r="V114" s="9"/>
      <c r="W114" s="38"/>
      <c r="X114" s="42"/>
      <c r="Y114" s="9"/>
      <c r="Z114" s="9"/>
      <c r="AA114" s="9"/>
      <c r="AB114" s="42"/>
      <c r="AC114" s="9"/>
      <c r="AD114" s="38"/>
      <c r="AE114" s="9"/>
      <c r="AF114" s="39"/>
      <c r="AG114" s="9"/>
      <c r="AH114" s="9"/>
      <c r="AI114" s="9"/>
      <c r="AJ114" s="9"/>
      <c r="AK114" s="9"/>
      <c r="AL114" s="9"/>
      <c r="AM114" s="9"/>
      <c r="AN114" s="10" t="str">
        <f aca="false">IF(A114="","",SG_Criteria!$B$6&amp;SG_Criteria!$B$12&amp;"\"&amp;A114&amp;"\")</f>
        <v/>
      </c>
      <c r="AO114" s="10" t="str">
        <f aca="false">IF(A114="","",A114&amp;"_CAD.dwg")</f>
        <v/>
      </c>
      <c r="AP114" s="10" t="str">
        <f aca="false">IF(A114="","",A114&amp;"_DWG.pdf")</f>
        <v/>
      </c>
      <c r="AQ114" s="10" t="str">
        <f aca="false">IF(A114="","",IF(AM114="Y",A114&amp;"_STAAD.std","n/a"))</f>
        <v/>
      </c>
      <c r="AR114" s="10" t="str">
        <f aca="false">IF(A114="","",A114&amp;"_CALC.xlsx")</f>
        <v/>
      </c>
      <c r="AS114" s="10" t="str">
        <f aca="false">IF(A114="","",A114&amp;"_CALC.pdf")</f>
        <v/>
      </c>
      <c r="AT114" s="9"/>
      <c r="AU114" s="9"/>
      <c r="AV114" s="39"/>
      <c r="AW114" s="39"/>
      <c r="AX114" s="39"/>
      <c r="AY114" s="39"/>
      <c r="AZ114" s="39"/>
      <c r="BA114" s="12" t="str">
        <f aca="false">IF(A114="","",IF(COUNTIF(Rebar_Schedule!$A$5:$A$2004,A114)=0,"",ROUND(SUMIF(Rebar_Schedule!$A$5:$A$2004,A114,Rebar_Schedule!$K$5:$K$2004),1)))</f>
        <v/>
      </c>
      <c r="BB114" s="33" t="str">
        <f aca="false">IF(A114="","",IF(BA114="","No rebar schedule yet",IF(ABS(BA114-N(AW114))/MAX(N(AW114),1)&gt;SG_Criteria!$B$55,"NOTE: register rebar differs from schedule by "&amp;TEXT(ABS(BA114-N(AW114))/MAX(N(AW114),1),"0%"),"OK")))</f>
        <v/>
      </c>
      <c r="BC114" s="33" t="str">
        <f aca="false">IF(D114="","",IF(LEN(IF(AND(D114&lt;&gt;"High Covered Linkway",G114&lt;SG_Criteria!$B$46),"FAIL: headroom below "&amp;SG_Criteria!$B$46&amp;" m. ","")&amp;IF(AND(D114="High Covered Linkway",G114&lt;SG_Criteria!$B$47),"FAIL: high linkway headroom below "&amp;SG_Criteria!$B$47&amp;" m. ","")&amp;IF(F114&lt;SG_Criteria!$B$48,"FAIL: roof width below "&amp;SG_Criteria!$B$48&amp;" m. ",IF(F114&lt;SG_Criteria!$B$49,"NOTE: not for MRT/LRT or high-traffic routes (min "&amp;SG_Criteria!$B$49&amp;" m). ",""))&amp;IF(AND(W114&lt;&gt;"",W114&lt;SG_Criteria!$B$50),"FAIL: wind speed below "&amp;SG_Criteria!$B$50&amp;" m/s. ","")&amp;IF(AND(X114&lt;&gt;"",X114&lt;SG_Criteria!$B$51),"FAIL: roof fixing pull-out below "&amp;SG_Criteria!$B$51&amp;" kN. ","")&amp;IF(AND(Y114&lt;&gt;"",IFERROR(VALUE(MID(Y114,2,2)),0)&lt;SG_Criteria!$B$52),"FAIL: grade below C"&amp;SG_Criteria!$B$52&amp;". ","")&amp;IF(E114="Non-standard (project design)","NOTE: not an SDRE standard, needs LTA acceptance. ",""))=0,"OK",IF(AND(D114&lt;&gt;"High Covered Linkway",G114&lt;SG_Criteria!$B$46),"FAIL: headroom below "&amp;SG_Criteria!$B$46&amp;" m. ","")&amp;IF(AND(D114="High Covered Linkway",G114&lt;SG_Criteria!$B$47),"FAIL: high linkway headroom below "&amp;SG_Criteria!$B$47&amp;" m. ","")&amp;IF(F114&lt;SG_Criteria!$B$48,"FAIL: roof width below "&amp;SG_Criteria!$B$48&amp;" m. ",IF(F114&lt;SG_Criteria!$B$49,"NOTE: not for MRT/LRT or high-traffic routes (min "&amp;SG_Criteria!$B$49&amp;" m). ",""))&amp;IF(AND(W114&lt;&gt;"",W114&lt;SG_Criteria!$B$50),"FAIL: wind speed below "&amp;SG_Criteria!$B$50&amp;" m/s. ","")&amp;IF(AND(X114&lt;&gt;"",X114&lt;SG_Criteria!$B$51),"FAIL: roof fixing pull-out below "&amp;SG_Criteria!$B$51&amp;" kN. ","")&amp;IF(AND(Y114&lt;&gt;"",IFERROR(VALUE(MID(Y114,2,2)),0)&lt;SG_Criteria!$B$52),"FAIL: grade below C"&amp;SG_Criteria!$B$52&amp;". ","")&amp;IF(E114="Non-standard (project design)","NOTE: not an SDRE standard, needs LTA acceptance. ","")))</f>
        <v/>
      </c>
      <c r="BD114" s="9"/>
      <c r="BE114" s="9"/>
      <c r="BF114" s="9"/>
      <c r="BG114" s="10" t="str">
        <f aca="false">IF(BF114="","",IFERROR(VLOOKUP(BF114,Projects!$A$5:$D$504,2,0),"Ref not in Projects"))</f>
        <v/>
      </c>
      <c r="BH114" s="10" t="str">
        <f aca="false">IF(BF114="","",IFERROR(VLOOKUP(BF114,Projects!$A$5:$D$504,4,0),"Ref not in Projects"))</f>
        <v/>
      </c>
      <c r="BI114" s="9"/>
      <c r="BJ114" s="9"/>
      <c r="BK114" s="9"/>
      <c r="BL114" s="40"/>
      <c r="BM114" s="9"/>
      <c r="BN114" s="40"/>
      <c r="BO114" s="9"/>
      <c r="BP114" s="40"/>
      <c r="BQ114" s="9"/>
      <c r="BR114" s="9"/>
      <c r="BS114" s="9"/>
      <c r="BT114" s="40"/>
      <c r="BU114" s="40"/>
      <c r="BV114" s="36" t="str">
        <f aca="false">IF(BU114="","",EDATE(BU114,SG_Criteria!$B$54*12))</f>
        <v/>
      </c>
      <c r="BW114" s="33" t="str">
        <f aca="true">IF(A114="","",IF(BU114="","NOTE: not reviewed yet",IF(TODAY()&gt;BV114,"NOTE: review overdue","OK")))</f>
        <v/>
      </c>
      <c r="BX114" s="37" t="str">
        <f aca="false">IF(A114="","",ROUND((IF(LEN(D114)&gt;0,1,0)+IF(LEN(E114)&gt;0,1,0)+IF(LEN(F114)&gt;0,1,0)+IF(LEN(G114)&gt;0,1,0)+IF(LEN(H114)&gt;0,1,0)+IF(LEN(I114)&gt;0,1,0)+IF(LEN(J114)&gt;0,1,0)+IF(LEN(K114)&gt;0,1,0)+IF(LEN(N114)&gt;0,1,0)+IF(LEN(O114)&gt;0,1,0)+IF(LEN(W114)&gt;0,1,0)+IF(LEN(X114)&gt;0,1,0)+IF(LEN(Y114)&gt;0,1,0)+IF(LEN(AG114)&gt;0,1,0)+IF(LEN(AI114)&gt;0,1,0)+IF(LEN(AJ114)&gt;0,1,0)+IF(LEN(AK114)&gt;0,1,0)+IF(LEN(AL114)&gt;0,1,0)+IF(LEN(AU114)&gt;0,1,0)+IF(LEN(BF114)&gt;0,1,0)+IF(LEN(BS114)&gt;0,1,0))/21,2))</f>
        <v/>
      </c>
      <c r="BY114" s="10" t="str">
        <f aca="false">IF(D114="","",IF(AND(AJ114="Approved",ISERROR(SEARCH("FAIL",BC114))),"Y","N"))</f>
        <v/>
      </c>
      <c r="BZ114" s="10" t="str">
        <f aca="false">IF(D114="","",D114&amp;"|"&amp;F114&amp;"|"&amp;G114&amp;"|"&amp;BY114)</f>
        <v/>
      </c>
    </row>
    <row r="115" customFormat="false" ht="15" hidden="false" customHeight="false" outlineLevel="0" collapsed="false">
      <c r="A115" s="10" t="str">
        <f aca="false">IF(D115="","","LKW-"&amp;IFERROR(VLOOKUP(D115,Lists!$AQ$4:$AR$17,2,0),"??")&amp;"-W"&amp;TEXT(F115*1000,"0000")&amp;"-H"&amp;TEXT(G115*1000,"0000")&amp;"-B"&amp;TEXT(H115*1000,"0000")&amp;"-"&amp;AI115)</f>
        <v/>
      </c>
      <c r="B115" s="10" t="str">
        <f aca="false">IF(D115="","",D115&amp;", "&amp;F115&amp;" m wide, "&amp;G115&amp;" m headroom, "&amp;H115&amp;" m bays, "&amp;I115&amp;" ("&amp;E115&amp;")")</f>
        <v/>
      </c>
      <c r="C115" s="9"/>
      <c r="D115" s="9"/>
      <c r="E115" s="9"/>
      <c r="F115" s="42"/>
      <c r="G115" s="42"/>
      <c r="H115" s="42"/>
      <c r="I115" s="9"/>
      <c r="J115" s="9"/>
      <c r="K115" s="9"/>
      <c r="L115" s="9"/>
      <c r="M115" s="9"/>
      <c r="N115" s="9"/>
      <c r="O115" s="9"/>
      <c r="P115" s="9"/>
      <c r="Q115" s="9"/>
      <c r="R115" s="9"/>
      <c r="S115" s="42"/>
      <c r="T115" s="9"/>
      <c r="U115" s="9"/>
      <c r="V115" s="9"/>
      <c r="W115" s="38"/>
      <c r="X115" s="42"/>
      <c r="Y115" s="9"/>
      <c r="Z115" s="9"/>
      <c r="AA115" s="9"/>
      <c r="AB115" s="42"/>
      <c r="AC115" s="9"/>
      <c r="AD115" s="38"/>
      <c r="AE115" s="9"/>
      <c r="AF115" s="39"/>
      <c r="AG115" s="9"/>
      <c r="AH115" s="9"/>
      <c r="AI115" s="9"/>
      <c r="AJ115" s="9"/>
      <c r="AK115" s="9"/>
      <c r="AL115" s="9"/>
      <c r="AM115" s="9"/>
      <c r="AN115" s="10" t="str">
        <f aca="false">IF(A115="","",SG_Criteria!$B$6&amp;SG_Criteria!$B$12&amp;"\"&amp;A115&amp;"\")</f>
        <v/>
      </c>
      <c r="AO115" s="10" t="str">
        <f aca="false">IF(A115="","",A115&amp;"_CAD.dwg")</f>
        <v/>
      </c>
      <c r="AP115" s="10" t="str">
        <f aca="false">IF(A115="","",A115&amp;"_DWG.pdf")</f>
        <v/>
      </c>
      <c r="AQ115" s="10" t="str">
        <f aca="false">IF(A115="","",IF(AM115="Y",A115&amp;"_STAAD.std","n/a"))</f>
        <v/>
      </c>
      <c r="AR115" s="10" t="str">
        <f aca="false">IF(A115="","",A115&amp;"_CALC.xlsx")</f>
        <v/>
      </c>
      <c r="AS115" s="10" t="str">
        <f aca="false">IF(A115="","",A115&amp;"_CALC.pdf")</f>
        <v/>
      </c>
      <c r="AT115" s="9"/>
      <c r="AU115" s="9"/>
      <c r="AV115" s="39"/>
      <c r="AW115" s="39"/>
      <c r="AX115" s="39"/>
      <c r="AY115" s="39"/>
      <c r="AZ115" s="39"/>
      <c r="BA115" s="12" t="str">
        <f aca="false">IF(A115="","",IF(COUNTIF(Rebar_Schedule!$A$5:$A$2004,A115)=0,"",ROUND(SUMIF(Rebar_Schedule!$A$5:$A$2004,A115,Rebar_Schedule!$K$5:$K$2004),1)))</f>
        <v/>
      </c>
      <c r="BB115" s="33" t="str">
        <f aca="false">IF(A115="","",IF(BA115="","No rebar schedule yet",IF(ABS(BA115-N(AW115))/MAX(N(AW115),1)&gt;SG_Criteria!$B$55,"NOTE: register rebar differs from schedule by "&amp;TEXT(ABS(BA115-N(AW115))/MAX(N(AW115),1),"0%"),"OK")))</f>
        <v/>
      </c>
      <c r="BC115" s="33" t="str">
        <f aca="false">IF(D115="","",IF(LEN(IF(AND(D115&lt;&gt;"High Covered Linkway",G115&lt;SG_Criteria!$B$46),"FAIL: headroom below "&amp;SG_Criteria!$B$46&amp;" m. ","")&amp;IF(AND(D115="High Covered Linkway",G115&lt;SG_Criteria!$B$47),"FAIL: high linkway headroom below "&amp;SG_Criteria!$B$47&amp;" m. ","")&amp;IF(F115&lt;SG_Criteria!$B$48,"FAIL: roof width below "&amp;SG_Criteria!$B$48&amp;" m. ",IF(F115&lt;SG_Criteria!$B$49,"NOTE: not for MRT/LRT or high-traffic routes (min "&amp;SG_Criteria!$B$49&amp;" m). ",""))&amp;IF(AND(W115&lt;&gt;"",W115&lt;SG_Criteria!$B$50),"FAIL: wind speed below "&amp;SG_Criteria!$B$50&amp;" m/s. ","")&amp;IF(AND(X115&lt;&gt;"",X115&lt;SG_Criteria!$B$51),"FAIL: roof fixing pull-out below "&amp;SG_Criteria!$B$51&amp;" kN. ","")&amp;IF(AND(Y115&lt;&gt;"",IFERROR(VALUE(MID(Y115,2,2)),0)&lt;SG_Criteria!$B$52),"FAIL: grade below C"&amp;SG_Criteria!$B$52&amp;". ","")&amp;IF(E115="Non-standard (project design)","NOTE: not an SDRE standard, needs LTA acceptance. ",""))=0,"OK",IF(AND(D115&lt;&gt;"High Covered Linkway",G115&lt;SG_Criteria!$B$46),"FAIL: headroom below "&amp;SG_Criteria!$B$46&amp;" m. ","")&amp;IF(AND(D115="High Covered Linkway",G115&lt;SG_Criteria!$B$47),"FAIL: high linkway headroom below "&amp;SG_Criteria!$B$47&amp;" m. ","")&amp;IF(F115&lt;SG_Criteria!$B$48,"FAIL: roof width below "&amp;SG_Criteria!$B$48&amp;" m. ",IF(F115&lt;SG_Criteria!$B$49,"NOTE: not for MRT/LRT or high-traffic routes (min "&amp;SG_Criteria!$B$49&amp;" m). ",""))&amp;IF(AND(W115&lt;&gt;"",W115&lt;SG_Criteria!$B$50),"FAIL: wind speed below "&amp;SG_Criteria!$B$50&amp;" m/s. ","")&amp;IF(AND(X115&lt;&gt;"",X115&lt;SG_Criteria!$B$51),"FAIL: roof fixing pull-out below "&amp;SG_Criteria!$B$51&amp;" kN. ","")&amp;IF(AND(Y115&lt;&gt;"",IFERROR(VALUE(MID(Y115,2,2)),0)&lt;SG_Criteria!$B$52),"FAIL: grade below C"&amp;SG_Criteria!$B$52&amp;". ","")&amp;IF(E115="Non-standard (project design)","NOTE: not an SDRE standard, needs LTA acceptance. ","")))</f>
        <v/>
      </c>
      <c r="BD115" s="9"/>
      <c r="BE115" s="9"/>
      <c r="BF115" s="9"/>
      <c r="BG115" s="10" t="str">
        <f aca="false">IF(BF115="","",IFERROR(VLOOKUP(BF115,Projects!$A$5:$D$504,2,0),"Ref not in Projects"))</f>
        <v/>
      </c>
      <c r="BH115" s="10" t="str">
        <f aca="false">IF(BF115="","",IFERROR(VLOOKUP(BF115,Projects!$A$5:$D$504,4,0),"Ref not in Projects"))</f>
        <v/>
      </c>
      <c r="BI115" s="9"/>
      <c r="BJ115" s="9"/>
      <c r="BK115" s="9"/>
      <c r="BL115" s="40"/>
      <c r="BM115" s="9"/>
      <c r="BN115" s="40"/>
      <c r="BO115" s="9"/>
      <c r="BP115" s="40"/>
      <c r="BQ115" s="9"/>
      <c r="BR115" s="9"/>
      <c r="BS115" s="9"/>
      <c r="BT115" s="40"/>
      <c r="BU115" s="40"/>
      <c r="BV115" s="36" t="str">
        <f aca="false">IF(BU115="","",EDATE(BU115,SG_Criteria!$B$54*12))</f>
        <v/>
      </c>
      <c r="BW115" s="33" t="str">
        <f aca="true">IF(A115="","",IF(BU115="","NOTE: not reviewed yet",IF(TODAY()&gt;BV115,"NOTE: review overdue","OK")))</f>
        <v/>
      </c>
      <c r="BX115" s="37" t="str">
        <f aca="false">IF(A115="","",ROUND((IF(LEN(D115)&gt;0,1,0)+IF(LEN(E115)&gt;0,1,0)+IF(LEN(F115)&gt;0,1,0)+IF(LEN(G115)&gt;0,1,0)+IF(LEN(H115)&gt;0,1,0)+IF(LEN(I115)&gt;0,1,0)+IF(LEN(J115)&gt;0,1,0)+IF(LEN(K115)&gt;0,1,0)+IF(LEN(N115)&gt;0,1,0)+IF(LEN(O115)&gt;0,1,0)+IF(LEN(W115)&gt;0,1,0)+IF(LEN(X115)&gt;0,1,0)+IF(LEN(Y115)&gt;0,1,0)+IF(LEN(AG115)&gt;0,1,0)+IF(LEN(AI115)&gt;0,1,0)+IF(LEN(AJ115)&gt;0,1,0)+IF(LEN(AK115)&gt;0,1,0)+IF(LEN(AL115)&gt;0,1,0)+IF(LEN(AU115)&gt;0,1,0)+IF(LEN(BF115)&gt;0,1,0)+IF(LEN(BS115)&gt;0,1,0))/21,2))</f>
        <v/>
      </c>
      <c r="BY115" s="10" t="str">
        <f aca="false">IF(D115="","",IF(AND(AJ115="Approved",ISERROR(SEARCH("FAIL",BC115))),"Y","N"))</f>
        <v/>
      </c>
      <c r="BZ115" s="10" t="str">
        <f aca="false">IF(D115="","",D115&amp;"|"&amp;F115&amp;"|"&amp;G115&amp;"|"&amp;BY115)</f>
        <v/>
      </c>
    </row>
    <row r="116" customFormat="false" ht="15" hidden="false" customHeight="false" outlineLevel="0" collapsed="false">
      <c r="A116" s="10" t="str">
        <f aca="false">IF(D116="","","LKW-"&amp;IFERROR(VLOOKUP(D116,Lists!$AQ$4:$AR$17,2,0),"??")&amp;"-W"&amp;TEXT(F116*1000,"0000")&amp;"-H"&amp;TEXT(G116*1000,"0000")&amp;"-B"&amp;TEXT(H116*1000,"0000")&amp;"-"&amp;AI116)</f>
        <v/>
      </c>
      <c r="B116" s="10" t="str">
        <f aca="false">IF(D116="","",D116&amp;", "&amp;F116&amp;" m wide, "&amp;G116&amp;" m headroom, "&amp;H116&amp;" m bays, "&amp;I116&amp;" ("&amp;E116&amp;")")</f>
        <v/>
      </c>
      <c r="C116" s="9"/>
      <c r="D116" s="9"/>
      <c r="E116" s="9"/>
      <c r="F116" s="42"/>
      <c r="G116" s="42"/>
      <c r="H116" s="42"/>
      <c r="I116" s="9"/>
      <c r="J116" s="9"/>
      <c r="K116" s="9"/>
      <c r="L116" s="9"/>
      <c r="M116" s="9"/>
      <c r="N116" s="9"/>
      <c r="O116" s="9"/>
      <c r="P116" s="9"/>
      <c r="Q116" s="9"/>
      <c r="R116" s="9"/>
      <c r="S116" s="42"/>
      <c r="T116" s="9"/>
      <c r="U116" s="9"/>
      <c r="V116" s="9"/>
      <c r="W116" s="38"/>
      <c r="X116" s="42"/>
      <c r="Y116" s="9"/>
      <c r="Z116" s="9"/>
      <c r="AA116" s="9"/>
      <c r="AB116" s="42"/>
      <c r="AC116" s="9"/>
      <c r="AD116" s="38"/>
      <c r="AE116" s="9"/>
      <c r="AF116" s="39"/>
      <c r="AG116" s="9"/>
      <c r="AH116" s="9"/>
      <c r="AI116" s="9"/>
      <c r="AJ116" s="9"/>
      <c r="AK116" s="9"/>
      <c r="AL116" s="9"/>
      <c r="AM116" s="9"/>
      <c r="AN116" s="10" t="str">
        <f aca="false">IF(A116="","",SG_Criteria!$B$6&amp;SG_Criteria!$B$12&amp;"\"&amp;A116&amp;"\")</f>
        <v/>
      </c>
      <c r="AO116" s="10" t="str">
        <f aca="false">IF(A116="","",A116&amp;"_CAD.dwg")</f>
        <v/>
      </c>
      <c r="AP116" s="10" t="str">
        <f aca="false">IF(A116="","",A116&amp;"_DWG.pdf")</f>
        <v/>
      </c>
      <c r="AQ116" s="10" t="str">
        <f aca="false">IF(A116="","",IF(AM116="Y",A116&amp;"_STAAD.std","n/a"))</f>
        <v/>
      </c>
      <c r="AR116" s="10" t="str">
        <f aca="false">IF(A116="","",A116&amp;"_CALC.xlsx")</f>
        <v/>
      </c>
      <c r="AS116" s="10" t="str">
        <f aca="false">IF(A116="","",A116&amp;"_CALC.pdf")</f>
        <v/>
      </c>
      <c r="AT116" s="9"/>
      <c r="AU116" s="9"/>
      <c r="AV116" s="39"/>
      <c r="AW116" s="39"/>
      <c r="AX116" s="39"/>
      <c r="AY116" s="39"/>
      <c r="AZ116" s="39"/>
      <c r="BA116" s="12" t="str">
        <f aca="false">IF(A116="","",IF(COUNTIF(Rebar_Schedule!$A$5:$A$2004,A116)=0,"",ROUND(SUMIF(Rebar_Schedule!$A$5:$A$2004,A116,Rebar_Schedule!$K$5:$K$2004),1)))</f>
        <v/>
      </c>
      <c r="BB116" s="33" t="str">
        <f aca="false">IF(A116="","",IF(BA116="","No rebar schedule yet",IF(ABS(BA116-N(AW116))/MAX(N(AW116),1)&gt;SG_Criteria!$B$55,"NOTE: register rebar differs from schedule by "&amp;TEXT(ABS(BA116-N(AW116))/MAX(N(AW116),1),"0%"),"OK")))</f>
        <v/>
      </c>
      <c r="BC116" s="33" t="str">
        <f aca="false">IF(D116="","",IF(LEN(IF(AND(D116&lt;&gt;"High Covered Linkway",G116&lt;SG_Criteria!$B$46),"FAIL: headroom below "&amp;SG_Criteria!$B$46&amp;" m. ","")&amp;IF(AND(D116="High Covered Linkway",G116&lt;SG_Criteria!$B$47),"FAIL: high linkway headroom below "&amp;SG_Criteria!$B$47&amp;" m. ","")&amp;IF(F116&lt;SG_Criteria!$B$48,"FAIL: roof width below "&amp;SG_Criteria!$B$48&amp;" m. ",IF(F116&lt;SG_Criteria!$B$49,"NOTE: not for MRT/LRT or high-traffic routes (min "&amp;SG_Criteria!$B$49&amp;" m). ",""))&amp;IF(AND(W116&lt;&gt;"",W116&lt;SG_Criteria!$B$50),"FAIL: wind speed below "&amp;SG_Criteria!$B$50&amp;" m/s. ","")&amp;IF(AND(X116&lt;&gt;"",X116&lt;SG_Criteria!$B$51),"FAIL: roof fixing pull-out below "&amp;SG_Criteria!$B$51&amp;" kN. ","")&amp;IF(AND(Y116&lt;&gt;"",IFERROR(VALUE(MID(Y116,2,2)),0)&lt;SG_Criteria!$B$52),"FAIL: grade below C"&amp;SG_Criteria!$B$52&amp;". ","")&amp;IF(E116="Non-standard (project design)","NOTE: not an SDRE standard, needs LTA acceptance. ",""))=0,"OK",IF(AND(D116&lt;&gt;"High Covered Linkway",G116&lt;SG_Criteria!$B$46),"FAIL: headroom below "&amp;SG_Criteria!$B$46&amp;" m. ","")&amp;IF(AND(D116="High Covered Linkway",G116&lt;SG_Criteria!$B$47),"FAIL: high linkway headroom below "&amp;SG_Criteria!$B$47&amp;" m. ","")&amp;IF(F116&lt;SG_Criteria!$B$48,"FAIL: roof width below "&amp;SG_Criteria!$B$48&amp;" m. ",IF(F116&lt;SG_Criteria!$B$49,"NOTE: not for MRT/LRT or high-traffic routes (min "&amp;SG_Criteria!$B$49&amp;" m). ",""))&amp;IF(AND(W116&lt;&gt;"",W116&lt;SG_Criteria!$B$50),"FAIL: wind speed below "&amp;SG_Criteria!$B$50&amp;" m/s. ","")&amp;IF(AND(X116&lt;&gt;"",X116&lt;SG_Criteria!$B$51),"FAIL: roof fixing pull-out below "&amp;SG_Criteria!$B$51&amp;" kN. ","")&amp;IF(AND(Y116&lt;&gt;"",IFERROR(VALUE(MID(Y116,2,2)),0)&lt;SG_Criteria!$B$52),"FAIL: grade below C"&amp;SG_Criteria!$B$52&amp;". ","")&amp;IF(E116="Non-standard (project design)","NOTE: not an SDRE standard, needs LTA acceptance. ","")))</f>
        <v/>
      </c>
      <c r="BD116" s="9"/>
      <c r="BE116" s="9"/>
      <c r="BF116" s="9"/>
      <c r="BG116" s="10" t="str">
        <f aca="false">IF(BF116="","",IFERROR(VLOOKUP(BF116,Projects!$A$5:$D$504,2,0),"Ref not in Projects"))</f>
        <v/>
      </c>
      <c r="BH116" s="10" t="str">
        <f aca="false">IF(BF116="","",IFERROR(VLOOKUP(BF116,Projects!$A$5:$D$504,4,0),"Ref not in Projects"))</f>
        <v/>
      </c>
      <c r="BI116" s="9"/>
      <c r="BJ116" s="9"/>
      <c r="BK116" s="9"/>
      <c r="BL116" s="40"/>
      <c r="BM116" s="9"/>
      <c r="BN116" s="40"/>
      <c r="BO116" s="9"/>
      <c r="BP116" s="40"/>
      <c r="BQ116" s="9"/>
      <c r="BR116" s="9"/>
      <c r="BS116" s="9"/>
      <c r="BT116" s="40"/>
      <c r="BU116" s="40"/>
      <c r="BV116" s="36" t="str">
        <f aca="false">IF(BU116="","",EDATE(BU116,SG_Criteria!$B$54*12))</f>
        <v/>
      </c>
      <c r="BW116" s="33" t="str">
        <f aca="true">IF(A116="","",IF(BU116="","NOTE: not reviewed yet",IF(TODAY()&gt;BV116,"NOTE: review overdue","OK")))</f>
        <v/>
      </c>
      <c r="BX116" s="37" t="str">
        <f aca="false">IF(A116="","",ROUND((IF(LEN(D116)&gt;0,1,0)+IF(LEN(E116)&gt;0,1,0)+IF(LEN(F116)&gt;0,1,0)+IF(LEN(G116)&gt;0,1,0)+IF(LEN(H116)&gt;0,1,0)+IF(LEN(I116)&gt;0,1,0)+IF(LEN(J116)&gt;0,1,0)+IF(LEN(K116)&gt;0,1,0)+IF(LEN(N116)&gt;0,1,0)+IF(LEN(O116)&gt;0,1,0)+IF(LEN(W116)&gt;0,1,0)+IF(LEN(X116)&gt;0,1,0)+IF(LEN(Y116)&gt;0,1,0)+IF(LEN(AG116)&gt;0,1,0)+IF(LEN(AI116)&gt;0,1,0)+IF(LEN(AJ116)&gt;0,1,0)+IF(LEN(AK116)&gt;0,1,0)+IF(LEN(AL116)&gt;0,1,0)+IF(LEN(AU116)&gt;0,1,0)+IF(LEN(BF116)&gt;0,1,0)+IF(LEN(BS116)&gt;0,1,0))/21,2))</f>
        <v/>
      </c>
      <c r="BY116" s="10" t="str">
        <f aca="false">IF(D116="","",IF(AND(AJ116="Approved",ISERROR(SEARCH("FAIL",BC116))),"Y","N"))</f>
        <v/>
      </c>
      <c r="BZ116" s="10" t="str">
        <f aca="false">IF(D116="","",D116&amp;"|"&amp;F116&amp;"|"&amp;G116&amp;"|"&amp;BY116)</f>
        <v/>
      </c>
    </row>
    <row r="117" customFormat="false" ht="15" hidden="false" customHeight="false" outlineLevel="0" collapsed="false">
      <c r="A117" s="10" t="str">
        <f aca="false">IF(D117="","","LKW-"&amp;IFERROR(VLOOKUP(D117,Lists!$AQ$4:$AR$17,2,0),"??")&amp;"-W"&amp;TEXT(F117*1000,"0000")&amp;"-H"&amp;TEXT(G117*1000,"0000")&amp;"-B"&amp;TEXT(H117*1000,"0000")&amp;"-"&amp;AI117)</f>
        <v/>
      </c>
      <c r="B117" s="10" t="str">
        <f aca="false">IF(D117="","",D117&amp;", "&amp;F117&amp;" m wide, "&amp;G117&amp;" m headroom, "&amp;H117&amp;" m bays, "&amp;I117&amp;" ("&amp;E117&amp;")")</f>
        <v/>
      </c>
      <c r="C117" s="9"/>
      <c r="D117" s="9"/>
      <c r="E117" s="9"/>
      <c r="F117" s="42"/>
      <c r="G117" s="42"/>
      <c r="H117" s="42"/>
      <c r="I117" s="9"/>
      <c r="J117" s="9"/>
      <c r="K117" s="9"/>
      <c r="L117" s="9"/>
      <c r="M117" s="9"/>
      <c r="N117" s="9"/>
      <c r="O117" s="9"/>
      <c r="P117" s="9"/>
      <c r="Q117" s="9"/>
      <c r="R117" s="9"/>
      <c r="S117" s="42"/>
      <c r="T117" s="9"/>
      <c r="U117" s="9"/>
      <c r="V117" s="9"/>
      <c r="W117" s="38"/>
      <c r="X117" s="42"/>
      <c r="Y117" s="9"/>
      <c r="Z117" s="9"/>
      <c r="AA117" s="9"/>
      <c r="AB117" s="42"/>
      <c r="AC117" s="9"/>
      <c r="AD117" s="38"/>
      <c r="AE117" s="9"/>
      <c r="AF117" s="39"/>
      <c r="AG117" s="9"/>
      <c r="AH117" s="9"/>
      <c r="AI117" s="9"/>
      <c r="AJ117" s="9"/>
      <c r="AK117" s="9"/>
      <c r="AL117" s="9"/>
      <c r="AM117" s="9"/>
      <c r="AN117" s="10" t="str">
        <f aca="false">IF(A117="","",SG_Criteria!$B$6&amp;SG_Criteria!$B$12&amp;"\"&amp;A117&amp;"\")</f>
        <v/>
      </c>
      <c r="AO117" s="10" t="str">
        <f aca="false">IF(A117="","",A117&amp;"_CAD.dwg")</f>
        <v/>
      </c>
      <c r="AP117" s="10" t="str">
        <f aca="false">IF(A117="","",A117&amp;"_DWG.pdf")</f>
        <v/>
      </c>
      <c r="AQ117" s="10" t="str">
        <f aca="false">IF(A117="","",IF(AM117="Y",A117&amp;"_STAAD.std","n/a"))</f>
        <v/>
      </c>
      <c r="AR117" s="10" t="str">
        <f aca="false">IF(A117="","",A117&amp;"_CALC.xlsx")</f>
        <v/>
      </c>
      <c r="AS117" s="10" t="str">
        <f aca="false">IF(A117="","",A117&amp;"_CALC.pdf")</f>
        <v/>
      </c>
      <c r="AT117" s="9"/>
      <c r="AU117" s="9"/>
      <c r="AV117" s="39"/>
      <c r="AW117" s="39"/>
      <c r="AX117" s="39"/>
      <c r="AY117" s="39"/>
      <c r="AZ117" s="39"/>
      <c r="BA117" s="12" t="str">
        <f aca="false">IF(A117="","",IF(COUNTIF(Rebar_Schedule!$A$5:$A$2004,A117)=0,"",ROUND(SUMIF(Rebar_Schedule!$A$5:$A$2004,A117,Rebar_Schedule!$K$5:$K$2004),1)))</f>
        <v/>
      </c>
      <c r="BB117" s="33" t="str">
        <f aca="false">IF(A117="","",IF(BA117="","No rebar schedule yet",IF(ABS(BA117-N(AW117))/MAX(N(AW117),1)&gt;SG_Criteria!$B$55,"NOTE: register rebar differs from schedule by "&amp;TEXT(ABS(BA117-N(AW117))/MAX(N(AW117),1),"0%"),"OK")))</f>
        <v/>
      </c>
      <c r="BC117" s="33" t="str">
        <f aca="false">IF(D117="","",IF(LEN(IF(AND(D117&lt;&gt;"High Covered Linkway",G117&lt;SG_Criteria!$B$46),"FAIL: headroom below "&amp;SG_Criteria!$B$46&amp;" m. ","")&amp;IF(AND(D117="High Covered Linkway",G117&lt;SG_Criteria!$B$47),"FAIL: high linkway headroom below "&amp;SG_Criteria!$B$47&amp;" m. ","")&amp;IF(F117&lt;SG_Criteria!$B$48,"FAIL: roof width below "&amp;SG_Criteria!$B$48&amp;" m. ",IF(F117&lt;SG_Criteria!$B$49,"NOTE: not for MRT/LRT or high-traffic routes (min "&amp;SG_Criteria!$B$49&amp;" m). ",""))&amp;IF(AND(W117&lt;&gt;"",W117&lt;SG_Criteria!$B$50),"FAIL: wind speed below "&amp;SG_Criteria!$B$50&amp;" m/s. ","")&amp;IF(AND(X117&lt;&gt;"",X117&lt;SG_Criteria!$B$51),"FAIL: roof fixing pull-out below "&amp;SG_Criteria!$B$51&amp;" kN. ","")&amp;IF(AND(Y117&lt;&gt;"",IFERROR(VALUE(MID(Y117,2,2)),0)&lt;SG_Criteria!$B$52),"FAIL: grade below C"&amp;SG_Criteria!$B$52&amp;". ","")&amp;IF(E117="Non-standard (project design)","NOTE: not an SDRE standard, needs LTA acceptance. ",""))=0,"OK",IF(AND(D117&lt;&gt;"High Covered Linkway",G117&lt;SG_Criteria!$B$46),"FAIL: headroom below "&amp;SG_Criteria!$B$46&amp;" m. ","")&amp;IF(AND(D117="High Covered Linkway",G117&lt;SG_Criteria!$B$47),"FAIL: high linkway headroom below "&amp;SG_Criteria!$B$47&amp;" m. ","")&amp;IF(F117&lt;SG_Criteria!$B$48,"FAIL: roof width below "&amp;SG_Criteria!$B$48&amp;" m. ",IF(F117&lt;SG_Criteria!$B$49,"NOTE: not for MRT/LRT or high-traffic routes (min "&amp;SG_Criteria!$B$49&amp;" m). ",""))&amp;IF(AND(W117&lt;&gt;"",W117&lt;SG_Criteria!$B$50),"FAIL: wind speed below "&amp;SG_Criteria!$B$50&amp;" m/s. ","")&amp;IF(AND(X117&lt;&gt;"",X117&lt;SG_Criteria!$B$51),"FAIL: roof fixing pull-out below "&amp;SG_Criteria!$B$51&amp;" kN. ","")&amp;IF(AND(Y117&lt;&gt;"",IFERROR(VALUE(MID(Y117,2,2)),0)&lt;SG_Criteria!$B$52),"FAIL: grade below C"&amp;SG_Criteria!$B$52&amp;". ","")&amp;IF(E117="Non-standard (project design)","NOTE: not an SDRE standard, needs LTA acceptance. ","")))</f>
        <v/>
      </c>
      <c r="BD117" s="9"/>
      <c r="BE117" s="9"/>
      <c r="BF117" s="9"/>
      <c r="BG117" s="10" t="str">
        <f aca="false">IF(BF117="","",IFERROR(VLOOKUP(BF117,Projects!$A$5:$D$504,2,0),"Ref not in Projects"))</f>
        <v/>
      </c>
      <c r="BH117" s="10" t="str">
        <f aca="false">IF(BF117="","",IFERROR(VLOOKUP(BF117,Projects!$A$5:$D$504,4,0),"Ref not in Projects"))</f>
        <v/>
      </c>
      <c r="BI117" s="9"/>
      <c r="BJ117" s="9"/>
      <c r="BK117" s="9"/>
      <c r="BL117" s="40"/>
      <c r="BM117" s="9"/>
      <c r="BN117" s="40"/>
      <c r="BO117" s="9"/>
      <c r="BP117" s="40"/>
      <c r="BQ117" s="9"/>
      <c r="BR117" s="9"/>
      <c r="BS117" s="9"/>
      <c r="BT117" s="40"/>
      <c r="BU117" s="40"/>
      <c r="BV117" s="36" t="str">
        <f aca="false">IF(BU117="","",EDATE(BU117,SG_Criteria!$B$54*12))</f>
        <v/>
      </c>
      <c r="BW117" s="33" t="str">
        <f aca="true">IF(A117="","",IF(BU117="","NOTE: not reviewed yet",IF(TODAY()&gt;BV117,"NOTE: review overdue","OK")))</f>
        <v/>
      </c>
      <c r="BX117" s="37" t="str">
        <f aca="false">IF(A117="","",ROUND((IF(LEN(D117)&gt;0,1,0)+IF(LEN(E117)&gt;0,1,0)+IF(LEN(F117)&gt;0,1,0)+IF(LEN(G117)&gt;0,1,0)+IF(LEN(H117)&gt;0,1,0)+IF(LEN(I117)&gt;0,1,0)+IF(LEN(J117)&gt;0,1,0)+IF(LEN(K117)&gt;0,1,0)+IF(LEN(N117)&gt;0,1,0)+IF(LEN(O117)&gt;0,1,0)+IF(LEN(W117)&gt;0,1,0)+IF(LEN(X117)&gt;0,1,0)+IF(LEN(Y117)&gt;0,1,0)+IF(LEN(AG117)&gt;0,1,0)+IF(LEN(AI117)&gt;0,1,0)+IF(LEN(AJ117)&gt;0,1,0)+IF(LEN(AK117)&gt;0,1,0)+IF(LEN(AL117)&gt;0,1,0)+IF(LEN(AU117)&gt;0,1,0)+IF(LEN(BF117)&gt;0,1,0)+IF(LEN(BS117)&gt;0,1,0))/21,2))</f>
        <v/>
      </c>
      <c r="BY117" s="10" t="str">
        <f aca="false">IF(D117="","",IF(AND(AJ117="Approved",ISERROR(SEARCH("FAIL",BC117))),"Y","N"))</f>
        <v/>
      </c>
      <c r="BZ117" s="10" t="str">
        <f aca="false">IF(D117="","",D117&amp;"|"&amp;F117&amp;"|"&amp;G117&amp;"|"&amp;BY117)</f>
        <v/>
      </c>
    </row>
    <row r="118" customFormat="false" ht="15" hidden="false" customHeight="false" outlineLevel="0" collapsed="false">
      <c r="A118" s="10" t="str">
        <f aca="false">IF(D118="","","LKW-"&amp;IFERROR(VLOOKUP(D118,Lists!$AQ$4:$AR$17,2,0),"??")&amp;"-W"&amp;TEXT(F118*1000,"0000")&amp;"-H"&amp;TEXT(G118*1000,"0000")&amp;"-B"&amp;TEXT(H118*1000,"0000")&amp;"-"&amp;AI118)</f>
        <v/>
      </c>
      <c r="B118" s="10" t="str">
        <f aca="false">IF(D118="","",D118&amp;", "&amp;F118&amp;" m wide, "&amp;G118&amp;" m headroom, "&amp;H118&amp;" m bays, "&amp;I118&amp;" ("&amp;E118&amp;")")</f>
        <v/>
      </c>
      <c r="C118" s="9"/>
      <c r="D118" s="9"/>
      <c r="E118" s="9"/>
      <c r="F118" s="42"/>
      <c r="G118" s="42"/>
      <c r="H118" s="42"/>
      <c r="I118" s="9"/>
      <c r="J118" s="9"/>
      <c r="K118" s="9"/>
      <c r="L118" s="9"/>
      <c r="M118" s="9"/>
      <c r="N118" s="9"/>
      <c r="O118" s="9"/>
      <c r="P118" s="9"/>
      <c r="Q118" s="9"/>
      <c r="R118" s="9"/>
      <c r="S118" s="42"/>
      <c r="T118" s="9"/>
      <c r="U118" s="9"/>
      <c r="V118" s="9"/>
      <c r="W118" s="38"/>
      <c r="X118" s="42"/>
      <c r="Y118" s="9"/>
      <c r="Z118" s="9"/>
      <c r="AA118" s="9"/>
      <c r="AB118" s="42"/>
      <c r="AC118" s="9"/>
      <c r="AD118" s="38"/>
      <c r="AE118" s="9"/>
      <c r="AF118" s="39"/>
      <c r="AG118" s="9"/>
      <c r="AH118" s="9"/>
      <c r="AI118" s="9"/>
      <c r="AJ118" s="9"/>
      <c r="AK118" s="9"/>
      <c r="AL118" s="9"/>
      <c r="AM118" s="9"/>
      <c r="AN118" s="10" t="str">
        <f aca="false">IF(A118="","",SG_Criteria!$B$6&amp;SG_Criteria!$B$12&amp;"\"&amp;A118&amp;"\")</f>
        <v/>
      </c>
      <c r="AO118" s="10" t="str">
        <f aca="false">IF(A118="","",A118&amp;"_CAD.dwg")</f>
        <v/>
      </c>
      <c r="AP118" s="10" t="str">
        <f aca="false">IF(A118="","",A118&amp;"_DWG.pdf")</f>
        <v/>
      </c>
      <c r="AQ118" s="10" t="str">
        <f aca="false">IF(A118="","",IF(AM118="Y",A118&amp;"_STAAD.std","n/a"))</f>
        <v/>
      </c>
      <c r="AR118" s="10" t="str">
        <f aca="false">IF(A118="","",A118&amp;"_CALC.xlsx")</f>
        <v/>
      </c>
      <c r="AS118" s="10" t="str">
        <f aca="false">IF(A118="","",A118&amp;"_CALC.pdf")</f>
        <v/>
      </c>
      <c r="AT118" s="9"/>
      <c r="AU118" s="9"/>
      <c r="AV118" s="39"/>
      <c r="AW118" s="39"/>
      <c r="AX118" s="39"/>
      <c r="AY118" s="39"/>
      <c r="AZ118" s="39"/>
      <c r="BA118" s="12" t="str">
        <f aca="false">IF(A118="","",IF(COUNTIF(Rebar_Schedule!$A$5:$A$2004,A118)=0,"",ROUND(SUMIF(Rebar_Schedule!$A$5:$A$2004,A118,Rebar_Schedule!$K$5:$K$2004),1)))</f>
        <v/>
      </c>
      <c r="BB118" s="33" t="str">
        <f aca="false">IF(A118="","",IF(BA118="","No rebar schedule yet",IF(ABS(BA118-N(AW118))/MAX(N(AW118),1)&gt;SG_Criteria!$B$55,"NOTE: register rebar differs from schedule by "&amp;TEXT(ABS(BA118-N(AW118))/MAX(N(AW118),1),"0%"),"OK")))</f>
        <v/>
      </c>
      <c r="BC118" s="33" t="str">
        <f aca="false">IF(D118="","",IF(LEN(IF(AND(D118&lt;&gt;"High Covered Linkway",G118&lt;SG_Criteria!$B$46),"FAIL: headroom below "&amp;SG_Criteria!$B$46&amp;" m. ","")&amp;IF(AND(D118="High Covered Linkway",G118&lt;SG_Criteria!$B$47),"FAIL: high linkway headroom below "&amp;SG_Criteria!$B$47&amp;" m. ","")&amp;IF(F118&lt;SG_Criteria!$B$48,"FAIL: roof width below "&amp;SG_Criteria!$B$48&amp;" m. ",IF(F118&lt;SG_Criteria!$B$49,"NOTE: not for MRT/LRT or high-traffic routes (min "&amp;SG_Criteria!$B$49&amp;" m). ",""))&amp;IF(AND(W118&lt;&gt;"",W118&lt;SG_Criteria!$B$50),"FAIL: wind speed below "&amp;SG_Criteria!$B$50&amp;" m/s. ","")&amp;IF(AND(X118&lt;&gt;"",X118&lt;SG_Criteria!$B$51),"FAIL: roof fixing pull-out below "&amp;SG_Criteria!$B$51&amp;" kN. ","")&amp;IF(AND(Y118&lt;&gt;"",IFERROR(VALUE(MID(Y118,2,2)),0)&lt;SG_Criteria!$B$52),"FAIL: grade below C"&amp;SG_Criteria!$B$52&amp;". ","")&amp;IF(E118="Non-standard (project design)","NOTE: not an SDRE standard, needs LTA acceptance. ",""))=0,"OK",IF(AND(D118&lt;&gt;"High Covered Linkway",G118&lt;SG_Criteria!$B$46),"FAIL: headroom below "&amp;SG_Criteria!$B$46&amp;" m. ","")&amp;IF(AND(D118="High Covered Linkway",G118&lt;SG_Criteria!$B$47),"FAIL: high linkway headroom below "&amp;SG_Criteria!$B$47&amp;" m. ","")&amp;IF(F118&lt;SG_Criteria!$B$48,"FAIL: roof width below "&amp;SG_Criteria!$B$48&amp;" m. ",IF(F118&lt;SG_Criteria!$B$49,"NOTE: not for MRT/LRT or high-traffic routes (min "&amp;SG_Criteria!$B$49&amp;" m). ",""))&amp;IF(AND(W118&lt;&gt;"",W118&lt;SG_Criteria!$B$50),"FAIL: wind speed below "&amp;SG_Criteria!$B$50&amp;" m/s. ","")&amp;IF(AND(X118&lt;&gt;"",X118&lt;SG_Criteria!$B$51),"FAIL: roof fixing pull-out below "&amp;SG_Criteria!$B$51&amp;" kN. ","")&amp;IF(AND(Y118&lt;&gt;"",IFERROR(VALUE(MID(Y118,2,2)),0)&lt;SG_Criteria!$B$52),"FAIL: grade below C"&amp;SG_Criteria!$B$52&amp;". ","")&amp;IF(E118="Non-standard (project design)","NOTE: not an SDRE standard, needs LTA acceptance. ","")))</f>
        <v/>
      </c>
      <c r="BD118" s="9"/>
      <c r="BE118" s="9"/>
      <c r="BF118" s="9"/>
      <c r="BG118" s="10" t="str">
        <f aca="false">IF(BF118="","",IFERROR(VLOOKUP(BF118,Projects!$A$5:$D$504,2,0),"Ref not in Projects"))</f>
        <v/>
      </c>
      <c r="BH118" s="10" t="str">
        <f aca="false">IF(BF118="","",IFERROR(VLOOKUP(BF118,Projects!$A$5:$D$504,4,0),"Ref not in Projects"))</f>
        <v/>
      </c>
      <c r="BI118" s="9"/>
      <c r="BJ118" s="9"/>
      <c r="BK118" s="9"/>
      <c r="BL118" s="40"/>
      <c r="BM118" s="9"/>
      <c r="BN118" s="40"/>
      <c r="BO118" s="9"/>
      <c r="BP118" s="40"/>
      <c r="BQ118" s="9"/>
      <c r="BR118" s="9"/>
      <c r="BS118" s="9"/>
      <c r="BT118" s="40"/>
      <c r="BU118" s="40"/>
      <c r="BV118" s="36" t="str">
        <f aca="false">IF(BU118="","",EDATE(BU118,SG_Criteria!$B$54*12))</f>
        <v/>
      </c>
      <c r="BW118" s="33" t="str">
        <f aca="true">IF(A118="","",IF(BU118="","NOTE: not reviewed yet",IF(TODAY()&gt;BV118,"NOTE: review overdue","OK")))</f>
        <v/>
      </c>
      <c r="BX118" s="37" t="str">
        <f aca="false">IF(A118="","",ROUND((IF(LEN(D118)&gt;0,1,0)+IF(LEN(E118)&gt;0,1,0)+IF(LEN(F118)&gt;0,1,0)+IF(LEN(G118)&gt;0,1,0)+IF(LEN(H118)&gt;0,1,0)+IF(LEN(I118)&gt;0,1,0)+IF(LEN(J118)&gt;0,1,0)+IF(LEN(K118)&gt;0,1,0)+IF(LEN(N118)&gt;0,1,0)+IF(LEN(O118)&gt;0,1,0)+IF(LEN(W118)&gt;0,1,0)+IF(LEN(X118)&gt;0,1,0)+IF(LEN(Y118)&gt;0,1,0)+IF(LEN(AG118)&gt;0,1,0)+IF(LEN(AI118)&gt;0,1,0)+IF(LEN(AJ118)&gt;0,1,0)+IF(LEN(AK118)&gt;0,1,0)+IF(LEN(AL118)&gt;0,1,0)+IF(LEN(AU118)&gt;0,1,0)+IF(LEN(BF118)&gt;0,1,0)+IF(LEN(BS118)&gt;0,1,0))/21,2))</f>
        <v/>
      </c>
      <c r="BY118" s="10" t="str">
        <f aca="false">IF(D118="","",IF(AND(AJ118="Approved",ISERROR(SEARCH("FAIL",BC118))),"Y","N"))</f>
        <v/>
      </c>
      <c r="BZ118" s="10" t="str">
        <f aca="false">IF(D118="","",D118&amp;"|"&amp;F118&amp;"|"&amp;G118&amp;"|"&amp;BY118)</f>
        <v/>
      </c>
    </row>
    <row r="119" customFormat="false" ht="15" hidden="false" customHeight="false" outlineLevel="0" collapsed="false">
      <c r="A119" s="10" t="str">
        <f aca="false">IF(D119="","","LKW-"&amp;IFERROR(VLOOKUP(D119,Lists!$AQ$4:$AR$17,2,0),"??")&amp;"-W"&amp;TEXT(F119*1000,"0000")&amp;"-H"&amp;TEXT(G119*1000,"0000")&amp;"-B"&amp;TEXT(H119*1000,"0000")&amp;"-"&amp;AI119)</f>
        <v/>
      </c>
      <c r="B119" s="10" t="str">
        <f aca="false">IF(D119="","",D119&amp;", "&amp;F119&amp;" m wide, "&amp;G119&amp;" m headroom, "&amp;H119&amp;" m bays, "&amp;I119&amp;" ("&amp;E119&amp;")")</f>
        <v/>
      </c>
      <c r="C119" s="9"/>
      <c r="D119" s="9"/>
      <c r="E119" s="9"/>
      <c r="F119" s="42"/>
      <c r="G119" s="42"/>
      <c r="H119" s="42"/>
      <c r="I119" s="9"/>
      <c r="J119" s="9"/>
      <c r="K119" s="9"/>
      <c r="L119" s="9"/>
      <c r="M119" s="9"/>
      <c r="N119" s="9"/>
      <c r="O119" s="9"/>
      <c r="P119" s="9"/>
      <c r="Q119" s="9"/>
      <c r="R119" s="9"/>
      <c r="S119" s="42"/>
      <c r="T119" s="9"/>
      <c r="U119" s="9"/>
      <c r="V119" s="9"/>
      <c r="W119" s="38"/>
      <c r="X119" s="42"/>
      <c r="Y119" s="9"/>
      <c r="Z119" s="9"/>
      <c r="AA119" s="9"/>
      <c r="AB119" s="42"/>
      <c r="AC119" s="9"/>
      <c r="AD119" s="38"/>
      <c r="AE119" s="9"/>
      <c r="AF119" s="39"/>
      <c r="AG119" s="9"/>
      <c r="AH119" s="9"/>
      <c r="AI119" s="9"/>
      <c r="AJ119" s="9"/>
      <c r="AK119" s="9"/>
      <c r="AL119" s="9"/>
      <c r="AM119" s="9"/>
      <c r="AN119" s="10" t="str">
        <f aca="false">IF(A119="","",SG_Criteria!$B$6&amp;SG_Criteria!$B$12&amp;"\"&amp;A119&amp;"\")</f>
        <v/>
      </c>
      <c r="AO119" s="10" t="str">
        <f aca="false">IF(A119="","",A119&amp;"_CAD.dwg")</f>
        <v/>
      </c>
      <c r="AP119" s="10" t="str">
        <f aca="false">IF(A119="","",A119&amp;"_DWG.pdf")</f>
        <v/>
      </c>
      <c r="AQ119" s="10" t="str">
        <f aca="false">IF(A119="","",IF(AM119="Y",A119&amp;"_STAAD.std","n/a"))</f>
        <v/>
      </c>
      <c r="AR119" s="10" t="str">
        <f aca="false">IF(A119="","",A119&amp;"_CALC.xlsx")</f>
        <v/>
      </c>
      <c r="AS119" s="10" t="str">
        <f aca="false">IF(A119="","",A119&amp;"_CALC.pdf")</f>
        <v/>
      </c>
      <c r="AT119" s="9"/>
      <c r="AU119" s="9"/>
      <c r="AV119" s="39"/>
      <c r="AW119" s="39"/>
      <c r="AX119" s="39"/>
      <c r="AY119" s="39"/>
      <c r="AZ119" s="39"/>
      <c r="BA119" s="12" t="str">
        <f aca="false">IF(A119="","",IF(COUNTIF(Rebar_Schedule!$A$5:$A$2004,A119)=0,"",ROUND(SUMIF(Rebar_Schedule!$A$5:$A$2004,A119,Rebar_Schedule!$K$5:$K$2004),1)))</f>
        <v/>
      </c>
      <c r="BB119" s="33" t="str">
        <f aca="false">IF(A119="","",IF(BA119="","No rebar schedule yet",IF(ABS(BA119-N(AW119))/MAX(N(AW119),1)&gt;SG_Criteria!$B$55,"NOTE: register rebar differs from schedule by "&amp;TEXT(ABS(BA119-N(AW119))/MAX(N(AW119),1),"0%"),"OK")))</f>
        <v/>
      </c>
      <c r="BC119" s="33" t="str">
        <f aca="false">IF(D119="","",IF(LEN(IF(AND(D119&lt;&gt;"High Covered Linkway",G119&lt;SG_Criteria!$B$46),"FAIL: headroom below "&amp;SG_Criteria!$B$46&amp;" m. ","")&amp;IF(AND(D119="High Covered Linkway",G119&lt;SG_Criteria!$B$47),"FAIL: high linkway headroom below "&amp;SG_Criteria!$B$47&amp;" m. ","")&amp;IF(F119&lt;SG_Criteria!$B$48,"FAIL: roof width below "&amp;SG_Criteria!$B$48&amp;" m. ",IF(F119&lt;SG_Criteria!$B$49,"NOTE: not for MRT/LRT or high-traffic routes (min "&amp;SG_Criteria!$B$49&amp;" m). ",""))&amp;IF(AND(W119&lt;&gt;"",W119&lt;SG_Criteria!$B$50),"FAIL: wind speed below "&amp;SG_Criteria!$B$50&amp;" m/s. ","")&amp;IF(AND(X119&lt;&gt;"",X119&lt;SG_Criteria!$B$51),"FAIL: roof fixing pull-out below "&amp;SG_Criteria!$B$51&amp;" kN. ","")&amp;IF(AND(Y119&lt;&gt;"",IFERROR(VALUE(MID(Y119,2,2)),0)&lt;SG_Criteria!$B$52),"FAIL: grade below C"&amp;SG_Criteria!$B$52&amp;". ","")&amp;IF(E119="Non-standard (project design)","NOTE: not an SDRE standard, needs LTA acceptance. ",""))=0,"OK",IF(AND(D119&lt;&gt;"High Covered Linkway",G119&lt;SG_Criteria!$B$46),"FAIL: headroom below "&amp;SG_Criteria!$B$46&amp;" m. ","")&amp;IF(AND(D119="High Covered Linkway",G119&lt;SG_Criteria!$B$47),"FAIL: high linkway headroom below "&amp;SG_Criteria!$B$47&amp;" m. ","")&amp;IF(F119&lt;SG_Criteria!$B$48,"FAIL: roof width below "&amp;SG_Criteria!$B$48&amp;" m. ",IF(F119&lt;SG_Criteria!$B$49,"NOTE: not for MRT/LRT or high-traffic routes (min "&amp;SG_Criteria!$B$49&amp;" m). ",""))&amp;IF(AND(W119&lt;&gt;"",W119&lt;SG_Criteria!$B$50),"FAIL: wind speed below "&amp;SG_Criteria!$B$50&amp;" m/s. ","")&amp;IF(AND(X119&lt;&gt;"",X119&lt;SG_Criteria!$B$51),"FAIL: roof fixing pull-out below "&amp;SG_Criteria!$B$51&amp;" kN. ","")&amp;IF(AND(Y119&lt;&gt;"",IFERROR(VALUE(MID(Y119,2,2)),0)&lt;SG_Criteria!$B$52),"FAIL: grade below C"&amp;SG_Criteria!$B$52&amp;". ","")&amp;IF(E119="Non-standard (project design)","NOTE: not an SDRE standard, needs LTA acceptance. ","")))</f>
        <v/>
      </c>
      <c r="BD119" s="9"/>
      <c r="BE119" s="9"/>
      <c r="BF119" s="9"/>
      <c r="BG119" s="10" t="str">
        <f aca="false">IF(BF119="","",IFERROR(VLOOKUP(BF119,Projects!$A$5:$D$504,2,0),"Ref not in Projects"))</f>
        <v/>
      </c>
      <c r="BH119" s="10" t="str">
        <f aca="false">IF(BF119="","",IFERROR(VLOOKUP(BF119,Projects!$A$5:$D$504,4,0),"Ref not in Projects"))</f>
        <v/>
      </c>
      <c r="BI119" s="9"/>
      <c r="BJ119" s="9"/>
      <c r="BK119" s="9"/>
      <c r="BL119" s="40"/>
      <c r="BM119" s="9"/>
      <c r="BN119" s="40"/>
      <c r="BO119" s="9"/>
      <c r="BP119" s="40"/>
      <c r="BQ119" s="9"/>
      <c r="BR119" s="9"/>
      <c r="BS119" s="9"/>
      <c r="BT119" s="40"/>
      <c r="BU119" s="40"/>
      <c r="BV119" s="36" t="str">
        <f aca="false">IF(BU119="","",EDATE(BU119,SG_Criteria!$B$54*12))</f>
        <v/>
      </c>
      <c r="BW119" s="33" t="str">
        <f aca="true">IF(A119="","",IF(BU119="","NOTE: not reviewed yet",IF(TODAY()&gt;BV119,"NOTE: review overdue","OK")))</f>
        <v/>
      </c>
      <c r="BX119" s="37" t="str">
        <f aca="false">IF(A119="","",ROUND((IF(LEN(D119)&gt;0,1,0)+IF(LEN(E119)&gt;0,1,0)+IF(LEN(F119)&gt;0,1,0)+IF(LEN(G119)&gt;0,1,0)+IF(LEN(H119)&gt;0,1,0)+IF(LEN(I119)&gt;0,1,0)+IF(LEN(J119)&gt;0,1,0)+IF(LEN(K119)&gt;0,1,0)+IF(LEN(N119)&gt;0,1,0)+IF(LEN(O119)&gt;0,1,0)+IF(LEN(W119)&gt;0,1,0)+IF(LEN(X119)&gt;0,1,0)+IF(LEN(Y119)&gt;0,1,0)+IF(LEN(AG119)&gt;0,1,0)+IF(LEN(AI119)&gt;0,1,0)+IF(LEN(AJ119)&gt;0,1,0)+IF(LEN(AK119)&gt;0,1,0)+IF(LEN(AL119)&gt;0,1,0)+IF(LEN(AU119)&gt;0,1,0)+IF(LEN(BF119)&gt;0,1,0)+IF(LEN(BS119)&gt;0,1,0))/21,2))</f>
        <v/>
      </c>
      <c r="BY119" s="10" t="str">
        <f aca="false">IF(D119="","",IF(AND(AJ119="Approved",ISERROR(SEARCH("FAIL",BC119))),"Y","N"))</f>
        <v/>
      </c>
      <c r="BZ119" s="10" t="str">
        <f aca="false">IF(D119="","",D119&amp;"|"&amp;F119&amp;"|"&amp;G119&amp;"|"&amp;BY119)</f>
        <v/>
      </c>
    </row>
    <row r="120" customFormat="false" ht="15" hidden="false" customHeight="false" outlineLevel="0" collapsed="false">
      <c r="A120" s="10" t="str">
        <f aca="false">IF(D120="","","LKW-"&amp;IFERROR(VLOOKUP(D120,Lists!$AQ$4:$AR$17,2,0),"??")&amp;"-W"&amp;TEXT(F120*1000,"0000")&amp;"-H"&amp;TEXT(G120*1000,"0000")&amp;"-B"&amp;TEXT(H120*1000,"0000")&amp;"-"&amp;AI120)</f>
        <v/>
      </c>
      <c r="B120" s="10" t="str">
        <f aca="false">IF(D120="","",D120&amp;", "&amp;F120&amp;" m wide, "&amp;G120&amp;" m headroom, "&amp;H120&amp;" m bays, "&amp;I120&amp;" ("&amp;E120&amp;")")</f>
        <v/>
      </c>
      <c r="C120" s="9"/>
      <c r="D120" s="9"/>
      <c r="E120" s="9"/>
      <c r="F120" s="42"/>
      <c r="G120" s="42"/>
      <c r="H120" s="42"/>
      <c r="I120" s="9"/>
      <c r="J120" s="9"/>
      <c r="K120" s="9"/>
      <c r="L120" s="9"/>
      <c r="M120" s="9"/>
      <c r="N120" s="9"/>
      <c r="O120" s="9"/>
      <c r="P120" s="9"/>
      <c r="Q120" s="9"/>
      <c r="R120" s="9"/>
      <c r="S120" s="42"/>
      <c r="T120" s="9"/>
      <c r="U120" s="9"/>
      <c r="V120" s="9"/>
      <c r="W120" s="38"/>
      <c r="X120" s="42"/>
      <c r="Y120" s="9"/>
      <c r="Z120" s="9"/>
      <c r="AA120" s="9"/>
      <c r="AB120" s="42"/>
      <c r="AC120" s="9"/>
      <c r="AD120" s="38"/>
      <c r="AE120" s="9"/>
      <c r="AF120" s="39"/>
      <c r="AG120" s="9"/>
      <c r="AH120" s="9"/>
      <c r="AI120" s="9"/>
      <c r="AJ120" s="9"/>
      <c r="AK120" s="9"/>
      <c r="AL120" s="9"/>
      <c r="AM120" s="9"/>
      <c r="AN120" s="10" t="str">
        <f aca="false">IF(A120="","",SG_Criteria!$B$6&amp;SG_Criteria!$B$12&amp;"\"&amp;A120&amp;"\")</f>
        <v/>
      </c>
      <c r="AO120" s="10" t="str">
        <f aca="false">IF(A120="","",A120&amp;"_CAD.dwg")</f>
        <v/>
      </c>
      <c r="AP120" s="10" t="str">
        <f aca="false">IF(A120="","",A120&amp;"_DWG.pdf")</f>
        <v/>
      </c>
      <c r="AQ120" s="10" t="str">
        <f aca="false">IF(A120="","",IF(AM120="Y",A120&amp;"_STAAD.std","n/a"))</f>
        <v/>
      </c>
      <c r="AR120" s="10" t="str">
        <f aca="false">IF(A120="","",A120&amp;"_CALC.xlsx")</f>
        <v/>
      </c>
      <c r="AS120" s="10" t="str">
        <f aca="false">IF(A120="","",A120&amp;"_CALC.pdf")</f>
        <v/>
      </c>
      <c r="AT120" s="9"/>
      <c r="AU120" s="9"/>
      <c r="AV120" s="39"/>
      <c r="AW120" s="39"/>
      <c r="AX120" s="39"/>
      <c r="AY120" s="39"/>
      <c r="AZ120" s="39"/>
      <c r="BA120" s="12" t="str">
        <f aca="false">IF(A120="","",IF(COUNTIF(Rebar_Schedule!$A$5:$A$2004,A120)=0,"",ROUND(SUMIF(Rebar_Schedule!$A$5:$A$2004,A120,Rebar_Schedule!$K$5:$K$2004),1)))</f>
        <v/>
      </c>
      <c r="BB120" s="33" t="str">
        <f aca="false">IF(A120="","",IF(BA120="","No rebar schedule yet",IF(ABS(BA120-N(AW120))/MAX(N(AW120),1)&gt;SG_Criteria!$B$55,"NOTE: register rebar differs from schedule by "&amp;TEXT(ABS(BA120-N(AW120))/MAX(N(AW120),1),"0%"),"OK")))</f>
        <v/>
      </c>
      <c r="BC120" s="33" t="str">
        <f aca="false">IF(D120="","",IF(LEN(IF(AND(D120&lt;&gt;"High Covered Linkway",G120&lt;SG_Criteria!$B$46),"FAIL: headroom below "&amp;SG_Criteria!$B$46&amp;" m. ","")&amp;IF(AND(D120="High Covered Linkway",G120&lt;SG_Criteria!$B$47),"FAIL: high linkway headroom below "&amp;SG_Criteria!$B$47&amp;" m. ","")&amp;IF(F120&lt;SG_Criteria!$B$48,"FAIL: roof width below "&amp;SG_Criteria!$B$48&amp;" m. ",IF(F120&lt;SG_Criteria!$B$49,"NOTE: not for MRT/LRT or high-traffic routes (min "&amp;SG_Criteria!$B$49&amp;" m). ",""))&amp;IF(AND(W120&lt;&gt;"",W120&lt;SG_Criteria!$B$50),"FAIL: wind speed below "&amp;SG_Criteria!$B$50&amp;" m/s. ","")&amp;IF(AND(X120&lt;&gt;"",X120&lt;SG_Criteria!$B$51),"FAIL: roof fixing pull-out below "&amp;SG_Criteria!$B$51&amp;" kN. ","")&amp;IF(AND(Y120&lt;&gt;"",IFERROR(VALUE(MID(Y120,2,2)),0)&lt;SG_Criteria!$B$52),"FAIL: grade below C"&amp;SG_Criteria!$B$52&amp;". ","")&amp;IF(E120="Non-standard (project design)","NOTE: not an SDRE standard, needs LTA acceptance. ",""))=0,"OK",IF(AND(D120&lt;&gt;"High Covered Linkway",G120&lt;SG_Criteria!$B$46),"FAIL: headroom below "&amp;SG_Criteria!$B$46&amp;" m. ","")&amp;IF(AND(D120="High Covered Linkway",G120&lt;SG_Criteria!$B$47),"FAIL: high linkway headroom below "&amp;SG_Criteria!$B$47&amp;" m. ","")&amp;IF(F120&lt;SG_Criteria!$B$48,"FAIL: roof width below "&amp;SG_Criteria!$B$48&amp;" m. ",IF(F120&lt;SG_Criteria!$B$49,"NOTE: not for MRT/LRT or high-traffic routes (min "&amp;SG_Criteria!$B$49&amp;" m). ",""))&amp;IF(AND(W120&lt;&gt;"",W120&lt;SG_Criteria!$B$50),"FAIL: wind speed below "&amp;SG_Criteria!$B$50&amp;" m/s. ","")&amp;IF(AND(X120&lt;&gt;"",X120&lt;SG_Criteria!$B$51),"FAIL: roof fixing pull-out below "&amp;SG_Criteria!$B$51&amp;" kN. ","")&amp;IF(AND(Y120&lt;&gt;"",IFERROR(VALUE(MID(Y120,2,2)),0)&lt;SG_Criteria!$B$52),"FAIL: grade below C"&amp;SG_Criteria!$B$52&amp;". ","")&amp;IF(E120="Non-standard (project design)","NOTE: not an SDRE standard, needs LTA acceptance. ","")))</f>
        <v/>
      </c>
      <c r="BD120" s="9"/>
      <c r="BE120" s="9"/>
      <c r="BF120" s="9"/>
      <c r="BG120" s="10" t="str">
        <f aca="false">IF(BF120="","",IFERROR(VLOOKUP(BF120,Projects!$A$5:$D$504,2,0),"Ref not in Projects"))</f>
        <v/>
      </c>
      <c r="BH120" s="10" t="str">
        <f aca="false">IF(BF120="","",IFERROR(VLOOKUP(BF120,Projects!$A$5:$D$504,4,0),"Ref not in Projects"))</f>
        <v/>
      </c>
      <c r="BI120" s="9"/>
      <c r="BJ120" s="9"/>
      <c r="BK120" s="9"/>
      <c r="BL120" s="40"/>
      <c r="BM120" s="9"/>
      <c r="BN120" s="40"/>
      <c r="BO120" s="9"/>
      <c r="BP120" s="40"/>
      <c r="BQ120" s="9"/>
      <c r="BR120" s="9"/>
      <c r="BS120" s="9"/>
      <c r="BT120" s="40"/>
      <c r="BU120" s="40"/>
      <c r="BV120" s="36" t="str">
        <f aca="false">IF(BU120="","",EDATE(BU120,SG_Criteria!$B$54*12))</f>
        <v/>
      </c>
      <c r="BW120" s="33" t="str">
        <f aca="true">IF(A120="","",IF(BU120="","NOTE: not reviewed yet",IF(TODAY()&gt;BV120,"NOTE: review overdue","OK")))</f>
        <v/>
      </c>
      <c r="BX120" s="37" t="str">
        <f aca="false">IF(A120="","",ROUND((IF(LEN(D120)&gt;0,1,0)+IF(LEN(E120)&gt;0,1,0)+IF(LEN(F120)&gt;0,1,0)+IF(LEN(G120)&gt;0,1,0)+IF(LEN(H120)&gt;0,1,0)+IF(LEN(I120)&gt;0,1,0)+IF(LEN(J120)&gt;0,1,0)+IF(LEN(K120)&gt;0,1,0)+IF(LEN(N120)&gt;0,1,0)+IF(LEN(O120)&gt;0,1,0)+IF(LEN(W120)&gt;0,1,0)+IF(LEN(X120)&gt;0,1,0)+IF(LEN(Y120)&gt;0,1,0)+IF(LEN(AG120)&gt;0,1,0)+IF(LEN(AI120)&gt;0,1,0)+IF(LEN(AJ120)&gt;0,1,0)+IF(LEN(AK120)&gt;0,1,0)+IF(LEN(AL120)&gt;0,1,0)+IF(LEN(AU120)&gt;0,1,0)+IF(LEN(BF120)&gt;0,1,0)+IF(LEN(BS120)&gt;0,1,0))/21,2))</f>
        <v/>
      </c>
      <c r="BY120" s="10" t="str">
        <f aca="false">IF(D120="","",IF(AND(AJ120="Approved",ISERROR(SEARCH("FAIL",BC120))),"Y","N"))</f>
        <v/>
      </c>
      <c r="BZ120" s="10" t="str">
        <f aca="false">IF(D120="","",D120&amp;"|"&amp;F120&amp;"|"&amp;G120&amp;"|"&amp;BY120)</f>
        <v/>
      </c>
    </row>
    <row r="121" customFormat="false" ht="15" hidden="false" customHeight="false" outlineLevel="0" collapsed="false">
      <c r="A121" s="10" t="str">
        <f aca="false">IF(D121="","","LKW-"&amp;IFERROR(VLOOKUP(D121,Lists!$AQ$4:$AR$17,2,0),"??")&amp;"-W"&amp;TEXT(F121*1000,"0000")&amp;"-H"&amp;TEXT(G121*1000,"0000")&amp;"-B"&amp;TEXT(H121*1000,"0000")&amp;"-"&amp;AI121)</f>
        <v/>
      </c>
      <c r="B121" s="10" t="str">
        <f aca="false">IF(D121="","",D121&amp;", "&amp;F121&amp;" m wide, "&amp;G121&amp;" m headroom, "&amp;H121&amp;" m bays, "&amp;I121&amp;" ("&amp;E121&amp;")")</f>
        <v/>
      </c>
      <c r="C121" s="9"/>
      <c r="D121" s="9"/>
      <c r="E121" s="9"/>
      <c r="F121" s="42"/>
      <c r="G121" s="42"/>
      <c r="H121" s="42"/>
      <c r="I121" s="9"/>
      <c r="J121" s="9"/>
      <c r="K121" s="9"/>
      <c r="L121" s="9"/>
      <c r="M121" s="9"/>
      <c r="N121" s="9"/>
      <c r="O121" s="9"/>
      <c r="P121" s="9"/>
      <c r="Q121" s="9"/>
      <c r="R121" s="9"/>
      <c r="S121" s="42"/>
      <c r="T121" s="9"/>
      <c r="U121" s="9"/>
      <c r="V121" s="9"/>
      <c r="W121" s="38"/>
      <c r="X121" s="42"/>
      <c r="Y121" s="9"/>
      <c r="Z121" s="9"/>
      <c r="AA121" s="9"/>
      <c r="AB121" s="42"/>
      <c r="AC121" s="9"/>
      <c r="AD121" s="38"/>
      <c r="AE121" s="9"/>
      <c r="AF121" s="39"/>
      <c r="AG121" s="9"/>
      <c r="AH121" s="9"/>
      <c r="AI121" s="9"/>
      <c r="AJ121" s="9"/>
      <c r="AK121" s="9"/>
      <c r="AL121" s="9"/>
      <c r="AM121" s="9"/>
      <c r="AN121" s="10" t="str">
        <f aca="false">IF(A121="","",SG_Criteria!$B$6&amp;SG_Criteria!$B$12&amp;"\"&amp;A121&amp;"\")</f>
        <v/>
      </c>
      <c r="AO121" s="10" t="str">
        <f aca="false">IF(A121="","",A121&amp;"_CAD.dwg")</f>
        <v/>
      </c>
      <c r="AP121" s="10" t="str">
        <f aca="false">IF(A121="","",A121&amp;"_DWG.pdf")</f>
        <v/>
      </c>
      <c r="AQ121" s="10" t="str">
        <f aca="false">IF(A121="","",IF(AM121="Y",A121&amp;"_STAAD.std","n/a"))</f>
        <v/>
      </c>
      <c r="AR121" s="10" t="str">
        <f aca="false">IF(A121="","",A121&amp;"_CALC.xlsx")</f>
        <v/>
      </c>
      <c r="AS121" s="10" t="str">
        <f aca="false">IF(A121="","",A121&amp;"_CALC.pdf")</f>
        <v/>
      </c>
      <c r="AT121" s="9"/>
      <c r="AU121" s="9"/>
      <c r="AV121" s="39"/>
      <c r="AW121" s="39"/>
      <c r="AX121" s="39"/>
      <c r="AY121" s="39"/>
      <c r="AZ121" s="39"/>
      <c r="BA121" s="12" t="str">
        <f aca="false">IF(A121="","",IF(COUNTIF(Rebar_Schedule!$A$5:$A$2004,A121)=0,"",ROUND(SUMIF(Rebar_Schedule!$A$5:$A$2004,A121,Rebar_Schedule!$K$5:$K$2004),1)))</f>
        <v/>
      </c>
      <c r="BB121" s="33" t="str">
        <f aca="false">IF(A121="","",IF(BA121="","No rebar schedule yet",IF(ABS(BA121-N(AW121))/MAX(N(AW121),1)&gt;SG_Criteria!$B$55,"NOTE: register rebar differs from schedule by "&amp;TEXT(ABS(BA121-N(AW121))/MAX(N(AW121),1),"0%"),"OK")))</f>
        <v/>
      </c>
      <c r="BC121" s="33" t="str">
        <f aca="false">IF(D121="","",IF(LEN(IF(AND(D121&lt;&gt;"High Covered Linkway",G121&lt;SG_Criteria!$B$46),"FAIL: headroom below "&amp;SG_Criteria!$B$46&amp;" m. ","")&amp;IF(AND(D121="High Covered Linkway",G121&lt;SG_Criteria!$B$47),"FAIL: high linkway headroom below "&amp;SG_Criteria!$B$47&amp;" m. ","")&amp;IF(F121&lt;SG_Criteria!$B$48,"FAIL: roof width below "&amp;SG_Criteria!$B$48&amp;" m. ",IF(F121&lt;SG_Criteria!$B$49,"NOTE: not for MRT/LRT or high-traffic routes (min "&amp;SG_Criteria!$B$49&amp;" m). ",""))&amp;IF(AND(W121&lt;&gt;"",W121&lt;SG_Criteria!$B$50),"FAIL: wind speed below "&amp;SG_Criteria!$B$50&amp;" m/s. ","")&amp;IF(AND(X121&lt;&gt;"",X121&lt;SG_Criteria!$B$51),"FAIL: roof fixing pull-out below "&amp;SG_Criteria!$B$51&amp;" kN. ","")&amp;IF(AND(Y121&lt;&gt;"",IFERROR(VALUE(MID(Y121,2,2)),0)&lt;SG_Criteria!$B$52),"FAIL: grade below C"&amp;SG_Criteria!$B$52&amp;". ","")&amp;IF(E121="Non-standard (project design)","NOTE: not an SDRE standard, needs LTA acceptance. ",""))=0,"OK",IF(AND(D121&lt;&gt;"High Covered Linkway",G121&lt;SG_Criteria!$B$46),"FAIL: headroom below "&amp;SG_Criteria!$B$46&amp;" m. ","")&amp;IF(AND(D121="High Covered Linkway",G121&lt;SG_Criteria!$B$47),"FAIL: high linkway headroom below "&amp;SG_Criteria!$B$47&amp;" m. ","")&amp;IF(F121&lt;SG_Criteria!$B$48,"FAIL: roof width below "&amp;SG_Criteria!$B$48&amp;" m. ",IF(F121&lt;SG_Criteria!$B$49,"NOTE: not for MRT/LRT or high-traffic routes (min "&amp;SG_Criteria!$B$49&amp;" m). ",""))&amp;IF(AND(W121&lt;&gt;"",W121&lt;SG_Criteria!$B$50),"FAIL: wind speed below "&amp;SG_Criteria!$B$50&amp;" m/s. ","")&amp;IF(AND(X121&lt;&gt;"",X121&lt;SG_Criteria!$B$51),"FAIL: roof fixing pull-out below "&amp;SG_Criteria!$B$51&amp;" kN. ","")&amp;IF(AND(Y121&lt;&gt;"",IFERROR(VALUE(MID(Y121,2,2)),0)&lt;SG_Criteria!$B$52),"FAIL: grade below C"&amp;SG_Criteria!$B$52&amp;". ","")&amp;IF(E121="Non-standard (project design)","NOTE: not an SDRE standard, needs LTA acceptance. ","")))</f>
        <v/>
      </c>
      <c r="BD121" s="9"/>
      <c r="BE121" s="9"/>
      <c r="BF121" s="9"/>
      <c r="BG121" s="10" t="str">
        <f aca="false">IF(BF121="","",IFERROR(VLOOKUP(BF121,Projects!$A$5:$D$504,2,0),"Ref not in Projects"))</f>
        <v/>
      </c>
      <c r="BH121" s="10" t="str">
        <f aca="false">IF(BF121="","",IFERROR(VLOOKUP(BF121,Projects!$A$5:$D$504,4,0),"Ref not in Projects"))</f>
        <v/>
      </c>
      <c r="BI121" s="9"/>
      <c r="BJ121" s="9"/>
      <c r="BK121" s="9"/>
      <c r="BL121" s="40"/>
      <c r="BM121" s="9"/>
      <c r="BN121" s="40"/>
      <c r="BO121" s="9"/>
      <c r="BP121" s="40"/>
      <c r="BQ121" s="9"/>
      <c r="BR121" s="9"/>
      <c r="BS121" s="9"/>
      <c r="BT121" s="40"/>
      <c r="BU121" s="40"/>
      <c r="BV121" s="36" t="str">
        <f aca="false">IF(BU121="","",EDATE(BU121,SG_Criteria!$B$54*12))</f>
        <v/>
      </c>
      <c r="BW121" s="33" t="str">
        <f aca="true">IF(A121="","",IF(BU121="","NOTE: not reviewed yet",IF(TODAY()&gt;BV121,"NOTE: review overdue","OK")))</f>
        <v/>
      </c>
      <c r="BX121" s="37" t="str">
        <f aca="false">IF(A121="","",ROUND((IF(LEN(D121)&gt;0,1,0)+IF(LEN(E121)&gt;0,1,0)+IF(LEN(F121)&gt;0,1,0)+IF(LEN(G121)&gt;0,1,0)+IF(LEN(H121)&gt;0,1,0)+IF(LEN(I121)&gt;0,1,0)+IF(LEN(J121)&gt;0,1,0)+IF(LEN(K121)&gt;0,1,0)+IF(LEN(N121)&gt;0,1,0)+IF(LEN(O121)&gt;0,1,0)+IF(LEN(W121)&gt;0,1,0)+IF(LEN(X121)&gt;0,1,0)+IF(LEN(Y121)&gt;0,1,0)+IF(LEN(AG121)&gt;0,1,0)+IF(LEN(AI121)&gt;0,1,0)+IF(LEN(AJ121)&gt;0,1,0)+IF(LEN(AK121)&gt;0,1,0)+IF(LEN(AL121)&gt;0,1,0)+IF(LEN(AU121)&gt;0,1,0)+IF(LEN(BF121)&gt;0,1,0)+IF(LEN(BS121)&gt;0,1,0))/21,2))</f>
        <v/>
      </c>
      <c r="BY121" s="10" t="str">
        <f aca="false">IF(D121="","",IF(AND(AJ121="Approved",ISERROR(SEARCH("FAIL",BC121))),"Y","N"))</f>
        <v/>
      </c>
      <c r="BZ121" s="10" t="str">
        <f aca="false">IF(D121="","",D121&amp;"|"&amp;F121&amp;"|"&amp;G121&amp;"|"&amp;BY121)</f>
        <v/>
      </c>
    </row>
    <row r="122" customFormat="false" ht="15" hidden="false" customHeight="false" outlineLevel="0" collapsed="false">
      <c r="A122" s="10" t="str">
        <f aca="false">IF(D122="","","LKW-"&amp;IFERROR(VLOOKUP(D122,Lists!$AQ$4:$AR$17,2,0),"??")&amp;"-W"&amp;TEXT(F122*1000,"0000")&amp;"-H"&amp;TEXT(G122*1000,"0000")&amp;"-B"&amp;TEXT(H122*1000,"0000")&amp;"-"&amp;AI122)</f>
        <v/>
      </c>
      <c r="B122" s="10" t="str">
        <f aca="false">IF(D122="","",D122&amp;", "&amp;F122&amp;" m wide, "&amp;G122&amp;" m headroom, "&amp;H122&amp;" m bays, "&amp;I122&amp;" ("&amp;E122&amp;")")</f>
        <v/>
      </c>
      <c r="C122" s="9"/>
      <c r="D122" s="9"/>
      <c r="E122" s="9"/>
      <c r="F122" s="42"/>
      <c r="G122" s="42"/>
      <c r="H122" s="42"/>
      <c r="I122" s="9"/>
      <c r="J122" s="9"/>
      <c r="K122" s="9"/>
      <c r="L122" s="9"/>
      <c r="M122" s="9"/>
      <c r="N122" s="9"/>
      <c r="O122" s="9"/>
      <c r="P122" s="9"/>
      <c r="Q122" s="9"/>
      <c r="R122" s="9"/>
      <c r="S122" s="42"/>
      <c r="T122" s="9"/>
      <c r="U122" s="9"/>
      <c r="V122" s="9"/>
      <c r="W122" s="38"/>
      <c r="X122" s="42"/>
      <c r="Y122" s="9"/>
      <c r="Z122" s="9"/>
      <c r="AA122" s="9"/>
      <c r="AB122" s="42"/>
      <c r="AC122" s="9"/>
      <c r="AD122" s="38"/>
      <c r="AE122" s="9"/>
      <c r="AF122" s="39"/>
      <c r="AG122" s="9"/>
      <c r="AH122" s="9"/>
      <c r="AI122" s="9"/>
      <c r="AJ122" s="9"/>
      <c r="AK122" s="9"/>
      <c r="AL122" s="9"/>
      <c r="AM122" s="9"/>
      <c r="AN122" s="10" t="str">
        <f aca="false">IF(A122="","",SG_Criteria!$B$6&amp;SG_Criteria!$B$12&amp;"\"&amp;A122&amp;"\")</f>
        <v/>
      </c>
      <c r="AO122" s="10" t="str">
        <f aca="false">IF(A122="","",A122&amp;"_CAD.dwg")</f>
        <v/>
      </c>
      <c r="AP122" s="10" t="str">
        <f aca="false">IF(A122="","",A122&amp;"_DWG.pdf")</f>
        <v/>
      </c>
      <c r="AQ122" s="10" t="str">
        <f aca="false">IF(A122="","",IF(AM122="Y",A122&amp;"_STAAD.std","n/a"))</f>
        <v/>
      </c>
      <c r="AR122" s="10" t="str">
        <f aca="false">IF(A122="","",A122&amp;"_CALC.xlsx")</f>
        <v/>
      </c>
      <c r="AS122" s="10" t="str">
        <f aca="false">IF(A122="","",A122&amp;"_CALC.pdf")</f>
        <v/>
      </c>
      <c r="AT122" s="9"/>
      <c r="AU122" s="9"/>
      <c r="AV122" s="39"/>
      <c r="AW122" s="39"/>
      <c r="AX122" s="39"/>
      <c r="AY122" s="39"/>
      <c r="AZ122" s="39"/>
      <c r="BA122" s="12" t="str">
        <f aca="false">IF(A122="","",IF(COUNTIF(Rebar_Schedule!$A$5:$A$2004,A122)=0,"",ROUND(SUMIF(Rebar_Schedule!$A$5:$A$2004,A122,Rebar_Schedule!$K$5:$K$2004),1)))</f>
        <v/>
      </c>
      <c r="BB122" s="33" t="str">
        <f aca="false">IF(A122="","",IF(BA122="","No rebar schedule yet",IF(ABS(BA122-N(AW122))/MAX(N(AW122),1)&gt;SG_Criteria!$B$55,"NOTE: register rebar differs from schedule by "&amp;TEXT(ABS(BA122-N(AW122))/MAX(N(AW122),1),"0%"),"OK")))</f>
        <v/>
      </c>
      <c r="BC122" s="33" t="str">
        <f aca="false">IF(D122="","",IF(LEN(IF(AND(D122&lt;&gt;"High Covered Linkway",G122&lt;SG_Criteria!$B$46),"FAIL: headroom below "&amp;SG_Criteria!$B$46&amp;" m. ","")&amp;IF(AND(D122="High Covered Linkway",G122&lt;SG_Criteria!$B$47),"FAIL: high linkway headroom below "&amp;SG_Criteria!$B$47&amp;" m. ","")&amp;IF(F122&lt;SG_Criteria!$B$48,"FAIL: roof width below "&amp;SG_Criteria!$B$48&amp;" m. ",IF(F122&lt;SG_Criteria!$B$49,"NOTE: not for MRT/LRT or high-traffic routes (min "&amp;SG_Criteria!$B$49&amp;" m). ",""))&amp;IF(AND(W122&lt;&gt;"",W122&lt;SG_Criteria!$B$50),"FAIL: wind speed below "&amp;SG_Criteria!$B$50&amp;" m/s. ","")&amp;IF(AND(X122&lt;&gt;"",X122&lt;SG_Criteria!$B$51),"FAIL: roof fixing pull-out below "&amp;SG_Criteria!$B$51&amp;" kN. ","")&amp;IF(AND(Y122&lt;&gt;"",IFERROR(VALUE(MID(Y122,2,2)),0)&lt;SG_Criteria!$B$52),"FAIL: grade below C"&amp;SG_Criteria!$B$52&amp;". ","")&amp;IF(E122="Non-standard (project design)","NOTE: not an SDRE standard, needs LTA acceptance. ",""))=0,"OK",IF(AND(D122&lt;&gt;"High Covered Linkway",G122&lt;SG_Criteria!$B$46),"FAIL: headroom below "&amp;SG_Criteria!$B$46&amp;" m. ","")&amp;IF(AND(D122="High Covered Linkway",G122&lt;SG_Criteria!$B$47),"FAIL: high linkway headroom below "&amp;SG_Criteria!$B$47&amp;" m. ","")&amp;IF(F122&lt;SG_Criteria!$B$48,"FAIL: roof width below "&amp;SG_Criteria!$B$48&amp;" m. ",IF(F122&lt;SG_Criteria!$B$49,"NOTE: not for MRT/LRT or high-traffic routes (min "&amp;SG_Criteria!$B$49&amp;" m). ",""))&amp;IF(AND(W122&lt;&gt;"",W122&lt;SG_Criteria!$B$50),"FAIL: wind speed below "&amp;SG_Criteria!$B$50&amp;" m/s. ","")&amp;IF(AND(X122&lt;&gt;"",X122&lt;SG_Criteria!$B$51),"FAIL: roof fixing pull-out below "&amp;SG_Criteria!$B$51&amp;" kN. ","")&amp;IF(AND(Y122&lt;&gt;"",IFERROR(VALUE(MID(Y122,2,2)),0)&lt;SG_Criteria!$B$52),"FAIL: grade below C"&amp;SG_Criteria!$B$52&amp;". ","")&amp;IF(E122="Non-standard (project design)","NOTE: not an SDRE standard, needs LTA acceptance. ","")))</f>
        <v/>
      </c>
      <c r="BD122" s="9"/>
      <c r="BE122" s="9"/>
      <c r="BF122" s="9"/>
      <c r="BG122" s="10" t="str">
        <f aca="false">IF(BF122="","",IFERROR(VLOOKUP(BF122,Projects!$A$5:$D$504,2,0),"Ref not in Projects"))</f>
        <v/>
      </c>
      <c r="BH122" s="10" t="str">
        <f aca="false">IF(BF122="","",IFERROR(VLOOKUP(BF122,Projects!$A$5:$D$504,4,0),"Ref not in Projects"))</f>
        <v/>
      </c>
      <c r="BI122" s="9"/>
      <c r="BJ122" s="9"/>
      <c r="BK122" s="9"/>
      <c r="BL122" s="40"/>
      <c r="BM122" s="9"/>
      <c r="BN122" s="40"/>
      <c r="BO122" s="9"/>
      <c r="BP122" s="40"/>
      <c r="BQ122" s="9"/>
      <c r="BR122" s="9"/>
      <c r="BS122" s="9"/>
      <c r="BT122" s="40"/>
      <c r="BU122" s="40"/>
      <c r="BV122" s="36" t="str">
        <f aca="false">IF(BU122="","",EDATE(BU122,SG_Criteria!$B$54*12))</f>
        <v/>
      </c>
      <c r="BW122" s="33" t="str">
        <f aca="true">IF(A122="","",IF(BU122="","NOTE: not reviewed yet",IF(TODAY()&gt;BV122,"NOTE: review overdue","OK")))</f>
        <v/>
      </c>
      <c r="BX122" s="37" t="str">
        <f aca="false">IF(A122="","",ROUND((IF(LEN(D122)&gt;0,1,0)+IF(LEN(E122)&gt;0,1,0)+IF(LEN(F122)&gt;0,1,0)+IF(LEN(G122)&gt;0,1,0)+IF(LEN(H122)&gt;0,1,0)+IF(LEN(I122)&gt;0,1,0)+IF(LEN(J122)&gt;0,1,0)+IF(LEN(K122)&gt;0,1,0)+IF(LEN(N122)&gt;0,1,0)+IF(LEN(O122)&gt;0,1,0)+IF(LEN(W122)&gt;0,1,0)+IF(LEN(X122)&gt;0,1,0)+IF(LEN(Y122)&gt;0,1,0)+IF(LEN(AG122)&gt;0,1,0)+IF(LEN(AI122)&gt;0,1,0)+IF(LEN(AJ122)&gt;0,1,0)+IF(LEN(AK122)&gt;0,1,0)+IF(LEN(AL122)&gt;0,1,0)+IF(LEN(AU122)&gt;0,1,0)+IF(LEN(BF122)&gt;0,1,0)+IF(LEN(BS122)&gt;0,1,0))/21,2))</f>
        <v/>
      </c>
      <c r="BY122" s="10" t="str">
        <f aca="false">IF(D122="","",IF(AND(AJ122="Approved",ISERROR(SEARCH("FAIL",BC122))),"Y","N"))</f>
        <v/>
      </c>
      <c r="BZ122" s="10" t="str">
        <f aca="false">IF(D122="","",D122&amp;"|"&amp;F122&amp;"|"&amp;G122&amp;"|"&amp;BY122)</f>
        <v/>
      </c>
    </row>
    <row r="123" customFormat="false" ht="15" hidden="false" customHeight="false" outlineLevel="0" collapsed="false">
      <c r="A123" s="10" t="str">
        <f aca="false">IF(D123="","","LKW-"&amp;IFERROR(VLOOKUP(D123,Lists!$AQ$4:$AR$17,2,0),"??")&amp;"-W"&amp;TEXT(F123*1000,"0000")&amp;"-H"&amp;TEXT(G123*1000,"0000")&amp;"-B"&amp;TEXT(H123*1000,"0000")&amp;"-"&amp;AI123)</f>
        <v/>
      </c>
      <c r="B123" s="10" t="str">
        <f aca="false">IF(D123="","",D123&amp;", "&amp;F123&amp;" m wide, "&amp;G123&amp;" m headroom, "&amp;H123&amp;" m bays, "&amp;I123&amp;" ("&amp;E123&amp;")")</f>
        <v/>
      </c>
      <c r="C123" s="9"/>
      <c r="D123" s="9"/>
      <c r="E123" s="9"/>
      <c r="F123" s="42"/>
      <c r="G123" s="42"/>
      <c r="H123" s="42"/>
      <c r="I123" s="9"/>
      <c r="J123" s="9"/>
      <c r="K123" s="9"/>
      <c r="L123" s="9"/>
      <c r="M123" s="9"/>
      <c r="N123" s="9"/>
      <c r="O123" s="9"/>
      <c r="P123" s="9"/>
      <c r="Q123" s="9"/>
      <c r="R123" s="9"/>
      <c r="S123" s="42"/>
      <c r="T123" s="9"/>
      <c r="U123" s="9"/>
      <c r="V123" s="9"/>
      <c r="W123" s="38"/>
      <c r="X123" s="42"/>
      <c r="Y123" s="9"/>
      <c r="Z123" s="9"/>
      <c r="AA123" s="9"/>
      <c r="AB123" s="42"/>
      <c r="AC123" s="9"/>
      <c r="AD123" s="38"/>
      <c r="AE123" s="9"/>
      <c r="AF123" s="39"/>
      <c r="AG123" s="9"/>
      <c r="AH123" s="9"/>
      <c r="AI123" s="9"/>
      <c r="AJ123" s="9"/>
      <c r="AK123" s="9"/>
      <c r="AL123" s="9"/>
      <c r="AM123" s="9"/>
      <c r="AN123" s="10" t="str">
        <f aca="false">IF(A123="","",SG_Criteria!$B$6&amp;SG_Criteria!$B$12&amp;"\"&amp;A123&amp;"\")</f>
        <v/>
      </c>
      <c r="AO123" s="10" t="str">
        <f aca="false">IF(A123="","",A123&amp;"_CAD.dwg")</f>
        <v/>
      </c>
      <c r="AP123" s="10" t="str">
        <f aca="false">IF(A123="","",A123&amp;"_DWG.pdf")</f>
        <v/>
      </c>
      <c r="AQ123" s="10" t="str">
        <f aca="false">IF(A123="","",IF(AM123="Y",A123&amp;"_STAAD.std","n/a"))</f>
        <v/>
      </c>
      <c r="AR123" s="10" t="str">
        <f aca="false">IF(A123="","",A123&amp;"_CALC.xlsx")</f>
        <v/>
      </c>
      <c r="AS123" s="10" t="str">
        <f aca="false">IF(A123="","",A123&amp;"_CALC.pdf")</f>
        <v/>
      </c>
      <c r="AT123" s="9"/>
      <c r="AU123" s="9"/>
      <c r="AV123" s="39"/>
      <c r="AW123" s="39"/>
      <c r="AX123" s="39"/>
      <c r="AY123" s="39"/>
      <c r="AZ123" s="39"/>
      <c r="BA123" s="12" t="str">
        <f aca="false">IF(A123="","",IF(COUNTIF(Rebar_Schedule!$A$5:$A$2004,A123)=0,"",ROUND(SUMIF(Rebar_Schedule!$A$5:$A$2004,A123,Rebar_Schedule!$K$5:$K$2004),1)))</f>
        <v/>
      </c>
      <c r="BB123" s="33" t="str">
        <f aca="false">IF(A123="","",IF(BA123="","No rebar schedule yet",IF(ABS(BA123-N(AW123))/MAX(N(AW123),1)&gt;SG_Criteria!$B$55,"NOTE: register rebar differs from schedule by "&amp;TEXT(ABS(BA123-N(AW123))/MAX(N(AW123),1),"0%"),"OK")))</f>
        <v/>
      </c>
      <c r="BC123" s="33" t="str">
        <f aca="false">IF(D123="","",IF(LEN(IF(AND(D123&lt;&gt;"High Covered Linkway",G123&lt;SG_Criteria!$B$46),"FAIL: headroom below "&amp;SG_Criteria!$B$46&amp;" m. ","")&amp;IF(AND(D123="High Covered Linkway",G123&lt;SG_Criteria!$B$47),"FAIL: high linkway headroom below "&amp;SG_Criteria!$B$47&amp;" m. ","")&amp;IF(F123&lt;SG_Criteria!$B$48,"FAIL: roof width below "&amp;SG_Criteria!$B$48&amp;" m. ",IF(F123&lt;SG_Criteria!$B$49,"NOTE: not for MRT/LRT or high-traffic routes (min "&amp;SG_Criteria!$B$49&amp;" m). ",""))&amp;IF(AND(W123&lt;&gt;"",W123&lt;SG_Criteria!$B$50),"FAIL: wind speed below "&amp;SG_Criteria!$B$50&amp;" m/s. ","")&amp;IF(AND(X123&lt;&gt;"",X123&lt;SG_Criteria!$B$51),"FAIL: roof fixing pull-out below "&amp;SG_Criteria!$B$51&amp;" kN. ","")&amp;IF(AND(Y123&lt;&gt;"",IFERROR(VALUE(MID(Y123,2,2)),0)&lt;SG_Criteria!$B$52),"FAIL: grade below C"&amp;SG_Criteria!$B$52&amp;". ","")&amp;IF(E123="Non-standard (project design)","NOTE: not an SDRE standard, needs LTA acceptance. ",""))=0,"OK",IF(AND(D123&lt;&gt;"High Covered Linkway",G123&lt;SG_Criteria!$B$46),"FAIL: headroom below "&amp;SG_Criteria!$B$46&amp;" m. ","")&amp;IF(AND(D123="High Covered Linkway",G123&lt;SG_Criteria!$B$47),"FAIL: high linkway headroom below "&amp;SG_Criteria!$B$47&amp;" m. ","")&amp;IF(F123&lt;SG_Criteria!$B$48,"FAIL: roof width below "&amp;SG_Criteria!$B$48&amp;" m. ",IF(F123&lt;SG_Criteria!$B$49,"NOTE: not for MRT/LRT or high-traffic routes (min "&amp;SG_Criteria!$B$49&amp;" m). ",""))&amp;IF(AND(W123&lt;&gt;"",W123&lt;SG_Criteria!$B$50),"FAIL: wind speed below "&amp;SG_Criteria!$B$50&amp;" m/s. ","")&amp;IF(AND(X123&lt;&gt;"",X123&lt;SG_Criteria!$B$51),"FAIL: roof fixing pull-out below "&amp;SG_Criteria!$B$51&amp;" kN. ","")&amp;IF(AND(Y123&lt;&gt;"",IFERROR(VALUE(MID(Y123,2,2)),0)&lt;SG_Criteria!$B$52),"FAIL: grade below C"&amp;SG_Criteria!$B$52&amp;". ","")&amp;IF(E123="Non-standard (project design)","NOTE: not an SDRE standard, needs LTA acceptance. ","")))</f>
        <v/>
      </c>
      <c r="BD123" s="9"/>
      <c r="BE123" s="9"/>
      <c r="BF123" s="9"/>
      <c r="BG123" s="10" t="str">
        <f aca="false">IF(BF123="","",IFERROR(VLOOKUP(BF123,Projects!$A$5:$D$504,2,0),"Ref not in Projects"))</f>
        <v/>
      </c>
      <c r="BH123" s="10" t="str">
        <f aca="false">IF(BF123="","",IFERROR(VLOOKUP(BF123,Projects!$A$5:$D$504,4,0),"Ref not in Projects"))</f>
        <v/>
      </c>
      <c r="BI123" s="9"/>
      <c r="BJ123" s="9"/>
      <c r="BK123" s="9"/>
      <c r="BL123" s="40"/>
      <c r="BM123" s="9"/>
      <c r="BN123" s="40"/>
      <c r="BO123" s="9"/>
      <c r="BP123" s="40"/>
      <c r="BQ123" s="9"/>
      <c r="BR123" s="9"/>
      <c r="BS123" s="9"/>
      <c r="BT123" s="40"/>
      <c r="BU123" s="40"/>
      <c r="BV123" s="36" t="str">
        <f aca="false">IF(BU123="","",EDATE(BU123,SG_Criteria!$B$54*12))</f>
        <v/>
      </c>
      <c r="BW123" s="33" t="str">
        <f aca="true">IF(A123="","",IF(BU123="","NOTE: not reviewed yet",IF(TODAY()&gt;BV123,"NOTE: review overdue","OK")))</f>
        <v/>
      </c>
      <c r="BX123" s="37" t="str">
        <f aca="false">IF(A123="","",ROUND((IF(LEN(D123)&gt;0,1,0)+IF(LEN(E123)&gt;0,1,0)+IF(LEN(F123)&gt;0,1,0)+IF(LEN(G123)&gt;0,1,0)+IF(LEN(H123)&gt;0,1,0)+IF(LEN(I123)&gt;0,1,0)+IF(LEN(J123)&gt;0,1,0)+IF(LEN(K123)&gt;0,1,0)+IF(LEN(N123)&gt;0,1,0)+IF(LEN(O123)&gt;0,1,0)+IF(LEN(W123)&gt;0,1,0)+IF(LEN(X123)&gt;0,1,0)+IF(LEN(Y123)&gt;0,1,0)+IF(LEN(AG123)&gt;0,1,0)+IF(LEN(AI123)&gt;0,1,0)+IF(LEN(AJ123)&gt;0,1,0)+IF(LEN(AK123)&gt;0,1,0)+IF(LEN(AL123)&gt;0,1,0)+IF(LEN(AU123)&gt;0,1,0)+IF(LEN(BF123)&gt;0,1,0)+IF(LEN(BS123)&gt;0,1,0))/21,2))</f>
        <v/>
      </c>
      <c r="BY123" s="10" t="str">
        <f aca="false">IF(D123="","",IF(AND(AJ123="Approved",ISERROR(SEARCH("FAIL",BC123))),"Y","N"))</f>
        <v/>
      </c>
      <c r="BZ123" s="10" t="str">
        <f aca="false">IF(D123="","",D123&amp;"|"&amp;F123&amp;"|"&amp;G123&amp;"|"&amp;BY123)</f>
        <v/>
      </c>
    </row>
    <row r="124" customFormat="false" ht="15" hidden="false" customHeight="false" outlineLevel="0" collapsed="false">
      <c r="A124" s="10" t="str">
        <f aca="false">IF(D124="","","LKW-"&amp;IFERROR(VLOOKUP(D124,Lists!$AQ$4:$AR$17,2,0),"??")&amp;"-W"&amp;TEXT(F124*1000,"0000")&amp;"-H"&amp;TEXT(G124*1000,"0000")&amp;"-B"&amp;TEXT(H124*1000,"0000")&amp;"-"&amp;AI124)</f>
        <v/>
      </c>
      <c r="B124" s="10" t="str">
        <f aca="false">IF(D124="","",D124&amp;", "&amp;F124&amp;" m wide, "&amp;G124&amp;" m headroom, "&amp;H124&amp;" m bays, "&amp;I124&amp;" ("&amp;E124&amp;")")</f>
        <v/>
      </c>
      <c r="C124" s="9"/>
      <c r="D124" s="9"/>
      <c r="E124" s="9"/>
      <c r="F124" s="42"/>
      <c r="G124" s="42"/>
      <c r="H124" s="42"/>
      <c r="I124" s="9"/>
      <c r="J124" s="9"/>
      <c r="K124" s="9"/>
      <c r="L124" s="9"/>
      <c r="M124" s="9"/>
      <c r="N124" s="9"/>
      <c r="O124" s="9"/>
      <c r="P124" s="9"/>
      <c r="Q124" s="9"/>
      <c r="R124" s="9"/>
      <c r="S124" s="42"/>
      <c r="T124" s="9"/>
      <c r="U124" s="9"/>
      <c r="V124" s="9"/>
      <c r="W124" s="38"/>
      <c r="X124" s="42"/>
      <c r="Y124" s="9"/>
      <c r="Z124" s="9"/>
      <c r="AA124" s="9"/>
      <c r="AB124" s="42"/>
      <c r="AC124" s="9"/>
      <c r="AD124" s="38"/>
      <c r="AE124" s="9"/>
      <c r="AF124" s="39"/>
      <c r="AG124" s="9"/>
      <c r="AH124" s="9"/>
      <c r="AI124" s="9"/>
      <c r="AJ124" s="9"/>
      <c r="AK124" s="9"/>
      <c r="AL124" s="9"/>
      <c r="AM124" s="9"/>
      <c r="AN124" s="10" t="str">
        <f aca="false">IF(A124="","",SG_Criteria!$B$6&amp;SG_Criteria!$B$12&amp;"\"&amp;A124&amp;"\")</f>
        <v/>
      </c>
      <c r="AO124" s="10" t="str">
        <f aca="false">IF(A124="","",A124&amp;"_CAD.dwg")</f>
        <v/>
      </c>
      <c r="AP124" s="10" t="str">
        <f aca="false">IF(A124="","",A124&amp;"_DWG.pdf")</f>
        <v/>
      </c>
      <c r="AQ124" s="10" t="str">
        <f aca="false">IF(A124="","",IF(AM124="Y",A124&amp;"_STAAD.std","n/a"))</f>
        <v/>
      </c>
      <c r="AR124" s="10" t="str">
        <f aca="false">IF(A124="","",A124&amp;"_CALC.xlsx")</f>
        <v/>
      </c>
      <c r="AS124" s="10" t="str">
        <f aca="false">IF(A124="","",A124&amp;"_CALC.pdf")</f>
        <v/>
      </c>
      <c r="AT124" s="9"/>
      <c r="AU124" s="9"/>
      <c r="AV124" s="39"/>
      <c r="AW124" s="39"/>
      <c r="AX124" s="39"/>
      <c r="AY124" s="39"/>
      <c r="AZ124" s="39"/>
      <c r="BA124" s="12" t="str">
        <f aca="false">IF(A124="","",IF(COUNTIF(Rebar_Schedule!$A$5:$A$2004,A124)=0,"",ROUND(SUMIF(Rebar_Schedule!$A$5:$A$2004,A124,Rebar_Schedule!$K$5:$K$2004),1)))</f>
        <v/>
      </c>
      <c r="BB124" s="33" t="str">
        <f aca="false">IF(A124="","",IF(BA124="","No rebar schedule yet",IF(ABS(BA124-N(AW124))/MAX(N(AW124),1)&gt;SG_Criteria!$B$55,"NOTE: register rebar differs from schedule by "&amp;TEXT(ABS(BA124-N(AW124))/MAX(N(AW124),1),"0%"),"OK")))</f>
        <v/>
      </c>
      <c r="BC124" s="33" t="str">
        <f aca="false">IF(D124="","",IF(LEN(IF(AND(D124&lt;&gt;"High Covered Linkway",G124&lt;SG_Criteria!$B$46),"FAIL: headroom below "&amp;SG_Criteria!$B$46&amp;" m. ","")&amp;IF(AND(D124="High Covered Linkway",G124&lt;SG_Criteria!$B$47),"FAIL: high linkway headroom below "&amp;SG_Criteria!$B$47&amp;" m. ","")&amp;IF(F124&lt;SG_Criteria!$B$48,"FAIL: roof width below "&amp;SG_Criteria!$B$48&amp;" m. ",IF(F124&lt;SG_Criteria!$B$49,"NOTE: not for MRT/LRT or high-traffic routes (min "&amp;SG_Criteria!$B$49&amp;" m). ",""))&amp;IF(AND(W124&lt;&gt;"",W124&lt;SG_Criteria!$B$50),"FAIL: wind speed below "&amp;SG_Criteria!$B$50&amp;" m/s. ","")&amp;IF(AND(X124&lt;&gt;"",X124&lt;SG_Criteria!$B$51),"FAIL: roof fixing pull-out below "&amp;SG_Criteria!$B$51&amp;" kN. ","")&amp;IF(AND(Y124&lt;&gt;"",IFERROR(VALUE(MID(Y124,2,2)),0)&lt;SG_Criteria!$B$52),"FAIL: grade below C"&amp;SG_Criteria!$B$52&amp;". ","")&amp;IF(E124="Non-standard (project design)","NOTE: not an SDRE standard, needs LTA acceptance. ",""))=0,"OK",IF(AND(D124&lt;&gt;"High Covered Linkway",G124&lt;SG_Criteria!$B$46),"FAIL: headroom below "&amp;SG_Criteria!$B$46&amp;" m. ","")&amp;IF(AND(D124="High Covered Linkway",G124&lt;SG_Criteria!$B$47),"FAIL: high linkway headroom below "&amp;SG_Criteria!$B$47&amp;" m. ","")&amp;IF(F124&lt;SG_Criteria!$B$48,"FAIL: roof width below "&amp;SG_Criteria!$B$48&amp;" m. ",IF(F124&lt;SG_Criteria!$B$49,"NOTE: not for MRT/LRT or high-traffic routes (min "&amp;SG_Criteria!$B$49&amp;" m). ",""))&amp;IF(AND(W124&lt;&gt;"",W124&lt;SG_Criteria!$B$50),"FAIL: wind speed below "&amp;SG_Criteria!$B$50&amp;" m/s. ","")&amp;IF(AND(X124&lt;&gt;"",X124&lt;SG_Criteria!$B$51),"FAIL: roof fixing pull-out below "&amp;SG_Criteria!$B$51&amp;" kN. ","")&amp;IF(AND(Y124&lt;&gt;"",IFERROR(VALUE(MID(Y124,2,2)),0)&lt;SG_Criteria!$B$52),"FAIL: grade below C"&amp;SG_Criteria!$B$52&amp;". ","")&amp;IF(E124="Non-standard (project design)","NOTE: not an SDRE standard, needs LTA acceptance. ","")))</f>
        <v/>
      </c>
      <c r="BD124" s="9"/>
      <c r="BE124" s="9"/>
      <c r="BF124" s="9"/>
      <c r="BG124" s="10" t="str">
        <f aca="false">IF(BF124="","",IFERROR(VLOOKUP(BF124,Projects!$A$5:$D$504,2,0),"Ref not in Projects"))</f>
        <v/>
      </c>
      <c r="BH124" s="10" t="str">
        <f aca="false">IF(BF124="","",IFERROR(VLOOKUP(BF124,Projects!$A$5:$D$504,4,0),"Ref not in Projects"))</f>
        <v/>
      </c>
      <c r="BI124" s="9"/>
      <c r="BJ124" s="9"/>
      <c r="BK124" s="9"/>
      <c r="BL124" s="40"/>
      <c r="BM124" s="9"/>
      <c r="BN124" s="40"/>
      <c r="BO124" s="9"/>
      <c r="BP124" s="40"/>
      <c r="BQ124" s="9"/>
      <c r="BR124" s="9"/>
      <c r="BS124" s="9"/>
      <c r="BT124" s="40"/>
      <c r="BU124" s="40"/>
      <c r="BV124" s="36" t="str">
        <f aca="false">IF(BU124="","",EDATE(BU124,SG_Criteria!$B$54*12))</f>
        <v/>
      </c>
      <c r="BW124" s="33" t="str">
        <f aca="true">IF(A124="","",IF(BU124="","NOTE: not reviewed yet",IF(TODAY()&gt;BV124,"NOTE: review overdue","OK")))</f>
        <v/>
      </c>
      <c r="BX124" s="37" t="str">
        <f aca="false">IF(A124="","",ROUND((IF(LEN(D124)&gt;0,1,0)+IF(LEN(E124)&gt;0,1,0)+IF(LEN(F124)&gt;0,1,0)+IF(LEN(G124)&gt;0,1,0)+IF(LEN(H124)&gt;0,1,0)+IF(LEN(I124)&gt;0,1,0)+IF(LEN(J124)&gt;0,1,0)+IF(LEN(K124)&gt;0,1,0)+IF(LEN(N124)&gt;0,1,0)+IF(LEN(O124)&gt;0,1,0)+IF(LEN(W124)&gt;0,1,0)+IF(LEN(X124)&gt;0,1,0)+IF(LEN(Y124)&gt;0,1,0)+IF(LEN(AG124)&gt;0,1,0)+IF(LEN(AI124)&gt;0,1,0)+IF(LEN(AJ124)&gt;0,1,0)+IF(LEN(AK124)&gt;0,1,0)+IF(LEN(AL124)&gt;0,1,0)+IF(LEN(AU124)&gt;0,1,0)+IF(LEN(BF124)&gt;0,1,0)+IF(LEN(BS124)&gt;0,1,0))/21,2))</f>
        <v/>
      </c>
      <c r="BY124" s="10" t="str">
        <f aca="false">IF(D124="","",IF(AND(AJ124="Approved",ISERROR(SEARCH("FAIL",BC124))),"Y","N"))</f>
        <v/>
      </c>
      <c r="BZ124" s="10" t="str">
        <f aca="false">IF(D124="","",D124&amp;"|"&amp;F124&amp;"|"&amp;G124&amp;"|"&amp;BY124)</f>
        <v/>
      </c>
    </row>
    <row r="125" customFormat="false" ht="15" hidden="false" customHeight="false" outlineLevel="0" collapsed="false">
      <c r="A125" s="10" t="str">
        <f aca="false">IF(D125="","","LKW-"&amp;IFERROR(VLOOKUP(D125,Lists!$AQ$4:$AR$17,2,0),"??")&amp;"-W"&amp;TEXT(F125*1000,"0000")&amp;"-H"&amp;TEXT(G125*1000,"0000")&amp;"-B"&amp;TEXT(H125*1000,"0000")&amp;"-"&amp;AI125)</f>
        <v/>
      </c>
      <c r="B125" s="10" t="str">
        <f aca="false">IF(D125="","",D125&amp;", "&amp;F125&amp;" m wide, "&amp;G125&amp;" m headroom, "&amp;H125&amp;" m bays, "&amp;I125&amp;" ("&amp;E125&amp;")")</f>
        <v/>
      </c>
      <c r="C125" s="9"/>
      <c r="D125" s="9"/>
      <c r="E125" s="9"/>
      <c r="F125" s="42"/>
      <c r="G125" s="42"/>
      <c r="H125" s="42"/>
      <c r="I125" s="9"/>
      <c r="J125" s="9"/>
      <c r="K125" s="9"/>
      <c r="L125" s="9"/>
      <c r="M125" s="9"/>
      <c r="N125" s="9"/>
      <c r="O125" s="9"/>
      <c r="P125" s="9"/>
      <c r="Q125" s="9"/>
      <c r="R125" s="9"/>
      <c r="S125" s="42"/>
      <c r="T125" s="9"/>
      <c r="U125" s="9"/>
      <c r="V125" s="9"/>
      <c r="W125" s="38"/>
      <c r="X125" s="42"/>
      <c r="Y125" s="9"/>
      <c r="Z125" s="9"/>
      <c r="AA125" s="9"/>
      <c r="AB125" s="42"/>
      <c r="AC125" s="9"/>
      <c r="AD125" s="38"/>
      <c r="AE125" s="9"/>
      <c r="AF125" s="39"/>
      <c r="AG125" s="9"/>
      <c r="AH125" s="9"/>
      <c r="AI125" s="9"/>
      <c r="AJ125" s="9"/>
      <c r="AK125" s="9"/>
      <c r="AL125" s="9"/>
      <c r="AM125" s="9"/>
      <c r="AN125" s="10" t="str">
        <f aca="false">IF(A125="","",SG_Criteria!$B$6&amp;SG_Criteria!$B$12&amp;"\"&amp;A125&amp;"\")</f>
        <v/>
      </c>
      <c r="AO125" s="10" t="str">
        <f aca="false">IF(A125="","",A125&amp;"_CAD.dwg")</f>
        <v/>
      </c>
      <c r="AP125" s="10" t="str">
        <f aca="false">IF(A125="","",A125&amp;"_DWG.pdf")</f>
        <v/>
      </c>
      <c r="AQ125" s="10" t="str">
        <f aca="false">IF(A125="","",IF(AM125="Y",A125&amp;"_STAAD.std","n/a"))</f>
        <v/>
      </c>
      <c r="AR125" s="10" t="str">
        <f aca="false">IF(A125="","",A125&amp;"_CALC.xlsx")</f>
        <v/>
      </c>
      <c r="AS125" s="10" t="str">
        <f aca="false">IF(A125="","",A125&amp;"_CALC.pdf")</f>
        <v/>
      </c>
      <c r="AT125" s="9"/>
      <c r="AU125" s="9"/>
      <c r="AV125" s="39"/>
      <c r="AW125" s="39"/>
      <c r="AX125" s="39"/>
      <c r="AY125" s="39"/>
      <c r="AZ125" s="39"/>
      <c r="BA125" s="12" t="str">
        <f aca="false">IF(A125="","",IF(COUNTIF(Rebar_Schedule!$A$5:$A$2004,A125)=0,"",ROUND(SUMIF(Rebar_Schedule!$A$5:$A$2004,A125,Rebar_Schedule!$K$5:$K$2004),1)))</f>
        <v/>
      </c>
      <c r="BB125" s="33" t="str">
        <f aca="false">IF(A125="","",IF(BA125="","No rebar schedule yet",IF(ABS(BA125-N(AW125))/MAX(N(AW125),1)&gt;SG_Criteria!$B$55,"NOTE: register rebar differs from schedule by "&amp;TEXT(ABS(BA125-N(AW125))/MAX(N(AW125),1),"0%"),"OK")))</f>
        <v/>
      </c>
      <c r="BC125" s="33" t="str">
        <f aca="false">IF(D125="","",IF(LEN(IF(AND(D125&lt;&gt;"High Covered Linkway",G125&lt;SG_Criteria!$B$46),"FAIL: headroom below "&amp;SG_Criteria!$B$46&amp;" m. ","")&amp;IF(AND(D125="High Covered Linkway",G125&lt;SG_Criteria!$B$47),"FAIL: high linkway headroom below "&amp;SG_Criteria!$B$47&amp;" m. ","")&amp;IF(F125&lt;SG_Criteria!$B$48,"FAIL: roof width below "&amp;SG_Criteria!$B$48&amp;" m. ",IF(F125&lt;SG_Criteria!$B$49,"NOTE: not for MRT/LRT or high-traffic routes (min "&amp;SG_Criteria!$B$49&amp;" m). ",""))&amp;IF(AND(W125&lt;&gt;"",W125&lt;SG_Criteria!$B$50),"FAIL: wind speed below "&amp;SG_Criteria!$B$50&amp;" m/s. ","")&amp;IF(AND(X125&lt;&gt;"",X125&lt;SG_Criteria!$B$51),"FAIL: roof fixing pull-out below "&amp;SG_Criteria!$B$51&amp;" kN. ","")&amp;IF(AND(Y125&lt;&gt;"",IFERROR(VALUE(MID(Y125,2,2)),0)&lt;SG_Criteria!$B$52),"FAIL: grade below C"&amp;SG_Criteria!$B$52&amp;". ","")&amp;IF(E125="Non-standard (project design)","NOTE: not an SDRE standard, needs LTA acceptance. ",""))=0,"OK",IF(AND(D125&lt;&gt;"High Covered Linkway",G125&lt;SG_Criteria!$B$46),"FAIL: headroom below "&amp;SG_Criteria!$B$46&amp;" m. ","")&amp;IF(AND(D125="High Covered Linkway",G125&lt;SG_Criteria!$B$47),"FAIL: high linkway headroom below "&amp;SG_Criteria!$B$47&amp;" m. ","")&amp;IF(F125&lt;SG_Criteria!$B$48,"FAIL: roof width below "&amp;SG_Criteria!$B$48&amp;" m. ",IF(F125&lt;SG_Criteria!$B$49,"NOTE: not for MRT/LRT or high-traffic routes (min "&amp;SG_Criteria!$B$49&amp;" m). ",""))&amp;IF(AND(W125&lt;&gt;"",W125&lt;SG_Criteria!$B$50),"FAIL: wind speed below "&amp;SG_Criteria!$B$50&amp;" m/s. ","")&amp;IF(AND(X125&lt;&gt;"",X125&lt;SG_Criteria!$B$51),"FAIL: roof fixing pull-out below "&amp;SG_Criteria!$B$51&amp;" kN. ","")&amp;IF(AND(Y125&lt;&gt;"",IFERROR(VALUE(MID(Y125,2,2)),0)&lt;SG_Criteria!$B$52),"FAIL: grade below C"&amp;SG_Criteria!$B$52&amp;". ","")&amp;IF(E125="Non-standard (project design)","NOTE: not an SDRE standard, needs LTA acceptance. ","")))</f>
        <v/>
      </c>
      <c r="BD125" s="9"/>
      <c r="BE125" s="9"/>
      <c r="BF125" s="9"/>
      <c r="BG125" s="10" t="str">
        <f aca="false">IF(BF125="","",IFERROR(VLOOKUP(BF125,Projects!$A$5:$D$504,2,0),"Ref not in Projects"))</f>
        <v/>
      </c>
      <c r="BH125" s="10" t="str">
        <f aca="false">IF(BF125="","",IFERROR(VLOOKUP(BF125,Projects!$A$5:$D$504,4,0),"Ref not in Projects"))</f>
        <v/>
      </c>
      <c r="BI125" s="9"/>
      <c r="BJ125" s="9"/>
      <c r="BK125" s="9"/>
      <c r="BL125" s="40"/>
      <c r="BM125" s="9"/>
      <c r="BN125" s="40"/>
      <c r="BO125" s="9"/>
      <c r="BP125" s="40"/>
      <c r="BQ125" s="9"/>
      <c r="BR125" s="9"/>
      <c r="BS125" s="9"/>
      <c r="BT125" s="40"/>
      <c r="BU125" s="40"/>
      <c r="BV125" s="36" t="str">
        <f aca="false">IF(BU125="","",EDATE(BU125,SG_Criteria!$B$54*12))</f>
        <v/>
      </c>
      <c r="BW125" s="33" t="str">
        <f aca="true">IF(A125="","",IF(BU125="","NOTE: not reviewed yet",IF(TODAY()&gt;BV125,"NOTE: review overdue","OK")))</f>
        <v/>
      </c>
      <c r="BX125" s="37" t="str">
        <f aca="false">IF(A125="","",ROUND((IF(LEN(D125)&gt;0,1,0)+IF(LEN(E125)&gt;0,1,0)+IF(LEN(F125)&gt;0,1,0)+IF(LEN(G125)&gt;0,1,0)+IF(LEN(H125)&gt;0,1,0)+IF(LEN(I125)&gt;0,1,0)+IF(LEN(J125)&gt;0,1,0)+IF(LEN(K125)&gt;0,1,0)+IF(LEN(N125)&gt;0,1,0)+IF(LEN(O125)&gt;0,1,0)+IF(LEN(W125)&gt;0,1,0)+IF(LEN(X125)&gt;0,1,0)+IF(LEN(Y125)&gt;0,1,0)+IF(LEN(AG125)&gt;0,1,0)+IF(LEN(AI125)&gt;0,1,0)+IF(LEN(AJ125)&gt;0,1,0)+IF(LEN(AK125)&gt;0,1,0)+IF(LEN(AL125)&gt;0,1,0)+IF(LEN(AU125)&gt;0,1,0)+IF(LEN(BF125)&gt;0,1,0)+IF(LEN(BS125)&gt;0,1,0))/21,2))</f>
        <v/>
      </c>
      <c r="BY125" s="10" t="str">
        <f aca="false">IF(D125="","",IF(AND(AJ125="Approved",ISERROR(SEARCH("FAIL",BC125))),"Y","N"))</f>
        <v/>
      </c>
      <c r="BZ125" s="10" t="str">
        <f aca="false">IF(D125="","",D125&amp;"|"&amp;F125&amp;"|"&amp;G125&amp;"|"&amp;BY125)</f>
        <v/>
      </c>
    </row>
    <row r="126" customFormat="false" ht="15" hidden="false" customHeight="false" outlineLevel="0" collapsed="false">
      <c r="A126" s="10" t="str">
        <f aca="false">IF(D126="","","LKW-"&amp;IFERROR(VLOOKUP(D126,Lists!$AQ$4:$AR$17,2,0),"??")&amp;"-W"&amp;TEXT(F126*1000,"0000")&amp;"-H"&amp;TEXT(G126*1000,"0000")&amp;"-B"&amp;TEXT(H126*1000,"0000")&amp;"-"&amp;AI126)</f>
        <v/>
      </c>
      <c r="B126" s="10" t="str">
        <f aca="false">IF(D126="","",D126&amp;", "&amp;F126&amp;" m wide, "&amp;G126&amp;" m headroom, "&amp;H126&amp;" m bays, "&amp;I126&amp;" ("&amp;E126&amp;")")</f>
        <v/>
      </c>
      <c r="C126" s="9"/>
      <c r="D126" s="9"/>
      <c r="E126" s="9"/>
      <c r="F126" s="42"/>
      <c r="G126" s="42"/>
      <c r="H126" s="42"/>
      <c r="I126" s="9"/>
      <c r="J126" s="9"/>
      <c r="K126" s="9"/>
      <c r="L126" s="9"/>
      <c r="M126" s="9"/>
      <c r="N126" s="9"/>
      <c r="O126" s="9"/>
      <c r="P126" s="9"/>
      <c r="Q126" s="9"/>
      <c r="R126" s="9"/>
      <c r="S126" s="42"/>
      <c r="T126" s="9"/>
      <c r="U126" s="9"/>
      <c r="V126" s="9"/>
      <c r="W126" s="38"/>
      <c r="X126" s="42"/>
      <c r="Y126" s="9"/>
      <c r="Z126" s="9"/>
      <c r="AA126" s="9"/>
      <c r="AB126" s="42"/>
      <c r="AC126" s="9"/>
      <c r="AD126" s="38"/>
      <c r="AE126" s="9"/>
      <c r="AF126" s="39"/>
      <c r="AG126" s="9"/>
      <c r="AH126" s="9"/>
      <c r="AI126" s="9"/>
      <c r="AJ126" s="9"/>
      <c r="AK126" s="9"/>
      <c r="AL126" s="9"/>
      <c r="AM126" s="9"/>
      <c r="AN126" s="10" t="str">
        <f aca="false">IF(A126="","",SG_Criteria!$B$6&amp;SG_Criteria!$B$12&amp;"\"&amp;A126&amp;"\")</f>
        <v/>
      </c>
      <c r="AO126" s="10" t="str">
        <f aca="false">IF(A126="","",A126&amp;"_CAD.dwg")</f>
        <v/>
      </c>
      <c r="AP126" s="10" t="str">
        <f aca="false">IF(A126="","",A126&amp;"_DWG.pdf")</f>
        <v/>
      </c>
      <c r="AQ126" s="10" t="str">
        <f aca="false">IF(A126="","",IF(AM126="Y",A126&amp;"_STAAD.std","n/a"))</f>
        <v/>
      </c>
      <c r="AR126" s="10" t="str">
        <f aca="false">IF(A126="","",A126&amp;"_CALC.xlsx")</f>
        <v/>
      </c>
      <c r="AS126" s="10" t="str">
        <f aca="false">IF(A126="","",A126&amp;"_CALC.pdf")</f>
        <v/>
      </c>
      <c r="AT126" s="9"/>
      <c r="AU126" s="9"/>
      <c r="AV126" s="39"/>
      <c r="AW126" s="39"/>
      <c r="AX126" s="39"/>
      <c r="AY126" s="39"/>
      <c r="AZ126" s="39"/>
      <c r="BA126" s="12" t="str">
        <f aca="false">IF(A126="","",IF(COUNTIF(Rebar_Schedule!$A$5:$A$2004,A126)=0,"",ROUND(SUMIF(Rebar_Schedule!$A$5:$A$2004,A126,Rebar_Schedule!$K$5:$K$2004),1)))</f>
        <v/>
      </c>
      <c r="BB126" s="33" t="str">
        <f aca="false">IF(A126="","",IF(BA126="","No rebar schedule yet",IF(ABS(BA126-N(AW126))/MAX(N(AW126),1)&gt;SG_Criteria!$B$55,"NOTE: register rebar differs from schedule by "&amp;TEXT(ABS(BA126-N(AW126))/MAX(N(AW126),1),"0%"),"OK")))</f>
        <v/>
      </c>
      <c r="BC126" s="33" t="str">
        <f aca="false">IF(D126="","",IF(LEN(IF(AND(D126&lt;&gt;"High Covered Linkway",G126&lt;SG_Criteria!$B$46),"FAIL: headroom below "&amp;SG_Criteria!$B$46&amp;" m. ","")&amp;IF(AND(D126="High Covered Linkway",G126&lt;SG_Criteria!$B$47),"FAIL: high linkway headroom below "&amp;SG_Criteria!$B$47&amp;" m. ","")&amp;IF(F126&lt;SG_Criteria!$B$48,"FAIL: roof width below "&amp;SG_Criteria!$B$48&amp;" m. ",IF(F126&lt;SG_Criteria!$B$49,"NOTE: not for MRT/LRT or high-traffic routes (min "&amp;SG_Criteria!$B$49&amp;" m). ",""))&amp;IF(AND(W126&lt;&gt;"",W126&lt;SG_Criteria!$B$50),"FAIL: wind speed below "&amp;SG_Criteria!$B$50&amp;" m/s. ","")&amp;IF(AND(X126&lt;&gt;"",X126&lt;SG_Criteria!$B$51),"FAIL: roof fixing pull-out below "&amp;SG_Criteria!$B$51&amp;" kN. ","")&amp;IF(AND(Y126&lt;&gt;"",IFERROR(VALUE(MID(Y126,2,2)),0)&lt;SG_Criteria!$B$52),"FAIL: grade below C"&amp;SG_Criteria!$B$52&amp;". ","")&amp;IF(E126="Non-standard (project design)","NOTE: not an SDRE standard, needs LTA acceptance. ",""))=0,"OK",IF(AND(D126&lt;&gt;"High Covered Linkway",G126&lt;SG_Criteria!$B$46),"FAIL: headroom below "&amp;SG_Criteria!$B$46&amp;" m. ","")&amp;IF(AND(D126="High Covered Linkway",G126&lt;SG_Criteria!$B$47),"FAIL: high linkway headroom below "&amp;SG_Criteria!$B$47&amp;" m. ","")&amp;IF(F126&lt;SG_Criteria!$B$48,"FAIL: roof width below "&amp;SG_Criteria!$B$48&amp;" m. ",IF(F126&lt;SG_Criteria!$B$49,"NOTE: not for MRT/LRT or high-traffic routes (min "&amp;SG_Criteria!$B$49&amp;" m). ",""))&amp;IF(AND(W126&lt;&gt;"",W126&lt;SG_Criteria!$B$50),"FAIL: wind speed below "&amp;SG_Criteria!$B$50&amp;" m/s. ","")&amp;IF(AND(X126&lt;&gt;"",X126&lt;SG_Criteria!$B$51),"FAIL: roof fixing pull-out below "&amp;SG_Criteria!$B$51&amp;" kN. ","")&amp;IF(AND(Y126&lt;&gt;"",IFERROR(VALUE(MID(Y126,2,2)),0)&lt;SG_Criteria!$B$52),"FAIL: grade below C"&amp;SG_Criteria!$B$52&amp;". ","")&amp;IF(E126="Non-standard (project design)","NOTE: not an SDRE standard, needs LTA acceptance. ","")))</f>
        <v/>
      </c>
      <c r="BD126" s="9"/>
      <c r="BE126" s="9"/>
      <c r="BF126" s="9"/>
      <c r="BG126" s="10" t="str">
        <f aca="false">IF(BF126="","",IFERROR(VLOOKUP(BF126,Projects!$A$5:$D$504,2,0),"Ref not in Projects"))</f>
        <v/>
      </c>
      <c r="BH126" s="10" t="str">
        <f aca="false">IF(BF126="","",IFERROR(VLOOKUP(BF126,Projects!$A$5:$D$504,4,0),"Ref not in Projects"))</f>
        <v/>
      </c>
      <c r="BI126" s="9"/>
      <c r="BJ126" s="9"/>
      <c r="BK126" s="9"/>
      <c r="BL126" s="40"/>
      <c r="BM126" s="9"/>
      <c r="BN126" s="40"/>
      <c r="BO126" s="9"/>
      <c r="BP126" s="40"/>
      <c r="BQ126" s="9"/>
      <c r="BR126" s="9"/>
      <c r="BS126" s="9"/>
      <c r="BT126" s="40"/>
      <c r="BU126" s="40"/>
      <c r="BV126" s="36" t="str">
        <f aca="false">IF(BU126="","",EDATE(BU126,SG_Criteria!$B$54*12))</f>
        <v/>
      </c>
      <c r="BW126" s="33" t="str">
        <f aca="true">IF(A126="","",IF(BU126="","NOTE: not reviewed yet",IF(TODAY()&gt;BV126,"NOTE: review overdue","OK")))</f>
        <v/>
      </c>
      <c r="BX126" s="37" t="str">
        <f aca="false">IF(A126="","",ROUND((IF(LEN(D126)&gt;0,1,0)+IF(LEN(E126)&gt;0,1,0)+IF(LEN(F126)&gt;0,1,0)+IF(LEN(G126)&gt;0,1,0)+IF(LEN(H126)&gt;0,1,0)+IF(LEN(I126)&gt;0,1,0)+IF(LEN(J126)&gt;0,1,0)+IF(LEN(K126)&gt;0,1,0)+IF(LEN(N126)&gt;0,1,0)+IF(LEN(O126)&gt;0,1,0)+IF(LEN(W126)&gt;0,1,0)+IF(LEN(X126)&gt;0,1,0)+IF(LEN(Y126)&gt;0,1,0)+IF(LEN(AG126)&gt;0,1,0)+IF(LEN(AI126)&gt;0,1,0)+IF(LEN(AJ126)&gt;0,1,0)+IF(LEN(AK126)&gt;0,1,0)+IF(LEN(AL126)&gt;0,1,0)+IF(LEN(AU126)&gt;0,1,0)+IF(LEN(BF126)&gt;0,1,0)+IF(LEN(BS126)&gt;0,1,0))/21,2))</f>
        <v/>
      </c>
      <c r="BY126" s="10" t="str">
        <f aca="false">IF(D126="","",IF(AND(AJ126="Approved",ISERROR(SEARCH("FAIL",BC126))),"Y","N"))</f>
        <v/>
      </c>
      <c r="BZ126" s="10" t="str">
        <f aca="false">IF(D126="","",D126&amp;"|"&amp;F126&amp;"|"&amp;G126&amp;"|"&amp;BY126)</f>
        <v/>
      </c>
    </row>
    <row r="127" customFormat="false" ht="15" hidden="false" customHeight="false" outlineLevel="0" collapsed="false">
      <c r="A127" s="10" t="str">
        <f aca="false">IF(D127="","","LKW-"&amp;IFERROR(VLOOKUP(D127,Lists!$AQ$4:$AR$17,2,0),"??")&amp;"-W"&amp;TEXT(F127*1000,"0000")&amp;"-H"&amp;TEXT(G127*1000,"0000")&amp;"-B"&amp;TEXT(H127*1000,"0000")&amp;"-"&amp;AI127)</f>
        <v/>
      </c>
      <c r="B127" s="10" t="str">
        <f aca="false">IF(D127="","",D127&amp;", "&amp;F127&amp;" m wide, "&amp;G127&amp;" m headroom, "&amp;H127&amp;" m bays, "&amp;I127&amp;" ("&amp;E127&amp;")")</f>
        <v/>
      </c>
      <c r="C127" s="9"/>
      <c r="D127" s="9"/>
      <c r="E127" s="9"/>
      <c r="F127" s="42"/>
      <c r="G127" s="42"/>
      <c r="H127" s="42"/>
      <c r="I127" s="9"/>
      <c r="J127" s="9"/>
      <c r="K127" s="9"/>
      <c r="L127" s="9"/>
      <c r="M127" s="9"/>
      <c r="N127" s="9"/>
      <c r="O127" s="9"/>
      <c r="P127" s="9"/>
      <c r="Q127" s="9"/>
      <c r="R127" s="9"/>
      <c r="S127" s="42"/>
      <c r="T127" s="9"/>
      <c r="U127" s="9"/>
      <c r="V127" s="9"/>
      <c r="W127" s="38"/>
      <c r="X127" s="42"/>
      <c r="Y127" s="9"/>
      <c r="Z127" s="9"/>
      <c r="AA127" s="9"/>
      <c r="AB127" s="42"/>
      <c r="AC127" s="9"/>
      <c r="AD127" s="38"/>
      <c r="AE127" s="9"/>
      <c r="AF127" s="39"/>
      <c r="AG127" s="9"/>
      <c r="AH127" s="9"/>
      <c r="AI127" s="9"/>
      <c r="AJ127" s="9"/>
      <c r="AK127" s="9"/>
      <c r="AL127" s="9"/>
      <c r="AM127" s="9"/>
      <c r="AN127" s="10" t="str">
        <f aca="false">IF(A127="","",SG_Criteria!$B$6&amp;SG_Criteria!$B$12&amp;"\"&amp;A127&amp;"\")</f>
        <v/>
      </c>
      <c r="AO127" s="10" t="str">
        <f aca="false">IF(A127="","",A127&amp;"_CAD.dwg")</f>
        <v/>
      </c>
      <c r="AP127" s="10" t="str">
        <f aca="false">IF(A127="","",A127&amp;"_DWG.pdf")</f>
        <v/>
      </c>
      <c r="AQ127" s="10" t="str">
        <f aca="false">IF(A127="","",IF(AM127="Y",A127&amp;"_STAAD.std","n/a"))</f>
        <v/>
      </c>
      <c r="AR127" s="10" t="str">
        <f aca="false">IF(A127="","",A127&amp;"_CALC.xlsx")</f>
        <v/>
      </c>
      <c r="AS127" s="10" t="str">
        <f aca="false">IF(A127="","",A127&amp;"_CALC.pdf")</f>
        <v/>
      </c>
      <c r="AT127" s="9"/>
      <c r="AU127" s="9"/>
      <c r="AV127" s="39"/>
      <c r="AW127" s="39"/>
      <c r="AX127" s="39"/>
      <c r="AY127" s="39"/>
      <c r="AZ127" s="39"/>
      <c r="BA127" s="12" t="str">
        <f aca="false">IF(A127="","",IF(COUNTIF(Rebar_Schedule!$A$5:$A$2004,A127)=0,"",ROUND(SUMIF(Rebar_Schedule!$A$5:$A$2004,A127,Rebar_Schedule!$K$5:$K$2004),1)))</f>
        <v/>
      </c>
      <c r="BB127" s="33" t="str">
        <f aca="false">IF(A127="","",IF(BA127="","No rebar schedule yet",IF(ABS(BA127-N(AW127))/MAX(N(AW127),1)&gt;SG_Criteria!$B$55,"NOTE: register rebar differs from schedule by "&amp;TEXT(ABS(BA127-N(AW127))/MAX(N(AW127),1),"0%"),"OK")))</f>
        <v/>
      </c>
      <c r="BC127" s="33" t="str">
        <f aca="false">IF(D127="","",IF(LEN(IF(AND(D127&lt;&gt;"High Covered Linkway",G127&lt;SG_Criteria!$B$46),"FAIL: headroom below "&amp;SG_Criteria!$B$46&amp;" m. ","")&amp;IF(AND(D127="High Covered Linkway",G127&lt;SG_Criteria!$B$47),"FAIL: high linkway headroom below "&amp;SG_Criteria!$B$47&amp;" m. ","")&amp;IF(F127&lt;SG_Criteria!$B$48,"FAIL: roof width below "&amp;SG_Criteria!$B$48&amp;" m. ",IF(F127&lt;SG_Criteria!$B$49,"NOTE: not for MRT/LRT or high-traffic routes (min "&amp;SG_Criteria!$B$49&amp;" m). ",""))&amp;IF(AND(W127&lt;&gt;"",W127&lt;SG_Criteria!$B$50),"FAIL: wind speed below "&amp;SG_Criteria!$B$50&amp;" m/s. ","")&amp;IF(AND(X127&lt;&gt;"",X127&lt;SG_Criteria!$B$51),"FAIL: roof fixing pull-out below "&amp;SG_Criteria!$B$51&amp;" kN. ","")&amp;IF(AND(Y127&lt;&gt;"",IFERROR(VALUE(MID(Y127,2,2)),0)&lt;SG_Criteria!$B$52),"FAIL: grade below C"&amp;SG_Criteria!$B$52&amp;". ","")&amp;IF(E127="Non-standard (project design)","NOTE: not an SDRE standard, needs LTA acceptance. ",""))=0,"OK",IF(AND(D127&lt;&gt;"High Covered Linkway",G127&lt;SG_Criteria!$B$46),"FAIL: headroom below "&amp;SG_Criteria!$B$46&amp;" m. ","")&amp;IF(AND(D127="High Covered Linkway",G127&lt;SG_Criteria!$B$47),"FAIL: high linkway headroom below "&amp;SG_Criteria!$B$47&amp;" m. ","")&amp;IF(F127&lt;SG_Criteria!$B$48,"FAIL: roof width below "&amp;SG_Criteria!$B$48&amp;" m. ",IF(F127&lt;SG_Criteria!$B$49,"NOTE: not for MRT/LRT or high-traffic routes (min "&amp;SG_Criteria!$B$49&amp;" m). ",""))&amp;IF(AND(W127&lt;&gt;"",W127&lt;SG_Criteria!$B$50),"FAIL: wind speed below "&amp;SG_Criteria!$B$50&amp;" m/s. ","")&amp;IF(AND(X127&lt;&gt;"",X127&lt;SG_Criteria!$B$51),"FAIL: roof fixing pull-out below "&amp;SG_Criteria!$B$51&amp;" kN. ","")&amp;IF(AND(Y127&lt;&gt;"",IFERROR(VALUE(MID(Y127,2,2)),0)&lt;SG_Criteria!$B$52),"FAIL: grade below C"&amp;SG_Criteria!$B$52&amp;". ","")&amp;IF(E127="Non-standard (project design)","NOTE: not an SDRE standard, needs LTA acceptance. ","")))</f>
        <v/>
      </c>
      <c r="BD127" s="9"/>
      <c r="BE127" s="9"/>
      <c r="BF127" s="9"/>
      <c r="BG127" s="10" t="str">
        <f aca="false">IF(BF127="","",IFERROR(VLOOKUP(BF127,Projects!$A$5:$D$504,2,0),"Ref not in Projects"))</f>
        <v/>
      </c>
      <c r="BH127" s="10" t="str">
        <f aca="false">IF(BF127="","",IFERROR(VLOOKUP(BF127,Projects!$A$5:$D$504,4,0),"Ref not in Projects"))</f>
        <v/>
      </c>
      <c r="BI127" s="9"/>
      <c r="BJ127" s="9"/>
      <c r="BK127" s="9"/>
      <c r="BL127" s="40"/>
      <c r="BM127" s="9"/>
      <c r="BN127" s="40"/>
      <c r="BO127" s="9"/>
      <c r="BP127" s="40"/>
      <c r="BQ127" s="9"/>
      <c r="BR127" s="9"/>
      <c r="BS127" s="9"/>
      <c r="BT127" s="40"/>
      <c r="BU127" s="40"/>
      <c r="BV127" s="36" t="str">
        <f aca="false">IF(BU127="","",EDATE(BU127,SG_Criteria!$B$54*12))</f>
        <v/>
      </c>
      <c r="BW127" s="33" t="str">
        <f aca="true">IF(A127="","",IF(BU127="","NOTE: not reviewed yet",IF(TODAY()&gt;BV127,"NOTE: review overdue","OK")))</f>
        <v/>
      </c>
      <c r="BX127" s="37" t="str">
        <f aca="false">IF(A127="","",ROUND((IF(LEN(D127)&gt;0,1,0)+IF(LEN(E127)&gt;0,1,0)+IF(LEN(F127)&gt;0,1,0)+IF(LEN(G127)&gt;0,1,0)+IF(LEN(H127)&gt;0,1,0)+IF(LEN(I127)&gt;0,1,0)+IF(LEN(J127)&gt;0,1,0)+IF(LEN(K127)&gt;0,1,0)+IF(LEN(N127)&gt;0,1,0)+IF(LEN(O127)&gt;0,1,0)+IF(LEN(W127)&gt;0,1,0)+IF(LEN(X127)&gt;0,1,0)+IF(LEN(Y127)&gt;0,1,0)+IF(LEN(AG127)&gt;0,1,0)+IF(LEN(AI127)&gt;0,1,0)+IF(LEN(AJ127)&gt;0,1,0)+IF(LEN(AK127)&gt;0,1,0)+IF(LEN(AL127)&gt;0,1,0)+IF(LEN(AU127)&gt;0,1,0)+IF(LEN(BF127)&gt;0,1,0)+IF(LEN(BS127)&gt;0,1,0))/21,2))</f>
        <v/>
      </c>
      <c r="BY127" s="10" t="str">
        <f aca="false">IF(D127="","",IF(AND(AJ127="Approved",ISERROR(SEARCH("FAIL",BC127))),"Y","N"))</f>
        <v/>
      </c>
      <c r="BZ127" s="10" t="str">
        <f aca="false">IF(D127="","",D127&amp;"|"&amp;F127&amp;"|"&amp;G127&amp;"|"&amp;BY127)</f>
        <v/>
      </c>
    </row>
    <row r="128" customFormat="false" ht="15" hidden="false" customHeight="false" outlineLevel="0" collapsed="false">
      <c r="A128" s="10" t="str">
        <f aca="false">IF(D128="","","LKW-"&amp;IFERROR(VLOOKUP(D128,Lists!$AQ$4:$AR$17,2,0),"??")&amp;"-W"&amp;TEXT(F128*1000,"0000")&amp;"-H"&amp;TEXT(G128*1000,"0000")&amp;"-B"&amp;TEXT(H128*1000,"0000")&amp;"-"&amp;AI128)</f>
        <v/>
      </c>
      <c r="B128" s="10" t="str">
        <f aca="false">IF(D128="","",D128&amp;", "&amp;F128&amp;" m wide, "&amp;G128&amp;" m headroom, "&amp;H128&amp;" m bays, "&amp;I128&amp;" ("&amp;E128&amp;")")</f>
        <v/>
      </c>
      <c r="C128" s="9"/>
      <c r="D128" s="9"/>
      <c r="E128" s="9"/>
      <c r="F128" s="42"/>
      <c r="G128" s="42"/>
      <c r="H128" s="42"/>
      <c r="I128" s="9"/>
      <c r="J128" s="9"/>
      <c r="K128" s="9"/>
      <c r="L128" s="9"/>
      <c r="M128" s="9"/>
      <c r="N128" s="9"/>
      <c r="O128" s="9"/>
      <c r="P128" s="9"/>
      <c r="Q128" s="9"/>
      <c r="R128" s="9"/>
      <c r="S128" s="42"/>
      <c r="T128" s="9"/>
      <c r="U128" s="9"/>
      <c r="V128" s="9"/>
      <c r="W128" s="38"/>
      <c r="X128" s="42"/>
      <c r="Y128" s="9"/>
      <c r="Z128" s="9"/>
      <c r="AA128" s="9"/>
      <c r="AB128" s="42"/>
      <c r="AC128" s="9"/>
      <c r="AD128" s="38"/>
      <c r="AE128" s="9"/>
      <c r="AF128" s="39"/>
      <c r="AG128" s="9"/>
      <c r="AH128" s="9"/>
      <c r="AI128" s="9"/>
      <c r="AJ128" s="9"/>
      <c r="AK128" s="9"/>
      <c r="AL128" s="9"/>
      <c r="AM128" s="9"/>
      <c r="AN128" s="10" t="str">
        <f aca="false">IF(A128="","",SG_Criteria!$B$6&amp;SG_Criteria!$B$12&amp;"\"&amp;A128&amp;"\")</f>
        <v/>
      </c>
      <c r="AO128" s="10" t="str">
        <f aca="false">IF(A128="","",A128&amp;"_CAD.dwg")</f>
        <v/>
      </c>
      <c r="AP128" s="10" t="str">
        <f aca="false">IF(A128="","",A128&amp;"_DWG.pdf")</f>
        <v/>
      </c>
      <c r="AQ128" s="10" t="str">
        <f aca="false">IF(A128="","",IF(AM128="Y",A128&amp;"_STAAD.std","n/a"))</f>
        <v/>
      </c>
      <c r="AR128" s="10" t="str">
        <f aca="false">IF(A128="","",A128&amp;"_CALC.xlsx")</f>
        <v/>
      </c>
      <c r="AS128" s="10" t="str">
        <f aca="false">IF(A128="","",A128&amp;"_CALC.pdf")</f>
        <v/>
      </c>
      <c r="AT128" s="9"/>
      <c r="AU128" s="9"/>
      <c r="AV128" s="39"/>
      <c r="AW128" s="39"/>
      <c r="AX128" s="39"/>
      <c r="AY128" s="39"/>
      <c r="AZ128" s="39"/>
      <c r="BA128" s="12" t="str">
        <f aca="false">IF(A128="","",IF(COUNTIF(Rebar_Schedule!$A$5:$A$2004,A128)=0,"",ROUND(SUMIF(Rebar_Schedule!$A$5:$A$2004,A128,Rebar_Schedule!$K$5:$K$2004),1)))</f>
        <v/>
      </c>
      <c r="BB128" s="33" t="str">
        <f aca="false">IF(A128="","",IF(BA128="","No rebar schedule yet",IF(ABS(BA128-N(AW128))/MAX(N(AW128),1)&gt;SG_Criteria!$B$55,"NOTE: register rebar differs from schedule by "&amp;TEXT(ABS(BA128-N(AW128))/MAX(N(AW128),1),"0%"),"OK")))</f>
        <v/>
      </c>
      <c r="BC128" s="33" t="str">
        <f aca="false">IF(D128="","",IF(LEN(IF(AND(D128&lt;&gt;"High Covered Linkway",G128&lt;SG_Criteria!$B$46),"FAIL: headroom below "&amp;SG_Criteria!$B$46&amp;" m. ","")&amp;IF(AND(D128="High Covered Linkway",G128&lt;SG_Criteria!$B$47),"FAIL: high linkway headroom below "&amp;SG_Criteria!$B$47&amp;" m. ","")&amp;IF(F128&lt;SG_Criteria!$B$48,"FAIL: roof width below "&amp;SG_Criteria!$B$48&amp;" m. ",IF(F128&lt;SG_Criteria!$B$49,"NOTE: not for MRT/LRT or high-traffic routes (min "&amp;SG_Criteria!$B$49&amp;" m). ",""))&amp;IF(AND(W128&lt;&gt;"",W128&lt;SG_Criteria!$B$50),"FAIL: wind speed below "&amp;SG_Criteria!$B$50&amp;" m/s. ","")&amp;IF(AND(X128&lt;&gt;"",X128&lt;SG_Criteria!$B$51),"FAIL: roof fixing pull-out below "&amp;SG_Criteria!$B$51&amp;" kN. ","")&amp;IF(AND(Y128&lt;&gt;"",IFERROR(VALUE(MID(Y128,2,2)),0)&lt;SG_Criteria!$B$52),"FAIL: grade below C"&amp;SG_Criteria!$B$52&amp;". ","")&amp;IF(E128="Non-standard (project design)","NOTE: not an SDRE standard, needs LTA acceptance. ",""))=0,"OK",IF(AND(D128&lt;&gt;"High Covered Linkway",G128&lt;SG_Criteria!$B$46),"FAIL: headroom below "&amp;SG_Criteria!$B$46&amp;" m. ","")&amp;IF(AND(D128="High Covered Linkway",G128&lt;SG_Criteria!$B$47),"FAIL: high linkway headroom below "&amp;SG_Criteria!$B$47&amp;" m. ","")&amp;IF(F128&lt;SG_Criteria!$B$48,"FAIL: roof width below "&amp;SG_Criteria!$B$48&amp;" m. ",IF(F128&lt;SG_Criteria!$B$49,"NOTE: not for MRT/LRT or high-traffic routes (min "&amp;SG_Criteria!$B$49&amp;" m). ",""))&amp;IF(AND(W128&lt;&gt;"",W128&lt;SG_Criteria!$B$50),"FAIL: wind speed below "&amp;SG_Criteria!$B$50&amp;" m/s. ","")&amp;IF(AND(X128&lt;&gt;"",X128&lt;SG_Criteria!$B$51),"FAIL: roof fixing pull-out below "&amp;SG_Criteria!$B$51&amp;" kN. ","")&amp;IF(AND(Y128&lt;&gt;"",IFERROR(VALUE(MID(Y128,2,2)),0)&lt;SG_Criteria!$B$52),"FAIL: grade below C"&amp;SG_Criteria!$B$52&amp;". ","")&amp;IF(E128="Non-standard (project design)","NOTE: not an SDRE standard, needs LTA acceptance. ","")))</f>
        <v/>
      </c>
      <c r="BD128" s="9"/>
      <c r="BE128" s="9"/>
      <c r="BF128" s="9"/>
      <c r="BG128" s="10" t="str">
        <f aca="false">IF(BF128="","",IFERROR(VLOOKUP(BF128,Projects!$A$5:$D$504,2,0),"Ref not in Projects"))</f>
        <v/>
      </c>
      <c r="BH128" s="10" t="str">
        <f aca="false">IF(BF128="","",IFERROR(VLOOKUP(BF128,Projects!$A$5:$D$504,4,0),"Ref not in Projects"))</f>
        <v/>
      </c>
      <c r="BI128" s="9"/>
      <c r="BJ128" s="9"/>
      <c r="BK128" s="9"/>
      <c r="BL128" s="40"/>
      <c r="BM128" s="9"/>
      <c r="BN128" s="40"/>
      <c r="BO128" s="9"/>
      <c r="BP128" s="40"/>
      <c r="BQ128" s="9"/>
      <c r="BR128" s="9"/>
      <c r="BS128" s="9"/>
      <c r="BT128" s="40"/>
      <c r="BU128" s="40"/>
      <c r="BV128" s="36" t="str">
        <f aca="false">IF(BU128="","",EDATE(BU128,SG_Criteria!$B$54*12))</f>
        <v/>
      </c>
      <c r="BW128" s="33" t="str">
        <f aca="true">IF(A128="","",IF(BU128="","NOTE: not reviewed yet",IF(TODAY()&gt;BV128,"NOTE: review overdue","OK")))</f>
        <v/>
      </c>
      <c r="BX128" s="37" t="str">
        <f aca="false">IF(A128="","",ROUND((IF(LEN(D128)&gt;0,1,0)+IF(LEN(E128)&gt;0,1,0)+IF(LEN(F128)&gt;0,1,0)+IF(LEN(G128)&gt;0,1,0)+IF(LEN(H128)&gt;0,1,0)+IF(LEN(I128)&gt;0,1,0)+IF(LEN(J128)&gt;0,1,0)+IF(LEN(K128)&gt;0,1,0)+IF(LEN(N128)&gt;0,1,0)+IF(LEN(O128)&gt;0,1,0)+IF(LEN(W128)&gt;0,1,0)+IF(LEN(X128)&gt;0,1,0)+IF(LEN(Y128)&gt;0,1,0)+IF(LEN(AG128)&gt;0,1,0)+IF(LEN(AI128)&gt;0,1,0)+IF(LEN(AJ128)&gt;0,1,0)+IF(LEN(AK128)&gt;0,1,0)+IF(LEN(AL128)&gt;0,1,0)+IF(LEN(AU128)&gt;0,1,0)+IF(LEN(BF128)&gt;0,1,0)+IF(LEN(BS128)&gt;0,1,0))/21,2))</f>
        <v/>
      </c>
      <c r="BY128" s="10" t="str">
        <f aca="false">IF(D128="","",IF(AND(AJ128="Approved",ISERROR(SEARCH("FAIL",BC128))),"Y","N"))</f>
        <v/>
      </c>
      <c r="BZ128" s="10" t="str">
        <f aca="false">IF(D128="","",D128&amp;"|"&amp;F128&amp;"|"&amp;G128&amp;"|"&amp;BY128)</f>
        <v/>
      </c>
    </row>
    <row r="129" customFormat="false" ht="15" hidden="false" customHeight="false" outlineLevel="0" collapsed="false">
      <c r="A129" s="10" t="str">
        <f aca="false">IF(D129="","","LKW-"&amp;IFERROR(VLOOKUP(D129,Lists!$AQ$4:$AR$17,2,0),"??")&amp;"-W"&amp;TEXT(F129*1000,"0000")&amp;"-H"&amp;TEXT(G129*1000,"0000")&amp;"-B"&amp;TEXT(H129*1000,"0000")&amp;"-"&amp;AI129)</f>
        <v/>
      </c>
      <c r="B129" s="10" t="str">
        <f aca="false">IF(D129="","",D129&amp;", "&amp;F129&amp;" m wide, "&amp;G129&amp;" m headroom, "&amp;H129&amp;" m bays, "&amp;I129&amp;" ("&amp;E129&amp;")")</f>
        <v/>
      </c>
      <c r="C129" s="9"/>
      <c r="D129" s="9"/>
      <c r="E129" s="9"/>
      <c r="F129" s="42"/>
      <c r="G129" s="42"/>
      <c r="H129" s="42"/>
      <c r="I129" s="9"/>
      <c r="J129" s="9"/>
      <c r="K129" s="9"/>
      <c r="L129" s="9"/>
      <c r="M129" s="9"/>
      <c r="N129" s="9"/>
      <c r="O129" s="9"/>
      <c r="P129" s="9"/>
      <c r="Q129" s="9"/>
      <c r="R129" s="9"/>
      <c r="S129" s="42"/>
      <c r="T129" s="9"/>
      <c r="U129" s="9"/>
      <c r="V129" s="9"/>
      <c r="W129" s="38"/>
      <c r="X129" s="42"/>
      <c r="Y129" s="9"/>
      <c r="Z129" s="9"/>
      <c r="AA129" s="9"/>
      <c r="AB129" s="42"/>
      <c r="AC129" s="9"/>
      <c r="AD129" s="38"/>
      <c r="AE129" s="9"/>
      <c r="AF129" s="39"/>
      <c r="AG129" s="9"/>
      <c r="AH129" s="9"/>
      <c r="AI129" s="9"/>
      <c r="AJ129" s="9"/>
      <c r="AK129" s="9"/>
      <c r="AL129" s="9"/>
      <c r="AM129" s="9"/>
      <c r="AN129" s="10" t="str">
        <f aca="false">IF(A129="","",SG_Criteria!$B$6&amp;SG_Criteria!$B$12&amp;"\"&amp;A129&amp;"\")</f>
        <v/>
      </c>
      <c r="AO129" s="10" t="str">
        <f aca="false">IF(A129="","",A129&amp;"_CAD.dwg")</f>
        <v/>
      </c>
      <c r="AP129" s="10" t="str">
        <f aca="false">IF(A129="","",A129&amp;"_DWG.pdf")</f>
        <v/>
      </c>
      <c r="AQ129" s="10" t="str">
        <f aca="false">IF(A129="","",IF(AM129="Y",A129&amp;"_STAAD.std","n/a"))</f>
        <v/>
      </c>
      <c r="AR129" s="10" t="str">
        <f aca="false">IF(A129="","",A129&amp;"_CALC.xlsx")</f>
        <v/>
      </c>
      <c r="AS129" s="10" t="str">
        <f aca="false">IF(A129="","",A129&amp;"_CALC.pdf")</f>
        <v/>
      </c>
      <c r="AT129" s="9"/>
      <c r="AU129" s="9"/>
      <c r="AV129" s="39"/>
      <c r="AW129" s="39"/>
      <c r="AX129" s="39"/>
      <c r="AY129" s="39"/>
      <c r="AZ129" s="39"/>
      <c r="BA129" s="12" t="str">
        <f aca="false">IF(A129="","",IF(COUNTIF(Rebar_Schedule!$A$5:$A$2004,A129)=0,"",ROUND(SUMIF(Rebar_Schedule!$A$5:$A$2004,A129,Rebar_Schedule!$K$5:$K$2004),1)))</f>
        <v/>
      </c>
      <c r="BB129" s="33" t="str">
        <f aca="false">IF(A129="","",IF(BA129="","No rebar schedule yet",IF(ABS(BA129-N(AW129))/MAX(N(AW129),1)&gt;SG_Criteria!$B$55,"NOTE: register rebar differs from schedule by "&amp;TEXT(ABS(BA129-N(AW129))/MAX(N(AW129),1),"0%"),"OK")))</f>
        <v/>
      </c>
      <c r="BC129" s="33" t="str">
        <f aca="false">IF(D129="","",IF(LEN(IF(AND(D129&lt;&gt;"High Covered Linkway",G129&lt;SG_Criteria!$B$46),"FAIL: headroom below "&amp;SG_Criteria!$B$46&amp;" m. ","")&amp;IF(AND(D129="High Covered Linkway",G129&lt;SG_Criteria!$B$47),"FAIL: high linkway headroom below "&amp;SG_Criteria!$B$47&amp;" m. ","")&amp;IF(F129&lt;SG_Criteria!$B$48,"FAIL: roof width below "&amp;SG_Criteria!$B$48&amp;" m. ",IF(F129&lt;SG_Criteria!$B$49,"NOTE: not for MRT/LRT or high-traffic routes (min "&amp;SG_Criteria!$B$49&amp;" m). ",""))&amp;IF(AND(W129&lt;&gt;"",W129&lt;SG_Criteria!$B$50),"FAIL: wind speed below "&amp;SG_Criteria!$B$50&amp;" m/s. ","")&amp;IF(AND(X129&lt;&gt;"",X129&lt;SG_Criteria!$B$51),"FAIL: roof fixing pull-out below "&amp;SG_Criteria!$B$51&amp;" kN. ","")&amp;IF(AND(Y129&lt;&gt;"",IFERROR(VALUE(MID(Y129,2,2)),0)&lt;SG_Criteria!$B$52),"FAIL: grade below C"&amp;SG_Criteria!$B$52&amp;". ","")&amp;IF(E129="Non-standard (project design)","NOTE: not an SDRE standard, needs LTA acceptance. ",""))=0,"OK",IF(AND(D129&lt;&gt;"High Covered Linkway",G129&lt;SG_Criteria!$B$46),"FAIL: headroom below "&amp;SG_Criteria!$B$46&amp;" m. ","")&amp;IF(AND(D129="High Covered Linkway",G129&lt;SG_Criteria!$B$47),"FAIL: high linkway headroom below "&amp;SG_Criteria!$B$47&amp;" m. ","")&amp;IF(F129&lt;SG_Criteria!$B$48,"FAIL: roof width below "&amp;SG_Criteria!$B$48&amp;" m. ",IF(F129&lt;SG_Criteria!$B$49,"NOTE: not for MRT/LRT or high-traffic routes (min "&amp;SG_Criteria!$B$49&amp;" m). ",""))&amp;IF(AND(W129&lt;&gt;"",W129&lt;SG_Criteria!$B$50),"FAIL: wind speed below "&amp;SG_Criteria!$B$50&amp;" m/s. ","")&amp;IF(AND(X129&lt;&gt;"",X129&lt;SG_Criteria!$B$51),"FAIL: roof fixing pull-out below "&amp;SG_Criteria!$B$51&amp;" kN. ","")&amp;IF(AND(Y129&lt;&gt;"",IFERROR(VALUE(MID(Y129,2,2)),0)&lt;SG_Criteria!$B$52),"FAIL: grade below C"&amp;SG_Criteria!$B$52&amp;". ","")&amp;IF(E129="Non-standard (project design)","NOTE: not an SDRE standard, needs LTA acceptance. ","")))</f>
        <v/>
      </c>
      <c r="BD129" s="9"/>
      <c r="BE129" s="9"/>
      <c r="BF129" s="9"/>
      <c r="BG129" s="10" t="str">
        <f aca="false">IF(BF129="","",IFERROR(VLOOKUP(BF129,Projects!$A$5:$D$504,2,0),"Ref not in Projects"))</f>
        <v/>
      </c>
      <c r="BH129" s="10" t="str">
        <f aca="false">IF(BF129="","",IFERROR(VLOOKUP(BF129,Projects!$A$5:$D$504,4,0),"Ref not in Projects"))</f>
        <v/>
      </c>
      <c r="BI129" s="9"/>
      <c r="BJ129" s="9"/>
      <c r="BK129" s="9"/>
      <c r="BL129" s="40"/>
      <c r="BM129" s="9"/>
      <c r="BN129" s="40"/>
      <c r="BO129" s="9"/>
      <c r="BP129" s="40"/>
      <c r="BQ129" s="9"/>
      <c r="BR129" s="9"/>
      <c r="BS129" s="9"/>
      <c r="BT129" s="40"/>
      <c r="BU129" s="40"/>
      <c r="BV129" s="36" t="str">
        <f aca="false">IF(BU129="","",EDATE(BU129,SG_Criteria!$B$54*12))</f>
        <v/>
      </c>
      <c r="BW129" s="33" t="str">
        <f aca="true">IF(A129="","",IF(BU129="","NOTE: not reviewed yet",IF(TODAY()&gt;BV129,"NOTE: review overdue","OK")))</f>
        <v/>
      </c>
      <c r="BX129" s="37" t="str">
        <f aca="false">IF(A129="","",ROUND((IF(LEN(D129)&gt;0,1,0)+IF(LEN(E129)&gt;0,1,0)+IF(LEN(F129)&gt;0,1,0)+IF(LEN(G129)&gt;0,1,0)+IF(LEN(H129)&gt;0,1,0)+IF(LEN(I129)&gt;0,1,0)+IF(LEN(J129)&gt;0,1,0)+IF(LEN(K129)&gt;0,1,0)+IF(LEN(N129)&gt;0,1,0)+IF(LEN(O129)&gt;0,1,0)+IF(LEN(W129)&gt;0,1,0)+IF(LEN(X129)&gt;0,1,0)+IF(LEN(Y129)&gt;0,1,0)+IF(LEN(AG129)&gt;0,1,0)+IF(LEN(AI129)&gt;0,1,0)+IF(LEN(AJ129)&gt;0,1,0)+IF(LEN(AK129)&gt;0,1,0)+IF(LEN(AL129)&gt;0,1,0)+IF(LEN(AU129)&gt;0,1,0)+IF(LEN(BF129)&gt;0,1,0)+IF(LEN(BS129)&gt;0,1,0))/21,2))</f>
        <v/>
      </c>
      <c r="BY129" s="10" t="str">
        <f aca="false">IF(D129="","",IF(AND(AJ129="Approved",ISERROR(SEARCH("FAIL",BC129))),"Y","N"))</f>
        <v/>
      </c>
      <c r="BZ129" s="10" t="str">
        <f aca="false">IF(D129="","",D129&amp;"|"&amp;F129&amp;"|"&amp;G129&amp;"|"&amp;BY129)</f>
        <v/>
      </c>
    </row>
    <row r="130" customFormat="false" ht="15" hidden="false" customHeight="false" outlineLevel="0" collapsed="false">
      <c r="A130" s="10" t="str">
        <f aca="false">IF(D130="","","LKW-"&amp;IFERROR(VLOOKUP(D130,Lists!$AQ$4:$AR$17,2,0),"??")&amp;"-W"&amp;TEXT(F130*1000,"0000")&amp;"-H"&amp;TEXT(G130*1000,"0000")&amp;"-B"&amp;TEXT(H130*1000,"0000")&amp;"-"&amp;AI130)</f>
        <v/>
      </c>
      <c r="B130" s="10" t="str">
        <f aca="false">IF(D130="","",D130&amp;", "&amp;F130&amp;" m wide, "&amp;G130&amp;" m headroom, "&amp;H130&amp;" m bays, "&amp;I130&amp;" ("&amp;E130&amp;")")</f>
        <v/>
      </c>
      <c r="C130" s="9"/>
      <c r="D130" s="9"/>
      <c r="E130" s="9"/>
      <c r="F130" s="42"/>
      <c r="G130" s="42"/>
      <c r="H130" s="42"/>
      <c r="I130" s="9"/>
      <c r="J130" s="9"/>
      <c r="K130" s="9"/>
      <c r="L130" s="9"/>
      <c r="M130" s="9"/>
      <c r="N130" s="9"/>
      <c r="O130" s="9"/>
      <c r="P130" s="9"/>
      <c r="Q130" s="9"/>
      <c r="R130" s="9"/>
      <c r="S130" s="42"/>
      <c r="T130" s="9"/>
      <c r="U130" s="9"/>
      <c r="V130" s="9"/>
      <c r="W130" s="38"/>
      <c r="X130" s="42"/>
      <c r="Y130" s="9"/>
      <c r="Z130" s="9"/>
      <c r="AA130" s="9"/>
      <c r="AB130" s="42"/>
      <c r="AC130" s="9"/>
      <c r="AD130" s="38"/>
      <c r="AE130" s="9"/>
      <c r="AF130" s="39"/>
      <c r="AG130" s="9"/>
      <c r="AH130" s="9"/>
      <c r="AI130" s="9"/>
      <c r="AJ130" s="9"/>
      <c r="AK130" s="9"/>
      <c r="AL130" s="9"/>
      <c r="AM130" s="9"/>
      <c r="AN130" s="10" t="str">
        <f aca="false">IF(A130="","",SG_Criteria!$B$6&amp;SG_Criteria!$B$12&amp;"\"&amp;A130&amp;"\")</f>
        <v/>
      </c>
      <c r="AO130" s="10" t="str">
        <f aca="false">IF(A130="","",A130&amp;"_CAD.dwg")</f>
        <v/>
      </c>
      <c r="AP130" s="10" t="str">
        <f aca="false">IF(A130="","",A130&amp;"_DWG.pdf")</f>
        <v/>
      </c>
      <c r="AQ130" s="10" t="str">
        <f aca="false">IF(A130="","",IF(AM130="Y",A130&amp;"_STAAD.std","n/a"))</f>
        <v/>
      </c>
      <c r="AR130" s="10" t="str">
        <f aca="false">IF(A130="","",A130&amp;"_CALC.xlsx")</f>
        <v/>
      </c>
      <c r="AS130" s="10" t="str">
        <f aca="false">IF(A130="","",A130&amp;"_CALC.pdf")</f>
        <v/>
      </c>
      <c r="AT130" s="9"/>
      <c r="AU130" s="9"/>
      <c r="AV130" s="39"/>
      <c r="AW130" s="39"/>
      <c r="AX130" s="39"/>
      <c r="AY130" s="39"/>
      <c r="AZ130" s="39"/>
      <c r="BA130" s="12" t="str">
        <f aca="false">IF(A130="","",IF(COUNTIF(Rebar_Schedule!$A$5:$A$2004,A130)=0,"",ROUND(SUMIF(Rebar_Schedule!$A$5:$A$2004,A130,Rebar_Schedule!$K$5:$K$2004),1)))</f>
        <v/>
      </c>
      <c r="BB130" s="33" t="str">
        <f aca="false">IF(A130="","",IF(BA130="","No rebar schedule yet",IF(ABS(BA130-N(AW130))/MAX(N(AW130),1)&gt;SG_Criteria!$B$55,"NOTE: register rebar differs from schedule by "&amp;TEXT(ABS(BA130-N(AW130))/MAX(N(AW130),1),"0%"),"OK")))</f>
        <v/>
      </c>
      <c r="BC130" s="33" t="str">
        <f aca="false">IF(D130="","",IF(LEN(IF(AND(D130&lt;&gt;"High Covered Linkway",G130&lt;SG_Criteria!$B$46),"FAIL: headroom below "&amp;SG_Criteria!$B$46&amp;" m. ","")&amp;IF(AND(D130="High Covered Linkway",G130&lt;SG_Criteria!$B$47),"FAIL: high linkway headroom below "&amp;SG_Criteria!$B$47&amp;" m. ","")&amp;IF(F130&lt;SG_Criteria!$B$48,"FAIL: roof width below "&amp;SG_Criteria!$B$48&amp;" m. ",IF(F130&lt;SG_Criteria!$B$49,"NOTE: not for MRT/LRT or high-traffic routes (min "&amp;SG_Criteria!$B$49&amp;" m). ",""))&amp;IF(AND(W130&lt;&gt;"",W130&lt;SG_Criteria!$B$50),"FAIL: wind speed below "&amp;SG_Criteria!$B$50&amp;" m/s. ","")&amp;IF(AND(X130&lt;&gt;"",X130&lt;SG_Criteria!$B$51),"FAIL: roof fixing pull-out below "&amp;SG_Criteria!$B$51&amp;" kN. ","")&amp;IF(AND(Y130&lt;&gt;"",IFERROR(VALUE(MID(Y130,2,2)),0)&lt;SG_Criteria!$B$52),"FAIL: grade below C"&amp;SG_Criteria!$B$52&amp;". ","")&amp;IF(E130="Non-standard (project design)","NOTE: not an SDRE standard, needs LTA acceptance. ",""))=0,"OK",IF(AND(D130&lt;&gt;"High Covered Linkway",G130&lt;SG_Criteria!$B$46),"FAIL: headroom below "&amp;SG_Criteria!$B$46&amp;" m. ","")&amp;IF(AND(D130="High Covered Linkway",G130&lt;SG_Criteria!$B$47),"FAIL: high linkway headroom below "&amp;SG_Criteria!$B$47&amp;" m. ","")&amp;IF(F130&lt;SG_Criteria!$B$48,"FAIL: roof width below "&amp;SG_Criteria!$B$48&amp;" m. ",IF(F130&lt;SG_Criteria!$B$49,"NOTE: not for MRT/LRT or high-traffic routes (min "&amp;SG_Criteria!$B$49&amp;" m). ",""))&amp;IF(AND(W130&lt;&gt;"",W130&lt;SG_Criteria!$B$50),"FAIL: wind speed below "&amp;SG_Criteria!$B$50&amp;" m/s. ","")&amp;IF(AND(X130&lt;&gt;"",X130&lt;SG_Criteria!$B$51),"FAIL: roof fixing pull-out below "&amp;SG_Criteria!$B$51&amp;" kN. ","")&amp;IF(AND(Y130&lt;&gt;"",IFERROR(VALUE(MID(Y130,2,2)),0)&lt;SG_Criteria!$B$52),"FAIL: grade below C"&amp;SG_Criteria!$B$52&amp;". ","")&amp;IF(E130="Non-standard (project design)","NOTE: not an SDRE standard, needs LTA acceptance. ","")))</f>
        <v/>
      </c>
      <c r="BD130" s="9"/>
      <c r="BE130" s="9"/>
      <c r="BF130" s="9"/>
      <c r="BG130" s="10" t="str">
        <f aca="false">IF(BF130="","",IFERROR(VLOOKUP(BF130,Projects!$A$5:$D$504,2,0),"Ref not in Projects"))</f>
        <v/>
      </c>
      <c r="BH130" s="10" t="str">
        <f aca="false">IF(BF130="","",IFERROR(VLOOKUP(BF130,Projects!$A$5:$D$504,4,0),"Ref not in Projects"))</f>
        <v/>
      </c>
      <c r="BI130" s="9"/>
      <c r="BJ130" s="9"/>
      <c r="BK130" s="9"/>
      <c r="BL130" s="40"/>
      <c r="BM130" s="9"/>
      <c r="BN130" s="40"/>
      <c r="BO130" s="9"/>
      <c r="BP130" s="40"/>
      <c r="BQ130" s="9"/>
      <c r="BR130" s="9"/>
      <c r="BS130" s="9"/>
      <c r="BT130" s="40"/>
      <c r="BU130" s="40"/>
      <c r="BV130" s="36" t="str">
        <f aca="false">IF(BU130="","",EDATE(BU130,SG_Criteria!$B$54*12))</f>
        <v/>
      </c>
      <c r="BW130" s="33" t="str">
        <f aca="true">IF(A130="","",IF(BU130="","NOTE: not reviewed yet",IF(TODAY()&gt;BV130,"NOTE: review overdue","OK")))</f>
        <v/>
      </c>
      <c r="BX130" s="37" t="str">
        <f aca="false">IF(A130="","",ROUND((IF(LEN(D130)&gt;0,1,0)+IF(LEN(E130)&gt;0,1,0)+IF(LEN(F130)&gt;0,1,0)+IF(LEN(G130)&gt;0,1,0)+IF(LEN(H130)&gt;0,1,0)+IF(LEN(I130)&gt;0,1,0)+IF(LEN(J130)&gt;0,1,0)+IF(LEN(K130)&gt;0,1,0)+IF(LEN(N130)&gt;0,1,0)+IF(LEN(O130)&gt;0,1,0)+IF(LEN(W130)&gt;0,1,0)+IF(LEN(X130)&gt;0,1,0)+IF(LEN(Y130)&gt;0,1,0)+IF(LEN(AG130)&gt;0,1,0)+IF(LEN(AI130)&gt;0,1,0)+IF(LEN(AJ130)&gt;0,1,0)+IF(LEN(AK130)&gt;0,1,0)+IF(LEN(AL130)&gt;0,1,0)+IF(LEN(AU130)&gt;0,1,0)+IF(LEN(BF130)&gt;0,1,0)+IF(LEN(BS130)&gt;0,1,0))/21,2))</f>
        <v/>
      </c>
      <c r="BY130" s="10" t="str">
        <f aca="false">IF(D130="","",IF(AND(AJ130="Approved",ISERROR(SEARCH("FAIL",BC130))),"Y","N"))</f>
        <v/>
      </c>
      <c r="BZ130" s="10" t="str">
        <f aca="false">IF(D130="","",D130&amp;"|"&amp;F130&amp;"|"&amp;G130&amp;"|"&amp;BY130)</f>
        <v/>
      </c>
    </row>
    <row r="131" customFormat="false" ht="15" hidden="false" customHeight="false" outlineLevel="0" collapsed="false">
      <c r="A131" s="10" t="str">
        <f aca="false">IF(D131="","","LKW-"&amp;IFERROR(VLOOKUP(D131,Lists!$AQ$4:$AR$17,2,0),"??")&amp;"-W"&amp;TEXT(F131*1000,"0000")&amp;"-H"&amp;TEXT(G131*1000,"0000")&amp;"-B"&amp;TEXT(H131*1000,"0000")&amp;"-"&amp;AI131)</f>
        <v/>
      </c>
      <c r="B131" s="10" t="str">
        <f aca="false">IF(D131="","",D131&amp;", "&amp;F131&amp;" m wide, "&amp;G131&amp;" m headroom, "&amp;H131&amp;" m bays, "&amp;I131&amp;" ("&amp;E131&amp;")")</f>
        <v/>
      </c>
      <c r="C131" s="9"/>
      <c r="D131" s="9"/>
      <c r="E131" s="9"/>
      <c r="F131" s="42"/>
      <c r="G131" s="42"/>
      <c r="H131" s="42"/>
      <c r="I131" s="9"/>
      <c r="J131" s="9"/>
      <c r="K131" s="9"/>
      <c r="L131" s="9"/>
      <c r="M131" s="9"/>
      <c r="N131" s="9"/>
      <c r="O131" s="9"/>
      <c r="P131" s="9"/>
      <c r="Q131" s="9"/>
      <c r="R131" s="9"/>
      <c r="S131" s="42"/>
      <c r="T131" s="9"/>
      <c r="U131" s="9"/>
      <c r="V131" s="9"/>
      <c r="W131" s="38"/>
      <c r="X131" s="42"/>
      <c r="Y131" s="9"/>
      <c r="Z131" s="9"/>
      <c r="AA131" s="9"/>
      <c r="AB131" s="42"/>
      <c r="AC131" s="9"/>
      <c r="AD131" s="38"/>
      <c r="AE131" s="9"/>
      <c r="AF131" s="39"/>
      <c r="AG131" s="9"/>
      <c r="AH131" s="9"/>
      <c r="AI131" s="9"/>
      <c r="AJ131" s="9"/>
      <c r="AK131" s="9"/>
      <c r="AL131" s="9"/>
      <c r="AM131" s="9"/>
      <c r="AN131" s="10" t="str">
        <f aca="false">IF(A131="","",SG_Criteria!$B$6&amp;SG_Criteria!$B$12&amp;"\"&amp;A131&amp;"\")</f>
        <v/>
      </c>
      <c r="AO131" s="10" t="str">
        <f aca="false">IF(A131="","",A131&amp;"_CAD.dwg")</f>
        <v/>
      </c>
      <c r="AP131" s="10" t="str">
        <f aca="false">IF(A131="","",A131&amp;"_DWG.pdf")</f>
        <v/>
      </c>
      <c r="AQ131" s="10" t="str">
        <f aca="false">IF(A131="","",IF(AM131="Y",A131&amp;"_STAAD.std","n/a"))</f>
        <v/>
      </c>
      <c r="AR131" s="10" t="str">
        <f aca="false">IF(A131="","",A131&amp;"_CALC.xlsx")</f>
        <v/>
      </c>
      <c r="AS131" s="10" t="str">
        <f aca="false">IF(A131="","",A131&amp;"_CALC.pdf")</f>
        <v/>
      </c>
      <c r="AT131" s="9"/>
      <c r="AU131" s="9"/>
      <c r="AV131" s="39"/>
      <c r="AW131" s="39"/>
      <c r="AX131" s="39"/>
      <c r="AY131" s="39"/>
      <c r="AZ131" s="39"/>
      <c r="BA131" s="12" t="str">
        <f aca="false">IF(A131="","",IF(COUNTIF(Rebar_Schedule!$A$5:$A$2004,A131)=0,"",ROUND(SUMIF(Rebar_Schedule!$A$5:$A$2004,A131,Rebar_Schedule!$K$5:$K$2004),1)))</f>
        <v/>
      </c>
      <c r="BB131" s="33" t="str">
        <f aca="false">IF(A131="","",IF(BA131="","No rebar schedule yet",IF(ABS(BA131-N(AW131))/MAX(N(AW131),1)&gt;SG_Criteria!$B$55,"NOTE: register rebar differs from schedule by "&amp;TEXT(ABS(BA131-N(AW131))/MAX(N(AW131),1),"0%"),"OK")))</f>
        <v/>
      </c>
      <c r="BC131" s="33" t="str">
        <f aca="false">IF(D131="","",IF(LEN(IF(AND(D131&lt;&gt;"High Covered Linkway",G131&lt;SG_Criteria!$B$46),"FAIL: headroom below "&amp;SG_Criteria!$B$46&amp;" m. ","")&amp;IF(AND(D131="High Covered Linkway",G131&lt;SG_Criteria!$B$47),"FAIL: high linkway headroom below "&amp;SG_Criteria!$B$47&amp;" m. ","")&amp;IF(F131&lt;SG_Criteria!$B$48,"FAIL: roof width below "&amp;SG_Criteria!$B$48&amp;" m. ",IF(F131&lt;SG_Criteria!$B$49,"NOTE: not for MRT/LRT or high-traffic routes (min "&amp;SG_Criteria!$B$49&amp;" m). ",""))&amp;IF(AND(W131&lt;&gt;"",W131&lt;SG_Criteria!$B$50),"FAIL: wind speed below "&amp;SG_Criteria!$B$50&amp;" m/s. ","")&amp;IF(AND(X131&lt;&gt;"",X131&lt;SG_Criteria!$B$51),"FAIL: roof fixing pull-out below "&amp;SG_Criteria!$B$51&amp;" kN. ","")&amp;IF(AND(Y131&lt;&gt;"",IFERROR(VALUE(MID(Y131,2,2)),0)&lt;SG_Criteria!$B$52),"FAIL: grade below C"&amp;SG_Criteria!$B$52&amp;". ","")&amp;IF(E131="Non-standard (project design)","NOTE: not an SDRE standard, needs LTA acceptance. ",""))=0,"OK",IF(AND(D131&lt;&gt;"High Covered Linkway",G131&lt;SG_Criteria!$B$46),"FAIL: headroom below "&amp;SG_Criteria!$B$46&amp;" m. ","")&amp;IF(AND(D131="High Covered Linkway",G131&lt;SG_Criteria!$B$47),"FAIL: high linkway headroom below "&amp;SG_Criteria!$B$47&amp;" m. ","")&amp;IF(F131&lt;SG_Criteria!$B$48,"FAIL: roof width below "&amp;SG_Criteria!$B$48&amp;" m. ",IF(F131&lt;SG_Criteria!$B$49,"NOTE: not for MRT/LRT or high-traffic routes (min "&amp;SG_Criteria!$B$49&amp;" m). ",""))&amp;IF(AND(W131&lt;&gt;"",W131&lt;SG_Criteria!$B$50),"FAIL: wind speed below "&amp;SG_Criteria!$B$50&amp;" m/s. ","")&amp;IF(AND(X131&lt;&gt;"",X131&lt;SG_Criteria!$B$51),"FAIL: roof fixing pull-out below "&amp;SG_Criteria!$B$51&amp;" kN. ","")&amp;IF(AND(Y131&lt;&gt;"",IFERROR(VALUE(MID(Y131,2,2)),0)&lt;SG_Criteria!$B$52),"FAIL: grade below C"&amp;SG_Criteria!$B$52&amp;". ","")&amp;IF(E131="Non-standard (project design)","NOTE: not an SDRE standard, needs LTA acceptance. ","")))</f>
        <v/>
      </c>
      <c r="BD131" s="9"/>
      <c r="BE131" s="9"/>
      <c r="BF131" s="9"/>
      <c r="BG131" s="10" t="str">
        <f aca="false">IF(BF131="","",IFERROR(VLOOKUP(BF131,Projects!$A$5:$D$504,2,0),"Ref not in Projects"))</f>
        <v/>
      </c>
      <c r="BH131" s="10" t="str">
        <f aca="false">IF(BF131="","",IFERROR(VLOOKUP(BF131,Projects!$A$5:$D$504,4,0),"Ref not in Projects"))</f>
        <v/>
      </c>
      <c r="BI131" s="9"/>
      <c r="BJ131" s="9"/>
      <c r="BK131" s="9"/>
      <c r="BL131" s="40"/>
      <c r="BM131" s="9"/>
      <c r="BN131" s="40"/>
      <c r="BO131" s="9"/>
      <c r="BP131" s="40"/>
      <c r="BQ131" s="9"/>
      <c r="BR131" s="9"/>
      <c r="BS131" s="9"/>
      <c r="BT131" s="40"/>
      <c r="BU131" s="40"/>
      <c r="BV131" s="36" t="str">
        <f aca="false">IF(BU131="","",EDATE(BU131,SG_Criteria!$B$54*12))</f>
        <v/>
      </c>
      <c r="BW131" s="33" t="str">
        <f aca="true">IF(A131="","",IF(BU131="","NOTE: not reviewed yet",IF(TODAY()&gt;BV131,"NOTE: review overdue","OK")))</f>
        <v/>
      </c>
      <c r="BX131" s="37" t="str">
        <f aca="false">IF(A131="","",ROUND((IF(LEN(D131)&gt;0,1,0)+IF(LEN(E131)&gt;0,1,0)+IF(LEN(F131)&gt;0,1,0)+IF(LEN(G131)&gt;0,1,0)+IF(LEN(H131)&gt;0,1,0)+IF(LEN(I131)&gt;0,1,0)+IF(LEN(J131)&gt;0,1,0)+IF(LEN(K131)&gt;0,1,0)+IF(LEN(N131)&gt;0,1,0)+IF(LEN(O131)&gt;0,1,0)+IF(LEN(W131)&gt;0,1,0)+IF(LEN(X131)&gt;0,1,0)+IF(LEN(Y131)&gt;0,1,0)+IF(LEN(AG131)&gt;0,1,0)+IF(LEN(AI131)&gt;0,1,0)+IF(LEN(AJ131)&gt;0,1,0)+IF(LEN(AK131)&gt;0,1,0)+IF(LEN(AL131)&gt;0,1,0)+IF(LEN(AU131)&gt;0,1,0)+IF(LEN(BF131)&gt;0,1,0)+IF(LEN(BS131)&gt;0,1,0))/21,2))</f>
        <v/>
      </c>
      <c r="BY131" s="10" t="str">
        <f aca="false">IF(D131="","",IF(AND(AJ131="Approved",ISERROR(SEARCH("FAIL",BC131))),"Y","N"))</f>
        <v/>
      </c>
      <c r="BZ131" s="10" t="str">
        <f aca="false">IF(D131="","",D131&amp;"|"&amp;F131&amp;"|"&amp;G131&amp;"|"&amp;BY131)</f>
        <v/>
      </c>
    </row>
    <row r="132" customFormat="false" ht="15" hidden="false" customHeight="false" outlineLevel="0" collapsed="false">
      <c r="A132" s="10" t="str">
        <f aca="false">IF(D132="","","LKW-"&amp;IFERROR(VLOOKUP(D132,Lists!$AQ$4:$AR$17,2,0),"??")&amp;"-W"&amp;TEXT(F132*1000,"0000")&amp;"-H"&amp;TEXT(G132*1000,"0000")&amp;"-B"&amp;TEXT(H132*1000,"0000")&amp;"-"&amp;AI132)</f>
        <v/>
      </c>
      <c r="B132" s="10" t="str">
        <f aca="false">IF(D132="","",D132&amp;", "&amp;F132&amp;" m wide, "&amp;G132&amp;" m headroom, "&amp;H132&amp;" m bays, "&amp;I132&amp;" ("&amp;E132&amp;")")</f>
        <v/>
      </c>
      <c r="C132" s="9"/>
      <c r="D132" s="9"/>
      <c r="E132" s="9"/>
      <c r="F132" s="42"/>
      <c r="G132" s="42"/>
      <c r="H132" s="42"/>
      <c r="I132" s="9"/>
      <c r="J132" s="9"/>
      <c r="K132" s="9"/>
      <c r="L132" s="9"/>
      <c r="M132" s="9"/>
      <c r="N132" s="9"/>
      <c r="O132" s="9"/>
      <c r="P132" s="9"/>
      <c r="Q132" s="9"/>
      <c r="R132" s="9"/>
      <c r="S132" s="42"/>
      <c r="T132" s="9"/>
      <c r="U132" s="9"/>
      <c r="V132" s="9"/>
      <c r="W132" s="38"/>
      <c r="X132" s="42"/>
      <c r="Y132" s="9"/>
      <c r="Z132" s="9"/>
      <c r="AA132" s="9"/>
      <c r="AB132" s="42"/>
      <c r="AC132" s="9"/>
      <c r="AD132" s="38"/>
      <c r="AE132" s="9"/>
      <c r="AF132" s="39"/>
      <c r="AG132" s="9"/>
      <c r="AH132" s="9"/>
      <c r="AI132" s="9"/>
      <c r="AJ132" s="9"/>
      <c r="AK132" s="9"/>
      <c r="AL132" s="9"/>
      <c r="AM132" s="9"/>
      <c r="AN132" s="10" t="str">
        <f aca="false">IF(A132="","",SG_Criteria!$B$6&amp;SG_Criteria!$B$12&amp;"\"&amp;A132&amp;"\")</f>
        <v/>
      </c>
      <c r="AO132" s="10" t="str">
        <f aca="false">IF(A132="","",A132&amp;"_CAD.dwg")</f>
        <v/>
      </c>
      <c r="AP132" s="10" t="str">
        <f aca="false">IF(A132="","",A132&amp;"_DWG.pdf")</f>
        <v/>
      </c>
      <c r="AQ132" s="10" t="str">
        <f aca="false">IF(A132="","",IF(AM132="Y",A132&amp;"_STAAD.std","n/a"))</f>
        <v/>
      </c>
      <c r="AR132" s="10" t="str">
        <f aca="false">IF(A132="","",A132&amp;"_CALC.xlsx")</f>
        <v/>
      </c>
      <c r="AS132" s="10" t="str">
        <f aca="false">IF(A132="","",A132&amp;"_CALC.pdf")</f>
        <v/>
      </c>
      <c r="AT132" s="9"/>
      <c r="AU132" s="9"/>
      <c r="AV132" s="39"/>
      <c r="AW132" s="39"/>
      <c r="AX132" s="39"/>
      <c r="AY132" s="39"/>
      <c r="AZ132" s="39"/>
      <c r="BA132" s="12" t="str">
        <f aca="false">IF(A132="","",IF(COUNTIF(Rebar_Schedule!$A$5:$A$2004,A132)=0,"",ROUND(SUMIF(Rebar_Schedule!$A$5:$A$2004,A132,Rebar_Schedule!$K$5:$K$2004),1)))</f>
        <v/>
      </c>
      <c r="BB132" s="33" t="str">
        <f aca="false">IF(A132="","",IF(BA132="","No rebar schedule yet",IF(ABS(BA132-N(AW132))/MAX(N(AW132),1)&gt;SG_Criteria!$B$55,"NOTE: register rebar differs from schedule by "&amp;TEXT(ABS(BA132-N(AW132))/MAX(N(AW132),1),"0%"),"OK")))</f>
        <v/>
      </c>
      <c r="BC132" s="33" t="str">
        <f aca="false">IF(D132="","",IF(LEN(IF(AND(D132&lt;&gt;"High Covered Linkway",G132&lt;SG_Criteria!$B$46),"FAIL: headroom below "&amp;SG_Criteria!$B$46&amp;" m. ","")&amp;IF(AND(D132="High Covered Linkway",G132&lt;SG_Criteria!$B$47),"FAIL: high linkway headroom below "&amp;SG_Criteria!$B$47&amp;" m. ","")&amp;IF(F132&lt;SG_Criteria!$B$48,"FAIL: roof width below "&amp;SG_Criteria!$B$48&amp;" m. ",IF(F132&lt;SG_Criteria!$B$49,"NOTE: not for MRT/LRT or high-traffic routes (min "&amp;SG_Criteria!$B$49&amp;" m). ",""))&amp;IF(AND(W132&lt;&gt;"",W132&lt;SG_Criteria!$B$50),"FAIL: wind speed below "&amp;SG_Criteria!$B$50&amp;" m/s. ","")&amp;IF(AND(X132&lt;&gt;"",X132&lt;SG_Criteria!$B$51),"FAIL: roof fixing pull-out below "&amp;SG_Criteria!$B$51&amp;" kN. ","")&amp;IF(AND(Y132&lt;&gt;"",IFERROR(VALUE(MID(Y132,2,2)),0)&lt;SG_Criteria!$B$52),"FAIL: grade below C"&amp;SG_Criteria!$B$52&amp;". ","")&amp;IF(E132="Non-standard (project design)","NOTE: not an SDRE standard, needs LTA acceptance. ",""))=0,"OK",IF(AND(D132&lt;&gt;"High Covered Linkway",G132&lt;SG_Criteria!$B$46),"FAIL: headroom below "&amp;SG_Criteria!$B$46&amp;" m. ","")&amp;IF(AND(D132="High Covered Linkway",G132&lt;SG_Criteria!$B$47),"FAIL: high linkway headroom below "&amp;SG_Criteria!$B$47&amp;" m. ","")&amp;IF(F132&lt;SG_Criteria!$B$48,"FAIL: roof width below "&amp;SG_Criteria!$B$48&amp;" m. ",IF(F132&lt;SG_Criteria!$B$49,"NOTE: not for MRT/LRT or high-traffic routes (min "&amp;SG_Criteria!$B$49&amp;" m). ",""))&amp;IF(AND(W132&lt;&gt;"",W132&lt;SG_Criteria!$B$50),"FAIL: wind speed below "&amp;SG_Criteria!$B$50&amp;" m/s. ","")&amp;IF(AND(X132&lt;&gt;"",X132&lt;SG_Criteria!$B$51),"FAIL: roof fixing pull-out below "&amp;SG_Criteria!$B$51&amp;" kN. ","")&amp;IF(AND(Y132&lt;&gt;"",IFERROR(VALUE(MID(Y132,2,2)),0)&lt;SG_Criteria!$B$52),"FAIL: grade below C"&amp;SG_Criteria!$B$52&amp;". ","")&amp;IF(E132="Non-standard (project design)","NOTE: not an SDRE standard, needs LTA acceptance. ","")))</f>
        <v/>
      </c>
      <c r="BD132" s="9"/>
      <c r="BE132" s="9"/>
      <c r="BF132" s="9"/>
      <c r="BG132" s="10" t="str">
        <f aca="false">IF(BF132="","",IFERROR(VLOOKUP(BF132,Projects!$A$5:$D$504,2,0),"Ref not in Projects"))</f>
        <v/>
      </c>
      <c r="BH132" s="10" t="str">
        <f aca="false">IF(BF132="","",IFERROR(VLOOKUP(BF132,Projects!$A$5:$D$504,4,0),"Ref not in Projects"))</f>
        <v/>
      </c>
      <c r="BI132" s="9"/>
      <c r="BJ132" s="9"/>
      <c r="BK132" s="9"/>
      <c r="BL132" s="40"/>
      <c r="BM132" s="9"/>
      <c r="BN132" s="40"/>
      <c r="BO132" s="9"/>
      <c r="BP132" s="40"/>
      <c r="BQ132" s="9"/>
      <c r="BR132" s="9"/>
      <c r="BS132" s="9"/>
      <c r="BT132" s="40"/>
      <c r="BU132" s="40"/>
      <c r="BV132" s="36" t="str">
        <f aca="false">IF(BU132="","",EDATE(BU132,SG_Criteria!$B$54*12))</f>
        <v/>
      </c>
      <c r="BW132" s="33" t="str">
        <f aca="true">IF(A132="","",IF(BU132="","NOTE: not reviewed yet",IF(TODAY()&gt;BV132,"NOTE: review overdue","OK")))</f>
        <v/>
      </c>
      <c r="BX132" s="37" t="str">
        <f aca="false">IF(A132="","",ROUND((IF(LEN(D132)&gt;0,1,0)+IF(LEN(E132)&gt;0,1,0)+IF(LEN(F132)&gt;0,1,0)+IF(LEN(G132)&gt;0,1,0)+IF(LEN(H132)&gt;0,1,0)+IF(LEN(I132)&gt;0,1,0)+IF(LEN(J132)&gt;0,1,0)+IF(LEN(K132)&gt;0,1,0)+IF(LEN(N132)&gt;0,1,0)+IF(LEN(O132)&gt;0,1,0)+IF(LEN(W132)&gt;0,1,0)+IF(LEN(X132)&gt;0,1,0)+IF(LEN(Y132)&gt;0,1,0)+IF(LEN(AG132)&gt;0,1,0)+IF(LEN(AI132)&gt;0,1,0)+IF(LEN(AJ132)&gt;0,1,0)+IF(LEN(AK132)&gt;0,1,0)+IF(LEN(AL132)&gt;0,1,0)+IF(LEN(AU132)&gt;0,1,0)+IF(LEN(BF132)&gt;0,1,0)+IF(LEN(BS132)&gt;0,1,0))/21,2))</f>
        <v/>
      </c>
      <c r="BY132" s="10" t="str">
        <f aca="false">IF(D132="","",IF(AND(AJ132="Approved",ISERROR(SEARCH("FAIL",BC132))),"Y","N"))</f>
        <v/>
      </c>
      <c r="BZ132" s="10" t="str">
        <f aca="false">IF(D132="","",D132&amp;"|"&amp;F132&amp;"|"&amp;G132&amp;"|"&amp;BY132)</f>
        <v/>
      </c>
    </row>
    <row r="133" customFormat="false" ht="15" hidden="false" customHeight="false" outlineLevel="0" collapsed="false">
      <c r="A133" s="10" t="str">
        <f aca="false">IF(D133="","","LKW-"&amp;IFERROR(VLOOKUP(D133,Lists!$AQ$4:$AR$17,2,0),"??")&amp;"-W"&amp;TEXT(F133*1000,"0000")&amp;"-H"&amp;TEXT(G133*1000,"0000")&amp;"-B"&amp;TEXT(H133*1000,"0000")&amp;"-"&amp;AI133)</f>
        <v/>
      </c>
      <c r="B133" s="10" t="str">
        <f aca="false">IF(D133="","",D133&amp;", "&amp;F133&amp;" m wide, "&amp;G133&amp;" m headroom, "&amp;H133&amp;" m bays, "&amp;I133&amp;" ("&amp;E133&amp;")")</f>
        <v/>
      </c>
      <c r="C133" s="9"/>
      <c r="D133" s="9"/>
      <c r="E133" s="9"/>
      <c r="F133" s="42"/>
      <c r="G133" s="42"/>
      <c r="H133" s="42"/>
      <c r="I133" s="9"/>
      <c r="J133" s="9"/>
      <c r="K133" s="9"/>
      <c r="L133" s="9"/>
      <c r="M133" s="9"/>
      <c r="N133" s="9"/>
      <c r="O133" s="9"/>
      <c r="P133" s="9"/>
      <c r="Q133" s="9"/>
      <c r="R133" s="9"/>
      <c r="S133" s="42"/>
      <c r="T133" s="9"/>
      <c r="U133" s="9"/>
      <c r="V133" s="9"/>
      <c r="W133" s="38"/>
      <c r="X133" s="42"/>
      <c r="Y133" s="9"/>
      <c r="Z133" s="9"/>
      <c r="AA133" s="9"/>
      <c r="AB133" s="42"/>
      <c r="AC133" s="9"/>
      <c r="AD133" s="38"/>
      <c r="AE133" s="9"/>
      <c r="AF133" s="39"/>
      <c r="AG133" s="9"/>
      <c r="AH133" s="9"/>
      <c r="AI133" s="9"/>
      <c r="AJ133" s="9"/>
      <c r="AK133" s="9"/>
      <c r="AL133" s="9"/>
      <c r="AM133" s="9"/>
      <c r="AN133" s="10" t="str">
        <f aca="false">IF(A133="","",SG_Criteria!$B$6&amp;SG_Criteria!$B$12&amp;"\"&amp;A133&amp;"\")</f>
        <v/>
      </c>
      <c r="AO133" s="10" t="str">
        <f aca="false">IF(A133="","",A133&amp;"_CAD.dwg")</f>
        <v/>
      </c>
      <c r="AP133" s="10" t="str">
        <f aca="false">IF(A133="","",A133&amp;"_DWG.pdf")</f>
        <v/>
      </c>
      <c r="AQ133" s="10" t="str">
        <f aca="false">IF(A133="","",IF(AM133="Y",A133&amp;"_STAAD.std","n/a"))</f>
        <v/>
      </c>
      <c r="AR133" s="10" t="str">
        <f aca="false">IF(A133="","",A133&amp;"_CALC.xlsx")</f>
        <v/>
      </c>
      <c r="AS133" s="10" t="str">
        <f aca="false">IF(A133="","",A133&amp;"_CALC.pdf")</f>
        <v/>
      </c>
      <c r="AT133" s="9"/>
      <c r="AU133" s="9"/>
      <c r="AV133" s="39"/>
      <c r="AW133" s="39"/>
      <c r="AX133" s="39"/>
      <c r="AY133" s="39"/>
      <c r="AZ133" s="39"/>
      <c r="BA133" s="12" t="str">
        <f aca="false">IF(A133="","",IF(COUNTIF(Rebar_Schedule!$A$5:$A$2004,A133)=0,"",ROUND(SUMIF(Rebar_Schedule!$A$5:$A$2004,A133,Rebar_Schedule!$K$5:$K$2004),1)))</f>
        <v/>
      </c>
      <c r="BB133" s="33" t="str">
        <f aca="false">IF(A133="","",IF(BA133="","No rebar schedule yet",IF(ABS(BA133-N(AW133))/MAX(N(AW133),1)&gt;SG_Criteria!$B$55,"NOTE: register rebar differs from schedule by "&amp;TEXT(ABS(BA133-N(AW133))/MAX(N(AW133),1),"0%"),"OK")))</f>
        <v/>
      </c>
      <c r="BC133" s="33" t="str">
        <f aca="false">IF(D133="","",IF(LEN(IF(AND(D133&lt;&gt;"High Covered Linkway",G133&lt;SG_Criteria!$B$46),"FAIL: headroom below "&amp;SG_Criteria!$B$46&amp;" m. ","")&amp;IF(AND(D133="High Covered Linkway",G133&lt;SG_Criteria!$B$47),"FAIL: high linkway headroom below "&amp;SG_Criteria!$B$47&amp;" m. ","")&amp;IF(F133&lt;SG_Criteria!$B$48,"FAIL: roof width below "&amp;SG_Criteria!$B$48&amp;" m. ",IF(F133&lt;SG_Criteria!$B$49,"NOTE: not for MRT/LRT or high-traffic routes (min "&amp;SG_Criteria!$B$49&amp;" m). ",""))&amp;IF(AND(W133&lt;&gt;"",W133&lt;SG_Criteria!$B$50),"FAIL: wind speed below "&amp;SG_Criteria!$B$50&amp;" m/s. ","")&amp;IF(AND(X133&lt;&gt;"",X133&lt;SG_Criteria!$B$51),"FAIL: roof fixing pull-out below "&amp;SG_Criteria!$B$51&amp;" kN. ","")&amp;IF(AND(Y133&lt;&gt;"",IFERROR(VALUE(MID(Y133,2,2)),0)&lt;SG_Criteria!$B$52),"FAIL: grade below C"&amp;SG_Criteria!$B$52&amp;". ","")&amp;IF(E133="Non-standard (project design)","NOTE: not an SDRE standard, needs LTA acceptance. ",""))=0,"OK",IF(AND(D133&lt;&gt;"High Covered Linkway",G133&lt;SG_Criteria!$B$46),"FAIL: headroom below "&amp;SG_Criteria!$B$46&amp;" m. ","")&amp;IF(AND(D133="High Covered Linkway",G133&lt;SG_Criteria!$B$47),"FAIL: high linkway headroom below "&amp;SG_Criteria!$B$47&amp;" m. ","")&amp;IF(F133&lt;SG_Criteria!$B$48,"FAIL: roof width below "&amp;SG_Criteria!$B$48&amp;" m. ",IF(F133&lt;SG_Criteria!$B$49,"NOTE: not for MRT/LRT or high-traffic routes (min "&amp;SG_Criteria!$B$49&amp;" m). ",""))&amp;IF(AND(W133&lt;&gt;"",W133&lt;SG_Criteria!$B$50),"FAIL: wind speed below "&amp;SG_Criteria!$B$50&amp;" m/s. ","")&amp;IF(AND(X133&lt;&gt;"",X133&lt;SG_Criteria!$B$51),"FAIL: roof fixing pull-out below "&amp;SG_Criteria!$B$51&amp;" kN. ","")&amp;IF(AND(Y133&lt;&gt;"",IFERROR(VALUE(MID(Y133,2,2)),0)&lt;SG_Criteria!$B$52),"FAIL: grade below C"&amp;SG_Criteria!$B$52&amp;". ","")&amp;IF(E133="Non-standard (project design)","NOTE: not an SDRE standard, needs LTA acceptance. ","")))</f>
        <v/>
      </c>
      <c r="BD133" s="9"/>
      <c r="BE133" s="9"/>
      <c r="BF133" s="9"/>
      <c r="BG133" s="10" t="str">
        <f aca="false">IF(BF133="","",IFERROR(VLOOKUP(BF133,Projects!$A$5:$D$504,2,0),"Ref not in Projects"))</f>
        <v/>
      </c>
      <c r="BH133" s="10" t="str">
        <f aca="false">IF(BF133="","",IFERROR(VLOOKUP(BF133,Projects!$A$5:$D$504,4,0),"Ref not in Projects"))</f>
        <v/>
      </c>
      <c r="BI133" s="9"/>
      <c r="BJ133" s="9"/>
      <c r="BK133" s="9"/>
      <c r="BL133" s="40"/>
      <c r="BM133" s="9"/>
      <c r="BN133" s="40"/>
      <c r="BO133" s="9"/>
      <c r="BP133" s="40"/>
      <c r="BQ133" s="9"/>
      <c r="BR133" s="9"/>
      <c r="BS133" s="9"/>
      <c r="BT133" s="40"/>
      <c r="BU133" s="40"/>
      <c r="BV133" s="36" t="str">
        <f aca="false">IF(BU133="","",EDATE(BU133,SG_Criteria!$B$54*12))</f>
        <v/>
      </c>
      <c r="BW133" s="33" t="str">
        <f aca="true">IF(A133="","",IF(BU133="","NOTE: not reviewed yet",IF(TODAY()&gt;BV133,"NOTE: review overdue","OK")))</f>
        <v/>
      </c>
      <c r="BX133" s="37" t="str">
        <f aca="false">IF(A133="","",ROUND((IF(LEN(D133)&gt;0,1,0)+IF(LEN(E133)&gt;0,1,0)+IF(LEN(F133)&gt;0,1,0)+IF(LEN(G133)&gt;0,1,0)+IF(LEN(H133)&gt;0,1,0)+IF(LEN(I133)&gt;0,1,0)+IF(LEN(J133)&gt;0,1,0)+IF(LEN(K133)&gt;0,1,0)+IF(LEN(N133)&gt;0,1,0)+IF(LEN(O133)&gt;0,1,0)+IF(LEN(W133)&gt;0,1,0)+IF(LEN(X133)&gt;0,1,0)+IF(LEN(Y133)&gt;0,1,0)+IF(LEN(AG133)&gt;0,1,0)+IF(LEN(AI133)&gt;0,1,0)+IF(LEN(AJ133)&gt;0,1,0)+IF(LEN(AK133)&gt;0,1,0)+IF(LEN(AL133)&gt;0,1,0)+IF(LEN(AU133)&gt;0,1,0)+IF(LEN(BF133)&gt;0,1,0)+IF(LEN(BS133)&gt;0,1,0))/21,2))</f>
        <v/>
      </c>
      <c r="BY133" s="10" t="str">
        <f aca="false">IF(D133="","",IF(AND(AJ133="Approved",ISERROR(SEARCH("FAIL",BC133))),"Y","N"))</f>
        <v/>
      </c>
      <c r="BZ133" s="10" t="str">
        <f aca="false">IF(D133="","",D133&amp;"|"&amp;F133&amp;"|"&amp;G133&amp;"|"&amp;BY133)</f>
        <v/>
      </c>
    </row>
    <row r="134" customFormat="false" ht="15" hidden="false" customHeight="false" outlineLevel="0" collapsed="false">
      <c r="A134" s="10" t="str">
        <f aca="false">IF(D134="","","LKW-"&amp;IFERROR(VLOOKUP(D134,Lists!$AQ$4:$AR$17,2,0),"??")&amp;"-W"&amp;TEXT(F134*1000,"0000")&amp;"-H"&amp;TEXT(G134*1000,"0000")&amp;"-B"&amp;TEXT(H134*1000,"0000")&amp;"-"&amp;AI134)</f>
        <v/>
      </c>
      <c r="B134" s="10" t="str">
        <f aca="false">IF(D134="","",D134&amp;", "&amp;F134&amp;" m wide, "&amp;G134&amp;" m headroom, "&amp;H134&amp;" m bays, "&amp;I134&amp;" ("&amp;E134&amp;")")</f>
        <v/>
      </c>
      <c r="C134" s="9"/>
      <c r="D134" s="9"/>
      <c r="E134" s="9"/>
      <c r="F134" s="42"/>
      <c r="G134" s="42"/>
      <c r="H134" s="42"/>
      <c r="I134" s="9"/>
      <c r="J134" s="9"/>
      <c r="K134" s="9"/>
      <c r="L134" s="9"/>
      <c r="M134" s="9"/>
      <c r="N134" s="9"/>
      <c r="O134" s="9"/>
      <c r="P134" s="9"/>
      <c r="Q134" s="9"/>
      <c r="R134" s="9"/>
      <c r="S134" s="42"/>
      <c r="T134" s="9"/>
      <c r="U134" s="9"/>
      <c r="V134" s="9"/>
      <c r="W134" s="38"/>
      <c r="X134" s="42"/>
      <c r="Y134" s="9"/>
      <c r="Z134" s="9"/>
      <c r="AA134" s="9"/>
      <c r="AB134" s="42"/>
      <c r="AC134" s="9"/>
      <c r="AD134" s="38"/>
      <c r="AE134" s="9"/>
      <c r="AF134" s="39"/>
      <c r="AG134" s="9"/>
      <c r="AH134" s="9"/>
      <c r="AI134" s="9"/>
      <c r="AJ134" s="9"/>
      <c r="AK134" s="9"/>
      <c r="AL134" s="9"/>
      <c r="AM134" s="9"/>
      <c r="AN134" s="10" t="str">
        <f aca="false">IF(A134="","",SG_Criteria!$B$6&amp;SG_Criteria!$B$12&amp;"\"&amp;A134&amp;"\")</f>
        <v/>
      </c>
      <c r="AO134" s="10" t="str">
        <f aca="false">IF(A134="","",A134&amp;"_CAD.dwg")</f>
        <v/>
      </c>
      <c r="AP134" s="10" t="str">
        <f aca="false">IF(A134="","",A134&amp;"_DWG.pdf")</f>
        <v/>
      </c>
      <c r="AQ134" s="10" t="str">
        <f aca="false">IF(A134="","",IF(AM134="Y",A134&amp;"_STAAD.std","n/a"))</f>
        <v/>
      </c>
      <c r="AR134" s="10" t="str">
        <f aca="false">IF(A134="","",A134&amp;"_CALC.xlsx")</f>
        <v/>
      </c>
      <c r="AS134" s="10" t="str">
        <f aca="false">IF(A134="","",A134&amp;"_CALC.pdf")</f>
        <v/>
      </c>
      <c r="AT134" s="9"/>
      <c r="AU134" s="9"/>
      <c r="AV134" s="39"/>
      <c r="AW134" s="39"/>
      <c r="AX134" s="39"/>
      <c r="AY134" s="39"/>
      <c r="AZ134" s="39"/>
      <c r="BA134" s="12" t="str">
        <f aca="false">IF(A134="","",IF(COUNTIF(Rebar_Schedule!$A$5:$A$2004,A134)=0,"",ROUND(SUMIF(Rebar_Schedule!$A$5:$A$2004,A134,Rebar_Schedule!$K$5:$K$2004),1)))</f>
        <v/>
      </c>
      <c r="BB134" s="33" t="str">
        <f aca="false">IF(A134="","",IF(BA134="","No rebar schedule yet",IF(ABS(BA134-N(AW134))/MAX(N(AW134),1)&gt;SG_Criteria!$B$55,"NOTE: register rebar differs from schedule by "&amp;TEXT(ABS(BA134-N(AW134))/MAX(N(AW134),1),"0%"),"OK")))</f>
        <v/>
      </c>
      <c r="BC134" s="33" t="str">
        <f aca="false">IF(D134="","",IF(LEN(IF(AND(D134&lt;&gt;"High Covered Linkway",G134&lt;SG_Criteria!$B$46),"FAIL: headroom below "&amp;SG_Criteria!$B$46&amp;" m. ","")&amp;IF(AND(D134="High Covered Linkway",G134&lt;SG_Criteria!$B$47),"FAIL: high linkway headroom below "&amp;SG_Criteria!$B$47&amp;" m. ","")&amp;IF(F134&lt;SG_Criteria!$B$48,"FAIL: roof width below "&amp;SG_Criteria!$B$48&amp;" m. ",IF(F134&lt;SG_Criteria!$B$49,"NOTE: not for MRT/LRT or high-traffic routes (min "&amp;SG_Criteria!$B$49&amp;" m). ",""))&amp;IF(AND(W134&lt;&gt;"",W134&lt;SG_Criteria!$B$50),"FAIL: wind speed below "&amp;SG_Criteria!$B$50&amp;" m/s. ","")&amp;IF(AND(X134&lt;&gt;"",X134&lt;SG_Criteria!$B$51),"FAIL: roof fixing pull-out below "&amp;SG_Criteria!$B$51&amp;" kN. ","")&amp;IF(AND(Y134&lt;&gt;"",IFERROR(VALUE(MID(Y134,2,2)),0)&lt;SG_Criteria!$B$52),"FAIL: grade below C"&amp;SG_Criteria!$B$52&amp;". ","")&amp;IF(E134="Non-standard (project design)","NOTE: not an SDRE standard, needs LTA acceptance. ",""))=0,"OK",IF(AND(D134&lt;&gt;"High Covered Linkway",G134&lt;SG_Criteria!$B$46),"FAIL: headroom below "&amp;SG_Criteria!$B$46&amp;" m. ","")&amp;IF(AND(D134="High Covered Linkway",G134&lt;SG_Criteria!$B$47),"FAIL: high linkway headroom below "&amp;SG_Criteria!$B$47&amp;" m. ","")&amp;IF(F134&lt;SG_Criteria!$B$48,"FAIL: roof width below "&amp;SG_Criteria!$B$48&amp;" m. ",IF(F134&lt;SG_Criteria!$B$49,"NOTE: not for MRT/LRT or high-traffic routes (min "&amp;SG_Criteria!$B$49&amp;" m). ",""))&amp;IF(AND(W134&lt;&gt;"",W134&lt;SG_Criteria!$B$50),"FAIL: wind speed below "&amp;SG_Criteria!$B$50&amp;" m/s. ","")&amp;IF(AND(X134&lt;&gt;"",X134&lt;SG_Criteria!$B$51),"FAIL: roof fixing pull-out below "&amp;SG_Criteria!$B$51&amp;" kN. ","")&amp;IF(AND(Y134&lt;&gt;"",IFERROR(VALUE(MID(Y134,2,2)),0)&lt;SG_Criteria!$B$52),"FAIL: grade below C"&amp;SG_Criteria!$B$52&amp;". ","")&amp;IF(E134="Non-standard (project design)","NOTE: not an SDRE standard, needs LTA acceptance. ","")))</f>
        <v/>
      </c>
      <c r="BD134" s="9"/>
      <c r="BE134" s="9"/>
      <c r="BF134" s="9"/>
      <c r="BG134" s="10" t="str">
        <f aca="false">IF(BF134="","",IFERROR(VLOOKUP(BF134,Projects!$A$5:$D$504,2,0),"Ref not in Projects"))</f>
        <v/>
      </c>
      <c r="BH134" s="10" t="str">
        <f aca="false">IF(BF134="","",IFERROR(VLOOKUP(BF134,Projects!$A$5:$D$504,4,0),"Ref not in Projects"))</f>
        <v/>
      </c>
      <c r="BI134" s="9"/>
      <c r="BJ134" s="9"/>
      <c r="BK134" s="9"/>
      <c r="BL134" s="40"/>
      <c r="BM134" s="9"/>
      <c r="BN134" s="40"/>
      <c r="BO134" s="9"/>
      <c r="BP134" s="40"/>
      <c r="BQ134" s="9"/>
      <c r="BR134" s="9"/>
      <c r="BS134" s="9"/>
      <c r="BT134" s="40"/>
      <c r="BU134" s="40"/>
      <c r="BV134" s="36" t="str">
        <f aca="false">IF(BU134="","",EDATE(BU134,SG_Criteria!$B$54*12))</f>
        <v/>
      </c>
      <c r="BW134" s="33" t="str">
        <f aca="true">IF(A134="","",IF(BU134="","NOTE: not reviewed yet",IF(TODAY()&gt;BV134,"NOTE: review overdue","OK")))</f>
        <v/>
      </c>
      <c r="BX134" s="37" t="str">
        <f aca="false">IF(A134="","",ROUND((IF(LEN(D134)&gt;0,1,0)+IF(LEN(E134)&gt;0,1,0)+IF(LEN(F134)&gt;0,1,0)+IF(LEN(G134)&gt;0,1,0)+IF(LEN(H134)&gt;0,1,0)+IF(LEN(I134)&gt;0,1,0)+IF(LEN(J134)&gt;0,1,0)+IF(LEN(K134)&gt;0,1,0)+IF(LEN(N134)&gt;0,1,0)+IF(LEN(O134)&gt;0,1,0)+IF(LEN(W134)&gt;0,1,0)+IF(LEN(X134)&gt;0,1,0)+IF(LEN(Y134)&gt;0,1,0)+IF(LEN(AG134)&gt;0,1,0)+IF(LEN(AI134)&gt;0,1,0)+IF(LEN(AJ134)&gt;0,1,0)+IF(LEN(AK134)&gt;0,1,0)+IF(LEN(AL134)&gt;0,1,0)+IF(LEN(AU134)&gt;0,1,0)+IF(LEN(BF134)&gt;0,1,0)+IF(LEN(BS134)&gt;0,1,0))/21,2))</f>
        <v/>
      </c>
      <c r="BY134" s="10" t="str">
        <f aca="false">IF(D134="","",IF(AND(AJ134="Approved",ISERROR(SEARCH("FAIL",BC134))),"Y","N"))</f>
        <v/>
      </c>
      <c r="BZ134" s="10" t="str">
        <f aca="false">IF(D134="","",D134&amp;"|"&amp;F134&amp;"|"&amp;G134&amp;"|"&amp;BY134)</f>
        <v/>
      </c>
    </row>
    <row r="135" customFormat="false" ht="15" hidden="false" customHeight="false" outlineLevel="0" collapsed="false">
      <c r="A135" s="10" t="str">
        <f aca="false">IF(D135="","","LKW-"&amp;IFERROR(VLOOKUP(D135,Lists!$AQ$4:$AR$17,2,0),"??")&amp;"-W"&amp;TEXT(F135*1000,"0000")&amp;"-H"&amp;TEXT(G135*1000,"0000")&amp;"-B"&amp;TEXT(H135*1000,"0000")&amp;"-"&amp;AI135)</f>
        <v/>
      </c>
      <c r="B135" s="10" t="str">
        <f aca="false">IF(D135="","",D135&amp;", "&amp;F135&amp;" m wide, "&amp;G135&amp;" m headroom, "&amp;H135&amp;" m bays, "&amp;I135&amp;" ("&amp;E135&amp;")")</f>
        <v/>
      </c>
      <c r="C135" s="9"/>
      <c r="D135" s="9"/>
      <c r="E135" s="9"/>
      <c r="F135" s="42"/>
      <c r="G135" s="42"/>
      <c r="H135" s="42"/>
      <c r="I135" s="9"/>
      <c r="J135" s="9"/>
      <c r="K135" s="9"/>
      <c r="L135" s="9"/>
      <c r="M135" s="9"/>
      <c r="N135" s="9"/>
      <c r="O135" s="9"/>
      <c r="P135" s="9"/>
      <c r="Q135" s="9"/>
      <c r="R135" s="9"/>
      <c r="S135" s="42"/>
      <c r="T135" s="9"/>
      <c r="U135" s="9"/>
      <c r="V135" s="9"/>
      <c r="W135" s="38"/>
      <c r="X135" s="42"/>
      <c r="Y135" s="9"/>
      <c r="Z135" s="9"/>
      <c r="AA135" s="9"/>
      <c r="AB135" s="42"/>
      <c r="AC135" s="9"/>
      <c r="AD135" s="38"/>
      <c r="AE135" s="9"/>
      <c r="AF135" s="39"/>
      <c r="AG135" s="9"/>
      <c r="AH135" s="9"/>
      <c r="AI135" s="9"/>
      <c r="AJ135" s="9"/>
      <c r="AK135" s="9"/>
      <c r="AL135" s="9"/>
      <c r="AM135" s="9"/>
      <c r="AN135" s="10" t="str">
        <f aca="false">IF(A135="","",SG_Criteria!$B$6&amp;SG_Criteria!$B$12&amp;"\"&amp;A135&amp;"\")</f>
        <v/>
      </c>
      <c r="AO135" s="10" t="str">
        <f aca="false">IF(A135="","",A135&amp;"_CAD.dwg")</f>
        <v/>
      </c>
      <c r="AP135" s="10" t="str">
        <f aca="false">IF(A135="","",A135&amp;"_DWG.pdf")</f>
        <v/>
      </c>
      <c r="AQ135" s="10" t="str">
        <f aca="false">IF(A135="","",IF(AM135="Y",A135&amp;"_STAAD.std","n/a"))</f>
        <v/>
      </c>
      <c r="AR135" s="10" t="str">
        <f aca="false">IF(A135="","",A135&amp;"_CALC.xlsx")</f>
        <v/>
      </c>
      <c r="AS135" s="10" t="str">
        <f aca="false">IF(A135="","",A135&amp;"_CALC.pdf")</f>
        <v/>
      </c>
      <c r="AT135" s="9"/>
      <c r="AU135" s="9"/>
      <c r="AV135" s="39"/>
      <c r="AW135" s="39"/>
      <c r="AX135" s="39"/>
      <c r="AY135" s="39"/>
      <c r="AZ135" s="39"/>
      <c r="BA135" s="12" t="str">
        <f aca="false">IF(A135="","",IF(COUNTIF(Rebar_Schedule!$A$5:$A$2004,A135)=0,"",ROUND(SUMIF(Rebar_Schedule!$A$5:$A$2004,A135,Rebar_Schedule!$K$5:$K$2004),1)))</f>
        <v/>
      </c>
      <c r="BB135" s="33" t="str">
        <f aca="false">IF(A135="","",IF(BA135="","No rebar schedule yet",IF(ABS(BA135-N(AW135))/MAX(N(AW135),1)&gt;SG_Criteria!$B$55,"NOTE: register rebar differs from schedule by "&amp;TEXT(ABS(BA135-N(AW135))/MAX(N(AW135),1),"0%"),"OK")))</f>
        <v/>
      </c>
      <c r="BC135" s="33" t="str">
        <f aca="false">IF(D135="","",IF(LEN(IF(AND(D135&lt;&gt;"High Covered Linkway",G135&lt;SG_Criteria!$B$46),"FAIL: headroom below "&amp;SG_Criteria!$B$46&amp;" m. ","")&amp;IF(AND(D135="High Covered Linkway",G135&lt;SG_Criteria!$B$47),"FAIL: high linkway headroom below "&amp;SG_Criteria!$B$47&amp;" m. ","")&amp;IF(F135&lt;SG_Criteria!$B$48,"FAIL: roof width below "&amp;SG_Criteria!$B$48&amp;" m. ",IF(F135&lt;SG_Criteria!$B$49,"NOTE: not for MRT/LRT or high-traffic routes (min "&amp;SG_Criteria!$B$49&amp;" m). ",""))&amp;IF(AND(W135&lt;&gt;"",W135&lt;SG_Criteria!$B$50),"FAIL: wind speed below "&amp;SG_Criteria!$B$50&amp;" m/s. ","")&amp;IF(AND(X135&lt;&gt;"",X135&lt;SG_Criteria!$B$51),"FAIL: roof fixing pull-out below "&amp;SG_Criteria!$B$51&amp;" kN. ","")&amp;IF(AND(Y135&lt;&gt;"",IFERROR(VALUE(MID(Y135,2,2)),0)&lt;SG_Criteria!$B$52),"FAIL: grade below C"&amp;SG_Criteria!$B$52&amp;". ","")&amp;IF(E135="Non-standard (project design)","NOTE: not an SDRE standard, needs LTA acceptance. ",""))=0,"OK",IF(AND(D135&lt;&gt;"High Covered Linkway",G135&lt;SG_Criteria!$B$46),"FAIL: headroom below "&amp;SG_Criteria!$B$46&amp;" m. ","")&amp;IF(AND(D135="High Covered Linkway",G135&lt;SG_Criteria!$B$47),"FAIL: high linkway headroom below "&amp;SG_Criteria!$B$47&amp;" m. ","")&amp;IF(F135&lt;SG_Criteria!$B$48,"FAIL: roof width below "&amp;SG_Criteria!$B$48&amp;" m. ",IF(F135&lt;SG_Criteria!$B$49,"NOTE: not for MRT/LRT or high-traffic routes (min "&amp;SG_Criteria!$B$49&amp;" m). ",""))&amp;IF(AND(W135&lt;&gt;"",W135&lt;SG_Criteria!$B$50),"FAIL: wind speed below "&amp;SG_Criteria!$B$50&amp;" m/s. ","")&amp;IF(AND(X135&lt;&gt;"",X135&lt;SG_Criteria!$B$51),"FAIL: roof fixing pull-out below "&amp;SG_Criteria!$B$51&amp;" kN. ","")&amp;IF(AND(Y135&lt;&gt;"",IFERROR(VALUE(MID(Y135,2,2)),0)&lt;SG_Criteria!$B$52),"FAIL: grade below C"&amp;SG_Criteria!$B$52&amp;". ","")&amp;IF(E135="Non-standard (project design)","NOTE: not an SDRE standard, needs LTA acceptance. ","")))</f>
        <v/>
      </c>
      <c r="BD135" s="9"/>
      <c r="BE135" s="9"/>
      <c r="BF135" s="9"/>
      <c r="BG135" s="10" t="str">
        <f aca="false">IF(BF135="","",IFERROR(VLOOKUP(BF135,Projects!$A$5:$D$504,2,0),"Ref not in Projects"))</f>
        <v/>
      </c>
      <c r="BH135" s="10" t="str">
        <f aca="false">IF(BF135="","",IFERROR(VLOOKUP(BF135,Projects!$A$5:$D$504,4,0),"Ref not in Projects"))</f>
        <v/>
      </c>
      <c r="BI135" s="9"/>
      <c r="BJ135" s="9"/>
      <c r="BK135" s="9"/>
      <c r="BL135" s="40"/>
      <c r="BM135" s="9"/>
      <c r="BN135" s="40"/>
      <c r="BO135" s="9"/>
      <c r="BP135" s="40"/>
      <c r="BQ135" s="9"/>
      <c r="BR135" s="9"/>
      <c r="BS135" s="9"/>
      <c r="BT135" s="40"/>
      <c r="BU135" s="40"/>
      <c r="BV135" s="36" t="str">
        <f aca="false">IF(BU135="","",EDATE(BU135,SG_Criteria!$B$54*12))</f>
        <v/>
      </c>
      <c r="BW135" s="33" t="str">
        <f aca="true">IF(A135="","",IF(BU135="","NOTE: not reviewed yet",IF(TODAY()&gt;BV135,"NOTE: review overdue","OK")))</f>
        <v/>
      </c>
      <c r="BX135" s="37" t="str">
        <f aca="false">IF(A135="","",ROUND((IF(LEN(D135)&gt;0,1,0)+IF(LEN(E135)&gt;0,1,0)+IF(LEN(F135)&gt;0,1,0)+IF(LEN(G135)&gt;0,1,0)+IF(LEN(H135)&gt;0,1,0)+IF(LEN(I135)&gt;0,1,0)+IF(LEN(J135)&gt;0,1,0)+IF(LEN(K135)&gt;0,1,0)+IF(LEN(N135)&gt;0,1,0)+IF(LEN(O135)&gt;0,1,0)+IF(LEN(W135)&gt;0,1,0)+IF(LEN(X135)&gt;0,1,0)+IF(LEN(Y135)&gt;0,1,0)+IF(LEN(AG135)&gt;0,1,0)+IF(LEN(AI135)&gt;0,1,0)+IF(LEN(AJ135)&gt;0,1,0)+IF(LEN(AK135)&gt;0,1,0)+IF(LEN(AL135)&gt;0,1,0)+IF(LEN(AU135)&gt;0,1,0)+IF(LEN(BF135)&gt;0,1,0)+IF(LEN(BS135)&gt;0,1,0))/21,2))</f>
        <v/>
      </c>
      <c r="BY135" s="10" t="str">
        <f aca="false">IF(D135="","",IF(AND(AJ135="Approved",ISERROR(SEARCH("FAIL",BC135))),"Y","N"))</f>
        <v/>
      </c>
      <c r="BZ135" s="10" t="str">
        <f aca="false">IF(D135="","",D135&amp;"|"&amp;F135&amp;"|"&amp;G135&amp;"|"&amp;BY135)</f>
        <v/>
      </c>
    </row>
    <row r="136" customFormat="false" ht="15" hidden="false" customHeight="false" outlineLevel="0" collapsed="false">
      <c r="A136" s="10" t="str">
        <f aca="false">IF(D136="","","LKW-"&amp;IFERROR(VLOOKUP(D136,Lists!$AQ$4:$AR$17,2,0),"??")&amp;"-W"&amp;TEXT(F136*1000,"0000")&amp;"-H"&amp;TEXT(G136*1000,"0000")&amp;"-B"&amp;TEXT(H136*1000,"0000")&amp;"-"&amp;AI136)</f>
        <v/>
      </c>
      <c r="B136" s="10" t="str">
        <f aca="false">IF(D136="","",D136&amp;", "&amp;F136&amp;" m wide, "&amp;G136&amp;" m headroom, "&amp;H136&amp;" m bays, "&amp;I136&amp;" ("&amp;E136&amp;")")</f>
        <v/>
      </c>
      <c r="C136" s="9"/>
      <c r="D136" s="9"/>
      <c r="E136" s="9"/>
      <c r="F136" s="42"/>
      <c r="G136" s="42"/>
      <c r="H136" s="42"/>
      <c r="I136" s="9"/>
      <c r="J136" s="9"/>
      <c r="K136" s="9"/>
      <c r="L136" s="9"/>
      <c r="M136" s="9"/>
      <c r="N136" s="9"/>
      <c r="O136" s="9"/>
      <c r="P136" s="9"/>
      <c r="Q136" s="9"/>
      <c r="R136" s="9"/>
      <c r="S136" s="42"/>
      <c r="T136" s="9"/>
      <c r="U136" s="9"/>
      <c r="V136" s="9"/>
      <c r="W136" s="38"/>
      <c r="X136" s="42"/>
      <c r="Y136" s="9"/>
      <c r="Z136" s="9"/>
      <c r="AA136" s="9"/>
      <c r="AB136" s="42"/>
      <c r="AC136" s="9"/>
      <c r="AD136" s="38"/>
      <c r="AE136" s="9"/>
      <c r="AF136" s="39"/>
      <c r="AG136" s="9"/>
      <c r="AH136" s="9"/>
      <c r="AI136" s="9"/>
      <c r="AJ136" s="9"/>
      <c r="AK136" s="9"/>
      <c r="AL136" s="9"/>
      <c r="AM136" s="9"/>
      <c r="AN136" s="10" t="str">
        <f aca="false">IF(A136="","",SG_Criteria!$B$6&amp;SG_Criteria!$B$12&amp;"\"&amp;A136&amp;"\")</f>
        <v/>
      </c>
      <c r="AO136" s="10" t="str">
        <f aca="false">IF(A136="","",A136&amp;"_CAD.dwg")</f>
        <v/>
      </c>
      <c r="AP136" s="10" t="str">
        <f aca="false">IF(A136="","",A136&amp;"_DWG.pdf")</f>
        <v/>
      </c>
      <c r="AQ136" s="10" t="str">
        <f aca="false">IF(A136="","",IF(AM136="Y",A136&amp;"_STAAD.std","n/a"))</f>
        <v/>
      </c>
      <c r="AR136" s="10" t="str">
        <f aca="false">IF(A136="","",A136&amp;"_CALC.xlsx")</f>
        <v/>
      </c>
      <c r="AS136" s="10" t="str">
        <f aca="false">IF(A136="","",A136&amp;"_CALC.pdf")</f>
        <v/>
      </c>
      <c r="AT136" s="9"/>
      <c r="AU136" s="9"/>
      <c r="AV136" s="39"/>
      <c r="AW136" s="39"/>
      <c r="AX136" s="39"/>
      <c r="AY136" s="39"/>
      <c r="AZ136" s="39"/>
      <c r="BA136" s="12" t="str">
        <f aca="false">IF(A136="","",IF(COUNTIF(Rebar_Schedule!$A$5:$A$2004,A136)=0,"",ROUND(SUMIF(Rebar_Schedule!$A$5:$A$2004,A136,Rebar_Schedule!$K$5:$K$2004),1)))</f>
        <v/>
      </c>
      <c r="BB136" s="33" t="str">
        <f aca="false">IF(A136="","",IF(BA136="","No rebar schedule yet",IF(ABS(BA136-N(AW136))/MAX(N(AW136),1)&gt;SG_Criteria!$B$55,"NOTE: register rebar differs from schedule by "&amp;TEXT(ABS(BA136-N(AW136))/MAX(N(AW136),1),"0%"),"OK")))</f>
        <v/>
      </c>
      <c r="BC136" s="33" t="str">
        <f aca="false">IF(D136="","",IF(LEN(IF(AND(D136&lt;&gt;"High Covered Linkway",G136&lt;SG_Criteria!$B$46),"FAIL: headroom below "&amp;SG_Criteria!$B$46&amp;" m. ","")&amp;IF(AND(D136="High Covered Linkway",G136&lt;SG_Criteria!$B$47),"FAIL: high linkway headroom below "&amp;SG_Criteria!$B$47&amp;" m. ","")&amp;IF(F136&lt;SG_Criteria!$B$48,"FAIL: roof width below "&amp;SG_Criteria!$B$48&amp;" m. ",IF(F136&lt;SG_Criteria!$B$49,"NOTE: not for MRT/LRT or high-traffic routes (min "&amp;SG_Criteria!$B$49&amp;" m). ",""))&amp;IF(AND(W136&lt;&gt;"",W136&lt;SG_Criteria!$B$50),"FAIL: wind speed below "&amp;SG_Criteria!$B$50&amp;" m/s. ","")&amp;IF(AND(X136&lt;&gt;"",X136&lt;SG_Criteria!$B$51),"FAIL: roof fixing pull-out below "&amp;SG_Criteria!$B$51&amp;" kN. ","")&amp;IF(AND(Y136&lt;&gt;"",IFERROR(VALUE(MID(Y136,2,2)),0)&lt;SG_Criteria!$B$52),"FAIL: grade below C"&amp;SG_Criteria!$B$52&amp;". ","")&amp;IF(E136="Non-standard (project design)","NOTE: not an SDRE standard, needs LTA acceptance. ",""))=0,"OK",IF(AND(D136&lt;&gt;"High Covered Linkway",G136&lt;SG_Criteria!$B$46),"FAIL: headroom below "&amp;SG_Criteria!$B$46&amp;" m. ","")&amp;IF(AND(D136="High Covered Linkway",G136&lt;SG_Criteria!$B$47),"FAIL: high linkway headroom below "&amp;SG_Criteria!$B$47&amp;" m. ","")&amp;IF(F136&lt;SG_Criteria!$B$48,"FAIL: roof width below "&amp;SG_Criteria!$B$48&amp;" m. ",IF(F136&lt;SG_Criteria!$B$49,"NOTE: not for MRT/LRT or high-traffic routes (min "&amp;SG_Criteria!$B$49&amp;" m). ",""))&amp;IF(AND(W136&lt;&gt;"",W136&lt;SG_Criteria!$B$50),"FAIL: wind speed below "&amp;SG_Criteria!$B$50&amp;" m/s. ","")&amp;IF(AND(X136&lt;&gt;"",X136&lt;SG_Criteria!$B$51),"FAIL: roof fixing pull-out below "&amp;SG_Criteria!$B$51&amp;" kN. ","")&amp;IF(AND(Y136&lt;&gt;"",IFERROR(VALUE(MID(Y136,2,2)),0)&lt;SG_Criteria!$B$52),"FAIL: grade below C"&amp;SG_Criteria!$B$52&amp;". ","")&amp;IF(E136="Non-standard (project design)","NOTE: not an SDRE standard, needs LTA acceptance. ","")))</f>
        <v/>
      </c>
      <c r="BD136" s="9"/>
      <c r="BE136" s="9"/>
      <c r="BF136" s="9"/>
      <c r="BG136" s="10" t="str">
        <f aca="false">IF(BF136="","",IFERROR(VLOOKUP(BF136,Projects!$A$5:$D$504,2,0),"Ref not in Projects"))</f>
        <v/>
      </c>
      <c r="BH136" s="10" t="str">
        <f aca="false">IF(BF136="","",IFERROR(VLOOKUP(BF136,Projects!$A$5:$D$504,4,0),"Ref not in Projects"))</f>
        <v/>
      </c>
      <c r="BI136" s="9"/>
      <c r="BJ136" s="9"/>
      <c r="BK136" s="9"/>
      <c r="BL136" s="40"/>
      <c r="BM136" s="9"/>
      <c r="BN136" s="40"/>
      <c r="BO136" s="9"/>
      <c r="BP136" s="40"/>
      <c r="BQ136" s="9"/>
      <c r="BR136" s="9"/>
      <c r="BS136" s="9"/>
      <c r="BT136" s="40"/>
      <c r="BU136" s="40"/>
      <c r="BV136" s="36" t="str">
        <f aca="false">IF(BU136="","",EDATE(BU136,SG_Criteria!$B$54*12))</f>
        <v/>
      </c>
      <c r="BW136" s="33" t="str">
        <f aca="true">IF(A136="","",IF(BU136="","NOTE: not reviewed yet",IF(TODAY()&gt;BV136,"NOTE: review overdue","OK")))</f>
        <v/>
      </c>
      <c r="BX136" s="37" t="str">
        <f aca="false">IF(A136="","",ROUND((IF(LEN(D136)&gt;0,1,0)+IF(LEN(E136)&gt;0,1,0)+IF(LEN(F136)&gt;0,1,0)+IF(LEN(G136)&gt;0,1,0)+IF(LEN(H136)&gt;0,1,0)+IF(LEN(I136)&gt;0,1,0)+IF(LEN(J136)&gt;0,1,0)+IF(LEN(K136)&gt;0,1,0)+IF(LEN(N136)&gt;0,1,0)+IF(LEN(O136)&gt;0,1,0)+IF(LEN(W136)&gt;0,1,0)+IF(LEN(X136)&gt;0,1,0)+IF(LEN(Y136)&gt;0,1,0)+IF(LEN(AG136)&gt;0,1,0)+IF(LEN(AI136)&gt;0,1,0)+IF(LEN(AJ136)&gt;0,1,0)+IF(LEN(AK136)&gt;0,1,0)+IF(LEN(AL136)&gt;0,1,0)+IF(LEN(AU136)&gt;0,1,0)+IF(LEN(BF136)&gt;0,1,0)+IF(LEN(BS136)&gt;0,1,0))/21,2))</f>
        <v/>
      </c>
      <c r="BY136" s="10" t="str">
        <f aca="false">IF(D136="","",IF(AND(AJ136="Approved",ISERROR(SEARCH("FAIL",BC136))),"Y","N"))</f>
        <v/>
      </c>
      <c r="BZ136" s="10" t="str">
        <f aca="false">IF(D136="","",D136&amp;"|"&amp;F136&amp;"|"&amp;G136&amp;"|"&amp;BY136)</f>
        <v/>
      </c>
    </row>
    <row r="137" customFormat="false" ht="15" hidden="false" customHeight="false" outlineLevel="0" collapsed="false">
      <c r="A137" s="10" t="str">
        <f aca="false">IF(D137="","","LKW-"&amp;IFERROR(VLOOKUP(D137,Lists!$AQ$4:$AR$17,2,0),"??")&amp;"-W"&amp;TEXT(F137*1000,"0000")&amp;"-H"&amp;TEXT(G137*1000,"0000")&amp;"-B"&amp;TEXT(H137*1000,"0000")&amp;"-"&amp;AI137)</f>
        <v/>
      </c>
      <c r="B137" s="10" t="str">
        <f aca="false">IF(D137="","",D137&amp;", "&amp;F137&amp;" m wide, "&amp;G137&amp;" m headroom, "&amp;H137&amp;" m bays, "&amp;I137&amp;" ("&amp;E137&amp;")")</f>
        <v/>
      </c>
      <c r="C137" s="9"/>
      <c r="D137" s="9"/>
      <c r="E137" s="9"/>
      <c r="F137" s="42"/>
      <c r="G137" s="42"/>
      <c r="H137" s="42"/>
      <c r="I137" s="9"/>
      <c r="J137" s="9"/>
      <c r="K137" s="9"/>
      <c r="L137" s="9"/>
      <c r="M137" s="9"/>
      <c r="N137" s="9"/>
      <c r="O137" s="9"/>
      <c r="P137" s="9"/>
      <c r="Q137" s="9"/>
      <c r="R137" s="9"/>
      <c r="S137" s="42"/>
      <c r="T137" s="9"/>
      <c r="U137" s="9"/>
      <c r="V137" s="9"/>
      <c r="W137" s="38"/>
      <c r="X137" s="42"/>
      <c r="Y137" s="9"/>
      <c r="Z137" s="9"/>
      <c r="AA137" s="9"/>
      <c r="AB137" s="42"/>
      <c r="AC137" s="9"/>
      <c r="AD137" s="38"/>
      <c r="AE137" s="9"/>
      <c r="AF137" s="39"/>
      <c r="AG137" s="9"/>
      <c r="AH137" s="9"/>
      <c r="AI137" s="9"/>
      <c r="AJ137" s="9"/>
      <c r="AK137" s="9"/>
      <c r="AL137" s="9"/>
      <c r="AM137" s="9"/>
      <c r="AN137" s="10" t="str">
        <f aca="false">IF(A137="","",SG_Criteria!$B$6&amp;SG_Criteria!$B$12&amp;"\"&amp;A137&amp;"\")</f>
        <v/>
      </c>
      <c r="AO137" s="10" t="str">
        <f aca="false">IF(A137="","",A137&amp;"_CAD.dwg")</f>
        <v/>
      </c>
      <c r="AP137" s="10" t="str">
        <f aca="false">IF(A137="","",A137&amp;"_DWG.pdf")</f>
        <v/>
      </c>
      <c r="AQ137" s="10" t="str">
        <f aca="false">IF(A137="","",IF(AM137="Y",A137&amp;"_STAAD.std","n/a"))</f>
        <v/>
      </c>
      <c r="AR137" s="10" t="str">
        <f aca="false">IF(A137="","",A137&amp;"_CALC.xlsx")</f>
        <v/>
      </c>
      <c r="AS137" s="10" t="str">
        <f aca="false">IF(A137="","",A137&amp;"_CALC.pdf")</f>
        <v/>
      </c>
      <c r="AT137" s="9"/>
      <c r="AU137" s="9"/>
      <c r="AV137" s="39"/>
      <c r="AW137" s="39"/>
      <c r="AX137" s="39"/>
      <c r="AY137" s="39"/>
      <c r="AZ137" s="39"/>
      <c r="BA137" s="12" t="str">
        <f aca="false">IF(A137="","",IF(COUNTIF(Rebar_Schedule!$A$5:$A$2004,A137)=0,"",ROUND(SUMIF(Rebar_Schedule!$A$5:$A$2004,A137,Rebar_Schedule!$K$5:$K$2004),1)))</f>
        <v/>
      </c>
      <c r="BB137" s="33" t="str">
        <f aca="false">IF(A137="","",IF(BA137="","No rebar schedule yet",IF(ABS(BA137-N(AW137))/MAX(N(AW137),1)&gt;SG_Criteria!$B$55,"NOTE: register rebar differs from schedule by "&amp;TEXT(ABS(BA137-N(AW137))/MAX(N(AW137),1),"0%"),"OK")))</f>
        <v/>
      </c>
      <c r="BC137" s="33" t="str">
        <f aca="false">IF(D137="","",IF(LEN(IF(AND(D137&lt;&gt;"High Covered Linkway",G137&lt;SG_Criteria!$B$46),"FAIL: headroom below "&amp;SG_Criteria!$B$46&amp;" m. ","")&amp;IF(AND(D137="High Covered Linkway",G137&lt;SG_Criteria!$B$47),"FAIL: high linkway headroom below "&amp;SG_Criteria!$B$47&amp;" m. ","")&amp;IF(F137&lt;SG_Criteria!$B$48,"FAIL: roof width below "&amp;SG_Criteria!$B$48&amp;" m. ",IF(F137&lt;SG_Criteria!$B$49,"NOTE: not for MRT/LRT or high-traffic routes (min "&amp;SG_Criteria!$B$49&amp;" m). ",""))&amp;IF(AND(W137&lt;&gt;"",W137&lt;SG_Criteria!$B$50),"FAIL: wind speed below "&amp;SG_Criteria!$B$50&amp;" m/s. ","")&amp;IF(AND(X137&lt;&gt;"",X137&lt;SG_Criteria!$B$51),"FAIL: roof fixing pull-out below "&amp;SG_Criteria!$B$51&amp;" kN. ","")&amp;IF(AND(Y137&lt;&gt;"",IFERROR(VALUE(MID(Y137,2,2)),0)&lt;SG_Criteria!$B$52),"FAIL: grade below C"&amp;SG_Criteria!$B$52&amp;". ","")&amp;IF(E137="Non-standard (project design)","NOTE: not an SDRE standard, needs LTA acceptance. ",""))=0,"OK",IF(AND(D137&lt;&gt;"High Covered Linkway",G137&lt;SG_Criteria!$B$46),"FAIL: headroom below "&amp;SG_Criteria!$B$46&amp;" m. ","")&amp;IF(AND(D137="High Covered Linkway",G137&lt;SG_Criteria!$B$47),"FAIL: high linkway headroom below "&amp;SG_Criteria!$B$47&amp;" m. ","")&amp;IF(F137&lt;SG_Criteria!$B$48,"FAIL: roof width below "&amp;SG_Criteria!$B$48&amp;" m. ",IF(F137&lt;SG_Criteria!$B$49,"NOTE: not for MRT/LRT or high-traffic routes (min "&amp;SG_Criteria!$B$49&amp;" m). ",""))&amp;IF(AND(W137&lt;&gt;"",W137&lt;SG_Criteria!$B$50),"FAIL: wind speed below "&amp;SG_Criteria!$B$50&amp;" m/s. ","")&amp;IF(AND(X137&lt;&gt;"",X137&lt;SG_Criteria!$B$51),"FAIL: roof fixing pull-out below "&amp;SG_Criteria!$B$51&amp;" kN. ","")&amp;IF(AND(Y137&lt;&gt;"",IFERROR(VALUE(MID(Y137,2,2)),0)&lt;SG_Criteria!$B$52),"FAIL: grade below C"&amp;SG_Criteria!$B$52&amp;". ","")&amp;IF(E137="Non-standard (project design)","NOTE: not an SDRE standard, needs LTA acceptance. ","")))</f>
        <v/>
      </c>
      <c r="BD137" s="9"/>
      <c r="BE137" s="9"/>
      <c r="BF137" s="9"/>
      <c r="BG137" s="10" t="str">
        <f aca="false">IF(BF137="","",IFERROR(VLOOKUP(BF137,Projects!$A$5:$D$504,2,0),"Ref not in Projects"))</f>
        <v/>
      </c>
      <c r="BH137" s="10" t="str">
        <f aca="false">IF(BF137="","",IFERROR(VLOOKUP(BF137,Projects!$A$5:$D$504,4,0),"Ref not in Projects"))</f>
        <v/>
      </c>
      <c r="BI137" s="9"/>
      <c r="BJ137" s="9"/>
      <c r="BK137" s="9"/>
      <c r="BL137" s="40"/>
      <c r="BM137" s="9"/>
      <c r="BN137" s="40"/>
      <c r="BO137" s="9"/>
      <c r="BP137" s="40"/>
      <c r="BQ137" s="9"/>
      <c r="BR137" s="9"/>
      <c r="BS137" s="9"/>
      <c r="BT137" s="40"/>
      <c r="BU137" s="40"/>
      <c r="BV137" s="36" t="str">
        <f aca="false">IF(BU137="","",EDATE(BU137,SG_Criteria!$B$54*12))</f>
        <v/>
      </c>
      <c r="BW137" s="33" t="str">
        <f aca="true">IF(A137="","",IF(BU137="","NOTE: not reviewed yet",IF(TODAY()&gt;BV137,"NOTE: review overdue","OK")))</f>
        <v/>
      </c>
      <c r="BX137" s="37" t="str">
        <f aca="false">IF(A137="","",ROUND((IF(LEN(D137)&gt;0,1,0)+IF(LEN(E137)&gt;0,1,0)+IF(LEN(F137)&gt;0,1,0)+IF(LEN(G137)&gt;0,1,0)+IF(LEN(H137)&gt;0,1,0)+IF(LEN(I137)&gt;0,1,0)+IF(LEN(J137)&gt;0,1,0)+IF(LEN(K137)&gt;0,1,0)+IF(LEN(N137)&gt;0,1,0)+IF(LEN(O137)&gt;0,1,0)+IF(LEN(W137)&gt;0,1,0)+IF(LEN(X137)&gt;0,1,0)+IF(LEN(Y137)&gt;0,1,0)+IF(LEN(AG137)&gt;0,1,0)+IF(LEN(AI137)&gt;0,1,0)+IF(LEN(AJ137)&gt;0,1,0)+IF(LEN(AK137)&gt;0,1,0)+IF(LEN(AL137)&gt;0,1,0)+IF(LEN(AU137)&gt;0,1,0)+IF(LEN(BF137)&gt;0,1,0)+IF(LEN(BS137)&gt;0,1,0))/21,2))</f>
        <v/>
      </c>
      <c r="BY137" s="10" t="str">
        <f aca="false">IF(D137="","",IF(AND(AJ137="Approved",ISERROR(SEARCH("FAIL",BC137))),"Y","N"))</f>
        <v/>
      </c>
      <c r="BZ137" s="10" t="str">
        <f aca="false">IF(D137="","",D137&amp;"|"&amp;F137&amp;"|"&amp;G137&amp;"|"&amp;BY137)</f>
        <v/>
      </c>
    </row>
    <row r="138" customFormat="false" ht="15" hidden="false" customHeight="false" outlineLevel="0" collapsed="false">
      <c r="A138" s="10" t="str">
        <f aca="false">IF(D138="","","LKW-"&amp;IFERROR(VLOOKUP(D138,Lists!$AQ$4:$AR$17,2,0),"??")&amp;"-W"&amp;TEXT(F138*1000,"0000")&amp;"-H"&amp;TEXT(G138*1000,"0000")&amp;"-B"&amp;TEXT(H138*1000,"0000")&amp;"-"&amp;AI138)</f>
        <v/>
      </c>
      <c r="B138" s="10" t="str">
        <f aca="false">IF(D138="","",D138&amp;", "&amp;F138&amp;" m wide, "&amp;G138&amp;" m headroom, "&amp;H138&amp;" m bays, "&amp;I138&amp;" ("&amp;E138&amp;")")</f>
        <v/>
      </c>
      <c r="C138" s="9"/>
      <c r="D138" s="9"/>
      <c r="E138" s="9"/>
      <c r="F138" s="42"/>
      <c r="G138" s="42"/>
      <c r="H138" s="42"/>
      <c r="I138" s="9"/>
      <c r="J138" s="9"/>
      <c r="K138" s="9"/>
      <c r="L138" s="9"/>
      <c r="M138" s="9"/>
      <c r="N138" s="9"/>
      <c r="O138" s="9"/>
      <c r="P138" s="9"/>
      <c r="Q138" s="9"/>
      <c r="R138" s="9"/>
      <c r="S138" s="42"/>
      <c r="T138" s="9"/>
      <c r="U138" s="9"/>
      <c r="V138" s="9"/>
      <c r="W138" s="38"/>
      <c r="X138" s="42"/>
      <c r="Y138" s="9"/>
      <c r="Z138" s="9"/>
      <c r="AA138" s="9"/>
      <c r="AB138" s="42"/>
      <c r="AC138" s="9"/>
      <c r="AD138" s="38"/>
      <c r="AE138" s="9"/>
      <c r="AF138" s="39"/>
      <c r="AG138" s="9"/>
      <c r="AH138" s="9"/>
      <c r="AI138" s="9"/>
      <c r="AJ138" s="9"/>
      <c r="AK138" s="9"/>
      <c r="AL138" s="9"/>
      <c r="AM138" s="9"/>
      <c r="AN138" s="10" t="str">
        <f aca="false">IF(A138="","",SG_Criteria!$B$6&amp;SG_Criteria!$B$12&amp;"\"&amp;A138&amp;"\")</f>
        <v/>
      </c>
      <c r="AO138" s="10" t="str">
        <f aca="false">IF(A138="","",A138&amp;"_CAD.dwg")</f>
        <v/>
      </c>
      <c r="AP138" s="10" t="str">
        <f aca="false">IF(A138="","",A138&amp;"_DWG.pdf")</f>
        <v/>
      </c>
      <c r="AQ138" s="10" t="str">
        <f aca="false">IF(A138="","",IF(AM138="Y",A138&amp;"_STAAD.std","n/a"))</f>
        <v/>
      </c>
      <c r="AR138" s="10" t="str">
        <f aca="false">IF(A138="","",A138&amp;"_CALC.xlsx")</f>
        <v/>
      </c>
      <c r="AS138" s="10" t="str">
        <f aca="false">IF(A138="","",A138&amp;"_CALC.pdf")</f>
        <v/>
      </c>
      <c r="AT138" s="9"/>
      <c r="AU138" s="9"/>
      <c r="AV138" s="39"/>
      <c r="AW138" s="39"/>
      <c r="AX138" s="39"/>
      <c r="AY138" s="39"/>
      <c r="AZ138" s="39"/>
      <c r="BA138" s="12" t="str">
        <f aca="false">IF(A138="","",IF(COUNTIF(Rebar_Schedule!$A$5:$A$2004,A138)=0,"",ROUND(SUMIF(Rebar_Schedule!$A$5:$A$2004,A138,Rebar_Schedule!$K$5:$K$2004),1)))</f>
        <v/>
      </c>
      <c r="BB138" s="33" t="str">
        <f aca="false">IF(A138="","",IF(BA138="","No rebar schedule yet",IF(ABS(BA138-N(AW138))/MAX(N(AW138),1)&gt;SG_Criteria!$B$55,"NOTE: register rebar differs from schedule by "&amp;TEXT(ABS(BA138-N(AW138))/MAX(N(AW138),1),"0%"),"OK")))</f>
        <v/>
      </c>
      <c r="BC138" s="33" t="str">
        <f aca="false">IF(D138="","",IF(LEN(IF(AND(D138&lt;&gt;"High Covered Linkway",G138&lt;SG_Criteria!$B$46),"FAIL: headroom below "&amp;SG_Criteria!$B$46&amp;" m. ","")&amp;IF(AND(D138="High Covered Linkway",G138&lt;SG_Criteria!$B$47),"FAIL: high linkway headroom below "&amp;SG_Criteria!$B$47&amp;" m. ","")&amp;IF(F138&lt;SG_Criteria!$B$48,"FAIL: roof width below "&amp;SG_Criteria!$B$48&amp;" m. ",IF(F138&lt;SG_Criteria!$B$49,"NOTE: not for MRT/LRT or high-traffic routes (min "&amp;SG_Criteria!$B$49&amp;" m). ",""))&amp;IF(AND(W138&lt;&gt;"",W138&lt;SG_Criteria!$B$50),"FAIL: wind speed below "&amp;SG_Criteria!$B$50&amp;" m/s. ","")&amp;IF(AND(X138&lt;&gt;"",X138&lt;SG_Criteria!$B$51),"FAIL: roof fixing pull-out below "&amp;SG_Criteria!$B$51&amp;" kN. ","")&amp;IF(AND(Y138&lt;&gt;"",IFERROR(VALUE(MID(Y138,2,2)),0)&lt;SG_Criteria!$B$52),"FAIL: grade below C"&amp;SG_Criteria!$B$52&amp;". ","")&amp;IF(E138="Non-standard (project design)","NOTE: not an SDRE standard, needs LTA acceptance. ",""))=0,"OK",IF(AND(D138&lt;&gt;"High Covered Linkway",G138&lt;SG_Criteria!$B$46),"FAIL: headroom below "&amp;SG_Criteria!$B$46&amp;" m. ","")&amp;IF(AND(D138="High Covered Linkway",G138&lt;SG_Criteria!$B$47),"FAIL: high linkway headroom below "&amp;SG_Criteria!$B$47&amp;" m. ","")&amp;IF(F138&lt;SG_Criteria!$B$48,"FAIL: roof width below "&amp;SG_Criteria!$B$48&amp;" m. ",IF(F138&lt;SG_Criteria!$B$49,"NOTE: not for MRT/LRT or high-traffic routes (min "&amp;SG_Criteria!$B$49&amp;" m). ",""))&amp;IF(AND(W138&lt;&gt;"",W138&lt;SG_Criteria!$B$50),"FAIL: wind speed below "&amp;SG_Criteria!$B$50&amp;" m/s. ","")&amp;IF(AND(X138&lt;&gt;"",X138&lt;SG_Criteria!$B$51),"FAIL: roof fixing pull-out below "&amp;SG_Criteria!$B$51&amp;" kN. ","")&amp;IF(AND(Y138&lt;&gt;"",IFERROR(VALUE(MID(Y138,2,2)),0)&lt;SG_Criteria!$B$52),"FAIL: grade below C"&amp;SG_Criteria!$B$52&amp;". ","")&amp;IF(E138="Non-standard (project design)","NOTE: not an SDRE standard, needs LTA acceptance. ","")))</f>
        <v/>
      </c>
      <c r="BD138" s="9"/>
      <c r="BE138" s="9"/>
      <c r="BF138" s="9"/>
      <c r="BG138" s="10" t="str">
        <f aca="false">IF(BF138="","",IFERROR(VLOOKUP(BF138,Projects!$A$5:$D$504,2,0),"Ref not in Projects"))</f>
        <v/>
      </c>
      <c r="BH138" s="10" t="str">
        <f aca="false">IF(BF138="","",IFERROR(VLOOKUP(BF138,Projects!$A$5:$D$504,4,0),"Ref not in Projects"))</f>
        <v/>
      </c>
      <c r="BI138" s="9"/>
      <c r="BJ138" s="9"/>
      <c r="BK138" s="9"/>
      <c r="BL138" s="40"/>
      <c r="BM138" s="9"/>
      <c r="BN138" s="40"/>
      <c r="BO138" s="9"/>
      <c r="BP138" s="40"/>
      <c r="BQ138" s="9"/>
      <c r="BR138" s="9"/>
      <c r="BS138" s="9"/>
      <c r="BT138" s="40"/>
      <c r="BU138" s="40"/>
      <c r="BV138" s="36" t="str">
        <f aca="false">IF(BU138="","",EDATE(BU138,SG_Criteria!$B$54*12))</f>
        <v/>
      </c>
      <c r="BW138" s="33" t="str">
        <f aca="true">IF(A138="","",IF(BU138="","NOTE: not reviewed yet",IF(TODAY()&gt;BV138,"NOTE: review overdue","OK")))</f>
        <v/>
      </c>
      <c r="BX138" s="37" t="str">
        <f aca="false">IF(A138="","",ROUND((IF(LEN(D138)&gt;0,1,0)+IF(LEN(E138)&gt;0,1,0)+IF(LEN(F138)&gt;0,1,0)+IF(LEN(G138)&gt;0,1,0)+IF(LEN(H138)&gt;0,1,0)+IF(LEN(I138)&gt;0,1,0)+IF(LEN(J138)&gt;0,1,0)+IF(LEN(K138)&gt;0,1,0)+IF(LEN(N138)&gt;0,1,0)+IF(LEN(O138)&gt;0,1,0)+IF(LEN(W138)&gt;0,1,0)+IF(LEN(X138)&gt;0,1,0)+IF(LEN(Y138)&gt;0,1,0)+IF(LEN(AG138)&gt;0,1,0)+IF(LEN(AI138)&gt;0,1,0)+IF(LEN(AJ138)&gt;0,1,0)+IF(LEN(AK138)&gt;0,1,0)+IF(LEN(AL138)&gt;0,1,0)+IF(LEN(AU138)&gt;0,1,0)+IF(LEN(BF138)&gt;0,1,0)+IF(LEN(BS138)&gt;0,1,0))/21,2))</f>
        <v/>
      </c>
      <c r="BY138" s="10" t="str">
        <f aca="false">IF(D138="","",IF(AND(AJ138="Approved",ISERROR(SEARCH("FAIL",BC138))),"Y","N"))</f>
        <v/>
      </c>
      <c r="BZ138" s="10" t="str">
        <f aca="false">IF(D138="","",D138&amp;"|"&amp;F138&amp;"|"&amp;G138&amp;"|"&amp;BY138)</f>
        <v/>
      </c>
    </row>
    <row r="139" customFormat="false" ht="15" hidden="false" customHeight="false" outlineLevel="0" collapsed="false">
      <c r="A139" s="10" t="str">
        <f aca="false">IF(D139="","","LKW-"&amp;IFERROR(VLOOKUP(D139,Lists!$AQ$4:$AR$17,2,0),"??")&amp;"-W"&amp;TEXT(F139*1000,"0000")&amp;"-H"&amp;TEXT(G139*1000,"0000")&amp;"-B"&amp;TEXT(H139*1000,"0000")&amp;"-"&amp;AI139)</f>
        <v/>
      </c>
      <c r="B139" s="10" t="str">
        <f aca="false">IF(D139="","",D139&amp;", "&amp;F139&amp;" m wide, "&amp;G139&amp;" m headroom, "&amp;H139&amp;" m bays, "&amp;I139&amp;" ("&amp;E139&amp;")")</f>
        <v/>
      </c>
      <c r="C139" s="9"/>
      <c r="D139" s="9"/>
      <c r="E139" s="9"/>
      <c r="F139" s="42"/>
      <c r="G139" s="42"/>
      <c r="H139" s="42"/>
      <c r="I139" s="9"/>
      <c r="J139" s="9"/>
      <c r="K139" s="9"/>
      <c r="L139" s="9"/>
      <c r="M139" s="9"/>
      <c r="N139" s="9"/>
      <c r="O139" s="9"/>
      <c r="P139" s="9"/>
      <c r="Q139" s="9"/>
      <c r="R139" s="9"/>
      <c r="S139" s="42"/>
      <c r="T139" s="9"/>
      <c r="U139" s="9"/>
      <c r="V139" s="9"/>
      <c r="W139" s="38"/>
      <c r="X139" s="42"/>
      <c r="Y139" s="9"/>
      <c r="Z139" s="9"/>
      <c r="AA139" s="9"/>
      <c r="AB139" s="42"/>
      <c r="AC139" s="9"/>
      <c r="AD139" s="38"/>
      <c r="AE139" s="9"/>
      <c r="AF139" s="39"/>
      <c r="AG139" s="9"/>
      <c r="AH139" s="9"/>
      <c r="AI139" s="9"/>
      <c r="AJ139" s="9"/>
      <c r="AK139" s="9"/>
      <c r="AL139" s="9"/>
      <c r="AM139" s="9"/>
      <c r="AN139" s="10" t="str">
        <f aca="false">IF(A139="","",SG_Criteria!$B$6&amp;SG_Criteria!$B$12&amp;"\"&amp;A139&amp;"\")</f>
        <v/>
      </c>
      <c r="AO139" s="10" t="str">
        <f aca="false">IF(A139="","",A139&amp;"_CAD.dwg")</f>
        <v/>
      </c>
      <c r="AP139" s="10" t="str">
        <f aca="false">IF(A139="","",A139&amp;"_DWG.pdf")</f>
        <v/>
      </c>
      <c r="AQ139" s="10" t="str">
        <f aca="false">IF(A139="","",IF(AM139="Y",A139&amp;"_STAAD.std","n/a"))</f>
        <v/>
      </c>
      <c r="AR139" s="10" t="str">
        <f aca="false">IF(A139="","",A139&amp;"_CALC.xlsx")</f>
        <v/>
      </c>
      <c r="AS139" s="10" t="str">
        <f aca="false">IF(A139="","",A139&amp;"_CALC.pdf")</f>
        <v/>
      </c>
      <c r="AT139" s="9"/>
      <c r="AU139" s="9"/>
      <c r="AV139" s="39"/>
      <c r="AW139" s="39"/>
      <c r="AX139" s="39"/>
      <c r="AY139" s="39"/>
      <c r="AZ139" s="39"/>
      <c r="BA139" s="12" t="str">
        <f aca="false">IF(A139="","",IF(COUNTIF(Rebar_Schedule!$A$5:$A$2004,A139)=0,"",ROUND(SUMIF(Rebar_Schedule!$A$5:$A$2004,A139,Rebar_Schedule!$K$5:$K$2004),1)))</f>
        <v/>
      </c>
      <c r="BB139" s="33" t="str">
        <f aca="false">IF(A139="","",IF(BA139="","No rebar schedule yet",IF(ABS(BA139-N(AW139))/MAX(N(AW139),1)&gt;SG_Criteria!$B$55,"NOTE: register rebar differs from schedule by "&amp;TEXT(ABS(BA139-N(AW139))/MAX(N(AW139),1),"0%"),"OK")))</f>
        <v/>
      </c>
      <c r="BC139" s="33" t="str">
        <f aca="false">IF(D139="","",IF(LEN(IF(AND(D139&lt;&gt;"High Covered Linkway",G139&lt;SG_Criteria!$B$46),"FAIL: headroom below "&amp;SG_Criteria!$B$46&amp;" m. ","")&amp;IF(AND(D139="High Covered Linkway",G139&lt;SG_Criteria!$B$47),"FAIL: high linkway headroom below "&amp;SG_Criteria!$B$47&amp;" m. ","")&amp;IF(F139&lt;SG_Criteria!$B$48,"FAIL: roof width below "&amp;SG_Criteria!$B$48&amp;" m. ",IF(F139&lt;SG_Criteria!$B$49,"NOTE: not for MRT/LRT or high-traffic routes (min "&amp;SG_Criteria!$B$49&amp;" m). ",""))&amp;IF(AND(W139&lt;&gt;"",W139&lt;SG_Criteria!$B$50),"FAIL: wind speed below "&amp;SG_Criteria!$B$50&amp;" m/s. ","")&amp;IF(AND(X139&lt;&gt;"",X139&lt;SG_Criteria!$B$51),"FAIL: roof fixing pull-out below "&amp;SG_Criteria!$B$51&amp;" kN. ","")&amp;IF(AND(Y139&lt;&gt;"",IFERROR(VALUE(MID(Y139,2,2)),0)&lt;SG_Criteria!$B$52),"FAIL: grade below C"&amp;SG_Criteria!$B$52&amp;". ","")&amp;IF(E139="Non-standard (project design)","NOTE: not an SDRE standard, needs LTA acceptance. ",""))=0,"OK",IF(AND(D139&lt;&gt;"High Covered Linkway",G139&lt;SG_Criteria!$B$46),"FAIL: headroom below "&amp;SG_Criteria!$B$46&amp;" m. ","")&amp;IF(AND(D139="High Covered Linkway",G139&lt;SG_Criteria!$B$47),"FAIL: high linkway headroom below "&amp;SG_Criteria!$B$47&amp;" m. ","")&amp;IF(F139&lt;SG_Criteria!$B$48,"FAIL: roof width below "&amp;SG_Criteria!$B$48&amp;" m. ",IF(F139&lt;SG_Criteria!$B$49,"NOTE: not for MRT/LRT or high-traffic routes (min "&amp;SG_Criteria!$B$49&amp;" m). ",""))&amp;IF(AND(W139&lt;&gt;"",W139&lt;SG_Criteria!$B$50),"FAIL: wind speed below "&amp;SG_Criteria!$B$50&amp;" m/s. ","")&amp;IF(AND(X139&lt;&gt;"",X139&lt;SG_Criteria!$B$51),"FAIL: roof fixing pull-out below "&amp;SG_Criteria!$B$51&amp;" kN. ","")&amp;IF(AND(Y139&lt;&gt;"",IFERROR(VALUE(MID(Y139,2,2)),0)&lt;SG_Criteria!$B$52),"FAIL: grade below C"&amp;SG_Criteria!$B$52&amp;". ","")&amp;IF(E139="Non-standard (project design)","NOTE: not an SDRE standard, needs LTA acceptance. ","")))</f>
        <v/>
      </c>
      <c r="BD139" s="9"/>
      <c r="BE139" s="9"/>
      <c r="BF139" s="9"/>
      <c r="BG139" s="10" t="str">
        <f aca="false">IF(BF139="","",IFERROR(VLOOKUP(BF139,Projects!$A$5:$D$504,2,0),"Ref not in Projects"))</f>
        <v/>
      </c>
      <c r="BH139" s="10" t="str">
        <f aca="false">IF(BF139="","",IFERROR(VLOOKUP(BF139,Projects!$A$5:$D$504,4,0),"Ref not in Projects"))</f>
        <v/>
      </c>
      <c r="BI139" s="9"/>
      <c r="BJ139" s="9"/>
      <c r="BK139" s="9"/>
      <c r="BL139" s="40"/>
      <c r="BM139" s="9"/>
      <c r="BN139" s="40"/>
      <c r="BO139" s="9"/>
      <c r="BP139" s="40"/>
      <c r="BQ139" s="9"/>
      <c r="BR139" s="9"/>
      <c r="BS139" s="9"/>
      <c r="BT139" s="40"/>
      <c r="BU139" s="40"/>
      <c r="BV139" s="36" t="str">
        <f aca="false">IF(BU139="","",EDATE(BU139,SG_Criteria!$B$54*12))</f>
        <v/>
      </c>
      <c r="BW139" s="33" t="str">
        <f aca="true">IF(A139="","",IF(BU139="","NOTE: not reviewed yet",IF(TODAY()&gt;BV139,"NOTE: review overdue","OK")))</f>
        <v/>
      </c>
      <c r="BX139" s="37" t="str">
        <f aca="false">IF(A139="","",ROUND((IF(LEN(D139)&gt;0,1,0)+IF(LEN(E139)&gt;0,1,0)+IF(LEN(F139)&gt;0,1,0)+IF(LEN(G139)&gt;0,1,0)+IF(LEN(H139)&gt;0,1,0)+IF(LEN(I139)&gt;0,1,0)+IF(LEN(J139)&gt;0,1,0)+IF(LEN(K139)&gt;0,1,0)+IF(LEN(N139)&gt;0,1,0)+IF(LEN(O139)&gt;0,1,0)+IF(LEN(W139)&gt;0,1,0)+IF(LEN(X139)&gt;0,1,0)+IF(LEN(Y139)&gt;0,1,0)+IF(LEN(AG139)&gt;0,1,0)+IF(LEN(AI139)&gt;0,1,0)+IF(LEN(AJ139)&gt;0,1,0)+IF(LEN(AK139)&gt;0,1,0)+IF(LEN(AL139)&gt;0,1,0)+IF(LEN(AU139)&gt;0,1,0)+IF(LEN(BF139)&gt;0,1,0)+IF(LEN(BS139)&gt;0,1,0))/21,2))</f>
        <v/>
      </c>
      <c r="BY139" s="10" t="str">
        <f aca="false">IF(D139="","",IF(AND(AJ139="Approved",ISERROR(SEARCH("FAIL",BC139))),"Y","N"))</f>
        <v/>
      </c>
      <c r="BZ139" s="10" t="str">
        <f aca="false">IF(D139="","",D139&amp;"|"&amp;F139&amp;"|"&amp;G139&amp;"|"&amp;BY139)</f>
        <v/>
      </c>
    </row>
    <row r="140" customFormat="false" ht="15" hidden="false" customHeight="false" outlineLevel="0" collapsed="false">
      <c r="A140" s="10" t="str">
        <f aca="false">IF(D140="","","LKW-"&amp;IFERROR(VLOOKUP(D140,Lists!$AQ$4:$AR$17,2,0),"??")&amp;"-W"&amp;TEXT(F140*1000,"0000")&amp;"-H"&amp;TEXT(G140*1000,"0000")&amp;"-B"&amp;TEXT(H140*1000,"0000")&amp;"-"&amp;AI140)</f>
        <v/>
      </c>
      <c r="B140" s="10" t="str">
        <f aca="false">IF(D140="","",D140&amp;", "&amp;F140&amp;" m wide, "&amp;G140&amp;" m headroom, "&amp;H140&amp;" m bays, "&amp;I140&amp;" ("&amp;E140&amp;")")</f>
        <v/>
      </c>
      <c r="C140" s="9"/>
      <c r="D140" s="9"/>
      <c r="E140" s="9"/>
      <c r="F140" s="42"/>
      <c r="G140" s="42"/>
      <c r="H140" s="42"/>
      <c r="I140" s="9"/>
      <c r="J140" s="9"/>
      <c r="K140" s="9"/>
      <c r="L140" s="9"/>
      <c r="M140" s="9"/>
      <c r="N140" s="9"/>
      <c r="O140" s="9"/>
      <c r="P140" s="9"/>
      <c r="Q140" s="9"/>
      <c r="R140" s="9"/>
      <c r="S140" s="42"/>
      <c r="T140" s="9"/>
      <c r="U140" s="9"/>
      <c r="V140" s="9"/>
      <c r="W140" s="38"/>
      <c r="X140" s="42"/>
      <c r="Y140" s="9"/>
      <c r="Z140" s="9"/>
      <c r="AA140" s="9"/>
      <c r="AB140" s="42"/>
      <c r="AC140" s="9"/>
      <c r="AD140" s="38"/>
      <c r="AE140" s="9"/>
      <c r="AF140" s="39"/>
      <c r="AG140" s="9"/>
      <c r="AH140" s="9"/>
      <c r="AI140" s="9"/>
      <c r="AJ140" s="9"/>
      <c r="AK140" s="9"/>
      <c r="AL140" s="9"/>
      <c r="AM140" s="9"/>
      <c r="AN140" s="10" t="str">
        <f aca="false">IF(A140="","",SG_Criteria!$B$6&amp;SG_Criteria!$B$12&amp;"\"&amp;A140&amp;"\")</f>
        <v/>
      </c>
      <c r="AO140" s="10" t="str">
        <f aca="false">IF(A140="","",A140&amp;"_CAD.dwg")</f>
        <v/>
      </c>
      <c r="AP140" s="10" t="str">
        <f aca="false">IF(A140="","",A140&amp;"_DWG.pdf")</f>
        <v/>
      </c>
      <c r="AQ140" s="10" t="str">
        <f aca="false">IF(A140="","",IF(AM140="Y",A140&amp;"_STAAD.std","n/a"))</f>
        <v/>
      </c>
      <c r="AR140" s="10" t="str">
        <f aca="false">IF(A140="","",A140&amp;"_CALC.xlsx")</f>
        <v/>
      </c>
      <c r="AS140" s="10" t="str">
        <f aca="false">IF(A140="","",A140&amp;"_CALC.pdf")</f>
        <v/>
      </c>
      <c r="AT140" s="9"/>
      <c r="AU140" s="9"/>
      <c r="AV140" s="39"/>
      <c r="AW140" s="39"/>
      <c r="AX140" s="39"/>
      <c r="AY140" s="39"/>
      <c r="AZ140" s="39"/>
      <c r="BA140" s="12" t="str">
        <f aca="false">IF(A140="","",IF(COUNTIF(Rebar_Schedule!$A$5:$A$2004,A140)=0,"",ROUND(SUMIF(Rebar_Schedule!$A$5:$A$2004,A140,Rebar_Schedule!$K$5:$K$2004),1)))</f>
        <v/>
      </c>
      <c r="BB140" s="33" t="str">
        <f aca="false">IF(A140="","",IF(BA140="","No rebar schedule yet",IF(ABS(BA140-N(AW140))/MAX(N(AW140),1)&gt;SG_Criteria!$B$55,"NOTE: register rebar differs from schedule by "&amp;TEXT(ABS(BA140-N(AW140))/MAX(N(AW140),1),"0%"),"OK")))</f>
        <v/>
      </c>
      <c r="BC140" s="33" t="str">
        <f aca="false">IF(D140="","",IF(LEN(IF(AND(D140&lt;&gt;"High Covered Linkway",G140&lt;SG_Criteria!$B$46),"FAIL: headroom below "&amp;SG_Criteria!$B$46&amp;" m. ","")&amp;IF(AND(D140="High Covered Linkway",G140&lt;SG_Criteria!$B$47),"FAIL: high linkway headroom below "&amp;SG_Criteria!$B$47&amp;" m. ","")&amp;IF(F140&lt;SG_Criteria!$B$48,"FAIL: roof width below "&amp;SG_Criteria!$B$48&amp;" m. ",IF(F140&lt;SG_Criteria!$B$49,"NOTE: not for MRT/LRT or high-traffic routes (min "&amp;SG_Criteria!$B$49&amp;" m). ",""))&amp;IF(AND(W140&lt;&gt;"",W140&lt;SG_Criteria!$B$50),"FAIL: wind speed below "&amp;SG_Criteria!$B$50&amp;" m/s. ","")&amp;IF(AND(X140&lt;&gt;"",X140&lt;SG_Criteria!$B$51),"FAIL: roof fixing pull-out below "&amp;SG_Criteria!$B$51&amp;" kN. ","")&amp;IF(AND(Y140&lt;&gt;"",IFERROR(VALUE(MID(Y140,2,2)),0)&lt;SG_Criteria!$B$52),"FAIL: grade below C"&amp;SG_Criteria!$B$52&amp;". ","")&amp;IF(E140="Non-standard (project design)","NOTE: not an SDRE standard, needs LTA acceptance. ",""))=0,"OK",IF(AND(D140&lt;&gt;"High Covered Linkway",G140&lt;SG_Criteria!$B$46),"FAIL: headroom below "&amp;SG_Criteria!$B$46&amp;" m. ","")&amp;IF(AND(D140="High Covered Linkway",G140&lt;SG_Criteria!$B$47),"FAIL: high linkway headroom below "&amp;SG_Criteria!$B$47&amp;" m. ","")&amp;IF(F140&lt;SG_Criteria!$B$48,"FAIL: roof width below "&amp;SG_Criteria!$B$48&amp;" m. ",IF(F140&lt;SG_Criteria!$B$49,"NOTE: not for MRT/LRT or high-traffic routes (min "&amp;SG_Criteria!$B$49&amp;" m). ",""))&amp;IF(AND(W140&lt;&gt;"",W140&lt;SG_Criteria!$B$50),"FAIL: wind speed below "&amp;SG_Criteria!$B$50&amp;" m/s. ","")&amp;IF(AND(X140&lt;&gt;"",X140&lt;SG_Criteria!$B$51),"FAIL: roof fixing pull-out below "&amp;SG_Criteria!$B$51&amp;" kN. ","")&amp;IF(AND(Y140&lt;&gt;"",IFERROR(VALUE(MID(Y140,2,2)),0)&lt;SG_Criteria!$B$52),"FAIL: grade below C"&amp;SG_Criteria!$B$52&amp;". ","")&amp;IF(E140="Non-standard (project design)","NOTE: not an SDRE standard, needs LTA acceptance. ","")))</f>
        <v/>
      </c>
      <c r="BD140" s="9"/>
      <c r="BE140" s="9"/>
      <c r="BF140" s="9"/>
      <c r="BG140" s="10" t="str">
        <f aca="false">IF(BF140="","",IFERROR(VLOOKUP(BF140,Projects!$A$5:$D$504,2,0),"Ref not in Projects"))</f>
        <v/>
      </c>
      <c r="BH140" s="10" t="str">
        <f aca="false">IF(BF140="","",IFERROR(VLOOKUP(BF140,Projects!$A$5:$D$504,4,0),"Ref not in Projects"))</f>
        <v/>
      </c>
      <c r="BI140" s="9"/>
      <c r="BJ140" s="9"/>
      <c r="BK140" s="9"/>
      <c r="BL140" s="40"/>
      <c r="BM140" s="9"/>
      <c r="BN140" s="40"/>
      <c r="BO140" s="9"/>
      <c r="BP140" s="40"/>
      <c r="BQ140" s="9"/>
      <c r="BR140" s="9"/>
      <c r="BS140" s="9"/>
      <c r="BT140" s="40"/>
      <c r="BU140" s="40"/>
      <c r="BV140" s="36" t="str">
        <f aca="false">IF(BU140="","",EDATE(BU140,SG_Criteria!$B$54*12))</f>
        <v/>
      </c>
      <c r="BW140" s="33" t="str">
        <f aca="true">IF(A140="","",IF(BU140="","NOTE: not reviewed yet",IF(TODAY()&gt;BV140,"NOTE: review overdue","OK")))</f>
        <v/>
      </c>
      <c r="BX140" s="37" t="str">
        <f aca="false">IF(A140="","",ROUND((IF(LEN(D140)&gt;0,1,0)+IF(LEN(E140)&gt;0,1,0)+IF(LEN(F140)&gt;0,1,0)+IF(LEN(G140)&gt;0,1,0)+IF(LEN(H140)&gt;0,1,0)+IF(LEN(I140)&gt;0,1,0)+IF(LEN(J140)&gt;0,1,0)+IF(LEN(K140)&gt;0,1,0)+IF(LEN(N140)&gt;0,1,0)+IF(LEN(O140)&gt;0,1,0)+IF(LEN(W140)&gt;0,1,0)+IF(LEN(X140)&gt;0,1,0)+IF(LEN(Y140)&gt;0,1,0)+IF(LEN(AG140)&gt;0,1,0)+IF(LEN(AI140)&gt;0,1,0)+IF(LEN(AJ140)&gt;0,1,0)+IF(LEN(AK140)&gt;0,1,0)+IF(LEN(AL140)&gt;0,1,0)+IF(LEN(AU140)&gt;0,1,0)+IF(LEN(BF140)&gt;0,1,0)+IF(LEN(BS140)&gt;0,1,0))/21,2))</f>
        <v/>
      </c>
      <c r="BY140" s="10" t="str">
        <f aca="false">IF(D140="","",IF(AND(AJ140="Approved",ISERROR(SEARCH("FAIL",BC140))),"Y","N"))</f>
        <v/>
      </c>
      <c r="BZ140" s="10" t="str">
        <f aca="false">IF(D140="","",D140&amp;"|"&amp;F140&amp;"|"&amp;G140&amp;"|"&amp;BY140)</f>
        <v/>
      </c>
    </row>
    <row r="141" customFormat="false" ht="15" hidden="false" customHeight="false" outlineLevel="0" collapsed="false">
      <c r="A141" s="10" t="str">
        <f aca="false">IF(D141="","","LKW-"&amp;IFERROR(VLOOKUP(D141,Lists!$AQ$4:$AR$17,2,0),"??")&amp;"-W"&amp;TEXT(F141*1000,"0000")&amp;"-H"&amp;TEXT(G141*1000,"0000")&amp;"-B"&amp;TEXT(H141*1000,"0000")&amp;"-"&amp;AI141)</f>
        <v/>
      </c>
      <c r="B141" s="10" t="str">
        <f aca="false">IF(D141="","",D141&amp;", "&amp;F141&amp;" m wide, "&amp;G141&amp;" m headroom, "&amp;H141&amp;" m bays, "&amp;I141&amp;" ("&amp;E141&amp;")")</f>
        <v/>
      </c>
      <c r="C141" s="9"/>
      <c r="D141" s="9"/>
      <c r="E141" s="9"/>
      <c r="F141" s="42"/>
      <c r="G141" s="42"/>
      <c r="H141" s="42"/>
      <c r="I141" s="9"/>
      <c r="J141" s="9"/>
      <c r="K141" s="9"/>
      <c r="L141" s="9"/>
      <c r="M141" s="9"/>
      <c r="N141" s="9"/>
      <c r="O141" s="9"/>
      <c r="P141" s="9"/>
      <c r="Q141" s="9"/>
      <c r="R141" s="9"/>
      <c r="S141" s="42"/>
      <c r="T141" s="9"/>
      <c r="U141" s="9"/>
      <c r="V141" s="9"/>
      <c r="W141" s="38"/>
      <c r="X141" s="42"/>
      <c r="Y141" s="9"/>
      <c r="Z141" s="9"/>
      <c r="AA141" s="9"/>
      <c r="AB141" s="42"/>
      <c r="AC141" s="9"/>
      <c r="AD141" s="38"/>
      <c r="AE141" s="9"/>
      <c r="AF141" s="39"/>
      <c r="AG141" s="9"/>
      <c r="AH141" s="9"/>
      <c r="AI141" s="9"/>
      <c r="AJ141" s="9"/>
      <c r="AK141" s="9"/>
      <c r="AL141" s="9"/>
      <c r="AM141" s="9"/>
      <c r="AN141" s="10" t="str">
        <f aca="false">IF(A141="","",SG_Criteria!$B$6&amp;SG_Criteria!$B$12&amp;"\"&amp;A141&amp;"\")</f>
        <v/>
      </c>
      <c r="AO141" s="10" t="str">
        <f aca="false">IF(A141="","",A141&amp;"_CAD.dwg")</f>
        <v/>
      </c>
      <c r="AP141" s="10" t="str">
        <f aca="false">IF(A141="","",A141&amp;"_DWG.pdf")</f>
        <v/>
      </c>
      <c r="AQ141" s="10" t="str">
        <f aca="false">IF(A141="","",IF(AM141="Y",A141&amp;"_STAAD.std","n/a"))</f>
        <v/>
      </c>
      <c r="AR141" s="10" t="str">
        <f aca="false">IF(A141="","",A141&amp;"_CALC.xlsx")</f>
        <v/>
      </c>
      <c r="AS141" s="10" t="str">
        <f aca="false">IF(A141="","",A141&amp;"_CALC.pdf")</f>
        <v/>
      </c>
      <c r="AT141" s="9"/>
      <c r="AU141" s="9"/>
      <c r="AV141" s="39"/>
      <c r="AW141" s="39"/>
      <c r="AX141" s="39"/>
      <c r="AY141" s="39"/>
      <c r="AZ141" s="39"/>
      <c r="BA141" s="12" t="str">
        <f aca="false">IF(A141="","",IF(COUNTIF(Rebar_Schedule!$A$5:$A$2004,A141)=0,"",ROUND(SUMIF(Rebar_Schedule!$A$5:$A$2004,A141,Rebar_Schedule!$K$5:$K$2004),1)))</f>
        <v/>
      </c>
      <c r="BB141" s="33" t="str">
        <f aca="false">IF(A141="","",IF(BA141="","No rebar schedule yet",IF(ABS(BA141-N(AW141))/MAX(N(AW141),1)&gt;SG_Criteria!$B$55,"NOTE: register rebar differs from schedule by "&amp;TEXT(ABS(BA141-N(AW141))/MAX(N(AW141),1),"0%"),"OK")))</f>
        <v/>
      </c>
      <c r="BC141" s="33" t="str">
        <f aca="false">IF(D141="","",IF(LEN(IF(AND(D141&lt;&gt;"High Covered Linkway",G141&lt;SG_Criteria!$B$46),"FAIL: headroom below "&amp;SG_Criteria!$B$46&amp;" m. ","")&amp;IF(AND(D141="High Covered Linkway",G141&lt;SG_Criteria!$B$47),"FAIL: high linkway headroom below "&amp;SG_Criteria!$B$47&amp;" m. ","")&amp;IF(F141&lt;SG_Criteria!$B$48,"FAIL: roof width below "&amp;SG_Criteria!$B$48&amp;" m. ",IF(F141&lt;SG_Criteria!$B$49,"NOTE: not for MRT/LRT or high-traffic routes (min "&amp;SG_Criteria!$B$49&amp;" m). ",""))&amp;IF(AND(W141&lt;&gt;"",W141&lt;SG_Criteria!$B$50),"FAIL: wind speed below "&amp;SG_Criteria!$B$50&amp;" m/s. ","")&amp;IF(AND(X141&lt;&gt;"",X141&lt;SG_Criteria!$B$51),"FAIL: roof fixing pull-out below "&amp;SG_Criteria!$B$51&amp;" kN. ","")&amp;IF(AND(Y141&lt;&gt;"",IFERROR(VALUE(MID(Y141,2,2)),0)&lt;SG_Criteria!$B$52),"FAIL: grade below C"&amp;SG_Criteria!$B$52&amp;". ","")&amp;IF(E141="Non-standard (project design)","NOTE: not an SDRE standard, needs LTA acceptance. ",""))=0,"OK",IF(AND(D141&lt;&gt;"High Covered Linkway",G141&lt;SG_Criteria!$B$46),"FAIL: headroom below "&amp;SG_Criteria!$B$46&amp;" m. ","")&amp;IF(AND(D141="High Covered Linkway",G141&lt;SG_Criteria!$B$47),"FAIL: high linkway headroom below "&amp;SG_Criteria!$B$47&amp;" m. ","")&amp;IF(F141&lt;SG_Criteria!$B$48,"FAIL: roof width below "&amp;SG_Criteria!$B$48&amp;" m. ",IF(F141&lt;SG_Criteria!$B$49,"NOTE: not for MRT/LRT or high-traffic routes (min "&amp;SG_Criteria!$B$49&amp;" m). ",""))&amp;IF(AND(W141&lt;&gt;"",W141&lt;SG_Criteria!$B$50),"FAIL: wind speed below "&amp;SG_Criteria!$B$50&amp;" m/s. ","")&amp;IF(AND(X141&lt;&gt;"",X141&lt;SG_Criteria!$B$51),"FAIL: roof fixing pull-out below "&amp;SG_Criteria!$B$51&amp;" kN. ","")&amp;IF(AND(Y141&lt;&gt;"",IFERROR(VALUE(MID(Y141,2,2)),0)&lt;SG_Criteria!$B$52),"FAIL: grade below C"&amp;SG_Criteria!$B$52&amp;". ","")&amp;IF(E141="Non-standard (project design)","NOTE: not an SDRE standard, needs LTA acceptance. ","")))</f>
        <v/>
      </c>
      <c r="BD141" s="9"/>
      <c r="BE141" s="9"/>
      <c r="BF141" s="9"/>
      <c r="BG141" s="10" t="str">
        <f aca="false">IF(BF141="","",IFERROR(VLOOKUP(BF141,Projects!$A$5:$D$504,2,0),"Ref not in Projects"))</f>
        <v/>
      </c>
      <c r="BH141" s="10" t="str">
        <f aca="false">IF(BF141="","",IFERROR(VLOOKUP(BF141,Projects!$A$5:$D$504,4,0),"Ref not in Projects"))</f>
        <v/>
      </c>
      <c r="BI141" s="9"/>
      <c r="BJ141" s="9"/>
      <c r="BK141" s="9"/>
      <c r="BL141" s="40"/>
      <c r="BM141" s="9"/>
      <c r="BN141" s="40"/>
      <c r="BO141" s="9"/>
      <c r="BP141" s="40"/>
      <c r="BQ141" s="9"/>
      <c r="BR141" s="9"/>
      <c r="BS141" s="9"/>
      <c r="BT141" s="40"/>
      <c r="BU141" s="40"/>
      <c r="BV141" s="36" t="str">
        <f aca="false">IF(BU141="","",EDATE(BU141,SG_Criteria!$B$54*12))</f>
        <v/>
      </c>
      <c r="BW141" s="33" t="str">
        <f aca="true">IF(A141="","",IF(BU141="","NOTE: not reviewed yet",IF(TODAY()&gt;BV141,"NOTE: review overdue","OK")))</f>
        <v/>
      </c>
      <c r="BX141" s="37" t="str">
        <f aca="false">IF(A141="","",ROUND((IF(LEN(D141)&gt;0,1,0)+IF(LEN(E141)&gt;0,1,0)+IF(LEN(F141)&gt;0,1,0)+IF(LEN(G141)&gt;0,1,0)+IF(LEN(H141)&gt;0,1,0)+IF(LEN(I141)&gt;0,1,0)+IF(LEN(J141)&gt;0,1,0)+IF(LEN(K141)&gt;0,1,0)+IF(LEN(N141)&gt;0,1,0)+IF(LEN(O141)&gt;0,1,0)+IF(LEN(W141)&gt;0,1,0)+IF(LEN(X141)&gt;0,1,0)+IF(LEN(Y141)&gt;0,1,0)+IF(LEN(AG141)&gt;0,1,0)+IF(LEN(AI141)&gt;0,1,0)+IF(LEN(AJ141)&gt;0,1,0)+IF(LEN(AK141)&gt;0,1,0)+IF(LEN(AL141)&gt;0,1,0)+IF(LEN(AU141)&gt;0,1,0)+IF(LEN(BF141)&gt;0,1,0)+IF(LEN(BS141)&gt;0,1,0))/21,2))</f>
        <v/>
      </c>
      <c r="BY141" s="10" t="str">
        <f aca="false">IF(D141="","",IF(AND(AJ141="Approved",ISERROR(SEARCH("FAIL",BC141))),"Y","N"))</f>
        <v/>
      </c>
      <c r="BZ141" s="10" t="str">
        <f aca="false">IF(D141="","",D141&amp;"|"&amp;F141&amp;"|"&amp;G141&amp;"|"&amp;BY141)</f>
        <v/>
      </c>
    </row>
    <row r="142" customFormat="false" ht="15" hidden="false" customHeight="false" outlineLevel="0" collapsed="false">
      <c r="A142" s="10" t="str">
        <f aca="false">IF(D142="","","LKW-"&amp;IFERROR(VLOOKUP(D142,Lists!$AQ$4:$AR$17,2,0),"??")&amp;"-W"&amp;TEXT(F142*1000,"0000")&amp;"-H"&amp;TEXT(G142*1000,"0000")&amp;"-B"&amp;TEXT(H142*1000,"0000")&amp;"-"&amp;AI142)</f>
        <v/>
      </c>
      <c r="B142" s="10" t="str">
        <f aca="false">IF(D142="","",D142&amp;", "&amp;F142&amp;" m wide, "&amp;G142&amp;" m headroom, "&amp;H142&amp;" m bays, "&amp;I142&amp;" ("&amp;E142&amp;")")</f>
        <v/>
      </c>
      <c r="C142" s="9"/>
      <c r="D142" s="9"/>
      <c r="E142" s="9"/>
      <c r="F142" s="42"/>
      <c r="G142" s="42"/>
      <c r="H142" s="42"/>
      <c r="I142" s="9"/>
      <c r="J142" s="9"/>
      <c r="K142" s="9"/>
      <c r="L142" s="9"/>
      <c r="M142" s="9"/>
      <c r="N142" s="9"/>
      <c r="O142" s="9"/>
      <c r="P142" s="9"/>
      <c r="Q142" s="9"/>
      <c r="R142" s="9"/>
      <c r="S142" s="42"/>
      <c r="T142" s="9"/>
      <c r="U142" s="9"/>
      <c r="V142" s="9"/>
      <c r="W142" s="38"/>
      <c r="X142" s="42"/>
      <c r="Y142" s="9"/>
      <c r="Z142" s="9"/>
      <c r="AA142" s="9"/>
      <c r="AB142" s="42"/>
      <c r="AC142" s="9"/>
      <c r="AD142" s="38"/>
      <c r="AE142" s="9"/>
      <c r="AF142" s="39"/>
      <c r="AG142" s="9"/>
      <c r="AH142" s="9"/>
      <c r="AI142" s="9"/>
      <c r="AJ142" s="9"/>
      <c r="AK142" s="9"/>
      <c r="AL142" s="9"/>
      <c r="AM142" s="9"/>
      <c r="AN142" s="10" t="str">
        <f aca="false">IF(A142="","",SG_Criteria!$B$6&amp;SG_Criteria!$B$12&amp;"\"&amp;A142&amp;"\")</f>
        <v/>
      </c>
      <c r="AO142" s="10" t="str">
        <f aca="false">IF(A142="","",A142&amp;"_CAD.dwg")</f>
        <v/>
      </c>
      <c r="AP142" s="10" t="str">
        <f aca="false">IF(A142="","",A142&amp;"_DWG.pdf")</f>
        <v/>
      </c>
      <c r="AQ142" s="10" t="str">
        <f aca="false">IF(A142="","",IF(AM142="Y",A142&amp;"_STAAD.std","n/a"))</f>
        <v/>
      </c>
      <c r="AR142" s="10" t="str">
        <f aca="false">IF(A142="","",A142&amp;"_CALC.xlsx")</f>
        <v/>
      </c>
      <c r="AS142" s="10" t="str">
        <f aca="false">IF(A142="","",A142&amp;"_CALC.pdf")</f>
        <v/>
      </c>
      <c r="AT142" s="9"/>
      <c r="AU142" s="9"/>
      <c r="AV142" s="39"/>
      <c r="AW142" s="39"/>
      <c r="AX142" s="39"/>
      <c r="AY142" s="39"/>
      <c r="AZ142" s="39"/>
      <c r="BA142" s="12" t="str">
        <f aca="false">IF(A142="","",IF(COUNTIF(Rebar_Schedule!$A$5:$A$2004,A142)=0,"",ROUND(SUMIF(Rebar_Schedule!$A$5:$A$2004,A142,Rebar_Schedule!$K$5:$K$2004),1)))</f>
        <v/>
      </c>
      <c r="BB142" s="33" t="str">
        <f aca="false">IF(A142="","",IF(BA142="","No rebar schedule yet",IF(ABS(BA142-N(AW142))/MAX(N(AW142),1)&gt;SG_Criteria!$B$55,"NOTE: register rebar differs from schedule by "&amp;TEXT(ABS(BA142-N(AW142))/MAX(N(AW142),1),"0%"),"OK")))</f>
        <v/>
      </c>
      <c r="BC142" s="33" t="str">
        <f aca="false">IF(D142="","",IF(LEN(IF(AND(D142&lt;&gt;"High Covered Linkway",G142&lt;SG_Criteria!$B$46),"FAIL: headroom below "&amp;SG_Criteria!$B$46&amp;" m. ","")&amp;IF(AND(D142="High Covered Linkway",G142&lt;SG_Criteria!$B$47),"FAIL: high linkway headroom below "&amp;SG_Criteria!$B$47&amp;" m. ","")&amp;IF(F142&lt;SG_Criteria!$B$48,"FAIL: roof width below "&amp;SG_Criteria!$B$48&amp;" m. ",IF(F142&lt;SG_Criteria!$B$49,"NOTE: not for MRT/LRT or high-traffic routes (min "&amp;SG_Criteria!$B$49&amp;" m). ",""))&amp;IF(AND(W142&lt;&gt;"",W142&lt;SG_Criteria!$B$50),"FAIL: wind speed below "&amp;SG_Criteria!$B$50&amp;" m/s. ","")&amp;IF(AND(X142&lt;&gt;"",X142&lt;SG_Criteria!$B$51),"FAIL: roof fixing pull-out below "&amp;SG_Criteria!$B$51&amp;" kN. ","")&amp;IF(AND(Y142&lt;&gt;"",IFERROR(VALUE(MID(Y142,2,2)),0)&lt;SG_Criteria!$B$52),"FAIL: grade below C"&amp;SG_Criteria!$B$52&amp;". ","")&amp;IF(E142="Non-standard (project design)","NOTE: not an SDRE standard, needs LTA acceptance. ",""))=0,"OK",IF(AND(D142&lt;&gt;"High Covered Linkway",G142&lt;SG_Criteria!$B$46),"FAIL: headroom below "&amp;SG_Criteria!$B$46&amp;" m. ","")&amp;IF(AND(D142="High Covered Linkway",G142&lt;SG_Criteria!$B$47),"FAIL: high linkway headroom below "&amp;SG_Criteria!$B$47&amp;" m. ","")&amp;IF(F142&lt;SG_Criteria!$B$48,"FAIL: roof width below "&amp;SG_Criteria!$B$48&amp;" m. ",IF(F142&lt;SG_Criteria!$B$49,"NOTE: not for MRT/LRT or high-traffic routes (min "&amp;SG_Criteria!$B$49&amp;" m). ",""))&amp;IF(AND(W142&lt;&gt;"",W142&lt;SG_Criteria!$B$50),"FAIL: wind speed below "&amp;SG_Criteria!$B$50&amp;" m/s. ","")&amp;IF(AND(X142&lt;&gt;"",X142&lt;SG_Criteria!$B$51),"FAIL: roof fixing pull-out below "&amp;SG_Criteria!$B$51&amp;" kN. ","")&amp;IF(AND(Y142&lt;&gt;"",IFERROR(VALUE(MID(Y142,2,2)),0)&lt;SG_Criteria!$B$52),"FAIL: grade below C"&amp;SG_Criteria!$B$52&amp;". ","")&amp;IF(E142="Non-standard (project design)","NOTE: not an SDRE standard, needs LTA acceptance. ","")))</f>
        <v/>
      </c>
      <c r="BD142" s="9"/>
      <c r="BE142" s="9"/>
      <c r="BF142" s="9"/>
      <c r="BG142" s="10" t="str">
        <f aca="false">IF(BF142="","",IFERROR(VLOOKUP(BF142,Projects!$A$5:$D$504,2,0),"Ref not in Projects"))</f>
        <v/>
      </c>
      <c r="BH142" s="10" t="str">
        <f aca="false">IF(BF142="","",IFERROR(VLOOKUP(BF142,Projects!$A$5:$D$504,4,0),"Ref not in Projects"))</f>
        <v/>
      </c>
      <c r="BI142" s="9"/>
      <c r="BJ142" s="9"/>
      <c r="BK142" s="9"/>
      <c r="BL142" s="40"/>
      <c r="BM142" s="9"/>
      <c r="BN142" s="40"/>
      <c r="BO142" s="9"/>
      <c r="BP142" s="40"/>
      <c r="BQ142" s="9"/>
      <c r="BR142" s="9"/>
      <c r="BS142" s="9"/>
      <c r="BT142" s="40"/>
      <c r="BU142" s="40"/>
      <c r="BV142" s="36" t="str">
        <f aca="false">IF(BU142="","",EDATE(BU142,SG_Criteria!$B$54*12))</f>
        <v/>
      </c>
      <c r="BW142" s="33" t="str">
        <f aca="true">IF(A142="","",IF(BU142="","NOTE: not reviewed yet",IF(TODAY()&gt;BV142,"NOTE: review overdue","OK")))</f>
        <v/>
      </c>
      <c r="BX142" s="37" t="str">
        <f aca="false">IF(A142="","",ROUND((IF(LEN(D142)&gt;0,1,0)+IF(LEN(E142)&gt;0,1,0)+IF(LEN(F142)&gt;0,1,0)+IF(LEN(G142)&gt;0,1,0)+IF(LEN(H142)&gt;0,1,0)+IF(LEN(I142)&gt;0,1,0)+IF(LEN(J142)&gt;0,1,0)+IF(LEN(K142)&gt;0,1,0)+IF(LEN(N142)&gt;0,1,0)+IF(LEN(O142)&gt;0,1,0)+IF(LEN(W142)&gt;0,1,0)+IF(LEN(X142)&gt;0,1,0)+IF(LEN(Y142)&gt;0,1,0)+IF(LEN(AG142)&gt;0,1,0)+IF(LEN(AI142)&gt;0,1,0)+IF(LEN(AJ142)&gt;0,1,0)+IF(LEN(AK142)&gt;0,1,0)+IF(LEN(AL142)&gt;0,1,0)+IF(LEN(AU142)&gt;0,1,0)+IF(LEN(BF142)&gt;0,1,0)+IF(LEN(BS142)&gt;0,1,0))/21,2))</f>
        <v/>
      </c>
      <c r="BY142" s="10" t="str">
        <f aca="false">IF(D142="","",IF(AND(AJ142="Approved",ISERROR(SEARCH("FAIL",BC142))),"Y","N"))</f>
        <v/>
      </c>
      <c r="BZ142" s="10" t="str">
        <f aca="false">IF(D142="","",D142&amp;"|"&amp;F142&amp;"|"&amp;G142&amp;"|"&amp;BY142)</f>
        <v/>
      </c>
    </row>
    <row r="143" customFormat="false" ht="15" hidden="false" customHeight="false" outlineLevel="0" collapsed="false">
      <c r="A143" s="10" t="str">
        <f aca="false">IF(D143="","","LKW-"&amp;IFERROR(VLOOKUP(D143,Lists!$AQ$4:$AR$17,2,0),"??")&amp;"-W"&amp;TEXT(F143*1000,"0000")&amp;"-H"&amp;TEXT(G143*1000,"0000")&amp;"-B"&amp;TEXT(H143*1000,"0000")&amp;"-"&amp;AI143)</f>
        <v/>
      </c>
      <c r="B143" s="10" t="str">
        <f aca="false">IF(D143="","",D143&amp;", "&amp;F143&amp;" m wide, "&amp;G143&amp;" m headroom, "&amp;H143&amp;" m bays, "&amp;I143&amp;" ("&amp;E143&amp;")")</f>
        <v/>
      </c>
      <c r="C143" s="9"/>
      <c r="D143" s="9"/>
      <c r="E143" s="9"/>
      <c r="F143" s="42"/>
      <c r="G143" s="42"/>
      <c r="H143" s="42"/>
      <c r="I143" s="9"/>
      <c r="J143" s="9"/>
      <c r="K143" s="9"/>
      <c r="L143" s="9"/>
      <c r="M143" s="9"/>
      <c r="N143" s="9"/>
      <c r="O143" s="9"/>
      <c r="P143" s="9"/>
      <c r="Q143" s="9"/>
      <c r="R143" s="9"/>
      <c r="S143" s="42"/>
      <c r="T143" s="9"/>
      <c r="U143" s="9"/>
      <c r="V143" s="9"/>
      <c r="W143" s="38"/>
      <c r="X143" s="42"/>
      <c r="Y143" s="9"/>
      <c r="Z143" s="9"/>
      <c r="AA143" s="9"/>
      <c r="AB143" s="42"/>
      <c r="AC143" s="9"/>
      <c r="AD143" s="38"/>
      <c r="AE143" s="9"/>
      <c r="AF143" s="39"/>
      <c r="AG143" s="9"/>
      <c r="AH143" s="9"/>
      <c r="AI143" s="9"/>
      <c r="AJ143" s="9"/>
      <c r="AK143" s="9"/>
      <c r="AL143" s="9"/>
      <c r="AM143" s="9"/>
      <c r="AN143" s="10" t="str">
        <f aca="false">IF(A143="","",SG_Criteria!$B$6&amp;SG_Criteria!$B$12&amp;"\"&amp;A143&amp;"\")</f>
        <v/>
      </c>
      <c r="AO143" s="10" t="str">
        <f aca="false">IF(A143="","",A143&amp;"_CAD.dwg")</f>
        <v/>
      </c>
      <c r="AP143" s="10" t="str">
        <f aca="false">IF(A143="","",A143&amp;"_DWG.pdf")</f>
        <v/>
      </c>
      <c r="AQ143" s="10" t="str">
        <f aca="false">IF(A143="","",IF(AM143="Y",A143&amp;"_STAAD.std","n/a"))</f>
        <v/>
      </c>
      <c r="AR143" s="10" t="str">
        <f aca="false">IF(A143="","",A143&amp;"_CALC.xlsx")</f>
        <v/>
      </c>
      <c r="AS143" s="10" t="str">
        <f aca="false">IF(A143="","",A143&amp;"_CALC.pdf")</f>
        <v/>
      </c>
      <c r="AT143" s="9"/>
      <c r="AU143" s="9"/>
      <c r="AV143" s="39"/>
      <c r="AW143" s="39"/>
      <c r="AX143" s="39"/>
      <c r="AY143" s="39"/>
      <c r="AZ143" s="39"/>
      <c r="BA143" s="12" t="str">
        <f aca="false">IF(A143="","",IF(COUNTIF(Rebar_Schedule!$A$5:$A$2004,A143)=0,"",ROUND(SUMIF(Rebar_Schedule!$A$5:$A$2004,A143,Rebar_Schedule!$K$5:$K$2004),1)))</f>
        <v/>
      </c>
      <c r="BB143" s="33" t="str">
        <f aca="false">IF(A143="","",IF(BA143="","No rebar schedule yet",IF(ABS(BA143-N(AW143))/MAX(N(AW143),1)&gt;SG_Criteria!$B$55,"NOTE: register rebar differs from schedule by "&amp;TEXT(ABS(BA143-N(AW143))/MAX(N(AW143),1),"0%"),"OK")))</f>
        <v/>
      </c>
      <c r="BC143" s="33" t="str">
        <f aca="false">IF(D143="","",IF(LEN(IF(AND(D143&lt;&gt;"High Covered Linkway",G143&lt;SG_Criteria!$B$46),"FAIL: headroom below "&amp;SG_Criteria!$B$46&amp;" m. ","")&amp;IF(AND(D143="High Covered Linkway",G143&lt;SG_Criteria!$B$47),"FAIL: high linkway headroom below "&amp;SG_Criteria!$B$47&amp;" m. ","")&amp;IF(F143&lt;SG_Criteria!$B$48,"FAIL: roof width below "&amp;SG_Criteria!$B$48&amp;" m. ",IF(F143&lt;SG_Criteria!$B$49,"NOTE: not for MRT/LRT or high-traffic routes (min "&amp;SG_Criteria!$B$49&amp;" m). ",""))&amp;IF(AND(W143&lt;&gt;"",W143&lt;SG_Criteria!$B$50),"FAIL: wind speed below "&amp;SG_Criteria!$B$50&amp;" m/s. ","")&amp;IF(AND(X143&lt;&gt;"",X143&lt;SG_Criteria!$B$51),"FAIL: roof fixing pull-out below "&amp;SG_Criteria!$B$51&amp;" kN. ","")&amp;IF(AND(Y143&lt;&gt;"",IFERROR(VALUE(MID(Y143,2,2)),0)&lt;SG_Criteria!$B$52),"FAIL: grade below C"&amp;SG_Criteria!$B$52&amp;". ","")&amp;IF(E143="Non-standard (project design)","NOTE: not an SDRE standard, needs LTA acceptance. ",""))=0,"OK",IF(AND(D143&lt;&gt;"High Covered Linkway",G143&lt;SG_Criteria!$B$46),"FAIL: headroom below "&amp;SG_Criteria!$B$46&amp;" m. ","")&amp;IF(AND(D143="High Covered Linkway",G143&lt;SG_Criteria!$B$47),"FAIL: high linkway headroom below "&amp;SG_Criteria!$B$47&amp;" m. ","")&amp;IF(F143&lt;SG_Criteria!$B$48,"FAIL: roof width below "&amp;SG_Criteria!$B$48&amp;" m. ",IF(F143&lt;SG_Criteria!$B$49,"NOTE: not for MRT/LRT or high-traffic routes (min "&amp;SG_Criteria!$B$49&amp;" m). ",""))&amp;IF(AND(W143&lt;&gt;"",W143&lt;SG_Criteria!$B$50),"FAIL: wind speed below "&amp;SG_Criteria!$B$50&amp;" m/s. ","")&amp;IF(AND(X143&lt;&gt;"",X143&lt;SG_Criteria!$B$51),"FAIL: roof fixing pull-out below "&amp;SG_Criteria!$B$51&amp;" kN. ","")&amp;IF(AND(Y143&lt;&gt;"",IFERROR(VALUE(MID(Y143,2,2)),0)&lt;SG_Criteria!$B$52),"FAIL: grade below C"&amp;SG_Criteria!$B$52&amp;". ","")&amp;IF(E143="Non-standard (project design)","NOTE: not an SDRE standard, needs LTA acceptance. ","")))</f>
        <v/>
      </c>
      <c r="BD143" s="9"/>
      <c r="BE143" s="9"/>
      <c r="BF143" s="9"/>
      <c r="BG143" s="10" t="str">
        <f aca="false">IF(BF143="","",IFERROR(VLOOKUP(BF143,Projects!$A$5:$D$504,2,0),"Ref not in Projects"))</f>
        <v/>
      </c>
      <c r="BH143" s="10" t="str">
        <f aca="false">IF(BF143="","",IFERROR(VLOOKUP(BF143,Projects!$A$5:$D$504,4,0),"Ref not in Projects"))</f>
        <v/>
      </c>
      <c r="BI143" s="9"/>
      <c r="BJ143" s="9"/>
      <c r="BK143" s="9"/>
      <c r="BL143" s="40"/>
      <c r="BM143" s="9"/>
      <c r="BN143" s="40"/>
      <c r="BO143" s="9"/>
      <c r="BP143" s="40"/>
      <c r="BQ143" s="9"/>
      <c r="BR143" s="9"/>
      <c r="BS143" s="9"/>
      <c r="BT143" s="40"/>
      <c r="BU143" s="40"/>
      <c r="BV143" s="36" t="str">
        <f aca="false">IF(BU143="","",EDATE(BU143,SG_Criteria!$B$54*12))</f>
        <v/>
      </c>
      <c r="BW143" s="33" t="str">
        <f aca="true">IF(A143="","",IF(BU143="","NOTE: not reviewed yet",IF(TODAY()&gt;BV143,"NOTE: review overdue","OK")))</f>
        <v/>
      </c>
      <c r="BX143" s="37" t="str">
        <f aca="false">IF(A143="","",ROUND((IF(LEN(D143)&gt;0,1,0)+IF(LEN(E143)&gt;0,1,0)+IF(LEN(F143)&gt;0,1,0)+IF(LEN(G143)&gt;0,1,0)+IF(LEN(H143)&gt;0,1,0)+IF(LEN(I143)&gt;0,1,0)+IF(LEN(J143)&gt;0,1,0)+IF(LEN(K143)&gt;0,1,0)+IF(LEN(N143)&gt;0,1,0)+IF(LEN(O143)&gt;0,1,0)+IF(LEN(W143)&gt;0,1,0)+IF(LEN(X143)&gt;0,1,0)+IF(LEN(Y143)&gt;0,1,0)+IF(LEN(AG143)&gt;0,1,0)+IF(LEN(AI143)&gt;0,1,0)+IF(LEN(AJ143)&gt;0,1,0)+IF(LEN(AK143)&gt;0,1,0)+IF(LEN(AL143)&gt;0,1,0)+IF(LEN(AU143)&gt;0,1,0)+IF(LEN(BF143)&gt;0,1,0)+IF(LEN(BS143)&gt;0,1,0))/21,2))</f>
        <v/>
      </c>
      <c r="BY143" s="10" t="str">
        <f aca="false">IF(D143="","",IF(AND(AJ143="Approved",ISERROR(SEARCH("FAIL",BC143))),"Y","N"))</f>
        <v/>
      </c>
      <c r="BZ143" s="10" t="str">
        <f aca="false">IF(D143="","",D143&amp;"|"&amp;F143&amp;"|"&amp;G143&amp;"|"&amp;BY143)</f>
        <v/>
      </c>
    </row>
    <row r="144" customFormat="false" ht="15" hidden="false" customHeight="false" outlineLevel="0" collapsed="false">
      <c r="A144" s="10" t="str">
        <f aca="false">IF(D144="","","LKW-"&amp;IFERROR(VLOOKUP(D144,Lists!$AQ$4:$AR$17,2,0),"??")&amp;"-W"&amp;TEXT(F144*1000,"0000")&amp;"-H"&amp;TEXT(G144*1000,"0000")&amp;"-B"&amp;TEXT(H144*1000,"0000")&amp;"-"&amp;AI144)</f>
        <v/>
      </c>
      <c r="B144" s="10" t="str">
        <f aca="false">IF(D144="","",D144&amp;", "&amp;F144&amp;" m wide, "&amp;G144&amp;" m headroom, "&amp;H144&amp;" m bays, "&amp;I144&amp;" ("&amp;E144&amp;")")</f>
        <v/>
      </c>
      <c r="C144" s="9"/>
      <c r="D144" s="9"/>
      <c r="E144" s="9"/>
      <c r="F144" s="42"/>
      <c r="G144" s="42"/>
      <c r="H144" s="42"/>
      <c r="I144" s="9"/>
      <c r="J144" s="9"/>
      <c r="K144" s="9"/>
      <c r="L144" s="9"/>
      <c r="M144" s="9"/>
      <c r="N144" s="9"/>
      <c r="O144" s="9"/>
      <c r="P144" s="9"/>
      <c r="Q144" s="9"/>
      <c r="R144" s="9"/>
      <c r="S144" s="42"/>
      <c r="T144" s="9"/>
      <c r="U144" s="9"/>
      <c r="V144" s="9"/>
      <c r="W144" s="38"/>
      <c r="X144" s="42"/>
      <c r="Y144" s="9"/>
      <c r="Z144" s="9"/>
      <c r="AA144" s="9"/>
      <c r="AB144" s="42"/>
      <c r="AC144" s="9"/>
      <c r="AD144" s="38"/>
      <c r="AE144" s="9"/>
      <c r="AF144" s="39"/>
      <c r="AG144" s="9"/>
      <c r="AH144" s="9"/>
      <c r="AI144" s="9"/>
      <c r="AJ144" s="9"/>
      <c r="AK144" s="9"/>
      <c r="AL144" s="9"/>
      <c r="AM144" s="9"/>
      <c r="AN144" s="10" t="str">
        <f aca="false">IF(A144="","",SG_Criteria!$B$6&amp;SG_Criteria!$B$12&amp;"\"&amp;A144&amp;"\")</f>
        <v/>
      </c>
      <c r="AO144" s="10" t="str">
        <f aca="false">IF(A144="","",A144&amp;"_CAD.dwg")</f>
        <v/>
      </c>
      <c r="AP144" s="10" t="str">
        <f aca="false">IF(A144="","",A144&amp;"_DWG.pdf")</f>
        <v/>
      </c>
      <c r="AQ144" s="10" t="str">
        <f aca="false">IF(A144="","",IF(AM144="Y",A144&amp;"_STAAD.std","n/a"))</f>
        <v/>
      </c>
      <c r="AR144" s="10" t="str">
        <f aca="false">IF(A144="","",A144&amp;"_CALC.xlsx")</f>
        <v/>
      </c>
      <c r="AS144" s="10" t="str">
        <f aca="false">IF(A144="","",A144&amp;"_CALC.pdf")</f>
        <v/>
      </c>
      <c r="AT144" s="9"/>
      <c r="AU144" s="9"/>
      <c r="AV144" s="39"/>
      <c r="AW144" s="39"/>
      <c r="AX144" s="39"/>
      <c r="AY144" s="39"/>
      <c r="AZ144" s="39"/>
      <c r="BA144" s="12" t="str">
        <f aca="false">IF(A144="","",IF(COUNTIF(Rebar_Schedule!$A$5:$A$2004,A144)=0,"",ROUND(SUMIF(Rebar_Schedule!$A$5:$A$2004,A144,Rebar_Schedule!$K$5:$K$2004),1)))</f>
        <v/>
      </c>
      <c r="BB144" s="33" t="str">
        <f aca="false">IF(A144="","",IF(BA144="","No rebar schedule yet",IF(ABS(BA144-N(AW144))/MAX(N(AW144),1)&gt;SG_Criteria!$B$55,"NOTE: register rebar differs from schedule by "&amp;TEXT(ABS(BA144-N(AW144))/MAX(N(AW144),1),"0%"),"OK")))</f>
        <v/>
      </c>
      <c r="BC144" s="33" t="str">
        <f aca="false">IF(D144="","",IF(LEN(IF(AND(D144&lt;&gt;"High Covered Linkway",G144&lt;SG_Criteria!$B$46),"FAIL: headroom below "&amp;SG_Criteria!$B$46&amp;" m. ","")&amp;IF(AND(D144="High Covered Linkway",G144&lt;SG_Criteria!$B$47),"FAIL: high linkway headroom below "&amp;SG_Criteria!$B$47&amp;" m. ","")&amp;IF(F144&lt;SG_Criteria!$B$48,"FAIL: roof width below "&amp;SG_Criteria!$B$48&amp;" m. ",IF(F144&lt;SG_Criteria!$B$49,"NOTE: not for MRT/LRT or high-traffic routes (min "&amp;SG_Criteria!$B$49&amp;" m). ",""))&amp;IF(AND(W144&lt;&gt;"",W144&lt;SG_Criteria!$B$50),"FAIL: wind speed below "&amp;SG_Criteria!$B$50&amp;" m/s. ","")&amp;IF(AND(X144&lt;&gt;"",X144&lt;SG_Criteria!$B$51),"FAIL: roof fixing pull-out below "&amp;SG_Criteria!$B$51&amp;" kN. ","")&amp;IF(AND(Y144&lt;&gt;"",IFERROR(VALUE(MID(Y144,2,2)),0)&lt;SG_Criteria!$B$52),"FAIL: grade below C"&amp;SG_Criteria!$B$52&amp;". ","")&amp;IF(E144="Non-standard (project design)","NOTE: not an SDRE standard, needs LTA acceptance. ",""))=0,"OK",IF(AND(D144&lt;&gt;"High Covered Linkway",G144&lt;SG_Criteria!$B$46),"FAIL: headroom below "&amp;SG_Criteria!$B$46&amp;" m. ","")&amp;IF(AND(D144="High Covered Linkway",G144&lt;SG_Criteria!$B$47),"FAIL: high linkway headroom below "&amp;SG_Criteria!$B$47&amp;" m. ","")&amp;IF(F144&lt;SG_Criteria!$B$48,"FAIL: roof width below "&amp;SG_Criteria!$B$48&amp;" m. ",IF(F144&lt;SG_Criteria!$B$49,"NOTE: not for MRT/LRT or high-traffic routes (min "&amp;SG_Criteria!$B$49&amp;" m). ",""))&amp;IF(AND(W144&lt;&gt;"",W144&lt;SG_Criteria!$B$50),"FAIL: wind speed below "&amp;SG_Criteria!$B$50&amp;" m/s. ","")&amp;IF(AND(X144&lt;&gt;"",X144&lt;SG_Criteria!$B$51),"FAIL: roof fixing pull-out below "&amp;SG_Criteria!$B$51&amp;" kN. ","")&amp;IF(AND(Y144&lt;&gt;"",IFERROR(VALUE(MID(Y144,2,2)),0)&lt;SG_Criteria!$B$52),"FAIL: grade below C"&amp;SG_Criteria!$B$52&amp;". ","")&amp;IF(E144="Non-standard (project design)","NOTE: not an SDRE standard, needs LTA acceptance. ","")))</f>
        <v/>
      </c>
      <c r="BD144" s="9"/>
      <c r="BE144" s="9"/>
      <c r="BF144" s="9"/>
      <c r="BG144" s="10" t="str">
        <f aca="false">IF(BF144="","",IFERROR(VLOOKUP(BF144,Projects!$A$5:$D$504,2,0),"Ref not in Projects"))</f>
        <v/>
      </c>
      <c r="BH144" s="10" t="str">
        <f aca="false">IF(BF144="","",IFERROR(VLOOKUP(BF144,Projects!$A$5:$D$504,4,0),"Ref not in Projects"))</f>
        <v/>
      </c>
      <c r="BI144" s="9"/>
      <c r="BJ144" s="9"/>
      <c r="BK144" s="9"/>
      <c r="BL144" s="40"/>
      <c r="BM144" s="9"/>
      <c r="BN144" s="40"/>
      <c r="BO144" s="9"/>
      <c r="BP144" s="40"/>
      <c r="BQ144" s="9"/>
      <c r="BR144" s="9"/>
      <c r="BS144" s="9"/>
      <c r="BT144" s="40"/>
      <c r="BU144" s="40"/>
      <c r="BV144" s="36" t="str">
        <f aca="false">IF(BU144="","",EDATE(BU144,SG_Criteria!$B$54*12))</f>
        <v/>
      </c>
      <c r="BW144" s="33" t="str">
        <f aca="true">IF(A144="","",IF(BU144="","NOTE: not reviewed yet",IF(TODAY()&gt;BV144,"NOTE: review overdue","OK")))</f>
        <v/>
      </c>
      <c r="BX144" s="37" t="str">
        <f aca="false">IF(A144="","",ROUND((IF(LEN(D144)&gt;0,1,0)+IF(LEN(E144)&gt;0,1,0)+IF(LEN(F144)&gt;0,1,0)+IF(LEN(G144)&gt;0,1,0)+IF(LEN(H144)&gt;0,1,0)+IF(LEN(I144)&gt;0,1,0)+IF(LEN(J144)&gt;0,1,0)+IF(LEN(K144)&gt;0,1,0)+IF(LEN(N144)&gt;0,1,0)+IF(LEN(O144)&gt;0,1,0)+IF(LEN(W144)&gt;0,1,0)+IF(LEN(X144)&gt;0,1,0)+IF(LEN(Y144)&gt;0,1,0)+IF(LEN(AG144)&gt;0,1,0)+IF(LEN(AI144)&gt;0,1,0)+IF(LEN(AJ144)&gt;0,1,0)+IF(LEN(AK144)&gt;0,1,0)+IF(LEN(AL144)&gt;0,1,0)+IF(LEN(AU144)&gt;0,1,0)+IF(LEN(BF144)&gt;0,1,0)+IF(LEN(BS144)&gt;0,1,0))/21,2))</f>
        <v/>
      </c>
      <c r="BY144" s="10" t="str">
        <f aca="false">IF(D144="","",IF(AND(AJ144="Approved",ISERROR(SEARCH("FAIL",BC144))),"Y","N"))</f>
        <v/>
      </c>
      <c r="BZ144" s="10" t="str">
        <f aca="false">IF(D144="","",D144&amp;"|"&amp;F144&amp;"|"&amp;G144&amp;"|"&amp;BY144)</f>
        <v/>
      </c>
    </row>
    <row r="145" customFormat="false" ht="15" hidden="false" customHeight="false" outlineLevel="0" collapsed="false">
      <c r="A145" s="10" t="str">
        <f aca="false">IF(D145="","","LKW-"&amp;IFERROR(VLOOKUP(D145,Lists!$AQ$4:$AR$17,2,0),"??")&amp;"-W"&amp;TEXT(F145*1000,"0000")&amp;"-H"&amp;TEXT(G145*1000,"0000")&amp;"-B"&amp;TEXT(H145*1000,"0000")&amp;"-"&amp;AI145)</f>
        <v/>
      </c>
      <c r="B145" s="10" t="str">
        <f aca="false">IF(D145="","",D145&amp;", "&amp;F145&amp;" m wide, "&amp;G145&amp;" m headroom, "&amp;H145&amp;" m bays, "&amp;I145&amp;" ("&amp;E145&amp;")")</f>
        <v/>
      </c>
      <c r="C145" s="9"/>
      <c r="D145" s="9"/>
      <c r="E145" s="9"/>
      <c r="F145" s="42"/>
      <c r="G145" s="42"/>
      <c r="H145" s="42"/>
      <c r="I145" s="9"/>
      <c r="J145" s="9"/>
      <c r="K145" s="9"/>
      <c r="L145" s="9"/>
      <c r="M145" s="9"/>
      <c r="N145" s="9"/>
      <c r="O145" s="9"/>
      <c r="P145" s="9"/>
      <c r="Q145" s="9"/>
      <c r="R145" s="9"/>
      <c r="S145" s="42"/>
      <c r="T145" s="9"/>
      <c r="U145" s="9"/>
      <c r="V145" s="9"/>
      <c r="W145" s="38"/>
      <c r="X145" s="42"/>
      <c r="Y145" s="9"/>
      <c r="Z145" s="9"/>
      <c r="AA145" s="9"/>
      <c r="AB145" s="42"/>
      <c r="AC145" s="9"/>
      <c r="AD145" s="38"/>
      <c r="AE145" s="9"/>
      <c r="AF145" s="39"/>
      <c r="AG145" s="9"/>
      <c r="AH145" s="9"/>
      <c r="AI145" s="9"/>
      <c r="AJ145" s="9"/>
      <c r="AK145" s="9"/>
      <c r="AL145" s="9"/>
      <c r="AM145" s="9"/>
      <c r="AN145" s="10" t="str">
        <f aca="false">IF(A145="","",SG_Criteria!$B$6&amp;SG_Criteria!$B$12&amp;"\"&amp;A145&amp;"\")</f>
        <v/>
      </c>
      <c r="AO145" s="10" t="str">
        <f aca="false">IF(A145="","",A145&amp;"_CAD.dwg")</f>
        <v/>
      </c>
      <c r="AP145" s="10" t="str">
        <f aca="false">IF(A145="","",A145&amp;"_DWG.pdf")</f>
        <v/>
      </c>
      <c r="AQ145" s="10" t="str">
        <f aca="false">IF(A145="","",IF(AM145="Y",A145&amp;"_STAAD.std","n/a"))</f>
        <v/>
      </c>
      <c r="AR145" s="10" t="str">
        <f aca="false">IF(A145="","",A145&amp;"_CALC.xlsx")</f>
        <v/>
      </c>
      <c r="AS145" s="10" t="str">
        <f aca="false">IF(A145="","",A145&amp;"_CALC.pdf")</f>
        <v/>
      </c>
      <c r="AT145" s="9"/>
      <c r="AU145" s="9"/>
      <c r="AV145" s="39"/>
      <c r="AW145" s="39"/>
      <c r="AX145" s="39"/>
      <c r="AY145" s="39"/>
      <c r="AZ145" s="39"/>
      <c r="BA145" s="12" t="str">
        <f aca="false">IF(A145="","",IF(COUNTIF(Rebar_Schedule!$A$5:$A$2004,A145)=0,"",ROUND(SUMIF(Rebar_Schedule!$A$5:$A$2004,A145,Rebar_Schedule!$K$5:$K$2004),1)))</f>
        <v/>
      </c>
      <c r="BB145" s="33" t="str">
        <f aca="false">IF(A145="","",IF(BA145="","No rebar schedule yet",IF(ABS(BA145-N(AW145))/MAX(N(AW145),1)&gt;SG_Criteria!$B$55,"NOTE: register rebar differs from schedule by "&amp;TEXT(ABS(BA145-N(AW145))/MAX(N(AW145),1),"0%"),"OK")))</f>
        <v/>
      </c>
      <c r="BC145" s="33" t="str">
        <f aca="false">IF(D145="","",IF(LEN(IF(AND(D145&lt;&gt;"High Covered Linkway",G145&lt;SG_Criteria!$B$46),"FAIL: headroom below "&amp;SG_Criteria!$B$46&amp;" m. ","")&amp;IF(AND(D145="High Covered Linkway",G145&lt;SG_Criteria!$B$47),"FAIL: high linkway headroom below "&amp;SG_Criteria!$B$47&amp;" m. ","")&amp;IF(F145&lt;SG_Criteria!$B$48,"FAIL: roof width below "&amp;SG_Criteria!$B$48&amp;" m. ",IF(F145&lt;SG_Criteria!$B$49,"NOTE: not for MRT/LRT or high-traffic routes (min "&amp;SG_Criteria!$B$49&amp;" m). ",""))&amp;IF(AND(W145&lt;&gt;"",W145&lt;SG_Criteria!$B$50),"FAIL: wind speed below "&amp;SG_Criteria!$B$50&amp;" m/s. ","")&amp;IF(AND(X145&lt;&gt;"",X145&lt;SG_Criteria!$B$51),"FAIL: roof fixing pull-out below "&amp;SG_Criteria!$B$51&amp;" kN. ","")&amp;IF(AND(Y145&lt;&gt;"",IFERROR(VALUE(MID(Y145,2,2)),0)&lt;SG_Criteria!$B$52),"FAIL: grade below C"&amp;SG_Criteria!$B$52&amp;". ","")&amp;IF(E145="Non-standard (project design)","NOTE: not an SDRE standard, needs LTA acceptance. ",""))=0,"OK",IF(AND(D145&lt;&gt;"High Covered Linkway",G145&lt;SG_Criteria!$B$46),"FAIL: headroom below "&amp;SG_Criteria!$B$46&amp;" m. ","")&amp;IF(AND(D145="High Covered Linkway",G145&lt;SG_Criteria!$B$47),"FAIL: high linkway headroom below "&amp;SG_Criteria!$B$47&amp;" m. ","")&amp;IF(F145&lt;SG_Criteria!$B$48,"FAIL: roof width below "&amp;SG_Criteria!$B$48&amp;" m. ",IF(F145&lt;SG_Criteria!$B$49,"NOTE: not for MRT/LRT or high-traffic routes (min "&amp;SG_Criteria!$B$49&amp;" m). ",""))&amp;IF(AND(W145&lt;&gt;"",W145&lt;SG_Criteria!$B$50),"FAIL: wind speed below "&amp;SG_Criteria!$B$50&amp;" m/s. ","")&amp;IF(AND(X145&lt;&gt;"",X145&lt;SG_Criteria!$B$51),"FAIL: roof fixing pull-out below "&amp;SG_Criteria!$B$51&amp;" kN. ","")&amp;IF(AND(Y145&lt;&gt;"",IFERROR(VALUE(MID(Y145,2,2)),0)&lt;SG_Criteria!$B$52),"FAIL: grade below C"&amp;SG_Criteria!$B$52&amp;". ","")&amp;IF(E145="Non-standard (project design)","NOTE: not an SDRE standard, needs LTA acceptance. ","")))</f>
        <v/>
      </c>
      <c r="BD145" s="9"/>
      <c r="BE145" s="9"/>
      <c r="BF145" s="9"/>
      <c r="BG145" s="10" t="str">
        <f aca="false">IF(BF145="","",IFERROR(VLOOKUP(BF145,Projects!$A$5:$D$504,2,0),"Ref not in Projects"))</f>
        <v/>
      </c>
      <c r="BH145" s="10" t="str">
        <f aca="false">IF(BF145="","",IFERROR(VLOOKUP(BF145,Projects!$A$5:$D$504,4,0),"Ref not in Projects"))</f>
        <v/>
      </c>
      <c r="BI145" s="9"/>
      <c r="BJ145" s="9"/>
      <c r="BK145" s="9"/>
      <c r="BL145" s="40"/>
      <c r="BM145" s="9"/>
      <c r="BN145" s="40"/>
      <c r="BO145" s="9"/>
      <c r="BP145" s="40"/>
      <c r="BQ145" s="9"/>
      <c r="BR145" s="9"/>
      <c r="BS145" s="9"/>
      <c r="BT145" s="40"/>
      <c r="BU145" s="40"/>
      <c r="BV145" s="36" t="str">
        <f aca="false">IF(BU145="","",EDATE(BU145,SG_Criteria!$B$54*12))</f>
        <v/>
      </c>
      <c r="BW145" s="33" t="str">
        <f aca="true">IF(A145="","",IF(BU145="","NOTE: not reviewed yet",IF(TODAY()&gt;BV145,"NOTE: review overdue","OK")))</f>
        <v/>
      </c>
      <c r="BX145" s="37" t="str">
        <f aca="false">IF(A145="","",ROUND((IF(LEN(D145)&gt;0,1,0)+IF(LEN(E145)&gt;0,1,0)+IF(LEN(F145)&gt;0,1,0)+IF(LEN(G145)&gt;0,1,0)+IF(LEN(H145)&gt;0,1,0)+IF(LEN(I145)&gt;0,1,0)+IF(LEN(J145)&gt;0,1,0)+IF(LEN(K145)&gt;0,1,0)+IF(LEN(N145)&gt;0,1,0)+IF(LEN(O145)&gt;0,1,0)+IF(LEN(W145)&gt;0,1,0)+IF(LEN(X145)&gt;0,1,0)+IF(LEN(Y145)&gt;0,1,0)+IF(LEN(AG145)&gt;0,1,0)+IF(LEN(AI145)&gt;0,1,0)+IF(LEN(AJ145)&gt;0,1,0)+IF(LEN(AK145)&gt;0,1,0)+IF(LEN(AL145)&gt;0,1,0)+IF(LEN(AU145)&gt;0,1,0)+IF(LEN(BF145)&gt;0,1,0)+IF(LEN(BS145)&gt;0,1,0))/21,2))</f>
        <v/>
      </c>
      <c r="BY145" s="10" t="str">
        <f aca="false">IF(D145="","",IF(AND(AJ145="Approved",ISERROR(SEARCH("FAIL",BC145))),"Y","N"))</f>
        <v/>
      </c>
      <c r="BZ145" s="10" t="str">
        <f aca="false">IF(D145="","",D145&amp;"|"&amp;F145&amp;"|"&amp;G145&amp;"|"&amp;BY145)</f>
        <v/>
      </c>
    </row>
    <row r="146" customFormat="false" ht="15" hidden="false" customHeight="false" outlineLevel="0" collapsed="false">
      <c r="A146" s="10" t="str">
        <f aca="false">IF(D146="","","LKW-"&amp;IFERROR(VLOOKUP(D146,Lists!$AQ$4:$AR$17,2,0),"??")&amp;"-W"&amp;TEXT(F146*1000,"0000")&amp;"-H"&amp;TEXT(G146*1000,"0000")&amp;"-B"&amp;TEXT(H146*1000,"0000")&amp;"-"&amp;AI146)</f>
        <v/>
      </c>
      <c r="B146" s="10" t="str">
        <f aca="false">IF(D146="","",D146&amp;", "&amp;F146&amp;" m wide, "&amp;G146&amp;" m headroom, "&amp;H146&amp;" m bays, "&amp;I146&amp;" ("&amp;E146&amp;")")</f>
        <v/>
      </c>
      <c r="C146" s="9"/>
      <c r="D146" s="9"/>
      <c r="E146" s="9"/>
      <c r="F146" s="42"/>
      <c r="G146" s="42"/>
      <c r="H146" s="42"/>
      <c r="I146" s="9"/>
      <c r="J146" s="9"/>
      <c r="K146" s="9"/>
      <c r="L146" s="9"/>
      <c r="M146" s="9"/>
      <c r="N146" s="9"/>
      <c r="O146" s="9"/>
      <c r="P146" s="9"/>
      <c r="Q146" s="9"/>
      <c r="R146" s="9"/>
      <c r="S146" s="42"/>
      <c r="T146" s="9"/>
      <c r="U146" s="9"/>
      <c r="V146" s="9"/>
      <c r="W146" s="38"/>
      <c r="X146" s="42"/>
      <c r="Y146" s="9"/>
      <c r="Z146" s="9"/>
      <c r="AA146" s="9"/>
      <c r="AB146" s="42"/>
      <c r="AC146" s="9"/>
      <c r="AD146" s="38"/>
      <c r="AE146" s="9"/>
      <c r="AF146" s="39"/>
      <c r="AG146" s="9"/>
      <c r="AH146" s="9"/>
      <c r="AI146" s="9"/>
      <c r="AJ146" s="9"/>
      <c r="AK146" s="9"/>
      <c r="AL146" s="9"/>
      <c r="AM146" s="9"/>
      <c r="AN146" s="10" t="str">
        <f aca="false">IF(A146="","",SG_Criteria!$B$6&amp;SG_Criteria!$B$12&amp;"\"&amp;A146&amp;"\")</f>
        <v/>
      </c>
      <c r="AO146" s="10" t="str">
        <f aca="false">IF(A146="","",A146&amp;"_CAD.dwg")</f>
        <v/>
      </c>
      <c r="AP146" s="10" t="str">
        <f aca="false">IF(A146="","",A146&amp;"_DWG.pdf")</f>
        <v/>
      </c>
      <c r="AQ146" s="10" t="str">
        <f aca="false">IF(A146="","",IF(AM146="Y",A146&amp;"_STAAD.std","n/a"))</f>
        <v/>
      </c>
      <c r="AR146" s="10" t="str">
        <f aca="false">IF(A146="","",A146&amp;"_CALC.xlsx")</f>
        <v/>
      </c>
      <c r="AS146" s="10" t="str">
        <f aca="false">IF(A146="","",A146&amp;"_CALC.pdf")</f>
        <v/>
      </c>
      <c r="AT146" s="9"/>
      <c r="AU146" s="9"/>
      <c r="AV146" s="39"/>
      <c r="AW146" s="39"/>
      <c r="AX146" s="39"/>
      <c r="AY146" s="39"/>
      <c r="AZ146" s="39"/>
      <c r="BA146" s="12" t="str">
        <f aca="false">IF(A146="","",IF(COUNTIF(Rebar_Schedule!$A$5:$A$2004,A146)=0,"",ROUND(SUMIF(Rebar_Schedule!$A$5:$A$2004,A146,Rebar_Schedule!$K$5:$K$2004),1)))</f>
        <v/>
      </c>
      <c r="BB146" s="33" t="str">
        <f aca="false">IF(A146="","",IF(BA146="","No rebar schedule yet",IF(ABS(BA146-N(AW146))/MAX(N(AW146),1)&gt;SG_Criteria!$B$55,"NOTE: register rebar differs from schedule by "&amp;TEXT(ABS(BA146-N(AW146))/MAX(N(AW146),1),"0%"),"OK")))</f>
        <v/>
      </c>
      <c r="BC146" s="33" t="str">
        <f aca="false">IF(D146="","",IF(LEN(IF(AND(D146&lt;&gt;"High Covered Linkway",G146&lt;SG_Criteria!$B$46),"FAIL: headroom below "&amp;SG_Criteria!$B$46&amp;" m. ","")&amp;IF(AND(D146="High Covered Linkway",G146&lt;SG_Criteria!$B$47),"FAIL: high linkway headroom below "&amp;SG_Criteria!$B$47&amp;" m. ","")&amp;IF(F146&lt;SG_Criteria!$B$48,"FAIL: roof width below "&amp;SG_Criteria!$B$48&amp;" m. ",IF(F146&lt;SG_Criteria!$B$49,"NOTE: not for MRT/LRT or high-traffic routes (min "&amp;SG_Criteria!$B$49&amp;" m). ",""))&amp;IF(AND(W146&lt;&gt;"",W146&lt;SG_Criteria!$B$50),"FAIL: wind speed below "&amp;SG_Criteria!$B$50&amp;" m/s. ","")&amp;IF(AND(X146&lt;&gt;"",X146&lt;SG_Criteria!$B$51),"FAIL: roof fixing pull-out below "&amp;SG_Criteria!$B$51&amp;" kN. ","")&amp;IF(AND(Y146&lt;&gt;"",IFERROR(VALUE(MID(Y146,2,2)),0)&lt;SG_Criteria!$B$52),"FAIL: grade below C"&amp;SG_Criteria!$B$52&amp;". ","")&amp;IF(E146="Non-standard (project design)","NOTE: not an SDRE standard, needs LTA acceptance. ",""))=0,"OK",IF(AND(D146&lt;&gt;"High Covered Linkway",G146&lt;SG_Criteria!$B$46),"FAIL: headroom below "&amp;SG_Criteria!$B$46&amp;" m. ","")&amp;IF(AND(D146="High Covered Linkway",G146&lt;SG_Criteria!$B$47),"FAIL: high linkway headroom below "&amp;SG_Criteria!$B$47&amp;" m. ","")&amp;IF(F146&lt;SG_Criteria!$B$48,"FAIL: roof width below "&amp;SG_Criteria!$B$48&amp;" m. ",IF(F146&lt;SG_Criteria!$B$49,"NOTE: not for MRT/LRT or high-traffic routes (min "&amp;SG_Criteria!$B$49&amp;" m). ",""))&amp;IF(AND(W146&lt;&gt;"",W146&lt;SG_Criteria!$B$50),"FAIL: wind speed below "&amp;SG_Criteria!$B$50&amp;" m/s. ","")&amp;IF(AND(X146&lt;&gt;"",X146&lt;SG_Criteria!$B$51),"FAIL: roof fixing pull-out below "&amp;SG_Criteria!$B$51&amp;" kN. ","")&amp;IF(AND(Y146&lt;&gt;"",IFERROR(VALUE(MID(Y146,2,2)),0)&lt;SG_Criteria!$B$52),"FAIL: grade below C"&amp;SG_Criteria!$B$52&amp;". ","")&amp;IF(E146="Non-standard (project design)","NOTE: not an SDRE standard, needs LTA acceptance. ","")))</f>
        <v/>
      </c>
      <c r="BD146" s="9"/>
      <c r="BE146" s="9"/>
      <c r="BF146" s="9"/>
      <c r="BG146" s="10" t="str">
        <f aca="false">IF(BF146="","",IFERROR(VLOOKUP(BF146,Projects!$A$5:$D$504,2,0),"Ref not in Projects"))</f>
        <v/>
      </c>
      <c r="BH146" s="10" t="str">
        <f aca="false">IF(BF146="","",IFERROR(VLOOKUP(BF146,Projects!$A$5:$D$504,4,0),"Ref not in Projects"))</f>
        <v/>
      </c>
      <c r="BI146" s="9"/>
      <c r="BJ146" s="9"/>
      <c r="BK146" s="9"/>
      <c r="BL146" s="40"/>
      <c r="BM146" s="9"/>
      <c r="BN146" s="40"/>
      <c r="BO146" s="9"/>
      <c r="BP146" s="40"/>
      <c r="BQ146" s="9"/>
      <c r="BR146" s="9"/>
      <c r="BS146" s="9"/>
      <c r="BT146" s="40"/>
      <c r="BU146" s="40"/>
      <c r="BV146" s="36" t="str">
        <f aca="false">IF(BU146="","",EDATE(BU146,SG_Criteria!$B$54*12))</f>
        <v/>
      </c>
      <c r="BW146" s="33" t="str">
        <f aca="true">IF(A146="","",IF(BU146="","NOTE: not reviewed yet",IF(TODAY()&gt;BV146,"NOTE: review overdue","OK")))</f>
        <v/>
      </c>
      <c r="BX146" s="37" t="str">
        <f aca="false">IF(A146="","",ROUND((IF(LEN(D146)&gt;0,1,0)+IF(LEN(E146)&gt;0,1,0)+IF(LEN(F146)&gt;0,1,0)+IF(LEN(G146)&gt;0,1,0)+IF(LEN(H146)&gt;0,1,0)+IF(LEN(I146)&gt;0,1,0)+IF(LEN(J146)&gt;0,1,0)+IF(LEN(K146)&gt;0,1,0)+IF(LEN(N146)&gt;0,1,0)+IF(LEN(O146)&gt;0,1,0)+IF(LEN(W146)&gt;0,1,0)+IF(LEN(X146)&gt;0,1,0)+IF(LEN(Y146)&gt;0,1,0)+IF(LEN(AG146)&gt;0,1,0)+IF(LEN(AI146)&gt;0,1,0)+IF(LEN(AJ146)&gt;0,1,0)+IF(LEN(AK146)&gt;0,1,0)+IF(LEN(AL146)&gt;0,1,0)+IF(LEN(AU146)&gt;0,1,0)+IF(LEN(BF146)&gt;0,1,0)+IF(LEN(BS146)&gt;0,1,0))/21,2))</f>
        <v/>
      </c>
      <c r="BY146" s="10" t="str">
        <f aca="false">IF(D146="","",IF(AND(AJ146="Approved",ISERROR(SEARCH("FAIL",BC146))),"Y","N"))</f>
        <v/>
      </c>
      <c r="BZ146" s="10" t="str">
        <f aca="false">IF(D146="","",D146&amp;"|"&amp;F146&amp;"|"&amp;G146&amp;"|"&amp;BY146)</f>
        <v/>
      </c>
    </row>
    <row r="147" customFormat="false" ht="15" hidden="false" customHeight="false" outlineLevel="0" collapsed="false">
      <c r="A147" s="10" t="str">
        <f aca="false">IF(D147="","","LKW-"&amp;IFERROR(VLOOKUP(D147,Lists!$AQ$4:$AR$17,2,0),"??")&amp;"-W"&amp;TEXT(F147*1000,"0000")&amp;"-H"&amp;TEXT(G147*1000,"0000")&amp;"-B"&amp;TEXT(H147*1000,"0000")&amp;"-"&amp;AI147)</f>
        <v/>
      </c>
      <c r="B147" s="10" t="str">
        <f aca="false">IF(D147="","",D147&amp;", "&amp;F147&amp;" m wide, "&amp;G147&amp;" m headroom, "&amp;H147&amp;" m bays, "&amp;I147&amp;" ("&amp;E147&amp;")")</f>
        <v/>
      </c>
      <c r="C147" s="9"/>
      <c r="D147" s="9"/>
      <c r="E147" s="9"/>
      <c r="F147" s="42"/>
      <c r="G147" s="42"/>
      <c r="H147" s="42"/>
      <c r="I147" s="9"/>
      <c r="J147" s="9"/>
      <c r="K147" s="9"/>
      <c r="L147" s="9"/>
      <c r="M147" s="9"/>
      <c r="N147" s="9"/>
      <c r="O147" s="9"/>
      <c r="P147" s="9"/>
      <c r="Q147" s="9"/>
      <c r="R147" s="9"/>
      <c r="S147" s="42"/>
      <c r="T147" s="9"/>
      <c r="U147" s="9"/>
      <c r="V147" s="9"/>
      <c r="W147" s="38"/>
      <c r="X147" s="42"/>
      <c r="Y147" s="9"/>
      <c r="Z147" s="9"/>
      <c r="AA147" s="9"/>
      <c r="AB147" s="42"/>
      <c r="AC147" s="9"/>
      <c r="AD147" s="38"/>
      <c r="AE147" s="9"/>
      <c r="AF147" s="39"/>
      <c r="AG147" s="9"/>
      <c r="AH147" s="9"/>
      <c r="AI147" s="9"/>
      <c r="AJ147" s="9"/>
      <c r="AK147" s="9"/>
      <c r="AL147" s="9"/>
      <c r="AM147" s="9"/>
      <c r="AN147" s="10" t="str">
        <f aca="false">IF(A147="","",SG_Criteria!$B$6&amp;SG_Criteria!$B$12&amp;"\"&amp;A147&amp;"\")</f>
        <v/>
      </c>
      <c r="AO147" s="10" t="str">
        <f aca="false">IF(A147="","",A147&amp;"_CAD.dwg")</f>
        <v/>
      </c>
      <c r="AP147" s="10" t="str">
        <f aca="false">IF(A147="","",A147&amp;"_DWG.pdf")</f>
        <v/>
      </c>
      <c r="AQ147" s="10" t="str">
        <f aca="false">IF(A147="","",IF(AM147="Y",A147&amp;"_STAAD.std","n/a"))</f>
        <v/>
      </c>
      <c r="AR147" s="10" t="str">
        <f aca="false">IF(A147="","",A147&amp;"_CALC.xlsx")</f>
        <v/>
      </c>
      <c r="AS147" s="10" t="str">
        <f aca="false">IF(A147="","",A147&amp;"_CALC.pdf")</f>
        <v/>
      </c>
      <c r="AT147" s="9"/>
      <c r="AU147" s="9"/>
      <c r="AV147" s="39"/>
      <c r="AW147" s="39"/>
      <c r="AX147" s="39"/>
      <c r="AY147" s="39"/>
      <c r="AZ147" s="39"/>
      <c r="BA147" s="12" t="str">
        <f aca="false">IF(A147="","",IF(COUNTIF(Rebar_Schedule!$A$5:$A$2004,A147)=0,"",ROUND(SUMIF(Rebar_Schedule!$A$5:$A$2004,A147,Rebar_Schedule!$K$5:$K$2004),1)))</f>
        <v/>
      </c>
      <c r="BB147" s="33" t="str">
        <f aca="false">IF(A147="","",IF(BA147="","No rebar schedule yet",IF(ABS(BA147-N(AW147))/MAX(N(AW147),1)&gt;SG_Criteria!$B$55,"NOTE: register rebar differs from schedule by "&amp;TEXT(ABS(BA147-N(AW147))/MAX(N(AW147),1),"0%"),"OK")))</f>
        <v/>
      </c>
      <c r="BC147" s="33" t="str">
        <f aca="false">IF(D147="","",IF(LEN(IF(AND(D147&lt;&gt;"High Covered Linkway",G147&lt;SG_Criteria!$B$46),"FAIL: headroom below "&amp;SG_Criteria!$B$46&amp;" m. ","")&amp;IF(AND(D147="High Covered Linkway",G147&lt;SG_Criteria!$B$47),"FAIL: high linkway headroom below "&amp;SG_Criteria!$B$47&amp;" m. ","")&amp;IF(F147&lt;SG_Criteria!$B$48,"FAIL: roof width below "&amp;SG_Criteria!$B$48&amp;" m. ",IF(F147&lt;SG_Criteria!$B$49,"NOTE: not for MRT/LRT or high-traffic routes (min "&amp;SG_Criteria!$B$49&amp;" m). ",""))&amp;IF(AND(W147&lt;&gt;"",W147&lt;SG_Criteria!$B$50),"FAIL: wind speed below "&amp;SG_Criteria!$B$50&amp;" m/s. ","")&amp;IF(AND(X147&lt;&gt;"",X147&lt;SG_Criteria!$B$51),"FAIL: roof fixing pull-out below "&amp;SG_Criteria!$B$51&amp;" kN. ","")&amp;IF(AND(Y147&lt;&gt;"",IFERROR(VALUE(MID(Y147,2,2)),0)&lt;SG_Criteria!$B$52),"FAIL: grade below C"&amp;SG_Criteria!$B$52&amp;". ","")&amp;IF(E147="Non-standard (project design)","NOTE: not an SDRE standard, needs LTA acceptance. ",""))=0,"OK",IF(AND(D147&lt;&gt;"High Covered Linkway",G147&lt;SG_Criteria!$B$46),"FAIL: headroom below "&amp;SG_Criteria!$B$46&amp;" m. ","")&amp;IF(AND(D147="High Covered Linkway",G147&lt;SG_Criteria!$B$47),"FAIL: high linkway headroom below "&amp;SG_Criteria!$B$47&amp;" m. ","")&amp;IF(F147&lt;SG_Criteria!$B$48,"FAIL: roof width below "&amp;SG_Criteria!$B$48&amp;" m. ",IF(F147&lt;SG_Criteria!$B$49,"NOTE: not for MRT/LRT or high-traffic routes (min "&amp;SG_Criteria!$B$49&amp;" m). ",""))&amp;IF(AND(W147&lt;&gt;"",W147&lt;SG_Criteria!$B$50),"FAIL: wind speed below "&amp;SG_Criteria!$B$50&amp;" m/s. ","")&amp;IF(AND(X147&lt;&gt;"",X147&lt;SG_Criteria!$B$51),"FAIL: roof fixing pull-out below "&amp;SG_Criteria!$B$51&amp;" kN. ","")&amp;IF(AND(Y147&lt;&gt;"",IFERROR(VALUE(MID(Y147,2,2)),0)&lt;SG_Criteria!$B$52),"FAIL: grade below C"&amp;SG_Criteria!$B$52&amp;". ","")&amp;IF(E147="Non-standard (project design)","NOTE: not an SDRE standard, needs LTA acceptance. ","")))</f>
        <v/>
      </c>
      <c r="BD147" s="9"/>
      <c r="BE147" s="9"/>
      <c r="BF147" s="9"/>
      <c r="BG147" s="10" t="str">
        <f aca="false">IF(BF147="","",IFERROR(VLOOKUP(BF147,Projects!$A$5:$D$504,2,0),"Ref not in Projects"))</f>
        <v/>
      </c>
      <c r="BH147" s="10" t="str">
        <f aca="false">IF(BF147="","",IFERROR(VLOOKUP(BF147,Projects!$A$5:$D$504,4,0),"Ref not in Projects"))</f>
        <v/>
      </c>
      <c r="BI147" s="9"/>
      <c r="BJ147" s="9"/>
      <c r="BK147" s="9"/>
      <c r="BL147" s="40"/>
      <c r="BM147" s="9"/>
      <c r="BN147" s="40"/>
      <c r="BO147" s="9"/>
      <c r="BP147" s="40"/>
      <c r="BQ147" s="9"/>
      <c r="BR147" s="9"/>
      <c r="BS147" s="9"/>
      <c r="BT147" s="40"/>
      <c r="BU147" s="40"/>
      <c r="BV147" s="36" t="str">
        <f aca="false">IF(BU147="","",EDATE(BU147,SG_Criteria!$B$54*12))</f>
        <v/>
      </c>
      <c r="BW147" s="33" t="str">
        <f aca="true">IF(A147="","",IF(BU147="","NOTE: not reviewed yet",IF(TODAY()&gt;BV147,"NOTE: review overdue","OK")))</f>
        <v/>
      </c>
      <c r="BX147" s="37" t="str">
        <f aca="false">IF(A147="","",ROUND((IF(LEN(D147)&gt;0,1,0)+IF(LEN(E147)&gt;0,1,0)+IF(LEN(F147)&gt;0,1,0)+IF(LEN(G147)&gt;0,1,0)+IF(LEN(H147)&gt;0,1,0)+IF(LEN(I147)&gt;0,1,0)+IF(LEN(J147)&gt;0,1,0)+IF(LEN(K147)&gt;0,1,0)+IF(LEN(N147)&gt;0,1,0)+IF(LEN(O147)&gt;0,1,0)+IF(LEN(W147)&gt;0,1,0)+IF(LEN(X147)&gt;0,1,0)+IF(LEN(Y147)&gt;0,1,0)+IF(LEN(AG147)&gt;0,1,0)+IF(LEN(AI147)&gt;0,1,0)+IF(LEN(AJ147)&gt;0,1,0)+IF(LEN(AK147)&gt;0,1,0)+IF(LEN(AL147)&gt;0,1,0)+IF(LEN(AU147)&gt;0,1,0)+IF(LEN(BF147)&gt;0,1,0)+IF(LEN(BS147)&gt;0,1,0))/21,2))</f>
        <v/>
      </c>
      <c r="BY147" s="10" t="str">
        <f aca="false">IF(D147="","",IF(AND(AJ147="Approved",ISERROR(SEARCH("FAIL",BC147))),"Y","N"))</f>
        <v/>
      </c>
      <c r="BZ147" s="10" t="str">
        <f aca="false">IF(D147="","",D147&amp;"|"&amp;F147&amp;"|"&amp;G147&amp;"|"&amp;BY147)</f>
        <v/>
      </c>
    </row>
    <row r="148" customFormat="false" ht="15" hidden="false" customHeight="false" outlineLevel="0" collapsed="false">
      <c r="A148" s="10" t="str">
        <f aca="false">IF(D148="","","LKW-"&amp;IFERROR(VLOOKUP(D148,Lists!$AQ$4:$AR$17,2,0),"??")&amp;"-W"&amp;TEXT(F148*1000,"0000")&amp;"-H"&amp;TEXT(G148*1000,"0000")&amp;"-B"&amp;TEXT(H148*1000,"0000")&amp;"-"&amp;AI148)</f>
        <v/>
      </c>
      <c r="B148" s="10" t="str">
        <f aca="false">IF(D148="","",D148&amp;", "&amp;F148&amp;" m wide, "&amp;G148&amp;" m headroom, "&amp;H148&amp;" m bays, "&amp;I148&amp;" ("&amp;E148&amp;")")</f>
        <v/>
      </c>
      <c r="C148" s="9"/>
      <c r="D148" s="9"/>
      <c r="E148" s="9"/>
      <c r="F148" s="42"/>
      <c r="G148" s="42"/>
      <c r="H148" s="42"/>
      <c r="I148" s="9"/>
      <c r="J148" s="9"/>
      <c r="K148" s="9"/>
      <c r="L148" s="9"/>
      <c r="M148" s="9"/>
      <c r="N148" s="9"/>
      <c r="O148" s="9"/>
      <c r="P148" s="9"/>
      <c r="Q148" s="9"/>
      <c r="R148" s="9"/>
      <c r="S148" s="42"/>
      <c r="T148" s="9"/>
      <c r="U148" s="9"/>
      <c r="V148" s="9"/>
      <c r="W148" s="38"/>
      <c r="X148" s="42"/>
      <c r="Y148" s="9"/>
      <c r="Z148" s="9"/>
      <c r="AA148" s="9"/>
      <c r="AB148" s="42"/>
      <c r="AC148" s="9"/>
      <c r="AD148" s="38"/>
      <c r="AE148" s="9"/>
      <c r="AF148" s="39"/>
      <c r="AG148" s="9"/>
      <c r="AH148" s="9"/>
      <c r="AI148" s="9"/>
      <c r="AJ148" s="9"/>
      <c r="AK148" s="9"/>
      <c r="AL148" s="9"/>
      <c r="AM148" s="9"/>
      <c r="AN148" s="10" t="str">
        <f aca="false">IF(A148="","",SG_Criteria!$B$6&amp;SG_Criteria!$B$12&amp;"\"&amp;A148&amp;"\")</f>
        <v/>
      </c>
      <c r="AO148" s="10" t="str">
        <f aca="false">IF(A148="","",A148&amp;"_CAD.dwg")</f>
        <v/>
      </c>
      <c r="AP148" s="10" t="str">
        <f aca="false">IF(A148="","",A148&amp;"_DWG.pdf")</f>
        <v/>
      </c>
      <c r="AQ148" s="10" t="str">
        <f aca="false">IF(A148="","",IF(AM148="Y",A148&amp;"_STAAD.std","n/a"))</f>
        <v/>
      </c>
      <c r="AR148" s="10" t="str">
        <f aca="false">IF(A148="","",A148&amp;"_CALC.xlsx")</f>
        <v/>
      </c>
      <c r="AS148" s="10" t="str">
        <f aca="false">IF(A148="","",A148&amp;"_CALC.pdf")</f>
        <v/>
      </c>
      <c r="AT148" s="9"/>
      <c r="AU148" s="9"/>
      <c r="AV148" s="39"/>
      <c r="AW148" s="39"/>
      <c r="AX148" s="39"/>
      <c r="AY148" s="39"/>
      <c r="AZ148" s="39"/>
      <c r="BA148" s="12" t="str">
        <f aca="false">IF(A148="","",IF(COUNTIF(Rebar_Schedule!$A$5:$A$2004,A148)=0,"",ROUND(SUMIF(Rebar_Schedule!$A$5:$A$2004,A148,Rebar_Schedule!$K$5:$K$2004),1)))</f>
        <v/>
      </c>
      <c r="BB148" s="33" t="str">
        <f aca="false">IF(A148="","",IF(BA148="","No rebar schedule yet",IF(ABS(BA148-N(AW148))/MAX(N(AW148),1)&gt;SG_Criteria!$B$55,"NOTE: register rebar differs from schedule by "&amp;TEXT(ABS(BA148-N(AW148))/MAX(N(AW148),1),"0%"),"OK")))</f>
        <v/>
      </c>
      <c r="BC148" s="33" t="str">
        <f aca="false">IF(D148="","",IF(LEN(IF(AND(D148&lt;&gt;"High Covered Linkway",G148&lt;SG_Criteria!$B$46),"FAIL: headroom below "&amp;SG_Criteria!$B$46&amp;" m. ","")&amp;IF(AND(D148="High Covered Linkway",G148&lt;SG_Criteria!$B$47),"FAIL: high linkway headroom below "&amp;SG_Criteria!$B$47&amp;" m. ","")&amp;IF(F148&lt;SG_Criteria!$B$48,"FAIL: roof width below "&amp;SG_Criteria!$B$48&amp;" m. ",IF(F148&lt;SG_Criteria!$B$49,"NOTE: not for MRT/LRT or high-traffic routes (min "&amp;SG_Criteria!$B$49&amp;" m). ",""))&amp;IF(AND(W148&lt;&gt;"",W148&lt;SG_Criteria!$B$50),"FAIL: wind speed below "&amp;SG_Criteria!$B$50&amp;" m/s. ","")&amp;IF(AND(X148&lt;&gt;"",X148&lt;SG_Criteria!$B$51),"FAIL: roof fixing pull-out below "&amp;SG_Criteria!$B$51&amp;" kN. ","")&amp;IF(AND(Y148&lt;&gt;"",IFERROR(VALUE(MID(Y148,2,2)),0)&lt;SG_Criteria!$B$52),"FAIL: grade below C"&amp;SG_Criteria!$B$52&amp;". ","")&amp;IF(E148="Non-standard (project design)","NOTE: not an SDRE standard, needs LTA acceptance. ",""))=0,"OK",IF(AND(D148&lt;&gt;"High Covered Linkway",G148&lt;SG_Criteria!$B$46),"FAIL: headroom below "&amp;SG_Criteria!$B$46&amp;" m. ","")&amp;IF(AND(D148="High Covered Linkway",G148&lt;SG_Criteria!$B$47),"FAIL: high linkway headroom below "&amp;SG_Criteria!$B$47&amp;" m. ","")&amp;IF(F148&lt;SG_Criteria!$B$48,"FAIL: roof width below "&amp;SG_Criteria!$B$48&amp;" m. ",IF(F148&lt;SG_Criteria!$B$49,"NOTE: not for MRT/LRT or high-traffic routes (min "&amp;SG_Criteria!$B$49&amp;" m). ",""))&amp;IF(AND(W148&lt;&gt;"",W148&lt;SG_Criteria!$B$50),"FAIL: wind speed below "&amp;SG_Criteria!$B$50&amp;" m/s. ","")&amp;IF(AND(X148&lt;&gt;"",X148&lt;SG_Criteria!$B$51),"FAIL: roof fixing pull-out below "&amp;SG_Criteria!$B$51&amp;" kN. ","")&amp;IF(AND(Y148&lt;&gt;"",IFERROR(VALUE(MID(Y148,2,2)),0)&lt;SG_Criteria!$B$52),"FAIL: grade below C"&amp;SG_Criteria!$B$52&amp;". ","")&amp;IF(E148="Non-standard (project design)","NOTE: not an SDRE standard, needs LTA acceptance. ","")))</f>
        <v/>
      </c>
      <c r="BD148" s="9"/>
      <c r="BE148" s="9"/>
      <c r="BF148" s="9"/>
      <c r="BG148" s="10" t="str">
        <f aca="false">IF(BF148="","",IFERROR(VLOOKUP(BF148,Projects!$A$5:$D$504,2,0),"Ref not in Projects"))</f>
        <v/>
      </c>
      <c r="BH148" s="10" t="str">
        <f aca="false">IF(BF148="","",IFERROR(VLOOKUP(BF148,Projects!$A$5:$D$504,4,0),"Ref not in Projects"))</f>
        <v/>
      </c>
      <c r="BI148" s="9"/>
      <c r="BJ148" s="9"/>
      <c r="BK148" s="9"/>
      <c r="BL148" s="40"/>
      <c r="BM148" s="9"/>
      <c r="BN148" s="40"/>
      <c r="BO148" s="9"/>
      <c r="BP148" s="40"/>
      <c r="BQ148" s="9"/>
      <c r="BR148" s="9"/>
      <c r="BS148" s="9"/>
      <c r="BT148" s="40"/>
      <c r="BU148" s="40"/>
      <c r="BV148" s="36" t="str">
        <f aca="false">IF(BU148="","",EDATE(BU148,SG_Criteria!$B$54*12))</f>
        <v/>
      </c>
      <c r="BW148" s="33" t="str">
        <f aca="true">IF(A148="","",IF(BU148="","NOTE: not reviewed yet",IF(TODAY()&gt;BV148,"NOTE: review overdue","OK")))</f>
        <v/>
      </c>
      <c r="BX148" s="37" t="str">
        <f aca="false">IF(A148="","",ROUND((IF(LEN(D148)&gt;0,1,0)+IF(LEN(E148)&gt;0,1,0)+IF(LEN(F148)&gt;0,1,0)+IF(LEN(G148)&gt;0,1,0)+IF(LEN(H148)&gt;0,1,0)+IF(LEN(I148)&gt;0,1,0)+IF(LEN(J148)&gt;0,1,0)+IF(LEN(K148)&gt;0,1,0)+IF(LEN(N148)&gt;0,1,0)+IF(LEN(O148)&gt;0,1,0)+IF(LEN(W148)&gt;0,1,0)+IF(LEN(X148)&gt;0,1,0)+IF(LEN(Y148)&gt;0,1,0)+IF(LEN(AG148)&gt;0,1,0)+IF(LEN(AI148)&gt;0,1,0)+IF(LEN(AJ148)&gt;0,1,0)+IF(LEN(AK148)&gt;0,1,0)+IF(LEN(AL148)&gt;0,1,0)+IF(LEN(AU148)&gt;0,1,0)+IF(LEN(BF148)&gt;0,1,0)+IF(LEN(BS148)&gt;0,1,0))/21,2))</f>
        <v/>
      </c>
      <c r="BY148" s="10" t="str">
        <f aca="false">IF(D148="","",IF(AND(AJ148="Approved",ISERROR(SEARCH("FAIL",BC148))),"Y","N"))</f>
        <v/>
      </c>
      <c r="BZ148" s="10" t="str">
        <f aca="false">IF(D148="","",D148&amp;"|"&amp;F148&amp;"|"&amp;G148&amp;"|"&amp;BY148)</f>
        <v/>
      </c>
    </row>
    <row r="149" customFormat="false" ht="15" hidden="false" customHeight="false" outlineLevel="0" collapsed="false">
      <c r="A149" s="10" t="str">
        <f aca="false">IF(D149="","","LKW-"&amp;IFERROR(VLOOKUP(D149,Lists!$AQ$4:$AR$17,2,0),"??")&amp;"-W"&amp;TEXT(F149*1000,"0000")&amp;"-H"&amp;TEXT(G149*1000,"0000")&amp;"-B"&amp;TEXT(H149*1000,"0000")&amp;"-"&amp;AI149)</f>
        <v/>
      </c>
      <c r="B149" s="10" t="str">
        <f aca="false">IF(D149="","",D149&amp;", "&amp;F149&amp;" m wide, "&amp;G149&amp;" m headroom, "&amp;H149&amp;" m bays, "&amp;I149&amp;" ("&amp;E149&amp;")")</f>
        <v/>
      </c>
      <c r="C149" s="9"/>
      <c r="D149" s="9"/>
      <c r="E149" s="9"/>
      <c r="F149" s="42"/>
      <c r="G149" s="42"/>
      <c r="H149" s="42"/>
      <c r="I149" s="9"/>
      <c r="J149" s="9"/>
      <c r="K149" s="9"/>
      <c r="L149" s="9"/>
      <c r="M149" s="9"/>
      <c r="N149" s="9"/>
      <c r="O149" s="9"/>
      <c r="P149" s="9"/>
      <c r="Q149" s="9"/>
      <c r="R149" s="9"/>
      <c r="S149" s="42"/>
      <c r="T149" s="9"/>
      <c r="U149" s="9"/>
      <c r="V149" s="9"/>
      <c r="W149" s="38"/>
      <c r="X149" s="42"/>
      <c r="Y149" s="9"/>
      <c r="Z149" s="9"/>
      <c r="AA149" s="9"/>
      <c r="AB149" s="42"/>
      <c r="AC149" s="9"/>
      <c r="AD149" s="38"/>
      <c r="AE149" s="9"/>
      <c r="AF149" s="39"/>
      <c r="AG149" s="9"/>
      <c r="AH149" s="9"/>
      <c r="AI149" s="9"/>
      <c r="AJ149" s="9"/>
      <c r="AK149" s="9"/>
      <c r="AL149" s="9"/>
      <c r="AM149" s="9"/>
      <c r="AN149" s="10" t="str">
        <f aca="false">IF(A149="","",SG_Criteria!$B$6&amp;SG_Criteria!$B$12&amp;"\"&amp;A149&amp;"\")</f>
        <v/>
      </c>
      <c r="AO149" s="10" t="str">
        <f aca="false">IF(A149="","",A149&amp;"_CAD.dwg")</f>
        <v/>
      </c>
      <c r="AP149" s="10" t="str">
        <f aca="false">IF(A149="","",A149&amp;"_DWG.pdf")</f>
        <v/>
      </c>
      <c r="AQ149" s="10" t="str">
        <f aca="false">IF(A149="","",IF(AM149="Y",A149&amp;"_STAAD.std","n/a"))</f>
        <v/>
      </c>
      <c r="AR149" s="10" t="str">
        <f aca="false">IF(A149="","",A149&amp;"_CALC.xlsx")</f>
        <v/>
      </c>
      <c r="AS149" s="10" t="str">
        <f aca="false">IF(A149="","",A149&amp;"_CALC.pdf")</f>
        <v/>
      </c>
      <c r="AT149" s="9"/>
      <c r="AU149" s="9"/>
      <c r="AV149" s="39"/>
      <c r="AW149" s="39"/>
      <c r="AX149" s="39"/>
      <c r="AY149" s="39"/>
      <c r="AZ149" s="39"/>
      <c r="BA149" s="12" t="str">
        <f aca="false">IF(A149="","",IF(COUNTIF(Rebar_Schedule!$A$5:$A$2004,A149)=0,"",ROUND(SUMIF(Rebar_Schedule!$A$5:$A$2004,A149,Rebar_Schedule!$K$5:$K$2004),1)))</f>
        <v/>
      </c>
      <c r="BB149" s="33" t="str">
        <f aca="false">IF(A149="","",IF(BA149="","No rebar schedule yet",IF(ABS(BA149-N(AW149))/MAX(N(AW149),1)&gt;SG_Criteria!$B$55,"NOTE: register rebar differs from schedule by "&amp;TEXT(ABS(BA149-N(AW149))/MAX(N(AW149),1),"0%"),"OK")))</f>
        <v/>
      </c>
      <c r="BC149" s="33" t="str">
        <f aca="false">IF(D149="","",IF(LEN(IF(AND(D149&lt;&gt;"High Covered Linkway",G149&lt;SG_Criteria!$B$46),"FAIL: headroom below "&amp;SG_Criteria!$B$46&amp;" m. ","")&amp;IF(AND(D149="High Covered Linkway",G149&lt;SG_Criteria!$B$47),"FAIL: high linkway headroom below "&amp;SG_Criteria!$B$47&amp;" m. ","")&amp;IF(F149&lt;SG_Criteria!$B$48,"FAIL: roof width below "&amp;SG_Criteria!$B$48&amp;" m. ",IF(F149&lt;SG_Criteria!$B$49,"NOTE: not for MRT/LRT or high-traffic routes (min "&amp;SG_Criteria!$B$49&amp;" m). ",""))&amp;IF(AND(W149&lt;&gt;"",W149&lt;SG_Criteria!$B$50),"FAIL: wind speed below "&amp;SG_Criteria!$B$50&amp;" m/s. ","")&amp;IF(AND(X149&lt;&gt;"",X149&lt;SG_Criteria!$B$51),"FAIL: roof fixing pull-out below "&amp;SG_Criteria!$B$51&amp;" kN. ","")&amp;IF(AND(Y149&lt;&gt;"",IFERROR(VALUE(MID(Y149,2,2)),0)&lt;SG_Criteria!$B$52),"FAIL: grade below C"&amp;SG_Criteria!$B$52&amp;". ","")&amp;IF(E149="Non-standard (project design)","NOTE: not an SDRE standard, needs LTA acceptance. ",""))=0,"OK",IF(AND(D149&lt;&gt;"High Covered Linkway",G149&lt;SG_Criteria!$B$46),"FAIL: headroom below "&amp;SG_Criteria!$B$46&amp;" m. ","")&amp;IF(AND(D149="High Covered Linkway",G149&lt;SG_Criteria!$B$47),"FAIL: high linkway headroom below "&amp;SG_Criteria!$B$47&amp;" m. ","")&amp;IF(F149&lt;SG_Criteria!$B$48,"FAIL: roof width below "&amp;SG_Criteria!$B$48&amp;" m. ",IF(F149&lt;SG_Criteria!$B$49,"NOTE: not for MRT/LRT or high-traffic routes (min "&amp;SG_Criteria!$B$49&amp;" m). ",""))&amp;IF(AND(W149&lt;&gt;"",W149&lt;SG_Criteria!$B$50),"FAIL: wind speed below "&amp;SG_Criteria!$B$50&amp;" m/s. ","")&amp;IF(AND(X149&lt;&gt;"",X149&lt;SG_Criteria!$B$51),"FAIL: roof fixing pull-out below "&amp;SG_Criteria!$B$51&amp;" kN. ","")&amp;IF(AND(Y149&lt;&gt;"",IFERROR(VALUE(MID(Y149,2,2)),0)&lt;SG_Criteria!$B$52),"FAIL: grade below C"&amp;SG_Criteria!$B$52&amp;". ","")&amp;IF(E149="Non-standard (project design)","NOTE: not an SDRE standard, needs LTA acceptance. ","")))</f>
        <v/>
      </c>
      <c r="BD149" s="9"/>
      <c r="BE149" s="9"/>
      <c r="BF149" s="9"/>
      <c r="BG149" s="10" t="str">
        <f aca="false">IF(BF149="","",IFERROR(VLOOKUP(BF149,Projects!$A$5:$D$504,2,0),"Ref not in Projects"))</f>
        <v/>
      </c>
      <c r="BH149" s="10" t="str">
        <f aca="false">IF(BF149="","",IFERROR(VLOOKUP(BF149,Projects!$A$5:$D$504,4,0),"Ref not in Projects"))</f>
        <v/>
      </c>
      <c r="BI149" s="9"/>
      <c r="BJ149" s="9"/>
      <c r="BK149" s="9"/>
      <c r="BL149" s="40"/>
      <c r="BM149" s="9"/>
      <c r="BN149" s="40"/>
      <c r="BO149" s="9"/>
      <c r="BP149" s="40"/>
      <c r="BQ149" s="9"/>
      <c r="BR149" s="9"/>
      <c r="BS149" s="9"/>
      <c r="BT149" s="40"/>
      <c r="BU149" s="40"/>
      <c r="BV149" s="36" t="str">
        <f aca="false">IF(BU149="","",EDATE(BU149,SG_Criteria!$B$54*12))</f>
        <v/>
      </c>
      <c r="BW149" s="33" t="str">
        <f aca="true">IF(A149="","",IF(BU149="","NOTE: not reviewed yet",IF(TODAY()&gt;BV149,"NOTE: review overdue","OK")))</f>
        <v/>
      </c>
      <c r="BX149" s="37" t="str">
        <f aca="false">IF(A149="","",ROUND((IF(LEN(D149)&gt;0,1,0)+IF(LEN(E149)&gt;0,1,0)+IF(LEN(F149)&gt;0,1,0)+IF(LEN(G149)&gt;0,1,0)+IF(LEN(H149)&gt;0,1,0)+IF(LEN(I149)&gt;0,1,0)+IF(LEN(J149)&gt;0,1,0)+IF(LEN(K149)&gt;0,1,0)+IF(LEN(N149)&gt;0,1,0)+IF(LEN(O149)&gt;0,1,0)+IF(LEN(W149)&gt;0,1,0)+IF(LEN(X149)&gt;0,1,0)+IF(LEN(Y149)&gt;0,1,0)+IF(LEN(AG149)&gt;0,1,0)+IF(LEN(AI149)&gt;0,1,0)+IF(LEN(AJ149)&gt;0,1,0)+IF(LEN(AK149)&gt;0,1,0)+IF(LEN(AL149)&gt;0,1,0)+IF(LEN(AU149)&gt;0,1,0)+IF(LEN(BF149)&gt;0,1,0)+IF(LEN(BS149)&gt;0,1,0))/21,2))</f>
        <v/>
      </c>
      <c r="BY149" s="10" t="str">
        <f aca="false">IF(D149="","",IF(AND(AJ149="Approved",ISERROR(SEARCH("FAIL",BC149))),"Y","N"))</f>
        <v/>
      </c>
      <c r="BZ149" s="10" t="str">
        <f aca="false">IF(D149="","",D149&amp;"|"&amp;F149&amp;"|"&amp;G149&amp;"|"&amp;BY149)</f>
        <v/>
      </c>
    </row>
    <row r="150" customFormat="false" ht="15" hidden="false" customHeight="false" outlineLevel="0" collapsed="false">
      <c r="A150" s="10" t="str">
        <f aca="false">IF(D150="","","LKW-"&amp;IFERROR(VLOOKUP(D150,Lists!$AQ$4:$AR$17,2,0),"??")&amp;"-W"&amp;TEXT(F150*1000,"0000")&amp;"-H"&amp;TEXT(G150*1000,"0000")&amp;"-B"&amp;TEXT(H150*1000,"0000")&amp;"-"&amp;AI150)</f>
        <v/>
      </c>
      <c r="B150" s="10" t="str">
        <f aca="false">IF(D150="","",D150&amp;", "&amp;F150&amp;" m wide, "&amp;G150&amp;" m headroom, "&amp;H150&amp;" m bays, "&amp;I150&amp;" ("&amp;E150&amp;")")</f>
        <v/>
      </c>
      <c r="C150" s="9"/>
      <c r="D150" s="9"/>
      <c r="E150" s="9"/>
      <c r="F150" s="42"/>
      <c r="G150" s="42"/>
      <c r="H150" s="42"/>
      <c r="I150" s="9"/>
      <c r="J150" s="9"/>
      <c r="K150" s="9"/>
      <c r="L150" s="9"/>
      <c r="M150" s="9"/>
      <c r="N150" s="9"/>
      <c r="O150" s="9"/>
      <c r="P150" s="9"/>
      <c r="Q150" s="9"/>
      <c r="R150" s="9"/>
      <c r="S150" s="42"/>
      <c r="T150" s="9"/>
      <c r="U150" s="9"/>
      <c r="V150" s="9"/>
      <c r="W150" s="38"/>
      <c r="X150" s="42"/>
      <c r="Y150" s="9"/>
      <c r="Z150" s="9"/>
      <c r="AA150" s="9"/>
      <c r="AB150" s="42"/>
      <c r="AC150" s="9"/>
      <c r="AD150" s="38"/>
      <c r="AE150" s="9"/>
      <c r="AF150" s="39"/>
      <c r="AG150" s="9"/>
      <c r="AH150" s="9"/>
      <c r="AI150" s="9"/>
      <c r="AJ150" s="9"/>
      <c r="AK150" s="9"/>
      <c r="AL150" s="9"/>
      <c r="AM150" s="9"/>
      <c r="AN150" s="10" t="str">
        <f aca="false">IF(A150="","",SG_Criteria!$B$6&amp;SG_Criteria!$B$12&amp;"\"&amp;A150&amp;"\")</f>
        <v/>
      </c>
      <c r="AO150" s="10" t="str">
        <f aca="false">IF(A150="","",A150&amp;"_CAD.dwg")</f>
        <v/>
      </c>
      <c r="AP150" s="10" t="str">
        <f aca="false">IF(A150="","",A150&amp;"_DWG.pdf")</f>
        <v/>
      </c>
      <c r="AQ150" s="10" t="str">
        <f aca="false">IF(A150="","",IF(AM150="Y",A150&amp;"_STAAD.std","n/a"))</f>
        <v/>
      </c>
      <c r="AR150" s="10" t="str">
        <f aca="false">IF(A150="","",A150&amp;"_CALC.xlsx")</f>
        <v/>
      </c>
      <c r="AS150" s="10" t="str">
        <f aca="false">IF(A150="","",A150&amp;"_CALC.pdf")</f>
        <v/>
      </c>
      <c r="AT150" s="9"/>
      <c r="AU150" s="9"/>
      <c r="AV150" s="39"/>
      <c r="AW150" s="39"/>
      <c r="AX150" s="39"/>
      <c r="AY150" s="39"/>
      <c r="AZ150" s="39"/>
      <c r="BA150" s="12" t="str">
        <f aca="false">IF(A150="","",IF(COUNTIF(Rebar_Schedule!$A$5:$A$2004,A150)=0,"",ROUND(SUMIF(Rebar_Schedule!$A$5:$A$2004,A150,Rebar_Schedule!$K$5:$K$2004),1)))</f>
        <v/>
      </c>
      <c r="BB150" s="33" t="str">
        <f aca="false">IF(A150="","",IF(BA150="","No rebar schedule yet",IF(ABS(BA150-N(AW150))/MAX(N(AW150),1)&gt;SG_Criteria!$B$55,"NOTE: register rebar differs from schedule by "&amp;TEXT(ABS(BA150-N(AW150))/MAX(N(AW150),1),"0%"),"OK")))</f>
        <v/>
      </c>
      <c r="BC150" s="33" t="str">
        <f aca="false">IF(D150="","",IF(LEN(IF(AND(D150&lt;&gt;"High Covered Linkway",G150&lt;SG_Criteria!$B$46),"FAIL: headroom below "&amp;SG_Criteria!$B$46&amp;" m. ","")&amp;IF(AND(D150="High Covered Linkway",G150&lt;SG_Criteria!$B$47),"FAIL: high linkway headroom below "&amp;SG_Criteria!$B$47&amp;" m. ","")&amp;IF(F150&lt;SG_Criteria!$B$48,"FAIL: roof width below "&amp;SG_Criteria!$B$48&amp;" m. ",IF(F150&lt;SG_Criteria!$B$49,"NOTE: not for MRT/LRT or high-traffic routes (min "&amp;SG_Criteria!$B$49&amp;" m). ",""))&amp;IF(AND(W150&lt;&gt;"",W150&lt;SG_Criteria!$B$50),"FAIL: wind speed below "&amp;SG_Criteria!$B$50&amp;" m/s. ","")&amp;IF(AND(X150&lt;&gt;"",X150&lt;SG_Criteria!$B$51),"FAIL: roof fixing pull-out below "&amp;SG_Criteria!$B$51&amp;" kN. ","")&amp;IF(AND(Y150&lt;&gt;"",IFERROR(VALUE(MID(Y150,2,2)),0)&lt;SG_Criteria!$B$52),"FAIL: grade below C"&amp;SG_Criteria!$B$52&amp;". ","")&amp;IF(E150="Non-standard (project design)","NOTE: not an SDRE standard, needs LTA acceptance. ",""))=0,"OK",IF(AND(D150&lt;&gt;"High Covered Linkway",G150&lt;SG_Criteria!$B$46),"FAIL: headroom below "&amp;SG_Criteria!$B$46&amp;" m. ","")&amp;IF(AND(D150="High Covered Linkway",G150&lt;SG_Criteria!$B$47),"FAIL: high linkway headroom below "&amp;SG_Criteria!$B$47&amp;" m. ","")&amp;IF(F150&lt;SG_Criteria!$B$48,"FAIL: roof width below "&amp;SG_Criteria!$B$48&amp;" m. ",IF(F150&lt;SG_Criteria!$B$49,"NOTE: not for MRT/LRT or high-traffic routes (min "&amp;SG_Criteria!$B$49&amp;" m). ",""))&amp;IF(AND(W150&lt;&gt;"",W150&lt;SG_Criteria!$B$50),"FAIL: wind speed below "&amp;SG_Criteria!$B$50&amp;" m/s. ","")&amp;IF(AND(X150&lt;&gt;"",X150&lt;SG_Criteria!$B$51),"FAIL: roof fixing pull-out below "&amp;SG_Criteria!$B$51&amp;" kN. ","")&amp;IF(AND(Y150&lt;&gt;"",IFERROR(VALUE(MID(Y150,2,2)),0)&lt;SG_Criteria!$B$52),"FAIL: grade below C"&amp;SG_Criteria!$B$52&amp;". ","")&amp;IF(E150="Non-standard (project design)","NOTE: not an SDRE standard, needs LTA acceptance. ","")))</f>
        <v/>
      </c>
      <c r="BD150" s="9"/>
      <c r="BE150" s="9"/>
      <c r="BF150" s="9"/>
      <c r="BG150" s="10" t="str">
        <f aca="false">IF(BF150="","",IFERROR(VLOOKUP(BF150,Projects!$A$5:$D$504,2,0),"Ref not in Projects"))</f>
        <v/>
      </c>
      <c r="BH150" s="10" t="str">
        <f aca="false">IF(BF150="","",IFERROR(VLOOKUP(BF150,Projects!$A$5:$D$504,4,0),"Ref not in Projects"))</f>
        <v/>
      </c>
      <c r="BI150" s="9"/>
      <c r="BJ150" s="9"/>
      <c r="BK150" s="9"/>
      <c r="BL150" s="40"/>
      <c r="BM150" s="9"/>
      <c r="BN150" s="40"/>
      <c r="BO150" s="9"/>
      <c r="BP150" s="40"/>
      <c r="BQ150" s="9"/>
      <c r="BR150" s="9"/>
      <c r="BS150" s="9"/>
      <c r="BT150" s="40"/>
      <c r="BU150" s="40"/>
      <c r="BV150" s="36" t="str">
        <f aca="false">IF(BU150="","",EDATE(BU150,SG_Criteria!$B$54*12))</f>
        <v/>
      </c>
      <c r="BW150" s="33" t="str">
        <f aca="true">IF(A150="","",IF(BU150="","NOTE: not reviewed yet",IF(TODAY()&gt;BV150,"NOTE: review overdue","OK")))</f>
        <v/>
      </c>
      <c r="BX150" s="37" t="str">
        <f aca="false">IF(A150="","",ROUND((IF(LEN(D150)&gt;0,1,0)+IF(LEN(E150)&gt;0,1,0)+IF(LEN(F150)&gt;0,1,0)+IF(LEN(G150)&gt;0,1,0)+IF(LEN(H150)&gt;0,1,0)+IF(LEN(I150)&gt;0,1,0)+IF(LEN(J150)&gt;0,1,0)+IF(LEN(K150)&gt;0,1,0)+IF(LEN(N150)&gt;0,1,0)+IF(LEN(O150)&gt;0,1,0)+IF(LEN(W150)&gt;0,1,0)+IF(LEN(X150)&gt;0,1,0)+IF(LEN(Y150)&gt;0,1,0)+IF(LEN(AG150)&gt;0,1,0)+IF(LEN(AI150)&gt;0,1,0)+IF(LEN(AJ150)&gt;0,1,0)+IF(LEN(AK150)&gt;0,1,0)+IF(LEN(AL150)&gt;0,1,0)+IF(LEN(AU150)&gt;0,1,0)+IF(LEN(BF150)&gt;0,1,0)+IF(LEN(BS150)&gt;0,1,0))/21,2))</f>
        <v/>
      </c>
      <c r="BY150" s="10" t="str">
        <f aca="false">IF(D150="","",IF(AND(AJ150="Approved",ISERROR(SEARCH("FAIL",BC150))),"Y","N"))</f>
        <v/>
      </c>
      <c r="BZ150" s="10" t="str">
        <f aca="false">IF(D150="","",D150&amp;"|"&amp;F150&amp;"|"&amp;G150&amp;"|"&amp;BY150)</f>
        <v/>
      </c>
    </row>
    <row r="151" customFormat="false" ht="15" hidden="false" customHeight="false" outlineLevel="0" collapsed="false">
      <c r="A151" s="10" t="str">
        <f aca="false">IF(D151="","","LKW-"&amp;IFERROR(VLOOKUP(D151,Lists!$AQ$4:$AR$17,2,0),"??")&amp;"-W"&amp;TEXT(F151*1000,"0000")&amp;"-H"&amp;TEXT(G151*1000,"0000")&amp;"-B"&amp;TEXT(H151*1000,"0000")&amp;"-"&amp;AI151)</f>
        <v/>
      </c>
      <c r="B151" s="10" t="str">
        <f aca="false">IF(D151="","",D151&amp;", "&amp;F151&amp;" m wide, "&amp;G151&amp;" m headroom, "&amp;H151&amp;" m bays, "&amp;I151&amp;" ("&amp;E151&amp;")")</f>
        <v/>
      </c>
      <c r="C151" s="9"/>
      <c r="D151" s="9"/>
      <c r="E151" s="9"/>
      <c r="F151" s="42"/>
      <c r="G151" s="42"/>
      <c r="H151" s="42"/>
      <c r="I151" s="9"/>
      <c r="J151" s="9"/>
      <c r="K151" s="9"/>
      <c r="L151" s="9"/>
      <c r="M151" s="9"/>
      <c r="N151" s="9"/>
      <c r="O151" s="9"/>
      <c r="P151" s="9"/>
      <c r="Q151" s="9"/>
      <c r="R151" s="9"/>
      <c r="S151" s="42"/>
      <c r="T151" s="9"/>
      <c r="U151" s="9"/>
      <c r="V151" s="9"/>
      <c r="W151" s="38"/>
      <c r="X151" s="42"/>
      <c r="Y151" s="9"/>
      <c r="Z151" s="9"/>
      <c r="AA151" s="9"/>
      <c r="AB151" s="42"/>
      <c r="AC151" s="9"/>
      <c r="AD151" s="38"/>
      <c r="AE151" s="9"/>
      <c r="AF151" s="39"/>
      <c r="AG151" s="9"/>
      <c r="AH151" s="9"/>
      <c r="AI151" s="9"/>
      <c r="AJ151" s="9"/>
      <c r="AK151" s="9"/>
      <c r="AL151" s="9"/>
      <c r="AM151" s="9"/>
      <c r="AN151" s="10" t="str">
        <f aca="false">IF(A151="","",SG_Criteria!$B$6&amp;SG_Criteria!$B$12&amp;"\"&amp;A151&amp;"\")</f>
        <v/>
      </c>
      <c r="AO151" s="10" t="str">
        <f aca="false">IF(A151="","",A151&amp;"_CAD.dwg")</f>
        <v/>
      </c>
      <c r="AP151" s="10" t="str">
        <f aca="false">IF(A151="","",A151&amp;"_DWG.pdf")</f>
        <v/>
      </c>
      <c r="AQ151" s="10" t="str">
        <f aca="false">IF(A151="","",IF(AM151="Y",A151&amp;"_STAAD.std","n/a"))</f>
        <v/>
      </c>
      <c r="AR151" s="10" t="str">
        <f aca="false">IF(A151="","",A151&amp;"_CALC.xlsx")</f>
        <v/>
      </c>
      <c r="AS151" s="10" t="str">
        <f aca="false">IF(A151="","",A151&amp;"_CALC.pdf")</f>
        <v/>
      </c>
      <c r="AT151" s="9"/>
      <c r="AU151" s="9"/>
      <c r="AV151" s="39"/>
      <c r="AW151" s="39"/>
      <c r="AX151" s="39"/>
      <c r="AY151" s="39"/>
      <c r="AZ151" s="39"/>
      <c r="BA151" s="12" t="str">
        <f aca="false">IF(A151="","",IF(COUNTIF(Rebar_Schedule!$A$5:$A$2004,A151)=0,"",ROUND(SUMIF(Rebar_Schedule!$A$5:$A$2004,A151,Rebar_Schedule!$K$5:$K$2004),1)))</f>
        <v/>
      </c>
      <c r="BB151" s="33" t="str">
        <f aca="false">IF(A151="","",IF(BA151="","No rebar schedule yet",IF(ABS(BA151-N(AW151))/MAX(N(AW151),1)&gt;SG_Criteria!$B$55,"NOTE: register rebar differs from schedule by "&amp;TEXT(ABS(BA151-N(AW151))/MAX(N(AW151),1),"0%"),"OK")))</f>
        <v/>
      </c>
      <c r="BC151" s="33" t="str">
        <f aca="false">IF(D151="","",IF(LEN(IF(AND(D151&lt;&gt;"High Covered Linkway",G151&lt;SG_Criteria!$B$46),"FAIL: headroom below "&amp;SG_Criteria!$B$46&amp;" m. ","")&amp;IF(AND(D151="High Covered Linkway",G151&lt;SG_Criteria!$B$47),"FAIL: high linkway headroom below "&amp;SG_Criteria!$B$47&amp;" m. ","")&amp;IF(F151&lt;SG_Criteria!$B$48,"FAIL: roof width below "&amp;SG_Criteria!$B$48&amp;" m. ",IF(F151&lt;SG_Criteria!$B$49,"NOTE: not for MRT/LRT or high-traffic routes (min "&amp;SG_Criteria!$B$49&amp;" m). ",""))&amp;IF(AND(W151&lt;&gt;"",W151&lt;SG_Criteria!$B$50),"FAIL: wind speed below "&amp;SG_Criteria!$B$50&amp;" m/s. ","")&amp;IF(AND(X151&lt;&gt;"",X151&lt;SG_Criteria!$B$51),"FAIL: roof fixing pull-out below "&amp;SG_Criteria!$B$51&amp;" kN. ","")&amp;IF(AND(Y151&lt;&gt;"",IFERROR(VALUE(MID(Y151,2,2)),0)&lt;SG_Criteria!$B$52),"FAIL: grade below C"&amp;SG_Criteria!$B$52&amp;". ","")&amp;IF(E151="Non-standard (project design)","NOTE: not an SDRE standard, needs LTA acceptance. ",""))=0,"OK",IF(AND(D151&lt;&gt;"High Covered Linkway",G151&lt;SG_Criteria!$B$46),"FAIL: headroom below "&amp;SG_Criteria!$B$46&amp;" m. ","")&amp;IF(AND(D151="High Covered Linkway",G151&lt;SG_Criteria!$B$47),"FAIL: high linkway headroom below "&amp;SG_Criteria!$B$47&amp;" m. ","")&amp;IF(F151&lt;SG_Criteria!$B$48,"FAIL: roof width below "&amp;SG_Criteria!$B$48&amp;" m. ",IF(F151&lt;SG_Criteria!$B$49,"NOTE: not for MRT/LRT or high-traffic routes (min "&amp;SG_Criteria!$B$49&amp;" m). ",""))&amp;IF(AND(W151&lt;&gt;"",W151&lt;SG_Criteria!$B$50),"FAIL: wind speed below "&amp;SG_Criteria!$B$50&amp;" m/s. ","")&amp;IF(AND(X151&lt;&gt;"",X151&lt;SG_Criteria!$B$51),"FAIL: roof fixing pull-out below "&amp;SG_Criteria!$B$51&amp;" kN. ","")&amp;IF(AND(Y151&lt;&gt;"",IFERROR(VALUE(MID(Y151,2,2)),0)&lt;SG_Criteria!$B$52),"FAIL: grade below C"&amp;SG_Criteria!$B$52&amp;". ","")&amp;IF(E151="Non-standard (project design)","NOTE: not an SDRE standard, needs LTA acceptance. ","")))</f>
        <v/>
      </c>
      <c r="BD151" s="9"/>
      <c r="BE151" s="9"/>
      <c r="BF151" s="9"/>
      <c r="BG151" s="10" t="str">
        <f aca="false">IF(BF151="","",IFERROR(VLOOKUP(BF151,Projects!$A$5:$D$504,2,0),"Ref not in Projects"))</f>
        <v/>
      </c>
      <c r="BH151" s="10" t="str">
        <f aca="false">IF(BF151="","",IFERROR(VLOOKUP(BF151,Projects!$A$5:$D$504,4,0),"Ref not in Projects"))</f>
        <v/>
      </c>
      <c r="BI151" s="9"/>
      <c r="BJ151" s="9"/>
      <c r="BK151" s="9"/>
      <c r="BL151" s="40"/>
      <c r="BM151" s="9"/>
      <c r="BN151" s="40"/>
      <c r="BO151" s="9"/>
      <c r="BP151" s="40"/>
      <c r="BQ151" s="9"/>
      <c r="BR151" s="9"/>
      <c r="BS151" s="9"/>
      <c r="BT151" s="40"/>
      <c r="BU151" s="40"/>
      <c r="BV151" s="36" t="str">
        <f aca="false">IF(BU151="","",EDATE(BU151,SG_Criteria!$B$54*12))</f>
        <v/>
      </c>
      <c r="BW151" s="33" t="str">
        <f aca="true">IF(A151="","",IF(BU151="","NOTE: not reviewed yet",IF(TODAY()&gt;BV151,"NOTE: review overdue","OK")))</f>
        <v/>
      </c>
      <c r="BX151" s="37" t="str">
        <f aca="false">IF(A151="","",ROUND((IF(LEN(D151)&gt;0,1,0)+IF(LEN(E151)&gt;0,1,0)+IF(LEN(F151)&gt;0,1,0)+IF(LEN(G151)&gt;0,1,0)+IF(LEN(H151)&gt;0,1,0)+IF(LEN(I151)&gt;0,1,0)+IF(LEN(J151)&gt;0,1,0)+IF(LEN(K151)&gt;0,1,0)+IF(LEN(N151)&gt;0,1,0)+IF(LEN(O151)&gt;0,1,0)+IF(LEN(W151)&gt;0,1,0)+IF(LEN(X151)&gt;0,1,0)+IF(LEN(Y151)&gt;0,1,0)+IF(LEN(AG151)&gt;0,1,0)+IF(LEN(AI151)&gt;0,1,0)+IF(LEN(AJ151)&gt;0,1,0)+IF(LEN(AK151)&gt;0,1,0)+IF(LEN(AL151)&gt;0,1,0)+IF(LEN(AU151)&gt;0,1,0)+IF(LEN(BF151)&gt;0,1,0)+IF(LEN(BS151)&gt;0,1,0))/21,2))</f>
        <v/>
      </c>
      <c r="BY151" s="10" t="str">
        <f aca="false">IF(D151="","",IF(AND(AJ151="Approved",ISERROR(SEARCH("FAIL",BC151))),"Y","N"))</f>
        <v/>
      </c>
      <c r="BZ151" s="10" t="str">
        <f aca="false">IF(D151="","",D151&amp;"|"&amp;F151&amp;"|"&amp;G151&amp;"|"&amp;BY151)</f>
        <v/>
      </c>
    </row>
    <row r="152" customFormat="false" ht="15" hidden="false" customHeight="false" outlineLevel="0" collapsed="false">
      <c r="A152" s="10" t="str">
        <f aca="false">IF(D152="","","LKW-"&amp;IFERROR(VLOOKUP(D152,Lists!$AQ$4:$AR$17,2,0),"??")&amp;"-W"&amp;TEXT(F152*1000,"0000")&amp;"-H"&amp;TEXT(G152*1000,"0000")&amp;"-B"&amp;TEXT(H152*1000,"0000")&amp;"-"&amp;AI152)</f>
        <v/>
      </c>
      <c r="B152" s="10" t="str">
        <f aca="false">IF(D152="","",D152&amp;", "&amp;F152&amp;" m wide, "&amp;G152&amp;" m headroom, "&amp;H152&amp;" m bays, "&amp;I152&amp;" ("&amp;E152&amp;")")</f>
        <v/>
      </c>
      <c r="C152" s="9"/>
      <c r="D152" s="9"/>
      <c r="E152" s="9"/>
      <c r="F152" s="42"/>
      <c r="G152" s="42"/>
      <c r="H152" s="42"/>
      <c r="I152" s="9"/>
      <c r="J152" s="9"/>
      <c r="K152" s="9"/>
      <c r="L152" s="9"/>
      <c r="M152" s="9"/>
      <c r="N152" s="9"/>
      <c r="O152" s="9"/>
      <c r="P152" s="9"/>
      <c r="Q152" s="9"/>
      <c r="R152" s="9"/>
      <c r="S152" s="42"/>
      <c r="T152" s="9"/>
      <c r="U152" s="9"/>
      <c r="V152" s="9"/>
      <c r="W152" s="38"/>
      <c r="X152" s="42"/>
      <c r="Y152" s="9"/>
      <c r="Z152" s="9"/>
      <c r="AA152" s="9"/>
      <c r="AB152" s="42"/>
      <c r="AC152" s="9"/>
      <c r="AD152" s="38"/>
      <c r="AE152" s="9"/>
      <c r="AF152" s="39"/>
      <c r="AG152" s="9"/>
      <c r="AH152" s="9"/>
      <c r="AI152" s="9"/>
      <c r="AJ152" s="9"/>
      <c r="AK152" s="9"/>
      <c r="AL152" s="9"/>
      <c r="AM152" s="9"/>
      <c r="AN152" s="10" t="str">
        <f aca="false">IF(A152="","",SG_Criteria!$B$6&amp;SG_Criteria!$B$12&amp;"\"&amp;A152&amp;"\")</f>
        <v/>
      </c>
      <c r="AO152" s="10" t="str">
        <f aca="false">IF(A152="","",A152&amp;"_CAD.dwg")</f>
        <v/>
      </c>
      <c r="AP152" s="10" t="str">
        <f aca="false">IF(A152="","",A152&amp;"_DWG.pdf")</f>
        <v/>
      </c>
      <c r="AQ152" s="10" t="str">
        <f aca="false">IF(A152="","",IF(AM152="Y",A152&amp;"_STAAD.std","n/a"))</f>
        <v/>
      </c>
      <c r="AR152" s="10" t="str">
        <f aca="false">IF(A152="","",A152&amp;"_CALC.xlsx")</f>
        <v/>
      </c>
      <c r="AS152" s="10" t="str">
        <f aca="false">IF(A152="","",A152&amp;"_CALC.pdf")</f>
        <v/>
      </c>
      <c r="AT152" s="9"/>
      <c r="AU152" s="9"/>
      <c r="AV152" s="39"/>
      <c r="AW152" s="39"/>
      <c r="AX152" s="39"/>
      <c r="AY152" s="39"/>
      <c r="AZ152" s="39"/>
      <c r="BA152" s="12" t="str">
        <f aca="false">IF(A152="","",IF(COUNTIF(Rebar_Schedule!$A$5:$A$2004,A152)=0,"",ROUND(SUMIF(Rebar_Schedule!$A$5:$A$2004,A152,Rebar_Schedule!$K$5:$K$2004),1)))</f>
        <v/>
      </c>
      <c r="BB152" s="33" t="str">
        <f aca="false">IF(A152="","",IF(BA152="","No rebar schedule yet",IF(ABS(BA152-N(AW152))/MAX(N(AW152),1)&gt;SG_Criteria!$B$55,"NOTE: register rebar differs from schedule by "&amp;TEXT(ABS(BA152-N(AW152))/MAX(N(AW152),1),"0%"),"OK")))</f>
        <v/>
      </c>
      <c r="BC152" s="33" t="str">
        <f aca="false">IF(D152="","",IF(LEN(IF(AND(D152&lt;&gt;"High Covered Linkway",G152&lt;SG_Criteria!$B$46),"FAIL: headroom below "&amp;SG_Criteria!$B$46&amp;" m. ","")&amp;IF(AND(D152="High Covered Linkway",G152&lt;SG_Criteria!$B$47),"FAIL: high linkway headroom below "&amp;SG_Criteria!$B$47&amp;" m. ","")&amp;IF(F152&lt;SG_Criteria!$B$48,"FAIL: roof width below "&amp;SG_Criteria!$B$48&amp;" m. ",IF(F152&lt;SG_Criteria!$B$49,"NOTE: not for MRT/LRT or high-traffic routes (min "&amp;SG_Criteria!$B$49&amp;" m). ",""))&amp;IF(AND(W152&lt;&gt;"",W152&lt;SG_Criteria!$B$50),"FAIL: wind speed below "&amp;SG_Criteria!$B$50&amp;" m/s. ","")&amp;IF(AND(X152&lt;&gt;"",X152&lt;SG_Criteria!$B$51),"FAIL: roof fixing pull-out below "&amp;SG_Criteria!$B$51&amp;" kN. ","")&amp;IF(AND(Y152&lt;&gt;"",IFERROR(VALUE(MID(Y152,2,2)),0)&lt;SG_Criteria!$B$52),"FAIL: grade below C"&amp;SG_Criteria!$B$52&amp;". ","")&amp;IF(E152="Non-standard (project design)","NOTE: not an SDRE standard, needs LTA acceptance. ",""))=0,"OK",IF(AND(D152&lt;&gt;"High Covered Linkway",G152&lt;SG_Criteria!$B$46),"FAIL: headroom below "&amp;SG_Criteria!$B$46&amp;" m. ","")&amp;IF(AND(D152="High Covered Linkway",G152&lt;SG_Criteria!$B$47),"FAIL: high linkway headroom below "&amp;SG_Criteria!$B$47&amp;" m. ","")&amp;IF(F152&lt;SG_Criteria!$B$48,"FAIL: roof width below "&amp;SG_Criteria!$B$48&amp;" m. ",IF(F152&lt;SG_Criteria!$B$49,"NOTE: not for MRT/LRT or high-traffic routes (min "&amp;SG_Criteria!$B$49&amp;" m). ",""))&amp;IF(AND(W152&lt;&gt;"",W152&lt;SG_Criteria!$B$50),"FAIL: wind speed below "&amp;SG_Criteria!$B$50&amp;" m/s. ","")&amp;IF(AND(X152&lt;&gt;"",X152&lt;SG_Criteria!$B$51),"FAIL: roof fixing pull-out below "&amp;SG_Criteria!$B$51&amp;" kN. ","")&amp;IF(AND(Y152&lt;&gt;"",IFERROR(VALUE(MID(Y152,2,2)),0)&lt;SG_Criteria!$B$52),"FAIL: grade below C"&amp;SG_Criteria!$B$52&amp;". ","")&amp;IF(E152="Non-standard (project design)","NOTE: not an SDRE standard, needs LTA acceptance. ","")))</f>
        <v/>
      </c>
      <c r="BD152" s="9"/>
      <c r="BE152" s="9"/>
      <c r="BF152" s="9"/>
      <c r="BG152" s="10" t="str">
        <f aca="false">IF(BF152="","",IFERROR(VLOOKUP(BF152,Projects!$A$5:$D$504,2,0),"Ref not in Projects"))</f>
        <v/>
      </c>
      <c r="BH152" s="10" t="str">
        <f aca="false">IF(BF152="","",IFERROR(VLOOKUP(BF152,Projects!$A$5:$D$504,4,0),"Ref not in Projects"))</f>
        <v/>
      </c>
      <c r="BI152" s="9"/>
      <c r="BJ152" s="9"/>
      <c r="BK152" s="9"/>
      <c r="BL152" s="40"/>
      <c r="BM152" s="9"/>
      <c r="BN152" s="40"/>
      <c r="BO152" s="9"/>
      <c r="BP152" s="40"/>
      <c r="BQ152" s="9"/>
      <c r="BR152" s="9"/>
      <c r="BS152" s="9"/>
      <c r="BT152" s="40"/>
      <c r="BU152" s="40"/>
      <c r="BV152" s="36" t="str">
        <f aca="false">IF(BU152="","",EDATE(BU152,SG_Criteria!$B$54*12))</f>
        <v/>
      </c>
      <c r="BW152" s="33" t="str">
        <f aca="true">IF(A152="","",IF(BU152="","NOTE: not reviewed yet",IF(TODAY()&gt;BV152,"NOTE: review overdue","OK")))</f>
        <v/>
      </c>
      <c r="BX152" s="37" t="str">
        <f aca="false">IF(A152="","",ROUND((IF(LEN(D152)&gt;0,1,0)+IF(LEN(E152)&gt;0,1,0)+IF(LEN(F152)&gt;0,1,0)+IF(LEN(G152)&gt;0,1,0)+IF(LEN(H152)&gt;0,1,0)+IF(LEN(I152)&gt;0,1,0)+IF(LEN(J152)&gt;0,1,0)+IF(LEN(K152)&gt;0,1,0)+IF(LEN(N152)&gt;0,1,0)+IF(LEN(O152)&gt;0,1,0)+IF(LEN(W152)&gt;0,1,0)+IF(LEN(X152)&gt;0,1,0)+IF(LEN(Y152)&gt;0,1,0)+IF(LEN(AG152)&gt;0,1,0)+IF(LEN(AI152)&gt;0,1,0)+IF(LEN(AJ152)&gt;0,1,0)+IF(LEN(AK152)&gt;0,1,0)+IF(LEN(AL152)&gt;0,1,0)+IF(LEN(AU152)&gt;0,1,0)+IF(LEN(BF152)&gt;0,1,0)+IF(LEN(BS152)&gt;0,1,0))/21,2))</f>
        <v/>
      </c>
      <c r="BY152" s="10" t="str">
        <f aca="false">IF(D152="","",IF(AND(AJ152="Approved",ISERROR(SEARCH("FAIL",BC152))),"Y","N"))</f>
        <v/>
      </c>
      <c r="BZ152" s="10" t="str">
        <f aca="false">IF(D152="","",D152&amp;"|"&amp;F152&amp;"|"&amp;G152&amp;"|"&amp;BY152)</f>
        <v/>
      </c>
    </row>
    <row r="153" customFormat="false" ht="15" hidden="false" customHeight="false" outlineLevel="0" collapsed="false">
      <c r="A153" s="10" t="str">
        <f aca="false">IF(D153="","","LKW-"&amp;IFERROR(VLOOKUP(D153,Lists!$AQ$4:$AR$17,2,0),"??")&amp;"-W"&amp;TEXT(F153*1000,"0000")&amp;"-H"&amp;TEXT(G153*1000,"0000")&amp;"-B"&amp;TEXT(H153*1000,"0000")&amp;"-"&amp;AI153)</f>
        <v/>
      </c>
      <c r="B153" s="10" t="str">
        <f aca="false">IF(D153="","",D153&amp;", "&amp;F153&amp;" m wide, "&amp;G153&amp;" m headroom, "&amp;H153&amp;" m bays, "&amp;I153&amp;" ("&amp;E153&amp;")")</f>
        <v/>
      </c>
      <c r="C153" s="9"/>
      <c r="D153" s="9"/>
      <c r="E153" s="9"/>
      <c r="F153" s="42"/>
      <c r="G153" s="42"/>
      <c r="H153" s="42"/>
      <c r="I153" s="9"/>
      <c r="J153" s="9"/>
      <c r="K153" s="9"/>
      <c r="L153" s="9"/>
      <c r="M153" s="9"/>
      <c r="N153" s="9"/>
      <c r="O153" s="9"/>
      <c r="P153" s="9"/>
      <c r="Q153" s="9"/>
      <c r="R153" s="9"/>
      <c r="S153" s="42"/>
      <c r="T153" s="9"/>
      <c r="U153" s="9"/>
      <c r="V153" s="9"/>
      <c r="W153" s="38"/>
      <c r="X153" s="42"/>
      <c r="Y153" s="9"/>
      <c r="Z153" s="9"/>
      <c r="AA153" s="9"/>
      <c r="AB153" s="42"/>
      <c r="AC153" s="9"/>
      <c r="AD153" s="38"/>
      <c r="AE153" s="9"/>
      <c r="AF153" s="39"/>
      <c r="AG153" s="9"/>
      <c r="AH153" s="9"/>
      <c r="AI153" s="9"/>
      <c r="AJ153" s="9"/>
      <c r="AK153" s="9"/>
      <c r="AL153" s="9"/>
      <c r="AM153" s="9"/>
      <c r="AN153" s="10" t="str">
        <f aca="false">IF(A153="","",SG_Criteria!$B$6&amp;SG_Criteria!$B$12&amp;"\"&amp;A153&amp;"\")</f>
        <v/>
      </c>
      <c r="AO153" s="10" t="str">
        <f aca="false">IF(A153="","",A153&amp;"_CAD.dwg")</f>
        <v/>
      </c>
      <c r="AP153" s="10" t="str">
        <f aca="false">IF(A153="","",A153&amp;"_DWG.pdf")</f>
        <v/>
      </c>
      <c r="AQ153" s="10" t="str">
        <f aca="false">IF(A153="","",IF(AM153="Y",A153&amp;"_STAAD.std","n/a"))</f>
        <v/>
      </c>
      <c r="AR153" s="10" t="str">
        <f aca="false">IF(A153="","",A153&amp;"_CALC.xlsx")</f>
        <v/>
      </c>
      <c r="AS153" s="10" t="str">
        <f aca="false">IF(A153="","",A153&amp;"_CALC.pdf")</f>
        <v/>
      </c>
      <c r="AT153" s="9"/>
      <c r="AU153" s="9"/>
      <c r="AV153" s="39"/>
      <c r="AW153" s="39"/>
      <c r="AX153" s="39"/>
      <c r="AY153" s="39"/>
      <c r="AZ153" s="39"/>
      <c r="BA153" s="12" t="str">
        <f aca="false">IF(A153="","",IF(COUNTIF(Rebar_Schedule!$A$5:$A$2004,A153)=0,"",ROUND(SUMIF(Rebar_Schedule!$A$5:$A$2004,A153,Rebar_Schedule!$K$5:$K$2004),1)))</f>
        <v/>
      </c>
      <c r="BB153" s="33" t="str">
        <f aca="false">IF(A153="","",IF(BA153="","No rebar schedule yet",IF(ABS(BA153-N(AW153))/MAX(N(AW153),1)&gt;SG_Criteria!$B$55,"NOTE: register rebar differs from schedule by "&amp;TEXT(ABS(BA153-N(AW153))/MAX(N(AW153),1),"0%"),"OK")))</f>
        <v/>
      </c>
      <c r="BC153" s="33" t="str">
        <f aca="false">IF(D153="","",IF(LEN(IF(AND(D153&lt;&gt;"High Covered Linkway",G153&lt;SG_Criteria!$B$46),"FAIL: headroom below "&amp;SG_Criteria!$B$46&amp;" m. ","")&amp;IF(AND(D153="High Covered Linkway",G153&lt;SG_Criteria!$B$47),"FAIL: high linkway headroom below "&amp;SG_Criteria!$B$47&amp;" m. ","")&amp;IF(F153&lt;SG_Criteria!$B$48,"FAIL: roof width below "&amp;SG_Criteria!$B$48&amp;" m. ",IF(F153&lt;SG_Criteria!$B$49,"NOTE: not for MRT/LRT or high-traffic routes (min "&amp;SG_Criteria!$B$49&amp;" m). ",""))&amp;IF(AND(W153&lt;&gt;"",W153&lt;SG_Criteria!$B$50),"FAIL: wind speed below "&amp;SG_Criteria!$B$50&amp;" m/s. ","")&amp;IF(AND(X153&lt;&gt;"",X153&lt;SG_Criteria!$B$51),"FAIL: roof fixing pull-out below "&amp;SG_Criteria!$B$51&amp;" kN. ","")&amp;IF(AND(Y153&lt;&gt;"",IFERROR(VALUE(MID(Y153,2,2)),0)&lt;SG_Criteria!$B$52),"FAIL: grade below C"&amp;SG_Criteria!$B$52&amp;". ","")&amp;IF(E153="Non-standard (project design)","NOTE: not an SDRE standard, needs LTA acceptance. ",""))=0,"OK",IF(AND(D153&lt;&gt;"High Covered Linkway",G153&lt;SG_Criteria!$B$46),"FAIL: headroom below "&amp;SG_Criteria!$B$46&amp;" m. ","")&amp;IF(AND(D153="High Covered Linkway",G153&lt;SG_Criteria!$B$47),"FAIL: high linkway headroom below "&amp;SG_Criteria!$B$47&amp;" m. ","")&amp;IF(F153&lt;SG_Criteria!$B$48,"FAIL: roof width below "&amp;SG_Criteria!$B$48&amp;" m. ",IF(F153&lt;SG_Criteria!$B$49,"NOTE: not for MRT/LRT or high-traffic routes (min "&amp;SG_Criteria!$B$49&amp;" m). ",""))&amp;IF(AND(W153&lt;&gt;"",W153&lt;SG_Criteria!$B$50),"FAIL: wind speed below "&amp;SG_Criteria!$B$50&amp;" m/s. ","")&amp;IF(AND(X153&lt;&gt;"",X153&lt;SG_Criteria!$B$51),"FAIL: roof fixing pull-out below "&amp;SG_Criteria!$B$51&amp;" kN. ","")&amp;IF(AND(Y153&lt;&gt;"",IFERROR(VALUE(MID(Y153,2,2)),0)&lt;SG_Criteria!$B$52),"FAIL: grade below C"&amp;SG_Criteria!$B$52&amp;". ","")&amp;IF(E153="Non-standard (project design)","NOTE: not an SDRE standard, needs LTA acceptance. ","")))</f>
        <v/>
      </c>
      <c r="BD153" s="9"/>
      <c r="BE153" s="9"/>
      <c r="BF153" s="9"/>
      <c r="BG153" s="10" t="str">
        <f aca="false">IF(BF153="","",IFERROR(VLOOKUP(BF153,Projects!$A$5:$D$504,2,0),"Ref not in Projects"))</f>
        <v/>
      </c>
      <c r="BH153" s="10" t="str">
        <f aca="false">IF(BF153="","",IFERROR(VLOOKUP(BF153,Projects!$A$5:$D$504,4,0),"Ref not in Projects"))</f>
        <v/>
      </c>
      <c r="BI153" s="9"/>
      <c r="BJ153" s="9"/>
      <c r="BK153" s="9"/>
      <c r="BL153" s="40"/>
      <c r="BM153" s="9"/>
      <c r="BN153" s="40"/>
      <c r="BO153" s="9"/>
      <c r="BP153" s="40"/>
      <c r="BQ153" s="9"/>
      <c r="BR153" s="9"/>
      <c r="BS153" s="9"/>
      <c r="BT153" s="40"/>
      <c r="BU153" s="40"/>
      <c r="BV153" s="36" t="str">
        <f aca="false">IF(BU153="","",EDATE(BU153,SG_Criteria!$B$54*12))</f>
        <v/>
      </c>
      <c r="BW153" s="33" t="str">
        <f aca="true">IF(A153="","",IF(BU153="","NOTE: not reviewed yet",IF(TODAY()&gt;BV153,"NOTE: review overdue","OK")))</f>
        <v/>
      </c>
      <c r="BX153" s="37" t="str">
        <f aca="false">IF(A153="","",ROUND((IF(LEN(D153)&gt;0,1,0)+IF(LEN(E153)&gt;0,1,0)+IF(LEN(F153)&gt;0,1,0)+IF(LEN(G153)&gt;0,1,0)+IF(LEN(H153)&gt;0,1,0)+IF(LEN(I153)&gt;0,1,0)+IF(LEN(J153)&gt;0,1,0)+IF(LEN(K153)&gt;0,1,0)+IF(LEN(N153)&gt;0,1,0)+IF(LEN(O153)&gt;0,1,0)+IF(LEN(W153)&gt;0,1,0)+IF(LEN(X153)&gt;0,1,0)+IF(LEN(Y153)&gt;0,1,0)+IF(LEN(AG153)&gt;0,1,0)+IF(LEN(AI153)&gt;0,1,0)+IF(LEN(AJ153)&gt;0,1,0)+IF(LEN(AK153)&gt;0,1,0)+IF(LEN(AL153)&gt;0,1,0)+IF(LEN(AU153)&gt;0,1,0)+IF(LEN(BF153)&gt;0,1,0)+IF(LEN(BS153)&gt;0,1,0))/21,2))</f>
        <v/>
      </c>
      <c r="BY153" s="10" t="str">
        <f aca="false">IF(D153="","",IF(AND(AJ153="Approved",ISERROR(SEARCH("FAIL",BC153))),"Y","N"))</f>
        <v/>
      </c>
      <c r="BZ153" s="10" t="str">
        <f aca="false">IF(D153="","",D153&amp;"|"&amp;F153&amp;"|"&amp;G153&amp;"|"&amp;BY153)</f>
        <v/>
      </c>
    </row>
    <row r="154" customFormat="false" ht="15" hidden="false" customHeight="false" outlineLevel="0" collapsed="false">
      <c r="A154" s="10" t="str">
        <f aca="false">IF(D154="","","LKW-"&amp;IFERROR(VLOOKUP(D154,Lists!$AQ$4:$AR$17,2,0),"??")&amp;"-W"&amp;TEXT(F154*1000,"0000")&amp;"-H"&amp;TEXT(G154*1000,"0000")&amp;"-B"&amp;TEXT(H154*1000,"0000")&amp;"-"&amp;AI154)</f>
        <v/>
      </c>
      <c r="B154" s="10" t="str">
        <f aca="false">IF(D154="","",D154&amp;", "&amp;F154&amp;" m wide, "&amp;G154&amp;" m headroom, "&amp;H154&amp;" m bays, "&amp;I154&amp;" ("&amp;E154&amp;")")</f>
        <v/>
      </c>
      <c r="C154" s="9"/>
      <c r="D154" s="9"/>
      <c r="E154" s="9"/>
      <c r="F154" s="42"/>
      <c r="G154" s="42"/>
      <c r="H154" s="42"/>
      <c r="I154" s="9"/>
      <c r="J154" s="9"/>
      <c r="K154" s="9"/>
      <c r="L154" s="9"/>
      <c r="M154" s="9"/>
      <c r="N154" s="9"/>
      <c r="O154" s="9"/>
      <c r="P154" s="9"/>
      <c r="Q154" s="9"/>
      <c r="R154" s="9"/>
      <c r="S154" s="42"/>
      <c r="T154" s="9"/>
      <c r="U154" s="9"/>
      <c r="V154" s="9"/>
      <c r="W154" s="38"/>
      <c r="X154" s="42"/>
      <c r="Y154" s="9"/>
      <c r="Z154" s="9"/>
      <c r="AA154" s="9"/>
      <c r="AB154" s="42"/>
      <c r="AC154" s="9"/>
      <c r="AD154" s="38"/>
      <c r="AE154" s="9"/>
      <c r="AF154" s="39"/>
      <c r="AG154" s="9"/>
      <c r="AH154" s="9"/>
      <c r="AI154" s="9"/>
      <c r="AJ154" s="9"/>
      <c r="AK154" s="9"/>
      <c r="AL154" s="9"/>
      <c r="AM154" s="9"/>
      <c r="AN154" s="10" t="str">
        <f aca="false">IF(A154="","",SG_Criteria!$B$6&amp;SG_Criteria!$B$12&amp;"\"&amp;A154&amp;"\")</f>
        <v/>
      </c>
      <c r="AO154" s="10" t="str">
        <f aca="false">IF(A154="","",A154&amp;"_CAD.dwg")</f>
        <v/>
      </c>
      <c r="AP154" s="10" t="str">
        <f aca="false">IF(A154="","",A154&amp;"_DWG.pdf")</f>
        <v/>
      </c>
      <c r="AQ154" s="10" t="str">
        <f aca="false">IF(A154="","",IF(AM154="Y",A154&amp;"_STAAD.std","n/a"))</f>
        <v/>
      </c>
      <c r="AR154" s="10" t="str">
        <f aca="false">IF(A154="","",A154&amp;"_CALC.xlsx")</f>
        <v/>
      </c>
      <c r="AS154" s="10" t="str">
        <f aca="false">IF(A154="","",A154&amp;"_CALC.pdf")</f>
        <v/>
      </c>
      <c r="AT154" s="9"/>
      <c r="AU154" s="9"/>
      <c r="AV154" s="39"/>
      <c r="AW154" s="39"/>
      <c r="AX154" s="39"/>
      <c r="AY154" s="39"/>
      <c r="AZ154" s="39"/>
      <c r="BA154" s="12" t="str">
        <f aca="false">IF(A154="","",IF(COUNTIF(Rebar_Schedule!$A$5:$A$2004,A154)=0,"",ROUND(SUMIF(Rebar_Schedule!$A$5:$A$2004,A154,Rebar_Schedule!$K$5:$K$2004),1)))</f>
        <v/>
      </c>
      <c r="BB154" s="33" t="str">
        <f aca="false">IF(A154="","",IF(BA154="","No rebar schedule yet",IF(ABS(BA154-N(AW154))/MAX(N(AW154),1)&gt;SG_Criteria!$B$55,"NOTE: register rebar differs from schedule by "&amp;TEXT(ABS(BA154-N(AW154))/MAX(N(AW154),1),"0%"),"OK")))</f>
        <v/>
      </c>
      <c r="BC154" s="33" t="str">
        <f aca="false">IF(D154="","",IF(LEN(IF(AND(D154&lt;&gt;"High Covered Linkway",G154&lt;SG_Criteria!$B$46),"FAIL: headroom below "&amp;SG_Criteria!$B$46&amp;" m. ","")&amp;IF(AND(D154="High Covered Linkway",G154&lt;SG_Criteria!$B$47),"FAIL: high linkway headroom below "&amp;SG_Criteria!$B$47&amp;" m. ","")&amp;IF(F154&lt;SG_Criteria!$B$48,"FAIL: roof width below "&amp;SG_Criteria!$B$48&amp;" m. ",IF(F154&lt;SG_Criteria!$B$49,"NOTE: not for MRT/LRT or high-traffic routes (min "&amp;SG_Criteria!$B$49&amp;" m). ",""))&amp;IF(AND(W154&lt;&gt;"",W154&lt;SG_Criteria!$B$50),"FAIL: wind speed below "&amp;SG_Criteria!$B$50&amp;" m/s. ","")&amp;IF(AND(X154&lt;&gt;"",X154&lt;SG_Criteria!$B$51),"FAIL: roof fixing pull-out below "&amp;SG_Criteria!$B$51&amp;" kN. ","")&amp;IF(AND(Y154&lt;&gt;"",IFERROR(VALUE(MID(Y154,2,2)),0)&lt;SG_Criteria!$B$52),"FAIL: grade below C"&amp;SG_Criteria!$B$52&amp;". ","")&amp;IF(E154="Non-standard (project design)","NOTE: not an SDRE standard, needs LTA acceptance. ",""))=0,"OK",IF(AND(D154&lt;&gt;"High Covered Linkway",G154&lt;SG_Criteria!$B$46),"FAIL: headroom below "&amp;SG_Criteria!$B$46&amp;" m. ","")&amp;IF(AND(D154="High Covered Linkway",G154&lt;SG_Criteria!$B$47),"FAIL: high linkway headroom below "&amp;SG_Criteria!$B$47&amp;" m. ","")&amp;IF(F154&lt;SG_Criteria!$B$48,"FAIL: roof width below "&amp;SG_Criteria!$B$48&amp;" m. ",IF(F154&lt;SG_Criteria!$B$49,"NOTE: not for MRT/LRT or high-traffic routes (min "&amp;SG_Criteria!$B$49&amp;" m). ",""))&amp;IF(AND(W154&lt;&gt;"",W154&lt;SG_Criteria!$B$50),"FAIL: wind speed below "&amp;SG_Criteria!$B$50&amp;" m/s. ","")&amp;IF(AND(X154&lt;&gt;"",X154&lt;SG_Criteria!$B$51),"FAIL: roof fixing pull-out below "&amp;SG_Criteria!$B$51&amp;" kN. ","")&amp;IF(AND(Y154&lt;&gt;"",IFERROR(VALUE(MID(Y154,2,2)),0)&lt;SG_Criteria!$B$52),"FAIL: grade below C"&amp;SG_Criteria!$B$52&amp;". ","")&amp;IF(E154="Non-standard (project design)","NOTE: not an SDRE standard, needs LTA acceptance. ","")))</f>
        <v/>
      </c>
      <c r="BD154" s="9"/>
      <c r="BE154" s="9"/>
      <c r="BF154" s="9"/>
      <c r="BG154" s="10" t="str">
        <f aca="false">IF(BF154="","",IFERROR(VLOOKUP(BF154,Projects!$A$5:$D$504,2,0),"Ref not in Projects"))</f>
        <v/>
      </c>
      <c r="BH154" s="10" t="str">
        <f aca="false">IF(BF154="","",IFERROR(VLOOKUP(BF154,Projects!$A$5:$D$504,4,0),"Ref not in Projects"))</f>
        <v/>
      </c>
      <c r="BI154" s="9"/>
      <c r="BJ154" s="9"/>
      <c r="BK154" s="9"/>
      <c r="BL154" s="40"/>
      <c r="BM154" s="9"/>
      <c r="BN154" s="40"/>
      <c r="BO154" s="9"/>
      <c r="BP154" s="40"/>
      <c r="BQ154" s="9"/>
      <c r="BR154" s="9"/>
      <c r="BS154" s="9"/>
      <c r="BT154" s="40"/>
      <c r="BU154" s="40"/>
      <c r="BV154" s="36" t="str">
        <f aca="false">IF(BU154="","",EDATE(BU154,SG_Criteria!$B$54*12))</f>
        <v/>
      </c>
      <c r="BW154" s="33" t="str">
        <f aca="true">IF(A154="","",IF(BU154="","NOTE: not reviewed yet",IF(TODAY()&gt;BV154,"NOTE: review overdue","OK")))</f>
        <v/>
      </c>
      <c r="BX154" s="37" t="str">
        <f aca="false">IF(A154="","",ROUND((IF(LEN(D154)&gt;0,1,0)+IF(LEN(E154)&gt;0,1,0)+IF(LEN(F154)&gt;0,1,0)+IF(LEN(G154)&gt;0,1,0)+IF(LEN(H154)&gt;0,1,0)+IF(LEN(I154)&gt;0,1,0)+IF(LEN(J154)&gt;0,1,0)+IF(LEN(K154)&gt;0,1,0)+IF(LEN(N154)&gt;0,1,0)+IF(LEN(O154)&gt;0,1,0)+IF(LEN(W154)&gt;0,1,0)+IF(LEN(X154)&gt;0,1,0)+IF(LEN(Y154)&gt;0,1,0)+IF(LEN(AG154)&gt;0,1,0)+IF(LEN(AI154)&gt;0,1,0)+IF(LEN(AJ154)&gt;0,1,0)+IF(LEN(AK154)&gt;0,1,0)+IF(LEN(AL154)&gt;0,1,0)+IF(LEN(AU154)&gt;0,1,0)+IF(LEN(BF154)&gt;0,1,0)+IF(LEN(BS154)&gt;0,1,0))/21,2))</f>
        <v/>
      </c>
      <c r="BY154" s="10" t="str">
        <f aca="false">IF(D154="","",IF(AND(AJ154="Approved",ISERROR(SEARCH("FAIL",BC154))),"Y","N"))</f>
        <v/>
      </c>
      <c r="BZ154" s="10" t="str">
        <f aca="false">IF(D154="","",D154&amp;"|"&amp;F154&amp;"|"&amp;G154&amp;"|"&amp;BY154)</f>
        <v/>
      </c>
    </row>
    <row r="155" customFormat="false" ht="15" hidden="false" customHeight="false" outlineLevel="0" collapsed="false">
      <c r="A155" s="10" t="str">
        <f aca="false">IF(D155="","","LKW-"&amp;IFERROR(VLOOKUP(D155,Lists!$AQ$4:$AR$17,2,0),"??")&amp;"-W"&amp;TEXT(F155*1000,"0000")&amp;"-H"&amp;TEXT(G155*1000,"0000")&amp;"-B"&amp;TEXT(H155*1000,"0000")&amp;"-"&amp;AI155)</f>
        <v/>
      </c>
      <c r="B155" s="10" t="str">
        <f aca="false">IF(D155="","",D155&amp;", "&amp;F155&amp;" m wide, "&amp;G155&amp;" m headroom, "&amp;H155&amp;" m bays, "&amp;I155&amp;" ("&amp;E155&amp;")")</f>
        <v/>
      </c>
      <c r="C155" s="9"/>
      <c r="D155" s="9"/>
      <c r="E155" s="9"/>
      <c r="F155" s="42"/>
      <c r="G155" s="42"/>
      <c r="H155" s="42"/>
      <c r="I155" s="9"/>
      <c r="J155" s="9"/>
      <c r="K155" s="9"/>
      <c r="L155" s="9"/>
      <c r="M155" s="9"/>
      <c r="N155" s="9"/>
      <c r="O155" s="9"/>
      <c r="P155" s="9"/>
      <c r="Q155" s="9"/>
      <c r="R155" s="9"/>
      <c r="S155" s="42"/>
      <c r="T155" s="9"/>
      <c r="U155" s="9"/>
      <c r="V155" s="9"/>
      <c r="W155" s="38"/>
      <c r="X155" s="42"/>
      <c r="Y155" s="9"/>
      <c r="Z155" s="9"/>
      <c r="AA155" s="9"/>
      <c r="AB155" s="42"/>
      <c r="AC155" s="9"/>
      <c r="AD155" s="38"/>
      <c r="AE155" s="9"/>
      <c r="AF155" s="39"/>
      <c r="AG155" s="9"/>
      <c r="AH155" s="9"/>
      <c r="AI155" s="9"/>
      <c r="AJ155" s="9"/>
      <c r="AK155" s="9"/>
      <c r="AL155" s="9"/>
      <c r="AM155" s="9"/>
      <c r="AN155" s="10" t="str">
        <f aca="false">IF(A155="","",SG_Criteria!$B$6&amp;SG_Criteria!$B$12&amp;"\"&amp;A155&amp;"\")</f>
        <v/>
      </c>
      <c r="AO155" s="10" t="str">
        <f aca="false">IF(A155="","",A155&amp;"_CAD.dwg")</f>
        <v/>
      </c>
      <c r="AP155" s="10" t="str">
        <f aca="false">IF(A155="","",A155&amp;"_DWG.pdf")</f>
        <v/>
      </c>
      <c r="AQ155" s="10" t="str">
        <f aca="false">IF(A155="","",IF(AM155="Y",A155&amp;"_STAAD.std","n/a"))</f>
        <v/>
      </c>
      <c r="AR155" s="10" t="str">
        <f aca="false">IF(A155="","",A155&amp;"_CALC.xlsx")</f>
        <v/>
      </c>
      <c r="AS155" s="10" t="str">
        <f aca="false">IF(A155="","",A155&amp;"_CALC.pdf")</f>
        <v/>
      </c>
      <c r="AT155" s="9"/>
      <c r="AU155" s="9"/>
      <c r="AV155" s="39"/>
      <c r="AW155" s="39"/>
      <c r="AX155" s="39"/>
      <c r="AY155" s="39"/>
      <c r="AZ155" s="39"/>
      <c r="BA155" s="12" t="str">
        <f aca="false">IF(A155="","",IF(COUNTIF(Rebar_Schedule!$A$5:$A$2004,A155)=0,"",ROUND(SUMIF(Rebar_Schedule!$A$5:$A$2004,A155,Rebar_Schedule!$K$5:$K$2004),1)))</f>
        <v/>
      </c>
      <c r="BB155" s="33" t="str">
        <f aca="false">IF(A155="","",IF(BA155="","No rebar schedule yet",IF(ABS(BA155-N(AW155))/MAX(N(AW155),1)&gt;SG_Criteria!$B$55,"NOTE: register rebar differs from schedule by "&amp;TEXT(ABS(BA155-N(AW155))/MAX(N(AW155),1),"0%"),"OK")))</f>
        <v/>
      </c>
      <c r="BC155" s="33" t="str">
        <f aca="false">IF(D155="","",IF(LEN(IF(AND(D155&lt;&gt;"High Covered Linkway",G155&lt;SG_Criteria!$B$46),"FAIL: headroom below "&amp;SG_Criteria!$B$46&amp;" m. ","")&amp;IF(AND(D155="High Covered Linkway",G155&lt;SG_Criteria!$B$47),"FAIL: high linkway headroom below "&amp;SG_Criteria!$B$47&amp;" m. ","")&amp;IF(F155&lt;SG_Criteria!$B$48,"FAIL: roof width below "&amp;SG_Criteria!$B$48&amp;" m. ",IF(F155&lt;SG_Criteria!$B$49,"NOTE: not for MRT/LRT or high-traffic routes (min "&amp;SG_Criteria!$B$49&amp;" m). ",""))&amp;IF(AND(W155&lt;&gt;"",W155&lt;SG_Criteria!$B$50),"FAIL: wind speed below "&amp;SG_Criteria!$B$50&amp;" m/s. ","")&amp;IF(AND(X155&lt;&gt;"",X155&lt;SG_Criteria!$B$51),"FAIL: roof fixing pull-out below "&amp;SG_Criteria!$B$51&amp;" kN. ","")&amp;IF(AND(Y155&lt;&gt;"",IFERROR(VALUE(MID(Y155,2,2)),0)&lt;SG_Criteria!$B$52),"FAIL: grade below C"&amp;SG_Criteria!$B$52&amp;". ","")&amp;IF(E155="Non-standard (project design)","NOTE: not an SDRE standard, needs LTA acceptance. ",""))=0,"OK",IF(AND(D155&lt;&gt;"High Covered Linkway",G155&lt;SG_Criteria!$B$46),"FAIL: headroom below "&amp;SG_Criteria!$B$46&amp;" m. ","")&amp;IF(AND(D155="High Covered Linkway",G155&lt;SG_Criteria!$B$47),"FAIL: high linkway headroom below "&amp;SG_Criteria!$B$47&amp;" m. ","")&amp;IF(F155&lt;SG_Criteria!$B$48,"FAIL: roof width below "&amp;SG_Criteria!$B$48&amp;" m. ",IF(F155&lt;SG_Criteria!$B$49,"NOTE: not for MRT/LRT or high-traffic routes (min "&amp;SG_Criteria!$B$49&amp;" m). ",""))&amp;IF(AND(W155&lt;&gt;"",W155&lt;SG_Criteria!$B$50),"FAIL: wind speed below "&amp;SG_Criteria!$B$50&amp;" m/s. ","")&amp;IF(AND(X155&lt;&gt;"",X155&lt;SG_Criteria!$B$51),"FAIL: roof fixing pull-out below "&amp;SG_Criteria!$B$51&amp;" kN. ","")&amp;IF(AND(Y155&lt;&gt;"",IFERROR(VALUE(MID(Y155,2,2)),0)&lt;SG_Criteria!$B$52),"FAIL: grade below C"&amp;SG_Criteria!$B$52&amp;". ","")&amp;IF(E155="Non-standard (project design)","NOTE: not an SDRE standard, needs LTA acceptance. ","")))</f>
        <v/>
      </c>
      <c r="BD155" s="9"/>
      <c r="BE155" s="9"/>
      <c r="BF155" s="9"/>
      <c r="BG155" s="10" t="str">
        <f aca="false">IF(BF155="","",IFERROR(VLOOKUP(BF155,Projects!$A$5:$D$504,2,0),"Ref not in Projects"))</f>
        <v/>
      </c>
      <c r="BH155" s="10" t="str">
        <f aca="false">IF(BF155="","",IFERROR(VLOOKUP(BF155,Projects!$A$5:$D$504,4,0),"Ref not in Projects"))</f>
        <v/>
      </c>
      <c r="BI155" s="9"/>
      <c r="BJ155" s="9"/>
      <c r="BK155" s="9"/>
      <c r="BL155" s="40"/>
      <c r="BM155" s="9"/>
      <c r="BN155" s="40"/>
      <c r="BO155" s="9"/>
      <c r="BP155" s="40"/>
      <c r="BQ155" s="9"/>
      <c r="BR155" s="9"/>
      <c r="BS155" s="9"/>
      <c r="BT155" s="40"/>
      <c r="BU155" s="40"/>
      <c r="BV155" s="36" t="str">
        <f aca="false">IF(BU155="","",EDATE(BU155,SG_Criteria!$B$54*12))</f>
        <v/>
      </c>
      <c r="BW155" s="33" t="str">
        <f aca="true">IF(A155="","",IF(BU155="","NOTE: not reviewed yet",IF(TODAY()&gt;BV155,"NOTE: review overdue","OK")))</f>
        <v/>
      </c>
      <c r="BX155" s="37" t="str">
        <f aca="false">IF(A155="","",ROUND((IF(LEN(D155)&gt;0,1,0)+IF(LEN(E155)&gt;0,1,0)+IF(LEN(F155)&gt;0,1,0)+IF(LEN(G155)&gt;0,1,0)+IF(LEN(H155)&gt;0,1,0)+IF(LEN(I155)&gt;0,1,0)+IF(LEN(J155)&gt;0,1,0)+IF(LEN(K155)&gt;0,1,0)+IF(LEN(N155)&gt;0,1,0)+IF(LEN(O155)&gt;0,1,0)+IF(LEN(W155)&gt;0,1,0)+IF(LEN(X155)&gt;0,1,0)+IF(LEN(Y155)&gt;0,1,0)+IF(LEN(AG155)&gt;0,1,0)+IF(LEN(AI155)&gt;0,1,0)+IF(LEN(AJ155)&gt;0,1,0)+IF(LEN(AK155)&gt;0,1,0)+IF(LEN(AL155)&gt;0,1,0)+IF(LEN(AU155)&gt;0,1,0)+IF(LEN(BF155)&gt;0,1,0)+IF(LEN(BS155)&gt;0,1,0))/21,2))</f>
        <v/>
      </c>
      <c r="BY155" s="10" t="str">
        <f aca="false">IF(D155="","",IF(AND(AJ155="Approved",ISERROR(SEARCH("FAIL",BC155))),"Y","N"))</f>
        <v/>
      </c>
      <c r="BZ155" s="10" t="str">
        <f aca="false">IF(D155="","",D155&amp;"|"&amp;F155&amp;"|"&amp;G155&amp;"|"&amp;BY155)</f>
        <v/>
      </c>
    </row>
    <row r="156" customFormat="false" ht="15" hidden="false" customHeight="false" outlineLevel="0" collapsed="false">
      <c r="A156" s="10" t="str">
        <f aca="false">IF(D156="","","LKW-"&amp;IFERROR(VLOOKUP(D156,Lists!$AQ$4:$AR$17,2,0),"??")&amp;"-W"&amp;TEXT(F156*1000,"0000")&amp;"-H"&amp;TEXT(G156*1000,"0000")&amp;"-B"&amp;TEXT(H156*1000,"0000")&amp;"-"&amp;AI156)</f>
        <v/>
      </c>
      <c r="B156" s="10" t="str">
        <f aca="false">IF(D156="","",D156&amp;", "&amp;F156&amp;" m wide, "&amp;G156&amp;" m headroom, "&amp;H156&amp;" m bays, "&amp;I156&amp;" ("&amp;E156&amp;")")</f>
        <v/>
      </c>
      <c r="C156" s="9"/>
      <c r="D156" s="9"/>
      <c r="E156" s="9"/>
      <c r="F156" s="42"/>
      <c r="G156" s="42"/>
      <c r="H156" s="42"/>
      <c r="I156" s="9"/>
      <c r="J156" s="9"/>
      <c r="K156" s="9"/>
      <c r="L156" s="9"/>
      <c r="M156" s="9"/>
      <c r="N156" s="9"/>
      <c r="O156" s="9"/>
      <c r="P156" s="9"/>
      <c r="Q156" s="9"/>
      <c r="R156" s="9"/>
      <c r="S156" s="42"/>
      <c r="T156" s="9"/>
      <c r="U156" s="9"/>
      <c r="V156" s="9"/>
      <c r="W156" s="38"/>
      <c r="X156" s="42"/>
      <c r="Y156" s="9"/>
      <c r="Z156" s="9"/>
      <c r="AA156" s="9"/>
      <c r="AB156" s="42"/>
      <c r="AC156" s="9"/>
      <c r="AD156" s="38"/>
      <c r="AE156" s="9"/>
      <c r="AF156" s="39"/>
      <c r="AG156" s="9"/>
      <c r="AH156" s="9"/>
      <c r="AI156" s="9"/>
      <c r="AJ156" s="9"/>
      <c r="AK156" s="9"/>
      <c r="AL156" s="9"/>
      <c r="AM156" s="9"/>
      <c r="AN156" s="10" t="str">
        <f aca="false">IF(A156="","",SG_Criteria!$B$6&amp;SG_Criteria!$B$12&amp;"\"&amp;A156&amp;"\")</f>
        <v/>
      </c>
      <c r="AO156" s="10" t="str">
        <f aca="false">IF(A156="","",A156&amp;"_CAD.dwg")</f>
        <v/>
      </c>
      <c r="AP156" s="10" t="str">
        <f aca="false">IF(A156="","",A156&amp;"_DWG.pdf")</f>
        <v/>
      </c>
      <c r="AQ156" s="10" t="str">
        <f aca="false">IF(A156="","",IF(AM156="Y",A156&amp;"_STAAD.std","n/a"))</f>
        <v/>
      </c>
      <c r="AR156" s="10" t="str">
        <f aca="false">IF(A156="","",A156&amp;"_CALC.xlsx")</f>
        <v/>
      </c>
      <c r="AS156" s="10" t="str">
        <f aca="false">IF(A156="","",A156&amp;"_CALC.pdf")</f>
        <v/>
      </c>
      <c r="AT156" s="9"/>
      <c r="AU156" s="9"/>
      <c r="AV156" s="39"/>
      <c r="AW156" s="39"/>
      <c r="AX156" s="39"/>
      <c r="AY156" s="39"/>
      <c r="AZ156" s="39"/>
      <c r="BA156" s="12" t="str">
        <f aca="false">IF(A156="","",IF(COUNTIF(Rebar_Schedule!$A$5:$A$2004,A156)=0,"",ROUND(SUMIF(Rebar_Schedule!$A$5:$A$2004,A156,Rebar_Schedule!$K$5:$K$2004),1)))</f>
        <v/>
      </c>
      <c r="BB156" s="33" t="str">
        <f aca="false">IF(A156="","",IF(BA156="","No rebar schedule yet",IF(ABS(BA156-N(AW156))/MAX(N(AW156),1)&gt;SG_Criteria!$B$55,"NOTE: register rebar differs from schedule by "&amp;TEXT(ABS(BA156-N(AW156))/MAX(N(AW156),1),"0%"),"OK")))</f>
        <v/>
      </c>
      <c r="BC156" s="33" t="str">
        <f aca="false">IF(D156="","",IF(LEN(IF(AND(D156&lt;&gt;"High Covered Linkway",G156&lt;SG_Criteria!$B$46),"FAIL: headroom below "&amp;SG_Criteria!$B$46&amp;" m. ","")&amp;IF(AND(D156="High Covered Linkway",G156&lt;SG_Criteria!$B$47),"FAIL: high linkway headroom below "&amp;SG_Criteria!$B$47&amp;" m. ","")&amp;IF(F156&lt;SG_Criteria!$B$48,"FAIL: roof width below "&amp;SG_Criteria!$B$48&amp;" m. ",IF(F156&lt;SG_Criteria!$B$49,"NOTE: not for MRT/LRT or high-traffic routes (min "&amp;SG_Criteria!$B$49&amp;" m). ",""))&amp;IF(AND(W156&lt;&gt;"",W156&lt;SG_Criteria!$B$50),"FAIL: wind speed below "&amp;SG_Criteria!$B$50&amp;" m/s. ","")&amp;IF(AND(X156&lt;&gt;"",X156&lt;SG_Criteria!$B$51),"FAIL: roof fixing pull-out below "&amp;SG_Criteria!$B$51&amp;" kN. ","")&amp;IF(AND(Y156&lt;&gt;"",IFERROR(VALUE(MID(Y156,2,2)),0)&lt;SG_Criteria!$B$52),"FAIL: grade below C"&amp;SG_Criteria!$B$52&amp;". ","")&amp;IF(E156="Non-standard (project design)","NOTE: not an SDRE standard, needs LTA acceptance. ",""))=0,"OK",IF(AND(D156&lt;&gt;"High Covered Linkway",G156&lt;SG_Criteria!$B$46),"FAIL: headroom below "&amp;SG_Criteria!$B$46&amp;" m. ","")&amp;IF(AND(D156="High Covered Linkway",G156&lt;SG_Criteria!$B$47),"FAIL: high linkway headroom below "&amp;SG_Criteria!$B$47&amp;" m. ","")&amp;IF(F156&lt;SG_Criteria!$B$48,"FAIL: roof width below "&amp;SG_Criteria!$B$48&amp;" m. ",IF(F156&lt;SG_Criteria!$B$49,"NOTE: not for MRT/LRT or high-traffic routes (min "&amp;SG_Criteria!$B$49&amp;" m). ",""))&amp;IF(AND(W156&lt;&gt;"",W156&lt;SG_Criteria!$B$50),"FAIL: wind speed below "&amp;SG_Criteria!$B$50&amp;" m/s. ","")&amp;IF(AND(X156&lt;&gt;"",X156&lt;SG_Criteria!$B$51),"FAIL: roof fixing pull-out below "&amp;SG_Criteria!$B$51&amp;" kN. ","")&amp;IF(AND(Y156&lt;&gt;"",IFERROR(VALUE(MID(Y156,2,2)),0)&lt;SG_Criteria!$B$52),"FAIL: grade below C"&amp;SG_Criteria!$B$52&amp;". ","")&amp;IF(E156="Non-standard (project design)","NOTE: not an SDRE standard, needs LTA acceptance. ","")))</f>
        <v/>
      </c>
      <c r="BD156" s="9"/>
      <c r="BE156" s="9"/>
      <c r="BF156" s="9"/>
      <c r="BG156" s="10" t="str">
        <f aca="false">IF(BF156="","",IFERROR(VLOOKUP(BF156,Projects!$A$5:$D$504,2,0),"Ref not in Projects"))</f>
        <v/>
      </c>
      <c r="BH156" s="10" t="str">
        <f aca="false">IF(BF156="","",IFERROR(VLOOKUP(BF156,Projects!$A$5:$D$504,4,0),"Ref not in Projects"))</f>
        <v/>
      </c>
      <c r="BI156" s="9"/>
      <c r="BJ156" s="9"/>
      <c r="BK156" s="9"/>
      <c r="BL156" s="40"/>
      <c r="BM156" s="9"/>
      <c r="BN156" s="40"/>
      <c r="BO156" s="9"/>
      <c r="BP156" s="40"/>
      <c r="BQ156" s="9"/>
      <c r="BR156" s="9"/>
      <c r="BS156" s="9"/>
      <c r="BT156" s="40"/>
      <c r="BU156" s="40"/>
      <c r="BV156" s="36" t="str">
        <f aca="false">IF(BU156="","",EDATE(BU156,SG_Criteria!$B$54*12))</f>
        <v/>
      </c>
      <c r="BW156" s="33" t="str">
        <f aca="true">IF(A156="","",IF(BU156="","NOTE: not reviewed yet",IF(TODAY()&gt;BV156,"NOTE: review overdue","OK")))</f>
        <v/>
      </c>
      <c r="BX156" s="37" t="str">
        <f aca="false">IF(A156="","",ROUND((IF(LEN(D156)&gt;0,1,0)+IF(LEN(E156)&gt;0,1,0)+IF(LEN(F156)&gt;0,1,0)+IF(LEN(G156)&gt;0,1,0)+IF(LEN(H156)&gt;0,1,0)+IF(LEN(I156)&gt;0,1,0)+IF(LEN(J156)&gt;0,1,0)+IF(LEN(K156)&gt;0,1,0)+IF(LEN(N156)&gt;0,1,0)+IF(LEN(O156)&gt;0,1,0)+IF(LEN(W156)&gt;0,1,0)+IF(LEN(X156)&gt;0,1,0)+IF(LEN(Y156)&gt;0,1,0)+IF(LEN(AG156)&gt;0,1,0)+IF(LEN(AI156)&gt;0,1,0)+IF(LEN(AJ156)&gt;0,1,0)+IF(LEN(AK156)&gt;0,1,0)+IF(LEN(AL156)&gt;0,1,0)+IF(LEN(AU156)&gt;0,1,0)+IF(LEN(BF156)&gt;0,1,0)+IF(LEN(BS156)&gt;0,1,0))/21,2))</f>
        <v/>
      </c>
      <c r="BY156" s="10" t="str">
        <f aca="false">IF(D156="","",IF(AND(AJ156="Approved",ISERROR(SEARCH("FAIL",BC156))),"Y","N"))</f>
        <v/>
      </c>
      <c r="BZ156" s="10" t="str">
        <f aca="false">IF(D156="","",D156&amp;"|"&amp;F156&amp;"|"&amp;G156&amp;"|"&amp;BY156)</f>
        <v/>
      </c>
    </row>
    <row r="157" customFormat="false" ht="15" hidden="false" customHeight="false" outlineLevel="0" collapsed="false">
      <c r="A157" s="10" t="str">
        <f aca="false">IF(D157="","","LKW-"&amp;IFERROR(VLOOKUP(D157,Lists!$AQ$4:$AR$17,2,0),"??")&amp;"-W"&amp;TEXT(F157*1000,"0000")&amp;"-H"&amp;TEXT(G157*1000,"0000")&amp;"-B"&amp;TEXT(H157*1000,"0000")&amp;"-"&amp;AI157)</f>
        <v/>
      </c>
      <c r="B157" s="10" t="str">
        <f aca="false">IF(D157="","",D157&amp;", "&amp;F157&amp;" m wide, "&amp;G157&amp;" m headroom, "&amp;H157&amp;" m bays, "&amp;I157&amp;" ("&amp;E157&amp;")")</f>
        <v/>
      </c>
      <c r="C157" s="9"/>
      <c r="D157" s="9"/>
      <c r="E157" s="9"/>
      <c r="F157" s="42"/>
      <c r="G157" s="42"/>
      <c r="H157" s="42"/>
      <c r="I157" s="9"/>
      <c r="J157" s="9"/>
      <c r="K157" s="9"/>
      <c r="L157" s="9"/>
      <c r="M157" s="9"/>
      <c r="N157" s="9"/>
      <c r="O157" s="9"/>
      <c r="P157" s="9"/>
      <c r="Q157" s="9"/>
      <c r="R157" s="9"/>
      <c r="S157" s="42"/>
      <c r="T157" s="9"/>
      <c r="U157" s="9"/>
      <c r="V157" s="9"/>
      <c r="W157" s="38"/>
      <c r="X157" s="42"/>
      <c r="Y157" s="9"/>
      <c r="Z157" s="9"/>
      <c r="AA157" s="9"/>
      <c r="AB157" s="42"/>
      <c r="AC157" s="9"/>
      <c r="AD157" s="38"/>
      <c r="AE157" s="9"/>
      <c r="AF157" s="39"/>
      <c r="AG157" s="9"/>
      <c r="AH157" s="9"/>
      <c r="AI157" s="9"/>
      <c r="AJ157" s="9"/>
      <c r="AK157" s="9"/>
      <c r="AL157" s="9"/>
      <c r="AM157" s="9"/>
      <c r="AN157" s="10" t="str">
        <f aca="false">IF(A157="","",SG_Criteria!$B$6&amp;SG_Criteria!$B$12&amp;"\"&amp;A157&amp;"\")</f>
        <v/>
      </c>
      <c r="AO157" s="10" t="str">
        <f aca="false">IF(A157="","",A157&amp;"_CAD.dwg")</f>
        <v/>
      </c>
      <c r="AP157" s="10" t="str">
        <f aca="false">IF(A157="","",A157&amp;"_DWG.pdf")</f>
        <v/>
      </c>
      <c r="AQ157" s="10" t="str">
        <f aca="false">IF(A157="","",IF(AM157="Y",A157&amp;"_STAAD.std","n/a"))</f>
        <v/>
      </c>
      <c r="AR157" s="10" t="str">
        <f aca="false">IF(A157="","",A157&amp;"_CALC.xlsx")</f>
        <v/>
      </c>
      <c r="AS157" s="10" t="str">
        <f aca="false">IF(A157="","",A157&amp;"_CALC.pdf")</f>
        <v/>
      </c>
      <c r="AT157" s="9"/>
      <c r="AU157" s="9"/>
      <c r="AV157" s="39"/>
      <c r="AW157" s="39"/>
      <c r="AX157" s="39"/>
      <c r="AY157" s="39"/>
      <c r="AZ157" s="39"/>
      <c r="BA157" s="12" t="str">
        <f aca="false">IF(A157="","",IF(COUNTIF(Rebar_Schedule!$A$5:$A$2004,A157)=0,"",ROUND(SUMIF(Rebar_Schedule!$A$5:$A$2004,A157,Rebar_Schedule!$K$5:$K$2004),1)))</f>
        <v/>
      </c>
      <c r="BB157" s="33" t="str">
        <f aca="false">IF(A157="","",IF(BA157="","No rebar schedule yet",IF(ABS(BA157-N(AW157))/MAX(N(AW157),1)&gt;SG_Criteria!$B$55,"NOTE: register rebar differs from schedule by "&amp;TEXT(ABS(BA157-N(AW157))/MAX(N(AW157),1),"0%"),"OK")))</f>
        <v/>
      </c>
      <c r="BC157" s="33" t="str">
        <f aca="false">IF(D157="","",IF(LEN(IF(AND(D157&lt;&gt;"High Covered Linkway",G157&lt;SG_Criteria!$B$46),"FAIL: headroom below "&amp;SG_Criteria!$B$46&amp;" m. ","")&amp;IF(AND(D157="High Covered Linkway",G157&lt;SG_Criteria!$B$47),"FAIL: high linkway headroom below "&amp;SG_Criteria!$B$47&amp;" m. ","")&amp;IF(F157&lt;SG_Criteria!$B$48,"FAIL: roof width below "&amp;SG_Criteria!$B$48&amp;" m. ",IF(F157&lt;SG_Criteria!$B$49,"NOTE: not for MRT/LRT or high-traffic routes (min "&amp;SG_Criteria!$B$49&amp;" m). ",""))&amp;IF(AND(W157&lt;&gt;"",W157&lt;SG_Criteria!$B$50),"FAIL: wind speed below "&amp;SG_Criteria!$B$50&amp;" m/s. ","")&amp;IF(AND(X157&lt;&gt;"",X157&lt;SG_Criteria!$B$51),"FAIL: roof fixing pull-out below "&amp;SG_Criteria!$B$51&amp;" kN. ","")&amp;IF(AND(Y157&lt;&gt;"",IFERROR(VALUE(MID(Y157,2,2)),0)&lt;SG_Criteria!$B$52),"FAIL: grade below C"&amp;SG_Criteria!$B$52&amp;". ","")&amp;IF(E157="Non-standard (project design)","NOTE: not an SDRE standard, needs LTA acceptance. ",""))=0,"OK",IF(AND(D157&lt;&gt;"High Covered Linkway",G157&lt;SG_Criteria!$B$46),"FAIL: headroom below "&amp;SG_Criteria!$B$46&amp;" m. ","")&amp;IF(AND(D157="High Covered Linkway",G157&lt;SG_Criteria!$B$47),"FAIL: high linkway headroom below "&amp;SG_Criteria!$B$47&amp;" m. ","")&amp;IF(F157&lt;SG_Criteria!$B$48,"FAIL: roof width below "&amp;SG_Criteria!$B$48&amp;" m. ",IF(F157&lt;SG_Criteria!$B$49,"NOTE: not for MRT/LRT or high-traffic routes (min "&amp;SG_Criteria!$B$49&amp;" m). ",""))&amp;IF(AND(W157&lt;&gt;"",W157&lt;SG_Criteria!$B$50),"FAIL: wind speed below "&amp;SG_Criteria!$B$50&amp;" m/s. ","")&amp;IF(AND(X157&lt;&gt;"",X157&lt;SG_Criteria!$B$51),"FAIL: roof fixing pull-out below "&amp;SG_Criteria!$B$51&amp;" kN. ","")&amp;IF(AND(Y157&lt;&gt;"",IFERROR(VALUE(MID(Y157,2,2)),0)&lt;SG_Criteria!$B$52),"FAIL: grade below C"&amp;SG_Criteria!$B$52&amp;". ","")&amp;IF(E157="Non-standard (project design)","NOTE: not an SDRE standard, needs LTA acceptance. ","")))</f>
        <v/>
      </c>
      <c r="BD157" s="9"/>
      <c r="BE157" s="9"/>
      <c r="BF157" s="9"/>
      <c r="BG157" s="10" t="str">
        <f aca="false">IF(BF157="","",IFERROR(VLOOKUP(BF157,Projects!$A$5:$D$504,2,0),"Ref not in Projects"))</f>
        <v/>
      </c>
      <c r="BH157" s="10" t="str">
        <f aca="false">IF(BF157="","",IFERROR(VLOOKUP(BF157,Projects!$A$5:$D$504,4,0),"Ref not in Projects"))</f>
        <v/>
      </c>
      <c r="BI157" s="9"/>
      <c r="BJ157" s="9"/>
      <c r="BK157" s="9"/>
      <c r="BL157" s="40"/>
      <c r="BM157" s="9"/>
      <c r="BN157" s="40"/>
      <c r="BO157" s="9"/>
      <c r="BP157" s="40"/>
      <c r="BQ157" s="9"/>
      <c r="BR157" s="9"/>
      <c r="BS157" s="9"/>
      <c r="BT157" s="40"/>
      <c r="BU157" s="40"/>
      <c r="BV157" s="36" t="str">
        <f aca="false">IF(BU157="","",EDATE(BU157,SG_Criteria!$B$54*12))</f>
        <v/>
      </c>
      <c r="BW157" s="33" t="str">
        <f aca="true">IF(A157="","",IF(BU157="","NOTE: not reviewed yet",IF(TODAY()&gt;BV157,"NOTE: review overdue","OK")))</f>
        <v/>
      </c>
      <c r="BX157" s="37" t="str">
        <f aca="false">IF(A157="","",ROUND((IF(LEN(D157)&gt;0,1,0)+IF(LEN(E157)&gt;0,1,0)+IF(LEN(F157)&gt;0,1,0)+IF(LEN(G157)&gt;0,1,0)+IF(LEN(H157)&gt;0,1,0)+IF(LEN(I157)&gt;0,1,0)+IF(LEN(J157)&gt;0,1,0)+IF(LEN(K157)&gt;0,1,0)+IF(LEN(N157)&gt;0,1,0)+IF(LEN(O157)&gt;0,1,0)+IF(LEN(W157)&gt;0,1,0)+IF(LEN(X157)&gt;0,1,0)+IF(LEN(Y157)&gt;0,1,0)+IF(LEN(AG157)&gt;0,1,0)+IF(LEN(AI157)&gt;0,1,0)+IF(LEN(AJ157)&gt;0,1,0)+IF(LEN(AK157)&gt;0,1,0)+IF(LEN(AL157)&gt;0,1,0)+IF(LEN(AU157)&gt;0,1,0)+IF(LEN(BF157)&gt;0,1,0)+IF(LEN(BS157)&gt;0,1,0))/21,2))</f>
        <v/>
      </c>
      <c r="BY157" s="10" t="str">
        <f aca="false">IF(D157="","",IF(AND(AJ157="Approved",ISERROR(SEARCH("FAIL",BC157))),"Y","N"))</f>
        <v/>
      </c>
      <c r="BZ157" s="10" t="str">
        <f aca="false">IF(D157="","",D157&amp;"|"&amp;F157&amp;"|"&amp;G157&amp;"|"&amp;BY157)</f>
        <v/>
      </c>
    </row>
    <row r="158" customFormat="false" ht="15" hidden="false" customHeight="false" outlineLevel="0" collapsed="false">
      <c r="A158" s="10" t="str">
        <f aca="false">IF(D158="","","LKW-"&amp;IFERROR(VLOOKUP(D158,Lists!$AQ$4:$AR$17,2,0),"??")&amp;"-W"&amp;TEXT(F158*1000,"0000")&amp;"-H"&amp;TEXT(G158*1000,"0000")&amp;"-B"&amp;TEXT(H158*1000,"0000")&amp;"-"&amp;AI158)</f>
        <v/>
      </c>
      <c r="B158" s="10" t="str">
        <f aca="false">IF(D158="","",D158&amp;", "&amp;F158&amp;" m wide, "&amp;G158&amp;" m headroom, "&amp;H158&amp;" m bays, "&amp;I158&amp;" ("&amp;E158&amp;")")</f>
        <v/>
      </c>
      <c r="C158" s="9"/>
      <c r="D158" s="9"/>
      <c r="E158" s="9"/>
      <c r="F158" s="42"/>
      <c r="G158" s="42"/>
      <c r="H158" s="42"/>
      <c r="I158" s="9"/>
      <c r="J158" s="9"/>
      <c r="K158" s="9"/>
      <c r="L158" s="9"/>
      <c r="M158" s="9"/>
      <c r="N158" s="9"/>
      <c r="O158" s="9"/>
      <c r="P158" s="9"/>
      <c r="Q158" s="9"/>
      <c r="R158" s="9"/>
      <c r="S158" s="42"/>
      <c r="T158" s="9"/>
      <c r="U158" s="9"/>
      <c r="V158" s="9"/>
      <c r="W158" s="38"/>
      <c r="X158" s="42"/>
      <c r="Y158" s="9"/>
      <c r="Z158" s="9"/>
      <c r="AA158" s="9"/>
      <c r="AB158" s="42"/>
      <c r="AC158" s="9"/>
      <c r="AD158" s="38"/>
      <c r="AE158" s="9"/>
      <c r="AF158" s="39"/>
      <c r="AG158" s="9"/>
      <c r="AH158" s="9"/>
      <c r="AI158" s="9"/>
      <c r="AJ158" s="9"/>
      <c r="AK158" s="9"/>
      <c r="AL158" s="9"/>
      <c r="AM158" s="9"/>
      <c r="AN158" s="10" t="str">
        <f aca="false">IF(A158="","",SG_Criteria!$B$6&amp;SG_Criteria!$B$12&amp;"\"&amp;A158&amp;"\")</f>
        <v/>
      </c>
      <c r="AO158" s="10" t="str">
        <f aca="false">IF(A158="","",A158&amp;"_CAD.dwg")</f>
        <v/>
      </c>
      <c r="AP158" s="10" t="str">
        <f aca="false">IF(A158="","",A158&amp;"_DWG.pdf")</f>
        <v/>
      </c>
      <c r="AQ158" s="10" t="str">
        <f aca="false">IF(A158="","",IF(AM158="Y",A158&amp;"_STAAD.std","n/a"))</f>
        <v/>
      </c>
      <c r="AR158" s="10" t="str">
        <f aca="false">IF(A158="","",A158&amp;"_CALC.xlsx")</f>
        <v/>
      </c>
      <c r="AS158" s="10" t="str">
        <f aca="false">IF(A158="","",A158&amp;"_CALC.pdf")</f>
        <v/>
      </c>
      <c r="AT158" s="9"/>
      <c r="AU158" s="9"/>
      <c r="AV158" s="39"/>
      <c r="AW158" s="39"/>
      <c r="AX158" s="39"/>
      <c r="AY158" s="39"/>
      <c r="AZ158" s="39"/>
      <c r="BA158" s="12" t="str">
        <f aca="false">IF(A158="","",IF(COUNTIF(Rebar_Schedule!$A$5:$A$2004,A158)=0,"",ROUND(SUMIF(Rebar_Schedule!$A$5:$A$2004,A158,Rebar_Schedule!$K$5:$K$2004),1)))</f>
        <v/>
      </c>
      <c r="BB158" s="33" t="str">
        <f aca="false">IF(A158="","",IF(BA158="","No rebar schedule yet",IF(ABS(BA158-N(AW158))/MAX(N(AW158),1)&gt;SG_Criteria!$B$55,"NOTE: register rebar differs from schedule by "&amp;TEXT(ABS(BA158-N(AW158))/MAX(N(AW158),1),"0%"),"OK")))</f>
        <v/>
      </c>
      <c r="BC158" s="33" t="str">
        <f aca="false">IF(D158="","",IF(LEN(IF(AND(D158&lt;&gt;"High Covered Linkway",G158&lt;SG_Criteria!$B$46),"FAIL: headroom below "&amp;SG_Criteria!$B$46&amp;" m. ","")&amp;IF(AND(D158="High Covered Linkway",G158&lt;SG_Criteria!$B$47),"FAIL: high linkway headroom below "&amp;SG_Criteria!$B$47&amp;" m. ","")&amp;IF(F158&lt;SG_Criteria!$B$48,"FAIL: roof width below "&amp;SG_Criteria!$B$48&amp;" m. ",IF(F158&lt;SG_Criteria!$B$49,"NOTE: not for MRT/LRT or high-traffic routes (min "&amp;SG_Criteria!$B$49&amp;" m). ",""))&amp;IF(AND(W158&lt;&gt;"",W158&lt;SG_Criteria!$B$50),"FAIL: wind speed below "&amp;SG_Criteria!$B$50&amp;" m/s. ","")&amp;IF(AND(X158&lt;&gt;"",X158&lt;SG_Criteria!$B$51),"FAIL: roof fixing pull-out below "&amp;SG_Criteria!$B$51&amp;" kN. ","")&amp;IF(AND(Y158&lt;&gt;"",IFERROR(VALUE(MID(Y158,2,2)),0)&lt;SG_Criteria!$B$52),"FAIL: grade below C"&amp;SG_Criteria!$B$52&amp;". ","")&amp;IF(E158="Non-standard (project design)","NOTE: not an SDRE standard, needs LTA acceptance. ",""))=0,"OK",IF(AND(D158&lt;&gt;"High Covered Linkway",G158&lt;SG_Criteria!$B$46),"FAIL: headroom below "&amp;SG_Criteria!$B$46&amp;" m. ","")&amp;IF(AND(D158="High Covered Linkway",G158&lt;SG_Criteria!$B$47),"FAIL: high linkway headroom below "&amp;SG_Criteria!$B$47&amp;" m. ","")&amp;IF(F158&lt;SG_Criteria!$B$48,"FAIL: roof width below "&amp;SG_Criteria!$B$48&amp;" m. ",IF(F158&lt;SG_Criteria!$B$49,"NOTE: not for MRT/LRT or high-traffic routes (min "&amp;SG_Criteria!$B$49&amp;" m). ",""))&amp;IF(AND(W158&lt;&gt;"",W158&lt;SG_Criteria!$B$50),"FAIL: wind speed below "&amp;SG_Criteria!$B$50&amp;" m/s. ","")&amp;IF(AND(X158&lt;&gt;"",X158&lt;SG_Criteria!$B$51),"FAIL: roof fixing pull-out below "&amp;SG_Criteria!$B$51&amp;" kN. ","")&amp;IF(AND(Y158&lt;&gt;"",IFERROR(VALUE(MID(Y158,2,2)),0)&lt;SG_Criteria!$B$52),"FAIL: grade below C"&amp;SG_Criteria!$B$52&amp;". ","")&amp;IF(E158="Non-standard (project design)","NOTE: not an SDRE standard, needs LTA acceptance. ","")))</f>
        <v/>
      </c>
      <c r="BD158" s="9"/>
      <c r="BE158" s="9"/>
      <c r="BF158" s="9"/>
      <c r="BG158" s="10" t="str">
        <f aca="false">IF(BF158="","",IFERROR(VLOOKUP(BF158,Projects!$A$5:$D$504,2,0),"Ref not in Projects"))</f>
        <v/>
      </c>
      <c r="BH158" s="10" t="str">
        <f aca="false">IF(BF158="","",IFERROR(VLOOKUP(BF158,Projects!$A$5:$D$504,4,0),"Ref not in Projects"))</f>
        <v/>
      </c>
      <c r="BI158" s="9"/>
      <c r="BJ158" s="9"/>
      <c r="BK158" s="9"/>
      <c r="BL158" s="40"/>
      <c r="BM158" s="9"/>
      <c r="BN158" s="40"/>
      <c r="BO158" s="9"/>
      <c r="BP158" s="40"/>
      <c r="BQ158" s="9"/>
      <c r="BR158" s="9"/>
      <c r="BS158" s="9"/>
      <c r="BT158" s="40"/>
      <c r="BU158" s="40"/>
      <c r="BV158" s="36" t="str">
        <f aca="false">IF(BU158="","",EDATE(BU158,SG_Criteria!$B$54*12))</f>
        <v/>
      </c>
      <c r="BW158" s="33" t="str">
        <f aca="true">IF(A158="","",IF(BU158="","NOTE: not reviewed yet",IF(TODAY()&gt;BV158,"NOTE: review overdue","OK")))</f>
        <v/>
      </c>
      <c r="BX158" s="37" t="str">
        <f aca="false">IF(A158="","",ROUND((IF(LEN(D158)&gt;0,1,0)+IF(LEN(E158)&gt;0,1,0)+IF(LEN(F158)&gt;0,1,0)+IF(LEN(G158)&gt;0,1,0)+IF(LEN(H158)&gt;0,1,0)+IF(LEN(I158)&gt;0,1,0)+IF(LEN(J158)&gt;0,1,0)+IF(LEN(K158)&gt;0,1,0)+IF(LEN(N158)&gt;0,1,0)+IF(LEN(O158)&gt;0,1,0)+IF(LEN(W158)&gt;0,1,0)+IF(LEN(X158)&gt;0,1,0)+IF(LEN(Y158)&gt;0,1,0)+IF(LEN(AG158)&gt;0,1,0)+IF(LEN(AI158)&gt;0,1,0)+IF(LEN(AJ158)&gt;0,1,0)+IF(LEN(AK158)&gt;0,1,0)+IF(LEN(AL158)&gt;0,1,0)+IF(LEN(AU158)&gt;0,1,0)+IF(LEN(BF158)&gt;0,1,0)+IF(LEN(BS158)&gt;0,1,0))/21,2))</f>
        <v/>
      </c>
      <c r="BY158" s="10" t="str">
        <f aca="false">IF(D158="","",IF(AND(AJ158="Approved",ISERROR(SEARCH("FAIL",BC158))),"Y","N"))</f>
        <v/>
      </c>
      <c r="BZ158" s="10" t="str">
        <f aca="false">IF(D158="","",D158&amp;"|"&amp;F158&amp;"|"&amp;G158&amp;"|"&amp;BY158)</f>
        <v/>
      </c>
    </row>
    <row r="159" customFormat="false" ht="15" hidden="false" customHeight="false" outlineLevel="0" collapsed="false">
      <c r="A159" s="10" t="str">
        <f aca="false">IF(D159="","","LKW-"&amp;IFERROR(VLOOKUP(D159,Lists!$AQ$4:$AR$17,2,0),"??")&amp;"-W"&amp;TEXT(F159*1000,"0000")&amp;"-H"&amp;TEXT(G159*1000,"0000")&amp;"-B"&amp;TEXT(H159*1000,"0000")&amp;"-"&amp;AI159)</f>
        <v/>
      </c>
      <c r="B159" s="10" t="str">
        <f aca="false">IF(D159="","",D159&amp;", "&amp;F159&amp;" m wide, "&amp;G159&amp;" m headroom, "&amp;H159&amp;" m bays, "&amp;I159&amp;" ("&amp;E159&amp;")")</f>
        <v/>
      </c>
      <c r="C159" s="9"/>
      <c r="D159" s="9"/>
      <c r="E159" s="9"/>
      <c r="F159" s="42"/>
      <c r="G159" s="42"/>
      <c r="H159" s="42"/>
      <c r="I159" s="9"/>
      <c r="J159" s="9"/>
      <c r="K159" s="9"/>
      <c r="L159" s="9"/>
      <c r="M159" s="9"/>
      <c r="N159" s="9"/>
      <c r="O159" s="9"/>
      <c r="P159" s="9"/>
      <c r="Q159" s="9"/>
      <c r="R159" s="9"/>
      <c r="S159" s="42"/>
      <c r="T159" s="9"/>
      <c r="U159" s="9"/>
      <c r="V159" s="9"/>
      <c r="W159" s="38"/>
      <c r="X159" s="42"/>
      <c r="Y159" s="9"/>
      <c r="Z159" s="9"/>
      <c r="AA159" s="9"/>
      <c r="AB159" s="42"/>
      <c r="AC159" s="9"/>
      <c r="AD159" s="38"/>
      <c r="AE159" s="9"/>
      <c r="AF159" s="39"/>
      <c r="AG159" s="9"/>
      <c r="AH159" s="9"/>
      <c r="AI159" s="9"/>
      <c r="AJ159" s="9"/>
      <c r="AK159" s="9"/>
      <c r="AL159" s="9"/>
      <c r="AM159" s="9"/>
      <c r="AN159" s="10" t="str">
        <f aca="false">IF(A159="","",SG_Criteria!$B$6&amp;SG_Criteria!$B$12&amp;"\"&amp;A159&amp;"\")</f>
        <v/>
      </c>
      <c r="AO159" s="10" t="str">
        <f aca="false">IF(A159="","",A159&amp;"_CAD.dwg")</f>
        <v/>
      </c>
      <c r="AP159" s="10" t="str">
        <f aca="false">IF(A159="","",A159&amp;"_DWG.pdf")</f>
        <v/>
      </c>
      <c r="AQ159" s="10" t="str">
        <f aca="false">IF(A159="","",IF(AM159="Y",A159&amp;"_STAAD.std","n/a"))</f>
        <v/>
      </c>
      <c r="AR159" s="10" t="str">
        <f aca="false">IF(A159="","",A159&amp;"_CALC.xlsx")</f>
        <v/>
      </c>
      <c r="AS159" s="10" t="str">
        <f aca="false">IF(A159="","",A159&amp;"_CALC.pdf")</f>
        <v/>
      </c>
      <c r="AT159" s="9"/>
      <c r="AU159" s="9"/>
      <c r="AV159" s="39"/>
      <c r="AW159" s="39"/>
      <c r="AX159" s="39"/>
      <c r="AY159" s="39"/>
      <c r="AZ159" s="39"/>
      <c r="BA159" s="12" t="str">
        <f aca="false">IF(A159="","",IF(COUNTIF(Rebar_Schedule!$A$5:$A$2004,A159)=0,"",ROUND(SUMIF(Rebar_Schedule!$A$5:$A$2004,A159,Rebar_Schedule!$K$5:$K$2004),1)))</f>
        <v/>
      </c>
      <c r="BB159" s="33" t="str">
        <f aca="false">IF(A159="","",IF(BA159="","No rebar schedule yet",IF(ABS(BA159-N(AW159))/MAX(N(AW159),1)&gt;SG_Criteria!$B$55,"NOTE: register rebar differs from schedule by "&amp;TEXT(ABS(BA159-N(AW159))/MAX(N(AW159),1),"0%"),"OK")))</f>
        <v/>
      </c>
      <c r="BC159" s="33" t="str">
        <f aca="false">IF(D159="","",IF(LEN(IF(AND(D159&lt;&gt;"High Covered Linkway",G159&lt;SG_Criteria!$B$46),"FAIL: headroom below "&amp;SG_Criteria!$B$46&amp;" m. ","")&amp;IF(AND(D159="High Covered Linkway",G159&lt;SG_Criteria!$B$47),"FAIL: high linkway headroom below "&amp;SG_Criteria!$B$47&amp;" m. ","")&amp;IF(F159&lt;SG_Criteria!$B$48,"FAIL: roof width below "&amp;SG_Criteria!$B$48&amp;" m. ",IF(F159&lt;SG_Criteria!$B$49,"NOTE: not for MRT/LRT or high-traffic routes (min "&amp;SG_Criteria!$B$49&amp;" m). ",""))&amp;IF(AND(W159&lt;&gt;"",W159&lt;SG_Criteria!$B$50),"FAIL: wind speed below "&amp;SG_Criteria!$B$50&amp;" m/s. ","")&amp;IF(AND(X159&lt;&gt;"",X159&lt;SG_Criteria!$B$51),"FAIL: roof fixing pull-out below "&amp;SG_Criteria!$B$51&amp;" kN. ","")&amp;IF(AND(Y159&lt;&gt;"",IFERROR(VALUE(MID(Y159,2,2)),0)&lt;SG_Criteria!$B$52),"FAIL: grade below C"&amp;SG_Criteria!$B$52&amp;". ","")&amp;IF(E159="Non-standard (project design)","NOTE: not an SDRE standard, needs LTA acceptance. ",""))=0,"OK",IF(AND(D159&lt;&gt;"High Covered Linkway",G159&lt;SG_Criteria!$B$46),"FAIL: headroom below "&amp;SG_Criteria!$B$46&amp;" m. ","")&amp;IF(AND(D159="High Covered Linkway",G159&lt;SG_Criteria!$B$47),"FAIL: high linkway headroom below "&amp;SG_Criteria!$B$47&amp;" m. ","")&amp;IF(F159&lt;SG_Criteria!$B$48,"FAIL: roof width below "&amp;SG_Criteria!$B$48&amp;" m. ",IF(F159&lt;SG_Criteria!$B$49,"NOTE: not for MRT/LRT or high-traffic routes (min "&amp;SG_Criteria!$B$49&amp;" m). ",""))&amp;IF(AND(W159&lt;&gt;"",W159&lt;SG_Criteria!$B$50),"FAIL: wind speed below "&amp;SG_Criteria!$B$50&amp;" m/s. ","")&amp;IF(AND(X159&lt;&gt;"",X159&lt;SG_Criteria!$B$51),"FAIL: roof fixing pull-out below "&amp;SG_Criteria!$B$51&amp;" kN. ","")&amp;IF(AND(Y159&lt;&gt;"",IFERROR(VALUE(MID(Y159,2,2)),0)&lt;SG_Criteria!$B$52),"FAIL: grade below C"&amp;SG_Criteria!$B$52&amp;". ","")&amp;IF(E159="Non-standard (project design)","NOTE: not an SDRE standard, needs LTA acceptance. ","")))</f>
        <v/>
      </c>
      <c r="BD159" s="9"/>
      <c r="BE159" s="9"/>
      <c r="BF159" s="9"/>
      <c r="BG159" s="10" t="str">
        <f aca="false">IF(BF159="","",IFERROR(VLOOKUP(BF159,Projects!$A$5:$D$504,2,0),"Ref not in Projects"))</f>
        <v/>
      </c>
      <c r="BH159" s="10" t="str">
        <f aca="false">IF(BF159="","",IFERROR(VLOOKUP(BF159,Projects!$A$5:$D$504,4,0),"Ref not in Projects"))</f>
        <v/>
      </c>
      <c r="BI159" s="9"/>
      <c r="BJ159" s="9"/>
      <c r="BK159" s="9"/>
      <c r="BL159" s="40"/>
      <c r="BM159" s="9"/>
      <c r="BN159" s="40"/>
      <c r="BO159" s="9"/>
      <c r="BP159" s="40"/>
      <c r="BQ159" s="9"/>
      <c r="BR159" s="9"/>
      <c r="BS159" s="9"/>
      <c r="BT159" s="40"/>
      <c r="BU159" s="40"/>
      <c r="BV159" s="36" t="str">
        <f aca="false">IF(BU159="","",EDATE(BU159,SG_Criteria!$B$54*12))</f>
        <v/>
      </c>
      <c r="BW159" s="33" t="str">
        <f aca="true">IF(A159="","",IF(BU159="","NOTE: not reviewed yet",IF(TODAY()&gt;BV159,"NOTE: review overdue","OK")))</f>
        <v/>
      </c>
      <c r="BX159" s="37" t="str">
        <f aca="false">IF(A159="","",ROUND((IF(LEN(D159)&gt;0,1,0)+IF(LEN(E159)&gt;0,1,0)+IF(LEN(F159)&gt;0,1,0)+IF(LEN(G159)&gt;0,1,0)+IF(LEN(H159)&gt;0,1,0)+IF(LEN(I159)&gt;0,1,0)+IF(LEN(J159)&gt;0,1,0)+IF(LEN(K159)&gt;0,1,0)+IF(LEN(N159)&gt;0,1,0)+IF(LEN(O159)&gt;0,1,0)+IF(LEN(W159)&gt;0,1,0)+IF(LEN(X159)&gt;0,1,0)+IF(LEN(Y159)&gt;0,1,0)+IF(LEN(AG159)&gt;0,1,0)+IF(LEN(AI159)&gt;0,1,0)+IF(LEN(AJ159)&gt;0,1,0)+IF(LEN(AK159)&gt;0,1,0)+IF(LEN(AL159)&gt;0,1,0)+IF(LEN(AU159)&gt;0,1,0)+IF(LEN(BF159)&gt;0,1,0)+IF(LEN(BS159)&gt;0,1,0))/21,2))</f>
        <v/>
      </c>
      <c r="BY159" s="10" t="str">
        <f aca="false">IF(D159="","",IF(AND(AJ159="Approved",ISERROR(SEARCH("FAIL",BC159))),"Y","N"))</f>
        <v/>
      </c>
      <c r="BZ159" s="10" t="str">
        <f aca="false">IF(D159="","",D159&amp;"|"&amp;F159&amp;"|"&amp;G159&amp;"|"&amp;BY159)</f>
        <v/>
      </c>
    </row>
    <row r="160" customFormat="false" ht="15" hidden="false" customHeight="false" outlineLevel="0" collapsed="false">
      <c r="A160" s="10" t="str">
        <f aca="false">IF(D160="","","LKW-"&amp;IFERROR(VLOOKUP(D160,Lists!$AQ$4:$AR$17,2,0),"??")&amp;"-W"&amp;TEXT(F160*1000,"0000")&amp;"-H"&amp;TEXT(G160*1000,"0000")&amp;"-B"&amp;TEXT(H160*1000,"0000")&amp;"-"&amp;AI160)</f>
        <v/>
      </c>
      <c r="B160" s="10" t="str">
        <f aca="false">IF(D160="","",D160&amp;", "&amp;F160&amp;" m wide, "&amp;G160&amp;" m headroom, "&amp;H160&amp;" m bays, "&amp;I160&amp;" ("&amp;E160&amp;")")</f>
        <v/>
      </c>
      <c r="C160" s="9"/>
      <c r="D160" s="9"/>
      <c r="E160" s="9"/>
      <c r="F160" s="42"/>
      <c r="G160" s="42"/>
      <c r="H160" s="42"/>
      <c r="I160" s="9"/>
      <c r="J160" s="9"/>
      <c r="K160" s="9"/>
      <c r="L160" s="9"/>
      <c r="M160" s="9"/>
      <c r="N160" s="9"/>
      <c r="O160" s="9"/>
      <c r="P160" s="9"/>
      <c r="Q160" s="9"/>
      <c r="R160" s="9"/>
      <c r="S160" s="42"/>
      <c r="T160" s="9"/>
      <c r="U160" s="9"/>
      <c r="V160" s="9"/>
      <c r="W160" s="38"/>
      <c r="X160" s="42"/>
      <c r="Y160" s="9"/>
      <c r="Z160" s="9"/>
      <c r="AA160" s="9"/>
      <c r="AB160" s="42"/>
      <c r="AC160" s="9"/>
      <c r="AD160" s="38"/>
      <c r="AE160" s="9"/>
      <c r="AF160" s="39"/>
      <c r="AG160" s="9"/>
      <c r="AH160" s="9"/>
      <c r="AI160" s="9"/>
      <c r="AJ160" s="9"/>
      <c r="AK160" s="9"/>
      <c r="AL160" s="9"/>
      <c r="AM160" s="9"/>
      <c r="AN160" s="10" t="str">
        <f aca="false">IF(A160="","",SG_Criteria!$B$6&amp;SG_Criteria!$B$12&amp;"\"&amp;A160&amp;"\")</f>
        <v/>
      </c>
      <c r="AO160" s="10" t="str">
        <f aca="false">IF(A160="","",A160&amp;"_CAD.dwg")</f>
        <v/>
      </c>
      <c r="AP160" s="10" t="str">
        <f aca="false">IF(A160="","",A160&amp;"_DWG.pdf")</f>
        <v/>
      </c>
      <c r="AQ160" s="10" t="str">
        <f aca="false">IF(A160="","",IF(AM160="Y",A160&amp;"_STAAD.std","n/a"))</f>
        <v/>
      </c>
      <c r="AR160" s="10" t="str">
        <f aca="false">IF(A160="","",A160&amp;"_CALC.xlsx")</f>
        <v/>
      </c>
      <c r="AS160" s="10" t="str">
        <f aca="false">IF(A160="","",A160&amp;"_CALC.pdf")</f>
        <v/>
      </c>
      <c r="AT160" s="9"/>
      <c r="AU160" s="9"/>
      <c r="AV160" s="39"/>
      <c r="AW160" s="39"/>
      <c r="AX160" s="39"/>
      <c r="AY160" s="39"/>
      <c r="AZ160" s="39"/>
      <c r="BA160" s="12" t="str">
        <f aca="false">IF(A160="","",IF(COUNTIF(Rebar_Schedule!$A$5:$A$2004,A160)=0,"",ROUND(SUMIF(Rebar_Schedule!$A$5:$A$2004,A160,Rebar_Schedule!$K$5:$K$2004),1)))</f>
        <v/>
      </c>
      <c r="BB160" s="33" t="str">
        <f aca="false">IF(A160="","",IF(BA160="","No rebar schedule yet",IF(ABS(BA160-N(AW160))/MAX(N(AW160),1)&gt;SG_Criteria!$B$55,"NOTE: register rebar differs from schedule by "&amp;TEXT(ABS(BA160-N(AW160))/MAX(N(AW160),1),"0%"),"OK")))</f>
        <v/>
      </c>
      <c r="BC160" s="33" t="str">
        <f aca="false">IF(D160="","",IF(LEN(IF(AND(D160&lt;&gt;"High Covered Linkway",G160&lt;SG_Criteria!$B$46),"FAIL: headroom below "&amp;SG_Criteria!$B$46&amp;" m. ","")&amp;IF(AND(D160="High Covered Linkway",G160&lt;SG_Criteria!$B$47),"FAIL: high linkway headroom below "&amp;SG_Criteria!$B$47&amp;" m. ","")&amp;IF(F160&lt;SG_Criteria!$B$48,"FAIL: roof width below "&amp;SG_Criteria!$B$48&amp;" m. ",IF(F160&lt;SG_Criteria!$B$49,"NOTE: not for MRT/LRT or high-traffic routes (min "&amp;SG_Criteria!$B$49&amp;" m). ",""))&amp;IF(AND(W160&lt;&gt;"",W160&lt;SG_Criteria!$B$50),"FAIL: wind speed below "&amp;SG_Criteria!$B$50&amp;" m/s. ","")&amp;IF(AND(X160&lt;&gt;"",X160&lt;SG_Criteria!$B$51),"FAIL: roof fixing pull-out below "&amp;SG_Criteria!$B$51&amp;" kN. ","")&amp;IF(AND(Y160&lt;&gt;"",IFERROR(VALUE(MID(Y160,2,2)),0)&lt;SG_Criteria!$B$52),"FAIL: grade below C"&amp;SG_Criteria!$B$52&amp;". ","")&amp;IF(E160="Non-standard (project design)","NOTE: not an SDRE standard, needs LTA acceptance. ",""))=0,"OK",IF(AND(D160&lt;&gt;"High Covered Linkway",G160&lt;SG_Criteria!$B$46),"FAIL: headroom below "&amp;SG_Criteria!$B$46&amp;" m. ","")&amp;IF(AND(D160="High Covered Linkway",G160&lt;SG_Criteria!$B$47),"FAIL: high linkway headroom below "&amp;SG_Criteria!$B$47&amp;" m. ","")&amp;IF(F160&lt;SG_Criteria!$B$48,"FAIL: roof width below "&amp;SG_Criteria!$B$48&amp;" m. ",IF(F160&lt;SG_Criteria!$B$49,"NOTE: not for MRT/LRT or high-traffic routes (min "&amp;SG_Criteria!$B$49&amp;" m). ",""))&amp;IF(AND(W160&lt;&gt;"",W160&lt;SG_Criteria!$B$50),"FAIL: wind speed below "&amp;SG_Criteria!$B$50&amp;" m/s. ","")&amp;IF(AND(X160&lt;&gt;"",X160&lt;SG_Criteria!$B$51),"FAIL: roof fixing pull-out below "&amp;SG_Criteria!$B$51&amp;" kN. ","")&amp;IF(AND(Y160&lt;&gt;"",IFERROR(VALUE(MID(Y160,2,2)),0)&lt;SG_Criteria!$B$52),"FAIL: grade below C"&amp;SG_Criteria!$B$52&amp;". ","")&amp;IF(E160="Non-standard (project design)","NOTE: not an SDRE standard, needs LTA acceptance. ","")))</f>
        <v/>
      </c>
      <c r="BD160" s="9"/>
      <c r="BE160" s="9"/>
      <c r="BF160" s="9"/>
      <c r="BG160" s="10" t="str">
        <f aca="false">IF(BF160="","",IFERROR(VLOOKUP(BF160,Projects!$A$5:$D$504,2,0),"Ref not in Projects"))</f>
        <v/>
      </c>
      <c r="BH160" s="10" t="str">
        <f aca="false">IF(BF160="","",IFERROR(VLOOKUP(BF160,Projects!$A$5:$D$504,4,0),"Ref not in Projects"))</f>
        <v/>
      </c>
      <c r="BI160" s="9"/>
      <c r="BJ160" s="9"/>
      <c r="BK160" s="9"/>
      <c r="BL160" s="40"/>
      <c r="BM160" s="9"/>
      <c r="BN160" s="40"/>
      <c r="BO160" s="9"/>
      <c r="BP160" s="40"/>
      <c r="BQ160" s="9"/>
      <c r="BR160" s="9"/>
      <c r="BS160" s="9"/>
      <c r="BT160" s="40"/>
      <c r="BU160" s="40"/>
      <c r="BV160" s="36" t="str">
        <f aca="false">IF(BU160="","",EDATE(BU160,SG_Criteria!$B$54*12))</f>
        <v/>
      </c>
      <c r="BW160" s="33" t="str">
        <f aca="true">IF(A160="","",IF(BU160="","NOTE: not reviewed yet",IF(TODAY()&gt;BV160,"NOTE: review overdue","OK")))</f>
        <v/>
      </c>
      <c r="BX160" s="37" t="str">
        <f aca="false">IF(A160="","",ROUND((IF(LEN(D160)&gt;0,1,0)+IF(LEN(E160)&gt;0,1,0)+IF(LEN(F160)&gt;0,1,0)+IF(LEN(G160)&gt;0,1,0)+IF(LEN(H160)&gt;0,1,0)+IF(LEN(I160)&gt;0,1,0)+IF(LEN(J160)&gt;0,1,0)+IF(LEN(K160)&gt;0,1,0)+IF(LEN(N160)&gt;0,1,0)+IF(LEN(O160)&gt;0,1,0)+IF(LEN(W160)&gt;0,1,0)+IF(LEN(X160)&gt;0,1,0)+IF(LEN(Y160)&gt;0,1,0)+IF(LEN(AG160)&gt;0,1,0)+IF(LEN(AI160)&gt;0,1,0)+IF(LEN(AJ160)&gt;0,1,0)+IF(LEN(AK160)&gt;0,1,0)+IF(LEN(AL160)&gt;0,1,0)+IF(LEN(AU160)&gt;0,1,0)+IF(LEN(BF160)&gt;0,1,0)+IF(LEN(BS160)&gt;0,1,0))/21,2))</f>
        <v/>
      </c>
      <c r="BY160" s="10" t="str">
        <f aca="false">IF(D160="","",IF(AND(AJ160="Approved",ISERROR(SEARCH("FAIL",BC160))),"Y","N"))</f>
        <v/>
      </c>
      <c r="BZ160" s="10" t="str">
        <f aca="false">IF(D160="","",D160&amp;"|"&amp;F160&amp;"|"&amp;G160&amp;"|"&amp;BY160)</f>
        <v/>
      </c>
    </row>
    <row r="161" customFormat="false" ht="15" hidden="false" customHeight="false" outlineLevel="0" collapsed="false">
      <c r="A161" s="10" t="str">
        <f aca="false">IF(D161="","","LKW-"&amp;IFERROR(VLOOKUP(D161,Lists!$AQ$4:$AR$17,2,0),"??")&amp;"-W"&amp;TEXT(F161*1000,"0000")&amp;"-H"&amp;TEXT(G161*1000,"0000")&amp;"-B"&amp;TEXT(H161*1000,"0000")&amp;"-"&amp;AI161)</f>
        <v/>
      </c>
      <c r="B161" s="10" t="str">
        <f aca="false">IF(D161="","",D161&amp;", "&amp;F161&amp;" m wide, "&amp;G161&amp;" m headroom, "&amp;H161&amp;" m bays, "&amp;I161&amp;" ("&amp;E161&amp;")")</f>
        <v/>
      </c>
      <c r="C161" s="9"/>
      <c r="D161" s="9"/>
      <c r="E161" s="9"/>
      <c r="F161" s="42"/>
      <c r="G161" s="42"/>
      <c r="H161" s="42"/>
      <c r="I161" s="9"/>
      <c r="J161" s="9"/>
      <c r="K161" s="9"/>
      <c r="L161" s="9"/>
      <c r="M161" s="9"/>
      <c r="N161" s="9"/>
      <c r="O161" s="9"/>
      <c r="P161" s="9"/>
      <c r="Q161" s="9"/>
      <c r="R161" s="9"/>
      <c r="S161" s="42"/>
      <c r="T161" s="9"/>
      <c r="U161" s="9"/>
      <c r="V161" s="9"/>
      <c r="W161" s="38"/>
      <c r="X161" s="42"/>
      <c r="Y161" s="9"/>
      <c r="Z161" s="9"/>
      <c r="AA161" s="9"/>
      <c r="AB161" s="42"/>
      <c r="AC161" s="9"/>
      <c r="AD161" s="38"/>
      <c r="AE161" s="9"/>
      <c r="AF161" s="39"/>
      <c r="AG161" s="9"/>
      <c r="AH161" s="9"/>
      <c r="AI161" s="9"/>
      <c r="AJ161" s="9"/>
      <c r="AK161" s="9"/>
      <c r="AL161" s="9"/>
      <c r="AM161" s="9"/>
      <c r="AN161" s="10" t="str">
        <f aca="false">IF(A161="","",SG_Criteria!$B$6&amp;SG_Criteria!$B$12&amp;"\"&amp;A161&amp;"\")</f>
        <v/>
      </c>
      <c r="AO161" s="10" t="str">
        <f aca="false">IF(A161="","",A161&amp;"_CAD.dwg")</f>
        <v/>
      </c>
      <c r="AP161" s="10" t="str">
        <f aca="false">IF(A161="","",A161&amp;"_DWG.pdf")</f>
        <v/>
      </c>
      <c r="AQ161" s="10" t="str">
        <f aca="false">IF(A161="","",IF(AM161="Y",A161&amp;"_STAAD.std","n/a"))</f>
        <v/>
      </c>
      <c r="AR161" s="10" t="str">
        <f aca="false">IF(A161="","",A161&amp;"_CALC.xlsx")</f>
        <v/>
      </c>
      <c r="AS161" s="10" t="str">
        <f aca="false">IF(A161="","",A161&amp;"_CALC.pdf")</f>
        <v/>
      </c>
      <c r="AT161" s="9"/>
      <c r="AU161" s="9"/>
      <c r="AV161" s="39"/>
      <c r="AW161" s="39"/>
      <c r="AX161" s="39"/>
      <c r="AY161" s="39"/>
      <c r="AZ161" s="39"/>
      <c r="BA161" s="12" t="str">
        <f aca="false">IF(A161="","",IF(COUNTIF(Rebar_Schedule!$A$5:$A$2004,A161)=0,"",ROUND(SUMIF(Rebar_Schedule!$A$5:$A$2004,A161,Rebar_Schedule!$K$5:$K$2004),1)))</f>
        <v/>
      </c>
      <c r="BB161" s="33" t="str">
        <f aca="false">IF(A161="","",IF(BA161="","No rebar schedule yet",IF(ABS(BA161-N(AW161))/MAX(N(AW161),1)&gt;SG_Criteria!$B$55,"NOTE: register rebar differs from schedule by "&amp;TEXT(ABS(BA161-N(AW161))/MAX(N(AW161),1),"0%"),"OK")))</f>
        <v/>
      </c>
      <c r="BC161" s="33" t="str">
        <f aca="false">IF(D161="","",IF(LEN(IF(AND(D161&lt;&gt;"High Covered Linkway",G161&lt;SG_Criteria!$B$46),"FAIL: headroom below "&amp;SG_Criteria!$B$46&amp;" m. ","")&amp;IF(AND(D161="High Covered Linkway",G161&lt;SG_Criteria!$B$47),"FAIL: high linkway headroom below "&amp;SG_Criteria!$B$47&amp;" m. ","")&amp;IF(F161&lt;SG_Criteria!$B$48,"FAIL: roof width below "&amp;SG_Criteria!$B$48&amp;" m. ",IF(F161&lt;SG_Criteria!$B$49,"NOTE: not for MRT/LRT or high-traffic routes (min "&amp;SG_Criteria!$B$49&amp;" m). ",""))&amp;IF(AND(W161&lt;&gt;"",W161&lt;SG_Criteria!$B$50),"FAIL: wind speed below "&amp;SG_Criteria!$B$50&amp;" m/s. ","")&amp;IF(AND(X161&lt;&gt;"",X161&lt;SG_Criteria!$B$51),"FAIL: roof fixing pull-out below "&amp;SG_Criteria!$B$51&amp;" kN. ","")&amp;IF(AND(Y161&lt;&gt;"",IFERROR(VALUE(MID(Y161,2,2)),0)&lt;SG_Criteria!$B$52),"FAIL: grade below C"&amp;SG_Criteria!$B$52&amp;". ","")&amp;IF(E161="Non-standard (project design)","NOTE: not an SDRE standard, needs LTA acceptance. ",""))=0,"OK",IF(AND(D161&lt;&gt;"High Covered Linkway",G161&lt;SG_Criteria!$B$46),"FAIL: headroom below "&amp;SG_Criteria!$B$46&amp;" m. ","")&amp;IF(AND(D161="High Covered Linkway",G161&lt;SG_Criteria!$B$47),"FAIL: high linkway headroom below "&amp;SG_Criteria!$B$47&amp;" m. ","")&amp;IF(F161&lt;SG_Criteria!$B$48,"FAIL: roof width below "&amp;SG_Criteria!$B$48&amp;" m. ",IF(F161&lt;SG_Criteria!$B$49,"NOTE: not for MRT/LRT or high-traffic routes (min "&amp;SG_Criteria!$B$49&amp;" m). ",""))&amp;IF(AND(W161&lt;&gt;"",W161&lt;SG_Criteria!$B$50),"FAIL: wind speed below "&amp;SG_Criteria!$B$50&amp;" m/s. ","")&amp;IF(AND(X161&lt;&gt;"",X161&lt;SG_Criteria!$B$51),"FAIL: roof fixing pull-out below "&amp;SG_Criteria!$B$51&amp;" kN. ","")&amp;IF(AND(Y161&lt;&gt;"",IFERROR(VALUE(MID(Y161,2,2)),0)&lt;SG_Criteria!$B$52),"FAIL: grade below C"&amp;SG_Criteria!$B$52&amp;". ","")&amp;IF(E161="Non-standard (project design)","NOTE: not an SDRE standard, needs LTA acceptance. ","")))</f>
        <v/>
      </c>
      <c r="BD161" s="9"/>
      <c r="BE161" s="9"/>
      <c r="BF161" s="9"/>
      <c r="BG161" s="10" t="str">
        <f aca="false">IF(BF161="","",IFERROR(VLOOKUP(BF161,Projects!$A$5:$D$504,2,0),"Ref not in Projects"))</f>
        <v/>
      </c>
      <c r="BH161" s="10" t="str">
        <f aca="false">IF(BF161="","",IFERROR(VLOOKUP(BF161,Projects!$A$5:$D$504,4,0),"Ref not in Projects"))</f>
        <v/>
      </c>
      <c r="BI161" s="9"/>
      <c r="BJ161" s="9"/>
      <c r="BK161" s="9"/>
      <c r="BL161" s="40"/>
      <c r="BM161" s="9"/>
      <c r="BN161" s="40"/>
      <c r="BO161" s="9"/>
      <c r="BP161" s="40"/>
      <c r="BQ161" s="9"/>
      <c r="BR161" s="9"/>
      <c r="BS161" s="9"/>
      <c r="BT161" s="40"/>
      <c r="BU161" s="40"/>
      <c r="BV161" s="36" t="str">
        <f aca="false">IF(BU161="","",EDATE(BU161,SG_Criteria!$B$54*12))</f>
        <v/>
      </c>
      <c r="BW161" s="33" t="str">
        <f aca="true">IF(A161="","",IF(BU161="","NOTE: not reviewed yet",IF(TODAY()&gt;BV161,"NOTE: review overdue","OK")))</f>
        <v/>
      </c>
      <c r="BX161" s="37" t="str">
        <f aca="false">IF(A161="","",ROUND((IF(LEN(D161)&gt;0,1,0)+IF(LEN(E161)&gt;0,1,0)+IF(LEN(F161)&gt;0,1,0)+IF(LEN(G161)&gt;0,1,0)+IF(LEN(H161)&gt;0,1,0)+IF(LEN(I161)&gt;0,1,0)+IF(LEN(J161)&gt;0,1,0)+IF(LEN(K161)&gt;0,1,0)+IF(LEN(N161)&gt;0,1,0)+IF(LEN(O161)&gt;0,1,0)+IF(LEN(W161)&gt;0,1,0)+IF(LEN(X161)&gt;0,1,0)+IF(LEN(Y161)&gt;0,1,0)+IF(LEN(AG161)&gt;0,1,0)+IF(LEN(AI161)&gt;0,1,0)+IF(LEN(AJ161)&gt;0,1,0)+IF(LEN(AK161)&gt;0,1,0)+IF(LEN(AL161)&gt;0,1,0)+IF(LEN(AU161)&gt;0,1,0)+IF(LEN(BF161)&gt;0,1,0)+IF(LEN(BS161)&gt;0,1,0))/21,2))</f>
        <v/>
      </c>
      <c r="BY161" s="10" t="str">
        <f aca="false">IF(D161="","",IF(AND(AJ161="Approved",ISERROR(SEARCH("FAIL",BC161))),"Y","N"))</f>
        <v/>
      </c>
      <c r="BZ161" s="10" t="str">
        <f aca="false">IF(D161="","",D161&amp;"|"&amp;F161&amp;"|"&amp;G161&amp;"|"&amp;BY161)</f>
        <v/>
      </c>
    </row>
    <row r="162" customFormat="false" ht="15" hidden="false" customHeight="false" outlineLevel="0" collapsed="false">
      <c r="A162" s="10" t="str">
        <f aca="false">IF(D162="","","LKW-"&amp;IFERROR(VLOOKUP(D162,Lists!$AQ$4:$AR$17,2,0),"??")&amp;"-W"&amp;TEXT(F162*1000,"0000")&amp;"-H"&amp;TEXT(G162*1000,"0000")&amp;"-B"&amp;TEXT(H162*1000,"0000")&amp;"-"&amp;AI162)</f>
        <v/>
      </c>
      <c r="B162" s="10" t="str">
        <f aca="false">IF(D162="","",D162&amp;", "&amp;F162&amp;" m wide, "&amp;G162&amp;" m headroom, "&amp;H162&amp;" m bays, "&amp;I162&amp;" ("&amp;E162&amp;")")</f>
        <v/>
      </c>
      <c r="C162" s="9"/>
      <c r="D162" s="9"/>
      <c r="E162" s="9"/>
      <c r="F162" s="42"/>
      <c r="G162" s="42"/>
      <c r="H162" s="42"/>
      <c r="I162" s="9"/>
      <c r="J162" s="9"/>
      <c r="K162" s="9"/>
      <c r="L162" s="9"/>
      <c r="M162" s="9"/>
      <c r="N162" s="9"/>
      <c r="O162" s="9"/>
      <c r="P162" s="9"/>
      <c r="Q162" s="9"/>
      <c r="R162" s="9"/>
      <c r="S162" s="42"/>
      <c r="T162" s="9"/>
      <c r="U162" s="9"/>
      <c r="V162" s="9"/>
      <c r="W162" s="38"/>
      <c r="X162" s="42"/>
      <c r="Y162" s="9"/>
      <c r="Z162" s="9"/>
      <c r="AA162" s="9"/>
      <c r="AB162" s="42"/>
      <c r="AC162" s="9"/>
      <c r="AD162" s="38"/>
      <c r="AE162" s="9"/>
      <c r="AF162" s="39"/>
      <c r="AG162" s="9"/>
      <c r="AH162" s="9"/>
      <c r="AI162" s="9"/>
      <c r="AJ162" s="9"/>
      <c r="AK162" s="9"/>
      <c r="AL162" s="9"/>
      <c r="AM162" s="9"/>
      <c r="AN162" s="10" t="str">
        <f aca="false">IF(A162="","",SG_Criteria!$B$6&amp;SG_Criteria!$B$12&amp;"\"&amp;A162&amp;"\")</f>
        <v/>
      </c>
      <c r="AO162" s="10" t="str">
        <f aca="false">IF(A162="","",A162&amp;"_CAD.dwg")</f>
        <v/>
      </c>
      <c r="AP162" s="10" t="str">
        <f aca="false">IF(A162="","",A162&amp;"_DWG.pdf")</f>
        <v/>
      </c>
      <c r="AQ162" s="10" t="str">
        <f aca="false">IF(A162="","",IF(AM162="Y",A162&amp;"_STAAD.std","n/a"))</f>
        <v/>
      </c>
      <c r="AR162" s="10" t="str">
        <f aca="false">IF(A162="","",A162&amp;"_CALC.xlsx")</f>
        <v/>
      </c>
      <c r="AS162" s="10" t="str">
        <f aca="false">IF(A162="","",A162&amp;"_CALC.pdf")</f>
        <v/>
      </c>
      <c r="AT162" s="9"/>
      <c r="AU162" s="9"/>
      <c r="AV162" s="39"/>
      <c r="AW162" s="39"/>
      <c r="AX162" s="39"/>
      <c r="AY162" s="39"/>
      <c r="AZ162" s="39"/>
      <c r="BA162" s="12" t="str">
        <f aca="false">IF(A162="","",IF(COUNTIF(Rebar_Schedule!$A$5:$A$2004,A162)=0,"",ROUND(SUMIF(Rebar_Schedule!$A$5:$A$2004,A162,Rebar_Schedule!$K$5:$K$2004),1)))</f>
        <v/>
      </c>
      <c r="BB162" s="33" t="str">
        <f aca="false">IF(A162="","",IF(BA162="","No rebar schedule yet",IF(ABS(BA162-N(AW162))/MAX(N(AW162),1)&gt;SG_Criteria!$B$55,"NOTE: register rebar differs from schedule by "&amp;TEXT(ABS(BA162-N(AW162))/MAX(N(AW162),1),"0%"),"OK")))</f>
        <v/>
      </c>
      <c r="BC162" s="33" t="str">
        <f aca="false">IF(D162="","",IF(LEN(IF(AND(D162&lt;&gt;"High Covered Linkway",G162&lt;SG_Criteria!$B$46),"FAIL: headroom below "&amp;SG_Criteria!$B$46&amp;" m. ","")&amp;IF(AND(D162="High Covered Linkway",G162&lt;SG_Criteria!$B$47),"FAIL: high linkway headroom below "&amp;SG_Criteria!$B$47&amp;" m. ","")&amp;IF(F162&lt;SG_Criteria!$B$48,"FAIL: roof width below "&amp;SG_Criteria!$B$48&amp;" m. ",IF(F162&lt;SG_Criteria!$B$49,"NOTE: not for MRT/LRT or high-traffic routes (min "&amp;SG_Criteria!$B$49&amp;" m). ",""))&amp;IF(AND(W162&lt;&gt;"",W162&lt;SG_Criteria!$B$50),"FAIL: wind speed below "&amp;SG_Criteria!$B$50&amp;" m/s. ","")&amp;IF(AND(X162&lt;&gt;"",X162&lt;SG_Criteria!$B$51),"FAIL: roof fixing pull-out below "&amp;SG_Criteria!$B$51&amp;" kN. ","")&amp;IF(AND(Y162&lt;&gt;"",IFERROR(VALUE(MID(Y162,2,2)),0)&lt;SG_Criteria!$B$52),"FAIL: grade below C"&amp;SG_Criteria!$B$52&amp;". ","")&amp;IF(E162="Non-standard (project design)","NOTE: not an SDRE standard, needs LTA acceptance. ",""))=0,"OK",IF(AND(D162&lt;&gt;"High Covered Linkway",G162&lt;SG_Criteria!$B$46),"FAIL: headroom below "&amp;SG_Criteria!$B$46&amp;" m. ","")&amp;IF(AND(D162="High Covered Linkway",G162&lt;SG_Criteria!$B$47),"FAIL: high linkway headroom below "&amp;SG_Criteria!$B$47&amp;" m. ","")&amp;IF(F162&lt;SG_Criteria!$B$48,"FAIL: roof width below "&amp;SG_Criteria!$B$48&amp;" m. ",IF(F162&lt;SG_Criteria!$B$49,"NOTE: not for MRT/LRT or high-traffic routes (min "&amp;SG_Criteria!$B$49&amp;" m). ",""))&amp;IF(AND(W162&lt;&gt;"",W162&lt;SG_Criteria!$B$50),"FAIL: wind speed below "&amp;SG_Criteria!$B$50&amp;" m/s. ","")&amp;IF(AND(X162&lt;&gt;"",X162&lt;SG_Criteria!$B$51),"FAIL: roof fixing pull-out below "&amp;SG_Criteria!$B$51&amp;" kN. ","")&amp;IF(AND(Y162&lt;&gt;"",IFERROR(VALUE(MID(Y162,2,2)),0)&lt;SG_Criteria!$B$52),"FAIL: grade below C"&amp;SG_Criteria!$B$52&amp;". ","")&amp;IF(E162="Non-standard (project design)","NOTE: not an SDRE standard, needs LTA acceptance. ","")))</f>
        <v/>
      </c>
      <c r="BD162" s="9"/>
      <c r="BE162" s="9"/>
      <c r="BF162" s="9"/>
      <c r="BG162" s="10" t="str">
        <f aca="false">IF(BF162="","",IFERROR(VLOOKUP(BF162,Projects!$A$5:$D$504,2,0),"Ref not in Projects"))</f>
        <v/>
      </c>
      <c r="BH162" s="10" t="str">
        <f aca="false">IF(BF162="","",IFERROR(VLOOKUP(BF162,Projects!$A$5:$D$504,4,0),"Ref not in Projects"))</f>
        <v/>
      </c>
      <c r="BI162" s="9"/>
      <c r="BJ162" s="9"/>
      <c r="BK162" s="9"/>
      <c r="BL162" s="40"/>
      <c r="BM162" s="9"/>
      <c r="BN162" s="40"/>
      <c r="BO162" s="9"/>
      <c r="BP162" s="40"/>
      <c r="BQ162" s="9"/>
      <c r="BR162" s="9"/>
      <c r="BS162" s="9"/>
      <c r="BT162" s="40"/>
      <c r="BU162" s="40"/>
      <c r="BV162" s="36" t="str">
        <f aca="false">IF(BU162="","",EDATE(BU162,SG_Criteria!$B$54*12))</f>
        <v/>
      </c>
      <c r="BW162" s="33" t="str">
        <f aca="true">IF(A162="","",IF(BU162="","NOTE: not reviewed yet",IF(TODAY()&gt;BV162,"NOTE: review overdue","OK")))</f>
        <v/>
      </c>
      <c r="BX162" s="37" t="str">
        <f aca="false">IF(A162="","",ROUND((IF(LEN(D162)&gt;0,1,0)+IF(LEN(E162)&gt;0,1,0)+IF(LEN(F162)&gt;0,1,0)+IF(LEN(G162)&gt;0,1,0)+IF(LEN(H162)&gt;0,1,0)+IF(LEN(I162)&gt;0,1,0)+IF(LEN(J162)&gt;0,1,0)+IF(LEN(K162)&gt;0,1,0)+IF(LEN(N162)&gt;0,1,0)+IF(LEN(O162)&gt;0,1,0)+IF(LEN(W162)&gt;0,1,0)+IF(LEN(X162)&gt;0,1,0)+IF(LEN(Y162)&gt;0,1,0)+IF(LEN(AG162)&gt;0,1,0)+IF(LEN(AI162)&gt;0,1,0)+IF(LEN(AJ162)&gt;0,1,0)+IF(LEN(AK162)&gt;0,1,0)+IF(LEN(AL162)&gt;0,1,0)+IF(LEN(AU162)&gt;0,1,0)+IF(LEN(BF162)&gt;0,1,0)+IF(LEN(BS162)&gt;0,1,0))/21,2))</f>
        <v/>
      </c>
      <c r="BY162" s="10" t="str">
        <f aca="false">IF(D162="","",IF(AND(AJ162="Approved",ISERROR(SEARCH("FAIL",BC162))),"Y","N"))</f>
        <v/>
      </c>
      <c r="BZ162" s="10" t="str">
        <f aca="false">IF(D162="","",D162&amp;"|"&amp;F162&amp;"|"&amp;G162&amp;"|"&amp;BY162)</f>
        <v/>
      </c>
    </row>
    <row r="163" customFormat="false" ht="15" hidden="false" customHeight="false" outlineLevel="0" collapsed="false">
      <c r="A163" s="10" t="str">
        <f aca="false">IF(D163="","","LKW-"&amp;IFERROR(VLOOKUP(D163,Lists!$AQ$4:$AR$17,2,0),"??")&amp;"-W"&amp;TEXT(F163*1000,"0000")&amp;"-H"&amp;TEXT(G163*1000,"0000")&amp;"-B"&amp;TEXT(H163*1000,"0000")&amp;"-"&amp;AI163)</f>
        <v/>
      </c>
      <c r="B163" s="10" t="str">
        <f aca="false">IF(D163="","",D163&amp;", "&amp;F163&amp;" m wide, "&amp;G163&amp;" m headroom, "&amp;H163&amp;" m bays, "&amp;I163&amp;" ("&amp;E163&amp;")")</f>
        <v/>
      </c>
      <c r="C163" s="9"/>
      <c r="D163" s="9"/>
      <c r="E163" s="9"/>
      <c r="F163" s="42"/>
      <c r="G163" s="42"/>
      <c r="H163" s="42"/>
      <c r="I163" s="9"/>
      <c r="J163" s="9"/>
      <c r="K163" s="9"/>
      <c r="L163" s="9"/>
      <c r="M163" s="9"/>
      <c r="N163" s="9"/>
      <c r="O163" s="9"/>
      <c r="P163" s="9"/>
      <c r="Q163" s="9"/>
      <c r="R163" s="9"/>
      <c r="S163" s="42"/>
      <c r="T163" s="9"/>
      <c r="U163" s="9"/>
      <c r="V163" s="9"/>
      <c r="W163" s="38"/>
      <c r="X163" s="42"/>
      <c r="Y163" s="9"/>
      <c r="Z163" s="9"/>
      <c r="AA163" s="9"/>
      <c r="AB163" s="42"/>
      <c r="AC163" s="9"/>
      <c r="AD163" s="38"/>
      <c r="AE163" s="9"/>
      <c r="AF163" s="39"/>
      <c r="AG163" s="9"/>
      <c r="AH163" s="9"/>
      <c r="AI163" s="9"/>
      <c r="AJ163" s="9"/>
      <c r="AK163" s="9"/>
      <c r="AL163" s="9"/>
      <c r="AM163" s="9"/>
      <c r="AN163" s="10" t="str">
        <f aca="false">IF(A163="","",SG_Criteria!$B$6&amp;SG_Criteria!$B$12&amp;"\"&amp;A163&amp;"\")</f>
        <v/>
      </c>
      <c r="AO163" s="10" t="str">
        <f aca="false">IF(A163="","",A163&amp;"_CAD.dwg")</f>
        <v/>
      </c>
      <c r="AP163" s="10" t="str">
        <f aca="false">IF(A163="","",A163&amp;"_DWG.pdf")</f>
        <v/>
      </c>
      <c r="AQ163" s="10" t="str">
        <f aca="false">IF(A163="","",IF(AM163="Y",A163&amp;"_STAAD.std","n/a"))</f>
        <v/>
      </c>
      <c r="AR163" s="10" t="str">
        <f aca="false">IF(A163="","",A163&amp;"_CALC.xlsx")</f>
        <v/>
      </c>
      <c r="AS163" s="10" t="str">
        <f aca="false">IF(A163="","",A163&amp;"_CALC.pdf")</f>
        <v/>
      </c>
      <c r="AT163" s="9"/>
      <c r="AU163" s="9"/>
      <c r="AV163" s="39"/>
      <c r="AW163" s="39"/>
      <c r="AX163" s="39"/>
      <c r="AY163" s="39"/>
      <c r="AZ163" s="39"/>
      <c r="BA163" s="12" t="str">
        <f aca="false">IF(A163="","",IF(COUNTIF(Rebar_Schedule!$A$5:$A$2004,A163)=0,"",ROUND(SUMIF(Rebar_Schedule!$A$5:$A$2004,A163,Rebar_Schedule!$K$5:$K$2004),1)))</f>
        <v/>
      </c>
      <c r="BB163" s="33" t="str">
        <f aca="false">IF(A163="","",IF(BA163="","No rebar schedule yet",IF(ABS(BA163-N(AW163))/MAX(N(AW163),1)&gt;SG_Criteria!$B$55,"NOTE: register rebar differs from schedule by "&amp;TEXT(ABS(BA163-N(AW163))/MAX(N(AW163),1),"0%"),"OK")))</f>
        <v/>
      </c>
      <c r="BC163" s="33" t="str">
        <f aca="false">IF(D163="","",IF(LEN(IF(AND(D163&lt;&gt;"High Covered Linkway",G163&lt;SG_Criteria!$B$46),"FAIL: headroom below "&amp;SG_Criteria!$B$46&amp;" m. ","")&amp;IF(AND(D163="High Covered Linkway",G163&lt;SG_Criteria!$B$47),"FAIL: high linkway headroom below "&amp;SG_Criteria!$B$47&amp;" m. ","")&amp;IF(F163&lt;SG_Criteria!$B$48,"FAIL: roof width below "&amp;SG_Criteria!$B$48&amp;" m. ",IF(F163&lt;SG_Criteria!$B$49,"NOTE: not for MRT/LRT or high-traffic routes (min "&amp;SG_Criteria!$B$49&amp;" m). ",""))&amp;IF(AND(W163&lt;&gt;"",W163&lt;SG_Criteria!$B$50),"FAIL: wind speed below "&amp;SG_Criteria!$B$50&amp;" m/s. ","")&amp;IF(AND(X163&lt;&gt;"",X163&lt;SG_Criteria!$B$51),"FAIL: roof fixing pull-out below "&amp;SG_Criteria!$B$51&amp;" kN. ","")&amp;IF(AND(Y163&lt;&gt;"",IFERROR(VALUE(MID(Y163,2,2)),0)&lt;SG_Criteria!$B$52),"FAIL: grade below C"&amp;SG_Criteria!$B$52&amp;". ","")&amp;IF(E163="Non-standard (project design)","NOTE: not an SDRE standard, needs LTA acceptance. ",""))=0,"OK",IF(AND(D163&lt;&gt;"High Covered Linkway",G163&lt;SG_Criteria!$B$46),"FAIL: headroom below "&amp;SG_Criteria!$B$46&amp;" m. ","")&amp;IF(AND(D163="High Covered Linkway",G163&lt;SG_Criteria!$B$47),"FAIL: high linkway headroom below "&amp;SG_Criteria!$B$47&amp;" m. ","")&amp;IF(F163&lt;SG_Criteria!$B$48,"FAIL: roof width below "&amp;SG_Criteria!$B$48&amp;" m. ",IF(F163&lt;SG_Criteria!$B$49,"NOTE: not for MRT/LRT or high-traffic routes (min "&amp;SG_Criteria!$B$49&amp;" m). ",""))&amp;IF(AND(W163&lt;&gt;"",W163&lt;SG_Criteria!$B$50),"FAIL: wind speed below "&amp;SG_Criteria!$B$50&amp;" m/s. ","")&amp;IF(AND(X163&lt;&gt;"",X163&lt;SG_Criteria!$B$51),"FAIL: roof fixing pull-out below "&amp;SG_Criteria!$B$51&amp;" kN. ","")&amp;IF(AND(Y163&lt;&gt;"",IFERROR(VALUE(MID(Y163,2,2)),0)&lt;SG_Criteria!$B$52),"FAIL: grade below C"&amp;SG_Criteria!$B$52&amp;". ","")&amp;IF(E163="Non-standard (project design)","NOTE: not an SDRE standard, needs LTA acceptance. ","")))</f>
        <v/>
      </c>
      <c r="BD163" s="9"/>
      <c r="BE163" s="9"/>
      <c r="BF163" s="9"/>
      <c r="BG163" s="10" t="str">
        <f aca="false">IF(BF163="","",IFERROR(VLOOKUP(BF163,Projects!$A$5:$D$504,2,0),"Ref not in Projects"))</f>
        <v/>
      </c>
      <c r="BH163" s="10" t="str">
        <f aca="false">IF(BF163="","",IFERROR(VLOOKUP(BF163,Projects!$A$5:$D$504,4,0),"Ref not in Projects"))</f>
        <v/>
      </c>
      <c r="BI163" s="9"/>
      <c r="BJ163" s="9"/>
      <c r="BK163" s="9"/>
      <c r="BL163" s="40"/>
      <c r="BM163" s="9"/>
      <c r="BN163" s="40"/>
      <c r="BO163" s="9"/>
      <c r="BP163" s="40"/>
      <c r="BQ163" s="9"/>
      <c r="BR163" s="9"/>
      <c r="BS163" s="9"/>
      <c r="BT163" s="40"/>
      <c r="BU163" s="40"/>
      <c r="BV163" s="36" t="str">
        <f aca="false">IF(BU163="","",EDATE(BU163,SG_Criteria!$B$54*12))</f>
        <v/>
      </c>
      <c r="BW163" s="33" t="str">
        <f aca="true">IF(A163="","",IF(BU163="","NOTE: not reviewed yet",IF(TODAY()&gt;BV163,"NOTE: review overdue","OK")))</f>
        <v/>
      </c>
      <c r="BX163" s="37" t="str">
        <f aca="false">IF(A163="","",ROUND((IF(LEN(D163)&gt;0,1,0)+IF(LEN(E163)&gt;0,1,0)+IF(LEN(F163)&gt;0,1,0)+IF(LEN(G163)&gt;0,1,0)+IF(LEN(H163)&gt;0,1,0)+IF(LEN(I163)&gt;0,1,0)+IF(LEN(J163)&gt;0,1,0)+IF(LEN(K163)&gt;0,1,0)+IF(LEN(N163)&gt;0,1,0)+IF(LEN(O163)&gt;0,1,0)+IF(LEN(W163)&gt;0,1,0)+IF(LEN(X163)&gt;0,1,0)+IF(LEN(Y163)&gt;0,1,0)+IF(LEN(AG163)&gt;0,1,0)+IF(LEN(AI163)&gt;0,1,0)+IF(LEN(AJ163)&gt;0,1,0)+IF(LEN(AK163)&gt;0,1,0)+IF(LEN(AL163)&gt;0,1,0)+IF(LEN(AU163)&gt;0,1,0)+IF(LEN(BF163)&gt;0,1,0)+IF(LEN(BS163)&gt;0,1,0))/21,2))</f>
        <v/>
      </c>
      <c r="BY163" s="10" t="str">
        <f aca="false">IF(D163="","",IF(AND(AJ163="Approved",ISERROR(SEARCH("FAIL",BC163))),"Y","N"))</f>
        <v/>
      </c>
      <c r="BZ163" s="10" t="str">
        <f aca="false">IF(D163="","",D163&amp;"|"&amp;F163&amp;"|"&amp;G163&amp;"|"&amp;BY163)</f>
        <v/>
      </c>
    </row>
    <row r="164" customFormat="false" ht="15" hidden="false" customHeight="false" outlineLevel="0" collapsed="false">
      <c r="A164" s="10" t="str">
        <f aca="false">IF(D164="","","LKW-"&amp;IFERROR(VLOOKUP(D164,Lists!$AQ$4:$AR$17,2,0),"??")&amp;"-W"&amp;TEXT(F164*1000,"0000")&amp;"-H"&amp;TEXT(G164*1000,"0000")&amp;"-B"&amp;TEXT(H164*1000,"0000")&amp;"-"&amp;AI164)</f>
        <v/>
      </c>
      <c r="B164" s="10" t="str">
        <f aca="false">IF(D164="","",D164&amp;", "&amp;F164&amp;" m wide, "&amp;G164&amp;" m headroom, "&amp;H164&amp;" m bays, "&amp;I164&amp;" ("&amp;E164&amp;")")</f>
        <v/>
      </c>
      <c r="C164" s="9"/>
      <c r="D164" s="9"/>
      <c r="E164" s="9"/>
      <c r="F164" s="42"/>
      <c r="G164" s="42"/>
      <c r="H164" s="42"/>
      <c r="I164" s="9"/>
      <c r="J164" s="9"/>
      <c r="K164" s="9"/>
      <c r="L164" s="9"/>
      <c r="M164" s="9"/>
      <c r="N164" s="9"/>
      <c r="O164" s="9"/>
      <c r="P164" s="9"/>
      <c r="Q164" s="9"/>
      <c r="R164" s="9"/>
      <c r="S164" s="42"/>
      <c r="T164" s="9"/>
      <c r="U164" s="9"/>
      <c r="V164" s="9"/>
      <c r="W164" s="38"/>
      <c r="X164" s="42"/>
      <c r="Y164" s="9"/>
      <c r="Z164" s="9"/>
      <c r="AA164" s="9"/>
      <c r="AB164" s="42"/>
      <c r="AC164" s="9"/>
      <c r="AD164" s="38"/>
      <c r="AE164" s="9"/>
      <c r="AF164" s="39"/>
      <c r="AG164" s="9"/>
      <c r="AH164" s="9"/>
      <c r="AI164" s="9"/>
      <c r="AJ164" s="9"/>
      <c r="AK164" s="9"/>
      <c r="AL164" s="9"/>
      <c r="AM164" s="9"/>
      <c r="AN164" s="10" t="str">
        <f aca="false">IF(A164="","",SG_Criteria!$B$6&amp;SG_Criteria!$B$12&amp;"\"&amp;A164&amp;"\")</f>
        <v/>
      </c>
      <c r="AO164" s="10" t="str">
        <f aca="false">IF(A164="","",A164&amp;"_CAD.dwg")</f>
        <v/>
      </c>
      <c r="AP164" s="10" t="str">
        <f aca="false">IF(A164="","",A164&amp;"_DWG.pdf")</f>
        <v/>
      </c>
      <c r="AQ164" s="10" t="str">
        <f aca="false">IF(A164="","",IF(AM164="Y",A164&amp;"_STAAD.std","n/a"))</f>
        <v/>
      </c>
      <c r="AR164" s="10" t="str">
        <f aca="false">IF(A164="","",A164&amp;"_CALC.xlsx")</f>
        <v/>
      </c>
      <c r="AS164" s="10" t="str">
        <f aca="false">IF(A164="","",A164&amp;"_CALC.pdf")</f>
        <v/>
      </c>
      <c r="AT164" s="9"/>
      <c r="AU164" s="9"/>
      <c r="AV164" s="39"/>
      <c r="AW164" s="39"/>
      <c r="AX164" s="39"/>
      <c r="AY164" s="39"/>
      <c r="AZ164" s="39"/>
      <c r="BA164" s="12" t="str">
        <f aca="false">IF(A164="","",IF(COUNTIF(Rebar_Schedule!$A$5:$A$2004,A164)=0,"",ROUND(SUMIF(Rebar_Schedule!$A$5:$A$2004,A164,Rebar_Schedule!$K$5:$K$2004),1)))</f>
        <v/>
      </c>
      <c r="BB164" s="33" t="str">
        <f aca="false">IF(A164="","",IF(BA164="","No rebar schedule yet",IF(ABS(BA164-N(AW164))/MAX(N(AW164),1)&gt;SG_Criteria!$B$55,"NOTE: register rebar differs from schedule by "&amp;TEXT(ABS(BA164-N(AW164))/MAX(N(AW164),1),"0%"),"OK")))</f>
        <v/>
      </c>
      <c r="BC164" s="33" t="str">
        <f aca="false">IF(D164="","",IF(LEN(IF(AND(D164&lt;&gt;"High Covered Linkway",G164&lt;SG_Criteria!$B$46),"FAIL: headroom below "&amp;SG_Criteria!$B$46&amp;" m. ","")&amp;IF(AND(D164="High Covered Linkway",G164&lt;SG_Criteria!$B$47),"FAIL: high linkway headroom below "&amp;SG_Criteria!$B$47&amp;" m. ","")&amp;IF(F164&lt;SG_Criteria!$B$48,"FAIL: roof width below "&amp;SG_Criteria!$B$48&amp;" m. ",IF(F164&lt;SG_Criteria!$B$49,"NOTE: not for MRT/LRT or high-traffic routes (min "&amp;SG_Criteria!$B$49&amp;" m). ",""))&amp;IF(AND(W164&lt;&gt;"",W164&lt;SG_Criteria!$B$50),"FAIL: wind speed below "&amp;SG_Criteria!$B$50&amp;" m/s. ","")&amp;IF(AND(X164&lt;&gt;"",X164&lt;SG_Criteria!$B$51),"FAIL: roof fixing pull-out below "&amp;SG_Criteria!$B$51&amp;" kN. ","")&amp;IF(AND(Y164&lt;&gt;"",IFERROR(VALUE(MID(Y164,2,2)),0)&lt;SG_Criteria!$B$52),"FAIL: grade below C"&amp;SG_Criteria!$B$52&amp;". ","")&amp;IF(E164="Non-standard (project design)","NOTE: not an SDRE standard, needs LTA acceptance. ",""))=0,"OK",IF(AND(D164&lt;&gt;"High Covered Linkway",G164&lt;SG_Criteria!$B$46),"FAIL: headroom below "&amp;SG_Criteria!$B$46&amp;" m. ","")&amp;IF(AND(D164="High Covered Linkway",G164&lt;SG_Criteria!$B$47),"FAIL: high linkway headroom below "&amp;SG_Criteria!$B$47&amp;" m. ","")&amp;IF(F164&lt;SG_Criteria!$B$48,"FAIL: roof width below "&amp;SG_Criteria!$B$48&amp;" m. ",IF(F164&lt;SG_Criteria!$B$49,"NOTE: not for MRT/LRT or high-traffic routes (min "&amp;SG_Criteria!$B$49&amp;" m). ",""))&amp;IF(AND(W164&lt;&gt;"",W164&lt;SG_Criteria!$B$50),"FAIL: wind speed below "&amp;SG_Criteria!$B$50&amp;" m/s. ","")&amp;IF(AND(X164&lt;&gt;"",X164&lt;SG_Criteria!$B$51),"FAIL: roof fixing pull-out below "&amp;SG_Criteria!$B$51&amp;" kN. ","")&amp;IF(AND(Y164&lt;&gt;"",IFERROR(VALUE(MID(Y164,2,2)),0)&lt;SG_Criteria!$B$52),"FAIL: grade below C"&amp;SG_Criteria!$B$52&amp;". ","")&amp;IF(E164="Non-standard (project design)","NOTE: not an SDRE standard, needs LTA acceptance. ","")))</f>
        <v/>
      </c>
      <c r="BD164" s="9"/>
      <c r="BE164" s="9"/>
      <c r="BF164" s="9"/>
      <c r="BG164" s="10" t="str">
        <f aca="false">IF(BF164="","",IFERROR(VLOOKUP(BF164,Projects!$A$5:$D$504,2,0),"Ref not in Projects"))</f>
        <v/>
      </c>
      <c r="BH164" s="10" t="str">
        <f aca="false">IF(BF164="","",IFERROR(VLOOKUP(BF164,Projects!$A$5:$D$504,4,0),"Ref not in Projects"))</f>
        <v/>
      </c>
      <c r="BI164" s="9"/>
      <c r="BJ164" s="9"/>
      <c r="BK164" s="9"/>
      <c r="BL164" s="40"/>
      <c r="BM164" s="9"/>
      <c r="BN164" s="40"/>
      <c r="BO164" s="9"/>
      <c r="BP164" s="40"/>
      <c r="BQ164" s="9"/>
      <c r="BR164" s="9"/>
      <c r="BS164" s="9"/>
      <c r="BT164" s="40"/>
      <c r="BU164" s="40"/>
      <c r="BV164" s="36" t="str">
        <f aca="false">IF(BU164="","",EDATE(BU164,SG_Criteria!$B$54*12))</f>
        <v/>
      </c>
      <c r="BW164" s="33" t="str">
        <f aca="true">IF(A164="","",IF(BU164="","NOTE: not reviewed yet",IF(TODAY()&gt;BV164,"NOTE: review overdue","OK")))</f>
        <v/>
      </c>
      <c r="BX164" s="37" t="str">
        <f aca="false">IF(A164="","",ROUND((IF(LEN(D164)&gt;0,1,0)+IF(LEN(E164)&gt;0,1,0)+IF(LEN(F164)&gt;0,1,0)+IF(LEN(G164)&gt;0,1,0)+IF(LEN(H164)&gt;0,1,0)+IF(LEN(I164)&gt;0,1,0)+IF(LEN(J164)&gt;0,1,0)+IF(LEN(K164)&gt;0,1,0)+IF(LEN(N164)&gt;0,1,0)+IF(LEN(O164)&gt;0,1,0)+IF(LEN(W164)&gt;0,1,0)+IF(LEN(X164)&gt;0,1,0)+IF(LEN(Y164)&gt;0,1,0)+IF(LEN(AG164)&gt;0,1,0)+IF(LEN(AI164)&gt;0,1,0)+IF(LEN(AJ164)&gt;0,1,0)+IF(LEN(AK164)&gt;0,1,0)+IF(LEN(AL164)&gt;0,1,0)+IF(LEN(AU164)&gt;0,1,0)+IF(LEN(BF164)&gt;0,1,0)+IF(LEN(BS164)&gt;0,1,0))/21,2))</f>
        <v/>
      </c>
      <c r="BY164" s="10" t="str">
        <f aca="false">IF(D164="","",IF(AND(AJ164="Approved",ISERROR(SEARCH("FAIL",BC164))),"Y","N"))</f>
        <v/>
      </c>
      <c r="BZ164" s="10" t="str">
        <f aca="false">IF(D164="","",D164&amp;"|"&amp;F164&amp;"|"&amp;G164&amp;"|"&amp;BY164)</f>
        <v/>
      </c>
    </row>
    <row r="165" customFormat="false" ht="15" hidden="false" customHeight="false" outlineLevel="0" collapsed="false">
      <c r="A165" s="10" t="str">
        <f aca="false">IF(D165="","","LKW-"&amp;IFERROR(VLOOKUP(D165,Lists!$AQ$4:$AR$17,2,0),"??")&amp;"-W"&amp;TEXT(F165*1000,"0000")&amp;"-H"&amp;TEXT(G165*1000,"0000")&amp;"-B"&amp;TEXT(H165*1000,"0000")&amp;"-"&amp;AI165)</f>
        <v/>
      </c>
      <c r="B165" s="10" t="str">
        <f aca="false">IF(D165="","",D165&amp;", "&amp;F165&amp;" m wide, "&amp;G165&amp;" m headroom, "&amp;H165&amp;" m bays, "&amp;I165&amp;" ("&amp;E165&amp;")")</f>
        <v/>
      </c>
      <c r="C165" s="9"/>
      <c r="D165" s="9"/>
      <c r="E165" s="9"/>
      <c r="F165" s="42"/>
      <c r="G165" s="42"/>
      <c r="H165" s="42"/>
      <c r="I165" s="9"/>
      <c r="J165" s="9"/>
      <c r="K165" s="9"/>
      <c r="L165" s="9"/>
      <c r="M165" s="9"/>
      <c r="N165" s="9"/>
      <c r="O165" s="9"/>
      <c r="P165" s="9"/>
      <c r="Q165" s="9"/>
      <c r="R165" s="9"/>
      <c r="S165" s="42"/>
      <c r="T165" s="9"/>
      <c r="U165" s="9"/>
      <c r="V165" s="9"/>
      <c r="W165" s="38"/>
      <c r="X165" s="42"/>
      <c r="Y165" s="9"/>
      <c r="Z165" s="9"/>
      <c r="AA165" s="9"/>
      <c r="AB165" s="42"/>
      <c r="AC165" s="9"/>
      <c r="AD165" s="38"/>
      <c r="AE165" s="9"/>
      <c r="AF165" s="39"/>
      <c r="AG165" s="9"/>
      <c r="AH165" s="9"/>
      <c r="AI165" s="9"/>
      <c r="AJ165" s="9"/>
      <c r="AK165" s="9"/>
      <c r="AL165" s="9"/>
      <c r="AM165" s="9"/>
      <c r="AN165" s="10" t="str">
        <f aca="false">IF(A165="","",SG_Criteria!$B$6&amp;SG_Criteria!$B$12&amp;"\"&amp;A165&amp;"\")</f>
        <v/>
      </c>
      <c r="AO165" s="10" t="str">
        <f aca="false">IF(A165="","",A165&amp;"_CAD.dwg")</f>
        <v/>
      </c>
      <c r="AP165" s="10" t="str">
        <f aca="false">IF(A165="","",A165&amp;"_DWG.pdf")</f>
        <v/>
      </c>
      <c r="AQ165" s="10" t="str">
        <f aca="false">IF(A165="","",IF(AM165="Y",A165&amp;"_STAAD.std","n/a"))</f>
        <v/>
      </c>
      <c r="AR165" s="10" t="str">
        <f aca="false">IF(A165="","",A165&amp;"_CALC.xlsx")</f>
        <v/>
      </c>
      <c r="AS165" s="10" t="str">
        <f aca="false">IF(A165="","",A165&amp;"_CALC.pdf")</f>
        <v/>
      </c>
      <c r="AT165" s="9"/>
      <c r="AU165" s="9"/>
      <c r="AV165" s="39"/>
      <c r="AW165" s="39"/>
      <c r="AX165" s="39"/>
      <c r="AY165" s="39"/>
      <c r="AZ165" s="39"/>
      <c r="BA165" s="12" t="str">
        <f aca="false">IF(A165="","",IF(COUNTIF(Rebar_Schedule!$A$5:$A$2004,A165)=0,"",ROUND(SUMIF(Rebar_Schedule!$A$5:$A$2004,A165,Rebar_Schedule!$K$5:$K$2004),1)))</f>
        <v/>
      </c>
      <c r="BB165" s="33" t="str">
        <f aca="false">IF(A165="","",IF(BA165="","No rebar schedule yet",IF(ABS(BA165-N(AW165))/MAX(N(AW165),1)&gt;SG_Criteria!$B$55,"NOTE: register rebar differs from schedule by "&amp;TEXT(ABS(BA165-N(AW165))/MAX(N(AW165),1),"0%"),"OK")))</f>
        <v/>
      </c>
      <c r="BC165" s="33" t="str">
        <f aca="false">IF(D165="","",IF(LEN(IF(AND(D165&lt;&gt;"High Covered Linkway",G165&lt;SG_Criteria!$B$46),"FAIL: headroom below "&amp;SG_Criteria!$B$46&amp;" m. ","")&amp;IF(AND(D165="High Covered Linkway",G165&lt;SG_Criteria!$B$47),"FAIL: high linkway headroom below "&amp;SG_Criteria!$B$47&amp;" m. ","")&amp;IF(F165&lt;SG_Criteria!$B$48,"FAIL: roof width below "&amp;SG_Criteria!$B$48&amp;" m. ",IF(F165&lt;SG_Criteria!$B$49,"NOTE: not for MRT/LRT or high-traffic routes (min "&amp;SG_Criteria!$B$49&amp;" m). ",""))&amp;IF(AND(W165&lt;&gt;"",W165&lt;SG_Criteria!$B$50),"FAIL: wind speed below "&amp;SG_Criteria!$B$50&amp;" m/s. ","")&amp;IF(AND(X165&lt;&gt;"",X165&lt;SG_Criteria!$B$51),"FAIL: roof fixing pull-out below "&amp;SG_Criteria!$B$51&amp;" kN. ","")&amp;IF(AND(Y165&lt;&gt;"",IFERROR(VALUE(MID(Y165,2,2)),0)&lt;SG_Criteria!$B$52),"FAIL: grade below C"&amp;SG_Criteria!$B$52&amp;". ","")&amp;IF(E165="Non-standard (project design)","NOTE: not an SDRE standard, needs LTA acceptance. ",""))=0,"OK",IF(AND(D165&lt;&gt;"High Covered Linkway",G165&lt;SG_Criteria!$B$46),"FAIL: headroom below "&amp;SG_Criteria!$B$46&amp;" m. ","")&amp;IF(AND(D165="High Covered Linkway",G165&lt;SG_Criteria!$B$47),"FAIL: high linkway headroom below "&amp;SG_Criteria!$B$47&amp;" m. ","")&amp;IF(F165&lt;SG_Criteria!$B$48,"FAIL: roof width below "&amp;SG_Criteria!$B$48&amp;" m. ",IF(F165&lt;SG_Criteria!$B$49,"NOTE: not for MRT/LRT or high-traffic routes (min "&amp;SG_Criteria!$B$49&amp;" m). ",""))&amp;IF(AND(W165&lt;&gt;"",W165&lt;SG_Criteria!$B$50),"FAIL: wind speed below "&amp;SG_Criteria!$B$50&amp;" m/s. ","")&amp;IF(AND(X165&lt;&gt;"",X165&lt;SG_Criteria!$B$51),"FAIL: roof fixing pull-out below "&amp;SG_Criteria!$B$51&amp;" kN. ","")&amp;IF(AND(Y165&lt;&gt;"",IFERROR(VALUE(MID(Y165,2,2)),0)&lt;SG_Criteria!$B$52),"FAIL: grade below C"&amp;SG_Criteria!$B$52&amp;". ","")&amp;IF(E165="Non-standard (project design)","NOTE: not an SDRE standard, needs LTA acceptance. ","")))</f>
        <v/>
      </c>
      <c r="BD165" s="9"/>
      <c r="BE165" s="9"/>
      <c r="BF165" s="9"/>
      <c r="BG165" s="10" t="str">
        <f aca="false">IF(BF165="","",IFERROR(VLOOKUP(BF165,Projects!$A$5:$D$504,2,0),"Ref not in Projects"))</f>
        <v/>
      </c>
      <c r="BH165" s="10" t="str">
        <f aca="false">IF(BF165="","",IFERROR(VLOOKUP(BF165,Projects!$A$5:$D$504,4,0),"Ref not in Projects"))</f>
        <v/>
      </c>
      <c r="BI165" s="9"/>
      <c r="BJ165" s="9"/>
      <c r="BK165" s="9"/>
      <c r="BL165" s="40"/>
      <c r="BM165" s="9"/>
      <c r="BN165" s="40"/>
      <c r="BO165" s="9"/>
      <c r="BP165" s="40"/>
      <c r="BQ165" s="9"/>
      <c r="BR165" s="9"/>
      <c r="BS165" s="9"/>
      <c r="BT165" s="40"/>
      <c r="BU165" s="40"/>
      <c r="BV165" s="36" t="str">
        <f aca="false">IF(BU165="","",EDATE(BU165,SG_Criteria!$B$54*12))</f>
        <v/>
      </c>
      <c r="BW165" s="33" t="str">
        <f aca="true">IF(A165="","",IF(BU165="","NOTE: not reviewed yet",IF(TODAY()&gt;BV165,"NOTE: review overdue","OK")))</f>
        <v/>
      </c>
      <c r="BX165" s="37" t="str">
        <f aca="false">IF(A165="","",ROUND((IF(LEN(D165)&gt;0,1,0)+IF(LEN(E165)&gt;0,1,0)+IF(LEN(F165)&gt;0,1,0)+IF(LEN(G165)&gt;0,1,0)+IF(LEN(H165)&gt;0,1,0)+IF(LEN(I165)&gt;0,1,0)+IF(LEN(J165)&gt;0,1,0)+IF(LEN(K165)&gt;0,1,0)+IF(LEN(N165)&gt;0,1,0)+IF(LEN(O165)&gt;0,1,0)+IF(LEN(W165)&gt;0,1,0)+IF(LEN(X165)&gt;0,1,0)+IF(LEN(Y165)&gt;0,1,0)+IF(LEN(AG165)&gt;0,1,0)+IF(LEN(AI165)&gt;0,1,0)+IF(LEN(AJ165)&gt;0,1,0)+IF(LEN(AK165)&gt;0,1,0)+IF(LEN(AL165)&gt;0,1,0)+IF(LEN(AU165)&gt;0,1,0)+IF(LEN(BF165)&gt;0,1,0)+IF(LEN(BS165)&gt;0,1,0))/21,2))</f>
        <v/>
      </c>
      <c r="BY165" s="10" t="str">
        <f aca="false">IF(D165="","",IF(AND(AJ165="Approved",ISERROR(SEARCH("FAIL",BC165))),"Y","N"))</f>
        <v/>
      </c>
      <c r="BZ165" s="10" t="str">
        <f aca="false">IF(D165="","",D165&amp;"|"&amp;F165&amp;"|"&amp;G165&amp;"|"&amp;BY165)</f>
        <v/>
      </c>
    </row>
    <row r="166" customFormat="false" ht="15" hidden="false" customHeight="false" outlineLevel="0" collapsed="false">
      <c r="A166" s="10" t="str">
        <f aca="false">IF(D166="","","LKW-"&amp;IFERROR(VLOOKUP(D166,Lists!$AQ$4:$AR$17,2,0),"??")&amp;"-W"&amp;TEXT(F166*1000,"0000")&amp;"-H"&amp;TEXT(G166*1000,"0000")&amp;"-B"&amp;TEXT(H166*1000,"0000")&amp;"-"&amp;AI166)</f>
        <v/>
      </c>
      <c r="B166" s="10" t="str">
        <f aca="false">IF(D166="","",D166&amp;", "&amp;F166&amp;" m wide, "&amp;G166&amp;" m headroom, "&amp;H166&amp;" m bays, "&amp;I166&amp;" ("&amp;E166&amp;")")</f>
        <v/>
      </c>
      <c r="C166" s="9"/>
      <c r="D166" s="9"/>
      <c r="E166" s="9"/>
      <c r="F166" s="42"/>
      <c r="G166" s="42"/>
      <c r="H166" s="42"/>
      <c r="I166" s="9"/>
      <c r="J166" s="9"/>
      <c r="K166" s="9"/>
      <c r="L166" s="9"/>
      <c r="M166" s="9"/>
      <c r="N166" s="9"/>
      <c r="O166" s="9"/>
      <c r="P166" s="9"/>
      <c r="Q166" s="9"/>
      <c r="R166" s="9"/>
      <c r="S166" s="42"/>
      <c r="T166" s="9"/>
      <c r="U166" s="9"/>
      <c r="V166" s="9"/>
      <c r="W166" s="38"/>
      <c r="X166" s="42"/>
      <c r="Y166" s="9"/>
      <c r="Z166" s="9"/>
      <c r="AA166" s="9"/>
      <c r="AB166" s="42"/>
      <c r="AC166" s="9"/>
      <c r="AD166" s="38"/>
      <c r="AE166" s="9"/>
      <c r="AF166" s="39"/>
      <c r="AG166" s="9"/>
      <c r="AH166" s="9"/>
      <c r="AI166" s="9"/>
      <c r="AJ166" s="9"/>
      <c r="AK166" s="9"/>
      <c r="AL166" s="9"/>
      <c r="AM166" s="9"/>
      <c r="AN166" s="10" t="str">
        <f aca="false">IF(A166="","",SG_Criteria!$B$6&amp;SG_Criteria!$B$12&amp;"\"&amp;A166&amp;"\")</f>
        <v/>
      </c>
      <c r="AO166" s="10" t="str">
        <f aca="false">IF(A166="","",A166&amp;"_CAD.dwg")</f>
        <v/>
      </c>
      <c r="AP166" s="10" t="str">
        <f aca="false">IF(A166="","",A166&amp;"_DWG.pdf")</f>
        <v/>
      </c>
      <c r="AQ166" s="10" t="str">
        <f aca="false">IF(A166="","",IF(AM166="Y",A166&amp;"_STAAD.std","n/a"))</f>
        <v/>
      </c>
      <c r="AR166" s="10" t="str">
        <f aca="false">IF(A166="","",A166&amp;"_CALC.xlsx")</f>
        <v/>
      </c>
      <c r="AS166" s="10" t="str">
        <f aca="false">IF(A166="","",A166&amp;"_CALC.pdf")</f>
        <v/>
      </c>
      <c r="AT166" s="9"/>
      <c r="AU166" s="9"/>
      <c r="AV166" s="39"/>
      <c r="AW166" s="39"/>
      <c r="AX166" s="39"/>
      <c r="AY166" s="39"/>
      <c r="AZ166" s="39"/>
      <c r="BA166" s="12" t="str">
        <f aca="false">IF(A166="","",IF(COUNTIF(Rebar_Schedule!$A$5:$A$2004,A166)=0,"",ROUND(SUMIF(Rebar_Schedule!$A$5:$A$2004,A166,Rebar_Schedule!$K$5:$K$2004),1)))</f>
        <v/>
      </c>
      <c r="BB166" s="33" t="str">
        <f aca="false">IF(A166="","",IF(BA166="","No rebar schedule yet",IF(ABS(BA166-N(AW166))/MAX(N(AW166),1)&gt;SG_Criteria!$B$55,"NOTE: register rebar differs from schedule by "&amp;TEXT(ABS(BA166-N(AW166))/MAX(N(AW166),1),"0%"),"OK")))</f>
        <v/>
      </c>
      <c r="BC166" s="33" t="str">
        <f aca="false">IF(D166="","",IF(LEN(IF(AND(D166&lt;&gt;"High Covered Linkway",G166&lt;SG_Criteria!$B$46),"FAIL: headroom below "&amp;SG_Criteria!$B$46&amp;" m. ","")&amp;IF(AND(D166="High Covered Linkway",G166&lt;SG_Criteria!$B$47),"FAIL: high linkway headroom below "&amp;SG_Criteria!$B$47&amp;" m. ","")&amp;IF(F166&lt;SG_Criteria!$B$48,"FAIL: roof width below "&amp;SG_Criteria!$B$48&amp;" m. ",IF(F166&lt;SG_Criteria!$B$49,"NOTE: not for MRT/LRT or high-traffic routes (min "&amp;SG_Criteria!$B$49&amp;" m). ",""))&amp;IF(AND(W166&lt;&gt;"",W166&lt;SG_Criteria!$B$50),"FAIL: wind speed below "&amp;SG_Criteria!$B$50&amp;" m/s. ","")&amp;IF(AND(X166&lt;&gt;"",X166&lt;SG_Criteria!$B$51),"FAIL: roof fixing pull-out below "&amp;SG_Criteria!$B$51&amp;" kN. ","")&amp;IF(AND(Y166&lt;&gt;"",IFERROR(VALUE(MID(Y166,2,2)),0)&lt;SG_Criteria!$B$52),"FAIL: grade below C"&amp;SG_Criteria!$B$52&amp;". ","")&amp;IF(E166="Non-standard (project design)","NOTE: not an SDRE standard, needs LTA acceptance. ",""))=0,"OK",IF(AND(D166&lt;&gt;"High Covered Linkway",G166&lt;SG_Criteria!$B$46),"FAIL: headroom below "&amp;SG_Criteria!$B$46&amp;" m. ","")&amp;IF(AND(D166="High Covered Linkway",G166&lt;SG_Criteria!$B$47),"FAIL: high linkway headroom below "&amp;SG_Criteria!$B$47&amp;" m. ","")&amp;IF(F166&lt;SG_Criteria!$B$48,"FAIL: roof width below "&amp;SG_Criteria!$B$48&amp;" m. ",IF(F166&lt;SG_Criteria!$B$49,"NOTE: not for MRT/LRT or high-traffic routes (min "&amp;SG_Criteria!$B$49&amp;" m). ",""))&amp;IF(AND(W166&lt;&gt;"",W166&lt;SG_Criteria!$B$50),"FAIL: wind speed below "&amp;SG_Criteria!$B$50&amp;" m/s. ","")&amp;IF(AND(X166&lt;&gt;"",X166&lt;SG_Criteria!$B$51),"FAIL: roof fixing pull-out below "&amp;SG_Criteria!$B$51&amp;" kN. ","")&amp;IF(AND(Y166&lt;&gt;"",IFERROR(VALUE(MID(Y166,2,2)),0)&lt;SG_Criteria!$B$52),"FAIL: grade below C"&amp;SG_Criteria!$B$52&amp;". ","")&amp;IF(E166="Non-standard (project design)","NOTE: not an SDRE standard, needs LTA acceptance. ","")))</f>
        <v/>
      </c>
      <c r="BD166" s="9"/>
      <c r="BE166" s="9"/>
      <c r="BF166" s="9"/>
      <c r="BG166" s="10" t="str">
        <f aca="false">IF(BF166="","",IFERROR(VLOOKUP(BF166,Projects!$A$5:$D$504,2,0),"Ref not in Projects"))</f>
        <v/>
      </c>
      <c r="BH166" s="10" t="str">
        <f aca="false">IF(BF166="","",IFERROR(VLOOKUP(BF166,Projects!$A$5:$D$504,4,0),"Ref not in Projects"))</f>
        <v/>
      </c>
      <c r="BI166" s="9"/>
      <c r="BJ166" s="9"/>
      <c r="BK166" s="9"/>
      <c r="BL166" s="40"/>
      <c r="BM166" s="9"/>
      <c r="BN166" s="40"/>
      <c r="BO166" s="9"/>
      <c r="BP166" s="40"/>
      <c r="BQ166" s="9"/>
      <c r="BR166" s="9"/>
      <c r="BS166" s="9"/>
      <c r="BT166" s="40"/>
      <c r="BU166" s="40"/>
      <c r="BV166" s="36" t="str">
        <f aca="false">IF(BU166="","",EDATE(BU166,SG_Criteria!$B$54*12))</f>
        <v/>
      </c>
      <c r="BW166" s="33" t="str">
        <f aca="true">IF(A166="","",IF(BU166="","NOTE: not reviewed yet",IF(TODAY()&gt;BV166,"NOTE: review overdue","OK")))</f>
        <v/>
      </c>
      <c r="BX166" s="37" t="str">
        <f aca="false">IF(A166="","",ROUND((IF(LEN(D166)&gt;0,1,0)+IF(LEN(E166)&gt;0,1,0)+IF(LEN(F166)&gt;0,1,0)+IF(LEN(G166)&gt;0,1,0)+IF(LEN(H166)&gt;0,1,0)+IF(LEN(I166)&gt;0,1,0)+IF(LEN(J166)&gt;0,1,0)+IF(LEN(K166)&gt;0,1,0)+IF(LEN(N166)&gt;0,1,0)+IF(LEN(O166)&gt;0,1,0)+IF(LEN(W166)&gt;0,1,0)+IF(LEN(X166)&gt;0,1,0)+IF(LEN(Y166)&gt;0,1,0)+IF(LEN(AG166)&gt;0,1,0)+IF(LEN(AI166)&gt;0,1,0)+IF(LEN(AJ166)&gt;0,1,0)+IF(LEN(AK166)&gt;0,1,0)+IF(LEN(AL166)&gt;0,1,0)+IF(LEN(AU166)&gt;0,1,0)+IF(LEN(BF166)&gt;0,1,0)+IF(LEN(BS166)&gt;0,1,0))/21,2))</f>
        <v/>
      </c>
      <c r="BY166" s="10" t="str">
        <f aca="false">IF(D166="","",IF(AND(AJ166="Approved",ISERROR(SEARCH("FAIL",BC166))),"Y","N"))</f>
        <v/>
      </c>
      <c r="BZ166" s="10" t="str">
        <f aca="false">IF(D166="","",D166&amp;"|"&amp;F166&amp;"|"&amp;G166&amp;"|"&amp;BY166)</f>
        <v/>
      </c>
    </row>
    <row r="167" customFormat="false" ht="15" hidden="false" customHeight="false" outlineLevel="0" collapsed="false">
      <c r="A167" s="10" t="str">
        <f aca="false">IF(D167="","","LKW-"&amp;IFERROR(VLOOKUP(D167,Lists!$AQ$4:$AR$17,2,0),"??")&amp;"-W"&amp;TEXT(F167*1000,"0000")&amp;"-H"&amp;TEXT(G167*1000,"0000")&amp;"-B"&amp;TEXT(H167*1000,"0000")&amp;"-"&amp;AI167)</f>
        <v/>
      </c>
      <c r="B167" s="10" t="str">
        <f aca="false">IF(D167="","",D167&amp;", "&amp;F167&amp;" m wide, "&amp;G167&amp;" m headroom, "&amp;H167&amp;" m bays, "&amp;I167&amp;" ("&amp;E167&amp;")")</f>
        <v/>
      </c>
      <c r="C167" s="9"/>
      <c r="D167" s="9"/>
      <c r="E167" s="9"/>
      <c r="F167" s="42"/>
      <c r="G167" s="42"/>
      <c r="H167" s="42"/>
      <c r="I167" s="9"/>
      <c r="J167" s="9"/>
      <c r="K167" s="9"/>
      <c r="L167" s="9"/>
      <c r="M167" s="9"/>
      <c r="N167" s="9"/>
      <c r="O167" s="9"/>
      <c r="P167" s="9"/>
      <c r="Q167" s="9"/>
      <c r="R167" s="9"/>
      <c r="S167" s="42"/>
      <c r="T167" s="9"/>
      <c r="U167" s="9"/>
      <c r="V167" s="9"/>
      <c r="W167" s="38"/>
      <c r="X167" s="42"/>
      <c r="Y167" s="9"/>
      <c r="Z167" s="9"/>
      <c r="AA167" s="9"/>
      <c r="AB167" s="42"/>
      <c r="AC167" s="9"/>
      <c r="AD167" s="38"/>
      <c r="AE167" s="9"/>
      <c r="AF167" s="39"/>
      <c r="AG167" s="9"/>
      <c r="AH167" s="9"/>
      <c r="AI167" s="9"/>
      <c r="AJ167" s="9"/>
      <c r="AK167" s="9"/>
      <c r="AL167" s="9"/>
      <c r="AM167" s="9"/>
      <c r="AN167" s="10" t="str">
        <f aca="false">IF(A167="","",SG_Criteria!$B$6&amp;SG_Criteria!$B$12&amp;"\"&amp;A167&amp;"\")</f>
        <v/>
      </c>
      <c r="AO167" s="10" t="str">
        <f aca="false">IF(A167="","",A167&amp;"_CAD.dwg")</f>
        <v/>
      </c>
      <c r="AP167" s="10" t="str">
        <f aca="false">IF(A167="","",A167&amp;"_DWG.pdf")</f>
        <v/>
      </c>
      <c r="AQ167" s="10" t="str">
        <f aca="false">IF(A167="","",IF(AM167="Y",A167&amp;"_STAAD.std","n/a"))</f>
        <v/>
      </c>
      <c r="AR167" s="10" t="str">
        <f aca="false">IF(A167="","",A167&amp;"_CALC.xlsx")</f>
        <v/>
      </c>
      <c r="AS167" s="10" t="str">
        <f aca="false">IF(A167="","",A167&amp;"_CALC.pdf")</f>
        <v/>
      </c>
      <c r="AT167" s="9"/>
      <c r="AU167" s="9"/>
      <c r="AV167" s="39"/>
      <c r="AW167" s="39"/>
      <c r="AX167" s="39"/>
      <c r="AY167" s="39"/>
      <c r="AZ167" s="39"/>
      <c r="BA167" s="12" t="str">
        <f aca="false">IF(A167="","",IF(COUNTIF(Rebar_Schedule!$A$5:$A$2004,A167)=0,"",ROUND(SUMIF(Rebar_Schedule!$A$5:$A$2004,A167,Rebar_Schedule!$K$5:$K$2004),1)))</f>
        <v/>
      </c>
      <c r="BB167" s="33" t="str">
        <f aca="false">IF(A167="","",IF(BA167="","No rebar schedule yet",IF(ABS(BA167-N(AW167))/MAX(N(AW167),1)&gt;SG_Criteria!$B$55,"NOTE: register rebar differs from schedule by "&amp;TEXT(ABS(BA167-N(AW167))/MAX(N(AW167),1),"0%"),"OK")))</f>
        <v/>
      </c>
      <c r="BC167" s="33" t="str">
        <f aca="false">IF(D167="","",IF(LEN(IF(AND(D167&lt;&gt;"High Covered Linkway",G167&lt;SG_Criteria!$B$46),"FAIL: headroom below "&amp;SG_Criteria!$B$46&amp;" m. ","")&amp;IF(AND(D167="High Covered Linkway",G167&lt;SG_Criteria!$B$47),"FAIL: high linkway headroom below "&amp;SG_Criteria!$B$47&amp;" m. ","")&amp;IF(F167&lt;SG_Criteria!$B$48,"FAIL: roof width below "&amp;SG_Criteria!$B$48&amp;" m. ",IF(F167&lt;SG_Criteria!$B$49,"NOTE: not for MRT/LRT or high-traffic routes (min "&amp;SG_Criteria!$B$49&amp;" m). ",""))&amp;IF(AND(W167&lt;&gt;"",W167&lt;SG_Criteria!$B$50),"FAIL: wind speed below "&amp;SG_Criteria!$B$50&amp;" m/s. ","")&amp;IF(AND(X167&lt;&gt;"",X167&lt;SG_Criteria!$B$51),"FAIL: roof fixing pull-out below "&amp;SG_Criteria!$B$51&amp;" kN. ","")&amp;IF(AND(Y167&lt;&gt;"",IFERROR(VALUE(MID(Y167,2,2)),0)&lt;SG_Criteria!$B$52),"FAIL: grade below C"&amp;SG_Criteria!$B$52&amp;". ","")&amp;IF(E167="Non-standard (project design)","NOTE: not an SDRE standard, needs LTA acceptance. ",""))=0,"OK",IF(AND(D167&lt;&gt;"High Covered Linkway",G167&lt;SG_Criteria!$B$46),"FAIL: headroom below "&amp;SG_Criteria!$B$46&amp;" m. ","")&amp;IF(AND(D167="High Covered Linkway",G167&lt;SG_Criteria!$B$47),"FAIL: high linkway headroom below "&amp;SG_Criteria!$B$47&amp;" m. ","")&amp;IF(F167&lt;SG_Criteria!$B$48,"FAIL: roof width below "&amp;SG_Criteria!$B$48&amp;" m. ",IF(F167&lt;SG_Criteria!$B$49,"NOTE: not for MRT/LRT or high-traffic routes (min "&amp;SG_Criteria!$B$49&amp;" m). ",""))&amp;IF(AND(W167&lt;&gt;"",W167&lt;SG_Criteria!$B$50),"FAIL: wind speed below "&amp;SG_Criteria!$B$50&amp;" m/s. ","")&amp;IF(AND(X167&lt;&gt;"",X167&lt;SG_Criteria!$B$51),"FAIL: roof fixing pull-out below "&amp;SG_Criteria!$B$51&amp;" kN. ","")&amp;IF(AND(Y167&lt;&gt;"",IFERROR(VALUE(MID(Y167,2,2)),0)&lt;SG_Criteria!$B$52),"FAIL: grade below C"&amp;SG_Criteria!$B$52&amp;". ","")&amp;IF(E167="Non-standard (project design)","NOTE: not an SDRE standard, needs LTA acceptance. ","")))</f>
        <v/>
      </c>
      <c r="BD167" s="9"/>
      <c r="BE167" s="9"/>
      <c r="BF167" s="9"/>
      <c r="BG167" s="10" t="str">
        <f aca="false">IF(BF167="","",IFERROR(VLOOKUP(BF167,Projects!$A$5:$D$504,2,0),"Ref not in Projects"))</f>
        <v/>
      </c>
      <c r="BH167" s="10" t="str">
        <f aca="false">IF(BF167="","",IFERROR(VLOOKUP(BF167,Projects!$A$5:$D$504,4,0),"Ref not in Projects"))</f>
        <v/>
      </c>
      <c r="BI167" s="9"/>
      <c r="BJ167" s="9"/>
      <c r="BK167" s="9"/>
      <c r="BL167" s="40"/>
      <c r="BM167" s="9"/>
      <c r="BN167" s="40"/>
      <c r="BO167" s="9"/>
      <c r="BP167" s="40"/>
      <c r="BQ167" s="9"/>
      <c r="BR167" s="9"/>
      <c r="BS167" s="9"/>
      <c r="BT167" s="40"/>
      <c r="BU167" s="40"/>
      <c r="BV167" s="36" t="str">
        <f aca="false">IF(BU167="","",EDATE(BU167,SG_Criteria!$B$54*12))</f>
        <v/>
      </c>
      <c r="BW167" s="33" t="str">
        <f aca="true">IF(A167="","",IF(BU167="","NOTE: not reviewed yet",IF(TODAY()&gt;BV167,"NOTE: review overdue","OK")))</f>
        <v/>
      </c>
      <c r="BX167" s="37" t="str">
        <f aca="false">IF(A167="","",ROUND((IF(LEN(D167)&gt;0,1,0)+IF(LEN(E167)&gt;0,1,0)+IF(LEN(F167)&gt;0,1,0)+IF(LEN(G167)&gt;0,1,0)+IF(LEN(H167)&gt;0,1,0)+IF(LEN(I167)&gt;0,1,0)+IF(LEN(J167)&gt;0,1,0)+IF(LEN(K167)&gt;0,1,0)+IF(LEN(N167)&gt;0,1,0)+IF(LEN(O167)&gt;0,1,0)+IF(LEN(W167)&gt;0,1,0)+IF(LEN(X167)&gt;0,1,0)+IF(LEN(Y167)&gt;0,1,0)+IF(LEN(AG167)&gt;0,1,0)+IF(LEN(AI167)&gt;0,1,0)+IF(LEN(AJ167)&gt;0,1,0)+IF(LEN(AK167)&gt;0,1,0)+IF(LEN(AL167)&gt;0,1,0)+IF(LEN(AU167)&gt;0,1,0)+IF(LEN(BF167)&gt;0,1,0)+IF(LEN(BS167)&gt;0,1,0))/21,2))</f>
        <v/>
      </c>
      <c r="BY167" s="10" t="str">
        <f aca="false">IF(D167="","",IF(AND(AJ167="Approved",ISERROR(SEARCH("FAIL",BC167))),"Y","N"))</f>
        <v/>
      </c>
      <c r="BZ167" s="10" t="str">
        <f aca="false">IF(D167="","",D167&amp;"|"&amp;F167&amp;"|"&amp;G167&amp;"|"&amp;BY167)</f>
        <v/>
      </c>
    </row>
    <row r="168" customFormat="false" ht="15" hidden="false" customHeight="false" outlineLevel="0" collapsed="false">
      <c r="A168" s="10" t="str">
        <f aca="false">IF(D168="","","LKW-"&amp;IFERROR(VLOOKUP(D168,Lists!$AQ$4:$AR$17,2,0),"??")&amp;"-W"&amp;TEXT(F168*1000,"0000")&amp;"-H"&amp;TEXT(G168*1000,"0000")&amp;"-B"&amp;TEXT(H168*1000,"0000")&amp;"-"&amp;AI168)</f>
        <v/>
      </c>
      <c r="B168" s="10" t="str">
        <f aca="false">IF(D168="","",D168&amp;", "&amp;F168&amp;" m wide, "&amp;G168&amp;" m headroom, "&amp;H168&amp;" m bays, "&amp;I168&amp;" ("&amp;E168&amp;")")</f>
        <v/>
      </c>
      <c r="C168" s="9"/>
      <c r="D168" s="9"/>
      <c r="E168" s="9"/>
      <c r="F168" s="42"/>
      <c r="G168" s="42"/>
      <c r="H168" s="42"/>
      <c r="I168" s="9"/>
      <c r="J168" s="9"/>
      <c r="K168" s="9"/>
      <c r="L168" s="9"/>
      <c r="M168" s="9"/>
      <c r="N168" s="9"/>
      <c r="O168" s="9"/>
      <c r="P168" s="9"/>
      <c r="Q168" s="9"/>
      <c r="R168" s="9"/>
      <c r="S168" s="42"/>
      <c r="T168" s="9"/>
      <c r="U168" s="9"/>
      <c r="V168" s="9"/>
      <c r="W168" s="38"/>
      <c r="X168" s="42"/>
      <c r="Y168" s="9"/>
      <c r="Z168" s="9"/>
      <c r="AA168" s="9"/>
      <c r="AB168" s="42"/>
      <c r="AC168" s="9"/>
      <c r="AD168" s="38"/>
      <c r="AE168" s="9"/>
      <c r="AF168" s="39"/>
      <c r="AG168" s="9"/>
      <c r="AH168" s="9"/>
      <c r="AI168" s="9"/>
      <c r="AJ168" s="9"/>
      <c r="AK168" s="9"/>
      <c r="AL168" s="9"/>
      <c r="AM168" s="9"/>
      <c r="AN168" s="10" t="str">
        <f aca="false">IF(A168="","",SG_Criteria!$B$6&amp;SG_Criteria!$B$12&amp;"\"&amp;A168&amp;"\")</f>
        <v/>
      </c>
      <c r="AO168" s="10" t="str">
        <f aca="false">IF(A168="","",A168&amp;"_CAD.dwg")</f>
        <v/>
      </c>
      <c r="AP168" s="10" t="str">
        <f aca="false">IF(A168="","",A168&amp;"_DWG.pdf")</f>
        <v/>
      </c>
      <c r="AQ168" s="10" t="str">
        <f aca="false">IF(A168="","",IF(AM168="Y",A168&amp;"_STAAD.std","n/a"))</f>
        <v/>
      </c>
      <c r="AR168" s="10" t="str">
        <f aca="false">IF(A168="","",A168&amp;"_CALC.xlsx")</f>
        <v/>
      </c>
      <c r="AS168" s="10" t="str">
        <f aca="false">IF(A168="","",A168&amp;"_CALC.pdf")</f>
        <v/>
      </c>
      <c r="AT168" s="9"/>
      <c r="AU168" s="9"/>
      <c r="AV168" s="39"/>
      <c r="AW168" s="39"/>
      <c r="AX168" s="39"/>
      <c r="AY168" s="39"/>
      <c r="AZ168" s="39"/>
      <c r="BA168" s="12" t="str">
        <f aca="false">IF(A168="","",IF(COUNTIF(Rebar_Schedule!$A$5:$A$2004,A168)=0,"",ROUND(SUMIF(Rebar_Schedule!$A$5:$A$2004,A168,Rebar_Schedule!$K$5:$K$2004),1)))</f>
        <v/>
      </c>
      <c r="BB168" s="33" t="str">
        <f aca="false">IF(A168="","",IF(BA168="","No rebar schedule yet",IF(ABS(BA168-N(AW168))/MAX(N(AW168),1)&gt;SG_Criteria!$B$55,"NOTE: register rebar differs from schedule by "&amp;TEXT(ABS(BA168-N(AW168))/MAX(N(AW168),1),"0%"),"OK")))</f>
        <v/>
      </c>
      <c r="BC168" s="33" t="str">
        <f aca="false">IF(D168="","",IF(LEN(IF(AND(D168&lt;&gt;"High Covered Linkway",G168&lt;SG_Criteria!$B$46),"FAIL: headroom below "&amp;SG_Criteria!$B$46&amp;" m. ","")&amp;IF(AND(D168="High Covered Linkway",G168&lt;SG_Criteria!$B$47),"FAIL: high linkway headroom below "&amp;SG_Criteria!$B$47&amp;" m. ","")&amp;IF(F168&lt;SG_Criteria!$B$48,"FAIL: roof width below "&amp;SG_Criteria!$B$48&amp;" m. ",IF(F168&lt;SG_Criteria!$B$49,"NOTE: not for MRT/LRT or high-traffic routes (min "&amp;SG_Criteria!$B$49&amp;" m). ",""))&amp;IF(AND(W168&lt;&gt;"",W168&lt;SG_Criteria!$B$50),"FAIL: wind speed below "&amp;SG_Criteria!$B$50&amp;" m/s. ","")&amp;IF(AND(X168&lt;&gt;"",X168&lt;SG_Criteria!$B$51),"FAIL: roof fixing pull-out below "&amp;SG_Criteria!$B$51&amp;" kN. ","")&amp;IF(AND(Y168&lt;&gt;"",IFERROR(VALUE(MID(Y168,2,2)),0)&lt;SG_Criteria!$B$52),"FAIL: grade below C"&amp;SG_Criteria!$B$52&amp;". ","")&amp;IF(E168="Non-standard (project design)","NOTE: not an SDRE standard, needs LTA acceptance. ",""))=0,"OK",IF(AND(D168&lt;&gt;"High Covered Linkway",G168&lt;SG_Criteria!$B$46),"FAIL: headroom below "&amp;SG_Criteria!$B$46&amp;" m. ","")&amp;IF(AND(D168="High Covered Linkway",G168&lt;SG_Criteria!$B$47),"FAIL: high linkway headroom below "&amp;SG_Criteria!$B$47&amp;" m. ","")&amp;IF(F168&lt;SG_Criteria!$B$48,"FAIL: roof width below "&amp;SG_Criteria!$B$48&amp;" m. ",IF(F168&lt;SG_Criteria!$B$49,"NOTE: not for MRT/LRT or high-traffic routes (min "&amp;SG_Criteria!$B$49&amp;" m). ",""))&amp;IF(AND(W168&lt;&gt;"",W168&lt;SG_Criteria!$B$50),"FAIL: wind speed below "&amp;SG_Criteria!$B$50&amp;" m/s. ","")&amp;IF(AND(X168&lt;&gt;"",X168&lt;SG_Criteria!$B$51),"FAIL: roof fixing pull-out below "&amp;SG_Criteria!$B$51&amp;" kN. ","")&amp;IF(AND(Y168&lt;&gt;"",IFERROR(VALUE(MID(Y168,2,2)),0)&lt;SG_Criteria!$B$52),"FAIL: grade below C"&amp;SG_Criteria!$B$52&amp;". ","")&amp;IF(E168="Non-standard (project design)","NOTE: not an SDRE standard, needs LTA acceptance. ","")))</f>
        <v/>
      </c>
      <c r="BD168" s="9"/>
      <c r="BE168" s="9"/>
      <c r="BF168" s="9"/>
      <c r="BG168" s="10" t="str">
        <f aca="false">IF(BF168="","",IFERROR(VLOOKUP(BF168,Projects!$A$5:$D$504,2,0),"Ref not in Projects"))</f>
        <v/>
      </c>
      <c r="BH168" s="10" t="str">
        <f aca="false">IF(BF168="","",IFERROR(VLOOKUP(BF168,Projects!$A$5:$D$504,4,0),"Ref not in Projects"))</f>
        <v/>
      </c>
      <c r="BI168" s="9"/>
      <c r="BJ168" s="9"/>
      <c r="BK168" s="9"/>
      <c r="BL168" s="40"/>
      <c r="BM168" s="9"/>
      <c r="BN168" s="40"/>
      <c r="BO168" s="9"/>
      <c r="BP168" s="40"/>
      <c r="BQ168" s="9"/>
      <c r="BR168" s="9"/>
      <c r="BS168" s="9"/>
      <c r="BT168" s="40"/>
      <c r="BU168" s="40"/>
      <c r="BV168" s="36" t="str">
        <f aca="false">IF(BU168="","",EDATE(BU168,SG_Criteria!$B$54*12))</f>
        <v/>
      </c>
      <c r="BW168" s="33" t="str">
        <f aca="true">IF(A168="","",IF(BU168="","NOTE: not reviewed yet",IF(TODAY()&gt;BV168,"NOTE: review overdue","OK")))</f>
        <v/>
      </c>
      <c r="BX168" s="37" t="str">
        <f aca="false">IF(A168="","",ROUND((IF(LEN(D168)&gt;0,1,0)+IF(LEN(E168)&gt;0,1,0)+IF(LEN(F168)&gt;0,1,0)+IF(LEN(G168)&gt;0,1,0)+IF(LEN(H168)&gt;0,1,0)+IF(LEN(I168)&gt;0,1,0)+IF(LEN(J168)&gt;0,1,0)+IF(LEN(K168)&gt;0,1,0)+IF(LEN(N168)&gt;0,1,0)+IF(LEN(O168)&gt;0,1,0)+IF(LEN(W168)&gt;0,1,0)+IF(LEN(X168)&gt;0,1,0)+IF(LEN(Y168)&gt;0,1,0)+IF(LEN(AG168)&gt;0,1,0)+IF(LEN(AI168)&gt;0,1,0)+IF(LEN(AJ168)&gt;0,1,0)+IF(LEN(AK168)&gt;0,1,0)+IF(LEN(AL168)&gt;0,1,0)+IF(LEN(AU168)&gt;0,1,0)+IF(LEN(BF168)&gt;0,1,0)+IF(LEN(BS168)&gt;0,1,0))/21,2))</f>
        <v/>
      </c>
      <c r="BY168" s="10" t="str">
        <f aca="false">IF(D168="","",IF(AND(AJ168="Approved",ISERROR(SEARCH("FAIL",BC168))),"Y","N"))</f>
        <v/>
      </c>
      <c r="BZ168" s="10" t="str">
        <f aca="false">IF(D168="","",D168&amp;"|"&amp;F168&amp;"|"&amp;G168&amp;"|"&amp;BY168)</f>
        <v/>
      </c>
    </row>
    <row r="169" customFormat="false" ht="15" hidden="false" customHeight="false" outlineLevel="0" collapsed="false">
      <c r="A169" s="10" t="str">
        <f aca="false">IF(D169="","","LKW-"&amp;IFERROR(VLOOKUP(D169,Lists!$AQ$4:$AR$17,2,0),"??")&amp;"-W"&amp;TEXT(F169*1000,"0000")&amp;"-H"&amp;TEXT(G169*1000,"0000")&amp;"-B"&amp;TEXT(H169*1000,"0000")&amp;"-"&amp;AI169)</f>
        <v/>
      </c>
      <c r="B169" s="10" t="str">
        <f aca="false">IF(D169="","",D169&amp;", "&amp;F169&amp;" m wide, "&amp;G169&amp;" m headroom, "&amp;H169&amp;" m bays, "&amp;I169&amp;" ("&amp;E169&amp;")")</f>
        <v/>
      </c>
      <c r="C169" s="9"/>
      <c r="D169" s="9"/>
      <c r="E169" s="9"/>
      <c r="F169" s="42"/>
      <c r="G169" s="42"/>
      <c r="H169" s="42"/>
      <c r="I169" s="9"/>
      <c r="J169" s="9"/>
      <c r="K169" s="9"/>
      <c r="L169" s="9"/>
      <c r="M169" s="9"/>
      <c r="N169" s="9"/>
      <c r="O169" s="9"/>
      <c r="P169" s="9"/>
      <c r="Q169" s="9"/>
      <c r="R169" s="9"/>
      <c r="S169" s="42"/>
      <c r="T169" s="9"/>
      <c r="U169" s="9"/>
      <c r="V169" s="9"/>
      <c r="W169" s="38"/>
      <c r="X169" s="42"/>
      <c r="Y169" s="9"/>
      <c r="Z169" s="9"/>
      <c r="AA169" s="9"/>
      <c r="AB169" s="42"/>
      <c r="AC169" s="9"/>
      <c r="AD169" s="38"/>
      <c r="AE169" s="9"/>
      <c r="AF169" s="39"/>
      <c r="AG169" s="9"/>
      <c r="AH169" s="9"/>
      <c r="AI169" s="9"/>
      <c r="AJ169" s="9"/>
      <c r="AK169" s="9"/>
      <c r="AL169" s="9"/>
      <c r="AM169" s="9"/>
      <c r="AN169" s="10" t="str">
        <f aca="false">IF(A169="","",SG_Criteria!$B$6&amp;SG_Criteria!$B$12&amp;"\"&amp;A169&amp;"\")</f>
        <v/>
      </c>
      <c r="AO169" s="10" t="str">
        <f aca="false">IF(A169="","",A169&amp;"_CAD.dwg")</f>
        <v/>
      </c>
      <c r="AP169" s="10" t="str">
        <f aca="false">IF(A169="","",A169&amp;"_DWG.pdf")</f>
        <v/>
      </c>
      <c r="AQ169" s="10" t="str">
        <f aca="false">IF(A169="","",IF(AM169="Y",A169&amp;"_STAAD.std","n/a"))</f>
        <v/>
      </c>
      <c r="AR169" s="10" t="str">
        <f aca="false">IF(A169="","",A169&amp;"_CALC.xlsx")</f>
        <v/>
      </c>
      <c r="AS169" s="10" t="str">
        <f aca="false">IF(A169="","",A169&amp;"_CALC.pdf")</f>
        <v/>
      </c>
      <c r="AT169" s="9"/>
      <c r="AU169" s="9"/>
      <c r="AV169" s="39"/>
      <c r="AW169" s="39"/>
      <c r="AX169" s="39"/>
      <c r="AY169" s="39"/>
      <c r="AZ169" s="39"/>
      <c r="BA169" s="12" t="str">
        <f aca="false">IF(A169="","",IF(COUNTIF(Rebar_Schedule!$A$5:$A$2004,A169)=0,"",ROUND(SUMIF(Rebar_Schedule!$A$5:$A$2004,A169,Rebar_Schedule!$K$5:$K$2004),1)))</f>
        <v/>
      </c>
      <c r="BB169" s="33" t="str">
        <f aca="false">IF(A169="","",IF(BA169="","No rebar schedule yet",IF(ABS(BA169-N(AW169))/MAX(N(AW169),1)&gt;SG_Criteria!$B$55,"NOTE: register rebar differs from schedule by "&amp;TEXT(ABS(BA169-N(AW169))/MAX(N(AW169),1),"0%"),"OK")))</f>
        <v/>
      </c>
      <c r="BC169" s="33" t="str">
        <f aca="false">IF(D169="","",IF(LEN(IF(AND(D169&lt;&gt;"High Covered Linkway",G169&lt;SG_Criteria!$B$46),"FAIL: headroom below "&amp;SG_Criteria!$B$46&amp;" m. ","")&amp;IF(AND(D169="High Covered Linkway",G169&lt;SG_Criteria!$B$47),"FAIL: high linkway headroom below "&amp;SG_Criteria!$B$47&amp;" m. ","")&amp;IF(F169&lt;SG_Criteria!$B$48,"FAIL: roof width below "&amp;SG_Criteria!$B$48&amp;" m. ",IF(F169&lt;SG_Criteria!$B$49,"NOTE: not for MRT/LRT or high-traffic routes (min "&amp;SG_Criteria!$B$49&amp;" m). ",""))&amp;IF(AND(W169&lt;&gt;"",W169&lt;SG_Criteria!$B$50),"FAIL: wind speed below "&amp;SG_Criteria!$B$50&amp;" m/s. ","")&amp;IF(AND(X169&lt;&gt;"",X169&lt;SG_Criteria!$B$51),"FAIL: roof fixing pull-out below "&amp;SG_Criteria!$B$51&amp;" kN. ","")&amp;IF(AND(Y169&lt;&gt;"",IFERROR(VALUE(MID(Y169,2,2)),0)&lt;SG_Criteria!$B$52),"FAIL: grade below C"&amp;SG_Criteria!$B$52&amp;". ","")&amp;IF(E169="Non-standard (project design)","NOTE: not an SDRE standard, needs LTA acceptance. ",""))=0,"OK",IF(AND(D169&lt;&gt;"High Covered Linkway",G169&lt;SG_Criteria!$B$46),"FAIL: headroom below "&amp;SG_Criteria!$B$46&amp;" m. ","")&amp;IF(AND(D169="High Covered Linkway",G169&lt;SG_Criteria!$B$47),"FAIL: high linkway headroom below "&amp;SG_Criteria!$B$47&amp;" m. ","")&amp;IF(F169&lt;SG_Criteria!$B$48,"FAIL: roof width below "&amp;SG_Criteria!$B$48&amp;" m. ",IF(F169&lt;SG_Criteria!$B$49,"NOTE: not for MRT/LRT or high-traffic routes (min "&amp;SG_Criteria!$B$49&amp;" m). ",""))&amp;IF(AND(W169&lt;&gt;"",W169&lt;SG_Criteria!$B$50),"FAIL: wind speed below "&amp;SG_Criteria!$B$50&amp;" m/s. ","")&amp;IF(AND(X169&lt;&gt;"",X169&lt;SG_Criteria!$B$51),"FAIL: roof fixing pull-out below "&amp;SG_Criteria!$B$51&amp;" kN. ","")&amp;IF(AND(Y169&lt;&gt;"",IFERROR(VALUE(MID(Y169,2,2)),0)&lt;SG_Criteria!$B$52),"FAIL: grade below C"&amp;SG_Criteria!$B$52&amp;". ","")&amp;IF(E169="Non-standard (project design)","NOTE: not an SDRE standard, needs LTA acceptance. ","")))</f>
        <v/>
      </c>
      <c r="BD169" s="9"/>
      <c r="BE169" s="9"/>
      <c r="BF169" s="9"/>
      <c r="BG169" s="10" t="str">
        <f aca="false">IF(BF169="","",IFERROR(VLOOKUP(BF169,Projects!$A$5:$D$504,2,0),"Ref not in Projects"))</f>
        <v/>
      </c>
      <c r="BH169" s="10" t="str">
        <f aca="false">IF(BF169="","",IFERROR(VLOOKUP(BF169,Projects!$A$5:$D$504,4,0),"Ref not in Projects"))</f>
        <v/>
      </c>
      <c r="BI169" s="9"/>
      <c r="BJ169" s="9"/>
      <c r="BK169" s="9"/>
      <c r="BL169" s="40"/>
      <c r="BM169" s="9"/>
      <c r="BN169" s="40"/>
      <c r="BO169" s="9"/>
      <c r="BP169" s="40"/>
      <c r="BQ169" s="9"/>
      <c r="BR169" s="9"/>
      <c r="BS169" s="9"/>
      <c r="BT169" s="40"/>
      <c r="BU169" s="40"/>
      <c r="BV169" s="36" t="str">
        <f aca="false">IF(BU169="","",EDATE(BU169,SG_Criteria!$B$54*12))</f>
        <v/>
      </c>
      <c r="BW169" s="33" t="str">
        <f aca="true">IF(A169="","",IF(BU169="","NOTE: not reviewed yet",IF(TODAY()&gt;BV169,"NOTE: review overdue","OK")))</f>
        <v/>
      </c>
      <c r="BX169" s="37" t="str">
        <f aca="false">IF(A169="","",ROUND((IF(LEN(D169)&gt;0,1,0)+IF(LEN(E169)&gt;0,1,0)+IF(LEN(F169)&gt;0,1,0)+IF(LEN(G169)&gt;0,1,0)+IF(LEN(H169)&gt;0,1,0)+IF(LEN(I169)&gt;0,1,0)+IF(LEN(J169)&gt;0,1,0)+IF(LEN(K169)&gt;0,1,0)+IF(LEN(N169)&gt;0,1,0)+IF(LEN(O169)&gt;0,1,0)+IF(LEN(W169)&gt;0,1,0)+IF(LEN(X169)&gt;0,1,0)+IF(LEN(Y169)&gt;0,1,0)+IF(LEN(AG169)&gt;0,1,0)+IF(LEN(AI169)&gt;0,1,0)+IF(LEN(AJ169)&gt;0,1,0)+IF(LEN(AK169)&gt;0,1,0)+IF(LEN(AL169)&gt;0,1,0)+IF(LEN(AU169)&gt;0,1,0)+IF(LEN(BF169)&gt;0,1,0)+IF(LEN(BS169)&gt;0,1,0))/21,2))</f>
        <v/>
      </c>
      <c r="BY169" s="10" t="str">
        <f aca="false">IF(D169="","",IF(AND(AJ169="Approved",ISERROR(SEARCH("FAIL",BC169))),"Y","N"))</f>
        <v/>
      </c>
      <c r="BZ169" s="10" t="str">
        <f aca="false">IF(D169="","",D169&amp;"|"&amp;F169&amp;"|"&amp;G169&amp;"|"&amp;BY169)</f>
        <v/>
      </c>
    </row>
    <row r="170" customFormat="false" ht="15" hidden="false" customHeight="false" outlineLevel="0" collapsed="false">
      <c r="A170" s="10" t="str">
        <f aca="false">IF(D170="","","LKW-"&amp;IFERROR(VLOOKUP(D170,Lists!$AQ$4:$AR$17,2,0),"??")&amp;"-W"&amp;TEXT(F170*1000,"0000")&amp;"-H"&amp;TEXT(G170*1000,"0000")&amp;"-B"&amp;TEXT(H170*1000,"0000")&amp;"-"&amp;AI170)</f>
        <v/>
      </c>
      <c r="B170" s="10" t="str">
        <f aca="false">IF(D170="","",D170&amp;", "&amp;F170&amp;" m wide, "&amp;G170&amp;" m headroom, "&amp;H170&amp;" m bays, "&amp;I170&amp;" ("&amp;E170&amp;")")</f>
        <v/>
      </c>
      <c r="C170" s="9"/>
      <c r="D170" s="9"/>
      <c r="E170" s="9"/>
      <c r="F170" s="42"/>
      <c r="G170" s="42"/>
      <c r="H170" s="42"/>
      <c r="I170" s="9"/>
      <c r="J170" s="9"/>
      <c r="K170" s="9"/>
      <c r="L170" s="9"/>
      <c r="M170" s="9"/>
      <c r="N170" s="9"/>
      <c r="O170" s="9"/>
      <c r="P170" s="9"/>
      <c r="Q170" s="9"/>
      <c r="R170" s="9"/>
      <c r="S170" s="42"/>
      <c r="T170" s="9"/>
      <c r="U170" s="9"/>
      <c r="V170" s="9"/>
      <c r="W170" s="38"/>
      <c r="X170" s="42"/>
      <c r="Y170" s="9"/>
      <c r="Z170" s="9"/>
      <c r="AA170" s="9"/>
      <c r="AB170" s="42"/>
      <c r="AC170" s="9"/>
      <c r="AD170" s="38"/>
      <c r="AE170" s="9"/>
      <c r="AF170" s="39"/>
      <c r="AG170" s="9"/>
      <c r="AH170" s="9"/>
      <c r="AI170" s="9"/>
      <c r="AJ170" s="9"/>
      <c r="AK170" s="9"/>
      <c r="AL170" s="9"/>
      <c r="AM170" s="9"/>
      <c r="AN170" s="10" t="str">
        <f aca="false">IF(A170="","",SG_Criteria!$B$6&amp;SG_Criteria!$B$12&amp;"\"&amp;A170&amp;"\")</f>
        <v/>
      </c>
      <c r="AO170" s="10" t="str">
        <f aca="false">IF(A170="","",A170&amp;"_CAD.dwg")</f>
        <v/>
      </c>
      <c r="AP170" s="10" t="str">
        <f aca="false">IF(A170="","",A170&amp;"_DWG.pdf")</f>
        <v/>
      </c>
      <c r="AQ170" s="10" t="str">
        <f aca="false">IF(A170="","",IF(AM170="Y",A170&amp;"_STAAD.std","n/a"))</f>
        <v/>
      </c>
      <c r="AR170" s="10" t="str">
        <f aca="false">IF(A170="","",A170&amp;"_CALC.xlsx")</f>
        <v/>
      </c>
      <c r="AS170" s="10" t="str">
        <f aca="false">IF(A170="","",A170&amp;"_CALC.pdf")</f>
        <v/>
      </c>
      <c r="AT170" s="9"/>
      <c r="AU170" s="9"/>
      <c r="AV170" s="39"/>
      <c r="AW170" s="39"/>
      <c r="AX170" s="39"/>
      <c r="AY170" s="39"/>
      <c r="AZ170" s="39"/>
      <c r="BA170" s="12" t="str">
        <f aca="false">IF(A170="","",IF(COUNTIF(Rebar_Schedule!$A$5:$A$2004,A170)=0,"",ROUND(SUMIF(Rebar_Schedule!$A$5:$A$2004,A170,Rebar_Schedule!$K$5:$K$2004),1)))</f>
        <v/>
      </c>
      <c r="BB170" s="33" t="str">
        <f aca="false">IF(A170="","",IF(BA170="","No rebar schedule yet",IF(ABS(BA170-N(AW170))/MAX(N(AW170),1)&gt;SG_Criteria!$B$55,"NOTE: register rebar differs from schedule by "&amp;TEXT(ABS(BA170-N(AW170))/MAX(N(AW170),1),"0%"),"OK")))</f>
        <v/>
      </c>
      <c r="BC170" s="33" t="str">
        <f aca="false">IF(D170="","",IF(LEN(IF(AND(D170&lt;&gt;"High Covered Linkway",G170&lt;SG_Criteria!$B$46),"FAIL: headroom below "&amp;SG_Criteria!$B$46&amp;" m. ","")&amp;IF(AND(D170="High Covered Linkway",G170&lt;SG_Criteria!$B$47),"FAIL: high linkway headroom below "&amp;SG_Criteria!$B$47&amp;" m. ","")&amp;IF(F170&lt;SG_Criteria!$B$48,"FAIL: roof width below "&amp;SG_Criteria!$B$48&amp;" m. ",IF(F170&lt;SG_Criteria!$B$49,"NOTE: not for MRT/LRT or high-traffic routes (min "&amp;SG_Criteria!$B$49&amp;" m). ",""))&amp;IF(AND(W170&lt;&gt;"",W170&lt;SG_Criteria!$B$50),"FAIL: wind speed below "&amp;SG_Criteria!$B$50&amp;" m/s. ","")&amp;IF(AND(X170&lt;&gt;"",X170&lt;SG_Criteria!$B$51),"FAIL: roof fixing pull-out below "&amp;SG_Criteria!$B$51&amp;" kN. ","")&amp;IF(AND(Y170&lt;&gt;"",IFERROR(VALUE(MID(Y170,2,2)),0)&lt;SG_Criteria!$B$52),"FAIL: grade below C"&amp;SG_Criteria!$B$52&amp;". ","")&amp;IF(E170="Non-standard (project design)","NOTE: not an SDRE standard, needs LTA acceptance. ",""))=0,"OK",IF(AND(D170&lt;&gt;"High Covered Linkway",G170&lt;SG_Criteria!$B$46),"FAIL: headroom below "&amp;SG_Criteria!$B$46&amp;" m. ","")&amp;IF(AND(D170="High Covered Linkway",G170&lt;SG_Criteria!$B$47),"FAIL: high linkway headroom below "&amp;SG_Criteria!$B$47&amp;" m. ","")&amp;IF(F170&lt;SG_Criteria!$B$48,"FAIL: roof width below "&amp;SG_Criteria!$B$48&amp;" m. ",IF(F170&lt;SG_Criteria!$B$49,"NOTE: not for MRT/LRT or high-traffic routes (min "&amp;SG_Criteria!$B$49&amp;" m). ",""))&amp;IF(AND(W170&lt;&gt;"",W170&lt;SG_Criteria!$B$50),"FAIL: wind speed below "&amp;SG_Criteria!$B$50&amp;" m/s. ","")&amp;IF(AND(X170&lt;&gt;"",X170&lt;SG_Criteria!$B$51),"FAIL: roof fixing pull-out below "&amp;SG_Criteria!$B$51&amp;" kN. ","")&amp;IF(AND(Y170&lt;&gt;"",IFERROR(VALUE(MID(Y170,2,2)),0)&lt;SG_Criteria!$B$52),"FAIL: grade below C"&amp;SG_Criteria!$B$52&amp;". ","")&amp;IF(E170="Non-standard (project design)","NOTE: not an SDRE standard, needs LTA acceptance. ","")))</f>
        <v/>
      </c>
      <c r="BD170" s="9"/>
      <c r="BE170" s="9"/>
      <c r="BF170" s="9"/>
      <c r="BG170" s="10" t="str">
        <f aca="false">IF(BF170="","",IFERROR(VLOOKUP(BF170,Projects!$A$5:$D$504,2,0),"Ref not in Projects"))</f>
        <v/>
      </c>
      <c r="BH170" s="10" t="str">
        <f aca="false">IF(BF170="","",IFERROR(VLOOKUP(BF170,Projects!$A$5:$D$504,4,0),"Ref not in Projects"))</f>
        <v/>
      </c>
      <c r="BI170" s="9"/>
      <c r="BJ170" s="9"/>
      <c r="BK170" s="9"/>
      <c r="BL170" s="40"/>
      <c r="BM170" s="9"/>
      <c r="BN170" s="40"/>
      <c r="BO170" s="9"/>
      <c r="BP170" s="40"/>
      <c r="BQ170" s="9"/>
      <c r="BR170" s="9"/>
      <c r="BS170" s="9"/>
      <c r="BT170" s="40"/>
      <c r="BU170" s="40"/>
      <c r="BV170" s="36" t="str">
        <f aca="false">IF(BU170="","",EDATE(BU170,SG_Criteria!$B$54*12))</f>
        <v/>
      </c>
      <c r="BW170" s="33" t="str">
        <f aca="true">IF(A170="","",IF(BU170="","NOTE: not reviewed yet",IF(TODAY()&gt;BV170,"NOTE: review overdue","OK")))</f>
        <v/>
      </c>
      <c r="BX170" s="37" t="str">
        <f aca="false">IF(A170="","",ROUND((IF(LEN(D170)&gt;0,1,0)+IF(LEN(E170)&gt;0,1,0)+IF(LEN(F170)&gt;0,1,0)+IF(LEN(G170)&gt;0,1,0)+IF(LEN(H170)&gt;0,1,0)+IF(LEN(I170)&gt;0,1,0)+IF(LEN(J170)&gt;0,1,0)+IF(LEN(K170)&gt;0,1,0)+IF(LEN(N170)&gt;0,1,0)+IF(LEN(O170)&gt;0,1,0)+IF(LEN(W170)&gt;0,1,0)+IF(LEN(X170)&gt;0,1,0)+IF(LEN(Y170)&gt;0,1,0)+IF(LEN(AG170)&gt;0,1,0)+IF(LEN(AI170)&gt;0,1,0)+IF(LEN(AJ170)&gt;0,1,0)+IF(LEN(AK170)&gt;0,1,0)+IF(LEN(AL170)&gt;0,1,0)+IF(LEN(AU170)&gt;0,1,0)+IF(LEN(BF170)&gt;0,1,0)+IF(LEN(BS170)&gt;0,1,0))/21,2))</f>
        <v/>
      </c>
      <c r="BY170" s="10" t="str">
        <f aca="false">IF(D170="","",IF(AND(AJ170="Approved",ISERROR(SEARCH("FAIL",BC170))),"Y","N"))</f>
        <v/>
      </c>
      <c r="BZ170" s="10" t="str">
        <f aca="false">IF(D170="","",D170&amp;"|"&amp;F170&amp;"|"&amp;G170&amp;"|"&amp;BY170)</f>
        <v/>
      </c>
    </row>
    <row r="171" customFormat="false" ht="15" hidden="false" customHeight="false" outlineLevel="0" collapsed="false">
      <c r="A171" s="10" t="str">
        <f aca="false">IF(D171="","","LKW-"&amp;IFERROR(VLOOKUP(D171,Lists!$AQ$4:$AR$17,2,0),"??")&amp;"-W"&amp;TEXT(F171*1000,"0000")&amp;"-H"&amp;TEXT(G171*1000,"0000")&amp;"-B"&amp;TEXT(H171*1000,"0000")&amp;"-"&amp;AI171)</f>
        <v/>
      </c>
      <c r="B171" s="10" t="str">
        <f aca="false">IF(D171="","",D171&amp;", "&amp;F171&amp;" m wide, "&amp;G171&amp;" m headroom, "&amp;H171&amp;" m bays, "&amp;I171&amp;" ("&amp;E171&amp;")")</f>
        <v/>
      </c>
      <c r="C171" s="9"/>
      <c r="D171" s="9"/>
      <c r="E171" s="9"/>
      <c r="F171" s="42"/>
      <c r="G171" s="42"/>
      <c r="H171" s="42"/>
      <c r="I171" s="9"/>
      <c r="J171" s="9"/>
      <c r="K171" s="9"/>
      <c r="L171" s="9"/>
      <c r="M171" s="9"/>
      <c r="N171" s="9"/>
      <c r="O171" s="9"/>
      <c r="P171" s="9"/>
      <c r="Q171" s="9"/>
      <c r="R171" s="9"/>
      <c r="S171" s="42"/>
      <c r="T171" s="9"/>
      <c r="U171" s="9"/>
      <c r="V171" s="9"/>
      <c r="W171" s="38"/>
      <c r="X171" s="42"/>
      <c r="Y171" s="9"/>
      <c r="Z171" s="9"/>
      <c r="AA171" s="9"/>
      <c r="AB171" s="42"/>
      <c r="AC171" s="9"/>
      <c r="AD171" s="38"/>
      <c r="AE171" s="9"/>
      <c r="AF171" s="39"/>
      <c r="AG171" s="9"/>
      <c r="AH171" s="9"/>
      <c r="AI171" s="9"/>
      <c r="AJ171" s="9"/>
      <c r="AK171" s="9"/>
      <c r="AL171" s="9"/>
      <c r="AM171" s="9"/>
      <c r="AN171" s="10" t="str">
        <f aca="false">IF(A171="","",SG_Criteria!$B$6&amp;SG_Criteria!$B$12&amp;"\"&amp;A171&amp;"\")</f>
        <v/>
      </c>
      <c r="AO171" s="10" t="str">
        <f aca="false">IF(A171="","",A171&amp;"_CAD.dwg")</f>
        <v/>
      </c>
      <c r="AP171" s="10" t="str">
        <f aca="false">IF(A171="","",A171&amp;"_DWG.pdf")</f>
        <v/>
      </c>
      <c r="AQ171" s="10" t="str">
        <f aca="false">IF(A171="","",IF(AM171="Y",A171&amp;"_STAAD.std","n/a"))</f>
        <v/>
      </c>
      <c r="AR171" s="10" t="str">
        <f aca="false">IF(A171="","",A171&amp;"_CALC.xlsx")</f>
        <v/>
      </c>
      <c r="AS171" s="10" t="str">
        <f aca="false">IF(A171="","",A171&amp;"_CALC.pdf")</f>
        <v/>
      </c>
      <c r="AT171" s="9"/>
      <c r="AU171" s="9"/>
      <c r="AV171" s="39"/>
      <c r="AW171" s="39"/>
      <c r="AX171" s="39"/>
      <c r="AY171" s="39"/>
      <c r="AZ171" s="39"/>
      <c r="BA171" s="12" t="str">
        <f aca="false">IF(A171="","",IF(COUNTIF(Rebar_Schedule!$A$5:$A$2004,A171)=0,"",ROUND(SUMIF(Rebar_Schedule!$A$5:$A$2004,A171,Rebar_Schedule!$K$5:$K$2004),1)))</f>
        <v/>
      </c>
      <c r="BB171" s="33" t="str">
        <f aca="false">IF(A171="","",IF(BA171="","No rebar schedule yet",IF(ABS(BA171-N(AW171))/MAX(N(AW171),1)&gt;SG_Criteria!$B$55,"NOTE: register rebar differs from schedule by "&amp;TEXT(ABS(BA171-N(AW171))/MAX(N(AW171),1),"0%"),"OK")))</f>
        <v/>
      </c>
      <c r="BC171" s="33" t="str">
        <f aca="false">IF(D171="","",IF(LEN(IF(AND(D171&lt;&gt;"High Covered Linkway",G171&lt;SG_Criteria!$B$46),"FAIL: headroom below "&amp;SG_Criteria!$B$46&amp;" m. ","")&amp;IF(AND(D171="High Covered Linkway",G171&lt;SG_Criteria!$B$47),"FAIL: high linkway headroom below "&amp;SG_Criteria!$B$47&amp;" m. ","")&amp;IF(F171&lt;SG_Criteria!$B$48,"FAIL: roof width below "&amp;SG_Criteria!$B$48&amp;" m. ",IF(F171&lt;SG_Criteria!$B$49,"NOTE: not for MRT/LRT or high-traffic routes (min "&amp;SG_Criteria!$B$49&amp;" m). ",""))&amp;IF(AND(W171&lt;&gt;"",W171&lt;SG_Criteria!$B$50),"FAIL: wind speed below "&amp;SG_Criteria!$B$50&amp;" m/s. ","")&amp;IF(AND(X171&lt;&gt;"",X171&lt;SG_Criteria!$B$51),"FAIL: roof fixing pull-out below "&amp;SG_Criteria!$B$51&amp;" kN. ","")&amp;IF(AND(Y171&lt;&gt;"",IFERROR(VALUE(MID(Y171,2,2)),0)&lt;SG_Criteria!$B$52),"FAIL: grade below C"&amp;SG_Criteria!$B$52&amp;". ","")&amp;IF(E171="Non-standard (project design)","NOTE: not an SDRE standard, needs LTA acceptance. ",""))=0,"OK",IF(AND(D171&lt;&gt;"High Covered Linkway",G171&lt;SG_Criteria!$B$46),"FAIL: headroom below "&amp;SG_Criteria!$B$46&amp;" m. ","")&amp;IF(AND(D171="High Covered Linkway",G171&lt;SG_Criteria!$B$47),"FAIL: high linkway headroom below "&amp;SG_Criteria!$B$47&amp;" m. ","")&amp;IF(F171&lt;SG_Criteria!$B$48,"FAIL: roof width below "&amp;SG_Criteria!$B$48&amp;" m. ",IF(F171&lt;SG_Criteria!$B$49,"NOTE: not for MRT/LRT or high-traffic routes (min "&amp;SG_Criteria!$B$49&amp;" m). ",""))&amp;IF(AND(W171&lt;&gt;"",W171&lt;SG_Criteria!$B$50),"FAIL: wind speed below "&amp;SG_Criteria!$B$50&amp;" m/s. ","")&amp;IF(AND(X171&lt;&gt;"",X171&lt;SG_Criteria!$B$51),"FAIL: roof fixing pull-out below "&amp;SG_Criteria!$B$51&amp;" kN. ","")&amp;IF(AND(Y171&lt;&gt;"",IFERROR(VALUE(MID(Y171,2,2)),0)&lt;SG_Criteria!$B$52),"FAIL: grade below C"&amp;SG_Criteria!$B$52&amp;". ","")&amp;IF(E171="Non-standard (project design)","NOTE: not an SDRE standard, needs LTA acceptance. ","")))</f>
        <v/>
      </c>
      <c r="BD171" s="9"/>
      <c r="BE171" s="9"/>
      <c r="BF171" s="9"/>
      <c r="BG171" s="10" t="str">
        <f aca="false">IF(BF171="","",IFERROR(VLOOKUP(BF171,Projects!$A$5:$D$504,2,0),"Ref not in Projects"))</f>
        <v/>
      </c>
      <c r="BH171" s="10" t="str">
        <f aca="false">IF(BF171="","",IFERROR(VLOOKUP(BF171,Projects!$A$5:$D$504,4,0),"Ref not in Projects"))</f>
        <v/>
      </c>
      <c r="BI171" s="9"/>
      <c r="BJ171" s="9"/>
      <c r="BK171" s="9"/>
      <c r="BL171" s="40"/>
      <c r="BM171" s="9"/>
      <c r="BN171" s="40"/>
      <c r="BO171" s="9"/>
      <c r="BP171" s="40"/>
      <c r="BQ171" s="9"/>
      <c r="BR171" s="9"/>
      <c r="BS171" s="9"/>
      <c r="BT171" s="40"/>
      <c r="BU171" s="40"/>
      <c r="BV171" s="36" t="str">
        <f aca="false">IF(BU171="","",EDATE(BU171,SG_Criteria!$B$54*12))</f>
        <v/>
      </c>
      <c r="BW171" s="33" t="str">
        <f aca="true">IF(A171="","",IF(BU171="","NOTE: not reviewed yet",IF(TODAY()&gt;BV171,"NOTE: review overdue","OK")))</f>
        <v/>
      </c>
      <c r="BX171" s="37" t="str">
        <f aca="false">IF(A171="","",ROUND((IF(LEN(D171)&gt;0,1,0)+IF(LEN(E171)&gt;0,1,0)+IF(LEN(F171)&gt;0,1,0)+IF(LEN(G171)&gt;0,1,0)+IF(LEN(H171)&gt;0,1,0)+IF(LEN(I171)&gt;0,1,0)+IF(LEN(J171)&gt;0,1,0)+IF(LEN(K171)&gt;0,1,0)+IF(LEN(N171)&gt;0,1,0)+IF(LEN(O171)&gt;0,1,0)+IF(LEN(W171)&gt;0,1,0)+IF(LEN(X171)&gt;0,1,0)+IF(LEN(Y171)&gt;0,1,0)+IF(LEN(AG171)&gt;0,1,0)+IF(LEN(AI171)&gt;0,1,0)+IF(LEN(AJ171)&gt;0,1,0)+IF(LEN(AK171)&gt;0,1,0)+IF(LEN(AL171)&gt;0,1,0)+IF(LEN(AU171)&gt;0,1,0)+IF(LEN(BF171)&gt;0,1,0)+IF(LEN(BS171)&gt;0,1,0))/21,2))</f>
        <v/>
      </c>
      <c r="BY171" s="10" t="str">
        <f aca="false">IF(D171="","",IF(AND(AJ171="Approved",ISERROR(SEARCH("FAIL",BC171))),"Y","N"))</f>
        <v/>
      </c>
      <c r="BZ171" s="10" t="str">
        <f aca="false">IF(D171="","",D171&amp;"|"&amp;F171&amp;"|"&amp;G171&amp;"|"&amp;BY171)</f>
        <v/>
      </c>
    </row>
    <row r="172" customFormat="false" ht="15" hidden="false" customHeight="false" outlineLevel="0" collapsed="false">
      <c r="A172" s="10" t="str">
        <f aca="false">IF(D172="","","LKW-"&amp;IFERROR(VLOOKUP(D172,Lists!$AQ$4:$AR$17,2,0),"??")&amp;"-W"&amp;TEXT(F172*1000,"0000")&amp;"-H"&amp;TEXT(G172*1000,"0000")&amp;"-B"&amp;TEXT(H172*1000,"0000")&amp;"-"&amp;AI172)</f>
        <v/>
      </c>
      <c r="B172" s="10" t="str">
        <f aca="false">IF(D172="","",D172&amp;", "&amp;F172&amp;" m wide, "&amp;G172&amp;" m headroom, "&amp;H172&amp;" m bays, "&amp;I172&amp;" ("&amp;E172&amp;")")</f>
        <v/>
      </c>
      <c r="C172" s="9"/>
      <c r="D172" s="9"/>
      <c r="E172" s="9"/>
      <c r="F172" s="42"/>
      <c r="G172" s="42"/>
      <c r="H172" s="42"/>
      <c r="I172" s="9"/>
      <c r="J172" s="9"/>
      <c r="K172" s="9"/>
      <c r="L172" s="9"/>
      <c r="M172" s="9"/>
      <c r="N172" s="9"/>
      <c r="O172" s="9"/>
      <c r="P172" s="9"/>
      <c r="Q172" s="9"/>
      <c r="R172" s="9"/>
      <c r="S172" s="42"/>
      <c r="T172" s="9"/>
      <c r="U172" s="9"/>
      <c r="V172" s="9"/>
      <c r="W172" s="38"/>
      <c r="X172" s="42"/>
      <c r="Y172" s="9"/>
      <c r="Z172" s="9"/>
      <c r="AA172" s="9"/>
      <c r="AB172" s="42"/>
      <c r="AC172" s="9"/>
      <c r="AD172" s="38"/>
      <c r="AE172" s="9"/>
      <c r="AF172" s="39"/>
      <c r="AG172" s="9"/>
      <c r="AH172" s="9"/>
      <c r="AI172" s="9"/>
      <c r="AJ172" s="9"/>
      <c r="AK172" s="9"/>
      <c r="AL172" s="9"/>
      <c r="AM172" s="9"/>
      <c r="AN172" s="10" t="str">
        <f aca="false">IF(A172="","",SG_Criteria!$B$6&amp;SG_Criteria!$B$12&amp;"\"&amp;A172&amp;"\")</f>
        <v/>
      </c>
      <c r="AO172" s="10" t="str">
        <f aca="false">IF(A172="","",A172&amp;"_CAD.dwg")</f>
        <v/>
      </c>
      <c r="AP172" s="10" t="str">
        <f aca="false">IF(A172="","",A172&amp;"_DWG.pdf")</f>
        <v/>
      </c>
      <c r="AQ172" s="10" t="str">
        <f aca="false">IF(A172="","",IF(AM172="Y",A172&amp;"_STAAD.std","n/a"))</f>
        <v/>
      </c>
      <c r="AR172" s="10" t="str">
        <f aca="false">IF(A172="","",A172&amp;"_CALC.xlsx")</f>
        <v/>
      </c>
      <c r="AS172" s="10" t="str">
        <f aca="false">IF(A172="","",A172&amp;"_CALC.pdf")</f>
        <v/>
      </c>
      <c r="AT172" s="9"/>
      <c r="AU172" s="9"/>
      <c r="AV172" s="39"/>
      <c r="AW172" s="39"/>
      <c r="AX172" s="39"/>
      <c r="AY172" s="39"/>
      <c r="AZ172" s="39"/>
      <c r="BA172" s="12" t="str">
        <f aca="false">IF(A172="","",IF(COUNTIF(Rebar_Schedule!$A$5:$A$2004,A172)=0,"",ROUND(SUMIF(Rebar_Schedule!$A$5:$A$2004,A172,Rebar_Schedule!$K$5:$K$2004),1)))</f>
        <v/>
      </c>
      <c r="BB172" s="33" t="str">
        <f aca="false">IF(A172="","",IF(BA172="","No rebar schedule yet",IF(ABS(BA172-N(AW172))/MAX(N(AW172),1)&gt;SG_Criteria!$B$55,"NOTE: register rebar differs from schedule by "&amp;TEXT(ABS(BA172-N(AW172))/MAX(N(AW172),1),"0%"),"OK")))</f>
        <v/>
      </c>
      <c r="BC172" s="33" t="str">
        <f aca="false">IF(D172="","",IF(LEN(IF(AND(D172&lt;&gt;"High Covered Linkway",G172&lt;SG_Criteria!$B$46),"FAIL: headroom below "&amp;SG_Criteria!$B$46&amp;" m. ","")&amp;IF(AND(D172="High Covered Linkway",G172&lt;SG_Criteria!$B$47),"FAIL: high linkway headroom below "&amp;SG_Criteria!$B$47&amp;" m. ","")&amp;IF(F172&lt;SG_Criteria!$B$48,"FAIL: roof width below "&amp;SG_Criteria!$B$48&amp;" m. ",IF(F172&lt;SG_Criteria!$B$49,"NOTE: not for MRT/LRT or high-traffic routes (min "&amp;SG_Criteria!$B$49&amp;" m). ",""))&amp;IF(AND(W172&lt;&gt;"",W172&lt;SG_Criteria!$B$50),"FAIL: wind speed below "&amp;SG_Criteria!$B$50&amp;" m/s. ","")&amp;IF(AND(X172&lt;&gt;"",X172&lt;SG_Criteria!$B$51),"FAIL: roof fixing pull-out below "&amp;SG_Criteria!$B$51&amp;" kN. ","")&amp;IF(AND(Y172&lt;&gt;"",IFERROR(VALUE(MID(Y172,2,2)),0)&lt;SG_Criteria!$B$52),"FAIL: grade below C"&amp;SG_Criteria!$B$52&amp;". ","")&amp;IF(E172="Non-standard (project design)","NOTE: not an SDRE standard, needs LTA acceptance. ",""))=0,"OK",IF(AND(D172&lt;&gt;"High Covered Linkway",G172&lt;SG_Criteria!$B$46),"FAIL: headroom below "&amp;SG_Criteria!$B$46&amp;" m. ","")&amp;IF(AND(D172="High Covered Linkway",G172&lt;SG_Criteria!$B$47),"FAIL: high linkway headroom below "&amp;SG_Criteria!$B$47&amp;" m. ","")&amp;IF(F172&lt;SG_Criteria!$B$48,"FAIL: roof width below "&amp;SG_Criteria!$B$48&amp;" m. ",IF(F172&lt;SG_Criteria!$B$49,"NOTE: not for MRT/LRT or high-traffic routes (min "&amp;SG_Criteria!$B$49&amp;" m). ",""))&amp;IF(AND(W172&lt;&gt;"",W172&lt;SG_Criteria!$B$50),"FAIL: wind speed below "&amp;SG_Criteria!$B$50&amp;" m/s. ","")&amp;IF(AND(X172&lt;&gt;"",X172&lt;SG_Criteria!$B$51),"FAIL: roof fixing pull-out below "&amp;SG_Criteria!$B$51&amp;" kN. ","")&amp;IF(AND(Y172&lt;&gt;"",IFERROR(VALUE(MID(Y172,2,2)),0)&lt;SG_Criteria!$B$52),"FAIL: grade below C"&amp;SG_Criteria!$B$52&amp;". ","")&amp;IF(E172="Non-standard (project design)","NOTE: not an SDRE standard, needs LTA acceptance. ","")))</f>
        <v/>
      </c>
      <c r="BD172" s="9"/>
      <c r="BE172" s="9"/>
      <c r="BF172" s="9"/>
      <c r="BG172" s="10" t="str">
        <f aca="false">IF(BF172="","",IFERROR(VLOOKUP(BF172,Projects!$A$5:$D$504,2,0),"Ref not in Projects"))</f>
        <v/>
      </c>
      <c r="BH172" s="10" t="str">
        <f aca="false">IF(BF172="","",IFERROR(VLOOKUP(BF172,Projects!$A$5:$D$504,4,0),"Ref not in Projects"))</f>
        <v/>
      </c>
      <c r="BI172" s="9"/>
      <c r="BJ172" s="9"/>
      <c r="BK172" s="9"/>
      <c r="BL172" s="40"/>
      <c r="BM172" s="9"/>
      <c r="BN172" s="40"/>
      <c r="BO172" s="9"/>
      <c r="BP172" s="40"/>
      <c r="BQ172" s="9"/>
      <c r="BR172" s="9"/>
      <c r="BS172" s="9"/>
      <c r="BT172" s="40"/>
      <c r="BU172" s="40"/>
      <c r="BV172" s="36" t="str">
        <f aca="false">IF(BU172="","",EDATE(BU172,SG_Criteria!$B$54*12))</f>
        <v/>
      </c>
      <c r="BW172" s="33" t="str">
        <f aca="true">IF(A172="","",IF(BU172="","NOTE: not reviewed yet",IF(TODAY()&gt;BV172,"NOTE: review overdue","OK")))</f>
        <v/>
      </c>
      <c r="BX172" s="37" t="str">
        <f aca="false">IF(A172="","",ROUND((IF(LEN(D172)&gt;0,1,0)+IF(LEN(E172)&gt;0,1,0)+IF(LEN(F172)&gt;0,1,0)+IF(LEN(G172)&gt;0,1,0)+IF(LEN(H172)&gt;0,1,0)+IF(LEN(I172)&gt;0,1,0)+IF(LEN(J172)&gt;0,1,0)+IF(LEN(K172)&gt;0,1,0)+IF(LEN(N172)&gt;0,1,0)+IF(LEN(O172)&gt;0,1,0)+IF(LEN(W172)&gt;0,1,0)+IF(LEN(X172)&gt;0,1,0)+IF(LEN(Y172)&gt;0,1,0)+IF(LEN(AG172)&gt;0,1,0)+IF(LEN(AI172)&gt;0,1,0)+IF(LEN(AJ172)&gt;0,1,0)+IF(LEN(AK172)&gt;0,1,0)+IF(LEN(AL172)&gt;0,1,0)+IF(LEN(AU172)&gt;0,1,0)+IF(LEN(BF172)&gt;0,1,0)+IF(LEN(BS172)&gt;0,1,0))/21,2))</f>
        <v/>
      </c>
      <c r="BY172" s="10" t="str">
        <f aca="false">IF(D172="","",IF(AND(AJ172="Approved",ISERROR(SEARCH("FAIL",BC172))),"Y","N"))</f>
        <v/>
      </c>
      <c r="BZ172" s="10" t="str">
        <f aca="false">IF(D172="","",D172&amp;"|"&amp;F172&amp;"|"&amp;G172&amp;"|"&amp;BY172)</f>
        <v/>
      </c>
    </row>
    <row r="173" customFormat="false" ht="15" hidden="false" customHeight="false" outlineLevel="0" collapsed="false">
      <c r="A173" s="10" t="str">
        <f aca="false">IF(D173="","","LKW-"&amp;IFERROR(VLOOKUP(D173,Lists!$AQ$4:$AR$17,2,0),"??")&amp;"-W"&amp;TEXT(F173*1000,"0000")&amp;"-H"&amp;TEXT(G173*1000,"0000")&amp;"-B"&amp;TEXT(H173*1000,"0000")&amp;"-"&amp;AI173)</f>
        <v/>
      </c>
      <c r="B173" s="10" t="str">
        <f aca="false">IF(D173="","",D173&amp;", "&amp;F173&amp;" m wide, "&amp;G173&amp;" m headroom, "&amp;H173&amp;" m bays, "&amp;I173&amp;" ("&amp;E173&amp;")")</f>
        <v/>
      </c>
      <c r="C173" s="9"/>
      <c r="D173" s="9"/>
      <c r="E173" s="9"/>
      <c r="F173" s="42"/>
      <c r="G173" s="42"/>
      <c r="H173" s="42"/>
      <c r="I173" s="9"/>
      <c r="J173" s="9"/>
      <c r="K173" s="9"/>
      <c r="L173" s="9"/>
      <c r="M173" s="9"/>
      <c r="N173" s="9"/>
      <c r="O173" s="9"/>
      <c r="P173" s="9"/>
      <c r="Q173" s="9"/>
      <c r="R173" s="9"/>
      <c r="S173" s="42"/>
      <c r="T173" s="9"/>
      <c r="U173" s="9"/>
      <c r="V173" s="9"/>
      <c r="W173" s="38"/>
      <c r="X173" s="42"/>
      <c r="Y173" s="9"/>
      <c r="Z173" s="9"/>
      <c r="AA173" s="9"/>
      <c r="AB173" s="42"/>
      <c r="AC173" s="9"/>
      <c r="AD173" s="38"/>
      <c r="AE173" s="9"/>
      <c r="AF173" s="39"/>
      <c r="AG173" s="9"/>
      <c r="AH173" s="9"/>
      <c r="AI173" s="9"/>
      <c r="AJ173" s="9"/>
      <c r="AK173" s="9"/>
      <c r="AL173" s="9"/>
      <c r="AM173" s="9"/>
      <c r="AN173" s="10" t="str">
        <f aca="false">IF(A173="","",SG_Criteria!$B$6&amp;SG_Criteria!$B$12&amp;"\"&amp;A173&amp;"\")</f>
        <v/>
      </c>
      <c r="AO173" s="10" t="str">
        <f aca="false">IF(A173="","",A173&amp;"_CAD.dwg")</f>
        <v/>
      </c>
      <c r="AP173" s="10" t="str">
        <f aca="false">IF(A173="","",A173&amp;"_DWG.pdf")</f>
        <v/>
      </c>
      <c r="AQ173" s="10" t="str">
        <f aca="false">IF(A173="","",IF(AM173="Y",A173&amp;"_STAAD.std","n/a"))</f>
        <v/>
      </c>
      <c r="AR173" s="10" t="str">
        <f aca="false">IF(A173="","",A173&amp;"_CALC.xlsx")</f>
        <v/>
      </c>
      <c r="AS173" s="10" t="str">
        <f aca="false">IF(A173="","",A173&amp;"_CALC.pdf")</f>
        <v/>
      </c>
      <c r="AT173" s="9"/>
      <c r="AU173" s="9"/>
      <c r="AV173" s="39"/>
      <c r="AW173" s="39"/>
      <c r="AX173" s="39"/>
      <c r="AY173" s="39"/>
      <c r="AZ173" s="39"/>
      <c r="BA173" s="12" t="str">
        <f aca="false">IF(A173="","",IF(COUNTIF(Rebar_Schedule!$A$5:$A$2004,A173)=0,"",ROUND(SUMIF(Rebar_Schedule!$A$5:$A$2004,A173,Rebar_Schedule!$K$5:$K$2004),1)))</f>
        <v/>
      </c>
      <c r="BB173" s="33" t="str">
        <f aca="false">IF(A173="","",IF(BA173="","No rebar schedule yet",IF(ABS(BA173-N(AW173))/MAX(N(AW173),1)&gt;SG_Criteria!$B$55,"NOTE: register rebar differs from schedule by "&amp;TEXT(ABS(BA173-N(AW173))/MAX(N(AW173),1),"0%"),"OK")))</f>
        <v/>
      </c>
      <c r="BC173" s="33" t="str">
        <f aca="false">IF(D173="","",IF(LEN(IF(AND(D173&lt;&gt;"High Covered Linkway",G173&lt;SG_Criteria!$B$46),"FAIL: headroom below "&amp;SG_Criteria!$B$46&amp;" m. ","")&amp;IF(AND(D173="High Covered Linkway",G173&lt;SG_Criteria!$B$47),"FAIL: high linkway headroom below "&amp;SG_Criteria!$B$47&amp;" m. ","")&amp;IF(F173&lt;SG_Criteria!$B$48,"FAIL: roof width below "&amp;SG_Criteria!$B$48&amp;" m. ",IF(F173&lt;SG_Criteria!$B$49,"NOTE: not for MRT/LRT or high-traffic routes (min "&amp;SG_Criteria!$B$49&amp;" m). ",""))&amp;IF(AND(W173&lt;&gt;"",W173&lt;SG_Criteria!$B$50),"FAIL: wind speed below "&amp;SG_Criteria!$B$50&amp;" m/s. ","")&amp;IF(AND(X173&lt;&gt;"",X173&lt;SG_Criteria!$B$51),"FAIL: roof fixing pull-out below "&amp;SG_Criteria!$B$51&amp;" kN. ","")&amp;IF(AND(Y173&lt;&gt;"",IFERROR(VALUE(MID(Y173,2,2)),0)&lt;SG_Criteria!$B$52),"FAIL: grade below C"&amp;SG_Criteria!$B$52&amp;". ","")&amp;IF(E173="Non-standard (project design)","NOTE: not an SDRE standard, needs LTA acceptance. ",""))=0,"OK",IF(AND(D173&lt;&gt;"High Covered Linkway",G173&lt;SG_Criteria!$B$46),"FAIL: headroom below "&amp;SG_Criteria!$B$46&amp;" m. ","")&amp;IF(AND(D173="High Covered Linkway",G173&lt;SG_Criteria!$B$47),"FAIL: high linkway headroom below "&amp;SG_Criteria!$B$47&amp;" m. ","")&amp;IF(F173&lt;SG_Criteria!$B$48,"FAIL: roof width below "&amp;SG_Criteria!$B$48&amp;" m. ",IF(F173&lt;SG_Criteria!$B$49,"NOTE: not for MRT/LRT or high-traffic routes (min "&amp;SG_Criteria!$B$49&amp;" m). ",""))&amp;IF(AND(W173&lt;&gt;"",W173&lt;SG_Criteria!$B$50),"FAIL: wind speed below "&amp;SG_Criteria!$B$50&amp;" m/s. ","")&amp;IF(AND(X173&lt;&gt;"",X173&lt;SG_Criteria!$B$51),"FAIL: roof fixing pull-out below "&amp;SG_Criteria!$B$51&amp;" kN. ","")&amp;IF(AND(Y173&lt;&gt;"",IFERROR(VALUE(MID(Y173,2,2)),0)&lt;SG_Criteria!$B$52),"FAIL: grade below C"&amp;SG_Criteria!$B$52&amp;". ","")&amp;IF(E173="Non-standard (project design)","NOTE: not an SDRE standard, needs LTA acceptance. ","")))</f>
        <v/>
      </c>
      <c r="BD173" s="9"/>
      <c r="BE173" s="9"/>
      <c r="BF173" s="9"/>
      <c r="BG173" s="10" t="str">
        <f aca="false">IF(BF173="","",IFERROR(VLOOKUP(BF173,Projects!$A$5:$D$504,2,0),"Ref not in Projects"))</f>
        <v/>
      </c>
      <c r="BH173" s="10" t="str">
        <f aca="false">IF(BF173="","",IFERROR(VLOOKUP(BF173,Projects!$A$5:$D$504,4,0),"Ref not in Projects"))</f>
        <v/>
      </c>
      <c r="BI173" s="9"/>
      <c r="BJ173" s="9"/>
      <c r="BK173" s="9"/>
      <c r="BL173" s="40"/>
      <c r="BM173" s="9"/>
      <c r="BN173" s="40"/>
      <c r="BO173" s="9"/>
      <c r="BP173" s="40"/>
      <c r="BQ173" s="9"/>
      <c r="BR173" s="9"/>
      <c r="BS173" s="9"/>
      <c r="BT173" s="40"/>
      <c r="BU173" s="40"/>
      <c r="BV173" s="36" t="str">
        <f aca="false">IF(BU173="","",EDATE(BU173,SG_Criteria!$B$54*12))</f>
        <v/>
      </c>
      <c r="BW173" s="33" t="str">
        <f aca="true">IF(A173="","",IF(BU173="","NOTE: not reviewed yet",IF(TODAY()&gt;BV173,"NOTE: review overdue","OK")))</f>
        <v/>
      </c>
      <c r="BX173" s="37" t="str">
        <f aca="false">IF(A173="","",ROUND((IF(LEN(D173)&gt;0,1,0)+IF(LEN(E173)&gt;0,1,0)+IF(LEN(F173)&gt;0,1,0)+IF(LEN(G173)&gt;0,1,0)+IF(LEN(H173)&gt;0,1,0)+IF(LEN(I173)&gt;0,1,0)+IF(LEN(J173)&gt;0,1,0)+IF(LEN(K173)&gt;0,1,0)+IF(LEN(N173)&gt;0,1,0)+IF(LEN(O173)&gt;0,1,0)+IF(LEN(W173)&gt;0,1,0)+IF(LEN(X173)&gt;0,1,0)+IF(LEN(Y173)&gt;0,1,0)+IF(LEN(AG173)&gt;0,1,0)+IF(LEN(AI173)&gt;0,1,0)+IF(LEN(AJ173)&gt;0,1,0)+IF(LEN(AK173)&gt;0,1,0)+IF(LEN(AL173)&gt;0,1,0)+IF(LEN(AU173)&gt;0,1,0)+IF(LEN(BF173)&gt;0,1,0)+IF(LEN(BS173)&gt;0,1,0))/21,2))</f>
        <v/>
      </c>
      <c r="BY173" s="10" t="str">
        <f aca="false">IF(D173="","",IF(AND(AJ173="Approved",ISERROR(SEARCH("FAIL",BC173))),"Y","N"))</f>
        <v/>
      </c>
      <c r="BZ173" s="10" t="str">
        <f aca="false">IF(D173="","",D173&amp;"|"&amp;F173&amp;"|"&amp;G173&amp;"|"&amp;BY173)</f>
        <v/>
      </c>
    </row>
    <row r="174" customFormat="false" ht="15" hidden="false" customHeight="false" outlineLevel="0" collapsed="false">
      <c r="A174" s="10" t="str">
        <f aca="false">IF(D174="","","LKW-"&amp;IFERROR(VLOOKUP(D174,Lists!$AQ$4:$AR$17,2,0),"??")&amp;"-W"&amp;TEXT(F174*1000,"0000")&amp;"-H"&amp;TEXT(G174*1000,"0000")&amp;"-B"&amp;TEXT(H174*1000,"0000")&amp;"-"&amp;AI174)</f>
        <v/>
      </c>
      <c r="B174" s="10" t="str">
        <f aca="false">IF(D174="","",D174&amp;", "&amp;F174&amp;" m wide, "&amp;G174&amp;" m headroom, "&amp;H174&amp;" m bays, "&amp;I174&amp;" ("&amp;E174&amp;")")</f>
        <v/>
      </c>
      <c r="C174" s="9"/>
      <c r="D174" s="9"/>
      <c r="E174" s="9"/>
      <c r="F174" s="42"/>
      <c r="G174" s="42"/>
      <c r="H174" s="42"/>
      <c r="I174" s="9"/>
      <c r="J174" s="9"/>
      <c r="K174" s="9"/>
      <c r="L174" s="9"/>
      <c r="M174" s="9"/>
      <c r="N174" s="9"/>
      <c r="O174" s="9"/>
      <c r="P174" s="9"/>
      <c r="Q174" s="9"/>
      <c r="R174" s="9"/>
      <c r="S174" s="42"/>
      <c r="T174" s="9"/>
      <c r="U174" s="9"/>
      <c r="V174" s="9"/>
      <c r="W174" s="38"/>
      <c r="X174" s="42"/>
      <c r="Y174" s="9"/>
      <c r="Z174" s="9"/>
      <c r="AA174" s="9"/>
      <c r="AB174" s="42"/>
      <c r="AC174" s="9"/>
      <c r="AD174" s="38"/>
      <c r="AE174" s="9"/>
      <c r="AF174" s="39"/>
      <c r="AG174" s="9"/>
      <c r="AH174" s="9"/>
      <c r="AI174" s="9"/>
      <c r="AJ174" s="9"/>
      <c r="AK174" s="9"/>
      <c r="AL174" s="9"/>
      <c r="AM174" s="9"/>
      <c r="AN174" s="10" t="str">
        <f aca="false">IF(A174="","",SG_Criteria!$B$6&amp;SG_Criteria!$B$12&amp;"\"&amp;A174&amp;"\")</f>
        <v/>
      </c>
      <c r="AO174" s="10" t="str">
        <f aca="false">IF(A174="","",A174&amp;"_CAD.dwg")</f>
        <v/>
      </c>
      <c r="AP174" s="10" t="str">
        <f aca="false">IF(A174="","",A174&amp;"_DWG.pdf")</f>
        <v/>
      </c>
      <c r="AQ174" s="10" t="str">
        <f aca="false">IF(A174="","",IF(AM174="Y",A174&amp;"_STAAD.std","n/a"))</f>
        <v/>
      </c>
      <c r="AR174" s="10" t="str">
        <f aca="false">IF(A174="","",A174&amp;"_CALC.xlsx")</f>
        <v/>
      </c>
      <c r="AS174" s="10" t="str">
        <f aca="false">IF(A174="","",A174&amp;"_CALC.pdf")</f>
        <v/>
      </c>
      <c r="AT174" s="9"/>
      <c r="AU174" s="9"/>
      <c r="AV174" s="39"/>
      <c r="AW174" s="39"/>
      <c r="AX174" s="39"/>
      <c r="AY174" s="39"/>
      <c r="AZ174" s="39"/>
      <c r="BA174" s="12" t="str">
        <f aca="false">IF(A174="","",IF(COUNTIF(Rebar_Schedule!$A$5:$A$2004,A174)=0,"",ROUND(SUMIF(Rebar_Schedule!$A$5:$A$2004,A174,Rebar_Schedule!$K$5:$K$2004),1)))</f>
        <v/>
      </c>
      <c r="BB174" s="33" t="str">
        <f aca="false">IF(A174="","",IF(BA174="","No rebar schedule yet",IF(ABS(BA174-N(AW174))/MAX(N(AW174),1)&gt;SG_Criteria!$B$55,"NOTE: register rebar differs from schedule by "&amp;TEXT(ABS(BA174-N(AW174))/MAX(N(AW174),1),"0%"),"OK")))</f>
        <v/>
      </c>
      <c r="BC174" s="33" t="str">
        <f aca="false">IF(D174="","",IF(LEN(IF(AND(D174&lt;&gt;"High Covered Linkway",G174&lt;SG_Criteria!$B$46),"FAIL: headroom below "&amp;SG_Criteria!$B$46&amp;" m. ","")&amp;IF(AND(D174="High Covered Linkway",G174&lt;SG_Criteria!$B$47),"FAIL: high linkway headroom below "&amp;SG_Criteria!$B$47&amp;" m. ","")&amp;IF(F174&lt;SG_Criteria!$B$48,"FAIL: roof width below "&amp;SG_Criteria!$B$48&amp;" m. ",IF(F174&lt;SG_Criteria!$B$49,"NOTE: not for MRT/LRT or high-traffic routes (min "&amp;SG_Criteria!$B$49&amp;" m). ",""))&amp;IF(AND(W174&lt;&gt;"",W174&lt;SG_Criteria!$B$50),"FAIL: wind speed below "&amp;SG_Criteria!$B$50&amp;" m/s. ","")&amp;IF(AND(X174&lt;&gt;"",X174&lt;SG_Criteria!$B$51),"FAIL: roof fixing pull-out below "&amp;SG_Criteria!$B$51&amp;" kN. ","")&amp;IF(AND(Y174&lt;&gt;"",IFERROR(VALUE(MID(Y174,2,2)),0)&lt;SG_Criteria!$B$52),"FAIL: grade below C"&amp;SG_Criteria!$B$52&amp;". ","")&amp;IF(E174="Non-standard (project design)","NOTE: not an SDRE standard, needs LTA acceptance. ",""))=0,"OK",IF(AND(D174&lt;&gt;"High Covered Linkway",G174&lt;SG_Criteria!$B$46),"FAIL: headroom below "&amp;SG_Criteria!$B$46&amp;" m. ","")&amp;IF(AND(D174="High Covered Linkway",G174&lt;SG_Criteria!$B$47),"FAIL: high linkway headroom below "&amp;SG_Criteria!$B$47&amp;" m. ","")&amp;IF(F174&lt;SG_Criteria!$B$48,"FAIL: roof width below "&amp;SG_Criteria!$B$48&amp;" m. ",IF(F174&lt;SG_Criteria!$B$49,"NOTE: not for MRT/LRT or high-traffic routes (min "&amp;SG_Criteria!$B$49&amp;" m). ",""))&amp;IF(AND(W174&lt;&gt;"",W174&lt;SG_Criteria!$B$50),"FAIL: wind speed below "&amp;SG_Criteria!$B$50&amp;" m/s. ","")&amp;IF(AND(X174&lt;&gt;"",X174&lt;SG_Criteria!$B$51),"FAIL: roof fixing pull-out below "&amp;SG_Criteria!$B$51&amp;" kN. ","")&amp;IF(AND(Y174&lt;&gt;"",IFERROR(VALUE(MID(Y174,2,2)),0)&lt;SG_Criteria!$B$52),"FAIL: grade below C"&amp;SG_Criteria!$B$52&amp;". ","")&amp;IF(E174="Non-standard (project design)","NOTE: not an SDRE standard, needs LTA acceptance. ","")))</f>
        <v/>
      </c>
      <c r="BD174" s="9"/>
      <c r="BE174" s="9"/>
      <c r="BF174" s="9"/>
      <c r="BG174" s="10" t="str">
        <f aca="false">IF(BF174="","",IFERROR(VLOOKUP(BF174,Projects!$A$5:$D$504,2,0),"Ref not in Projects"))</f>
        <v/>
      </c>
      <c r="BH174" s="10" t="str">
        <f aca="false">IF(BF174="","",IFERROR(VLOOKUP(BF174,Projects!$A$5:$D$504,4,0),"Ref not in Projects"))</f>
        <v/>
      </c>
      <c r="BI174" s="9"/>
      <c r="BJ174" s="9"/>
      <c r="BK174" s="9"/>
      <c r="BL174" s="40"/>
      <c r="BM174" s="9"/>
      <c r="BN174" s="40"/>
      <c r="BO174" s="9"/>
      <c r="BP174" s="40"/>
      <c r="BQ174" s="9"/>
      <c r="BR174" s="9"/>
      <c r="BS174" s="9"/>
      <c r="BT174" s="40"/>
      <c r="BU174" s="40"/>
      <c r="BV174" s="36" t="str">
        <f aca="false">IF(BU174="","",EDATE(BU174,SG_Criteria!$B$54*12))</f>
        <v/>
      </c>
      <c r="BW174" s="33" t="str">
        <f aca="true">IF(A174="","",IF(BU174="","NOTE: not reviewed yet",IF(TODAY()&gt;BV174,"NOTE: review overdue","OK")))</f>
        <v/>
      </c>
      <c r="BX174" s="37" t="str">
        <f aca="false">IF(A174="","",ROUND((IF(LEN(D174)&gt;0,1,0)+IF(LEN(E174)&gt;0,1,0)+IF(LEN(F174)&gt;0,1,0)+IF(LEN(G174)&gt;0,1,0)+IF(LEN(H174)&gt;0,1,0)+IF(LEN(I174)&gt;0,1,0)+IF(LEN(J174)&gt;0,1,0)+IF(LEN(K174)&gt;0,1,0)+IF(LEN(N174)&gt;0,1,0)+IF(LEN(O174)&gt;0,1,0)+IF(LEN(W174)&gt;0,1,0)+IF(LEN(X174)&gt;0,1,0)+IF(LEN(Y174)&gt;0,1,0)+IF(LEN(AG174)&gt;0,1,0)+IF(LEN(AI174)&gt;0,1,0)+IF(LEN(AJ174)&gt;0,1,0)+IF(LEN(AK174)&gt;0,1,0)+IF(LEN(AL174)&gt;0,1,0)+IF(LEN(AU174)&gt;0,1,0)+IF(LEN(BF174)&gt;0,1,0)+IF(LEN(BS174)&gt;0,1,0))/21,2))</f>
        <v/>
      </c>
      <c r="BY174" s="10" t="str">
        <f aca="false">IF(D174="","",IF(AND(AJ174="Approved",ISERROR(SEARCH("FAIL",BC174))),"Y","N"))</f>
        <v/>
      </c>
      <c r="BZ174" s="10" t="str">
        <f aca="false">IF(D174="","",D174&amp;"|"&amp;F174&amp;"|"&amp;G174&amp;"|"&amp;BY174)</f>
        <v/>
      </c>
    </row>
    <row r="175" customFormat="false" ht="15" hidden="false" customHeight="false" outlineLevel="0" collapsed="false">
      <c r="A175" s="10" t="str">
        <f aca="false">IF(D175="","","LKW-"&amp;IFERROR(VLOOKUP(D175,Lists!$AQ$4:$AR$17,2,0),"??")&amp;"-W"&amp;TEXT(F175*1000,"0000")&amp;"-H"&amp;TEXT(G175*1000,"0000")&amp;"-B"&amp;TEXT(H175*1000,"0000")&amp;"-"&amp;AI175)</f>
        <v/>
      </c>
      <c r="B175" s="10" t="str">
        <f aca="false">IF(D175="","",D175&amp;", "&amp;F175&amp;" m wide, "&amp;G175&amp;" m headroom, "&amp;H175&amp;" m bays, "&amp;I175&amp;" ("&amp;E175&amp;")")</f>
        <v/>
      </c>
      <c r="C175" s="9"/>
      <c r="D175" s="9"/>
      <c r="E175" s="9"/>
      <c r="F175" s="42"/>
      <c r="G175" s="42"/>
      <c r="H175" s="42"/>
      <c r="I175" s="9"/>
      <c r="J175" s="9"/>
      <c r="K175" s="9"/>
      <c r="L175" s="9"/>
      <c r="M175" s="9"/>
      <c r="N175" s="9"/>
      <c r="O175" s="9"/>
      <c r="P175" s="9"/>
      <c r="Q175" s="9"/>
      <c r="R175" s="9"/>
      <c r="S175" s="42"/>
      <c r="T175" s="9"/>
      <c r="U175" s="9"/>
      <c r="V175" s="9"/>
      <c r="W175" s="38"/>
      <c r="X175" s="42"/>
      <c r="Y175" s="9"/>
      <c r="Z175" s="9"/>
      <c r="AA175" s="9"/>
      <c r="AB175" s="42"/>
      <c r="AC175" s="9"/>
      <c r="AD175" s="38"/>
      <c r="AE175" s="9"/>
      <c r="AF175" s="39"/>
      <c r="AG175" s="9"/>
      <c r="AH175" s="9"/>
      <c r="AI175" s="9"/>
      <c r="AJ175" s="9"/>
      <c r="AK175" s="9"/>
      <c r="AL175" s="9"/>
      <c r="AM175" s="9"/>
      <c r="AN175" s="10" t="str">
        <f aca="false">IF(A175="","",SG_Criteria!$B$6&amp;SG_Criteria!$B$12&amp;"\"&amp;A175&amp;"\")</f>
        <v/>
      </c>
      <c r="AO175" s="10" t="str">
        <f aca="false">IF(A175="","",A175&amp;"_CAD.dwg")</f>
        <v/>
      </c>
      <c r="AP175" s="10" t="str">
        <f aca="false">IF(A175="","",A175&amp;"_DWG.pdf")</f>
        <v/>
      </c>
      <c r="AQ175" s="10" t="str">
        <f aca="false">IF(A175="","",IF(AM175="Y",A175&amp;"_STAAD.std","n/a"))</f>
        <v/>
      </c>
      <c r="AR175" s="10" t="str">
        <f aca="false">IF(A175="","",A175&amp;"_CALC.xlsx")</f>
        <v/>
      </c>
      <c r="AS175" s="10" t="str">
        <f aca="false">IF(A175="","",A175&amp;"_CALC.pdf")</f>
        <v/>
      </c>
      <c r="AT175" s="9"/>
      <c r="AU175" s="9"/>
      <c r="AV175" s="39"/>
      <c r="AW175" s="39"/>
      <c r="AX175" s="39"/>
      <c r="AY175" s="39"/>
      <c r="AZ175" s="39"/>
      <c r="BA175" s="12" t="str">
        <f aca="false">IF(A175="","",IF(COUNTIF(Rebar_Schedule!$A$5:$A$2004,A175)=0,"",ROUND(SUMIF(Rebar_Schedule!$A$5:$A$2004,A175,Rebar_Schedule!$K$5:$K$2004),1)))</f>
        <v/>
      </c>
      <c r="BB175" s="33" t="str">
        <f aca="false">IF(A175="","",IF(BA175="","No rebar schedule yet",IF(ABS(BA175-N(AW175))/MAX(N(AW175),1)&gt;SG_Criteria!$B$55,"NOTE: register rebar differs from schedule by "&amp;TEXT(ABS(BA175-N(AW175))/MAX(N(AW175),1),"0%"),"OK")))</f>
        <v/>
      </c>
      <c r="BC175" s="33" t="str">
        <f aca="false">IF(D175="","",IF(LEN(IF(AND(D175&lt;&gt;"High Covered Linkway",G175&lt;SG_Criteria!$B$46),"FAIL: headroom below "&amp;SG_Criteria!$B$46&amp;" m. ","")&amp;IF(AND(D175="High Covered Linkway",G175&lt;SG_Criteria!$B$47),"FAIL: high linkway headroom below "&amp;SG_Criteria!$B$47&amp;" m. ","")&amp;IF(F175&lt;SG_Criteria!$B$48,"FAIL: roof width below "&amp;SG_Criteria!$B$48&amp;" m. ",IF(F175&lt;SG_Criteria!$B$49,"NOTE: not for MRT/LRT or high-traffic routes (min "&amp;SG_Criteria!$B$49&amp;" m). ",""))&amp;IF(AND(W175&lt;&gt;"",W175&lt;SG_Criteria!$B$50),"FAIL: wind speed below "&amp;SG_Criteria!$B$50&amp;" m/s. ","")&amp;IF(AND(X175&lt;&gt;"",X175&lt;SG_Criteria!$B$51),"FAIL: roof fixing pull-out below "&amp;SG_Criteria!$B$51&amp;" kN. ","")&amp;IF(AND(Y175&lt;&gt;"",IFERROR(VALUE(MID(Y175,2,2)),0)&lt;SG_Criteria!$B$52),"FAIL: grade below C"&amp;SG_Criteria!$B$52&amp;". ","")&amp;IF(E175="Non-standard (project design)","NOTE: not an SDRE standard, needs LTA acceptance. ",""))=0,"OK",IF(AND(D175&lt;&gt;"High Covered Linkway",G175&lt;SG_Criteria!$B$46),"FAIL: headroom below "&amp;SG_Criteria!$B$46&amp;" m. ","")&amp;IF(AND(D175="High Covered Linkway",G175&lt;SG_Criteria!$B$47),"FAIL: high linkway headroom below "&amp;SG_Criteria!$B$47&amp;" m. ","")&amp;IF(F175&lt;SG_Criteria!$B$48,"FAIL: roof width below "&amp;SG_Criteria!$B$48&amp;" m. ",IF(F175&lt;SG_Criteria!$B$49,"NOTE: not for MRT/LRT or high-traffic routes (min "&amp;SG_Criteria!$B$49&amp;" m). ",""))&amp;IF(AND(W175&lt;&gt;"",W175&lt;SG_Criteria!$B$50),"FAIL: wind speed below "&amp;SG_Criteria!$B$50&amp;" m/s. ","")&amp;IF(AND(X175&lt;&gt;"",X175&lt;SG_Criteria!$B$51),"FAIL: roof fixing pull-out below "&amp;SG_Criteria!$B$51&amp;" kN. ","")&amp;IF(AND(Y175&lt;&gt;"",IFERROR(VALUE(MID(Y175,2,2)),0)&lt;SG_Criteria!$B$52),"FAIL: grade below C"&amp;SG_Criteria!$B$52&amp;". ","")&amp;IF(E175="Non-standard (project design)","NOTE: not an SDRE standard, needs LTA acceptance. ","")))</f>
        <v/>
      </c>
      <c r="BD175" s="9"/>
      <c r="BE175" s="9"/>
      <c r="BF175" s="9"/>
      <c r="BG175" s="10" t="str">
        <f aca="false">IF(BF175="","",IFERROR(VLOOKUP(BF175,Projects!$A$5:$D$504,2,0),"Ref not in Projects"))</f>
        <v/>
      </c>
      <c r="BH175" s="10" t="str">
        <f aca="false">IF(BF175="","",IFERROR(VLOOKUP(BF175,Projects!$A$5:$D$504,4,0),"Ref not in Projects"))</f>
        <v/>
      </c>
      <c r="BI175" s="9"/>
      <c r="BJ175" s="9"/>
      <c r="BK175" s="9"/>
      <c r="BL175" s="40"/>
      <c r="BM175" s="9"/>
      <c r="BN175" s="40"/>
      <c r="BO175" s="9"/>
      <c r="BP175" s="40"/>
      <c r="BQ175" s="9"/>
      <c r="BR175" s="9"/>
      <c r="BS175" s="9"/>
      <c r="BT175" s="40"/>
      <c r="BU175" s="40"/>
      <c r="BV175" s="36" t="str">
        <f aca="false">IF(BU175="","",EDATE(BU175,SG_Criteria!$B$54*12))</f>
        <v/>
      </c>
      <c r="BW175" s="33" t="str">
        <f aca="true">IF(A175="","",IF(BU175="","NOTE: not reviewed yet",IF(TODAY()&gt;BV175,"NOTE: review overdue","OK")))</f>
        <v/>
      </c>
      <c r="BX175" s="37" t="str">
        <f aca="false">IF(A175="","",ROUND((IF(LEN(D175)&gt;0,1,0)+IF(LEN(E175)&gt;0,1,0)+IF(LEN(F175)&gt;0,1,0)+IF(LEN(G175)&gt;0,1,0)+IF(LEN(H175)&gt;0,1,0)+IF(LEN(I175)&gt;0,1,0)+IF(LEN(J175)&gt;0,1,0)+IF(LEN(K175)&gt;0,1,0)+IF(LEN(N175)&gt;0,1,0)+IF(LEN(O175)&gt;0,1,0)+IF(LEN(W175)&gt;0,1,0)+IF(LEN(X175)&gt;0,1,0)+IF(LEN(Y175)&gt;0,1,0)+IF(LEN(AG175)&gt;0,1,0)+IF(LEN(AI175)&gt;0,1,0)+IF(LEN(AJ175)&gt;0,1,0)+IF(LEN(AK175)&gt;0,1,0)+IF(LEN(AL175)&gt;0,1,0)+IF(LEN(AU175)&gt;0,1,0)+IF(LEN(BF175)&gt;0,1,0)+IF(LEN(BS175)&gt;0,1,0))/21,2))</f>
        <v/>
      </c>
      <c r="BY175" s="10" t="str">
        <f aca="false">IF(D175="","",IF(AND(AJ175="Approved",ISERROR(SEARCH("FAIL",BC175))),"Y","N"))</f>
        <v/>
      </c>
      <c r="BZ175" s="10" t="str">
        <f aca="false">IF(D175="","",D175&amp;"|"&amp;F175&amp;"|"&amp;G175&amp;"|"&amp;BY175)</f>
        <v/>
      </c>
    </row>
    <row r="176" customFormat="false" ht="15" hidden="false" customHeight="false" outlineLevel="0" collapsed="false">
      <c r="A176" s="10" t="str">
        <f aca="false">IF(D176="","","LKW-"&amp;IFERROR(VLOOKUP(D176,Lists!$AQ$4:$AR$17,2,0),"??")&amp;"-W"&amp;TEXT(F176*1000,"0000")&amp;"-H"&amp;TEXT(G176*1000,"0000")&amp;"-B"&amp;TEXT(H176*1000,"0000")&amp;"-"&amp;AI176)</f>
        <v/>
      </c>
      <c r="B176" s="10" t="str">
        <f aca="false">IF(D176="","",D176&amp;", "&amp;F176&amp;" m wide, "&amp;G176&amp;" m headroom, "&amp;H176&amp;" m bays, "&amp;I176&amp;" ("&amp;E176&amp;")")</f>
        <v/>
      </c>
      <c r="C176" s="9"/>
      <c r="D176" s="9"/>
      <c r="E176" s="9"/>
      <c r="F176" s="42"/>
      <c r="G176" s="42"/>
      <c r="H176" s="42"/>
      <c r="I176" s="9"/>
      <c r="J176" s="9"/>
      <c r="K176" s="9"/>
      <c r="L176" s="9"/>
      <c r="M176" s="9"/>
      <c r="N176" s="9"/>
      <c r="O176" s="9"/>
      <c r="P176" s="9"/>
      <c r="Q176" s="9"/>
      <c r="R176" s="9"/>
      <c r="S176" s="42"/>
      <c r="T176" s="9"/>
      <c r="U176" s="9"/>
      <c r="V176" s="9"/>
      <c r="W176" s="38"/>
      <c r="X176" s="42"/>
      <c r="Y176" s="9"/>
      <c r="Z176" s="9"/>
      <c r="AA176" s="9"/>
      <c r="AB176" s="42"/>
      <c r="AC176" s="9"/>
      <c r="AD176" s="38"/>
      <c r="AE176" s="9"/>
      <c r="AF176" s="39"/>
      <c r="AG176" s="9"/>
      <c r="AH176" s="9"/>
      <c r="AI176" s="9"/>
      <c r="AJ176" s="9"/>
      <c r="AK176" s="9"/>
      <c r="AL176" s="9"/>
      <c r="AM176" s="9"/>
      <c r="AN176" s="10" t="str">
        <f aca="false">IF(A176="","",SG_Criteria!$B$6&amp;SG_Criteria!$B$12&amp;"\"&amp;A176&amp;"\")</f>
        <v/>
      </c>
      <c r="AO176" s="10" t="str">
        <f aca="false">IF(A176="","",A176&amp;"_CAD.dwg")</f>
        <v/>
      </c>
      <c r="AP176" s="10" t="str">
        <f aca="false">IF(A176="","",A176&amp;"_DWG.pdf")</f>
        <v/>
      </c>
      <c r="AQ176" s="10" t="str">
        <f aca="false">IF(A176="","",IF(AM176="Y",A176&amp;"_STAAD.std","n/a"))</f>
        <v/>
      </c>
      <c r="AR176" s="10" t="str">
        <f aca="false">IF(A176="","",A176&amp;"_CALC.xlsx")</f>
        <v/>
      </c>
      <c r="AS176" s="10" t="str">
        <f aca="false">IF(A176="","",A176&amp;"_CALC.pdf")</f>
        <v/>
      </c>
      <c r="AT176" s="9"/>
      <c r="AU176" s="9"/>
      <c r="AV176" s="39"/>
      <c r="AW176" s="39"/>
      <c r="AX176" s="39"/>
      <c r="AY176" s="39"/>
      <c r="AZ176" s="39"/>
      <c r="BA176" s="12" t="str">
        <f aca="false">IF(A176="","",IF(COUNTIF(Rebar_Schedule!$A$5:$A$2004,A176)=0,"",ROUND(SUMIF(Rebar_Schedule!$A$5:$A$2004,A176,Rebar_Schedule!$K$5:$K$2004),1)))</f>
        <v/>
      </c>
      <c r="BB176" s="33" t="str">
        <f aca="false">IF(A176="","",IF(BA176="","No rebar schedule yet",IF(ABS(BA176-N(AW176))/MAX(N(AW176),1)&gt;SG_Criteria!$B$55,"NOTE: register rebar differs from schedule by "&amp;TEXT(ABS(BA176-N(AW176))/MAX(N(AW176),1),"0%"),"OK")))</f>
        <v/>
      </c>
      <c r="BC176" s="33" t="str">
        <f aca="false">IF(D176="","",IF(LEN(IF(AND(D176&lt;&gt;"High Covered Linkway",G176&lt;SG_Criteria!$B$46),"FAIL: headroom below "&amp;SG_Criteria!$B$46&amp;" m. ","")&amp;IF(AND(D176="High Covered Linkway",G176&lt;SG_Criteria!$B$47),"FAIL: high linkway headroom below "&amp;SG_Criteria!$B$47&amp;" m. ","")&amp;IF(F176&lt;SG_Criteria!$B$48,"FAIL: roof width below "&amp;SG_Criteria!$B$48&amp;" m. ",IF(F176&lt;SG_Criteria!$B$49,"NOTE: not for MRT/LRT or high-traffic routes (min "&amp;SG_Criteria!$B$49&amp;" m). ",""))&amp;IF(AND(W176&lt;&gt;"",W176&lt;SG_Criteria!$B$50),"FAIL: wind speed below "&amp;SG_Criteria!$B$50&amp;" m/s. ","")&amp;IF(AND(X176&lt;&gt;"",X176&lt;SG_Criteria!$B$51),"FAIL: roof fixing pull-out below "&amp;SG_Criteria!$B$51&amp;" kN. ","")&amp;IF(AND(Y176&lt;&gt;"",IFERROR(VALUE(MID(Y176,2,2)),0)&lt;SG_Criteria!$B$52),"FAIL: grade below C"&amp;SG_Criteria!$B$52&amp;". ","")&amp;IF(E176="Non-standard (project design)","NOTE: not an SDRE standard, needs LTA acceptance. ",""))=0,"OK",IF(AND(D176&lt;&gt;"High Covered Linkway",G176&lt;SG_Criteria!$B$46),"FAIL: headroom below "&amp;SG_Criteria!$B$46&amp;" m. ","")&amp;IF(AND(D176="High Covered Linkway",G176&lt;SG_Criteria!$B$47),"FAIL: high linkway headroom below "&amp;SG_Criteria!$B$47&amp;" m. ","")&amp;IF(F176&lt;SG_Criteria!$B$48,"FAIL: roof width below "&amp;SG_Criteria!$B$48&amp;" m. ",IF(F176&lt;SG_Criteria!$B$49,"NOTE: not for MRT/LRT or high-traffic routes (min "&amp;SG_Criteria!$B$49&amp;" m). ",""))&amp;IF(AND(W176&lt;&gt;"",W176&lt;SG_Criteria!$B$50),"FAIL: wind speed below "&amp;SG_Criteria!$B$50&amp;" m/s. ","")&amp;IF(AND(X176&lt;&gt;"",X176&lt;SG_Criteria!$B$51),"FAIL: roof fixing pull-out below "&amp;SG_Criteria!$B$51&amp;" kN. ","")&amp;IF(AND(Y176&lt;&gt;"",IFERROR(VALUE(MID(Y176,2,2)),0)&lt;SG_Criteria!$B$52),"FAIL: grade below C"&amp;SG_Criteria!$B$52&amp;". ","")&amp;IF(E176="Non-standard (project design)","NOTE: not an SDRE standard, needs LTA acceptance. ","")))</f>
        <v/>
      </c>
      <c r="BD176" s="9"/>
      <c r="BE176" s="9"/>
      <c r="BF176" s="9"/>
      <c r="BG176" s="10" t="str">
        <f aca="false">IF(BF176="","",IFERROR(VLOOKUP(BF176,Projects!$A$5:$D$504,2,0),"Ref not in Projects"))</f>
        <v/>
      </c>
      <c r="BH176" s="10" t="str">
        <f aca="false">IF(BF176="","",IFERROR(VLOOKUP(BF176,Projects!$A$5:$D$504,4,0),"Ref not in Projects"))</f>
        <v/>
      </c>
      <c r="BI176" s="9"/>
      <c r="BJ176" s="9"/>
      <c r="BK176" s="9"/>
      <c r="BL176" s="40"/>
      <c r="BM176" s="9"/>
      <c r="BN176" s="40"/>
      <c r="BO176" s="9"/>
      <c r="BP176" s="40"/>
      <c r="BQ176" s="9"/>
      <c r="BR176" s="9"/>
      <c r="BS176" s="9"/>
      <c r="BT176" s="40"/>
      <c r="BU176" s="40"/>
      <c r="BV176" s="36" t="str">
        <f aca="false">IF(BU176="","",EDATE(BU176,SG_Criteria!$B$54*12))</f>
        <v/>
      </c>
      <c r="BW176" s="33" t="str">
        <f aca="true">IF(A176="","",IF(BU176="","NOTE: not reviewed yet",IF(TODAY()&gt;BV176,"NOTE: review overdue","OK")))</f>
        <v/>
      </c>
      <c r="BX176" s="37" t="str">
        <f aca="false">IF(A176="","",ROUND((IF(LEN(D176)&gt;0,1,0)+IF(LEN(E176)&gt;0,1,0)+IF(LEN(F176)&gt;0,1,0)+IF(LEN(G176)&gt;0,1,0)+IF(LEN(H176)&gt;0,1,0)+IF(LEN(I176)&gt;0,1,0)+IF(LEN(J176)&gt;0,1,0)+IF(LEN(K176)&gt;0,1,0)+IF(LEN(N176)&gt;0,1,0)+IF(LEN(O176)&gt;0,1,0)+IF(LEN(W176)&gt;0,1,0)+IF(LEN(X176)&gt;0,1,0)+IF(LEN(Y176)&gt;0,1,0)+IF(LEN(AG176)&gt;0,1,0)+IF(LEN(AI176)&gt;0,1,0)+IF(LEN(AJ176)&gt;0,1,0)+IF(LEN(AK176)&gt;0,1,0)+IF(LEN(AL176)&gt;0,1,0)+IF(LEN(AU176)&gt;0,1,0)+IF(LEN(BF176)&gt;0,1,0)+IF(LEN(BS176)&gt;0,1,0))/21,2))</f>
        <v/>
      </c>
      <c r="BY176" s="10" t="str">
        <f aca="false">IF(D176="","",IF(AND(AJ176="Approved",ISERROR(SEARCH("FAIL",BC176))),"Y","N"))</f>
        <v/>
      </c>
      <c r="BZ176" s="10" t="str">
        <f aca="false">IF(D176="","",D176&amp;"|"&amp;F176&amp;"|"&amp;G176&amp;"|"&amp;BY176)</f>
        <v/>
      </c>
    </row>
    <row r="177" customFormat="false" ht="15" hidden="false" customHeight="false" outlineLevel="0" collapsed="false">
      <c r="A177" s="10" t="str">
        <f aca="false">IF(D177="","","LKW-"&amp;IFERROR(VLOOKUP(D177,Lists!$AQ$4:$AR$17,2,0),"??")&amp;"-W"&amp;TEXT(F177*1000,"0000")&amp;"-H"&amp;TEXT(G177*1000,"0000")&amp;"-B"&amp;TEXT(H177*1000,"0000")&amp;"-"&amp;AI177)</f>
        <v/>
      </c>
      <c r="B177" s="10" t="str">
        <f aca="false">IF(D177="","",D177&amp;", "&amp;F177&amp;" m wide, "&amp;G177&amp;" m headroom, "&amp;H177&amp;" m bays, "&amp;I177&amp;" ("&amp;E177&amp;")")</f>
        <v/>
      </c>
      <c r="C177" s="9"/>
      <c r="D177" s="9"/>
      <c r="E177" s="9"/>
      <c r="F177" s="42"/>
      <c r="G177" s="42"/>
      <c r="H177" s="42"/>
      <c r="I177" s="9"/>
      <c r="J177" s="9"/>
      <c r="K177" s="9"/>
      <c r="L177" s="9"/>
      <c r="M177" s="9"/>
      <c r="N177" s="9"/>
      <c r="O177" s="9"/>
      <c r="P177" s="9"/>
      <c r="Q177" s="9"/>
      <c r="R177" s="9"/>
      <c r="S177" s="42"/>
      <c r="T177" s="9"/>
      <c r="U177" s="9"/>
      <c r="V177" s="9"/>
      <c r="W177" s="38"/>
      <c r="X177" s="42"/>
      <c r="Y177" s="9"/>
      <c r="Z177" s="9"/>
      <c r="AA177" s="9"/>
      <c r="AB177" s="42"/>
      <c r="AC177" s="9"/>
      <c r="AD177" s="38"/>
      <c r="AE177" s="9"/>
      <c r="AF177" s="39"/>
      <c r="AG177" s="9"/>
      <c r="AH177" s="9"/>
      <c r="AI177" s="9"/>
      <c r="AJ177" s="9"/>
      <c r="AK177" s="9"/>
      <c r="AL177" s="9"/>
      <c r="AM177" s="9"/>
      <c r="AN177" s="10" t="str">
        <f aca="false">IF(A177="","",SG_Criteria!$B$6&amp;SG_Criteria!$B$12&amp;"\"&amp;A177&amp;"\")</f>
        <v/>
      </c>
      <c r="AO177" s="10" t="str">
        <f aca="false">IF(A177="","",A177&amp;"_CAD.dwg")</f>
        <v/>
      </c>
      <c r="AP177" s="10" t="str">
        <f aca="false">IF(A177="","",A177&amp;"_DWG.pdf")</f>
        <v/>
      </c>
      <c r="AQ177" s="10" t="str">
        <f aca="false">IF(A177="","",IF(AM177="Y",A177&amp;"_STAAD.std","n/a"))</f>
        <v/>
      </c>
      <c r="AR177" s="10" t="str">
        <f aca="false">IF(A177="","",A177&amp;"_CALC.xlsx")</f>
        <v/>
      </c>
      <c r="AS177" s="10" t="str">
        <f aca="false">IF(A177="","",A177&amp;"_CALC.pdf")</f>
        <v/>
      </c>
      <c r="AT177" s="9"/>
      <c r="AU177" s="9"/>
      <c r="AV177" s="39"/>
      <c r="AW177" s="39"/>
      <c r="AX177" s="39"/>
      <c r="AY177" s="39"/>
      <c r="AZ177" s="39"/>
      <c r="BA177" s="12" t="str">
        <f aca="false">IF(A177="","",IF(COUNTIF(Rebar_Schedule!$A$5:$A$2004,A177)=0,"",ROUND(SUMIF(Rebar_Schedule!$A$5:$A$2004,A177,Rebar_Schedule!$K$5:$K$2004),1)))</f>
        <v/>
      </c>
      <c r="BB177" s="33" t="str">
        <f aca="false">IF(A177="","",IF(BA177="","No rebar schedule yet",IF(ABS(BA177-N(AW177))/MAX(N(AW177),1)&gt;SG_Criteria!$B$55,"NOTE: register rebar differs from schedule by "&amp;TEXT(ABS(BA177-N(AW177))/MAX(N(AW177),1),"0%"),"OK")))</f>
        <v/>
      </c>
      <c r="BC177" s="33" t="str">
        <f aca="false">IF(D177="","",IF(LEN(IF(AND(D177&lt;&gt;"High Covered Linkway",G177&lt;SG_Criteria!$B$46),"FAIL: headroom below "&amp;SG_Criteria!$B$46&amp;" m. ","")&amp;IF(AND(D177="High Covered Linkway",G177&lt;SG_Criteria!$B$47),"FAIL: high linkway headroom below "&amp;SG_Criteria!$B$47&amp;" m. ","")&amp;IF(F177&lt;SG_Criteria!$B$48,"FAIL: roof width below "&amp;SG_Criteria!$B$48&amp;" m. ",IF(F177&lt;SG_Criteria!$B$49,"NOTE: not for MRT/LRT or high-traffic routes (min "&amp;SG_Criteria!$B$49&amp;" m). ",""))&amp;IF(AND(W177&lt;&gt;"",W177&lt;SG_Criteria!$B$50),"FAIL: wind speed below "&amp;SG_Criteria!$B$50&amp;" m/s. ","")&amp;IF(AND(X177&lt;&gt;"",X177&lt;SG_Criteria!$B$51),"FAIL: roof fixing pull-out below "&amp;SG_Criteria!$B$51&amp;" kN. ","")&amp;IF(AND(Y177&lt;&gt;"",IFERROR(VALUE(MID(Y177,2,2)),0)&lt;SG_Criteria!$B$52),"FAIL: grade below C"&amp;SG_Criteria!$B$52&amp;". ","")&amp;IF(E177="Non-standard (project design)","NOTE: not an SDRE standard, needs LTA acceptance. ",""))=0,"OK",IF(AND(D177&lt;&gt;"High Covered Linkway",G177&lt;SG_Criteria!$B$46),"FAIL: headroom below "&amp;SG_Criteria!$B$46&amp;" m. ","")&amp;IF(AND(D177="High Covered Linkway",G177&lt;SG_Criteria!$B$47),"FAIL: high linkway headroom below "&amp;SG_Criteria!$B$47&amp;" m. ","")&amp;IF(F177&lt;SG_Criteria!$B$48,"FAIL: roof width below "&amp;SG_Criteria!$B$48&amp;" m. ",IF(F177&lt;SG_Criteria!$B$49,"NOTE: not for MRT/LRT or high-traffic routes (min "&amp;SG_Criteria!$B$49&amp;" m). ",""))&amp;IF(AND(W177&lt;&gt;"",W177&lt;SG_Criteria!$B$50),"FAIL: wind speed below "&amp;SG_Criteria!$B$50&amp;" m/s. ","")&amp;IF(AND(X177&lt;&gt;"",X177&lt;SG_Criteria!$B$51),"FAIL: roof fixing pull-out below "&amp;SG_Criteria!$B$51&amp;" kN. ","")&amp;IF(AND(Y177&lt;&gt;"",IFERROR(VALUE(MID(Y177,2,2)),0)&lt;SG_Criteria!$B$52),"FAIL: grade below C"&amp;SG_Criteria!$B$52&amp;". ","")&amp;IF(E177="Non-standard (project design)","NOTE: not an SDRE standard, needs LTA acceptance. ","")))</f>
        <v/>
      </c>
      <c r="BD177" s="9"/>
      <c r="BE177" s="9"/>
      <c r="BF177" s="9"/>
      <c r="BG177" s="10" t="str">
        <f aca="false">IF(BF177="","",IFERROR(VLOOKUP(BF177,Projects!$A$5:$D$504,2,0),"Ref not in Projects"))</f>
        <v/>
      </c>
      <c r="BH177" s="10" t="str">
        <f aca="false">IF(BF177="","",IFERROR(VLOOKUP(BF177,Projects!$A$5:$D$504,4,0),"Ref not in Projects"))</f>
        <v/>
      </c>
      <c r="BI177" s="9"/>
      <c r="BJ177" s="9"/>
      <c r="BK177" s="9"/>
      <c r="BL177" s="40"/>
      <c r="BM177" s="9"/>
      <c r="BN177" s="40"/>
      <c r="BO177" s="9"/>
      <c r="BP177" s="40"/>
      <c r="BQ177" s="9"/>
      <c r="BR177" s="9"/>
      <c r="BS177" s="9"/>
      <c r="BT177" s="40"/>
      <c r="BU177" s="40"/>
      <c r="BV177" s="36" t="str">
        <f aca="false">IF(BU177="","",EDATE(BU177,SG_Criteria!$B$54*12))</f>
        <v/>
      </c>
      <c r="BW177" s="33" t="str">
        <f aca="true">IF(A177="","",IF(BU177="","NOTE: not reviewed yet",IF(TODAY()&gt;BV177,"NOTE: review overdue","OK")))</f>
        <v/>
      </c>
      <c r="BX177" s="37" t="str">
        <f aca="false">IF(A177="","",ROUND((IF(LEN(D177)&gt;0,1,0)+IF(LEN(E177)&gt;0,1,0)+IF(LEN(F177)&gt;0,1,0)+IF(LEN(G177)&gt;0,1,0)+IF(LEN(H177)&gt;0,1,0)+IF(LEN(I177)&gt;0,1,0)+IF(LEN(J177)&gt;0,1,0)+IF(LEN(K177)&gt;0,1,0)+IF(LEN(N177)&gt;0,1,0)+IF(LEN(O177)&gt;0,1,0)+IF(LEN(W177)&gt;0,1,0)+IF(LEN(X177)&gt;0,1,0)+IF(LEN(Y177)&gt;0,1,0)+IF(LEN(AG177)&gt;0,1,0)+IF(LEN(AI177)&gt;0,1,0)+IF(LEN(AJ177)&gt;0,1,0)+IF(LEN(AK177)&gt;0,1,0)+IF(LEN(AL177)&gt;0,1,0)+IF(LEN(AU177)&gt;0,1,0)+IF(LEN(BF177)&gt;0,1,0)+IF(LEN(BS177)&gt;0,1,0))/21,2))</f>
        <v/>
      </c>
      <c r="BY177" s="10" t="str">
        <f aca="false">IF(D177="","",IF(AND(AJ177="Approved",ISERROR(SEARCH("FAIL",BC177))),"Y","N"))</f>
        <v/>
      </c>
      <c r="BZ177" s="10" t="str">
        <f aca="false">IF(D177="","",D177&amp;"|"&amp;F177&amp;"|"&amp;G177&amp;"|"&amp;BY177)</f>
        <v/>
      </c>
    </row>
    <row r="178" customFormat="false" ht="15" hidden="false" customHeight="false" outlineLevel="0" collapsed="false">
      <c r="A178" s="10" t="str">
        <f aca="false">IF(D178="","","LKW-"&amp;IFERROR(VLOOKUP(D178,Lists!$AQ$4:$AR$17,2,0),"??")&amp;"-W"&amp;TEXT(F178*1000,"0000")&amp;"-H"&amp;TEXT(G178*1000,"0000")&amp;"-B"&amp;TEXT(H178*1000,"0000")&amp;"-"&amp;AI178)</f>
        <v/>
      </c>
      <c r="B178" s="10" t="str">
        <f aca="false">IF(D178="","",D178&amp;", "&amp;F178&amp;" m wide, "&amp;G178&amp;" m headroom, "&amp;H178&amp;" m bays, "&amp;I178&amp;" ("&amp;E178&amp;")")</f>
        <v/>
      </c>
      <c r="C178" s="9"/>
      <c r="D178" s="9"/>
      <c r="E178" s="9"/>
      <c r="F178" s="42"/>
      <c r="G178" s="42"/>
      <c r="H178" s="42"/>
      <c r="I178" s="9"/>
      <c r="J178" s="9"/>
      <c r="K178" s="9"/>
      <c r="L178" s="9"/>
      <c r="M178" s="9"/>
      <c r="N178" s="9"/>
      <c r="O178" s="9"/>
      <c r="P178" s="9"/>
      <c r="Q178" s="9"/>
      <c r="R178" s="9"/>
      <c r="S178" s="42"/>
      <c r="T178" s="9"/>
      <c r="U178" s="9"/>
      <c r="V178" s="9"/>
      <c r="W178" s="38"/>
      <c r="X178" s="42"/>
      <c r="Y178" s="9"/>
      <c r="Z178" s="9"/>
      <c r="AA178" s="9"/>
      <c r="AB178" s="42"/>
      <c r="AC178" s="9"/>
      <c r="AD178" s="38"/>
      <c r="AE178" s="9"/>
      <c r="AF178" s="39"/>
      <c r="AG178" s="9"/>
      <c r="AH178" s="9"/>
      <c r="AI178" s="9"/>
      <c r="AJ178" s="9"/>
      <c r="AK178" s="9"/>
      <c r="AL178" s="9"/>
      <c r="AM178" s="9"/>
      <c r="AN178" s="10" t="str">
        <f aca="false">IF(A178="","",SG_Criteria!$B$6&amp;SG_Criteria!$B$12&amp;"\"&amp;A178&amp;"\")</f>
        <v/>
      </c>
      <c r="AO178" s="10" t="str">
        <f aca="false">IF(A178="","",A178&amp;"_CAD.dwg")</f>
        <v/>
      </c>
      <c r="AP178" s="10" t="str">
        <f aca="false">IF(A178="","",A178&amp;"_DWG.pdf")</f>
        <v/>
      </c>
      <c r="AQ178" s="10" t="str">
        <f aca="false">IF(A178="","",IF(AM178="Y",A178&amp;"_STAAD.std","n/a"))</f>
        <v/>
      </c>
      <c r="AR178" s="10" t="str">
        <f aca="false">IF(A178="","",A178&amp;"_CALC.xlsx")</f>
        <v/>
      </c>
      <c r="AS178" s="10" t="str">
        <f aca="false">IF(A178="","",A178&amp;"_CALC.pdf")</f>
        <v/>
      </c>
      <c r="AT178" s="9"/>
      <c r="AU178" s="9"/>
      <c r="AV178" s="39"/>
      <c r="AW178" s="39"/>
      <c r="AX178" s="39"/>
      <c r="AY178" s="39"/>
      <c r="AZ178" s="39"/>
      <c r="BA178" s="12" t="str">
        <f aca="false">IF(A178="","",IF(COUNTIF(Rebar_Schedule!$A$5:$A$2004,A178)=0,"",ROUND(SUMIF(Rebar_Schedule!$A$5:$A$2004,A178,Rebar_Schedule!$K$5:$K$2004),1)))</f>
        <v/>
      </c>
      <c r="BB178" s="33" t="str">
        <f aca="false">IF(A178="","",IF(BA178="","No rebar schedule yet",IF(ABS(BA178-N(AW178))/MAX(N(AW178),1)&gt;SG_Criteria!$B$55,"NOTE: register rebar differs from schedule by "&amp;TEXT(ABS(BA178-N(AW178))/MAX(N(AW178),1),"0%"),"OK")))</f>
        <v/>
      </c>
      <c r="BC178" s="33" t="str">
        <f aca="false">IF(D178="","",IF(LEN(IF(AND(D178&lt;&gt;"High Covered Linkway",G178&lt;SG_Criteria!$B$46),"FAIL: headroom below "&amp;SG_Criteria!$B$46&amp;" m. ","")&amp;IF(AND(D178="High Covered Linkway",G178&lt;SG_Criteria!$B$47),"FAIL: high linkway headroom below "&amp;SG_Criteria!$B$47&amp;" m. ","")&amp;IF(F178&lt;SG_Criteria!$B$48,"FAIL: roof width below "&amp;SG_Criteria!$B$48&amp;" m. ",IF(F178&lt;SG_Criteria!$B$49,"NOTE: not for MRT/LRT or high-traffic routes (min "&amp;SG_Criteria!$B$49&amp;" m). ",""))&amp;IF(AND(W178&lt;&gt;"",W178&lt;SG_Criteria!$B$50),"FAIL: wind speed below "&amp;SG_Criteria!$B$50&amp;" m/s. ","")&amp;IF(AND(X178&lt;&gt;"",X178&lt;SG_Criteria!$B$51),"FAIL: roof fixing pull-out below "&amp;SG_Criteria!$B$51&amp;" kN. ","")&amp;IF(AND(Y178&lt;&gt;"",IFERROR(VALUE(MID(Y178,2,2)),0)&lt;SG_Criteria!$B$52),"FAIL: grade below C"&amp;SG_Criteria!$B$52&amp;". ","")&amp;IF(E178="Non-standard (project design)","NOTE: not an SDRE standard, needs LTA acceptance. ",""))=0,"OK",IF(AND(D178&lt;&gt;"High Covered Linkway",G178&lt;SG_Criteria!$B$46),"FAIL: headroom below "&amp;SG_Criteria!$B$46&amp;" m. ","")&amp;IF(AND(D178="High Covered Linkway",G178&lt;SG_Criteria!$B$47),"FAIL: high linkway headroom below "&amp;SG_Criteria!$B$47&amp;" m. ","")&amp;IF(F178&lt;SG_Criteria!$B$48,"FAIL: roof width below "&amp;SG_Criteria!$B$48&amp;" m. ",IF(F178&lt;SG_Criteria!$B$49,"NOTE: not for MRT/LRT or high-traffic routes (min "&amp;SG_Criteria!$B$49&amp;" m). ",""))&amp;IF(AND(W178&lt;&gt;"",W178&lt;SG_Criteria!$B$50),"FAIL: wind speed below "&amp;SG_Criteria!$B$50&amp;" m/s. ","")&amp;IF(AND(X178&lt;&gt;"",X178&lt;SG_Criteria!$B$51),"FAIL: roof fixing pull-out below "&amp;SG_Criteria!$B$51&amp;" kN. ","")&amp;IF(AND(Y178&lt;&gt;"",IFERROR(VALUE(MID(Y178,2,2)),0)&lt;SG_Criteria!$B$52),"FAIL: grade below C"&amp;SG_Criteria!$B$52&amp;". ","")&amp;IF(E178="Non-standard (project design)","NOTE: not an SDRE standard, needs LTA acceptance. ","")))</f>
        <v/>
      </c>
      <c r="BD178" s="9"/>
      <c r="BE178" s="9"/>
      <c r="BF178" s="9"/>
      <c r="BG178" s="10" t="str">
        <f aca="false">IF(BF178="","",IFERROR(VLOOKUP(BF178,Projects!$A$5:$D$504,2,0),"Ref not in Projects"))</f>
        <v/>
      </c>
      <c r="BH178" s="10" t="str">
        <f aca="false">IF(BF178="","",IFERROR(VLOOKUP(BF178,Projects!$A$5:$D$504,4,0),"Ref not in Projects"))</f>
        <v/>
      </c>
      <c r="BI178" s="9"/>
      <c r="BJ178" s="9"/>
      <c r="BK178" s="9"/>
      <c r="BL178" s="40"/>
      <c r="BM178" s="9"/>
      <c r="BN178" s="40"/>
      <c r="BO178" s="9"/>
      <c r="BP178" s="40"/>
      <c r="BQ178" s="9"/>
      <c r="BR178" s="9"/>
      <c r="BS178" s="9"/>
      <c r="BT178" s="40"/>
      <c r="BU178" s="40"/>
      <c r="BV178" s="36" t="str">
        <f aca="false">IF(BU178="","",EDATE(BU178,SG_Criteria!$B$54*12))</f>
        <v/>
      </c>
      <c r="BW178" s="33" t="str">
        <f aca="true">IF(A178="","",IF(BU178="","NOTE: not reviewed yet",IF(TODAY()&gt;BV178,"NOTE: review overdue","OK")))</f>
        <v/>
      </c>
      <c r="BX178" s="37" t="str">
        <f aca="false">IF(A178="","",ROUND((IF(LEN(D178)&gt;0,1,0)+IF(LEN(E178)&gt;0,1,0)+IF(LEN(F178)&gt;0,1,0)+IF(LEN(G178)&gt;0,1,0)+IF(LEN(H178)&gt;0,1,0)+IF(LEN(I178)&gt;0,1,0)+IF(LEN(J178)&gt;0,1,0)+IF(LEN(K178)&gt;0,1,0)+IF(LEN(N178)&gt;0,1,0)+IF(LEN(O178)&gt;0,1,0)+IF(LEN(W178)&gt;0,1,0)+IF(LEN(X178)&gt;0,1,0)+IF(LEN(Y178)&gt;0,1,0)+IF(LEN(AG178)&gt;0,1,0)+IF(LEN(AI178)&gt;0,1,0)+IF(LEN(AJ178)&gt;0,1,0)+IF(LEN(AK178)&gt;0,1,0)+IF(LEN(AL178)&gt;0,1,0)+IF(LEN(AU178)&gt;0,1,0)+IF(LEN(BF178)&gt;0,1,0)+IF(LEN(BS178)&gt;0,1,0))/21,2))</f>
        <v/>
      </c>
      <c r="BY178" s="10" t="str">
        <f aca="false">IF(D178="","",IF(AND(AJ178="Approved",ISERROR(SEARCH("FAIL",BC178))),"Y","N"))</f>
        <v/>
      </c>
      <c r="BZ178" s="10" t="str">
        <f aca="false">IF(D178="","",D178&amp;"|"&amp;F178&amp;"|"&amp;G178&amp;"|"&amp;BY178)</f>
        <v/>
      </c>
    </row>
    <row r="179" customFormat="false" ht="15" hidden="false" customHeight="false" outlineLevel="0" collapsed="false">
      <c r="A179" s="10" t="str">
        <f aca="false">IF(D179="","","LKW-"&amp;IFERROR(VLOOKUP(D179,Lists!$AQ$4:$AR$17,2,0),"??")&amp;"-W"&amp;TEXT(F179*1000,"0000")&amp;"-H"&amp;TEXT(G179*1000,"0000")&amp;"-B"&amp;TEXT(H179*1000,"0000")&amp;"-"&amp;AI179)</f>
        <v/>
      </c>
      <c r="B179" s="10" t="str">
        <f aca="false">IF(D179="","",D179&amp;", "&amp;F179&amp;" m wide, "&amp;G179&amp;" m headroom, "&amp;H179&amp;" m bays, "&amp;I179&amp;" ("&amp;E179&amp;")")</f>
        <v/>
      </c>
      <c r="C179" s="9"/>
      <c r="D179" s="9"/>
      <c r="E179" s="9"/>
      <c r="F179" s="42"/>
      <c r="G179" s="42"/>
      <c r="H179" s="42"/>
      <c r="I179" s="9"/>
      <c r="J179" s="9"/>
      <c r="K179" s="9"/>
      <c r="L179" s="9"/>
      <c r="M179" s="9"/>
      <c r="N179" s="9"/>
      <c r="O179" s="9"/>
      <c r="P179" s="9"/>
      <c r="Q179" s="9"/>
      <c r="R179" s="9"/>
      <c r="S179" s="42"/>
      <c r="T179" s="9"/>
      <c r="U179" s="9"/>
      <c r="V179" s="9"/>
      <c r="W179" s="38"/>
      <c r="X179" s="42"/>
      <c r="Y179" s="9"/>
      <c r="Z179" s="9"/>
      <c r="AA179" s="9"/>
      <c r="AB179" s="42"/>
      <c r="AC179" s="9"/>
      <c r="AD179" s="38"/>
      <c r="AE179" s="9"/>
      <c r="AF179" s="39"/>
      <c r="AG179" s="9"/>
      <c r="AH179" s="9"/>
      <c r="AI179" s="9"/>
      <c r="AJ179" s="9"/>
      <c r="AK179" s="9"/>
      <c r="AL179" s="9"/>
      <c r="AM179" s="9"/>
      <c r="AN179" s="10" t="str">
        <f aca="false">IF(A179="","",SG_Criteria!$B$6&amp;SG_Criteria!$B$12&amp;"\"&amp;A179&amp;"\")</f>
        <v/>
      </c>
      <c r="AO179" s="10" t="str">
        <f aca="false">IF(A179="","",A179&amp;"_CAD.dwg")</f>
        <v/>
      </c>
      <c r="AP179" s="10" t="str">
        <f aca="false">IF(A179="","",A179&amp;"_DWG.pdf")</f>
        <v/>
      </c>
      <c r="AQ179" s="10" t="str">
        <f aca="false">IF(A179="","",IF(AM179="Y",A179&amp;"_STAAD.std","n/a"))</f>
        <v/>
      </c>
      <c r="AR179" s="10" t="str">
        <f aca="false">IF(A179="","",A179&amp;"_CALC.xlsx")</f>
        <v/>
      </c>
      <c r="AS179" s="10" t="str">
        <f aca="false">IF(A179="","",A179&amp;"_CALC.pdf")</f>
        <v/>
      </c>
      <c r="AT179" s="9"/>
      <c r="AU179" s="9"/>
      <c r="AV179" s="39"/>
      <c r="AW179" s="39"/>
      <c r="AX179" s="39"/>
      <c r="AY179" s="39"/>
      <c r="AZ179" s="39"/>
      <c r="BA179" s="12" t="str">
        <f aca="false">IF(A179="","",IF(COUNTIF(Rebar_Schedule!$A$5:$A$2004,A179)=0,"",ROUND(SUMIF(Rebar_Schedule!$A$5:$A$2004,A179,Rebar_Schedule!$K$5:$K$2004),1)))</f>
        <v/>
      </c>
      <c r="BB179" s="33" t="str">
        <f aca="false">IF(A179="","",IF(BA179="","No rebar schedule yet",IF(ABS(BA179-N(AW179))/MAX(N(AW179),1)&gt;SG_Criteria!$B$55,"NOTE: register rebar differs from schedule by "&amp;TEXT(ABS(BA179-N(AW179))/MAX(N(AW179),1),"0%"),"OK")))</f>
        <v/>
      </c>
      <c r="BC179" s="33" t="str">
        <f aca="false">IF(D179="","",IF(LEN(IF(AND(D179&lt;&gt;"High Covered Linkway",G179&lt;SG_Criteria!$B$46),"FAIL: headroom below "&amp;SG_Criteria!$B$46&amp;" m. ","")&amp;IF(AND(D179="High Covered Linkway",G179&lt;SG_Criteria!$B$47),"FAIL: high linkway headroom below "&amp;SG_Criteria!$B$47&amp;" m. ","")&amp;IF(F179&lt;SG_Criteria!$B$48,"FAIL: roof width below "&amp;SG_Criteria!$B$48&amp;" m. ",IF(F179&lt;SG_Criteria!$B$49,"NOTE: not for MRT/LRT or high-traffic routes (min "&amp;SG_Criteria!$B$49&amp;" m). ",""))&amp;IF(AND(W179&lt;&gt;"",W179&lt;SG_Criteria!$B$50),"FAIL: wind speed below "&amp;SG_Criteria!$B$50&amp;" m/s. ","")&amp;IF(AND(X179&lt;&gt;"",X179&lt;SG_Criteria!$B$51),"FAIL: roof fixing pull-out below "&amp;SG_Criteria!$B$51&amp;" kN. ","")&amp;IF(AND(Y179&lt;&gt;"",IFERROR(VALUE(MID(Y179,2,2)),0)&lt;SG_Criteria!$B$52),"FAIL: grade below C"&amp;SG_Criteria!$B$52&amp;". ","")&amp;IF(E179="Non-standard (project design)","NOTE: not an SDRE standard, needs LTA acceptance. ",""))=0,"OK",IF(AND(D179&lt;&gt;"High Covered Linkway",G179&lt;SG_Criteria!$B$46),"FAIL: headroom below "&amp;SG_Criteria!$B$46&amp;" m. ","")&amp;IF(AND(D179="High Covered Linkway",G179&lt;SG_Criteria!$B$47),"FAIL: high linkway headroom below "&amp;SG_Criteria!$B$47&amp;" m. ","")&amp;IF(F179&lt;SG_Criteria!$B$48,"FAIL: roof width below "&amp;SG_Criteria!$B$48&amp;" m. ",IF(F179&lt;SG_Criteria!$B$49,"NOTE: not for MRT/LRT or high-traffic routes (min "&amp;SG_Criteria!$B$49&amp;" m). ",""))&amp;IF(AND(W179&lt;&gt;"",W179&lt;SG_Criteria!$B$50),"FAIL: wind speed below "&amp;SG_Criteria!$B$50&amp;" m/s. ","")&amp;IF(AND(X179&lt;&gt;"",X179&lt;SG_Criteria!$B$51),"FAIL: roof fixing pull-out below "&amp;SG_Criteria!$B$51&amp;" kN. ","")&amp;IF(AND(Y179&lt;&gt;"",IFERROR(VALUE(MID(Y179,2,2)),0)&lt;SG_Criteria!$B$52),"FAIL: grade below C"&amp;SG_Criteria!$B$52&amp;". ","")&amp;IF(E179="Non-standard (project design)","NOTE: not an SDRE standard, needs LTA acceptance. ","")))</f>
        <v/>
      </c>
      <c r="BD179" s="9"/>
      <c r="BE179" s="9"/>
      <c r="BF179" s="9"/>
      <c r="BG179" s="10" t="str">
        <f aca="false">IF(BF179="","",IFERROR(VLOOKUP(BF179,Projects!$A$5:$D$504,2,0),"Ref not in Projects"))</f>
        <v/>
      </c>
      <c r="BH179" s="10" t="str">
        <f aca="false">IF(BF179="","",IFERROR(VLOOKUP(BF179,Projects!$A$5:$D$504,4,0),"Ref not in Projects"))</f>
        <v/>
      </c>
      <c r="BI179" s="9"/>
      <c r="BJ179" s="9"/>
      <c r="BK179" s="9"/>
      <c r="BL179" s="40"/>
      <c r="BM179" s="9"/>
      <c r="BN179" s="40"/>
      <c r="BO179" s="9"/>
      <c r="BP179" s="40"/>
      <c r="BQ179" s="9"/>
      <c r="BR179" s="9"/>
      <c r="BS179" s="9"/>
      <c r="BT179" s="40"/>
      <c r="BU179" s="40"/>
      <c r="BV179" s="36" t="str">
        <f aca="false">IF(BU179="","",EDATE(BU179,SG_Criteria!$B$54*12))</f>
        <v/>
      </c>
      <c r="BW179" s="33" t="str">
        <f aca="true">IF(A179="","",IF(BU179="","NOTE: not reviewed yet",IF(TODAY()&gt;BV179,"NOTE: review overdue","OK")))</f>
        <v/>
      </c>
      <c r="BX179" s="37" t="str">
        <f aca="false">IF(A179="","",ROUND((IF(LEN(D179)&gt;0,1,0)+IF(LEN(E179)&gt;0,1,0)+IF(LEN(F179)&gt;0,1,0)+IF(LEN(G179)&gt;0,1,0)+IF(LEN(H179)&gt;0,1,0)+IF(LEN(I179)&gt;0,1,0)+IF(LEN(J179)&gt;0,1,0)+IF(LEN(K179)&gt;0,1,0)+IF(LEN(N179)&gt;0,1,0)+IF(LEN(O179)&gt;0,1,0)+IF(LEN(W179)&gt;0,1,0)+IF(LEN(X179)&gt;0,1,0)+IF(LEN(Y179)&gt;0,1,0)+IF(LEN(AG179)&gt;0,1,0)+IF(LEN(AI179)&gt;0,1,0)+IF(LEN(AJ179)&gt;0,1,0)+IF(LEN(AK179)&gt;0,1,0)+IF(LEN(AL179)&gt;0,1,0)+IF(LEN(AU179)&gt;0,1,0)+IF(LEN(BF179)&gt;0,1,0)+IF(LEN(BS179)&gt;0,1,0))/21,2))</f>
        <v/>
      </c>
      <c r="BY179" s="10" t="str">
        <f aca="false">IF(D179="","",IF(AND(AJ179="Approved",ISERROR(SEARCH("FAIL",BC179))),"Y","N"))</f>
        <v/>
      </c>
      <c r="BZ179" s="10" t="str">
        <f aca="false">IF(D179="","",D179&amp;"|"&amp;F179&amp;"|"&amp;G179&amp;"|"&amp;BY179)</f>
        <v/>
      </c>
    </row>
    <row r="180" customFormat="false" ht="15" hidden="false" customHeight="false" outlineLevel="0" collapsed="false">
      <c r="A180" s="10" t="str">
        <f aca="false">IF(D180="","","LKW-"&amp;IFERROR(VLOOKUP(D180,Lists!$AQ$4:$AR$17,2,0),"??")&amp;"-W"&amp;TEXT(F180*1000,"0000")&amp;"-H"&amp;TEXT(G180*1000,"0000")&amp;"-B"&amp;TEXT(H180*1000,"0000")&amp;"-"&amp;AI180)</f>
        <v/>
      </c>
      <c r="B180" s="10" t="str">
        <f aca="false">IF(D180="","",D180&amp;", "&amp;F180&amp;" m wide, "&amp;G180&amp;" m headroom, "&amp;H180&amp;" m bays, "&amp;I180&amp;" ("&amp;E180&amp;")")</f>
        <v/>
      </c>
      <c r="C180" s="9"/>
      <c r="D180" s="9"/>
      <c r="E180" s="9"/>
      <c r="F180" s="42"/>
      <c r="G180" s="42"/>
      <c r="H180" s="42"/>
      <c r="I180" s="9"/>
      <c r="J180" s="9"/>
      <c r="K180" s="9"/>
      <c r="L180" s="9"/>
      <c r="M180" s="9"/>
      <c r="N180" s="9"/>
      <c r="O180" s="9"/>
      <c r="P180" s="9"/>
      <c r="Q180" s="9"/>
      <c r="R180" s="9"/>
      <c r="S180" s="42"/>
      <c r="T180" s="9"/>
      <c r="U180" s="9"/>
      <c r="V180" s="9"/>
      <c r="W180" s="38"/>
      <c r="X180" s="42"/>
      <c r="Y180" s="9"/>
      <c r="Z180" s="9"/>
      <c r="AA180" s="9"/>
      <c r="AB180" s="42"/>
      <c r="AC180" s="9"/>
      <c r="AD180" s="38"/>
      <c r="AE180" s="9"/>
      <c r="AF180" s="39"/>
      <c r="AG180" s="9"/>
      <c r="AH180" s="9"/>
      <c r="AI180" s="9"/>
      <c r="AJ180" s="9"/>
      <c r="AK180" s="9"/>
      <c r="AL180" s="9"/>
      <c r="AM180" s="9"/>
      <c r="AN180" s="10" t="str">
        <f aca="false">IF(A180="","",SG_Criteria!$B$6&amp;SG_Criteria!$B$12&amp;"\"&amp;A180&amp;"\")</f>
        <v/>
      </c>
      <c r="AO180" s="10" t="str">
        <f aca="false">IF(A180="","",A180&amp;"_CAD.dwg")</f>
        <v/>
      </c>
      <c r="AP180" s="10" t="str">
        <f aca="false">IF(A180="","",A180&amp;"_DWG.pdf")</f>
        <v/>
      </c>
      <c r="AQ180" s="10" t="str">
        <f aca="false">IF(A180="","",IF(AM180="Y",A180&amp;"_STAAD.std","n/a"))</f>
        <v/>
      </c>
      <c r="AR180" s="10" t="str">
        <f aca="false">IF(A180="","",A180&amp;"_CALC.xlsx")</f>
        <v/>
      </c>
      <c r="AS180" s="10" t="str">
        <f aca="false">IF(A180="","",A180&amp;"_CALC.pdf")</f>
        <v/>
      </c>
      <c r="AT180" s="9"/>
      <c r="AU180" s="9"/>
      <c r="AV180" s="39"/>
      <c r="AW180" s="39"/>
      <c r="AX180" s="39"/>
      <c r="AY180" s="39"/>
      <c r="AZ180" s="39"/>
      <c r="BA180" s="12" t="str">
        <f aca="false">IF(A180="","",IF(COUNTIF(Rebar_Schedule!$A$5:$A$2004,A180)=0,"",ROUND(SUMIF(Rebar_Schedule!$A$5:$A$2004,A180,Rebar_Schedule!$K$5:$K$2004),1)))</f>
        <v/>
      </c>
      <c r="BB180" s="33" t="str">
        <f aca="false">IF(A180="","",IF(BA180="","No rebar schedule yet",IF(ABS(BA180-N(AW180))/MAX(N(AW180),1)&gt;SG_Criteria!$B$55,"NOTE: register rebar differs from schedule by "&amp;TEXT(ABS(BA180-N(AW180))/MAX(N(AW180),1),"0%"),"OK")))</f>
        <v/>
      </c>
      <c r="BC180" s="33" t="str">
        <f aca="false">IF(D180="","",IF(LEN(IF(AND(D180&lt;&gt;"High Covered Linkway",G180&lt;SG_Criteria!$B$46),"FAIL: headroom below "&amp;SG_Criteria!$B$46&amp;" m. ","")&amp;IF(AND(D180="High Covered Linkway",G180&lt;SG_Criteria!$B$47),"FAIL: high linkway headroom below "&amp;SG_Criteria!$B$47&amp;" m. ","")&amp;IF(F180&lt;SG_Criteria!$B$48,"FAIL: roof width below "&amp;SG_Criteria!$B$48&amp;" m. ",IF(F180&lt;SG_Criteria!$B$49,"NOTE: not for MRT/LRT or high-traffic routes (min "&amp;SG_Criteria!$B$49&amp;" m). ",""))&amp;IF(AND(W180&lt;&gt;"",W180&lt;SG_Criteria!$B$50),"FAIL: wind speed below "&amp;SG_Criteria!$B$50&amp;" m/s. ","")&amp;IF(AND(X180&lt;&gt;"",X180&lt;SG_Criteria!$B$51),"FAIL: roof fixing pull-out below "&amp;SG_Criteria!$B$51&amp;" kN. ","")&amp;IF(AND(Y180&lt;&gt;"",IFERROR(VALUE(MID(Y180,2,2)),0)&lt;SG_Criteria!$B$52),"FAIL: grade below C"&amp;SG_Criteria!$B$52&amp;". ","")&amp;IF(E180="Non-standard (project design)","NOTE: not an SDRE standard, needs LTA acceptance. ",""))=0,"OK",IF(AND(D180&lt;&gt;"High Covered Linkway",G180&lt;SG_Criteria!$B$46),"FAIL: headroom below "&amp;SG_Criteria!$B$46&amp;" m. ","")&amp;IF(AND(D180="High Covered Linkway",G180&lt;SG_Criteria!$B$47),"FAIL: high linkway headroom below "&amp;SG_Criteria!$B$47&amp;" m. ","")&amp;IF(F180&lt;SG_Criteria!$B$48,"FAIL: roof width below "&amp;SG_Criteria!$B$48&amp;" m. ",IF(F180&lt;SG_Criteria!$B$49,"NOTE: not for MRT/LRT or high-traffic routes (min "&amp;SG_Criteria!$B$49&amp;" m). ",""))&amp;IF(AND(W180&lt;&gt;"",W180&lt;SG_Criteria!$B$50),"FAIL: wind speed below "&amp;SG_Criteria!$B$50&amp;" m/s. ","")&amp;IF(AND(X180&lt;&gt;"",X180&lt;SG_Criteria!$B$51),"FAIL: roof fixing pull-out below "&amp;SG_Criteria!$B$51&amp;" kN. ","")&amp;IF(AND(Y180&lt;&gt;"",IFERROR(VALUE(MID(Y180,2,2)),0)&lt;SG_Criteria!$B$52),"FAIL: grade below C"&amp;SG_Criteria!$B$52&amp;". ","")&amp;IF(E180="Non-standard (project design)","NOTE: not an SDRE standard, needs LTA acceptance. ","")))</f>
        <v/>
      </c>
      <c r="BD180" s="9"/>
      <c r="BE180" s="9"/>
      <c r="BF180" s="9"/>
      <c r="BG180" s="10" t="str">
        <f aca="false">IF(BF180="","",IFERROR(VLOOKUP(BF180,Projects!$A$5:$D$504,2,0),"Ref not in Projects"))</f>
        <v/>
      </c>
      <c r="BH180" s="10" t="str">
        <f aca="false">IF(BF180="","",IFERROR(VLOOKUP(BF180,Projects!$A$5:$D$504,4,0),"Ref not in Projects"))</f>
        <v/>
      </c>
      <c r="BI180" s="9"/>
      <c r="BJ180" s="9"/>
      <c r="BK180" s="9"/>
      <c r="BL180" s="40"/>
      <c r="BM180" s="9"/>
      <c r="BN180" s="40"/>
      <c r="BO180" s="9"/>
      <c r="BP180" s="40"/>
      <c r="BQ180" s="9"/>
      <c r="BR180" s="9"/>
      <c r="BS180" s="9"/>
      <c r="BT180" s="40"/>
      <c r="BU180" s="40"/>
      <c r="BV180" s="36" t="str">
        <f aca="false">IF(BU180="","",EDATE(BU180,SG_Criteria!$B$54*12))</f>
        <v/>
      </c>
      <c r="BW180" s="33" t="str">
        <f aca="true">IF(A180="","",IF(BU180="","NOTE: not reviewed yet",IF(TODAY()&gt;BV180,"NOTE: review overdue","OK")))</f>
        <v/>
      </c>
      <c r="BX180" s="37" t="str">
        <f aca="false">IF(A180="","",ROUND((IF(LEN(D180)&gt;0,1,0)+IF(LEN(E180)&gt;0,1,0)+IF(LEN(F180)&gt;0,1,0)+IF(LEN(G180)&gt;0,1,0)+IF(LEN(H180)&gt;0,1,0)+IF(LEN(I180)&gt;0,1,0)+IF(LEN(J180)&gt;0,1,0)+IF(LEN(K180)&gt;0,1,0)+IF(LEN(N180)&gt;0,1,0)+IF(LEN(O180)&gt;0,1,0)+IF(LEN(W180)&gt;0,1,0)+IF(LEN(X180)&gt;0,1,0)+IF(LEN(Y180)&gt;0,1,0)+IF(LEN(AG180)&gt;0,1,0)+IF(LEN(AI180)&gt;0,1,0)+IF(LEN(AJ180)&gt;0,1,0)+IF(LEN(AK180)&gt;0,1,0)+IF(LEN(AL180)&gt;0,1,0)+IF(LEN(AU180)&gt;0,1,0)+IF(LEN(BF180)&gt;0,1,0)+IF(LEN(BS180)&gt;0,1,0))/21,2))</f>
        <v/>
      </c>
      <c r="BY180" s="10" t="str">
        <f aca="false">IF(D180="","",IF(AND(AJ180="Approved",ISERROR(SEARCH("FAIL",BC180))),"Y","N"))</f>
        <v/>
      </c>
      <c r="BZ180" s="10" t="str">
        <f aca="false">IF(D180="","",D180&amp;"|"&amp;F180&amp;"|"&amp;G180&amp;"|"&amp;BY180)</f>
        <v/>
      </c>
    </row>
    <row r="181" customFormat="false" ht="15" hidden="false" customHeight="false" outlineLevel="0" collapsed="false">
      <c r="A181" s="10" t="str">
        <f aca="false">IF(D181="","","LKW-"&amp;IFERROR(VLOOKUP(D181,Lists!$AQ$4:$AR$17,2,0),"??")&amp;"-W"&amp;TEXT(F181*1000,"0000")&amp;"-H"&amp;TEXT(G181*1000,"0000")&amp;"-B"&amp;TEXT(H181*1000,"0000")&amp;"-"&amp;AI181)</f>
        <v/>
      </c>
      <c r="B181" s="10" t="str">
        <f aca="false">IF(D181="","",D181&amp;", "&amp;F181&amp;" m wide, "&amp;G181&amp;" m headroom, "&amp;H181&amp;" m bays, "&amp;I181&amp;" ("&amp;E181&amp;")")</f>
        <v/>
      </c>
      <c r="C181" s="9"/>
      <c r="D181" s="9"/>
      <c r="E181" s="9"/>
      <c r="F181" s="42"/>
      <c r="G181" s="42"/>
      <c r="H181" s="42"/>
      <c r="I181" s="9"/>
      <c r="J181" s="9"/>
      <c r="K181" s="9"/>
      <c r="L181" s="9"/>
      <c r="M181" s="9"/>
      <c r="N181" s="9"/>
      <c r="O181" s="9"/>
      <c r="P181" s="9"/>
      <c r="Q181" s="9"/>
      <c r="R181" s="9"/>
      <c r="S181" s="42"/>
      <c r="T181" s="9"/>
      <c r="U181" s="9"/>
      <c r="V181" s="9"/>
      <c r="W181" s="38"/>
      <c r="X181" s="42"/>
      <c r="Y181" s="9"/>
      <c r="Z181" s="9"/>
      <c r="AA181" s="9"/>
      <c r="AB181" s="42"/>
      <c r="AC181" s="9"/>
      <c r="AD181" s="38"/>
      <c r="AE181" s="9"/>
      <c r="AF181" s="39"/>
      <c r="AG181" s="9"/>
      <c r="AH181" s="9"/>
      <c r="AI181" s="9"/>
      <c r="AJ181" s="9"/>
      <c r="AK181" s="9"/>
      <c r="AL181" s="9"/>
      <c r="AM181" s="9"/>
      <c r="AN181" s="10" t="str">
        <f aca="false">IF(A181="","",SG_Criteria!$B$6&amp;SG_Criteria!$B$12&amp;"\"&amp;A181&amp;"\")</f>
        <v/>
      </c>
      <c r="AO181" s="10" t="str">
        <f aca="false">IF(A181="","",A181&amp;"_CAD.dwg")</f>
        <v/>
      </c>
      <c r="AP181" s="10" t="str">
        <f aca="false">IF(A181="","",A181&amp;"_DWG.pdf")</f>
        <v/>
      </c>
      <c r="AQ181" s="10" t="str">
        <f aca="false">IF(A181="","",IF(AM181="Y",A181&amp;"_STAAD.std","n/a"))</f>
        <v/>
      </c>
      <c r="AR181" s="10" t="str">
        <f aca="false">IF(A181="","",A181&amp;"_CALC.xlsx")</f>
        <v/>
      </c>
      <c r="AS181" s="10" t="str">
        <f aca="false">IF(A181="","",A181&amp;"_CALC.pdf")</f>
        <v/>
      </c>
      <c r="AT181" s="9"/>
      <c r="AU181" s="9"/>
      <c r="AV181" s="39"/>
      <c r="AW181" s="39"/>
      <c r="AX181" s="39"/>
      <c r="AY181" s="39"/>
      <c r="AZ181" s="39"/>
      <c r="BA181" s="12" t="str">
        <f aca="false">IF(A181="","",IF(COUNTIF(Rebar_Schedule!$A$5:$A$2004,A181)=0,"",ROUND(SUMIF(Rebar_Schedule!$A$5:$A$2004,A181,Rebar_Schedule!$K$5:$K$2004),1)))</f>
        <v/>
      </c>
      <c r="BB181" s="33" t="str">
        <f aca="false">IF(A181="","",IF(BA181="","No rebar schedule yet",IF(ABS(BA181-N(AW181))/MAX(N(AW181),1)&gt;SG_Criteria!$B$55,"NOTE: register rebar differs from schedule by "&amp;TEXT(ABS(BA181-N(AW181))/MAX(N(AW181),1),"0%"),"OK")))</f>
        <v/>
      </c>
      <c r="BC181" s="33" t="str">
        <f aca="false">IF(D181="","",IF(LEN(IF(AND(D181&lt;&gt;"High Covered Linkway",G181&lt;SG_Criteria!$B$46),"FAIL: headroom below "&amp;SG_Criteria!$B$46&amp;" m. ","")&amp;IF(AND(D181="High Covered Linkway",G181&lt;SG_Criteria!$B$47),"FAIL: high linkway headroom below "&amp;SG_Criteria!$B$47&amp;" m. ","")&amp;IF(F181&lt;SG_Criteria!$B$48,"FAIL: roof width below "&amp;SG_Criteria!$B$48&amp;" m. ",IF(F181&lt;SG_Criteria!$B$49,"NOTE: not for MRT/LRT or high-traffic routes (min "&amp;SG_Criteria!$B$49&amp;" m). ",""))&amp;IF(AND(W181&lt;&gt;"",W181&lt;SG_Criteria!$B$50),"FAIL: wind speed below "&amp;SG_Criteria!$B$50&amp;" m/s. ","")&amp;IF(AND(X181&lt;&gt;"",X181&lt;SG_Criteria!$B$51),"FAIL: roof fixing pull-out below "&amp;SG_Criteria!$B$51&amp;" kN. ","")&amp;IF(AND(Y181&lt;&gt;"",IFERROR(VALUE(MID(Y181,2,2)),0)&lt;SG_Criteria!$B$52),"FAIL: grade below C"&amp;SG_Criteria!$B$52&amp;". ","")&amp;IF(E181="Non-standard (project design)","NOTE: not an SDRE standard, needs LTA acceptance. ",""))=0,"OK",IF(AND(D181&lt;&gt;"High Covered Linkway",G181&lt;SG_Criteria!$B$46),"FAIL: headroom below "&amp;SG_Criteria!$B$46&amp;" m. ","")&amp;IF(AND(D181="High Covered Linkway",G181&lt;SG_Criteria!$B$47),"FAIL: high linkway headroom below "&amp;SG_Criteria!$B$47&amp;" m. ","")&amp;IF(F181&lt;SG_Criteria!$B$48,"FAIL: roof width below "&amp;SG_Criteria!$B$48&amp;" m. ",IF(F181&lt;SG_Criteria!$B$49,"NOTE: not for MRT/LRT or high-traffic routes (min "&amp;SG_Criteria!$B$49&amp;" m). ",""))&amp;IF(AND(W181&lt;&gt;"",W181&lt;SG_Criteria!$B$50),"FAIL: wind speed below "&amp;SG_Criteria!$B$50&amp;" m/s. ","")&amp;IF(AND(X181&lt;&gt;"",X181&lt;SG_Criteria!$B$51),"FAIL: roof fixing pull-out below "&amp;SG_Criteria!$B$51&amp;" kN. ","")&amp;IF(AND(Y181&lt;&gt;"",IFERROR(VALUE(MID(Y181,2,2)),0)&lt;SG_Criteria!$B$52),"FAIL: grade below C"&amp;SG_Criteria!$B$52&amp;". ","")&amp;IF(E181="Non-standard (project design)","NOTE: not an SDRE standard, needs LTA acceptance. ","")))</f>
        <v/>
      </c>
      <c r="BD181" s="9"/>
      <c r="BE181" s="9"/>
      <c r="BF181" s="9"/>
      <c r="BG181" s="10" t="str">
        <f aca="false">IF(BF181="","",IFERROR(VLOOKUP(BF181,Projects!$A$5:$D$504,2,0),"Ref not in Projects"))</f>
        <v/>
      </c>
      <c r="BH181" s="10" t="str">
        <f aca="false">IF(BF181="","",IFERROR(VLOOKUP(BF181,Projects!$A$5:$D$504,4,0),"Ref not in Projects"))</f>
        <v/>
      </c>
      <c r="BI181" s="9"/>
      <c r="BJ181" s="9"/>
      <c r="BK181" s="9"/>
      <c r="BL181" s="40"/>
      <c r="BM181" s="9"/>
      <c r="BN181" s="40"/>
      <c r="BO181" s="9"/>
      <c r="BP181" s="40"/>
      <c r="BQ181" s="9"/>
      <c r="BR181" s="9"/>
      <c r="BS181" s="9"/>
      <c r="BT181" s="40"/>
      <c r="BU181" s="40"/>
      <c r="BV181" s="36" t="str">
        <f aca="false">IF(BU181="","",EDATE(BU181,SG_Criteria!$B$54*12))</f>
        <v/>
      </c>
      <c r="BW181" s="33" t="str">
        <f aca="true">IF(A181="","",IF(BU181="","NOTE: not reviewed yet",IF(TODAY()&gt;BV181,"NOTE: review overdue","OK")))</f>
        <v/>
      </c>
      <c r="BX181" s="37" t="str">
        <f aca="false">IF(A181="","",ROUND((IF(LEN(D181)&gt;0,1,0)+IF(LEN(E181)&gt;0,1,0)+IF(LEN(F181)&gt;0,1,0)+IF(LEN(G181)&gt;0,1,0)+IF(LEN(H181)&gt;0,1,0)+IF(LEN(I181)&gt;0,1,0)+IF(LEN(J181)&gt;0,1,0)+IF(LEN(K181)&gt;0,1,0)+IF(LEN(N181)&gt;0,1,0)+IF(LEN(O181)&gt;0,1,0)+IF(LEN(W181)&gt;0,1,0)+IF(LEN(X181)&gt;0,1,0)+IF(LEN(Y181)&gt;0,1,0)+IF(LEN(AG181)&gt;0,1,0)+IF(LEN(AI181)&gt;0,1,0)+IF(LEN(AJ181)&gt;0,1,0)+IF(LEN(AK181)&gt;0,1,0)+IF(LEN(AL181)&gt;0,1,0)+IF(LEN(AU181)&gt;0,1,0)+IF(LEN(BF181)&gt;0,1,0)+IF(LEN(BS181)&gt;0,1,0))/21,2))</f>
        <v/>
      </c>
      <c r="BY181" s="10" t="str">
        <f aca="false">IF(D181="","",IF(AND(AJ181="Approved",ISERROR(SEARCH("FAIL",BC181))),"Y","N"))</f>
        <v/>
      </c>
      <c r="BZ181" s="10" t="str">
        <f aca="false">IF(D181="","",D181&amp;"|"&amp;F181&amp;"|"&amp;G181&amp;"|"&amp;BY181)</f>
        <v/>
      </c>
    </row>
    <row r="182" customFormat="false" ht="15" hidden="false" customHeight="false" outlineLevel="0" collapsed="false">
      <c r="A182" s="10" t="str">
        <f aca="false">IF(D182="","","LKW-"&amp;IFERROR(VLOOKUP(D182,Lists!$AQ$4:$AR$17,2,0),"??")&amp;"-W"&amp;TEXT(F182*1000,"0000")&amp;"-H"&amp;TEXT(G182*1000,"0000")&amp;"-B"&amp;TEXT(H182*1000,"0000")&amp;"-"&amp;AI182)</f>
        <v/>
      </c>
      <c r="B182" s="10" t="str">
        <f aca="false">IF(D182="","",D182&amp;", "&amp;F182&amp;" m wide, "&amp;G182&amp;" m headroom, "&amp;H182&amp;" m bays, "&amp;I182&amp;" ("&amp;E182&amp;")")</f>
        <v/>
      </c>
      <c r="C182" s="9"/>
      <c r="D182" s="9"/>
      <c r="E182" s="9"/>
      <c r="F182" s="42"/>
      <c r="G182" s="42"/>
      <c r="H182" s="42"/>
      <c r="I182" s="9"/>
      <c r="J182" s="9"/>
      <c r="K182" s="9"/>
      <c r="L182" s="9"/>
      <c r="M182" s="9"/>
      <c r="N182" s="9"/>
      <c r="O182" s="9"/>
      <c r="P182" s="9"/>
      <c r="Q182" s="9"/>
      <c r="R182" s="9"/>
      <c r="S182" s="42"/>
      <c r="T182" s="9"/>
      <c r="U182" s="9"/>
      <c r="V182" s="9"/>
      <c r="W182" s="38"/>
      <c r="X182" s="42"/>
      <c r="Y182" s="9"/>
      <c r="Z182" s="9"/>
      <c r="AA182" s="9"/>
      <c r="AB182" s="42"/>
      <c r="AC182" s="9"/>
      <c r="AD182" s="38"/>
      <c r="AE182" s="9"/>
      <c r="AF182" s="39"/>
      <c r="AG182" s="9"/>
      <c r="AH182" s="9"/>
      <c r="AI182" s="9"/>
      <c r="AJ182" s="9"/>
      <c r="AK182" s="9"/>
      <c r="AL182" s="9"/>
      <c r="AM182" s="9"/>
      <c r="AN182" s="10" t="str">
        <f aca="false">IF(A182="","",SG_Criteria!$B$6&amp;SG_Criteria!$B$12&amp;"\"&amp;A182&amp;"\")</f>
        <v/>
      </c>
      <c r="AO182" s="10" t="str">
        <f aca="false">IF(A182="","",A182&amp;"_CAD.dwg")</f>
        <v/>
      </c>
      <c r="AP182" s="10" t="str">
        <f aca="false">IF(A182="","",A182&amp;"_DWG.pdf")</f>
        <v/>
      </c>
      <c r="AQ182" s="10" t="str">
        <f aca="false">IF(A182="","",IF(AM182="Y",A182&amp;"_STAAD.std","n/a"))</f>
        <v/>
      </c>
      <c r="AR182" s="10" t="str">
        <f aca="false">IF(A182="","",A182&amp;"_CALC.xlsx")</f>
        <v/>
      </c>
      <c r="AS182" s="10" t="str">
        <f aca="false">IF(A182="","",A182&amp;"_CALC.pdf")</f>
        <v/>
      </c>
      <c r="AT182" s="9"/>
      <c r="AU182" s="9"/>
      <c r="AV182" s="39"/>
      <c r="AW182" s="39"/>
      <c r="AX182" s="39"/>
      <c r="AY182" s="39"/>
      <c r="AZ182" s="39"/>
      <c r="BA182" s="12" t="str">
        <f aca="false">IF(A182="","",IF(COUNTIF(Rebar_Schedule!$A$5:$A$2004,A182)=0,"",ROUND(SUMIF(Rebar_Schedule!$A$5:$A$2004,A182,Rebar_Schedule!$K$5:$K$2004),1)))</f>
        <v/>
      </c>
      <c r="BB182" s="33" t="str">
        <f aca="false">IF(A182="","",IF(BA182="","No rebar schedule yet",IF(ABS(BA182-N(AW182))/MAX(N(AW182),1)&gt;SG_Criteria!$B$55,"NOTE: register rebar differs from schedule by "&amp;TEXT(ABS(BA182-N(AW182))/MAX(N(AW182),1),"0%"),"OK")))</f>
        <v/>
      </c>
      <c r="BC182" s="33" t="str">
        <f aca="false">IF(D182="","",IF(LEN(IF(AND(D182&lt;&gt;"High Covered Linkway",G182&lt;SG_Criteria!$B$46),"FAIL: headroom below "&amp;SG_Criteria!$B$46&amp;" m. ","")&amp;IF(AND(D182="High Covered Linkway",G182&lt;SG_Criteria!$B$47),"FAIL: high linkway headroom below "&amp;SG_Criteria!$B$47&amp;" m. ","")&amp;IF(F182&lt;SG_Criteria!$B$48,"FAIL: roof width below "&amp;SG_Criteria!$B$48&amp;" m. ",IF(F182&lt;SG_Criteria!$B$49,"NOTE: not for MRT/LRT or high-traffic routes (min "&amp;SG_Criteria!$B$49&amp;" m). ",""))&amp;IF(AND(W182&lt;&gt;"",W182&lt;SG_Criteria!$B$50),"FAIL: wind speed below "&amp;SG_Criteria!$B$50&amp;" m/s. ","")&amp;IF(AND(X182&lt;&gt;"",X182&lt;SG_Criteria!$B$51),"FAIL: roof fixing pull-out below "&amp;SG_Criteria!$B$51&amp;" kN. ","")&amp;IF(AND(Y182&lt;&gt;"",IFERROR(VALUE(MID(Y182,2,2)),0)&lt;SG_Criteria!$B$52),"FAIL: grade below C"&amp;SG_Criteria!$B$52&amp;". ","")&amp;IF(E182="Non-standard (project design)","NOTE: not an SDRE standard, needs LTA acceptance. ",""))=0,"OK",IF(AND(D182&lt;&gt;"High Covered Linkway",G182&lt;SG_Criteria!$B$46),"FAIL: headroom below "&amp;SG_Criteria!$B$46&amp;" m. ","")&amp;IF(AND(D182="High Covered Linkway",G182&lt;SG_Criteria!$B$47),"FAIL: high linkway headroom below "&amp;SG_Criteria!$B$47&amp;" m. ","")&amp;IF(F182&lt;SG_Criteria!$B$48,"FAIL: roof width below "&amp;SG_Criteria!$B$48&amp;" m. ",IF(F182&lt;SG_Criteria!$B$49,"NOTE: not for MRT/LRT or high-traffic routes (min "&amp;SG_Criteria!$B$49&amp;" m). ",""))&amp;IF(AND(W182&lt;&gt;"",W182&lt;SG_Criteria!$B$50),"FAIL: wind speed below "&amp;SG_Criteria!$B$50&amp;" m/s. ","")&amp;IF(AND(X182&lt;&gt;"",X182&lt;SG_Criteria!$B$51),"FAIL: roof fixing pull-out below "&amp;SG_Criteria!$B$51&amp;" kN. ","")&amp;IF(AND(Y182&lt;&gt;"",IFERROR(VALUE(MID(Y182,2,2)),0)&lt;SG_Criteria!$B$52),"FAIL: grade below C"&amp;SG_Criteria!$B$52&amp;". ","")&amp;IF(E182="Non-standard (project design)","NOTE: not an SDRE standard, needs LTA acceptance. ","")))</f>
        <v/>
      </c>
      <c r="BD182" s="9"/>
      <c r="BE182" s="9"/>
      <c r="BF182" s="9"/>
      <c r="BG182" s="10" t="str">
        <f aca="false">IF(BF182="","",IFERROR(VLOOKUP(BF182,Projects!$A$5:$D$504,2,0),"Ref not in Projects"))</f>
        <v/>
      </c>
      <c r="BH182" s="10" t="str">
        <f aca="false">IF(BF182="","",IFERROR(VLOOKUP(BF182,Projects!$A$5:$D$504,4,0),"Ref not in Projects"))</f>
        <v/>
      </c>
      <c r="BI182" s="9"/>
      <c r="BJ182" s="9"/>
      <c r="BK182" s="9"/>
      <c r="BL182" s="40"/>
      <c r="BM182" s="9"/>
      <c r="BN182" s="40"/>
      <c r="BO182" s="9"/>
      <c r="BP182" s="40"/>
      <c r="BQ182" s="9"/>
      <c r="BR182" s="9"/>
      <c r="BS182" s="9"/>
      <c r="BT182" s="40"/>
      <c r="BU182" s="40"/>
      <c r="BV182" s="36" t="str">
        <f aca="false">IF(BU182="","",EDATE(BU182,SG_Criteria!$B$54*12))</f>
        <v/>
      </c>
      <c r="BW182" s="33" t="str">
        <f aca="true">IF(A182="","",IF(BU182="","NOTE: not reviewed yet",IF(TODAY()&gt;BV182,"NOTE: review overdue","OK")))</f>
        <v/>
      </c>
      <c r="BX182" s="37" t="str">
        <f aca="false">IF(A182="","",ROUND((IF(LEN(D182)&gt;0,1,0)+IF(LEN(E182)&gt;0,1,0)+IF(LEN(F182)&gt;0,1,0)+IF(LEN(G182)&gt;0,1,0)+IF(LEN(H182)&gt;0,1,0)+IF(LEN(I182)&gt;0,1,0)+IF(LEN(J182)&gt;0,1,0)+IF(LEN(K182)&gt;0,1,0)+IF(LEN(N182)&gt;0,1,0)+IF(LEN(O182)&gt;0,1,0)+IF(LEN(W182)&gt;0,1,0)+IF(LEN(X182)&gt;0,1,0)+IF(LEN(Y182)&gt;0,1,0)+IF(LEN(AG182)&gt;0,1,0)+IF(LEN(AI182)&gt;0,1,0)+IF(LEN(AJ182)&gt;0,1,0)+IF(LEN(AK182)&gt;0,1,0)+IF(LEN(AL182)&gt;0,1,0)+IF(LEN(AU182)&gt;0,1,0)+IF(LEN(BF182)&gt;0,1,0)+IF(LEN(BS182)&gt;0,1,0))/21,2))</f>
        <v/>
      </c>
      <c r="BY182" s="10" t="str">
        <f aca="false">IF(D182="","",IF(AND(AJ182="Approved",ISERROR(SEARCH("FAIL",BC182))),"Y","N"))</f>
        <v/>
      </c>
      <c r="BZ182" s="10" t="str">
        <f aca="false">IF(D182="","",D182&amp;"|"&amp;F182&amp;"|"&amp;G182&amp;"|"&amp;BY182)</f>
        <v/>
      </c>
    </row>
    <row r="183" customFormat="false" ht="15" hidden="false" customHeight="false" outlineLevel="0" collapsed="false">
      <c r="A183" s="10" t="str">
        <f aca="false">IF(D183="","","LKW-"&amp;IFERROR(VLOOKUP(D183,Lists!$AQ$4:$AR$17,2,0),"??")&amp;"-W"&amp;TEXT(F183*1000,"0000")&amp;"-H"&amp;TEXT(G183*1000,"0000")&amp;"-B"&amp;TEXT(H183*1000,"0000")&amp;"-"&amp;AI183)</f>
        <v/>
      </c>
      <c r="B183" s="10" t="str">
        <f aca="false">IF(D183="","",D183&amp;", "&amp;F183&amp;" m wide, "&amp;G183&amp;" m headroom, "&amp;H183&amp;" m bays, "&amp;I183&amp;" ("&amp;E183&amp;")")</f>
        <v/>
      </c>
      <c r="C183" s="9"/>
      <c r="D183" s="9"/>
      <c r="E183" s="9"/>
      <c r="F183" s="42"/>
      <c r="G183" s="42"/>
      <c r="H183" s="42"/>
      <c r="I183" s="9"/>
      <c r="J183" s="9"/>
      <c r="K183" s="9"/>
      <c r="L183" s="9"/>
      <c r="M183" s="9"/>
      <c r="N183" s="9"/>
      <c r="O183" s="9"/>
      <c r="P183" s="9"/>
      <c r="Q183" s="9"/>
      <c r="R183" s="9"/>
      <c r="S183" s="42"/>
      <c r="T183" s="9"/>
      <c r="U183" s="9"/>
      <c r="V183" s="9"/>
      <c r="W183" s="38"/>
      <c r="X183" s="42"/>
      <c r="Y183" s="9"/>
      <c r="Z183" s="9"/>
      <c r="AA183" s="9"/>
      <c r="AB183" s="42"/>
      <c r="AC183" s="9"/>
      <c r="AD183" s="38"/>
      <c r="AE183" s="9"/>
      <c r="AF183" s="39"/>
      <c r="AG183" s="9"/>
      <c r="AH183" s="9"/>
      <c r="AI183" s="9"/>
      <c r="AJ183" s="9"/>
      <c r="AK183" s="9"/>
      <c r="AL183" s="9"/>
      <c r="AM183" s="9"/>
      <c r="AN183" s="10" t="str">
        <f aca="false">IF(A183="","",SG_Criteria!$B$6&amp;SG_Criteria!$B$12&amp;"\"&amp;A183&amp;"\")</f>
        <v/>
      </c>
      <c r="AO183" s="10" t="str">
        <f aca="false">IF(A183="","",A183&amp;"_CAD.dwg")</f>
        <v/>
      </c>
      <c r="AP183" s="10" t="str">
        <f aca="false">IF(A183="","",A183&amp;"_DWG.pdf")</f>
        <v/>
      </c>
      <c r="AQ183" s="10" t="str">
        <f aca="false">IF(A183="","",IF(AM183="Y",A183&amp;"_STAAD.std","n/a"))</f>
        <v/>
      </c>
      <c r="AR183" s="10" t="str">
        <f aca="false">IF(A183="","",A183&amp;"_CALC.xlsx")</f>
        <v/>
      </c>
      <c r="AS183" s="10" t="str">
        <f aca="false">IF(A183="","",A183&amp;"_CALC.pdf")</f>
        <v/>
      </c>
      <c r="AT183" s="9"/>
      <c r="AU183" s="9"/>
      <c r="AV183" s="39"/>
      <c r="AW183" s="39"/>
      <c r="AX183" s="39"/>
      <c r="AY183" s="39"/>
      <c r="AZ183" s="39"/>
      <c r="BA183" s="12" t="str">
        <f aca="false">IF(A183="","",IF(COUNTIF(Rebar_Schedule!$A$5:$A$2004,A183)=0,"",ROUND(SUMIF(Rebar_Schedule!$A$5:$A$2004,A183,Rebar_Schedule!$K$5:$K$2004),1)))</f>
        <v/>
      </c>
      <c r="BB183" s="33" t="str">
        <f aca="false">IF(A183="","",IF(BA183="","No rebar schedule yet",IF(ABS(BA183-N(AW183))/MAX(N(AW183),1)&gt;SG_Criteria!$B$55,"NOTE: register rebar differs from schedule by "&amp;TEXT(ABS(BA183-N(AW183))/MAX(N(AW183),1),"0%"),"OK")))</f>
        <v/>
      </c>
      <c r="BC183" s="33" t="str">
        <f aca="false">IF(D183="","",IF(LEN(IF(AND(D183&lt;&gt;"High Covered Linkway",G183&lt;SG_Criteria!$B$46),"FAIL: headroom below "&amp;SG_Criteria!$B$46&amp;" m. ","")&amp;IF(AND(D183="High Covered Linkway",G183&lt;SG_Criteria!$B$47),"FAIL: high linkway headroom below "&amp;SG_Criteria!$B$47&amp;" m. ","")&amp;IF(F183&lt;SG_Criteria!$B$48,"FAIL: roof width below "&amp;SG_Criteria!$B$48&amp;" m. ",IF(F183&lt;SG_Criteria!$B$49,"NOTE: not for MRT/LRT or high-traffic routes (min "&amp;SG_Criteria!$B$49&amp;" m). ",""))&amp;IF(AND(W183&lt;&gt;"",W183&lt;SG_Criteria!$B$50),"FAIL: wind speed below "&amp;SG_Criteria!$B$50&amp;" m/s. ","")&amp;IF(AND(X183&lt;&gt;"",X183&lt;SG_Criteria!$B$51),"FAIL: roof fixing pull-out below "&amp;SG_Criteria!$B$51&amp;" kN. ","")&amp;IF(AND(Y183&lt;&gt;"",IFERROR(VALUE(MID(Y183,2,2)),0)&lt;SG_Criteria!$B$52),"FAIL: grade below C"&amp;SG_Criteria!$B$52&amp;". ","")&amp;IF(E183="Non-standard (project design)","NOTE: not an SDRE standard, needs LTA acceptance. ",""))=0,"OK",IF(AND(D183&lt;&gt;"High Covered Linkway",G183&lt;SG_Criteria!$B$46),"FAIL: headroom below "&amp;SG_Criteria!$B$46&amp;" m. ","")&amp;IF(AND(D183="High Covered Linkway",G183&lt;SG_Criteria!$B$47),"FAIL: high linkway headroom below "&amp;SG_Criteria!$B$47&amp;" m. ","")&amp;IF(F183&lt;SG_Criteria!$B$48,"FAIL: roof width below "&amp;SG_Criteria!$B$48&amp;" m. ",IF(F183&lt;SG_Criteria!$B$49,"NOTE: not for MRT/LRT or high-traffic routes (min "&amp;SG_Criteria!$B$49&amp;" m). ",""))&amp;IF(AND(W183&lt;&gt;"",W183&lt;SG_Criteria!$B$50),"FAIL: wind speed below "&amp;SG_Criteria!$B$50&amp;" m/s. ","")&amp;IF(AND(X183&lt;&gt;"",X183&lt;SG_Criteria!$B$51),"FAIL: roof fixing pull-out below "&amp;SG_Criteria!$B$51&amp;" kN. ","")&amp;IF(AND(Y183&lt;&gt;"",IFERROR(VALUE(MID(Y183,2,2)),0)&lt;SG_Criteria!$B$52),"FAIL: grade below C"&amp;SG_Criteria!$B$52&amp;". ","")&amp;IF(E183="Non-standard (project design)","NOTE: not an SDRE standard, needs LTA acceptance. ","")))</f>
        <v/>
      </c>
      <c r="BD183" s="9"/>
      <c r="BE183" s="9"/>
      <c r="BF183" s="9"/>
      <c r="BG183" s="10" t="str">
        <f aca="false">IF(BF183="","",IFERROR(VLOOKUP(BF183,Projects!$A$5:$D$504,2,0),"Ref not in Projects"))</f>
        <v/>
      </c>
      <c r="BH183" s="10" t="str">
        <f aca="false">IF(BF183="","",IFERROR(VLOOKUP(BF183,Projects!$A$5:$D$504,4,0),"Ref not in Projects"))</f>
        <v/>
      </c>
      <c r="BI183" s="9"/>
      <c r="BJ183" s="9"/>
      <c r="BK183" s="9"/>
      <c r="BL183" s="40"/>
      <c r="BM183" s="9"/>
      <c r="BN183" s="40"/>
      <c r="BO183" s="9"/>
      <c r="BP183" s="40"/>
      <c r="BQ183" s="9"/>
      <c r="BR183" s="9"/>
      <c r="BS183" s="9"/>
      <c r="BT183" s="40"/>
      <c r="BU183" s="40"/>
      <c r="BV183" s="36" t="str">
        <f aca="false">IF(BU183="","",EDATE(BU183,SG_Criteria!$B$54*12))</f>
        <v/>
      </c>
      <c r="BW183" s="33" t="str">
        <f aca="true">IF(A183="","",IF(BU183="","NOTE: not reviewed yet",IF(TODAY()&gt;BV183,"NOTE: review overdue","OK")))</f>
        <v/>
      </c>
      <c r="BX183" s="37" t="str">
        <f aca="false">IF(A183="","",ROUND((IF(LEN(D183)&gt;0,1,0)+IF(LEN(E183)&gt;0,1,0)+IF(LEN(F183)&gt;0,1,0)+IF(LEN(G183)&gt;0,1,0)+IF(LEN(H183)&gt;0,1,0)+IF(LEN(I183)&gt;0,1,0)+IF(LEN(J183)&gt;0,1,0)+IF(LEN(K183)&gt;0,1,0)+IF(LEN(N183)&gt;0,1,0)+IF(LEN(O183)&gt;0,1,0)+IF(LEN(W183)&gt;0,1,0)+IF(LEN(X183)&gt;0,1,0)+IF(LEN(Y183)&gt;0,1,0)+IF(LEN(AG183)&gt;0,1,0)+IF(LEN(AI183)&gt;0,1,0)+IF(LEN(AJ183)&gt;0,1,0)+IF(LEN(AK183)&gt;0,1,0)+IF(LEN(AL183)&gt;0,1,0)+IF(LEN(AU183)&gt;0,1,0)+IF(LEN(BF183)&gt;0,1,0)+IF(LEN(BS183)&gt;0,1,0))/21,2))</f>
        <v/>
      </c>
      <c r="BY183" s="10" t="str">
        <f aca="false">IF(D183="","",IF(AND(AJ183="Approved",ISERROR(SEARCH("FAIL",BC183))),"Y","N"))</f>
        <v/>
      </c>
      <c r="BZ183" s="10" t="str">
        <f aca="false">IF(D183="","",D183&amp;"|"&amp;F183&amp;"|"&amp;G183&amp;"|"&amp;BY183)</f>
        <v/>
      </c>
    </row>
    <row r="184" customFormat="false" ht="15" hidden="false" customHeight="false" outlineLevel="0" collapsed="false">
      <c r="A184" s="10" t="str">
        <f aca="false">IF(D184="","","LKW-"&amp;IFERROR(VLOOKUP(D184,Lists!$AQ$4:$AR$17,2,0),"??")&amp;"-W"&amp;TEXT(F184*1000,"0000")&amp;"-H"&amp;TEXT(G184*1000,"0000")&amp;"-B"&amp;TEXT(H184*1000,"0000")&amp;"-"&amp;AI184)</f>
        <v/>
      </c>
      <c r="B184" s="10" t="str">
        <f aca="false">IF(D184="","",D184&amp;", "&amp;F184&amp;" m wide, "&amp;G184&amp;" m headroom, "&amp;H184&amp;" m bays, "&amp;I184&amp;" ("&amp;E184&amp;")")</f>
        <v/>
      </c>
      <c r="C184" s="9"/>
      <c r="D184" s="9"/>
      <c r="E184" s="9"/>
      <c r="F184" s="42"/>
      <c r="G184" s="42"/>
      <c r="H184" s="42"/>
      <c r="I184" s="9"/>
      <c r="J184" s="9"/>
      <c r="K184" s="9"/>
      <c r="L184" s="9"/>
      <c r="M184" s="9"/>
      <c r="N184" s="9"/>
      <c r="O184" s="9"/>
      <c r="P184" s="9"/>
      <c r="Q184" s="9"/>
      <c r="R184" s="9"/>
      <c r="S184" s="42"/>
      <c r="T184" s="9"/>
      <c r="U184" s="9"/>
      <c r="V184" s="9"/>
      <c r="W184" s="38"/>
      <c r="X184" s="42"/>
      <c r="Y184" s="9"/>
      <c r="Z184" s="9"/>
      <c r="AA184" s="9"/>
      <c r="AB184" s="42"/>
      <c r="AC184" s="9"/>
      <c r="AD184" s="38"/>
      <c r="AE184" s="9"/>
      <c r="AF184" s="39"/>
      <c r="AG184" s="9"/>
      <c r="AH184" s="9"/>
      <c r="AI184" s="9"/>
      <c r="AJ184" s="9"/>
      <c r="AK184" s="9"/>
      <c r="AL184" s="9"/>
      <c r="AM184" s="9"/>
      <c r="AN184" s="10" t="str">
        <f aca="false">IF(A184="","",SG_Criteria!$B$6&amp;SG_Criteria!$B$12&amp;"\"&amp;A184&amp;"\")</f>
        <v/>
      </c>
      <c r="AO184" s="10" t="str">
        <f aca="false">IF(A184="","",A184&amp;"_CAD.dwg")</f>
        <v/>
      </c>
      <c r="AP184" s="10" t="str">
        <f aca="false">IF(A184="","",A184&amp;"_DWG.pdf")</f>
        <v/>
      </c>
      <c r="AQ184" s="10" t="str">
        <f aca="false">IF(A184="","",IF(AM184="Y",A184&amp;"_STAAD.std","n/a"))</f>
        <v/>
      </c>
      <c r="AR184" s="10" t="str">
        <f aca="false">IF(A184="","",A184&amp;"_CALC.xlsx")</f>
        <v/>
      </c>
      <c r="AS184" s="10" t="str">
        <f aca="false">IF(A184="","",A184&amp;"_CALC.pdf")</f>
        <v/>
      </c>
      <c r="AT184" s="9"/>
      <c r="AU184" s="9"/>
      <c r="AV184" s="39"/>
      <c r="AW184" s="39"/>
      <c r="AX184" s="39"/>
      <c r="AY184" s="39"/>
      <c r="AZ184" s="39"/>
      <c r="BA184" s="12" t="str">
        <f aca="false">IF(A184="","",IF(COUNTIF(Rebar_Schedule!$A$5:$A$2004,A184)=0,"",ROUND(SUMIF(Rebar_Schedule!$A$5:$A$2004,A184,Rebar_Schedule!$K$5:$K$2004),1)))</f>
        <v/>
      </c>
      <c r="BB184" s="33" t="str">
        <f aca="false">IF(A184="","",IF(BA184="","No rebar schedule yet",IF(ABS(BA184-N(AW184))/MAX(N(AW184),1)&gt;SG_Criteria!$B$55,"NOTE: register rebar differs from schedule by "&amp;TEXT(ABS(BA184-N(AW184))/MAX(N(AW184),1),"0%"),"OK")))</f>
        <v/>
      </c>
      <c r="BC184" s="33" t="str">
        <f aca="false">IF(D184="","",IF(LEN(IF(AND(D184&lt;&gt;"High Covered Linkway",G184&lt;SG_Criteria!$B$46),"FAIL: headroom below "&amp;SG_Criteria!$B$46&amp;" m. ","")&amp;IF(AND(D184="High Covered Linkway",G184&lt;SG_Criteria!$B$47),"FAIL: high linkway headroom below "&amp;SG_Criteria!$B$47&amp;" m. ","")&amp;IF(F184&lt;SG_Criteria!$B$48,"FAIL: roof width below "&amp;SG_Criteria!$B$48&amp;" m. ",IF(F184&lt;SG_Criteria!$B$49,"NOTE: not for MRT/LRT or high-traffic routes (min "&amp;SG_Criteria!$B$49&amp;" m). ",""))&amp;IF(AND(W184&lt;&gt;"",W184&lt;SG_Criteria!$B$50),"FAIL: wind speed below "&amp;SG_Criteria!$B$50&amp;" m/s. ","")&amp;IF(AND(X184&lt;&gt;"",X184&lt;SG_Criteria!$B$51),"FAIL: roof fixing pull-out below "&amp;SG_Criteria!$B$51&amp;" kN. ","")&amp;IF(AND(Y184&lt;&gt;"",IFERROR(VALUE(MID(Y184,2,2)),0)&lt;SG_Criteria!$B$52),"FAIL: grade below C"&amp;SG_Criteria!$B$52&amp;". ","")&amp;IF(E184="Non-standard (project design)","NOTE: not an SDRE standard, needs LTA acceptance. ",""))=0,"OK",IF(AND(D184&lt;&gt;"High Covered Linkway",G184&lt;SG_Criteria!$B$46),"FAIL: headroom below "&amp;SG_Criteria!$B$46&amp;" m. ","")&amp;IF(AND(D184="High Covered Linkway",G184&lt;SG_Criteria!$B$47),"FAIL: high linkway headroom below "&amp;SG_Criteria!$B$47&amp;" m. ","")&amp;IF(F184&lt;SG_Criteria!$B$48,"FAIL: roof width below "&amp;SG_Criteria!$B$48&amp;" m. ",IF(F184&lt;SG_Criteria!$B$49,"NOTE: not for MRT/LRT or high-traffic routes (min "&amp;SG_Criteria!$B$49&amp;" m). ",""))&amp;IF(AND(W184&lt;&gt;"",W184&lt;SG_Criteria!$B$50),"FAIL: wind speed below "&amp;SG_Criteria!$B$50&amp;" m/s. ","")&amp;IF(AND(X184&lt;&gt;"",X184&lt;SG_Criteria!$B$51),"FAIL: roof fixing pull-out below "&amp;SG_Criteria!$B$51&amp;" kN. ","")&amp;IF(AND(Y184&lt;&gt;"",IFERROR(VALUE(MID(Y184,2,2)),0)&lt;SG_Criteria!$B$52),"FAIL: grade below C"&amp;SG_Criteria!$B$52&amp;". ","")&amp;IF(E184="Non-standard (project design)","NOTE: not an SDRE standard, needs LTA acceptance. ","")))</f>
        <v/>
      </c>
      <c r="BD184" s="9"/>
      <c r="BE184" s="9"/>
      <c r="BF184" s="9"/>
      <c r="BG184" s="10" t="str">
        <f aca="false">IF(BF184="","",IFERROR(VLOOKUP(BF184,Projects!$A$5:$D$504,2,0),"Ref not in Projects"))</f>
        <v/>
      </c>
      <c r="BH184" s="10" t="str">
        <f aca="false">IF(BF184="","",IFERROR(VLOOKUP(BF184,Projects!$A$5:$D$504,4,0),"Ref not in Projects"))</f>
        <v/>
      </c>
      <c r="BI184" s="9"/>
      <c r="BJ184" s="9"/>
      <c r="BK184" s="9"/>
      <c r="BL184" s="40"/>
      <c r="BM184" s="9"/>
      <c r="BN184" s="40"/>
      <c r="BO184" s="9"/>
      <c r="BP184" s="40"/>
      <c r="BQ184" s="9"/>
      <c r="BR184" s="9"/>
      <c r="BS184" s="9"/>
      <c r="BT184" s="40"/>
      <c r="BU184" s="40"/>
      <c r="BV184" s="36" t="str">
        <f aca="false">IF(BU184="","",EDATE(BU184,SG_Criteria!$B$54*12))</f>
        <v/>
      </c>
      <c r="BW184" s="33" t="str">
        <f aca="true">IF(A184="","",IF(BU184="","NOTE: not reviewed yet",IF(TODAY()&gt;BV184,"NOTE: review overdue","OK")))</f>
        <v/>
      </c>
      <c r="BX184" s="37" t="str">
        <f aca="false">IF(A184="","",ROUND((IF(LEN(D184)&gt;0,1,0)+IF(LEN(E184)&gt;0,1,0)+IF(LEN(F184)&gt;0,1,0)+IF(LEN(G184)&gt;0,1,0)+IF(LEN(H184)&gt;0,1,0)+IF(LEN(I184)&gt;0,1,0)+IF(LEN(J184)&gt;0,1,0)+IF(LEN(K184)&gt;0,1,0)+IF(LEN(N184)&gt;0,1,0)+IF(LEN(O184)&gt;0,1,0)+IF(LEN(W184)&gt;0,1,0)+IF(LEN(X184)&gt;0,1,0)+IF(LEN(Y184)&gt;0,1,0)+IF(LEN(AG184)&gt;0,1,0)+IF(LEN(AI184)&gt;0,1,0)+IF(LEN(AJ184)&gt;0,1,0)+IF(LEN(AK184)&gt;0,1,0)+IF(LEN(AL184)&gt;0,1,0)+IF(LEN(AU184)&gt;0,1,0)+IF(LEN(BF184)&gt;0,1,0)+IF(LEN(BS184)&gt;0,1,0))/21,2))</f>
        <v/>
      </c>
      <c r="BY184" s="10" t="str">
        <f aca="false">IF(D184="","",IF(AND(AJ184="Approved",ISERROR(SEARCH("FAIL",BC184))),"Y","N"))</f>
        <v/>
      </c>
      <c r="BZ184" s="10" t="str">
        <f aca="false">IF(D184="","",D184&amp;"|"&amp;F184&amp;"|"&amp;G184&amp;"|"&amp;BY184)</f>
        <v/>
      </c>
    </row>
    <row r="185" customFormat="false" ht="15" hidden="false" customHeight="false" outlineLevel="0" collapsed="false">
      <c r="A185" s="10" t="str">
        <f aca="false">IF(D185="","","LKW-"&amp;IFERROR(VLOOKUP(D185,Lists!$AQ$4:$AR$17,2,0),"??")&amp;"-W"&amp;TEXT(F185*1000,"0000")&amp;"-H"&amp;TEXT(G185*1000,"0000")&amp;"-B"&amp;TEXT(H185*1000,"0000")&amp;"-"&amp;AI185)</f>
        <v/>
      </c>
      <c r="B185" s="10" t="str">
        <f aca="false">IF(D185="","",D185&amp;", "&amp;F185&amp;" m wide, "&amp;G185&amp;" m headroom, "&amp;H185&amp;" m bays, "&amp;I185&amp;" ("&amp;E185&amp;")")</f>
        <v/>
      </c>
      <c r="C185" s="9"/>
      <c r="D185" s="9"/>
      <c r="E185" s="9"/>
      <c r="F185" s="42"/>
      <c r="G185" s="42"/>
      <c r="H185" s="42"/>
      <c r="I185" s="9"/>
      <c r="J185" s="9"/>
      <c r="K185" s="9"/>
      <c r="L185" s="9"/>
      <c r="M185" s="9"/>
      <c r="N185" s="9"/>
      <c r="O185" s="9"/>
      <c r="P185" s="9"/>
      <c r="Q185" s="9"/>
      <c r="R185" s="9"/>
      <c r="S185" s="42"/>
      <c r="T185" s="9"/>
      <c r="U185" s="9"/>
      <c r="V185" s="9"/>
      <c r="W185" s="38"/>
      <c r="X185" s="42"/>
      <c r="Y185" s="9"/>
      <c r="Z185" s="9"/>
      <c r="AA185" s="9"/>
      <c r="AB185" s="42"/>
      <c r="AC185" s="9"/>
      <c r="AD185" s="38"/>
      <c r="AE185" s="9"/>
      <c r="AF185" s="39"/>
      <c r="AG185" s="9"/>
      <c r="AH185" s="9"/>
      <c r="AI185" s="9"/>
      <c r="AJ185" s="9"/>
      <c r="AK185" s="9"/>
      <c r="AL185" s="9"/>
      <c r="AM185" s="9"/>
      <c r="AN185" s="10" t="str">
        <f aca="false">IF(A185="","",SG_Criteria!$B$6&amp;SG_Criteria!$B$12&amp;"\"&amp;A185&amp;"\")</f>
        <v/>
      </c>
      <c r="AO185" s="10" t="str">
        <f aca="false">IF(A185="","",A185&amp;"_CAD.dwg")</f>
        <v/>
      </c>
      <c r="AP185" s="10" t="str">
        <f aca="false">IF(A185="","",A185&amp;"_DWG.pdf")</f>
        <v/>
      </c>
      <c r="AQ185" s="10" t="str">
        <f aca="false">IF(A185="","",IF(AM185="Y",A185&amp;"_STAAD.std","n/a"))</f>
        <v/>
      </c>
      <c r="AR185" s="10" t="str">
        <f aca="false">IF(A185="","",A185&amp;"_CALC.xlsx")</f>
        <v/>
      </c>
      <c r="AS185" s="10" t="str">
        <f aca="false">IF(A185="","",A185&amp;"_CALC.pdf")</f>
        <v/>
      </c>
      <c r="AT185" s="9"/>
      <c r="AU185" s="9"/>
      <c r="AV185" s="39"/>
      <c r="AW185" s="39"/>
      <c r="AX185" s="39"/>
      <c r="AY185" s="39"/>
      <c r="AZ185" s="39"/>
      <c r="BA185" s="12" t="str">
        <f aca="false">IF(A185="","",IF(COUNTIF(Rebar_Schedule!$A$5:$A$2004,A185)=0,"",ROUND(SUMIF(Rebar_Schedule!$A$5:$A$2004,A185,Rebar_Schedule!$K$5:$K$2004),1)))</f>
        <v/>
      </c>
      <c r="BB185" s="33" t="str">
        <f aca="false">IF(A185="","",IF(BA185="","No rebar schedule yet",IF(ABS(BA185-N(AW185))/MAX(N(AW185),1)&gt;SG_Criteria!$B$55,"NOTE: register rebar differs from schedule by "&amp;TEXT(ABS(BA185-N(AW185))/MAX(N(AW185),1),"0%"),"OK")))</f>
        <v/>
      </c>
      <c r="BC185" s="33" t="str">
        <f aca="false">IF(D185="","",IF(LEN(IF(AND(D185&lt;&gt;"High Covered Linkway",G185&lt;SG_Criteria!$B$46),"FAIL: headroom below "&amp;SG_Criteria!$B$46&amp;" m. ","")&amp;IF(AND(D185="High Covered Linkway",G185&lt;SG_Criteria!$B$47),"FAIL: high linkway headroom below "&amp;SG_Criteria!$B$47&amp;" m. ","")&amp;IF(F185&lt;SG_Criteria!$B$48,"FAIL: roof width below "&amp;SG_Criteria!$B$48&amp;" m. ",IF(F185&lt;SG_Criteria!$B$49,"NOTE: not for MRT/LRT or high-traffic routes (min "&amp;SG_Criteria!$B$49&amp;" m). ",""))&amp;IF(AND(W185&lt;&gt;"",W185&lt;SG_Criteria!$B$50),"FAIL: wind speed below "&amp;SG_Criteria!$B$50&amp;" m/s. ","")&amp;IF(AND(X185&lt;&gt;"",X185&lt;SG_Criteria!$B$51),"FAIL: roof fixing pull-out below "&amp;SG_Criteria!$B$51&amp;" kN. ","")&amp;IF(AND(Y185&lt;&gt;"",IFERROR(VALUE(MID(Y185,2,2)),0)&lt;SG_Criteria!$B$52),"FAIL: grade below C"&amp;SG_Criteria!$B$52&amp;". ","")&amp;IF(E185="Non-standard (project design)","NOTE: not an SDRE standard, needs LTA acceptance. ",""))=0,"OK",IF(AND(D185&lt;&gt;"High Covered Linkway",G185&lt;SG_Criteria!$B$46),"FAIL: headroom below "&amp;SG_Criteria!$B$46&amp;" m. ","")&amp;IF(AND(D185="High Covered Linkway",G185&lt;SG_Criteria!$B$47),"FAIL: high linkway headroom below "&amp;SG_Criteria!$B$47&amp;" m. ","")&amp;IF(F185&lt;SG_Criteria!$B$48,"FAIL: roof width below "&amp;SG_Criteria!$B$48&amp;" m. ",IF(F185&lt;SG_Criteria!$B$49,"NOTE: not for MRT/LRT or high-traffic routes (min "&amp;SG_Criteria!$B$49&amp;" m). ",""))&amp;IF(AND(W185&lt;&gt;"",W185&lt;SG_Criteria!$B$50),"FAIL: wind speed below "&amp;SG_Criteria!$B$50&amp;" m/s. ","")&amp;IF(AND(X185&lt;&gt;"",X185&lt;SG_Criteria!$B$51),"FAIL: roof fixing pull-out below "&amp;SG_Criteria!$B$51&amp;" kN. ","")&amp;IF(AND(Y185&lt;&gt;"",IFERROR(VALUE(MID(Y185,2,2)),0)&lt;SG_Criteria!$B$52),"FAIL: grade below C"&amp;SG_Criteria!$B$52&amp;". ","")&amp;IF(E185="Non-standard (project design)","NOTE: not an SDRE standard, needs LTA acceptance. ","")))</f>
        <v/>
      </c>
      <c r="BD185" s="9"/>
      <c r="BE185" s="9"/>
      <c r="BF185" s="9"/>
      <c r="BG185" s="10" t="str">
        <f aca="false">IF(BF185="","",IFERROR(VLOOKUP(BF185,Projects!$A$5:$D$504,2,0),"Ref not in Projects"))</f>
        <v/>
      </c>
      <c r="BH185" s="10" t="str">
        <f aca="false">IF(BF185="","",IFERROR(VLOOKUP(BF185,Projects!$A$5:$D$504,4,0),"Ref not in Projects"))</f>
        <v/>
      </c>
      <c r="BI185" s="9"/>
      <c r="BJ185" s="9"/>
      <c r="BK185" s="9"/>
      <c r="BL185" s="40"/>
      <c r="BM185" s="9"/>
      <c r="BN185" s="40"/>
      <c r="BO185" s="9"/>
      <c r="BP185" s="40"/>
      <c r="BQ185" s="9"/>
      <c r="BR185" s="9"/>
      <c r="BS185" s="9"/>
      <c r="BT185" s="40"/>
      <c r="BU185" s="40"/>
      <c r="BV185" s="36" t="str">
        <f aca="false">IF(BU185="","",EDATE(BU185,SG_Criteria!$B$54*12))</f>
        <v/>
      </c>
      <c r="BW185" s="33" t="str">
        <f aca="true">IF(A185="","",IF(BU185="","NOTE: not reviewed yet",IF(TODAY()&gt;BV185,"NOTE: review overdue","OK")))</f>
        <v/>
      </c>
      <c r="BX185" s="37" t="str">
        <f aca="false">IF(A185="","",ROUND((IF(LEN(D185)&gt;0,1,0)+IF(LEN(E185)&gt;0,1,0)+IF(LEN(F185)&gt;0,1,0)+IF(LEN(G185)&gt;0,1,0)+IF(LEN(H185)&gt;0,1,0)+IF(LEN(I185)&gt;0,1,0)+IF(LEN(J185)&gt;0,1,0)+IF(LEN(K185)&gt;0,1,0)+IF(LEN(N185)&gt;0,1,0)+IF(LEN(O185)&gt;0,1,0)+IF(LEN(W185)&gt;0,1,0)+IF(LEN(X185)&gt;0,1,0)+IF(LEN(Y185)&gt;0,1,0)+IF(LEN(AG185)&gt;0,1,0)+IF(LEN(AI185)&gt;0,1,0)+IF(LEN(AJ185)&gt;0,1,0)+IF(LEN(AK185)&gt;0,1,0)+IF(LEN(AL185)&gt;0,1,0)+IF(LEN(AU185)&gt;0,1,0)+IF(LEN(BF185)&gt;0,1,0)+IF(LEN(BS185)&gt;0,1,0))/21,2))</f>
        <v/>
      </c>
      <c r="BY185" s="10" t="str">
        <f aca="false">IF(D185="","",IF(AND(AJ185="Approved",ISERROR(SEARCH("FAIL",BC185))),"Y","N"))</f>
        <v/>
      </c>
      <c r="BZ185" s="10" t="str">
        <f aca="false">IF(D185="","",D185&amp;"|"&amp;F185&amp;"|"&amp;G185&amp;"|"&amp;BY185)</f>
        <v/>
      </c>
    </row>
    <row r="186" customFormat="false" ht="15" hidden="false" customHeight="false" outlineLevel="0" collapsed="false">
      <c r="A186" s="10" t="str">
        <f aca="false">IF(D186="","","LKW-"&amp;IFERROR(VLOOKUP(D186,Lists!$AQ$4:$AR$17,2,0),"??")&amp;"-W"&amp;TEXT(F186*1000,"0000")&amp;"-H"&amp;TEXT(G186*1000,"0000")&amp;"-B"&amp;TEXT(H186*1000,"0000")&amp;"-"&amp;AI186)</f>
        <v/>
      </c>
      <c r="B186" s="10" t="str">
        <f aca="false">IF(D186="","",D186&amp;", "&amp;F186&amp;" m wide, "&amp;G186&amp;" m headroom, "&amp;H186&amp;" m bays, "&amp;I186&amp;" ("&amp;E186&amp;")")</f>
        <v/>
      </c>
      <c r="C186" s="9"/>
      <c r="D186" s="9"/>
      <c r="E186" s="9"/>
      <c r="F186" s="42"/>
      <c r="G186" s="42"/>
      <c r="H186" s="42"/>
      <c r="I186" s="9"/>
      <c r="J186" s="9"/>
      <c r="K186" s="9"/>
      <c r="L186" s="9"/>
      <c r="M186" s="9"/>
      <c r="N186" s="9"/>
      <c r="O186" s="9"/>
      <c r="P186" s="9"/>
      <c r="Q186" s="9"/>
      <c r="R186" s="9"/>
      <c r="S186" s="42"/>
      <c r="T186" s="9"/>
      <c r="U186" s="9"/>
      <c r="V186" s="9"/>
      <c r="W186" s="38"/>
      <c r="X186" s="42"/>
      <c r="Y186" s="9"/>
      <c r="Z186" s="9"/>
      <c r="AA186" s="9"/>
      <c r="AB186" s="42"/>
      <c r="AC186" s="9"/>
      <c r="AD186" s="38"/>
      <c r="AE186" s="9"/>
      <c r="AF186" s="39"/>
      <c r="AG186" s="9"/>
      <c r="AH186" s="9"/>
      <c r="AI186" s="9"/>
      <c r="AJ186" s="9"/>
      <c r="AK186" s="9"/>
      <c r="AL186" s="9"/>
      <c r="AM186" s="9"/>
      <c r="AN186" s="10" t="str">
        <f aca="false">IF(A186="","",SG_Criteria!$B$6&amp;SG_Criteria!$B$12&amp;"\"&amp;A186&amp;"\")</f>
        <v/>
      </c>
      <c r="AO186" s="10" t="str">
        <f aca="false">IF(A186="","",A186&amp;"_CAD.dwg")</f>
        <v/>
      </c>
      <c r="AP186" s="10" t="str">
        <f aca="false">IF(A186="","",A186&amp;"_DWG.pdf")</f>
        <v/>
      </c>
      <c r="AQ186" s="10" t="str">
        <f aca="false">IF(A186="","",IF(AM186="Y",A186&amp;"_STAAD.std","n/a"))</f>
        <v/>
      </c>
      <c r="AR186" s="10" t="str">
        <f aca="false">IF(A186="","",A186&amp;"_CALC.xlsx")</f>
        <v/>
      </c>
      <c r="AS186" s="10" t="str">
        <f aca="false">IF(A186="","",A186&amp;"_CALC.pdf")</f>
        <v/>
      </c>
      <c r="AT186" s="9"/>
      <c r="AU186" s="9"/>
      <c r="AV186" s="39"/>
      <c r="AW186" s="39"/>
      <c r="AX186" s="39"/>
      <c r="AY186" s="39"/>
      <c r="AZ186" s="39"/>
      <c r="BA186" s="12" t="str">
        <f aca="false">IF(A186="","",IF(COUNTIF(Rebar_Schedule!$A$5:$A$2004,A186)=0,"",ROUND(SUMIF(Rebar_Schedule!$A$5:$A$2004,A186,Rebar_Schedule!$K$5:$K$2004),1)))</f>
        <v/>
      </c>
      <c r="BB186" s="33" t="str">
        <f aca="false">IF(A186="","",IF(BA186="","No rebar schedule yet",IF(ABS(BA186-N(AW186))/MAX(N(AW186),1)&gt;SG_Criteria!$B$55,"NOTE: register rebar differs from schedule by "&amp;TEXT(ABS(BA186-N(AW186))/MAX(N(AW186),1),"0%"),"OK")))</f>
        <v/>
      </c>
      <c r="BC186" s="33" t="str">
        <f aca="false">IF(D186="","",IF(LEN(IF(AND(D186&lt;&gt;"High Covered Linkway",G186&lt;SG_Criteria!$B$46),"FAIL: headroom below "&amp;SG_Criteria!$B$46&amp;" m. ","")&amp;IF(AND(D186="High Covered Linkway",G186&lt;SG_Criteria!$B$47),"FAIL: high linkway headroom below "&amp;SG_Criteria!$B$47&amp;" m. ","")&amp;IF(F186&lt;SG_Criteria!$B$48,"FAIL: roof width below "&amp;SG_Criteria!$B$48&amp;" m. ",IF(F186&lt;SG_Criteria!$B$49,"NOTE: not for MRT/LRT or high-traffic routes (min "&amp;SG_Criteria!$B$49&amp;" m). ",""))&amp;IF(AND(W186&lt;&gt;"",W186&lt;SG_Criteria!$B$50),"FAIL: wind speed below "&amp;SG_Criteria!$B$50&amp;" m/s. ","")&amp;IF(AND(X186&lt;&gt;"",X186&lt;SG_Criteria!$B$51),"FAIL: roof fixing pull-out below "&amp;SG_Criteria!$B$51&amp;" kN. ","")&amp;IF(AND(Y186&lt;&gt;"",IFERROR(VALUE(MID(Y186,2,2)),0)&lt;SG_Criteria!$B$52),"FAIL: grade below C"&amp;SG_Criteria!$B$52&amp;". ","")&amp;IF(E186="Non-standard (project design)","NOTE: not an SDRE standard, needs LTA acceptance. ",""))=0,"OK",IF(AND(D186&lt;&gt;"High Covered Linkway",G186&lt;SG_Criteria!$B$46),"FAIL: headroom below "&amp;SG_Criteria!$B$46&amp;" m. ","")&amp;IF(AND(D186="High Covered Linkway",G186&lt;SG_Criteria!$B$47),"FAIL: high linkway headroom below "&amp;SG_Criteria!$B$47&amp;" m. ","")&amp;IF(F186&lt;SG_Criteria!$B$48,"FAIL: roof width below "&amp;SG_Criteria!$B$48&amp;" m. ",IF(F186&lt;SG_Criteria!$B$49,"NOTE: not for MRT/LRT or high-traffic routes (min "&amp;SG_Criteria!$B$49&amp;" m). ",""))&amp;IF(AND(W186&lt;&gt;"",W186&lt;SG_Criteria!$B$50),"FAIL: wind speed below "&amp;SG_Criteria!$B$50&amp;" m/s. ","")&amp;IF(AND(X186&lt;&gt;"",X186&lt;SG_Criteria!$B$51),"FAIL: roof fixing pull-out below "&amp;SG_Criteria!$B$51&amp;" kN. ","")&amp;IF(AND(Y186&lt;&gt;"",IFERROR(VALUE(MID(Y186,2,2)),0)&lt;SG_Criteria!$B$52),"FAIL: grade below C"&amp;SG_Criteria!$B$52&amp;". ","")&amp;IF(E186="Non-standard (project design)","NOTE: not an SDRE standard, needs LTA acceptance. ","")))</f>
        <v/>
      </c>
      <c r="BD186" s="9"/>
      <c r="BE186" s="9"/>
      <c r="BF186" s="9"/>
      <c r="BG186" s="10" t="str">
        <f aca="false">IF(BF186="","",IFERROR(VLOOKUP(BF186,Projects!$A$5:$D$504,2,0),"Ref not in Projects"))</f>
        <v/>
      </c>
      <c r="BH186" s="10" t="str">
        <f aca="false">IF(BF186="","",IFERROR(VLOOKUP(BF186,Projects!$A$5:$D$504,4,0),"Ref not in Projects"))</f>
        <v/>
      </c>
      <c r="BI186" s="9"/>
      <c r="BJ186" s="9"/>
      <c r="BK186" s="9"/>
      <c r="BL186" s="40"/>
      <c r="BM186" s="9"/>
      <c r="BN186" s="40"/>
      <c r="BO186" s="9"/>
      <c r="BP186" s="40"/>
      <c r="BQ186" s="9"/>
      <c r="BR186" s="9"/>
      <c r="BS186" s="9"/>
      <c r="BT186" s="40"/>
      <c r="BU186" s="40"/>
      <c r="BV186" s="36" t="str">
        <f aca="false">IF(BU186="","",EDATE(BU186,SG_Criteria!$B$54*12))</f>
        <v/>
      </c>
      <c r="BW186" s="33" t="str">
        <f aca="true">IF(A186="","",IF(BU186="","NOTE: not reviewed yet",IF(TODAY()&gt;BV186,"NOTE: review overdue","OK")))</f>
        <v/>
      </c>
      <c r="BX186" s="37" t="str">
        <f aca="false">IF(A186="","",ROUND((IF(LEN(D186)&gt;0,1,0)+IF(LEN(E186)&gt;0,1,0)+IF(LEN(F186)&gt;0,1,0)+IF(LEN(G186)&gt;0,1,0)+IF(LEN(H186)&gt;0,1,0)+IF(LEN(I186)&gt;0,1,0)+IF(LEN(J186)&gt;0,1,0)+IF(LEN(K186)&gt;0,1,0)+IF(LEN(N186)&gt;0,1,0)+IF(LEN(O186)&gt;0,1,0)+IF(LEN(W186)&gt;0,1,0)+IF(LEN(X186)&gt;0,1,0)+IF(LEN(Y186)&gt;0,1,0)+IF(LEN(AG186)&gt;0,1,0)+IF(LEN(AI186)&gt;0,1,0)+IF(LEN(AJ186)&gt;0,1,0)+IF(LEN(AK186)&gt;0,1,0)+IF(LEN(AL186)&gt;0,1,0)+IF(LEN(AU186)&gt;0,1,0)+IF(LEN(BF186)&gt;0,1,0)+IF(LEN(BS186)&gt;0,1,0))/21,2))</f>
        <v/>
      </c>
      <c r="BY186" s="10" t="str">
        <f aca="false">IF(D186="","",IF(AND(AJ186="Approved",ISERROR(SEARCH("FAIL",BC186))),"Y","N"))</f>
        <v/>
      </c>
      <c r="BZ186" s="10" t="str">
        <f aca="false">IF(D186="","",D186&amp;"|"&amp;F186&amp;"|"&amp;G186&amp;"|"&amp;BY186)</f>
        <v/>
      </c>
    </row>
    <row r="187" customFormat="false" ht="15" hidden="false" customHeight="false" outlineLevel="0" collapsed="false">
      <c r="A187" s="10" t="str">
        <f aca="false">IF(D187="","","LKW-"&amp;IFERROR(VLOOKUP(D187,Lists!$AQ$4:$AR$17,2,0),"??")&amp;"-W"&amp;TEXT(F187*1000,"0000")&amp;"-H"&amp;TEXT(G187*1000,"0000")&amp;"-B"&amp;TEXT(H187*1000,"0000")&amp;"-"&amp;AI187)</f>
        <v/>
      </c>
      <c r="B187" s="10" t="str">
        <f aca="false">IF(D187="","",D187&amp;", "&amp;F187&amp;" m wide, "&amp;G187&amp;" m headroom, "&amp;H187&amp;" m bays, "&amp;I187&amp;" ("&amp;E187&amp;")")</f>
        <v/>
      </c>
      <c r="C187" s="9"/>
      <c r="D187" s="9"/>
      <c r="E187" s="9"/>
      <c r="F187" s="42"/>
      <c r="G187" s="42"/>
      <c r="H187" s="42"/>
      <c r="I187" s="9"/>
      <c r="J187" s="9"/>
      <c r="K187" s="9"/>
      <c r="L187" s="9"/>
      <c r="M187" s="9"/>
      <c r="N187" s="9"/>
      <c r="O187" s="9"/>
      <c r="P187" s="9"/>
      <c r="Q187" s="9"/>
      <c r="R187" s="9"/>
      <c r="S187" s="42"/>
      <c r="T187" s="9"/>
      <c r="U187" s="9"/>
      <c r="V187" s="9"/>
      <c r="W187" s="38"/>
      <c r="X187" s="42"/>
      <c r="Y187" s="9"/>
      <c r="Z187" s="9"/>
      <c r="AA187" s="9"/>
      <c r="AB187" s="42"/>
      <c r="AC187" s="9"/>
      <c r="AD187" s="38"/>
      <c r="AE187" s="9"/>
      <c r="AF187" s="39"/>
      <c r="AG187" s="9"/>
      <c r="AH187" s="9"/>
      <c r="AI187" s="9"/>
      <c r="AJ187" s="9"/>
      <c r="AK187" s="9"/>
      <c r="AL187" s="9"/>
      <c r="AM187" s="9"/>
      <c r="AN187" s="10" t="str">
        <f aca="false">IF(A187="","",SG_Criteria!$B$6&amp;SG_Criteria!$B$12&amp;"\"&amp;A187&amp;"\")</f>
        <v/>
      </c>
      <c r="AO187" s="10" t="str">
        <f aca="false">IF(A187="","",A187&amp;"_CAD.dwg")</f>
        <v/>
      </c>
      <c r="AP187" s="10" t="str">
        <f aca="false">IF(A187="","",A187&amp;"_DWG.pdf")</f>
        <v/>
      </c>
      <c r="AQ187" s="10" t="str">
        <f aca="false">IF(A187="","",IF(AM187="Y",A187&amp;"_STAAD.std","n/a"))</f>
        <v/>
      </c>
      <c r="AR187" s="10" t="str">
        <f aca="false">IF(A187="","",A187&amp;"_CALC.xlsx")</f>
        <v/>
      </c>
      <c r="AS187" s="10" t="str">
        <f aca="false">IF(A187="","",A187&amp;"_CALC.pdf")</f>
        <v/>
      </c>
      <c r="AT187" s="9"/>
      <c r="AU187" s="9"/>
      <c r="AV187" s="39"/>
      <c r="AW187" s="39"/>
      <c r="AX187" s="39"/>
      <c r="AY187" s="39"/>
      <c r="AZ187" s="39"/>
      <c r="BA187" s="12" t="str">
        <f aca="false">IF(A187="","",IF(COUNTIF(Rebar_Schedule!$A$5:$A$2004,A187)=0,"",ROUND(SUMIF(Rebar_Schedule!$A$5:$A$2004,A187,Rebar_Schedule!$K$5:$K$2004),1)))</f>
        <v/>
      </c>
      <c r="BB187" s="33" t="str">
        <f aca="false">IF(A187="","",IF(BA187="","No rebar schedule yet",IF(ABS(BA187-N(AW187))/MAX(N(AW187),1)&gt;SG_Criteria!$B$55,"NOTE: register rebar differs from schedule by "&amp;TEXT(ABS(BA187-N(AW187))/MAX(N(AW187),1),"0%"),"OK")))</f>
        <v/>
      </c>
      <c r="BC187" s="33" t="str">
        <f aca="false">IF(D187="","",IF(LEN(IF(AND(D187&lt;&gt;"High Covered Linkway",G187&lt;SG_Criteria!$B$46),"FAIL: headroom below "&amp;SG_Criteria!$B$46&amp;" m. ","")&amp;IF(AND(D187="High Covered Linkway",G187&lt;SG_Criteria!$B$47),"FAIL: high linkway headroom below "&amp;SG_Criteria!$B$47&amp;" m. ","")&amp;IF(F187&lt;SG_Criteria!$B$48,"FAIL: roof width below "&amp;SG_Criteria!$B$48&amp;" m. ",IF(F187&lt;SG_Criteria!$B$49,"NOTE: not for MRT/LRT or high-traffic routes (min "&amp;SG_Criteria!$B$49&amp;" m). ",""))&amp;IF(AND(W187&lt;&gt;"",W187&lt;SG_Criteria!$B$50),"FAIL: wind speed below "&amp;SG_Criteria!$B$50&amp;" m/s. ","")&amp;IF(AND(X187&lt;&gt;"",X187&lt;SG_Criteria!$B$51),"FAIL: roof fixing pull-out below "&amp;SG_Criteria!$B$51&amp;" kN. ","")&amp;IF(AND(Y187&lt;&gt;"",IFERROR(VALUE(MID(Y187,2,2)),0)&lt;SG_Criteria!$B$52),"FAIL: grade below C"&amp;SG_Criteria!$B$52&amp;". ","")&amp;IF(E187="Non-standard (project design)","NOTE: not an SDRE standard, needs LTA acceptance. ",""))=0,"OK",IF(AND(D187&lt;&gt;"High Covered Linkway",G187&lt;SG_Criteria!$B$46),"FAIL: headroom below "&amp;SG_Criteria!$B$46&amp;" m. ","")&amp;IF(AND(D187="High Covered Linkway",G187&lt;SG_Criteria!$B$47),"FAIL: high linkway headroom below "&amp;SG_Criteria!$B$47&amp;" m. ","")&amp;IF(F187&lt;SG_Criteria!$B$48,"FAIL: roof width below "&amp;SG_Criteria!$B$48&amp;" m. ",IF(F187&lt;SG_Criteria!$B$49,"NOTE: not for MRT/LRT or high-traffic routes (min "&amp;SG_Criteria!$B$49&amp;" m). ",""))&amp;IF(AND(W187&lt;&gt;"",W187&lt;SG_Criteria!$B$50),"FAIL: wind speed below "&amp;SG_Criteria!$B$50&amp;" m/s. ","")&amp;IF(AND(X187&lt;&gt;"",X187&lt;SG_Criteria!$B$51),"FAIL: roof fixing pull-out below "&amp;SG_Criteria!$B$51&amp;" kN. ","")&amp;IF(AND(Y187&lt;&gt;"",IFERROR(VALUE(MID(Y187,2,2)),0)&lt;SG_Criteria!$B$52),"FAIL: grade below C"&amp;SG_Criteria!$B$52&amp;". ","")&amp;IF(E187="Non-standard (project design)","NOTE: not an SDRE standard, needs LTA acceptance. ","")))</f>
        <v/>
      </c>
      <c r="BD187" s="9"/>
      <c r="BE187" s="9"/>
      <c r="BF187" s="9"/>
      <c r="BG187" s="10" t="str">
        <f aca="false">IF(BF187="","",IFERROR(VLOOKUP(BF187,Projects!$A$5:$D$504,2,0),"Ref not in Projects"))</f>
        <v/>
      </c>
      <c r="BH187" s="10" t="str">
        <f aca="false">IF(BF187="","",IFERROR(VLOOKUP(BF187,Projects!$A$5:$D$504,4,0),"Ref not in Projects"))</f>
        <v/>
      </c>
      <c r="BI187" s="9"/>
      <c r="BJ187" s="9"/>
      <c r="BK187" s="9"/>
      <c r="BL187" s="40"/>
      <c r="BM187" s="9"/>
      <c r="BN187" s="40"/>
      <c r="BO187" s="9"/>
      <c r="BP187" s="40"/>
      <c r="BQ187" s="9"/>
      <c r="BR187" s="9"/>
      <c r="BS187" s="9"/>
      <c r="BT187" s="40"/>
      <c r="BU187" s="40"/>
      <c r="BV187" s="36" t="str">
        <f aca="false">IF(BU187="","",EDATE(BU187,SG_Criteria!$B$54*12))</f>
        <v/>
      </c>
      <c r="BW187" s="33" t="str">
        <f aca="true">IF(A187="","",IF(BU187="","NOTE: not reviewed yet",IF(TODAY()&gt;BV187,"NOTE: review overdue","OK")))</f>
        <v/>
      </c>
      <c r="BX187" s="37" t="str">
        <f aca="false">IF(A187="","",ROUND((IF(LEN(D187)&gt;0,1,0)+IF(LEN(E187)&gt;0,1,0)+IF(LEN(F187)&gt;0,1,0)+IF(LEN(G187)&gt;0,1,0)+IF(LEN(H187)&gt;0,1,0)+IF(LEN(I187)&gt;0,1,0)+IF(LEN(J187)&gt;0,1,0)+IF(LEN(K187)&gt;0,1,0)+IF(LEN(N187)&gt;0,1,0)+IF(LEN(O187)&gt;0,1,0)+IF(LEN(W187)&gt;0,1,0)+IF(LEN(X187)&gt;0,1,0)+IF(LEN(Y187)&gt;0,1,0)+IF(LEN(AG187)&gt;0,1,0)+IF(LEN(AI187)&gt;0,1,0)+IF(LEN(AJ187)&gt;0,1,0)+IF(LEN(AK187)&gt;0,1,0)+IF(LEN(AL187)&gt;0,1,0)+IF(LEN(AU187)&gt;0,1,0)+IF(LEN(BF187)&gt;0,1,0)+IF(LEN(BS187)&gt;0,1,0))/21,2))</f>
        <v/>
      </c>
      <c r="BY187" s="10" t="str">
        <f aca="false">IF(D187="","",IF(AND(AJ187="Approved",ISERROR(SEARCH("FAIL",BC187))),"Y","N"))</f>
        <v/>
      </c>
      <c r="BZ187" s="10" t="str">
        <f aca="false">IF(D187="","",D187&amp;"|"&amp;F187&amp;"|"&amp;G187&amp;"|"&amp;BY187)</f>
        <v/>
      </c>
    </row>
    <row r="188" customFormat="false" ht="15" hidden="false" customHeight="false" outlineLevel="0" collapsed="false">
      <c r="A188" s="10" t="str">
        <f aca="false">IF(D188="","","LKW-"&amp;IFERROR(VLOOKUP(D188,Lists!$AQ$4:$AR$17,2,0),"??")&amp;"-W"&amp;TEXT(F188*1000,"0000")&amp;"-H"&amp;TEXT(G188*1000,"0000")&amp;"-B"&amp;TEXT(H188*1000,"0000")&amp;"-"&amp;AI188)</f>
        <v/>
      </c>
      <c r="B188" s="10" t="str">
        <f aca="false">IF(D188="","",D188&amp;", "&amp;F188&amp;" m wide, "&amp;G188&amp;" m headroom, "&amp;H188&amp;" m bays, "&amp;I188&amp;" ("&amp;E188&amp;")")</f>
        <v/>
      </c>
      <c r="C188" s="9"/>
      <c r="D188" s="9"/>
      <c r="E188" s="9"/>
      <c r="F188" s="42"/>
      <c r="G188" s="42"/>
      <c r="H188" s="42"/>
      <c r="I188" s="9"/>
      <c r="J188" s="9"/>
      <c r="K188" s="9"/>
      <c r="L188" s="9"/>
      <c r="M188" s="9"/>
      <c r="N188" s="9"/>
      <c r="O188" s="9"/>
      <c r="P188" s="9"/>
      <c r="Q188" s="9"/>
      <c r="R188" s="9"/>
      <c r="S188" s="42"/>
      <c r="T188" s="9"/>
      <c r="U188" s="9"/>
      <c r="V188" s="9"/>
      <c r="W188" s="38"/>
      <c r="X188" s="42"/>
      <c r="Y188" s="9"/>
      <c r="Z188" s="9"/>
      <c r="AA188" s="9"/>
      <c r="AB188" s="42"/>
      <c r="AC188" s="9"/>
      <c r="AD188" s="38"/>
      <c r="AE188" s="9"/>
      <c r="AF188" s="39"/>
      <c r="AG188" s="9"/>
      <c r="AH188" s="9"/>
      <c r="AI188" s="9"/>
      <c r="AJ188" s="9"/>
      <c r="AK188" s="9"/>
      <c r="AL188" s="9"/>
      <c r="AM188" s="9"/>
      <c r="AN188" s="10" t="str">
        <f aca="false">IF(A188="","",SG_Criteria!$B$6&amp;SG_Criteria!$B$12&amp;"\"&amp;A188&amp;"\")</f>
        <v/>
      </c>
      <c r="AO188" s="10" t="str">
        <f aca="false">IF(A188="","",A188&amp;"_CAD.dwg")</f>
        <v/>
      </c>
      <c r="AP188" s="10" t="str">
        <f aca="false">IF(A188="","",A188&amp;"_DWG.pdf")</f>
        <v/>
      </c>
      <c r="AQ188" s="10" t="str">
        <f aca="false">IF(A188="","",IF(AM188="Y",A188&amp;"_STAAD.std","n/a"))</f>
        <v/>
      </c>
      <c r="AR188" s="10" t="str">
        <f aca="false">IF(A188="","",A188&amp;"_CALC.xlsx")</f>
        <v/>
      </c>
      <c r="AS188" s="10" t="str">
        <f aca="false">IF(A188="","",A188&amp;"_CALC.pdf")</f>
        <v/>
      </c>
      <c r="AT188" s="9"/>
      <c r="AU188" s="9"/>
      <c r="AV188" s="39"/>
      <c r="AW188" s="39"/>
      <c r="AX188" s="39"/>
      <c r="AY188" s="39"/>
      <c r="AZ188" s="39"/>
      <c r="BA188" s="12" t="str">
        <f aca="false">IF(A188="","",IF(COUNTIF(Rebar_Schedule!$A$5:$A$2004,A188)=0,"",ROUND(SUMIF(Rebar_Schedule!$A$5:$A$2004,A188,Rebar_Schedule!$K$5:$K$2004),1)))</f>
        <v/>
      </c>
      <c r="BB188" s="33" t="str">
        <f aca="false">IF(A188="","",IF(BA188="","No rebar schedule yet",IF(ABS(BA188-N(AW188))/MAX(N(AW188),1)&gt;SG_Criteria!$B$55,"NOTE: register rebar differs from schedule by "&amp;TEXT(ABS(BA188-N(AW188))/MAX(N(AW188),1),"0%"),"OK")))</f>
        <v/>
      </c>
      <c r="BC188" s="33" t="str">
        <f aca="false">IF(D188="","",IF(LEN(IF(AND(D188&lt;&gt;"High Covered Linkway",G188&lt;SG_Criteria!$B$46),"FAIL: headroom below "&amp;SG_Criteria!$B$46&amp;" m. ","")&amp;IF(AND(D188="High Covered Linkway",G188&lt;SG_Criteria!$B$47),"FAIL: high linkway headroom below "&amp;SG_Criteria!$B$47&amp;" m. ","")&amp;IF(F188&lt;SG_Criteria!$B$48,"FAIL: roof width below "&amp;SG_Criteria!$B$48&amp;" m. ",IF(F188&lt;SG_Criteria!$B$49,"NOTE: not for MRT/LRT or high-traffic routes (min "&amp;SG_Criteria!$B$49&amp;" m). ",""))&amp;IF(AND(W188&lt;&gt;"",W188&lt;SG_Criteria!$B$50),"FAIL: wind speed below "&amp;SG_Criteria!$B$50&amp;" m/s. ","")&amp;IF(AND(X188&lt;&gt;"",X188&lt;SG_Criteria!$B$51),"FAIL: roof fixing pull-out below "&amp;SG_Criteria!$B$51&amp;" kN. ","")&amp;IF(AND(Y188&lt;&gt;"",IFERROR(VALUE(MID(Y188,2,2)),0)&lt;SG_Criteria!$B$52),"FAIL: grade below C"&amp;SG_Criteria!$B$52&amp;". ","")&amp;IF(E188="Non-standard (project design)","NOTE: not an SDRE standard, needs LTA acceptance. ",""))=0,"OK",IF(AND(D188&lt;&gt;"High Covered Linkway",G188&lt;SG_Criteria!$B$46),"FAIL: headroom below "&amp;SG_Criteria!$B$46&amp;" m. ","")&amp;IF(AND(D188="High Covered Linkway",G188&lt;SG_Criteria!$B$47),"FAIL: high linkway headroom below "&amp;SG_Criteria!$B$47&amp;" m. ","")&amp;IF(F188&lt;SG_Criteria!$B$48,"FAIL: roof width below "&amp;SG_Criteria!$B$48&amp;" m. ",IF(F188&lt;SG_Criteria!$B$49,"NOTE: not for MRT/LRT or high-traffic routes (min "&amp;SG_Criteria!$B$49&amp;" m). ",""))&amp;IF(AND(W188&lt;&gt;"",W188&lt;SG_Criteria!$B$50),"FAIL: wind speed below "&amp;SG_Criteria!$B$50&amp;" m/s. ","")&amp;IF(AND(X188&lt;&gt;"",X188&lt;SG_Criteria!$B$51),"FAIL: roof fixing pull-out below "&amp;SG_Criteria!$B$51&amp;" kN. ","")&amp;IF(AND(Y188&lt;&gt;"",IFERROR(VALUE(MID(Y188,2,2)),0)&lt;SG_Criteria!$B$52),"FAIL: grade below C"&amp;SG_Criteria!$B$52&amp;". ","")&amp;IF(E188="Non-standard (project design)","NOTE: not an SDRE standard, needs LTA acceptance. ","")))</f>
        <v/>
      </c>
      <c r="BD188" s="9"/>
      <c r="BE188" s="9"/>
      <c r="BF188" s="9"/>
      <c r="BG188" s="10" t="str">
        <f aca="false">IF(BF188="","",IFERROR(VLOOKUP(BF188,Projects!$A$5:$D$504,2,0),"Ref not in Projects"))</f>
        <v/>
      </c>
      <c r="BH188" s="10" t="str">
        <f aca="false">IF(BF188="","",IFERROR(VLOOKUP(BF188,Projects!$A$5:$D$504,4,0),"Ref not in Projects"))</f>
        <v/>
      </c>
      <c r="BI188" s="9"/>
      <c r="BJ188" s="9"/>
      <c r="BK188" s="9"/>
      <c r="BL188" s="40"/>
      <c r="BM188" s="9"/>
      <c r="BN188" s="40"/>
      <c r="BO188" s="9"/>
      <c r="BP188" s="40"/>
      <c r="BQ188" s="9"/>
      <c r="BR188" s="9"/>
      <c r="BS188" s="9"/>
      <c r="BT188" s="40"/>
      <c r="BU188" s="40"/>
      <c r="BV188" s="36" t="str">
        <f aca="false">IF(BU188="","",EDATE(BU188,SG_Criteria!$B$54*12))</f>
        <v/>
      </c>
      <c r="BW188" s="33" t="str">
        <f aca="true">IF(A188="","",IF(BU188="","NOTE: not reviewed yet",IF(TODAY()&gt;BV188,"NOTE: review overdue","OK")))</f>
        <v/>
      </c>
      <c r="BX188" s="37" t="str">
        <f aca="false">IF(A188="","",ROUND((IF(LEN(D188)&gt;0,1,0)+IF(LEN(E188)&gt;0,1,0)+IF(LEN(F188)&gt;0,1,0)+IF(LEN(G188)&gt;0,1,0)+IF(LEN(H188)&gt;0,1,0)+IF(LEN(I188)&gt;0,1,0)+IF(LEN(J188)&gt;0,1,0)+IF(LEN(K188)&gt;0,1,0)+IF(LEN(N188)&gt;0,1,0)+IF(LEN(O188)&gt;0,1,0)+IF(LEN(W188)&gt;0,1,0)+IF(LEN(X188)&gt;0,1,0)+IF(LEN(Y188)&gt;0,1,0)+IF(LEN(AG188)&gt;0,1,0)+IF(LEN(AI188)&gt;0,1,0)+IF(LEN(AJ188)&gt;0,1,0)+IF(LEN(AK188)&gt;0,1,0)+IF(LEN(AL188)&gt;0,1,0)+IF(LEN(AU188)&gt;0,1,0)+IF(LEN(BF188)&gt;0,1,0)+IF(LEN(BS188)&gt;0,1,0))/21,2))</f>
        <v/>
      </c>
      <c r="BY188" s="10" t="str">
        <f aca="false">IF(D188="","",IF(AND(AJ188="Approved",ISERROR(SEARCH("FAIL",BC188))),"Y","N"))</f>
        <v/>
      </c>
      <c r="BZ188" s="10" t="str">
        <f aca="false">IF(D188="","",D188&amp;"|"&amp;F188&amp;"|"&amp;G188&amp;"|"&amp;BY188)</f>
        <v/>
      </c>
    </row>
    <row r="189" customFormat="false" ht="15" hidden="false" customHeight="false" outlineLevel="0" collapsed="false">
      <c r="A189" s="10" t="str">
        <f aca="false">IF(D189="","","LKW-"&amp;IFERROR(VLOOKUP(D189,Lists!$AQ$4:$AR$17,2,0),"??")&amp;"-W"&amp;TEXT(F189*1000,"0000")&amp;"-H"&amp;TEXT(G189*1000,"0000")&amp;"-B"&amp;TEXT(H189*1000,"0000")&amp;"-"&amp;AI189)</f>
        <v/>
      </c>
      <c r="B189" s="10" t="str">
        <f aca="false">IF(D189="","",D189&amp;", "&amp;F189&amp;" m wide, "&amp;G189&amp;" m headroom, "&amp;H189&amp;" m bays, "&amp;I189&amp;" ("&amp;E189&amp;")")</f>
        <v/>
      </c>
      <c r="C189" s="9"/>
      <c r="D189" s="9"/>
      <c r="E189" s="9"/>
      <c r="F189" s="42"/>
      <c r="G189" s="42"/>
      <c r="H189" s="42"/>
      <c r="I189" s="9"/>
      <c r="J189" s="9"/>
      <c r="K189" s="9"/>
      <c r="L189" s="9"/>
      <c r="M189" s="9"/>
      <c r="N189" s="9"/>
      <c r="O189" s="9"/>
      <c r="P189" s="9"/>
      <c r="Q189" s="9"/>
      <c r="R189" s="9"/>
      <c r="S189" s="42"/>
      <c r="T189" s="9"/>
      <c r="U189" s="9"/>
      <c r="V189" s="9"/>
      <c r="W189" s="38"/>
      <c r="X189" s="42"/>
      <c r="Y189" s="9"/>
      <c r="Z189" s="9"/>
      <c r="AA189" s="9"/>
      <c r="AB189" s="42"/>
      <c r="AC189" s="9"/>
      <c r="AD189" s="38"/>
      <c r="AE189" s="9"/>
      <c r="AF189" s="39"/>
      <c r="AG189" s="9"/>
      <c r="AH189" s="9"/>
      <c r="AI189" s="9"/>
      <c r="AJ189" s="9"/>
      <c r="AK189" s="9"/>
      <c r="AL189" s="9"/>
      <c r="AM189" s="9"/>
      <c r="AN189" s="10" t="str">
        <f aca="false">IF(A189="","",SG_Criteria!$B$6&amp;SG_Criteria!$B$12&amp;"\"&amp;A189&amp;"\")</f>
        <v/>
      </c>
      <c r="AO189" s="10" t="str">
        <f aca="false">IF(A189="","",A189&amp;"_CAD.dwg")</f>
        <v/>
      </c>
      <c r="AP189" s="10" t="str">
        <f aca="false">IF(A189="","",A189&amp;"_DWG.pdf")</f>
        <v/>
      </c>
      <c r="AQ189" s="10" t="str">
        <f aca="false">IF(A189="","",IF(AM189="Y",A189&amp;"_STAAD.std","n/a"))</f>
        <v/>
      </c>
      <c r="AR189" s="10" t="str">
        <f aca="false">IF(A189="","",A189&amp;"_CALC.xlsx")</f>
        <v/>
      </c>
      <c r="AS189" s="10" t="str">
        <f aca="false">IF(A189="","",A189&amp;"_CALC.pdf")</f>
        <v/>
      </c>
      <c r="AT189" s="9"/>
      <c r="AU189" s="9"/>
      <c r="AV189" s="39"/>
      <c r="AW189" s="39"/>
      <c r="AX189" s="39"/>
      <c r="AY189" s="39"/>
      <c r="AZ189" s="39"/>
      <c r="BA189" s="12" t="str">
        <f aca="false">IF(A189="","",IF(COUNTIF(Rebar_Schedule!$A$5:$A$2004,A189)=0,"",ROUND(SUMIF(Rebar_Schedule!$A$5:$A$2004,A189,Rebar_Schedule!$K$5:$K$2004),1)))</f>
        <v/>
      </c>
      <c r="BB189" s="33" t="str">
        <f aca="false">IF(A189="","",IF(BA189="","No rebar schedule yet",IF(ABS(BA189-N(AW189))/MAX(N(AW189),1)&gt;SG_Criteria!$B$55,"NOTE: register rebar differs from schedule by "&amp;TEXT(ABS(BA189-N(AW189))/MAX(N(AW189),1),"0%"),"OK")))</f>
        <v/>
      </c>
      <c r="BC189" s="33" t="str">
        <f aca="false">IF(D189="","",IF(LEN(IF(AND(D189&lt;&gt;"High Covered Linkway",G189&lt;SG_Criteria!$B$46),"FAIL: headroom below "&amp;SG_Criteria!$B$46&amp;" m. ","")&amp;IF(AND(D189="High Covered Linkway",G189&lt;SG_Criteria!$B$47),"FAIL: high linkway headroom below "&amp;SG_Criteria!$B$47&amp;" m. ","")&amp;IF(F189&lt;SG_Criteria!$B$48,"FAIL: roof width below "&amp;SG_Criteria!$B$48&amp;" m. ",IF(F189&lt;SG_Criteria!$B$49,"NOTE: not for MRT/LRT or high-traffic routes (min "&amp;SG_Criteria!$B$49&amp;" m). ",""))&amp;IF(AND(W189&lt;&gt;"",W189&lt;SG_Criteria!$B$50),"FAIL: wind speed below "&amp;SG_Criteria!$B$50&amp;" m/s. ","")&amp;IF(AND(X189&lt;&gt;"",X189&lt;SG_Criteria!$B$51),"FAIL: roof fixing pull-out below "&amp;SG_Criteria!$B$51&amp;" kN. ","")&amp;IF(AND(Y189&lt;&gt;"",IFERROR(VALUE(MID(Y189,2,2)),0)&lt;SG_Criteria!$B$52),"FAIL: grade below C"&amp;SG_Criteria!$B$52&amp;". ","")&amp;IF(E189="Non-standard (project design)","NOTE: not an SDRE standard, needs LTA acceptance. ",""))=0,"OK",IF(AND(D189&lt;&gt;"High Covered Linkway",G189&lt;SG_Criteria!$B$46),"FAIL: headroom below "&amp;SG_Criteria!$B$46&amp;" m. ","")&amp;IF(AND(D189="High Covered Linkway",G189&lt;SG_Criteria!$B$47),"FAIL: high linkway headroom below "&amp;SG_Criteria!$B$47&amp;" m. ","")&amp;IF(F189&lt;SG_Criteria!$B$48,"FAIL: roof width below "&amp;SG_Criteria!$B$48&amp;" m. ",IF(F189&lt;SG_Criteria!$B$49,"NOTE: not for MRT/LRT or high-traffic routes (min "&amp;SG_Criteria!$B$49&amp;" m). ",""))&amp;IF(AND(W189&lt;&gt;"",W189&lt;SG_Criteria!$B$50),"FAIL: wind speed below "&amp;SG_Criteria!$B$50&amp;" m/s. ","")&amp;IF(AND(X189&lt;&gt;"",X189&lt;SG_Criteria!$B$51),"FAIL: roof fixing pull-out below "&amp;SG_Criteria!$B$51&amp;" kN. ","")&amp;IF(AND(Y189&lt;&gt;"",IFERROR(VALUE(MID(Y189,2,2)),0)&lt;SG_Criteria!$B$52),"FAIL: grade below C"&amp;SG_Criteria!$B$52&amp;". ","")&amp;IF(E189="Non-standard (project design)","NOTE: not an SDRE standard, needs LTA acceptance. ","")))</f>
        <v/>
      </c>
      <c r="BD189" s="9"/>
      <c r="BE189" s="9"/>
      <c r="BF189" s="9"/>
      <c r="BG189" s="10" t="str">
        <f aca="false">IF(BF189="","",IFERROR(VLOOKUP(BF189,Projects!$A$5:$D$504,2,0),"Ref not in Projects"))</f>
        <v/>
      </c>
      <c r="BH189" s="10" t="str">
        <f aca="false">IF(BF189="","",IFERROR(VLOOKUP(BF189,Projects!$A$5:$D$504,4,0),"Ref not in Projects"))</f>
        <v/>
      </c>
      <c r="BI189" s="9"/>
      <c r="BJ189" s="9"/>
      <c r="BK189" s="9"/>
      <c r="BL189" s="40"/>
      <c r="BM189" s="9"/>
      <c r="BN189" s="40"/>
      <c r="BO189" s="9"/>
      <c r="BP189" s="40"/>
      <c r="BQ189" s="9"/>
      <c r="BR189" s="9"/>
      <c r="BS189" s="9"/>
      <c r="BT189" s="40"/>
      <c r="BU189" s="40"/>
      <c r="BV189" s="36" t="str">
        <f aca="false">IF(BU189="","",EDATE(BU189,SG_Criteria!$B$54*12))</f>
        <v/>
      </c>
      <c r="BW189" s="33" t="str">
        <f aca="true">IF(A189="","",IF(BU189="","NOTE: not reviewed yet",IF(TODAY()&gt;BV189,"NOTE: review overdue","OK")))</f>
        <v/>
      </c>
      <c r="BX189" s="37" t="str">
        <f aca="false">IF(A189="","",ROUND((IF(LEN(D189)&gt;0,1,0)+IF(LEN(E189)&gt;0,1,0)+IF(LEN(F189)&gt;0,1,0)+IF(LEN(G189)&gt;0,1,0)+IF(LEN(H189)&gt;0,1,0)+IF(LEN(I189)&gt;0,1,0)+IF(LEN(J189)&gt;0,1,0)+IF(LEN(K189)&gt;0,1,0)+IF(LEN(N189)&gt;0,1,0)+IF(LEN(O189)&gt;0,1,0)+IF(LEN(W189)&gt;0,1,0)+IF(LEN(X189)&gt;0,1,0)+IF(LEN(Y189)&gt;0,1,0)+IF(LEN(AG189)&gt;0,1,0)+IF(LEN(AI189)&gt;0,1,0)+IF(LEN(AJ189)&gt;0,1,0)+IF(LEN(AK189)&gt;0,1,0)+IF(LEN(AL189)&gt;0,1,0)+IF(LEN(AU189)&gt;0,1,0)+IF(LEN(BF189)&gt;0,1,0)+IF(LEN(BS189)&gt;0,1,0))/21,2))</f>
        <v/>
      </c>
      <c r="BY189" s="10" t="str">
        <f aca="false">IF(D189="","",IF(AND(AJ189="Approved",ISERROR(SEARCH("FAIL",BC189))),"Y","N"))</f>
        <v/>
      </c>
      <c r="BZ189" s="10" t="str">
        <f aca="false">IF(D189="","",D189&amp;"|"&amp;F189&amp;"|"&amp;G189&amp;"|"&amp;BY189)</f>
        <v/>
      </c>
    </row>
    <row r="190" customFormat="false" ht="15" hidden="false" customHeight="false" outlineLevel="0" collapsed="false">
      <c r="A190" s="10" t="str">
        <f aca="false">IF(D190="","","LKW-"&amp;IFERROR(VLOOKUP(D190,Lists!$AQ$4:$AR$17,2,0),"??")&amp;"-W"&amp;TEXT(F190*1000,"0000")&amp;"-H"&amp;TEXT(G190*1000,"0000")&amp;"-B"&amp;TEXT(H190*1000,"0000")&amp;"-"&amp;AI190)</f>
        <v/>
      </c>
      <c r="B190" s="10" t="str">
        <f aca="false">IF(D190="","",D190&amp;", "&amp;F190&amp;" m wide, "&amp;G190&amp;" m headroom, "&amp;H190&amp;" m bays, "&amp;I190&amp;" ("&amp;E190&amp;")")</f>
        <v/>
      </c>
      <c r="C190" s="9"/>
      <c r="D190" s="9"/>
      <c r="E190" s="9"/>
      <c r="F190" s="42"/>
      <c r="G190" s="42"/>
      <c r="H190" s="42"/>
      <c r="I190" s="9"/>
      <c r="J190" s="9"/>
      <c r="K190" s="9"/>
      <c r="L190" s="9"/>
      <c r="M190" s="9"/>
      <c r="N190" s="9"/>
      <c r="O190" s="9"/>
      <c r="P190" s="9"/>
      <c r="Q190" s="9"/>
      <c r="R190" s="9"/>
      <c r="S190" s="42"/>
      <c r="T190" s="9"/>
      <c r="U190" s="9"/>
      <c r="V190" s="9"/>
      <c r="W190" s="38"/>
      <c r="X190" s="42"/>
      <c r="Y190" s="9"/>
      <c r="Z190" s="9"/>
      <c r="AA190" s="9"/>
      <c r="AB190" s="42"/>
      <c r="AC190" s="9"/>
      <c r="AD190" s="38"/>
      <c r="AE190" s="9"/>
      <c r="AF190" s="39"/>
      <c r="AG190" s="9"/>
      <c r="AH190" s="9"/>
      <c r="AI190" s="9"/>
      <c r="AJ190" s="9"/>
      <c r="AK190" s="9"/>
      <c r="AL190" s="9"/>
      <c r="AM190" s="9"/>
      <c r="AN190" s="10" t="str">
        <f aca="false">IF(A190="","",SG_Criteria!$B$6&amp;SG_Criteria!$B$12&amp;"\"&amp;A190&amp;"\")</f>
        <v/>
      </c>
      <c r="AO190" s="10" t="str">
        <f aca="false">IF(A190="","",A190&amp;"_CAD.dwg")</f>
        <v/>
      </c>
      <c r="AP190" s="10" t="str">
        <f aca="false">IF(A190="","",A190&amp;"_DWG.pdf")</f>
        <v/>
      </c>
      <c r="AQ190" s="10" t="str">
        <f aca="false">IF(A190="","",IF(AM190="Y",A190&amp;"_STAAD.std","n/a"))</f>
        <v/>
      </c>
      <c r="AR190" s="10" t="str">
        <f aca="false">IF(A190="","",A190&amp;"_CALC.xlsx")</f>
        <v/>
      </c>
      <c r="AS190" s="10" t="str">
        <f aca="false">IF(A190="","",A190&amp;"_CALC.pdf")</f>
        <v/>
      </c>
      <c r="AT190" s="9"/>
      <c r="AU190" s="9"/>
      <c r="AV190" s="39"/>
      <c r="AW190" s="39"/>
      <c r="AX190" s="39"/>
      <c r="AY190" s="39"/>
      <c r="AZ190" s="39"/>
      <c r="BA190" s="12" t="str">
        <f aca="false">IF(A190="","",IF(COUNTIF(Rebar_Schedule!$A$5:$A$2004,A190)=0,"",ROUND(SUMIF(Rebar_Schedule!$A$5:$A$2004,A190,Rebar_Schedule!$K$5:$K$2004),1)))</f>
        <v/>
      </c>
      <c r="BB190" s="33" t="str">
        <f aca="false">IF(A190="","",IF(BA190="","No rebar schedule yet",IF(ABS(BA190-N(AW190))/MAX(N(AW190),1)&gt;SG_Criteria!$B$55,"NOTE: register rebar differs from schedule by "&amp;TEXT(ABS(BA190-N(AW190))/MAX(N(AW190),1),"0%"),"OK")))</f>
        <v/>
      </c>
      <c r="BC190" s="33" t="str">
        <f aca="false">IF(D190="","",IF(LEN(IF(AND(D190&lt;&gt;"High Covered Linkway",G190&lt;SG_Criteria!$B$46),"FAIL: headroom below "&amp;SG_Criteria!$B$46&amp;" m. ","")&amp;IF(AND(D190="High Covered Linkway",G190&lt;SG_Criteria!$B$47),"FAIL: high linkway headroom below "&amp;SG_Criteria!$B$47&amp;" m. ","")&amp;IF(F190&lt;SG_Criteria!$B$48,"FAIL: roof width below "&amp;SG_Criteria!$B$48&amp;" m. ",IF(F190&lt;SG_Criteria!$B$49,"NOTE: not for MRT/LRT or high-traffic routes (min "&amp;SG_Criteria!$B$49&amp;" m). ",""))&amp;IF(AND(W190&lt;&gt;"",W190&lt;SG_Criteria!$B$50),"FAIL: wind speed below "&amp;SG_Criteria!$B$50&amp;" m/s. ","")&amp;IF(AND(X190&lt;&gt;"",X190&lt;SG_Criteria!$B$51),"FAIL: roof fixing pull-out below "&amp;SG_Criteria!$B$51&amp;" kN. ","")&amp;IF(AND(Y190&lt;&gt;"",IFERROR(VALUE(MID(Y190,2,2)),0)&lt;SG_Criteria!$B$52),"FAIL: grade below C"&amp;SG_Criteria!$B$52&amp;". ","")&amp;IF(E190="Non-standard (project design)","NOTE: not an SDRE standard, needs LTA acceptance. ",""))=0,"OK",IF(AND(D190&lt;&gt;"High Covered Linkway",G190&lt;SG_Criteria!$B$46),"FAIL: headroom below "&amp;SG_Criteria!$B$46&amp;" m. ","")&amp;IF(AND(D190="High Covered Linkway",G190&lt;SG_Criteria!$B$47),"FAIL: high linkway headroom below "&amp;SG_Criteria!$B$47&amp;" m. ","")&amp;IF(F190&lt;SG_Criteria!$B$48,"FAIL: roof width below "&amp;SG_Criteria!$B$48&amp;" m. ",IF(F190&lt;SG_Criteria!$B$49,"NOTE: not for MRT/LRT or high-traffic routes (min "&amp;SG_Criteria!$B$49&amp;" m). ",""))&amp;IF(AND(W190&lt;&gt;"",W190&lt;SG_Criteria!$B$50),"FAIL: wind speed below "&amp;SG_Criteria!$B$50&amp;" m/s. ","")&amp;IF(AND(X190&lt;&gt;"",X190&lt;SG_Criteria!$B$51),"FAIL: roof fixing pull-out below "&amp;SG_Criteria!$B$51&amp;" kN. ","")&amp;IF(AND(Y190&lt;&gt;"",IFERROR(VALUE(MID(Y190,2,2)),0)&lt;SG_Criteria!$B$52),"FAIL: grade below C"&amp;SG_Criteria!$B$52&amp;". ","")&amp;IF(E190="Non-standard (project design)","NOTE: not an SDRE standard, needs LTA acceptance. ","")))</f>
        <v/>
      </c>
      <c r="BD190" s="9"/>
      <c r="BE190" s="9"/>
      <c r="BF190" s="9"/>
      <c r="BG190" s="10" t="str">
        <f aca="false">IF(BF190="","",IFERROR(VLOOKUP(BF190,Projects!$A$5:$D$504,2,0),"Ref not in Projects"))</f>
        <v/>
      </c>
      <c r="BH190" s="10" t="str">
        <f aca="false">IF(BF190="","",IFERROR(VLOOKUP(BF190,Projects!$A$5:$D$504,4,0),"Ref not in Projects"))</f>
        <v/>
      </c>
      <c r="BI190" s="9"/>
      <c r="BJ190" s="9"/>
      <c r="BK190" s="9"/>
      <c r="BL190" s="40"/>
      <c r="BM190" s="9"/>
      <c r="BN190" s="40"/>
      <c r="BO190" s="9"/>
      <c r="BP190" s="40"/>
      <c r="BQ190" s="9"/>
      <c r="BR190" s="9"/>
      <c r="BS190" s="9"/>
      <c r="BT190" s="40"/>
      <c r="BU190" s="40"/>
      <c r="BV190" s="36" t="str">
        <f aca="false">IF(BU190="","",EDATE(BU190,SG_Criteria!$B$54*12))</f>
        <v/>
      </c>
      <c r="BW190" s="33" t="str">
        <f aca="true">IF(A190="","",IF(BU190="","NOTE: not reviewed yet",IF(TODAY()&gt;BV190,"NOTE: review overdue","OK")))</f>
        <v/>
      </c>
      <c r="BX190" s="37" t="str">
        <f aca="false">IF(A190="","",ROUND((IF(LEN(D190)&gt;0,1,0)+IF(LEN(E190)&gt;0,1,0)+IF(LEN(F190)&gt;0,1,0)+IF(LEN(G190)&gt;0,1,0)+IF(LEN(H190)&gt;0,1,0)+IF(LEN(I190)&gt;0,1,0)+IF(LEN(J190)&gt;0,1,0)+IF(LEN(K190)&gt;0,1,0)+IF(LEN(N190)&gt;0,1,0)+IF(LEN(O190)&gt;0,1,0)+IF(LEN(W190)&gt;0,1,0)+IF(LEN(X190)&gt;0,1,0)+IF(LEN(Y190)&gt;0,1,0)+IF(LEN(AG190)&gt;0,1,0)+IF(LEN(AI190)&gt;0,1,0)+IF(LEN(AJ190)&gt;0,1,0)+IF(LEN(AK190)&gt;0,1,0)+IF(LEN(AL190)&gt;0,1,0)+IF(LEN(AU190)&gt;0,1,0)+IF(LEN(BF190)&gt;0,1,0)+IF(LEN(BS190)&gt;0,1,0))/21,2))</f>
        <v/>
      </c>
      <c r="BY190" s="10" t="str">
        <f aca="false">IF(D190="","",IF(AND(AJ190="Approved",ISERROR(SEARCH("FAIL",BC190))),"Y","N"))</f>
        <v/>
      </c>
      <c r="BZ190" s="10" t="str">
        <f aca="false">IF(D190="","",D190&amp;"|"&amp;F190&amp;"|"&amp;G190&amp;"|"&amp;BY190)</f>
        <v/>
      </c>
    </row>
    <row r="191" customFormat="false" ht="15" hidden="false" customHeight="false" outlineLevel="0" collapsed="false">
      <c r="A191" s="10" t="str">
        <f aca="false">IF(D191="","","LKW-"&amp;IFERROR(VLOOKUP(D191,Lists!$AQ$4:$AR$17,2,0),"??")&amp;"-W"&amp;TEXT(F191*1000,"0000")&amp;"-H"&amp;TEXT(G191*1000,"0000")&amp;"-B"&amp;TEXT(H191*1000,"0000")&amp;"-"&amp;AI191)</f>
        <v/>
      </c>
      <c r="B191" s="10" t="str">
        <f aca="false">IF(D191="","",D191&amp;", "&amp;F191&amp;" m wide, "&amp;G191&amp;" m headroom, "&amp;H191&amp;" m bays, "&amp;I191&amp;" ("&amp;E191&amp;")")</f>
        <v/>
      </c>
      <c r="C191" s="9"/>
      <c r="D191" s="9"/>
      <c r="E191" s="9"/>
      <c r="F191" s="42"/>
      <c r="G191" s="42"/>
      <c r="H191" s="42"/>
      <c r="I191" s="9"/>
      <c r="J191" s="9"/>
      <c r="K191" s="9"/>
      <c r="L191" s="9"/>
      <c r="M191" s="9"/>
      <c r="N191" s="9"/>
      <c r="O191" s="9"/>
      <c r="P191" s="9"/>
      <c r="Q191" s="9"/>
      <c r="R191" s="9"/>
      <c r="S191" s="42"/>
      <c r="T191" s="9"/>
      <c r="U191" s="9"/>
      <c r="V191" s="9"/>
      <c r="W191" s="38"/>
      <c r="X191" s="42"/>
      <c r="Y191" s="9"/>
      <c r="Z191" s="9"/>
      <c r="AA191" s="9"/>
      <c r="AB191" s="42"/>
      <c r="AC191" s="9"/>
      <c r="AD191" s="38"/>
      <c r="AE191" s="9"/>
      <c r="AF191" s="39"/>
      <c r="AG191" s="9"/>
      <c r="AH191" s="9"/>
      <c r="AI191" s="9"/>
      <c r="AJ191" s="9"/>
      <c r="AK191" s="9"/>
      <c r="AL191" s="9"/>
      <c r="AM191" s="9"/>
      <c r="AN191" s="10" t="str">
        <f aca="false">IF(A191="","",SG_Criteria!$B$6&amp;SG_Criteria!$B$12&amp;"\"&amp;A191&amp;"\")</f>
        <v/>
      </c>
      <c r="AO191" s="10" t="str">
        <f aca="false">IF(A191="","",A191&amp;"_CAD.dwg")</f>
        <v/>
      </c>
      <c r="AP191" s="10" t="str">
        <f aca="false">IF(A191="","",A191&amp;"_DWG.pdf")</f>
        <v/>
      </c>
      <c r="AQ191" s="10" t="str">
        <f aca="false">IF(A191="","",IF(AM191="Y",A191&amp;"_STAAD.std","n/a"))</f>
        <v/>
      </c>
      <c r="AR191" s="10" t="str">
        <f aca="false">IF(A191="","",A191&amp;"_CALC.xlsx")</f>
        <v/>
      </c>
      <c r="AS191" s="10" t="str">
        <f aca="false">IF(A191="","",A191&amp;"_CALC.pdf")</f>
        <v/>
      </c>
      <c r="AT191" s="9"/>
      <c r="AU191" s="9"/>
      <c r="AV191" s="39"/>
      <c r="AW191" s="39"/>
      <c r="AX191" s="39"/>
      <c r="AY191" s="39"/>
      <c r="AZ191" s="39"/>
      <c r="BA191" s="12" t="str">
        <f aca="false">IF(A191="","",IF(COUNTIF(Rebar_Schedule!$A$5:$A$2004,A191)=0,"",ROUND(SUMIF(Rebar_Schedule!$A$5:$A$2004,A191,Rebar_Schedule!$K$5:$K$2004),1)))</f>
        <v/>
      </c>
      <c r="BB191" s="33" t="str">
        <f aca="false">IF(A191="","",IF(BA191="","No rebar schedule yet",IF(ABS(BA191-N(AW191))/MAX(N(AW191),1)&gt;SG_Criteria!$B$55,"NOTE: register rebar differs from schedule by "&amp;TEXT(ABS(BA191-N(AW191))/MAX(N(AW191),1),"0%"),"OK")))</f>
        <v/>
      </c>
      <c r="BC191" s="33" t="str">
        <f aca="false">IF(D191="","",IF(LEN(IF(AND(D191&lt;&gt;"High Covered Linkway",G191&lt;SG_Criteria!$B$46),"FAIL: headroom below "&amp;SG_Criteria!$B$46&amp;" m. ","")&amp;IF(AND(D191="High Covered Linkway",G191&lt;SG_Criteria!$B$47),"FAIL: high linkway headroom below "&amp;SG_Criteria!$B$47&amp;" m. ","")&amp;IF(F191&lt;SG_Criteria!$B$48,"FAIL: roof width below "&amp;SG_Criteria!$B$48&amp;" m. ",IF(F191&lt;SG_Criteria!$B$49,"NOTE: not for MRT/LRT or high-traffic routes (min "&amp;SG_Criteria!$B$49&amp;" m). ",""))&amp;IF(AND(W191&lt;&gt;"",W191&lt;SG_Criteria!$B$50),"FAIL: wind speed below "&amp;SG_Criteria!$B$50&amp;" m/s. ","")&amp;IF(AND(X191&lt;&gt;"",X191&lt;SG_Criteria!$B$51),"FAIL: roof fixing pull-out below "&amp;SG_Criteria!$B$51&amp;" kN. ","")&amp;IF(AND(Y191&lt;&gt;"",IFERROR(VALUE(MID(Y191,2,2)),0)&lt;SG_Criteria!$B$52),"FAIL: grade below C"&amp;SG_Criteria!$B$52&amp;". ","")&amp;IF(E191="Non-standard (project design)","NOTE: not an SDRE standard, needs LTA acceptance. ",""))=0,"OK",IF(AND(D191&lt;&gt;"High Covered Linkway",G191&lt;SG_Criteria!$B$46),"FAIL: headroom below "&amp;SG_Criteria!$B$46&amp;" m. ","")&amp;IF(AND(D191="High Covered Linkway",G191&lt;SG_Criteria!$B$47),"FAIL: high linkway headroom below "&amp;SG_Criteria!$B$47&amp;" m. ","")&amp;IF(F191&lt;SG_Criteria!$B$48,"FAIL: roof width below "&amp;SG_Criteria!$B$48&amp;" m. ",IF(F191&lt;SG_Criteria!$B$49,"NOTE: not for MRT/LRT or high-traffic routes (min "&amp;SG_Criteria!$B$49&amp;" m). ",""))&amp;IF(AND(W191&lt;&gt;"",W191&lt;SG_Criteria!$B$50),"FAIL: wind speed below "&amp;SG_Criteria!$B$50&amp;" m/s. ","")&amp;IF(AND(X191&lt;&gt;"",X191&lt;SG_Criteria!$B$51),"FAIL: roof fixing pull-out below "&amp;SG_Criteria!$B$51&amp;" kN. ","")&amp;IF(AND(Y191&lt;&gt;"",IFERROR(VALUE(MID(Y191,2,2)),0)&lt;SG_Criteria!$B$52),"FAIL: grade below C"&amp;SG_Criteria!$B$52&amp;". ","")&amp;IF(E191="Non-standard (project design)","NOTE: not an SDRE standard, needs LTA acceptance. ","")))</f>
        <v/>
      </c>
      <c r="BD191" s="9"/>
      <c r="BE191" s="9"/>
      <c r="BF191" s="9"/>
      <c r="BG191" s="10" t="str">
        <f aca="false">IF(BF191="","",IFERROR(VLOOKUP(BF191,Projects!$A$5:$D$504,2,0),"Ref not in Projects"))</f>
        <v/>
      </c>
      <c r="BH191" s="10" t="str">
        <f aca="false">IF(BF191="","",IFERROR(VLOOKUP(BF191,Projects!$A$5:$D$504,4,0),"Ref not in Projects"))</f>
        <v/>
      </c>
      <c r="BI191" s="9"/>
      <c r="BJ191" s="9"/>
      <c r="BK191" s="9"/>
      <c r="BL191" s="40"/>
      <c r="BM191" s="9"/>
      <c r="BN191" s="40"/>
      <c r="BO191" s="9"/>
      <c r="BP191" s="40"/>
      <c r="BQ191" s="9"/>
      <c r="BR191" s="9"/>
      <c r="BS191" s="9"/>
      <c r="BT191" s="40"/>
      <c r="BU191" s="40"/>
      <c r="BV191" s="36" t="str">
        <f aca="false">IF(BU191="","",EDATE(BU191,SG_Criteria!$B$54*12))</f>
        <v/>
      </c>
      <c r="BW191" s="33" t="str">
        <f aca="true">IF(A191="","",IF(BU191="","NOTE: not reviewed yet",IF(TODAY()&gt;BV191,"NOTE: review overdue","OK")))</f>
        <v/>
      </c>
      <c r="BX191" s="37" t="str">
        <f aca="false">IF(A191="","",ROUND((IF(LEN(D191)&gt;0,1,0)+IF(LEN(E191)&gt;0,1,0)+IF(LEN(F191)&gt;0,1,0)+IF(LEN(G191)&gt;0,1,0)+IF(LEN(H191)&gt;0,1,0)+IF(LEN(I191)&gt;0,1,0)+IF(LEN(J191)&gt;0,1,0)+IF(LEN(K191)&gt;0,1,0)+IF(LEN(N191)&gt;0,1,0)+IF(LEN(O191)&gt;0,1,0)+IF(LEN(W191)&gt;0,1,0)+IF(LEN(X191)&gt;0,1,0)+IF(LEN(Y191)&gt;0,1,0)+IF(LEN(AG191)&gt;0,1,0)+IF(LEN(AI191)&gt;0,1,0)+IF(LEN(AJ191)&gt;0,1,0)+IF(LEN(AK191)&gt;0,1,0)+IF(LEN(AL191)&gt;0,1,0)+IF(LEN(AU191)&gt;0,1,0)+IF(LEN(BF191)&gt;0,1,0)+IF(LEN(BS191)&gt;0,1,0))/21,2))</f>
        <v/>
      </c>
      <c r="BY191" s="10" t="str">
        <f aca="false">IF(D191="","",IF(AND(AJ191="Approved",ISERROR(SEARCH("FAIL",BC191))),"Y","N"))</f>
        <v/>
      </c>
      <c r="BZ191" s="10" t="str">
        <f aca="false">IF(D191="","",D191&amp;"|"&amp;F191&amp;"|"&amp;G191&amp;"|"&amp;BY191)</f>
        <v/>
      </c>
    </row>
    <row r="192" customFormat="false" ht="15" hidden="false" customHeight="false" outlineLevel="0" collapsed="false">
      <c r="A192" s="10" t="str">
        <f aca="false">IF(D192="","","LKW-"&amp;IFERROR(VLOOKUP(D192,Lists!$AQ$4:$AR$17,2,0),"??")&amp;"-W"&amp;TEXT(F192*1000,"0000")&amp;"-H"&amp;TEXT(G192*1000,"0000")&amp;"-B"&amp;TEXT(H192*1000,"0000")&amp;"-"&amp;AI192)</f>
        <v/>
      </c>
      <c r="B192" s="10" t="str">
        <f aca="false">IF(D192="","",D192&amp;", "&amp;F192&amp;" m wide, "&amp;G192&amp;" m headroom, "&amp;H192&amp;" m bays, "&amp;I192&amp;" ("&amp;E192&amp;")")</f>
        <v/>
      </c>
      <c r="C192" s="9"/>
      <c r="D192" s="9"/>
      <c r="E192" s="9"/>
      <c r="F192" s="42"/>
      <c r="G192" s="42"/>
      <c r="H192" s="42"/>
      <c r="I192" s="9"/>
      <c r="J192" s="9"/>
      <c r="K192" s="9"/>
      <c r="L192" s="9"/>
      <c r="M192" s="9"/>
      <c r="N192" s="9"/>
      <c r="O192" s="9"/>
      <c r="P192" s="9"/>
      <c r="Q192" s="9"/>
      <c r="R192" s="9"/>
      <c r="S192" s="42"/>
      <c r="T192" s="9"/>
      <c r="U192" s="9"/>
      <c r="V192" s="9"/>
      <c r="W192" s="38"/>
      <c r="X192" s="42"/>
      <c r="Y192" s="9"/>
      <c r="Z192" s="9"/>
      <c r="AA192" s="9"/>
      <c r="AB192" s="42"/>
      <c r="AC192" s="9"/>
      <c r="AD192" s="38"/>
      <c r="AE192" s="9"/>
      <c r="AF192" s="39"/>
      <c r="AG192" s="9"/>
      <c r="AH192" s="9"/>
      <c r="AI192" s="9"/>
      <c r="AJ192" s="9"/>
      <c r="AK192" s="9"/>
      <c r="AL192" s="9"/>
      <c r="AM192" s="9"/>
      <c r="AN192" s="10" t="str">
        <f aca="false">IF(A192="","",SG_Criteria!$B$6&amp;SG_Criteria!$B$12&amp;"\"&amp;A192&amp;"\")</f>
        <v/>
      </c>
      <c r="AO192" s="10" t="str">
        <f aca="false">IF(A192="","",A192&amp;"_CAD.dwg")</f>
        <v/>
      </c>
      <c r="AP192" s="10" t="str">
        <f aca="false">IF(A192="","",A192&amp;"_DWG.pdf")</f>
        <v/>
      </c>
      <c r="AQ192" s="10" t="str">
        <f aca="false">IF(A192="","",IF(AM192="Y",A192&amp;"_STAAD.std","n/a"))</f>
        <v/>
      </c>
      <c r="AR192" s="10" t="str">
        <f aca="false">IF(A192="","",A192&amp;"_CALC.xlsx")</f>
        <v/>
      </c>
      <c r="AS192" s="10" t="str">
        <f aca="false">IF(A192="","",A192&amp;"_CALC.pdf")</f>
        <v/>
      </c>
      <c r="AT192" s="9"/>
      <c r="AU192" s="9"/>
      <c r="AV192" s="39"/>
      <c r="AW192" s="39"/>
      <c r="AX192" s="39"/>
      <c r="AY192" s="39"/>
      <c r="AZ192" s="39"/>
      <c r="BA192" s="12" t="str">
        <f aca="false">IF(A192="","",IF(COUNTIF(Rebar_Schedule!$A$5:$A$2004,A192)=0,"",ROUND(SUMIF(Rebar_Schedule!$A$5:$A$2004,A192,Rebar_Schedule!$K$5:$K$2004),1)))</f>
        <v/>
      </c>
      <c r="BB192" s="33" t="str">
        <f aca="false">IF(A192="","",IF(BA192="","No rebar schedule yet",IF(ABS(BA192-N(AW192))/MAX(N(AW192),1)&gt;SG_Criteria!$B$55,"NOTE: register rebar differs from schedule by "&amp;TEXT(ABS(BA192-N(AW192))/MAX(N(AW192),1),"0%"),"OK")))</f>
        <v/>
      </c>
      <c r="BC192" s="33" t="str">
        <f aca="false">IF(D192="","",IF(LEN(IF(AND(D192&lt;&gt;"High Covered Linkway",G192&lt;SG_Criteria!$B$46),"FAIL: headroom below "&amp;SG_Criteria!$B$46&amp;" m. ","")&amp;IF(AND(D192="High Covered Linkway",G192&lt;SG_Criteria!$B$47),"FAIL: high linkway headroom below "&amp;SG_Criteria!$B$47&amp;" m. ","")&amp;IF(F192&lt;SG_Criteria!$B$48,"FAIL: roof width below "&amp;SG_Criteria!$B$48&amp;" m. ",IF(F192&lt;SG_Criteria!$B$49,"NOTE: not for MRT/LRT or high-traffic routes (min "&amp;SG_Criteria!$B$49&amp;" m). ",""))&amp;IF(AND(W192&lt;&gt;"",W192&lt;SG_Criteria!$B$50),"FAIL: wind speed below "&amp;SG_Criteria!$B$50&amp;" m/s. ","")&amp;IF(AND(X192&lt;&gt;"",X192&lt;SG_Criteria!$B$51),"FAIL: roof fixing pull-out below "&amp;SG_Criteria!$B$51&amp;" kN. ","")&amp;IF(AND(Y192&lt;&gt;"",IFERROR(VALUE(MID(Y192,2,2)),0)&lt;SG_Criteria!$B$52),"FAIL: grade below C"&amp;SG_Criteria!$B$52&amp;". ","")&amp;IF(E192="Non-standard (project design)","NOTE: not an SDRE standard, needs LTA acceptance. ",""))=0,"OK",IF(AND(D192&lt;&gt;"High Covered Linkway",G192&lt;SG_Criteria!$B$46),"FAIL: headroom below "&amp;SG_Criteria!$B$46&amp;" m. ","")&amp;IF(AND(D192="High Covered Linkway",G192&lt;SG_Criteria!$B$47),"FAIL: high linkway headroom below "&amp;SG_Criteria!$B$47&amp;" m. ","")&amp;IF(F192&lt;SG_Criteria!$B$48,"FAIL: roof width below "&amp;SG_Criteria!$B$48&amp;" m. ",IF(F192&lt;SG_Criteria!$B$49,"NOTE: not for MRT/LRT or high-traffic routes (min "&amp;SG_Criteria!$B$49&amp;" m). ",""))&amp;IF(AND(W192&lt;&gt;"",W192&lt;SG_Criteria!$B$50),"FAIL: wind speed below "&amp;SG_Criteria!$B$50&amp;" m/s. ","")&amp;IF(AND(X192&lt;&gt;"",X192&lt;SG_Criteria!$B$51),"FAIL: roof fixing pull-out below "&amp;SG_Criteria!$B$51&amp;" kN. ","")&amp;IF(AND(Y192&lt;&gt;"",IFERROR(VALUE(MID(Y192,2,2)),0)&lt;SG_Criteria!$B$52),"FAIL: grade below C"&amp;SG_Criteria!$B$52&amp;". ","")&amp;IF(E192="Non-standard (project design)","NOTE: not an SDRE standard, needs LTA acceptance. ","")))</f>
        <v/>
      </c>
      <c r="BD192" s="9"/>
      <c r="BE192" s="9"/>
      <c r="BF192" s="9"/>
      <c r="BG192" s="10" t="str">
        <f aca="false">IF(BF192="","",IFERROR(VLOOKUP(BF192,Projects!$A$5:$D$504,2,0),"Ref not in Projects"))</f>
        <v/>
      </c>
      <c r="BH192" s="10" t="str">
        <f aca="false">IF(BF192="","",IFERROR(VLOOKUP(BF192,Projects!$A$5:$D$504,4,0),"Ref not in Projects"))</f>
        <v/>
      </c>
      <c r="BI192" s="9"/>
      <c r="BJ192" s="9"/>
      <c r="BK192" s="9"/>
      <c r="BL192" s="40"/>
      <c r="BM192" s="9"/>
      <c r="BN192" s="40"/>
      <c r="BO192" s="9"/>
      <c r="BP192" s="40"/>
      <c r="BQ192" s="9"/>
      <c r="BR192" s="9"/>
      <c r="BS192" s="9"/>
      <c r="BT192" s="40"/>
      <c r="BU192" s="40"/>
      <c r="BV192" s="36" t="str">
        <f aca="false">IF(BU192="","",EDATE(BU192,SG_Criteria!$B$54*12))</f>
        <v/>
      </c>
      <c r="BW192" s="33" t="str">
        <f aca="true">IF(A192="","",IF(BU192="","NOTE: not reviewed yet",IF(TODAY()&gt;BV192,"NOTE: review overdue","OK")))</f>
        <v/>
      </c>
      <c r="BX192" s="37" t="str">
        <f aca="false">IF(A192="","",ROUND((IF(LEN(D192)&gt;0,1,0)+IF(LEN(E192)&gt;0,1,0)+IF(LEN(F192)&gt;0,1,0)+IF(LEN(G192)&gt;0,1,0)+IF(LEN(H192)&gt;0,1,0)+IF(LEN(I192)&gt;0,1,0)+IF(LEN(J192)&gt;0,1,0)+IF(LEN(K192)&gt;0,1,0)+IF(LEN(N192)&gt;0,1,0)+IF(LEN(O192)&gt;0,1,0)+IF(LEN(W192)&gt;0,1,0)+IF(LEN(X192)&gt;0,1,0)+IF(LEN(Y192)&gt;0,1,0)+IF(LEN(AG192)&gt;0,1,0)+IF(LEN(AI192)&gt;0,1,0)+IF(LEN(AJ192)&gt;0,1,0)+IF(LEN(AK192)&gt;0,1,0)+IF(LEN(AL192)&gt;0,1,0)+IF(LEN(AU192)&gt;0,1,0)+IF(LEN(BF192)&gt;0,1,0)+IF(LEN(BS192)&gt;0,1,0))/21,2))</f>
        <v/>
      </c>
      <c r="BY192" s="10" t="str">
        <f aca="false">IF(D192="","",IF(AND(AJ192="Approved",ISERROR(SEARCH("FAIL",BC192))),"Y","N"))</f>
        <v/>
      </c>
      <c r="BZ192" s="10" t="str">
        <f aca="false">IF(D192="","",D192&amp;"|"&amp;F192&amp;"|"&amp;G192&amp;"|"&amp;BY192)</f>
        <v/>
      </c>
    </row>
    <row r="193" customFormat="false" ht="15" hidden="false" customHeight="false" outlineLevel="0" collapsed="false">
      <c r="A193" s="10" t="str">
        <f aca="false">IF(D193="","","LKW-"&amp;IFERROR(VLOOKUP(D193,Lists!$AQ$4:$AR$17,2,0),"??")&amp;"-W"&amp;TEXT(F193*1000,"0000")&amp;"-H"&amp;TEXT(G193*1000,"0000")&amp;"-B"&amp;TEXT(H193*1000,"0000")&amp;"-"&amp;AI193)</f>
        <v/>
      </c>
      <c r="B193" s="10" t="str">
        <f aca="false">IF(D193="","",D193&amp;", "&amp;F193&amp;" m wide, "&amp;G193&amp;" m headroom, "&amp;H193&amp;" m bays, "&amp;I193&amp;" ("&amp;E193&amp;")")</f>
        <v/>
      </c>
      <c r="C193" s="9"/>
      <c r="D193" s="9"/>
      <c r="E193" s="9"/>
      <c r="F193" s="42"/>
      <c r="G193" s="42"/>
      <c r="H193" s="42"/>
      <c r="I193" s="9"/>
      <c r="J193" s="9"/>
      <c r="K193" s="9"/>
      <c r="L193" s="9"/>
      <c r="M193" s="9"/>
      <c r="N193" s="9"/>
      <c r="O193" s="9"/>
      <c r="P193" s="9"/>
      <c r="Q193" s="9"/>
      <c r="R193" s="9"/>
      <c r="S193" s="42"/>
      <c r="T193" s="9"/>
      <c r="U193" s="9"/>
      <c r="V193" s="9"/>
      <c r="W193" s="38"/>
      <c r="X193" s="42"/>
      <c r="Y193" s="9"/>
      <c r="Z193" s="9"/>
      <c r="AA193" s="9"/>
      <c r="AB193" s="42"/>
      <c r="AC193" s="9"/>
      <c r="AD193" s="38"/>
      <c r="AE193" s="9"/>
      <c r="AF193" s="39"/>
      <c r="AG193" s="9"/>
      <c r="AH193" s="9"/>
      <c r="AI193" s="9"/>
      <c r="AJ193" s="9"/>
      <c r="AK193" s="9"/>
      <c r="AL193" s="9"/>
      <c r="AM193" s="9"/>
      <c r="AN193" s="10" t="str">
        <f aca="false">IF(A193="","",SG_Criteria!$B$6&amp;SG_Criteria!$B$12&amp;"\"&amp;A193&amp;"\")</f>
        <v/>
      </c>
      <c r="AO193" s="10" t="str">
        <f aca="false">IF(A193="","",A193&amp;"_CAD.dwg")</f>
        <v/>
      </c>
      <c r="AP193" s="10" t="str">
        <f aca="false">IF(A193="","",A193&amp;"_DWG.pdf")</f>
        <v/>
      </c>
      <c r="AQ193" s="10" t="str">
        <f aca="false">IF(A193="","",IF(AM193="Y",A193&amp;"_STAAD.std","n/a"))</f>
        <v/>
      </c>
      <c r="AR193" s="10" t="str">
        <f aca="false">IF(A193="","",A193&amp;"_CALC.xlsx")</f>
        <v/>
      </c>
      <c r="AS193" s="10" t="str">
        <f aca="false">IF(A193="","",A193&amp;"_CALC.pdf")</f>
        <v/>
      </c>
      <c r="AT193" s="9"/>
      <c r="AU193" s="9"/>
      <c r="AV193" s="39"/>
      <c r="AW193" s="39"/>
      <c r="AX193" s="39"/>
      <c r="AY193" s="39"/>
      <c r="AZ193" s="39"/>
      <c r="BA193" s="12" t="str">
        <f aca="false">IF(A193="","",IF(COUNTIF(Rebar_Schedule!$A$5:$A$2004,A193)=0,"",ROUND(SUMIF(Rebar_Schedule!$A$5:$A$2004,A193,Rebar_Schedule!$K$5:$K$2004),1)))</f>
        <v/>
      </c>
      <c r="BB193" s="33" t="str">
        <f aca="false">IF(A193="","",IF(BA193="","No rebar schedule yet",IF(ABS(BA193-N(AW193))/MAX(N(AW193),1)&gt;SG_Criteria!$B$55,"NOTE: register rebar differs from schedule by "&amp;TEXT(ABS(BA193-N(AW193))/MAX(N(AW193),1),"0%"),"OK")))</f>
        <v/>
      </c>
      <c r="BC193" s="33" t="str">
        <f aca="false">IF(D193="","",IF(LEN(IF(AND(D193&lt;&gt;"High Covered Linkway",G193&lt;SG_Criteria!$B$46),"FAIL: headroom below "&amp;SG_Criteria!$B$46&amp;" m. ","")&amp;IF(AND(D193="High Covered Linkway",G193&lt;SG_Criteria!$B$47),"FAIL: high linkway headroom below "&amp;SG_Criteria!$B$47&amp;" m. ","")&amp;IF(F193&lt;SG_Criteria!$B$48,"FAIL: roof width below "&amp;SG_Criteria!$B$48&amp;" m. ",IF(F193&lt;SG_Criteria!$B$49,"NOTE: not for MRT/LRT or high-traffic routes (min "&amp;SG_Criteria!$B$49&amp;" m). ",""))&amp;IF(AND(W193&lt;&gt;"",W193&lt;SG_Criteria!$B$50),"FAIL: wind speed below "&amp;SG_Criteria!$B$50&amp;" m/s. ","")&amp;IF(AND(X193&lt;&gt;"",X193&lt;SG_Criteria!$B$51),"FAIL: roof fixing pull-out below "&amp;SG_Criteria!$B$51&amp;" kN. ","")&amp;IF(AND(Y193&lt;&gt;"",IFERROR(VALUE(MID(Y193,2,2)),0)&lt;SG_Criteria!$B$52),"FAIL: grade below C"&amp;SG_Criteria!$B$52&amp;". ","")&amp;IF(E193="Non-standard (project design)","NOTE: not an SDRE standard, needs LTA acceptance. ",""))=0,"OK",IF(AND(D193&lt;&gt;"High Covered Linkway",G193&lt;SG_Criteria!$B$46),"FAIL: headroom below "&amp;SG_Criteria!$B$46&amp;" m. ","")&amp;IF(AND(D193="High Covered Linkway",G193&lt;SG_Criteria!$B$47),"FAIL: high linkway headroom below "&amp;SG_Criteria!$B$47&amp;" m. ","")&amp;IF(F193&lt;SG_Criteria!$B$48,"FAIL: roof width below "&amp;SG_Criteria!$B$48&amp;" m. ",IF(F193&lt;SG_Criteria!$B$49,"NOTE: not for MRT/LRT or high-traffic routes (min "&amp;SG_Criteria!$B$49&amp;" m). ",""))&amp;IF(AND(W193&lt;&gt;"",W193&lt;SG_Criteria!$B$50),"FAIL: wind speed below "&amp;SG_Criteria!$B$50&amp;" m/s. ","")&amp;IF(AND(X193&lt;&gt;"",X193&lt;SG_Criteria!$B$51),"FAIL: roof fixing pull-out below "&amp;SG_Criteria!$B$51&amp;" kN. ","")&amp;IF(AND(Y193&lt;&gt;"",IFERROR(VALUE(MID(Y193,2,2)),0)&lt;SG_Criteria!$B$52),"FAIL: grade below C"&amp;SG_Criteria!$B$52&amp;". ","")&amp;IF(E193="Non-standard (project design)","NOTE: not an SDRE standard, needs LTA acceptance. ","")))</f>
        <v/>
      </c>
      <c r="BD193" s="9"/>
      <c r="BE193" s="9"/>
      <c r="BF193" s="9"/>
      <c r="BG193" s="10" t="str">
        <f aca="false">IF(BF193="","",IFERROR(VLOOKUP(BF193,Projects!$A$5:$D$504,2,0),"Ref not in Projects"))</f>
        <v/>
      </c>
      <c r="BH193" s="10" t="str">
        <f aca="false">IF(BF193="","",IFERROR(VLOOKUP(BF193,Projects!$A$5:$D$504,4,0),"Ref not in Projects"))</f>
        <v/>
      </c>
      <c r="BI193" s="9"/>
      <c r="BJ193" s="9"/>
      <c r="BK193" s="9"/>
      <c r="BL193" s="40"/>
      <c r="BM193" s="9"/>
      <c r="BN193" s="40"/>
      <c r="BO193" s="9"/>
      <c r="BP193" s="40"/>
      <c r="BQ193" s="9"/>
      <c r="BR193" s="9"/>
      <c r="BS193" s="9"/>
      <c r="BT193" s="40"/>
      <c r="BU193" s="40"/>
      <c r="BV193" s="36" t="str">
        <f aca="false">IF(BU193="","",EDATE(BU193,SG_Criteria!$B$54*12))</f>
        <v/>
      </c>
      <c r="BW193" s="33" t="str">
        <f aca="true">IF(A193="","",IF(BU193="","NOTE: not reviewed yet",IF(TODAY()&gt;BV193,"NOTE: review overdue","OK")))</f>
        <v/>
      </c>
      <c r="BX193" s="37" t="str">
        <f aca="false">IF(A193="","",ROUND((IF(LEN(D193)&gt;0,1,0)+IF(LEN(E193)&gt;0,1,0)+IF(LEN(F193)&gt;0,1,0)+IF(LEN(G193)&gt;0,1,0)+IF(LEN(H193)&gt;0,1,0)+IF(LEN(I193)&gt;0,1,0)+IF(LEN(J193)&gt;0,1,0)+IF(LEN(K193)&gt;0,1,0)+IF(LEN(N193)&gt;0,1,0)+IF(LEN(O193)&gt;0,1,0)+IF(LEN(W193)&gt;0,1,0)+IF(LEN(X193)&gt;0,1,0)+IF(LEN(Y193)&gt;0,1,0)+IF(LEN(AG193)&gt;0,1,0)+IF(LEN(AI193)&gt;0,1,0)+IF(LEN(AJ193)&gt;0,1,0)+IF(LEN(AK193)&gt;0,1,0)+IF(LEN(AL193)&gt;0,1,0)+IF(LEN(AU193)&gt;0,1,0)+IF(LEN(BF193)&gt;0,1,0)+IF(LEN(BS193)&gt;0,1,0))/21,2))</f>
        <v/>
      </c>
      <c r="BY193" s="10" t="str">
        <f aca="false">IF(D193="","",IF(AND(AJ193="Approved",ISERROR(SEARCH("FAIL",BC193))),"Y","N"))</f>
        <v/>
      </c>
      <c r="BZ193" s="10" t="str">
        <f aca="false">IF(D193="","",D193&amp;"|"&amp;F193&amp;"|"&amp;G193&amp;"|"&amp;BY193)</f>
        <v/>
      </c>
    </row>
    <row r="194" customFormat="false" ht="15" hidden="false" customHeight="false" outlineLevel="0" collapsed="false">
      <c r="A194" s="10" t="str">
        <f aca="false">IF(D194="","","LKW-"&amp;IFERROR(VLOOKUP(D194,Lists!$AQ$4:$AR$17,2,0),"??")&amp;"-W"&amp;TEXT(F194*1000,"0000")&amp;"-H"&amp;TEXT(G194*1000,"0000")&amp;"-B"&amp;TEXT(H194*1000,"0000")&amp;"-"&amp;AI194)</f>
        <v/>
      </c>
      <c r="B194" s="10" t="str">
        <f aca="false">IF(D194="","",D194&amp;", "&amp;F194&amp;" m wide, "&amp;G194&amp;" m headroom, "&amp;H194&amp;" m bays, "&amp;I194&amp;" ("&amp;E194&amp;")")</f>
        <v/>
      </c>
      <c r="C194" s="9"/>
      <c r="D194" s="9"/>
      <c r="E194" s="9"/>
      <c r="F194" s="42"/>
      <c r="G194" s="42"/>
      <c r="H194" s="42"/>
      <c r="I194" s="9"/>
      <c r="J194" s="9"/>
      <c r="K194" s="9"/>
      <c r="L194" s="9"/>
      <c r="M194" s="9"/>
      <c r="N194" s="9"/>
      <c r="O194" s="9"/>
      <c r="P194" s="9"/>
      <c r="Q194" s="9"/>
      <c r="R194" s="9"/>
      <c r="S194" s="42"/>
      <c r="T194" s="9"/>
      <c r="U194" s="9"/>
      <c r="V194" s="9"/>
      <c r="W194" s="38"/>
      <c r="X194" s="42"/>
      <c r="Y194" s="9"/>
      <c r="Z194" s="9"/>
      <c r="AA194" s="9"/>
      <c r="AB194" s="42"/>
      <c r="AC194" s="9"/>
      <c r="AD194" s="38"/>
      <c r="AE194" s="9"/>
      <c r="AF194" s="39"/>
      <c r="AG194" s="9"/>
      <c r="AH194" s="9"/>
      <c r="AI194" s="9"/>
      <c r="AJ194" s="9"/>
      <c r="AK194" s="9"/>
      <c r="AL194" s="9"/>
      <c r="AM194" s="9"/>
      <c r="AN194" s="10" t="str">
        <f aca="false">IF(A194="","",SG_Criteria!$B$6&amp;SG_Criteria!$B$12&amp;"\"&amp;A194&amp;"\")</f>
        <v/>
      </c>
      <c r="AO194" s="10" t="str">
        <f aca="false">IF(A194="","",A194&amp;"_CAD.dwg")</f>
        <v/>
      </c>
      <c r="AP194" s="10" t="str">
        <f aca="false">IF(A194="","",A194&amp;"_DWG.pdf")</f>
        <v/>
      </c>
      <c r="AQ194" s="10" t="str">
        <f aca="false">IF(A194="","",IF(AM194="Y",A194&amp;"_STAAD.std","n/a"))</f>
        <v/>
      </c>
      <c r="AR194" s="10" t="str">
        <f aca="false">IF(A194="","",A194&amp;"_CALC.xlsx")</f>
        <v/>
      </c>
      <c r="AS194" s="10" t="str">
        <f aca="false">IF(A194="","",A194&amp;"_CALC.pdf")</f>
        <v/>
      </c>
      <c r="AT194" s="9"/>
      <c r="AU194" s="9"/>
      <c r="AV194" s="39"/>
      <c r="AW194" s="39"/>
      <c r="AX194" s="39"/>
      <c r="AY194" s="39"/>
      <c r="AZ194" s="39"/>
      <c r="BA194" s="12" t="str">
        <f aca="false">IF(A194="","",IF(COUNTIF(Rebar_Schedule!$A$5:$A$2004,A194)=0,"",ROUND(SUMIF(Rebar_Schedule!$A$5:$A$2004,A194,Rebar_Schedule!$K$5:$K$2004),1)))</f>
        <v/>
      </c>
      <c r="BB194" s="33" t="str">
        <f aca="false">IF(A194="","",IF(BA194="","No rebar schedule yet",IF(ABS(BA194-N(AW194))/MAX(N(AW194),1)&gt;SG_Criteria!$B$55,"NOTE: register rebar differs from schedule by "&amp;TEXT(ABS(BA194-N(AW194))/MAX(N(AW194),1),"0%"),"OK")))</f>
        <v/>
      </c>
      <c r="BC194" s="33" t="str">
        <f aca="false">IF(D194="","",IF(LEN(IF(AND(D194&lt;&gt;"High Covered Linkway",G194&lt;SG_Criteria!$B$46),"FAIL: headroom below "&amp;SG_Criteria!$B$46&amp;" m. ","")&amp;IF(AND(D194="High Covered Linkway",G194&lt;SG_Criteria!$B$47),"FAIL: high linkway headroom below "&amp;SG_Criteria!$B$47&amp;" m. ","")&amp;IF(F194&lt;SG_Criteria!$B$48,"FAIL: roof width below "&amp;SG_Criteria!$B$48&amp;" m. ",IF(F194&lt;SG_Criteria!$B$49,"NOTE: not for MRT/LRT or high-traffic routes (min "&amp;SG_Criteria!$B$49&amp;" m). ",""))&amp;IF(AND(W194&lt;&gt;"",W194&lt;SG_Criteria!$B$50),"FAIL: wind speed below "&amp;SG_Criteria!$B$50&amp;" m/s. ","")&amp;IF(AND(X194&lt;&gt;"",X194&lt;SG_Criteria!$B$51),"FAIL: roof fixing pull-out below "&amp;SG_Criteria!$B$51&amp;" kN. ","")&amp;IF(AND(Y194&lt;&gt;"",IFERROR(VALUE(MID(Y194,2,2)),0)&lt;SG_Criteria!$B$52),"FAIL: grade below C"&amp;SG_Criteria!$B$52&amp;". ","")&amp;IF(E194="Non-standard (project design)","NOTE: not an SDRE standard, needs LTA acceptance. ",""))=0,"OK",IF(AND(D194&lt;&gt;"High Covered Linkway",G194&lt;SG_Criteria!$B$46),"FAIL: headroom below "&amp;SG_Criteria!$B$46&amp;" m. ","")&amp;IF(AND(D194="High Covered Linkway",G194&lt;SG_Criteria!$B$47),"FAIL: high linkway headroom below "&amp;SG_Criteria!$B$47&amp;" m. ","")&amp;IF(F194&lt;SG_Criteria!$B$48,"FAIL: roof width below "&amp;SG_Criteria!$B$48&amp;" m. ",IF(F194&lt;SG_Criteria!$B$49,"NOTE: not for MRT/LRT or high-traffic routes (min "&amp;SG_Criteria!$B$49&amp;" m). ",""))&amp;IF(AND(W194&lt;&gt;"",W194&lt;SG_Criteria!$B$50),"FAIL: wind speed below "&amp;SG_Criteria!$B$50&amp;" m/s. ","")&amp;IF(AND(X194&lt;&gt;"",X194&lt;SG_Criteria!$B$51),"FAIL: roof fixing pull-out below "&amp;SG_Criteria!$B$51&amp;" kN. ","")&amp;IF(AND(Y194&lt;&gt;"",IFERROR(VALUE(MID(Y194,2,2)),0)&lt;SG_Criteria!$B$52),"FAIL: grade below C"&amp;SG_Criteria!$B$52&amp;". ","")&amp;IF(E194="Non-standard (project design)","NOTE: not an SDRE standard, needs LTA acceptance. ","")))</f>
        <v/>
      </c>
      <c r="BD194" s="9"/>
      <c r="BE194" s="9"/>
      <c r="BF194" s="9"/>
      <c r="BG194" s="10" t="str">
        <f aca="false">IF(BF194="","",IFERROR(VLOOKUP(BF194,Projects!$A$5:$D$504,2,0),"Ref not in Projects"))</f>
        <v/>
      </c>
      <c r="BH194" s="10" t="str">
        <f aca="false">IF(BF194="","",IFERROR(VLOOKUP(BF194,Projects!$A$5:$D$504,4,0),"Ref not in Projects"))</f>
        <v/>
      </c>
      <c r="BI194" s="9"/>
      <c r="BJ194" s="9"/>
      <c r="BK194" s="9"/>
      <c r="BL194" s="40"/>
      <c r="BM194" s="9"/>
      <c r="BN194" s="40"/>
      <c r="BO194" s="9"/>
      <c r="BP194" s="40"/>
      <c r="BQ194" s="9"/>
      <c r="BR194" s="9"/>
      <c r="BS194" s="9"/>
      <c r="BT194" s="40"/>
      <c r="BU194" s="40"/>
      <c r="BV194" s="36" t="str">
        <f aca="false">IF(BU194="","",EDATE(BU194,SG_Criteria!$B$54*12))</f>
        <v/>
      </c>
      <c r="BW194" s="33" t="str">
        <f aca="true">IF(A194="","",IF(BU194="","NOTE: not reviewed yet",IF(TODAY()&gt;BV194,"NOTE: review overdue","OK")))</f>
        <v/>
      </c>
      <c r="BX194" s="37" t="str">
        <f aca="false">IF(A194="","",ROUND((IF(LEN(D194)&gt;0,1,0)+IF(LEN(E194)&gt;0,1,0)+IF(LEN(F194)&gt;0,1,0)+IF(LEN(G194)&gt;0,1,0)+IF(LEN(H194)&gt;0,1,0)+IF(LEN(I194)&gt;0,1,0)+IF(LEN(J194)&gt;0,1,0)+IF(LEN(K194)&gt;0,1,0)+IF(LEN(N194)&gt;0,1,0)+IF(LEN(O194)&gt;0,1,0)+IF(LEN(W194)&gt;0,1,0)+IF(LEN(X194)&gt;0,1,0)+IF(LEN(Y194)&gt;0,1,0)+IF(LEN(AG194)&gt;0,1,0)+IF(LEN(AI194)&gt;0,1,0)+IF(LEN(AJ194)&gt;0,1,0)+IF(LEN(AK194)&gt;0,1,0)+IF(LEN(AL194)&gt;0,1,0)+IF(LEN(AU194)&gt;0,1,0)+IF(LEN(BF194)&gt;0,1,0)+IF(LEN(BS194)&gt;0,1,0))/21,2))</f>
        <v/>
      </c>
      <c r="BY194" s="10" t="str">
        <f aca="false">IF(D194="","",IF(AND(AJ194="Approved",ISERROR(SEARCH("FAIL",BC194))),"Y","N"))</f>
        <v/>
      </c>
      <c r="BZ194" s="10" t="str">
        <f aca="false">IF(D194="","",D194&amp;"|"&amp;F194&amp;"|"&amp;G194&amp;"|"&amp;BY194)</f>
        <v/>
      </c>
    </row>
    <row r="195" customFormat="false" ht="15" hidden="false" customHeight="false" outlineLevel="0" collapsed="false">
      <c r="A195" s="10" t="str">
        <f aca="false">IF(D195="","","LKW-"&amp;IFERROR(VLOOKUP(D195,Lists!$AQ$4:$AR$17,2,0),"??")&amp;"-W"&amp;TEXT(F195*1000,"0000")&amp;"-H"&amp;TEXT(G195*1000,"0000")&amp;"-B"&amp;TEXT(H195*1000,"0000")&amp;"-"&amp;AI195)</f>
        <v/>
      </c>
      <c r="B195" s="10" t="str">
        <f aca="false">IF(D195="","",D195&amp;", "&amp;F195&amp;" m wide, "&amp;G195&amp;" m headroom, "&amp;H195&amp;" m bays, "&amp;I195&amp;" ("&amp;E195&amp;")")</f>
        <v/>
      </c>
      <c r="C195" s="9"/>
      <c r="D195" s="9"/>
      <c r="E195" s="9"/>
      <c r="F195" s="42"/>
      <c r="G195" s="42"/>
      <c r="H195" s="42"/>
      <c r="I195" s="9"/>
      <c r="J195" s="9"/>
      <c r="K195" s="9"/>
      <c r="L195" s="9"/>
      <c r="M195" s="9"/>
      <c r="N195" s="9"/>
      <c r="O195" s="9"/>
      <c r="P195" s="9"/>
      <c r="Q195" s="9"/>
      <c r="R195" s="9"/>
      <c r="S195" s="42"/>
      <c r="T195" s="9"/>
      <c r="U195" s="9"/>
      <c r="V195" s="9"/>
      <c r="W195" s="38"/>
      <c r="X195" s="42"/>
      <c r="Y195" s="9"/>
      <c r="Z195" s="9"/>
      <c r="AA195" s="9"/>
      <c r="AB195" s="42"/>
      <c r="AC195" s="9"/>
      <c r="AD195" s="38"/>
      <c r="AE195" s="9"/>
      <c r="AF195" s="39"/>
      <c r="AG195" s="9"/>
      <c r="AH195" s="9"/>
      <c r="AI195" s="9"/>
      <c r="AJ195" s="9"/>
      <c r="AK195" s="9"/>
      <c r="AL195" s="9"/>
      <c r="AM195" s="9"/>
      <c r="AN195" s="10" t="str">
        <f aca="false">IF(A195="","",SG_Criteria!$B$6&amp;SG_Criteria!$B$12&amp;"\"&amp;A195&amp;"\")</f>
        <v/>
      </c>
      <c r="AO195" s="10" t="str">
        <f aca="false">IF(A195="","",A195&amp;"_CAD.dwg")</f>
        <v/>
      </c>
      <c r="AP195" s="10" t="str">
        <f aca="false">IF(A195="","",A195&amp;"_DWG.pdf")</f>
        <v/>
      </c>
      <c r="AQ195" s="10" t="str">
        <f aca="false">IF(A195="","",IF(AM195="Y",A195&amp;"_STAAD.std","n/a"))</f>
        <v/>
      </c>
      <c r="AR195" s="10" t="str">
        <f aca="false">IF(A195="","",A195&amp;"_CALC.xlsx")</f>
        <v/>
      </c>
      <c r="AS195" s="10" t="str">
        <f aca="false">IF(A195="","",A195&amp;"_CALC.pdf")</f>
        <v/>
      </c>
      <c r="AT195" s="9"/>
      <c r="AU195" s="9"/>
      <c r="AV195" s="39"/>
      <c r="AW195" s="39"/>
      <c r="AX195" s="39"/>
      <c r="AY195" s="39"/>
      <c r="AZ195" s="39"/>
      <c r="BA195" s="12" t="str">
        <f aca="false">IF(A195="","",IF(COUNTIF(Rebar_Schedule!$A$5:$A$2004,A195)=0,"",ROUND(SUMIF(Rebar_Schedule!$A$5:$A$2004,A195,Rebar_Schedule!$K$5:$K$2004),1)))</f>
        <v/>
      </c>
      <c r="BB195" s="33" t="str">
        <f aca="false">IF(A195="","",IF(BA195="","No rebar schedule yet",IF(ABS(BA195-N(AW195))/MAX(N(AW195),1)&gt;SG_Criteria!$B$55,"NOTE: register rebar differs from schedule by "&amp;TEXT(ABS(BA195-N(AW195))/MAX(N(AW195),1),"0%"),"OK")))</f>
        <v/>
      </c>
      <c r="BC195" s="33" t="str">
        <f aca="false">IF(D195="","",IF(LEN(IF(AND(D195&lt;&gt;"High Covered Linkway",G195&lt;SG_Criteria!$B$46),"FAIL: headroom below "&amp;SG_Criteria!$B$46&amp;" m. ","")&amp;IF(AND(D195="High Covered Linkway",G195&lt;SG_Criteria!$B$47),"FAIL: high linkway headroom below "&amp;SG_Criteria!$B$47&amp;" m. ","")&amp;IF(F195&lt;SG_Criteria!$B$48,"FAIL: roof width below "&amp;SG_Criteria!$B$48&amp;" m. ",IF(F195&lt;SG_Criteria!$B$49,"NOTE: not for MRT/LRT or high-traffic routes (min "&amp;SG_Criteria!$B$49&amp;" m). ",""))&amp;IF(AND(W195&lt;&gt;"",W195&lt;SG_Criteria!$B$50),"FAIL: wind speed below "&amp;SG_Criteria!$B$50&amp;" m/s. ","")&amp;IF(AND(X195&lt;&gt;"",X195&lt;SG_Criteria!$B$51),"FAIL: roof fixing pull-out below "&amp;SG_Criteria!$B$51&amp;" kN. ","")&amp;IF(AND(Y195&lt;&gt;"",IFERROR(VALUE(MID(Y195,2,2)),0)&lt;SG_Criteria!$B$52),"FAIL: grade below C"&amp;SG_Criteria!$B$52&amp;". ","")&amp;IF(E195="Non-standard (project design)","NOTE: not an SDRE standard, needs LTA acceptance. ",""))=0,"OK",IF(AND(D195&lt;&gt;"High Covered Linkway",G195&lt;SG_Criteria!$B$46),"FAIL: headroom below "&amp;SG_Criteria!$B$46&amp;" m. ","")&amp;IF(AND(D195="High Covered Linkway",G195&lt;SG_Criteria!$B$47),"FAIL: high linkway headroom below "&amp;SG_Criteria!$B$47&amp;" m. ","")&amp;IF(F195&lt;SG_Criteria!$B$48,"FAIL: roof width below "&amp;SG_Criteria!$B$48&amp;" m. ",IF(F195&lt;SG_Criteria!$B$49,"NOTE: not for MRT/LRT or high-traffic routes (min "&amp;SG_Criteria!$B$49&amp;" m). ",""))&amp;IF(AND(W195&lt;&gt;"",W195&lt;SG_Criteria!$B$50),"FAIL: wind speed below "&amp;SG_Criteria!$B$50&amp;" m/s. ","")&amp;IF(AND(X195&lt;&gt;"",X195&lt;SG_Criteria!$B$51),"FAIL: roof fixing pull-out below "&amp;SG_Criteria!$B$51&amp;" kN. ","")&amp;IF(AND(Y195&lt;&gt;"",IFERROR(VALUE(MID(Y195,2,2)),0)&lt;SG_Criteria!$B$52),"FAIL: grade below C"&amp;SG_Criteria!$B$52&amp;". ","")&amp;IF(E195="Non-standard (project design)","NOTE: not an SDRE standard, needs LTA acceptance. ","")))</f>
        <v/>
      </c>
      <c r="BD195" s="9"/>
      <c r="BE195" s="9"/>
      <c r="BF195" s="9"/>
      <c r="BG195" s="10" t="str">
        <f aca="false">IF(BF195="","",IFERROR(VLOOKUP(BF195,Projects!$A$5:$D$504,2,0),"Ref not in Projects"))</f>
        <v/>
      </c>
      <c r="BH195" s="10" t="str">
        <f aca="false">IF(BF195="","",IFERROR(VLOOKUP(BF195,Projects!$A$5:$D$504,4,0),"Ref not in Projects"))</f>
        <v/>
      </c>
      <c r="BI195" s="9"/>
      <c r="BJ195" s="9"/>
      <c r="BK195" s="9"/>
      <c r="BL195" s="40"/>
      <c r="BM195" s="9"/>
      <c r="BN195" s="40"/>
      <c r="BO195" s="9"/>
      <c r="BP195" s="40"/>
      <c r="BQ195" s="9"/>
      <c r="BR195" s="9"/>
      <c r="BS195" s="9"/>
      <c r="BT195" s="40"/>
      <c r="BU195" s="40"/>
      <c r="BV195" s="36" t="str">
        <f aca="false">IF(BU195="","",EDATE(BU195,SG_Criteria!$B$54*12))</f>
        <v/>
      </c>
      <c r="BW195" s="33" t="str">
        <f aca="true">IF(A195="","",IF(BU195="","NOTE: not reviewed yet",IF(TODAY()&gt;BV195,"NOTE: review overdue","OK")))</f>
        <v/>
      </c>
      <c r="BX195" s="37" t="str">
        <f aca="false">IF(A195="","",ROUND((IF(LEN(D195)&gt;0,1,0)+IF(LEN(E195)&gt;0,1,0)+IF(LEN(F195)&gt;0,1,0)+IF(LEN(G195)&gt;0,1,0)+IF(LEN(H195)&gt;0,1,0)+IF(LEN(I195)&gt;0,1,0)+IF(LEN(J195)&gt;0,1,0)+IF(LEN(K195)&gt;0,1,0)+IF(LEN(N195)&gt;0,1,0)+IF(LEN(O195)&gt;0,1,0)+IF(LEN(W195)&gt;0,1,0)+IF(LEN(X195)&gt;0,1,0)+IF(LEN(Y195)&gt;0,1,0)+IF(LEN(AG195)&gt;0,1,0)+IF(LEN(AI195)&gt;0,1,0)+IF(LEN(AJ195)&gt;0,1,0)+IF(LEN(AK195)&gt;0,1,0)+IF(LEN(AL195)&gt;0,1,0)+IF(LEN(AU195)&gt;0,1,0)+IF(LEN(BF195)&gt;0,1,0)+IF(LEN(BS195)&gt;0,1,0))/21,2))</f>
        <v/>
      </c>
      <c r="BY195" s="10" t="str">
        <f aca="false">IF(D195="","",IF(AND(AJ195="Approved",ISERROR(SEARCH("FAIL",BC195))),"Y","N"))</f>
        <v/>
      </c>
      <c r="BZ195" s="10" t="str">
        <f aca="false">IF(D195="","",D195&amp;"|"&amp;F195&amp;"|"&amp;G195&amp;"|"&amp;BY195)</f>
        <v/>
      </c>
    </row>
    <row r="196" customFormat="false" ht="15" hidden="false" customHeight="false" outlineLevel="0" collapsed="false">
      <c r="A196" s="10" t="str">
        <f aca="false">IF(D196="","","LKW-"&amp;IFERROR(VLOOKUP(D196,Lists!$AQ$4:$AR$17,2,0),"??")&amp;"-W"&amp;TEXT(F196*1000,"0000")&amp;"-H"&amp;TEXT(G196*1000,"0000")&amp;"-B"&amp;TEXT(H196*1000,"0000")&amp;"-"&amp;AI196)</f>
        <v/>
      </c>
      <c r="B196" s="10" t="str">
        <f aca="false">IF(D196="","",D196&amp;", "&amp;F196&amp;" m wide, "&amp;G196&amp;" m headroom, "&amp;H196&amp;" m bays, "&amp;I196&amp;" ("&amp;E196&amp;")")</f>
        <v/>
      </c>
      <c r="C196" s="9"/>
      <c r="D196" s="9"/>
      <c r="E196" s="9"/>
      <c r="F196" s="42"/>
      <c r="G196" s="42"/>
      <c r="H196" s="42"/>
      <c r="I196" s="9"/>
      <c r="J196" s="9"/>
      <c r="K196" s="9"/>
      <c r="L196" s="9"/>
      <c r="M196" s="9"/>
      <c r="N196" s="9"/>
      <c r="O196" s="9"/>
      <c r="P196" s="9"/>
      <c r="Q196" s="9"/>
      <c r="R196" s="9"/>
      <c r="S196" s="42"/>
      <c r="T196" s="9"/>
      <c r="U196" s="9"/>
      <c r="V196" s="9"/>
      <c r="W196" s="38"/>
      <c r="X196" s="42"/>
      <c r="Y196" s="9"/>
      <c r="Z196" s="9"/>
      <c r="AA196" s="9"/>
      <c r="AB196" s="42"/>
      <c r="AC196" s="9"/>
      <c r="AD196" s="38"/>
      <c r="AE196" s="9"/>
      <c r="AF196" s="39"/>
      <c r="AG196" s="9"/>
      <c r="AH196" s="9"/>
      <c r="AI196" s="9"/>
      <c r="AJ196" s="9"/>
      <c r="AK196" s="9"/>
      <c r="AL196" s="9"/>
      <c r="AM196" s="9"/>
      <c r="AN196" s="10" t="str">
        <f aca="false">IF(A196="","",SG_Criteria!$B$6&amp;SG_Criteria!$B$12&amp;"\"&amp;A196&amp;"\")</f>
        <v/>
      </c>
      <c r="AO196" s="10" t="str">
        <f aca="false">IF(A196="","",A196&amp;"_CAD.dwg")</f>
        <v/>
      </c>
      <c r="AP196" s="10" t="str">
        <f aca="false">IF(A196="","",A196&amp;"_DWG.pdf")</f>
        <v/>
      </c>
      <c r="AQ196" s="10" t="str">
        <f aca="false">IF(A196="","",IF(AM196="Y",A196&amp;"_STAAD.std","n/a"))</f>
        <v/>
      </c>
      <c r="AR196" s="10" t="str">
        <f aca="false">IF(A196="","",A196&amp;"_CALC.xlsx")</f>
        <v/>
      </c>
      <c r="AS196" s="10" t="str">
        <f aca="false">IF(A196="","",A196&amp;"_CALC.pdf")</f>
        <v/>
      </c>
      <c r="AT196" s="9"/>
      <c r="AU196" s="9"/>
      <c r="AV196" s="39"/>
      <c r="AW196" s="39"/>
      <c r="AX196" s="39"/>
      <c r="AY196" s="39"/>
      <c r="AZ196" s="39"/>
      <c r="BA196" s="12" t="str">
        <f aca="false">IF(A196="","",IF(COUNTIF(Rebar_Schedule!$A$5:$A$2004,A196)=0,"",ROUND(SUMIF(Rebar_Schedule!$A$5:$A$2004,A196,Rebar_Schedule!$K$5:$K$2004),1)))</f>
        <v/>
      </c>
      <c r="BB196" s="33" t="str">
        <f aca="false">IF(A196="","",IF(BA196="","No rebar schedule yet",IF(ABS(BA196-N(AW196))/MAX(N(AW196),1)&gt;SG_Criteria!$B$55,"NOTE: register rebar differs from schedule by "&amp;TEXT(ABS(BA196-N(AW196))/MAX(N(AW196),1),"0%"),"OK")))</f>
        <v/>
      </c>
      <c r="BC196" s="33" t="str">
        <f aca="false">IF(D196="","",IF(LEN(IF(AND(D196&lt;&gt;"High Covered Linkway",G196&lt;SG_Criteria!$B$46),"FAIL: headroom below "&amp;SG_Criteria!$B$46&amp;" m. ","")&amp;IF(AND(D196="High Covered Linkway",G196&lt;SG_Criteria!$B$47),"FAIL: high linkway headroom below "&amp;SG_Criteria!$B$47&amp;" m. ","")&amp;IF(F196&lt;SG_Criteria!$B$48,"FAIL: roof width below "&amp;SG_Criteria!$B$48&amp;" m. ",IF(F196&lt;SG_Criteria!$B$49,"NOTE: not for MRT/LRT or high-traffic routes (min "&amp;SG_Criteria!$B$49&amp;" m). ",""))&amp;IF(AND(W196&lt;&gt;"",W196&lt;SG_Criteria!$B$50),"FAIL: wind speed below "&amp;SG_Criteria!$B$50&amp;" m/s. ","")&amp;IF(AND(X196&lt;&gt;"",X196&lt;SG_Criteria!$B$51),"FAIL: roof fixing pull-out below "&amp;SG_Criteria!$B$51&amp;" kN. ","")&amp;IF(AND(Y196&lt;&gt;"",IFERROR(VALUE(MID(Y196,2,2)),0)&lt;SG_Criteria!$B$52),"FAIL: grade below C"&amp;SG_Criteria!$B$52&amp;". ","")&amp;IF(E196="Non-standard (project design)","NOTE: not an SDRE standard, needs LTA acceptance. ",""))=0,"OK",IF(AND(D196&lt;&gt;"High Covered Linkway",G196&lt;SG_Criteria!$B$46),"FAIL: headroom below "&amp;SG_Criteria!$B$46&amp;" m. ","")&amp;IF(AND(D196="High Covered Linkway",G196&lt;SG_Criteria!$B$47),"FAIL: high linkway headroom below "&amp;SG_Criteria!$B$47&amp;" m. ","")&amp;IF(F196&lt;SG_Criteria!$B$48,"FAIL: roof width below "&amp;SG_Criteria!$B$48&amp;" m. ",IF(F196&lt;SG_Criteria!$B$49,"NOTE: not for MRT/LRT or high-traffic routes (min "&amp;SG_Criteria!$B$49&amp;" m). ",""))&amp;IF(AND(W196&lt;&gt;"",W196&lt;SG_Criteria!$B$50),"FAIL: wind speed below "&amp;SG_Criteria!$B$50&amp;" m/s. ","")&amp;IF(AND(X196&lt;&gt;"",X196&lt;SG_Criteria!$B$51),"FAIL: roof fixing pull-out below "&amp;SG_Criteria!$B$51&amp;" kN. ","")&amp;IF(AND(Y196&lt;&gt;"",IFERROR(VALUE(MID(Y196,2,2)),0)&lt;SG_Criteria!$B$52),"FAIL: grade below C"&amp;SG_Criteria!$B$52&amp;". ","")&amp;IF(E196="Non-standard (project design)","NOTE: not an SDRE standard, needs LTA acceptance. ","")))</f>
        <v/>
      </c>
      <c r="BD196" s="9"/>
      <c r="BE196" s="9"/>
      <c r="BF196" s="9"/>
      <c r="BG196" s="10" t="str">
        <f aca="false">IF(BF196="","",IFERROR(VLOOKUP(BF196,Projects!$A$5:$D$504,2,0),"Ref not in Projects"))</f>
        <v/>
      </c>
      <c r="BH196" s="10" t="str">
        <f aca="false">IF(BF196="","",IFERROR(VLOOKUP(BF196,Projects!$A$5:$D$504,4,0),"Ref not in Projects"))</f>
        <v/>
      </c>
      <c r="BI196" s="9"/>
      <c r="BJ196" s="9"/>
      <c r="BK196" s="9"/>
      <c r="BL196" s="40"/>
      <c r="BM196" s="9"/>
      <c r="BN196" s="40"/>
      <c r="BO196" s="9"/>
      <c r="BP196" s="40"/>
      <c r="BQ196" s="9"/>
      <c r="BR196" s="9"/>
      <c r="BS196" s="9"/>
      <c r="BT196" s="40"/>
      <c r="BU196" s="40"/>
      <c r="BV196" s="36" t="str">
        <f aca="false">IF(BU196="","",EDATE(BU196,SG_Criteria!$B$54*12))</f>
        <v/>
      </c>
      <c r="BW196" s="33" t="str">
        <f aca="true">IF(A196="","",IF(BU196="","NOTE: not reviewed yet",IF(TODAY()&gt;BV196,"NOTE: review overdue","OK")))</f>
        <v/>
      </c>
      <c r="BX196" s="37" t="str">
        <f aca="false">IF(A196="","",ROUND((IF(LEN(D196)&gt;0,1,0)+IF(LEN(E196)&gt;0,1,0)+IF(LEN(F196)&gt;0,1,0)+IF(LEN(G196)&gt;0,1,0)+IF(LEN(H196)&gt;0,1,0)+IF(LEN(I196)&gt;0,1,0)+IF(LEN(J196)&gt;0,1,0)+IF(LEN(K196)&gt;0,1,0)+IF(LEN(N196)&gt;0,1,0)+IF(LEN(O196)&gt;0,1,0)+IF(LEN(W196)&gt;0,1,0)+IF(LEN(X196)&gt;0,1,0)+IF(LEN(Y196)&gt;0,1,0)+IF(LEN(AG196)&gt;0,1,0)+IF(LEN(AI196)&gt;0,1,0)+IF(LEN(AJ196)&gt;0,1,0)+IF(LEN(AK196)&gt;0,1,0)+IF(LEN(AL196)&gt;0,1,0)+IF(LEN(AU196)&gt;0,1,0)+IF(LEN(BF196)&gt;0,1,0)+IF(LEN(BS196)&gt;0,1,0))/21,2))</f>
        <v/>
      </c>
      <c r="BY196" s="10" t="str">
        <f aca="false">IF(D196="","",IF(AND(AJ196="Approved",ISERROR(SEARCH("FAIL",BC196))),"Y","N"))</f>
        <v/>
      </c>
      <c r="BZ196" s="10" t="str">
        <f aca="false">IF(D196="","",D196&amp;"|"&amp;F196&amp;"|"&amp;G196&amp;"|"&amp;BY196)</f>
        <v/>
      </c>
    </row>
    <row r="197" customFormat="false" ht="15" hidden="false" customHeight="false" outlineLevel="0" collapsed="false">
      <c r="A197" s="10" t="str">
        <f aca="false">IF(D197="","","LKW-"&amp;IFERROR(VLOOKUP(D197,Lists!$AQ$4:$AR$17,2,0),"??")&amp;"-W"&amp;TEXT(F197*1000,"0000")&amp;"-H"&amp;TEXT(G197*1000,"0000")&amp;"-B"&amp;TEXT(H197*1000,"0000")&amp;"-"&amp;AI197)</f>
        <v/>
      </c>
      <c r="B197" s="10" t="str">
        <f aca="false">IF(D197="","",D197&amp;", "&amp;F197&amp;" m wide, "&amp;G197&amp;" m headroom, "&amp;H197&amp;" m bays, "&amp;I197&amp;" ("&amp;E197&amp;")")</f>
        <v/>
      </c>
      <c r="C197" s="9"/>
      <c r="D197" s="9"/>
      <c r="E197" s="9"/>
      <c r="F197" s="42"/>
      <c r="G197" s="42"/>
      <c r="H197" s="42"/>
      <c r="I197" s="9"/>
      <c r="J197" s="9"/>
      <c r="K197" s="9"/>
      <c r="L197" s="9"/>
      <c r="M197" s="9"/>
      <c r="N197" s="9"/>
      <c r="O197" s="9"/>
      <c r="P197" s="9"/>
      <c r="Q197" s="9"/>
      <c r="R197" s="9"/>
      <c r="S197" s="42"/>
      <c r="T197" s="9"/>
      <c r="U197" s="9"/>
      <c r="V197" s="9"/>
      <c r="W197" s="38"/>
      <c r="X197" s="42"/>
      <c r="Y197" s="9"/>
      <c r="Z197" s="9"/>
      <c r="AA197" s="9"/>
      <c r="AB197" s="42"/>
      <c r="AC197" s="9"/>
      <c r="AD197" s="38"/>
      <c r="AE197" s="9"/>
      <c r="AF197" s="39"/>
      <c r="AG197" s="9"/>
      <c r="AH197" s="9"/>
      <c r="AI197" s="9"/>
      <c r="AJ197" s="9"/>
      <c r="AK197" s="9"/>
      <c r="AL197" s="9"/>
      <c r="AM197" s="9"/>
      <c r="AN197" s="10" t="str">
        <f aca="false">IF(A197="","",SG_Criteria!$B$6&amp;SG_Criteria!$B$12&amp;"\"&amp;A197&amp;"\")</f>
        <v/>
      </c>
      <c r="AO197" s="10" t="str">
        <f aca="false">IF(A197="","",A197&amp;"_CAD.dwg")</f>
        <v/>
      </c>
      <c r="AP197" s="10" t="str">
        <f aca="false">IF(A197="","",A197&amp;"_DWG.pdf")</f>
        <v/>
      </c>
      <c r="AQ197" s="10" t="str">
        <f aca="false">IF(A197="","",IF(AM197="Y",A197&amp;"_STAAD.std","n/a"))</f>
        <v/>
      </c>
      <c r="AR197" s="10" t="str">
        <f aca="false">IF(A197="","",A197&amp;"_CALC.xlsx")</f>
        <v/>
      </c>
      <c r="AS197" s="10" t="str">
        <f aca="false">IF(A197="","",A197&amp;"_CALC.pdf")</f>
        <v/>
      </c>
      <c r="AT197" s="9"/>
      <c r="AU197" s="9"/>
      <c r="AV197" s="39"/>
      <c r="AW197" s="39"/>
      <c r="AX197" s="39"/>
      <c r="AY197" s="39"/>
      <c r="AZ197" s="39"/>
      <c r="BA197" s="12" t="str">
        <f aca="false">IF(A197="","",IF(COUNTIF(Rebar_Schedule!$A$5:$A$2004,A197)=0,"",ROUND(SUMIF(Rebar_Schedule!$A$5:$A$2004,A197,Rebar_Schedule!$K$5:$K$2004),1)))</f>
        <v/>
      </c>
      <c r="BB197" s="33" t="str">
        <f aca="false">IF(A197="","",IF(BA197="","No rebar schedule yet",IF(ABS(BA197-N(AW197))/MAX(N(AW197),1)&gt;SG_Criteria!$B$55,"NOTE: register rebar differs from schedule by "&amp;TEXT(ABS(BA197-N(AW197))/MAX(N(AW197),1),"0%"),"OK")))</f>
        <v/>
      </c>
      <c r="BC197" s="33" t="str">
        <f aca="false">IF(D197="","",IF(LEN(IF(AND(D197&lt;&gt;"High Covered Linkway",G197&lt;SG_Criteria!$B$46),"FAIL: headroom below "&amp;SG_Criteria!$B$46&amp;" m. ","")&amp;IF(AND(D197="High Covered Linkway",G197&lt;SG_Criteria!$B$47),"FAIL: high linkway headroom below "&amp;SG_Criteria!$B$47&amp;" m. ","")&amp;IF(F197&lt;SG_Criteria!$B$48,"FAIL: roof width below "&amp;SG_Criteria!$B$48&amp;" m. ",IF(F197&lt;SG_Criteria!$B$49,"NOTE: not for MRT/LRT or high-traffic routes (min "&amp;SG_Criteria!$B$49&amp;" m). ",""))&amp;IF(AND(W197&lt;&gt;"",W197&lt;SG_Criteria!$B$50),"FAIL: wind speed below "&amp;SG_Criteria!$B$50&amp;" m/s. ","")&amp;IF(AND(X197&lt;&gt;"",X197&lt;SG_Criteria!$B$51),"FAIL: roof fixing pull-out below "&amp;SG_Criteria!$B$51&amp;" kN. ","")&amp;IF(AND(Y197&lt;&gt;"",IFERROR(VALUE(MID(Y197,2,2)),0)&lt;SG_Criteria!$B$52),"FAIL: grade below C"&amp;SG_Criteria!$B$52&amp;". ","")&amp;IF(E197="Non-standard (project design)","NOTE: not an SDRE standard, needs LTA acceptance. ",""))=0,"OK",IF(AND(D197&lt;&gt;"High Covered Linkway",G197&lt;SG_Criteria!$B$46),"FAIL: headroom below "&amp;SG_Criteria!$B$46&amp;" m. ","")&amp;IF(AND(D197="High Covered Linkway",G197&lt;SG_Criteria!$B$47),"FAIL: high linkway headroom below "&amp;SG_Criteria!$B$47&amp;" m. ","")&amp;IF(F197&lt;SG_Criteria!$B$48,"FAIL: roof width below "&amp;SG_Criteria!$B$48&amp;" m. ",IF(F197&lt;SG_Criteria!$B$49,"NOTE: not for MRT/LRT or high-traffic routes (min "&amp;SG_Criteria!$B$49&amp;" m). ",""))&amp;IF(AND(W197&lt;&gt;"",W197&lt;SG_Criteria!$B$50),"FAIL: wind speed below "&amp;SG_Criteria!$B$50&amp;" m/s. ","")&amp;IF(AND(X197&lt;&gt;"",X197&lt;SG_Criteria!$B$51),"FAIL: roof fixing pull-out below "&amp;SG_Criteria!$B$51&amp;" kN. ","")&amp;IF(AND(Y197&lt;&gt;"",IFERROR(VALUE(MID(Y197,2,2)),0)&lt;SG_Criteria!$B$52),"FAIL: grade below C"&amp;SG_Criteria!$B$52&amp;". ","")&amp;IF(E197="Non-standard (project design)","NOTE: not an SDRE standard, needs LTA acceptance. ","")))</f>
        <v/>
      </c>
      <c r="BD197" s="9"/>
      <c r="BE197" s="9"/>
      <c r="BF197" s="9"/>
      <c r="BG197" s="10" t="str">
        <f aca="false">IF(BF197="","",IFERROR(VLOOKUP(BF197,Projects!$A$5:$D$504,2,0),"Ref not in Projects"))</f>
        <v/>
      </c>
      <c r="BH197" s="10" t="str">
        <f aca="false">IF(BF197="","",IFERROR(VLOOKUP(BF197,Projects!$A$5:$D$504,4,0),"Ref not in Projects"))</f>
        <v/>
      </c>
      <c r="BI197" s="9"/>
      <c r="BJ197" s="9"/>
      <c r="BK197" s="9"/>
      <c r="BL197" s="40"/>
      <c r="BM197" s="9"/>
      <c r="BN197" s="40"/>
      <c r="BO197" s="9"/>
      <c r="BP197" s="40"/>
      <c r="BQ197" s="9"/>
      <c r="BR197" s="9"/>
      <c r="BS197" s="9"/>
      <c r="BT197" s="40"/>
      <c r="BU197" s="40"/>
      <c r="BV197" s="36" t="str">
        <f aca="false">IF(BU197="","",EDATE(BU197,SG_Criteria!$B$54*12))</f>
        <v/>
      </c>
      <c r="BW197" s="33" t="str">
        <f aca="true">IF(A197="","",IF(BU197="","NOTE: not reviewed yet",IF(TODAY()&gt;BV197,"NOTE: review overdue","OK")))</f>
        <v/>
      </c>
      <c r="BX197" s="37" t="str">
        <f aca="false">IF(A197="","",ROUND((IF(LEN(D197)&gt;0,1,0)+IF(LEN(E197)&gt;0,1,0)+IF(LEN(F197)&gt;0,1,0)+IF(LEN(G197)&gt;0,1,0)+IF(LEN(H197)&gt;0,1,0)+IF(LEN(I197)&gt;0,1,0)+IF(LEN(J197)&gt;0,1,0)+IF(LEN(K197)&gt;0,1,0)+IF(LEN(N197)&gt;0,1,0)+IF(LEN(O197)&gt;0,1,0)+IF(LEN(W197)&gt;0,1,0)+IF(LEN(X197)&gt;0,1,0)+IF(LEN(Y197)&gt;0,1,0)+IF(LEN(AG197)&gt;0,1,0)+IF(LEN(AI197)&gt;0,1,0)+IF(LEN(AJ197)&gt;0,1,0)+IF(LEN(AK197)&gt;0,1,0)+IF(LEN(AL197)&gt;0,1,0)+IF(LEN(AU197)&gt;0,1,0)+IF(LEN(BF197)&gt;0,1,0)+IF(LEN(BS197)&gt;0,1,0))/21,2))</f>
        <v/>
      </c>
      <c r="BY197" s="10" t="str">
        <f aca="false">IF(D197="","",IF(AND(AJ197="Approved",ISERROR(SEARCH("FAIL",BC197))),"Y","N"))</f>
        <v/>
      </c>
      <c r="BZ197" s="10" t="str">
        <f aca="false">IF(D197="","",D197&amp;"|"&amp;F197&amp;"|"&amp;G197&amp;"|"&amp;BY197)</f>
        <v/>
      </c>
    </row>
    <row r="198" customFormat="false" ht="15" hidden="false" customHeight="false" outlineLevel="0" collapsed="false">
      <c r="A198" s="10" t="str">
        <f aca="false">IF(D198="","","LKW-"&amp;IFERROR(VLOOKUP(D198,Lists!$AQ$4:$AR$17,2,0),"??")&amp;"-W"&amp;TEXT(F198*1000,"0000")&amp;"-H"&amp;TEXT(G198*1000,"0000")&amp;"-B"&amp;TEXT(H198*1000,"0000")&amp;"-"&amp;AI198)</f>
        <v/>
      </c>
      <c r="B198" s="10" t="str">
        <f aca="false">IF(D198="","",D198&amp;", "&amp;F198&amp;" m wide, "&amp;G198&amp;" m headroom, "&amp;H198&amp;" m bays, "&amp;I198&amp;" ("&amp;E198&amp;")")</f>
        <v/>
      </c>
      <c r="C198" s="9"/>
      <c r="D198" s="9"/>
      <c r="E198" s="9"/>
      <c r="F198" s="42"/>
      <c r="G198" s="42"/>
      <c r="H198" s="42"/>
      <c r="I198" s="9"/>
      <c r="J198" s="9"/>
      <c r="K198" s="9"/>
      <c r="L198" s="9"/>
      <c r="M198" s="9"/>
      <c r="N198" s="9"/>
      <c r="O198" s="9"/>
      <c r="P198" s="9"/>
      <c r="Q198" s="9"/>
      <c r="R198" s="9"/>
      <c r="S198" s="42"/>
      <c r="T198" s="9"/>
      <c r="U198" s="9"/>
      <c r="V198" s="9"/>
      <c r="W198" s="38"/>
      <c r="X198" s="42"/>
      <c r="Y198" s="9"/>
      <c r="Z198" s="9"/>
      <c r="AA198" s="9"/>
      <c r="AB198" s="42"/>
      <c r="AC198" s="9"/>
      <c r="AD198" s="38"/>
      <c r="AE198" s="9"/>
      <c r="AF198" s="39"/>
      <c r="AG198" s="9"/>
      <c r="AH198" s="9"/>
      <c r="AI198" s="9"/>
      <c r="AJ198" s="9"/>
      <c r="AK198" s="9"/>
      <c r="AL198" s="9"/>
      <c r="AM198" s="9"/>
      <c r="AN198" s="10" t="str">
        <f aca="false">IF(A198="","",SG_Criteria!$B$6&amp;SG_Criteria!$B$12&amp;"\"&amp;A198&amp;"\")</f>
        <v/>
      </c>
      <c r="AO198" s="10" t="str">
        <f aca="false">IF(A198="","",A198&amp;"_CAD.dwg")</f>
        <v/>
      </c>
      <c r="AP198" s="10" t="str">
        <f aca="false">IF(A198="","",A198&amp;"_DWG.pdf")</f>
        <v/>
      </c>
      <c r="AQ198" s="10" t="str">
        <f aca="false">IF(A198="","",IF(AM198="Y",A198&amp;"_STAAD.std","n/a"))</f>
        <v/>
      </c>
      <c r="AR198" s="10" t="str">
        <f aca="false">IF(A198="","",A198&amp;"_CALC.xlsx")</f>
        <v/>
      </c>
      <c r="AS198" s="10" t="str">
        <f aca="false">IF(A198="","",A198&amp;"_CALC.pdf")</f>
        <v/>
      </c>
      <c r="AT198" s="9"/>
      <c r="AU198" s="9"/>
      <c r="AV198" s="39"/>
      <c r="AW198" s="39"/>
      <c r="AX198" s="39"/>
      <c r="AY198" s="39"/>
      <c r="AZ198" s="39"/>
      <c r="BA198" s="12" t="str">
        <f aca="false">IF(A198="","",IF(COUNTIF(Rebar_Schedule!$A$5:$A$2004,A198)=0,"",ROUND(SUMIF(Rebar_Schedule!$A$5:$A$2004,A198,Rebar_Schedule!$K$5:$K$2004),1)))</f>
        <v/>
      </c>
      <c r="BB198" s="33" t="str">
        <f aca="false">IF(A198="","",IF(BA198="","No rebar schedule yet",IF(ABS(BA198-N(AW198))/MAX(N(AW198),1)&gt;SG_Criteria!$B$55,"NOTE: register rebar differs from schedule by "&amp;TEXT(ABS(BA198-N(AW198))/MAX(N(AW198),1),"0%"),"OK")))</f>
        <v/>
      </c>
      <c r="BC198" s="33" t="str">
        <f aca="false">IF(D198="","",IF(LEN(IF(AND(D198&lt;&gt;"High Covered Linkway",G198&lt;SG_Criteria!$B$46),"FAIL: headroom below "&amp;SG_Criteria!$B$46&amp;" m. ","")&amp;IF(AND(D198="High Covered Linkway",G198&lt;SG_Criteria!$B$47),"FAIL: high linkway headroom below "&amp;SG_Criteria!$B$47&amp;" m. ","")&amp;IF(F198&lt;SG_Criteria!$B$48,"FAIL: roof width below "&amp;SG_Criteria!$B$48&amp;" m. ",IF(F198&lt;SG_Criteria!$B$49,"NOTE: not for MRT/LRT or high-traffic routes (min "&amp;SG_Criteria!$B$49&amp;" m). ",""))&amp;IF(AND(W198&lt;&gt;"",W198&lt;SG_Criteria!$B$50),"FAIL: wind speed below "&amp;SG_Criteria!$B$50&amp;" m/s. ","")&amp;IF(AND(X198&lt;&gt;"",X198&lt;SG_Criteria!$B$51),"FAIL: roof fixing pull-out below "&amp;SG_Criteria!$B$51&amp;" kN. ","")&amp;IF(AND(Y198&lt;&gt;"",IFERROR(VALUE(MID(Y198,2,2)),0)&lt;SG_Criteria!$B$52),"FAIL: grade below C"&amp;SG_Criteria!$B$52&amp;". ","")&amp;IF(E198="Non-standard (project design)","NOTE: not an SDRE standard, needs LTA acceptance. ",""))=0,"OK",IF(AND(D198&lt;&gt;"High Covered Linkway",G198&lt;SG_Criteria!$B$46),"FAIL: headroom below "&amp;SG_Criteria!$B$46&amp;" m. ","")&amp;IF(AND(D198="High Covered Linkway",G198&lt;SG_Criteria!$B$47),"FAIL: high linkway headroom below "&amp;SG_Criteria!$B$47&amp;" m. ","")&amp;IF(F198&lt;SG_Criteria!$B$48,"FAIL: roof width below "&amp;SG_Criteria!$B$48&amp;" m. ",IF(F198&lt;SG_Criteria!$B$49,"NOTE: not for MRT/LRT or high-traffic routes (min "&amp;SG_Criteria!$B$49&amp;" m). ",""))&amp;IF(AND(W198&lt;&gt;"",W198&lt;SG_Criteria!$B$50),"FAIL: wind speed below "&amp;SG_Criteria!$B$50&amp;" m/s. ","")&amp;IF(AND(X198&lt;&gt;"",X198&lt;SG_Criteria!$B$51),"FAIL: roof fixing pull-out below "&amp;SG_Criteria!$B$51&amp;" kN. ","")&amp;IF(AND(Y198&lt;&gt;"",IFERROR(VALUE(MID(Y198,2,2)),0)&lt;SG_Criteria!$B$52),"FAIL: grade below C"&amp;SG_Criteria!$B$52&amp;". ","")&amp;IF(E198="Non-standard (project design)","NOTE: not an SDRE standard, needs LTA acceptance. ","")))</f>
        <v/>
      </c>
      <c r="BD198" s="9"/>
      <c r="BE198" s="9"/>
      <c r="BF198" s="9"/>
      <c r="BG198" s="10" t="str">
        <f aca="false">IF(BF198="","",IFERROR(VLOOKUP(BF198,Projects!$A$5:$D$504,2,0),"Ref not in Projects"))</f>
        <v/>
      </c>
      <c r="BH198" s="10" t="str">
        <f aca="false">IF(BF198="","",IFERROR(VLOOKUP(BF198,Projects!$A$5:$D$504,4,0),"Ref not in Projects"))</f>
        <v/>
      </c>
      <c r="BI198" s="9"/>
      <c r="BJ198" s="9"/>
      <c r="BK198" s="9"/>
      <c r="BL198" s="40"/>
      <c r="BM198" s="9"/>
      <c r="BN198" s="40"/>
      <c r="BO198" s="9"/>
      <c r="BP198" s="40"/>
      <c r="BQ198" s="9"/>
      <c r="BR198" s="9"/>
      <c r="BS198" s="9"/>
      <c r="BT198" s="40"/>
      <c r="BU198" s="40"/>
      <c r="BV198" s="36" t="str">
        <f aca="false">IF(BU198="","",EDATE(BU198,SG_Criteria!$B$54*12))</f>
        <v/>
      </c>
      <c r="BW198" s="33" t="str">
        <f aca="true">IF(A198="","",IF(BU198="","NOTE: not reviewed yet",IF(TODAY()&gt;BV198,"NOTE: review overdue","OK")))</f>
        <v/>
      </c>
      <c r="BX198" s="37" t="str">
        <f aca="false">IF(A198="","",ROUND((IF(LEN(D198)&gt;0,1,0)+IF(LEN(E198)&gt;0,1,0)+IF(LEN(F198)&gt;0,1,0)+IF(LEN(G198)&gt;0,1,0)+IF(LEN(H198)&gt;0,1,0)+IF(LEN(I198)&gt;0,1,0)+IF(LEN(J198)&gt;0,1,0)+IF(LEN(K198)&gt;0,1,0)+IF(LEN(N198)&gt;0,1,0)+IF(LEN(O198)&gt;0,1,0)+IF(LEN(W198)&gt;0,1,0)+IF(LEN(X198)&gt;0,1,0)+IF(LEN(Y198)&gt;0,1,0)+IF(LEN(AG198)&gt;0,1,0)+IF(LEN(AI198)&gt;0,1,0)+IF(LEN(AJ198)&gt;0,1,0)+IF(LEN(AK198)&gt;0,1,0)+IF(LEN(AL198)&gt;0,1,0)+IF(LEN(AU198)&gt;0,1,0)+IF(LEN(BF198)&gt;0,1,0)+IF(LEN(BS198)&gt;0,1,0))/21,2))</f>
        <v/>
      </c>
      <c r="BY198" s="10" t="str">
        <f aca="false">IF(D198="","",IF(AND(AJ198="Approved",ISERROR(SEARCH("FAIL",BC198))),"Y","N"))</f>
        <v/>
      </c>
      <c r="BZ198" s="10" t="str">
        <f aca="false">IF(D198="","",D198&amp;"|"&amp;F198&amp;"|"&amp;G198&amp;"|"&amp;BY198)</f>
        <v/>
      </c>
    </row>
    <row r="199" customFormat="false" ht="15" hidden="false" customHeight="false" outlineLevel="0" collapsed="false">
      <c r="A199" s="10" t="str">
        <f aca="false">IF(D199="","","LKW-"&amp;IFERROR(VLOOKUP(D199,Lists!$AQ$4:$AR$17,2,0),"??")&amp;"-W"&amp;TEXT(F199*1000,"0000")&amp;"-H"&amp;TEXT(G199*1000,"0000")&amp;"-B"&amp;TEXT(H199*1000,"0000")&amp;"-"&amp;AI199)</f>
        <v/>
      </c>
      <c r="B199" s="10" t="str">
        <f aca="false">IF(D199="","",D199&amp;", "&amp;F199&amp;" m wide, "&amp;G199&amp;" m headroom, "&amp;H199&amp;" m bays, "&amp;I199&amp;" ("&amp;E199&amp;")")</f>
        <v/>
      </c>
      <c r="C199" s="9"/>
      <c r="D199" s="9"/>
      <c r="E199" s="9"/>
      <c r="F199" s="42"/>
      <c r="G199" s="42"/>
      <c r="H199" s="42"/>
      <c r="I199" s="9"/>
      <c r="J199" s="9"/>
      <c r="K199" s="9"/>
      <c r="L199" s="9"/>
      <c r="M199" s="9"/>
      <c r="N199" s="9"/>
      <c r="O199" s="9"/>
      <c r="P199" s="9"/>
      <c r="Q199" s="9"/>
      <c r="R199" s="9"/>
      <c r="S199" s="42"/>
      <c r="T199" s="9"/>
      <c r="U199" s="9"/>
      <c r="V199" s="9"/>
      <c r="W199" s="38"/>
      <c r="X199" s="42"/>
      <c r="Y199" s="9"/>
      <c r="Z199" s="9"/>
      <c r="AA199" s="9"/>
      <c r="AB199" s="42"/>
      <c r="AC199" s="9"/>
      <c r="AD199" s="38"/>
      <c r="AE199" s="9"/>
      <c r="AF199" s="39"/>
      <c r="AG199" s="9"/>
      <c r="AH199" s="9"/>
      <c r="AI199" s="9"/>
      <c r="AJ199" s="9"/>
      <c r="AK199" s="9"/>
      <c r="AL199" s="9"/>
      <c r="AM199" s="9"/>
      <c r="AN199" s="10" t="str">
        <f aca="false">IF(A199="","",SG_Criteria!$B$6&amp;SG_Criteria!$B$12&amp;"\"&amp;A199&amp;"\")</f>
        <v/>
      </c>
      <c r="AO199" s="10" t="str">
        <f aca="false">IF(A199="","",A199&amp;"_CAD.dwg")</f>
        <v/>
      </c>
      <c r="AP199" s="10" t="str">
        <f aca="false">IF(A199="","",A199&amp;"_DWG.pdf")</f>
        <v/>
      </c>
      <c r="AQ199" s="10" t="str">
        <f aca="false">IF(A199="","",IF(AM199="Y",A199&amp;"_STAAD.std","n/a"))</f>
        <v/>
      </c>
      <c r="AR199" s="10" t="str">
        <f aca="false">IF(A199="","",A199&amp;"_CALC.xlsx")</f>
        <v/>
      </c>
      <c r="AS199" s="10" t="str">
        <f aca="false">IF(A199="","",A199&amp;"_CALC.pdf")</f>
        <v/>
      </c>
      <c r="AT199" s="9"/>
      <c r="AU199" s="9"/>
      <c r="AV199" s="39"/>
      <c r="AW199" s="39"/>
      <c r="AX199" s="39"/>
      <c r="AY199" s="39"/>
      <c r="AZ199" s="39"/>
      <c r="BA199" s="12" t="str">
        <f aca="false">IF(A199="","",IF(COUNTIF(Rebar_Schedule!$A$5:$A$2004,A199)=0,"",ROUND(SUMIF(Rebar_Schedule!$A$5:$A$2004,A199,Rebar_Schedule!$K$5:$K$2004),1)))</f>
        <v/>
      </c>
      <c r="BB199" s="33" t="str">
        <f aca="false">IF(A199="","",IF(BA199="","No rebar schedule yet",IF(ABS(BA199-N(AW199))/MAX(N(AW199),1)&gt;SG_Criteria!$B$55,"NOTE: register rebar differs from schedule by "&amp;TEXT(ABS(BA199-N(AW199))/MAX(N(AW199),1),"0%"),"OK")))</f>
        <v/>
      </c>
      <c r="BC199" s="33" t="str">
        <f aca="false">IF(D199="","",IF(LEN(IF(AND(D199&lt;&gt;"High Covered Linkway",G199&lt;SG_Criteria!$B$46),"FAIL: headroom below "&amp;SG_Criteria!$B$46&amp;" m. ","")&amp;IF(AND(D199="High Covered Linkway",G199&lt;SG_Criteria!$B$47),"FAIL: high linkway headroom below "&amp;SG_Criteria!$B$47&amp;" m. ","")&amp;IF(F199&lt;SG_Criteria!$B$48,"FAIL: roof width below "&amp;SG_Criteria!$B$48&amp;" m. ",IF(F199&lt;SG_Criteria!$B$49,"NOTE: not for MRT/LRT or high-traffic routes (min "&amp;SG_Criteria!$B$49&amp;" m). ",""))&amp;IF(AND(W199&lt;&gt;"",W199&lt;SG_Criteria!$B$50),"FAIL: wind speed below "&amp;SG_Criteria!$B$50&amp;" m/s. ","")&amp;IF(AND(X199&lt;&gt;"",X199&lt;SG_Criteria!$B$51),"FAIL: roof fixing pull-out below "&amp;SG_Criteria!$B$51&amp;" kN. ","")&amp;IF(AND(Y199&lt;&gt;"",IFERROR(VALUE(MID(Y199,2,2)),0)&lt;SG_Criteria!$B$52),"FAIL: grade below C"&amp;SG_Criteria!$B$52&amp;". ","")&amp;IF(E199="Non-standard (project design)","NOTE: not an SDRE standard, needs LTA acceptance. ",""))=0,"OK",IF(AND(D199&lt;&gt;"High Covered Linkway",G199&lt;SG_Criteria!$B$46),"FAIL: headroom below "&amp;SG_Criteria!$B$46&amp;" m. ","")&amp;IF(AND(D199="High Covered Linkway",G199&lt;SG_Criteria!$B$47),"FAIL: high linkway headroom below "&amp;SG_Criteria!$B$47&amp;" m. ","")&amp;IF(F199&lt;SG_Criteria!$B$48,"FAIL: roof width below "&amp;SG_Criteria!$B$48&amp;" m. ",IF(F199&lt;SG_Criteria!$B$49,"NOTE: not for MRT/LRT or high-traffic routes (min "&amp;SG_Criteria!$B$49&amp;" m). ",""))&amp;IF(AND(W199&lt;&gt;"",W199&lt;SG_Criteria!$B$50),"FAIL: wind speed below "&amp;SG_Criteria!$B$50&amp;" m/s. ","")&amp;IF(AND(X199&lt;&gt;"",X199&lt;SG_Criteria!$B$51),"FAIL: roof fixing pull-out below "&amp;SG_Criteria!$B$51&amp;" kN. ","")&amp;IF(AND(Y199&lt;&gt;"",IFERROR(VALUE(MID(Y199,2,2)),0)&lt;SG_Criteria!$B$52),"FAIL: grade below C"&amp;SG_Criteria!$B$52&amp;". ","")&amp;IF(E199="Non-standard (project design)","NOTE: not an SDRE standard, needs LTA acceptance. ","")))</f>
        <v/>
      </c>
      <c r="BD199" s="9"/>
      <c r="BE199" s="9"/>
      <c r="BF199" s="9"/>
      <c r="BG199" s="10" t="str">
        <f aca="false">IF(BF199="","",IFERROR(VLOOKUP(BF199,Projects!$A$5:$D$504,2,0),"Ref not in Projects"))</f>
        <v/>
      </c>
      <c r="BH199" s="10" t="str">
        <f aca="false">IF(BF199="","",IFERROR(VLOOKUP(BF199,Projects!$A$5:$D$504,4,0),"Ref not in Projects"))</f>
        <v/>
      </c>
      <c r="BI199" s="9"/>
      <c r="BJ199" s="9"/>
      <c r="BK199" s="9"/>
      <c r="BL199" s="40"/>
      <c r="BM199" s="9"/>
      <c r="BN199" s="40"/>
      <c r="BO199" s="9"/>
      <c r="BP199" s="40"/>
      <c r="BQ199" s="9"/>
      <c r="BR199" s="9"/>
      <c r="BS199" s="9"/>
      <c r="BT199" s="40"/>
      <c r="BU199" s="40"/>
      <c r="BV199" s="36" t="str">
        <f aca="false">IF(BU199="","",EDATE(BU199,SG_Criteria!$B$54*12))</f>
        <v/>
      </c>
      <c r="BW199" s="33" t="str">
        <f aca="true">IF(A199="","",IF(BU199="","NOTE: not reviewed yet",IF(TODAY()&gt;BV199,"NOTE: review overdue","OK")))</f>
        <v/>
      </c>
      <c r="BX199" s="37" t="str">
        <f aca="false">IF(A199="","",ROUND((IF(LEN(D199)&gt;0,1,0)+IF(LEN(E199)&gt;0,1,0)+IF(LEN(F199)&gt;0,1,0)+IF(LEN(G199)&gt;0,1,0)+IF(LEN(H199)&gt;0,1,0)+IF(LEN(I199)&gt;0,1,0)+IF(LEN(J199)&gt;0,1,0)+IF(LEN(K199)&gt;0,1,0)+IF(LEN(N199)&gt;0,1,0)+IF(LEN(O199)&gt;0,1,0)+IF(LEN(W199)&gt;0,1,0)+IF(LEN(X199)&gt;0,1,0)+IF(LEN(Y199)&gt;0,1,0)+IF(LEN(AG199)&gt;0,1,0)+IF(LEN(AI199)&gt;0,1,0)+IF(LEN(AJ199)&gt;0,1,0)+IF(LEN(AK199)&gt;0,1,0)+IF(LEN(AL199)&gt;0,1,0)+IF(LEN(AU199)&gt;0,1,0)+IF(LEN(BF199)&gt;0,1,0)+IF(LEN(BS199)&gt;0,1,0))/21,2))</f>
        <v/>
      </c>
      <c r="BY199" s="10" t="str">
        <f aca="false">IF(D199="","",IF(AND(AJ199="Approved",ISERROR(SEARCH("FAIL",BC199))),"Y","N"))</f>
        <v/>
      </c>
      <c r="BZ199" s="10" t="str">
        <f aca="false">IF(D199="","",D199&amp;"|"&amp;F199&amp;"|"&amp;G199&amp;"|"&amp;BY199)</f>
        <v/>
      </c>
    </row>
    <row r="200" customFormat="false" ht="15" hidden="false" customHeight="false" outlineLevel="0" collapsed="false">
      <c r="A200" s="10" t="str">
        <f aca="false">IF(D200="","","LKW-"&amp;IFERROR(VLOOKUP(D200,Lists!$AQ$4:$AR$17,2,0),"??")&amp;"-W"&amp;TEXT(F200*1000,"0000")&amp;"-H"&amp;TEXT(G200*1000,"0000")&amp;"-B"&amp;TEXT(H200*1000,"0000")&amp;"-"&amp;AI200)</f>
        <v/>
      </c>
      <c r="B200" s="10" t="str">
        <f aca="false">IF(D200="","",D200&amp;", "&amp;F200&amp;" m wide, "&amp;G200&amp;" m headroom, "&amp;H200&amp;" m bays, "&amp;I200&amp;" ("&amp;E200&amp;")")</f>
        <v/>
      </c>
      <c r="C200" s="9"/>
      <c r="D200" s="9"/>
      <c r="E200" s="9"/>
      <c r="F200" s="42"/>
      <c r="G200" s="42"/>
      <c r="H200" s="42"/>
      <c r="I200" s="9"/>
      <c r="J200" s="9"/>
      <c r="K200" s="9"/>
      <c r="L200" s="9"/>
      <c r="M200" s="9"/>
      <c r="N200" s="9"/>
      <c r="O200" s="9"/>
      <c r="P200" s="9"/>
      <c r="Q200" s="9"/>
      <c r="R200" s="9"/>
      <c r="S200" s="42"/>
      <c r="T200" s="9"/>
      <c r="U200" s="9"/>
      <c r="V200" s="9"/>
      <c r="W200" s="38"/>
      <c r="X200" s="42"/>
      <c r="Y200" s="9"/>
      <c r="Z200" s="9"/>
      <c r="AA200" s="9"/>
      <c r="AB200" s="42"/>
      <c r="AC200" s="9"/>
      <c r="AD200" s="38"/>
      <c r="AE200" s="9"/>
      <c r="AF200" s="39"/>
      <c r="AG200" s="9"/>
      <c r="AH200" s="9"/>
      <c r="AI200" s="9"/>
      <c r="AJ200" s="9"/>
      <c r="AK200" s="9"/>
      <c r="AL200" s="9"/>
      <c r="AM200" s="9"/>
      <c r="AN200" s="10" t="str">
        <f aca="false">IF(A200="","",SG_Criteria!$B$6&amp;SG_Criteria!$B$12&amp;"\"&amp;A200&amp;"\")</f>
        <v/>
      </c>
      <c r="AO200" s="10" t="str">
        <f aca="false">IF(A200="","",A200&amp;"_CAD.dwg")</f>
        <v/>
      </c>
      <c r="AP200" s="10" t="str">
        <f aca="false">IF(A200="","",A200&amp;"_DWG.pdf")</f>
        <v/>
      </c>
      <c r="AQ200" s="10" t="str">
        <f aca="false">IF(A200="","",IF(AM200="Y",A200&amp;"_STAAD.std","n/a"))</f>
        <v/>
      </c>
      <c r="AR200" s="10" t="str">
        <f aca="false">IF(A200="","",A200&amp;"_CALC.xlsx")</f>
        <v/>
      </c>
      <c r="AS200" s="10" t="str">
        <f aca="false">IF(A200="","",A200&amp;"_CALC.pdf")</f>
        <v/>
      </c>
      <c r="AT200" s="9"/>
      <c r="AU200" s="9"/>
      <c r="AV200" s="39"/>
      <c r="AW200" s="39"/>
      <c r="AX200" s="39"/>
      <c r="AY200" s="39"/>
      <c r="AZ200" s="39"/>
      <c r="BA200" s="12" t="str">
        <f aca="false">IF(A200="","",IF(COUNTIF(Rebar_Schedule!$A$5:$A$2004,A200)=0,"",ROUND(SUMIF(Rebar_Schedule!$A$5:$A$2004,A200,Rebar_Schedule!$K$5:$K$2004),1)))</f>
        <v/>
      </c>
      <c r="BB200" s="33" t="str">
        <f aca="false">IF(A200="","",IF(BA200="","No rebar schedule yet",IF(ABS(BA200-N(AW200))/MAX(N(AW200),1)&gt;SG_Criteria!$B$55,"NOTE: register rebar differs from schedule by "&amp;TEXT(ABS(BA200-N(AW200))/MAX(N(AW200),1),"0%"),"OK")))</f>
        <v/>
      </c>
      <c r="BC200" s="33" t="str">
        <f aca="false">IF(D200="","",IF(LEN(IF(AND(D200&lt;&gt;"High Covered Linkway",G200&lt;SG_Criteria!$B$46),"FAIL: headroom below "&amp;SG_Criteria!$B$46&amp;" m. ","")&amp;IF(AND(D200="High Covered Linkway",G200&lt;SG_Criteria!$B$47),"FAIL: high linkway headroom below "&amp;SG_Criteria!$B$47&amp;" m. ","")&amp;IF(F200&lt;SG_Criteria!$B$48,"FAIL: roof width below "&amp;SG_Criteria!$B$48&amp;" m. ",IF(F200&lt;SG_Criteria!$B$49,"NOTE: not for MRT/LRT or high-traffic routes (min "&amp;SG_Criteria!$B$49&amp;" m). ",""))&amp;IF(AND(W200&lt;&gt;"",W200&lt;SG_Criteria!$B$50),"FAIL: wind speed below "&amp;SG_Criteria!$B$50&amp;" m/s. ","")&amp;IF(AND(X200&lt;&gt;"",X200&lt;SG_Criteria!$B$51),"FAIL: roof fixing pull-out below "&amp;SG_Criteria!$B$51&amp;" kN. ","")&amp;IF(AND(Y200&lt;&gt;"",IFERROR(VALUE(MID(Y200,2,2)),0)&lt;SG_Criteria!$B$52),"FAIL: grade below C"&amp;SG_Criteria!$B$52&amp;". ","")&amp;IF(E200="Non-standard (project design)","NOTE: not an SDRE standard, needs LTA acceptance. ",""))=0,"OK",IF(AND(D200&lt;&gt;"High Covered Linkway",G200&lt;SG_Criteria!$B$46),"FAIL: headroom below "&amp;SG_Criteria!$B$46&amp;" m. ","")&amp;IF(AND(D200="High Covered Linkway",G200&lt;SG_Criteria!$B$47),"FAIL: high linkway headroom below "&amp;SG_Criteria!$B$47&amp;" m. ","")&amp;IF(F200&lt;SG_Criteria!$B$48,"FAIL: roof width below "&amp;SG_Criteria!$B$48&amp;" m. ",IF(F200&lt;SG_Criteria!$B$49,"NOTE: not for MRT/LRT or high-traffic routes (min "&amp;SG_Criteria!$B$49&amp;" m). ",""))&amp;IF(AND(W200&lt;&gt;"",W200&lt;SG_Criteria!$B$50),"FAIL: wind speed below "&amp;SG_Criteria!$B$50&amp;" m/s. ","")&amp;IF(AND(X200&lt;&gt;"",X200&lt;SG_Criteria!$B$51),"FAIL: roof fixing pull-out below "&amp;SG_Criteria!$B$51&amp;" kN. ","")&amp;IF(AND(Y200&lt;&gt;"",IFERROR(VALUE(MID(Y200,2,2)),0)&lt;SG_Criteria!$B$52),"FAIL: grade below C"&amp;SG_Criteria!$B$52&amp;". ","")&amp;IF(E200="Non-standard (project design)","NOTE: not an SDRE standard, needs LTA acceptance. ","")))</f>
        <v/>
      </c>
      <c r="BD200" s="9"/>
      <c r="BE200" s="9"/>
      <c r="BF200" s="9"/>
      <c r="BG200" s="10" t="str">
        <f aca="false">IF(BF200="","",IFERROR(VLOOKUP(BF200,Projects!$A$5:$D$504,2,0),"Ref not in Projects"))</f>
        <v/>
      </c>
      <c r="BH200" s="10" t="str">
        <f aca="false">IF(BF200="","",IFERROR(VLOOKUP(BF200,Projects!$A$5:$D$504,4,0),"Ref not in Projects"))</f>
        <v/>
      </c>
      <c r="BI200" s="9"/>
      <c r="BJ200" s="9"/>
      <c r="BK200" s="9"/>
      <c r="BL200" s="40"/>
      <c r="BM200" s="9"/>
      <c r="BN200" s="40"/>
      <c r="BO200" s="9"/>
      <c r="BP200" s="40"/>
      <c r="BQ200" s="9"/>
      <c r="BR200" s="9"/>
      <c r="BS200" s="9"/>
      <c r="BT200" s="40"/>
      <c r="BU200" s="40"/>
      <c r="BV200" s="36" t="str">
        <f aca="false">IF(BU200="","",EDATE(BU200,SG_Criteria!$B$54*12))</f>
        <v/>
      </c>
      <c r="BW200" s="33" t="str">
        <f aca="true">IF(A200="","",IF(BU200="","NOTE: not reviewed yet",IF(TODAY()&gt;BV200,"NOTE: review overdue","OK")))</f>
        <v/>
      </c>
      <c r="BX200" s="37" t="str">
        <f aca="false">IF(A200="","",ROUND((IF(LEN(D200)&gt;0,1,0)+IF(LEN(E200)&gt;0,1,0)+IF(LEN(F200)&gt;0,1,0)+IF(LEN(G200)&gt;0,1,0)+IF(LEN(H200)&gt;0,1,0)+IF(LEN(I200)&gt;0,1,0)+IF(LEN(J200)&gt;0,1,0)+IF(LEN(K200)&gt;0,1,0)+IF(LEN(N200)&gt;0,1,0)+IF(LEN(O200)&gt;0,1,0)+IF(LEN(W200)&gt;0,1,0)+IF(LEN(X200)&gt;0,1,0)+IF(LEN(Y200)&gt;0,1,0)+IF(LEN(AG200)&gt;0,1,0)+IF(LEN(AI200)&gt;0,1,0)+IF(LEN(AJ200)&gt;0,1,0)+IF(LEN(AK200)&gt;0,1,0)+IF(LEN(AL200)&gt;0,1,0)+IF(LEN(AU200)&gt;0,1,0)+IF(LEN(BF200)&gt;0,1,0)+IF(LEN(BS200)&gt;0,1,0))/21,2))</f>
        <v/>
      </c>
      <c r="BY200" s="10" t="str">
        <f aca="false">IF(D200="","",IF(AND(AJ200="Approved",ISERROR(SEARCH("FAIL",BC200))),"Y","N"))</f>
        <v/>
      </c>
      <c r="BZ200" s="10" t="str">
        <f aca="false">IF(D200="","",D200&amp;"|"&amp;F200&amp;"|"&amp;G200&amp;"|"&amp;BY200)</f>
        <v/>
      </c>
    </row>
    <row r="201" customFormat="false" ht="15" hidden="false" customHeight="false" outlineLevel="0" collapsed="false">
      <c r="A201" s="10" t="str">
        <f aca="false">IF(D201="","","LKW-"&amp;IFERROR(VLOOKUP(D201,Lists!$AQ$4:$AR$17,2,0),"??")&amp;"-W"&amp;TEXT(F201*1000,"0000")&amp;"-H"&amp;TEXT(G201*1000,"0000")&amp;"-B"&amp;TEXT(H201*1000,"0000")&amp;"-"&amp;AI201)</f>
        <v/>
      </c>
      <c r="B201" s="10" t="str">
        <f aca="false">IF(D201="","",D201&amp;", "&amp;F201&amp;" m wide, "&amp;G201&amp;" m headroom, "&amp;H201&amp;" m bays, "&amp;I201&amp;" ("&amp;E201&amp;")")</f>
        <v/>
      </c>
      <c r="C201" s="9"/>
      <c r="D201" s="9"/>
      <c r="E201" s="9"/>
      <c r="F201" s="42"/>
      <c r="G201" s="42"/>
      <c r="H201" s="42"/>
      <c r="I201" s="9"/>
      <c r="J201" s="9"/>
      <c r="K201" s="9"/>
      <c r="L201" s="9"/>
      <c r="M201" s="9"/>
      <c r="N201" s="9"/>
      <c r="O201" s="9"/>
      <c r="P201" s="9"/>
      <c r="Q201" s="9"/>
      <c r="R201" s="9"/>
      <c r="S201" s="42"/>
      <c r="T201" s="9"/>
      <c r="U201" s="9"/>
      <c r="V201" s="9"/>
      <c r="W201" s="38"/>
      <c r="X201" s="42"/>
      <c r="Y201" s="9"/>
      <c r="Z201" s="9"/>
      <c r="AA201" s="9"/>
      <c r="AB201" s="42"/>
      <c r="AC201" s="9"/>
      <c r="AD201" s="38"/>
      <c r="AE201" s="9"/>
      <c r="AF201" s="39"/>
      <c r="AG201" s="9"/>
      <c r="AH201" s="9"/>
      <c r="AI201" s="9"/>
      <c r="AJ201" s="9"/>
      <c r="AK201" s="9"/>
      <c r="AL201" s="9"/>
      <c r="AM201" s="9"/>
      <c r="AN201" s="10" t="str">
        <f aca="false">IF(A201="","",SG_Criteria!$B$6&amp;SG_Criteria!$B$12&amp;"\"&amp;A201&amp;"\")</f>
        <v/>
      </c>
      <c r="AO201" s="10" t="str">
        <f aca="false">IF(A201="","",A201&amp;"_CAD.dwg")</f>
        <v/>
      </c>
      <c r="AP201" s="10" t="str">
        <f aca="false">IF(A201="","",A201&amp;"_DWG.pdf")</f>
        <v/>
      </c>
      <c r="AQ201" s="10" t="str">
        <f aca="false">IF(A201="","",IF(AM201="Y",A201&amp;"_STAAD.std","n/a"))</f>
        <v/>
      </c>
      <c r="AR201" s="10" t="str">
        <f aca="false">IF(A201="","",A201&amp;"_CALC.xlsx")</f>
        <v/>
      </c>
      <c r="AS201" s="10" t="str">
        <f aca="false">IF(A201="","",A201&amp;"_CALC.pdf")</f>
        <v/>
      </c>
      <c r="AT201" s="9"/>
      <c r="AU201" s="9"/>
      <c r="AV201" s="39"/>
      <c r="AW201" s="39"/>
      <c r="AX201" s="39"/>
      <c r="AY201" s="39"/>
      <c r="AZ201" s="39"/>
      <c r="BA201" s="12" t="str">
        <f aca="false">IF(A201="","",IF(COUNTIF(Rebar_Schedule!$A$5:$A$2004,A201)=0,"",ROUND(SUMIF(Rebar_Schedule!$A$5:$A$2004,A201,Rebar_Schedule!$K$5:$K$2004),1)))</f>
        <v/>
      </c>
      <c r="BB201" s="33" t="str">
        <f aca="false">IF(A201="","",IF(BA201="","No rebar schedule yet",IF(ABS(BA201-N(AW201))/MAX(N(AW201),1)&gt;SG_Criteria!$B$55,"NOTE: register rebar differs from schedule by "&amp;TEXT(ABS(BA201-N(AW201))/MAX(N(AW201),1),"0%"),"OK")))</f>
        <v/>
      </c>
      <c r="BC201" s="33" t="str">
        <f aca="false">IF(D201="","",IF(LEN(IF(AND(D201&lt;&gt;"High Covered Linkway",G201&lt;SG_Criteria!$B$46),"FAIL: headroom below "&amp;SG_Criteria!$B$46&amp;" m. ","")&amp;IF(AND(D201="High Covered Linkway",G201&lt;SG_Criteria!$B$47),"FAIL: high linkway headroom below "&amp;SG_Criteria!$B$47&amp;" m. ","")&amp;IF(F201&lt;SG_Criteria!$B$48,"FAIL: roof width below "&amp;SG_Criteria!$B$48&amp;" m. ",IF(F201&lt;SG_Criteria!$B$49,"NOTE: not for MRT/LRT or high-traffic routes (min "&amp;SG_Criteria!$B$49&amp;" m). ",""))&amp;IF(AND(W201&lt;&gt;"",W201&lt;SG_Criteria!$B$50),"FAIL: wind speed below "&amp;SG_Criteria!$B$50&amp;" m/s. ","")&amp;IF(AND(X201&lt;&gt;"",X201&lt;SG_Criteria!$B$51),"FAIL: roof fixing pull-out below "&amp;SG_Criteria!$B$51&amp;" kN. ","")&amp;IF(AND(Y201&lt;&gt;"",IFERROR(VALUE(MID(Y201,2,2)),0)&lt;SG_Criteria!$B$52),"FAIL: grade below C"&amp;SG_Criteria!$B$52&amp;". ","")&amp;IF(E201="Non-standard (project design)","NOTE: not an SDRE standard, needs LTA acceptance. ",""))=0,"OK",IF(AND(D201&lt;&gt;"High Covered Linkway",G201&lt;SG_Criteria!$B$46),"FAIL: headroom below "&amp;SG_Criteria!$B$46&amp;" m. ","")&amp;IF(AND(D201="High Covered Linkway",G201&lt;SG_Criteria!$B$47),"FAIL: high linkway headroom below "&amp;SG_Criteria!$B$47&amp;" m. ","")&amp;IF(F201&lt;SG_Criteria!$B$48,"FAIL: roof width below "&amp;SG_Criteria!$B$48&amp;" m. ",IF(F201&lt;SG_Criteria!$B$49,"NOTE: not for MRT/LRT or high-traffic routes (min "&amp;SG_Criteria!$B$49&amp;" m). ",""))&amp;IF(AND(W201&lt;&gt;"",W201&lt;SG_Criteria!$B$50),"FAIL: wind speed below "&amp;SG_Criteria!$B$50&amp;" m/s. ","")&amp;IF(AND(X201&lt;&gt;"",X201&lt;SG_Criteria!$B$51),"FAIL: roof fixing pull-out below "&amp;SG_Criteria!$B$51&amp;" kN. ","")&amp;IF(AND(Y201&lt;&gt;"",IFERROR(VALUE(MID(Y201,2,2)),0)&lt;SG_Criteria!$B$52),"FAIL: grade below C"&amp;SG_Criteria!$B$52&amp;". ","")&amp;IF(E201="Non-standard (project design)","NOTE: not an SDRE standard, needs LTA acceptance. ","")))</f>
        <v/>
      </c>
      <c r="BD201" s="9"/>
      <c r="BE201" s="9"/>
      <c r="BF201" s="9"/>
      <c r="BG201" s="10" t="str">
        <f aca="false">IF(BF201="","",IFERROR(VLOOKUP(BF201,Projects!$A$5:$D$504,2,0),"Ref not in Projects"))</f>
        <v/>
      </c>
      <c r="BH201" s="10" t="str">
        <f aca="false">IF(BF201="","",IFERROR(VLOOKUP(BF201,Projects!$A$5:$D$504,4,0),"Ref not in Projects"))</f>
        <v/>
      </c>
      <c r="BI201" s="9"/>
      <c r="BJ201" s="9"/>
      <c r="BK201" s="9"/>
      <c r="BL201" s="40"/>
      <c r="BM201" s="9"/>
      <c r="BN201" s="40"/>
      <c r="BO201" s="9"/>
      <c r="BP201" s="40"/>
      <c r="BQ201" s="9"/>
      <c r="BR201" s="9"/>
      <c r="BS201" s="9"/>
      <c r="BT201" s="40"/>
      <c r="BU201" s="40"/>
      <c r="BV201" s="36" t="str">
        <f aca="false">IF(BU201="","",EDATE(BU201,SG_Criteria!$B$54*12))</f>
        <v/>
      </c>
      <c r="BW201" s="33" t="str">
        <f aca="true">IF(A201="","",IF(BU201="","NOTE: not reviewed yet",IF(TODAY()&gt;BV201,"NOTE: review overdue","OK")))</f>
        <v/>
      </c>
      <c r="BX201" s="37" t="str">
        <f aca="false">IF(A201="","",ROUND((IF(LEN(D201)&gt;0,1,0)+IF(LEN(E201)&gt;0,1,0)+IF(LEN(F201)&gt;0,1,0)+IF(LEN(G201)&gt;0,1,0)+IF(LEN(H201)&gt;0,1,0)+IF(LEN(I201)&gt;0,1,0)+IF(LEN(J201)&gt;0,1,0)+IF(LEN(K201)&gt;0,1,0)+IF(LEN(N201)&gt;0,1,0)+IF(LEN(O201)&gt;0,1,0)+IF(LEN(W201)&gt;0,1,0)+IF(LEN(X201)&gt;0,1,0)+IF(LEN(Y201)&gt;0,1,0)+IF(LEN(AG201)&gt;0,1,0)+IF(LEN(AI201)&gt;0,1,0)+IF(LEN(AJ201)&gt;0,1,0)+IF(LEN(AK201)&gt;0,1,0)+IF(LEN(AL201)&gt;0,1,0)+IF(LEN(AU201)&gt;0,1,0)+IF(LEN(BF201)&gt;0,1,0)+IF(LEN(BS201)&gt;0,1,0))/21,2))</f>
        <v/>
      </c>
      <c r="BY201" s="10" t="str">
        <f aca="false">IF(D201="","",IF(AND(AJ201="Approved",ISERROR(SEARCH("FAIL",BC201))),"Y","N"))</f>
        <v/>
      </c>
      <c r="BZ201" s="10" t="str">
        <f aca="false">IF(D201="","",D201&amp;"|"&amp;F201&amp;"|"&amp;G201&amp;"|"&amp;BY201)</f>
        <v/>
      </c>
    </row>
    <row r="202" customFormat="false" ht="15" hidden="false" customHeight="false" outlineLevel="0" collapsed="false">
      <c r="A202" s="10" t="str">
        <f aca="false">IF(D202="","","LKW-"&amp;IFERROR(VLOOKUP(D202,Lists!$AQ$4:$AR$17,2,0),"??")&amp;"-W"&amp;TEXT(F202*1000,"0000")&amp;"-H"&amp;TEXT(G202*1000,"0000")&amp;"-B"&amp;TEXT(H202*1000,"0000")&amp;"-"&amp;AI202)</f>
        <v/>
      </c>
      <c r="B202" s="10" t="str">
        <f aca="false">IF(D202="","",D202&amp;", "&amp;F202&amp;" m wide, "&amp;G202&amp;" m headroom, "&amp;H202&amp;" m bays, "&amp;I202&amp;" ("&amp;E202&amp;")")</f>
        <v/>
      </c>
      <c r="C202" s="9"/>
      <c r="D202" s="9"/>
      <c r="E202" s="9"/>
      <c r="F202" s="42"/>
      <c r="G202" s="42"/>
      <c r="H202" s="42"/>
      <c r="I202" s="9"/>
      <c r="J202" s="9"/>
      <c r="K202" s="9"/>
      <c r="L202" s="9"/>
      <c r="M202" s="9"/>
      <c r="N202" s="9"/>
      <c r="O202" s="9"/>
      <c r="P202" s="9"/>
      <c r="Q202" s="9"/>
      <c r="R202" s="9"/>
      <c r="S202" s="42"/>
      <c r="T202" s="9"/>
      <c r="U202" s="9"/>
      <c r="V202" s="9"/>
      <c r="W202" s="38"/>
      <c r="X202" s="42"/>
      <c r="Y202" s="9"/>
      <c r="Z202" s="9"/>
      <c r="AA202" s="9"/>
      <c r="AB202" s="42"/>
      <c r="AC202" s="9"/>
      <c r="AD202" s="38"/>
      <c r="AE202" s="9"/>
      <c r="AF202" s="39"/>
      <c r="AG202" s="9"/>
      <c r="AH202" s="9"/>
      <c r="AI202" s="9"/>
      <c r="AJ202" s="9"/>
      <c r="AK202" s="9"/>
      <c r="AL202" s="9"/>
      <c r="AM202" s="9"/>
      <c r="AN202" s="10" t="str">
        <f aca="false">IF(A202="","",SG_Criteria!$B$6&amp;SG_Criteria!$B$12&amp;"\"&amp;A202&amp;"\")</f>
        <v/>
      </c>
      <c r="AO202" s="10" t="str">
        <f aca="false">IF(A202="","",A202&amp;"_CAD.dwg")</f>
        <v/>
      </c>
      <c r="AP202" s="10" t="str">
        <f aca="false">IF(A202="","",A202&amp;"_DWG.pdf")</f>
        <v/>
      </c>
      <c r="AQ202" s="10" t="str">
        <f aca="false">IF(A202="","",IF(AM202="Y",A202&amp;"_STAAD.std","n/a"))</f>
        <v/>
      </c>
      <c r="AR202" s="10" t="str">
        <f aca="false">IF(A202="","",A202&amp;"_CALC.xlsx")</f>
        <v/>
      </c>
      <c r="AS202" s="10" t="str">
        <f aca="false">IF(A202="","",A202&amp;"_CALC.pdf")</f>
        <v/>
      </c>
      <c r="AT202" s="9"/>
      <c r="AU202" s="9"/>
      <c r="AV202" s="39"/>
      <c r="AW202" s="39"/>
      <c r="AX202" s="39"/>
      <c r="AY202" s="39"/>
      <c r="AZ202" s="39"/>
      <c r="BA202" s="12" t="str">
        <f aca="false">IF(A202="","",IF(COUNTIF(Rebar_Schedule!$A$5:$A$2004,A202)=0,"",ROUND(SUMIF(Rebar_Schedule!$A$5:$A$2004,A202,Rebar_Schedule!$K$5:$K$2004),1)))</f>
        <v/>
      </c>
      <c r="BB202" s="33" t="str">
        <f aca="false">IF(A202="","",IF(BA202="","No rebar schedule yet",IF(ABS(BA202-N(AW202))/MAX(N(AW202),1)&gt;SG_Criteria!$B$55,"NOTE: register rebar differs from schedule by "&amp;TEXT(ABS(BA202-N(AW202))/MAX(N(AW202),1),"0%"),"OK")))</f>
        <v/>
      </c>
      <c r="BC202" s="33" t="str">
        <f aca="false">IF(D202="","",IF(LEN(IF(AND(D202&lt;&gt;"High Covered Linkway",G202&lt;SG_Criteria!$B$46),"FAIL: headroom below "&amp;SG_Criteria!$B$46&amp;" m. ","")&amp;IF(AND(D202="High Covered Linkway",G202&lt;SG_Criteria!$B$47),"FAIL: high linkway headroom below "&amp;SG_Criteria!$B$47&amp;" m. ","")&amp;IF(F202&lt;SG_Criteria!$B$48,"FAIL: roof width below "&amp;SG_Criteria!$B$48&amp;" m. ",IF(F202&lt;SG_Criteria!$B$49,"NOTE: not for MRT/LRT or high-traffic routes (min "&amp;SG_Criteria!$B$49&amp;" m). ",""))&amp;IF(AND(W202&lt;&gt;"",W202&lt;SG_Criteria!$B$50),"FAIL: wind speed below "&amp;SG_Criteria!$B$50&amp;" m/s. ","")&amp;IF(AND(X202&lt;&gt;"",X202&lt;SG_Criteria!$B$51),"FAIL: roof fixing pull-out below "&amp;SG_Criteria!$B$51&amp;" kN. ","")&amp;IF(AND(Y202&lt;&gt;"",IFERROR(VALUE(MID(Y202,2,2)),0)&lt;SG_Criteria!$B$52),"FAIL: grade below C"&amp;SG_Criteria!$B$52&amp;". ","")&amp;IF(E202="Non-standard (project design)","NOTE: not an SDRE standard, needs LTA acceptance. ",""))=0,"OK",IF(AND(D202&lt;&gt;"High Covered Linkway",G202&lt;SG_Criteria!$B$46),"FAIL: headroom below "&amp;SG_Criteria!$B$46&amp;" m. ","")&amp;IF(AND(D202="High Covered Linkway",G202&lt;SG_Criteria!$B$47),"FAIL: high linkway headroom below "&amp;SG_Criteria!$B$47&amp;" m. ","")&amp;IF(F202&lt;SG_Criteria!$B$48,"FAIL: roof width below "&amp;SG_Criteria!$B$48&amp;" m. ",IF(F202&lt;SG_Criteria!$B$49,"NOTE: not for MRT/LRT or high-traffic routes (min "&amp;SG_Criteria!$B$49&amp;" m). ",""))&amp;IF(AND(W202&lt;&gt;"",W202&lt;SG_Criteria!$B$50),"FAIL: wind speed below "&amp;SG_Criteria!$B$50&amp;" m/s. ","")&amp;IF(AND(X202&lt;&gt;"",X202&lt;SG_Criteria!$B$51),"FAIL: roof fixing pull-out below "&amp;SG_Criteria!$B$51&amp;" kN. ","")&amp;IF(AND(Y202&lt;&gt;"",IFERROR(VALUE(MID(Y202,2,2)),0)&lt;SG_Criteria!$B$52),"FAIL: grade below C"&amp;SG_Criteria!$B$52&amp;". ","")&amp;IF(E202="Non-standard (project design)","NOTE: not an SDRE standard, needs LTA acceptance. ","")))</f>
        <v/>
      </c>
      <c r="BD202" s="9"/>
      <c r="BE202" s="9"/>
      <c r="BF202" s="9"/>
      <c r="BG202" s="10" t="str">
        <f aca="false">IF(BF202="","",IFERROR(VLOOKUP(BF202,Projects!$A$5:$D$504,2,0),"Ref not in Projects"))</f>
        <v/>
      </c>
      <c r="BH202" s="10" t="str">
        <f aca="false">IF(BF202="","",IFERROR(VLOOKUP(BF202,Projects!$A$5:$D$504,4,0),"Ref not in Projects"))</f>
        <v/>
      </c>
      <c r="BI202" s="9"/>
      <c r="BJ202" s="9"/>
      <c r="BK202" s="9"/>
      <c r="BL202" s="40"/>
      <c r="BM202" s="9"/>
      <c r="BN202" s="40"/>
      <c r="BO202" s="9"/>
      <c r="BP202" s="40"/>
      <c r="BQ202" s="9"/>
      <c r="BR202" s="9"/>
      <c r="BS202" s="9"/>
      <c r="BT202" s="40"/>
      <c r="BU202" s="40"/>
      <c r="BV202" s="36" t="str">
        <f aca="false">IF(BU202="","",EDATE(BU202,SG_Criteria!$B$54*12))</f>
        <v/>
      </c>
      <c r="BW202" s="33" t="str">
        <f aca="true">IF(A202="","",IF(BU202="","NOTE: not reviewed yet",IF(TODAY()&gt;BV202,"NOTE: review overdue","OK")))</f>
        <v/>
      </c>
      <c r="BX202" s="37" t="str">
        <f aca="false">IF(A202="","",ROUND((IF(LEN(D202)&gt;0,1,0)+IF(LEN(E202)&gt;0,1,0)+IF(LEN(F202)&gt;0,1,0)+IF(LEN(G202)&gt;0,1,0)+IF(LEN(H202)&gt;0,1,0)+IF(LEN(I202)&gt;0,1,0)+IF(LEN(J202)&gt;0,1,0)+IF(LEN(K202)&gt;0,1,0)+IF(LEN(N202)&gt;0,1,0)+IF(LEN(O202)&gt;0,1,0)+IF(LEN(W202)&gt;0,1,0)+IF(LEN(X202)&gt;0,1,0)+IF(LEN(Y202)&gt;0,1,0)+IF(LEN(AG202)&gt;0,1,0)+IF(LEN(AI202)&gt;0,1,0)+IF(LEN(AJ202)&gt;0,1,0)+IF(LEN(AK202)&gt;0,1,0)+IF(LEN(AL202)&gt;0,1,0)+IF(LEN(AU202)&gt;0,1,0)+IF(LEN(BF202)&gt;0,1,0)+IF(LEN(BS202)&gt;0,1,0))/21,2))</f>
        <v/>
      </c>
      <c r="BY202" s="10" t="str">
        <f aca="false">IF(D202="","",IF(AND(AJ202="Approved",ISERROR(SEARCH("FAIL",BC202))),"Y","N"))</f>
        <v/>
      </c>
      <c r="BZ202" s="10" t="str">
        <f aca="false">IF(D202="","",D202&amp;"|"&amp;F202&amp;"|"&amp;G202&amp;"|"&amp;BY202)</f>
        <v/>
      </c>
    </row>
    <row r="203" customFormat="false" ht="15" hidden="false" customHeight="false" outlineLevel="0" collapsed="false">
      <c r="A203" s="10" t="str">
        <f aca="false">IF(D203="","","LKW-"&amp;IFERROR(VLOOKUP(D203,Lists!$AQ$4:$AR$17,2,0),"??")&amp;"-W"&amp;TEXT(F203*1000,"0000")&amp;"-H"&amp;TEXT(G203*1000,"0000")&amp;"-B"&amp;TEXT(H203*1000,"0000")&amp;"-"&amp;AI203)</f>
        <v/>
      </c>
      <c r="B203" s="10" t="str">
        <f aca="false">IF(D203="","",D203&amp;", "&amp;F203&amp;" m wide, "&amp;G203&amp;" m headroom, "&amp;H203&amp;" m bays, "&amp;I203&amp;" ("&amp;E203&amp;")")</f>
        <v/>
      </c>
      <c r="C203" s="9"/>
      <c r="D203" s="9"/>
      <c r="E203" s="9"/>
      <c r="F203" s="42"/>
      <c r="G203" s="42"/>
      <c r="H203" s="42"/>
      <c r="I203" s="9"/>
      <c r="J203" s="9"/>
      <c r="K203" s="9"/>
      <c r="L203" s="9"/>
      <c r="M203" s="9"/>
      <c r="N203" s="9"/>
      <c r="O203" s="9"/>
      <c r="P203" s="9"/>
      <c r="Q203" s="9"/>
      <c r="R203" s="9"/>
      <c r="S203" s="42"/>
      <c r="T203" s="9"/>
      <c r="U203" s="9"/>
      <c r="V203" s="9"/>
      <c r="W203" s="38"/>
      <c r="X203" s="42"/>
      <c r="Y203" s="9"/>
      <c r="Z203" s="9"/>
      <c r="AA203" s="9"/>
      <c r="AB203" s="42"/>
      <c r="AC203" s="9"/>
      <c r="AD203" s="38"/>
      <c r="AE203" s="9"/>
      <c r="AF203" s="39"/>
      <c r="AG203" s="9"/>
      <c r="AH203" s="9"/>
      <c r="AI203" s="9"/>
      <c r="AJ203" s="9"/>
      <c r="AK203" s="9"/>
      <c r="AL203" s="9"/>
      <c r="AM203" s="9"/>
      <c r="AN203" s="10" t="str">
        <f aca="false">IF(A203="","",SG_Criteria!$B$6&amp;SG_Criteria!$B$12&amp;"\"&amp;A203&amp;"\")</f>
        <v/>
      </c>
      <c r="AO203" s="10" t="str">
        <f aca="false">IF(A203="","",A203&amp;"_CAD.dwg")</f>
        <v/>
      </c>
      <c r="AP203" s="10" t="str">
        <f aca="false">IF(A203="","",A203&amp;"_DWG.pdf")</f>
        <v/>
      </c>
      <c r="AQ203" s="10" t="str">
        <f aca="false">IF(A203="","",IF(AM203="Y",A203&amp;"_STAAD.std","n/a"))</f>
        <v/>
      </c>
      <c r="AR203" s="10" t="str">
        <f aca="false">IF(A203="","",A203&amp;"_CALC.xlsx")</f>
        <v/>
      </c>
      <c r="AS203" s="10" t="str">
        <f aca="false">IF(A203="","",A203&amp;"_CALC.pdf")</f>
        <v/>
      </c>
      <c r="AT203" s="9"/>
      <c r="AU203" s="9"/>
      <c r="AV203" s="39"/>
      <c r="AW203" s="39"/>
      <c r="AX203" s="39"/>
      <c r="AY203" s="39"/>
      <c r="AZ203" s="39"/>
      <c r="BA203" s="12" t="str">
        <f aca="false">IF(A203="","",IF(COUNTIF(Rebar_Schedule!$A$5:$A$2004,A203)=0,"",ROUND(SUMIF(Rebar_Schedule!$A$5:$A$2004,A203,Rebar_Schedule!$K$5:$K$2004),1)))</f>
        <v/>
      </c>
      <c r="BB203" s="33" t="str">
        <f aca="false">IF(A203="","",IF(BA203="","No rebar schedule yet",IF(ABS(BA203-N(AW203))/MAX(N(AW203),1)&gt;SG_Criteria!$B$55,"NOTE: register rebar differs from schedule by "&amp;TEXT(ABS(BA203-N(AW203))/MAX(N(AW203),1),"0%"),"OK")))</f>
        <v/>
      </c>
      <c r="BC203" s="33" t="str">
        <f aca="false">IF(D203="","",IF(LEN(IF(AND(D203&lt;&gt;"High Covered Linkway",G203&lt;SG_Criteria!$B$46),"FAIL: headroom below "&amp;SG_Criteria!$B$46&amp;" m. ","")&amp;IF(AND(D203="High Covered Linkway",G203&lt;SG_Criteria!$B$47),"FAIL: high linkway headroom below "&amp;SG_Criteria!$B$47&amp;" m. ","")&amp;IF(F203&lt;SG_Criteria!$B$48,"FAIL: roof width below "&amp;SG_Criteria!$B$48&amp;" m. ",IF(F203&lt;SG_Criteria!$B$49,"NOTE: not for MRT/LRT or high-traffic routes (min "&amp;SG_Criteria!$B$49&amp;" m). ",""))&amp;IF(AND(W203&lt;&gt;"",W203&lt;SG_Criteria!$B$50),"FAIL: wind speed below "&amp;SG_Criteria!$B$50&amp;" m/s. ","")&amp;IF(AND(X203&lt;&gt;"",X203&lt;SG_Criteria!$B$51),"FAIL: roof fixing pull-out below "&amp;SG_Criteria!$B$51&amp;" kN. ","")&amp;IF(AND(Y203&lt;&gt;"",IFERROR(VALUE(MID(Y203,2,2)),0)&lt;SG_Criteria!$B$52),"FAIL: grade below C"&amp;SG_Criteria!$B$52&amp;". ","")&amp;IF(E203="Non-standard (project design)","NOTE: not an SDRE standard, needs LTA acceptance. ",""))=0,"OK",IF(AND(D203&lt;&gt;"High Covered Linkway",G203&lt;SG_Criteria!$B$46),"FAIL: headroom below "&amp;SG_Criteria!$B$46&amp;" m. ","")&amp;IF(AND(D203="High Covered Linkway",G203&lt;SG_Criteria!$B$47),"FAIL: high linkway headroom below "&amp;SG_Criteria!$B$47&amp;" m. ","")&amp;IF(F203&lt;SG_Criteria!$B$48,"FAIL: roof width below "&amp;SG_Criteria!$B$48&amp;" m. ",IF(F203&lt;SG_Criteria!$B$49,"NOTE: not for MRT/LRT or high-traffic routes (min "&amp;SG_Criteria!$B$49&amp;" m). ",""))&amp;IF(AND(W203&lt;&gt;"",W203&lt;SG_Criteria!$B$50),"FAIL: wind speed below "&amp;SG_Criteria!$B$50&amp;" m/s. ","")&amp;IF(AND(X203&lt;&gt;"",X203&lt;SG_Criteria!$B$51),"FAIL: roof fixing pull-out below "&amp;SG_Criteria!$B$51&amp;" kN. ","")&amp;IF(AND(Y203&lt;&gt;"",IFERROR(VALUE(MID(Y203,2,2)),0)&lt;SG_Criteria!$B$52),"FAIL: grade below C"&amp;SG_Criteria!$B$52&amp;". ","")&amp;IF(E203="Non-standard (project design)","NOTE: not an SDRE standard, needs LTA acceptance. ","")))</f>
        <v/>
      </c>
      <c r="BD203" s="9"/>
      <c r="BE203" s="9"/>
      <c r="BF203" s="9"/>
      <c r="BG203" s="10" t="str">
        <f aca="false">IF(BF203="","",IFERROR(VLOOKUP(BF203,Projects!$A$5:$D$504,2,0),"Ref not in Projects"))</f>
        <v/>
      </c>
      <c r="BH203" s="10" t="str">
        <f aca="false">IF(BF203="","",IFERROR(VLOOKUP(BF203,Projects!$A$5:$D$504,4,0),"Ref not in Projects"))</f>
        <v/>
      </c>
      <c r="BI203" s="9"/>
      <c r="BJ203" s="9"/>
      <c r="BK203" s="9"/>
      <c r="BL203" s="40"/>
      <c r="BM203" s="9"/>
      <c r="BN203" s="40"/>
      <c r="BO203" s="9"/>
      <c r="BP203" s="40"/>
      <c r="BQ203" s="9"/>
      <c r="BR203" s="9"/>
      <c r="BS203" s="9"/>
      <c r="BT203" s="40"/>
      <c r="BU203" s="40"/>
      <c r="BV203" s="36" t="str">
        <f aca="false">IF(BU203="","",EDATE(BU203,SG_Criteria!$B$54*12))</f>
        <v/>
      </c>
      <c r="BW203" s="33" t="str">
        <f aca="true">IF(A203="","",IF(BU203="","NOTE: not reviewed yet",IF(TODAY()&gt;BV203,"NOTE: review overdue","OK")))</f>
        <v/>
      </c>
      <c r="BX203" s="37" t="str">
        <f aca="false">IF(A203="","",ROUND((IF(LEN(D203)&gt;0,1,0)+IF(LEN(E203)&gt;0,1,0)+IF(LEN(F203)&gt;0,1,0)+IF(LEN(G203)&gt;0,1,0)+IF(LEN(H203)&gt;0,1,0)+IF(LEN(I203)&gt;0,1,0)+IF(LEN(J203)&gt;0,1,0)+IF(LEN(K203)&gt;0,1,0)+IF(LEN(N203)&gt;0,1,0)+IF(LEN(O203)&gt;0,1,0)+IF(LEN(W203)&gt;0,1,0)+IF(LEN(X203)&gt;0,1,0)+IF(LEN(Y203)&gt;0,1,0)+IF(LEN(AG203)&gt;0,1,0)+IF(LEN(AI203)&gt;0,1,0)+IF(LEN(AJ203)&gt;0,1,0)+IF(LEN(AK203)&gt;0,1,0)+IF(LEN(AL203)&gt;0,1,0)+IF(LEN(AU203)&gt;0,1,0)+IF(LEN(BF203)&gt;0,1,0)+IF(LEN(BS203)&gt;0,1,0))/21,2))</f>
        <v/>
      </c>
      <c r="BY203" s="10" t="str">
        <f aca="false">IF(D203="","",IF(AND(AJ203="Approved",ISERROR(SEARCH("FAIL",BC203))),"Y","N"))</f>
        <v/>
      </c>
      <c r="BZ203" s="10" t="str">
        <f aca="false">IF(D203="","",D203&amp;"|"&amp;F203&amp;"|"&amp;G203&amp;"|"&amp;BY203)</f>
        <v/>
      </c>
    </row>
    <row r="204" customFormat="false" ht="15" hidden="false" customHeight="false" outlineLevel="0" collapsed="false">
      <c r="A204" s="10" t="str">
        <f aca="false">IF(D204="","","LKW-"&amp;IFERROR(VLOOKUP(D204,Lists!$AQ$4:$AR$17,2,0),"??")&amp;"-W"&amp;TEXT(F204*1000,"0000")&amp;"-H"&amp;TEXT(G204*1000,"0000")&amp;"-B"&amp;TEXT(H204*1000,"0000")&amp;"-"&amp;AI204)</f>
        <v/>
      </c>
      <c r="B204" s="10" t="str">
        <f aca="false">IF(D204="","",D204&amp;", "&amp;F204&amp;" m wide, "&amp;G204&amp;" m headroom, "&amp;H204&amp;" m bays, "&amp;I204&amp;" ("&amp;E204&amp;")")</f>
        <v/>
      </c>
      <c r="C204" s="9"/>
      <c r="D204" s="9"/>
      <c r="E204" s="9"/>
      <c r="F204" s="42"/>
      <c r="G204" s="42"/>
      <c r="H204" s="42"/>
      <c r="I204" s="9"/>
      <c r="J204" s="9"/>
      <c r="K204" s="9"/>
      <c r="L204" s="9"/>
      <c r="M204" s="9"/>
      <c r="N204" s="9"/>
      <c r="O204" s="9"/>
      <c r="P204" s="9"/>
      <c r="Q204" s="9"/>
      <c r="R204" s="9"/>
      <c r="S204" s="42"/>
      <c r="T204" s="9"/>
      <c r="U204" s="9"/>
      <c r="V204" s="9"/>
      <c r="W204" s="38"/>
      <c r="X204" s="42"/>
      <c r="Y204" s="9"/>
      <c r="Z204" s="9"/>
      <c r="AA204" s="9"/>
      <c r="AB204" s="42"/>
      <c r="AC204" s="9"/>
      <c r="AD204" s="38"/>
      <c r="AE204" s="9"/>
      <c r="AF204" s="39"/>
      <c r="AG204" s="9"/>
      <c r="AH204" s="9"/>
      <c r="AI204" s="9"/>
      <c r="AJ204" s="9"/>
      <c r="AK204" s="9"/>
      <c r="AL204" s="9"/>
      <c r="AM204" s="9"/>
      <c r="AN204" s="10" t="str">
        <f aca="false">IF(A204="","",SG_Criteria!$B$6&amp;SG_Criteria!$B$12&amp;"\"&amp;A204&amp;"\")</f>
        <v/>
      </c>
      <c r="AO204" s="10" t="str">
        <f aca="false">IF(A204="","",A204&amp;"_CAD.dwg")</f>
        <v/>
      </c>
      <c r="AP204" s="10" t="str">
        <f aca="false">IF(A204="","",A204&amp;"_DWG.pdf")</f>
        <v/>
      </c>
      <c r="AQ204" s="10" t="str">
        <f aca="false">IF(A204="","",IF(AM204="Y",A204&amp;"_STAAD.std","n/a"))</f>
        <v/>
      </c>
      <c r="AR204" s="10" t="str">
        <f aca="false">IF(A204="","",A204&amp;"_CALC.xlsx")</f>
        <v/>
      </c>
      <c r="AS204" s="10" t="str">
        <f aca="false">IF(A204="","",A204&amp;"_CALC.pdf")</f>
        <v/>
      </c>
      <c r="AT204" s="9"/>
      <c r="AU204" s="9"/>
      <c r="AV204" s="39"/>
      <c r="AW204" s="39"/>
      <c r="AX204" s="39"/>
      <c r="AY204" s="39"/>
      <c r="AZ204" s="39"/>
      <c r="BA204" s="12" t="str">
        <f aca="false">IF(A204="","",IF(COUNTIF(Rebar_Schedule!$A$5:$A$2004,A204)=0,"",ROUND(SUMIF(Rebar_Schedule!$A$5:$A$2004,A204,Rebar_Schedule!$K$5:$K$2004),1)))</f>
        <v/>
      </c>
      <c r="BB204" s="33" t="str">
        <f aca="false">IF(A204="","",IF(BA204="","No rebar schedule yet",IF(ABS(BA204-N(AW204))/MAX(N(AW204),1)&gt;SG_Criteria!$B$55,"NOTE: register rebar differs from schedule by "&amp;TEXT(ABS(BA204-N(AW204))/MAX(N(AW204),1),"0%"),"OK")))</f>
        <v/>
      </c>
      <c r="BC204" s="33" t="str">
        <f aca="false">IF(D204="","",IF(LEN(IF(AND(D204&lt;&gt;"High Covered Linkway",G204&lt;SG_Criteria!$B$46),"FAIL: headroom below "&amp;SG_Criteria!$B$46&amp;" m. ","")&amp;IF(AND(D204="High Covered Linkway",G204&lt;SG_Criteria!$B$47),"FAIL: high linkway headroom below "&amp;SG_Criteria!$B$47&amp;" m. ","")&amp;IF(F204&lt;SG_Criteria!$B$48,"FAIL: roof width below "&amp;SG_Criteria!$B$48&amp;" m. ",IF(F204&lt;SG_Criteria!$B$49,"NOTE: not for MRT/LRT or high-traffic routes (min "&amp;SG_Criteria!$B$49&amp;" m). ",""))&amp;IF(AND(W204&lt;&gt;"",W204&lt;SG_Criteria!$B$50),"FAIL: wind speed below "&amp;SG_Criteria!$B$50&amp;" m/s. ","")&amp;IF(AND(X204&lt;&gt;"",X204&lt;SG_Criteria!$B$51),"FAIL: roof fixing pull-out below "&amp;SG_Criteria!$B$51&amp;" kN. ","")&amp;IF(AND(Y204&lt;&gt;"",IFERROR(VALUE(MID(Y204,2,2)),0)&lt;SG_Criteria!$B$52),"FAIL: grade below C"&amp;SG_Criteria!$B$52&amp;". ","")&amp;IF(E204="Non-standard (project design)","NOTE: not an SDRE standard, needs LTA acceptance. ",""))=0,"OK",IF(AND(D204&lt;&gt;"High Covered Linkway",G204&lt;SG_Criteria!$B$46),"FAIL: headroom below "&amp;SG_Criteria!$B$46&amp;" m. ","")&amp;IF(AND(D204="High Covered Linkway",G204&lt;SG_Criteria!$B$47),"FAIL: high linkway headroom below "&amp;SG_Criteria!$B$47&amp;" m. ","")&amp;IF(F204&lt;SG_Criteria!$B$48,"FAIL: roof width below "&amp;SG_Criteria!$B$48&amp;" m. ",IF(F204&lt;SG_Criteria!$B$49,"NOTE: not for MRT/LRT or high-traffic routes (min "&amp;SG_Criteria!$B$49&amp;" m). ",""))&amp;IF(AND(W204&lt;&gt;"",W204&lt;SG_Criteria!$B$50),"FAIL: wind speed below "&amp;SG_Criteria!$B$50&amp;" m/s. ","")&amp;IF(AND(X204&lt;&gt;"",X204&lt;SG_Criteria!$B$51),"FAIL: roof fixing pull-out below "&amp;SG_Criteria!$B$51&amp;" kN. ","")&amp;IF(AND(Y204&lt;&gt;"",IFERROR(VALUE(MID(Y204,2,2)),0)&lt;SG_Criteria!$B$52),"FAIL: grade below C"&amp;SG_Criteria!$B$52&amp;". ","")&amp;IF(E204="Non-standard (project design)","NOTE: not an SDRE standard, needs LTA acceptance. ","")))</f>
        <v/>
      </c>
      <c r="BD204" s="9"/>
      <c r="BE204" s="9"/>
      <c r="BF204" s="9"/>
      <c r="BG204" s="10" t="str">
        <f aca="false">IF(BF204="","",IFERROR(VLOOKUP(BF204,Projects!$A$5:$D$504,2,0),"Ref not in Projects"))</f>
        <v/>
      </c>
      <c r="BH204" s="10" t="str">
        <f aca="false">IF(BF204="","",IFERROR(VLOOKUP(BF204,Projects!$A$5:$D$504,4,0),"Ref not in Projects"))</f>
        <v/>
      </c>
      <c r="BI204" s="9"/>
      <c r="BJ204" s="9"/>
      <c r="BK204" s="9"/>
      <c r="BL204" s="40"/>
      <c r="BM204" s="9"/>
      <c r="BN204" s="40"/>
      <c r="BO204" s="9"/>
      <c r="BP204" s="40"/>
      <c r="BQ204" s="9"/>
      <c r="BR204" s="9"/>
      <c r="BS204" s="9"/>
      <c r="BT204" s="40"/>
      <c r="BU204" s="40"/>
      <c r="BV204" s="36" t="str">
        <f aca="false">IF(BU204="","",EDATE(BU204,SG_Criteria!$B$54*12))</f>
        <v/>
      </c>
      <c r="BW204" s="33" t="str">
        <f aca="true">IF(A204="","",IF(BU204="","NOTE: not reviewed yet",IF(TODAY()&gt;BV204,"NOTE: review overdue","OK")))</f>
        <v/>
      </c>
      <c r="BX204" s="37" t="str">
        <f aca="false">IF(A204="","",ROUND((IF(LEN(D204)&gt;0,1,0)+IF(LEN(E204)&gt;0,1,0)+IF(LEN(F204)&gt;0,1,0)+IF(LEN(G204)&gt;0,1,0)+IF(LEN(H204)&gt;0,1,0)+IF(LEN(I204)&gt;0,1,0)+IF(LEN(J204)&gt;0,1,0)+IF(LEN(K204)&gt;0,1,0)+IF(LEN(N204)&gt;0,1,0)+IF(LEN(O204)&gt;0,1,0)+IF(LEN(W204)&gt;0,1,0)+IF(LEN(X204)&gt;0,1,0)+IF(LEN(Y204)&gt;0,1,0)+IF(LEN(AG204)&gt;0,1,0)+IF(LEN(AI204)&gt;0,1,0)+IF(LEN(AJ204)&gt;0,1,0)+IF(LEN(AK204)&gt;0,1,0)+IF(LEN(AL204)&gt;0,1,0)+IF(LEN(AU204)&gt;0,1,0)+IF(LEN(BF204)&gt;0,1,0)+IF(LEN(BS204)&gt;0,1,0))/21,2))</f>
        <v/>
      </c>
      <c r="BY204" s="10" t="str">
        <f aca="false">IF(D204="","",IF(AND(AJ204="Approved",ISERROR(SEARCH("FAIL",BC204))),"Y","N"))</f>
        <v/>
      </c>
      <c r="BZ204" s="10" t="str">
        <f aca="false">IF(D204="","",D204&amp;"|"&amp;F204&amp;"|"&amp;G204&amp;"|"&amp;BY204)</f>
        <v/>
      </c>
    </row>
    <row r="205" customFormat="false" ht="15" hidden="false" customHeight="false" outlineLevel="0" collapsed="false">
      <c r="A205" s="10" t="str">
        <f aca="false">IF(D205="","","LKW-"&amp;IFERROR(VLOOKUP(D205,Lists!$AQ$4:$AR$17,2,0),"??")&amp;"-W"&amp;TEXT(F205*1000,"0000")&amp;"-H"&amp;TEXT(G205*1000,"0000")&amp;"-B"&amp;TEXT(H205*1000,"0000")&amp;"-"&amp;AI205)</f>
        <v/>
      </c>
      <c r="B205" s="10" t="str">
        <f aca="false">IF(D205="","",D205&amp;", "&amp;F205&amp;" m wide, "&amp;G205&amp;" m headroom, "&amp;H205&amp;" m bays, "&amp;I205&amp;" ("&amp;E205&amp;")")</f>
        <v/>
      </c>
      <c r="C205" s="9"/>
      <c r="D205" s="9"/>
      <c r="E205" s="9"/>
      <c r="F205" s="42"/>
      <c r="G205" s="42"/>
      <c r="H205" s="42"/>
      <c r="I205" s="9"/>
      <c r="J205" s="9"/>
      <c r="K205" s="9"/>
      <c r="L205" s="9"/>
      <c r="M205" s="9"/>
      <c r="N205" s="9"/>
      <c r="O205" s="9"/>
      <c r="P205" s="9"/>
      <c r="Q205" s="9"/>
      <c r="R205" s="9"/>
      <c r="S205" s="42"/>
      <c r="T205" s="9"/>
      <c r="U205" s="9"/>
      <c r="V205" s="9"/>
      <c r="W205" s="38"/>
      <c r="X205" s="42"/>
      <c r="Y205" s="9"/>
      <c r="Z205" s="9"/>
      <c r="AA205" s="9"/>
      <c r="AB205" s="42"/>
      <c r="AC205" s="9"/>
      <c r="AD205" s="38"/>
      <c r="AE205" s="9"/>
      <c r="AF205" s="39"/>
      <c r="AG205" s="9"/>
      <c r="AH205" s="9"/>
      <c r="AI205" s="9"/>
      <c r="AJ205" s="9"/>
      <c r="AK205" s="9"/>
      <c r="AL205" s="9"/>
      <c r="AM205" s="9"/>
      <c r="AN205" s="10" t="str">
        <f aca="false">IF(A205="","",SG_Criteria!$B$6&amp;SG_Criteria!$B$12&amp;"\"&amp;A205&amp;"\")</f>
        <v/>
      </c>
      <c r="AO205" s="10" t="str">
        <f aca="false">IF(A205="","",A205&amp;"_CAD.dwg")</f>
        <v/>
      </c>
      <c r="AP205" s="10" t="str">
        <f aca="false">IF(A205="","",A205&amp;"_DWG.pdf")</f>
        <v/>
      </c>
      <c r="AQ205" s="10" t="str">
        <f aca="false">IF(A205="","",IF(AM205="Y",A205&amp;"_STAAD.std","n/a"))</f>
        <v/>
      </c>
      <c r="AR205" s="10" t="str">
        <f aca="false">IF(A205="","",A205&amp;"_CALC.xlsx")</f>
        <v/>
      </c>
      <c r="AS205" s="10" t="str">
        <f aca="false">IF(A205="","",A205&amp;"_CALC.pdf")</f>
        <v/>
      </c>
      <c r="AT205" s="9"/>
      <c r="AU205" s="9"/>
      <c r="AV205" s="39"/>
      <c r="AW205" s="39"/>
      <c r="AX205" s="39"/>
      <c r="AY205" s="39"/>
      <c r="AZ205" s="39"/>
      <c r="BA205" s="12" t="str">
        <f aca="false">IF(A205="","",IF(COUNTIF(Rebar_Schedule!$A$5:$A$2004,A205)=0,"",ROUND(SUMIF(Rebar_Schedule!$A$5:$A$2004,A205,Rebar_Schedule!$K$5:$K$2004),1)))</f>
        <v/>
      </c>
      <c r="BB205" s="33" t="str">
        <f aca="false">IF(A205="","",IF(BA205="","No rebar schedule yet",IF(ABS(BA205-N(AW205))/MAX(N(AW205),1)&gt;SG_Criteria!$B$55,"NOTE: register rebar differs from schedule by "&amp;TEXT(ABS(BA205-N(AW205))/MAX(N(AW205),1),"0%"),"OK")))</f>
        <v/>
      </c>
      <c r="BC205" s="33" t="str">
        <f aca="false">IF(D205="","",IF(LEN(IF(AND(D205&lt;&gt;"High Covered Linkway",G205&lt;SG_Criteria!$B$46),"FAIL: headroom below "&amp;SG_Criteria!$B$46&amp;" m. ","")&amp;IF(AND(D205="High Covered Linkway",G205&lt;SG_Criteria!$B$47),"FAIL: high linkway headroom below "&amp;SG_Criteria!$B$47&amp;" m. ","")&amp;IF(F205&lt;SG_Criteria!$B$48,"FAIL: roof width below "&amp;SG_Criteria!$B$48&amp;" m. ",IF(F205&lt;SG_Criteria!$B$49,"NOTE: not for MRT/LRT or high-traffic routes (min "&amp;SG_Criteria!$B$49&amp;" m). ",""))&amp;IF(AND(W205&lt;&gt;"",W205&lt;SG_Criteria!$B$50),"FAIL: wind speed below "&amp;SG_Criteria!$B$50&amp;" m/s. ","")&amp;IF(AND(X205&lt;&gt;"",X205&lt;SG_Criteria!$B$51),"FAIL: roof fixing pull-out below "&amp;SG_Criteria!$B$51&amp;" kN. ","")&amp;IF(AND(Y205&lt;&gt;"",IFERROR(VALUE(MID(Y205,2,2)),0)&lt;SG_Criteria!$B$52),"FAIL: grade below C"&amp;SG_Criteria!$B$52&amp;". ","")&amp;IF(E205="Non-standard (project design)","NOTE: not an SDRE standard, needs LTA acceptance. ",""))=0,"OK",IF(AND(D205&lt;&gt;"High Covered Linkway",G205&lt;SG_Criteria!$B$46),"FAIL: headroom below "&amp;SG_Criteria!$B$46&amp;" m. ","")&amp;IF(AND(D205="High Covered Linkway",G205&lt;SG_Criteria!$B$47),"FAIL: high linkway headroom below "&amp;SG_Criteria!$B$47&amp;" m. ","")&amp;IF(F205&lt;SG_Criteria!$B$48,"FAIL: roof width below "&amp;SG_Criteria!$B$48&amp;" m. ",IF(F205&lt;SG_Criteria!$B$49,"NOTE: not for MRT/LRT or high-traffic routes (min "&amp;SG_Criteria!$B$49&amp;" m). ",""))&amp;IF(AND(W205&lt;&gt;"",W205&lt;SG_Criteria!$B$50),"FAIL: wind speed below "&amp;SG_Criteria!$B$50&amp;" m/s. ","")&amp;IF(AND(X205&lt;&gt;"",X205&lt;SG_Criteria!$B$51),"FAIL: roof fixing pull-out below "&amp;SG_Criteria!$B$51&amp;" kN. ","")&amp;IF(AND(Y205&lt;&gt;"",IFERROR(VALUE(MID(Y205,2,2)),0)&lt;SG_Criteria!$B$52),"FAIL: grade below C"&amp;SG_Criteria!$B$52&amp;". ","")&amp;IF(E205="Non-standard (project design)","NOTE: not an SDRE standard, needs LTA acceptance. ","")))</f>
        <v/>
      </c>
      <c r="BD205" s="9"/>
      <c r="BE205" s="9"/>
      <c r="BF205" s="9"/>
      <c r="BG205" s="10" t="str">
        <f aca="false">IF(BF205="","",IFERROR(VLOOKUP(BF205,Projects!$A$5:$D$504,2,0),"Ref not in Projects"))</f>
        <v/>
      </c>
      <c r="BH205" s="10" t="str">
        <f aca="false">IF(BF205="","",IFERROR(VLOOKUP(BF205,Projects!$A$5:$D$504,4,0),"Ref not in Projects"))</f>
        <v/>
      </c>
      <c r="BI205" s="9"/>
      <c r="BJ205" s="9"/>
      <c r="BK205" s="9"/>
      <c r="BL205" s="40"/>
      <c r="BM205" s="9"/>
      <c r="BN205" s="40"/>
      <c r="BO205" s="9"/>
      <c r="BP205" s="40"/>
      <c r="BQ205" s="9"/>
      <c r="BR205" s="9"/>
      <c r="BS205" s="9"/>
      <c r="BT205" s="40"/>
      <c r="BU205" s="40"/>
      <c r="BV205" s="36" t="str">
        <f aca="false">IF(BU205="","",EDATE(BU205,SG_Criteria!$B$54*12))</f>
        <v/>
      </c>
      <c r="BW205" s="33" t="str">
        <f aca="true">IF(A205="","",IF(BU205="","NOTE: not reviewed yet",IF(TODAY()&gt;BV205,"NOTE: review overdue","OK")))</f>
        <v/>
      </c>
      <c r="BX205" s="37" t="str">
        <f aca="false">IF(A205="","",ROUND((IF(LEN(D205)&gt;0,1,0)+IF(LEN(E205)&gt;0,1,0)+IF(LEN(F205)&gt;0,1,0)+IF(LEN(G205)&gt;0,1,0)+IF(LEN(H205)&gt;0,1,0)+IF(LEN(I205)&gt;0,1,0)+IF(LEN(J205)&gt;0,1,0)+IF(LEN(K205)&gt;0,1,0)+IF(LEN(N205)&gt;0,1,0)+IF(LEN(O205)&gt;0,1,0)+IF(LEN(W205)&gt;0,1,0)+IF(LEN(X205)&gt;0,1,0)+IF(LEN(Y205)&gt;0,1,0)+IF(LEN(AG205)&gt;0,1,0)+IF(LEN(AI205)&gt;0,1,0)+IF(LEN(AJ205)&gt;0,1,0)+IF(LEN(AK205)&gt;0,1,0)+IF(LEN(AL205)&gt;0,1,0)+IF(LEN(AU205)&gt;0,1,0)+IF(LEN(BF205)&gt;0,1,0)+IF(LEN(BS205)&gt;0,1,0))/21,2))</f>
        <v/>
      </c>
      <c r="BY205" s="10" t="str">
        <f aca="false">IF(D205="","",IF(AND(AJ205="Approved",ISERROR(SEARCH("FAIL",BC205))),"Y","N"))</f>
        <v/>
      </c>
      <c r="BZ205" s="10" t="str">
        <f aca="false">IF(D205="","",D205&amp;"|"&amp;F205&amp;"|"&amp;G205&amp;"|"&amp;BY205)</f>
        <v/>
      </c>
    </row>
    <row r="206" customFormat="false" ht="15" hidden="false" customHeight="false" outlineLevel="0" collapsed="false">
      <c r="A206" s="10" t="str">
        <f aca="false">IF(D206="","","LKW-"&amp;IFERROR(VLOOKUP(D206,Lists!$AQ$4:$AR$17,2,0),"??")&amp;"-W"&amp;TEXT(F206*1000,"0000")&amp;"-H"&amp;TEXT(G206*1000,"0000")&amp;"-B"&amp;TEXT(H206*1000,"0000")&amp;"-"&amp;AI206)</f>
        <v/>
      </c>
      <c r="B206" s="10" t="str">
        <f aca="false">IF(D206="","",D206&amp;", "&amp;F206&amp;" m wide, "&amp;G206&amp;" m headroom, "&amp;H206&amp;" m bays, "&amp;I206&amp;" ("&amp;E206&amp;")")</f>
        <v/>
      </c>
      <c r="C206" s="9"/>
      <c r="D206" s="9"/>
      <c r="E206" s="9"/>
      <c r="F206" s="42"/>
      <c r="G206" s="42"/>
      <c r="H206" s="42"/>
      <c r="I206" s="9"/>
      <c r="J206" s="9"/>
      <c r="K206" s="9"/>
      <c r="L206" s="9"/>
      <c r="M206" s="9"/>
      <c r="N206" s="9"/>
      <c r="O206" s="9"/>
      <c r="P206" s="9"/>
      <c r="Q206" s="9"/>
      <c r="R206" s="9"/>
      <c r="S206" s="42"/>
      <c r="T206" s="9"/>
      <c r="U206" s="9"/>
      <c r="V206" s="9"/>
      <c r="W206" s="38"/>
      <c r="X206" s="42"/>
      <c r="Y206" s="9"/>
      <c r="Z206" s="9"/>
      <c r="AA206" s="9"/>
      <c r="AB206" s="42"/>
      <c r="AC206" s="9"/>
      <c r="AD206" s="38"/>
      <c r="AE206" s="9"/>
      <c r="AF206" s="39"/>
      <c r="AG206" s="9"/>
      <c r="AH206" s="9"/>
      <c r="AI206" s="9"/>
      <c r="AJ206" s="9"/>
      <c r="AK206" s="9"/>
      <c r="AL206" s="9"/>
      <c r="AM206" s="9"/>
      <c r="AN206" s="10" t="str">
        <f aca="false">IF(A206="","",SG_Criteria!$B$6&amp;SG_Criteria!$B$12&amp;"\"&amp;A206&amp;"\")</f>
        <v/>
      </c>
      <c r="AO206" s="10" t="str">
        <f aca="false">IF(A206="","",A206&amp;"_CAD.dwg")</f>
        <v/>
      </c>
      <c r="AP206" s="10" t="str">
        <f aca="false">IF(A206="","",A206&amp;"_DWG.pdf")</f>
        <v/>
      </c>
      <c r="AQ206" s="10" t="str">
        <f aca="false">IF(A206="","",IF(AM206="Y",A206&amp;"_STAAD.std","n/a"))</f>
        <v/>
      </c>
      <c r="AR206" s="10" t="str">
        <f aca="false">IF(A206="","",A206&amp;"_CALC.xlsx")</f>
        <v/>
      </c>
      <c r="AS206" s="10" t="str">
        <f aca="false">IF(A206="","",A206&amp;"_CALC.pdf")</f>
        <v/>
      </c>
      <c r="AT206" s="9"/>
      <c r="AU206" s="9"/>
      <c r="AV206" s="39"/>
      <c r="AW206" s="39"/>
      <c r="AX206" s="39"/>
      <c r="AY206" s="39"/>
      <c r="AZ206" s="39"/>
      <c r="BA206" s="12" t="str">
        <f aca="false">IF(A206="","",IF(COUNTIF(Rebar_Schedule!$A$5:$A$2004,A206)=0,"",ROUND(SUMIF(Rebar_Schedule!$A$5:$A$2004,A206,Rebar_Schedule!$K$5:$K$2004),1)))</f>
        <v/>
      </c>
      <c r="BB206" s="33" t="str">
        <f aca="false">IF(A206="","",IF(BA206="","No rebar schedule yet",IF(ABS(BA206-N(AW206))/MAX(N(AW206),1)&gt;SG_Criteria!$B$55,"NOTE: register rebar differs from schedule by "&amp;TEXT(ABS(BA206-N(AW206))/MAX(N(AW206),1),"0%"),"OK")))</f>
        <v/>
      </c>
      <c r="BC206" s="33" t="str">
        <f aca="false">IF(D206="","",IF(LEN(IF(AND(D206&lt;&gt;"High Covered Linkway",G206&lt;SG_Criteria!$B$46),"FAIL: headroom below "&amp;SG_Criteria!$B$46&amp;" m. ","")&amp;IF(AND(D206="High Covered Linkway",G206&lt;SG_Criteria!$B$47),"FAIL: high linkway headroom below "&amp;SG_Criteria!$B$47&amp;" m. ","")&amp;IF(F206&lt;SG_Criteria!$B$48,"FAIL: roof width below "&amp;SG_Criteria!$B$48&amp;" m. ",IF(F206&lt;SG_Criteria!$B$49,"NOTE: not for MRT/LRT or high-traffic routes (min "&amp;SG_Criteria!$B$49&amp;" m). ",""))&amp;IF(AND(W206&lt;&gt;"",W206&lt;SG_Criteria!$B$50),"FAIL: wind speed below "&amp;SG_Criteria!$B$50&amp;" m/s. ","")&amp;IF(AND(X206&lt;&gt;"",X206&lt;SG_Criteria!$B$51),"FAIL: roof fixing pull-out below "&amp;SG_Criteria!$B$51&amp;" kN. ","")&amp;IF(AND(Y206&lt;&gt;"",IFERROR(VALUE(MID(Y206,2,2)),0)&lt;SG_Criteria!$B$52),"FAIL: grade below C"&amp;SG_Criteria!$B$52&amp;". ","")&amp;IF(E206="Non-standard (project design)","NOTE: not an SDRE standard, needs LTA acceptance. ",""))=0,"OK",IF(AND(D206&lt;&gt;"High Covered Linkway",G206&lt;SG_Criteria!$B$46),"FAIL: headroom below "&amp;SG_Criteria!$B$46&amp;" m. ","")&amp;IF(AND(D206="High Covered Linkway",G206&lt;SG_Criteria!$B$47),"FAIL: high linkway headroom below "&amp;SG_Criteria!$B$47&amp;" m. ","")&amp;IF(F206&lt;SG_Criteria!$B$48,"FAIL: roof width below "&amp;SG_Criteria!$B$48&amp;" m. ",IF(F206&lt;SG_Criteria!$B$49,"NOTE: not for MRT/LRT or high-traffic routes (min "&amp;SG_Criteria!$B$49&amp;" m). ",""))&amp;IF(AND(W206&lt;&gt;"",W206&lt;SG_Criteria!$B$50),"FAIL: wind speed below "&amp;SG_Criteria!$B$50&amp;" m/s. ","")&amp;IF(AND(X206&lt;&gt;"",X206&lt;SG_Criteria!$B$51),"FAIL: roof fixing pull-out below "&amp;SG_Criteria!$B$51&amp;" kN. ","")&amp;IF(AND(Y206&lt;&gt;"",IFERROR(VALUE(MID(Y206,2,2)),0)&lt;SG_Criteria!$B$52),"FAIL: grade below C"&amp;SG_Criteria!$B$52&amp;". ","")&amp;IF(E206="Non-standard (project design)","NOTE: not an SDRE standard, needs LTA acceptance. ","")))</f>
        <v/>
      </c>
      <c r="BD206" s="9"/>
      <c r="BE206" s="9"/>
      <c r="BF206" s="9"/>
      <c r="BG206" s="10" t="str">
        <f aca="false">IF(BF206="","",IFERROR(VLOOKUP(BF206,Projects!$A$5:$D$504,2,0),"Ref not in Projects"))</f>
        <v/>
      </c>
      <c r="BH206" s="10" t="str">
        <f aca="false">IF(BF206="","",IFERROR(VLOOKUP(BF206,Projects!$A$5:$D$504,4,0),"Ref not in Projects"))</f>
        <v/>
      </c>
      <c r="BI206" s="9"/>
      <c r="BJ206" s="9"/>
      <c r="BK206" s="9"/>
      <c r="BL206" s="40"/>
      <c r="BM206" s="9"/>
      <c r="BN206" s="40"/>
      <c r="BO206" s="9"/>
      <c r="BP206" s="40"/>
      <c r="BQ206" s="9"/>
      <c r="BR206" s="9"/>
      <c r="BS206" s="9"/>
      <c r="BT206" s="40"/>
      <c r="BU206" s="40"/>
      <c r="BV206" s="36" t="str">
        <f aca="false">IF(BU206="","",EDATE(BU206,SG_Criteria!$B$54*12))</f>
        <v/>
      </c>
      <c r="BW206" s="33" t="str">
        <f aca="true">IF(A206="","",IF(BU206="","NOTE: not reviewed yet",IF(TODAY()&gt;BV206,"NOTE: review overdue","OK")))</f>
        <v/>
      </c>
      <c r="BX206" s="37" t="str">
        <f aca="false">IF(A206="","",ROUND((IF(LEN(D206)&gt;0,1,0)+IF(LEN(E206)&gt;0,1,0)+IF(LEN(F206)&gt;0,1,0)+IF(LEN(G206)&gt;0,1,0)+IF(LEN(H206)&gt;0,1,0)+IF(LEN(I206)&gt;0,1,0)+IF(LEN(J206)&gt;0,1,0)+IF(LEN(K206)&gt;0,1,0)+IF(LEN(N206)&gt;0,1,0)+IF(LEN(O206)&gt;0,1,0)+IF(LEN(W206)&gt;0,1,0)+IF(LEN(X206)&gt;0,1,0)+IF(LEN(Y206)&gt;0,1,0)+IF(LEN(AG206)&gt;0,1,0)+IF(LEN(AI206)&gt;0,1,0)+IF(LEN(AJ206)&gt;0,1,0)+IF(LEN(AK206)&gt;0,1,0)+IF(LEN(AL206)&gt;0,1,0)+IF(LEN(AU206)&gt;0,1,0)+IF(LEN(BF206)&gt;0,1,0)+IF(LEN(BS206)&gt;0,1,0))/21,2))</f>
        <v/>
      </c>
      <c r="BY206" s="10" t="str">
        <f aca="false">IF(D206="","",IF(AND(AJ206="Approved",ISERROR(SEARCH("FAIL",BC206))),"Y","N"))</f>
        <v/>
      </c>
      <c r="BZ206" s="10" t="str">
        <f aca="false">IF(D206="","",D206&amp;"|"&amp;F206&amp;"|"&amp;G206&amp;"|"&amp;BY206)</f>
        <v/>
      </c>
    </row>
    <row r="207" customFormat="false" ht="15" hidden="false" customHeight="false" outlineLevel="0" collapsed="false">
      <c r="A207" s="10" t="str">
        <f aca="false">IF(D207="","","LKW-"&amp;IFERROR(VLOOKUP(D207,Lists!$AQ$4:$AR$17,2,0),"??")&amp;"-W"&amp;TEXT(F207*1000,"0000")&amp;"-H"&amp;TEXT(G207*1000,"0000")&amp;"-B"&amp;TEXT(H207*1000,"0000")&amp;"-"&amp;AI207)</f>
        <v/>
      </c>
      <c r="B207" s="10" t="str">
        <f aca="false">IF(D207="","",D207&amp;", "&amp;F207&amp;" m wide, "&amp;G207&amp;" m headroom, "&amp;H207&amp;" m bays, "&amp;I207&amp;" ("&amp;E207&amp;")")</f>
        <v/>
      </c>
      <c r="C207" s="9"/>
      <c r="D207" s="9"/>
      <c r="E207" s="9"/>
      <c r="F207" s="42"/>
      <c r="G207" s="42"/>
      <c r="H207" s="42"/>
      <c r="I207" s="9"/>
      <c r="J207" s="9"/>
      <c r="K207" s="9"/>
      <c r="L207" s="9"/>
      <c r="M207" s="9"/>
      <c r="N207" s="9"/>
      <c r="O207" s="9"/>
      <c r="P207" s="9"/>
      <c r="Q207" s="9"/>
      <c r="R207" s="9"/>
      <c r="S207" s="42"/>
      <c r="T207" s="9"/>
      <c r="U207" s="9"/>
      <c r="V207" s="9"/>
      <c r="W207" s="38"/>
      <c r="X207" s="42"/>
      <c r="Y207" s="9"/>
      <c r="Z207" s="9"/>
      <c r="AA207" s="9"/>
      <c r="AB207" s="42"/>
      <c r="AC207" s="9"/>
      <c r="AD207" s="38"/>
      <c r="AE207" s="9"/>
      <c r="AF207" s="39"/>
      <c r="AG207" s="9"/>
      <c r="AH207" s="9"/>
      <c r="AI207" s="9"/>
      <c r="AJ207" s="9"/>
      <c r="AK207" s="9"/>
      <c r="AL207" s="9"/>
      <c r="AM207" s="9"/>
      <c r="AN207" s="10" t="str">
        <f aca="false">IF(A207="","",SG_Criteria!$B$6&amp;SG_Criteria!$B$12&amp;"\"&amp;A207&amp;"\")</f>
        <v/>
      </c>
      <c r="AO207" s="10" t="str">
        <f aca="false">IF(A207="","",A207&amp;"_CAD.dwg")</f>
        <v/>
      </c>
      <c r="AP207" s="10" t="str">
        <f aca="false">IF(A207="","",A207&amp;"_DWG.pdf")</f>
        <v/>
      </c>
      <c r="AQ207" s="10" t="str">
        <f aca="false">IF(A207="","",IF(AM207="Y",A207&amp;"_STAAD.std","n/a"))</f>
        <v/>
      </c>
      <c r="AR207" s="10" t="str">
        <f aca="false">IF(A207="","",A207&amp;"_CALC.xlsx")</f>
        <v/>
      </c>
      <c r="AS207" s="10" t="str">
        <f aca="false">IF(A207="","",A207&amp;"_CALC.pdf")</f>
        <v/>
      </c>
      <c r="AT207" s="9"/>
      <c r="AU207" s="9"/>
      <c r="AV207" s="39"/>
      <c r="AW207" s="39"/>
      <c r="AX207" s="39"/>
      <c r="AY207" s="39"/>
      <c r="AZ207" s="39"/>
      <c r="BA207" s="12" t="str">
        <f aca="false">IF(A207="","",IF(COUNTIF(Rebar_Schedule!$A$5:$A$2004,A207)=0,"",ROUND(SUMIF(Rebar_Schedule!$A$5:$A$2004,A207,Rebar_Schedule!$K$5:$K$2004),1)))</f>
        <v/>
      </c>
      <c r="BB207" s="33" t="str">
        <f aca="false">IF(A207="","",IF(BA207="","No rebar schedule yet",IF(ABS(BA207-N(AW207))/MAX(N(AW207),1)&gt;SG_Criteria!$B$55,"NOTE: register rebar differs from schedule by "&amp;TEXT(ABS(BA207-N(AW207))/MAX(N(AW207),1),"0%"),"OK")))</f>
        <v/>
      </c>
      <c r="BC207" s="33" t="str">
        <f aca="false">IF(D207="","",IF(LEN(IF(AND(D207&lt;&gt;"High Covered Linkway",G207&lt;SG_Criteria!$B$46),"FAIL: headroom below "&amp;SG_Criteria!$B$46&amp;" m. ","")&amp;IF(AND(D207="High Covered Linkway",G207&lt;SG_Criteria!$B$47),"FAIL: high linkway headroom below "&amp;SG_Criteria!$B$47&amp;" m. ","")&amp;IF(F207&lt;SG_Criteria!$B$48,"FAIL: roof width below "&amp;SG_Criteria!$B$48&amp;" m. ",IF(F207&lt;SG_Criteria!$B$49,"NOTE: not for MRT/LRT or high-traffic routes (min "&amp;SG_Criteria!$B$49&amp;" m). ",""))&amp;IF(AND(W207&lt;&gt;"",W207&lt;SG_Criteria!$B$50),"FAIL: wind speed below "&amp;SG_Criteria!$B$50&amp;" m/s. ","")&amp;IF(AND(X207&lt;&gt;"",X207&lt;SG_Criteria!$B$51),"FAIL: roof fixing pull-out below "&amp;SG_Criteria!$B$51&amp;" kN. ","")&amp;IF(AND(Y207&lt;&gt;"",IFERROR(VALUE(MID(Y207,2,2)),0)&lt;SG_Criteria!$B$52),"FAIL: grade below C"&amp;SG_Criteria!$B$52&amp;". ","")&amp;IF(E207="Non-standard (project design)","NOTE: not an SDRE standard, needs LTA acceptance. ",""))=0,"OK",IF(AND(D207&lt;&gt;"High Covered Linkway",G207&lt;SG_Criteria!$B$46),"FAIL: headroom below "&amp;SG_Criteria!$B$46&amp;" m. ","")&amp;IF(AND(D207="High Covered Linkway",G207&lt;SG_Criteria!$B$47),"FAIL: high linkway headroom below "&amp;SG_Criteria!$B$47&amp;" m. ","")&amp;IF(F207&lt;SG_Criteria!$B$48,"FAIL: roof width below "&amp;SG_Criteria!$B$48&amp;" m. ",IF(F207&lt;SG_Criteria!$B$49,"NOTE: not for MRT/LRT or high-traffic routes (min "&amp;SG_Criteria!$B$49&amp;" m). ",""))&amp;IF(AND(W207&lt;&gt;"",W207&lt;SG_Criteria!$B$50),"FAIL: wind speed below "&amp;SG_Criteria!$B$50&amp;" m/s. ","")&amp;IF(AND(X207&lt;&gt;"",X207&lt;SG_Criteria!$B$51),"FAIL: roof fixing pull-out below "&amp;SG_Criteria!$B$51&amp;" kN. ","")&amp;IF(AND(Y207&lt;&gt;"",IFERROR(VALUE(MID(Y207,2,2)),0)&lt;SG_Criteria!$B$52),"FAIL: grade below C"&amp;SG_Criteria!$B$52&amp;". ","")&amp;IF(E207="Non-standard (project design)","NOTE: not an SDRE standard, needs LTA acceptance. ","")))</f>
        <v/>
      </c>
      <c r="BD207" s="9"/>
      <c r="BE207" s="9"/>
      <c r="BF207" s="9"/>
      <c r="BG207" s="10" t="str">
        <f aca="false">IF(BF207="","",IFERROR(VLOOKUP(BF207,Projects!$A$5:$D$504,2,0),"Ref not in Projects"))</f>
        <v/>
      </c>
      <c r="BH207" s="10" t="str">
        <f aca="false">IF(BF207="","",IFERROR(VLOOKUP(BF207,Projects!$A$5:$D$504,4,0),"Ref not in Projects"))</f>
        <v/>
      </c>
      <c r="BI207" s="9"/>
      <c r="BJ207" s="9"/>
      <c r="BK207" s="9"/>
      <c r="BL207" s="40"/>
      <c r="BM207" s="9"/>
      <c r="BN207" s="40"/>
      <c r="BO207" s="9"/>
      <c r="BP207" s="40"/>
      <c r="BQ207" s="9"/>
      <c r="BR207" s="9"/>
      <c r="BS207" s="9"/>
      <c r="BT207" s="40"/>
      <c r="BU207" s="40"/>
      <c r="BV207" s="36" t="str">
        <f aca="false">IF(BU207="","",EDATE(BU207,SG_Criteria!$B$54*12))</f>
        <v/>
      </c>
      <c r="BW207" s="33" t="str">
        <f aca="true">IF(A207="","",IF(BU207="","NOTE: not reviewed yet",IF(TODAY()&gt;BV207,"NOTE: review overdue","OK")))</f>
        <v/>
      </c>
      <c r="BX207" s="37" t="str">
        <f aca="false">IF(A207="","",ROUND((IF(LEN(D207)&gt;0,1,0)+IF(LEN(E207)&gt;0,1,0)+IF(LEN(F207)&gt;0,1,0)+IF(LEN(G207)&gt;0,1,0)+IF(LEN(H207)&gt;0,1,0)+IF(LEN(I207)&gt;0,1,0)+IF(LEN(J207)&gt;0,1,0)+IF(LEN(K207)&gt;0,1,0)+IF(LEN(N207)&gt;0,1,0)+IF(LEN(O207)&gt;0,1,0)+IF(LEN(W207)&gt;0,1,0)+IF(LEN(X207)&gt;0,1,0)+IF(LEN(Y207)&gt;0,1,0)+IF(LEN(AG207)&gt;0,1,0)+IF(LEN(AI207)&gt;0,1,0)+IF(LEN(AJ207)&gt;0,1,0)+IF(LEN(AK207)&gt;0,1,0)+IF(LEN(AL207)&gt;0,1,0)+IF(LEN(AU207)&gt;0,1,0)+IF(LEN(BF207)&gt;0,1,0)+IF(LEN(BS207)&gt;0,1,0))/21,2))</f>
        <v/>
      </c>
      <c r="BY207" s="10" t="str">
        <f aca="false">IF(D207="","",IF(AND(AJ207="Approved",ISERROR(SEARCH("FAIL",BC207))),"Y","N"))</f>
        <v/>
      </c>
      <c r="BZ207" s="10" t="str">
        <f aca="false">IF(D207="","",D207&amp;"|"&amp;F207&amp;"|"&amp;G207&amp;"|"&amp;BY207)</f>
        <v/>
      </c>
    </row>
    <row r="208" customFormat="false" ht="15" hidden="false" customHeight="false" outlineLevel="0" collapsed="false">
      <c r="A208" s="10" t="str">
        <f aca="false">IF(D208="","","LKW-"&amp;IFERROR(VLOOKUP(D208,Lists!$AQ$4:$AR$17,2,0),"??")&amp;"-W"&amp;TEXT(F208*1000,"0000")&amp;"-H"&amp;TEXT(G208*1000,"0000")&amp;"-B"&amp;TEXT(H208*1000,"0000")&amp;"-"&amp;AI208)</f>
        <v/>
      </c>
      <c r="B208" s="10" t="str">
        <f aca="false">IF(D208="","",D208&amp;", "&amp;F208&amp;" m wide, "&amp;G208&amp;" m headroom, "&amp;H208&amp;" m bays, "&amp;I208&amp;" ("&amp;E208&amp;")")</f>
        <v/>
      </c>
      <c r="C208" s="9"/>
      <c r="D208" s="9"/>
      <c r="E208" s="9"/>
      <c r="F208" s="42"/>
      <c r="G208" s="42"/>
      <c r="H208" s="42"/>
      <c r="I208" s="9"/>
      <c r="J208" s="9"/>
      <c r="K208" s="9"/>
      <c r="L208" s="9"/>
      <c r="M208" s="9"/>
      <c r="N208" s="9"/>
      <c r="O208" s="9"/>
      <c r="P208" s="9"/>
      <c r="Q208" s="9"/>
      <c r="R208" s="9"/>
      <c r="S208" s="42"/>
      <c r="T208" s="9"/>
      <c r="U208" s="9"/>
      <c r="V208" s="9"/>
      <c r="W208" s="38"/>
      <c r="X208" s="42"/>
      <c r="Y208" s="9"/>
      <c r="Z208" s="9"/>
      <c r="AA208" s="9"/>
      <c r="AB208" s="42"/>
      <c r="AC208" s="9"/>
      <c r="AD208" s="38"/>
      <c r="AE208" s="9"/>
      <c r="AF208" s="39"/>
      <c r="AG208" s="9"/>
      <c r="AH208" s="9"/>
      <c r="AI208" s="9"/>
      <c r="AJ208" s="9"/>
      <c r="AK208" s="9"/>
      <c r="AL208" s="9"/>
      <c r="AM208" s="9"/>
      <c r="AN208" s="10" t="str">
        <f aca="false">IF(A208="","",SG_Criteria!$B$6&amp;SG_Criteria!$B$12&amp;"\"&amp;A208&amp;"\")</f>
        <v/>
      </c>
      <c r="AO208" s="10" t="str">
        <f aca="false">IF(A208="","",A208&amp;"_CAD.dwg")</f>
        <v/>
      </c>
      <c r="AP208" s="10" t="str">
        <f aca="false">IF(A208="","",A208&amp;"_DWG.pdf")</f>
        <v/>
      </c>
      <c r="AQ208" s="10" t="str">
        <f aca="false">IF(A208="","",IF(AM208="Y",A208&amp;"_STAAD.std","n/a"))</f>
        <v/>
      </c>
      <c r="AR208" s="10" t="str">
        <f aca="false">IF(A208="","",A208&amp;"_CALC.xlsx")</f>
        <v/>
      </c>
      <c r="AS208" s="10" t="str">
        <f aca="false">IF(A208="","",A208&amp;"_CALC.pdf")</f>
        <v/>
      </c>
      <c r="AT208" s="9"/>
      <c r="AU208" s="9"/>
      <c r="AV208" s="39"/>
      <c r="AW208" s="39"/>
      <c r="AX208" s="39"/>
      <c r="AY208" s="39"/>
      <c r="AZ208" s="39"/>
      <c r="BA208" s="12" t="str">
        <f aca="false">IF(A208="","",IF(COUNTIF(Rebar_Schedule!$A$5:$A$2004,A208)=0,"",ROUND(SUMIF(Rebar_Schedule!$A$5:$A$2004,A208,Rebar_Schedule!$K$5:$K$2004),1)))</f>
        <v/>
      </c>
      <c r="BB208" s="33" t="str">
        <f aca="false">IF(A208="","",IF(BA208="","No rebar schedule yet",IF(ABS(BA208-N(AW208))/MAX(N(AW208),1)&gt;SG_Criteria!$B$55,"NOTE: register rebar differs from schedule by "&amp;TEXT(ABS(BA208-N(AW208))/MAX(N(AW208),1),"0%"),"OK")))</f>
        <v/>
      </c>
      <c r="BC208" s="33" t="str">
        <f aca="false">IF(D208="","",IF(LEN(IF(AND(D208&lt;&gt;"High Covered Linkway",G208&lt;SG_Criteria!$B$46),"FAIL: headroom below "&amp;SG_Criteria!$B$46&amp;" m. ","")&amp;IF(AND(D208="High Covered Linkway",G208&lt;SG_Criteria!$B$47),"FAIL: high linkway headroom below "&amp;SG_Criteria!$B$47&amp;" m. ","")&amp;IF(F208&lt;SG_Criteria!$B$48,"FAIL: roof width below "&amp;SG_Criteria!$B$48&amp;" m. ",IF(F208&lt;SG_Criteria!$B$49,"NOTE: not for MRT/LRT or high-traffic routes (min "&amp;SG_Criteria!$B$49&amp;" m). ",""))&amp;IF(AND(W208&lt;&gt;"",W208&lt;SG_Criteria!$B$50),"FAIL: wind speed below "&amp;SG_Criteria!$B$50&amp;" m/s. ","")&amp;IF(AND(X208&lt;&gt;"",X208&lt;SG_Criteria!$B$51),"FAIL: roof fixing pull-out below "&amp;SG_Criteria!$B$51&amp;" kN. ","")&amp;IF(AND(Y208&lt;&gt;"",IFERROR(VALUE(MID(Y208,2,2)),0)&lt;SG_Criteria!$B$52),"FAIL: grade below C"&amp;SG_Criteria!$B$52&amp;". ","")&amp;IF(E208="Non-standard (project design)","NOTE: not an SDRE standard, needs LTA acceptance. ",""))=0,"OK",IF(AND(D208&lt;&gt;"High Covered Linkway",G208&lt;SG_Criteria!$B$46),"FAIL: headroom below "&amp;SG_Criteria!$B$46&amp;" m. ","")&amp;IF(AND(D208="High Covered Linkway",G208&lt;SG_Criteria!$B$47),"FAIL: high linkway headroom below "&amp;SG_Criteria!$B$47&amp;" m. ","")&amp;IF(F208&lt;SG_Criteria!$B$48,"FAIL: roof width below "&amp;SG_Criteria!$B$48&amp;" m. ",IF(F208&lt;SG_Criteria!$B$49,"NOTE: not for MRT/LRT or high-traffic routes (min "&amp;SG_Criteria!$B$49&amp;" m). ",""))&amp;IF(AND(W208&lt;&gt;"",W208&lt;SG_Criteria!$B$50),"FAIL: wind speed below "&amp;SG_Criteria!$B$50&amp;" m/s. ","")&amp;IF(AND(X208&lt;&gt;"",X208&lt;SG_Criteria!$B$51),"FAIL: roof fixing pull-out below "&amp;SG_Criteria!$B$51&amp;" kN. ","")&amp;IF(AND(Y208&lt;&gt;"",IFERROR(VALUE(MID(Y208,2,2)),0)&lt;SG_Criteria!$B$52),"FAIL: grade below C"&amp;SG_Criteria!$B$52&amp;". ","")&amp;IF(E208="Non-standard (project design)","NOTE: not an SDRE standard, needs LTA acceptance. ","")))</f>
        <v/>
      </c>
      <c r="BD208" s="9"/>
      <c r="BE208" s="9"/>
      <c r="BF208" s="9"/>
      <c r="BG208" s="10" t="str">
        <f aca="false">IF(BF208="","",IFERROR(VLOOKUP(BF208,Projects!$A$5:$D$504,2,0),"Ref not in Projects"))</f>
        <v/>
      </c>
      <c r="BH208" s="10" t="str">
        <f aca="false">IF(BF208="","",IFERROR(VLOOKUP(BF208,Projects!$A$5:$D$504,4,0),"Ref not in Projects"))</f>
        <v/>
      </c>
      <c r="BI208" s="9"/>
      <c r="BJ208" s="9"/>
      <c r="BK208" s="9"/>
      <c r="BL208" s="40"/>
      <c r="BM208" s="9"/>
      <c r="BN208" s="40"/>
      <c r="BO208" s="9"/>
      <c r="BP208" s="40"/>
      <c r="BQ208" s="9"/>
      <c r="BR208" s="9"/>
      <c r="BS208" s="9"/>
      <c r="BT208" s="40"/>
      <c r="BU208" s="40"/>
      <c r="BV208" s="36" t="str">
        <f aca="false">IF(BU208="","",EDATE(BU208,SG_Criteria!$B$54*12))</f>
        <v/>
      </c>
      <c r="BW208" s="33" t="str">
        <f aca="true">IF(A208="","",IF(BU208="","NOTE: not reviewed yet",IF(TODAY()&gt;BV208,"NOTE: review overdue","OK")))</f>
        <v/>
      </c>
      <c r="BX208" s="37" t="str">
        <f aca="false">IF(A208="","",ROUND((IF(LEN(D208)&gt;0,1,0)+IF(LEN(E208)&gt;0,1,0)+IF(LEN(F208)&gt;0,1,0)+IF(LEN(G208)&gt;0,1,0)+IF(LEN(H208)&gt;0,1,0)+IF(LEN(I208)&gt;0,1,0)+IF(LEN(J208)&gt;0,1,0)+IF(LEN(K208)&gt;0,1,0)+IF(LEN(N208)&gt;0,1,0)+IF(LEN(O208)&gt;0,1,0)+IF(LEN(W208)&gt;0,1,0)+IF(LEN(X208)&gt;0,1,0)+IF(LEN(Y208)&gt;0,1,0)+IF(LEN(AG208)&gt;0,1,0)+IF(LEN(AI208)&gt;0,1,0)+IF(LEN(AJ208)&gt;0,1,0)+IF(LEN(AK208)&gt;0,1,0)+IF(LEN(AL208)&gt;0,1,0)+IF(LEN(AU208)&gt;0,1,0)+IF(LEN(BF208)&gt;0,1,0)+IF(LEN(BS208)&gt;0,1,0))/21,2))</f>
        <v/>
      </c>
      <c r="BY208" s="10" t="str">
        <f aca="false">IF(D208="","",IF(AND(AJ208="Approved",ISERROR(SEARCH("FAIL",BC208))),"Y","N"))</f>
        <v/>
      </c>
      <c r="BZ208" s="10" t="str">
        <f aca="false">IF(D208="","",D208&amp;"|"&amp;F208&amp;"|"&amp;G208&amp;"|"&amp;BY208)</f>
        <v/>
      </c>
    </row>
    <row r="209" customFormat="false" ht="15" hidden="false" customHeight="false" outlineLevel="0" collapsed="false">
      <c r="A209" s="10" t="str">
        <f aca="false">IF(D209="","","LKW-"&amp;IFERROR(VLOOKUP(D209,Lists!$AQ$4:$AR$17,2,0),"??")&amp;"-W"&amp;TEXT(F209*1000,"0000")&amp;"-H"&amp;TEXT(G209*1000,"0000")&amp;"-B"&amp;TEXT(H209*1000,"0000")&amp;"-"&amp;AI209)</f>
        <v/>
      </c>
      <c r="B209" s="10" t="str">
        <f aca="false">IF(D209="","",D209&amp;", "&amp;F209&amp;" m wide, "&amp;G209&amp;" m headroom, "&amp;H209&amp;" m bays, "&amp;I209&amp;" ("&amp;E209&amp;")")</f>
        <v/>
      </c>
      <c r="C209" s="9"/>
      <c r="D209" s="9"/>
      <c r="E209" s="9"/>
      <c r="F209" s="42"/>
      <c r="G209" s="42"/>
      <c r="H209" s="42"/>
      <c r="I209" s="9"/>
      <c r="J209" s="9"/>
      <c r="K209" s="9"/>
      <c r="L209" s="9"/>
      <c r="M209" s="9"/>
      <c r="N209" s="9"/>
      <c r="O209" s="9"/>
      <c r="P209" s="9"/>
      <c r="Q209" s="9"/>
      <c r="R209" s="9"/>
      <c r="S209" s="42"/>
      <c r="T209" s="9"/>
      <c r="U209" s="9"/>
      <c r="V209" s="9"/>
      <c r="W209" s="38"/>
      <c r="X209" s="42"/>
      <c r="Y209" s="9"/>
      <c r="Z209" s="9"/>
      <c r="AA209" s="9"/>
      <c r="AB209" s="42"/>
      <c r="AC209" s="9"/>
      <c r="AD209" s="38"/>
      <c r="AE209" s="9"/>
      <c r="AF209" s="39"/>
      <c r="AG209" s="9"/>
      <c r="AH209" s="9"/>
      <c r="AI209" s="9"/>
      <c r="AJ209" s="9"/>
      <c r="AK209" s="9"/>
      <c r="AL209" s="9"/>
      <c r="AM209" s="9"/>
      <c r="AN209" s="10" t="str">
        <f aca="false">IF(A209="","",SG_Criteria!$B$6&amp;SG_Criteria!$B$12&amp;"\"&amp;A209&amp;"\")</f>
        <v/>
      </c>
      <c r="AO209" s="10" t="str">
        <f aca="false">IF(A209="","",A209&amp;"_CAD.dwg")</f>
        <v/>
      </c>
      <c r="AP209" s="10" t="str">
        <f aca="false">IF(A209="","",A209&amp;"_DWG.pdf")</f>
        <v/>
      </c>
      <c r="AQ209" s="10" t="str">
        <f aca="false">IF(A209="","",IF(AM209="Y",A209&amp;"_STAAD.std","n/a"))</f>
        <v/>
      </c>
      <c r="AR209" s="10" t="str">
        <f aca="false">IF(A209="","",A209&amp;"_CALC.xlsx")</f>
        <v/>
      </c>
      <c r="AS209" s="10" t="str">
        <f aca="false">IF(A209="","",A209&amp;"_CALC.pdf")</f>
        <v/>
      </c>
      <c r="AT209" s="9"/>
      <c r="AU209" s="9"/>
      <c r="AV209" s="39"/>
      <c r="AW209" s="39"/>
      <c r="AX209" s="39"/>
      <c r="AY209" s="39"/>
      <c r="AZ209" s="39"/>
      <c r="BA209" s="12" t="str">
        <f aca="false">IF(A209="","",IF(COUNTIF(Rebar_Schedule!$A$5:$A$2004,A209)=0,"",ROUND(SUMIF(Rebar_Schedule!$A$5:$A$2004,A209,Rebar_Schedule!$K$5:$K$2004),1)))</f>
        <v/>
      </c>
      <c r="BB209" s="33" t="str">
        <f aca="false">IF(A209="","",IF(BA209="","No rebar schedule yet",IF(ABS(BA209-N(AW209))/MAX(N(AW209),1)&gt;SG_Criteria!$B$55,"NOTE: register rebar differs from schedule by "&amp;TEXT(ABS(BA209-N(AW209))/MAX(N(AW209),1),"0%"),"OK")))</f>
        <v/>
      </c>
      <c r="BC209" s="33" t="str">
        <f aca="false">IF(D209="","",IF(LEN(IF(AND(D209&lt;&gt;"High Covered Linkway",G209&lt;SG_Criteria!$B$46),"FAIL: headroom below "&amp;SG_Criteria!$B$46&amp;" m. ","")&amp;IF(AND(D209="High Covered Linkway",G209&lt;SG_Criteria!$B$47),"FAIL: high linkway headroom below "&amp;SG_Criteria!$B$47&amp;" m. ","")&amp;IF(F209&lt;SG_Criteria!$B$48,"FAIL: roof width below "&amp;SG_Criteria!$B$48&amp;" m. ",IF(F209&lt;SG_Criteria!$B$49,"NOTE: not for MRT/LRT or high-traffic routes (min "&amp;SG_Criteria!$B$49&amp;" m). ",""))&amp;IF(AND(W209&lt;&gt;"",W209&lt;SG_Criteria!$B$50),"FAIL: wind speed below "&amp;SG_Criteria!$B$50&amp;" m/s. ","")&amp;IF(AND(X209&lt;&gt;"",X209&lt;SG_Criteria!$B$51),"FAIL: roof fixing pull-out below "&amp;SG_Criteria!$B$51&amp;" kN. ","")&amp;IF(AND(Y209&lt;&gt;"",IFERROR(VALUE(MID(Y209,2,2)),0)&lt;SG_Criteria!$B$52),"FAIL: grade below C"&amp;SG_Criteria!$B$52&amp;". ","")&amp;IF(E209="Non-standard (project design)","NOTE: not an SDRE standard, needs LTA acceptance. ",""))=0,"OK",IF(AND(D209&lt;&gt;"High Covered Linkway",G209&lt;SG_Criteria!$B$46),"FAIL: headroom below "&amp;SG_Criteria!$B$46&amp;" m. ","")&amp;IF(AND(D209="High Covered Linkway",G209&lt;SG_Criteria!$B$47),"FAIL: high linkway headroom below "&amp;SG_Criteria!$B$47&amp;" m. ","")&amp;IF(F209&lt;SG_Criteria!$B$48,"FAIL: roof width below "&amp;SG_Criteria!$B$48&amp;" m. ",IF(F209&lt;SG_Criteria!$B$49,"NOTE: not for MRT/LRT or high-traffic routes (min "&amp;SG_Criteria!$B$49&amp;" m). ",""))&amp;IF(AND(W209&lt;&gt;"",W209&lt;SG_Criteria!$B$50),"FAIL: wind speed below "&amp;SG_Criteria!$B$50&amp;" m/s. ","")&amp;IF(AND(X209&lt;&gt;"",X209&lt;SG_Criteria!$B$51),"FAIL: roof fixing pull-out below "&amp;SG_Criteria!$B$51&amp;" kN. ","")&amp;IF(AND(Y209&lt;&gt;"",IFERROR(VALUE(MID(Y209,2,2)),0)&lt;SG_Criteria!$B$52),"FAIL: grade below C"&amp;SG_Criteria!$B$52&amp;". ","")&amp;IF(E209="Non-standard (project design)","NOTE: not an SDRE standard, needs LTA acceptance. ","")))</f>
        <v/>
      </c>
      <c r="BD209" s="9"/>
      <c r="BE209" s="9"/>
      <c r="BF209" s="9"/>
      <c r="BG209" s="10" t="str">
        <f aca="false">IF(BF209="","",IFERROR(VLOOKUP(BF209,Projects!$A$5:$D$504,2,0),"Ref not in Projects"))</f>
        <v/>
      </c>
      <c r="BH209" s="10" t="str">
        <f aca="false">IF(BF209="","",IFERROR(VLOOKUP(BF209,Projects!$A$5:$D$504,4,0),"Ref not in Projects"))</f>
        <v/>
      </c>
      <c r="BI209" s="9"/>
      <c r="BJ209" s="9"/>
      <c r="BK209" s="9"/>
      <c r="BL209" s="40"/>
      <c r="BM209" s="9"/>
      <c r="BN209" s="40"/>
      <c r="BO209" s="9"/>
      <c r="BP209" s="40"/>
      <c r="BQ209" s="9"/>
      <c r="BR209" s="9"/>
      <c r="BS209" s="9"/>
      <c r="BT209" s="40"/>
      <c r="BU209" s="40"/>
      <c r="BV209" s="36" t="str">
        <f aca="false">IF(BU209="","",EDATE(BU209,SG_Criteria!$B$54*12))</f>
        <v/>
      </c>
      <c r="BW209" s="33" t="str">
        <f aca="true">IF(A209="","",IF(BU209="","NOTE: not reviewed yet",IF(TODAY()&gt;BV209,"NOTE: review overdue","OK")))</f>
        <v/>
      </c>
      <c r="BX209" s="37" t="str">
        <f aca="false">IF(A209="","",ROUND((IF(LEN(D209)&gt;0,1,0)+IF(LEN(E209)&gt;0,1,0)+IF(LEN(F209)&gt;0,1,0)+IF(LEN(G209)&gt;0,1,0)+IF(LEN(H209)&gt;0,1,0)+IF(LEN(I209)&gt;0,1,0)+IF(LEN(J209)&gt;0,1,0)+IF(LEN(K209)&gt;0,1,0)+IF(LEN(N209)&gt;0,1,0)+IF(LEN(O209)&gt;0,1,0)+IF(LEN(W209)&gt;0,1,0)+IF(LEN(X209)&gt;0,1,0)+IF(LEN(Y209)&gt;0,1,0)+IF(LEN(AG209)&gt;0,1,0)+IF(LEN(AI209)&gt;0,1,0)+IF(LEN(AJ209)&gt;0,1,0)+IF(LEN(AK209)&gt;0,1,0)+IF(LEN(AL209)&gt;0,1,0)+IF(LEN(AU209)&gt;0,1,0)+IF(LEN(BF209)&gt;0,1,0)+IF(LEN(BS209)&gt;0,1,0))/21,2))</f>
        <v/>
      </c>
      <c r="BY209" s="10" t="str">
        <f aca="false">IF(D209="","",IF(AND(AJ209="Approved",ISERROR(SEARCH("FAIL",BC209))),"Y","N"))</f>
        <v/>
      </c>
      <c r="BZ209" s="10" t="str">
        <f aca="false">IF(D209="","",D209&amp;"|"&amp;F209&amp;"|"&amp;G209&amp;"|"&amp;BY209)</f>
        <v/>
      </c>
    </row>
    <row r="210" customFormat="false" ht="15" hidden="false" customHeight="false" outlineLevel="0" collapsed="false">
      <c r="A210" s="10" t="str">
        <f aca="false">IF(D210="","","LKW-"&amp;IFERROR(VLOOKUP(D210,Lists!$AQ$4:$AR$17,2,0),"??")&amp;"-W"&amp;TEXT(F210*1000,"0000")&amp;"-H"&amp;TEXT(G210*1000,"0000")&amp;"-B"&amp;TEXT(H210*1000,"0000")&amp;"-"&amp;AI210)</f>
        <v/>
      </c>
      <c r="B210" s="10" t="str">
        <f aca="false">IF(D210="","",D210&amp;", "&amp;F210&amp;" m wide, "&amp;G210&amp;" m headroom, "&amp;H210&amp;" m bays, "&amp;I210&amp;" ("&amp;E210&amp;")")</f>
        <v/>
      </c>
      <c r="C210" s="9"/>
      <c r="D210" s="9"/>
      <c r="E210" s="9"/>
      <c r="F210" s="42"/>
      <c r="G210" s="42"/>
      <c r="H210" s="42"/>
      <c r="I210" s="9"/>
      <c r="J210" s="9"/>
      <c r="K210" s="9"/>
      <c r="L210" s="9"/>
      <c r="M210" s="9"/>
      <c r="N210" s="9"/>
      <c r="O210" s="9"/>
      <c r="P210" s="9"/>
      <c r="Q210" s="9"/>
      <c r="R210" s="9"/>
      <c r="S210" s="42"/>
      <c r="T210" s="9"/>
      <c r="U210" s="9"/>
      <c r="V210" s="9"/>
      <c r="W210" s="38"/>
      <c r="X210" s="42"/>
      <c r="Y210" s="9"/>
      <c r="Z210" s="9"/>
      <c r="AA210" s="9"/>
      <c r="AB210" s="42"/>
      <c r="AC210" s="9"/>
      <c r="AD210" s="38"/>
      <c r="AE210" s="9"/>
      <c r="AF210" s="39"/>
      <c r="AG210" s="9"/>
      <c r="AH210" s="9"/>
      <c r="AI210" s="9"/>
      <c r="AJ210" s="9"/>
      <c r="AK210" s="9"/>
      <c r="AL210" s="9"/>
      <c r="AM210" s="9"/>
      <c r="AN210" s="10" t="str">
        <f aca="false">IF(A210="","",SG_Criteria!$B$6&amp;SG_Criteria!$B$12&amp;"\"&amp;A210&amp;"\")</f>
        <v/>
      </c>
      <c r="AO210" s="10" t="str">
        <f aca="false">IF(A210="","",A210&amp;"_CAD.dwg")</f>
        <v/>
      </c>
      <c r="AP210" s="10" t="str">
        <f aca="false">IF(A210="","",A210&amp;"_DWG.pdf")</f>
        <v/>
      </c>
      <c r="AQ210" s="10" t="str">
        <f aca="false">IF(A210="","",IF(AM210="Y",A210&amp;"_STAAD.std","n/a"))</f>
        <v/>
      </c>
      <c r="AR210" s="10" t="str">
        <f aca="false">IF(A210="","",A210&amp;"_CALC.xlsx")</f>
        <v/>
      </c>
      <c r="AS210" s="10" t="str">
        <f aca="false">IF(A210="","",A210&amp;"_CALC.pdf")</f>
        <v/>
      </c>
      <c r="AT210" s="9"/>
      <c r="AU210" s="9"/>
      <c r="AV210" s="39"/>
      <c r="AW210" s="39"/>
      <c r="AX210" s="39"/>
      <c r="AY210" s="39"/>
      <c r="AZ210" s="39"/>
      <c r="BA210" s="12" t="str">
        <f aca="false">IF(A210="","",IF(COUNTIF(Rebar_Schedule!$A$5:$A$2004,A210)=0,"",ROUND(SUMIF(Rebar_Schedule!$A$5:$A$2004,A210,Rebar_Schedule!$K$5:$K$2004),1)))</f>
        <v/>
      </c>
      <c r="BB210" s="33" t="str">
        <f aca="false">IF(A210="","",IF(BA210="","No rebar schedule yet",IF(ABS(BA210-N(AW210))/MAX(N(AW210),1)&gt;SG_Criteria!$B$55,"NOTE: register rebar differs from schedule by "&amp;TEXT(ABS(BA210-N(AW210))/MAX(N(AW210),1),"0%"),"OK")))</f>
        <v/>
      </c>
      <c r="BC210" s="33" t="str">
        <f aca="false">IF(D210="","",IF(LEN(IF(AND(D210&lt;&gt;"High Covered Linkway",G210&lt;SG_Criteria!$B$46),"FAIL: headroom below "&amp;SG_Criteria!$B$46&amp;" m. ","")&amp;IF(AND(D210="High Covered Linkway",G210&lt;SG_Criteria!$B$47),"FAIL: high linkway headroom below "&amp;SG_Criteria!$B$47&amp;" m. ","")&amp;IF(F210&lt;SG_Criteria!$B$48,"FAIL: roof width below "&amp;SG_Criteria!$B$48&amp;" m. ",IF(F210&lt;SG_Criteria!$B$49,"NOTE: not for MRT/LRT or high-traffic routes (min "&amp;SG_Criteria!$B$49&amp;" m). ",""))&amp;IF(AND(W210&lt;&gt;"",W210&lt;SG_Criteria!$B$50),"FAIL: wind speed below "&amp;SG_Criteria!$B$50&amp;" m/s. ","")&amp;IF(AND(X210&lt;&gt;"",X210&lt;SG_Criteria!$B$51),"FAIL: roof fixing pull-out below "&amp;SG_Criteria!$B$51&amp;" kN. ","")&amp;IF(AND(Y210&lt;&gt;"",IFERROR(VALUE(MID(Y210,2,2)),0)&lt;SG_Criteria!$B$52),"FAIL: grade below C"&amp;SG_Criteria!$B$52&amp;". ","")&amp;IF(E210="Non-standard (project design)","NOTE: not an SDRE standard, needs LTA acceptance. ",""))=0,"OK",IF(AND(D210&lt;&gt;"High Covered Linkway",G210&lt;SG_Criteria!$B$46),"FAIL: headroom below "&amp;SG_Criteria!$B$46&amp;" m. ","")&amp;IF(AND(D210="High Covered Linkway",G210&lt;SG_Criteria!$B$47),"FAIL: high linkway headroom below "&amp;SG_Criteria!$B$47&amp;" m. ","")&amp;IF(F210&lt;SG_Criteria!$B$48,"FAIL: roof width below "&amp;SG_Criteria!$B$48&amp;" m. ",IF(F210&lt;SG_Criteria!$B$49,"NOTE: not for MRT/LRT or high-traffic routes (min "&amp;SG_Criteria!$B$49&amp;" m). ",""))&amp;IF(AND(W210&lt;&gt;"",W210&lt;SG_Criteria!$B$50),"FAIL: wind speed below "&amp;SG_Criteria!$B$50&amp;" m/s. ","")&amp;IF(AND(X210&lt;&gt;"",X210&lt;SG_Criteria!$B$51),"FAIL: roof fixing pull-out below "&amp;SG_Criteria!$B$51&amp;" kN. ","")&amp;IF(AND(Y210&lt;&gt;"",IFERROR(VALUE(MID(Y210,2,2)),0)&lt;SG_Criteria!$B$52),"FAIL: grade below C"&amp;SG_Criteria!$B$52&amp;". ","")&amp;IF(E210="Non-standard (project design)","NOTE: not an SDRE standard, needs LTA acceptance. ","")))</f>
        <v/>
      </c>
      <c r="BD210" s="9"/>
      <c r="BE210" s="9"/>
      <c r="BF210" s="9"/>
      <c r="BG210" s="10" t="str">
        <f aca="false">IF(BF210="","",IFERROR(VLOOKUP(BF210,Projects!$A$5:$D$504,2,0),"Ref not in Projects"))</f>
        <v/>
      </c>
      <c r="BH210" s="10" t="str">
        <f aca="false">IF(BF210="","",IFERROR(VLOOKUP(BF210,Projects!$A$5:$D$504,4,0),"Ref not in Projects"))</f>
        <v/>
      </c>
      <c r="BI210" s="9"/>
      <c r="BJ210" s="9"/>
      <c r="BK210" s="9"/>
      <c r="BL210" s="40"/>
      <c r="BM210" s="9"/>
      <c r="BN210" s="40"/>
      <c r="BO210" s="9"/>
      <c r="BP210" s="40"/>
      <c r="BQ210" s="9"/>
      <c r="BR210" s="9"/>
      <c r="BS210" s="9"/>
      <c r="BT210" s="40"/>
      <c r="BU210" s="40"/>
      <c r="BV210" s="36" t="str">
        <f aca="false">IF(BU210="","",EDATE(BU210,SG_Criteria!$B$54*12))</f>
        <v/>
      </c>
      <c r="BW210" s="33" t="str">
        <f aca="true">IF(A210="","",IF(BU210="","NOTE: not reviewed yet",IF(TODAY()&gt;BV210,"NOTE: review overdue","OK")))</f>
        <v/>
      </c>
      <c r="BX210" s="37" t="str">
        <f aca="false">IF(A210="","",ROUND((IF(LEN(D210)&gt;0,1,0)+IF(LEN(E210)&gt;0,1,0)+IF(LEN(F210)&gt;0,1,0)+IF(LEN(G210)&gt;0,1,0)+IF(LEN(H210)&gt;0,1,0)+IF(LEN(I210)&gt;0,1,0)+IF(LEN(J210)&gt;0,1,0)+IF(LEN(K210)&gt;0,1,0)+IF(LEN(N210)&gt;0,1,0)+IF(LEN(O210)&gt;0,1,0)+IF(LEN(W210)&gt;0,1,0)+IF(LEN(X210)&gt;0,1,0)+IF(LEN(Y210)&gt;0,1,0)+IF(LEN(AG210)&gt;0,1,0)+IF(LEN(AI210)&gt;0,1,0)+IF(LEN(AJ210)&gt;0,1,0)+IF(LEN(AK210)&gt;0,1,0)+IF(LEN(AL210)&gt;0,1,0)+IF(LEN(AU210)&gt;0,1,0)+IF(LEN(BF210)&gt;0,1,0)+IF(LEN(BS210)&gt;0,1,0))/21,2))</f>
        <v/>
      </c>
      <c r="BY210" s="10" t="str">
        <f aca="false">IF(D210="","",IF(AND(AJ210="Approved",ISERROR(SEARCH("FAIL",BC210))),"Y","N"))</f>
        <v/>
      </c>
      <c r="BZ210" s="10" t="str">
        <f aca="false">IF(D210="","",D210&amp;"|"&amp;F210&amp;"|"&amp;G210&amp;"|"&amp;BY210)</f>
        <v/>
      </c>
    </row>
    <row r="211" customFormat="false" ht="15" hidden="false" customHeight="false" outlineLevel="0" collapsed="false">
      <c r="A211" s="10" t="str">
        <f aca="false">IF(D211="","","LKW-"&amp;IFERROR(VLOOKUP(D211,Lists!$AQ$4:$AR$17,2,0),"??")&amp;"-W"&amp;TEXT(F211*1000,"0000")&amp;"-H"&amp;TEXT(G211*1000,"0000")&amp;"-B"&amp;TEXT(H211*1000,"0000")&amp;"-"&amp;AI211)</f>
        <v/>
      </c>
      <c r="B211" s="10" t="str">
        <f aca="false">IF(D211="","",D211&amp;", "&amp;F211&amp;" m wide, "&amp;G211&amp;" m headroom, "&amp;H211&amp;" m bays, "&amp;I211&amp;" ("&amp;E211&amp;")")</f>
        <v/>
      </c>
      <c r="C211" s="9"/>
      <c r="D211" s="9"/>
      <c r="E211" s="9"/>
      <c r="F211" s="42"/>
      <c r="G211" s="42"/>
      <c r="H211" s="42"/>
      <c r="I211" s="9"/>
      <c r="J211" s="9"/>
      <c r="K211" s="9"/>
      <c r="L211" s="9"/>
      <c r="M211" s="9"/>
      <c r="N211" s="9"/>
      <c r="O211" s="9"/>
      <c r="P211" s="9"/>
      <c r="Q211" s="9"/>
      <c r="R211" s="9"/>
      <c r="S211" s="42"/>
      <c r="T211" s="9"/>
      <c r="U211" s="9"/>
      <c r="V211" s="9"/>
      <c r="W211" s="38"/>
      <c r="X211" s="42"/>
      <c r="Y211" s="9"/>
      <c r="Z211" s="9"/>
      <c r="AA211" s="9"/>
      <c r="AB211" s="42"/>
      <c r="AC211" s="9"/>
      <c r="AD211" s="38"/>
      <c r="AE211" s="9"/>
      <c r="AF211" s="39"/>
      <c r="AG211" s="9"/>
      <c r="AH211" s="9"/>
      <c r="AI211" s="9"/>
      <c r="AJ211" s="9"/>
      <c r="AK211" s="9"/>
      <c r="AL211" s="9"/>
      <c r="AM211" s="9"/>
      <c r="AN211" s="10" t="str">
        <f aca="false">IF(A211="","",SG_Criteria!$B$6&amp;SG_Criteria!$B$12&amp;"\"&amp;A211&amp;"\")</f>
        <v/>
      </c>
      <c r="AO211" s="10" t="str">
        <f aca="false">IF(A211="","",A211&amp;"_CAD.dwg")</f>
        <v/>
      </c>
      <c r="AP211" s="10" t="str">
        <f aca="false">IF(A211="","",A211&amp;"_DWG.pdf")</f>
        <v/>
      </c>
      <c r="AQ211" s="10" t="str">
        <f aca="false">IF(A211="","",IF(AM211="Y",A211&amp;"_STAAD.std","n/a"))</f>
        <v/>
      </c>
      <c r="AR211" s="10" t="str">
        <f aca="false">IF(A211="","",A211&amp;"_CALC.xlsx")</f>
        <v/>
      </c>
      <c r="AS211" s="10" t="str">
        <f aca="false">IF(A211="","",A211&amp;"_CALC.pdf")</f>
        <v/>
      </c>
      <c r="AT211" s="9"/>
      <c r="AU211" s="9"/>
      <c r="AV211" s="39"/>
      <c r="AW211" s="39"/>
      <c r="AX211" s="39"/>
      <c r="AY211" s="39"/>
      <c r="AZ211" s="39"/>
      <c r="BA211" s="12" t="str">
        <f aca="false">IF(A211="","",IF(COUNTIF(Rebar_Schedule!$A$5:$A$2004,A211)=0,"",ROUND(SUMIF(Rebar_Schedule!$A$5:$A$2004,A211,Rebar_Schedule!$K$5:$K$2004),1)))</f>
        <v/>
      </c>
      <c r="BB211" s="33" t="str">
        <f aca="false">IF(A211="","",IF(BA211="","No rebar schedule yet",IF(ABS(BA211-N(AW211))/MAX(N(AW211),1)&gt;SG_Criteria!$B$55,"NOTE: register rebar differs from schedule by "&amp;TEXT(ABS(BA211-N(AW211))/MAX(N(AW211),1),"0%"),"OK")))</f>
        <v/>
      </c>
      <c r="BC211" s="33" t="str">
        <f aca="false">IF(D211="","",IF(LEN(IF(AND(D211&lt;&gt;"High Covered Linkway",G211&lt;SG_Criteria!$B$46),"FAIL: headroom below "&amp;SG_Criteria!$B$46&amp;" m. ","")&amp;IF(AND(D211="High Covered Linkway",G211&lt;SG_Criteria!$B$47),"FAIL: high linkway headroom below "&amp;SG_Criteria!$B$47&amp;" m. ","")&amp;IF(F211&lt;SG_Criteria!$B$48,"FAIL: roof width below "&amp;SG_Criteria!$B$48&amp;" m. ",IF(F211&lt;SG_Criteria!$B$49,"NOTE: not for MRT/LRT or high-traffic routes (min "&amp;SG_Criteria!$B$49&amp;" m). ",""))&amp;IF(AND(W211&lt;&gt;"",W211&lt;SG_Criteria!$B$50),"FAIL: wind speed below "&amp;SG_Criteria!$B$50&amp;" m/s. ","")&amp;IF(AND(X211&lt;&gt;"",X211&lt;SG_Criteria!$B$51),"FAIL: roof fixing pull-out below "&amp;SG_Criteria!$B$51&amp;" kN. ","")&amp;IF(AND(Y211&lt;&gt;"",IFERROR(VALUE(MID(Y211,2,2)),0)&lt;SG_Criteria!$B$52),"FAIL: grade below C"&amp;SG_Criteria!$B$52&amp;". ","")&amp;IF(E211="Non-standard (project design)","NOTE: not an SDRE standard, needs LTA acceptance. ",""))=0,"OK",IF(AND(D211&lt;&gt;"High Covered Linkway",G211&lt;SG_Criteria!$B$46),"FAIL: headroom below "&amp;SG_Criteria!$B$46&amp;" m. ","")&amp;IF(AND(D211="High Covered Linkway",G211&lt;SG_Criteria!$B$47),"FAIL: high linkway headroom below "&amp;SG_Criteria!$B$47&amp;" m. ","")&amp;IF(F211&lt;SG_Criteria!$B$48,"FAIL: roof width below "&amp;SG_Criteria!$B$48&amp;" m. ",IF(F211&lt;SG_Criteria!$B$49,"NOTE: not for MRT/LRT or high-traffic routes (min "&amp;SG_Criteria!$B$49&amp;" m). ",""))&amp;IF(AND(W211&lt;&gt;"",W211&lt;SG_Criteria!$B$50),"FAIL: wind speed below "&amp;SG_Criteria!$B$50&amp;" m/s. ","")&amp;IF(AND(X211&lt;&gt;"",X211&lt;SG_Criteria!$B$51),"FAIL: roof fixing pull-out below "&amp;SG_Criteria!$B$51&amp;" kN. ","")&amp;IF(AND(Y211&lt;&gt;"",IFERROR(VALUE(MID(Y211,2,2)),0)&lt;SG_Criteria!$B$52),"FAIL: grade below C"&amp;SG_Criteria!$B$52&amp;". ","")&amp;IF(E211="Non-standard (project design)","NOTE: not an SDRE standard, needs LTA acceptance. ","")))</f>
        <v/>
      </c>
      <c r="BD211" s="9"/>
      <c r="BE211" s="9"/>
      <c r="BF211" s="9"/>
      <c r="BG211" s="10" t="str">
        <f aca="false">IF(BF211="","",IFERROR(VLOOKUP(BF211,Projects!$A$5:$D$504,2,0),"Ref not in Projects"))</f>
        <v/>
      </c>
      <c r="BH211" s="10" t="str">
        <f aca="false">IF(BF211="","",IFERROR(VLOOKUP(BF211,Projects!$A$5:$D$504,4,0),"Ref not in Projects"))</f>
        <v/>
      </c>
      <c r="BI211" s="9"/>
      <c r="BJ211" s="9"/>
      <c r="BK211" s="9"/>
      <c r="BL211" s="40"/>
      <c r="BM211" s="9"/>
      <c r="BN211" s="40"/>
      <c r="BO211" s="9"/>
      <c r="BP211" s="40"/>
      <c r="BQ211" s="9"/>
      <c r="BR211" s="9"/>
      <c r="BS211" s="9"/>
      <c r="BT211" s="40"/>
      <c r="BU211" s="40"/>
      <c r="BV211" s="36" t="str">
        <f aca="false">IF(BU211="","",EDATE(BU211,SG_Criteria!$B$54*12))</f>
        <v/>
      </c>
      <c r="BW211" s="33" t="str">
        <f aca="true">IF(A211="","",IF(BU211="","NOTE: not reviewed yet",IF(TODAY()&gt;BV211,"NOTE: review overdue","OK")))</f>
        <v/>
      </c>
      <c r="BX211" s="37" t="str">
        <f aca="false">IF(A211="","",ROUND((IF(LEN(D211)&gt;0,1,0)+IF(LEN(E211)&gt;0,1,0)+IF(LEN(F211)&gt;0,1,0)+IF(LEN(G211)&gt;0,1,0)+IF(LEN(H211)&gt;0,1,0)+IF(LEN(I211)&gt;0,1,0)+IF(LEN(J211)&gt;0,1,0)+IF(LEN(K211)&gt;0,1,0)+IF(LEN(N211)&gt;0,1,0)+IF(LEN(O211)&gt;0,1,0)+IF(LEN(W211)&gt;0,1,0)+IF(LEN(X211)&gt;0,1,0)+IF(LEN(Y211)&gt;0,1,0)+IF(LEN(AG211)&gt;0,1,0)+IF(LEN(AI211)&gt;0,1,0)+IF(LEN(AJ211)&gt;0,1,0)+IF(LEN(AK211)&gt;0,1,0)+IF(LEN(AL211)&gt;0,1,0)+IF(LEN(AU211)&gt;0,1,0)+IF(LEN(BF211)&gt;0,1,0)+IF(LEN(BS211)&gt;0,1,0))/21,2))</f>
        <v/>
      </c>
      <c r="BY211" s="10" t="str">
        <f aca="false">IF(D211="","",IF(AND(AJ211="Approved",ISERROR(SEARCH("FAIL",BC211))),"Y","N"))</f>
        <v/>
      </c>
      <c r="BZ211" s="10" t="str">
        <f aca="false">IF(D211="","",D211&amp;"|"&amp;F211&amp;"|"&amp;G211&amp;"|"&amp;BY211)</f>
        <v/>
      </c>
    </row>
    <row r="212" customFormat="false" ht="15" hidden="false" customHeight="false" outlineLevel="0" collapsed="false">
      <c r="A212" s="10" t="str">
        <f aca="false">IF(D212="","","LKW-"&amp;IFERROR(VLOOKUP(D212,Lists!$AQ$4:$AR$17,2,0),"??")&amp;"-W"&amp;TEXT(F212*1000,"0000")&amp;"-H"&amp;TEXT(G212*1000,"0000")&amp;"-B"&amp;TEXT(H212*1000,"0000")&amp;"-"&amp;AI212)</f>
        <v/>
      </c>
      <c r="B212" s="10" t="str">
        <f aca="false">IF(D212="","",D212&amp;", "&amp;F212&amp;" m wide, "&amp;G212&amp;" m headroom, "&amp;H212&amp;" m bays, "&amp;I212&amp;" ("&amp;E212&amp;")")</f>
        <v/>
      </c>
      <c r="C212" s="9"/>
      <c r="D212" s="9"/>
      <c r="E212" s="9"/>
      <c r="F212" s="42"/>
      <c r="G212" s="42"/>
      <c r="H212" s="42"/>
      <c r="I212" s="9"/>
      <c r="J212" s="9"/>
      <c r="K212" s="9"/>
      <c r="L212" s="9"/>
      <c r="M212" s="9"/>
      <c r="N212" s="9"/>
      <c r="O212" s="9"/>
      <c r="P212" s="9"/>
      <c r="Q212" s="9"/>
      <c r="R212" s="9"/>
      <c r="S212" s="42"/>
      <c r="T212" s="9"/>
      <c r="U212" s="9"/>
      <c r="V212" s="9"/>
      <c r="W212" s="38"/>
      <c r="X212" s="42"/>
      <c r="Y212" s="9"/>
      <c r="Z212" s="9"/>
      <c r="AA212" s="9"/>
      <c r="AB212" s="42"/>
      <c r="AC212" s="9"/>
      <c r="AD212" s="38"/>
      <c r="AE212" s="9"/>
      <c r="AF212" s="39"/>
      <c r="AG212" s="9"/>
      <c r="AH212" s="9"/>
      <c r="AI212" s="9"/>
      <c r="AJ212" s="9"/>
      <c r="AK212" s="9"/>
      <c r="AL212" s="9"/>
      <c r="AM212" s="9"/>
      <c r="AN212" s="10" t="str">
        <f aca="false">IF(A212="","",SG_Criteria!$B$6&amp;SG_Criteria!$B$12&amp;"\"&amp;A212&amp;"\")</f>
        <v/>
      </c>
      <c r="AO212" s="10" t="str">
        <f aca="false">IF(A212="","",A212&amp;"_CAD.dwg")</f>
        <v/>
      </c>
      <c r="AP212" s="10" t="str">
        <f aca="false">IF(A212="","",A212&amp;"_DWG.pdf")</f>
        <v/>
      </c>
      <c r="AQ212" s="10" t="str">
        <f aca="false">IF(A212="","",IF(AM212="Y",A212&amp;"_STAAD.std","n/a"))</f>
        <v/>
      </c>
      <c r="AR212" s="10" t="str">
        <f aca="false">IF(A212="","",A212&amp;"_CALC.xlsx")</f>
        <v/>
      </c>
      <c r="AS212" s="10" t="str">
        <f aca="false">IF(A212="","",A212&amp;"_CALC.pdf")</f>
        <v/>
      </c>
      <c r="AT212" s="9"/>
      <c r="AU212" s="9"/>
      <c r="AV212" s="39"/>
      <c r="AW212" s="39"/>
      <c r="AX212" s="39"/>
      <c r="AY212" s="39"/>
      <c r="AZ212" s="39"/>
      <c r="BA212" s="12" t="str">
        <f aca="false">IF(A212="","",IF(COUNTIF(Rebar_Schedule!$A$5:$A$2004,A212)=0,"",ROUND(SUMIF(Rebar_Schedule!$A$5:$A$2004,A212,Rebar_Schedule!$K$5:$K$2004),1)))</f>
        <v/>
      </c>
      <c r="BB212" s="33" t="str">
        <f aca="false">IF(A212="","",IF(BA212="","No rebar schedule yet",IF(ABS(BA212-N(AW212))/MAX(N(AW212),1)&gt;SG_Criteria!$B$55,"NOTE: register rebar differs from schedule by "&amp;TEXT(ABS(BA212-N(AW212))/MAX(N(AW212),1),"0%"),"OK")))</f>
        <v/>
      </c>
      <c r="BC212" s="33" t="str">
        <f aca="false">IF(D212="","",IF(LEN(IF(AND(D212&lt;&gt;"High Covered Linkway",G212&lt;SG_Criteria!$B$46),"FAIL: headroom below "&amp;SG_Criteria!$B$46&amp;" m. ","")&amp;IF(AND(D212="High Covered Linkway",G212&lt;SG_Criteria!$B$47),"FAIL: high linkway headroom below "&amp;SG_Criteria!$B$47&amp;" m. ","")&amp;IF(F212&lt;SG_Criteria!$B$48,"FAIL: roof width below "&amp;SG_Criteria!$B$48&amp;" m. ",IF(F212&lt;SG_Criteria!$B$49,"NOTE: not for MRT/LRT or high-traffic routes (min "&amp;SG_Criteria!$B$49&amp;" m). ",""))&amp;IF(AND(W212&lt;&gt;"",W212&lt;SG_Criteria!$B$50),"FAIL: wind speed below "&amp;SG_Criteria!$B$50&amp;" m/s. ","")&amp;IF(AND(X212&lt;&gt;"",X212&lt;SG_Criteria!$B$51),"FAIL: roof fixing pull-out below "&amp;SG_Criteria!$B$51&amp;" kN. ","")&amp;IF(AND(Y212&lt;&gt;"",IFERROR(VALUE(MID(Y212,2,2)),0)&lt;SG_Criteria!$B$52),"FAIL: grade below C"&amp;SG_Criteria!$B$52&amp;". ","")&amp;IF(E212="Non-standard (project design)","NOTE: not an SDRE standard, needs LTA acceptance. ",""))=0,"OK",IF(AND(D212&lt;&gt;"High Covered Linkway",G212&lt;SG_Criteria!$B$46),"FAIL: headroom below "&amp;SG_Criteria!$B$46&amp;" m. ","")&amp;IF(AND(D212="High Covered Linkway",G212&lt;SG_Criteria!$B$47),"FAIL: high linkway headroom below "&amp;SG_Criteria!$B$47&amp;" m. ","")&amp;IF(F212&lt;SG_Criteria!$B$48,"FAIL: roof width below "&amp;SG_Criteria!$B$48&amp;" m. ",IF(F212&lt;SG_Criteria!$B$49,"NOTE: not for MRT/LRT or high-traffic routes (min "&amp;SG_Criteria!$B$49&amp;" m). ",""))&amp;IF(AND(W212&lt;&gt;"",W212&lt;SG_Criteria!$B$50),"FAIL: wind speed below "&amp;SG_Criteria!$B$50&amp;" m/s. ","")&amp;IF(AND(X212&lt;&gt;"",X212&lt;SG_Criteria!$B$51),"FAIL: roof fixing pull-out below "&amp;SG_Criteria!$B$51&amp;" kN. ","")&amp;IF(AND(Y212&lt;&gt;"",IFERROR(VALUE(MID(Y212,2,2)),0)&lt;SG_Criteria!$B$52),"FAIL: grade below C"&amp;SG_Criteria!$B$52&amp;". ","")&amp;IF(E212="Non-standard (project design)","NOTE: not an SDRE standard, needs LTA acceptance. ","")))</f>
        <v/>
      </c>
      <c r="BD212" s="9"/>
      <c r="BE212" s="9"/>
      <c r="BF212" s="9"/>
      <c r="BG212" s="10" t="str">
        <f aca="false">IF(BF212="","",IFERROR(VLOOKUP(BF212,Projects!$A$5:$D$504,2,0),"Ref not in Projects"))</f>
        <v/>
      </c>
      <c r="BH212" s="10" t="str">
        <f aca="false">IF(BF212="","",IFERROR(VLOOKUP(BF212,Projects!$A$5:$D$504,4,0),"Ref not in Projects"))</f>
        <v/>
      </c>
      <c r="BI212" s="9"/>
      <c r="BJ212" s="9"/>
      <c r="BK212" s="9"/>
      <c r="BL212" s="40"/>
      <c r="BM212" s="9"/>
      <c r="BN212" s="40"/>
      <c r="BO212" s="9"/>
      <c r="BP212" s="40"/>
      <c r="BQ212" s="9"/>
      <c r="BR212" s="9"/>
      <c r="BS212" s="9"/>
      <c r="BT212" s="40"/>
      <c r="BU212" s="40"/>
      <c r="BV212" s="36" t="str">
        <f aca="false">IF(BU212="","",EDATE(BU212,SG_Criteria!$B$54*12))</f>
        <v/>
      </c>
      <c r="BW212" s="33" t="str">
        <f aca="true">IF(A212="","",IF(BU212="","NOTE: not reviewed yet",IF(TODAY()&gt;BV212,"NOTE: review overdue","OK")))</f>
        <v/>
      </c>
      <c r="BX212" s="37" t="str">
        <f aca="false">IF(A212="","",ROUND((IF(LEN(D212)&gt;0,1,0)+IF(LEN(E212)&gt;0,1,0)+IF(LEN(F212)&gt;0,1,0)+IF(LEN(G212)&gt;0,1,0)+IF(LEN(H212)&gt;0,1,0)+IF(LEN(I212)&gt;0,1,0)+IF(LEN(J212)&gt;0,1,0)+IF(LEN(K212)&gt;0,1,0)+IF(LEN(N212)&gt;0,1,0)+IF(LEN(O212)&gt;0,1,0)+IF(LEN(W212)&gt;0,1,0)+IF(LEN(X212)&gt;0,1,0)+IF(LEN(Y212)&gt;0,1,0)+IF(LEN(AG212)&gt;0,1,0)+IF(LEN(AI212)&gt;0,1,0)+IF(LEN(AJ212)&gt;0,1,0)+IF(LEN(AK212)&gt;0,1,0)+IF(LEN(AL212)&gt;0,1,0)+IF(LEN(AU212)&gt;0,1,0)+IF(LEN(BF212)&gt;0,1,0)+IF(LEN(BS212)&gt;0,1,0))/21,2))</f>
        <v/>
      </c>
      <c r="BY212" s="10" t="str">
        <f aca="false">IF(D212="","",IF(AND(AJ212="Approved",ISERROR(SEARCH("FAIL",BC212))),"Y","N"))</f>
        <v/>
      </c>
      <c r="BZ212" s="10" t="str">
        <f aca="false">IF(D212="","",D212&amp;"|"&amp;F212&amp;"|"&amp;G212&amp;"|"&amp;BY212)</f>
        <v/>
      </c>
    </row>
    <row r="213" customFormat="false" ht="15" hidden="false" customHeight="false" outlineLevel="0" collapsed="false">
      <c r="A213" s="10" t="str">
        <f aca="false">IF(D213="","","LKW-"&amp;IFERROR(VLOOKUP(D213,Lists!$AQ$4:$AR$17,2,0),"??")&amp;"-W"&amp;TEXT(F213*1000,"0000")&amp;"-H"&amp;TEXT(G213*1000,"0000")&amp;"-B"&amp;TEXT(H213*1000,"0000")&amp;"-"&amp;AI213)</f>
        <v/>
      </c>
      <c r="B213" s="10" t="str">
        <f aca="false">IF(D213="","",D213&amp;", "&amp;F213&amp;" m wide, "&amp;G213&amp;" m headroom, "&amp;H213&amp;" m bays, "&amp;I213&amp;" ("&amp;E213&amp;")")</f>
        <v/>
      </c>
      <c r="C213" s="9"/>
      <c r="D213" s="9"/>
      <c r="E213" s="9"/>
      <c r="F213" s="42"/>
      <c r="G213" s="42"/>
      <c r="H213" s="42"/>
      <c r="I213" s="9"/>
      <c r="J213" s="9"/>
      <c r="K213" s="9"/>
      <c r="L213" s="9"/>
      <c r="M213" s="9"/>
      <c r="N213" s="9"/>
      <c r="O213" s="9"/>
      <c r="P213" s="9"/>
      <c r="Q213" s="9"/>
      <c r="R213" s="9"/>
      <c r="S213" s="42"/>
      <c r="T213" s="9"/>
      <c r="U213" s="9"/>
      <c r="V213" s="9"/>
      <c r="W213" s="38"/>
      <c r="X213" s="42"/>
      <c r="Y213" s="9"/>
      <c r="Z213" s="9"/>
      <c r="AA213" s="9"/>
      <c r="AB213" s="42"/>
      <c r="AC213" s="9"/>
      <c r="AD213" s="38"/>
      <c r="AE213" s="9"/>
      <c r="AF213" s="39"/>
      <c r="AG213" s="9"/>
      <c r="AH213" s="9"/>
      <c r="AI213" s="9"/>
      <c r="AJ213" s="9"/>
      <c r="AK213" s="9"/>
      <c r="AL213" s="9"/>
      <c r="AM213" s="9"/>
      <c r="AN213" s="10" t="str">
        <f aca="false">IF(A213="","",SG_Criteria!$B$6&amp;SG_Criteria!$B$12&amp;"\"&amp;A213&amp;"\")</f>
        <v/>
      </c>
      <c r="AO213" s="10" t="str">
        <f aca="false">IF(A213="","",A213&amp;"_CAD.dwg")</f>
        <v/>
      </c>
      <c r="AP213" s="10" t="str">
        <f aca="false">IF(A213="","",A213&amp;"_DWG.pdf")</f>
        <v/>
      </c>
      <c r="AQ213" s="10" t="str">
        <f aca="false">IF(A213="","",IF(AM213="Y",A213&amp;"_STAAD.std","n/a"))</f>
        <v/>
      </c>
      <c r="AR213" s="10" t="str">
        <f aca="false">IF(A213="","",A213&amp;"_CALC.xlsx")</f>
        <v/>
      </c>
      <c r="AS213" s="10" t="str">
        <f aca="false">IF(A213="","",A213&amp;"_CALC.pdf")</f>
        <v/>
      </c>
      <c r="AT213" s="9"/>
      <c r="AU213" s="9"/>
      <c r="AV213" s="39"/>
      <c r="AW213" s="39"/>
      <c r="AX213" s="39"/>
      <c r="AY213" s="39"/>
      <c r="AZ213" s="39"/>
      <c r="BA213" s="12" t="str">
        <f aca="false">IF(A213="","",IF(COUNTIF(Rebar_Schedule!$A$5:$A$2004,A213)=0,"",ROUND(SUMIF(Rebar_Schedule!$A$5:$A$2004,A213,Rebar_Schedule!$K$5:$K$2004),1)))</f>
        <v/>
      </c>
      <c r="BB213" s="33" t="str">
        <f aca="false">IF(A213="","",IF(BA213="","No rebar schedule yet",IF(ABS(BA213-N(AW213))/MAX(N(AW213),1)&gt;SG_Criteria!$B$55,"NOTE: register rebar differs from schedule by "&amp;TEXT(ABS(BA213-N(AW213))/MAX(N(AW213),1),"0%"),"OK")))</f>
        <v/>
      </c>
      <c r="BC213" s="33" t="str">
        <f aca="false">IF(D213="","",IF(LEN(IF(AND(D213&lt;&gt;"High Covered Linkway",G213&lt;SG_Criteria!$B$46),"FAIL: headroom below "&amp;SG_Criteria!$B$46&amp;" m. ","")&amp;IF(AND(D213="High Covered Linkway",G213&lt;SG_Criteria!$B$47),"FAIL: high linkway headroom below "&amp;SG_Criteria!$B$47&amp;" m. ","")&amp;IF(F213&lt;SG_Criteria!$B$48,"FAIL: roof width below "&amp;SG_Criteria!$B$48&amp;" m. ",IF(F213&lt;SG_Criteria!$B$49,"NOTE: not for MRT/LRT or high-traffic routes (min "&amp;SG_Criteria!$B$49&amp;" m). ",""))&amp;IF(AND(W213&lt;&gt;"",W213&lt;SG_Criteria!$B$50),"FAIL: wind speed below "&amp;SG_Criteria!$B$50&amp;" m/s. ","")&amp;IF(AND(X213&lt;&gt;"",X213&lt;SG_Criteria!$B$51),"FAIL: roof fixing pull-out below "&amp;SG_Criteria!$B$51&amp;" kN. ","")&amp;IF(AND(Y213&lt;&gt;"",IFERROR(VALUE(MID(Y213,2,2)),0)&lt;SG_Criteria!$B$52),"FAIL: grade below C"&amp;SG_Criteria!$B$52&amp;". ","")&amp;IF(E213="Non-standard (project design)","NOTE: not an SDRE standard, needs LTA acceptance. ",""))=0,"OK",IF(AND(D213&lt;&gt;"High Covered Linkway",G213&lt;SG_Criteria!$B$46),"FAIL: headroom below "&amp;SG_Criteria!$B$46&amp;" m. ","")&amp;IF(AND(D213="High Covered Linkway",G213&lt;SG_Criteria!$B$47),"FAIL: high linkway headroom below "&amp;SG_Criteria!$B$47&amp;" m. ","")&amp;IF(F213&lt;SG_Criteria!$B$48,"FAIL: roof width below "&amp;SG_Criteria!$B$48&amp;" m. ",IF(F213&lt;SG_Criteria!$B$49,"NOTE: not for MRT/LRT or high-traffic routes (min "&amp;SG_Criteria!$B$49&amp;" m). ",""))&amp;IF(AND(W213&lt;&gt;"",W213&lt;SG_Criteria!$B$50),"FAIL: wind speed below "&amp;SG_Criteria!$B$50&amp;" m/s. ","")&amp;IF(AND(X213&lt;&gt;"",X213&lt;SG_Criteria!$B$51),"FAIL: roof fixing pull-out below "&amp;SG_Criteria!$B$51&amp;" kN. ","")&amp;IF(AND(Y213&lt;&gt;"",IFERROR(VALUE(MID(Y213,2,2)),0)&lt;SG_Criteria!$B$52),"FAIL: grade below C"&amp;SG_Criteria!$B$52&amp;". ","")&amp;IF(E213="Non-standard (project design)","NOTE: not an SDRE standard, needs LTA acceptance. ","")))</f>
        <v/>
      </c>
      <c r="BD213" s="9"/>
      <c r="BE213" s="9"/>
      <c r="BF213" s="9"/>
      <c r="BG213" s="10" t="str">
        <f aca="false">IF(BF213="","",IFERROR(VLOOKUP(BF213,Projects!$A$5:$D$504,2,0),"Ref not in Projects"))</f>
        <v/>
      </c>
      <c r="BH213" s="10" t="str">
        <f aca="false">IF(BF213="","",IFERROR(VLOOKUP(BF213,Projects!$A$5:$D$504,4,0),"Ref not in Projects"))</f>
        <v/>
      </c>
      <c r="BI213" s="9"/>
      <c r="BJ213" s="9"/>
      <c r="BK213" s="9"/>
      <c r="BL213" s="40"/>
      <c r="BM213" s="9"/>
      <c r="BN213" s="40"/>
      <c r="BO213" s="9"/>
      <c r="BP213" s="40"/>
      <c r="BQ213" s="9"/>
      <c r="BR213" s="9"/>
      <c r="BS213" s="9"/>
      <c r="BT213" s="40"/>
      <c r="BU213" s="40"/>
      <c r="BV213" s="36" t="str">
        <f aca="false">IF(BU213="","",EDATE(BU213,SG_Criteria!$B$54*12))</f>
        <v/>
      </c>
      <c r="BW213" s="33" t="str">
        <f aca="true">IF(A213="","",IF(BU213="","NOTE: not reviewed yet",IF(TODAY()&gt;BV213,"NOTE: review overdue","OK")))</f>
        <v/>
      </c>
      <c r="BX213" s="37" t="str">
        <f aca="false">IF(A213="","",ROUND((IF(LEN(D213)&gt;0,1,0)+IF(LEN(E213)&gt;0,1,0)+IF(LEN(F213)&gt;0,1,0)+IF(LEN(G213)&gt;0,1,0)+IF(LEN(H213)&gt;0,1,0)+IF(LEN(I213)&gt;0,1,0)+IF(LEN(J213)&gt;0,1,0)+IF(LEN(K213)&gt;0,1,0)+IF(LEN(N213)&gt;0,1,0)+IF(LEN(O213)&gt;0,1,0)+IF(LEN(W213)&gt;0,1,0)+IF(LEN(X213)&gt;0,1,0)+IF(LEN(Y213)&gt;0,1,0)+IF(LEN(AG213)&gt;0,1,0)+IF(LEN(AI213)&gt;0,1,0)+IF(LEN(AJ213)&gt;0,1,0)+IF(LEN(AK213)&gt;0,1,0)+IF(LEN(AL213)&gt;0,1,0)+IF(LEN(AU213)&gt;0,1,0)+IF(LEN(BF213)&gt;0,1,0)+IF(LEN(BS213)&gt;0,1,0))/21,2))</f>
        <v/>
      </c>
      <c r="BY213" s="10" t="str">
        <f aca="false">IF(D213="","",IF(AND(AJ213="Approved",ISERROR(SEARCH("FAIL",BC213))),"Y","N"))</f>
        <v/>
      </c>
      <c r="BZ213" s="10" t="str">
        <f aca="false">IF(D213="","",D213&amp;"|"&amp;F213&amp;"|"&amp;G213&amp;"|"&amp;BY213)</f>
        <v/>
      </c>
    </row>
    <row r="214" customFormat="false" ht="15" hidden="false" customHeight="false" outlineLevel="0" collapsed="false">
      <c r="A214" s="10" t="str">
        <f aca="false">IF(D214="","","LKW-"&amp;IFERROR(VLOOKUP(D214,Lists!$AQ$4:$AR$17,2,0),"??")&amp;"-W"&amp;TEXT(F214*1000,"0000")&amp;"-H"&amp;TEXT(G214*1000,"0000")&amp;"-B"&amp;TEXT(H214*1000,"0000")&amp;"-"&amp;AI214)</f>
        <v/>
      </c>
      <c r="B214" s="10" t="str">
        <f aca="false">IF(D214="","",D214&amp;", "&amp;F214&amp;" m wide, "&amp;G214&amp;" m headroom, "&amp;H214&amp;" m bays, "&amp;I214&amp;" ("&amp;E214&amp;")")</f>
        <v/>
      </c>
      <c r="C214" s="9"/>
      <c r="D214" s="9"/>
      <c r="E214" s="9"/>
      <c r="F214" s="42"/>
      <c r="G214" s="42"/>
      <c r="H214" s="42"/>
      <c r="I214" s="9"/>
      <c r="J214" s="9"/>
      <c r="K214" s="9"/>
      <c r="L214" s="9"/>
      <c r="M214" s="9"/>
      <c r="N214" s="9"/>
      <c r="O214" s="9"/>
      <c r="P214" s="9"/>
      <c r="Q214" s="9"/>
      <c r="R214" s="9"/>
      <c r="S214" s="42"/>
      <c r="T214" s="9"/>
      <c r="U214" s="9"/>
      <c r="V214" s="9"/>
      <c r="W214" s="38"/>
      <c r="X214" s="42"/>
      <c r="Y214" s="9"/>
      <c r="Z214" s="9"/>
      <c r="AA214" s="9"/>
      <c r="AB214" s="42"/>
      <c r="AC214" s="9"/>
      <c r="AD214" s="38"/>
      <c r="AE214" s="9"/>
      <c r="AF214" s="39"/>
      <c r="AG214" s="9"/>
      <c r="AH214" s="9"/>
      <c r="AI214" s="9"/>
      <c r="AJ214" s="9"/>
      <c r="AK214" s="9"/>
      <c r="AL214" s="9"/>
      <c r="AM214" s="9"/>
      <c r="AN214" s="10" t="str">
        <f aca="false">IF(A214="","",SG_Criteria!$B$6&amp;SG_Criteria!$B$12&amp;"\"&amp;A214&amp;"\")</f>
        <v/>
      </c>
      <c r="AO214" s="10" t="str">
        <f aca="false">IF(A214="","",A214&amp;"_CAD.dwg")</f>
        <v/>
      </c>
      <c r="AP214" s="10" t="str">
        <f aca="false">IF(A214="","",A214&amp;"_DWG.pdf")</f>
        <v/>
      </c>
      <c r="AQ214" s="10" t="str">
        <f aca="false">IF(A214="","",IF(AM214="Y",A214&amp;"_STAAD.std","n/a"))</f>
        <v/>
      </c>
      <c r="AR214" s="10" t="str">
        <f aca="false">IF(A214="","",A214&amp;"_CALC.xlsx")</f>
        <v/>
      </c>
      <c r="AS214" s="10" t="str">
        <f aca="false">IF(A214="","",A214&amp;"_CALC.pdf")</f>
        <v/>
      </c>
      <c r="AT214" s="9"/>
      <c r="AU214" s="9"/>
      <c r="AV214" s="39"/>
      <c r="AW214" s="39"/>
      <c r="AX214" s="39"/>
      <c r="AY214" s="39"/>
      <c r="AZ214" s="39"/>
      <c r="BA214" s="12" t="str">
        <f aca="false">IF(A214="","",IF(COUNTIF(Rebar_Schedule!$A$5:$A$2004,A214)=0,"",ROUND(SUMIF(Rebar_Schedule!$A$5:$A$2004,A214,Rebar_Schedule!$K$5:$K$2004),1)))</f>
        <v/>
      </c>
      <c r="BB214" s="33" t="str">
        <f aca="false">IF(A214="","",IF(BA214="","No rebar schedule yet",IF(ABS(BA214-N(AW214))/MAX(N(AW214),1)&gt;SG_Criteria!$B$55,"NOTE: register rebar differs from schedule by "&amp;TEXT(ABS(BA214-N(AW214))/MAX(N(AW214),1),"0%"),"OK")))</f>
        <v/>
      </c>
      <c r="BC214" s="33" t="str">
        <f aca="false">IF(D214="","",IF(LEN(IF(AND(D214&lt;&gt;"High Covered Linkway",G214&lt;SG_Criteria!$B$46),"FAIL: headroom below "&amp;SG_Criteria!$B$46&amp;" m. ","")&amp;IF(AND(D214="High Covered Linkway",G214&lt;SG_Criteria!$B$47),"FAIL: high linkway headroom below "&amp;SG_Criteria!$B$47&amp;" m. ","")&amp;IF(F214&lt;SG_Criteria!$B$48,"FAIL: roof width below "&amp;SG_Criteria!$B$48&amp;" m. ",IF(F214&lt;SG_Criteria!$B$49,"NOTE: not for MRT/LRT or high-traffic routes (min "&amp;SG_Criteria!$B$49&amp;" m). ",""))&amp;IF(AND(W214&lt;&gt;"",W214&lt;SG_Criteria!$B$50),"FAIL: wind speed below "&amp;SG_Criteria!$B$50&amp;" m/s. ","")&amp;IF(AND(X214&lt;&gt;"",X214&lt;SG_Criteria!$B$51),"FAIL: roof fixing pull-out below "&amp;SG_Criteria!$B$51&amp;" kN. ","")&amp;IF(AND(Y214&lt;&gt;"",IFERROR(VALUE(MID(Y214,2,2)),0)&lt;SG_Criteria!$B$52),"FAIL: grade below C"&amp;SG_Criteria!$B$52&amp;". ","")&amp;IF(E214="Non-standard (project design)","NOTE: not an SDRE standard, needs LTA acceptance. ",""))=0,"OK",IF(AND(D214&lt;&gt;"High Covered Linkway",G214&lt;SG_Criteria!$B$46),"FAIL: headroom below "&amp;SG_Criteria!$B$46&amp;" m. ","")&amp;IF(AND(D214="High Covered Linkway",G214&lt;SG_Criteria!$B$47),"FAIL: high linkway headroom below "&amp;SG_Criteria!$B$47&amp;" m. ","")&amp;IF(F214&lt;SG_Criteria!$B$48,"FAIL: roof width below "&amp;SG_Criteria!$B$48&amp;" m. ",IF(F214&lt;SG_Criteria!$B$49,"NOTE: not for MRT/LRT or high-traffic routes (min "&amp;SG_Criteria!$B$49&amp;" m). ",""))&amp;IF(AND(W214&lt;&gt;"",W214&lt;SG_Criteria!$B$50),"FAIL: wind speed below "&amp;SG_Criteria!$B$50&amp;" m/s. ","")&amp;IF(AND(X214&lt;&gt;"",X214&lt;SG_Criteria!$B$51),"FAIL: roof fixing pull-out below "&amp;SG_Criteria!$B$51&amp;" kN. ","")&amp;IF(AND(Y214&lt;&gt;"",IFERROR(VALUE(MID(Y214,2,2)),0)&lt;SG_Criteria!$B$52),"FAIL: grade below C"&amp;SG_Criteria!$B$52&amp;". ","")&amp;IF(E214="Non-standard (project design)","NOTE: not an SDRE standard, needs LTA acceptance. ","")))</f>
        <v/>
      </c>
      <c r="BD214" s="9"/>
      <c r="BE214" s="9"/>
      <c r="BF214" s="9"/>
      <c r="BG214" s="10" t="str">
        <f aca="false">IF(BF214="","",IFERROR(VLOOKUP(BF214,Projects!$A$5:$D$504,2,0),"Ref not in Projects"))</f>
        <v/>
      </c>
      <c r="BH214" s="10" t="str">
        <f aca="false">IF(BF214="","",IFERROR(VLOOKUP(BF214,Projects!$A$5:$D$504,4,0),"Ref not in Projects"))</f>
        <v/>
      </c>
      <c r="BI214" s="9"/>
      <c r="BJ214" s="9"/>
      <c r="BK214" s="9"/>
      <c r="BL214" s="40"/>
      <c r="BM214" s="9"/>
      <c r="BN214" s="40"/>
      <c r="BO214" s="9"/>
      <c r="BP214" s="40"/>
      <c r="BQ214" s="9"/>
      <c r="BR214" s="9"/>
      <c r="BS214" s="9"/>
      <c r="BT214" s="40"/>
      <c r="BU214" s="40"/>
      <c r="BV214" s="36" t="str">
        <f aca="false">IF(BU214="","",EDATE(BU214,SG_Criteria!$B$54*12))</f>
        <v/>
      </c>
      <c r="BW214" s="33" t="str">
        <f aca="true">IF(A214="","",IF(BU214="","NOTE: not reviewed yet",IF(TODAY()&gt;BV214,"NOTE: review overdue","OK")))</f>
        <v/>
      </c>
      <c r="BX214" s="37" t="str">
        <f aca="false">IF(A214="","",ROUND((IF(LEN(D214)&gt;0,1,0)+IF(LEN(E214)&gt;0,1,0)+IF(LEN(F214)&gt;0,1,0)+IF(LEN(G214)&gt;0,1,0)+IF(LEN(H214)&gt;0,1,0)+IF(LEN(I214)&gt;0,1,0)+IF(LEN(J214)&gt;0,1,0)+IF(LEN(K214)&gt;0,1,0)+IF(LEN(N214)&gt;0,1,0)+IF(LEN(O214)&gt;0,1,0)+IF(LEN(W214)&gt;0,1,0)+IF(LEN(X214)&gt;0,1,0)+IF(LEN(Y214)&gt;0,1,0)+IF(LEN(AG214)&gt;0,1,0)+IF(LEN(AI214)&gt;0,1,0)+IF(LEN(AJ214)&gt;0,1,0)+IF(LEN(AK214)&gt;0,1,0)+IF(LEN(AL214)&gt;0,1,0)+IF(LEN(AU214)&gt;0,1,0)+IF(LEN(BF214)&gt;0,1,0)+IF(LEN(BS214)&gt;0,1,0))/21,2))</f>
        <v/>
      </c>
      <c r="BY214" s="10" t="str">
        <f aca="false">IF(D214="","",IF(AND(AJ214="Approved",ISERROR(SEARCH("FAIL",BC214))),"Y","N"))</f>
        <v/>
      </c>
      <c r="BZ214" s="10" t="str">
        <f aca="false">IF(D214="","",D214&amp;"|"&amp;F214&amp;"|"&amp;G214&amp;"|"&amp;BY214)</f>
        <v/>
      </c>
    </row>
    <row r="215" customFormat="false" ht="15" hidden="false" customHeight="false" outlineLevel="0" collapsed="false">
      <c r="A215" s="10" t="str">
        <f aca="false">IF(D215="","","LKW-"&amp;IFERROR(VLOOKUP(D215,Lists!$AQ$4:$AR$17,2,0),"??")&amp;"-W"&amp;TEXT(F215*1000,"0000")&amp;"-H"&amp;TEXT(G215*1000,"0000")&amp;"-B"&amp;TEXT(H215*1000,"0000")&amp;"-"&amp;AI215)</f>
        <v/>
      </c>
      <c r="B215" s="10" t="str">
        <f aca="false">IF(D215="","",D215&amp;", "&amp;F215&amp;" m wide, "&amp;G215&amp;" m headroom, "&amp;H215&amp;" m bays, "&amp;I215&amp;" ("&amp;E215&amp;")")</f>
        <v/>
      </c>
      <c r="C215" s="9"/>
      <c r="D215" s="9"/>
      <c r="E215" s="9"/>
      <c r="F215" s="42"/>
      <c r="G215" s="42"/>
      <c r="H215" s="42"/>
      <c r="I215" s="9"/>
      <c r="J215" s="9"/>
      <c r="K215" s="9"/>
      <c r="L215" s="9"/>
      <c r="M215" s="9"/>
      <c r="N215" s="9"/>
      <c r="O215" s="9"/>
      <c r="P215" s="9"/>
      <c r="Q215" s="9"/>
      <c r="R215" s="9"/>
      <c r="S215" s="42"/>
      <c r="T215" s="9"/>
      <c r="U215" s="9"/>
      <c r="V215" s="9"/>
      <c r="W215" s="38"/>
      <c r="X215" s="42"/>
      <c r="Y215" s="9"/>
      <c r="Z215" s="9"/>
      <c r="AA215" s="9"/>
      <c r="AB215" s="42"/>
      <c r="AC215" s="9"/>
      <c r="AD215" s="38"/>
      <c r="AE215" s="9"/>
      <c r="AF215" s="39"/>
      <c r="AG215" s="9"/>
      <c r="AH215" s="9"/>
      <c r="AI215" s="9"/>
      <c r="AJ215" s="9"/>
      <c r="AK215" s="9"/>
      <c r="AL215" s="9"/>
      <c r="AM215" s="9"/>
      <c r="AN215" s="10" t="str">
        <f aca="false">IF(A215="","",SG_Criteria!$B$6&amp;SG_Criteria!$B$12&amp;"\"&amp;A215&amp;"\")</f>
        <v/>
      </c>
      <c r="AO215" s="10" t="str">
        <f aca="false">IF(A215="","",A215&amp;"_CAD.dwg")</f>
        <v/>
      </c>
      <c r="AP215" s="10" t="str">
        <f aca="false">IF(A215="","",A215&amp;"_DWG.pdf")</f>
        <v/>
      </c>
      <c r="AQ215" s="10" t="str">
        <f aca="false">IF(A215="","",IF(AM215="Y",A215&amp;"_STAAD.std","n/a"))</f>
        <v/>
      </c>
      <c r="AR215" s="10" t="str">
        <f aca="false">IF(A215="","",A215&amp;"_CALC.xlsx")</f>
        <v/>
      </c>
      <c r="AS215" s="10" t="str">
        <f aca="false">IF(A215="","",A215&amp;"_CALC.pdf")</f>
        <v/>
      </c>
      <c r="AT215" s="9"/>
      <c r="AU215" s="9"/>
      <c r="AV215" s="39"/>
      <c r="AW215" s="39"/>
      <c r="AX215" s="39"/>
      <c r="AY215" s="39"/>
      <c r="AZ215" s="39"/>
      <c r="BA215" s="12" t="str">
        <f aca="false">IF(A215="","",IF(COUNTIF(Rebar_Schedule!$A$5:$A$2004,A215)=0,"",ROUND(SUMIF(Rebar_Schedule!$A$5:$A$2004,A215,Rebar_Schedule!$K$5:$K$2004),1)))</f>
        <v/>
      </c>
      <c r="BB215" s="33" t="str">
        <f aca="false">IF(A215="","",IF(BA215="","No rebar schedule yet",IF(ABS(BA215-N(AW215))/MAX(N(AW215),1)&gt;SG_Criteria!$B$55,"NOTE: register rebar differs from schedule by "&amp;TEXT(ABS(BA215-N(AW215))/MAX(N(AW215),1),"0%"),"OK")))</f>
        <v/>
      </c>
      <c r="BC215" s="33" t="str">
        <f aca="false">IF(D215="","",IF(LEN(IF(AND(D215&lt;&gt;"High Covered Linkway",G215&lt;SG_Criteria!$B$46),"FAIL: headroom below "&amp;SG_Criteria!$B$46&amp;" m. ","")&amp;IF(AND(D215="High Covered Linkway",G215&lt;SG_Criteria!$B$47),"FAIL: high linkway headroom below "&amp;SG_Criteria!$B$47&amp;" m. ","")&amp;IF(F215&lt;SG_Criteria!$B$48,"FAIL: roof width below "&amp;SG_Criteria!$B$48&amp;" m. ",IF(F215&lt;SG_Criteria!$B$49,"NOTE: not for MRT/LRT or high-traffic routes (min "&amp;SG_Criteria!$B$49&amp;" m). ",""))&amp;IF(AND(W215&lt;&gt;"",W215&lt;SG_Criteria!$B$50),"FAIL: wind speed below "&amp;SG_Criteria!$B$50&amp;" m/s. ","")&amp;IF(AND(X215&lt;&gt;"",X215&lt;SG_Criteria!$B$51),"FAIL: roof fixing pull-out below "&amp;SG_Criteria!$B$51&amp;" kN. ","")&amp;IF(AND(Y215&lt;&gt;"",IFERROR(VALUE(MID(Y215,2,2)),0)&lt;SG_Criteria!$B$52),"FAIL: grade below C"&amp;SG_Criteria!$B$52&amp;". ","")&amp;IF(E215="Non-standard (project design)","NOTE: not an SDRE standard, needs LTA acceptance. ",""))=0,"OK",IF(AND(D215&lt;&gt;"High Covered Linkway",G215&lt;SG_Criteria!$B$46),"FAIL: headroom below "&amp;SG_Criteria!$B$46&amp;" m. ","")&amp;IF(AND(D215="High Covered Linkway",G215&lt;SG_Criteria!$B$47),"FAIL: high linkway headroom below "&amp;SG_Criteria!$B$47&amp;" m. ","")&amp;IF(F215&lt;SG_Criteria!$B$48,"FAIL: roof width below "&amp;SG_Criteria!$B$48&amp;" m. ",IF(F215&lt;SG_Criteria!$B$49,"NOTE: not for MRT/LRT or high-traffic routes (min "&amp;SG_Criteria!$B$49&amp;" m). ",""))&amp;IF(AND(W215&lt;&gt;"",W215&lt;SG_Criteria!$B$50),"FAIL: wind speed below "&amp;SG_Criteria!$B$50&amp;" m/s. ","")&amp;IF(AND(X215&lt;&gt;"",X215&lt;SG_Criteria!$B$51),"FAIL: roof fixing pull-out below "&amp;SG_Criteria!$B$51&amp;" kN. ","")&amp;IF(AND(Y215&lt;&gt;"",IFERROR(VALUE(MID(Y215,2,2)),0)&lt;SG_Criteria!$B$52),"FAIL: grade below C"&amp;SG_Criteria!$B$52&amp;". ","")&amp;IF(E215="Non-standard (project design)","NOTE: not an SDRE standard, needs LTA acceptance. ","")))</f>
        <v/>
      </c>
      <c r="BD215" s="9"/>
      <c r="BE215" s="9"/>
      <c r="BF215" s="9"/>
      <c r="BG215" s="10" t="str">
        <f aca="false">IF(BF215="","",IFERROR(VLOOKUP(BF215,Projects!$A$5:$D$504,2,0),"Ref not in Projects"))</f>
        <v/>
      </c>
      <c r="BH215" s="10" t="str">
        <f aca="false">IF(BF215="","",IFERROR(VLOOKUP(BF215,Projects!$A$5:$D$504,4,0),"Ref not in Projects"))</f>
        <v/>
      </c>
      <c r="BI215" s="9"/>
      <c r="BJ215" s="9"/>
      <c r="BK215" s="9"/>
      <c r="BL215" s="40"/>
      <c r="BM215" s="9"/>
      <c r="BN215" s="40"/>
      <c r="BO215" s="9"/>
      <c r="BP215" s="40"/>
      <c r="BQ215" s="9"/>
      <c r="BR215" s="9"/>
      <c r="BS215" s="9"/>
      <c r="BT215" s="40"/>
      <c r="BU215" s="40"/>
      <c r="BV215" s="36" t="str">
        <f aca="false">IF(BU215="","",EDATE(BU215,SG_Criteria!$B$54*12))</f>
        <v/>
      </c>
      <c r="BW215" s="33" t="str">
        <f aca="true">IF(A215="","",IF(BU215="","NOTE: not reviewed yet",IF(TODAY()&gt;BV215,"NOTE: review overdue","OK")))</f>
        <v/>
      </c>
      <c r="BX215" s="37" t="str">
        <f aca="false">IF(A215="","",ROUND((IF(LEN(D215)&gt;0,1,0)+IF(LEN(E215)&gt;0,1,0)+IF(LEN(F215)&gt;0,1,0)+IF(LEN(G215)&gt;0,1,0)+IF(LEN(H215)&gt;0,1,0)+IF(LEN(I215)&gt;0,1,0)+IF(LEN(J215)&gt;0,1,0)+IF(LEN(K215)&gt;0,1,0)+IF(LEN(N215)&gt;0,1,0)+IF(LEN(O215)&gt;0,1,0)+IF(LEN(W215)&gt;0,1,0)+IF(LEN(X215)&gt;0,1,0)+IF(LEN(Y215)&gt;0,1,0)+IF(LEN(AG215)&gt;0,1,0)+IF(LEN(AI215)&gt;0,1,0)+IF(LEN(AJ215)&gt;0,1,0)+IF(LEN(AK215)&gt;0,1,0)+IF(LEN(AL215)&gt;0,1,0)+IF(LEN(AU215)&gt;0,1,0)+IF(LEN(BF215)&gt;0,1,0)+IF(LEN(BS215)&gt;0,1,0))/21,2))</f>
        <v/>
      </c>
      <c r="BY215" s="10" t="str">
        <f aca="false">IF(D215="","",IF(AND(AJ215="Approved",ISERROR(SEARCH("FAIL",BC215))),"Y","N"))</f>
        <v/>
      </c>
      <c r="BZ215" s="10" t="str">
        <f aca="false">IF(D215="","",D215&amp;"|"&amp;F215&amp;"|"&amp;G215&amp;"|"&amp;BY215)</f>
        <v/>
      </c>
    </row>
    <row r="216" customFormat="false" ht="15" hidden="false" customHeight="false" outlineLevel="0" collapsed="false">
      <c r="A216" s="10" t="str">
        <f aca="false">IF(D216="","","LKW-"&amp;IFERROR(VLOOKUP(D216,Lists!$AQ$4:$AR$17,2,0),"??")&amp;"-W"&amp;TEXT(F216*1000,"0000")&amp;"-H"&amp;TEXT(G216*1000,"0000")&amp;"-B"&amp;TEXT(H216*1000,"0000")&amp;"-"&amp;AI216)</f>
        <v/>
      </c>
      <c r="B216" s="10" t="str">
        <f aca="false">IF(D216="","",D216&amp;", "&amp;F216&amp;" m wide, "&amp;G216&amp;" m headroom, "&amp;H216&amp;" m bays, "&amp;I216&amp;" ("&amp;E216&amp;")")</f>
        <v/>
      </c>
      <c r="C216" s="9"/>
      <c r="D216" s="9"/>
      <c r="E216" s="9"/>
      <c r="F216" s="42"/>
      <c r="G216" s="42"/>
      <c r="H216" s="42"/>
      <c r="I216" s="9"/>
      <c r="J216" s="9"/>
      <c r="K216" s="9"/>
      <c r="L216" s="9"/>
      <c r="M216" s="9"/>
      <c r="N216" s="9"/>
      <c r="O216" s="9"/>
      <c r="P216" s="9"/>
      <c r="Q216" s="9"/>
      <c r="R216" s="9"/>
      <c r="S216" s="42"/>
      <c r="T216" s="9"/>
      <c r="U216" s="9"/>
      <c r="V216" s="9"/>
      <c r="W216" s="38"/>
      <c r="X216" s="42"/>
      <c r="Y216" s="9"/>
      <c r="Z216" s="9"/>
      <c r="AA216" s="9"/>
      <c r="AB216" s="42"/>
      <c r="AC216" s="9"/>
      <c r="AD216" s="38"/>
      <c r="AE216" s="9"/>
      <c r="AF216" s="39"/>
      <c r="AG216" s="9"/>
      <c r="AH216" s="9"/>
      <c r="AI216" s="9"/>
      <c r="AJ216" s="9"/>
      <c r="AK216" s="9"/>
      <c r="AL216" s="9"/>
      <c r="AM216" s="9"/>
      <c r="AN216" s="10" t="str">
        <f aca="false">IF(A216="","",SG_Criteria!$B$6&amp;SG_Criteria!$B$12&amp;"\"&amp;A216&amp;"\")</f>
        <v/>
      </c>
      <c r="AO216" s="10" t="str">
        <f aca="false">IF(A216="","",A216&amp;"_CAD.dwg")</f>
        <v/>
      </c>
      <c r="AP216" s="10" t="str">
        <f aca="false">IF(A216="","",A216&amp;"_DWG.pdf")</f>
        <v/>
      </c>
      <c r="AQ216" s="10" t="str">
        <f aca="false">IF(A216="","",IF(AM216="Y",A216&amp;"_STAAD.std","n/a"))</f>
        <v/>
      </c>
      <c r="AR216" s="10" t="str">
        <f aca="false">IF(A216="","",A216&amp;"_CALC.xlsx")</f>
        <v/>
      </c>
      <c r="AS216" s="10" t="str">
        <f aca="false">IF(A216="","",A216&amp;"_CALC.pdf")</f>
        <v/>
      </c>
      <c r="AT216" s="9"/>
      <c r="AU216" s="9"/>
      <c r="AV216" s="39"/>
      <c r="AW216" s="39"/>
      <c r="AX216" s="39"/>
      <c r="AY216" s="39"/>
      <c r="AZ216" s="39"/>
      <c r="BA216" s="12" t="str">
        <f aca="false">IF(A216="","",IF(COUNTIF(Rebar_Schedule!$A$5:$A$2004,A216)=0,"",ROUND(SUMIF(Rebar_Schedule!$A$5:$A$2004,A216,Rebar_Schedule!$K$5:$K$2004),1)))</f>
        <v/>
      </c>
      <c r="BB216" s="33" t="str">
        <f aca="false">IF(A216="","",IF(BA216="","No rebar schedule yet",IF(ABS(BA216-N(AW216))/MAX(N(AW216),1)&gt;SG_Criteria!$B$55,"NOTE: register rebar differs from schedule by "&amp;TEXT(ABS(BA216-N(AW216))/MAX(N(AW216),1),"0%"),"OK")))</f>
        <v/>
      </c>
      <c r="BC216" s="33" t="str">
        <f aca="false">IF(D216="","",IF(LEN(IF(AND(D216&lt;&gt;"High Covered Linkway",G216&lt;SG_Criteria!$B$46),"FAIL: headroom below "&amp;SG_Criteria!$B$46&amp;" m. ","")&amp;IF(AND(D216="High Covered Linkway",G216&lt;SG_Criteria!$B$47),"FAIL: high linkway headroom below "&amp;SG_Criteria!$B$47&amp;" m. ","")&amp;IF(F216&lt;SG_Criteria!$B$48,"FAIL: roof width below "&amp;SG_Criteria!$B$48&amp;" m. ",IF(F216&lt;SG_Criteria!$B$49,"NOTE: not for MRT/LRT or high-traffic routes (min "&amp;SG_Criteria!$B$49&amp;" m). ",""))&amp;IF(AND(W216&lt;&gt;"",W216&lt;SG_Criteria!$B$50),"FAIL: wind speed below "&amp;SG_Criteria!$B$50&amp;" m/s. ","")&amp;IF(AND(X216&lt;&gt;"",X216&lt;SG_Criteria!$B$51),"FAIL: roof fixing pull-out below "&amp;SG_Criteria!$B$51&amp;" kN. ","")&amp;IF(AND(Y216&lt;&gt;"",IFERROR(VALUE(MID(Y216,2,2)),0)&lt;SG_Criteria!$B$52),"FAIL: grade below C"&amp;SG_Criteria!$B$52&amp;". ","")&amp;IF(E216="Non-standard (project design)","NOTE: not an SDRE standard, needs LTA acceptance. ",""))=0,"OK",IF(AND(D216&lt;&gt;"High Covered Linkway",G216&lt;SG_Criteria!$B$46),"FAIL: headroom below "&amp;SG_Criteria!$B$46&amp;" m. ","")&amp;IF(AND(D216="High Covered Linkway",G216&lt;SG_Criteria!$B$47),"FAIL: high linkway headroom below "&amp;SG_Criteria!$B$47&amp;" m. ","")&amp;IF(F216&lt;SG_Criteria!$B$48,"FAIL: roof width below "&amp;SG_Criteria!$B$48&amp;" m. ",IF(F216&lt;SG_Criteria!$B$49,"NOTE: not for MRT/LRT or high-traffic routes (min "&amp;SG_Criteria!$B$49&amp;" m). ",""))&amp;IF(AND(W216&lt;&gt;"",W216&lt;SG_Criteria!$B$50),"FAIL: wind speed below "&amp;SG_Criteria!$B$50&amp;" m/s. ","")&amp;IF(AND(X216&lt;&gt;"",X216&lt;SG_Criteria!$B$51),"FAIL: roof fixing pull-out below "&amp;SG_Criteria!$B$51&amp;" kN. ","")&amp;IF(AND(Y216&lt;&gt;"",IFERROR(VALUE(MID(Y216,2,2)),0)&lt;SG_Criteria!$B$52),"FAIL: grade below C"&amp;SG_Criteria!$B$52&amp;". ","")&amp;IF(E216="Non-standard (project design)","NOTE: not an SDRE standard, needs LTA acceptance. ","")))</f>
        <v/>
      </c>
      <c r="BD216" s="9"/>
      <c r="BE216" s="9"/>
      <c r="BF216" s="9"/>
      <c r="BG216" s="10" t="str">
        <f aca="false">IF(BF216="","",IFERROR(VLOOKUP(BF216,Projects!$A$5:$D$504,2,0),"Ref not in Projects"))</f>
        <v/>
      </c>
      <c r="BH216" s="10" t="str">
        <f aca="false">IF(BF216="","",IFERROR(VLOOKUP(BF216,Projects!$A$5:$D$504,4,0),"Ref not in Projects"))</f>
        <v/>
      </c>
      <c r="BI216" s="9"/>
      <c r="BJ216" s="9"/>
      <c r="BK216" s="9"/>
      <c r="BL216" s="40"/>
      <c r="BM216" s="9"/>
      <c r="BN216" s="40"/>
      <c r="BO216" s="9"/>
      <c r="BP216" s="40"/>
      <c r="BQ216" s="9"/>
      <c r="BR216" s="9"/>
      <c r="BS216" s="9"/>
      <c r="BT216" s="40"/>
      <c r="BU216" s="40"/>
      <c r="BV216" s="36" t="str">
        <f aca="false">IF(BU216="","",EDATE(BU216,SG_Criteria!$B$54*12))</f>
        <v/>
      </c>
      <c r="BW216" s="33" t="str">
        <f aca="true">IF(A216="","",IF(BU216="","NOTE: not reviewed yet",IF(TODAY()&gt;BV216,"NOTE: review overdue","OK")))</f>
        <v/>
      </c>
      <c r="BX216" s="37" t="str">
        <f aca="false">IF(A216="","",ROUND((IF(LEN(D216)&gt;0,1,0)+IF(LEN(E216)&gt;0,1,0)+IF(LEN(F216)&gt;0,1,0)+IF(LEN(G216)&gt;0,1,0)+IF(LEN(H216)&gt;0,1,0)+IF(LEN(I216)&gt;0,1,0)+IF(LEN(J216)&gt;0,1,0)+IF(LEN(K216)&gt;0,1,0)+IF(LEN(N216)&gt;0,1,0)+IF(LEN(O216)&gt;0,1,0)+IF(LEN(W216)&gt;0,1,0)+IF(LEN(X216)&gt;0,1,0)+IF(LEN(Y216)&gt;0,1,0)+IF(LEN(AG216)&gt;0,1,0)+IF(LEN(AI216)&gt;0,1,0)+IF(LEN(AJ216)&gt;0,1,0)+IF(LEN(AK216)&gt;0,1,0)+IF(LEN(AL216)&gt;0,1,0)+IF(LEN(AU216)&gt;0,1,0)+IF(LEN(BF216)&gt;0,1,0)+IF(LEN(BS216)&gt;0,1,0))/21,2))</f>
        <v/>
      </c>
      <c r="BY216" s="10" t="str">
        <f aca="false">IF(D216="","",IF(AND(AJ216="Approved",ISERROR(SEARCH("FAIL",BC216))),"Y","N"))</f>
        <v/>
      </c>
      <c r="BZ216" s="10" t="str">
        <f aca="false">IF(D216="","",D216&amp;"|"&amp;F216&amp;"|"&amp;G216&amp;"|"&amp;BY216)</f>
        <v/>
      </c>
    </row>
    <row r="217" customFormat="false" ht="15" hidden="false" customHeight="false" outlineLevel="0" collapsed="false">
      <c r="A217" s="10" t="str">
        <f aca="false">IF(D217="","","LKW-"&amp;IFERROR(VLOOKUP(D217,Lists!$AQ$4:$AR$17,2,0),"??")&amp;"-W"&amp;TEXT(F217*1000,"0000")&amp;"-H"&amp;TEXT(G217*1000,"0000")&amp;"-B"&amp;TEXT(H217*1000,"0000")&amp;"-"&amp;AI217)</f>
        <v/>
      </c>
      <c r="B217" s="10" t="str">
        <f aca="false">IF(D217="","",D217&amp;", "&amp;F217&amp;" m wide, "&amp;G217&amp;" m headroom, "&amp;H217&amp;" m bays, "&amp;I217&amp;" ("&amp;E217&amp;")")</f>
        <v/>
      </c>
      <c r="C217" s="9"/>
      <c r="D217" s="9"/>
      <c r="E217" s="9"/>
      <c r="F217" s="42"/>
      <c r="G217" s="42"/>
      <c r="H217" s="42"/>
      <c r="I217" s="9"/>
      <c r="J217" s="9"/>
      <c r="K217" s="9"/>
      <c r="L217" s="9"/>
      <c r="M217" s="9"/>
      <c r="N217" s="9"/>
      <c r="O217" s="9"/>
      <c r="P217" s="9"/>
      <c r="Q217" s="9"/>
      <c r="R217" s="9"/>
      <c r="S217" s="42"/>
      <c r="T217" s="9"/>
      <c r="U217" s="9"/>
      <c r="V217" s="9"/>
      <c r="W217" s="38"/>
      <c r="X217" s="42"/>
      <c r="Y217" s="9"/>
      <c r="Z217" s="9"/>
      <c r="AA217" s="9"/>
      <c r="AB217" s="42"/>
      <c r="AC217" s="9"/>
      <c r="AD217" s="38"/>
      <c r="AE217" s="9"/>
      <c r="AF217" s="39"/>
      <c r="AG217" s="9"/>
      <c r="AH217" s="9"/>
      <c r="AI217" s="9"/>
      <c r="AJ217" s="9"/>
      <c r="AK217" s="9"/>
      <c r="AL217" s="9"/>
      <c r="AM217" s="9"/>
      <c r="AN217" s="10" t="str">
        <f aca="false">IF(A217="","",SG_Criteria!$B$6&amp;SG_Criteria!$B$12&amp;"\"&amp;A217&amp;"\")</f>
        <v/>
      </c>
      <c r="AO217" s="10" t="str">
        <f aca="false">IF(A217="","",A217&amp;"_CAD.dwg")</f>
        <v/>
      </c>
      <c r="AP217" s="10" t="str">
        <f aca="false">IF(A217="","",A217&amp;"_DWG.pdf")</f>
        <v/>
      </c>
      <c r="AQ217" s="10" t="str">
        <f aca="false">IF(A217="","",IF(AM217="Y",A217&amp;"_STAAD.std","n/a"))</f>
        <v/>
      </c>
      <c r="AR217" s="10" t="str">
        <f aca="false">IF(A217="","",A217&amp;"_CALC.xlsx")</f>
        <v/>
      </c>
      <c r="AS217" s="10" t="str">
        <f aca="false">IF(A217="","",A217&amp;"_CALC.pdf")</f>
        <v/>
      </c>
      <c r="AT217" s="9"/>
      <c r="AU217" s="9"/>
      <c r="AV217" s="39"/>
      <c r="AW217" s="39"/>
      <c r="AX217" s="39"/>
      <c r="AY217" s="39"/>
      <c r="AZ217" s="39"/>
      <c r="BA217" s="12" t="str">
        <f aca="false">IF(A217="","",IF(COUNTIF(Rebar_Schedule!$A$5:$A$2004,A217)=0,"",ROUND(SUMIF(Rebar_Schedule!$A$5:$A$2004,A217,Rebar_Schedule!$K$5:$K$2004),1)))</f>
        <v/>
      </c>
      <c r="BB217" s="33" t="str">
        <f aca="false">IF(A217="","",IF(BA217="","No rebar schedule yet",IF(ABS(BA217-N(AW217))/MAX(N(AW217),1)&gt;SG_Criteria!$B$55,"NOTE: register rebar differs from schedule by "&amp;TEXT(ABS(BA217-N(AW217))/MAX(N(AW217),1),"0%"),"OK")))</f>
        <v/>
      </c>
      <c r="BC217" s="33" t="str">
        <f aca="false">IF(D217="","",IF(LEN(IF(AND(D217&lt;&gt;"High Covered Linkway",G217&lt;SG_Criteria!$B$46),"FAIL: headroom below "&amp;SG_Criteria!$B$46&amp;" m. ","")&amp;IF(AND(D217="High Covered Linkway",G217&lt;SG_Criteria!$B$47),"FAIL: high linkway headroom below "&amp;SG_Criteria!$B$47&amp;" m. ","")&amp;IF(F217&lt;SG_Criteria!$B$48,"FAIL: roof width below "&amp;SG_Criteria!$B$48&amp;" m. ",IF(F217&lt;SG_Criteria!$B$49,"NOTE: not for MRT/LRT or high-traffic routes (min "&amp;SG_Criteria!$B$49&amp;" m). ",""))&amp;IF(AND(W217&lt;&gt;"",W217&lt;SG_Criteria!$B$50),"FAIL: wind speed below "&amp;SG_Criteria!$B$50&amp;" m/s. ","")&amp;IF(AND(X217&lt;&gt;"",X217&lt;SG_Criteria!$B$51),"FAIL: roof fixing pull-out below "&amp;SG_Criteria!$B$51&amp;" kN. ","")&amp;IF(AND(Y217&lt;&gt;"",IFERROR(VALUE(MID(Y217,2,2)),0)&lt;SG_Criteria!$B$52),"FAIL: grade below C"&amp;SG_Criteria!$B$52&amp;". ","")&amp;IF(E217="Non-standard (project design)","NOTE: not an SDRE standard, needs LTA acceptance. ",""))=0,"OK",IF(AND(D217&lt;&gt;"High Covered Linkway",G217&lt;SG_Criteria!$B$46),"FAIL: headroom below "&amp;SG_Criteria!$B$46&amp;" m. ","")&amp;IF(AND(D217="High Covered Linkway",G217&lt;SG_Criteria!$B$47),"FAIL: high linkway headroom below "&amp;SG_Criteria!$B$47&amp;" m. ","")&amp;IF(F217&lt;SG_Criteria!$B$48,"FAIL: roof width below "&amp;SG_Criteria!$B$48&amp;" m. ",IF(F217&lt;SG_Criteria!$B$49,"NOTE: not for MRT/LRT or high-traffic routes (min "&amp;SG_Criteria!$B$49&amp;" m). ",""))&amp;IF(AND(W217&lt;&gt;"",W217&lt;SG_Criteria!$B$50),"FAIL: wind speed below "&amp;SG_Criteria!$B$50&amp;" m/s. ","")&amp;IF(AND(X217&lt;&gt;"",X217&lt;SG_Criteria!$B$51),"FAIL: roof fixing pull-out below "&amp;SG_Criteria!$B$51&amp;" kN. ","")&amp;IF(AND(Y217&lt;&gt;"",IFERROR(VALUE(MID(Y217,2,2)),0)&lt;SG_Criteria!$B$52),"FAIL: grade below C"&amp;SG_Criteria!$B$52&amp;". ","")&amp;IF(E217="Non-standard (project design)","NOTE: not an SDRE standard, needs LTA acceptance. ","")))</f>
        <v/>
      </c>
      <c r="BD217" s="9"/>
      <c r="BE217" s="9"/>
      <c r="BF217" s="9"/>
      <c r="BG217" s="10" t="str">
        <f aca="false">IF(BF217="","",IFERROR(VLOOKUP(BF217,Projects!$A$5:$D$504,2,0),"Ref not in Projects"))</f>
        <v/>
      </c>
      <c r="BH217" s="10" t="str">
        <f aca="false">IF(BF217="","",IFERROR(VLOOKUP(BF217,Projects!$A$5:$D$504,4,0),"Ref not in Projects"))</f>
        <v/>
      </c>
      <c r="BI217" s="9"/>
      <c r="BJ217" s="9"/>
      <c r="BK217" s="9"/>
      <c r="BL217" s="40"/>
      <c r="BM217" s="9"/>
      <c r="BN217" s="40"/>
      <c r="BO217" s="9"/>
      <c r="BP217" s="40"/>
      <c r="BQ217" s="9"/>
      <c r="BR217" s="9"/>
      <c r="BS217" s="9"/>
      <c r="BT217" s="40"/>
      <c r="BU217" s="40"/>
      <c r="BV217" s="36" t="str">
        <f aca="false">IF(BU217="","",EDATE(BU217,SG_Criteria!$B$54*12))</f>
        <v/>
      </c>
      <c r="BW217" s="33" t="str">
        <f aca="true">IF(A217="","",IF(BU217="","NOTE: not reviewed yet",IF(TODAY()&gt;BV217,"NOTE: review overdue","OK")))</f>
        <v/>
      </c>
      <c r="BX217" s="37" t="str">
        <f aca="false">IF(A217="","",ROUND((IF(LEN(D217)&gt;0,1,0)+IF(LEN(E217)&gt;0,1,0)+IF(LEN(F217)&gt;0,1,0)+IF(LEN(G217)&gt;0,1,0)+IF(LEN(H217)&gt;0,1,0)+IF(LEN(I217)&gt;0,1,0)+IF(LEN(J217)&gt;0,1,0)+IF(LEN(K217)&gt;0,1,0)+IF(LEN(N217)&gt;0,1,0)+IF(LEN(O217)&gt;0,1,0)+IF(LEN(W217)&gt;0,1,0)+IF(LEN(X217)&gt;0,1,0)+IF(LEN(Y217)&gt;0,1,0)+IF(LEN(AG217)&gt;0,1,0)+IF(LEN(AI217)&gt;0,1,0)+IF(LEN(AJ217)&gt;0,1,0)+IF(LEN(AK217)&gt;0,1,0)+IF(LEN(AL217)&gt;0,1,0)+IF(LEN(AU217)&gt;0,1,0)+IF(LEN(BF217)&gt;0,1,0)+IF(LEN(BS217)&gt;0,1,0))/21,2))</f>
        <v/>
      </c>
      <c r="BY217" s="10" t="str">
        <f aca="false">IF(D217="","",IF(AND(AJ217="Approved",ISERROR(SEARCH("FAIL",BC217))),"Y","N"))</f>
        <v/>
      </c>
      <c r="BZ217" s="10" t="str">
        <f aca="false">IF(D217="","",D217&amp;"|"&amp;F217&amp;"|"&amp;G217&amp;"|"&amp;BY217)</f>
        <v/>
      </c>
    </row>
    <row r="218" customFormat="false" ht="15" hidden="false" customHeight="false" outlineLevel="0" collapsed="false">
      <c r="A218" s="10" t="str">
        <f aca="false">IF(D218="","","LKW-"&amp;IFERROR(VLOOKUP(D218,Lists!$AQ$4:$AR$17,2,0),"??")&amp;"-W"&amp;TEXT(F218*1000,"0000")&amp;"-H"&amp;TEXT(G218*1000,"0000")&amp;"-B"&amp;TEXT(H218*1000,"0000")&amp;"-"&amp;AI218)</f>
        <v/>
      </c>
      <c r="B218" s="10" t="str">
        <f aca="false">IF(D218="","",D218&amp;", "&amp;F218&amp;" m wide, "&amp;G218&amp;" m headroom, "&amp;H218&amp;" m bays, "&amp;I218&amp;" ("&amp;E218&amp;")")</f>
        <v/>
      </c>
      <c r="C218" s="9"/>
      <c r="D218" s="9"/>
      <c r="E218" s="9"/>
      <c r="F218" s="42"/>
      <c r="G218" s="42"/>
      <c r="H218" s="42"/>
      <c r="I218" s="9"/>
      <c r="J218" s="9"/>
      <c r="K218" s="9"/>
      <c r="L218" s="9"/>
      <c r="M218" s="9"/>
      <c r="N218" s="9"/>
      <c r="O218" s="9"/>
      <c r="P218" s="9"/>
      <c r="Q218" s="9"/>
      <c r="R218" s="9"/>
      <c r="S218" s="42"/>
      <c r="T218" s="9"/>
      <c r="U218" s="9"/>
      <c r="V218" s="9"/>
      <c r="W218" s="38"/>
      <c r="X218" s="42"/>
      <c r="Y218" s="9"/>
      <c r="Z218" s="9"/>
      <c r="AA218" s="9"/>
      <c r="AB218" s="42"/>
      <c r="AC218" s="9"/>
      <c r="AD218" s="38"/>
      <c r="AE218" s="9"/>
      <c r="AF218" s="39"/>
      <c r="AG218" s="9"/>
      <c r="AH218" s="9"/>
      <c r="AI218" s="9"/>
      <c r="AJ218" s="9"/>
      <c r="AK218" s="9"/>
      <c r="AL218" s="9"/>
      <c r="AM218" s="9"/>
      <c r="AN218" s="10" t="str">
        <f aca="false">IF(A218="","",SG_Criteria!$B$6&amp;SG_Criteria!$B$12&amp;"\"&amp;A218&amp;"\")</f>
        <v/>
      </c>
      <c r="AO218" s="10" t="str">
        <f aca="false">IF(A218="","",A218&amp;"_CAD.dwg")</f>
        <v/>
      </c>
      <c r="AP218" s="10" t="str">
        <f aca="false">IF(A218="","",A218&amp;"_DWG.pdf")</f>
        <v/>
      </c>
      <c r="AQ218" s="10" t="str">
        <f aca="false">IF(A218="","",IF(AM218="Y",A218&amp;"_STAAD.std","n/a"))</f>
        <v/>
      </c>
      <c r="AR218" s="10" t="str">
        <f aca="false">IF(A218="","",A218&amp;"_CALC.xlsx")</f>
        <v/>
      </c>
      <c r="AS218" s="10" t="str">
        <f aca="false">IF(A218="","",A218&amp;"_CALC.pdf")</f>
        <v/>
      </c>
      <c r="AT218" s="9"/>
      <c r="AU218" s="9"/>
      <c r="AV218" s="39"/>
      <c r="AW218" s="39"/>
      <c r="AX218" s="39"/>
      <c r="AY218" s="39"/>
      <c r="AZ218" s="39"/>
      <c r="BA218" s="12" t="str">
        <f aca="false">IF(A218="","",IF(COUNTIF(Rebar_Schedule!$A$5:$A$2004,A218)=0,"",ROUND(SUMIF(Rebar_Schedule!$A$5:$A$2004,A218,Rebar_Schedule!$K$5:$K$2004),1)))</f>
        <v/>
      </c>
      <c r="BB218" s="33" t="str">
        <f aca="false">IF(A218="","",IF(BA218="","No rebar schedule yet",IF(ABS(BA218-N(AW218))/MAX(N(AW218),1)&gt;SG_Criteria!$B$55,"NOTE: register rebar differs from schedule by "&amp;TEXT(ABS(BA218-N(AW218))/MAX(N(AW218),1),"0%"),"OK")))</f>
        <v/>
      </c>
      <c r="BC218" s="33" t="str">
        <f aca="false">IF(D218="","",IF(LEN(IF(AND(D218&lt;&gt;"High Covered Linkway",G218&lt;SG_Criteria!$B$46),"FAIL: headroom below "&amp;SG_Criteria!$B$46&amp;" m. ","")&amp;IF(AND(D218="High Covered Linkway",G218&lt;SG_Criteria!$B$47),"FAIL: high linkway headroom below "&amp;SG_Criteria!$B$47&amp;" m. ","")&amp;IF(F218&lt;SG_Criteria!$B$48,"FAIL: roof width below "&amp;SG_Criteria!$B$48&amp;" m. ",IF(F218&lt;SG_Criteria!$B$49,"NOTE: not for MRT/LRT or high-traffic routes (min "&amp;SG_Criteria!$B$49&amp;" m). ",""))&amp;IF(AND(W218&lt;&gt;"",W218&lt;SG_Criteria!$B$50),"FAIL: wind speed below "&amp;SG_Criteria!$B$50&amp;" m/s. ","")&amp;IF(AND(X218&lt;&gt;"",X218&lt;SG_Criteria!$B$51),"FAIL: roof fixing pull-out below "&amp;SG_Criteria!$B$51&amp;" kN. ","")&amp;IF(AND(Y218&lt;&gt;"",IFERROR(VALUE(MID(Y218,2,2)),0)&lt;SG_Criteria!$B$52),"FAIL: grade below C"&amp;SG_Criteria!$B$52&amp;". ","")&amp;IF(E218="Non-standard (project design)","NOTE: not an SDRE standard, needs LTA acceptance. ",""))=0,"OK",IF(AND(D218&lt;&gt;"High Covered Linkway",G218&lt;SG_Criteria!$B$46),"FAIL: headroom below "&amp;SG_Criteria!$B$46&amp;" m. ","")&amp;IF(AND(D218="High Covered Linkway",G218&lt;SG_Criteria!$B$47),"FAIL: high linkway headroom below "&amp;SG_Criteria!$B$47&amp;" m. ","")&amp;IF(F218&lt;SG_Criteria!$B$48,"FAIL: roof width below "&amp;SG_Criteria!$B$48&amp;" m. ",IF(F218&lt;SG_Criteria!$B$49,"NOTE: not for MRT/LRT or high-traffic routes (min "&amp;SG_Criteria!$B$49&amp;" m). ",""))&amp;IF(AND(W218&lt;&gt;"",W218&lt;SG_Criteria!$B$50),"FAIL: wind speed below "&amp;SG_Criteria!$B$50&amp;" m/s. ","")&amp;IF(AND(X218&lt;&gt;"",X218&lt;SG_Criteria!$B$51),"FAIL: roof fixing pull-out below "&amp;SG_Criteria!$B$51&amp;" kN. ","")&amp;IF(AND(Y218&lt;&gt;"",IFERROR(VALUE(MID(Y218,2,2)),0)&lt;SG_Criteria!$B$52),"FAIL: grade below C"&amp;SG_Criteria!$B$52&amp;". ","")&amp;IF(E218="Non-standard (project design)","NOTE: not an SDRE standard, needs LTA acceptance. ","")))</f>
        <v/>
      </c>
      <c r="BD218" s="9"/>
      <c r="BE218" s="9"/>
      <c r="BF218" s="9"/>
      <c r="BG218" s="10" t="str">
        <f aca="false">IF(BF218="","",IFERROR(VLOOKUP(BF218,Projects!$A$5:$D$504,2,0),"Ref not in Projects"))</f>
        <v/>
      </c>
      <c r="BH218" s="10" t="str">
        <f aca="false">IF(BF218="","",IFERROR(VLOOKUP(BF218,Projects!$A$5:$D$504,4,0),"Ref not in Projects"))</f>
        <v/>
      </c>
      <c r="BI218" s="9"/>
      <c r="BJ218" s="9"/>
      <c r="BK218" s="9"/>
      <c r="BL218" s="40"/>
      <c r="BM218" s="9"/>
      <c r="BN218" s="40"/>
      <c r="BO218" s="9"/>
      <c r="BP218" s="40"/>
      <c r="BQ218" s="9"/>
      <c r="BR218" s="9"/>
      <c r="BS218" s="9"/>
      <c r="BT218" s="40"/>
      <c r="BU218" s="40"/>
      <c r="BV218" s="36" t="str">
        <f aca="false">IF(BU218="","",EDATE(BU218,SG_Criteria!$B$54*12))</f>
        <v/>
      </c>
      <c r="BW218" s="33" t="str">
        <f aca="true">IF(A218="","",IF(BU218="","NOTE: not reviewed yet",IF(TODAY()&gt;BV218,"NOTE: review overdue","OK")))</f>
        <v/>
      </c>
      <c r="BX218" s="37" t="str">
        <f aca="false">IF(A218="","",ROUND((IF(LEN(D218)&gt;0,1,0)+IF(LEN(E218)&gt;0,1,0)+IF(LEN(F218)&gt;0,1,0)+IF(LEN(G218)&gt;0,1,0)+IF(LEN(H218)&gt;0,1,0)+IF(LEN(I218)&gt;0,1,0)+IF(LEN(J218)&gt;0,1,0)+IF(LEN(K218)&gt;0,1,0)+IF(LEN(N218)&gt;0,1,0)+IF(LEN(O218)&gt;0,1,0)+IF(LEN(W218)&gt;0,1,0)+IF(LEN(X218)&gt;0,1,0)+IF(LEN(Y218)&gt;0,1,0)+IF(LEN(AG218)&gt;0,1,0)+IF(LEN(AI218)&gt;0,1,0)+IF(LEN(AJ218)&gt;0,1,0)+IF(LEN(AK218)&gt;0,1,0)+IF(LEN(AL218)&gt;0,1,0)+IF(LEN(AU218)&gt;0,1,0)+IF(LEN(BF218)&gt;0,1,0)+IF(LEN(BS218)&gt;0,1,0))/21,2))</f>
        <v/>
      </c>
      <c r="BY218" s="10" t="str">
        <f aca="false">IF(D218="","",IF(AND(AJ218="Approved",ISERROR(SEARCH("FAIL",BC218))),"Y","N"))</f>
        <v/>
      </c>
      <c r="BZ218" s="10" t="str">
        <f aca="false">IF(D218="","",D218&amp;"|"&amp;F218&amp;"|"&amp;G218&amp;"|"&amp;BY218)</f>
        <v/>
      </c>
    </row>
    <row r="219" customFormat="false" ht="15" hidden="false" customHeight="false" outlineLevel="0" collapsed="false">
      <c r="A219" s="10" t="str">
        <f aca="false">IF(D219="","","LKW-"&amp;IFERROR(VLOOKUP(D219,Lists!$AQ$4:$AR$17,2,0),"??")&amp;"-W"&amp;TEXT(F219*1000,"0000")&amp;"-H"&amp;TEXT(G219*1000,"0000")&amp;"-B"&amp;TEXT(H219*1000,"0000")&amp;"-"&amp;AI219)</f>
        <v/>
      </c>
      <c r="B219" s="10" t="str">
        <f aca="false">IF(D219="","",D219&amp;", "&amp;F219&amp;" m wide, "&amp;G219&amp;" m headroom, "&amp;H219&amp;" m bays, "&amp;I219&amp;" ("&amp;E219&amp;")")</f>
        <v/>
      </c>
      <c r="C219" s="9"/>
      <c r="D219" s="9"/>
      <c r="E219" s="9"/>
      <c r="F219" s="42"/>
      <c r="G219" s="42"/>
      <c r="H219" s="42"/>
      <c r="I219" s="9"/>
      <c r="J219" s="9"/>
      <c r="K219" s="9"/>
      <c r="L219" s="9"/>
      <c r="M219" s="9"/>
      <c r="N219" s="9"/>
      <c r="O219" s="9"/>
      <c r="P219" s="9"/>
      <c r="Q219" s="9"/>
      <c r="R219" s="9"/>
      <c r="S219" s="42"/>
      <c r="T219" s="9"/>
      <c r="U219" s="9"/>
      <c r="V219" s="9"/>
      <c r="W219" s="38"/>
      <c r="X219" s="42"/>
      <c r="Y219" s="9"/>
      <c r="Z219" s="9"/>
      <c r="AA219" s="9"/>
      <c r="AB219" s="42"/>
      <c r="AC219" s="9"/>
      <c r="AD219" s="38"/>
      <c r="AE219" s="9"/>
      <c r="AF219" s="39"/>
      <c r="AG219" s="9"/>
      <c r="AH219" s="9"/>
      <c r="AI219" s="9"/>
      <c r="AJ219" s="9"/>
      <c r="AK219" s="9"/>
      <c r="AL219" s="9"/>
      <c r="AM219" s="9"/>
      <c r="AN219" s="10" t="str">
        <f aca="false">IF(A219="","",SG_Criteria!$B$6&amp;SG_Criteria!$B$12&amp;"\"&amp;A219&amp;"\")</f>
        <v/>
      </c>
      <c r="AO219" s="10" t="str">
        <f aca="false">IF(A219="","",A219&amp;"_CAD.dwg")</f>
        <v/>
      </c>
      <c r="AP219" s="10" t="str">
        <f aca="false">IF(A219="","",A219&amp;"_DWG.pdf")</f>
        <v/>
      </c>
      <c r="AQ219" s="10" t="str">
        <f aca="false">IF(A219="","",IF(AM219="Y",A219&amp;"_STAAD.std","n/a"))</f>
        <v/>
      </c>
      <c r="AR219" s="10" t="str">
        <f aca="false">IF(A219="","",A219&amp;"_CALC.xlsx")</f>
        <v/>
      </c>
      <c r="AS219" s="10" t="str">
        <f aca="false">IF(A219="","",A219&amp;"_CALC.pdf")</f>
        <v/>
      </c>
      <c r="AT219" s="9"/>
      <c r="AU219" s="9"/>
      <c r="AV219" s="39"/>
      <c r="AW219" s="39"/>
      <c r="AX219" s="39"/>
      <c r="AY219" s="39"/>
      <c r="AZ219" s="39"/>
      <c r="BA219" s="12" t="str">
        <f aca="false">IF(A219="","",IF(COUNTIF(Rebar_Schedule!$A$5:$A$2004,A219)=0,"",ROUND(SUMIF(Rebar_Schedule!$A$5:$A$2004,A219,Rebar_Schedule!$K$5:$K$2004),1)))</f>
        <v/>
      </c>
      <c r="BB219" s="33" t="str">
        <f aca="false">IF(A219="","",IF(BA219="","No rebar schedule yet",IF(ABS(BA219-N(AW219))/MAX(N(AW219),1)&gt;SG_Criteria!$B$55,"NOTE: register rebar differs from schedule by "&amp;TEXT(ABS(BA219-N(AW219))/MAX(N(AW219),1),"0%"),"OK")))</f>
        <v/>
      </c>
      <c r="BC219" s="33" t="str">
        <f aca="false">IF(D219="","",IF(LEN(IF(AND(D219&lt;&gt;"High Covered Linkway",G219&lt;SG_Criteria!$B$46),"FAIL: headroom below "&amp;SG_Criteria!$B$46&amp;" m. ","")&amp;IF(AND(D219="High Covered Linkway",G219&lt;SG_Criteria!$B$47),"FAIL: high linkway headroom below "&amp;SG_Criteria!$B$47&amp;" m. ","")&amp;IF(F219&lt;SG_Criteria!$B$48,"FAIL: roof width below "&amp;SG_Criteria!$B$48&amp;" m. ",IF(F219&lt;SG_Criteria!$B$49,"NOTE: not for MRT/LRT or high-traffic routes (min "&amp;SG_Criteria!$B$49&amp;" m). ",""))&amp;IF(AND(W219&lt;&gt;"",W219&lt;SG_Criteria!$B$50),"FAIL: wind speed below "&amp;SG_Criteria!$B$50&amp;" m/s. ","")&amp;IF(AND(X219&lt;&gt;"",X219&lt;SG_Criteria!$B$51),"FAIL: roof fixing pull-out below "&amp;SG_Criteria!$B$51&amp;" kN. ","")&amp;IF(AND(Y219&lt;&gt;"",IFERROR(VALUE(MID(Y219,2,2)),0)&lt;SG_Criteria!$B$52),"FAIL: grade below C"&amp;SG_Criteria!$B$52&amp;". ","")&amp;IF(E219="Non-standard (project design)","NOTE: not an SDRE standard, needs LTA acceptance. ",""))=0,"OK",IF(AND(D219&lt;&gt;"High Covered Linkway",G219&lt;SG_Criteria!$B$46),"FAIL: headroom below "&amp;SG_Criteria!$B$46&amp;" m. ","")&amp;IF(AND(D219="High Covered Linkway",G219&lt;SG_Criteria!$B$47),"FAIL: high linkway headroom below "&amp;SG_Criteria!$B$47&amp;" m. ","")&amp;IF(F219&lt;SG_Criteria!$B$48,"FAIL: roof width below "&amp;SG_Criteria!$B$48&amp;" m. ",IF(F219&lt;SG_Criteria!$B$49,"NOTE: not for MRT/LRT or high-traffic routes (min "&amp;SG_Criteria!$B$49&amp;" m). ",""))&amp;IF(AND(W219&lt;&gt;"",W219&lt;SG_Criteria!$B$50),"FAIL: wind speed below "&amp;SG_Criteria!$B$50&amp;" m/s. ","")&amp;IF(AND(X219&lt;&gt;"",X219&lt;SG_Criteria!$B$51),"FAIL: roof fixing pull-out below "&amp;SG_Criteria!$B$51&amp;" kN. ","")&amp;IF(AND(Y219&lt;&gt;"",IFERROR(VALUE(MID(Y219,2,2)),0)&lt;SG_Criteria!$B$52),"FAIL: grade below C"&amp;SG_Criteria!$B$52&amp;". ","")&amp;IF(E219="Non-standard (project design)","NOTE: not an SDRE standard, needs LTA acceptance. ","")))</f>
        <v/>
      </c>
      <c r="BD219" s="9"/>
      <c r="BE219" s="9"/>
      <c r="BF219" s="9"/>
      <c r="BG219" s="10" t="str">
        <f aca="false">IF(BF219="","",IFERROR(VLOOKUP(BF219,Projects!$A$5:$D$504,2,0),"Ref not in Projects"))</f>
        <v/>
      </c>
      <c r="BH219" s="10" t="str">
        <f aca="false">IF(BF219="","",IFERROR(VLOOKUP(BF219,Projects!$A$5:$D$504,4,0),"Ref not in Projects"))</f>
        <v/>
      </c>
      <c r="BI219" s="9"/>
      <c r="BJ219" s="9"/>
      <c r="BK219" s="9"/>
      <c r="BL219" s="40"/>
      <c r="BM219" s="9"/>
      <c r="BN219" s="40"/>
      <c r="BO219" s="9"/>
      <c r="BP219" s="40"/>
      <c r="BQ219" s="9"/>
      <c r="BR219" s="9"/>
      <c r="BS219" s="9"/>
      <c r="BT219" s="40"/>
      <c r="BU219" s="40"/>
      <c r="BV219" s="36" t="str">
        <f aca="false">IF(BU219="","",EDATE(BU219,SG_Criteria!$B$54*12))</f>
        <v/>
      </c>
      <c r="BW219" s="33" t="str">
        <f aca="true">IF(A219="","",IF(BU219="","NOTE: not reviewed yet",IF(TODAY()&gt;BV219,"NOTE: review overdue","OK")))</f>
        <v/>
      </c>
      <c r="BX219" s="37" t="str">
        <f aca="false">IF(A219="","",ROUND((IF(LEN(D219)&gt;0,1,0)+IF(LEN(E219)&gt;0,1,0)+IF(LEN(F219)&gt;0,1,0)+IF(LEN(G219)&gt;0,1,0)+IF(LEN(H219)&gt;0,1,0)+IF(LEN(I219)&gt;0,1,0)+IF(LEN(J219)&gt;0,1,0)+IF(LEN(K219)&gt;0,1,0)+IF(LEN(N219)&gt;0,1,0)+IF(LEN(O219)&gt;0,1,0)+IF(LEN(W219)&gt;0,1,0)+IF(LEN(X219)&gt;0,1,0)+IF(LEN(Y219)&gt;0,1,0)+IF(LEN(AG219)&gt;0,1,0)+IF(LEN(AI219)&gt;0,1,0)+IF(LEN(AJ219)&gt;0,1,0)+IF(LEN(AK219)&gt;0,1,0)+IF(LEN(AL219)&gt;0,1,0)+IF(LEN(AU219)&gt;0,1,0)+IF(LEN(BF219)&gt;0,1,0)+IF(LEN(BS219)&gt;0,1,0))/21,2))</f>
        <v/>
      </c>
      <c r="BY219" s="10" t="str">
        <f aca="false">IF(D219="","",IF(AND(AJ219="Approved",ISERROR(SEARCH("FAIL",BC219))),"Y","N"))</f>
        <v/>
      </c>
      <c r="BZ219" s="10" t="str">
        <f aca="false">IF(D219="","",D219&amp;"|"&amp;F219&amp;"|"&amp;G219&amp;"|"&amp;BY219)</f>
        <v/>
      </c>
    </row>
    <row r="220" customFormat="false" ht="15" hidden="false" customHeight="false" outlineLevel="0" collapsed="false">
      <c r="A220" s="10" t="str">
        <f aca="false">IF(D220="","","LKW-"&amp;IFERROR(VLOOKUP(D220,Lists!$AQ$4:$AR$17,2,0),"??")&amp;"-W"&amp;TEXT(F220*1000,"0000")&amp;"-H"&amp;TEXT(G220*1000,"0000")&amp;"-B"&amp;TEXT(H220*1000,"0000")&amp;"-"&amp;AI220)</f>
        <v/>
      </c>
      <c r="B220" s="10" t="str">
        <f aca="false">IF(D220="","",D220&amp;", "&amp;F220&amp;" m wide, "&amp;G220&amp;" m headroom, "&amp;H220&amp;" m bays, "&amp;I220&amp;" ("&amp;E220&amp;")")</f>
        <v/>
      </c>
      <c r="C220" s="9"/>
      <c r="D220" s="9"/>
      <c r="E220" s="9"/>
      <c r="F220" s="42"/>
      <c r="G220" s="42"/>
      <c r="H220" s="42"/>
      <c r="I220" s="9"/>
      <c r="J220" s="9"/>
      <c r="K220" s="9"/>
      <c r="L220" s="9"/>
      <c r="M220" s="9"/>
      <c r="N220" s="9"/>
      <c r="O220" s="9"/>
      <c r="P220" s="9"/>
      <c r="Q220" s="9"/>
      <c r="R220" s="9"/>
      <c r="S220" s="42"/>
      <c r="T220" s="9"/>
      <c r="U220" s="9"/>
      <c r="V220" s="9"/>
      <c r="W220" s="38"/>
      <c r="X220" s="42"/>
      <c r="Y220" s="9"/>
      <c r="Z220" s="9"/>
      <c r="AA220" s="9"/>
      <c r="AB220" s="42"/>
      <c r="AC220" s="9"/>
      <c r="AD220" s="38"/>
      <c r="AE220" s="9"/>
      <c r="AF220" s="39"/>
      <c r="AG220" s="9"/>
      <c r="AH220" s="9"/>
      <c r="AI220" s="9"/>
      <c r="AJ220" s="9"/>
      <c r="AK220" s="9"/>
      <c r="AL220" s="9"/>
      <c r="AM220" s="9"/>
      <c r="AN220" s="10" t="str">
        <f aca="false">IF(A220="","",SG_Criteria!$B$6&amp;SG_Criteria!$B$12&amp;"\"&amp;A220&amp;"\")</f>
        <v/>
      </c>
      <c r="AO220" s="10" t="str">
        <f aca="false">IF(A220="","",A220&amp;"_CAD.dwg")</f>
        <v/>
      </c>
      <c r="AP220" s="10" t="str">
        <f aca="false">IF(A220="","",A220&amp;"_DWG.pdf")</f>
        <v/>
      </c>
      <c r="AQ220" s="10" t="str">
        <f aca="false">IF(A220="","",IF(AM220="Y",A220&amp;"_STAAD.std","n/a"))</f>
        <v/>
      </c>
      <c r="AR220" s="10" t="str">
        <f aca="false">IF(A220="","",A220&amp;"_CALC.xlsx")</f>
        <v/>
      </c>
      <c r="AS220" s="10" t="str">
        <f aca="false">IF(A220="","",A220&amp;"_CALC.pdf")</f>
        <v/>
      </c>
      <c r="AT220" s="9"/>
      <c r="AU220" s="9"/>
      <c r="AV220" s="39"/>
      <c r="AW220" s="39"/>
      <c r="AX220" s="39"/>
      <c r="AY220" s="39"/>
      <c r="AZ220" s="39"/>
      <c r="BA220" s="12" t="str">
        <f aca="false">IF(A220="","",IF(COUNTIF(Rebar_Schedule!$A$5:$A$2004,A220)=0,"",ROUND(SUMIF(Rebar_Schedule!$A$5:$A$2004,A220,Rebar_Schedule!$K$5:$K$2004),1)))</f>
        <v/>
      </c>
      <c r="BB220" s="33" t="str">
        <f aca="false">IF(A220="","",IF(BA220="","No rebar schedule yet",IF(ABS(BA220-N(AW220))/MAX(N(AW220),1)&gt;SG_Criteria!$B$55,"NOTE: register rebar differs from schedule by "&amp;TEXT(ABS(BA220-N(AW220))/MAX(N(AW220),1),"0%"),"OK")))</f>
        <v/>
      </c>
      <c r="BC220" s="33" t="str">
        <f aca="false">IF(D220="","",IF(LEN(IF(AND(D220&lt;&gt;"High Covered Linkway",G220&lt;SG_Criteria!$B$46),"FAIL: headroom below "&amp;SG_Criteria!$B$46&amp;" m. ","")&amp;IF(AND(D220="High Covered Linkway",G220&lt;SG_Criteria!$B$47),"FAIL: high linkway headroom below "&amp;SG_Criteria!$B$47&amp;" m. ","")&amp;IF(F220&lt;SG_Criteria!$B$48,"FAIL: roof width below "&amp;SG_Criteria!$B$48&amp;" m. ",IF(F220&lt;SG_Criteria!$B$49,"NOTE: not for MRT/LRT or high-traffic routes (min "&amp;SG_Criteria!$B$49&amp;" m). ",""))&amp;IF(AND(W220&lt;&gt;"",W220&lt;SG_Criteria!$B$50),"FAIL: wind speed below "&amp;SG_Criteria!$B$50&amp;" m/s. ","")&amp;IF(AND(X220&lt;&gt;"",X220&lt;SG_Criteria!$B$51),"FAIL: roof fixing pull-out below "&amp;SG_Criteria!$B$51&amp;" kN. ","")&amp;IF(AND(Y220&lt;&gt;"",IFERROR(VALUE(MID(Y220,2,2)),0)&lt;SG_Criteria!$B$52),"FAIL: grade below C"&amp;SG_Criteria!$B$52&amp;". ","")&amp;IF(E220="Non-standard (project design)","NOTE: not an SDRE standard, needs LTA acceptance. ",""))=0,"OK",IF(AND(D220&lt;&gt;"High Covered Linkway",G220&lt;SG_Criteria!$B$46),"FAIL: headroom below "&amp;SG_Criteria!$B$46&amp;" m. ","")&amp;IF(AND(D220="High Covered Linkway",G220&lt;SG_Criteria!$B$47),"FAIL: high linkway headroom below "&amp;SG_Criteria!$B$47&amp;" m. ","")&amp;IF(F220&lt;SG_Criteria!$B$48,"FAIL: roof width below "&amp;SG_Criteria!$B$48&amp;" m. ",IF(F220&lt;SG_Criteria!$B$49,"NOTE: not for MRT/LRT or high-traffic routes (min "&amp;SG_Criteria!$B$49&amp;" m). ",""))&amp;IF(AND(W220&lt;&gt;"",W220&lt;SG_Criteria!$B$50),"FAIL: wind speed below "&amp;SG_Criteria!$B$50&amp;" m/s. ","")&amp;IF(AND(X220&lt;&gt;"",X220&lt;SG_Criteria!$B$51),"FAIL: roof fixing pull-out below "&amp;SG_Criteria!$B$51&amp;" kN. ","")&amp;IF(AND(Y220&lt;&gt;"",IFERROR(VALUE(MID(Y220,2,2)),0)&lt;SG_Criteria!$B$52),"FAIL: grade below C"&amp;SG_Criteria!$B$52&amp;". ","")&amp;IF(E220="Non-standard (project design)","NOTE: not an SDRE standard, needs LTA acceptance. ","")))</f>
        <v/>
      </c>
      <c r="BD220" s="9"/>
      <c r="BE220" s="9"/>
      <c r="BF220" s="9"/>
      <c r="BG220" s="10" t="str">
        <f aca="false">IF(BF220="","",IFERROR(VLOOKUP(BF220,Projects!$A$5:$D$504,2,0),"Ref not in Projects"))</f>
        <v/>
      </c>
      <c r="BH220" s="10" t="str">
        <f aca="false">IF(BF220="","",IFERROR(VLOOKUP(BF220,Projects!$A$5:$D$504,4,0),"Ref not in Projects"))</f>
        <v/>
      </c>
      <c r="BI220" s="9"/>
      <c r="BJ220" s="9"/>
      <c r="BK220" s="9"/>
      <c r="BL220" s="40"/>
      <c r="BM220" s="9"/>
      <c r="BN220" s="40"/>
      <c r="BO220" s="9"/>
      <c r="BP220" s="40"/>
      <c r="BQ220" s="9"/>
      <c r="BR220" s="9"/>
      <c r="BS220" s="9"/>
      <c r="BT220" s="40"/>
      <c r="BU220" s="40"/>
      <c r="BV220" s="36" t="str">
        <f aca="false">IF(BU220="","",EDATE(BU220,SG_Criteria!$B$54*12))</f>
        <v/>
      </c>
      <c r="BW220" s="33" t="str">
        <f aca="true">IF(A220="","",IF(BU220="","NOTE: not reviewed yet",IF(TODAY()&gt;BV220,"NOTE: review overdue","OK")))</f>
        <v/>
      </c>
      <c r="BX220" s="37" t="str">
        <f aca="false">IF(A220="","",ROUND((IF(LEN(D220)&gt;0,1,0)+IF(LEN(E220)&gt;0,1,0)+IF(LEN(F220)&gt;0,1,0)+IF(LEN(G220)&gt;0,1,0)+IF(LEN(H220)&gt;0,1,0)+IF(LEN(I220)&gt;0,1,0)+IF(LEN(J220)&gt;0,1,0)+IF(LEN(K220)&gt;0,1,0)+IF(LEN(N220)&gt;0,1,0)+IF(LEN(O220)&gt;0,1,0)+IF(LEN(W220)&gt;0,1,0)+IF(LEN(X220)&gt;0,1,0)+IF(LEN(Y220)&gt;0,1,0)+IF(LEN(AG220)&gt;0,1,0)+IF(LEN(AI220)&gt;0,1,0)+IF(LEN(AJ220)&gt;0,1,0)+IF(LEN(AK220)&gt;0,1,0)+IF(LEN(AL220)&gt;0,1,0)+IF(LEN(AU220)&gt;0,1,0)+IF(LEN(BF220)&gt;0,1,0)+IF(LEN(BS220)&gt;0,1,0))/21,2))</f>
        <v/>
      </c>
      <c r="BY220" s="10" t="str">
        <f aca="false">IF(D220="","",IF(AND(AJ220="Approved",ISERROR(SEARCH("FAIL",BC220))),"Y","N"))</f>
        <v/>
      </c>
      <c r="BZ220" s="10" t="str">
        <f aca="false">IF(D220="","",D220&amp;"|"&amp;F220&amp;"|"&amp;G220&amp;"|"&amp;BY220)</f>
        <v/>
      </c>
    </row>
    <row r="221" customFormat="false" ht="15" hidden="false" customHeight="false" outlineLevel="0" collapsed="false">
      <c r="A221" s="10" t="str">
        <f aca="false">IF(D221="","","LKW-"&amp;IFERROR(VLOOKUP(D221,Lists!$AQ$4:$AR$17,2,0),"??")&amp;"-W"&amp;TEXT(F221*1000,"0000")&amp;"-H"&amp;TEXT(G221*1000,"0000")&amp;"-B"&amp;TEXT(H221*1000,"0000")&amp;"-"&amp;AI221)</f>
        <v/>
      </c>
      <c r="B221" s="10" t="str">
        <f aca="false">IF(D221="","",D221&amp;", "&amp;F221&amp;" m wide, "&amp;G221&amp;" m headroom, "&amp;H221&amp;" m bays, "&amp;I221&amp;" ("&amp;E221&amp;")")</f>
        <v/>
      </c>
      <c r="C221" s="9"/>
      <c r="D221" s="9"/>
      <c r="E221" s="9"/>
      <c r="F221" s="42"/>
      <c r="G221" s="42"/>
      <c r="H221" s="42"/>
      <c r="I221" s="9"/>
      <c r="J221" s="9"/>
      <c r="K221" s="9"/>
      <c r="L221" s="9"/>
      <c r="M221" s="9"/>
      <c r="N221" s="9"/>
      <c r="O221" s="9"/>
      <c r="P221" s="9"/>
      <c r="Q221" s="9"/>
      <c r="R221" s="9"/>
      <c r="S221" s="42"/>
      <c r="T221" s="9"/>
      <c r="U221" s="9"/>
      <c r="V221" s="9"/>
      <c r="W221" s="38"/>
      <c r="X221" s="42"/>
      <c r="Y221" s="9"/>
      <c r="Z221" s="9"/>
      <c r="AA221" s="9"/>
      <c r="AB221" s="42"/>
      <c r="AC221" s="9"/>
      <c r="AD221" s="38"/>
      <c r="AE221" s="9"/>
      <c r="AF221" s="39"/>
      <c r="AG221" s="9"/>
      <c r="AH221" s="9"/>
      <c r="AI221" s="9"/>
      <c r="AJ221" s="9"/>
      <c r="AK221" s="9"/>
      <c r="AL221" s="9"/>
      <c r="AM221" s="9"/>
      <c r="AN221" s="10" t="str">
        <f aca="false">IF(A221="","",SG_Criteria!$B$6&amp;SG_Criteria!$B$12&amp;"\"&amp;A221&amp;"\")</f>
        <v/>
      </c>
      <c r="AO221" s="10" t="str">
        <f aca="false">IF(A221="","",A221&amp;"_CAD.dwg")</f>
        <v/>
      </c>
      <c r="AP221" s="10" t="str">
        <f aca="false">IF(A221="","",A221&amp;"_DWG.pdf")</f>
        <v/>
      </c>
      <c r="AQ221" s="10" t="str">
        <f aca="false">IF(A221="","",IF(AM221="Y",A221&amp;"_STAAD.std","n/a"))</f>
        <v/>
      </c>
      <c r="AR221" s="10" t="str">
        <f aca="false">IF(A221="","",A221&amp;"_CALC.xlsx")</f>
        <v/>
      </c>
      <c r="AS221" s="10" t="str">
        <f aca="false">IF(A221="","",A221&amp;"_CALC.pdf")</f>
        <v/>
      </c>
      <c r="AT221" s="9"/>
      <c r="AU221" s="9"/>
      <c r="AV221" s="39"/>
      <c r="AW221" s="39"/>
      <c r="AX221" s="39"/>
      <c r="AY221" s="39"/>
      <c r="AZ221" s="39"/>
      <c r="BA221" s="12" t="str">
        <f aca="false">IF(A221="","",IF(COUNTIF(Rebar_Schedule!$A$5:$A$2004,A221)=0,"",ROUND(SUMIF(Rebar_Schedule!$A$5:$A$2004,A221,Rebar_Schedule!$K$5:$K$2004),1)))</f>
        <v/>
      </c>
      <c r="BB221" s="33" t="str">
        <f aca="false">IF(A221="","",IF(BA221="","No rebar schedule yet",IF(ABS(BA221-N(AW221))/MAX(N(AW221),1)&gt;SG_Criteria!$B$55,"NOTE: register rebar differs from schedule by "&amp;TEXT(ABS(BA221-N(AW221))/MAX(N(AW221),1),"0%"),"OK")))</f>
        <v/>
      </c>
      <c r="BC221" s="33" t="str">
        <f aca="false">IF(D221="","",IF(LEN(IF(AND(D221&lt;&gt;"High Covered Linkway",G221&lt;SG_Criteria!$B$46),"FAIL: headroom below "&amp;SG_Criteria!$B$46&amp;" m. ","")&amp;IF(AND(D221="High Covered Linkway",G221&lt;SG_Criteria!$B$47),"FAIL: high linkway headroom below "&amp;SG_Criteria!$B$47&amp;" m. ","")&amp;IF(F221&lt;SG_Criteria!$B$48,"FAIL: roof width below "&amp;SG_Criteria!$B$48&amp;" m. ",IF(F221&lt;SG_Criteria!$B$49,"NOTE: not for MRT/LRT or high-traffic routes (min "&amp;SG_Criteria!$B$49&amp;" m). ",""))&amp;IF(AND(W221&lt;&gt;"",W221&lt;SG_Criteria!$B$50),"FAIL: wind speed below "&amp;SG_Criteria!$B$50&amp;" m/s. ","")&amp;IF(AND(X221&lt;&gt;"",X221&lt;SG_Criteria!$B$51),"FAIL: roof fixing pull-out below "&amp;SG_Criteria!$B$51&amp;" kN. ","")&amp;IF(AND(Y221&lt;&gt;"",IFERROR(VALUE(MID(Y221,2,2)),0)&lt;SG_Criteria!$B$52),"FAIL: grade below C"&amp;SG_Criteria!$B$52&amp;". ","")&amp;IF(E221="Non-standard (project design)","NOTE: not an SDRE standard, needs LTA acceptance. ",""))=0,"OK",IF(AND(D221&lt;&gt;"High Covered Linkway",G221&lt;SG_Criteria!$B$46),"FAIL: headroom below "&amp;SG_Criteria!$B$46&amp;" m. ","")&amp;IF(AND(D221="High Covered Linkway",G221&lt;SG_Criteria!$B$47),"FAIL: high linkway headroom below "&amp;SG_Criteria!$B$47&amp;" m. ","")&amp;IF(F221&lt;SG_Criteria!$B$48,"FAIL: roof width below "&amp;SG_Criteria!$B$48&amp;" m. ",IF(F221&lt;SG_Criteria!$B$49,"NOTE: not for MRT/LRT or high-traffic routes (min "&amp;SG_Criteria!$B$49&amp;" m). ",""))&amp;IF(AND(W221&lt;&gt;"",W221&lt;SG_Criteria!$B$50),"FAIL: wind speed below "&amp;SG_Criteria!$B$50&amp;" m/s. ","")&amp;IF(AND(X221&lt;&gt;"",X221&lt;SG_Criteria!$B$51),"FAIL: roof fixing pull-out below "&amp;SG_Criteria!$B$51&amp;" kN. ","")&amp;IF(AND(Y221&lt;&gt;"",IFERROR(VALUE(MID(Y221,2,2)),0)&lt;SG_Criteria!$B$52),"FAIL: grade below C"&amp;SG_Criteria!$B$52&amp;". ","")&amp;IF(E221="Non-standard (project design)","NOTE: not an SDRE standard, needs LTA acceptance. ","")))</f>
        <v/>
      </c>
      <c r="BD221" s="9"/>
      <c r="BE221" s="9"/>
      <c r="BF221" s="9"/>
      <c r="BG221" s="10" t="str">
        <f aca="false">IF(BF221="","",IFERROR(VLOOKUP(BF221,Projects!$A$5:$D$504,2,0),"Ref not in Projects"))</f>
        <v/>
      </c>
      <c r="BH221" s="10" t="str">
        <f aca="false">IF(BF221="","",IFERROR(VLOOKUP(BF221,Projects!$A$5:$D$504,4,0),"Ref not in Projects"))</f>
        <v/>
      </c>
      <c r="BI221" s="9"/>
      <c r="BJ221" s="9"/>
      <c r="BK221" s="9"/>
      <c r="BL221" s="40"/>
      <c r="BM221" s="9"/>
      <c r="BN221" s="40"/>
      <c r="BO221" s="9"/>
      <c r="BP221" s="40"/>
      <c r="BQ221" s="9"/>
      <c r="BR221" s="9"/>
      <c r="BS221" s="9"/>
      <c r="BT221" s="40"/>
      <c r="BU221" s="40"/>
      <c r="BV221" s="36" t="str">
        <f aca="false">IF(BU221="","",EDATE(BU221,SG_Criteria!$B$54*12))</f>
        <v/>
      </c>
      <c r="BW221" s="33" t="str">
        <f aca="true">IF(A221="","",IF(BU221="","NOTE: not reviewed yet",IF(TODAY()&gt;BV221,"NOTE: review overdue","OK")))</f>
        <v/>
      </c>
      <c r="BX221" s="37" t="str">
        <f aca="false">IF(A221="","",ROUND((IF(LEN(D221)&gt;0,1,0)+IF(LEN(E221)&gt;0,1,0)+IF(LEN(F221)&gt;0,1,0)+IF(LEN(G221)&gt;0,1,0)+IF(LEN(H221)&gt;0,1,0)+IF(LEN(I221)&gt;0,1,0)+IF(LEN(J221)&gt;0,1,0)+IF(LEN(K221)&gt;0,1,0)+IF(LEN(N221)&gt;0,1,0)+IF(LEN(O221)&gt;0,1,0)+IF(LEN(W221)&gt;0,1,0)+IF(LEN(X221)&gt;0,1,0)+IF(LEN(Y221)&gt;0,1,0)+IF(LEN(AG221)&gt;0,1,0)+IF(LEN(AI221)&gt;0,1,0)+IF(LEN(AJ221)&gt;0,1,0)+IF(LEN(AK221)&gt;0,1,0)+IF(LEN(AL221)&gt;0,1,0)+IF(LEN(AU221)&gt;0,1,0)+IF(LEN(BF221)&gt;0,1,0)+IF(LEN(BS221)&gt;0,1,0))/21,2))</f>
        <v/>
      </c>
      <c r="BY221" s="10" t="str">
        <f aca="false">IF(D221="","",IF(AND(AJ221="Approved",ISERROR(SEARCH("FAIL",BC221))),"Y","N"))</f>
        <v/>
      </c>
      <c r="BZ221" s="10" t="str">
        <f aca="false">IF(D221="","",D221&amp;"|"&amp;F221&amp;"|"&amp;G221&amp;"|"&amp;BY221)</f>
        <v/>
      </c>
    </row>
    <row r="222" customFormat="false" ht="15" hidden="false" customHeight="false" outlineLevel="0" collapsed="false">
      <c r="A222" s="10" t="str">
        <f aca="false">IF(D222="","","LKW-"&amp;IFERROR(VLOOKUP(D222,Lists!$AQ$4:$AR$17,2,0),"??")&amp;"-W"&amp;TEXT(F222*1000,"0000")&amp;"-H"&amp;TEXT(G222*1000,"0000")&amp;"-B"&amp;TEXT(H222*1000,"0000")&amp;"-"&amp;AI222)</f>
        <v/>
      </c>
      <c r="B222" s="10" t="str">
        <f aca="false">IF(D222="","",D222&amp;", "&amp;F222&amp;" m wide, "&amp;G222&amp;" m headroom, "&amp;H222&amp;" m bays, "&amp;I222&amp;" ("&amp;E222&amp;")")</f>
        <v/>
      </c>
      <c r="C222" s="9"/>
      <c r="D222" s="9"/>
      <c r="E222" s="9"/>
      <c r="F222" s="42"/>
      <c r="G222" s="42"/>
      <c r="H222" s="42"/>
      <c r="I222" s="9"/>
      <c r="J222" s="9"/>
      <c r="K222" s="9"/>
      <c r="L222" s="9"/>
      <c r="M222" s="9"/>
      <c r="N222" s="9"/>
      <c r="O222" s="9"/>
      <c r="P222" s="9"/>
      <c r="Q222" s="9"/>
      <c r="R222" s="9"/>
      <c r="S222" s="42"/>
      <c r="T222" s="9"/>
      <c r="U222" s="9"/>
      <c r="V222" s="9"/>
      <c r="W222" s="38"/>
      <c r="X222" s="42"/>
      <c r="Y222" s="9"/>
      <c r="Z222" s="9"/>
      <c r="AA222" s="9"/>
      <c r="AB222" s="42"/>
      <c r="AC222" s="9"/>
      <c r="AD222" s="38"/>
      <c r="AE222" s="9"/>
      <c r="AF222" s="39"/>
      <c r="AG222" s="9"/>
      <c r="AH222" s="9"/>
      <c r="AI222" s="9"/>
      <c r="AJ222" s="9"/>
      <c r="AK222" s="9"/>
      <c r="AL222" s="9"/>
      <c r="AM222" s="9"/>
      <c r="AN222" s="10" t="str">
        <f aca="false">IF(A222="","",SG_Criteria!$B$6&amp;SG_Criteria!$B$12&amp;"\"&amp;A222&amp;"\")</f>
        <v/>
      </c>
      <c r="AO222" s="10" t="str">
        <f aca="false">IF(A222="","",A222&amp;"_CAD.dwg")</f>
        <v/>
      </c>
      <c r="AP222" s="10" t="str">
        <f aca="false">IF(A222="","",A222&amp;"_DWG.pdf")</f>
        <v/>
      </c>
      <c r="AQ222" s="10" t="str">
        <f aca="false">IF(A222="","",IF(AM222="Y",A222&amp;"_STAAD.std","n/a"))</f>
        <v/>
      </c>
      <c r="AR222" s="10" t="str">
        <f aca="false">IF(A222="","",A222&amp;"_CALC.xlsx")</f>
        <v/>
      </c>
      <c r="AS222" s="10" t="str">
        <f aca="false">IF(A222="","",A222&amp;"_CALC.pdf")</f>
        <v/>
      </c>
      <c r="AT222" s="9"/>
      <c r="AU222" s="9"/>
      <c r="AV222" s="39"/>
      <c r="AW222" s="39"/>
      <c r="AX222" s="39"/>
      <c r="AY222" s="39"/>
      <c r="AZ222" s="39"/>
      <c r="BA222" s="12" t="str">
        <f aca="false">IF(A222="","",IF(COUNTIF(Rebar_Schedule!$A$5:$A$2004,A222)=0,"",ROUND(SUMIF(Rebar_Schedule!$A$5:$A$2004,A222,Rebar_Schedule!$K$5:$K$2004),1)))</f>
        <v/>
      </c>
      <c r="BB222" s="33" t="str">
        <f aca="false">IF(A222="","",IF(BA222="","No rebar schedule yet",IF(ABS(BA222-N(AW222))/MAX(N(AW222),1)&gt;SG_Criteria!$B$55,"NOTE: register rebar differs from schedule by "&amp;TEXT(ABS(BA222-N(AW222))/MAX(N(AW222),1),"0%"),"OK")))</f>
        <v/>
      </c>
      <c r="BC222" s="33" t="str">
        <f aca="false">IF(D222="","",IF(LEN(IF(AND(D222&lt;&gt;"High Covered Linkway",G222&lt;SG_Criteria!$B$46),"FAIL: headroom below "&amp;SG_Criteria!$B$46&amp;" m. ","")&amp;IF(AND(D222="High Covered Linkway",G222&lt;SG_Criteria!$B$47),"FAIL: high linkway headroom below "&amp;SG_Criteria!$B$47&amp;" m. ","")&amp;IF(F222&lt;SG_Criteria!$B$48,"FAIL: roof width below "&amp;SG_Criteria!$B$48&amp;" m. ",IF(F222&lt;SG_Criteria!$B$49,"NOTE: not for MRT/LRT or high-traffic routes (min "&amp;SG_Criteria!$B$49&amp;" m). ",""))&amp;IF(AND(W222&lt;&gt;"",W222&lt;SG_Criteria!$B$50),"FAIL: wind speed below "&amp;SG_Criteria!$B$50&amp;" m/s. ","")&amp;IF(AND(X222&lt;&gt;"",X222&lt;SG_Criteria!$B$51),"FAIL: roof fixing pull-out below "&amp;SG_Criteria!$B$51&amp;" kN. ","")&amp;IF(AND(Y222&lt;&gt;"",IFERROR(VALUE(MID(Y222,2,2)),0)&lt;SG_Criteria!$B$52),"FAIL: grade below C"&amp;SG_Criteria!$B$52&amp;". ","")&amp;IF(E222="Non-standard (project design)","NOTE: not an SDRE standard, needs LTA acceptance. ",""))=0,"OK",IF(AND(D222&lt;&gt;"High Covered Linkway",G222&lt;SG_Criteria!$B$46),"FAIL: headroom below "&amp;SG_Criteria!$B$46&amp;" m. ","")&amp;IF(AND(D222="High Covered Linkway",G222&lt;SG_Criteria!$B$47),"FAIL: high linkway headroom below "&amp;SG_Criteria!$B$47&amp;" m. ","")&amp;IF(F222&lt;SG_Criteria!$B$48,"FAIL: roof width below "&amp;SG_Criteria!$B$48&amp;" m. ",IF(F222&lt;SG_Criteria!$B$49,"NOTE: not for MRT/LRT or high-traffic routes (min "&amp;SG_Criteria!$B$49&amp;" m). ",""))&amp;IF(AND(W222&lt;&gt;"",W222&lt;SG_Criteria!$B$50),"FAIL: wind speed below "&amp;SG_Criteria!$B$50&amp;" m/s. ","")&amp;IF(AND(X222&lt;&gt;"",X222&lt;SG_Criteria!$B$51),"FAIL: roof fixing pull-out below "&amp;SG_Criteria!$B$51&amp;" kN. ","")&amp;IF(AND(Y222&lt;&gt;"",IFERROR(VALUE(MID(Y222,2,2)),0)&lt;SG_Criteria!$B$52),"FAIL: grade below C"&amp;SG_Criteria!$B$52&amp;". ","")&amp;IF(E222="Non-standard (project design)","NOTE: not an SDRE standard, needs LTA acceptance. ","")))</f>
        <v/>
      </c>
      <c r="BD222" s="9"/>
      <c r="BE222" s="9"/>
      <c r="BF222" s="9"/>
      <c r="BG222" s="10" t="str">
        <f aca="false">IF(BF222="","",IFERROR(VLOOKUP(BF222,Projects!$A$5:$D$504,2,0),"Ref not in Projects"))</f>
        <v/>
      </c>
      <c r="BH222" s="10" t="str">
        <f aca="false">IF(BF222="","",IFERROR(VLOOKUP(BF222,Projects!$A$5:$D$504,4,0),"Ref not in Projects"))</f>
        <v/>
      </c>
      <c r="BI222" s="9"/>
      <c r="BJ222" s="9"/>
      <c r="BK222" s="9"/>
      <c r="BL222" s="40"/>
      <c r="BM222" s="9"/>
      <c r="BN222" s="40"/>
      <c r="BO222" s="9"/>
      <c r="BP222" s="40"/>
      <c r="BQ222" s="9"/>
      <c r="BR222" s="9"/>
      <c r="BS222" s="9"/>
      <c r="BT222" s="40"/>
      <c r="BU222" s="40"/>
      <c r="BV222" s="36" t="str">
        <f aca="false">IF(BU222="","",EDATE(BU222,SG_Criteria!$B$54*12))</f>
        <v/>
      </c>
      <c r="BW222" s="33" t="str">
        <f aca="true">IF(A222="","",IF(BU222="","NOTE: not reviewed yet",IF(TODAY()&gt;BV222,"NOTE: review overdue","OK")))</f>
        <v/>
      </c>
      <c r="BX222" s="37" t="str">
        <f aca="false">IF(A222="","",ROUND((IF(LEN(D222)&gt;0,1,0)+IF(LEN(E222)&gt;0,1,0)+IF(LEN(F222)&gt;0,1,0)+IF(LEN(G222)&gt;0,1,0)+IF(LEN(H222)&gt;0,1,0)+IF(LEN(I222)&gt;0,1,0)+IF(LEN(J222)&gt;0,1,0)+IF(LEN(K222)&gt;0,1,0)+IF(LEN(N222)&gt;0,1,0)+IF(LEN(O222)&gt;0,1,0)+IF(LEN(W222)&gt;0,1,0)+IF(LEN(X222)&gt;0,1,0)+IF(LEN(Y222)&gt;0,1,0)+IF(LEN(AG222)&gt;0,1,0)+IF(LEN(AI222)&gt;0,1,0)+IF(LEN(AJ222)&gt;0,1,0)+IF(LEN(AK222)&gt;0,1,0)+IF(LEN(AL222)&gt;0,1,0)+IF(LEN(AU222)&gt;0,1,0)+IF(LEN(BF222)&gt;0,1,0)+IF(LEN(BS222)&gt;0,1,0))/21,2))</f>
        <v/>
      </c>
      <c r="BY222" s="10" t="str">
        <f aca="false">IF(D222="","",IF(AND(AJ222="Approved",ISERROR(SEARCH("FAIL",BC222))),"Y","N"))</f>
        <v/>
      </c>
      <c r="BZ222" s="10" t="str">
        <f aca="false">IF(D222="","",D222&amp;"|"&amp;F222&amp;"|"&amp;G222&amp;"|"&amp;BY222)</f>
        <v/>
      </c>
    </row>
    <row r="223" customFormat="false" ht="15" hidden="false" customHeight="false" outlineLevel="0" collapsed="false">
      <c r="A223" s="10" t="str">
        <f aca="false">IF(D223="","","LKW-"&amp;IFERROR(VLOOKUP(D223,Lists!$AQ$4:$AR$17,2,0),"??")&amp;"-W"&amp;TEXT(F223*1000,"0000")&amp;"-H"&amp;TEXT(G223*1000,"0000")&amp;"-B"&amp;TEXT(H223*1000,"0000")&amp;"-"&amp;AI223)</f>
        <v/>
      </c>
      <c r="B223" s="10" t="str">
        <f aca="false">IF(D223="","",D223&amp;", "&amp;F223&amp;" m wide, "&amp;G223&amp;" m headroom, "&amp;H223&amp;" m bays, "&amp;I223&amp;" ("&amp;E223&amp;")")</f>
        <v/>
      </c>
      <c r="C223" s="9"/>
      <c r="D223" s="9"/>
      <c r="E223" s="9"/>
      <c r="F223" s="42"/>
      <c r="G223" s="42"/>
      <c r="H223" s="42"/>
      <c r="I223" s="9"/>
      <c r="J223" s="9"/>
      <c r="K223" s="9"/>
      <c r="L223" s="9"/>
      <c r="M223" s="9"/>
      <c r="N223" s="9"/>
      <c r="O223" s="9"/>
      <c r="P223" s="9"/>
      <c r="Q223" s="9"/>
      <c r="R223" s="9"/>
      <c r="S223" s="42"/>
      <c r="T223" s="9"/>
      <c r="U223" s="9"/>
      <c r="V223" s="9"/>
      <c r="W223" s="38"/>
      <c r="X223" s="42"/>
      <c r="Y223" s="9"/>
      <c r="Z223" s="9"/>
      <c r="AA223" s="9"/>
      <c r="AB223" s="42"/>
      <c r="AC223" s="9"/>
      <c r="AD223" s="38"/>
      <c r="AE223" s="9"/>
      <c r="AF223" s="39"/>
      <c r="AG223" s="9"/>
      <c r="AH223" s="9"/>
      <c r="AI223" s="9"/>
      <c r="AJ223" s="9"/>
      <c r="AK223" s="9"/>
      <c r="AL223" s="9"/>
      <c r="AM223" s="9"/>
      <c r="AN223" s="10" t="str">
        <f aca="false">IF(A223="","",SG_Criteria!$B$6&amp;SG_Criteria!$B$12&amp;"\"&amp;A223&amp;"\")</f>
        <v/>
      </c>
      <c r="AO223" s="10" t="str">
        <f aca="false">IF(A223="","",A223&amp;"_CAD.dwg")</f>
        <v/>
      </c>
      <c r="AP223" s="10" t="str">
        <f aca="false">IF(A223="","",A223&amp;"_DWG.pdf")</f>
        <v/>
      </c>
      <c r="AQ223" s="10" t="str">
        <f aca="false">IF(A223="","",IF(AM223="Y",A223&amp;"_STAAD.std","n/a"))</f>
        <v/>
      </c>
      <c r="AR223" s="10" t="str">
        <f aca="false">IF(A223="","",A223&amp;"_CALC.xlsx")</f>
        <v/>
      </c>
      <c r="AS223" s="10" t="str">
        <f aca="false">IF(A223="","",A223&amp;"_CALC.pdf")</f>
        <v/>
      </c>
      <c r="AT223" s="9"/>
      <c r="AU223" s="9"/>
      <c r="AV223" s="39"/>
      <c r="AW223" s="39"/>
      <c r="AX223" s="39"/>
      <c r="AY223" s="39"/>
      <c r="AZ223" s="39"/>
      <c r="BA223" s="12" t="str">
        <f aca="false">IF(A223="","",IF(COUNTIF(Rebar_Schedule!$A$5:$A$2004,A223)=0,"",ROUND(SUMIF(Rebar_Schedule!$A$5:$A$2004,A223,Rebar_Schedule!$K$5:$K$2004),1)))</f>
        <v/>
      </c>
      <c r="BB223" s="33" t="str">
        <f aca="false">IF(A223="","",IF(BA223="","No rebar schedule yet",IF(ABS(BA223-N(AW223))/MAX(N(AW223),1)&gt;SG_Criteria!$B$55,"NOTE: register rebar differs from schedule by "&amp;TEXT(ABS(BA223-N(AW223))/MAX(N(AW223),1),"0%"),"OK")))</f>
        <v/>
      </c>
      <c r="BC223" s="33" t="str">
        <f aca="false">IF(D223="","",IF(LEN(IF(AND(D223&lt;&gt;"High Covered Linkway",G223&lt;SG_Criteria!$B$46),"FAIL: headroom below "&amp;SG_Criteria!$B$46&amp;" m. ","")&amp;IF(AND(D223="High Covered Linkway",G223&lt;SG_Criteria!$B$47),"FAIL: high linkway headroom below "&amp;SG_Criteria!$B$47&amp;" m. ","")&amp;IF(F223&lt;SG_Criteria!$B$48,"FAIL: roof width below "&amp;SG_Criteria!$B$48&amp;" m. ",IF(F223&lt;SG_Criteria!$B$49,"NOTE: not for MRT/LRT or high-traffic routes (min "&amp;SG_Criteria!$B$49&amp;" m). ",""))&amp;IF(AND(W223&lt;&gt;"",W223&lt;SG_Criteria!$B$50),"FAIL: wind speed below "&amp;SG_Criteria!$B$50&amp;" m/s. ","")&amp;IF(AND(X223&lt;&gt;"",X223&lt;SG_Criteria!$B$51),"FAIL: roof fixing pull-out below "&amp;SG_Criteria!$B$51&amp;" kN. ","")&amp;IF(AND(Y223&lt;&gt;"",IFERROR(VALUE(MID(Y223,2,2)),0)&lt;SG_Criteria!$B$52),"FAIL: grade below C"&amp;SG_Criteria!$B$52&amp;". ","")&amp;IF(E223="Non-standard (project design)","NOTE: not an SDRE standard, needs LTA acceptance. ",""))=0,"OK",IF(AND(D223&lt;&gt;"High Covered Linkway",G223&lt;SG_Criteria!$B$46),"FAIL: headroom below "&amp;SG_Criteria!$B$46&amp;" m. ","")&amp;IF(AND(D223="High Covered Linkway",G223&lt;SG_Criteria!$B$47),"FAIL: high linkway headroom below "&amp;SG_Criteria!$B$47&amp;" m. ","")&amp;IF(F223&lt;SG_Criteria!$B$48,"FAIL: roof width below "&amp;SG_Criteria!$B$48&amp;" m. ",IF(F223&lt;SG_Criteria!$B$49,"NOTE: not for MRT/LRT or high-traffic routes (min "&amp;SG_Criteria!$B$49&amp;" m). ",""))&amp;IF(AND(W223&lt;&gt;"",W223&lt;SG_Criteria!$B$50),"FAIL: wind speed below "&amp;SG_Criteria!$B$50&amp;" m/s. ","")&amp;IF(AND(X223&lt;&gt;"",X223&lt;SG_Criteria!$B$51),"FAIL: roof fixing pull-out below "&amp;SG_Criteria!$B$51&amp;" kN. ","")&amp;IF(AND(Y223&lt;&gt;"",IFERROR(VALUE(MID(Y223,2,2)),0)&lt;SG_Criteria!$B$52),"FAIL: grade below C"&amp;SG_Criteria!$B$52&amp;". ","")&amp;IF(E223="Non-standard (project design)","NOTE: not an SDRE standard, needs LTA acceptance. ","")))</f>
        <v/>
      </c>
      <c r="BD223" s="9"/>
      <c r="BE223" s="9"/>
      <c r="BF223" s="9"/>
      <c r="BG223" s="10" t="str">
        <f aca="false">IF(BF223="","",IFERROR(VLOOKUP(BF223,Projects!$A$5:$D$504,2,0),"Ref not in Projects"))</f>
        <v/>
      </c>
      <c r="BH223" s="10" t="str">
        <f aca="false">IF(BF223="","",IFERROR(VLOOKUP(BF223,Projects!$A$5:$D$504,4,0),"Ref not in Projects"))</f>
        <v/>
      </c>
      <c r="BI223" s="9"/>
      <c r="BJ223" s="9"/>
      <c r="BK223" s="9"/>
      <c r="BL223" s="40"/>
      <c r="BM223" s="9"/>
      <c r="BN223" s="40"/>
      <c r="BO223" s="9"/>
      <c r="BP223" s="40"/>
      <c r="BQ223" s="9"/>
      <c r="BR223" s="9"/>
      <c r="BS223" s="9"/>
      <c r="BT223" s="40"/>
      <c r="BU223" s="40"/>
      <c r="BV223" s="36" t="str">
        <f aca="false">IF(BU223="","",EDATE(BU223,SG_Criteria!$B$54*12))</f>
        <v/>
      </c>
      <c r="BW223" s="33" t="str">
        <f aca="true">IF(A223="","",IF(BU223="","NOTE: not reviewed yet",IF(TODAY()&gt;BV223,"NOTE: review overdue","OK")))</f>
        <v/>
      </c>
      <c r="BX223" s="37" t="str">
        <f aca="false">IF(A223="","",ROUND((IF(LEN(D223)&gt;0,1,0)+IF(LEN(E223)&gt;0,1,0)+IF(LEN(F223)&gt;0,1,0)+IF(LEN(G223)&gt;0,1,0)+IF(LEN(H223)&gt;0,1,0)+IF(LEN(I223)&gt;0,1,0)+IF(LEN(J223)&gt;0,1,0)+IF(LEN(K223)&gt;0,1,0)+IF(LEN(N223)&gt;0,1,0)+IF(LEN(O223)&gt;0,1,0)+IF(LEN(W223)&gt;0,1,0)+IF(LEN(X223)&gt;0,1,0)+IF(LEN(Y223)&gt;0,1,0)+IF(LEN(AG223)&gt;0,1,0)+IF(LEN(AI223)&gt;0,1,0)+IF(LEN(AJ223)&gt;0,1,0)+IF(LEN(AK223)&gt;0,1,0)+IF(LEN(AL223)&gt;0,1,0)+IF(LEN(AU223)&gt;0,1,0)+IF(LEN(BF223)&gt;0,1,0)+IF(LEN(BS223)&gt;0,1,0))/21,2))</f>
        <v/>
      </c>
      <c r="BY223" s="10" t="str">
        <f aca="false">IF(D223="","",IF(AND(AJ223="Approved",ISERROR(SEARCH("FAIL",BC223))),"Y","N"))</f>
        <v/>
      </c>
      <c r="BZ223" s="10" t="str">
        <f aca="false">IF(D223="","",D223&amp;"|"&amp;F223&amp;"|"&amp;G223&amp;"|"&amp;BY223)</f>
        <v/>
      </c>
    </row>
    <row r="224" customFormat="false" ht="15" hidden="false" customHeight="false" outlineLevel="0" collapsed="false">
      <c r="A224" s="10" t="str">
        <f aca="false">IF(D224="","","LKW-"&amp;IFERROR(VLOOKUP(D224,Lists!$AQ$4:$AR$17,2,0),"??")&amp;"-W"&amp;TEXT(F224*1000,"0000")&amp;"-H"&amp;TEXT(G224*1000,"0000")&amp;"-B"&amp;TEXT(H224*1000,"0000")&amp;"-"&amp;AI224)</f>
        <v/>
      </c>
      <c r="B224" s="10" t="str">
        <f aca="false">IF(D224="","",D224&amp;", "&amp;F224&amp;" m wide, "&amp;G224&amp;" m headroom, "&amp;H224&amp;" m bays, "&amp;I224&amp;" ("&amp;E224&amp;")")</f>
        <v/>
      </c>
      <c r="C224" s="9"/>
      <c r="D224" s="9"/>
      <c r="E224" s="9"/>
      <c r="F224" s="42"/>
      <c r="G224" s="42"/>
      <c r="H224" s="42"/>
      <c r="I224" s="9"/>
      <c r="J224" s="9"/>
      <c r="K224" s="9"/>
      <c r="L224" s="9"/>
      <c r="M224" s="9"/>
      <c r="N224" s="9"/>
      <c r="O224" s="9"/>
      <c r="P224" s="9"/>
      <c r="Q224" s="9"/>
      <c r="R224" s="9"/>
      <c r="S224" s="42"/>
      <c r="T224" s="9"/>
      <c r="U224" s="9"/>
      <c r="V224" s="9"/>
      <c r="W224" s="38"/>
      <c r="X224" s="42"/>
      <c r="Y224" s="9"/>
      <c r="Z224" s="9"/>
      <c r="AA224" s="9"/>
      <c r="AB224" s="42"/>
      <c r="AC224" s="9"/>
      <c r="AD224" s="38"/>
      <c r="AE224" s="9"/>
      <c r="AF224" s="39"/>
      <c r="AG224" s="9"/>
      <c r="AH224" s="9"/>
      <c r="AI224" s="9"/>
      <c r="AJ224" s="9"/>
      <c r="AK224" s="9"/>
      <c r="AL224" s="9"/>
      <c r="AM224" s="9"/>
      <c r="AN224" s="10" t="str">
        <f aca="false">IF(A224="","",SG_Criteria!$B$6&amp;SG_Criteria!$B$12&amp;"\"&amp;A224&amp;"\")</f>
        <v/>
      </c>
      <c r="AO224" s="10" t="str">
        <f aca="false">IF(A224="","",A224&amp;"_CAD.dwg")</f>
        <v/>
      </c>
      <c r="AP224" s="10" t="str">
        <f aca="false">IF(A224="","",A224&amp;"_DWG.pdf")</f>
        <v/>
      </c>
      <c r="AQ224" s="10" t="str">
        <f aca="false">IF(A224="","",IF(AM224="Y",A224&amp;"_STAAD.std","n/a"))</f>
        <v/>
      </c>
      <c r="AR224" s="10" t="str">
        <f aca="false">IF(A224="","",A224&amp;"_CALC.xlsx")</f>
        <v/>
      </c>
      <c r="AS224" s="10" t="str">
        <f aca="false">IF(A224="","",A224&amp;"_CALC.pdf")</f>
        <v/>
      </c>
      <c r="AT224" s="9"/>
      <c r="AU224" s="9"/>
      <c r="AV224" s="39"/>
      <c r="AW224" s="39"/>
      <c r="AX224" s="39"/>
      <c r="AY224" s="39"/>
      <c r="AZ224" s="39"/>
      <c r="BA224" s="12" t="str">
        <f aca="false">IF(A224="","",IF(COUNTIF(Rebar_Schedule!$A$5:$A$2004,A224)=0,"",ROUND(SUMIF(Rebar_Schedule!$A$5:$A$2004,A224,Rebar_Schedule!$K$5:$K$2004),1)))</f>
        <v/>
      </c>
      <c r="BB224" s="33" t="str">
        <f aca="false">IF(A224="","",IF(BA224="","No rebar schedule yet",IF(ABS(BA224-N(AW224))/MAX(N(AW224),1)&gt;SG_Criteria!$B$55,"NOTE: register rebar differs from schedule by "&amp;TEXT(ABS(BA224-N(AW224))/MAX(N(AW224),1),"0%"),"OK")))</f>
        <v/>
      </c>
      <c r="BC224" s="33" t="str">
        <f aca="false">IF(D224="","",IF(LEN(IF(AND(D224&lt;&gt;"High Covered Linkway",G224&lt;SG_Criteria!$B$46),"FAIL: headroom below "&amp;SG_Criteria!$B$46&amp;" m. ","")&amp;IF(AND(D224="High Covered Linkway",G224&lt;SG_Criteria!$B$47),"FAIL: high linkway headroom below "&amp;SG_Criteria!$B$47&amp;" m. ","")&amp;IF(F224&lt;SG_Criteria!$B$48,"FAIL: roof width below "&amp;SG_Criteria!$B$48&amp;" m. ",IF(F224&lt;SG_Criteria!$B$49,"NOTE: not for MRT/LRT or high-traffic routes (min "&amp;SG_Criteria!$B$49&amp;" m). ",""))&amp;IF(AND(W224&lt;&gt;"",W224&lt;SG_Criteria!$B$50),"FAIL: wind speed below "&amp;SG_Criteria!$B$50&amp;" m/s. ","")&amp;IF(AND(X224&lt;&gt;"",X224&lt;SG_Criteria!$B$51),"FAIL: roof fixing pull-out below "&amp;SG_Criteria!$B$51&amp;" kN. ","")&amp;IF(AND(Y224&lt;&gt;"",IFERROR(VALUE(MID(Y224,2,2)),0)&lt;SG_Criteria!$B$52),"FAIL: grade below C"&amp;SG_Criteria!$B$52&amp;". ","")&amp;IF(E224="Non-standard (project design)","NOTE: not an SDRE standard, needs LTA acceptance. ",""))=0,"OK",IF(AND(D224&lt;&gt;"High Covered Linkway",G224&lt;SG_Criteria!$B$46),"FAIL: headroom below "&amp;SG_Criteria!$B$46&amp;" m. ","")&amp;IF(AND(D224="High Covered Linkway",G224&lt;SG_Criteria!$B$47),"FAIL: high linkway headroom below "&amp;SG_Criteria!$B$47&amp;" m. ","")&amp;IF(F224&lt;SG_Criteria!$B$48,"FAIL: roof width below "&amp;SG_Criteria!$B$48&amp;" m. ",IF(F224&lt;SG_Criteria!$B$49,"NOTE: not for MRT/LRT or high-traffic routes (min "&amp;SG_Criteria!$B$49&amp;" m). ",""))&amp;IF(AND(W224&lt;&gt;"",W224&lt;SG_Criteria!$B$50),"FAIL: wind speed below "&amp;SG_Criteria!$B$50&amp;" m/s. ","")&amp;IF(AND(X224&lt;&gt;"",X224&lt;SG_Criteria!$B$51),"FAIL: roof fixing pull-out below "&amp;SG_Criteria!$B$51&amp;" kN. ","")&amp;IF(AND(Y224&lt;&gt;"",IFERROR(VALUE(MID(Y224,2,2)),0)&lt;SG_Criteria!$B$52),"FAIL: grade below C"&amp;SG_Criteria!$B$52&amp;". ","")&amp;IF(E224="Non-standard (project design)","NOTE: not an SDRE standard, needs LTA acceptance. ","")))</f>
        <v/>
      </c>
      <c r="BD224" s="9"/>
      <c r="BE224" s="9"/>
      <c r="BF224" s="9"/>
      <c r="BG224" s="10" t="str">
        <f aca="false">IF(BF224="","",IFERROR(VLOOKUP(BF224,Projects!$A$5:$D$504,2,0),"Ref not in Projects"))</f>
        <v/>
      </c>
      <c r="BH224" s="10" t="str">
        <f aca="false">IF(BF224="","",IFERROR(VLOOKUP(BF224,Projects!$A$5:$D$504,4,0),"Ref not in Projects"))</f>
        <v/>
      </c>
      <c r="BI224" s="9"/>
      <c r="BJ224" s="9"/>
      <c r="BK224" s="9"/>
      <c r="BL224" s="40"/>
      <c r="BM224" s="9"/>
      <c r="BN224" s="40"/>
      <c r="BO224" s="9"/>
      <c r="BP224" s="40"/>
      <c r="BQ224" s="9"/>
      <c r="BR224" s="9"/>
      <c r="BS224" s="9"/>
      <c r="BT224" s="40"/>
      <c r="BU224" s="40"/>
      <c r="BV224" s="36" t="str">
        <f aca="false">IF(BU224="","",EDATE(BU224,SG_Criteria!$B$54*12))</f>
        <v/>
      </c>
      <c r="BW224" s="33" t="str">
        <f aca="true">IF(A224="","",IF(BU224="","NOTE: not reviewed yet",IF(TODAY()&gt;BV224,"NOTE: review overdue","OK")))</f>
        <v/>
      </c>
      <c r="BX224" s="37" t="str">
        <f aca="false">IF(A224="","",ROUND((IF(LEN(D224)&gt;0,1,0)+IF(LEN(E224)&gt;0,1,0)+IF(LEN(F224)&gt;0,1,0)+IF(LEN(G224)&gt;0,1,0)+IF(LEN(H224)&gt;0,1,0)+IF(LEN(I224)&gt;0,1,0)+IF(LEN(J224)&gt;0,1,0)+IF(LEN(K224)&gt;0,1,0)+IF(LEN(N224)&gt;0,1,0)+IF(LEN(O224)&gt;0,1,0)+IF(LEN(W224)&gt;0,1,0)+IF(LEN(X224)&gt;0,1,0)+IF(LEN(Y224)&gt;0,1,0)+IF(LEN(AG224)&gt;0,1,0)+IF(LEN(AI224)&gt;0,1,0)+IF(LEN(AJ224)&gt;0,1,0)+IF(LEN(AK224)&gt;0,1,0)+IF(LEN(AL224)&gt;0,1,0)+IF(LEN(AU224)&gt;0,1,0)+IF(LEN(BF224)&gt;0,1,0)+IF(LEN(BS224)&gt;0,1,0))/21,2))</f>
        <v/>
      </c>
      <c r="BY224" s="10" t="str">
        <f aca="false">IF(D224="","",IF(AND(AJ224="Approved",ISERROR(SEARCH("FAIL",BC224))),"Y","N"))</f>
        <v/>
      </c>
      <c r="BZ224" s="10" t="str">
        <f aca="false">IF(D224="","",D224&amp;"|"&amp;F224&amp;"|"&amp;G224&amp;"|"&amp;BY224)</f>
        <v/>
      </c>
    </row>
    <row r="225" customFormat="false" ht="15" hidden="false" customHeight="false" outlineLevel="0" collapsed="false">
      <c r="A225" s="10" t="str">
        <f aca="false">IF(D225="","","LKW-"&amp;IFERROR(VLOOKUP(D225,Lists!$AQ$4:$AR$17,2,0),"??")&amp;"-W"&amp;TEXT(F225*1000,"0000")&amp;"-H"&amp;TEXT(G225*1000,"0000")&amp;"-B"&amp;TEXT(H225*1000,"0000")&amp;"-"&amp;AI225)</f>
        <v/>
      </c>
      <c r="B225" s="10" t="str">
        <f aca="false">IF(D225="","",D225&amp;", "&amp;F225&amp;" m wide, "&amp;G225&amp;" m headroom, "&amp;H225&amp;" m bays, "&amp;I225&amp;" ("&amp;E225&amp;")")</f>
        <v/>
      </c>
      <c r="C225" s="9"/>
      <c r="D225" s="9"/>
      <c r="E225" s="9"/>
      <c r="F225" s="42"/>
      <c r="G225" s="42"/>
      <c r="H225" s="42"/>
      <c r="I225" s="9"/>
      <c r="J225" s="9"/>
      <c r="K225" s="9"/>
      <c r="L225" s="9"/>
      <c r="M225" s="9"/>
      <c r="N225" s="9"/>
      <c r="O225" s="9"/>
      <c r="P225" s="9"/>
      <c r="Q225" s="9"/>
      <c r="R225" s="9"/>
      <c r="S225" s="42"/>
      <c r="T225" s="9"/>
      <c r="U225" s="9"/>
      <c r="V225" s="9"/>
      <c r="W225" s="38"/>
      <c r="X225" s="42"/>
      <c r="Y225" s="9"/>
      <c r="Z225" s="9"/>
      <c r="AA225" s="9"/>
      <c r="AB225" s="42"/>
      <c r="AC225" s="9"/>
      <c r="AD225" s="38"/>
      <c r="AE225" s="9"/>
      <c r="AF225" s="39"/>
      <c r="AG225" s="9"/>
      <c r="AH225" s="9"/>
      <c r="AI225" s="9"/>
      <c r="AJ225" s="9"/>
      <c r="AK225" s="9"/>
      <c r="AL225" s="9"/>
      <c r="AM225" s="9"/>
      <c r="AN225" s="10" t="str">
        <f aca="false">IF(A225="","",SG_Criteria!$B$6&amp;SG_Criteria!$B$12&amp;"\"&amp;A225&amp;"\")</f>
        <v/>
      </c>
      <c r="AO225" s="10" t="str">
        <f aca="false">IF(A225="","",A225&amp;"_CAD.dwg")</f>
        <v/>
      </c>
      <c r="AP225" s="10" t="str">
        <f aca="false">IF(A225="","",A225&amp;"_DWG.pdf")</f>
        <v/>
      </c>
      <c r="AQ225" s="10" t="str">
        <f aca="false">IF(A225="","",IF(AM225="Y",A225&amp;"_STAAD.std","n/a"))</f>
        <v/>
      </c>
      <c r="AR225" s="10" t="str">
        <f aca="false">IF(A225="","",A225&amp;"_CALC.xlsx")</f>
        <v/>
      </c>
      <c r="AS225" s="10" t="str">
        <f aca="false">IF(A225="","",A225&amp;"_CALC.pdf")</f>
        <v/>
      </c>
      <c r="AT225" s="9"/>
      <c r="AU225" s="9"/>
      <c r="AV225" s="39"/>
      <c r="AW225" s="39"/>
      <c r="AX225" s="39"/>
      <c r="AY225" s="39"/>
      <c r="AZ225" s="39"/>
      <c r="BA225" s="12" t="str">
        <f aca="false">IF(A225="","",IF(COUNTIF(Rebar_Schedule!$A$5:$A$2004,A225)=0,"",ROUND(SUMIF(Rebar_Schedule!$A$5:$A$2004,A225,Rebar_Schedule!$K$5:$K$2004),1)))</f>
        <v/>
      </c>
      <c r="BB225" s="33" t="str">
        <f aca="false">IF(A225="","",IF(BA225="","No rebar schedule yet",IF(ABS(BA225-N(AW225))/MAX(N(AW225),1)&gt;SG_Criteria!$B$55,"NOTE: register rebar differs from schedule by "&amp;TEXT(ABS(BA225-N(AW225))/MAX(N(AW225),1),"0%"),"OK")))</f>
        <v/>
      </c>
      <c r="BC225" s="33" t="str">
        <f aca="false">IF(D225="","",IF(LEN(IF(AND(D225&lt;&gt;"High Covered Linkway",G225&lt;SG_Criteria!$B$46),"FAIL: headroom below "&amp;SG_Criteria!$B$46&amp;" m. ","")&amp;IF(AND(D225="High Covered Linkway",G225&lt;SG_Criteria!$B$47),"FAIL: high linkway headroom below "&amp;SG_Criteria!$B$47&amp;" m. ","")&amp;IF(F225&lt;SG_Criteria!$B$48,"FAIL: roof width below "&amp;SG_Criteria!$B$48&amp;" m. ",IF(F225&lt;SG_Criteria!$B$49,"NOTE: not for MRT/LRT or high-traffic routes (min "&amp;SG_Criteria!$B$49&amp;" m). ",""))&amp;IF(AND(W225&lt;&gt;"",W225&lt;SG_Criteria!$B$50),"FAIL: wind speed below "&amp;SG_Criteria!$B$50&amp;" m/s. ","")&amp;IF(AND(X225&lt;&gt;"",X225&lt;SG_Criteria!$B$51),"FAIL: roof fixing pull-out below "&amp;SG_Criteria!$B$51&amp;" kN. ","")&amp;IF(AND(Y225&lt;&gt;"",IFERROR(VALUE(MID(Y225,2,2)),0)&lt;SG_Criteria!$B$52),"FAIL: grade below C"&amp;SG_Criteria!$B$52&amp;". ","")&amp;IF(E225="Non-standard (project design)","NOTE: not an SDRE standard, needs LTA acceptance. ",""))=0,"OK",IF(AND(D225&lt;&gt;"High Covered Linkway",G225&lt;SG_Criteria!$B$46),"FAIL: headroom below "&amp;SG_Criteria!$B$46&amp;" m. ","")&amp;IF(AND(D225="High Covered Linkway",G225&lt;SG_Criteria!$B$47),"FAIL: high linkway headroom below "&amp;SG_Criteria!$B$47&amp;" m. ","")&amp;IF(F225&lt;SG_Criteria!$B$48,"FAIL: roof width below "&amp;SG_Criteria!$B$48&amp;" m. ",IF(F225&lt;SG_Criteria!$B$49,"NOTE: not for MRT/LRT or high-traffic routes (min "&amp;SG_Criteria!$B$49&amp;" m). ",""))&amp;IF(AND(W225&lt;&gt;"",W225&lt;SG_Criteria!$B$50),"FAIL: wind speed below "&amp;SG_Criteria!$B$50&amp;" m/s. ","")&amp;IF(AND(X225&lt;&gt;"",X225&lt;SG_Criteria!$B$51),"FAIL: roof fixing pull-out below "&amp;SG_Criteria!$B$51&amp;" kN. ","")&amp;IF(AND(Y225&lt;&gt;"",IFERROR(VALUE(MID(Y225,2,2)),0)&lt;SG_Criteria!$B$52),"FAIL: grade below C"&amp;SG_Criteria!$B$52&amp;". ","")&amp;IF(E225="Non-standard (project design)","NOTE: not an SDRE standard, needs LTA acceptance. ","")))</f>
        <v/>
      </c>
      <c r="BD225" s="9"/>
      <c r="BE225" s="9"/>
      <c r="BF225" s="9"/>
      <c r="BG225" s="10" t="str">
        <f aca="false">IF(BF225="","",IFERROR(VLOOKUP(BF225,Projects!$A$5:$D$504,2,0),"Ref not in Projects"))</f>
        <v/>
      </c>
      <c r="BH225" s="10" t="str">
        <f aca="false">IF(BF225="","",IFERROR(VLOOKUP(BF225,Projects!$A$5:$D$504,4,0),"Ref not in Projects"))</f>
        <v/>
      </c>
      <c r="BI225" s="9"/>
      <c r="BJ225" s="9"/>
      <c r="BK225" s="9"/>
      <c r="BL225" s="40"/>
      <c r="BM225" s="9"/>
      <c r="BN225" s="40"/>
      <c r="BO225" s="9"/>
      <c r="BP225" s="40"/>
      <c r="BQ225" s="9"/>
      <c r="BR225" s="9"/>
      <c r="BS225" s="9"/>
      <c r="BT225" s="40"/>
      <c r="BU225" s="40"/>
      <c r="BV225" s="36" t="str">
        <f aca="false">IF(BU225="","",EDATE(BU225,SG_Criteria!$B$54*12))</f>
        <v/>
      </c>
      <c r="BW225" s="33" t="str">
        <f aca="true">IF(A225="","",IF(BU225="","NOTE: not reviewed yet",IF(TODAY()&gt;BV225,"NOTE: review overdue","OK")))</f>
        <v/>
      </c>
      <c r="BX225" s="37" t="str">
        <f aca="false">IF(A225="","",ROUND((IF(LEN(D225)&gt;0,1,0)+IF(LEN(E225)&gt;0,1,0)+IF(LEN(F225)&gt;0,1,0)+IF(LEN(G225)&gt;0,1,0)+IF(LEN(H225)&gt;0,1,0)+IF(LEN(I225)&gt;0,1,0)+IF(LEN(J225)&gt;0,1,0)+IF(LEN(K225)&gt;0,1,0)+IF(LEN(N225)&gt;0,1,0)+IF(LEN(O225)&gt;0,1,0)+IF(LEN(W225)&gt;0,1,0)+IF(LEN(X225)&gt;0,1,0)+IF(LEN(Y225)&gt;0,1,0)+IF(LEN(AG225)&gt;0,1,0)+IF(LEN(AI225)&gt;0,1,0)+IF(LEN(AJ225)&gt;0,1,0)+IF(LEN(AK225)&gt;0,1,0)+IF(LEN(AL225)&gt;0,1,0)+IF(LEN(AU225)&gt;0,1,0)+IF(LEN(BF225)&gt;0,1,0)+IF(LEN(BS225)&gt;0,1,0))/21,2))</f>
        <v/>
      </c>
      <c r="BY225" s="10" t="str">
        <f aca="false">IF(D225="","",IF(AND(AJ225="Approved",ISERROR(SEARCH("FAIL",BC225))),"Y","N"))</f>
        <v/>
      </c>
      <c r="BZ225" s="10" t="str">
        <f aca="false">IF(D225="","",D225&amp;"|"&amp;F225&amp;"|"&amp;G225&amp;"|"&amp;BY225)</f>
        <v/>
      </c>
    </row>
    <row r="226" customFormat="false" ht="15" hidden="false" customHeight="false" outlineLevel="0" collapsed="false">
      <c r="A226" s="10" t="str">
        <f aca="false">IF(D226="","","LKW-"&amp;IFERROR(VLOOKUP(D226,Lists!$AQ$4:$AR$17,2,0),"??")&amp;"-W"&amp;TEXT(F226*1000,"0000")&amp;"-H"&amp;TEXT(G226*1000,"0000")&amp;"-B"&amp;TEXT(H226*1000,"0000")&amp;"-"&amp;AI226)</f>
        <v/>
      </c>
      <c r="B226" s="10" t="str">
        <f aca="false">IF(D226="","",D226&amp;", "&amp;F226&amp;" m wide, "&amp;G226&amp;" m headroom, "&amp;H226&amp;" m bays, "&amp;I226&amp;" ("&amp;E226&amp;")")</f>
        <v/>
      </c>
      <c r="C226" s="9"/>
      <c r="D226" s="9"/>
      <c r="E226" s="9"/>
      <c r="F226" s="42"/>
      <c r="G226" s="42"/>
      <c r="H226" s="42"/>
      <c r="I226" s="9"/>
      <c r="J226" s="9"/>
      <c r="K226" s="9"/>
      <c r="L226" s="9"/>
      <c r="M226" s="9"/>
      <c r="N226" s="9"/>
      <c r="O226" s="9"/>
      <c r="P226" s="9"/>
      <c r="Q226" s="9"/>
      <c r="R226" s="9"/>
      <c r="S226" s="42"/>
      <c r="T226" s="9"/>
      <c r="U226" s="9"/>
      <c r="V226" s="9"/>
      <c r="W226" s="38"/>
      <c r="X226" s="42"/>
      <c r="Y226" s="9"/>
      <c r="Z226" s="9"/>
      <c r="AA226" s="9"/>
      <c r="AB226" s="42"/>
      <c r="AC226" s="9"/>
      <c r="AD226" s="38"/>
      <c r="AE226" s="9"/>
      <c r="AF226" s="39"/>
      <c r="AG226" s="9"/>
      <c r="AH226" s="9"/>
      <c r="AI226" s="9"/>
      <c r="AJ226" s="9"/>
      <c r="AK226" s="9"/>
      <c r="AL226" s="9"/>
      <c r="AM226" s="9"/>
      <c r="AN226" s="10" t="str">
        <f aca="false">IF(A226="","",SG_Criteria!$B$6&amp;SG_Criteria!$B$12&amp;"\"&amp;A226&amp;"\")</f>
        <v/>
      </c>
      <c r="AO226" s="10" t="str">
        <f aca="false">IF(A226="","",A226&amp;"_CAD.dwg")</f>
        <v/>
      </c>
      <c r="AP226" s="10" t="str">
        <f aca="false">IF(A226="","",A226&amp;"_DWG.pdf")</f>
        <v/>
      </c>
      <c r="AQ226" s="10" t="str">
        <f aca="false">IF(A226="","",IF(AM226="Y",A226&amp;"_STAAD.std","n/a"))</f>
        <v/>
      </c>
      <c r="AR226" s="10" t="str">
        <f aca="false">IF(A226="","",A226&amp;"_CALC.xlsx")</f>
        <v/>
      </c>
      <c r="AS226" s="10" t="str">
        <f aca="false">IF(A226="","",A226&amp;"_CALC.pdf")</f>
        <v/>
      </c>
      <c r="AT226" s="9"/>
      <c r="AU226" s="9"/>
      <c r="AV226" s="39"/>
      <c r="AW226" s="39"/>
      <c r="AX226" s="39"/>
      <c r="AY226" s="39"/>
      <c r="AZ226" s="39"/>
      <c r="BA226" s="12" t="str">
        <f aca="false">IF(A226="","",IF(COUNTIF(Rebar_Schedule!$A$5:$A$2004,A226)=0,"",ROUND(SUMIF(Rebar_Schedule!$A$5:$A$2004,A226,Rebar_Schedule!$K$5:$K$2004),1)))</f>
        <v/>
      </c>
      <c r="BB226" s="33" t="str">
        <f aca="false">IF(A226="","",IF(BA226="","No rebar schedule yet",IF(ABS(BA226-N(AW226))/MAX(N(AW226),1)&gt;SG_Criteria!$B$55,"NOTE: register rebar differs from schedule by "&amp;TEXT(ABS(BA226-N(AW226))/MAX(N(AW226),1),"0%"),"OK")))</f>
        <v/>
      </c>
      <c r="BC226" s="33" t="str">
        <f aca="false">IF(D226="","",IF(LEN(IF(AND(D226&lt;&gt;"High Covered Linkway",G226&lt;SG_Criteria!$B$46),"FAIL: headroom below "&amp;SG_Criteria!$B$46&amp;" m. ","")&amp;IF(AND(D226="High Covered Linkway",G226&lt;SG_Criteria!$B$47),"FAIL: high linkway headroom below "&amp;SG_Criteria!$B$47&amp;" m. ","")&amp;IF(F226&lt;SG_Criteria!$B$48,"FAIL: roof width below "&amp;SG_Criteria!$B$48&amp;" m. ",IF(F226&lt;SG_Criteria!$B$49,"NOTE: not for MRT/LRT or high-traffic routes (min "&amp;SG_Criteria!$B$49&amp;" m). ",""))&amp;IF(AND(W226&lt;&gt;"",W226&lt;SG_Criteria!$B$50),"FAIL: wind speed below "&amp;SG_Criteria!$B$50&amp;" m/s. ","")&amp;IF(AND(X226&lt;&gt;"",X226&lt;SG_Criteria!$B$51),"FAIL: roof fixing pull-out below "&amp;SG_Criteria!$B$51&amp;" kN. ","")&amp;IF(AND(Y226&lt;&gt;"",IFERROR(VALUE(MID(Y226,2,2)),0)&lt;SG_Criteria!$B$52),"FAIL: grade below C"&amp;SG_Criteria!$B$52&amp;". ","")&amp;IF(E226="Non-standard (project design)","NOTE: not an SDRE standard, needs LTA acceptance. ",""))=0,"OK",IF(AND(D226&lt;&gt;"High Covered Linkway",G226&lt;SG_Criteria!$B$46),"FAIL: headroom below "&amp;SG_Criteria!$B$46&amp;" m. ","")&amp;IF(AND(D226="High Covered Linkway",G226&lt;SG_Criteria!$B$47),"FAIL: high linkway headroom below "&amp;SG_Criteria!$B$47&amp;" m. ","")&amp;IF(F226&lt;SG_Criteria!$B$48,"FAIL: roof width below "&amp;SG_Criteria!$B$48&amp;" m. ",IF(F226&lt;SG_Criteria!$B$49,"NOTE: not for MRT/LRT or high-traffic routes (min "&amp;SG_Criteria!$B$49&amp;" m). ",""))&amp;IF(AND(W226&lt;&gt;"",W226&lt;SG_Criteria!$B$50),"FAIL: wind speed below "&amp;SG_Criteria!$B$50&amp;" m/s. ","")&amp;IF(AND(X226&lt;&gt;"",X226&lt;SG_Criteria!$B$51),"FAIL: roof fixing pull-out below "&amp;SG_Criteria!$B$51&amp;" kN. ","")&amp;IF(AND(Y226&lt;&gt;"",IFERROR(VALUE(MID(Y226,2,2)),0)&lt;SG_Criteria!$B$52),"FAIL: grade below C"&amp;SG_Criteria!$B$52&amp;". ","")&amp;IF(E226="Non-standard (project design)","NOTE: not an SDRE standard, needs LTA acceptance. ","")))</f>
        <v/>
      </c>
      <c r="BD226" s="9"/>
      <c r="BE226" s="9"/>
      <c r="BF226" s="9"/>
      <c r="BG226" s="10" t="str">
        <f aca="false">IF(BF226="","",IFERROR(VLOOKUP(BF226,Projects!$A$5:$D$504,2,0),"Ref not in Projects"))</f>
        <v/>
      </c>
      <c r="BH226" s="10" t="str">
        <f aca="false">IF(BF226="","",IFERROR(VLOOKUP(BF226,Projects!$A$5:$D$504,4,0),"Ref not in Projects"))</f>
        <v/>
      </c>
      <c r="BI226" s="9"/>
      <c r="BJ226" s="9"/>
      <c r="BK226" s="9"/>
      <c r="BL226" s="40"/>
      <c r="BM226" s="9"/>
      <c r="BN226" s="40"/>
      <c r="BO226" s="9"/>
      <c r="BP226" s="40"/>
      <c r="BQ226" s="9"/>
      <c r="BR226" s="9"/>
      <c r="BS226" s="9"/>
      <c r="BT226" s="40"/>
      <c r="BU226" s="40"/>
      <c r="BV226" s="36" t="str">
        <f aca="false">IF(BU226="","",EDATE(BU226,SG_Criteria!$B$54*12))</f>
        <v/>
      </c>
      <c r="BW226" s="33" t="str">
        <f aca="true">IF(A226="","",IF(BU226="","NOTE: not reviewed yet",IF(TODAY()&gt;BV226,"NOTE: review overdue","OK")))</f>
        <v/>
      </c>
      <c r="BX226" s="37" t="str">
        <f aca="false">IF(A226="","",ROUND((IF(LEN(D226)&gt;0,1,0)+IF(LEN(E226)&gt;0,1,0)+IF(LEN(F226)&gt;0,1,0)+IF(LEN(G226)&gt;0,1,0)+IF(LEN(H226)&gt;0,1,0)+IF(LEN(I226)&gt;0,1,0)+IF(LEN(J226)&gt;0,1,0)+IF(LEN(K226)&gt;0,1,0)+IF(LEN(N226)&gt;0,1,0)+IF(LEN(O226)&gt;0,1,0)+IF(LEN(W226)&gt;0,1,0)+IF(LEN(X226)&gt;0,1,0)+IF(LEN(Y226)&gt;0,1,0)+IF(LEN(AG226)&gt;0,1,0)+IF(LEN(AI226)&gt;0,1,0)+IF(LEN(AJ226)&gt;0,1,0)+IF(LEN(AK226)&gt;0,1,0)+IF(LEN(AL226)&gt;0,1,0)+IF(LEN(AU226)&gt;0,1,0)+IF(LEN(BF226)&gt;0,1,0)+IF(LEN(BS226)&gt;0,1,0))/21,2))</f>
        <v/>
      </c>
      <c r="BY226" s="10" t="str">
        <f aca="false">IF(D226="","",IF(AND(AJ226="Approved",ISERROR(SEARCH("FAIL",BC226))),"Y","N"))</f>
        <v/>
      </c>
      <c r="BZ226" s="10" t="str">
        <f aca="false">IF(D226="","",D226&amp;"|"&amp;F226&amp;"|"&amp;G226&amp;"|"&amp;BY226)</f>
        <v/>
      </c>
    </row>
    <row r="227" customFormat="false" ht="15" hidden="false" customHeight="false" outlineLevel="0" collapsed="false">
      <c r="A227" s="10" t="str">
        <f aca="false">IF(D227="","","LKW-"&amp;IFERROR(VLOOKUP(D227,Lists!$AQ$4:$AR$17,2,0),"??")&amp;"-W"&amp;TEXT(F227*1000,"0000")&amp;"-H"&amp;TEXT(G227*1000,"0000")&amp;"-B"&amp;TEXT(H227*1000,"0000")&amp;"-"&amp;AI227)</f>
        <v/>
      </c>
      <c r="B227" s="10" t="str">
        <f aca="false">IF(D227="","",D227&amp;", "&amp;F227&amp;" m wide, "&amp;G227&amp;" m headroom, "&amp;H227&amp;" m bays, "&amp;I227&amp;" ("&amp;E227&amp;")")</f>
        <v/>
      </c>
      <c r="C227" s="9"/>
      <c r="D227" s="9"/>
      <c r="E227" s="9"/>
      <c r="F227" s="42"/>
      <c r="G227" s="42"/>
      <c r="H227" s="42"/>
      <c r="I227" s="9"/>
      <c r="J227" s="9"/>
      <c r="K227" s="9"/>
      <c r="L227" s="9"/>
      <c r="M227" s="9"/>
      <c r="N227" s="9"/>
      <c r="O227" s="9"/>
      <c r="P227" s="9"/>
      <c r="Q227" s="9"/>
      <c r="R227" s="9"/>
      <c r="S227" s="42"/>
      <c r="T227" s="9"/>
      <c r="U227" s="9"/>
      <c r="V227" s="9"/>
      <c r="W227" s="38"/>
      <c r="X227" s="42"/>
      <c r="Y227" s="9"/>
      <c r="Z227" s="9"/>
      <c r="AA227" s="9"/>
      <c r="AB227" s="42"/>
      <c r="AC227" s="9"/>
      <c r="AD227" s="38"/>
      <c r="AE227" s="9"/>
      <c r="AF227" s="39"/>
      <c r="AG227" s="9"/>
      <c r="AH227" s="9"/>
      <c r="AI227" s="9"/>
      <c r="AJ227" s="9"/>
      <c r="AK227" s="9"/>
      <c r="AL227" s="9"/>
      <c r="AM227" s="9"/>
      <c r="AN227" s="10" t="str">
        <f aca="false">IF(A227="","",SG_Criteria!$B$6&amp;SG_Criteria!$B$12&amp;"\"&amp;A227&amp;"\")</f>
        <v/>
      </c>
      <c r="AO227" s="10" t="str">
        <f aca="false">IF(A227="","",A227&amp;"_CAD.dwg")</f>
        <v/>
      </c>
      <c r="AP227" s="10" t="str">
        <f aca="false">IF(A227="","",A227&amp;"_DWG.pdf")</f>
        <v/>
      </c>
      <c r="AQ227" s="10" t="str">
        <f aca="false">IF(A227="","",IF(AM227="Y",A227&amp;"_STAAD.std","n/a"))</f>
        <v/>
      </c>
      <c r="AR227" s="10" t="str">
        <f aca="false">IF(A227="","",A227&amp;"_CALC.xlsx")</f>
        <v/>
      </c>
      <c r="AS227" s="10" t="str">
        <f aca="false">IF(A227="","",A227&amp;"_CALC.pdf")</f>
        <v/>
      </c>
      <c r="AT227" s="9"/>
      <c r="AU227" s="9"/>
      <c r="AV227" s="39"/>
      <c r="AW227" s="39"/>
      <c r="AX227" s="39"/>
      <c r="AY227" s="39"/>
      <c r="AZ227" s="39"/>
      <c r="BA227" s="12" t="str">
        <f aca="false">IF(A227="","",IF(COUNTIF(Rebar_Schedule!$A$5:$A$2004,A227)=0,"",ROUND(SUMIF(Rebar_Schedule!$A$5:$A$2004,A227,Rebar_Schedule!$K$5:$K$2004),1)))</f>
        <v/>
      </c>
      <c r="BB227" s="33" t="str">
        <f aca="false">IF(A227="","",IF(BA227="","No rebar schedule yet",IF(ABS(BA227-N(AW227))/MAX(N(AW227),1)&gt;SG_Criteria!$B$55,"NOTE: register rebar differs from schedule by "&amp;TEXT(ABS(BA227-N(AW227))/MAX(N(AW227),1),"0%"),"OK")))</f>
        <v/>
      </c>
      <c r="BC227" s="33" t="str">
        <f aca="false">IF(D227="","",IF(LEN(IF(AND(D227&lt;&gt;"High Covered Linkway",G227&lt;SG_Criteria!$B$46),"FAIL: headroom below "&amp;SG_Criteria!$B$46&amp;" m. ","")&amp;IF(AND(D227="High Covered Linkway",G227&lt;SG_Criteria!$B$47),"FAIL: high linkway headroom below "&amp;SG_Criteria!$B$47&amp;" m. ","")&amp;IF(F227&lt;SG_Criteria!$B$48,"FAIL: roof width below "&amp;SG_Criteria!$B$48&amp;" m. ",IF(F227&lt;SG_Criteria!$B$49,"NOTE: not for MRT/LRT or high-traffic routes (min "&amp;SG_Criteria!$B$49&amp;" m). ",""))&amp;IF(AND(W227&lt;&gt;"",W227&lt;SG_Criteria!$B$50),"FAIL: wind speed below "&amp;SG_Criteria!$B$50&amp;" m/s. ","")&amp;IF(AND(X227&lt;&gt;"",X227&lt;SG_Criteria!$B$51),"FAIL: roof fixing pull-out below "&amp;SG_Criteria!$B$51&amp;" kN. ","")&amp;IF(AND(Y227&lt;&gt;"",IFERROR(VALUE(MID(Y227,2,2)),0)&lt;SG_Criteria!$B$52),"FAIL: grade below C"&amp;SG_Criteria!$B$52&amp;". ","")&amp;IF(E227="Non-standard (project design)","NOTE: not an SDRE standard, needs LTA acceptance. ",""))=0,"OK",IF(AND(D227&lt;&gt;"High Covered Linkway",G227&lt;SG_Criteria!$B$46),"FAIL: headroom below "&amp;SG_Criteria!$B$46&amp;" m. ","")&amp;IF(AND(D227="High Covered Linkway",G227&lt;SG_Criteria!$B$47),"FAIL: high linkway headroom below "&amp;SG_Criteria!$B$47&amp;" m. ","")&amp;IF(F227&lt;SG_Criteria!$B$48,"FAIL: roof width below "&amp;SG_Criteria!$B$48&amp;" m. ",IF(F227&lt;SG_Criteria!$B$49,"NOTE: not for MRT/LRT or high-traffic routes (min "&amp;SG_Criteria!$B$49&amp;" m). ",""))&amp;IF(AND(W227&lt;&gt;"",W227&lt;SG_Criteria!$B$50),"FAIL: wind speed below "&amp;SG_Criteria!$B$50&amp;" m/s. ","")&amp;IF(AND(X227&lt;&gt;"",X227&lt;SG_Criteria!$B$51),"FAIL: roof fixing pull-out below "&amp;SG_Criteria!$B$51&amp;" kN. ","")&amp;IF(AND(Y227&lt;&gt;"",IFERROR(VALUE(MID(Y227,2,2)),0)&lt;SG_Criteria!$B$52),"FAIL: grade below C"&amp;SG_Criteria!$B$52&amp;". ","")&amp;IF(E227="Non-standard (project design)","NOTE: not an SDRE standard, needs LTA acceptance. ","")))</f>
        <v/>
      </c>
      <c r="BD227" s="9"/>
      <c r="BE227" s="9"/>
      <c r="BF227" s="9"/>
      <c r="BG227" s="10" t="str">
        <f aca="false">IF(BF227="","",IFERROR(VLOOKUP(BF227,Projects!$A$5:$D$504,2,0),"Ref not in Projects"))</f>
        <v/>
      </c>
      <c r="BH227" s="10" t="str">
        <f aca="false">IF(BF227="","",IFERROR(VLOOKUP(BF227,Projects!$A$5:$D$504,4,0),"Ref not in Projects"))</f>
        <v/>
      </c>
      <c r="BI227" s="9"/>
      <c r="BJ227" s="9"/>
      <c r="BK227" s="9"/>
      <c r="BL227" s="40"/>
      <c r="BM227" s="9"/>
      <c r="BN227" s="40"/>
      <c r="BO227" s="9"/>
      <c r="BP227" s="40"/>
      <c r="BQ227" s="9"/>
      <c r="BR227" s="9"/>
      <c r="BS227" s="9"/>
      <c r="BT227" s="40"/>
      <c r="BU227" s="40"/>
      <c r="BV227" s="36" t="str">
        <f aca="false">IF(BU227="","",EDATE(BU227,SG_Criteria!$B$54*12))</f>
        <v/>
      </c>
      <c r="BW227" s="33" t="str">
        <f aca="true">IF(A227="","",IF(BU227="","NOTE: not reviewed yet",IF(TODAY()&gt;BV227,"NOTE: review overdue","OK")))</f>
        <v/>
      </c>
      <c r="BX227" s="37" t="str">
        <f aca="false">IF(A227="","",ROUND((IF(LEN(D227)&gt;0,1,0)+IF(LEN(E227)&gt;0,1,0)+IF(LEN(F227)&gt;0,1,0)+IF(LEN(G227)&gt;0,1,0)+IF(LEN(H227)&gt;0,1,0)+IF(LEN(I227)&gt;0,1,0)+IF(LEN(J227)&gt;0,1,0)+IF(LEN(K227)&gt;0,1,0)+IF(LEN(N227)&gt;0,1,0)+IF(LEN(O227)&gt;0,1,0)+IF(LEN(W227)&gt;0,1,0)+IF(LEN(X227)&gt;0,1,0)+IF(LEN(Y227)&gt;0,1,0)+IF(LEN(AG227)&gt;0,1,0)+IF(LEN(AI227)&gt;0,1,0)+IF(LEN(AJ227)&gt;0,1,0)+IF(LEN(AK227)&gt;0,1,0)+IF(LEN(AL227)&gt;0,1,0)+IF(LEN(AU227)&gt;0,1,0)+IF(LEN(BF227)&gt;0,1,0)+IF(LEN(BS227)&gt;0,1,0))/21,2))</f>
        <v/>
      </c>
      <c r="BY227" s="10" t="str">
        <f aca="false">IF(D227="","",IF(AND(AJ227="Approved",ISERROR(SEARCH("FAIL",BC227))),"Y","N"))</f>
        <v/>
      </c>
      <c r="BZ227" s="10" t="str">
        <f aca="false">IF(D227="","",D227&amp;"|"&amp;F227&amp;"|"&amp;G227&amp;"|"&amp;BY227)</f>
        <v/>
      </c>
    </row>
    <row r="228" customFormat="false" ht="15" hidden="false" customHeight="false" outlineLevel="0" collapsed="false">
      <c r="A228" s="10" t="str">
        <f aca="false">IF(D228="","","LKW-"&amp;IFERROR(VLOOKUP(D228,Lists!$AQ$4:$AR$17,2,0),"??")&amp;"-W"&amp;TEXT(F228*1000,"0000")&amp;"-H"&amp;TEXT(G228*1000,"0000")&amp;"-B"&amp;TEXT(H228*1000,"0000")&amp;"-"&amp;AI228)</f>
        <v/>
      </c>
      <c r="B228" s="10" t="str">
        <f aca="false">IF(D228="","",D228&amp;", "&amp;F228&amp;" m wide, "&amp;G228&amp;" m headroom, "&amp;H228&amp;" m bays, "&amp;I228&amp;" ("&amp;E228&amp;")")</f>
        <v/>
      </c>
      <c r="C228" s="9"/>
      <c r="D228" s="9"/>
      <c r="E228" s="9"/>
      <c r="F228" s="42"/>
      <c r="G228" s="42"/>
      <c r="H228" s="42"/>
      <c r="I228" s="9"/>
      <c r="J228" s="9"/>
      <c r="K228" s="9"/>
      <c r="L228" s="9"/>
      <c r="M228" s="9"/>
      <c r="N228" s="9"/>
      <c r="O228" s="9"/>
      <c r="P228" s="9"/>
      <c r="Q228" s="9"/>
      <c r="R228" s="9"/>
      <c r="S228" s="42"/>
      <c r="T228" s="9"/>
      <c r="U228" s="9"/>
      <c r="V228" s="9"/>
      <c r="W228" s="38"/>
      <c r="X228" s="42"/>
      <c r="Y228" s="9"/>
      <c r="Z228" s="9"/>
      <c r="AA228" s="9"/>
      <c r="AB228" s="42"/>
      <c r="AC228" s="9"/>
      <c r="AD228" s="38"/>
      <c r="AE228" s="9"/>
      <c r="AF228" s="39"/>
      <c r="AG228" s="9"/>
      <c r="AH228" s="9"/>
      <c r="AI228" s="9"/>
      <c r="AJ228" s="9"/>
      <c r="AK228" s="9"/>
      <c r="AL228" s="9"/>
      <c r="AM228" s="9"/>
      <c r="AN228" s="10" t="str">
        <f aca="false">IF(A228="","",SG_Criteria!$B$6&amp;SG_Criteria!$B$12&amp;"\"&amp;A228&amp;"\")</f>
        <v/>
      </c>
      <c r="AO228" s="10" t="str">
        <f aca="false">IF(A228="","",A228&amp;"_CAD.dwg")</f>
        <v/>
      </c>
      <c r="AP228" s="10" t="str">
        <f aca="false">IF(A228="","",A228&amp;"_DWG.pdf")</f>
        <v/>
      </c>
      <c r="AQ228" s="10" t="str">
        <f aca="false">IF(A228="","",IF(AM228="Y",A228&amp;"_STAAD.std","n/a"))</f>
        <v/>
      </c>
      <c r="AR228" s="10" t="str">
        <f aca="false">IF(A228="","",A228&amp;"_CALC.xlsx")</f>
        <v/>
      </c>
      <c r="AS228" s="10" t="str">
        <f aca="false">IF(A228="","",A228&amp;"_CALC.pdf")</f>
        <v/>
      </c>
      <c r="AT228" s="9"/>
      <c r="AU228" s="9"/>
      <c r="AV228" s="39"/>
      <c r="AW228" s="39"/>
      <c r="AX228" s="39"/>
      <c r="AY228" s="39"/>
      <c r="AZ228" s="39"/>
      <c r="BA228" s="12" t="str">
        <f aca="false">IF(A228="","",IF(COUNTIF(Rebar_Schedule!$A$5:$A$2004,A228)=0,"",ROUND(SUMIF(Rebar_Schedule!$A$5:$A$2004,A228,Rebar_Schedule!$K$5:$K$2004),1)))</f>
        <v/>
      </c>
      <c r="BB228" s="33" t="str">
        <f aca="false">IF(A228="","",IF(BA228="","No rebar schedule yet",IF(ABS(BA228-N(AW228))/MAX(N(AW228),1)&gt;SG_Criteria!$B$55,"NOTE: register rebar differs from schedule by "&amp;TEXT(ABS(BA228-N(AW228))/MAX(N(AW228),1),"0%"),"OK")))</f>
        <v/>
      </c>
      <c r="BC228" s="33" t="str">
        <f aca="false">IF(D228="","",IF(LEN(IF(AND(D228&lt;&gt;"High Covered Linkway",G228&lt;SG_Criteria!$B$46),"FAIL: headroom below "&amp;SG_Criteria!$B$46&amp;" m. ","")&amp;IF(AND(D228="High Covered Linkway",G228&lt;SG_Criteria!$B$47),"FAIL: high linkway headroom below "&amp;SG_Criteria!$B$47&amp;" m. ","")&amp;IF(F228&lt;SG_Criteria!$B$48,"FAIL: roof width below "&amp;SG_Criteria!$B$48&amp;" m. ",IF(F228&lt;SG_Criteria!$B$49,"NOTE: not for MRT/LRT or high-traffic routes (min "&amp;SG_Criteria!$B$49&amp;" m). ",""))&amp;IF(AND(W228&lt;&gt;"",W228&lt;SG_Criteria!$B$50),"FAIL: wind speed below "&amp;SG_Criteria!$B$50&amp;" m/s. ","")&amp;IF(AND(X228&lt;&gt;"",X228&lt;SG_Criteria!$B$51),"FAIL: roof fixing pull-out below "&amp;SG_Criteria!$B$51&amp;" kN. ","")&amp;IF(AND(Y228&lt;&gt;"",IFERROR(VALUE(MID(Y228,2,2)),0)&lt;SG_Criteria!$B$52),"FAIL: grade below C"&amp;SG_Criteria!$B$52&amp;". ","")&amp;IF(E228="Non-standard (project design)","NOTE: not an SDRE standard, needs LTA acceptance. ",""))=0,"OK",IF(AND(D228&lt;&gt;"High Covered Linkway",G228&lt;SG_Criteria!$B$46),"FAIL: headroom below "&amp;SG_Criteria!$B$46&amp;" m. ","")&amp;IF(AND(D228="High Covered Linkway",G228&lt;SG_Criteria!$B$47),"FAIL: high linkway headroom below "&amp;SG_Criteria!$B$47&amp;" m. ","")&amp;IF(F228&lt;SG_Criteria!$B$48,"FAIL: roof width below "&amp;SG_Criteria!$B$48&amp;" m. ",IF(F228&lt;SG_Criteria!$B$49,"NOTE: not for MRT/LRT or high-traffic routes (min "&amp;SG_Criteria!$B$49&amp;" m). ",""))&amp;IF(AND(W228&lt;&gt;"",W228&lt;SG_Criteria!$B$50),"FAIL: wind speed below "&amp;SG_Criteria!$B$50&amp;" m/s. ","")&amp;IF(AND(X228&lt;&gt;"",X228&lt;SG_Criteria!$B$51),"FAIL: roof fixing pull-out below "&amp;SG_Criteria!$B$51&amp;" kN. ","")&amp;IF(AND(Y228&lt;&gt;"",IFERROR(VALUE(MID(Y228,2,2)),0)&lt;SG_Criteria!$B$52),"FAIL: grade below C"&amp;SG_Criteria!$B$52&amp;". ","")&amp;IF(E228="Non-standard (project design)","NOTE: not an SDRE standard, needs LTA acceptance. ","")))</f>
        <v/>
      </c>
      <c r="BD228" s="9"/>
      <c r="BE228" s="9"/>
      <c r="BF228" s="9"/>
      <c r="BG228" s="10" t="str">
        <f aca="false">IF(BF228="","",IFERROR(VLOOKUP(BF228,Projects!$A$5:$D$504,2,0),"Ref not in Projects"))</f>
        <v/>
      </c>
      <c r="BH228" s="10" t="str">
        <f aca="false">IF(BF228="","",IFERROR(VLOOKUP(BF228,Projects!$A$5:$D$504,4,0),"Ref not in Projects"))</f>
        <v/>
      </c>
      <c r="BI228" s="9"/>
      <c r="BJ228" s="9"/>
      <c r="BK228" s="9"/>
      <c r="BL228" s="40"/>
      <c r="BM228" s="9"/>
      <c r="BN228" s="40"/>
      <c r="BO228" s="9"/>
      <c r="BP228" s="40"/>
      <c r="BQ228" s="9"/>
      <c r="BR228" s="9"/>
      <c r="BS228" s="9"/>
      <c r="BT228" s="40"/>
      <c r="BU228" s="40"/>
      <c r="BV228" s="36" t="str">
        <f aca="false">IF(BU228="","",EDATE(BU228,SG_Criteria!$B$54*12))</f>
        <v/>
      </c>
      <c r="BW228" s="33" t="str">
        <f aca="true">IF(A228="","",IF(BU228="","NOTE: not reviewed yet",IF(TODAY()&gt;BV228,"NOTE: review overdue","OK")))</f>
        <v/>
      </c>
      <c r="BX228" s="37" t="str">
        <f aca="false">IF(A228="","",ROUND((IF(LEN(D228)&gt;0,1,0)+IF(LEN(E228)&gt;0,1,0)+IF(LEN(F228)&gt;0,1,0)+IF(LEN(G228)&gt;0,1,0)+IF(LEN(H228)&gt;0,1,0)+IF(LEN(I228)&gt;0,1,0)+IF(LEN(J228)&gt;0,1,0)+IF(LEN(K228)&gt;0,1,0)+IF(LEN(N228)&gt;0,1,0)+IF(LEN(O228)&gt;0,1,0)+IF(LEN(W228)&gt;0,1,0)+IF(LEN(X228)&gt;0,1,0)+IF(LEN(Y228)&gt;0,1,0)+IF(LEN(AG228)&gt;0,1,0)+IF(LEN(AI228)&gt;0,1,0)+IF(LEN(AJ228)&gt;0,1,0)+IF(LEN(AK228)&gt;0,1,0)+IF(LEN(AL228)&gt;0,1,0)+IF(LEN(AU228)&gt;0,1,0)+IF(LEN(BF228)&gt;0,1,0)+IF(LEN(BS228)&gt;0,1,0))/21,2))</f>
        <v/>
      </c>
      <c r="BY228" s="10" t="str">
        <f aca="false">IF(D228="","",IF(AND(AJ228="Approved",ISERROR(SEARCH("FAIL",BC228))),"Y","N"))</f>
        <v/>
      </c>
      <c r="BZ228" s="10" t="str">
        <f aca="false">IF(D228="","",D228&amp;"|"&amp;F228&amp;"|"&amp;G228&amp;"|"&amp;BY228)</f>
        <v/>
      </c>
    </row>
    <row r="229" customFormat="false" ht="15" hidden="false" customHeight="false" outlineLevel="0" collapsed="false">
      <c r="A229" s="10" t="str">
        <f aca="false">IF(D229="","","LKW-"&amp;IFERROR(VLOOKUP(D229,Lists!$AQ$4:$AR$17,2,0),"??")&amp;"-W"&amp;TEXT(F229*1000,"0000")&amp;"-H"&amp;TEXT(G229*1000,"0000")&amp;"-B"&amp;TEXT(H229*1000,"0000")&amp;"-"&amp;AI229)</f>
        <v/>
      </c>
      <c r="B229" s="10" t="str">
        <f aca="false">IF(D229="","",D229&amp;", "&amp;F229&amp;" m wide, "&amp;G229&amp;" m headroom, "&amp;H229&amp;" m bays, "&amp;I229&amp;" ("&amp;E229&amp;")")</f>
        <v/>
      </c>
      <c r="C229" s="9"/>
      <c r="D229" s="9"/>
      <c r="E229" s="9"/>
      <c r="F229" s="42"/>
      <c r="G229" s="42"/>
      <c r="H229" s="42"/>
      <c r="I229" s="9"/>
      <c r="J229" s="9"/>
      <c r="K229" s="9"/>
      <c r="L229" s="9"/>
      <c r="M229" s="9"/>
      <c r="N229" s="9"/>
      <c r="O229" s="9"/>
      <c r="P229" s="9"/>
      <c r="Q229" s="9"/>
      <c r="R229" s="9"/>
      <c r="S229" s="42"/>
      <c r="T229" s="9"/>
      <c r="U229" s="9"/>
      <c r="V229" s="9"/>
      <c r="W229" s="38"/>
      <c r="X229" s="42"/>
      <c r="Y229" s="9"/>
      <c r="Z229" s="9"/>
      <c r="AA229" s="9"/>
      <c r="AB229" s="42"/>
      <c r="AC229" s="9"/>
      <c r="AD229" s="38"/>
      <c r="AE229" s="9"/>
      <c r="AF229" s="39"/>
      <c r="AG229" s="9"/>
      <c r="AH229" s="9"/>
      <c r="AI229" s="9"/>
      <c r="AJ229" s="9"/>
      <c r="AK229" s="9"/>
      <c r="AL229" s="9"/>
      <c r="AM229" s="9"/>
      <c r="AN229" s="10" t="str">
        <f aca="false">IF(A229="","",SG_Criteria!$B$6&amp;SG_Criteria!$B$12&amp;"\"&amp;A229&amp;"\")</f>
        <v/>
      </c>
      <c r="AO229" s="10" t="str">
        <f aca="false">IF(A229="","",A229&amp;"_CAD.dwg")</f>
        <v/>
      </c>
      <c r="AP229" s="10" t="str">
        <f aca="false">IF(A229="","",A229&amp;"_DWG.pdf")</f>
        <v/>
      </c>
      <c r="AQ229" s="10" t="str">
        <f aca="false">IF(A229="","",IF(AM229="Y",A229&amp;"_STAAD.std","n/a"))</f>
        <v/>
      </c>
      <c r="AR229" s="10" t="str">
        <f aca="false">IF(A229="","",A229&amp;"_CALC.xlsx")</f>
        <v/>
      </c>
      <c r="AS229" s="10" t="str">
        <f aca="false">IF(A229="","",A229&amp;"_CALC.pdf")</f>
        <v/>
      </c>
      <c r="AT229" s="9"/>
      <c r="AU229" s="9"/>
      <c r="AV229" s="39"/>
      <c r="AW229" s="39"/>
      <c r="AX229" s="39"/>
      <c r="AY229" s="39"/>
      <c r="AZ229" s="39"/>
      <c r="BA229" s="12" t="str">
        <f aca="false">IF(A229="","",IF(COUNTIF(Rebar_Schedule!$A$5:$A$2004,A229)=0,"",ROUND(SUMIF(Rebar_Schedule!$A$5:$A$2004,A229,Rebar_Schedule!$K$5:$K$2004),1)))</f>
        <v/>
      </c>
      <c r="BB229" s="33" t="str">
        <f aca="false">IF(A229="","",IF(BA229="","No rebar schedule yet",IF(ABS(BA229-N(AW229))/MAX(N(AW229),1)&gt;SG_Criteria!$B$55,"NOTE: register rebar differs from schedule by "&amp;TEXT(ABS(BA229-N(AW229))/MAX(N(AW229),1),"0%"),"OK")))</f>
        <v/>
      </c>
      <c r="BC229" s="33" t="str">
        <f aca="false">IF(D229="","",IF(LEN(IF(AND(D229&lt;&gt;"High Covered Linkway",G229&lt;SG_Criteria!$B$46),"FAIL: headroom below "&amp;SG_Criteria!$B$46&amp;" m. ","")&amp;IF(AND(D229="High Covered Linkway",G229&lt;SG_Criteria!$B$47),"FAIL: high linkway headroom below "&amp;SG_Criteria!$B$47&amp;" m. ","")&amp;IF(F229&lt;SG_Criteria!$B$48,"FAIL: roof width below "&amp;SG_Criteria!$B$48&amp;" m. ",IF(F229&lt;SG_Criteria!$B$49,"NOTE: not for MRT/LRT or high-traffic routes (min "&amp;SG_Criteria!$B$49&amp;" m). ",""))&amp;IF(AND(W229&lt;&gt;"",W229&lt;SG_Criteria!$B$50),"FAIL: wind speed below "&amp;SG_Criteria!$B$50&amp;" m/s. ","")&amp;IF(AND(X229&lt;&gt;"",X229&lt;SG_Criteria!$B$51),"FAIL: roof fixing pull-out below "&amp;SG_Criteria!$B$51&amp;" kN. ","")&amp;IF(AND(Y229&lt;&gt;"",IFERROR(VALUE(MID(Y229,2,2)),0)&lt;SG_Criteria!$B$52),"FAIL: grade below C"&amp;SG_Criteria!$B$52&amp;". ","")&amp;IF(E229="Non-standard (project design)","NOTE: not an SDRE standard, needs LTA acceptance. ",""))=0,"OK",IF(AND(D229&lt;&gt;"High Covered Linkway",G229&lt;SG_Criteria!$B$46),"FAIL: headroom below "&amp;SG_Criteria!$B$46&amp;" m. ","")&amp;IF(AND(D229="High Covered Linkway",G229&lt;SG_Criteria!$B$47),"FAIL: high linkway headroom below "&amp;SG_Criteria!$B$47&amp;" m. ","")&amp;IF(F229&lt;SG_Criteria!$B$48,"FAIL: roof width below "&amp;SG_Criteria!$B$48&amp;" m. ",IF(F229&lt;SG_Criteria!$B$49,"NOTE: not for MRT/LRT or high-traffic routes (min "&amp;SG_Criteria!$B$49&amp;" m). ",""))&amp;IF(AND(W229&lt;&gt;"",W229&lt;SG_Criteria!$B$50),"FAIL: wind speed below "&amp;SG_Criteria!$B$50&amp;" m/s. ","")&amp;IF(AND(X229&lt;&gt;"",X229&lt;SG_Criteria!$B$51),"FAIL: roof fixing pull-out below "&amp;SG_Criteria!$B$51&amp;" kN. ","")&amp;IF(AND(Y229&lt;&gt;"",IFERROR(VALUE(MID(Y229,2,2)),0)&lt;SG_Criteria!$B$52),"FAIL: grade below C"&amp;SG_Criteria!$B$52&amp;". ","")&amp;IF(E229="Non-standard (project design)","NOTE: not an SDRE standard, needs LTA acceptance. ","")))</f>
        <v/>
      </c>
      <c r="BD229" s="9"/>
      <c r="BE229" s="9"/>
      <c r="BF229" s="9"/>
      <c r="BG229" s="10" t="str">
        <f aca="false">IF(BF229="","",IFERROR(VLOOKUP(BF229,Projects!$A$5:$D$504,2,0),"Ref not in Projects"))</f>
        <v/>
      </c>
      <c r="BH229" s="10" t="str">
        <f aca="false">IF(BF229="","",IFERROR(VLOOKUP(BF229,Projects!$A$5:$D$504,4,0),"Ref not in Projects"))</f>
        <v/>
      </c>
      <c r="BI229" s="9"/>
      <c r="BJ229" s="9"/>
      <c r="BK229" s="9"/>
      <c r="BL229" s="40"/>
      <c r="BM229" s="9"/>
      <c r="BN229" s="40"/>
      <c r="BO229" s="9"/>
      <c r="BP229" s="40"/>
      <c r="BQ229" s="9"/>
      <c r="BR229" s="9"/>
      <c r="BS229" s="9"/>
      <c r="BT229" s="40"/>
      <c r="BU229" s="40"/>
      <c r="BV229" s="36" t="str">
        <f aca="false">IF(BU229="","",EDATE(BU229,SG_Criteria!$B$54*12))</f>
        <v/>
      </c>
      <c r="BW229" s="33" t="str">
        <f aca="true">IF(A229="","",IF(BU229="","NOTE: not reviewed yet",IF(TODAY()&gt;BV229,"NOTE: review overdue","OK")))</f>
        <v/>
      </c>
      <c r="BX229" s="37" t="str">
        <f aca="false">IF(A229="","",ROUND((IF(LEN(D229)&gt;0,1,0)+IF(LEN(E229)&gt;0,1,0)+IF(LEN(F229)&gt;0,1,0)+IF(LEN(G229)&gt;0,1,0)+IF(LEN(H229)&gt;0,1,0)+IF(LEN(I229)&gt;0,1,0)+IF(LEN(J229)&gt;0,1,0)+IF(LEN(K229)&gt;0,1,0)+IF(LEN(N229)&gt;0,1,0)+IF(LEN(O229)&gt;0,1,0)+IF(LEN(W229)&gt;0,1,0)+IF(LEN(X229)&gt;0,1,0)+IF(LEN(Y229)&gt;0,1,0)+IF(LEN(AG229)&gt;0,1,0)+IF(LEN(AI229)&gt;0,1,0)+IF(LEN(AJ229)&gt;0,1,0)+IF(LEN(AK229)&gt;0,1,0)+IF(LEN(AL229)&gt;0,1,0)+IF(LEN(AU229)&gt;0,1,0)+IF(LEN(BF229)&gt;0,1,0)+IF(LEN(BS229)&gt;0,1,0))/21,2))</f>
        <v/>
      </c>
      <c r="BY229" s="10" t="str">
        <f aca="false">IF(D229="","",IF(AND(AJ229="Approved",ISERROR(SEARCH("FAIL",BC229))),"Y","N"))</f>
        <v/>
      </c>
      <c r="BZ229" s="10" t="str">
        <f aca="false">IF(D229="","",D229&amp;"|"&amp;F229&amp;"|"&amp;G229&amp;"|"&amp;BY229)</f>
        <v/>
      </c>
    </row>
    <row r="230" customFormat="false" ht="15" hidden="false" customHeight="false" outlineLevel="0" collapsed="false">
      <c r="A230" s="10" t="str">
        <f aca="false">IF(D230="","","LKW-"&amp;IFERROR(VLOOKUP(D230,Lists!$AQ$4:$AR$17,2,0),"??")&amp;"-W"&amp;TEXT(F230*1000,"0000")&amp;"-H"&amp;TEXT(G230*1000,"0000")&amp;"-B"&amp;TEXT(H230*1000,"0000")&amp;"-"&amp;AI230)</f>
        <v/>
      </c>
      <c r="B230" s="10" t="str">
        <f aca="false">IF(D230="","",D230&amp;", "&amp;F230&amp;" m wide, "&amp;G230&amp;" m headroom, "&amp;H230&amp;" m bays, "&amp;I230&amp;" ("&amp;E230&amp;")")</f>
        <v/>
      </c>
      <c r="C230" s="9"/>
      <c r="D230" s="9"/>
      <c r="E230" s="9"/>
      <c r="F230" s="42"/>
      <c r="G230" s="42"/>
      <c r="H230" s="42"/>
      <c r="I230" s="9"/>
      <c r="J230" s="9"/>
      <c r="K230" s="9"/>
      <c r="L230" s="9"/>
      <c r="M230" s="9"/>
      <c r="N230" s="9"/>
      <c r="O230" s="9"/>
      <c r="P230" s="9"/>
      <c r="Q230" s="9"/>
      <c r="R230" s="9"/>
      <c r="S230" s="42"/>
      <c r="T230" s="9"/>
      <c r="U230" s="9"/>
      <c r="V230" s="9"/>
      <c r="W230" s="38"/>
      <c r="X230" s="42"/>
      <c r="Y230" s="9"/>
      <c r="Z230" s="9"/>
      <c r="AA230" s="9"/>
      <c r="AB230" s="42"/>
      <c r="AC230" s="9"/>
      <c r="AD230" s="38"/>
      <c r="AE230" s="9"/>
      <c r="AF230" s="39"/>
      <c r="AG230" s="9"/>
      <c r="AH230" s="9"/>
      <c r="AI230" s="9"/>
      <c r="AJ230" s="9"/>
      <c r="AK230" s="9"/>
      <c r="AL230" s="9"/>
      <c r="AM230" s="9"/>
      <c r="AN230" s="10" t="str">
        <f aca="false">IF(A230="","",SG_Criteria!$B$6&amp;SG_Criteria!$B$12&amp;"\"&amp;A230&amp;"\")</f>
        <v/>
      </c>
      <c r="AO230" s="10" t="str">
        <f aca="false">IF(A230="","",A230&amp;"_CAD.dwg")</f>
        <v/>
      </c>
      <c r="AP230" s="10" t="str">
        <f aca="false">IF(A230="","",A230&amp;"_DWG.pdf")</f>
        <v/>
      </c>
      <c r="AQ230" s="10" t="str">
        <f aca="false">IF(A230="","",IF(AM230="Y",A230&amp;"_STAAD.std","n/a"))</f>
        <v/>
      </c>
      <c r="AR230" s="10" t="str">
        <f aca="false">IF(A230="","",A230&amp;"_CALC.xlsx")</f>
        <v/>
      </c>
      <c r="AS230" s="10" t="str">
        <f aca="false">IF(A230="","",A230&amp;"_CALC.pdf")</f>
        <v/>
      </c>
      <c r="AT230" s="9"/>
      <c r="AU230" s="9"/>
      <c r="AV230" s="39"/>
      <c r="AW230" s="39"/>
      <c r="AX230" s="39"/>
      <c r="AY230" s="39"/>
      <c r="AZ230" s="39"/>
      <c r="BA230" s="12" t="str">
        <f aca="false">IF(A230="","",IF(COUNTIF(Rebar_Schedule!$A$5:$A$2004,A230)=0,"",ROUND(SUMIF(Rebar_Schedule!$A$5:$A$2004,A230,Rebar_Schedule!$K$5:$K$2004),1)))</f>
        <v/>
      </c>
      <c r="BB230" s="33" t="str">
        <f aca="false">IF(A230="","",IF(BA230="","No rebar schedule yet",IF(ABS(BA230-N(AW230))/MAX(N(AW230),1)&gt;SG_Criteria!$B$55,"NOTE: register rebar differs from schedule by "&amp;TEXT(ABS(BA230-N(AW230))/MAX(N(AW230),1),"0%"),"OK")))</f>
        <v/>
      </c>
      <c r="BC230" s="33" t="str">
        <f aca="false">IF(D230="","",IF(LEN(IF(AND(D230&lt;&gt;"High Covered Linkway",G230&lt;SG_Criteria!$B$46),"FAIL: headroom below "&amp;SG_Criteria!$B$46&amp;" m. ","")&amp;IF(AND(D230="High Covered Linkway",G230&lt;SG_Criteria!$B$47),"FAIL: high linkway headroom below "&amp;SG_Criteria!$B$47&amp;" m. ","")&amp;IF(F230&lt;SG_Criteria!$B$48,"FAIL: roof width below "&amp;SG_Criteria!$B$48&amp;" m. ",IF(F230&lt;SG_Criteria!$B$49,"NOTE: not for MRT/LRT or high-traffic routes (min "&amp;SG_Criteria!$B$49&amp;" m). ",""))&amp;IF(AND(W230&lt;&gt;"",W230&lt;SG_Criteria!$B$50),"FAIL: wind speed below "&amp;SG_Criteria!$B$50&amp;" m/s. ","")&amp;IF(AND(X230&lt;&gt;"",X230&lt;SG_Criteria!$B$51),"FAIL: roof fixing pull-out below "&amp;SG_Criteria!$B$51&amp;" kN. ","")&amp;IF(AND(Y230&lt;&gt;"",IFERROR(VALUE(MID(Y230,2,2)),0)&lt;SG_Criteria!$B$52),"FAIL: grade below C"&amp;SG_Criteria!$B$52&amp;". ","")&amp;IF(E230="Non-standard (project design)","NOTE: not an SDRE standard, needs LTA acceptance. ",""))=0,"OK",IF(AND(D230&lt;&gt;"High Covered Linkway",G230&lt;SG_Criteria!$B$46),"FAIL: headroom below "&amp;SG_Criteria!$B$46&amp;" m. ","")&amp;IF(AND(D230="High Covered Linkway",G230&lt;SG_Criteria!$B$47),"FAIL: high linkway headroom below "&amp;SG_Criteria!$B$47&amp;" m. ","")&amp;IF(F230&lt;SG_Criteria!$B$48,"FAIL: roof width below "&amp;SG_Criteria!$B$48&amp;" m. ",IF(F230&lt;SG_Criteria!$B$49,"NOTE: not for MRT/LRT or high-traffic routes (min "&amp;SG_Criteria!$B$49&amp;" m). ",""))&amp;IF(AND(W230&lt;&gt;"",W230&lt;SG_Criteria!$B$50),"FAIL: wind speed below "&amp;SG_Criteria!$B$50&amp;" m/s. ","")&amp;IF(AND(X230&lt;&gt;"",X230&lt;SG_Criteria!$B$51),"FAIL: roof fixing pull-out below "&amp;SG_Criteria!$B$51&amp;" kN. ","")&amp;IF(AND(Y230&lt;&gt;"",IFERROR(VALUE(MID(Y230,2,2)),0)&lt;SG_Criteria!$B$52),"FAIL: grade below C"&amp;SG_Criteria!$B$52&amp;". ","")&amp;IF(E230="Non-standard (project design)","NOTE: not an SDRE standard, needs LTA acceptance. ","")))</f>
        <v/>
      </c>
      <c r="BD230" s="9"/>
      <c r="BE230" s="9"/>
      <c r="BF230" s="9"/>
      <c r="BG230" s="10" t="str">
        <f aca="false">IF(BF230="","",IFERROR(VLOOKUP(BF230,Projects!$A$5:$D$504,2,0),"Ref not in Projects"))</f>
        <v/>
      </c>
      <c r="BH230" s="10" t="str">
        <f aca="false">IF(BF230="","",IFERROR(VLOOKUP(BF230,Projects!$A$5:$D$504,4,0),"Ref not in Projects"))</f>
        <v/>
      </c>
      <c r="BI230" s="9"/>
      <c r="BJ230" s="9"/>
      <c r="BK230" s="9"/>
      <c r="BL230" s="40"/>
      <c r="BM230" s="9"/>
      <c r="BN230" s="40"/>
      <c r="BO230" s="9"/>
      <c r="BP230" s="40"/>
      <c r="BQ230" s="9"/>
      <c r="BR230" s="9"/>
      <c r="BS230" s="9"/>
      <c r="BT230" s="40"/>
      <c r="BU230" s="40"/>
      <c r="BV230" s="36" t="str">
        <f aca="false">IF(BU230="","",EDATE(BU230,SG_Criteria!$B$54*12))</f>
        <v/>
      </c>
      <c r="BW230" s="33" t="str">
        <f aca="true">IF(A230="","",IF(BU230="","NOTE: not reviewed yet",IF(TODAY()&gt;BV230,"NOTE: review overdue","OK")))</f>
        <v/>
      </c>
      <c r="BX230" s="37" t="str">
        <f aca="false">IF(A230="","",ROUND((IF(LEN(D230)&gt;0,1,0)+IF(LEN(E230)&gt;0,1,0)+IF(LEN(F230)&gt;0,1,0)+IF(LEN(G230)&gt;0,1,0)+IF(LEN(H230)&gt;0,1,0)+IF(LEN(I230)&gt;0,1,0)+IF(LEN(J230)&gt;0,1,0)+IF(LEN(K230)&gt;0,1,0)+IF(LEN(N230)&gt;0,1,0)+IF(LEN(O230)&gt;0,1,0)+IF(LEN(W230)&gt;0,1,0)+IF(LEN(X230)&gt;0,1,0)+IF(LEN(Y230)&gt;0,1,0)+IF(LEN(AG230)&gt;0,1,0)+IF(LEN(AI230)&gt;0,1,0)+IF(LEN(AJ230)&gt;0,1,0)+IF(LEN(AK230)&gt;0,1,0)+IF(LEN(AL230)&gt;0,1,0)+IF(LEN(AU230)&gt;0,1,0)+IF(LEN(BF230)&gt;0,1,0)+IF(LEN(BS230)&gt;0,1,0))/21,2))</f>
        <v/>
      </c>
      <c r="BY230" s="10" t="str">
        <f aca="false">IF(D230="","",IF(AND(AJ230="Approved",ISERROR(SEARCH("FAIL",BC230))),"Y","N"))</f>
        <v/>
      </c>
      <c r="BZ230" s="10" t="str">
        <f aca="false">IF(D230="","",D230&amp;"|"&amp;F230&amp;"|"&amp;G230&amp;"|"&amp;BY230)</f>
        <v/>
      </c>
    </row>
    <row r="231" customFormat="false" ht="15" hidden="false" customHeight="false" outlineLevel="0" collapsed="false">
      <c r="A231" s="10" t="str">
        <f aca="false">IF(D231="","","LKW-"&amp;IFERROR(VLOOKUP(D231,Lists!$AQ$4:$AR$17,2,0),"??")&amp;"-W"&amp;TEXT(F231*1000,"0000")&amp;"-H"&amp;TEXT(G231*1000,"0000")&amp;"-B"&amp;TEXT(H231*1000,"0000")&amp;"-"&amp;AI231)</f>
        <v/>
      </c>
      <c r="B231" s="10" t="str">
        <f aca="false">IF(D231="","",D231&amp;", "&amp;F231&amp;" m wide, "&amp;G231&amp;" m headroom, "&amp;H231&amp;" m bays, "&amp;I231&amp;" ("&amp;E231&amp;")")</f>
        <v/>
      </c>
      <c r="C231" s="9"/>
      <c r="D231" s="9"/>
      <c r="E231" s="9"/>
      <c r="F231" s="42"/>
      <c r="G231" s="42"/>
      <c r="H231" s="42"/>
      <c r="I231" s="9"/>
      <c r="J231" s="9"/>
      <c r="K231" s="9"/>
      <c r="L231" s="9"/>
      <c r="M231" s="9"/>
      <c r="N231" s="9"/>
      <c r="O231" s="9"/>
      <c r="P231" s="9"/>
      <c r="Q231" s="9"/>
      <c r="R231" s="9"/>
      <c r="S231" s="42"/>
      <c r="T231" s="9"/>
      <c r="U231" s="9"/>
      <c r="V231" s="9"/>
      <c r="W231" s="38"/>
      <c r="X231" s="42"/>
      <c r="Y231" s="9"/>
      <c r="Z231" s="9"/>
      <c r="AA231" s="9"/>
      <c r="AB231" s="42"/>
      <c r="AC231" s="9"/>
      <c r="AD231" s="38"/>
      <c r="AE231" s="9"/>
      <c r="AF231" s="39"/>
      <c r="AG231" s="9"/>
      <c r="AH231" s="9"/>
      <c r="AI231" s="9"/>
      <c r="AJ231" s="9"/>
      <c r="AK231" s="9"/>
      <c r="AL231" s="9"/>
      <c r="AM231" s="9"/>
      <c r="AN231" s="10" t="str">
        <f aca="false">IF(A231="","",SG_Criteria!$B$6&amp;SG_Criteria!$B$12&amp;"\"&amp;A231&amp;"\")</f>
        <v/>
      </c>
      <c r="AO231" s="10" t="str">
        <f aca="false">IF(A231="","",A231&amp;"_CAD.dwg")</f>
        <v/>
      </c>
      <c r="AP231" s="10" t="str">
        <f aca="false">IF(A231="","",A231&amp;"_DWG.pdf")</f>
        <v/>
      </c>
      <c r="AQ231" s="10" t="str">
        <f aca="false">IF(A231="","",IF(AM231="Y",A231&amp;"_STAAD.std","n/a"))</f>
        <v/>
      </c>
      <c r="AR231" s="10" t="str">
        <f aca="false">IF(A231="","",A231&amp;"_CALC.xlsx")</f>
        <v/>
      </c>
      <c r="AS231" s="10" t="str">
        <f aca="false">IF(A231="","",A231&amp;"_CALC.pdf")</f>
        <v/>
      </c>
      <c r="AT231" s="9"/>
      <c r="AU231" s="9"/>
      <c r="AV231" s="39"/>
      <c r="AW231" s="39"/>
      <c r="AX231" s="39"/>
      <c r="AY231" s="39"/>
      <c r="AZ231" s="39"/>
      <c r="BA231" s="12" t="str">
        <f aca="false">IF(A231="","",IF(COUNTIF(Rebar_Schedule!$A$5:$A$2004,A231)=0,"",ROUND(SUMIF(Rebar_Schedule!$A$5:$A$2004,A231,Rebar_Schedule!$K$5:$K$2004),1)))</f>
        <v/>
      </c>
      <c r="BB231" s="33" t="str">
        <f aca="false">IF(A231="","",IF(BA231="","No rebar schedule yet",IF(ABS(BA231-N(AW231))/MAX(N(AW231),1)&gt;SG_Criteria!$B$55,"NOTE: register rebar differs from schedule by "&amp;TEXT(ABS(BA231-N(AW231))/MAX(N(AW231),1),"0%"),"OK")))</f>
        <v/>
      </c>
      <c r="BC231" s="33" t="str">
        <f aca="false">IF(D231="","",IF(LEN(IF(AND(D231&lt;&gt;"High Covered Linkway",G231&lt;SG_Criteria!$B$46),"FAIL: headroom below "&amp;SG_Criteria!$B$46&amp;" m. ","")&amp;IF(AND(D231="High Covered Linkway",G231&lt;SG_Criteria!$B$47),"FAIL: high linkway headroom below "&amp;SG_Criteria!$B$47&amp;" m. ","")&amp;IF(F231&lt;SG_Criteria!$B$48,"FAIL: roof width below "&amp;SG_Criteria!$B$48&amp;" m. ",IF(F231&lt;SG_Criteria!$B$49,"NOTE: not for MRT/LRT or high-traffic routes (min "&amp;SG_Criteria!$B$49&amp;" m). ",""))&amp;IF(AND(W231&lt;&gt;"",W231&lt;SG_Criteria!$B$50),"FAIL: wind speed below "&amp;SG_Criteria!$B$50&amp;" m/s. ","")&amp;IF(AND(X231&lt;&gt;"",X231&lt;SG_Criteria!$B$51),"FAIL: roof fixing pull-out below "&amp;SG_Criteria!$B$51&amp;" kN. ","")&amp;IF(AND(Y231&lt;&gt;"",IFERROR(VALUE(MID(Y231,2,2)),0)&lt;SG_Criteria!$B$52),"FAIL: grade below C"&amp;SG_Criteria!$B$52&amp;". ","")&amp;IF(E231="Non-standard (project design)","NOTE: not an SDRE standard, needs LTA acceptance. ",""))=0,"OK",IF(AND(D231&lt;&gt;"High Covered Linkway",G231&lt;SG_Criteria!$B$46),"FAIL: headroom below "&amp;SG_Criteria!$B$46&amp;" m. ","")&amp;IF(AND(D231="High Covered Linkway",G231&lt;SG_Criteria!$B$47),"FAIL: high linkway headroom below "&amp;SG_Criteria!$B$47&amp;" m. ","")&amp;IF(F231&lt;SG_Criteria!$B$48,"FAIL: roof width below "&amp;SG_Criteria!$B$48&amp;" m. ",IF(F231&lt;SG_Criteria!$B$49,"NOTE: not for MRT/LRT or high-traffic routes (min "&amp;SG_Criteria!$B$49&amp;" m). ",""))&amp;IF(AND(W231&lt;&gt;"",W231&lt;SG_Criteria!$B$50),"FAIL: wind speed below "&amp;SG_Criteria!$B$50&amp;" m/s. ","")&amp;IF(AND(X231&lt;&gt;"",X231&lt;SG_Criteria!$B$51),"FAIL: roof fixing pull-out below "&amp;SG_Criteria!$B$51&amp;" kN. ","")&amp;IF(AND(Y231&lt;&gt;"",IFERROR(VALUE(MID(Y231,2,2)),0)&lt;SG_Criteria!$B$52),"FAIL: grade below C"&amp;SG_Criteria!$B$52&amp;". ","")&amp;IF(E231="Non-standard (project design)","NOTE: not an SDRE standard, needs LTA acceptance. ","")))</f>
        <v/>
      </c>
      <c r="BD231" s="9"/>
      <c r="BE231" s="9"/>
      <c r="BF231" s="9"/>
      <c r="BG231" s="10" t="str">
        <f aca="false">IF(BF231="","",IFERROR(VLOOKUP(BF231,Projects!$A$5:$D$504,2,0),"Ref not in Projects"))</f>
        <v/>
      </c>
      <c r="BH231" s="10" t="str">
        <f aca="false">IF(BF231="","",IFERROR(VLOOKUP(BF231,Projects!$A$5:$D$504,4,0),"Ref not in Projects"))</f>
        <v/>
      </c>
      <c r="BI231" s="9"/>
      <c r="BJ231" s="9"/>
      <c r="BK231" s="9"/>
      <c r="BL231" s="40"/>
      <c r="BM231" s="9"/>
      <c r="BN231" s="40"/>
      <c r="BO231" s="9"/>
      <c r="BP231" s="40"/>
      <c r="BQ231" s="9"/>
      <c r="BR231" s="9"/>
      <c r="BS231" s="9"/>
      <c r="BT231" s="40"/>
      <c r="BU231" s="40"/>
      <c r="BV231" s="36" t="str">
        <f aca="false">IF(BU231="","",EDATE(BU231,SG_Criteria!$B$54*12))</f>
        <v/>
      </c>
      <c r="BW231" s="33" t="str">
        <f aca="true">IF(A231="","",IF(BU231="","NOTE: not reviewed yet",IF(TODAY()&gt;BV231,"NOTE: review overdue","OK")))</f>
        <v/>
      </c>
      <c r="BX231" s="37" t="str">
        <f aca="false">IF(A231="","",ROUND((IF(LEN(D231)&gt;0,1,0)+IF(LEN(E231)&gt;0,1,0)+IF(LEN(F231)&gt;0,1,0)+IF(LEN(G231)&gt;0,1,0)+IF(LEN(H231)&gt;0,1,0)+IF(LEN(I231)&gt;0,1,0)+IF(LEN(J231)&gt;0,1,0)+IF(LEN(K231)&gt;0,1,0)+IF(LEN(N231)&gt;0,1,0)+IF(LEN(O231)&gt;0,1,0)+IF(LEN(W231)&gt;0,1,0)+IF(LEN(X231)&gt;0,1,0)+IF(LEN(Y231)&gt;0,1,0)+IF(LEN(AG231)&gt;0,1,0)+IF(LEN(AI231)&gt;0,1,0)+IF(LEN(AJ231)&gt;0,1,0)+IF(LEN(AK231)&gt;0,1,0)+IF(LEN(AL231)&gt;0,1,0)+IF(LEN(AU231)&gt;0,1,0)+IF(LEN(BF231)&gt;0,1,0)+IF(LEN(BS231)&gt;0,1,0))/21,2))</f>
        <v/>
      </c>
      <c r="BY231" s="10" t="str">
        <f aca="false">IF(D231="","",IF(AND(AJ231="Approved",ISERROR(SEARCH("FAIL",BC231))),"Y","N"))</f>
        <v/>
      </c>
      <c r="BZ231" s="10" t="str">
        <f aca="false">IF(D231="","",D231&amp;"|"&amp;F231&amp;"|"&amp;G231&amp;"|"&amp;BY231)</f>
        <v/>
      </c>
    </row>
    <row r="232" customFormat="false" ht="15" hidden="false" customHeight="false" outlineLevel="0" collapsed="false">
      <c r="A232" s="10" t="str">
        <f aca="false">IF(D232="","","LKW-"&amp;IFERROR(VLOOKUP(D232,Lists!$AQ$4:$AR$17,2,0),"??")&amp;"-W"&amp;TEXT(F232*1000,"0000")&amp;"-H"&amp;TEXT(G232*1000,"0000")&amp;"-B"&amp;TEXT(H232*1000,"0000")&amp;"-"&amp;AI232)</f>
        <v/>
      </c>
      <c r="B232" s="10" t="str">
        <f aca="false">IF(D232="","",D232&amp;", "&amp;F232&amp;" m wide, "&amp;G232&amp;" m headroom, "&amp;H232&amp;" m bays, "&amp;I232&amp;" ("&amp;E232&amp;")")</f>
        <v/>
      </c>
      <c r="C232" s="9"/>
      <c r="D232" s="9"/>
      <c r="E232" s="9"/>
      <c r="F232" s="42"/>
      <c r="G232" s="42"/>
      <c r="H232" s="42"/>
      <c r="I232" s="9"/>
      <c r="J232" s="9"/>
      <c r="K232" s="9"/>
      <c r="L232" s="9"/>
      <c r="M232" s="9"/>
      <c r="N232" s="9"/>
      <c r="O232" s="9"/>
      <c r="P232" s="9"/>
      <c r="Q232" s="9"/>
      <c r="R232" s="9"/>
      <c r="S232" s="42"/>
      <c r="T232" s="9"/>
      <c r="U232" s="9"/>
      <c r="V232" s="9"/>
      <c r="W232" s="38"/>
      <c r="X232" s="42"/>
      <c r="Y232" s="9"/>
      <c r="Z232" s="9"/>
      <c r="AA232" s="9"/>
      <c r="AB232" s="42"/>
      <c r="AC232" s="9"/>
      <c r="AD232" s="38"/>
      <c r="AE232" s="9"/>
      <c r="AF232" s="39"/>
      <c r="AG232" s="9"/>
      <c r="AH232" s="9"/>
      <c r="AI232" s="9"/>
      <c r="AJ232" s="9"/>
      <c r="AK232" s="9"/>
      <c r="AL232" s="9"/>
      <c r="AM232" s="9"/>
      <c r="AN232" s="10" t="str">
        <f aca="false">IF(A232="","",SG_Criteria!$B$6&amp;SG_Criteria!$B$12&amp;"\"&amp;A232&amp;"\")</f>
        <v/>
      </c>
      <c r="AO232" s="10" t="str">
        <f aca="false">IF(A232="","",A232&amp;"_CAD.dwg")</f>
        <v/>
      </c>
      <c r="AP232" s="10" t="str">
        <f aca="false">IF(A232="","",A232&amp;"_DWG.pdf")</f>
        <v/>
      </c>
      <c r="AQ232" s="10" t="str">
        <f aca="false">IF(A232="","",IF(AM232="Y",A232&amp;"_STAAD.std","n/a"))</f>
        <v/>
      </c>
      <c r="AR232" s="10" t="str">
        <f aca="false">IF(A232="","",A232&amp;"_CALC.xlsx")</f>
        <v/>
      </c>
      <c r="AS232" s="10" t="str">
        <f aca="false">IF(A232="","",A232&amp;"_CALC.pdf")</f>
        <v/>
      </c>
      <c r="AT232" s="9"/>
      <c r="AU232" s="9"/>
      <c r="AV232" s="39"/>
      <c r="AW232" s="39"/>
      <c r="AX232" s="39"/>
      <c r="AY232" s="39"/>
      <c r="AZ232" s="39"/>
      <c r="BA232" s="12" t="str">
        <f aca="false">IF(A232="","",IF(COUNTIF(Rebar_Schedule!$A$5:$A$2004,A232)=0,"",ROUND(SUMIF(Rebar_Schedule!$A$5:$A$2004,A232,Rebar_Schedule!$K$5:$K$2004),1)))</f>
        <v/>
      </c>
      <c r="BB232" s="33" t="str">
        <f aca="false">IF(A232="","",IF(BA232="","No rebar schedule yet",IF(ABS(BA232-N(AW232))/MAX(N(AW232),1)&gt;SG_Criteria!$B$55,"NOTE: register rebar differs from schedule by "&amp;TEXT(ABS(BA232-N(AW232))/MAX(N(AW232),1),"0%"),"OK")))</f>
        <v/>
      </c>
      <c r="BC232" s="33" t="str">
        <f aca="false">IF(D232="","",IF(LEN(IF(AND(D232&lt;&gt;"High Covered Linkway",G232&lt;SG_Criteria!$B$46),"FAIL: headroom below "&amp;SG_Criteria!$B$46&amp;" m. ","")&amp;IF(AND(D232="High Covered Linkway",G232&lt;SG_Criteria!$B$47),"FAIL: high linkway headroom below "&amp;SG_Criteria!$B$47&amp;" m. ","")&amp;IF(F232&lt;SG_Criteria!$B$48,"FAIL: roof width below "&amp;SG_Criteria!$B$48&amp;" m. ",IF(F232&lt;SG_Criteria!$B$49,"NOTE: not for MRT/LRT or high-traffic routes (min "&amp;SG_Criteria!$B$49&amp;" m). ",""))&amp;IF(AND(W232&lt;&gt;"",W232&lt;SG_Criteria!$B$50),"FAIL: wind speed below "&amp;SG_Criteria!$B$50&amp;" m/s. ","")&amp;IF(AND(X232&lt;&gt;"",X232&lt;SG_Criteria!$B$51),"FAIL: roof fixing pull-out below "&amp;SG_Criteria!$B$51&amp;" kN. ","")&amp;IF(AND(Y232&lt;&gt;"",IFERROR(VALUE(MID(Y232,2,2)),0)&lt;SG_Criteria!$B$52),"FAIL: grade below C"&amp;SG_Criteria!$B$52&amp;". ","")&amp;IF(E232="Non-standard (project design)","NOTE: not an SDRE standard, needs LTA acceptance. ",""))=0,"OK",IF(AND(D232&lt;&gt;"High Covered Linkway",G232&lt;SG_Criteria!$B$46),"FAIL: headroom below "&amp;SG_Criteria!$B$46&amp;" m. ","")&amp;IF(AND(D232="High Covered Linkway",G232&lt;SG_Criteria!$B$47),"FAIL: high linkway headroom below "&amp;SG_Criteria!$B$47&amp;" m. ","")&amp;IF(F232&lt;SG_Criteria!$B$48,"FAIL: roof width below "&amp;SG_Criteria!$B$48&amp;" m. ",IF(F232&lt;SG_Criteria!$B$49,"NOTE: not for MRT/LRT or high-traffic routes (min "&amp;SG_Criteria!$B$49&amp;" m). ",""))&amp;IF(AND(W232&lt;&gt;"",W232&lt;SG_Criteria!$B$50),"FAIL: wind speed below "&amp;SG_Criteria!$B$50&amp;" m/s. ","")&amp;IF(AND(X232&lt;&gt;"",X232&lt;SG_Criteria!$B$51),"FAIL: roof fixing pull-out below "&amp;SG_Criteria!$B$51&amp;" kN. ","")&amp;IF(AND(Y232&lt;&gt;"",IFERROR(VALUE(MID(Y232,2,2)),0)&lt;SG_Criteria!$B$52),"FAIL: grade below C"&amp;SG_Criteria!$B$52&amp;". ","")&amp;IF(E232="Non-standard (project design)","NOTE: not an SDRE standard, needs LTA acceptance. ","")))</f>
        <v/>
      </c>
      <c r="BD232" s="9"/>
      <c r="BE232" s="9"/>
      <c r="BF232" s="9"/>
      <c r="BG232" s="10" t="str">
        <f aca="false">IF(BF232="","",IFERROR(VLOOKUP(BF232,Projects!$A$5:$D$504,2,0),"Ref not in Projects"))</f>
        <v/>
      </c>
      <c r="BH232" s="10" t="str">
        <f aca="false">IF(BF232="","",IFERROR(VLOOKUP(BF232,Projects!$A$5:$D$504,4,0),"Ref not in Projects"))</f>
        <v/>
      </c>
      <c r="BI232" s="9"/>
      <c r="BJ232" s="9"/>
      <c r="BK232" s="9"/>
      <c r="BL232" s="40"/>
      <c r="BM232" s="9"/>
      <c r="BN232" s="40"/>
      <c r="BO232" s="9"/>
      <c r="BP232" s="40"/>
      <c r="BQ232" s="9"/>
      <c r="BR232" s="9"/>
      <c r="BS232" s="9"/>
      <c r="BT232" s="40"/>
      <c r="BU232" s="40"/>
      <c r="BV232" s="36" t="str">
        <f aca="false">IF(BU232="","",EDATE(BU232,SG_Criteria!$B$54*12))</f>
        <v/>
      </c>
      <c r="BW232" s="33" t="str">
        <f aca="true">IF(A232="","",IF(BU232="","NOTE: not reviewed yet",IF(TODAY()&gt;BV232,"NOTE: review overdue","OK")))</f>
        <v/>
      </c>
      <c r="BX232" s="37" t="str">
        <f aca="false">IF(A232="","",ROUND((IF(LEN(D232)&gt;0,1,0)+IF(LEN(E232)&gt;0,1,0)+IF(LEN(F232)&gt;0,1,0)+IF(LEN(G232)&gt;0,1,0)+IF(LEN(H232)&gt;0,1,0)+IF(LEN(I232)&gt;0,1,0)+IF(LEN(J232)&gt;0,1,0)+IF(LEN(K232)&gt;0,1,0)+IF(LEN(N232)&gt;0,1,0)+IF(LEN(O232)&gt;0,1,0)+IF(LEN(W232)&gt;0,1,0)+IF(LEN(X232)&gt;0,1,0)+IF(LEN(Y232)&gt;0,1,0)+IF(LEN(AG232)&gt;0,1,0)+IF(LEN(AI232)&gt;0,1,0)+IF(LEN(AJ232)&gt;0,1,0)+IF(LEN(AK232)&gt;0,1,0)+IF(LEN(AL232)&gt;0,1,0)+IF(LEN(AU232)&gt;0,1,0)+IF(LEN(BF232)&gt;0,1,0)+IF(LEN(BS232)&gt;0,1,0))/21,2))</f>
        <v/>
      </c>
      <c r="BY232" s="10" t="str">
        <f aca="false">IF(D232="","",IF(AND(AJ232="Approved",ISERROR(SEARCH("FAIL",BC232))),"Y","N"))</f>
        <v/>
      </c>
      <c r="BZ232" s="10" t="str">
        <f aca="false">IF(D232="","",D232&amp;"|"&amp;F232&amp;"|"&amp;G232&amp;"|"&amp;BY232)</f>
        <v/>
      </c>
    </row>
    <row r="233" customFormat="false" ht="15" hidden="false" customHeight="false" outlineLevel="0" collapsed="false">
      <c r="A233" s="10" t="str">
        <f aca="false">IF(D233="","","LKW-"&amp;IFERROR(VLOOKUP(D233,Lists!$AQ$4:$AR$17,2,0),"??")&amp;"-W"&amp;TEXT(F233*1000,"0000")&amp;"-H"&amp;TEXT(G233*1000,"0000")&amp;"-B"&amp;TEXT(H233*1000,"0000")&amp;"-"&amp;AI233)</f>
        <v/>
      </c>
      <c r="B233" s="10" t="str">
        <f aca="false">IF(D233="","",D233&amp;", "&amp;F233&amp;" m wide, "&amp;G233&amp;" m headroom, "&amp;H233&amp;" m bays, "&amp;I233&amp;" ("&amp;E233&amp;")")</f>
        <v/>
      </c>
      <c r="C233" s="9"/>
      <c r="D233" s="9"/>
      <c r="E233" s="9"/>
      <c r="F233" s="42"/>
      <c r="G233" s="42"/>
      <c r="H233" s="42"/>
      <c r="I233" s="9"/>
      <c r="J233" s="9"/>
      <c r="K233" s="9"/>
      <c r="L233" s="9"/>
      <c r="M233" s="9"/>
      <c r="N233" s="9"/>
      <c r="O233" s="9"/>
      <c r="P233" s="9"/>
      <c r="Q233" s="9"/>
      <c r="R233" s="9"/>
      <c r="S233" s="42"/>
      <c r="T233" s="9"/>
      <c r="U233" s="9"/>
      <c r="V233" s="9"/>
      <c r="W233" s="38"/>
      <c r="X233" s="42"/>
      <c r="Y233" s="9"/>
      <c r="Z233" s="9"/>
      <c r="AA233" s="9"/>
      <c r="AB233" s="42"/>
      <c r="AC233" s="9"/>
      <c r="AD233" s="38"/>
      <c r="AE233" s="9"/>
      <c r="AF233" s="39"/>
      <c r="AG233" s="9"/>
      <c r="AH233" s="9"/>
      <c r="AI233" s="9"/>
      <c r="AJ233" s="9"/>
      <c r="AK233" s="9"/>
      <c r="AL233" s="9"/>
      <c r="AM233" s="9"/>
      <c r="AN233" s="10" t="str">
        <f aca="false">IF(A233="","",SG_Criteria!$B$6&amp;SG_Criteria!$B$12&amp;"\"&amp;A233&amp;"\")</f>
        <v/>
      </c>
      <c r="AO233" s="10" t="str">
        <f aca="false">IF(A233="","",A233&amp;"_CAD.dwg")</f>
        <v/>
      </c>
      <c r="AP233" s="10" t="str">
        <f aca="false">IF(A233="","",A233&amp;"_DWG.pdf")</f>
        <v/>
      </c>
      <c r="AQ233" s="10" t="str">
        <f aca="false">IF(A233="","",IF(AM233="Y",A233&amp;"_STAAD.std","n/a"))</f>
        <v/>
      </c>
      <c r="AR233" s="10" t="str">
        <f aca="false">IF(A233="","",A233&amp;"_CALC.xlsx")</f>
        <v/>
      </c>
      <c r="AS233" s="10" t="str">
        <f aca="false">IF(A233="","",A233&amp;"_CALC.pdf")</f>
        <v/>
      </c>
      <c r="AT233" s="9"/>
      <c r="AU233" s="9"/>
      <c r="AV233" s="39"/>
      <c r="AW233" s="39"/>
      <c r="AX233" s="39"/>
      <c r="AY233" s="39"/>
      <c r="AZ233" s="39"/>
      <c r="BA233" s="12" t="str">
        <f aca="false">IF(A233="","",IF(COUNTIF(Rebar_Schedule!$A$5:$A$2004,A233)=0,"",ROUND(SUMIF(Rebar_Schedule!$A$5:$A$2004,A233,Rebar_Schedule!$K$5:$K$2004),1)))</f>
        <v/>
      </c>
      <c r="BB233" s="33" t="str">
        <f aca="false">IF(A233="","",IF(BA233="","No rebar schedule yet",IF(ABS(BA233-N(AW233))/MAX(N(AW233),1)&gt;SG_Criteria!$B$55,"NOTE: register rebar differs from schedule by "&amp;TEXT(ABS(BA233-N(AW233))/MAX(N(AW233),1),"0%"),"OK")))</f>
        <v/>
      </c>
      <c r="BC233" s="33" t="str">
        <f aca="false">IF(D233="","",IF(LEN(IF(AND(D233&lt;&gt;"High Covered Linkway",G233&lt;SG_Criteria!$B$46),"FAIL: headroom below "&amp;SG_Criteria!$B$46&amp;" m. ","")&amp;IF(AND(D233="High Covered Linkway",G233&lt;SG_Criteria!$B$47),"FAIL: high linkway headroom below "&amp;SG_Criteria!$B$47&amp;" m. ","")&amp;IF(F233&lt;SG_Criteria!$B$48,"FAIL: roof width below "&amp;SG_Criteria!$B$48&amp;" m. ",IF(F233&lt;SG_Criteria!$B$49,"NOTE: not for MRT/LRT or high-traffic routes (min "&amp;SG_Criteria!$B$49&amp;" m). ",""))&amp;IF(AND(W233&lt;&gt;"",W233&lt;SG_Criteria!$B$50),"FAIL: wind speed below "&amp;SG_Criteria!$B$50&amp;" m/s. ","")&amp;IF(AND(X233&lt;&gt;"",X233&lt;SG_Criteria!$B$51),"FAIL: roof fixing pull-out below "&amp;SG_Criteria!$B$51&amp;" kN. ","")&amp;IF(AND(Y233&lt;&gt;"",IFERROR(VALUE(MID(Y233,2,2)),0)&lt;SG_Criteria!$B$52),"FAIL: grade below C"&amp;SG_Criteria!$B$52&amp;". ","")&amp;IF(E233="Non-standard (project design)","NOTE: not an SDRE standard, needs LTA acceptance. ",""))=0,"OK",IF(AND(D233&lt;&gt;"High Covered Linkway",G233&lt;SG_Criteria!$B$46),"FAIL: headroom below "&amp;SG_Criteria!$B$46&amp;" m. ","")&amp;IF(AND(D233="High Covered Linkway",G233&lt;SG_Criteria!$B$47),"FAIL: high linkway headroom below "&amp;SG_Criteria!$B$47&amp;" m. ","")&amp;IF(F233&lt;SG_Criteria!$B$48,"FAIL: roof width below "&amp;SG_Criteria!$B$48&amp;" m. ",IF(F233&lt;SG_Criteria!$B$49,"NOTE: not for MRT/LRT or high-traffic routes (min "&amp;SG_Criteria!$B$49&amp;" m). ",""))&amp;IF(AND(W233&lt;&gt;"",W233&lt;SG_Criteria!$B$50),"FAIL: wind speed below "&amp;SG_Criteria!$B$50&amp;" m/s. ","")&amp;IF(AND(X233&lt;&gt;"",X233&lt;SG_Criteria!$B$51),"FAIL: roof fixing pull-out below "&amp;SG_Criteria!$B$51&amp;" kN. ","")&amp;IF(AND(Y233&lt;&gt;"",IFERROR(VALUE(MID(Y233,2,2)),0)&lt;SG_Criteria!$B$52),"FAIL: grade below C"&amp;SG_Criteria!$B$52&amp;". ","")&amp;IF(E233="Non-standard (project design)","NOTE: not an SDRE standard, needs LTA acceptance. ","")))</f>
        <v/>
      </c>
      <c r="BD233" s="9"/>
      <c r="BE233" s="9"/>
      <c r="BF233" s="9"/>
      <c r="BG233" s="10" t="str">
        <f aca="false">IF(BF233="","",IFERROR(VLOOKUP(BF233,Projects!$A$5:$D$504,2,0),"Ref not in Projects"))</f>
        <v/>
      </c>
      <c r="BH233" s="10" t="str">
        <f aca="false">IF(BF233="","",IFERROR(VLOOKUP(BF233,Projects!$A$5:$D$504,4,0),"Ref not in Projects"))</f>
        <v/>
      </c>
      <c r="BI233" s="9"/>
      <c r="BJ233" s="9"/>
      <c r="BK233" s="9"/>
      <c r="BL233" s="40"/>
      <c r="BM233" s="9"/>
      <c r="BN233" s="40"/>
      <c r="BO233" s="9"/>
      <c r="BP233" s="40"/>
      <c r="BQ233" s="9"/>
      <c r="BR233" s="9"/>
      <c r="BS233" s="9"/>
      <c r="BT233" s="40"/>
      <c r="BU233" s="40"/>
      <c r="BV233" s="36" t="str">
        <f aca="false">IF(BU233="","",EDATE(BU233,SG_Criteria!$B$54*12))</f>
        <v/>
      </c>
      <c r="BW233" s="33" t="str">
        <f aca="true">IF(A233="","",IF(BU233="","NOTE: not reviewed yet",IF(TODAY()&gt;BV233,"NOTE: review overdue","OK")))</f>
        <v/>
      </c>
      <c r="BX233" s="37" t="str">
        <f aca="false">IF(A233="","",ROUND((IF(LEN(D233)&gt;0,1,0)+IF(LEN(E233)&gt;0,1,0)+IF(LEN(F233)&gt;0,1,0)+IF(LEN(G233)&gt;0,1,0)+IF(LEN(H233)&gt;0,1,0)+IF(LEN(I233)&gt;0,1,0)+IF(LEN(J233)&gt;0,1,0)+IF(LEN(K233)&gt;0,1,0)+IF(LEN(N233)&gt;0,1,0)+IF(LEN(O233)&gt;0,1,0)+IF(LEN(W233)&gt;0,1,0)+IF(LEN(X233)&gt;0,1,0)+IF(LEN(Y233)&gt;0,1,0)+IF(LEN(AG233)&gt;0,1,0)+IF(LEN(AI233)&gt;0,1,0)+IF(LEN(AJ233)&gt;0,1,0)+IF(LEN(AK233)&gt;0,1,0)+IF(LEN(AL233)&gt;0,1,0)+IF(LEN(AU233)&gt;0,1,0)+IF(LEN(BF233)&gt;0,1,0)+IF(LEN(BS233)&gt;0,1,0))/21,2))</f>
        <v/>
      </c>
      <c r="BY233" s="10" t="str">
        <f aca="false">IF(D233="","",IF(AND(AJ233="Approved",ISERROR(SEARCH("FAIL",BC233))),"Y","N"))</f>
        <v/>
      </c>
      <c r="BZ233" s="10" t="str">
        <f aca="false">IF(D233="","",D233&amp;"|"&amp;F233&amp;"|"&amp;G233&amp;"|"&amp;BY233)</f>
        <v/>
      </c>
    </row>
    <row r="234" customFormat="false" ht="15" hidden="false" customHeight="false" outlineLevel="0" collapsed="false">
      <c r="A234" s="10" t="str">
        <f aca="false">IF(D234="","","LKW-"&amp;IFERROR(VLOOKUP(D234,Lists!$AQ$4:$AR$17,2,0),"??")&amp;"-W"&amp;TEXT(F234*1000,"0000")&amp;"-H"&amp;TEXT(G234*1000,"0000")&amp;"-B"&amp;TEXT(H234*1000,"0000")&amp;"-"&amp;AI234)</f>
        <v/>
      </c>
      <c r="B234" s="10" t="str">
        <f aca="false">IF(D234="","",D234&amp;", "&amp;F234&amp;" m wide, "&amp;G234&amp;" m headroom, "&amp;H234&amp;" m bays, "&amp;I234&amp;" ("&amp;E234&amp;")")</f>
        <v/>
      </c>
      <c r="C234" s="9"/>
      <c r="D234" s="9"/>
      <c r="E234" s="9"/>
      <c r="F234" s="42"/>
      <c r="G234" s="42"/>
      <c r="H234" s="42"/>
      <c r="I234" s="9"/>
      <c r="J234" s="9"/>
      <c r="K234" s="9"/>
      <c r="L234" s="9"/>
      <c r="M234" s="9"/>
      <c r="N234" s="9"/>
      <c r="O234" s="9"/>
      <c r="P234" s="9"/>
      <c r="Q234" s="9"/>
      <c r="R234" s="9"/>
      <c r="S234" s="42"/>
      <c r="T234" s="9"/>
      <c r="U234" s="9"/>
      <c r="V234" s="9"/>
      <c r="W234" s="38"/>
      <c r="X234" s="42"/>
      <c r="Y234" s="9"/>
      <c r="Z234" s="9"/>
      <c r="AA234" s="9"/>
      <c r="AB234" s="42"/>
      <c r="AC234" s="9"/>
      <c r="AD234" s="38"/>
      <c r="AE234" s="9"/>
      <c r="AF234" s="39"/>
      <c r="AG234" s="9"/>
      <c r="AH234" s="9"/>
      <c r="AI234" s="9"/>
      <c r="AJ234" s="9"/>
      <c r="AK234" s="9"/>
      <c r="AL234" s="9"/>
      <c r="AM234" s="9"/>
      <c r="AN234" s="10" t="str">
        <f aca="false">IF(A234="","",SG_Criteria!$B$6&amp;SG_Criteria!$B$12&amp;"\"&amp;A234&amp;"\")</f>
        <v/>
      </c>
      <c r="AO234" s="10" t="str">
        <f aca="false">IF(A234="","",A234&amp;"_CAD.dwg")</f>
        <v/>
      </c>
      <c r="AP234" s="10" t="str">
        <f aca="false">IF(A234="","",A234&amp;"_DWG.pdf")</f>
        <v/>
      </c>
      <c r="AQ234" s="10" t="str">
        <f aca="false">IF(A234="","",IF(AM234="Y",A234&amp;"_STAAD.std","n/a"))</f>
        <v/>
      </c>
      <c r="AR234" s="10" t="str">
        <f aca="false">IF(A234="","",A234&amp;"_CALC.xlsx")</f>
        <v/>
      </c>
      <c r="AS234" s="10" t="str">
        <f aca="false">IF(A234="","",A234&amp;"_CALC.pdf")</f>
        <v/>
      </c>
      <c r="AT234" s="9"/>
      <c r="AU234" s="9"/>
      <c r="AV234" s="39"/>
      <c r="AW234" s="39"/>
      <c r="AX234" s="39"/>
      <c r="AY234" s="39"/>
      <c r="AZ234" s="39"/>
      <c r="BA234" s="12" t="str">
        <f aca="false">IF(A234="","",IF(COUNTIF(Rebar_Schedule!$A$5:$A$2004,A234)=0,"",ROUND(SUMIF(Rebar_Schedule!$A$5:$A$2004,A234,Rebar_Schedule!$K$5:$K$2004),1)))</f>
        <v/>
      </c>
      <c r="BB234" s="33" t="str">
        <f aca="false">IF(A234="","",IF(BA234="","No rebar schedule yet",IF(ABS(BA234-N(AW234))/MAX(N(AW234),1)&gt;SG_Criteria!$B$55,"NOTE: register rebar differs from schedule by "&amp;TEXT(ABS(BA234-N(AW234))/MAX(N(AW234),1),"0%"),"OK")))</f>
        <v/>
      </c>
      <c r="BC234" s="33" t="str">
        <f aca="false">IF(D234="","",IF(LEN(IF(AND(D234&lt;&gt;"High Covered Linkway",G234&lt;SG_Criteria!$B$46),"FAIL: headroom below "&amp;SG_Criteria!$B$46&amp;" m. ","")&amp;IF(AND(D234="High Covered Linkway",G234&lt;SG_Criteria!$B$47),"FAIL: high linkway headroom below "&amp;SG_Criteria!$B$47&amp;" m. ","")&amp;IF(F234&lt;SG_Criteria!$B$48,"FAIL: roof width below "&amp;SG_Criteria!$B$48&amp;" m. ",IF(F234&lt;SG_Criteria!$B$49,"NOTE: not for MRT/LRT or high-traffic routes (min "&amp;SG_Criteria!$B$49&amp;" m). ",""))&amp;IF(AND(W234&lt;&gt;"",W234&lt;SG_Criteria!$B$50),"FAIL: wind speed below "&amp;SG_Criteria!$B$50&amp;" m/s. ","")&amp;IF(AND(X234&lt;&gt;"",X234&lt;SG_Criteria!$B$51),"FAIL: roof fixing pull-out below "&amp;SG_Criteria!$B$51&amp;" kN. ","")&amp;IF(AND(Y234&lt;&gt;"",IFERROR(VALUE(MID(Y234,2,2)),0)&lt;SG_Criteria!$B$52),"FAIL: grade below C"&amp;SG_Criteria!$B$52&amp;". ","")&amp;IF(E234="Non-standard (project design)","NOTE: not an SDRE standard, needs LTA acceptance. ",""))=0,"OK",IF(AND(D234&lt;&gt;"High Covered Linkway",G234&lt;SG_Criteria!$B$46),"FAIL: headroom below "&amp;SG_Criteria!$B$46&amp;" m. ","")&amp;IF(AND(D234="High Covered Linkway",G234&lt;SG_Criteria!$B$47),"FAIL: high linkway headroom below "&amp;SG_Criteria!$B$47&amp;" m. ","")&amp;IF(F234&lt;SG_Criteria!$B$48,"FAIL: roof width below "&amp;SG_Criteria!$B$48&amp;" m. ",IF(F234&lt;SG_Criteria!$B$49,"NOTE: not for MRT/LRT or high-traffic routes (min "&amp;SG_Criteria!$B$49&amp;" m). ",""))&amp;IF(AND(W234&lt;&gt;"",W234&lt;SG_Criteria!$B$50),"FAIL: wind speed below "&amp;SG_Criteria!$B$50&amp;" m/s. ","")&amp;IF(AND(X234&lt;&gt;"",X234&lt;SG_Criteria!$B$51),"FAIL: roof fixing pull-out below "&amp;SG_Criteria!$B$51&amp;" kN. ","")&amp;IF(AND(Y234&lt;&gt;"",IFERROR(VALUE(MID(Y234,2,2)),0)&lt;SG_Criteria!$B$52),"FAIL: grade below C"&amp;SG_Criteria!$B$52&amp;". ","")&amp;IF(E234="Non-standard (project design)","NOTE: not an SDRE standard, needs LTA acceptance. ","")))</f>
        <v/>
      </c>
      <c r="BD234" s="9"/>
      <c r="BE234" s="9"/>
      <c r="BF234" s="9"/>
      <c r="BG234" s="10" t="str">
        <f aca="false">IF(BF234="","",IFERROR(VLOOKUP(BF234,Projects!$A$5:$D$504,2,0),"Ref not in Projects"))</f>
        <v/>
      </c>
      <c r="BH234" s="10" t="str">
        <f aca="false">IF(BF234="","",IFERROR(VLOOKUP(BF234,Projects!$A$5:$D$504,4,0),"Ref not in Projects"))</f>
        <v/>
      </c>
      <c r="BI234" s="9"/>
      <c r="BJ234" s="9"/>
      <c r="BK234" s="9"/>
      <c r="BL234" s="40"/>
      <c r="BM234" s="9"/>
      <c r="BN234" s="40"/>
      <c r="BO234" s="9"/>
      <c r="BP234" s="40"/>
      <c r="BQ234" s="9"/>
      <c r="BR234" s="9"/>
      <c r="BS234" s="9"/>
      <c r="BT234" s="40"/>
      <c r="BU234" s="40"/>
      <c r="BV234" s="36" t="str">
        <f aca="false">IF(BU234="","",EDATE(BU234,SG_Criteria!$B$54*12))</f>
        <v/>
      </c>
      <c r="BW234" s="33" t="str">
        <f aca="true">IF(A234="","",IF(BU234="","NOTE: not reviewed yet",IF(TODAY()&gt;BV234,"NOTE: review overdue","OK")))</f>
        <v/>
      </c>
      <c r="BX234" s="37" t="str">
        <f aca="false">IF(A234="","",ROUND((IF(LEN(D234)&gt;0,1,0)+IF(LEN(E234)&gt;0,1,0)+IF(LEN(F234)&gt;0,1,0)+IF(LEN(G234)&gt;0,1,0)+IF(LEN(H234)&gt;0,1,0)+IF(LEN(I234)&gt;0,1,0)+IF(LEN(J234)&gt;0,1,0)+IF(LEN(K234)&gt;0,1,0)+IF(LEN(N234)&gt;0,1,0)+IF(LEN(O234)&gt;0,1,0)+IF(LEN(W234)&gt;0,1,0)+IF(LEN(X234)&gt;0,1,0)+IF(LEN(Y234)&gt;0,1,0)+IF(LEN(AG234)&gt;0,1,0)+IF(LEN(AI234)&gt;0,1,0)+IF(LEN(AJ234)&gt;0,1,0)+IF(LEN(AK234)&gt;0,1,0)+IF(LEN(AL234)&gt;0,1,0)+IF(LEN(AU234)&gt;0,1,0)+IF(LEN(BF234)&gt;0,1,0)+IF(LEN(BS234)&gt;0,1,0))/21,2))</f>
        <v/>
      </c>
      <c r="BY234" s="10" t="str">
        <f aca="false">IF(D234="","",IF(AND(AJ234="Approved",ISERROR(SEARCH("FAIL",BC234))),"Y","N"))</f>
        <v/>
      </c>
      <c r="BZ234" s="10" t="str">
        <f aca="false">IF(D234="","",D234&amp;"|"&amp;F234&amp;"|"&amp;G234&amp;"|"&amp;BY234)</f>
        <v/>
      </c>
    </row>
    <row r="235" customFormat="false" ht="15" hidden="false" customHeight="false" outlineLevel="0" collapsed="false">
      <c r="A235" s="10" t="str">
        <f aca="false">IF(D235="","","LKW-"&amp;IFERROR(VLOOKUP(D235,Lists!$AQ$4:$AR$17,2,0),"??")&amp;"-W"&amp;TEXT(F235*1000,"0000")&amp;"-H"&amp;TEXT(G235*1000,"0000")&amp;"-B"&amp;TEXT(H235*1000,"0000")&amp;"-"&amp;AI235)</f>
        <v/>
      </c>
      <c r="B235" s="10" t="str">
        <f aca="false">IF(D235="","",D235&amp;", "&amp;F235&amp;" m wide, "&amp;G235&amp;" m headroom, "&amp;H235&amp;" m bays, "&amp;I235&amp;" ("&amp;E235&amp;")")</f>
        <v/>
      </c>
      <c r="C235" s="9"/>
      <c r="D235" s="9"/>
      <c r="E235" s="9"/>
      <c r="F235" s="42"/>
      <c r="G235" s="42"/>
      <c r="H235" s="42"/>
      <c r="I235" s="9"/>
      <c r="J235" s="9"/>
      <c r="K235" s="9"/>
      <c r="L235" s="9"/>
      <c r="M235" s="9"/>
      <c r="N235" s="9"/>
      <c r="O235" s="9"/>
      <c r="P235" s="9"/>
      <c r="Q235" s="9"/>
      <c r="R235" s="9"/>
      <c r="S235" s="42"/>
      <c r="T235" s="9"/>
      <c r="U235" s="9"/>
      <c r="V235" s="9"/>
      <c r="W235" s="38"/>
      <c r="X235" s="42"/>
      <c r="Y235" s="9"/>
      <c r="Z235" s="9"/>
      <c r="AA235" s="9"/>
      <c r="AB235" s="42"/>
      <c r="AC235" s="9"/>
      <c r="AD235" s="38"/>
      <c r="AE235" s="9"/>
      <c r="AF235" s="39"/>
      <c r="AG235" s="9"/>
      <c r="AH235" s="9"/>
      <c r="AI235" s="9"/>
      <c r="AJ235" s="9"/>
      <c r="AK235" s="9"/>
      <c r="AL235" s="9"/>
      <c r="AM235" s="9"/>
      <c r="AN235" s="10" t="str">
        <f aca="false">IF(A235="","",SG_Criteria!$B$6&amp;SG_Criteria!$B$12&amp;"\"&amp;A235&amp;"\")</f>
        <v/>
      </c>
      <c r="AO235" s="10" t="str">
        <f aca="false">IF(A235="","",A235&amp;"_CAD.dwg")</f>
        <v/>
      </c>
      <c r="AP235" s="10" t="str">
        <f aca="false">IF(A235="","",A235&amp;"_DWG.pdf")</f>
        <v/>
      </c>
      <c r="AQ235" s="10" t="str">
        <f aca="false">IF(A235="","",IF(AM235="Y",A235&amp;"_STAAD.std","n/a"))</f>
        <v/>
      </c>
      <c r="AR235" s="10" t="str">
        <f aca="false">IF(A235="","",A235&amp;"_CALC.xlsx")</f>
        <v/>
      </c>
      <c r="AS235" s="10" t="str">
        <f aca="false">IF(A235="","",A235&amp;"_CALC.pdf")</f>
        <v/>
      </c>
      <c r="AT235" s="9"/>
      <c r="AU235" s="9"/>
      <c r="AV235" s="39"/>
      <c r="AW235" s="39"/>
      <c r="AX235" s="39"/>
      <c r="AY235" s="39"/>
      <c r="AZ235" s="39"/>
      <c r="BA235" s="12" t="str">
        <f aca="false">IF(A235="","",IF(COUNTIF(Rebar_Schedule!$A$5:$A$2004,A235)=0,"",ROUND(SUMIF(Rebar_Schedule!$A$5:$A$2004,A235,Rebar_Schedule!$K$5:$K$2004),1)))</f>
        <v/>
      </c>
      <c r="BB235" s="33" t="str">
        <f aca="false">IF(A235="","",IF(BA235="","No rebar schedule yet",IF(ABS(BA235-N(AW235))/MAX(N(AW235),1)&gt;SG_Criteria!$B$55,"NOTE: register rebar differs from schedule by "&amp;TEXT(ABS(BA235-N(AW235))/MAX(N(AW235),1),"0%"),"OK")))</f>
        <v/>
      </c>
      <c r="BC235" s="33" t="str">
        <f aca="false">IF(D235="","",IF(LEN(IF(AND(D235&lt;&gt;"High Covered Linkway",G235&lt;SG_Criteria!$B$46),"FAIL: headroom below "&amp;SG_Criteria!$B$46&amp;" m. ","")&amp;IF(AND(D235="High Covered Linkway",G235&lt;SG_Criteria!$B$47),"FAIL: high linkway headroom below "&amp;SG_Criteria!$B$47&amp;" m. ","")&amp;IF(F235&lt;SG_Criteria!$B$48,"FAIL: roof width below "&amp;SG_Criteria!$B$48&amp;" m. ",IF(F235&lt;SG_Criteria!$B$49,"NOTE: not for MRT/LRT or high-traffic routes (min "&amp;SG_Criteria!$B$49&amp;" m). ",""))&amp;IF(AND(W235&lt;&gt;"",W235&lt;SG_Criteria!$B$50),"FAIL: wind speed below "&amp;SG_Criteria!$B$50&amp;" m/s. ","")&amp;IF(AND(X235&lt;&gt;"",X235&lt;SG_Criteria!$B$51),"FAIL: roof fixing pull-out below "&amp;SG_Criteria!$B$51&amp;" kN. ","")&amp;IF(AND(Y235&lt;&gt;"",IFERROR(VALUE(MID(Y235,2,2)),0)&lt;SG_Criteria!$B$52),"FAIL: grade below C"&amp;SG_Criteria!$B$52&amp;". ","")&amp;IF(E235="Non-standard (project design)","NOTE: not an SDRE standard, needs LTA acceptance. ",""))=0,"OK",IF(AND(D235&lt;&gt;"High Covered Linkway",G235&lt;SG_Criteria!$B$46),"FAIL: headroom below "&amp;SG_Criteria!$B$46&amp;" m. ","")&amp;IF(AND(D235="High Covered Linkway",G235&lt;SG_Criteria!$B$47),"FAIL: high linkway headroom below "&amp;SG_Criteria!$B$47&amp;" m. ","")&amp;IF(F235&lt;SG_Criteria!$B$48,"FAIL: roof width below "&amp;SG_Criteria!$B$48&amp;" m. ",IF(F235&lt;SG_Criteria!$B$49,"NOTE: not for MRT/LRT or high-traffic routes (min "&amp;SG_Criteria!$B$49&amp;" m). ",""))&amp;IF(AND(W235&lt;&gt;"",W235&lt;SG_Criteria!$B$50),"FAIL: wind speed below "&amp;SG_Criteria!$B$50&amp;" m/s. ","")&amp;IF(AND(X235&lt;&gt;"",X235&lt;SG_Criteria!$B$51),"FAIL: roof fixing pull-out below "&amp;SG_Criteria!$B$51&amp;" kN. ","")&amp;IF(AND(Y235&lt;&gt;"",IFERROR(VALUE(MID(Y235,2,2)),0)&lt;SG_Criteria!$B$52),"FAIL: grade below C"&amp;SG_Criteria!$B$52&amp;". ","")&amp;IF(E235="Non-standard (project design)","NOTE: not an SDRE standard, needs LTA acceptance. ","")))</f>
        <v/>
      </c>
      <c r="BD235" s="9"/>
      <c r="BE235" s="9"/>
      <c r="BF235" s="9"/>
      <c r="BG235" s="10" t="str">
        <f aca="false">IF(BF235="","",IFERROR(VLOOKUP(BF235,Projects!$A$5:$D$504,2,0),"Ref not in Projects"))</f>
        <v/>
      </c>
      <c r="BH235" s="10" t="str">
        <f aca="false">IF(BF235="","",IFERROR(VLOOKUP(BF235,Projects!$A$5:$D$504,4,0),"Ref not in Projects"))</f>
        <v/>
      </c>
      <c r="BI235" s="9"/>
      <c r="BJ235" s="9"/>
      <c r="BK235" s="9"/>
      <c r="BL235" s="40"/>
      <c r="BM235" s="9"/>
      <c r="BN235" s="40"/>
      <c r="BO235" s="9"/>
      <c r="BP235" s="40"/>
      <c r="BQ235" s="9"/>
      <c r="BR235" s="9"/>
      <c r="BS235" s="9"/>
      <c r="BT235" s="40"/>
      <c r="BU235" s="40"/>
      <c r="BV235" s="36" t="str">
        <f aca="false">IF(BU235="","",EDATE(BU235,SG_Criteria!$B$54*12))</f>
        <v/>
      </c>
      <c r="BW235" s="33" t="str">
        <f aca="true">IF(A235="","",IF(BU235="","NOTE: not reviewed yet",IF(TODAY()&gt;BV235,"NOTE: review overdue","OK")))</f>
        <v/>
      </c>
      <c r="BX235" s="37" t="str">
        <f aca="false">IF(A235="","",ROUND((IF(LEN(D235)&gt;0,1,0)+IF(LEN(E235)&gt;0,1,0)+IF(LEN(F235)&gt;0,1,0)+IF(LEN(G235)&gt;0,1,0)+IF(LEN(H235)&gt;0,1,0)+IF(LEN(I235)&gt;0,1,0)+IF(LEN(J235)&gt;0,1,0)+IF(LEN(K235)&gt;0,1,0)+IF(LEN(N235)&gt;0,1,0)+IF(LEN(O235)&gt;0,1,0)+IF(LEN(W235)&gt;0,1,0)+IF(LEN(X235)&gt;0,1,0)+IF(LEN(Y235)&gt;0,1,0)+IF(LEN(AG235)&gt;0,1,0)+IF(LEN(AI235)&gt;0,1,0)+IF(LEN(AJ235)&gt;0,1,0)+IF(LEN(AK235)&gt;0,1,0)+IF(LEN(AL235)&gt;0,1,0)+IF(LEN(AU235)&gt;0,1,0)+IF(LEN(BF235)&gt;0,1,0)+IF(LEN(BS235)&gt;0,1,0))/21,2))</f>
        <v/>
      </c>
      <c r="BY235" s="10" t="str">
        <f aca="false">IF(D235="","",IF(AND(AJ235="Approved",ISERROR(SEARCH("FAIL",BC235))),"Y","N"))</f>
        <v/>
      </c>
      <c r="BZ235" s="10" t="str">
        <f aca="false">IF(D235="","",D235&amp;"|"&amp;F235&amp;"|"&amp;G235&amp;"|"&amp;BY235)</f>
        <v/>
      </c>
    </row>
    <row r="236" customFormat="false" ht="15" hidden="false" customHeight="false" outlineLevel="0" collapsed="false">
      <c r="A236" s="10" t="str">
        <f aca="false">IF(D236="","","LKW-"&amp;IFERROR(VLOOKUP(D236,Lists!$AQ$4:$AR$17,2,0),"??")&amp;"-W"&amp;TEXT(F236*1000,"0000")&amp;"-H"&amp;TEXT(G236*1000,"0000")&amp;"-B"&amp;TEXT(H236*1000,"0000")&amp;"-"&amp;AI236)</f>
        <v/>
      </c>
      <c r="B236" s="10" t="str">
        <f aca="false">IF(D236="","",D236&amp;", "&amp;F236&amp;" m wide, "&amp;G236&amp;" m headroom, "&amp;H236&amp;" m bays, "&amp;I236&amp;" ("&amp;E236&amp;")")</f>
        <v/>
      </c>
      <c r="C236" s="9"/>
      <c r="D236" s="9"/>
      <c r="E236" s="9"/>
      <c r="F236" s="42"/>
      <c r="G236" s="42"/>
      <c r="H236" s="42"/>
      <c r="I236" s="9"/>
      <c r="J236" s="9"/>
      <c r="K236" s="9"/>
      <c r="L236" s="9"/>
      <c r="M236" s="9"/>
      <c r="N236" s="9"/>
      <c r="O236" s="9"/>
      <c r="P236" s="9"/>
      <c r="Q236" s="9"/>
      <c r="R236" s="9"/>
      <c r="S236" s="42"/>
      <c r="T236" s="9"/>
      <c r="U236" s="9"/>
      <c r="V236" s="9"/>
      <c r="W236" s="38"/>
      <c r="X236" s="42"/>
      <c r="Y236" s="9"/>
      <c r="Z236" s="9"/>
      <c r="AA236" s="9"/>
      <c r="AB236" s="42"/>
      <c r="AC236" s="9"/>
      <c r="AD236" s="38"/>
      <c r="AE236" s="9"/>
      <c r="AF236" s="39"/>
      <c r="AG236" s="9"/>
      <c r="AH236" s="9"/>
      <c r="AI236" s="9"/>
      <c r="AJ236" s="9"/>
      <c r="AK236" s="9"/>
      <c r="AL236" s="9"/>
      <c r="AM236" s="9"/>
      <c r="AN236" s="10" t="str">
        <f aca="false">IF(A236="","",SG_Criteria!$B$6&amp;SG_Criteria!$B$12&amp;"\"&amp;A236&amp;"\")</f>
        <v/>
      </c>
      <c r="AO236" s="10" t="str">
        <f aca="false">IF(A236="","",A236&amp;"_CAD.dwg")</f>
        <v/>
      </c>
      <c r="AP236" s="10" t="str">
        <f aca="false">IF(A236="","",A236&amp;"_DWG.pdf")</f>
        <v/>
      </c>
      <c r="AQ236" s="10" t="str">
        <f aca="false">IF(A236="","",IF(AM236="Y",A236&amp;"_STAAD.std","n/a"))</f>
        <v/>
      </c>
      <c r="AR236" s="10" t="str">
        <f aca="false">IF(A236="","",A236&amp;"_CALC.xlsx")</f>
        <v/>
      </c>
      <c r="AS236" s="10" t="str">
        <f aca="false">IF(A236="","",A236&amp;"_CALC.pdf")</f>
        <v/>
      </c>
      <c r="AT236" s="9"/>
      <c r="AU236" s="9"/>
      <c r="AV236" s="39"/>
      <c r="AW236" s="39"/>
      <c r="AX236" s="39"/>
      <c r="AY236" s="39"/>
      <c r="AZ236" s="39"/>
      <c r="BA236" s="12" t="str">
        <f aca="false">IF(A236="","",IF(COUNTIF(Rebar_Schedule!$A$5:$A$2004,A236)=0,"",ROUND(SUMIF(Rebar_Schedule!$A$5:$A$2004,A236,Rebar_Schedule!$K$5:$K$2004),1)))</f>
        <v/>
      </c>
      <c r="BB236" s="33" t="str">
        <f aca="false">IF(A236="","",IF(BA236="","No rebar schedule yet",IF(ABS(BA236-N(AW236))/MAX(N(AW236),1)&gt;SG_Criteria!$B$55,"NOTE: register rebar differs from schedule by "&amp;TEXT(ABS(BA236-N(AW236))/MAX(N(AW236),1),"0%"),"OK")))</f>
        <v/>
      </c>
      <c r="BC236" s="33" t="str">
        <f aca="false">IF(D236="","",IF(LEN(IF(AND(D236&lt;&gt;"High Covered Linkway",G236&lt;SG_Criteria!$B$46),"FAIL: headroom below "&amp;SG_Criteria!$B$46&amp;" m. ","")&amp;IF(AND(D236="High Covered Linkway",G236&lt;SG_Criteria!$B$47),"FAIL: high linkway headroom below "&amp;SG_Criteria!$B$47&amp;" m. ","")&amp;IF(F236&lt;SG_Criteria!$B$48,"FAIL: roof width below "&amp;SG_Criteria!$B$48&amp;" m. ",IF(F236&lt;SG_Criteria!$B$49,"NOTE: not for MRT/LRT or high-traffic routes (min "&amp;SG_Criteria!$B$49&amp;" m). ",""))&amp;IF(AND(W236&lt;&gt;"",W236&lt;SG_Criteria!$B$50),"FAIL: wind speed below "&amp;SG_Criteria!$B$50&amp;" m/s. ","")&amp;IF(AND(X236&lt;&gt;"",X236&lt;SG_Criteria!$B$51),"FAIL: roof fixing pull-out below "&amp;SG_Criteria!$B$51&amp;" kN. ","")&amp;IF(AND(Y236&lt;&gt;"",IFERROR(VALUE(MID(Y236,2,2)),0)&lt;SG_Criteria!$B$52),"FAIL: grade below C"&amp;SG_Criteria!$B$52&amp;". ","")&amp;IF(E236="Non-standard (project design)","NOTE: not an SDRE standard, needs LTA acceptance. ",""))=0,"OK",IF(AND(D236&lt;&gt;"High Covered Linkway",G236&lt;SG_Criteria!$B$46),"FAIL: headroom below "&amp;SG_Criteria!$B$46&amp;" m. ","")&amp;IF(AND(D236="High Covered Linkway",G236&lt;SG_Criteria!$B$47),"FAIL: high linkway headroom below "&amp;SG_Criteria!$B$47&amp;" m. ","")&amp;IF(F236&lt;SG_Criteria!$B$48,"FAIL: roof width below "&amp;SG_Criteria!$B$48&amp;" m. ",IF(F236&lt;SG_Criteria!$B$49,"NOTE: not for MRT/LRT or high-traffic routes (min "&amp;SG_Criteria!$B$49&amp;" m). ",""))&amp;IF(AND(W236&lt;&gt;"",W236&lt;SG_Criteria!$B$50),"FAIL: wind speed below "&amp;SG_Criteria!$B$50&amp;" m/s. ","")&amp;IF(AND(X236&lt;&gt;"",X236&lt;SG_Criteria!$B$51),"FAIL: roof fixing pull-out below "&amp;SG_Criteria!$B$51&amp;" kN. ","")&amp;IF(AND(Y236&lt;&gt;"",IFERROR(VALUE(MID(Y236,2,2)),0)&lt;SG_Criteria!$B$52),"FAIL: grade below C"&amp;SG_Criteria!$B$52&amp;". ","")&amp;IF(E236="Non-standard (project design)","NOTE: not an SDRE standard, needs LTA acceptance. ","")))</f>
        <v/>
      </c>
      <c r="BD236" s="9"/>
      <c r="BE236" s="9"/>
      <c r="BF236" s="9"/>
      <c r="BG236" s="10" t="str">
        <f aca="false">IF(BF236="","",IFERROR(VLOOKUP(BF236,Projects!$A$5:$D$504,2,0),"Ref not in Projects"))</f>
        <v/>
      </c>
      <c r="BH236" s="10" t="str">
        <f aca="false">IF(BF236="","",IFERROR(VLOOKUP(BF236,Projects!$A$5:$D$504,4,0),"Ref not in Projects"))</f>
        <v/>
      </c>
      <c r="BI236" s="9"/>
      <c r="BJ236" s="9"/>
      <c r="BK236" s="9"/>
      <c r="BL236" s="40"/>
      <c r="BM236" s="9"/>
      <c r="BN236" s="40"/>
      <c r="BO236" s="9"/>
      <c r="BP236" s="40"/>
      <c r="BQ236" s="9"/>
      <c r="BR236" s="9"/>
      <c r="BS236" s="9"/>
      <c r="BT236" s="40"/>
      <c r="BU236" s="40"/>
      <c r="BV236" s="36" t="str">
        <f aca="false">IF(BU236="","",EDATE(BU236,SG_Criteria!$B$54*12))</f>
        <v/>
      </c>
      <c r="BW236" s="33" t="str">
        <f aca="true">IF(A236="","",IF(BU236="","NOTE: not reviewed yet",IF(TODAY()&gt;BV236,"NOTE: review overdue","OK")))</f>
        <v/>
      </c>
      <c r="BX236" s="37" t="str">
        <f aca="false">IF(A236="","",ROUND((IF(LEN(D236)&gt;0,1,0)+IF(LEN(E236)&gt;0,1,0)+IF(LEN(F236)&gt;0,1,0)+IF(LEN(G236)&gt;0,1,0)+IF(LEN(H236)&gt;0,1,0)+IF(LEN(I236)&gt;0,1,0)+IF(LEN(J236)&gt;0,1,0)+IF(LEN(K236)&gt;0,1,0)+IF(LEN(N236)&gt;0,1,0)+IF(LEN(O236)&gt;0,1,0)+IF(LEN(W236)&gt;0,1,0)+IF(LEN(X236)&gt;0,1,0)+IF(LEN(Y236)&gt;0,1,0)+IF(LEN(AG236)&gt;0,1,0)+IF(LEN(AI236)&gt;0,1,0)+IF(LEN(AJ236)&gt;0,1,0)+IF(LEN(AK236)&gt;0,1,0)+IF(LEN(AL236)&gt;0,1,0)+IF(LEN(AU236)&gt;0,1,0)+IF(LEN(BF236)&gt;0,1,0)+IF(LEN(BS236)&gt;0,1,0))/21,2))</f>
        <v/>
      </c>
      <c r="BY236" s="10" t="str">
        <f aca="false">IF(D236="","",IF(AND(AJ236="Approved",ISERROR(SEARCH("FAIL",BC236))),"Y","N"))</f>
        <v/>
      </c>
      <c r="BZ236" s="10" t="str">
        <f aca="false">IF(D236="","",D236&amp;"|"&amp;F236&amp;"|"&amp;G236&amp;"|"&amp;BY236)</f>
        <v/>
      </c>
    </row>
    <row r="237" customFormat="false" ht="15" hidden="false" customHeight="false" outlineLevel="0" collapsed="false">
      <c r="A237" s="10" t="str">
        <f aca="false">IF(D237="","","LKW-"&amp;IFERROR(VLOOKUP(D237,Lists!$AQ$4:$AR$17,2,0),"??")&amp;"-W"&amp;TEXT(F237*1000,"0000")&amp;"-H"&amp;TEXT(G237*1000,"0000")&amp;"-B"&amp;TEXT(H237*1000,"0000")&amp;"-"&amp;AI237)</f>
        <v/>
      </c>
      <c r="B237" s="10" t="str">
        <f aca="false">IF(D237="","",D237&amp;", "&amp;F237&amp;" m wide, "&amp;G237&amp;" m headroom, "&amp;H237&amp;" m bays, "&amp;I237&amp;" ("&amp;E237&amp;")")</f>
        <v/>
      </c>
      <c r="C237" s="9"/>
      <c r="D237" s="9"/>
      <c r="E237" s="9"/>
      <c r="F237" s="42"/>
      <c r="G237" s="42"/>
      <c r="H237" s="42"/>
      <c r="I237" s="9"/>
      <c r="J237" s="9"/>
      <c r="K237" s="9"/>
      <c r="L237" s="9"/>
      <c r="M237" s="9"/>
      <c r="N237" s="9"/>
      <c r="O237" s="9"/>
      <c r="P237" s="9"/>
      <c r="Q237" s="9"/>
      <c r="R237" s="9"/>
      <c r="S237" s="42"/>
      <c r="T237" s="9"/>
      <c r="U237" s="9"/>
      <c r="V237" s="9"/>
      <c r="W237" s="38"/>
      <c r="X237" s="42"/>
      <c r="Y237" s="9"/>
      <c r="Z237" s="9"/>
      <c r="AA237" s="9"/>
      <c r="AB237" s="42"/>
      <c r="AC237" s="9"/>
      <c r="AD237" s="38"/>
      <c r="AE237" s="9"/>
      <c r="AF237" s="39"/>
      <c r="AG237" s="9"/>
      <c r="AH237" s="9"/>
      <c r="AI237" s="9"/>
      <c r="AJ237" s="9"/>
      <c r="AK237" s="9"/>
      <c r="AL237" s="9"/>
      <c r="AM237" s="9"/>
      <c r="AN237" s="10" t="str">
        <f aca="false">IF(A237="","",SG_Criteria!$B$6&amp;SG_Criteria!$B$12&amp;"\"&amp;A237&amp;"\")</f>
        <v/>
      </c>
      <c r="AO237" s="10" t="str">
        <f aca="false">IF(A237="","",A237&amp;"_CAD.dwg")</f>
        <v/>
      </c>
      <c r="AP237" s="10" t="str">
        <f aca="false">IF(A237="","",A237&amp;"_DWG.pdf")</f>
        <v/>
      </c>
      <c r="AQ237" s="10" t="str">
        <f aca="false">IF(A237="","",IF(AM237="Y",A237&amp;"_STAAD.std","n/a"))</f>
        <v/>
      </c>
      <c r="AR237" s="10" t="str">
        <f aca="false">IF(A237="","",A237&amp;"_CALC.xlsx")</f>
        <v/>
      </c>
      <c r="AS237" s="10" t="str">
        <f aca="false">IF(A237="","",A237&amp;"_CALC.pdf")</f>
        <v/>
      </c>
      <c r="AT237" s="9"/>
      <c r="AU237" s="9"/>
      <c r="AV237" s="39"/>
      <c r="AW237" s="39"/>
      <c r="AX237" s="39"/>
      <c r="AY237" s="39"/>
      <c r="AZ237" s="39"/>
      <c r="BA237" s="12" t="str">
        <f aca="false">IF(A237="","",IF(COUNTIF(Rebar_Schedule!$A$5:$A$2004,A237)=0,"",ROUND(SUMIF(Rebar_Schedule!$A$5:$A$2004,A237,Rebar_Schedule!$K$5:$K$2004),1)))</f>
        <v/>
      </c>
      <c r="BB237" s="33" t="str">
        <f aca="false">IF(A237="","",IF(BA237="","No rebar schedule yet",IF(ABS(BA237-N(AW237))/MAX(N(AW237),1)&gt;SG_Criteria!$B$55,"NOTE: register rebar differs from schedule by "&amp;TEXT(ABS(BA237-N(AW237))/MAX(N(AW237),1),"0%"),"OK")))</f>
        <v/>
      </c>
      <c r="BC237" s="33" t="str">
        <f aca="false">IF(D237="","",IF(LEN(IF(AND(D237&lt;&gt;"High Covered Linkway",G237&lt;SG_Criteria!$B$46),"FAIL: headroom below "&amp;SG_Criteria!$B$46&amp;" m. ","")&amp;IF(AND(D237="High Covered Linkway",G237&lt;SG_Criteria!$B$47),"FAIL: high linkway headroom below "&amp;SG_Criteria!$B$47&amp;" m. ","")&amp;IF(F237&lt;SG_Criteria!$B$48,"FAIL: roof width below "&amp;SG_Criteria!$B$48&amp;" m. ",IF(F237&lt;SG_Criteria!$B$49,"NOTE: not for MRT/LRT or high-traffic routes (min "&amp;SG_Criteria!$B$49&amp;" m). ",""))&amp;IF(AND(W237&lt;&gt;"",W237&lt;SG_Criteria!$B$50),"FAIL: wind speed below "&amp;SG_Criteria!$B$50&amp;" m/s. ","")&amp;IF(AND(X237&lt;&gt;"",X237&lt;SG_Criteria!$B$51),"FAIL: roof fixing pull-out below "&amp;SG_Criteria!$B$51&amp;" kN. ","")&amp;IF(AND(Y237&lt;&gt;"",IFERROR(VALUE(MID(Y237,2,2)),0)&lt;SG_Criteria!$B$52),"FAIL: grade below C"&amp;SG_Criteria!$B$52&amp;". ","")&amp;IF(E237="Non-standard (project design)","NOTE: not an SDRE standard, needs LTA acceptance. ",""))=0,"OK",IF(AND(D237&lt;&gt;"High Covered Linkway",G237&lt;SG_Criteria!$B$46),"FAIL: headroom below "&amp;SG_Criteria!$B$46&amp;" m. ","")&amp;IF(AND(D237="High Covered Linkway",G237&lt;SG_Criteria!$B$47),"FAIL: high linkway headroom below "&amp;SG_Criteria!$B$47&amp;" m. ","")&amp;IF(F237&lt;SG_Criteria!$B$48,"FAIL: roof width below "&amp;SG_Criteria!$B$48&amp;" m. ",IF(F237&lt;SG_Criteria!$B$49,"NOTE: not for MRT/LRT or high-traffic routes (min "&amp;SG_Criteria!$B$49&amp;" m). ",""))&amp;IF(AND(W237&lt;&gt;"",W237&lt;SG_Criteria!$B$50),"FAIL: wind speed below "&amp;SG_Criteria!$B$50&amp;" m/s. ","")&amp;IF(AND(X237&lt;&gt;"",X237&lt;SG_Criteria!$B$51),"FAIL: roof fixing pull-out below "&amp;SG_Criteria!$B$51&amp;" kN. ","")&amp;IF(AND(Y237&lt;&gt;"",IFERROR(VALUE(MID(Y237,2,2)),0)&lt;SG_Criteria!$B$52),"FAIL: grade below C"&amp;SG_Criteria!$B$52&amp;". ","")&amp;IF(E237="Non-standard (project design)","NOTE: not an SDRE standard, needs LTA acceptance. ","")))</f>
        <v/>
      </c>
      <c r="BD237" s="9"/>
      <c r="BE237" s="9"/>
      <c r="BF237" s="9"/>
      <c r="BG237" s="10" t="str">
        <f aca="false">IF(BF237="","",IFERROR(VLOOKUP(BF237,Projects!$A$5:$D$504,2,0),"Ref not in Projects"))</f>
        <v/>
      </c>
      <c r="BH237" s="10" t="str">
        <f aca="false">IF(BF237="","",IFERROR(VLOOKUP(BF237,Projects!$A$5:$D$504,4,0),"Ref not in Projects"))</f>
        <v/>
      </c>
      <c r="BI237" s="9"/>
      <c r="BJ237" s="9"/>
      <c r="BK237" s="9"/>
      <c r="BL237" s="40"/>
      <c r="BM237" s="9"/>
      <c r="BN237" s="40"/>
      <c r="BO237" s="9"/>
      <c r="BP237" s="40"/>
      <c r="BQ237" s="9"/>
      <c r="BR237" s="9"/>
      <c r="BS237" s="9"/>
      <c r="BT237" s="40"/>
      <c r="BU237" s="40"/>
      <c r="BV237" s="36" t="str">
        <f aca="false">IF(BU237="","",EDATE(BU237,SG_Criteria!$B$54*12))</f>
        <v/>
      </c>
      <c r="BW237" s="33" t="str">
        <f aca="true">IF(A237="","",IF(BU237="","NOTE: not reviewed yet",IF(TODAY()&gt;BV237,"NOTE: review overdue","OK")))</f>
        <v/>
      </c>
      <c r="BX237" s="37" t="str">
        <f aca="false">IF(A237="","",ROUND((IF(LEN(D237)&gt;0,1,0)+IF(LEN(E237)&gt;0,1,0)+IF(LEN(F237)&gt;0,1,0)+IF(LEN(G237)&gt;0,1,0)+IF(LEN(H237)&gt;0,1,0)+IF(LEN(I237)&gt;0,1,0)+IF(LEN(J237)&gt;0,1,0)+IF(LEN(K237)&gt;0,1,0)+IF(LEN(N237)&gt;0,1,0)+IF(LEN(O237)&gt;0,1,0)+IF(LEN(W237)&gt;0,1,0)+IF(LEN(X237)&gt;0,1,0)+IF(LEN(Y237)&gt;0,1,0)+IF(LEN(AG237)&gt;0,1,0)+IF(LEN(AI237)&gt;0,1,0)+IF(LEN(AJ237)&gt;0,1,0)+IF(LEN(AK237)&gt;0,1,0)+IF(LEN(AL237)&gt;0,1,0)+IF(LEN(AU237)&gt;0,1,0)+IF(LEN(BF237)&gt;0,1,0)+IF(LEN(BS237)&gt;0,1,0))/21,2))</f>
        <v/>
      </c>
      <c r="BY237" s="10" t="str">
        <f aca="false">IF(D237="","",IF(AND(AJ237="Approved",ISERROR(SEARCH("FAIL",BC237))),"Y","N"))</f>
        <v/>
      </c>
      <c r="BZ237" s="10" t="str">
        <f aca="false">IF(D237="","",D237&amp;"|"&amp;F237&amp;"|"&amp;G237&amp;"|"&amp;BY237)</f>
        <v/>
      </c>
    </row>
    <row r="238" customFormat="false" ht="15" hidden="false" customHeight="false" outlineLevel="0" collapsed="false">
      <c r="A238" s="10" t="str">
        <f aca="false">IF(D238="","","LKW-"&amp;IFERROR(VLOOKUP(D238,Lists!$AQ$4:$AR$17,2,0),"??")&amp;"-W"&amp;TEXT(F238*1000,"0000")&amp;"-H"&amp;TEXT(G238*1000,"0000")&amp;"-B"&amp;TEXT(H238*1000,"0000")&amp;"-"&amp;AI238)</f>
        <v/>
      </c>
      <c r="B238" s="10" t="str">
        <f aca="false">IF(D238="","",D238&amp;", "&amp;F238&amp;" m wide, "&amp;G238&amp;" m headroom, "&amp;H238&amp;" m bays, "&amp;I238&amp;" ("&amp;E238&amp;")")</f>
        <v/>
      </c>
      <c r="C238" s="9"/>
      <c r="D238" s="9"/>
      <c r="E238" s="9"/>
      <c r="F238" s="42"/>
      <c r="G238" s="42"/>
      <c r="H238" s="42"/>
      <c r="I238" s="9"/>
      <c r="J238" s="9"/>
      <c r="K238" s="9"/>
      <c r="L238" s="9"/>
      <c r="M238" s="9"/>
      <c r="N238" s="9"/>
      <c r="O238" s="9"/>
      <c r="P238" s="9"/>
      <c r="Q238" s="9"/>
      <c r="R238" s="9"/>
      <c r="S238" s="42"/>
      <c r="T238" s="9"/>
      <c r="U238" s="9"/>
      <c r="V238" s="9"/>
      <c r="W238" s="38"/>
      <c r="X238" s="42"/>
      <c r="Y238" s="9"/>
      <c r="Z238" s="9"/>
      <c r="AA238" s="9"/>
      <c r="AB238" s="42"/>
      <c r="AC238" s="9"/>
      <c r="AD238" s="38"/>
      <c r="AE238" s="9"/>
      <c r="AF238" s="39"/>
      <c r="AG238" s="9"/>
      <c r="AH238" s="9"/>
      <c r="AI238" s="9"/>
      <c r="AJ238" s="9"/>
      <c r="AK238" s="9"/>
      <c r="AL238" s="9"/>
      <c r="AM238" s="9"/>
      <c r="AN238" s="10" t="str">
        <f aca="false">IF(A238="","",SG_Criteria!$B$6&amp;SG_Criteria!$B$12&amp;"\"&amp;A238&amp;"\")</f>
        <v/>
      </c>
      <c r="AO238" s="10" t="str">
        <f aca="false">IF(A238="","",A238&amp;"_CAD.dwg")</f>
        <v/>
      </c>
      <c r="AP238" s="10" t="str">
        <f aca="false">IF(A238="","",A238&amp;"_DWG.pdf")</f>
        <v/>
      </c>
      <c r="AQ238" s="10" t="str">
        <f aca="false">IF(A238="","",IF(AM238="Y",A238&amp;"_STAAD.std","n/a"))</f>
        <v/>
      </c>
      <c r="AR238" s="10" t="str">
        <f aca="false">IF(A238="","",A238&amp;"_CALC.xlsx")</f>
        <v/>
      </c>
      <c r="AS238" s="10" t="str">
        <f aca="false">IF(A238="","",A238&amp;"_CALC.pdf")</f>
        <v/>
      </c>
      <c r="AT238" s="9"/>
      <c r="AU238" s="9"/>
      <c r="AV238" s="39"/>
      <c r="AW238" s="39"/>
      <c r="AX238" s="39"/>
      <c r="AY238" s="39"/>
      <c r="AZ238" s="39"/>
      <c r="BA238" s="12" t="str">
        <f aca="false">IF(A238="","",IF(COUNTIF(Rebar_Schedule!$A$5:$A$2004,A238)=0,"",ROUND(SUMIF(Rebar_Schedule!$A$5:$A$2004,A238,Rebar_Schedule!$K$5:$K$2004),1)))</f>
        <v/>
      </c>
      <c r="BB238" s="33" t="str">
        <f aca="false">IF(A238="","",IF(BA238="","No rebar schedule yet",IF(ABS(BA238-N(AW238))/MAX(N(AW238),1)&gt;SG_Criteria!$B$55,"NOTE: register rebar differs from schedule by "&amp;TEXT(ABS(BA238-N(AW238))/MAX(N(AW238),1),"0%"),"OK")))</f>
        <v/>
      </c>
      <c r="BC238" s="33" t="str">
        <f aca="false">IF(D238="","",IF(LEN(IF(AND(D238&lt;&gt;"High Covered Linkway",G238&lt;SG_Criteria!$B$46),"FAIL: headroom below "&amp;SG_Criteria!$B$46&amp;" m. ","")&amp;IF(AND(D238="High Covered Linkway",G238&lt;SG_Criteria!$B$47),"FAIL: high linkway headroom below "&amp;SG_Criteria!$B$47&amp;" m. ","")&amp;IF(F238&lt;SG_Criteria!$B$48,"FAIL: roof width below "&amp;SG_Criteria!$B$48&amp;" m. ",IF(F238&lt;SG_Criteria!$B$49,"NOTE: not for MRT/LRT or high-traffic routes (min "&amp;SG_Criteria!$B$49&amp;" m). ",""))&amp;IF(AND(W238&lt;&gt;"",W238&lt;SG_Criteria!$B$50),"FAIL: wind speed below "&amp;SG_Criteria!$B$50&amp;" m/s. ","")&amp;IF(AND(X238&lt;&gt;"",X238&lt;SG_Criteria!$B$51),"FAIL: roof fixing pull-out below "&amp;SG_Criteria!$B$51&amp;" kN. ","")&amp;IF(AND(Y238&lt;&gt;"",IFERROR(VALUE(MID(Y238,2,2)),0)&lt;SG_Criteria!$B$52),"FAIL: grade below C"&amp;SG_Criteria!$B$52&amp;". ","")&amp;IF(E238="Non-standard (project design)","NOTE: not an SDRE standard, needs LTA acceptance. ",""))=0,"OK",IF(AND(D238&lt;&gt;"High Covered Linkway",G238&lt;SG_Criteria!$B$46),"FAIL: headroom below "&amp;SG_Criteria!$B$46&amp;" m. ","")&amp;IF(AND(D238="High Covered Linkway",G238&lt;SG_Criteria!$B$47),"FAIL: high linkway headroom below "&amp;SG_Criteria!$B$47&amp;" m. ","")&amp;IF(F238&lt;SG_Criteria!$B$48,"FAIL: roof width below "&amp;SG_Criteria!$B$48&amp;" m. ",IF(F238&lt;SG_Criteria!$B$49,"NOTE: not for MRT/LRT or high-traffic routes (min "&amp;SG_Criteria!$B$49&amp;" m). ",""))&amp;IF(AND(W238&lt;&gt;"",W238&lt;SG_Criteria!$B$50),"FAIL: wind speed below "&amp;SG_Criteria!$B$50&amp;" m/s. ","")&amp;IF(AND(X238&lt;&gt;"",X238&lt;SG_Criteria!$B$51),"FAIL: roof fixing pull-out below "&amp;SG_Criteria!$B$51&amp;" kN. ","")&amp;IF(AND(Y238&lt;&gt;"",IFERROR(VALUE(MID(Y238,2,2)),0)&lt;SG_Criteria!$B$52),"FAIL: grade below C"&amp;SG_Criteria!$B$52&amp;". ","")&amp;IF(E238="Non-standard (project design)","NOTE: not an SDRE standard, needs LTA acceptance. ","")))</f>
        <v/>
      </c>
      <c r="BD238" s="9"/>
      <c r="BE238" s="9"/>
      <c r="BF238" s="9"/>
      <c r="BG238" s="10" t="str">
        <f aca="false">IF(BF238="","",IFERROR(VLOOKUP(BF238,Projects!$A$5:$D$504,2,0),"Ref not in Projects"))</f>
        <v/>
      </c>
      <c r="BH238" s="10" t="str">
        <f aca="false">IF(BF238="","",IFERROR(VLOOKUP(BF238,Projects!$A$5:$D$504,4,0),"Ref not in Projects"))</f>
        <v/>
      </c>
      <c r="BI238" s="9"/>
      <c r="BJ238" s="9"/>
      <c r="BK238" s="9"/>
      <c r="BL238" s="40"/>
      <c r="BM238" s="9"/>
      <c r="BN238" s="40"/>
      <c r="BO238" s="9"/>
      <c r="BP238" s="40"/>
      <c r="BQ238" s="9"/>
      <c r="BR238" s="9"/>
      <c r="BS238" s="9"/>
      <c r="BT238" s="40"/>
      <c r="BU238" s="40"/>
      <c r="BV238" s="36" t="str">
        <f aca="false">IF(BU238="","",EDATE(BU238,SG_Criteria!$B$54*12))</f>
        <v/>
      </c>
      <c r="BW238" s="33" t="str">
        <f aca="true">IF(A238="","",IF(BU238="","NOTE: not reviewed yet",IF(TODAY()&gt;BV238,"NOTE: review overdue","OK")))</f>
        <v/>
      </c>
      <c r="BX238" s="37" t="str">
        <f aca="false">IF(A238="","",ROUND((IF(LEN(D238)&gt;0,1,0)+IF(LEN(E238)&gt;0,1,0)+IF(LEN(F238)&gt;0,1,0)+IF(LEN(G238)&gt;0,1,0)+IF(LEN(H238)&gt;0,1,0)+IF(LEN(I238)&gt;0,1,0)+IF(LEN(J238)&gt;0,1,0)+IF(LEN(K238)&gt;0,1,0)+IF(LEN(N238)&gt;0,1,0)+IF(LEN(O238)&gt;0,1,0)+IF(LEN(W238)&gt;0,1,0)+IF(LEN(X238)&gt;0,1,0)+IF(LEN(Y238)&gt;0,1,0)+IF(LEN(AG238)&gt;0,1,0)+IF(LEN(AI238)&gt;0,1,0)+IF(LEN(AJ238)&gt;0,1,0)+IF(LEN(AK238)&gt;0,1,0)+IF(LEN(AL238)&gt;0,1,0)+IF(LEN(AU238)&gt;0,1,0)+IF(LEN(BF238)&gt;0,1,0)+IF(LEN(BS238)&gt;0,1,0))/21,2))</f>
        <v/>
      </c>
      <c r="BY238" s="10" t="str">
        <f aca="false">IF(D238="","",IF(AND(AJ238="Approved",ISERROR(SEARCH("FAIL",BC238))),"Y","N"))</f>
        <v/>
      </c>
      <c r="BZ238" s="10" t="str">
        <f aca="false">IF(D238="","",D238&amp;"|"&amp;F238&amp;"|"&amp;G238&amp;"|"&amp;BY238)</f>
        <v/>
      </c>
    </row>
    <row r="239" customFormat="false" ht="15" hidden="false" customHeight="false" outlineLevel="0" collapsed="false">
      <c r="A239" s="10" t="str">
        <f aca="false">IF(D239="","","LKW-"&amp;IFERROR(VLOOKUP(D239,Lists!$AQ$4:$AR$17,2,0),"??")&amp;"-W"&amp;TEXT(F239*1000,"0000")&amp;"-H"&amp;TEXT(G239*1000,"0000")&amp;"-B"&amp;TEXT(H239*1000,"0000")&amp;"-"&amp;AI239)</f>
        <v/>
      </c>
      <c r="B239" s="10" t="str">
        <f aca="false">IF(D239="","",D239&amp;", "&amp;F239&amp;" m wide, "&amp;G239&amp;" m headroom, "&amp;H239&amp;" m bays, "&amp;I239&amp;" ("&amp;E239&amp;")")</f>
        <v/>
      </c>
      <c r="C239" s="9"/>
      <c r="D239" s="9"/>
      <c r="E239" s="9"/>
      <c r="F239" s="42"/>
      <c r="G239" s="42"/>
      <c r="H239" s="42"/>
      <c r="I239" s="9"/>
      <c r="J239" s="9"/>
      <c r="K239" s="9"/>
      <c r="L239" s="9"/>
      <c r="M239" s="9"/>
      <c r="N239" s="9"/>
      <c r="O239" s="9"/>
      <c r="P239" s="9"/>
      <c r="Q239" s="9"/>
      <c r="R239" s="9"/>
      <c r="S239" s="42"/>
      <c r="T239" s="9"/>
      <c r="U239" s="9"/>
      <c r="V239" s="9"/>
      <c r="W239" s="38"/>
      <c r="X239" s="42"/>
      <c r="Y239" s="9"/>
      <c r="Z239" s="9"/>
      <c r="AA239" s="9"/>
      <c r="AB239" s="42"/>
      <c r="AC239" s="9"/>
      <c r="AD239" s="38"/>
      <c r="AE239" s="9"/>
      <c r="AF239" s="39"/>
      <c r="AG239" s="9"/>
      <c r="AH239" s="9"/>
      <c r="AI239" s="9"/>
      <c r="AJ239" s="9"/>
      <c r="AK239" s="9"/>
      <c r="AL239" s="9"/>
      <c r="AM239" s="9"/>
      <c r="AN239" s="10" t="str">
        <f aca="false">IF(A239="","",SG_Criteria!$B$6&amp;SG_Criteria!$B$12&amp;"\"&amp;A239&amp;"\")</f>
        <v/>
      </c>
      <c r="AO239" s="10" t="str">
        <f aca="false">IF(A239="","",A239&amp;"_CAD.dwg")</f>
        <v/>
      </c>
      <c r="AP239" s="10" t="str">
        <f aca="false">IF(A239="","",A239&amp;"_DWG.pdf")</f>
        <v/>
      </c>
      <c r="AQ239" s="10" t="str">
        <f aca="false">IF(A239="","",IF(AM239="Y",A239&amp;"_STAAD.std","n/a"))</f>
        <v/>
      </c>
      <c r="AR239" s="10" t="str">
        <f aca="false">IF(A239="","",A239&amp;"_CALC.xlsx")</f>
        <v/>
      </c>
      <c r="AS239" s="10" t="str">
        <f aca="false">IF(A239="","",A239&amp;"_CALC.pdf")</f>
        <v/>
      </c>
      <c r="AT239" s="9"/>
      <c r="AU239" s="9"/>
      <c r="AV239" s="39"/>
      <c r="AW239" s="39"/>
      <c r="AX239" s="39"/>
      <c r="AY239" s="39"/>
      <c r="AZ239" s="39"/>
      <c r="BA239" s="12" t="str">
        <f aca="false">IF(A239="","",IF(COUNTIF(Rebar_Schedule!$A$5:$A$2004,A239)=0,"",ROUND(SUMIF(Rebar_Schedule!$A$5:$A$2004,A239,Rebar_Schedule!$K$5:$K$2004),1)))</f>
        <v/>
      </c>
      <c r="BB239" s="33" t="str">
        <f aca="false">IF(A239="","",IF(BA239="","No rebar schedule yet",IF(ABS(BA239-N(AW239))/MAX(N(AW239),1)&gt;SG_Criteria!$B$55,"NOTE: register rebar differs from schedule by "&amp;TEXT(ABS(BA239-N(AW239))/MAX(N(AW239),1),"0%"),"OK")))</f>
        <v/>
      </c>
      <c r="BC239" s="33" t="str">
        <f aca="false">IF(D239="","",IF(LEN(IF(AND(D239&lt;&gt;"High Covered Linkway",G239&lt;SG_Criteria!$B$46),"FAIL: headroom below "&amp;SG_Criteria!$B$46&amp;" m. ","")&amp;IF(AND(D239="High Covered Linkway",G239&lt;SG_Criteria!$B$47),"FAIL: high linkway headroom below "&amp;SG_Criteria!$B$47&amp;" m. ","")&amp;IF(F239&lt;SG_Criteria!$B$48,"FAIL: roof width below "&amp;SG_Criteria!$B$48&amp;" m. ",IF(F239&lt;SG_Criteria!$B$49,"NOTE: not for MRT/LRT or high-traffic routes (min "&amp;SG_Criteria!$B$49&amp;" m). ",""))&amp;IF(AND(W239&lt;&gt;"",W239&lt;SG_Criteria!$B$50),"FAIL: wind speed below "&amp;SG_Criteria!$B$50&amp;" m/s. ","")&amp;IF(AND(X239&lt;&gt;"",X239&lt;SG_Criteria!$B$51),"FAIL: roof fixing pull-out below "&amp;SG_Criteria!$B$51&amp;" kN. ","")&amp;IF(AND(Y239&lt;&gt;"",IFERROR(VALUE(MID(Y239,2,2)),0)&lt;SG_Criteria!$B$52),"FAIL: grade below C"&amp;SG_Criteria!$B$52&amp;". ","")&amp;IF(E239="Non-standard (project design)","NOTE: not an SDRE standard, needs LTA acceptance. ",""))=0,"OK",IF(AND(D239&lt;&gt;"High Covered Linkway",G239&lt;SG_Criteria!$B$46),"FAIL: headroom below "&amp;SG_Criteria!$B$46&amp;" m. ","")&amp;IF(AND(D239="High Covered Linkway",G239&lt;SG_Criteria!$B$47),"FAIL: high linkway headroom below "&amp;SG_Criteria!$B$47&amp;" m. ","")&amp;IF(F239&lt;SG_Criteria!$B$48,"FAIL: roof width below "&amp;SG_Criteria!$B$48&amp;" m. ",IF(F239&lt;SG_Criteria!$B$49,"NOTE: not for MRT/LRT or high-traffic routes (min "&amp;SG_Criteria!$B$49&amp;" m). ",""))&amp;IF(AND(W239&lt;&gt;"",W239&lt;SG_Criteria!$B$50),"FAIL: wind speed below "&amp;SG_Criteria!$B$50&amp;" m/s. ","")&amp;IF(AND(X239&lt;&gt;"",X239&lt;SG_Criteria!$B$51),"FAIL: roof fixing pull-out below "&amp;SG_Criteria!$B$51&amp;" kN. ","")&amp;IF(AND(Y239&lt;&gt;"",IFERROR(VALUE(MID(Y239,2,2)),0)&lt;SG_Criteria!$B$52),"FAIL: grade below C"&amp;SG_Criteria!$B$52&amp;". ","")&amp;IF(E239="Non-standard (project design)","NOTE: not an SDRE standard, needs LTA acceptance. ","")))</f>
        <v/>
      </c>
      <c r="BD239" s="9"/>
      <c r="BE239" s="9"/>
      <c r="BF239" s="9"/>
      <c r="BG239" s="10" t="str">
        <f aca="false">IF(BF239="","",IFERROR(VLOOKUP(BF239,Projects!$A$5:$D$504,2,0),"Ref not in Projects"))</f>
        <v/>
      </c>
      <c r="BH239" s="10" t="str">
        <f aca="false">IF(BF239="","",IFERROR(VLOOKUP(BF239,Projects!$A$5:$D$504,4,0),"Ref not in Projects"))</f>
        <v/>
      </c>
      <c r="BI239" s="9"/>
      <c r="BJ239" s="9"/>
      <c r="BK239" s="9"/>
      <c r="BL239" s="40"/>
      <c r="BM239" s="9"/>
      <c r="BN239" s="40"/>
      <c r="BO239" s="9"/>
      <c r="BP239" s="40"/>
      <c r="BQ239" s="9"/>
      <c r="BR239" s="9"/>
      <c r="BS239" s="9"/>
      <c r="BT239" s="40"/>
      <c r="BU239" s="40"/>
      <c r="BV239" s="36" t="str">
        <f aca="false">IF(BU239="","",EDATE(BU239,SG_Criteria!$B$54*12))</f>
        <v/>
      </c>
      <c r="BW239" s="33" t="str">
        <f aca="true">IF(A239="","",IF(BU239="","NOTE: not reviewed yet",IF(TODAY()&gt;BV239,"NOTE: review overdue","OK")))</f>
        <v/>
      </c>
      <c r="BX239" s="37" t="str">
        <f aca="false">IF(A239="","",ROUND((IF(LEN(D239)&gt;0,1,0)+IF(LEN(E239)&gt;0,1,0)+IF(LEN(F239)&gt;0,1,0)+IF(LEN(G239)&gt;0,1,0)+IF(LEN(H239)&gt;0,1,0)+IF(LEN(I239)&gt;0,1,0)+IF(LEN(J239)&gt;0,1,0)+IF(LEN(K239)&gt;0,1,0)+IF(LEN(N239)&gt;0,1,0)+IF(LEN(O239)&gt;0,1,0)+IF(LEN(W239)&gt;0,1,0)+IF(LEN(X239)&gt;0,1,0)+IF(LEN(Y239)&gt;0,1,0)+IF(LEN(AG239)&gt;0,1,0)+IF(LEN(AI239)&gt;0,1,0)+IF(LEN(AJ239)&gt;0,1,0)+IF(LEN(AK239)&gt;0,1,0)+IF(LEN(AL239)&gt;0,1,0)+IF(LEN(AU239)&gt;0,1,0)+IF(LEN(BF239)&gt;0,1,0)+IF(LEN(BS239)&gt;0,1,0))/21,2))</f>
        <v/>
      </c>
      <c r="BY239" s="10" t="str">
        <f aca="false">IF(D239="","",IF(AND(AJ239="Approved",ISERROR(SEARCH("FAIL",BC239))),"Y","N"))</f>
        <v/>
      </c>
      <c r="BZ239" s="10" t="str">
        <f aca="false">IF(D239="","",D239&amp;"|"&amp;F239&amp;"|"&amp;G239&amp;"|"&amp;BY239)</f>
        <v/>
      </c>
    </row>
    <row r="240" customFormat="false" ht="15" hidden="false" customHeight="false" outlineLevel="0" collapsed="false">
      <c r="A240" s="10" t="str">
        <f aca="false">IF(D240="","","LKW-"&amp;IFERROR(VLOOKUP(D240,Lists!$AQ$4:$AR$17,2,0),"??")&amp;"-W"&amp;TEXT(F240*1000,"0000")&amp;"-H"&amp;TEXT(G240*1000,"0000")&amp;"-B"&amp;TEXT(H240*1000,"0000")&amp;"-"&amp;AI240)</f>
        <v/>
      </c>
      <c r="B240" s="10" t="str">
        <f aca="false">IF(D240="","",D240&amp;", "&amp;F240&amp;" m wide, "&amp;G240&amp;" m headroom, "&amp;H240&amp;" m bays, "&amp;I240&amp;" ("&amp;E240&amp;")")</f>
        <v/>
      </c>
      <c r="C240" s="9"/>
      <c r="D240" s="9"/>
      <c r="E240" s="9"/>
      <c r="F240" s="42"/>
      <c r="G240" s="42"/>
      <c r="H240" s="42"/>
      <c r="I240" s="9"/>
      <c r="J240" s="9"/>
      <c r="K240" s="9"/>
      <c r="L240" s="9"/>
      <c r="M240" s="9"/>
      <c r="N240" s="9"/>
      <c r="O240" s="9"/>
      <c r="P240" s="9"/>
      <c r="Q240" s="9"/>
      <c r="R240" s="9"/>
      <c r="S240" s="42"/>
      <c r="T240" s="9"/>
      <c r="U240" s="9"/>
      <c r="V240" s="9"/>
      <c r="W240" s="38"/>
      <c r="X240" s="42"/>
      <c r="Y240" s="9"/>
      <c r="Z240" s="9"/>
      <c r="AA240" s="9"/>
      <c r="AB240" s="42"/>
      <c r="AC240" s="9"/>
      <c r="AD240" s="38"/>
      <c r="AE240" s="9"/>
      <c r="AF240" s="39"/>
      <c r="AG240" s="9"/>
      <c r="AH240" s="9"/>
      <c r="AI240" s="9"/>
      <c r="AJ240" s="9"/>
      <c r="AK240" s="9"/>
      <c r="AL240" s="9"/>
      <c r="AM240" s="9"/>
      <c r="AN240" s="10" t="str">
        <f aca="false">IF(A240="","",SG_Criteria!$B$6&amp;SG_Criteria!$B$12&amp;"\"&amp;A240&amp;"\")</f>
        <v/>
      </c>
      <c r="AO240" s="10" t="str">
        <f aca="false">IF(A240="","",A240&amp;"_CAD.dwg")</f>
        <v/>
      </c>
      <c r="AP240" s="10" t="str">
        <f aca="false">IF(A240="","",A240&amp;"_DWG.pdf")</f>
        <v/>
      </c>
      <c r="AQ240" s="10" t="str">
        <f aca="false">IF(A240="","",IF(AM240="Y",A240&amp;"_STAAD.std","n/a"))</f>
        <v/>
      </c>
      <c r="AR240" s="10" t="str">
        <f aca="false">IF(A240="","",A240&amp;"_CALC.xlsx")</f>
        <v/>
      </c>
      <c r="AS240" s="10" t="str">
        <f aca="false">IF(A240="","",A240&amp;"_CALC.pdf")</f>
        <v/>
      </c>
      <c r="AT240" s="9"/>
      <c r="AU240" s="9"/>
      <c r="AV240" s="39"/>
      <c r="AW240" s="39"/>
      <c r="AX240" s="39"/>
      <c r="AY240" s="39"/>
      <c r="AZ240" s="39"/>
      <c r="BA240" s="12" t="str">
        <f aca="false">IF(A240="","",IF(COUNTIF(Rebar_Schedule!$A$5:$A$2004,A240)=0,"",ROUND(SUMIF(Rebar_Schedule!$A$5:$A$2004,A240,Rebar_Schedule!$K$5:$K$2004),1)))</f>
        <v/>
      </c>
      <c r="BB240" s="33" t="str">
        <f aca="false">IF(A240="","",IF(BA240="","No rebar schedule yet",IF(ABS(BA240-N(AW240))/MAX(N(AW240),1)&gt;SG_Criteria!$B$55,"NOTE: register rebar differs from schedule by "&amp;TEXT(ABS(BA240-N(AW240))/MAX(N(AW240),1),"0%"),"OK")))</f>
        <v/>
      </c>
      <c r="BC240" s="33" t="str">
        <f aca="false">IF(D240="","",IF(LEN(IF(AND(D240&lt;&gt;"High Covered Linkway",G240&lt;SG_Criteria!$B$46),"FAIL: headroom below "&amp;SG_Criteria!$B$46&amp;" m. ","")&amp;IF(AND(D240="High Covered Linkway",G240&lt;SG_Criteria!$B$47),"FAIL: high linkway headroom below "&amp;SG_Criteria!$B$47&amp;" m. ","")&amp;IF(F240&lt;SG_Criteria!$B$48,"FAIL: roof width below "&amp;SG_Criteria!$B$48&amp;" m. ",IF(F240&lt;SG_Criteria!$B$49,"NOTE: not for MRT/LRT or high-traffic routes (min "&amp;SG_Criteria!$B$49&amp;" m). ",""))&amp;IF(AND(W240&lt;&gt;"",W240&lt;SG_Criteria!$B$50),"FAIL: wind speed below "&amp;SG_Criteria!$B$50&amp;" m/s. ","")&amp;IF(AND(X240&lt;&gt;"",X240&lt;SG_Criteria!$B$51),"FAIL: roof fixing pull-out below "&amp;SG_Criteria!$B$51&amp;" kN. ","")&amp;IF(AND(Y240&lt;&gt;"",IFERROR(VALUE(MID(Y240,2,2)),0)&lt;SG_Criteria!$B$52),"FAIL: grade below C"&amp;SG_Criteria!$B$52&amp;". ","")&amp;IF(E240="Non-standard (project design)","NOTE: not an SDRE standard, needs LTA acceptance. ",""))=0,"OK",IF(AND(D240&lt;&gt;"High Covered Linkway",G240&lt;SG_Criteria!$B$46),"FAIL: headroom below "&amp;SG_Criteria!$B$46&amp;" m. ","")&amp;IF(AND(D240="High Covered Linkway",G240&lt;SG_Criteria!$B$47),"FAIL: high linkway headroom below "&amp;SG_Criteria!$B$47&amp;" m. ","")&amp;IF(F240&lt;SG_Criteria!$B$48,"FAIL: roof width below "&amp;SG_Criteria!$B$48&amp;" m. ",IF(F240&lt;SG_Criteria!$B$49,"NOTE: not for MRT/LRT or high-traffic routes (min "&amp;SG_Criteria!$B$49&amp;" m). ",""))&amp;IF(AND(W240&lt;&gt;"",W240&lt;SG_Criteria!$B$50),"FAIL: wind speed below "&amp;SG_Criteria!$B$50&amp;" m/s. ","")&amp;IF(AND(X240&lt;&gt;"",X240&lt;SG_Criteria!$B$51),"FAIL: roof fixing pull-out below "&amp;SG_Criteria!$B$51&amp;" kN. ","")&amp;IF(AND(Y240&lt;&gt;"",IFERROR(VALUE(MID(Y240,2,2)),0)&lt;SG_Criteria!$B$52),"FAIL: grade below C"&amp;SG_Criteria!$B$52&amp;". ","")&amp;IF(E240="Non-standard (project design)","NOTE: not an SDRE standard, needs LTA acceptance. ","")))</f>
        <v/>
      </c>
      <c r="BD240" s="9"/>
      <c r="BE240" s="9"/>
      <c r="BF240" s="9"/>
      <c r="BG240" s="10" t="str">
        <f aca="false">IF(BF240="","",IFERROR(VLOOKUP(BF240,Projects!$A$5:$D$504,2,0),"Ref not in Projects"))</f>
        <v/>
      </c>
      <c r="BH240" s="10" t="str">
        <f aca="false">IF(BF240="","",IFERROR(VLOOKUP(BF240,Projects!$A$5:$D$504,4,0),"Ref not in Projects"))</f>
        <v/>
      </c>
      <c r="BI240" s="9"/>
      <c r="BJ240" s="9"/>
      <c r="BK240" s="9"/>
      <c r="BL240" s="40"/>
      <c r="BM240" s="9"/>
      <c r="BN240" s="40"/>
      <c r="BO240" s="9"/>
      <c r="BP240" s="40"/>
      <c r="BQ240" s="9"/>
      <c r="BR240" s="9"/>
      <c r="BS240" s="9"/>
      <c r="BT240" s="40"/>
      <c r="BU240" s="40"/>
      <c r="BV240" s="36" t="str">
        <f aca="false">IF(BU240="","",EDATE(BU240,SG_Criteria!$B$54*12))</f>
        <v/>
      </c>
      <c r="BW240" s="33" t="str">
        <f aca="true">IF(A240="","",IF(BU240="","NOTE: not reviewed yet",IF(TODAY()&gt;BV240,"NOTE: review overdue","OK")))</f>
        <v/>
      </c>
      <c r="BX240" s="37" t="str">
        <f aca="false">IF(A240="","",ROUND((IF(LEN(D240)&gt;0,1,0)+IF(LEN(E240)&gt;0,1,0)+IF(LEN(F240)&gt;0,1,0)+IF(LEN(G240)&gt;0,1,0)+IF(LEN(H240)&gt;0,1,0)+IF(LEN(I240)&gt;0,1,0)+IF(LEN(J240)&gt;0,1,0)+IF(LEN(K240)&gt;0,1,0)+IF(LEN(N240)&gt;0,1,0)+IF(LEN(O240)&gt;0,1,0)+IF(LEN(W240)&gt;0,1,0)+IF(LEN(X240)&gt;0,1,0)+IF(LEN(Y240)&gt;0,1,0)+IF(LEN(AG240)&gt;0,1,0)+IF(LEN(AI240)&gt;0,1,0)+IF(LEN(AJ240)&gt;0,1,0)+IF(LEN(AK240)&gt;0,1,0)+IF(LEN(AL240)&gt;0,1,0)+IF(LEN(AU240)&gt;0,1,0)+IF(LEN(BF240)&gt;0,1,0)+IF(LEN(BS240)&gt;0,1,0))/21,2))</f>
        <v/>
      </c>
      <c r="BY240" s="10" t="str">
        <f aca="false">IF(D240="","",IF(AND(AJ240="Approved",ISERROR(SEARCH("FAIL",BC240))),"Y","N"))</f>
        <v/>
      </c>
      <c r="BZ240" s="10" t="str">
        <f aca="false">IF(D240="","",D240&amp;"|"&amp;F240&amp;"|"&amp;G240&amp;"|"&amp;BY240)</f>
        <v/>
      </c>
    </row>
    <row r="241" customFormat="false" ht="15" hidden="false" customHeight="false" outlineLevel="0" collapsed="false">
      <c r="A241" s="10" t="str">
        <f aca="false">IF(D241="","","LKW-"&amp;IFERROR(VLOOKUP(D241,Lists!$AQ$4:$AR$17,2,0),"??")&amp;"-W"&amp;TEXT(F241*1000,"0000")&amp;"-H"&amp;TEXT(G241*1000,"0000")&amp;"-B"&amp;TEXT(H241*1000,"0000")&amp;"-"&amp;AI241)</f>
        <v/>
      </c>
      <c r="B241" s="10" t="str">
        <f aca="false">IF(D241="","",D241&amp;", "&amp;F241&amp;" m wide, "&amp;G241&amp;" m headroom, "&amp;H241&amp;" m bays, "&amp;I241&amp;" ("&amp;E241&amp;")")</f>
        <v/>
      </c>
      <c r="C241" s="9"/>
      <c r="D241" s="9"/>
      <c r="E241" s="9"/>
      <c r="F241" s="42"/>
      <c r="G241" s="42"/>
      <c r="H241" s="42"/>
      <c r="I241" s="9"/>
      <c r="J241" s="9"/>
      <c r="K241" s="9"/>
      <c r="L241" s="9"/>
      <c r="M241" s="9"/>
      <c r="N241" s="9"/>
      <c r="O241" s="9"/>
      <c r="P241" s="9"/>
      <c r="Q241" s="9"/>
      <c r="R241" s="9"/>
      <c r="S241" s="42"/>
      <c r="T241" s="9"/>
      <c r="U241" s="9"/>
      <c r="V241" s="9"/>
      <c r="W241" s="38"/>
      <c r="X241" s="42"/>
      <c r="Y241" s="9"/>
      <c r="Z241" s="9"/>
      <c r="AA241" s="9"/>
      <c r="AB241" s="42"/>
      <c r="AC241" s="9"/>
      <c r="AD241" s="38"/>
      <c r="AE241" s="9"/>
      <c r="AF241" s="39"/>
      <c r="AG241" s="9"/>
      <c r="AH241" s="9"/>
      <c r="AI241" s="9"/>
      <c r="AJ241" s="9"/>
      <c r="AK241" s="9"/>
      <c r="AL241" s="9"/>
      <c r="AM241" s="9"/>
      <c r="AN241" s="10" t="str">
        <f aca="false">IF(A241="","",SG_Criteria!$B$6&amp;SG_Criteria!$B$12&amp;"\"&amp;A241&amp;"\")</f>
        <v/>
      </c>
      <c r="AO241" s="10" t="str">
        <f aca="false">IF(A241="","",A241&amp;"_CAD.dwg")</f>
        <v/>
      </c>
      <c r="AP241" s="10" t="str">
        <f aca="false">IF(A241="","",A241&amp;"_DWG.pdf")</f>
        <v/>
      </c>
      <c r="AQ241" s="10" t="str">
        <f aca="false">IF(A241="","",IF(AM241="Y",A241&amp;"_STAAD.std","n/a"))</f>
        <v/>
      </c>
      <c r="AR241" s="10" t="str">
        <f aca="false">IF(A241="","",A241&amp;"_CALC.xlsx")</f>
        <v/>
      </c>
      <c r="AS241" s="10" t="str">
        <f aca="false">IF(A241="","",A241&amp;"_CALC.pdf")</f>
        <v/>
      </c>
      <c r="AT241" s="9"/>
      <c r="AU241" s="9"/>
      <c r="AV241" s="39"/>
      <c r="AW241" s="39"/>
      <c r="AX241" s="39"/>
      <c r="AY241" s="39"/>
      <c r="AZ241" s="39"/>
      <c r="BA241" s="12" t="str">
        <f aca="false">IF(A241="","",IF(COUNTIF(Rebar_Schedule!$A$5:$A$2004,A241)=0,"",ROUND(SUMIF(Rebar_Schedule!$A$5:$A$2004,A241,Rebar_Schedule!$K$5:$K$2004),1)))</f>
        <v/>
      </c>
      <c r="BB241" s="33" t="str">
        <f aca="false">IF(A241="","",IF(BA241="","No rebar schedule yet",IF(ABS(BA241-N(AW241))/MAX(N(AW241),1)&gt;SG_Criteria!$B$55,"NOTE: register rebar differs from schedule by "&amp;TEXT(ABS(BA241-N(AW241))/MAX(N(AW241),1),"0%"),"OK")))</f>
        <v/>
      </c>
      <c r="BC241" s="33" t="str">
        <f aca="false">IF(D241="","",IF(LEN(IF(AND(D241&lt;&gt;"High Covered Linkway",G241&lt;SG_Criteria!$B$46),"FAIL: headroom below "&amp;SG_Criteria!$B$46&amp;" m. ","")&amp;IF(AND(D241="High Covered Linkway",G241&lt;SG_Criteria!$B$47),"FAIL: high linkway headroom below "&amp;SG_Criteria!$B$47&amp;" m. ","")&amp;IF(F241&lt;SG_Criteria!$B$48,"FAIL: roof width below "&amp;SG_Criteria!$B$48&amp;" m. ",IF(F241&lt;SG_Criteria!$B$49,"NOTE: not for MRT/LRT or high-traffic routes (min "&amp;SG_Criteria!$B$49&amp;" m). ",""))&amp;IF(AND(W241&lt;&gt;"",W241&lt;SG_Criteria!$B$50),"FAIL: wind speed below "&amp;SG_Criteria!$B$50&amp;" m/s. ","")&amp;IF(AND(X241&lt;&gt;"",X241&lt;SG_Criteria!$B$51),"FAIL: roof fixing pull-out below "&amp;SG_Criteria!$B$51&amp;" kN. ","")&amp;IF(AND(Y241&lt;&gt;"",IFERROR(VALUE(MID(Y241,2,2)),0)&lt;SG_Criteria!$B$52),"FAIL: grade below C"&amp;SG_Criteria!$B$52&amp;". ","")&amp;IF(E241="Non-standard (project design)","NOTE: not an SDRE standard, needs LTA acceptance. ",""))=0,"OK",IF(AND(D241&lt;&gt;"High Covered Linkway",G241&lt;SG_Criteria!$B$46),"FAIL: headroom below "&amp;SG_Criteria!$B$46&amp;" m. ","")&amp;IF(AND(D241="High Covered Linkway",G241&lt;SG_Criteria!$B$47),"FAIL: high linkway headroom below "&amp;SG_Criteria!$B$47&amp;" m. ","")&amp;IF(F241&lt;SG_Criteria!$B$48,"FAIL: roof width below "&amp;SG_Criteria!$B$48&amp;" m. ",IF(F241&lt;SG_Criteria!$B$49,"NOTE: not for MRT/LRT or high-traffic routes (min "&amp;SG_Criteria!$B$49&amp;" m). ",""))&amp;IF(AND(W241&lt;&gt;"",W241&lt;SG_Criteria!$B$50),"FAIL: wind speed below "&amp;SG_Criteria!$B$50&amp;" m/s. ","")&amp;IF(AND(X241&lt;&gt;"",X241&lt;SG_Criteria!$B$51),"FAIL: roof fixing pull-out below "&amp;SG_Criteria!$B$51&amp;" kN. ","")&amp;IF(AND(Y241&lt;&gt;"",IFERROR(VALUE(MID(Y241,2,2)),0)&lt;SG_Criteria!$B$52),"FAIL: grade below C"&amp;SG_Criteria!$B$52&amp;". ","")&amp;IF(E241="Non-standard (project design)","NOTE: not an SDRE standard, needs LTA acceptance. ","")))</f>
        <v/>
      </c>
      <c r="BD241" s="9"/>
      <c r="BE241" s="9"/>
      <c r="BF241" s="9"/>
      <c r="BG241" s="10" t="str">
        <f aca="false">IF(BF241="","",IFERROR(VLOOKUP(BF241,Projects!$A$5:$D$504,2,0),"Ref not in Projects"))</f>
        <v/>
      </c>
      <c r="BH241" s="10" t="str">
        <f aca="false">IF(BF241="","",IFERROR(VLOOKUP(BF241,Projects!$A$5:$D$504,4,0),"Ref not in Projects"))</f>
        <v/>
      </c>
      <c r="BI241" s="9"/>
      <c r="BJ241" s="9"/>
      <c r="BK241" s="9"/>
      <c r="BL241" s="40"/>
      <c r="BM241" s="9"/>
      <c r="BN241" s="40"/>
      <c r="BO241" s="9"/>
      <c r="BP241" s="40"/>
      <c r="BQ241" s="9"/>
      <c r="BR241" s="9"/>
      <c r="BS241" s="9"/>
      <c r="BT241" s="40"/>
      <c r="BU241" s="40"/>
      <c r="BV241" s="36" t="str">
        <f aca="false">IF(BU241="","",EDATE(BU241,SG_Criteria!$B$54*12))</f>
        <v/>
      </c>
      <c r="BW241" s="33" t="str">
        <f aca="true">IF(A241="","",IF(BU241="","NOTE: not reviewed yet",IF(TODAY()&gt;BV241,"NOTE: review overdue","OK")))</f>
        <v/>
      </c>
      <c r="BX241" s="37" t="str">
        <f aca="false">IF(A241="","",ROUND((IF(LEN(D241)&gt;0,1,0)+IF(LEN(E241)&gt;0,1,0)+IF(LEN(F241)&gt;0,1,0)+IF(LEN(G241)&gt;0,1,0)+IF(LEN(H241)&gt;0,1,0)+IF(LEN(I241)&gt;0,1,0)+IF(LEN(J241)&gt;0,1,0)+IF(LEN(K241)&gt;0,1,0)+IF(LEN(N241)&gt;0,1,0)+IF(LEN(O241)&gt;0,1,0)+IF(LEN(W241)&gt;0,1,0)+IF(LEN(X241)&gt;0,1,0)+IF(LEN(Y241)&gt;0,1,0)+IF(LEN(AG241)&gt;0,1,0)+IF(LEN(AI241)&gt;0,1,0)+IF(LEN(AJ241)&gt;0,1,0)+IF(LEN(AK241)&gt;0,1,0)+IF(LEN(AL241)&gt;0,1,0)+IF(LEN(AU241)&gt;0,1,0)+IF(LEN(BF241)&gt;0,1,0)+IF(LEN(BS241)&gt;0,1,0))/21,2))</f>
        <v/>
      </c>
      <c r="BY241" s="10" t="str">
        <f aca="false">IF(D241="","",IF(AND(AJ241="Approved",ISERROR(SEARCH("FAIL",BC241))),"Y","N"))</f>
        <v/>
      </c>
      <c r="BZ241" s="10" t="str">
        <f aca="false">IF(D241="","",D241&amp;"|"&amp;F241&amp;"|"&amp;G241&amp;"|"&amp;BY241)</f>
        <v/>
      </c>
    </row>
    <row r="242" customFormat="false" ht="15" hidden="false" customHeight="false" outlineLevel="0" collapsed="false">
      <c r="A242" s="10" t="str">
        <f aca="false">IF(D242="","","LKW-"&amp;IFERROR(VLOOKUP(D242,Lists!$AQ$4:$AR$17,2,0),"??")&amp;"-W"&amp;TEXT(F242*1000,"0000")&amp;"-H"&amp;TEXT(G242*1000,"0000")&amp;"-B"&amp;TEXT(H242*1000,"0000")&amp;"-"&amp;AI242)</f>
        <v/>
      </c>
      <c r="B242" s="10" t="str">
        <f aca="false">IF(D242="","",D242&amp;", "&amp;F242&amp;" m wide, "&amp;G242&amp;" m headroom, "&amp;H242&amp;" m bays, "&amp;I242&amp;" ("&amp;E242&amp;")")</f>
        <v/>
      </c>
      <c r="C242" s="9"/>
      <c r="D242" s="9"/>
      <c r="E242" s="9"/>
      <c r="F242" s="42"/>
      <c r="G242" s="42"/>
      <c r="H242" s="42"/>
      <c r="I242" s="9"/>
      <c r="J242" s="9"/>
      <c r="K242" s="9"/>
      <c r="L242" s="9"/>
      <c r="M242" s="9"/>
      <c r="N242" s="9"/>
      <c r="O242" s="9"/>
      <c r="P242" s="9"/>
      <c r="Q242" s="9"/>
      <c r="R242" s="9"/>
      <c r="S242" s="42"/>
      <c r="T242" s="9"/>
      <c r="U242" s="9"/>
      <c r="V242" s="9"/>
      <c r="W242" s="38"/>
      <c r="X242" s="42"/>
      <c r="Y242" s="9"/>
      <c r="Z242" s="9"/>
      <c r="AA242" s="9"/>
      <c r="AB242" s="42"/>
      <c r="AC242" s="9"/>
      <c r="AD242" s="38"/>
      <c r="AE242" s="9"/>
      <c r="AF242" s="39"/>
      <c r="AG242" s="9"/>
      <c r="AH242" s="9"/>
      <c r="AI242" s="9"/>
      <c r="AJ242" s="9"/>
      <c r="AK242" s="9"/>
      <c r="AL242" s="9"/>
      <c r="AM242" s="9"/>
      <c r="AN242" s="10" t="str">
        <f aca="false">IF(A242="","",SG_Criteria!$B$6&amp;SG_Criteria!$B$12&amp;"\"&amp;A242&amp;"\")</f>
        <v/>
      </c>
      <c r="AO242" s="10" t="str">
        <f aca="false">IF(A242="","",A242&amp;"_CAD.dwg")</f>
        <v/>
      </c>
      <c r="AP242" s="10" t="str">
        <f aca="false">IF(A242="","",A242&amp;"_DWG.pdf")</f>
        <v/>
      </c>
      <c r="AQ242" s="10" t="str">
        <f aca="false">IF(A242="","",IF(AM242="Y",A242&amp;"_STAAD.std","n/a"))</f>
        <v/>
      </c>
      <c r="AR242" s="10" t="str">
        <f aca="false">IF(A242="","",A242&amp;"_CALC.xlsx")</f>
        <v/>
      </c>
      <c r="AS242" s="10" t="str">
        <f aca="false">IF(A242="","",A242&amp;"_CALC.pdf")</f>
        <v/>
      </c>
      <c r="AT242" s="9"/>
      <c r="AU242" s="9"/>
      <c r="AV242" s="39"/>
      <c r="AW242" s="39"/>
      <c r="AX242" s="39"/>
      <c r="AY242" s="39"/>
      <c r="AZ242" s="39"/>
      <c r="BA242" s="12" t="str">
        <f aca="false">IF(A242="","",IF(COUNTIF(Rebar_Schedule!$A$5:$A$2004,A242)=0,"",ROUND(SUMIF(Rebar_Schedule!$A$5:$A$2004,A242,Rebar_Schedule!$K$5:$K$2004),1)))</f>
        <v/>
      </c>
      <c r="BB242" s="33" t="str">
        <f aca="false">IF(A242="","",IF(BA242="","No rebar schedule yet",IF(ABS(BA242-N(AW242))/MAX(N(AW242),1)&gt;SG_Criteria!$B$55,"NOTE: register rebar differs from schedule by "&amp;TEXT(ABS(BA242-N(AW242))/MAX(N(AW242),1),"0%"),"OK")))</f>
        <v/>
      </c>
      <c r="BC242" s="33" t="str">
        <f aca="false">IF(D242="","",IF(LEN(IF(AND(D242&lt;&gt;"High Covered Linkway",G242&lt;SG_Criteria!$B$46),"FAIL: headroom below "&amp;SG_Criteria!$B$46&amp;" m. ","")&amp;IF(AND(D242="High Covered Linkway",G242&lt;SG_Criteria!$B$47),"FAIL: high linkway headroom below "&amp;SG_Criteria!$B$47&amp;" m. ","")&amp;IF(F242&lt;SG_Criteria!$B$48,"FAIL: roof width below "&amp;SG_Criteria!$B$48&amp;" m. ",IF(F242&lt;SG_Criteria!$B$49,"NOTE: not for MRT/LRT or high-traffic routes (min "&amp;SG_Criteria!$B$49&amp;" m). ",""))&amp;IF(AND(W242&lt;&gt;"",W242&lt;SG_Criteria!$B$50),"FAIL: wind speed below "&amp;SG_Criteria!$B$50&amp;" m/s. ","")&amp;IF(AND(X242&lt;&gt;"",X242&lt;SG_Criteria!$B$51),"FAIL: roof fixing pull-out below "&amp;SG_Criteria!$B$51&amp;" kN. ","")&amp;IF(AND(Y242&lt;&gt;"",IFERROR(VALUE(MID(Y242,2,2)),0)&lt;SG_Criteria!$B$52),"FAIL: grade below C"&amp;SG_Criteria!$B$52&amp;". ","")&amp;IF(E242="Non-standard (project design)","NOTE: not an SDRE standard, needs LTA acceptance. ",""))=0,"OK",IF(AND(D242&lt;&gt;"High Covered Linkway",G242&lt;SG_Criteria!$B$46),"FAIL: headroom below "&amp;SG_Criteria!$B$46&amp;" m. ","")&amp;IF(AND(D242="High Covered Linkway",G242&lt;SG_Criteria!$B$47),"FAIL: high linkway headroom below "&amp;SG_Criteria!$B$47&amp;" m. ","")&amp;IF(F242&lt;SG_Criteria!$B$48,"FAIL: roof width below "&amp;SG_Criteria!$B$48&amp;" m. ",IF(F242&lt;SG_Criteria!$B$49,"NOTE: not for MRT/LRT or high-traffic routes (min "&amp;SG_Criteria!$B$49&amp;" m). ",""))&amp;IF(AND(W242&lt;&gt;"",W242&lt;SG_Criteria!$B$50),"FAIL: wind speed below "&amp;SG_Criteria!$B$50&amp;" m/s. ","")&amp;IF(AND(X242&lt;&gt;"",X242&lt;SG_Criteria!$B$51),"FAIL: roof fixing pull-out below "&amp;SG_Criteria!$B$51&amp;" kN. ","")&amp;IF(AND(Y242&lt;&gt;"",IFERROR(VALUE(MID(Y242,2,2)),0)&lt;SG_Criteria!$B$52),"FAIL: grade below C"&amp;SG_Criteria!$B$52&amp;". ","")&amp;IF(E242="Non-standard (project design)","NOTE: not an SDRE standard, needs LTA acceptance. ","")))</f>
        <v/>
      </c>
      <c r="BD242" s="9"/>
      <c r="BE242" s="9"/>
      <c r="BF242" s="9"/>
      <c r="BG242" s="10" t="str">
        <f aca="false">IF(BF242="","",IFERROR(VLOOKUP(BF242,Projects!$A$5:$D$504,2,0),"Ref not in Projects"))</f>
        <v/>
      </c>
      <c r="BH242" s="10" t="str">
        <f aca="false">IF(BF242="","",IFERROR(VLOOKUP(BF242,Projects!$A$5:$D$504,4,0),"Ref not in Projects"))</f>
        <v/>
      </c>
      <c r="BI242" s="9"/>
      <c r="BJ242" s="9"/>
      <c r="BK242" s="9"/>
      <c r="BL242" s="40"/>
      <c r="BM242" s="9"/>
      <c r="BN242" s="40"/>
      <c r="BO242" s="9"/>
      <c r="BP242" s="40"/>
      <c r="BQ242" s="9"/>
      <c r="BR242" s="9"/>
      <c r="BS242" s="9"/>
      <c r="BT242" s="40"/>
      <c r="BU242" s="40"/>
      <c r="BV242" s="36" t="str">
        <f aca="false">IF(BU242="","",EDATE(BU242,SG_Criteria!$B$54*12))</f>
        <v/>
      </c>
      <c r="BW242" s="33" t="str">
        <f aca="true">IF(A242="","",IF(BU242="","NOTE: not reviewed yet",IF(TODAY()&gt;BV242,"NOTE: review overdue","OK")))</f>
        <v/>
      </c>
      <c r="BX242" s="37" t="str">
        <f aca="false">IF(A242="","",ROUND((IF(LEN(D242)&gt;0,1,0)+IF(LEN(E242)&gt;0,1,0)+IF(LEN(F242)&gt;0,1,0)+IF(LEN(G242)&gt;0,1,0)+IF(LEN(H242)&gt;0,1,0)+IF(LEN(I242)&gt;0,1,0)+IF(LEN(J242)&gt;0,1,0)+IF(LEN(K242)&gt;0,1,0)+IF(LEN(N242)&gt;0,1,0)+IF(LEN(O242)&gt;0,1,0)+IF(LEN(W242)&gt;0,1,0)+IF(LEN(X242)&gt;0,1,0)+IF(LEN(Y242)&gt;0,1,0)+IF(LEN(AG242)&gt;0,1,0)+IF(LEN(AI242)&gt;0,1,0)+IF(LEN(AJ242)&gt;0,1,0)+IF(LEN(AK242)&gt;0,1,0)+IF(LEN(AL242)&gt;0,1,0)+IF(LEN(AU242)&gt;0,1,0)+IF(LEN(BF242)&gt;0,1,0)+IF(LEN(BS242)&gt;0,1,0))/21,2))</f>
        <v/>
      </c>
      <c r="BY242" s="10" t="str">
        <f aca="false">IF(D242="","",IF(AND(AJ242="Approved",ISERROR(SEARCH("FAIL",BC242))),"Y","N"))</f>
        <v/>
      </c>
      <c r="BZ242" s="10" t="str">
        <f aca="false">IF(D242="","",D242&amp;"|"&amp;F242&amp;"|"&amp;G242&amp;"|"&amp;BY242)</f>
        <v/>
      </c>
    </row>
    <row r="243" customFormat="false" ht="15" hidden="false" customHeight="false" outlineLevel="0" collapsed="false">
      <c r="A243" s="10" t="str">
        <f aca="false">IF(D243="","","LKW-"&amp;IFERROR(VLOOKUP(D243,Lists!$AQ$4:$AR$17,2,0),"??")&amp;"-W"&amp;TEXT(F243*1000,"0000")&amp;"-H"&amp;TEXT(G243*1000,"0000")&amp;"-B"&amp;TEXT(H243*1000,"0000")&amp;"-"&amp;AI243)</f>
        <v/>
      </c>
      <c r="B243" s="10" t="str">
        <f aca="false">IF(D243="","",D243&amp;", "&amp;F243&amp;" m wide, "&amp;G243&amp;" m headroom, "&amp;H243&amp;" m bays, "&amp;I243&amp;" ("&amp;E243&amp;")")</f>
        <v/>
      </c>
      <c r="C243" s="9"/>
      <c r="D243" s="9"/>
      <c r="E243" s="9"/>
      <c r="F243" s="42"/>
      <c r="G243" s="42"/>
      <c r="H243" s="42"/>
      <c r="I243" s="9"/>
      <c r="J243" s="9"/>
      <c r="K243" s="9"/>
      <c r="L243" s="9"/>
      <c r="M243" s="9"/>
      <c r="N243" s="9"/>
      <c r="O243" s="9"/>
      <c r="P243" s="9"/>
      <c r="Q243" s="9"/>
      <c r="R243" s="9"/>
      <c r="S243" s="42"/>
      <c r="T243" s="9"/>
      <c r="U243" s="9"/>
      <c r="V243" s="9"/>
      <c r="W243" s="38"/>
      <c r="X243" s="42"/>
      <c r="Y243" s="9"/>
      <c r="Z243" s="9"/>
      <c r="AA243" s="9"/>
      <c r="AB243" s="42"/>
      <c r="AC243" s="9"/>
      <c r="AD243" s="38"/>
      <c r="AE243" s="9"/>
      <c r="AF243" s="39"/>
      <c r="AG243" s="9"/>
      <c r="AH243" s="9"/>
      <c r="AI243" s="9"/>
      <c r="AJ243" s="9"/>
      <c r="AK243" s="9"/>
      <c r="AL243" s="9"/>
      <c r="AM243" s="9"/>
      <c r="AN243" s="10" t="str">
        <f aca="false">IF(A243="","",SG_Criteria!$B$6&amp;SG_Criteria!$B$12&amp;"\"&amp;A243&amp;"\")</f>
        <v/>
      </c>
      <c r="AO243" s="10" t="str">
        <f aca="false">IF(A243="","",A243&amp;"_CAD.dwg")</f>
        <v/>
      </c>
      <c r="AP243" s="10" t="str">
        <f aca="false">IF(A243="","",A243&amp;"_DWG.pdf")</f>
        <v/>
      </c>
      <c r="AQ243" s="10" t="str">
        <f aca="false">IF(A243="","",IF(AM243="Y",A243&amp;"_STAAD.std","n/a"))</f>
        <v/>
      </c>
      <c r="AR243" s="10" t="str">
        <f aca="false">IF(A243="","",A243&amp;"_CALC.xlsx")</f>
        <v/>
      </c>
      <c r="AS243" s="10" t="str">
        <f aca="false">IF(A243="","",A243&amp;"_CALC.pdf")</f>
        <v/>
      </c>
      <c r="AT243" s="9"/>
      <c r="AU243" s="9"/>
      <c r="AV243" s="39"/>
      <c r="AW243" s="39"/>
      <c r="AX243" s="39"/>
      <c r="AY243" s="39"/>
      <c r="AZ243" s="39"/>
      <c r="BA243" s="12" t="str">
        <f aca="false">IF(A243="","",IF(COUNTIF(Rebar_Schedule!$A$5:$A$2004,A243)=0,"",ROUND(SUMIF(Rebar_Schedule!$A$5:$A$2004,A243,Rebar_Schedule!$K$5:$K$2004),1)))</f>
        <v/>
      </c>
      <c r="BB243" s="33" t="str">
        <f aca="false">IF(A243="","",IF(BA243="","No rebar schedule yet",IF(ABS(BA243-N(AW243))/MAX(N(AW243),1)&gt;SG_Criteria!$B$55,"NOTE: register rebar differs from schedule by "&amp;TEXT(ABS(BA243-N(AW243))/MAX(N(AW243),1),"0%"),"OK")))</f>
        <v/>
      </c>
      <c r="BC243" s="33" t="str">
        <f aca="false">IF(D243="","",IF(LEN(IF(AND(D243&lt;&gt;"High Covered Linkway",G243&lt;SG_Criteria!$B$46),"FAIL: headroom below "&amp;SG_Criteria!$B$46&amp;" m. ","")&amp;IF(AND(D243="High Covered Linkway",G243&lt;SG_Criteria!$B$47),"FAIL: high linkway headroom below "&amp;SG_Criteria!$B$47&amp;" m. ","")&amp;IF(F243&lt;SG_Criteria!$B$48,"FAIL: roof width below "&amp;SG_Criteria!$B$48&amp;" m. ",IF(F243&lt;SG_Criteria!$B$49,"NOTE: not for MRT/LRT or high-traffic routes (min "&amp;SG_Criteria!$B$49&amp;" m). ",""))&amp;IF(AND(W243&lt;&gt;"",W243&lt;SG_Criteria!$B$50),"FAIL: wind speed below "&amp;SG_Criteria!$B$50&amp;" m/s. ","")&amp;IF(AND(X243&lt;&gt;"",X243&lt;SG_Criteria!$B$51),"FAIL: roof fixing pull-out below "&amp;SG_Criteria!$B$51&amp;" kN. ","")&amp;IF(AND(Y243&lt;&gt;"",IFERROR(VALUE(MID(Y243,2,2)),0)&lt;SG_Criteria!$B$52),"FAIL: grade below C"&amp;SG_Criteria!$B$52&amp;". ","")&amp;IF(E243="Non-standard (project design)","NOTE: not an SDRE standard, needs LTA acceptance. ",""))=0,"OK",IF(AND(D243&lt;&gt;"High Covered Linkway",G243&lt;SG_Criteria!$B$46),"FAIL: headroom below "&amp;SG_Criteria!$B$46&amp;" m. ","")&amp;IF(AND(D243="High Covered Linkway",G243&lt;SG_Criteria!$B$47),"FAIL: high linkway headroom below "&amp;SG_Criteria!$B$47&amp;" m. ","")&amp;IF(F243&lt;SG_Criteria!$B$48,"FAIL: roof width below "&amp;SG_Criteria!$B$48&amp;" m. ",IF(F243&lt;SG_Criteria!$B$49,"NOTE: not for MRT/LRT or high-traffic routes (min "&amp;SG_Criteria!$B$49&amp;" m). ",""))&amp;IF(AND(W243&lt;&gt;"",W243&lt;SG_Criteria!$B$50),"FAIL: wind speed below "&amp;SG_Criteria!$B$50&amp;" m/s. ","")&amp;IF(AND(X243&lt;&gt;"",X243&lt;SG_Criteria!$B$51),"FAIL: roof fixing pull-out below "&amp;SG_Criteria!$B$51&amp;" kN. ","")&amp;IF(AND(Y243&lt;&gt;"",IFERROR(VALUE(MID(Y243,2,2)),0)&lt;SG_Criteria!$B$52),"FAIL: grade below C"&amp;SG_Criteria!$B$52&amp;". ","")&amp;IF(E243="Non-standard (project design)","NOTE: not an SDRE standard, needs LTA acceptance. ","")))</f>
        <v/>
      </c>
      <c r="BD243" s="9"/>
      <c r="BE243" s="9"/>
      <c r="BF243" s="9"/>
      <c r="BG243" s="10" t="str">
        <f aca="false">IF(BF243="","",IFERROR(VLOOKUP(BF243,Projects!$A$5:$D$504,2,0),"Ref not in Projects"))</f>
        <v/>
      </c>
      <c r="BH243" s="10" t="str">
        <f aca="false">IF(BF243="","",IFERROR(VLOOKUP(BF243,Projects!$A$5:$D$504,4,0),"Ref not in Projects"))</f>
        <v/>
      </c>
      <c r="BI243" s="9"/>
      <c r="BJ243" s="9"/>
      <c r="BK243" s="9"/>
      <c r="BL243" s="40"/>
      <c r="BM243" s="9"/>
      <c r="BN243" s="40"/>
      <c r="BO243" s="9"/>
      <c r="BP243" s="40"/>
      <c r="BQ243" s="9"/>
      <c r="BR243" s="9"/>
      <c r="BS243" s="9"/>
      <c r="BT243" s="40"/>
      <c r="BU243" s="40"/>
      <c r="BV243" s="36" t="str">
        <f aca="false">IF(BU243="","",EDATE(BU243,SG_Criteria!$B$54*12))</f>
        <v/>
      </c>
      <c r="BW243" s="33" t="str">
        <f aca="true">IF(A243="","",IF(BU243="","NOTE: not reviewed yet",IF(TODAY()&gt;BV243,"NOTE: review overdue","OK")))</f>
        <v/>
      </c>
      <c r="BX243" s="37" t="str">
        <f aca="false">IF(A243="","",ROUND((IF(LEN(D243)&gt;0,1,0)+IF(LEN(E243)&gt;0,1,0)+IF(LEN(F243)&gt;0,1,0)+IF(LEN(G243)&gt;0,1,0)+IF(LEN(H243)&gt;0,1,0)+IF(LEN(I243)&gt;0,1,0)+IF(LEN(J243)&gt;0,1,0)+IF(LEN(K243)&gt;0,1,0)+IF(LEN(N243)&gt;0,1,0)+IF(LEN(O243)&gt;0,1,0)+IF(LEN(W243)&gt;0,1,0)+IF(LEN(X243)&gt;0,1,0)+IF(LEN(Y243)&gt;0,1,0)+IF(LEN(AG243)&gt;0,1,0)+IF(LEN(AI243)&gt;0,1,0)+IF(LEN(AJ243)&gt;0,1,0)+IF(LEN(AK243)&gt;0,1,0)+IF(LEN(AL243)&gt;0,1,0)+IF(LEN(AU243)&gt;0,1,0)+IF(LEN(BF243)&gt;0,1,0)+IF(LEN(BS243)&gt;0,1,0))/21,2))</f>
        <v/>
      </c>
      <c r="BY243" s="10" t="str">
        <f aca="false">IF(D243="","",IF(AND(AJ243="Approved",ISERROR(SEARCH("FAIL",BC243))),"Y","N"))</f>
        <v/>
      </c>
      <c r="BZ243" s="10" t="str">
        <f aca="false">IF(D243="","",D243&amp;"|"&amp;F243&amp;"|"&amp;G243&amp;"|"&amp;BY243)</f>
        <v/>
      </c>
    </row>
    <row r="244" customFormat="false" ht="15" hidden="false" customHeight="false" outlineLevel="0" collapsed="false">
      <c r="A244" s="10" t="str">
        <f aca="false">IF(D244="","","LKW-"&amp;IFERROR(VLOOKUP(D244,Lists!$AQ$4:$AR$17,2,0),"??")&amp;"-W"&amp;TEXT(F244*1000,"0000")&amp;"-H"&amp;TEXT(G244*1000,"0000")&amp;"-B"&amp;TEXT(H244*1000,"0000")&amp;"-"&amp;AI244)</f>
        <v/>
      </c>
      <c r="B244" s="10" t="str">
        <f aca="false">IF(D244="","",D244&amp;", "&amp;F244&amp;" m wide, "&amp;G244&amp;" m headroom, "&amp;H244&amp;" m bays, "&amp;I244&amp;" ("&amp;E244&amp;")")</f>
        <v/>
      </c>
      <c r="C244" s="9"/>
      <c r="D244" s="9"/>
      <c r="E244" s="9"/>
      <c r="F244" s="42"/>
      <c r="G244" s="42"/>
      <c r="H244" s="42"/>
      <c r="I244" s="9"/>
      <c r="J244" s="9"/>
      <c r="K244" s="9"/>
      <c r="L244" s="9"/>
      <c r="M244" s="9"/>
      <c r="N244" s="9"/>
      <c r="O244" s="9"/>
      <c r="P244" s="9"/>
      <c r="Q244" s="9"/>
      <c r="R244" s="9"/>
      <c r="S244" s="42"/>
      <c r="T244" s="9"/>
      <c r="U244" s="9"/>
      <c r="V244" s="9"/>
      <c r="W244" s="38"/>
      <c r="X244" s="42"/>
      <c r="Y244" s="9"/>
      <c r="Z244" s="9"/>
      <c r="AA244" s="9"/>
      <c r="AB244" s="42"/>
      <c r="AC244" s="9"/>
      <c r="AD244" s="38"/>
      <c r="AE244" s="9"/>
      <c r="AF244" s="39"/>
      <c r="AG244" s="9"/>
      <c r="AH244" s="9"/>
      <c r="AI244" s="9"/>
      <c r="AJ244" s="9"/>
      <c r="AK244" s="9"/>
      <c r="AL244" s="9"/>
      <c r="AM244" s="9"/>
      <c r="AN244" s="10" t="str">
        <f aca="false">IF(A244="","",SG_Criteria!$B$6&amp;SG_Criteria!$B$12&amp;"\"&amp;A244&amp;"\")</f>
        <v/>
      </c>
      <c r="AO244" s="10" t="str">
        <f aca="false">IF(A244="","",A244&amp;"_CAD.dwg")</f>
        <v/>
      </c>
      <c r="AP244" s="10" t="str">
        <f aca="false">IF(A244="","",A244&amp;"_DWG.pdf")</f>
        <v/>
      </c>
      <c r="AQ244" s="10" t="str">
        <f aca="false">IF(A244="","",IF(AM244="Y",A244&amp;"_STAAD.std","n/a"))</f>
        <v/>
      </c>
      <c r="AR244" s="10" t="str">
        <f aca="false">IF(A244="","",A244&amp;"_CALC.xlsx")</f>
        <v/>
      </c>
      <c r="AS244" s="10" t="str">
        <f aca="false">IF(A244="","",A244&amp;"_CALC.pdf")</f>
        <v/>
      </c>
      <c r="AT244" s="9"/>
      <c r="AU244" s="9"/>
      <c r="AV244" s="39"/>
      <c r="AW244" s="39"/>
      <c r="AX244" s="39"/>
      <c r="AY244" s="39"/>
      <c r="AZ244" s="39"/>
      <c r="BA244" s="12" t="str">
        <f aca="false">IF(A244="","",IF(COUNTIF(Rebar_Schedule!$A$5:$A$2004,A244)=0,"",ROUND(SUMIF(Rebar_Schedule!$A$5:$A$2004,A244,Rebar_Schedule!$K$5:$K$2004),1)))</f>
        <v/>
      </c>
      <c r="BB244" s="33" t="str">
        <f aca="false">IF(A244="","",IF(BA244="","No rebar schedule yet",IF(ABS(BA244-N(AW244))/MAX(N(AW244),1)&gt;SG_Criteria!$B$55,"NOTE: register rebar differs from schedule by "&amp;TEXT(ABS(BA244-N(AW244))/MAX(N(AW244),1),"0%"),"OK")))</f>
        <v/>
      </c>
      <c r="BC244" s="33" t="str">
        <f aca="false">IF(D244="","",IF(LEN(IF(AND(D244&lt;&gt;"High Covered Linkway",G244&lt;SG_Criteria!$B$46),"FAIL: headroom below "&amp;SG_Criteria!$B$46&amp;" m. ","")&amp;IF(AND(D244="High Covered Linkway",G244&lt;SG_Criteria!$B$47),"FAIL: high linkway headroom below "&amp;SG_Criteria!$B$47&amp;" m. ","")&amp;IF(F244&lt;SG_Criteria!$B$48,"FAIL: roof width below "&amp;SG_Criteria!$B$48&amp;" m. ",IF(F244&lt;SG_Criteria!$B$49,"NOTE: not for MRT/LRT or high-traffic routes (min "&amp;SG_Criteria!$B$49&amp;" m). ",""))&amp;IF(AND(W244&lt;&gt;"",W244&lt;SG_Criteria!$B$50),"FAIL: wind speed below "&amp;SG_Criteria!$B$50&amp;" m/s. ","")&amp;IF(AND(X244&lt;&gt;"",X244&lt;SG_Criteria!$B$51),"FAIL: roof fixing pull-out below "&amp;SG_Criteria!$B$51&amp;" kN. ","")&amp;IF(AND(Y244&lt;&gt;"",IFERROR(VALUE(MID(Y244,2,2)),0)&lt;SG_Criteria!$B$52),"FAIL: grade below C"&amp;SG_Criteria!$B$52&amp;". ","")&amp;IF(E244="Non-standard (project design)","NOTE: not an SDRE standard, needs LTA acceptance. ",""))=0,"OK",IF(AND(D244&lt;&gt;"High Covered Linkway",G244&lt;SG_Criteria!$B$46),"FAIL: headroom below "&amp;SG_Criteria!$B$46&amp;" m. ","")&amp;IF(AND(D244="High Covered Linkway",G244&lt;SG_Criteria!$B$47),"FAIL: high linkway headroom below "&amp;SG_Criteria!$B$47&amp;" m. ","")&amp;IF(F244&lt;SG_Criteria!$B$48,"FAIL: roof width below "&amp;SG_Criteria!$B$48&amp;" m. ",IF(F244&lt;SG_Criteria!$B$49,"NOTE: not for MRT/LRT or high-traffic routes (min "&amp;SG_Criteria!$B$49&amp;" m). ",""))&amp;IF(AND(W244&lt;&gt;"",W244&lt;SG_Criteria!$B$50),"FAIL: wind speed below "&amp;SG_Criteria!$B$50&amp;" m/s. ","")&amp;IF(AND(X244&lt;&gt;"",X244&lt;SG_Criteria!$B$51),"FAIL: roof fixing pull-out below "&amp;SG_Criteria!$B$51&amp;" kN. ","")&amp;IF(AND(Y244&lt;&gt;"",IFERROR(VALUE(MID(Y244,2,2)),0)&lt;SG_Criteria!$B$52),"FAIL: grade below C"&amp;SG_Criteria!$B$52&amp;". ","")&amp;IF(E244="Non-standard (project design)","NOTE: not an SDRE standard, needs LTA acceptance. ","")))</f>
        <v/>
      </c>
      <c r="BD244" s="9"/>
      <c r="BE244" s="9"/>
      <c r="BF244" s="9"/>
      <c r="BG244" s="10" t="str">
        <f aca="false">IF(BF244="","",IFERROR(VLOOKUP(BF244,Projects!$A$5:$D$504,2,0),"Ref not in Projects"))</f>
        <v/>
      </c>
      <c r="BH244" s="10" t="str">
        <f aca="false">IF(BF244="","",IFERROR(VLOOKUP(BF244,Projects!$A$5:$D$504,4,0),"Ref not in Projects"))</f>
        <v/>
      </c>
      <c r="BI244" s="9"/>
      <c r="BJ244" s="9"/>
      <c r="BK244" s="9"/>
      <c r="BL244" s="40"/>
      <c r="BM244" s="9"/>
      <c r="BN244" s="40"/>
      <c r="BO244" s="9"/>
      <c r="BP244" s="40"/>
      <c r="BQ244" s="9"/>
      <c r="BR244" s="9"/>
      <c r="BS244" s="9"/>
      <c r="BT244" s="40"/>
      <c r="BU244" s="40"/>
      <c r="BV244" s="36" t="str">
        <f aca="false">IF(BU244="","",EDATE(BU244,SG_Criteria!$B$54*12))</f>
        <v/>
      </c>
      <c r="BW244" s="33" t="str">
        <f aca="true">IF(A244="","",IF(BU244="","NOTE: not reviewed yet",IF(TODAY()&gt;BV244,"NOTE: review overdue","OK")))</f>
        <v/>
      </c>
      <c r="BX244" s="37" t="str">
        <f aca="false">IF(A244="","",ROUND((IF(LEN(D244)&gt;0,1,0)+IF(LEN(E244)&gt;0,1,0)+IF(LEN(F244)&gt;0,1,0)+IF(LEN(G244)&gt;0,1,0)+IF(LEN(H244)&gt;0,1,0)+IF(LEN(I244)&gt;0,1,0)+IF(LEN(J244)&gt;0,1,0)+IF(LEN(K244)&gt;0,1,0)+IF(LEN(N244)&gt;0,1,0)+IF(LEN(O244)&gt;0,1,0)+IF(LEN(W244)&gt;0,1,0)+IF(LEN(X244)&gt;0,1,0)+IF(LEN(Y244)&gt;0,1,0)+IF(LEN(AG244)&gt;0,1,0)+IF(LEN(AI244)&gt;0,1,0)+IF(LEN(AJ244)&gt;0,1,0)+IF(LEN(AK244)&gt;0,1,0)+IF(LEN(AL244)&gt;0,1,0)+IF(LEN(AU244)&gt;0,1,0)+IF(LEN(BF244)&gt;0,1,0)+IF(LEN(BS244)&gt;0,1,0))/21,2))</f>
        <v/>
      </c>
      <c r="BY244" s="10" t="str">
        <f aca="false">IF(D244="","",IF(AND(AJ244="Approved",ISERROR(SEARCH("FAIL",BC244))),"Y","N"))</f>
        <v/>
      </c>
      <c r="BZ244" s="10" t="str">
        <f aca="false">IF(D244="","",D244&amp;"|"&amp;F244&amp;"|"&amp;G244&amp;"|"&amp;BY244)</f>
        <v/>
      </c>
    </row>
    <row r="245" customFormat="false" ht="15" hidden="false" customHeight="false" outlineLevel="0" collapsed="false">
      <c r="A245" s="10" t="str">
        <f aca="false">IF(D245="","","LKW-"&amp;IFERROR(VLOOKUP(D245,Lists!$AQ$4:$AR$17,2,0),"??")&amp;"-W"&amp;TEXT(F245*1000,"0000")&amp;"-H"&amp;TEXT(G245*1000,"0000")&amp;"-B"&amp;TEXT(H245*1000,"0000")&amp;"-"&amp;AI245)</f>
        <v/>
      </c>
      <c r="B245" s="10" t="str">
        <f aca="false">IF(D245="","",D245&amp;", "&amp;F245&amp;" m wide, "&amp;G245&amp;" m headroom, "&amp;H245&amp;" m bays, "&amp;I245&amp;" ("&amp;E245&amp;")")</f>
        <v/>
      </c>
      <c r="C245" s="9"/>
      <c r="D245" s="9"/>
      <c r="E245" s="9"/>
      <c r="F245" s="42"/>
      <c r="G245" s="42"/>
      <c r="H245" s="42"/>
      <c r="I245" s="9"/>
      <c r="J245" s="9"/>
      <c r="K245" s="9"/>
      <c r="L245" s="9"/>
      <c r="M245" s="9"/>
      <c r="N245" s="9"/>
      <c r="O245" s="9"/>
      <c r="P245" s="9"/>
      <c r="Q245" s="9"/>
      <c r="R245" s="9"/>
      <c r="S245" s="42"/>
      <c r="T245" s="9"/>
      <c r="U245" s="9"/>
      <c r="V245" s="9"/>
      <c r="W245" s="38"/>
      <c r="X245" s="42"/>
      <c r="Y245" s="9"/>
      <c r="Z245" s="9"/>
      <c r="AA245" s="9"/>
      <c r="AB245" s="42"/>
      <c r="AC245" s="9"/>
      <c r="AD245" s="38"/>
      <c r="AE245" s="9"/>
      <c r="AF245" s="39"/>
      <c r="AG245" s="9"/>
      <c r="AH245" s="9"/>
      <c r="AI245" s="9"/>
      <c r="AJ245" s="9"/>
      <c r="AK245" s="9"/>
      <c r="AL245" s="9"/>
      <c r="AM245" s="9"/>
      <c r="AN245" s="10" t="str">
        <f aca="false">IF(A245="","",SG_Criteria!$B$6&amp;SG_Criteria!$B$12&amp;"\"&amp;A245&amp;"\")</f>
        <v/>
      </c>
      <c r="AO245" s="10" t="str">
        <f aca="false">IF(A245="","",A245&amp;"_CAD.dwg")</f>
        <v/>
      </c>
      <c r="AP245" s="10" t="str">
        <f aca="false">IF(A245="","",A245&amp;"_DWG.pdf")</f>
        <v/>
      </c>
      <c r="AQ245" s="10" t="str">
        <f aca="false">IF(A245="","",IF(AM245="Y",A245&amp;"_STAAD.std","n/a"))</f>
        <v/>
      </c>
      <c r="AR245" s="10" t="str">
        <f aca="false">IF(A245="","",A245&amp;"_CALC.xlsx")</f>
        <v/>
      </c>
      <c r="AS245" s="10" t="str">
        <f aca="false">IF(A245="","",A245&amp;"_CALC.pdf")</f>
        <v/>
      </c>
      <c r="AT245" s="9"/>
      <c r="AU245" s="9"/>
      <c r="AV245" s="39"/>
      <c r="AW245" s="39"/>
      <c r="AX245" s="39"/>
      <c r="AY245" s="39"/>
      <c r="AZ245" s="39"/>
      <c r="BA245" s="12" t="str">
        <f aca="false">IF(A245="","",IF(COUNTIF(Rebar_Schedule!$A$5:$A$2004,A245)=0,"",ROUND(SUMIF(Rebar_Schedule!$A$5:$A$2004,A245,Rebar_Schedule!$K$5:$K$2004),1)))</f>
        <v/>
      </c>
      <c r="BB245" s="33" t="str">
        <f aca="false">IF(A245="","",IF(BA245="","No rebar schedule yet",IF(ABS(BA245-N(AW245))/MAX(N(AW245),1)&gt;SG_Criteria!$B$55,"NOTE: register rebar differs from schedule by "&amp;TEXT(ABS(BA245-N(AW245))/MAX(N(AW245),1),"0%"),"OK")))</f>
        <v/>
      </c>
      <c r="BC245" s="33" t="str">
        <f aca="false">IF(D245="","",IF(LEN(IF(AND(D245&lt;&gt;"High Covered Linkway",G245&lt;SG_Criteria!$B$46),"FAIL: headroom below "&amp;SG_Criteria!$B$46&amp;" m. ","")&amp;IF(AND(D245="High Covered Linkway",G245&lt;SG_Criteria!$B$47),"FAIL: high linkway headroom below "&amp;SG_Criteria!$B$47&amp;" m. ","")&amp;IF(F245&lt;SG_Criteria!$B$48,"FAIL: roof width below "&amp;SG_Criteria!$B$48&amp;" m. ",IF(F245&lt;SG_Criteria!$B$49,"NOTE: not for MRT/LRT or high-traffic routes (min "&amp;SG_Criteria!$B$49&amp;" m). ",""))&amp;IF(AND(W245&lt;&gt;"",W245&lt;SG_Criteria!$B$50),"FAIL: wind speed below "&amp;SG_Criteria!$B$50&amp;" m/s. ","")&amp;IF(AND(X245&lt;&gt;"",X245&lt;SG_Criteria!$B$51),"FAIL: roof fixing pull-out below "&amp;SG_Criteria!$B$51&amp;" kN. ","")&amp;IF(AND(Y245&lt;&gt;"",IFERROR(VALUE(MID(Y245,2,2)),0)&lt;SG_Criteria!$B$52),"FAIL: grade below C"&amp;SG_Criteria!$B$52&amp;". ","")&amp;IF(E245="Non-standard (project design)","NOTE: not an SDRE standard, needs LTA acceptance. ",""))=0,"OK",IF(AND(D245&lt;&gt;"High Covered Linkway",G245&lt;SG_Criteria!$B$46),"FAIL: headroom below "&amp;SG_Criteria!$B$46&amp;" m. ","")&amp;IF(AND(D245="High Covered Linkway",G245&lt;SG_Criteria!$B$47),"FAIL: high linkway headroom below "&amp;SG_Criteria!$B$47&amp;" m. ","")&amp;IF(F245&lt;SG_Criteria!$B$48,"FAIL: roof width below "&amp;SG_Criteria!$B$48&amp;" m. ",IF(F245&lt;SG_Criteria!$B$49,"NOTE: not for MRT/LRT or high-traffic routes (min "&amp;SG_Criteria!$B$49&amp;" m). ",""))&amp;IF(AND(W245&lt;&gt;"",W245&lt;SG_Criteria!$B$50),"FAIL: wind speed below "&amp;SG_Criteria!$B$50&amp;" m/s. ","")&amp;IF(AND(X245&lt;&gt;"",X245&lt;SG_Criteria!$B$51),"FAIL: roof fixing pull-out below "&amp;SG_Criteria!$B$51&amp;" kN. ","")&amp;IF(AND(Y245&lt;&gt;"",IFERROR(VALUE(MID(Y245,2,2)),0)&lt;SG_Criteria!$B$52),"FAIL: grade below C"&amp;SG_Criteria!$B$52&amp;". ","")&amp;IF(E245="Non-standard (project design)","NOTE: not an SDRE standard, needs LTA acceptance. ","")))</f>
        <v/>
      </c>
      <c r="BD245" s="9"/>
      <c r="BE245" s="9"/>
      <c r="BF245" s="9"/>
      <c r="BG245" s="10" t="str">
        <f aca="false">IF(BF245="","",IFERROR(VLOOKUP(BF245,Projects!$A$5:$D$504,2,0),"Ref not in Projects"))</f>
        <v/>
      </c>
      <c r="BH245" s="10" t="str">
        <f aca="false">IF(BF245="","",IFERROR(VLOOKUP(BF245,Projects!$A$5:$D$504,4,0),"Ref not in Projects"))</f>
        <v/>
      </c>
      <c r="BI245" s="9"/>
      <c r="BJ245" s="9"/>
      <c r="BK245" s="9"/>
      <c r="BL245" s="40"/>
      <c r="BM245" s="9"/>
      <c r="BN245" s="40"/>
      <c r="BO245" s="9"/>
      <c r="BP245" s="40"/>
      <c r="BQ245" s="9"/>
      <c r="BR245" s="9"/>
      <c r="BS245" s="9"/>
      <c r="BT245" s="40"/>
      <c r="BU245" s="40"/>
      <c r="BV245" s="36" t="str">
        <f aca="false">IF(BU245="","",EDATE(BU245,SG_Criteria!$B$54*12))</f>
        <v/>
      </c>
      <c r="BW245" s="33" t="str">
        <f aca="true">IF(A245="","",IF(BU245="","NOTE: not reviewed yet",IF(TODAY()&gt;BV245,"NOTE: review overdue","OK")))</f>
        <v/>
      </c>
      <c r="BX245" s="37" t="str">
        <f aca="false">IF(A245="","",ROUND((IF(LEN(D245)&gt;0,1,0)+IF(LEN(E245)&gt;0,1,0)+IF(LEN(F245)&gt;0,1,0)+IF(LEN(G245)&gt;0,1,0)+IF(LEN(H245)&gt;0,1,0)+IF(LEN(I245)&gt;0,1,0)+IF(LEN(J245)&gt;0,1,0)+IF(LEN(K245)&gt;0,1,0)+IF(LEN(N245)&gt;0,1,0)+IF(LEN(O245)&gt;0,1,0)+IF(LEN(W245)&gt;0,1,0)+IF(LEN(X245)&gt;0,1,0)+IF(LEN(Y245)&gt;0,1,0)+IF(LEN(AG245)&gt;0,1,0)+IF(LEN(AI245)&gt;0,1,0)+IF(LEN(AJ245)&gt;0,1,0)+IF(LEN(AK245)&gt;0,1,0)+IF(LEN(AL245)&gt;0,1,0)+IF(LEN(AU245)&gt;0,1,0)+IF(LEN(BF245)&gt;0,1,0)+IF(LEN(BS245)&gt;0,1,0))/21,2))</f>
        <v/>
      </c>
      <c r="BY245" s="10" t="str">
        <f aca="false">IF(D245="","",IF(AND(AJ245="Approved",ISERROR(SEARCH("FAIL",BC245))),"Y","N"))</f>
        <v/>
      </c>
      <c r="BZ245" s="10" t="str">
        <f aca="false">IF(D245="","",D245&amp;"|"&amp;F245&amp;"|"&amp;G245&amp;"|"&amp;BY245)</f>
        <v/>
      </c>
    </row>
    <row r="246" customFormat="false" ht="15" hidden="false" customHeight="false" outlineLevel="0" collapsed="false">
      <c r="A246" s="10" t="str">
        <f aca="false">IF(D246="","","LKW-"&amp;IFERROR(VLOOKUP(D246,Lists!$AQ$4:$AR$17,2,0),"??")&amp;"-W"&amp;TEXT(F246*1000,"0000")&amp;"-H"&amp;TEXT(G246*1000,"0000")&amp;"-B"&amp;TEXT(H246*1000,"0000")&amp;"-"&amp;AI246)</f>
        <v/>
      </c>
      <c r="B246" s="10" t="str">
        <f aca="false">IF(D246="","",D246&amp;", "&amp;F246&amp;" m wide, "&amp;G246&amp;" m headroom, "&amp;H246&amp;" m bays, "&amp;I246&amp;" ("&amp;E246&amp;")")</f>
        <v/>
      </c>
      <c r="C246" s="9"/>
      <c r="D246" s="9"/>
      <c r="E246" s="9"/>
      <c r="F246" s="42"/>
      <c r="G246" s="42"/>
      <c r="H246" s="42"/>
      <c r="I246" s="9"/>
      <c r="J246" s="9"/>
      <c r="K246" s="9"/>
      <c r="L246" s="9"/>
      <c r="M246" s="9"/>
      <c r="N246" s="9"/>
      <c r="O246" s="9"/>
      <c r="P246" s="9"/>
      <c r="Q246" s="9"/>
      <c r="R246" s="9"/>
      <c r="S246" s="42"/>
      <c r="T246" s="9"/>
      <c r="U246" s="9"/>
      <c r="V246" s="9"/>
      <c r="W246" s="38"/>
      <c r="X246" s="42"/>
      <c r="Y246" s="9"/>
      <c r="Z246" s="9"/>
      <c r="AA246" s="9"/>
      <c r="AB246" s="42"/>
      <c r="AC246" s="9"/>
      <c r="AD246" s="38"/>
      <c r="AE246" s="9"/>
      <c r="AF246" s="39"/>
      <c r="AG246" s="9"/>
      <c r="AH246" s="9"/>
      <c r="AI246" s="9"/>
      <c r="AJ246" s="9"/>
      <c r="AK246" s="9"/>
      <c r="AL246" s="9"/>
      <c r="AM246" s="9"/>
      <c r="AN246" s="10" t="str">
        <f aca="false">IF(A246="","",SG_Criteria!$B$6&amp;SG_Criteria!$B$12&amp;"\"&amp;A246&amp;"\")</f>
        <v/>
      </c>
      <c r="AO246" s="10" t="str">
        <f aca="false">IF(A246="","",A246&amp;"_CAD.dwg")</f>
        <v/>
      </c>
      <c r="AP246" s="10" t="str">
        <f aca="false">IF(A246="","",A246&amp;"_DWG.pdf")</f>
        <v/>
      </c>
      <c r="AQ246" s="10" t="str">
        <f aca="false">IF(A246="","",IF(AM246="Y",A246&amp;"_STAAD.std","n/a"))</f>
        <v/>
      </c>
      <c r="AR246" s="10" t="str">
        <f aca="false">IF(A246="","",A246&amp;"_CALC.xlsx")</f>
        <v/>
      </c>
      <c r="AS246" s="10" t="str">
        <f aca="false">IF(A246="","",A246&amp;"_CALC.pdf")</f>
        <v/>
      </c>
      <c r="AT246" s="9"/>
      <c r="AU246" s="9"/>
      <c r="AV246" s="39"/>
      <c r="AW246" s="39"/>
      <c r="AX246" s="39"/>
      <c r="AY246" s="39"/>
      <c r="AZ246" s="39"/>
      <c r="BA246" s="12" t="str">
        <f aca="false">IF(A246="","",IF(COUNTIF(Rebar_Schedule!$A$5:$A$2004,A246)=0,"",ROUND(SUMIF(Rebar_Schedule!$A$5:$A$2004,A246,Rebar_Schedule!$K$5:$K$2004),1)))</f>
        <v/>
      </c>
      <c r="BB246" s="33" t="str">
        <f aca="false">IF(A246="","",IF(BA246="","No rebar schedule yet",IF(ABS(BA246-N(AW246))/MAX(N(AW246),1)&gt;SG_Criteria!$B$55,"NOTE: register rebar differs from schedule by "&amp;TEXT(ABS(BA246-N(AW246))/MAX(N(AW246),1),"0%"),"OK")))</f>
        <v/>
      </c>
      <c r="BC246" s="33" t="str">
        <f aca="false">IF(D246="","",IF(LEN(IF(AND(D246&lt;&gt;"High Covered Linkway",G246&lt;SG_Criteria!$B$46),"FAIL: headroom below "&amp;SG_Criteria!$B$46&amp;" m. ","")&amp;IF(AND(D246="High Covered Linkway",G246&lt;SG_Criteria!$B$47),"FAIL: high linkway headroom below "&amp;SG_Criteria!$B$47&amp;" m. ","")&amp;IF(F246&lt;SG_Criteria!$B$48,"FAIL: roof width below "&amp;SG_Criteria!$B$48&amp;" m. ",IF(F246&lt;SG_Criteria!$B$49,"NOTE: not for MRT/LRT or high-traffic routes (min "&amp;SG_Criteria!$B$49&amp;" m). ",""))&amp;IF(AND(W246&lt;&gt;"",W246&lt;SG_Criteria!$B$50),"FAIL: wind speed below "&amp;SG_Criteria!$B$50&amp;" m/s. ","")&amp;IF(AND(X246&lt;&gt;"",X246&lt;SG_Criteria!$B$51),"FAIL: roof fixing pull-out below "&amp;SG_Criteria!$B$51&amp;" kN. ","")&amp;IF(AND(Y246&lt;&gt;"",IFERROR(VALUE(MID(Y246,2,2)),0)&lt;SG_Criteria!$B$52),"FAIL: grade below C"&amp;SG_Criteria!$B$52&amp;". ","")&amp;IF(E246="Non-standard (project design)","NOTE: not an SDRE standard, needs LTA acceptance. ",""))=0,"OK",IF(AND(D246&lt;&gt;"High Covered Linkway",G246&lt;SG_Criteria!$B$46),"FAIL: headroom below "&amp;SG_Criteria!$B$46&amp;" m. ","")&amp;IF(AND(D246="High Covered Linkway",G246&lt;SG_Criteria!$B$47),"FAIL: high linkway headroom below "&amp;SG_Criteria!$B$47&amp;" m. ","")&amp;IF(F246&lt;SG_Criteria!$B$48,"FAIL: roof width below "&amp;SG_Criteria!$B$48&amp;" m. ",IF(F246&lt;SG_Criteria!$B$49,"NOTE: not for MRT/LRT or high-traffic routes (min "&amp;SG_Criteria!$B$49&amp;" m). ",""))&amp;IF(AND(W246&lt;&gt;"",W246&lt;SG_Criteria!$B$50),"FAIL: wind speed below "&amp;SG_Criteria!$B$50&amp;" m/s. ","")&amp;IF(AND(X246&lt;&gt;"",X246&lt;SG_Criteria!$B$51),"FAIL: roof fixing pull-out below "&amp;SG_Criteria!$B$51&amp;" kN. ","")&amp;IF(AND(Y246&lt;&gt;"",IFERROR(VALUE(MID(Y246,2,2)),0)&lt;SG_Criteria!$B$52),"FAIL: grade below C"&amp;SG_Criteria!$B$52&amp;". ","")&amp;IF(E246="Non-standard (project design)","NOTE: not an SDRE standard, needs LTA acceptance. ","")))</f>
        <v/>
      </c>
      <c r="BD246" s="9"/>
      <c r="BE246" s="9"/>
      <c r="BF246" s="9"/>
      <c r="BG246" s="10" t="str">
        <f aca="false">IF(BF246="","",IFERROR(VLOOKUP(BF246,Projects!$A$5:$D$504,2,0),"Ref not in Projects"))</f>
        <v/>
      </c>
      <c r="BH246" s="10" t="str">
        <f aca="false">IF(BF246="","",IFERROR(VLOOKUP(BF246,Projects!$A$5:$D$504,4,0),"Ref not in Projects"))</f>
        <v/>
      </c>
      <c r="BI246" s="9"/>
      <c r="BJ246" s="9"/>
      <c r="BK246" s="9"/>
      <c r="BL246" s="40"/>
      <c r="BM246" s="9"/>
      <c r="BN246" s="40"/>
      <c r="BO246" s="9"/>
      <c r="BP246" s="40"/>
      <c r="BQ246" s="9"/>
      <c r="BR246" s="9"/>
      <c r="BS246" s="9"/>
      <c r="BT246" s="40"/>
      <c r="BU246" s="40"/>
      <c r="BV246" s="36" t="str">
        <f aca="false">IF(BU246="","",EDATE(BU246,SG_Criteria!$B$54*12))</f>
        <v/>
      </c>
      <c r="BW246" s="33" t="str">
        <f aca="true">IF(A246="","",IF(BU246="","NOTE: not reviewed yet",IF(TODAY()&gt;BV246,"NOTE: review overdue","OK")))</f>
        <v/>
      </c>
      <c r="BX246" s="37" t="str">
        <f aca="false">IF(A246="","",ROUND((IF(LEN(D246)&gt;0,1,0)+IF(LEN(E246)&gt;0,1,0)+IF(LEN(F246)&gt;0,1,0)+IF(LEN(G246)&gt;0,1,0)+IF(LEN(H246)&gt;0,1,0)+IF(LEN(I246)&gt;0,1,0)+IF(LEN(J246)&gt;0,1,0)+IF(LEN(K246)&gt;0,1,0)+IF(LEN(N246)&gt;0,1,0)+IF(LEN(O246)&gt;0,1,0)+IF(LEN(W246)&gt;0,1,0)+IF(LEN(X246)&gt;0,1,0)+IF(LEN(Y246)&gt;0,1,0)+IF(LEN(AG246)&gt;0,1,0)+IF(LEN(AI246)&gt;0,1,0)+IF(LEN(AJ246)&gt;0,1,0)+IF(LEN(AK246)&gt;0,1,0)+IF(LEN(AL246)&gt;0,1,0)+IF(LEN(AU246)&gt;0,1,0)+IF(LEN(BF246)&gt;0,1,0)+IF(LEN(BS246)&gt;0,1,0))/21,2))</f>
        <v/>
      </c>
      <c r="BY246" s="10" t="str">
        <f aca="false">IF(D246="","",IF(AND(AJ246="Approved",ISERROR(SEARCH("FAIL",BC246))),"Y","N"))</f>
        <v/>
      </c>
      <c r="BZ246" s="10" t="str">
        <f aca="false">IF(D246="","",D246&amp;"|"&amp;F246&amp;"|"&amp;G246&amp;"|"&amp;BY246)</f>
        <v/>
      </c>
    </row>
    <row r="247" customFormat="false" ht="15" hidden="false" customHeight="false" outlineLevel="0" collapsed="false">
      <c r="A247" s="10" t="str">
        <f aca="false">IF(D247="","","LKW-"&amp;IFERROR(VLOOKUP(D247,Lists!$AQ$4:$AR$17,2,0),"??")&amp;"-W"&amp;TEXT(F247*1000,"0000")&amp;"-H"&amp;TEXT(G247*1000,"0000")&amp;"-B"&amp;TEXT(H247*1000,"0000")&amp;"-"&amp;AI247)</f>
        <v/>
      </c>
      <c r="B247" s="10" t="str">
        <f aca="false">IF(D247="","",D247&amp;", "&amp;F247&amp;" m wide, "&amp;G247&amp;" m headroom, "&amp;H247&amp;" m bays, "&amp;I247&amp;" ("&amp;E247&amp;")")</f>
        <v/>
      </c>
      <c r="C247" s="9"/>
      <c r="D247" s="9"/>
      <c r="E247" s="9"/>
      <c r="F247" s="42"/>
      <c r="G247" s="42"/>
      <c r="H247" s="42"/>
      <c r="I247" s="9"/>
      <c r="J247" s="9"/>
      <c r="K247" s="9"/>
      <c r="L247" s="9"/>
      <c r="M247" s="9"/>
      <c r="N247" s="9"/>
      <c r="O247" s="9"/>
      <c r="P247" s="9"/>
      <c r="Q247" s="9"/>
      <c r="R247" s="9"/>
      <c r="S247" s="42"/>
      <c r="T247" s="9"/>
      <c r="U247" s="9"/>
      <c r="V247" s="9"/>
      <c r="W247" s="38"/>
      <c r="X247" s="42"/>
      <c r="Y247" s="9"/>
      <c r="Z247" s="9"/>
      <c r="AA247" s="9"/>
      <c r="AB247" s="42"/>
      <c r="AC247" s="9"/>
      <c r="AD247" s="38"/>
      <c r="AE247" s="9"/>
      <c r="AF247" s="39"/>
      <c r="AG247" s="9"/>
      <c r="AH247" s="9"/>
      <c r="AI247" s="9"/>
      <c r="AJ247" s="9"/>
      <c r="AK247" s="9"/>
      <c r="AL247" s="9"/>
      <c r="AM247" s="9"/>
      <c r="AN247" s="10" t="str">
        <f aca="false">IF(A247="","",SG_Criteria!$B$6&amp;SG_Criteria!$B$12&amp;"\"&amp;A247&amp;"\")</f>
        <v/>
      </c>
      <c r="AO247" s="10" t="str">
        <f aca="false">IF(A247="","",A247&amp;"_CAD.dwg")</f>
        <v/>
      </c>
      <c r="AP247" s="10" t="str">
        <f aca="false">IF(A247="","",A247&amp;"_DWG.pdf")</f>
        <v/>
      </c>
      <c r="AQ247" s="10" t="str">
        <f aca="false">IF(A247="","",IF(AM247="Y",A247&amp;"_STAAD.std","n/a"))</f>
        <v/>
      </c>
      <c r="AR247" s="10" t="str">
        <f aca="false">IF(A247="","",A247&amp;"_CALC.xlsx")</f>
        <v/>
      </c>
      <c r="AS247" s="10" t="str">
        <f aca="false">IF(A247="","",A247&amp;"_CALC.pdf")</f>
        <v/>
      </c>
      <c r="AT247" s="9"/>
      <c r="AU247" s="9"/>
      <c r="AV247" s="39"/>
      <c r="AW247" s="39"/>
      <c r="AX247" s="39"/>
      <c r="AY247" s="39"/>
      <c r="AZ247" s="39"/>
      <c r="BA247" s="12" t="str">
        <f aca="false">IF(A247="","",IF(COUNTIF(Rebar_Schedule!$A$5:$A$2004,A247)=0,"",ROUND(SUMIF(Rebar_Schedule!$A$5:$A$2004,A247,Rebar_Schedule!$K$5:$K$2004),1)))</f>
        <v/>
      </c>
      <c r="BB247" s="33" t="str">
        <f aca="false">IF(A247="","",IF(BA247="","No rebar schedule yet",IF(ABS(BA247-N(AW247))/MAX(N(AW247),1)&gt;SG_Criteria!$B$55,"NOTE: register rebar differs from schedule by "&amp;TEXT(ABS(BA247-N(AW247))/MAX(N(AW247),1),"0%"),"OK")))</f>
        <v/>
      </c>
      <c r="BC247" s="33" t="str">
        <f aca="false">IF(D247="","",IF(LEN(IF(AND(D247&lt;&gt;"High Covered Linkway",G247&lt;SG_Criteria!$B$46),"FAIL: headroom below "&amp;SG_Criteria!$B$46&amp;" m. ","")&amp;IF(AND(D247="High Covered Linkway",G247&lt;SG_Criteria!$B$47),"FAIL: high linkway headroom below "&amp;SG_Criteria!$B$47&amp;" m. ","")&amp;IF(F247&lt;SG_Criteria!$B$48,"FAIL: roof width below "&amp;SG_Criteria!$B$48&amp;" m. ",IF(F247&lt;SG_Criteria!$B$49,"NOTE: not for MRT/LRT or high-traffic routes (min "&amp;SG_Criteria!$B$49&amp;" m). ",""))&amp;IF(AND(W247&lt;&gt;"",W247&lt;SG_Criteria!$B$50),"FAIL: wind speed below "&amp;SG_Criteria!$B$50&amp;" m/s. ","")&amp;IF(AND(X247&lt;&gt;"",X247&lt;SG_Criteria!$B$51),"FAIL: roof fixing pull-out below "&amp;SG_Criteria!$B$51&amp;" kN. ","")&amp;IF(AND(Y247&lt;&gt;"",IFERROR(VALUE(MID(Y247,2,2)),0)&lt;SG_Criteria!$B$52),"FAIL: grade below C"&amp;SG_Criteria!$B$52&amp;". ","")&amp;IF(E247="Non-standard (project design)","NOTE: not an SDRE standard, needs LTA acceptance. ",""))=0,"OK",IF(AND(D247&lt;&gt;"High Covered Linkway",G247&lt;SG_Criteria!$B$46),"FAIL: headroom below "&amp;SG_Criteria!$B$46&amp;" m. ","")&amp;IF(AND(D247="High Covered Linkway",G247&lt;SG_Criteria!$B$47),"FAIL: high linkway headroom below "&amp;SG_Criteria!$B$47&amp;" m. ","")&amp;IF(F247&lt;SG_Criteria!$B$48,"FAIL: roof width below "&amp;SG_Criteria!$B$48&amp;" m. ",IF(F247&lt;SG_Criteria!$B$49,"NOTE: not for MRT/LRT or high-traffic routes (min "&amp;SG_Criteria!$B$49&amp;" m). ",""))&amp;IF(AND(W247&lt;&gt;"",W247&lt;SG_Criteria!$B$50),"FAIL: wind speed below "&amp;SG_Criteria!$B$50&amp;" m/s. ","")&amp;IF(AND(X247&lt;&gt;"",X247&lt;SG_Criteria!$B$51),"FAIL: roof fixing pull-out below "&amp;SG_Criteria!$B$51&amp;" kN. ","")&amp;IF(AND(Y247&lt;&gt;"",IFERROR(VALUE(MID(Y247,2,2)),0)&lt;SG_Criteria!$B$52),"FAIL: grade below C"&amp;SG_Criteria!$B$52&amp;". ","")&amp;IF(E247="Non-standard (project design)","NOTE: not an SDRE standard, needs LTA acceptance. ","")))</f>
        <v/>
      </c>
      <c r="BD247" s="9"/>
      <c r="BE247" s="9"/>
      <c r="BF247" s="9"/>
      <c r="BG247" s="10" t="str">
        <f aca="false">IF(BF247="","",IFERROR(VLOOKUP(BF247,Projects!$A$5:$D$504,2,0),"Ref not in Projects"))</f>
        <v/>
      </c>
      <c r="BH247" s="10" t="str">
        <f aca="false">IF(BF247="","",IFERROR(VLOOKUP(BF247,Projects!$A$5:$D$504,4,0),"Ref not in Projects"))</f>
        <v/>
      </c>
      <c r="BI247" s="9"/>
      <c r="BJ247" s="9"/>
      <c r="BK247" s="9"/>
      <c r="BL247" s="40"/>
      <c r="BM247" s="9"/>
      <c r="BN247" s="40"/>
      <c r="BO247" s="9"/>
      <c r="BP247" s="40"/>
      <c r="BQ247" s="9"/>
      <c r="BR247" s="9"/>
      <c r="BS247" s="9"/>
      <c r="BT247" s="40"/>
      <c r="BU247" s="40"/>
      <c r="BV247" s="36" t="str">
        <f aca="false">IF(BU247="","",EDATE(BU247,SG_Criteria!$B$54*12))</f>
        <v/>
      </c>
      <c r="BW247" s="33" t="str">
        <f aca="true">IF(A247="","",IF(BU247="","NOTE: not reviewed yet",IF(TODAY()&gt;BV247,"NOTE: review overdue","OK")))</f>
        <v/>
      </c>
      <c r="BX247" s="37" t="str">
        <f aca="false">IF(A247="","",ROUND((IF(LEN(D247)&gt;0,1,0)+IF(LEN(E247)&gt;0,1,0)+IF(LEN(F247)&gt;0,1,0)+IF(LEN(G247)&gt;0,1,0)+IF(LEN(H247)&gt;0,1,0)+IF(LEN(I247)&gt;0,1,0)+IF(LEN(J247)&gt;0,1,0)+IF(LEN(K247)&gt;0,1,0)+IF(LEN(N247)&gt;0,1,0)+IF(LEN(O247)&gt;0,1,0)+IF(LEN(W247)&gt;0,1,0)+IF(LEN(X247)&gt;0,1,0)+IF(LEN(Y247)&gt;0,1,0)+IF(LEN(AG247)&gt;0,1,0)+IF(LEN(AI247)&gt;0,1,0)+IF(LEN(AJ247)&gt;0,1,0)+IF(LEN(AK247)&gt;0,1,0)+IF(LEN(AL247)&gt;0,1,0)+IF(LEN(AU247)&gt;0,1,0)+IF(LEN(BF247)&gt;0,1,0)+IF(LEN(BS247)&gt;0,1,0))/21,2))</f>
        <v/>
      </c>
      <c r="BY247" s="10" t="str">
        <f aca="false">IF(D247="","",IF(AND(AJ247="Approved",ISERROR(SEARCH("FAIL",BC247))),"Y","N"))</f>
        <v/>
      </c>
      <c r="BZ247" s="10" t="str">
        <f aca="false">IF(D247="","",D247&amp;"|"&amp;F247&amp;"|"&amp;G247&amp;"|"&amp;BY247)</f>
        <v/>
      </c>
    </row>
    <row r="248" customFormat="false" ht="15" hidden="false" customHeight="false" outlineLevel="0" collapsed="false">
      <c r="A248" s="10" t="str">
        <f aca="false">IF(D248="","","LKW-"&amp;IFERROR(VLOOKUP(D248,Lists!$AQ$4:$AR$17,2,0),"??")&amp;"-W"&amp;TEXT(F248*1000,"0000")&amp;"-H"&amp;TEXT(G248*1000,"0000")&amp;"-B"&amp;TEXT(H248*1000,"0000")&amp;"-"&amp;AI248)</f>
        <v/>
      </c>
      <c r="B248" s="10" t="str">
        <f aca="false">IF(D248="","",D248&amp;", "&amp;F248&amp;" m wide, "&amp;G248&amp;" m headroom, "&amp;H248&amp;" m bays, "&amp;I248&amp;" ("&amp;E248&amp;")")</f>
        <v/>
      </c>
      <c r="C248" s="9"/>
      <c r="D248" s="9"/>
      <c r="E248" s="9"/>
      <c r="F248" s="42"/>
      <c r="G248" s="42"/>
      <c r="H248" s="42"/>
      <c r="I248" s="9"/>
      <c r="J248" s="9"/>
      <c r="K248" s="9"/>
      <c r="L248" s="9"/>
      <c r="M248" s="9"/>
      <c r="N248" s="9"/>
      <c r="O248" s="9"/>
      <c r="P248" s="9"/>
      <c r="Q248" s="9"/>
      <c r="R248" s="9"/>
      <c r="S248" s="42"/>
      <c r="T248" s="9"/>
      <c r="U248" s="9"/>
      <c r="V248" s="9"/>
      <c r="W248" s="38"/>
      <c r="X248" s="42"/>
      <c r="Y248" s="9"/>
      <c r="Z248" s="9"/>
      <c r="AA248" s="9"/>
      <c r="AB248" s="42"/>
      <c r="AC248" s="9"/>
      <c r="AD248" s="38"/>
      <c r="AE248" s="9"/>
      <c r="AF248" s="39"/>
      <c r="AG248" s="9"/>
      <c r="AH248" s="9"/>
      <c r="AI248" s="9"/>
      <c r="AJ248" s="9"/>
      <c r="AK248" s="9"/>
      <c r="AL248" s="9"/>
      <c r="AM248" s="9"/>
      <c r="AN248" s="10" t="str">
        <f aca="false">IF(A248="","",SG_Criteria!$B$6&amp;SG_Criteria!$B$12&amp;"\"&amp;A248&amp;"\")</f>
        <v/>
      </c>
      <c r="AO248" s="10" t="str">
        <f aca="false">IF(A248="","",A248&amp;"_CAD.dwg")</f>
        <v/>
      </c>
      <c r="AP248" s="10" t="str">
        <f aca="false">IF(A248="","",A248&amp;"_DWG.pdf")</f>
        <v/>
      </c>
      <c r="AQ248" s="10" t="str">
        <f aca="false">IF(A248="","",IF(AM248="Y",A248&amp;"_STAAD.std","n/a"))</f>
        <v/>
      </c>
      <c r="AR248" s="10" t="str">
        <f aca="false">IF(A248="","",A248&amp;"_CALC.xlsx")</f>
        <v/>
      </c>
      <c r="AS248" s="10" t="str">
        <f aca="false">IF(A248="","",A248&amp;"_CALC.pdf")</f>
        <v/>
      </c>
      <c r="AT248" s="9"/>
      <c r="AU248" s="9"/>
      <c r="AV248" s="39"/>
      <c r="AW248" s="39"/>
      <c r="AX248" s="39"/>
      <c r="AY248" s="39"/>
      <c r="AZ248" s="39"/>
      <c r="BA248" s="12" t="str">
        <f aca="false">IF(A248="","",IF(COUNTIF(Rebar_Schedule!$A$5:$A$2004,A248)=0,"",ROUND(SUMIF(Rebar_Schedule!$A$5:$A$2004,A248,Rebar_Schedule!$K$5:$K$2004),1)))</f>
        <v/>
      </c>
      <c r="BB248" s="33" t="str">
        <f aca="false">IF(A248="","",IF(BA248="","No rebar schedule yet",IF(ABS(BA248-N(AW248))/MAX(N(AW248),1)&gt;SG_Criteria!$B$55,"NOTE: register rebar differs from schedule by "&amp;TEXT(ABS(BA248-N(AW248))/MAX(N(AW248),1),"0%"),"OK")))</f>
        <v/>
      </c>
      <c r="BC248" s="33" t="str">
        <f aca="false">IF(D248="","",IF(LEN(IF(AND(D248&lt;&gt;"High Covered Linkway",G248&lt;SG_Criteria!$B$46),"FAIL: headroom below "&amp;SG_Criteria!$B$46&amp;" m. ","")&amp;IF(AND(D248="High Covered Linkway",G248&lt;SG_Criteria!$B$47),"FAIL: high linkway headroom below "&amp;SG_Criteria!$B$47&amp;" m. ","")&amp;IF(F248&lt;SG_Criteria!$B$48,"FAIL: roof width below "&amp;SG_Criteria!$B$48&amp;" m. ",IF(F248&lt;SG_Criteria!$B$49,"NOTE: not for MRT/LRT or high-traffic routes (min "&amp;SG_Criteria!$B$49&amp;" m). ",""))&amp;IF(AND(W248&lt;&gt;"",W248&lt;SG_Criteria!$B$50),"FAIL: wind speed below "&amp;SG_Criteria!$B$50&amp;" m/s. ","")&amp;IF(AND(X248&lt;&gt;"",X248&lt;SG_Criteria!$B$51),"FAIL: roof fixing pull-out below "&amp;SG_Criteria!$B$51&amp;" kN. ","")&amp;IF(AND(Y248&lt;&gt;"",IFERROR(VALUE(MID(Y248,2,2)),0)&lt;SG_Criteria!$B$52),"FAIL: grade below C"&amp;SG_Criteria!$B$52&amp;". ","")&amp;IF(E248="Non-standard (project design)","NOTE: not an SDRE standard, needs LTA acceptance. ",""))=0,"OK",IF(AND(D248&lt;&gt;"High Covered Linkway",G248&lt;SG_Criteria!$B$46),"FAIL: headroom below "&amp;SG_Criteria!$B$46&amp;" m. ","")&amp;IF(AND(D248="High Covered Linkway",G248&lt;SG_Criteria!$B$47),"FAIL: high linkway headroom below "&amp;SG_Criteria!$B$47&amp;" m. ","")&amp;IF(F248&lt;SG_Criteria!$B$48,"FAIL: roof width below "&amp;SG_Criteria!$B$48&amp;" m. ",IF(F248&lt;SG_Criteria!$B$49,"NOTE: not for MRT/LRT or high-traffic routes (min "&amp;SG_Criteria!$B$49&amp;" m). ",""))&amp;IF(AND(W248&lt;&gt;"",W248&lt;SG_Criteria!$B$50),"FAIL: wind speed below "&amp;SG_Criteria!$B$50&amp;" m/s. ","")&amp;IF(AND(X248&lt;&gt;"",X248&lt;SG_Criteria!$B$51),"FAIL: roof fixing pull-out below "&amp;SG_Criteria!$B$51&amp;" kN. ","")&amp;IF(AND(Y248&lt;&gt;"",IFERROR(VALUE(MID(Y248,2,2)),0)&lt;SG_Criteria!$B$52),"FAIL: grade below C"&amp;SG_Criteria!$B$52&amp;". ","")&amp;IF(E248="Non-standard (project design)","NOTE: not an SDRE standard, needs LTA acceptance. ","")))</f>
        <v/>
      </c>
      <c r="BD248" s="9"/>
      <c r="BE248" s="9"/>
      <c r="BF248" s="9"/>
      <c r="BG248" s="10" t="str">
        <f aca="false">IF(BF248="","",IFERROR(VLOOKUP(BF248,Projects!$A$5:$D$504,2,0),"Ref not in Projects"))</f>
        <v/>
      </c>
      <c r="BH248" s="10" t="str">
        <f aca="false">IF(BF248="","",IFERROR(VLOOKUP(BF248,Projects!$A$5:$D$504,4,0),"Ref not in Projects"))</f>
        <v/>
      </c>
      <c r="BI248" s="9"/>
      <c r="BJ248" s="9"/>
      <c r="BK248" s="9"/>
      <c r="BL248" s="40"/>
      <c r="BM248" s="9"/>
      <c r="BN248" s="40"/>
      <c r="BO248" s="9"/>
      <c r="BP248" s="40"/>
      <c r="BQ248" s="9"/>
      <c r="BR248" s="9"/>
      <c r="BS248" s="9"/>
      <c r="BT248" s="40"/>
      <c r="BU248" s="40"/>
      <c r="BV248" s="36" t="str">
        <f aca="false">IF(BU248="","",EDATE(BU248,SG_Criteria!$B$54*12))</f>
        <v/>
      </c>
      <c r="BW248" s="33" t="str">
        <f aca="true">IF(A248="","",IF(BU248="","NOTE: not reviewed yet",IF(TODAY()&gt;BV248,"NOTE: review overdue","OK")))</f>
        <v/>
      </c>
      <c r="BX248" s="37" t="str">
        <f aca="false">IF(A248="","",ROUND((IF(LEN(D248)&gt;0,1,0)+IF(LEN(E248)&gt;0,1,0)+IF(LEN(F248)&gt;0,1,0)+IF(LEN(G248)&gt;0,1,0)+IF(LEN(H248)&gt;0,1,0)+IF(LEN(I248)&gt;0,1,0)+IF(LEN(J248)&gt;0,1,0)+IF(LEN(K248)&gt;0,1,0)+IF(LEN(N248)&gt;0,1,0)+IF(LEN(O248)&gt;0,1,0)+IF(LEN(W248)&gt;0,1,0)+IF(LEN(X248)&gt;0,1,0)+IF(LEN(Y248)&gt;0,1,0)+IF(LEN(AG248)&gt;0,1,0)+IF(LEN(AI248)&gt;0,1,0)+IF(LEN(AJ248)&gt;0,1,0)+IF(LEN(AK248)&gt;0,1,0)+IF(LEN(AL248)&gt;0,1,0)+IF(LEN(AU248)&gt;0,1,0)+IF(LEN(BF248)&gt;0,1,0)+IF(LEN(BS248)&gt;0,1,0))/21,2))</f>
        <v/>
      </c>
      <c r="BY248" s="10" t="str">
        <f aca="false">IF(D248="","",IF(AND(AJ248="Approved",ISERROR(SEARCH("FAIL",BC248))),"Y","N"))</f>
        <v/>
      </c>
      <c r="BZ248" s="10" t="str">
        <f aca="false">IF(D248="","",D248&amp;"|"&amp;F248&amp;"|"&amp;G248&amp;"|"&amp;BY248)</f>
        <v/>
      </c>
    </row>
    <row r="249" customFormat="false" ht="15" hidden="false" customHeight="false" outlineLevel="0" collapsed="false">
      <c r="A249" s="10" t="str">
        <f aca="false">IF(D249="","","LKW-"&amp;IFERROR(VLOOKUP(D249,Lists!$AQ$4:$AR$17,2,0),"??")&amp;"-W"&amp;TEXT(F249*1000,"0000")&amp;"-H"&amp;TEXT(G249*1000,"0000")&amp;"-B"&amp;TEXT(H249*1000,"0000")&amp;"-"&amp;AI249)</f>
        <v/>
      </c>
      <c r="B249" s="10" t="str">
        <f aca="false">IF(D249="","",D249&amp;", "&amp;F249&amp;" m wide, "&amp;G249&amp;" m headroom, "&amp;H249&amp;" m bays, "&amp;I249&amp;" ("&amp;E249&amp;")")</f>
        <v/>
      </c>
      <c r="C249" s="9"/>
      <c r="D249" s="9"/>
      <c r="E249" s="9"/>
      <c r="F249" s="42"/>
      <c r="G249" s="42"/>
      <c r="H249" s="42"/>
      <c r="I249" s="9"/>
      <c r="J249" s="9"/>
      <c r="K249" s="9"/>
      <c r="L249" s="9"/>
      <c r="M249" s="9"/>
      <c r="N249" s="9"/>
      <c r="O249" s="9"/>
      <c r="P249" s="9"/>
      <c r="Q249" s="9"/>
      <c r="R249" s="9"/>
      <c r="S249" s="42"/>
      <c r="T249" s="9"/>
      <c r="U249" s="9"/>
      <c r="V249" s="9"/>
      <c r="W249" s="38"/>
      <c r="X249" s="42"/>
      <c r="Y249" s="9"/>
      <c r="Z249" s="9"/>
      <c r="AA249" s="9"/>
      <c r="AB249" s="42"/>
      <c r="AC249" s="9"/>
      <c r="AD249" s="38"/>
      <c r="AE249" s="9"/>
      <c r="AF249" s="39"/>
      <c r="AG249" s="9"/>
      <c r="AH249" s="9"/>
      <c r="AI249" s="9"/>
      <c r="AJ249" s="9"/>
      <c r="AK249" s="9"/>
      <c r="AL249" s="9"/>
      <c r="AM249" s="9"/>
      <c r="AN249" s="10" t="str">
        <f aca="false">IF(A249="","",SG_Criteria!$B$6&amp;SG_Criteria!$B$12&amp;"\"&amp;A249&amp;"\")</f>
        <v/>
      </c>
      <c r="AO249" s="10" t="str">
        <f aca="false">IF(A249="","",A249&amp;"_CAD.dwg")</f>
        <v/>
      </c>
      <c r="AP249" s="10" t="str">
        <f aca="false">IF(A249="","",A249&amp;"_DWG.pdf")</f>
        <v/>
      </c>
      <c r="AQ249" s="10" t="str">
        <f aca="false">IF(A249="","",IF(AM249="Y",A249&amp;"_STAAD.std","n/a"))</f>
        <v/>
      </c>
      <c r="AR249" s="10" t="str">
        <f aca="false">IF(A249="","",A249&amp;"_CALC.xlsx")</f>
        <v/>
      </c>
      <c r="AS249" s="10" t="str">
        <f aca="false">IF(A249="","",A249&amp;"_CALC.pdf")</f>
        <v/>
      </c>
      <c r="AT249" s="9"/>
      <c r="AU249" s="9"/>
      <c r="AV249" s="39"/>
      <c r="AW249" s="39"/>
      <c r="AX249" s="39"/>
      <c r="AY249" s="39"/>
      <c r="AZ249" s="39"/>
      <c r="BA249" s="12" t="str">
        <f aca="false">IF(A249="","",IF(COUNTIF(Rebar_Schedule!$A$5:$A$2004,A249)=0,"",ROUND(SUMIF(Rebar_Schedule!$A$5:$A$2004,A249,Rebar_Schedule!$K$5:$K$2004),1)))</f>
        <v/>
      </c>
      <c r="BB249" s="33" t="str">
        <f aca="false">IF(A249="","",IF(BA249="","No rebar schedule yet",IF(ABS(BA249-N(AW249))/MAX(N(AW249),1)&gt;SG_Criteria!$B$55,"NOTE: register rebar differs from schedule by "&amp;TEXT(ABS(BA249-N(AW249))/MAX(N(AW249),1),"0%"),"OK")))</f>
        <v/>
      </c>
      <c r="BC249" s="33" t="str">
        <f aca="false">IF(D249="","",IF(LEN(IF(AND(D249&lt;&gt;"High Covered Linkway",G249&lt;SG_Criteria!$B$46),"FAIL: headroom below "&amp;SG_Criteria!$B$46&amp;" m. ","")&amp;IF(AND(D249="High Covered Linkway",G249&lt;SG_Criteria!$B$47),"FAIL: high linkway headroom below "&amp;SG_Criteria!$B$47&amp;" m. ","")&amp;IF(F249&lt;SG_Criteria!$B$48,"FAIL: roof width below "&amp;SG_Criteria!$B$48&amp;" m. ",IF(F249&lt;SG_Criteria!$B$49,"NOTE: not for MRT/LRT or high-traffic routes (min "&amp;SG_Criteria!$B$49&amp;" m). ",""))&amp;IF(AND(W249&lt;&gt;"",W249&lt;SG_Criteria!$B$50),"FAIL: wind speed below "&amp;SG_Criteria!$B$50&amp;" m/s. ","")&amp;IF(AND(X249&lt;&gt;"",X249&lt;SG_Criteria!$B$51),"FAIL: roof fixing pull-out below "&amp;SG_Criteria!$B$51&amp;" kN. ","")&amp;IF(AND(Y249&lt;&gt;"",IFERROR(VALUE(MID(Y249,2,2)),0)&lt;SG_Criteria!$B$52),"FAIL: grade below C"&amp;SG_Criteria!$B$52&amp;". ","")&amp;IF(E249="Non-standard (project design)","NOTE: not an SDRE standard, needs LTA acceptance. ",""))=0,"OK",IF(AND(D249&lt;&gt;"High Covered Linkway",G249&lt;SG_Criteria!$B$46),"FAIL: headroom below "&amp;SG_Criteria!$B$46&amp;" m. ","")&amp;IF(AND(D249="High Covered Linkway",G249&lt;SG_Criteria!$B$47),"FAIL: high linkway headroom below "&amp;SG_Criteria!$B$47&amp;" m. ","")&amp;IF(F249&lt;SG_Criteria!$B$48,"FAIL: roof width below "&amp;SG_Criteria!$B$48&amp;" m. ",IF(F249&lt;SG_Criteria!$B$49,"NOTE: not for MRT/LRT or high-traffic routes (min "&amp;SG_Criteria!$B$49&amp;" m). ",""))&amp;IF(AND(W249&lt;&gt;"",W249&lt;SG_Criteria!$B$50),"FAIL: wind speed below "&amp;SG_Criteria!$B$50&amp;" m/s. ","")&amp;IF(AND(X249&lt;&gt;"",X249&lt;SG_Criteria!$B$51),"FAIL: roof fixing pull-out below "&amp;SG_Criteria!$B$51&amp;" kN. ","")&amp;IF(AND(Y249&lt;&gt;"",IFERROR(VALUE(MID(Y249,2,2)),0)&lt;SG_Criteria!$B$52),"FAIL: grade below C"&amp;SG_Criteria!$B$52&amp;". ","")&amp;IF(E249="Non-standard (project design)","NOTE: not an SDRE standard, needs LTA acceptance. ","")))</f>
        <v/>
      </c>
      <c r="BD249" s="9"/>
      <c r="BE249" s="9"/>
      <c r="BF249" s="9"/>
      <c r="BG249" s="10" t="str">
        <f aca="false">IF(BF249="","",IFERROR(VLOOKUP(BF249,Projects!$A$5:$D$504,2,0),"Ref not in Projects"))</f>
        <v/>
      </c>
      <c r="BH249" s="10" t="str">
        <f aca="false">IF(BF249="","",IFERROR(VLOOKUP(BF249,Projects!$A$5:$D$504,4,0),"Ref not in Projects"))</f>
        <v/>
      </c>
      <c r="BI249" s="9"/>
      <c r="BJ249" s="9"/>
      <c r="BK249" s="9"/>
      <c r="BL249" s="40"/>
      <c r="BM249" s="9"/>
      <c r="BN249" s="40"/>
      <c r="BO249" s="9"/>
      <c r="BP249" s="40"/>
      <c r="BQ249" s="9"/>
      <c r="BR249" s="9"/>
      <c r="BS249" s="9"/>
      <c r="BT249" s="40"/>
      <c r="BU249" s="40"/>
      <c r="BV249" s="36" t="str">
        <f aca="false">IF(BU249="","",EDATE(BU249,SG_Criteria!$B$54*12))</f>
        <v/>
      </c>
      <c r="BW249" s="33" t="str">
        <f aca="true">IF(A249="","",IF(BU249="","NOTE: not reviewed yet",IF(TODAY()&gt;BV249,"NOTE: review overdue","OK")))</f>
        <v/>
      </c>
      <c r="BX249" s="37" t="str">
        <f aca="false">IF(A249="","",ROUND((IF(LEN(D249)&gt;0,1,0)+IF(LEN(E249)&gt;0,1,0)+IF(LEN(F249)&gt;0,1,0)+IF(LEN(G249)&gt;0,1,0)+IF(LEN(H249)&gt;0,1,0)+IF(LEN(I249)&gt;0,1,0)+IF(LEN(J249)&gt;0,1,0)+IF(LEN(K249)&gt;0,1,0)+IF(LEN(N249)&gt;0,1,0)+IF(LEN(O249)&gt;0,1,0)+IF(LEN(W249)&gt;0,1,0)+IF(LEN(X249)&gt;0,1,0)+IF(LEN(Y249)&gt;0,1,0)+IF(LEN(AG249)&gt;0,1,0)+IF(LEN(AI249)&gt;0,1,0)+IF(LEN(AJ249)&gt;0,1,0)+IF(LEN(AK249)&gt;0,1,0)+IF(LEN(AL249)&gt;0,1,0)+IF(LEN(AU249)&gt;0,1,0)+IF(LEN(BF249)&gt;0,1,0)+IF(LEN(BS249)&gt;0,1,0))/21,2))</f>
        <v/>
      </c>
      <c r="BY249" s="10" t="str">
        <f aca="false">IF(D249="","",IF(AND(AJ249="Approved",ISERROR(SEARCH("FAIL",BC249))),"Y","N"))</f>
        <v/>
      </c>
      <c r="BZ249" s="10" t="str">
        <f aca="false">IF(D249="","",D249&amp;"|"&amp;F249&amp;"|"&amp;G249&amp;"|"&amp;BY249)</f>
        <v/>
      </c>
    </row>
    <row r="250" customFormat="false" ht="15" hidden="false" customHeight="false" outlineLevel="0" collapsed="false">
      <c r="A250" s="10" t="str">
        <f aca="false">IF(D250="","","LKW-"&amp;IFERROR(VLOOKUP(D250,Lists!$AQ$4:$AR$17,2,0),"??")&amp;"-W"&amp;TEXT(F250*1000,"0000")&amp;"-H"&amp;TEXT(G250*1000,"0000")&amp;"-B"&amp;TEXT(H250*1000,"0000")&amp;"-"&amp;AI250)</f>
        <v/>
      </c>
      <c r="B250" s="10" t="str">
        <f aca="false">IF(D250="","",D250&amp;", "&amp;F250&amp;" m wide, "&amp;G250&amp;" m headroom, "&amp;H250&amp;" m bays, "&amp;I250&amp;" ("&amp;E250&amp;")")</f>
        <v/>
      </c>
      <c r="C250" s="9"/>
      <c r="D250" s="9"/>
      <c r="E250" s="9"/>
      <c r="F250" s="42"/>
      <c r="G250" s="42"/>
      <c r="H250" s="42"/>
      <c r="I250" s="9"/>
      <c r="J250" s="9"/>
      <c r="K250" s="9"/>
      <c r="L250" s="9"/>
      <c r="M250" s="9"/>
      <c r="N250" s="9"/>
      <c r="O250" s="9"/>
      <c r="P250" s="9"/>
      <c r="Q250" s="9"/>
      <c r="R250" s="9"/>
      <c r="S250" s="42"/>
      <c r="T250" s="9"/>
      <c r="U250" s="9"/>
      <c r="V250" s="9"/>
      <c r="W250" s="38"/>
      <c r="X250" s="42"/>
      <c r="Y250" s="9"/>
      <c r="Z250" s="9"/>
      <c r="AA250" s="9"/>
      <c r="AB250" s="42"/>
      <c r="AC250" s="9"/>
      <c r="AD250" s="38"/>
      <c r="AE250" s="9"/>
      <c r="AF250" s="39"/>
      <c r="AG250" s="9"/>
      <c r="AH250" s="9"/>
      <c r="AI250" s="9"/>
      <c r="AJ250" s="9"/>
      <c r="AK250" s="9"/>
      <c r="AL250" s="9"/>
      <c r="AM250" s="9"/>
      <c r="AN250" s="10" t="str">
        <f aca="false">IF(A250="","",SG_Criteria!$B$6&amp;SG_Criteria!$B$12&amp;"\"&amp;A250&amp;"\")</f>
        <v/>
      </c>
      <c r="AO250" s="10" t="str">
        <f aca="false">IF(A250="","",A250&amp;"_CAD.dwg")</f>
        <v/>
      </c>
      <c r="AP250" s="10" t="str">
        <f aca="false">IF(A250="","",A250&amp;"_DWG.pdf")</f>
        <v/>
      </c>
      <c r="AQ250" s="10" t="str">
        <f aca="false">IF(A250="","",IF(AM250="Y",A250&amp;"_STAAD.std","n/a"))</f>
        <v/>
      </c>
      <c r="AR250" s="10" t="str">
        <f aca="false">IF(A250="","",A250&amp;"_CALC.xlsx")</f>
        <v/>
      </c>
      <c r="AS250" s="10" t="str">
        <f aca="false">IF(A250="","",A250&amp;"_CALC.pdf")</f>
        <v/>
      </c>
      <c r="AT250" s="9"/>
      <c r="AU250" s="9"/>
      <c r="AV250" s="39"/>
      <c r="AW250" s="39"/>
      <c r="AX250" s="39"/>
      <c r="AY250" s="39"/>
      <c r="AZ250" s="39"/>
      <c r="BA250" s="12" t="str">
        <f aca="false">IF(A250="","",IF(COUNTIF(Rebar_Schedule!$A$5:$A$2004,A250)=0,"",ROUND(SUMIF(Rebar_Schedule!$A$5:$A$2004,A250,Rebar_Schedule!$K$5:$K$2004),1)))</f>
        <v/>
      </c>
      <c r="BB250" s="33" t="str">
        <f aca="false">IF(A250="","",IF(BA250="","No rebar schedule yet",IF(ABS(BA250-N(AW250))/MAX(N(AW250),1)&gt;SG_Criteria!$B$55,"NOTE: register rebar differs from schedule by "&amp;TEXT(ABS(BA250-N(AW250))/MAX(N(AW250),1),"0%"),"OK")))</f>
        <v/>
      </c>
      <c r="BC250" s="33" t="str">
        <f aca="false">IF(D250="","",IF(LEN(IF(AND(D250&lt;&gt;"High Covered Linkway",G250&lt;SG_Criteria!$B$46),"FAIL: headroom below "&amp;SG_Criteria!$B$46&amp;" m. ","")&amp;IF(AND(D250="High Covered Linkway",G250&lt;SG_Criteria!$B$47),"FAIL: high linkway headroom below "&amp;SG_Criteria!$B$47&amp;" m. ","")&amp;IF(F250&lt;SG_Criteria!$B$48,"FAIL: roof width below "&amp;SG_Criteria!$B$48&amp;" m. ",IF(F250&lt;SG_Criteria!$B$49,"NOTE: not for MRT/LRT or high-traffic routes (min "&amp;SG_Criteria!$B$49&amp;" m). ",""))&amp;IF(AND(W250&lt;&gt;"",W250&lt;SG_Criteria!$B$50),"FAIL: wind speed below "&amp;SG_Criteria!$B$50&amp;" m/s. ","")&amp;IF(AND(X250&lt;&gt;"",X250&lt;SG_Criteria!$B$51),"FAIL: roof fixing pull-out below "&amp;SG_Criteria!$B$51&amp;" kN. ","")&amp;IF(AND(Y250&lt;&gt;"",IFERROR(VALUE(MID(Y250,2,2)),0)&lt;SG_Criteria!$B$52),"FAIL: grade below C"&amp;SG_Criteria!$B$52&amp;". ","")&amp;IF(E250="Non-standard (project design)","NOTE: not an SDRE standard, needs LTA acceptance. ",""))=0,"OK",IF(AND(D250&lt;&gt;"High Covered Linkway",G250&lt;SG_Criteria!$B$46),"FAIL: headroom below "&amp;SG_Criteria!$B$46&amp;" m. ","")&amp;IF(AND(D250="High Covered Linkway",G250&lt;SG_Criteria!$B$47),"FAIL: high linkway headroom below "&amp;SG_Criteria!$B$47&amp;" m. ","")&amp;IF(F250&lt;SG_Criteria!$B$48,"FAIL: roof width below "&amp;SG_Criteria!$B$48&amp;" m. ",IF(F250&lt;SG_Criteria!$B$49,"NOTE: not for MRT/LRT or high-traffic routes (min "&amp;SG_Criteria!$B$49&amp;" m). ",""))&amp;IF(AND(W250&lt;&gt;"",W250&lt;SG_Criteria!$B$50),"FAIL: wind speed below "&amp;SG_Criteria!$B$50&amp;" m/s. ","")&amp;IF(AND(X250&lt;&gt;"",X250&lt;SG_Criteria!$B$51),"FAIL: roof fixing pull-out below "&amp;SG_Criteria!$B$51&amp;" kN. ","")&amp;IF(AND(Y250&lt;&gt;"",IFERROR(VALUE(MID(Y250,2,2)),0)&lt;SG_Criteria!$B$52),"FAIL: grade below C"&amp;SG_Criteria!$B$52&amp;". ","")&amp;IF(E250="Non-standard (project design)","NOTE: not an SDRE standard, needs LTA acceptance. ","")))</f>
        <v/>
      </c>
      <c r="BD250" s="9"/>
      <c r="BE250" s="9"/>
      <c r="BF250" s="9"/>
      <c r="BG250" s="10" t="str">
        <f aca="false">IF(BF250="","",IFERROR(VLOOKUP(BF250,Projects!$A$5:$D$504,2,0),"Ref not in Projects"))</f>
        <v/>
      </c>
      <c r="BH250" s="10" t="str">
        <f aca="false">IF(BF250="","",IFERROR(VLOOKUP(BF250,Projects!$A$5:$D$504,4,0),"Ref not in Projects"))</f>
        <v/>
      </c>
      <c r="BI250" s="9"/>
      <c r="BJ250" s="9"/>
      <c r="BK250" s="9"/>
      <c r="BL250" s="40"/>
      <c r="BM250" s="9"/>
      <c r="BN250" s="40"/>
      <c r="BO250" s="9"/>
      <c r="BP250" s="40"/>
      <c r="BQ250" s="9"/>
      <c r="BR250" s="9"/>
      <c r="BS250" s="9"/>
      <c r="BT250" s="40"/>
      <c r="BU250" s="40"/>
      <c r="BV250" s="36" t="str">
        <f aca="false">IF(BU250="","",EDATE(BU250,SG_Criteria!$B$54*12))</f>
        <v/>
      </c>
      <c r="BW250" s="33" t="str">
        <f aca="true">IF(A250="","",IF(BU250="","NOTE: not reviewed yet",IF(TODAY()&gt;BV250,"NOTE: review overdue","OK")))</f>
        <v/>
      </c>
      <c r="BX250" s="37" t="str">
        <f aca="false">IF(A250="","",ROUND((IF(LEN(D250)&gt;0,1,0)+IF(LEN(E250)&gt;0,1,0)+IF(LEN(F250)&gt;0,1,0)+IF(LEN(G250)&gt;0,1,0)+IF(LEN(H250)&gt;0,1,0)+IF(LEN(I250)&gt;0,1,0)+IF(LEN(J250)&gt;0,1,0)+IF(LEN(K250)&gt;0,1,0)+IF(LEN(N250)&gt;0,1,0)+IF(LEN(O250)&gt;0,1,0)+IF(LEN(W250)&gt;0,1,0)+IF(LEN(X250)&gt;0,1,0)+IF(LEN(Y250)&gt;0,1,0)+IF(LEN(AG250)&gt;0,1,0)+IF(LEN(AI250)&gt;0,1,0)+IF(LEN(AJ250)&gt;0,1,0)+IF(LEN(AK250)&gt;0,1,0)+IF(LEN(AL250)&gt;0,1,0)+IF(LEN(AU250)&gt;0,1,0)+IF(LEN(BF250)&gt;0,1,0)+IF(LEN(BS250)&gt;0,1,0))/21,2))</f>
        <v/>
      </c>
      <c r="BY250" s="10" t="str">
        <f aca="false">IF(D250="","",IF(AND(AJ250="Approved",ISERROR(SEARCH("FAIL",BC250))),"Y","N"))</f>
        <v/>
      </c>
      <c r="BZ250" s="10" t="str">
        <f aca="false">IF(D250="","",D250&amp;"|"&amp;F250&amp;"|"&amp;G250&amp;"|"&amp;BY250)</f>
        <v/>
      </c>
    </row>
    <row r="251" customFormat="false" ht="15" hidden="false" customHeight="false" outlineLevel="0" collapsed="false">
      <c r="A251" s="10" t="str">
        <f aca="false">IF(D251="","","LKW-"&amp;IFERROR(VLOOKUP(D251,Lists!$AQ$4:$AR$17,2,0),"??")&amp;"-W"&amp;TEXT(F251*1000,"0000")&amp;"-H"&amp;TEXT(G251*1000,"0000")&amp;"-B"&amp;TEXT(H251*1000,"0000")&amp;"-"&amp;AI251)</f>
        <v/>
      </c>
      <c r="B251" s="10" t="str">
        <f aca="false">IF(D251="","",D251&amp;", "&amp;F251&amp;" m wide, "&amp;G251&amp;" m headroom, "&amp;H251&amp;" m bays, "&amp;I251&amp;" ("&amp;E251&amp;")")</f>
        <v/>
      </c>
      <c r="C251" s="9"/>
      <c r="D251" s="9"/>
      <c r="E251" s="9"/>
      <c r="F251" s="42"/>
      <c r="G251" s="42"/>
      <c r="H251" s="42"/>
      <c r="I251" s="9"/>
      <c r="J251" s="9"/>
      <c r="K251" s="9"/>
      <c r="L251" s="9"/>
      <c r="M251" s="9"/>
      <c r="N251" s="9"/>
      <c r="O251" s="9"/>
      <c r="P251" s="9"/>
      <c r="Q251" s="9"/>
      <c r="R251" s="9"/>
      <c r="S251" s="42"/>
      <c r="T251" s="9"/>
      <c r="U251" s="9"/>
      <c r="V251" s="9"/>
      <c r="W251" s="38"/>
      <c r="X251" s="42"/>
      <c r="Y251" s="9"/>
      <c r="Z251" s="9"/>
      <c r="AA251" s="9"/>
      <c r="AB251" s="42"/>
      <c r="AC251" s="9"/>
      <c r="AD251" s="38"/>
      <c r="AE251" s="9"/>
      <c r="AF251" s="39"/>
      <c r="AG251" s="9"/>
      <c r="AH251" s="9"/>
      <c r="AI251" s="9"/>
      <c r="AJ251" s="9"/>
      <c r="AK251" s="9"/>
      <c r="AL251" s="9"/>
      <c r="AM251" s="9"/>
      <c r="AN251" s="10" t="str">
        <f aca="false">IF(A251="","",SG_Criteria!$B$6&amp;SG_Criteria!$B$12&amp;"\"&amp;A251&amp;"\")</f>
        <v/>
      </c>
      <c r="AO251" s="10" t="str">
        <f aca="false">IF(A251="","",A251&amp;"_CAD.dwg")</f>
        <v/>
      </c>
      <c r="AP251" s="10" t="str">
        <f aca="false">IF(A251="","",A251&amp;"_DWG.pdf")</f>
        <v/>
      </c>
      <c r="AQ251" s="10" t="str">
        <f aca="false">IF(A251="","",IF(AM251="Y",A251&amp;"_STAAD.std","n/a"))</f>
        <v/>
      </c>
      <c r="AR251" s="10" t="str">
        <f aca="false">IF(A251="","",A251&amp;"_CALC.xlsx")</f>
        <v/>
      </c>
      <c r="AS251" s="10" t="str">
        <f aca="false">IF(A251="","",A251&amp;"_CALC.pdf")</f>
        <v/>
      </c>
      <c r="AT251" s="9"/>
      <c r="AU251" s="9"/>
      <c r="AV251" s="39"/>
      <c r="AW251" s="39"/>
      <c r="AX251" s="39"/>
      <c r="AY251" s="39"/>
      <c r="AZ251" s="39"/>
      <c r="BA251" s="12" t="str">
        <f aca="false">IF(A251="","",IF(COUNTIF(Rebar_Schedule!$A$5:$A$2004,A251)=0,"",ROUND(SUMIF(Rebar_Schedule!$A$5:$A$2004,A251,Rebar_Schedule!$K$5:$K$2004),1)))</f>
        <v/>
      </c>
      <c r="BB251" s="33" t="str">
        <f aca="false">IF(A251="","",IF(BA251="","No rebar schedule yet",IF(ABS(BA251-N(AW251))/MAX(N(AW251),1)&gt;SG_Criteria!$B$55,"NOTE: register rebar differs from schedule by "&amp;TEXT(ABS(BA251-N(AW251))/MAX(N(AW251),1),"0%"),"OK")))</f>
        <v/>
      </c>
      <c r="BC251" s="33" t="str">
        <f aca="false">IF(D251="","",IF(LEN(IF(AND(D251&lt;&gt;"High Covered Linkway",G251&lt;SG_Criteria!$B$46),"FAIL: headroom below "&amp;SG_Criteria!$B$46&amp;" m. ","")&amp;IF(AND(D251="High Covered Linkway",G251&lt;SG_Criteria!$B$47),"FAIL: high linkway headroom below "&amp;SG_Criteria!$B$47&amp;" m. ","")&amp;IF(F251&lt;SG_Criteria!$B$48,"FAIL: roof width below "&amp;SG_Criteria!$B$48&amp;" m. ",IF(F251&lt;SG_Criteria!$B$49,"NOTE: not for MRT/LRT or high-traffic routes (min "&amp;SG_Criteria!$B$49&amp;" m). ",""))&amp;IF(AND(W251&lt;&gt;"",W251&lt;SG_Criteria!$B$50),"FAIL: wind speed below "&amp;SG_Criteria!$B$50&amp;" m/s. ","")&amp;IF(AND(X251&lt;&gt;"",X251&lt;SG_Criteria!$B$51),"FAIL: roof fixing pull-out below "&amp;SG_Criteria!$B$51&amp;" kN. ","")&amp;IF(AND(Y251&lt;&gt;"",IFERROR(VALUE(MID(Y251,2,2)),0)&lt;SG_Criteria!$B$52),"FAIL: grade below C"&amp;SG_Criteria!$B$52&amp;". ","")&amp;IF(E251="Non-standard (project design)","NOTE: not an SDRE standard, needs LTA acceptance. ",""))=0,"OK",IF(AND(D251&lt;&gt;"High Covered Linkway",G251&lt;SG_Criteria!$B$46),"FAIL: headroom below "&amp;SG_Criteria!$B$46&amp;" m. ","")&amp;IF(AND(D251="High Covered Linkway",G251&lt;SG_Criteria!$B$47),"FAIL: high linkway headroom below "&amp;SG_Criteria!$B$47&amp;" m. ","")&amp;IF(F251&lt;SG_Criteria!$B$48,"FAIL: roof width below "&amp;SG_Criteria!$B$48&amp;" m. ",IF(F251&lt;SG_Criteria!$B$49,"NOTE: not for MRT/LRT or high-traffic routes (min "&amp;SG_Criteria!$B$49&amp;" m). ",""))&amp;IF(AND(W251&lt;&gt;"",W251&lt;SG_Criteria!$B$50),"FAIL: wind speed below "&amp;SG_Criteria!$B$50&amp;" m/s. ","")&amp;IF(AND(X251&lt;&gt;"",X251&lt;SG_Criteria!$B$51),"FAIL: roof fixing pull-out below "&amp;SG_Criteria!$B$51&amp;" kN. ","")&amp;IF(AND(Y251&lt;&gt;"",IFERROR(VALUE(MID(Y251,2,2)),0)&lt;SG_Criteria!$B$52),"FAIL: grade below C"&amp;SG_Criteria!$B$52&amp;". ","")&amp;IF(E251="Non-standard (project design)","NOTE: not an SDRE standard, needs LTA acceptance. ","")))</f>
        <v/>
      </c>
      <c r="BD251" s="9"/>
      <c r="BE251" s="9"/>
      <c r="BF251" s="9"/>
      <c r="BG251" s="10" t="str">
        <f aca="false">IF(BF251="","",IFERROR(VLOOKUP(BF251,Projects!$A$5:$D$504,2,0),"Ref not in Projects"))</f>
        <v/>
      </c>
      <c r="BH251" s="10" t="str">
        <f aca="false">IF(BF251="","",IFERROR(VLOOKUP(BF251,Projects!$A$5:$D$504,4,0),"Ref not in Projects"))</f>
        <v/>
      </c>
      <c r="BI251" s="9"/>
      <c r="BJ251" s="9"/>
      <c r="BK251" s="9"/>
      <c r="BL251" s="40"/>
      <c r="BM251" s="9"/>
      <c r="BN251" s="40"/>
      <c r="BO251" s="9"/>
      <c r="BP251" s="40"/>
      <c r="BQ251" s="9"/>
      <c r="BR251" s="9"/>
      <c r="BS251" s="9"/>
      <c r="BT251" s="40"/>
      <c r="BU251" s="40"/>
      <c r="BV251" s="36" t="str">
        <f aca="false">IF(BU251="","",EDATE(BU251,SG_Criteria!$B$54*12))</f>
        <v/>
      </c>
      <c r="BW251" s="33" t="str">
        <f aca="true">IF(A251="","",IF(BU251="","NOTE: not reviewed yet",IF(TODAY()&gt;BV251,"NOTE: review overdue","OK")))</f>
        <v/>
      </c>
      <c r="BX251" s="37" t="str">
        <f aca="false">IF(A251="","",ROUND((IF(LEN(D251)&gt;0,1,0)+IF(LEN(E251)&gt;0,1,0)+IF(LEN(F251)&gt;0,1,0)+IF(LEN(G251)&gt;0,1,0)+IF(LEN(H251)&gt;0,1,0)+IF(LEN(I251)&gt;0,1,0)+IF(LEN(J251)&gt;0,1,0)+IF(LEN(K251)&gt;0,1,0)+IF(LEN(N251)&gt;0,1,0)+IF(LEN(O251)&gt;0,1,0)+IF(LEN(W251)&gt;0,1,0)+IF(LEN(X251)&gt;0,1,0)+IF(LEN(Y251)&gt;0,1,0)+IF(LEN(AG251)&gt;0,1,0)+IF(LEN(AI251)&gt;0,1,0)+IF(LEN(AJ251)&gt;0,1,0)+IF(LEN(AK251)&gt;0,1,0)+IF(LEN(AL251)&gt;0,1,0)+IF(LEN(AU251)&gt;0,1,0)+IF(LEN(BF251)&gt;0,1,0)+IF(LEN(BS251)&gt;0,1,0))/21,2))</f>
        <v/>
      </c>
      <c r="BY251" s="10" t="str">
        <f aca="false">IF(D251="","",IF(AND(AJ251="Approved",ISERROR(SEARCH("FAIL",BC251))),"Y","N"))</f>
        <v/>
      </c>
      <c r="BZ251" s="10" t="str">
        <f aca="false">IF(D251="","",D251&amp;"|"&amp;F251&amp;"|"&amp;G251&amp;"|"&amp;BY251)</f>
        <v/>
      </c>
    </row>
    <row r="252" customFormat="false" ht="15" hidden="false" customHeight="false" outlineLevel="0" collapsed="false">
      <c r="A252" s="10" t="str">
        <f aca="false">IF(D252="","","LKW-"&amp;IFERROR(VLOOKUP(D252,Lists!$AQ$4:$AR$17,2,0),"??")&amp;"-W"&amp;TEXT(F252*1000,"0000")&amp;"-H"&amp;TEXT(G252*1000,"0000")&amp;"-B"&amp;TEXT(H252*1000,"0000")&amp;"-"&amp;AI252)</f>
        <v/>
      </c>
      <c r="B252" s="10" t="str">
        <f aca="false">IF(D252="","",D252&amp;", "&amp;F252&amp;" m wide, "&amp;G252&amp;" m headroom, "&amp;H252&amp;" m bays, "&amp;I252&amp;" ("&amp;E252&amp;")")</f>
        <v/>
      </c>
      <c r="C252" s="9"/>
      <c r="D252" s="9"/>
      <c r="E252" s="9"/>
      <c r="F252" s="42"/>
      <c r="G252" s="42"/>
      <c r="H252" s="42"/>
      <c r="I252" s="9"/>
      <c r="J252" s="9"/>
      <c r="K252" s="9"/>
      <c r="L252" s="9"/>
      <c r="M252" s="9"/>
      <c r="N252" s="9"/>
      <c r="O252" s="9"/>
      <c r="P252" s="9"/>
      <c r="Q252" s="9"/>
      <c r="R252" s="9"/>
      <c r="S252" s="42"/>
      <c r="T252" s="9"/>
      <c r="U252" s="9"/>
      <c r="V252" s="9"/>
      <c r="W252" s="38"/>
      <c r="X252" s="42"/>
      <c r="Y252" s="9"/>
      <c r="Z252" s="9"/>
      <c r="AA252" s="9"/>
      <c r="AB252" s="42"/>
      <c r="AC252" s="9"/>
      <c r="AD252" s="38"/>
      <c r="AE252" s="9"/>
      <c r="AF252" s="39"/>
      <c r="AG252" s="9"/>
      <c r="AH252" s="9"/>
      <c r="AI252" s="9"/>
      <c r="AJ252" s="9"/>
      <c r="AK252" s="9"/>
      <c r="AL252" s="9"/>
      <c r="AM252" s="9"/>
      <c r="AN252" s="10" t="str">
        <f aca="false">IF(A252="","",SG_Criteria!$B$6&amp;SG_Criteria!$B$12&amp;"\"&amp;A252&amp;"\")</f>
        <v/>
      </c>
      <c r="AO252" s="10" t="str">
        <f aca="false">IF(A252="","",A252&amp;"_CAD.dwg")</f>
        <v/>
      </c>
      <c r="AP252" s="10" t="str">
        <f aca="false">IF(A252="","",A252&amp;"_DWG.pdf")</f>
        <v/>
      </c>
      <c r="AQ252" s="10" t="str">
        <f aca="false">IF(A252="","",IF(AM252="Y",A252&amp;"_STAAD.std","n/a"))</f>
        <v/>
      </c>
      <c r="AR252" s="10" t="str">
        <f aca="false">IF(A252="","",A252&amp;"_CALC.xlsx")</f>
        <v/>
      </c>
      <c r="AS252" s="10" t="str">
        <f aca="false">IF(A252="","",A252&amp;"_CALC.pdf")</f>
        <v/>
      </c>
      <c r="AT252" s="9"/>
      <c r="AU252" s="9"/>
      <c r="AV252" s="39"/>
      <c r="AW252" s="39"/>
      <c r="AX252" s="39"/>
      <c r="AY252" s="39"/>
      <c r="AZ252" s="39"/>
      <c r="BA252" s="12" t="str">
        <f aca="false">IF(A252="","",IF(COUNTIF(Rebar_Schedule!$A$5:$A$2004,A252)=0,"",ROUND(SUMIF(Rebar_Schedule!$A$5:$A$2004,A252,Rebar_Schedule!$K$5:$K$2004),1)))</f>
        <v/>
      </c>
      <c r="BB252" s="33" t="str">
        <f aca="false">IF(A252="","",IF(BA252="","No rebar schedule yet",IF(ABS(BA252-N(AW252))/MAX(N(AW252),1)&gt;SG_Criteria!$B$55,"NOTE: register rebar differs from schedule by "&amp;TEXT(ABS(BA252-N(AW252))/MAX(N(AW252),1),"0%"),"OK")))</f>
        <v/>
      </c>
      <c r="BC252" s="33" t="str">
        <f aca="false">IF(D252="","",IF(LEN(IF(AND(D252&lt;&gt;"High Covered Linkway",G252&lt;SG_Criteria!$B$46),"FAIL: headroom below "&amp;SG_Criteria!$B$46&amp;" m. ","")&amp;IF(AND(D252="High Covered Linkway",G252&lt;SG_Criteria!$B$47),"FAIL: high linkway headroom below "&amp;SG_Criteria!$B$47&amp;" m. ","")&amp;IF(F252&lt;SG_Criteria!$B$48,"FAIL: roof width below "&amp;SG_Criteria!$B$48&amp;" m. ",IF(F252&lt;SG_Criteria!$B$49,"NOTE: not for MRT/LRT or high-traffic routes (min "&amp;SG_Criteria!$B$49&amp;" m). ",""))&amp;IF(AND(W252&lt;&gt;"",W252&lt;SG_Criteria!$B$50),"FAIL: wind speed below "&amp;SG_Criteria!$B$50&amp;" m/s. ","")&amp;IF(AND(X252&lt;&gt;"",X252&lt;SG_Criteria!$B$51),"FAIL: roof fixing pull-out below "&amp;SG_Criteria!$B$51&amp;" kN. ","")&amp;IF(AND(Y252&lt;&gt;"",IFERROR(VALUE(MID(Y252,2,2)),0)&lt;SG_Criteria!$B$52),"FAIL: grade below C"&amp;SG_Criteria!$B$52&amp;". ","")&amp;IF(E252="Non-standard (project design)","NOTE: not an SDRE standard, needs LTA acceptance. ",""))=0,"OK",IF(AND(D252&lt;&gt;"High Covered Linkway",G252&lt;SG_Criteria!$B$46),"FAIL: headroom below "&amp;SG_Criteria!$B$46&amp;" m. ","")&amp;IF(AND(D252="High Covered Linkway",G252&lt;SG_Criteria!$B$47),"FAIL: high linkway headroom below "&amp;SG_Criteria!$B$47&amp;" m. ","")&amp;IF(F252&lt;SG_Criteria!$B$48,"FAIL: roof width below "&amp;SG_Criteria!$B$48&amp;" m. ",IF(F252&lt;SG_Criteria!$B$49,"NOTE: not for MRT/LRT or high-traffic routes (min "&amp;SG_Criteria!$B$49&amp;" m). ",""))&amp;IF(AND(W252&lt;&gt;"",W252&lt;SG_Criteria!$B$50),"FAIL: wind speed below "&amp;SG_Criteria!$B$50&amp;" m/s. ","")&amp;IF(AND(X252&lt;&gt;"",X252&lt;SG_Criteria!$B$51),"FAIL: roof fixing pull-out below "&amp;SG_Criteria!$B$51&amp;" kN. ","")&amp;IF(AND(Y252&lt;&gt;"",IFERROR(VALUE(MID(Y252,2,2)),0)&lt;SG_Criteria!$B$52),"FAIL: grade below C"&amp;SG_Criteria!$B$52&amp;". ","")&amp;IF(E252="Non-standard (project design)","NOTE: not an SDRE standard, needs LTA acceptance. ","")))</f>
        <v/>
      </c>
      <c r="BD252" s="9"/>
      <c r="BE252" s="9"/>
      <c r="BF252" s="9"/>
      <c r="BG252" s="10" t="str">
        <f aca="false">IF(BF252="","",IFERROR(VLOOKUP(BF252,Projects!$A$5:$D$504,2,0),"Ref not in Projects"))</f>
        <v/>
      </c>
      <c r="BH252" s="10" t="str">
        <f aca="false">IF(BF252="","",IFERROR(VLOOKUP(BF252,Projects!$A$5:$D$504,4,0),"Ref not in Projects"))</f>
        <v/>
      </c>
      <c r="BI252" s="9"/>
      <c r="BJ252" s="9"/>
      <c r="BK252" s="9"/>
      <c r="BL252" s="40"/>
      <c r="BM252" s="9"/>
      <c r="BN252" s="40"/>
      <c r="BO252" s="9"/>
      <c r="BP252" s="40"/>
      <c r="BQ252" s="9"/>
      <c r="BR252" s="9"/>
      <c r="BS252" s="9"/>
      <c r="BT252" s="40"/>
      <c r="BU252" s="40"/>
      <c r="BV252" s="36" t="str">
        <f aca="false">IF(BU252="","",EDATE(BU252,SG_Criteria!$B$54*12))</f>
        <v/>
      </c>
      <c r="BW252" s="33" t="str">
        <f aca="true">IF(A252="","",IF(BU252="","NOTE: not reviewed yet",IF(TODAY()&gt;BV252,"NOTE: review overdue","OK")))</f>
        <v/>
      </c>
      <c r="BX252" s="37" t="str">
        <f aca="false">IF(A252="","",ROUND((IF(LEN(D252)&gt;0,1,0)+IF(LEN(E252)&gt;0,1,0)+IF(LEN(F252)&gt;0,1,0)+IF(LEN(G252)&gt;0,1,0)+IF(LEN(H252)&gt;0,1,0)+IF(LEN(I252)&gt;0,1,0)+IF(LEN(J252)&gt;0,1,0)+IF(LEN(K252)&gt;0,1,0)+IF(LEN(N252)&gt;0,1,0)+IF(LEN(O252)&gt;0,1,0)+IF(LEN(W252)&gt;0,1,0)+IF(LEN(X252)&gt;0,1,0)+IF(LEN(Y252)&gt;0,1,0)+IF(LEN(AG252)&gt;0,1,0)+IF(LEN(AI252)&gt;0,1,0)+IF(LEN(AJ252)&gt;0,1,0)+IF(LEN(AK252)&gt;0,1,0)+IF(LEN(AL252)&gt;0,1,0)+IF(LEN(AU252)&gt;0,1,0)+IF(LEN(BF252)&gt;0,1,0)+IF(LEN(BS252)&gt;0,1,0))/21,2))</f>
        <v/>
      </c>
      <c r="BY252" s="10" t="str">
        <f aca="false">IF(D252="","",IF(AND(AJ252="Approved",ISERROR(SEARCH("FAIL",BC252))),"Y","N"))</f>
        <v/>
      </c>
      <c r="BZ252" s="10" t="str">
        <f aca="false">IF(D252="","",D252&amp;"|"&amp;F252&amp;"|"&amp;G252&amp;"|"&amp;BY252)</f>
        <v/>
      </c>
    </row>
    <row r="253" customFormat="false" ht="15" hidden="false" customHeight="false" outlineLevel="0" collapsed="false">
      <c r="A253" s="10" t="str">
        <f aca="false">IF(D253="","","LKW-"&amp;IFERROR(VLOOKUP(D253,Lists!$AQ$4:$AR$17,2,0),"??")&amp;"-W"&amp;TEXT(F253*1000,"0000")&amp;"-H"&amp;TEXT(G253*1000,"0000")&amp;"-B"&amp;TEXT(H253*1000,"0000")&amp;"-"&amp;AI253)</f>
        <v/>
      </c>
      <c r="B253" s="10" t="str">
        <f aca="false">IF(D253="","",D253&amp;", "&amp;F253&amp;" m wide, "&amp;G253&amp;" m headroom, "&amp;H253&amp;" m bays, "&amp;I253&amp;" ("&amp;E253&amp;")")</f>
        <v/>
      </c>
      <c r="C253" s="9"/>
      <c r="D253" s="9"/>
      <c r="E253" s="9"/>
      <c r="F253" s="42"/>
      <c r="G253" s="42"/>
      <c r="H253" s="42"/>
      <c r="I253" s="9"/>
      <c r="J253" s="9"/>
      <c r="K253" s="9"/>
      <c r="L253" s="9"/>
      <c r="M253" s="9"/>
      <c r="N253" s="9"/>
      <c r="O253" s="9"/>
      <c r="P253" s="9"/>
      <c r="Q253" s="9"/>
      <c r="R253" s="9"/>
      <c r="S253" s="42"/>
      <c r="T253" s="9"/>
      <c r="U253" s="9"/>
      <c r="V253" s="9"/>
      <c r="W253" s="38"/>
      <c r="X253" s="42"/>
      <c r="Y253" s="9"/>
      <c r="Z253" s="9"/>
      <c r="AA253" s="9"/>
      <c r="AB253" s="42"/>
      <c r="AC253" s="9"/>
      <c r="AD253" s="38"/>
      <c r="AE253" s="9"/>
      <c r="AF253" s="39"/>
      <c r="AG253" s="9"/>
      <c r="AH253" s="9"/>
      <c r="AI253" s="9"/>
      <c r="AJ253" s="9"/>
      <c r="AK253" s="9"/>
      <c r="AL253" s="9"/>
      <c r="AM253" s="9"/>
      <c r="AN253" s="10" t="str">
        <f aca="false">IF(A253="","",SG_Criteria!$B$6&amp;SG_Criteria!$B$12&amp;"\"&amp;A253&amp;"\")</f>
        <v/>
      </c>
      <c r="AO253" s="10" t="str">
        <f aca="false">IF(A253="","",A253&amp;"_CAD.dwg")</f>
        <v/>
      </c>
      <c r="AP253" s="10" t="str">
        <f aca="false">IF(A253="","",A253&amp;"_DWG.pdf")</f>
        <v/>
      </c>
      <c r="AQ253" s="10" t="str">
        <f aca="false">IF(A253="","",IF(AM253="Y",A253&amp;"_STAAD.std","n/a"))</f>
        <v/>
      </c>
      <c r="AR253" s="10" t="str">
        <f aca="false">IF(A253="","",A253&amp;"_CALC.xlsx")</f>
        <v/>
      </c>
      <c r="AS253" s="10" t="str">
        <f aca="false">IF(A253="","",A253&amp;"_CALC.pdf")</f>
        <v/>
      </c>
      <c r="AT253" s="9"/>
      <c r="AU253" s="9"/>
      <c r="AV253" s="39"/>
      <c r="AW253" s="39"/>
      <c r="AX253" s="39"/>
      <c r="AY253" s="39"/>
      <c r="AZ253" s="39"/>
      <c r="BA253" s="12" t="str">
        <f aca="false">IF(A253="","",IF(COUNTIF(Rebar_Schedule!$A$5:$A$2004,A253)=0,"",ROUND(SUMIF(Rebar_Schedule!$A$5:$A$2004,A253,Rebar_Schedule!$K$5:$K$2004),1)))</f>
        <v/>
      </c>
      <c r="BB253" s="33" t="str">
        <f aca="false">IF(A253="","",IF(BA253="","No rebar schedule yet",IF(ABS(BA253-N(AW253))/MAX(N(AW253),1)&gt;SG_Criteria!$B$55,"NOTE: register rebar differs from schedule by "&amp;TEXT(ABS(BA253-N(AW253))/MAX(N(AW253),1),"0%"),"OK")))</f>
        <v/>
      </c>
      <c r="BC253" s="33" t="str">
        <f aca="false">IF(D253="","",IF(LEN(IF(AND(D253&lt;&gt;"High Covered Linkway",G253&lt;SG_Criteria!$B$46),"FAIL: headroom below "&amp;SG_Criteria!$B$46&amp;" m. ","")&amp;IF(AND(D253="High Covered Linkway",G253&lt;SG_Criteria!$B$47),"FAIL: high linkway headroom below "&amp;SG_Criteria!$B$47&amp;" m. ","")&amp;IF(F253&lt;SG_Criteria!$B$48,"FAIL: roof width below "&amp;SG_Criteria!$B$48&amp;" m. ",IF(F253&lt;SG_Criteria!$B$49,"NOTE: not for MRT/LRT or high-traffic routes (min "&amp;SG_Criteria!$B$49&amp;" m). ",""))&amp;IF(AND(W253&lt;&gt;"",W253&lt;SG_Criteria!$B$50),"FAIL: wind speed below "&amp;SG_Criteria!$B$50&amp;" m/s. ","")&amp;IF(AND(X253&lt;&gt;"",X253&lt;SG_Criteria!$B$51),"FAIL: roof fixing pull-out below "&amp;SG_Criteria!$B$51&amp;" kN. ","")&amp;IF(AND(Y253&lt;&gt;"",IFERROR(VALUE(MID(Y253,2,2)),0)&lt;SG_Criteria!$B$52),"FAIL: grade below C"&amp;SG_Criteria!$B$52&amp;". ","")&amp;IF(E253="Non-standard (project design)","NOTE: not an SDRE standard, needs LTA acceptance. ",""))=0,"OK",IF(AND(D253&lt;&gt;"High Covered Linkway",G253&lt;SG_Criteria!$B$46),"FAIL: headroom below "&amp;SG_Criteria!$B$46&amp;" m. ","")&amp;IF(AND(D253="High Covered Linkway",G253&lt;SG_Criteria!$B$47),"FAIL: high linkway headroom below "&amp;SG_Criteria!$B$47&amp;" m. ","")&amp;IF(F253&lt;SG_Criteria!$B$48,"FAIL: roof width below "&amp;SG_Criteria!$B$48&amp;" m. ",IF(F253&lt;SG_Criteria!$B$49,"NOTE: not for MRT/LRT or high-traffic routes (min "&amp;SG_Criteria!$B$49&amp;" m). ",""))&amp;IF(AND(W253&lt;&gt;"",W253&lt;SG_Criteria!$B$50),"FAIL: wind speed below "&amp;SG_Criteria!$B$50&amp;" m/s. ","")&amp;IF(AND(X253&lt;&gt;"",X253&lt;SG_Criteria!$B$51),"FAIL: roof fixing pull-out below "&amp;SG_Criteria!$B$51&amp;" kN. ","")&amp;IF(AND(Y253&lt;&gt;"",IFERROR(VALUE(MID(Y253,2,2)),0)&lt;SG_Criteria!$B$52),"FAIL: grade below C"&amp;SG_Criteria!$B$52&amp;". ","")&amp;IF(E253="Non-standard (project design)","NOTE: not an SDRE standard, needs LTA acceptance. ","")))</f>
        <v/>
      </c>
      <c r="BD253" s="9"/>
      <c r="BE253" s="9"/>
      <c r="BF253" s="9"/>
      <c r="BG253" s="10" t="str">
        <f aca="false">IF(BF253="","",IFERROR(VLOOKUP(BF253,Projects!$A$5:$D$504,2,0),"Ref not in Projects"))</f>
        <v/>
      </c>
      <c r="BH253" s="10" t="str">
        <f aca="false">IF(BF253="","",IFERROR(VLOOKUP(BF253,Projects!$A$5:$D$504,4,0),"Ref not in Projects"))</f>
        <v/>
      </c>
      <c r="BI253" s="9"/>
      <c r="BJ253" s="9"/>
      <c r="BK253" s="9"/>
      <c r="BL253" s="40"/>
      <c r="BM253" s="9"/>
      <c r="BN253" s="40"/>
      <c r="BO253" s="9"/>
      <c r="BP253" s="40"/>
      <c r="BQ253" s="9"/>
      <c r="BR253" s="9"/>
      <c r="BS253" s="9"/>
      <c r="BT253" s="40"/>
      <c r="BU253" s="40"/>
      <c r="BV253" s="36" t="str">
        <f aca="false">IF(BU253="","",EDATE(BU253,SG_Criteria!$B$54*12))</f>
        <v/>
      </c>
      <c r="BW253" s="33" t="str">
        <f aca="true">IF(A253="","",IF(BU253="","NOTE: not reviewed yet",IF(TODAY()&gt;BV253,"NOTE: review overdue","OK")))</f>
        <v/>
      </c>
      <c r="BX253" s="37" t="str">
        <f aca="false">IF(A253="","",ROUND((IF(LEN(D253)&gt;0,1,0)+IF(LEN(E253)&gt;0,1,0)+IF(LEN(F253)&gt;0,1,0)+IF(LEN(G253)&gt;0,1,0)+IF(LEN(H253)&gt;0,1,0)+IF(LEN(I253)&gt;0,1,0)+IF(LEN(J253)&gt;0,1,0)+IF(LEN(K253)&gt;0,1,0)+IF(LEN(N253)&gt;0,1,0)+IF(LEN(O253)&gt;0,1,0)+IF(LEN(W253)&gt;0,1,0)+IF(LEN(X253)&gt;0,1,0)+IF(LEN(Y253)&gt;0,1,0)+IF(LEN(AG253)&gt;0,1,0)+IF(LEN(AI253)&gt;0,1,0)+IF(LEN(AJ253)&gt;0,1,0)+IF(LEN(AK253)&gt;0,1,0)+IF(LEN(AL253)&gt;0,1,0)+IF(LEN(AU253)&gt;0,1,0)+IF(LEN(BF253)&gt;0,1,0)+IF(LEN(BS253)&gt;0,1,0))/21,2))</f>
        <v/>
      </c>
      <c r="BY253" s="10" t="str">
        <f aca="false">IF(D253="","",IF(AND(AJ253="Approved",ISERROR(SEARCH("FAIL",BC253))),"Y","N"))</f>
        <v/>
      </c>
      <c r="BZ253" s="10" t="str">
        <f aca="false">IF(D253="","",D253&amp;"|"&amp;F253&amp;"|"&amp;G253&amp;"|"&amp;BY253)</f>
        <v/>
      </c>
    </row>
    <row r="254" customFormat="false" ht="15" hidden="false" customHeight="false" outlineLevel="0" collapsed="false">
      <c r="A254" s="10" t="str">
        <f aca="false">IF(D254="","","LKW-"&amp;IFERROR(VLOOKUP(D254,Lists!$AQ$4:$AR$17,2,0),"??")&amp;"-W"&amp;TEXT(F254*1000,"0000")&amp;"-H"&amp;TEXT(G254*1000,"0000")&amp;"-B"&amp;TEXT(H254*1000,"0000")&amp;"-"&amp;AI254)</f>
        <v/>
      </c>
      <c r="B254" s="10" t="str">
        <f aca="false">IF(D254="","",D254&amp;", "&amp;F254&amp;" m wide, "&amp;G254&amp;" m headroom, "&amp;H254&amp;" m bays, "&amp;I254&amp;" ("&amp;E254&amp;")")</f>
        <v/>
      </c>
      <c r="C254" s="9"/>
      <c r="D254" s="9"/>
      <c r="E254" s="9"/>
      <c r="F254" s="42"/>
      <c r="G254" s="42"/>
      <c r="H254" s="42"/>
      <c r="I254" s="9"/>
      <c r="J254" s="9"/>
      <c r="K254" s="9"/>
      <c r="L254" s="9"/>
      <c r="M254" s="9"/>
      <c r="N254" s="9"/>
      <c r="O254" s="9"/>
      <c r="P254" s="9"/>
      <c r="Q254" s="9"/>
      <c r="R254" s="9"/>
      <c r="S254" s="42"/>
      <c r="T254" s="9"/>
      <c r="U254" s="9"/>
      <c r="V254" s="9"/>
      <c r="W254" s="38"/>
      <c r="X254" s="42"/>
      <c r="Y254" s="9"/>
      <c r="Z254" s="9"/>
      <c r="AA254" s="9"/>
      <c r="AB254" s="42"/>
      <c r="AC254" s="9"/>
      <c r="AD254" s="38"/>
      <c r="AE254" s="9"/>
      <c r="AF254" s="39"/>
      <c r="AG254" s="9"/>
      <c r="AH254" s="9"/>
      <c r="AI254" s="9"/>
      <c r="AJ254" s="9"/>
      <c r="AK254" s="9"/>
      <c r="AL254" s="9"/>
      <c r="AM254" s="9"/>
      <c r="AN254" s="10" t="str">
        <f aca="false">IF(A254="","",SG_Criteria!$B$6&amp;SG_Criteria!$B$12&amp;"\"&amp;A254&amp;"\")</f>
        <v/>
      </c>
      <c r="AO254" s="10" t="str">
        <f aca="false">IF(A254="","",A254&amp;"_CAD.dwg")</f>
        <v/>
      </c>
      <c r="AP254" s="10" t="str">
        <f aca="false">IF(A254="","",A254&amp;"_DWG.pdf")</f>
        <v/>
      </c>
      <c r="AQ254" s="10" t="str">
        <f aca="false">IF(A254="","",IF(AM254="Y",A254&amp;"_STAAD.std","n/a"))</f>
        <v/>
      </c>
      <c r="AR254" s="10" t="str">
        <f aca="false">IF(A254="","",A254&amp;"_CALC.xlsx")</f>
        <v/>
      </c>
      <c r="AS254" s="10" t="str">
        <f aca="false">IF(A254="","",A254&amp;"_CALC.pdf")</f>
        <v/>
      </c>
      <c r="AT254" s="9"/>
      <c r="AU254" s="9"/>
      <c r="AV254" s="39"/>
      <c r="AW254" s="39"/>
      <c r="AX254" s="39"/>
      <c r="AY254" s="39"/>
      <c r="AZ254" s="39"/>
      <c r="BA254" s="12" t="str">
        <f aca="false">IF(A254="","",IF(COUNTIF(Rebar_Schedule!$A$5:$A$2004,A254)=0,"",ROUND(SUMIF(Rebar_Schedule!$A$5:$A$2004,A254,Rebar_Schedule!$K$5:$K$2004),1)))</f>
        <v/>
      </c>
      <c r="BB254" s="33" t="str">
        <f aca="false">IF(A254="","",IF(BA254="","No rebar schedule yet",IF(ABS(BA254-N(AW254))/MAX(N(AW254),1)&gt;SG_Criteria!$B$55,"NOTE: register rebar differs from schedule by "&amp;TEXT(ABS(BA254-N(AW254))/MAX(N(AW254),1),"0%"),"OK")))</f>
        <v/>
      </c>
      <c r="BC254" s="33" t="str">
        <f aca="false">IF(D254="","",IF(LEN(IF(AND(D254&lt;&gt;"High Covered Linkway",G254&lt;SG_Criteria!$B$46),"FAIL: headroom below "&amp;SG_Criteria!$B$46&amp;" m. ","")&amp;IF(AND(D254="High Covered Linkway",G254&lt;SG_Criteria!$B$47),"FAIL: high linkway headroom below "&amp;SG_Criteria!$B$47&amp;" m. ","")&amp;IF(F254&lt;SG_Criteria!$B$48,"FAIL: roof width below "&amp;SG_Criteria!$B$48&amp;" m. ",IF(F254&lt;SG_Criteria!$B$49,"NOTE: not for MRT/LRT or high-traffic routes (min "&amp;SG_Criteria!$B$49&amp;" m). ",""))&amp;IF(AND(W254&lt;&gt;"",W254&lt;SG_Criteria!$B$50),"FAIL: wind speed below "&amp;SG_Criteria!$B$50&amp;" m/s. ","")&amp;IF(AND(X254&lt;&gt;"",X254&lt;SG_Criteria!$B$51),"FAIL: roof fixing pull-out below "&amp;SG_Criteria!$B$51&amp;" kN. ","")&amp;IF(AND(Y254&lt;&gt;"",IFERROR(VALUE(MID(Y254,2,2)),0)&lt;SG_Criteria!$B$52),"FAIL: grade below C"&amp;SG_Criteria!$B$52&amp;". ","")&amp;IF(E254="Non-standard (project design)","NOTE: not an SDRE standard, needs LTA acceptance. ",""))=0,"OK",IF(AND(D254&lt;&gt;"High Covered Linkway",G254&lt;SG_Criteria!$B$46),"FAIL: headroom below "&amp;SG_Criteria!$B$46&amp;" m. ","")&amp;IF(AND(D254="High Covered Linkway",G254&lt;SG_Criteria!$B$47),"FAIL: high linkway headroom below "&amp;SG_Criteria!$B$47&amp;" m. ","")&amp;IF(F254&lt;SG_Criteria!$B$48,"FAIL: roof width below "&amp;SG_Criteria!$B$48&amp;" m. ",IF(F254&lt;SG_Criteria!$B$49,"NOTE: not for MRT/LRT or high-traffic routes (min "&amp;SG_Criteria!$B$49&amp;" m). ",""))&amp;IF(AND(W254&lt;&gt;"",W254&lt;SG_Criteria!$B$50),"FAIL: wind speed below "&amp;SG_Criteria!$B$50&amp;" m/s. ","")&amp;IF(AND(X254&lt;&gt;"",X254&lt;SG_Criteria!$B$51),"FAIL: roof fixing pull-out below "&amp;SG_Criteria!$B$51&amp;" kN. ","")&amp;IF(AND(Y254&lt;&gt;"",IFERROR(VALUE(MID(Y254,2,2)),0)&lt;SG_Criteria!$B$52),"FAIL: grade below C"&amp;SG_Criteria!$B$52&amp;". ","")&amp;IF(E254="Non-standard (project design)","NOTE: not an SDRE standard, needs LTA acceptance. ","")))</f>
        <v/>
      </c>
      <c r="BD254" s="9"/>
      <c r="BE254" s="9"/>
      <c r="BF254" s="9"/>
      <c r="BG254" s="10" t="str">
        <f aca="false">IF(BF254="","",IFERROR(VLOOKUP(BF254,Projects!$A$5:$D$504,2,0),"Ref not in Projects"))</f>
        <v/>
      </c>
      <c r="BH254" s="10" t="str">
        <f aca="false">IF(BF254="","",IFERROR(VLOOKUP(BF254,Projects!$A$5:$D$504,4,0),"Ref not in Projects"))</f>
        <v/>
      </c>
      <c r="BI254" s="9"/>
      <c r="BJ254" s="9"/>
      <c r="BK254" s="9"/>
      <c r="BL254" s="40"/>
      <c r="BM254" s="9"/>
      <c r="BN254" s="40"/>
      <c r="BO254" s="9"/>
      <c r="BP254" s="40"/>
      <c r="BQ254" s="9"/>
      <c r="BR254" s="9"/>
      <c r="BS254" s="9"/>
      <c r="BT254" s="40"/>
      <c r="BU254" s="40"/>
      <c r="BV254" s="36" t="str">
        <f aca="false">IF(BU254="","",EDATE(BU254,SG_Criteria!$B$54*12))</f>
        <v/>
      </c>
      <c r="BW254" s="33" t="str">
        <f aca="true">IF(A254="","",IF(BU254="","NOTE: not reviewed yet",IF(TODAY()&gt;BV254,"NOTE: review overdue","OK")))</f>
        <v/>
      </c>
      <c r="BX254" s="37" t="str">
        <f aca="false">IF(A254="","",ROUND((IF(LEN(D254)&gt;0,1,0)+IF(LEN(E254)&gt;0,1,0)+IF(LEN(F254)&gt;0,1,0)+IF(LEN(G254)&gt;0,1,0)+IF(LEN(H254)&gt;0,1,0)+IF(LEN(I254)&gt;0,1,0)+IF(LEN(J254)&gt;0,1,0)+IF(LEN(K254)&gt;0,1,0)+IF(LEN(N254)&gt;0,1,0)+IF(LEN(O254)&gt;0,1,0)+IF(LEN(W254)&gt;0,1,0)+IF(LEN(X254)&gt;0,1,0)+IF(LEN(Y254)&gt;0,1,0)+IF(LEN(AG254)&gt;0,1,0)+IF(LEN(AI254)&gt;0,1,0)+IF(LEN(AJ254)&gt;0,1,0)+IF(LEN(AK254)&gt;0,1,0)+IF(LEN(AL254)&gt;0,1,0)+IF(LEN(AU254)&gt;0,1,0)+IF(LEN(BF254)&gt;0,1,0)+IF(LEN(BS254)&gt;0,1,0))/21,2))</f>
        <v/>
      </c>
      <c r="BY254" s="10" t="str">
        <f aca="false">IF(D254="","",IF(AND(AJ254="Approved",ISERROR(SEARCH("FAIL",BC254))),"Y","N"))</f>
        <v/>
      </c>
      <c r="BZ254" s="10" t="str">
        <f aca="false">IF(D254="","",D254&amp;"|"&amp;F254&amp;"|"&amp;G254&amp;"|"&amp;BY254)</f>
        <v/>
      </c>
    </row>
    <row r="255" customFormat="false" ht="15" hidden="false" customHeight="false" outlineLevel="0" collapsed="false">
      <c r="A255" s="10" t="str">
        <f aca="false">IF(D255="","","LKW-"&amp;IFERROR(VLOOKUP(D255,Lists!$AQ$4:$AR$17,2,0),"??")&amp;"-W"&amp;TEXT(F255*1000,"0000")&amp;"-H"&amp;TEXT(G255*1000,"0000")&amp;"-B"&amp;TEXT(H255*1000,"0000")&amp;"-"&amp;AI255)</f>
        <v/>
      </c>
      <c r="B255" s="10" t="str">
        <f aca="false">IF(D255="","",D255&amp;", "&amp;F255&amp;" m wide, "&amp;G255&amp;" m headroom, "&amp;H255&amp;" m bays, "&amp;I255&amp;" ("&amp;E255&amp;")")</f>
        <v/>
      </c>
      <c r="C255" s="9"/>
      <c r="D255" s="9"/>
      <c r="E255" s="9"/>
      <c r="F255" s="42"/>
      <c r="G255" s="42"/>
      <c r="H255" s="42"/>
      <c r="I255" s="9"/>
      <c r="J255" s="9"/>
      <c r="K255" s="9"/>
      <c r="L255" s="9"/>
      <c r="M255" s="9"/>
      <c r="N255" s="9"/>
      <c r="O255" s="9"/>
      <c r="P255" s="9"/>
      <c r="Q255" s="9"/>
      <c r="R255" s="9"/>
      <c r="S255" s="42"/>
      <c r="T255" s="9"/>
      <c r="U255" s="9"/>
      <c r="V255" s="9"/>
      <c r="W255" s="38"/>
      <c r="X255" s="42"/>
      <c r="Y255" s="9"/>
      <c r="Z255" s="9"/>
      <c r="AA255" s="9"/>
      <c r="AB255" s="42"/>
      <c r="AC255" s="9"/>
      <c r="AD255" s="38"/>
      <c r="AE255" s="9"/>
      <c r="AF255" s="39"/>
      <c r="AG255" s="9"/>
      <c r="AH255" s="9"/>
      <c r="AI255" s="9"/>
      <c r="AJ255" s="9"/>
      <c r="AK255" s="9"/>
      <c r="AL255" s="9"/>
      <c r="AM255" s="9"/>
      <c r="AN255" s="10" t="str">
        <f aca="false">IF(A255="","",SG_Criteria!$B$6&amp;SG_Criteria!$B$12&amp;"\"&amp;A255&amp;"\")</f>
        <v/>
      </c>
      <c r="AO255" s="10" t="str">
        <f aca="false">IF(A255="","",A255&amp;"_CAD.dwg")</f>
        <v/>
      </c>
      <c r="AP255" s="10" t="str">
        <f aca="false">IF(A255="","",A255&amp;"_DWG.pdf")</f>
        <v/>
      </c>
      <c r="AQ255" s="10" t="str">
        <f aca="false">IF(A255="","",IF(AM255="Y",A255&amp;"_STAAD.std","n/a"))</f>
        <v/>
      </c>
      <c r="AR255" s="10" t="str">
        <f aca="false">IF(A255="","",A255&amp;"_CALC.xlsx")</f>
        <v/>
      </c>
      <c r="AS255" s="10" t="str">
        <f aca="false">IF(A255="","",A255&amp;"_CALC.pdf")</f>
        <v/>
      </c>
      <c r="AT255" s="9"/>
      <c r="AU255" s="9"/>
      <c r="AV255" s="39"/>
      <c r="AW255" s="39"/>
      <c r="AX255" s="39"/>
      <c r="AY255" s="39"/>
      <c r="AZ255" s="39"/>
      <c r="BA255" s="12" t="str">
        <f aca="false">IF(A255="","",IF(COUNTIF(Rebar_Schedule!$A$5:$A$2004,A255)=0,"",ROUND(SUMIF(Rebar_Schedule!$A$5:$A$2004,A255,Rebar_Schedule!$K$5:$K$2004),1)))</f>
        <v/>
      </c>
      <c r="BB255" s="33" t="str">
        <f aca="false">IF(A255="","",IF(BA255="","No rebar schedule yet",IF(ABS(BA255-N(AW255))/MAX(N(AW255),1)&gt;SG_Criteria!$B$55,"NOTE: register rebar differs from schedule by "&amp;TEXT(ABS(BA255-N(AW255))/MAX(N(AW255),1),"0%"),"OK")))</f>
        <v/>
      </c>
      <c r="BC255" s="33" t="str">
        <f aca="false">IF(D255="","",IF(LEN(IF(AND(D255&lt;&gt;"High Covered Linkway",G255&lt;SG_Criteria!$B$46),"FAIL: headroom below "&amp;SG_Criteria!$B$46&amp;" m. ","")&amp;IF(AND(D255="High Covered Linkway",G255&lt;SG_Criteria!$B$47),"FAIL: high linkway headroom below "&amp;SG_Criteria!$B$47&amp;" m. ","")&amp;IF(F255&lt;SG_Criteria!$B$48,"FAIL: roof width below "&amp;SG_Criteria!$B$48&amp;" m. ",IF(F255&lt;SG_Criteria!$B$49,"NOTE: not for MRT/LRT or high-traffic routes (min "&amp;SG_Criteria!$B$49&amp;" m). ",""))&amp;IF(AND(W255&lt;&gt;"",W255&lt;SG_Criteria!$B$50),"FAIL: wind speed below "&amp;SG_Criteria!$B$50&amp;" m/s. ","")&amp;IF(AND(X255&lt;&gt;"",X255&lt;SG_Criteria!$B$51),"FAIL: roof fixing pull-out below "&amp;SG_Criteria!$B$51&amp;" kN. ","")&amp;IF(AND(Y255&lt;&gt;"",IFERROR(VALUE(MID(Y255,2,2)),0)&lt;SG_Criteria!$B$52),"FAIL: grade below C"&amp;SG_Criteria!$B$52&amp;". ","")&amp;IF(E255="Non-standard (project design)","NOTE: not an SDRE standard, needs LTA acceptance. ",""))=0,"OK",IF(AND(D255&lt;&gt;"High Covered Linkway",G255&lt;SG_Criteria!$B$46),"FAIL: headroom below "&amp;SG_Criteria!$B$46&amp;" m. ","")&amp;IF(AND(D255="High Covered Linkway",G255&lt;SG_Criteria!$B$47),"FAIL: high linkway headroom below "&amp;SG_Criteria!$B$47&amp;" m. ","")&amp;IF(F255&lt;SG_Criteria!$B$48,"FAIL: roof width below "&amp;SG_Criteria!$B$48&amp;" m. ",IF(F255&lt;SG_Criteria!$B$49,"NOTE: not for MRT/LRT or high-traffic routes (min "&amp;SG_Criteria!$B$49&amp;" m). ",""))&amp;IF(AND(W255&lt;&gt;"",W255&lt;SG_Criteria!$B$50),"FAIL: wind speed below "&amp;SG_Criteria!$B$50&amp;" m/s. ","")&amp;IF(AND(X255&lt;&gt;"",X255&lt;SG_Criteria!$B$51),"FAIL: roof fixing pull-out below "&amp;SG_Criteria!$B$51&amp;" kN. ","")&amp;IF(AND(Y255&lt;&gt;"",IFERROR(VALUE(MID(Y255,2,2)),0)&lt;SG_Criteria!$B$52),"FAIL: grade below C"&amp;SG_Criteria!$B$52&amp;". ","")&amp;IF(E255="Non-standard (project design)","NOTE: not an SDRE standard, needs LTA acceptance. ","")))</f>
        <v/>
      </c>
      <c r="BD255" s="9"/>
      <c r="BE255" s="9"/>
      <c r="BF255" s="9"/>
      <c r="BG255" s="10" t="str">
        <f aca="false">IF(BF255="","",IFERROR(VLOOKUP(BF255,Projects!$A$5:$D$504,2,0),"Ref not in Projects"))</f>
        <v/>
      </c>
      <c r="BH255" s="10" t="str">
        <f aca="false">IF(BF255="","",IFERROR(VLOOKUP(BF255,Projects!$A$5:$D$504,4,0),"Ref not in Projects"))</f>
        <v/>
      </c>
      <c r="BI255" s="9"/>
      <c r="BJ255" s="9"/>
      <c r="BK255" s="9"/>
      <c r="BL255" s="40"/>
      <c r="BM255" s="9"/>
      <c r="BN255" s="40"/>
      <c r="BO255" s="9"/>
      <c r="BP255" s="40"/>
      <c r="BQ255" s="9"/>
      <c r="BR255" s="9"/>
      <c r="BS255" s="9"/>
      <c r="BT255" s="40"/>
      <c r="BU255" s="40"/>
      <c r="BV255" s="36" t="str">
        <f aca="false">IF(BU255="","",EDATE(BU255,SG_Criteria!$B$54*12))</f>
        <v/>
      </c>
      <c r="BW255" s="33" t="str">
        <f aca="true">IF(A255="","",IF(BU255="","NOTE: not reviewed yet",IF(TODAY()&gt;BV255,"NOTE: review overdue","OK")))</f>
        <v/>
      </c>
      <c r="BX255" s="37" t="str">
        <f aca="false">IF(A255="","",ROUND((IF(LEN(D255)&gt;0,1,0)+IF(LEN(E255)&gt;0,1,0)+IF(LEN(F255)&gt;0,1,0)+IF(LEN(G255)&gt;0,1,0)+IF(LEN(H255)&gt;0,1,0)+IF(LEN(I255)&gt;0,1,0)+IF(LEN(J255)&gt;0,1,0)+IF(LEN(K255)&gt;0,1,0)+IF(LEN(N255)&gt;0,1,0)+IF(LEN(O255)&gt;0,1,0)+IF(LEN(W255)&gt;0,1,0)+IF(LEN(X255)&gt;0,1,0)+IF(LEN(Y255)&gt;0,1,0)+IF(LEN(AG255)&gt;0,1,0)+IF(LEN(AI255)&gt;0,1,0)+IF(LEN(AJ255)&gt;0,1,0)+IF(LEN(AK255)&gt;0,1,0)+IF(LEN(AL255)&gt;0,1,0)+IF(LEN(AU255)&gt;0,1,0)+IF(LEN(BF255)&gt;0,1,0)+IF(LEN(BS255)&gt;0,1,0))/21,2))</f>
        <v/>
      </c>
      <c r="BY255" s="10" t="str">
        <f aca="false">IF(D255="","",IF(AND(AJ255="Approved",ISERROR(SEARCH("FAIL",BC255))),"Y","N"))</f>
        <v/>
      </c>
      <c r="BZ255" s="10" t="str">
        <f aca="false">IF(D255="","",D255&amp;"|"&amp;F255&amp;"|"&amp;G255&amp;"|"&amp;BY255)</f>
        <v/>
      </c>
    </row>
    <row r="256" customFormat="false" ht="15" hidden="false" customHeight="false" outlineLevel="0" collapsed="false">
      <c r="A256" s="10" t="str">
        <f aca="false">IF(D256="","","LKW-"&amp;IFERROR(VLOOKUP(D256,Lists!$AQ$4:$AR$17,2,0),"??")&amp;"-W"&amp;TEXT(F256*1000,"0000")&amp;"-H"&amp;TEXT(G256*1000,"0000")&amp;"-B"&amp;TEXT(H256*1000,"0000")&amp;"-"&amp;AI256)</f>
        <v/>
      </c>
      <c r="B256" s="10" t="str">
        <f aca="false">IF(D256="","",D256&amp;", "&amp;F256&amp;" m wide, "&amp;G256&amp;" m headroom, "&amp;H256&amp;" m bays, "&amp;I256&amp;" ("&amp;E256&amp;")")</f>
        <v/>
      </c>
      <c r="C256" s="9"/>
      <c r="D256" s="9"/>
      <c r="E256" s="9"/>
      <c r="F256" s="42"/>
      <c r="G256" s="42"/>
      <c r="H256" s="42"/>
      <c r="I256" s="9"/>
      <c r="J256" s="9"/>
      <c r="K256" s="9"/>
      <c r="L256" s="9"/>
      <c r="M256" s="9"/>
      <c r="N256" s="9"/>
      <c r="O256" s="9"/>
      <c r="P256" s="9"/>
      <c r="Q256" s="9"/>
      <c r="R256" s="9"/>
      <c r="S256" s="42"/>
      <c r="T256" s="9"/>
      <c r="U256" s="9"/>
      <c r="V256" s="9"/>
      <c r="W256" s="38"/>
      <c r="X256" s="42"/>
      <c r="Y256" s="9"/>
      <c r="Z256" s="9"/>
      <c r="AA256" s="9"/>
      <c r="AB256" s="42"/>
      <c r="AC256" s="9"/>
      <c r="AD256" s="38"/>
      <c r="AE256" s="9"/>
      <c r="AF256" s="39"/>
      <c r="AG256" s="9"/>
      <c r="AH256" s="9"/>
      <c r="AI256" s="9"/>
      <c r="AJ256" s="9"/>
      <c r="AK256" s="9"/>
      <c r="AL256" s="9"/>
      <c r="AM256" s="9"/>
      <c r="AN256" s="10" t="str">
        <f aca="false">IF(A256="","",SG_Criteria!$B$6&amp;SG_Criteria!$B$12&amp;"\"&amp;A256&amp;"\")</f>
        <v/>
      </c>
      <c r="AO256" s="10" t="str">
        <f aca="false">IF(A256="","",A256&amp;"_CAD.dwg")</f>
        <v/>
      </c>
      <c r="AP256" s="10" t="str">
        <f aca="false">IF(A256="","",A256&amp;"_DWG.pdf")</f>
        <v/>
      </c>
      <c r="AQ256" s="10" t="str">
        <f aca="false">IF(A256="","",IF(AM256="Y",A256&amp;"_STAAD.std","n/a"))</f>
        <v/>
      </c>
      <c r="AR256" s="10" t="str">
        <f aca="false">IF(A256="","",A256&amp;"_CALC.xlsx")</f>
        <v/>
      </c>
      <c r="AS256" s="10" t="str">
        <f aca="false">IF(A256="","",A256&amp;"_CALC.pdf")</f>
        <v/>
      </c>
      <c r="AT256" s="9"/>
      <c r="AU256" s="9"/>
      <c r="AV256" s="39"/>
      <c r="AW256" s="39"/>
      <c r="AX256" s="39"/>
      <c r="AY256" s="39"/>
      <c r="AZ256" s="39"/>
      <c r="BA256" s="12" t="str">
        <f aca="false">IF(A256="","",IF(COUNTIF(Rebar_Schedule!$A$5:$A$2004,A256)=0,"",ROUND(SUMIF(Rebar_Schedule!$A$5:$A$2004,A256,Rebar_Schedule!$K$5:$K$2004),1)))</f>
        <v/>
      </c>
      <c r="BB256" s="33" t="str">
        <f aca="false">IF(A256="","",IF(BA256="","No rebar schedule yet",IF(ABS(BA256-N(AW256))/MAX(N(AW256),1)&gt;SG_Criteria!$B$55,"NOTE: register rebar differs from schedule by "&amp;TEXT(ABS(BA256-N(AW256))/MAX(N(AW256),1),"0%"),"OK")))</f>
        <v/>
      </c>
      <c r="BC256" s="33" t="str">
        <f aca="false">IF(D256="","",IF(LEN(IF(AND(D256&lt;&gt;"High Covered Linkway",G256&lt;SG_Criteria!$B$46),"FAIL: headroom below "&amp;SG_Criteria!$B$46&amp;" m. ","")&amp;IF(AND(D256="High Covered Linkway",G256&lt;SG_Criteria!$B$47),"FAIL: high linkway headroom below "&amp;SG_Criteria!$B$47&amp;" m. ","")&amp;IF(F256&lt;SG_Criteria!$B$48,"FAIL: roof width below "&amp;SG_Criteria!$B$48&amp;" m. ",IF(F256&lt;SG_Criteria!$B$49,"NOTE: not for MRT/LRT or high-traffic routes (min "&amp;SG_Criteria!$B$49&amp;" m). ",""))&amp;IF(AND(W256&lt;&gt;"",W256&lt;SG_Criteria!$B$50),"FAIL: wind speed below "&amp;SG_Criteria!$B$50&amp;" m/s. ","")&amp;IF(AND(X256&lt;&gt;"",X256&lt;SG_Criteria!$B$51),"FAIL: roof fixing pull-out below "&amp;SG_Criteria!$B$51&amp;" kN. ","")&amp;IF(AND(Y256&lt;&gt;"",IFERROR(VALUE(MID(Y256,2,2)),0)&lt;SG_Criteria!$B$52),"FAIL: grade below C"&amp;SG_Criteria!$B$52&amp;". ","")&amp;IF(E256="Non-standard (project design)","NOTE: not an SDRE standard, needs LTA acceptance. ",""))=0,"OK",IF(AND(D256&lt;&gt;"High Covered Linkway",G256&lt;SG_Criteria!$B$46),"FAIL: headroom below "&amp;SG_Criteria!$B$46&amp;" m. ","")&amp;IF(AND(D256="High Covered Linkway",G256&lt;SG_Criteria!$B$47),"FAIL: high linkway headroom below "&amp;SG_Criteria!$B$47&amp;" m. ","")&amp;IF(F256&lt;SG_Criteria!$B$48,"FAIL: roof width below "&amp;SG_Criteria!$B$48&amp;" m. ",IF(F256&lt;SG_Criteria!$B$49,"NOTE: not for MRT/LRT or high-traffic routes (min "&amp;SG_Criteria!$B$49&amp;" m). ",""))&amp;IF(AND(W256&lt;&gt;"",W256&lt;SG_Criteria!$B$50),"FAIL: wind speed below "&amp;SG_Criteria!$B$50&amp;" m/s. ","")&amp;IF(AND(X256&lt;&gt;"",X256&lt;SG_Criteria!$B$51),"FAIL: roof fixing pull-out below "&amp;SG_Criteria!$B$51&amp;" kN. ","")&amp;IF(AND(Y256&lt;&gt;"",IFERROR(VALUE(MID(Y256,2,2)),0)&lt;SG_Criteria!$B$52),"FAIL: grade below C"&amp;SG_Criteria!$B$52&amp;". ","")&amp;IF(E256="Non-standard (project design)","NOTE: not an SDRE standard, needs LTA acceptance. ","")))</f>
        <v/>
      </c>
      <c r="BD256" s="9"/>
      <c r="BE256" s="9"/>
      <c r="BF256" s="9"/>
      <c r="BG256" s="10" t="str">
        <f aca="false">IF(BF256="","",IFERROR(VLOOKUP(BF256,Projects!$A$5:$D$504,2,0),"Ref not in Projects"))</f>
        <v/>
      </c>
      <c r="BH256" s="10" t="str">
        <f aca="false">IF(BF256="","",IFERROR(VLOOKUP(BF256,Projects!$A$5:$D$504,4,0),"Ref not in Projects"))</f>
        <v/>
      </c>
      <c r="BI256" s="9"/>
      <c r="BJ256" s="9"/>
      <c r="BK256" s="9"/>
      <c r="BL256" s="40"/>
      <c r="BM256" s="9"/>
      <c r="BN256" s="40"/>
      <c r="BO256" s="9"/>
      <c r="BP256" s="40"/>
      <c r="BQ256" s="9"/>
      <c r="BR256" s="9"/>
      <c r="BS256" s="9"/>
      <c r="BT256" s="40"/>
      <c r="BU256" s="40"/>
      <c r="BV256" s="36" t="str">
        <f aca="false">IF(BU256="","",EDATE(BU256,SG_Criteria!$B$54*12))</f>
        <v/>
      </c>
      <c r="BW256" s="33" t="str">
        <f aca="true">IF(A256="","",IF(BU256="","NOTE: not reviewed yet",IF(TODAY()&gt;BV256,"NOTE: review overdue","OK")))</f>
        <v/>
      </c>
      <c r="BX256" s="37" t="str">
        <f aca="false">IF(A256="","",ROUND((IF(LEN(D256)&gt;0,1,0)+IF(LEN(E256)&gt;0,1,0)+IF(LEN(F256)&gt;0,1,0)+IF(LEN(G256)&gt;0,1,0)+IF(LEN(H256)&gt;0,1,0)+IF(LEN(I256)&gt;0,1,0)+IF(LEN(J256)&gt;0,1,0)+IF(LEN(K256)&gt;0,1,0)+IF(LEN(N256)&gt;0,1,0)+IF(LEN(O256)&gt;0,1,0)+IF(LEN(W256)&gt;0,1,0)+IF(LEN(X256)&gt;0,1,0)+IF(LEN(Y256)&gt;0,1,0)+IF(LEN(AG256)&gt;0,1,0)+IF(LEN(AI256)&gt;0,1,0)+IF(LEN(AJ256)&gt;0,1,0)+IF(LEN(AK256)&gt;0,1,0)+IF(LEN(AL256)&gt;0,1,0)+IF(LEN(AU256)&gt;0,1,0)+IF(LEN(BF256)&gt;0,1,0)+IF(LEN(BS256)&gt;0,1,0))/21,2))</f>
        <v/>
      </c>
      <c r="BY256" s="10" t="str">
        <f aca="false">IF(D256="","",IF(AND(AJ256="Approved",ISERROR(SEARCH("FAIL",BC256))),"Y","N"))</f>
        <v/>
      </c>
      <c r="BZ256" s="10" t="str">
        <f aca="false">IF(D256="","",D256&amp;"|"&amp;F256&amp;"|"&amp;G256&amp;"|"&amp;BY256)</f>
        <v/>
      </c>
    </row>
    <row r="257" customFormat="false" ht="15" hidden="false" customHeight="false" outlineLevel="0" collapsed="false">
      <c r="A257" s="10" t="str">
        <f aca="false">IF(D257="","","LKW-"&amp;IFERROR(VLOOKUP(D257,Lists!$AQ$4:$AR$17,2,0),"??")&amp;"-W"&amp;TEXT(F257*1000,"0000")&amp;"-H"&amp;TEXT(G257*1000,"0000")&amp;"-B"&amp;TEXT(H257*1000,"0000")&amp;"-"&amp;AI257)</f>
        <v/>
      </c>
      <c r="B257" s="10" t="str">
        <f aca="false">IF(D257="","",D257&amp;", "&amp;F257&amp;" m wide, "&amp;G257&amp;" m headroom, "&amp;H257&amp;" m bays, "&amp;I257&amp;" ("&amp;E257&amp;")")</f>
        <v/>
      </c>
      <c r="C257" s="9"/>
      <c r="D257" s="9"/>
      <c r="E257" s="9"/>
      <c r="F257" s="42"/>
      <c r="G257" s="42"/>
      <c r="H257" s="42"/>
      <c r="I257" s="9"/>
      <c r="J257" s="9"/>
      <c r="K257" s="9"/>
      <c r="L257" s="9"/>
      <c r="M257" s="9"/>
      <c r="N257" s="9"/>
      <c r="O257" s="9"/>
      <c r="P257" s="9"/>
      <c r="Q257" s="9"/>
      <c r="R257" s="9"/>
      <c r="S257" s="42"/>
      <c r="T257" s="9"/>
      <c r="U257" s="9"/>
      <c r="V257" s="9"/>
      <c r="W257" s="38"/>
      <c r="X257" s="42"/>
      <c r="Y257" s="9"/>
      <c r="Z257" s="9"/>
      <c r="AA257" s="9"/>
      <c r="AB257" s="42"/>
      <c r="AC257" s="9"/>
      <c r="AD257" s="38"/>
      <c r="AE257" s="9"/>
      <c r="AF257" s="39"/>
      <c r="AG257" s="9"/>
      <c r="AH257" s="9"/>
      <c r="AI257" s="9"/>
      <c r="AJ257" s="9"/>
      <c r="AK257" s="9"/>
      <c r="AL257" s="9"/>
      <c r="AM257" s="9"/>
      <c r="AN257" s="10" t="str">
        <f aca="false">IF(A257="","",SG_Criteria!$B$6&amp;SG_Criteria!$B$12&amp;"\"&amp;A257&amp;"\")</f>
        <v/>
      </c>
      <c r="AO257" s="10" t="str">
        <f aca="false">IF(A257="","",A257&amp;"_CAD.dwg")</f>
        <v/>
      </c>
      <c r="AP257" s="10" t="str">
        <f aca="false">IF(A257="","",A257&amp;"_DWG.pdf")</f>
        <v/>
      </c>
      <c r="AQ257" s="10" t="str">
        <f aca="false">IF(A257="","",IF(AM257="Y",A257&amp;"_STAAD.std","n/a"))</f>
        <v/>
      </c>
      <c r="AR257" s="10" t="str">
        <f aca="false">IF(A257="","",A257&amp;"_CALC.xlsx")</f>
        <v/>
      </c>
      <c r="AS257" s="10" t="str">
        <f aca="false">IF(A257="","",A257&amp;"_CALC.pdf")</f>
        <v/>
      </c>
      <c r="AT257" s="9"/>
      <c r="AU257" s="9"/>
      <c r="AV257" s="39"/>
      <c r="AW257" s="39"/>
      <c r="AX257" s="39"/>
      <c r="AY257" s="39"/>
      <c r="AZ257" s="39"/>
      <c r="BA257" s="12" t="str">
        <f aca="false">IF(A257="","",IF(COUNTIF(Rebar_Schedule!$A$5:$A$2004,A257)=0,"",ROUND(SUMIF(Rebar_Schedule!$A$5:$A$2004,A257,Rebar_Schedule!$K$5:$K$2004),1)))</f>
        <v/>
      </c>
      <c r="BB257" s="33" t="str">
        <f aca="false">IF(A257="","",IF(BA257="","No rebar schedule yet",IF(ABS(BA257-N(AW257))/MAX(N(AW257),1)&gt;SG_Criteria!$B$55,"NOTE: register rebar differs from schedule by "&amp;TEXT(ABS(BA257-N(AW257))/MAX(N(AW257),1),"0%"),"OK")))</f>
        <v/>
      </c>
      <c r="BC257" s="33" t="str">
        <f aca="false">IF(D257="","",IF(LEN(IF(AND(D257&lt;&gt;"High Covered Linkway",G257&lt;SG_Criteria!$B$46),"FAIL: headroom below "&amp;SG_Criteria!$B$46&amp;" m. ","")&amp;IF(AND(D257="High Covered Linkway",G257&lt;SG_Criteria!$B$47),"FAIL: high linkway headroom below "&amp;SG_Criteria!$B$47&amp;" m. ","")&amp;IF(F257&lt;SG_Criteria!$B$48,"FAIL: roof width below "&amp;SG_Criteria!$B$48&amp;" m. ",IF(F257&lt;SG_Criteria!$B$49,"NOTE: not for MRT/LRT or high-traffic routes (min "&amp;SG_Criteria!$B$49&amp;" m). ",""))&amp;IF(AND(W257&lt;&gt;"",W257&lt;SG_Criteria!$B$50),"FAIL: wind speed below "&amp;SG_Criteria!$B$50&amp;" m/s. ","")&amp;IF(AND(X257&lt;&gt;"",X257&lt;SG_Criteria!$B$51),"FAIL: roof fixing pull-out below "&amp;SG_Criteria!$B$51&amp;" kN. ","")&amp;IF(AND(Y257&lt;&gt;"",IFERROR(VALUE(MID(Y257,2,2)),0)&lt;SG_Criteria!$B$52),"FAIL: grade below C"&amp;SG_Criteria!$B$52&amp;". ","")&amp;IF(E257="Non-standard (project design)","NOTE: not an SDRE standard, needs LTA acceptance. ",""))=0,"OK",IF(AND(D257&lt;&gt;"High Covered Linkway",G257&lt;SG_Criteria!$B$46),"FAIL: headroom below "&amp;SG_Criteria!$B$46&amp;" m. ","")&amp;IF(AND(D257="High Covered Linkway",G257&lt;SG_Criteria!$B$47),"FAIL: high linkway headroom below "&amp;SG_Criteria!$B$47&amp;" m. ","")&amp;IF(F257&lt;SG_Criteria!$B$48,"FAIL: roof width below "&amp;SG_Criteria!$B$48&amp;" m. ",IF(F257&lt;SG_Criteria!$B$49,"NOTE: not for MRT/LRT or high-traffic routes (min "&amp;SG_Criteria!$B$49&amp;" m). ",""))&amp;IF(AND(W257&lt;&gt;"",W257&lt;SG_Criteria!$B$50),"FAIL: wind speed below "&amp;SG_Criteria!$B$50&amp;" m/s. ","")&amp;IF(AND(X257&lt;&gt;"",X257&lt;SG_Criteria!$B$51),"FAIL: roof fixing pull-out below "&amp;SG_Criteria!$B$51&amp;" kN. ","")&amp;IF(AND(Y257&lt;&gt;"",IFERROR(VALUE(MID(Y257,2,2)),0)&lt;SG_Criteria!$B$52),"FAIL: grade below C"&amp;SG_Criteria!$B$52&amp;". ","")&amp;IF(E257="Non-standard (project design)","NOTE: not an SDRE standard, needs LTA acceptance. ","")))</f>
        <v/>
      </c>
      <c r="BD257" s="9"/>
      <c r="BE257" s="9"/>
      <c r="BF257" s="9"/>
      <c r="BG257" s="10" t="str">
        <f aca="false">IF(BF257="","",IFERROR(VLOOKUP(BF257,Projects!$A$5:$D$504,2,0),"Ref not in Projects"))</f>
        <v/>
      </c>
      <c r="BH257" s="10" t="str">
        <f aca="false">IF(BF257="","",IFERROR(VLOOKUP(BF257,Projects!$A$5:$D$504,4,0),"Ref not in Projects"))</f>
        <v/>
      </c>
      <c r="BI257" s="9"/>
      <c r="BJ257" s="9"/>
      <c r="BK257" s="9"/>
      <c r="BL257" s="40"/>
      <c r="BM257" s="9"/>
      <c r="BN257" s="40"/>
      <c r="BO257" s="9"/>
      <c r="BP257" s="40"/>
      <c r="BQ257" s="9"/>
      <c r="BR257" s="9"/>
      <c r="BS257" s="9"/>
      <c r="BT257" s="40"/>
      <c r="BU257" s="40"/>
      <c r="BV257" s="36" t="str">
        <f aca="false">IF(BU257="","",EDATE(BU257,SG_Criteria!$B$54*12))</f>
        <v/>
      </c>
      <c r="BW257" s="33" t="str">
        <f aca="true">IF(A257="","",IF(BU257="","NOTE: not reviewed yet",IF(TODAY()&gt;BV257,"NOTE: review overdue","OK")))</f>
        <v/>
      </c>
      <c r="BX257" s="37" t="str">
        <f aca="false">IF(A257="","",ROUND((IF(LEN(D257)&gt;0,1,0)+IF(LEN(E257)&gt;0,1,0)+IF(LEN(F257)&gt;0,1,0)+IF(LEN(G257)&gt;0,1,0)+IF(LEN(H257)&gt;0,1,0)+IF(LEN(I257)&gt;0,1,0)+IF(LEN(J257)&gt;0,1,0)+IF(LEN(K257)&gt;0,1,0)+IF(LEN(N257)&gt;0,1,0)+IF(LEN(O257)&gt;0,1,0)+IF(LEN(W257)&gt;0,1,0)+IF(LEN(X257)&gt;0,1,0)+IF(LEN(Y257)&gt;0,1,0)+IF(LEN(AG257)&gt;0,1,0)+IF(LEN(AI257)&gt;0,1,0)+IF(LEN(AJ257)&gt;0,1,0)+IF(LEN(AK257)&gt;0,1,0)+IF(LEN(AL257)&gt;0,1,0)+IF(LEN(AU257)&gt;0,1,0)+IF(LEN(BF257)&gt;0,1,0)+IF(LEN(BS257)&gt;0,1,0))/21,2))</f>
        <v/>
      </c>
      <c r="BY257" s="10" t="str">
        <f aca="false">IF(D257="","",IF(AND(AJ257="Approved",ISERROR(SEARCH("FAIL",BC257))),"Y","N"))</f>
        <v/>
      </c>
      <c r="BZ257" s="10" t="str">
        <f aca="false">IF(D257="","",D257&amp;"|"&amp;F257&amp;"|"&amp;G257&amp;"|"&amp;BY257)</f>
        <v/>
      </c>
    </row>
    <row r="258" customFormat="false" ht="15" hidden="false" customHeight="false" outlineLevel="0" collapsed="false">
      <c r="A258" s="10" t="str">
        <f aca="false">IF(D258="","","LKW-"&amp;IFERROR(VLOOKUP(D258,Lists!$AQ$4:$AR$17,2,0),"??")&amp;"-W"&amp;TEXT(F258*1000,"0000")&amp;"-H"&amp;TEXT(G258*1000,"0000")&amp;"-B"&amp;TEXT(H258*1000,"0000")&amp;"-"&amp;AI258)</f>
        <v/>
      </c>
      <c r="B258" s="10" t="str">
        <f aca="false">IF(D258="","",D258&amp;", "&amp;F258&amp;" m wide, "&amp;G258&amp;" m headroom, "&amp;H258&amp;" m bays, "&amp;I258&amp;" ("&amp;E258&amp;")")</f>
        <v/>
      </c>
      <c r="C258" s="9"/>
      <c r="D258" s="9"/>
      <c r="E258" s="9"/>
      <c r="F258" s="42"/>
      <c r="G258" s="42"/>
      <c r="H258" s="42"/>
      <c r="I258" s="9"/>
      <c r="J258" s="9"/>
      <c r="K258" s="9"/>
      <c r="L258" s="9"/>
      <c r="M258" s="9"/>
      <c r="N258" s="9"/>
      <c r="O258" s="9"/>
      <c r="P258" s="9"/>
      <c r="Q258" s="9"/>
      <c r="R258" s="9"/>
      <c r="S258" s="42"/>
      <c r="T258" s="9"/>
      <c r="U258" s="9"/>
      <c r="V258" s="9"/>
      <c r="W258" s="38"/>
      <c r="X258" s="42"/>
      <c r="Y258" s="9"/>
      <c r="Z258" s="9"/>
      <c r="AA258" s="9"/>
      <c r="AB258" s="42"/>
      <c r="AC258" s="9"/>
      <c r="AD258" s="38"/>
      <c r="AE258" s="9"/>
      <c r="AF258" s="39"/>
      <c r="AG258" s="9"/>
      <c r="AH258" s="9"/>
      <c r="AI258" s="9"/>
      <c r="AJ258" s="9"/>
      <c r="AK258" s="9"/>
      <c r="AL258" s="9"/>
      <c r="AM258" s="9"/>
      <c r="AN258" s="10" t="str">
        <f aca="false">IF(A258="","",SG_Criteria!$B$6&amp;SG_Criteria!$B$12&amp;"\"&amp;A258&amp;"\")</f>
        <v/>
      </c>
      <c r="AO258" s="10" t="str">
        <f aca="false">IF(A258="","",A258&amp;"_CAD.dwg")</f>
        <v/>
      </c>
      <c r="AP258" s="10" t="str">
        <f aca="false">IF(A258="","",A258&amp;"_DWG.pdf")</f>
        <v/>
      </c>
      <c r="AQ258" s="10" t="str">
        <f aca="false">IF(A258="","",IF(AM258="Y",A258&amp;"_STAAD.std","n/a"))</f>
        <v/>
      </c>
      <c r="AR258" s="10" t="str">
        <f aca="false">IF(A258="","",A258&amp;"_CALC.xlsx")</f>
        <v/>
      </c>
      <c r="AS258" s="10" t="str">
        <f aca="false">IF(A258="","",A258&amp;"_CALC.pdf")</f>
        <v/>
      </c>
      <c r="AT258" s="9"/>
      <c r="AU258" s="9"/>
      <c r="AV258" s="39"/>
      <c r="AW258" s="39"/>
      <c r="AX258" s="39"/>
      <c r="AY258" s="39"/>
      <c r="AZ258" s="39"/>
      <c r="BA258" s="12" t="str">
        <f aca="false">IF(A258="","",IF(COUNTIF(Rebar_Schedule!$A$5:$A$2004,A258)=0,"",ROUND(SUMIF(Rebar_Schedule!$A$5:$A$2004,A258,Rebar_Schedule!$K$5:$K$2004),1)))</f>
        <v/>
      </c>
      <c r="BB258" s="33" t="str">
        <f aca="false">IF(A258="","",IF(BA258="","No rebar schedule yet",IF(ABS(BA258-N(AW258))/MAX(N(AW258),1)&gt;SG_Criteria!$B$55,"NOTE: register rebar differs from schedule by "&amp;TEXT(ABS(BA258-N(AW258))/MAX(N(AW258),1),"0%"),"OK")))</f>
        <v/>
      </c>
      <c r="BC258" s="33" t="str">
        <f aca="false">IF(D258="","",IF(LEN(IF(AND(D258&lt;&gt;"High Covered Linkway",G258&lt;SG_Criteria!$B$46),"FAIL: headroom below "&amp;SG_Criteria!$B$46&amp;" m. ","")&amp;IF(AND(D258="High Covered Linkway",G258&lt;SG_Criteria!$B$47),"FAIL: high linkway headroom below "&amp;SG_Criteria!$B$47&amp;" m. ","")&amp;IF(F258&lt;SG_Criteria!$B$48,"FAIL: roof width below "&amp;SG_Criteria!$B$48&amp;" m. ",IF(F258&lt;SG_Criteria!$B$49,"NOTE: not for MRT/LRT or high-traffic routes (min "&amp;SG_Criteria!$B$49&amp;" m). ",""))&amp;IF(AND(W258&lt;&gt;"",W258&lt;SG_Criteria!$B$50),"FAIL: wind speed below "&amp;SG_Criteria!$B$50&amp;" m/s. ","")&amp;IF(AND(X258&lt;&gt;"",X258&lt;SG_Criteria!$B$51),"FAIL: roof fixing pull-out below "&amp;SG_Criteria!$B$51&amp;" kN. ","")&amp;IF(AND(Y258&lt;&gt;"",IFERROR(VALUE(MID(Y258,2,2)),0)&lt;SG_Criteria!$B$52),"FAIL: grade below C"&amp;SG_Criteria!$B$52&amp;". ","")&amp;IF(E258="Non-standard (project design)","NOTE: not an SDRE standard, needs LTA acceptance. ",""))=0,"OK",IF(AND(D258&lt;&gt;"High Covered Linkway",G258&lt;SG_Criteria!$B$46),"FAIL: headroom below "&amp;SG_Criteria!$B$46&amp;" m. ","")&amp;IF(AND(D258="High Covered Linkway",G258&lt;SG_Criteria!$B$47),"FAIL: high linkway headroom below "&amp;SG_Criteria!$B$47&amp;" m. ","")&amp;IF(F258&lt;SG_Criteria!$B$48,"FAIL: roof width below "&amp;SG_Criteria!$B$48&amp;" m. ",IF(F258&lt;SG_Criteria!$B$49,"NOTE: not for MRT/LRT or high-traffic routes (min "&amp;SG_Criteria!$B$49&amp;" m). ",""))&amp;IF(AND(W258&lt;&gt;"",W258&lt;SG_Criteria!$B$50),"FAIL: wind speed below "&amp;SG_Criteria!$B$50&amp;" m/s. ","")&amp;IF(AND(X258&lt;&gt;"",X258&lt;SG_Criteria!$B$51),"FAIL: roof fixing pull-out below "&amp;SG_Criteria!$B$51&amp;" kN. ","")&amp;IF(AND(Y258&lt;&gt;"",IFERROR(VALUE(MID(Y258,2,2)),0)&lt;SG_Criteria!$B$52),"FAIL: grade below C"&amp;SG_Criteria!$B$52&amp;". ","")&amp;IF(E258="Non-standard (project design)","NOTE: not an SDRE standard, needs LTA acceptance. ","")))</f>
        <v/>
      </c>
      <c r="BD258" s="9"/>
      <c r="BE258" s="9"/>
      <c r="BF258" s="9"/>
      <c r="BG258" s="10" t="str">
        <f aca="false">IF(BF258="","",IFERROR(VLOOKUP(BF258,Projects!$A$5:$D$504,2,0),"Ref not in Projects"))</f>
        <v/>
      </c>
      <c r="BH258" s="10" t="str">
        <f aca="false">IF(BF258="","",IFERROR(VLOOKUP(BF258,Projects!$A$5:$D$504,4,0),"Ref not in Projects"))</f>
        <v/>
      </c>
      <c r="BI258" s="9"/>
      <c r="BJ258" s="9"/>
      <c r="BK258" s="9"/>
      <c r="BL258" s="40"/>
      <c r="BM258" s="9"/>
      <c r="BN258" s="40"/>
      <c r="BO258" s="9"/>
      <c r="BP258" s="40"/>
      <c r="BQ258" s="9"/>
      <c r="BR258" s="9"/>
      <c r="BS258" s="9"/>
      <c r="BT258" s="40"/>
      <c r="BU258" s="40"/>
      <c r="BV258" s="36" t="str">
        <f aca="false">IF(BU258="","",EDATE(BU258,SG_Criteria!$B$54*12))</f>
        <v/>
      </c>
      <c r="BW258" s="33" t="str">
        <f aca="true">IF(A258="","",IF(BU258="","NOTE: not reviewed yet",IF(TODAY()&gt;BV258,"NOTE: review overdue","OK")))</f>
        <v/>
      </c>
      <c r="BX258" s="37" t="str">
        <f aca="false">IF(A258="","",ROUND((IF(LEN(D258)&gt;0,1,0)+IF(LEN(E258)&gt;0,1,0)+IF(LEN(F258)&gt;0,1,0)+IF(LEN(G258)&gt;0,1,0)+IF(LEN(H258)&gt;0,1,0)+IF(LEN(I258)&gt;0,1,0)+IF(LEN(J258)&gt;0,1,0)+IF(LEN(K258)&gt;0,1,0)+IF(LEN(N258)&gt;0,1,0)+IF(LEN(O258)&gt;0,1,0)+IF(LEN(W258)&gt;0,1,0)+IF(LEN(X258)&gt;0,1,0)+IF(LEN(Y258)&gt;0,1,0)+IF(LEN(AG258)&gt;0,1,0)+IF(LEN(AI258)&gt;0,1,0)+IF(LEN(AJ258)&gt;0,1,0)+IF(LEN(AK258)&gt;0,1,0)+IF(LEN(AL258)&gt;0,1,0)+IF(LEN(AU258)&gt;0,1,0)+IF(LEN(BF258)&gt;0,1,0)+IF(LEN(BS258)&gt;0,1,0))/21,2))</f>
        <v/>
      </c>
      <c r="BY258" s="10" t="str">
        <f aca="false">IF(D258="","",IF(AND(AJ258="Approved",ISERROR(SEARCH("FAIL",BC258))),"Y","N"))</f>
        <v/>
      </c>
      <c r="BZ258" s="10" t="str">
        <f aca="false">IF(D258="","",D258&amp;"|"&amp;F258&amp;"|"&amp;G258&amp;"|"&amp;BY258)</f>
        <v/>
      </c>
    </row>
    <row r="259" customFormat="false" ht="15" hidden="false" customHeight="false" outlineLevel="0" collapsed="false">
      <c r="A259" s="10" t="str">
        <f aca="false">IF(D259="","","LKW-"&amp;IFERROR(VLOOKUP(D259,Lists!$AQ$4:$AR$17,2,0),"??")&amp;"-W"&amp;TEXT(F259*1000,"0000")&amp;"-H"&amp;TEXT(G259*1000,"0000")&amp;"-B"&amp;TEXT(H259*1000,"0000")&amp;"-"&amp;AI259)</f>
        <v/>
      </c>
      <c r="B259" s="10" t="str">
        <f aca="false">IF(D259="","",D259&amp;", "&amp;F259&amp;" m wide, "&amp;G259&amp;" m headroom, "&amp;H259&amp;" m bays, "&amp;I259&amp;" ("&amp;E259&amp;")")</f>
        <v/>
      </c>
      <c r="C259" s="9"/>
      <c r="D259" s="9"/>
      <c r="E259" s="9"/>
      <c r="F259" s="42"/>
      <c r="G259" s="42"/>
      <c r="H259" s="42"/>
      <c r="I259" s="9"/>
      <c r="J259" s="9"/>
      <c r="K259" s="9"/>
      <c r="L259" s="9"/>
      <c r="M259" s="9"/>
      <c r="N259" s="9"/>
      <c r="O259" s="9"/>
      <c r="P259" s="9"/>
      <c r="Q259" s="9"/>
      <c r="R259" s="9"/>
      <c r="S259" s="42"/>
      <c r="T259" s="9"/>
      <c r="U259" s="9"/>
      <c r="V259" s="9"/>
      <c r="W259" s="38"/>
      <c r="X259" s="42"/>
      <c r="Y259" s="9"/>
      <c r="Z259" s="9"/>
      <c r="AA259" s="9"/>
      <c r="AB259" s="42"/>
      <c r="AC259" s="9"/>
      <c r="AD259" s="38"/>
      <c r="AE259" s="9"/>
      <c r="AF259" s="39"/>
      <c r="AG259" s="9"/>
      <c r="AH259" s="9"/>
      <c r="AI259" s="9"/>
      <c r="AJ259" s="9"/>
      <c r="AK259" s="9"/>
      <c r="AL259" s="9"/>
      <c r="AM259" s="9"/>
      <c r="AN259" s="10" t="str">
        <f aca="false">IF(A259="","",SG_Criteria!$B$6&amp;SG_Criteria!$B$12&amp;"\"&amp;A259&amp;"\")</f>
        <v/>
      </c>
      <c r="AO259" s="10" t="str">
        <f aca="false">IF(A259="","",A259&amp;"_CAD.dwg")</f>
        <v/>
      </c>
      <c r="AP259" s="10" t="str">
        <f aca="false">IF(A259="","",A259&amp;"_DWG.pdf")</f>
        <v/>
      </c>
      <c r="AQ259" s="10" t="str">
        <f aca="false">IF(A259="","",IF(AM259="Y",A259&amp;"_STAAD.std","n/a"))</f>
        <v/>
      </c>
      <c r="AR259" s="10" t="str">
        <f aca="false">IF(A259="","",A259&amp;"_CALC.xlsx")</f>
        <v/>
      </c>
      <c r="AS259" s="10" t="str">
        <f aca="false">IF(A259="","",A259&amp;"_CALC.pdf")</f>
        <v/>
      </c>
      <c r="AT259" s="9"/>
      <c r="AU259" s="9"/>
      <c r="AV259" s="39"/>
      <c r="AW259" s="39"/>
      <c r="AX259" s="39"/>
      <c r="AY259" s="39"/>
      <c r="AZ259" s="39"/>
      <c r="BA259" s="12" t="str">
        <f aca="false">IF(A259="","",IF(COUNTIF(Rebar_Schedule!$A$5:$A$2004,A259)=0,"",ROUND(SUMIF(Rebar_Schedule!$A$5:$A$2004,A259,Rebar_Schedule!$K$5:$K$2004),1)))</f>
        <v/>
      </c>
      <c r="BB259" s="33" t="str">
        <f aca="false">IF(A259="","",IF(BA259="","No rebar schedule yet",IF(ABS(BA259-N(AW259))/MAX(N(AW259),1)&gt;SG_Criteria!$B$55,"NOTE: register rebar differs from schedule by "&amp;TEXT(ABS(BA259-N(AW259))/MAX(N(AW259),1),"0%"),"OK")))</f>
        <v/>
      </c>
      <c r="BC259" s="33" t="str">
        <f aca="false">IF(D259="","",IF(LEN(IF(AND(D259&lt;&gt;"High Covered Linkway",G259&lt;SG_Criteria!$B$46),"FAIL: headroom below "&amp;SG_Criteria!$B$46&amp;" m. ","")&amp;IF(AND(D259="High Covered Linkway",G259&lt;SG_Criteria!$B$47),"FAIL: high linkway headroom below "&amp;SG_Criteria!$B$47&amp;" m. ","")&amp;IF(F259&lt;SG_Criteria!$B$48,"FAIL: roof width below "&amp;SG_Criteria!$B$48&amp;" m. ",IF(F259&lt;SG_Criteria!$B$49,"NOTE: not for MRT/LRT or high-traffic routes (min "&amp;SG_Criteria!$B$49&amp;" m). ",""))&amp;IF(AND(W259&lt;&gt;"",W259&lt;SG_Criteria!$B$50),"FAIL: wind speed below "&amp;SG_Criteria!$B$50&amp;" m/s. ","")&amp;IF(AND(X259&lt;&gt;"",X259&lt;SG_Criteria!$B$51),"FAIL: roof fixing pull-out below "&amp;SG_Criteria!$B$51&amp;" kN. ","")&amp;IF(AND(Y259&lt;&gt;"",IFERROR(VALUE(MID(Y259,2,2)),0)&lt;SG_Criteria!$B$52),"FAIL: grade below C"&amp;SG_Criteria!$B$52&amp;". ","")&amp;IF(E259="Non-standard (project design)","NOTE: not an SDRE standard, needs LTA acceptance. ",""))=0,"OK",IF(AND(D259&lt;&gt;"High Covered Linkway",G259&lt;SG_Criteria!$B$46),"FAIL: headroom below "&amp;SG_Criteria!$B$46&amp;" m. ","")&amp;IF(AND(D259="High Covered Linkway",G259&lt;SG_Criteria!$B$47),"FAIL: high linkway headroom below "&amp;SG_Criteria!$B$47&amp;" m. ","")&amp;IF(F259&lt;SG_Criteria!$B$48,"FAIL: roof width below "&amp;SG_Criteria!$B$48&amp;" m. ",IF(F259&lt;SG_Criteria!$B$49,"NOTE: not for MRT/LRT or high-traffic routes (min "&amp;SG_Criteria!$B$49&amp;" m). ",""))&amp;IF(AND(W259&lt;&gt;"",W259&lt;SG_Criteria!$B$50),"FAIL: wind speed below "&amp;SG_Criteria!$B$50&amp;" m/s. ","")&amp;IF(AND(X259&lt;&gt;"",X259&lt;SG_Criteria!$B$51),"FAIL: roof fixing pull-out below "&amp;SG_Criteria!$B$51&amp;" kN. ","")&amp;IF(AND(Y259&lt;&gt;"",IFERROR(VALUE(MID(Y259,2,2)),0)&lt;SG_Criteria!$B$52),"FAIL: grade below C"&amp;SG_Criteria!$B$52&amp;". ","")&amp;IF(E259="Non-standard (project design)","NOTE: not an SDRE standard, needs LTA acceptance. ","")))</f>
        <v/>
      </c>
      <c r="BD259" s="9"/>
      <c r="BE259" s="9"/>
      <c r="BF259" s="9"/>
      <c r="BG259" s="10" t="str">
        <f aca="false">IF(BF259="","",IFERROR(VLOOKUP(BF259,Projects!$A$5:$D$504,2,0),"Ref not in Projects"))</f>
        <v/>
      </c>
      <c r="BH259" s="10" t="str">
        <f aca="false">IF(BF259="","",IFERROR(VLOOKUP(BF259,Projects!$A$5:$D$504,4,0),"Ref not in Projects"))</f>
        <v/>
      </c>
      <c r="BI259" s="9"/>
      <c r="BJ259" s="9"/>
      <c r="BK259" s="9"/>
      <c r="BL259" s="40"/>
      <c r="BM259" s="9"/>
      <c r="BN259" s="40"/>
      <c r="BO259" s="9"/>
      <c r="BP259" s="40"/>
      <c r="BQ259" s="9"/>
      <c r="BR259" s="9"/>
      <c r="BS259" s="9"/>
      <c r="BT259" s="40"/>
      <c r="BU259" s="40"/>
      <c r="BV259" s="36" t="str">
        <f aca="false">IF(BU259="","",EDATE(BU259,SG_Criteria!$B$54*12))</f>
        <v/>
      </c>
      <c r="BW259" s="33" t="str">
        <f aca="true">IF(A259="","",IF(BU259="","NOTE: not reviewed yet",IF(TODAY()&gt;BV259,"NOTE: review overdue","OK")))</f>
        <v/>
      </c>
      <c r="BX259" s="37" t="str">
        <f aca="false">IF(A259="","",ROUND((IF(LEN(D259)&gt;0,1,0)+IF(LEN(E259)&gt;0,1,0)+IF(LEN(F259)&gt;0,1,0)+IF(LEN(G259)&gt;0,1,0)+IF(LEN(H259)&gt;0,1,0)+IF(LEN(I259)&gt;0,1,0)+IF(LEN(J259)&gt;0,1,0)+IF(LEN(K259)&gt;0,1,0)+IF(LEN(N259)&gt;0,1,0)+IF(LEN(O259)&gt;0,1,0)+IF(LEN(W259)&gt;0,1,0)+IF(LEN(X259)&gt;0,1,0)+IF(LEN(Y259)&gt;0,1,0)+IF(LEN(AG259)&gt;0,1,0)+IF(LEN(AI259)&gt;0,1,0)+IF(LEN(AJ259)&gt;0,1,0)+IF(LEN(AK259)&gt;0,1,0)+IF(LEN(AL259)&gt;0,1,0)+IF(LEN(AU259)&gt;0,1,0)+IF(LEN(BF259)&gt;0,1,0)+IF(LEN(BS259)&gt;0,1,0))/21,2))</f>
        <v/>
      </c>
      <c r="BY259" s="10" t="str">
        <f aca="false">IF(D259="","",IF(AND(AJ259="Approved",ISERROR(SEARCH("FAIL",BC259))),"Y","N"))</f>
        <v/>
      </c>
      <c r="BZ259" s="10" t="str">
        <f aca="false">IF(D259="","",D259&amp;"|"&amp;F259&amp;"|"&amp;G259&amp;"|"&amp;BY259)</f>
        <v/>
      </c>
    </row>
    <row r="260" customFormat="false" ht="15" hidden="false" customHeight="false" outlineLevel="0" collapsed="false">
      <c r="A260" s="10" t="str">
        <f aca="false">IF(D260="","","LKW-"&amp;IFERROR(VLOOKUP(D260,Lists!$AQ$4:$AR$17,2,0),"??")&amp;"-W"&amp;TEXT(F260*1000,"0000")&amp;"-H"&amp;TEXT(G260*1000,"0000")&amp;"-B"&amp;TEXT(H260*1000,"0000")&amp;"-"&amp;AI260)</f>
        <v/>
      </c>
      <c r="B260" s="10" t="str">
        <f aca="false">IF(D260="","",D260&amp;", "&amp;F260&amp;" m wide, "&amp;G260&amp;" m headroom, "&amp;H260&amp;" m bays, "&amp;I260&amp;" ("&amp;E260&amp;")")</f>
        <v/>
      </c>
      <c r="C260" s="9"/>
      <c r="D260" s="9"/>
      <c r="E260" s="9"/>
      <c r="F260" s="42"/>
      <c r="G260" s="42"/>
      <c r="H260" s="42"/>
      <c r="I260" s="9"/>
      <c r="J260" s="9"/>
      <c r="K260" s="9"/>
      <c r="L260" s="9"/>
      <c r="M260" s="9"/>
      <c r="N260" s="9"/>
      <c r="O260" s="9"/>
      <c r="P260" s="9"/>
      <c r="Q260" s="9"/>
      <c r="R260" s="9"/>
      <c r="S260" s="42"/>
      <c r="T260" s="9"/>
      <c r="U260" s="9"/>
      <c r="V260" s="9"/>
      <c r="W260" s="38"/>
      <c r="X260" s="42"/>
      <c r="Y260" s="9"/>
      <c r="Z260" s="9"/>
      <c r="AA260" s="9"/>
      <c r="AB260" s="42"/>
      <c r="AC260" s="9"/>
      <c r="AD260" s="38"/>
      <c r="AE260" s="9"/>
      <c r="AF260" s="39"/>
      <c r="AG260" s="9"/>
      <c r="AH260" s="9"/>
      <c r="AI260" s="9"/>
      <c r="AJ260" s="9"/>
      <c r="AK260" s="9"/>
      <c r="AL260" s="9"/>
      <c r="AM260" s="9"/>
      <c r="AN260" s="10" t="str">
        <f aca="false">IF(A260="","",SG_Criteria!$B$6&amp;SG_Criteria!$B$12&amp;"\"&amp;A260&amp;"\")</f>
        <v/>
      </c>
      <c r="AO260" s="10" t="str">
        <f aca="false">IF(A260="","",A260&amp;"_CAD.dwg")</f>
        <v/>
      </c>
      <c r="AP260" s="10" t="str">
        <f aca="false">IF(A260="","",A260&amp;"_DWG.pdf")</f>
        <v/>
      </c>
      <c r="AQ260" s="10" t="str">
        <f aca="false">IF(A260="","",IF(AM260="Y",A260&amp;"_STAAD.std","n/a"))</f>
        <v/>
      </c>
      <c r="AR260" s="10" t="str">
        <f aca="false">IF(A260="","",A260&amp;"_CALC.xlsx")</f>
        <v/>
      </c>
      <c r="AS260" s="10" t="str">
        <f aca="false">IF(A260="","",A260&amp;"_CALC.pdf")</f>
        <v/>
      </c>
      <c r="AT260" s="9"/>
      <c r="AU260" s="9"/>
      <c r="AV260" s="39"/>
      <c r="AW260" s="39"/>
      <c r="AX260" s="39"/>
      <c r="AY260" s="39"/>
      <c r="AZ260" s="39"/>
      <c r="BA260" s="12" t="str">
        <f aca="false">IF(A260="","",IF(COUNTIF(Rebar_Schedule!$A$5:$A$2004,A260)=0,"",ROUND(SUMIF(Rebar_Schedule!$A$5:$A$2004,A260,Rebar_Schedule!$K$5:$K$2004),1)))</f>
        <v/>
      </c>
      <c r="BB260" s="33" t="str">
        <f aca="false">IF(A260="","",IF(BA260="","No rebar schedule yet",IF(ABS(BA260-N(AW260))/MAX(N(AW260),1)&gt;SG_Criteria!$B$55,"NOTE: register rebar differs from schedule by "&amp;TEXT(ABS(BA260-N(AW260))/MAX(N(AW260),1),"0%"),"OK")))</f>
        <v/>
      </c>
      <c r="BC260" s="33" t="str">
        <f aca="false">IF(D260="","",IF(LEN(IF(AND(D260&lt;&gt;"High Covered Linkway",G260&lt;SG_Criteria!$B$46),"FAIL: headroom below "&amp;SG_Criteria!$B$46&amp;" m. ","")&amp;IF(AND(D260="High Covered Linkway",G260&lt;SG_Criteria!$B$47),"FAIL: high linkway headroom below "&amp;SG_Criteria!$B$47&amp;" m. ","")&amp;IF(F260&lt;SG_Criteria!$B$48,"FAIL: roof width below "&amp;SG_Criteria!$B$48&amp;" m. ",IF(F260&lt;SG_Criteria!$B$49,"NOTE: not for MRT/LRT or high-traffic routes (min "&amp;SG_Criteria!$B$49&amp;" m). ",""))&amp;IF(AND(W260&lt;&gt;"",W260&lt;SG_Criteria!$B$50),"FAIL: wind speed below "&amp;SG_Criteria!$B$50&amp;" m/s. ","")&amp;IF(AND(X260&lt;&gt;"",X260&lt;SG_Criteria!$B$51),"FAIL: roof fixing pull-out below "&amp;SG_Criteria!$B$51&amp;" kN. ","")&amp;IF(AND(Y260&lt;&gt;"",IFERROR(VALUE(MID(Y260,2,2)),0)&lt;SG_Criteria!$B$52),"FAIL: grade below C"&amp;SG_Criteria!$B$52&amp;". ","")&amp;IF(E260="Non-standard (project design)","NOTE: not an SDRE standard, needs LTA acceptance. ",""))=0,"OK",IF(AND(D260&lt;&gt;"High Covered Linkway",G260&lt;SG_Criteria!$B$46),"FAIL: headroom below "&amp;SG_Criteria!$B$46&amp;" m. ","")&amp;IF(AND(D260="High Covered Linkway",G260&lt;SG_Criteria!$B$47),"FAIL: high linkway headroom below "&amp;SG_Criteria!$B$47&amp;" m. ","")&amp;IF(F260&lt;SG_Criteria!$B$48,"FAIL: roof width below "&amp;SG_Criteria!$B$48&amp;" m. ",IF(F260&lt;SG_Criteria!$B$49,"NOTE: not for MRT/LRT or high-traffic routes (min "&amp;SG_Criteria!$B$49&amp;" m). ",""))&amp;IF(AND(W260&lt;&gt;"",W260&lt;SG_Criteria!$B$50),"FAIL: wind speed below "&amp;SG_Criteria!$B$50&amp;" m/s. ","")&amp;IF(AND(X260&lt;&gt;"",X260&lt;SG_Criteria!$B$51),"FAIL: roof fixing pull-out below "&amp;SG_Criteria!$B$51&amp;" kN. ","")&amp;IF(AND(Y260&lt;&gt;"",IFERROR(VALUE(MID(Y260,2,2)),0)&lt;SG_Criteria!$B$52),"FAIL: grade below C"&amp;SG_Criteria!$B$52&amp;". ","")&amp;IF(E260="Non-standard (project design)","NOTE: not an SDRE standard, needs LTA acceptance. ","")))</f>
        <v/>
      </c>
      <c r="BD260" s="9"/>
      <c r="BE260" s="9"/>
      <c r="BF260" s="9"/>
      <c r="BG260" s="10" t="str">
        <f aca="false">IF(BF260="","",IFERROR(VLOOKUP(BF260,Projects!$A$5:$D$504,2,0),"Ref not in Projects"))</f>
        <v/>
      </c>
      <c r="BH260" s="10" t="str">
        <f aca="false">IF(BF260="","",IFERROR(VLOOKUP(BF260,Projects!$A$5:$D$504,4,0),"Ref not in Projects"))</f>
        <v/>
      </c>
      <c r="BI260" s="9"/>
      <c r="BJ260" s="9"/>
      <c r="BK260" s="9"/>
      <c r="BL260" s="40"/>
      <c r="BM260" s="9"/>
      <c r="BN260" s="40"/>
      <c r="BO260" s="9"/>
      <c r="BP260" s="40"/>
      <c r="BQ260" s="9"/>
      <c r="BR260" s="9"/>
      <c r="BS260" s="9"/>
      <c r="BT260" s="40"/>
      <c r="BU260" s="40"/>
      <c r="BV260" s="36" t="str">
        <f aca="false">IF(BU260="","",EDATE(BU260,SG_Criteria!$B$54*12))</f>
        <v/>
      </c>
      <c r="BW260" s="33" t="str">
        <f aca="true">IF(A260="","",IF(BU260="","NOTE: not reviewed yet",IF(TODAY()&gt;BV260,"NOTE: review overdue","OK")))</f>
        <v/>
      </c>
      <c r="BX260" s="37" t="str">
        <f aca="false">IF(A260="","",ROUND((IF(LEN(D260)&gt;0,1,0)+IF(LEN(E260)&gt;0,1,0)+IF(LEN(F260)&gt;0,1,0)+IF(LEN(G260)&gt;0,1,0)+IF(LEN(H260)&gt;0,1,0)+IF(LEN(I260)&gt;0,1,0)+IF(LEN(J260)&gt;0,1,0)+IF(LEN(K260)&gt;0,1,0)+IF(LEN(N260)&gt;0,1,0)+IF(LEN(O260)&gt;0,1,0)+IF(LEN(W260)&gt;0,1,0)+IF(LEN(X260)&gt;0,1,0)+IF(LEN(Y260)&gt;0,1,0)+IF(LEN(AG260)&gt;0,1,0)+IF(LEN(AI260)&gt;0,1,0)+IF(LEN(AJ260)&gt;0,1,0)+IF(LEN(AK260)&gt;0,1,0)+IF(LEN(AL260)&gt;0,1,0)+IF(LEN(AU260)&gt;0,1,0)+IF(LEN(BF260)&gt;0,1,0)+IF(LEN(BS260)&gt;0,1,0))/21,2))</f>
        <v/>
      </c>
      <c r="BY260" s="10" t="str">
        <f aca="false">IF(D260="","",IF(AND(AJ260="Approved",ISERROR(SEARCH("FAIL",BC260))),"Y","N"))</f>
        <v/>
      </c>
      <c r="BZ260" s="10" t="str">
        <f aca="false">IF(D260="","",D260&amp;"|"&amp;F260&amp;"|"&amp;G260&amp;"|"&amp;BY260)</f>
        <v/>
      </c>
    </row>
    <row r="261" customFormat="false" ht="15" hidden="false" customHeight="false" outlineLevel="0" collapsed="false">
      <c r="A261" s="10" t="str">
        <f aca="false">IF(D261="","","LKW-"&amp;IFERROR(VLOOKUP(D261,Lists!$AQ$4:$AR$17,2,0),"??")&amp;"-W"&amp;TEXT(F261*1000,"0000")&amp;"-H"&amp;TEXT(G261*1000,"0000")&amp;"-B"&amp;TEXT(H261*1000,"0000")&amp;"-"&amp;AI261)</f>
        <v/>
      </c>
      <c r="B261" s="10" t="str">
        <f aca="false">IF(D261="","",D261&amp;", "&amp;F261&amp;" m wide, "&amp;G261&amp;" m headroom, "&amp;H261&amp;" m bays, "&amp;I261&amp;" ("&amp;E261&amp;")")</f>
        <v/>
      </c>
      <c r="C261" s="9"/>
      <c r="D261" s="9"/>
      <c r="E261" s="9"/>
      <c r="F261" s="42"/>
      <c r="G261" s="42"/>
      <c r="H261" s="42"/>
      <c r="I261" s="9"/>
      <c r="J261" s="9"/>
      <c r="K261" s="9"/>
      <c r="L261" s="9"/>
      <c r="M261" s="9"/>
      <c r="N261" s="9"/>
      <c r="O261" s="9"/>
      <c r="P261" s="9"/>
      <c r="Q261" s="9"/>
      <c r="R261" s="9"/>
      <c r="S261" s="42"/>
      <c r="T261" s="9"/>
      <c r="U261" s="9"/>
      <c r="V261" s="9"/>
      <c r="W261" s="38"/>
      <c r="X261" s="42"/>
      <c r="Y261" s="9"/>
      <c r="Z261" s="9"/>
      <c r="AA261" s="9"/>
      <c r="AB261" s="42"/>
      <c r="AC261" s="9"/>
      <c r="AD261" s="38"/>
      <c r="AE261" s="9"/>
      <c r="AF261" s="39"/>
      <c r="AG261" s="9"/>
      <c r="AH261" s="9"/>
      <c r="AI261" s="9"/>
      <c r="AJ261" s="9"/>
      <c r="AK261" s="9"/>
      <c r="AL261" s="9"/>
      <c r="AM261" s="9"/>
      <c r="AN261" s="10" t="str">
        <f aca="false">IF(A261="","",SG_Criteria!$B$6&amp;SG_Criteria!$B$12&amp;"\"&amp;A261&amp;"\")</f>
        <v/>
      </c>
      <c r="AO261" s="10" t="str">
        <f aca="false">IF(A261="","",A261&amp;"_CAD.dwg")</f>
        <v/>
      </c>
      <c r="AP261" s="10" t="str">
        <f aca="false">IF(A261="","",A261&amp;"_DWG.pdf")</f>
        <v/>
      </c>
      <c r="AQ261" s="10" t="str">
        <f aca="false">IF(A261="","",IF(AM261="Y",A261&amp;"_STAAD.std","n/a"))</f>
        <v/>
      </c>
      <c r="AR261" s="10" t="str">
        <f aca="false">IF(A261="","",A261&amp;"_CALC.xlsx")</f>
        <v/>
      </c>
      <c r="AS261" s="10" t="str">
        <f aca="false">IF(A261="","",A261&amp;"_CALC.pdf")</f>
        <v/>
      </c>
      <c r="AT261" s="9"/>
      <c r="AU261" s="9"/>
      <c r="AV261" s="39"/>
      <c r="AW261" s="39"/>
      <c r="AX261" s="39"/>
      <c r="AY261" s="39"/>
      <c r="AZ261" s="39"/>
      <c r="BA261" s="12" t="str">
        <f aca="false">IF(A261="","",IF(COUNTIF(Rebar_Schedule!$A$5:$A$2004,A261)=0,"",ROUND(SUMIF(Rebar_Schedule!$A$5:$A$2004,A261,Rebar_Schedule!$K$5:$K$2004),1)))</f>
        <v/>
      </c>
      <c r="BB261" s="33" t="str">
        <f aca="false">IF(A261="","",IF(BA261="","No rebar schedule yet",IF(ABS(BA261-N(AW261))/MAX(N(AW261),1)&gt;SG_Criteria!$B$55,"NOTE: register rebar differs from schedule by "&amp;TEXT(ABS(BA261-N(AW261))/MAX(N(AW261),1),"0%"),"OK")))</f>
        <v/>
      </c>
      <c r="BC261" s="33" t="str">
        <f aca="false">IF(D261="","",IF(LEN(IF(AND(D261&lt;&gt;"High Covered Linkway",G261&lt;SG_Criteria!$B$46),"FAIL: headroom below "&amp;SG_Criteria!$B$46&amp;" m. ","")&amp;IF(AND(D261="High Covered Linkway",G261&lt;SG_Criteria!$B$47),"FAIL: high linkway headroom below "&amp;SG_Criteria!$B$47&amp;" m. ","")&amp;IF(F261&lt;SG_Criteria!$B$48,"FAIL: roof width below "&amp;SG_Criteria!$B$48&amp;" m. ",IF(F261&lt;SG_Criteria!$B$49,"NOTE: not for MRT/LRT or high-traffic routes (min "&amp;SG_Criteria!$B$49&amp;" m). ",""))&amp;IF(AND(W261&lt;&gt;"",W261&lt;SG_Criteria!$B$50),"FAIL: wind speed below "&amp;SG_Criteria!$B$50&amp;" m/s. ","")&amp;IF(AND(X261&lt;&gt;"",X261&lt;SG_Criteria!$B$51),"FAIL: roof fixing pull-out below "&amp;SG_Criteria!$B$51&amp;" kN. ","")&amp;IF(AND(Y261&lt;&gt;"",IFERROR(VALUE(MID(Y261,2,2)),0)&lt;SG_Criteria!$B$52),"FAIL: grade below C"&amp;SG_Criteria!$B$52&amp;". ","")&amp;IF(E261="Non-standard (project design)","NOTE: not an SDRE standard, needs LTA acceptance. ",""))=0,"OK",IF(AND(D261&lt;&gt;"High Covered Linkway",G261&lt;SG_Criteria!$B$46),"FAIL: headroom below "&amp;SG_Criteria!$B$46&amp;" m. ","")&amp;IF(AND(D261="High Covered Linkway",G261&lt;SG_Criteria!$B$47),"FAIL: high linkway headroom below "&amp;SG_Criteria!$B$47&amp;" m. ","")&amp;IF(F261&lt;SG_Criteria!$B$48,"FAIL: roof width below "&amp;SG_Criteria!$B$48&amp;" m. ",IF(F261&lt;SG_Criteria!$B$49,"NOTE: not for MRT/LRT or high-traffic routes (min "&amp;SG_Criteria!$B$49&amp;" m). ",""))&amp;IF(AND(W261&lt;&gt;"",W261&lt;SG_Criteria!$B$50),"FAIL: wind speed below "&amp;SG_Criteria!$B$50&amp;" m/s. ","")&amp;IF(AND(X261&lt;&gt;"",X261&lt;SG_Criteria!$B$51),"FAIL: roof fixing pull-out below "&amp;SG_Criteria!$B$51&amp;" kN. ","")&amp;IF(AND(Y261&lt;&gt;"",IFERROR(VALUE(MID(Y261,2,2)),0)&lt;SG_Criteria!$B$52),"FAIL: grade below C"&amp;SG_Criteria!$B$52&amp;". ","")&amp;IF(E261="Non-standard (project design)","NOTE: not an SDRE standard, needs LTA acceptance. ","")))</f>
        <v/>
      </c>
      <c r="BD261" s="9"/>
      <c r="BE261" s="9"/>
      <c r="BF261" s="9"/>
      <c r="BG261" s="10" t="str">
        <f aca="false">IF(BF261="","",IFERROR(VLOOKUP(BF261,Projects!$A$5:$D$504,2,0),"Ref not in Projects"))</f>
        <v/>
      </c>
      <c r="BH261" s="10" t="str">
        <f aca="false">IF(BF261="","",IFERROR(VLOOKUP(BF261,Projects!$A$5:$D$504,4,0),"Ref not in Projects"))</f>
        <v/>
      </c>
      <c r="BI261" s="9"/>
      <c r="BJ261" s="9"/>
      <c r="BK261" s="9"/>
      <c r="BL261" s="40"/>
      <c r="BM261" s="9"/>
      <c r="BN261" s="40"/>
      <c r="BO261" s="9"/>
      <c r="BP261" s="40"/>
      <c r="BQ261" s="9"/>
      <c r="BR261" s="9"/>
      <c r="BS261" s="9"/>
      <c r="BT261" s="40"/>
      <c r="BU261" s="40"/>
      <c r="BV261" s="36" t="str">
        <f aca="false">IF(BU261="","",EDATE(BU261,SG_Criteria!$B$54*12))</f>
        <v/>
      </c>
      <c r="BW261" s="33" t="str">
        <f aca="true">IF(A261="","",IF(BU261="","NOTE: not reviewed yet",IF(TODAY()&gt;BV261,"NOTE: review overdue","OK")))</f>
        <v/>
      </c>
      <c r="BX261" s="37" t="str">
        <f aca="false">IF(A261="","",ROUND((IF(LEN(D261)&gt;0,1,0)+IF(LEN(E261)&gt;0,1,0)+IF(LEN(F261)&gt;0,1,0)+IF(LEN(G261)&gt;0,1,0)+IF(LEN(H261)&gt;0,1,0)+IF(LEN(I261)&gt;0,1,0)+IF(LEN(J261)&gt;0,1,0)+IF(LEN(K261)&gt;0,1,0)+IF(LEN(N261)&gt;0,1,0)+IF(LEN(O261)&gt;0,1,0)+IF(LEN(W261)&gt;0,1,0)+IF(LEN(X261)&gt;0,1,0)+IF(LEN(Y261)&gt;0,1,0)+IF(LEN(AG261)&gt;0,1,0)+IF(LEN(AI261)&gt;0,1,0)+IF(LEN(AJ261)&gt;0,1,0)+IF(LEN(AK261)&gt;0,1,0)+IF(LEN(AL261)&gt;0,1,0)+IF(LEN(AU261)&gt;0,1,0)+IF(LEN(BF261)&gt;0,1,0)+IF(LEN(BS261)&gt;0,1,0))/21,2))</f>
        <v/>
      </c>
      <c r="BY261" s="10" t="str">
        <f aca="false">IF(D261="","",IF(AND(AJ261="Approved",ISERROR(SEARCH("FAIL",BC261))),"Y","N"))</f>
        <v/>
      </c>
      <c r="BZ261" s="10" t="str">
        <f aca="false">IF(D261="","",D261&amp;"|"&amp;F261&amp;"|"&amp;G261&amp;"|"&amp;BY261)</f>
        <v/>
      </c>
    </row>
    <row r="262" customFormat="false" ht="15" hidden="false" customHeight="false" outlineLevel="0" collapsed="false">
      <c r="A262" s="10" t="str">
        <f aca="false">IF(D262="","","LKW-"&amp;IFERROR(VLOOKUP(D262,Lists!$AQ$4:$AR$17,2,0),"??")&amp;"-W"&amp;TEXT(F262*1000,"0000")&amp;"-H"&amp;TEXT(G262*1000,"0000")&amp;"-B"&amp;TEXT(H262*1000,"0000")&amp;"-"&amp;AI262)</f>
        <v/>
      </c>
      <c r="B262" s="10" t="str">
        <f aca="false">IF(D262="","",D262&amp;", "&amp;F262&amp;" m wide, "&amp;G262&amp;" m headroom, "&amp;H262&amp;" m bays, "&amp;I262&amp;" ("&amp;E262&amp;")")</f>
        <v/>
      </c>
      <c r="C262" s="9"/>
      <c r="D262" s="9"/>
      <c r="E262" s="9"/>
      <c r="F262" s="42"/>
      <c r="G262" s="42"/>
      <c r="H262" s="42"/>
      <c r="I262" s="9"/>
      <c r="J262" s="9"/>
      <c r="K262" s="9"/>
      <c r="L262" s="9"/>
      <c r="M262" s="9"/>
      <c r="N262" s="9"/>
      <c r="O262" s="9"/>
      <c r="P262" s="9"/>
      <c r="Q262" s="9"/>
      <c r="R262" s="9"/>
      <c r="S262" s="42"/>
      <c r="T262" s="9"/>
      <c r="U262" s="9"/>
      <c r="V262" s="9"/>
      <c r="W262" s="38"/>
      <c r="X262" s="42"/>
      <c r="Y262" s="9"/>
      <c r="Z262" s="9"/>
      <c r="AA262" s="9"/>
      <c r="AB262" s="42"/>
      <c r="AC262" s="9"/>
      <c r="AD262" s="38"/>
      <c r="AE262" s="9"/>
      <c r="AF262" s="39"/>
      <c r="AG262" s="9"/>
      <c r="AH262" s="9"/>
      <c r="AI262" s="9"/>
      <c r="AJ262" s="9"/>
      <c r="AK262" s="9"/>
      <c r="AL262" s="9"/>
      <c r="AM262" s="9"/>
      <c r="AN262" s="10" t="str">
        <f aca="false">IF(A262="","",SG_Criteria!$B$6&amp;SG_Criteria!$B$12&amp;"\"&amp;A262&amp;"\")</f>
        <v/>
      </c>
      <c r="AO262" s="10" t="str">
        <f aca="false">IF(A262="","",A262&amp;"_CAD.dwg")</f>
        <v/>
      </c>
      <c r="AP262" s="10" t="str">
        <f aca="false">IF(A262="","",A262&amp;"_DWG.pdf")</f>
        <v/>
      </c>
      <c r="AQ262" s="10" t="str">
        <f aca="false">IF(A262="","",IF(AM262="Y",A262&amp;"_STAAD.std","n/a"))</f>
        <v/>
      </c>
      <c r="AR262" s="10" t="str">
        <f aca="false">IF(A262="","",A262&amp;"_CALC.xlsx")</f>
        <v/>
      </c>
      <c r="AS262" s="10" t="str">
        <f aca="false">IF(A262="","",A262&amp;"_CALC.pdf")</f>
        <v/>
      </c>
      <c r="AT262" s="9"/>
      <c r="AU262" s="9"/>
      <c r="AV262" s="39"/>
      <c r="AW262" s="39"/>
      <c r="AX262" s="39"/>
      <c r="AY262" s="39"/>
      <c r="AZ262" s="39"/>
      <c r="BA262" s="12" t="str">
        <f aca="false">IF(A262="","",IF(COUNTIF(Rebar_Schedule!$A$5:$A$2004,A262)=0,"",ROUND(SUMIF(Rebar_Schedule!$A$5:$A$2004,A262,Rebar_Schedule!$K$5:$K$2004),1)))</f>
        <v/>
      </c>
      <c r="BB262" s="33" t="str">
        <f aca="false">IF(A262="","",IF(BA262="","No rebar schedule yet",IF(ABS(BA262-N(AW262))/MAX(N(AW262),1)&gt;SG_Criteria!$B$55,"NOTE: register rebar differs from schedule by "&amp;TEXT(ABS(BA262-N(AW262))/MAX(N(AW262),1),"0%"),"OK")))</f>
        <v/>
      </c>
      <c r="BC262" s="33" t="str">
        <f aca="false">IF(D262="","",IF(LEN(IF(AND(D262&lt;&gt;"High Covered Linkway",G262&lt;SG_Criteria!$B$46),"FAIL: headroom below "&amp;SG_Criteria!$B$46&amp;" m. ","")&amp;IF(AND(D262="High Covered Linkway",G262&lt;SG_Criteria!$B$47),"FAIL: high linkway headroom below "&amp;SG_Criteria!$B$47&amp;" m. ","")&amp;IF(F262&lt;SG_Criteria!$B$48,"FAIL: roof width below "&amp;SG_Criteria!$B$48&amp;" m. ",IF(F262&lt;SG_Criteria!$B$49,"NOTE: not for MRT/LRT or high-traffic routes (min "&amp;SG_Criteria!$B$49&amp;" m). ",""))&amp;IF(AND(W262&lt;&gt;"",W262&lt;SG_Criteria!$B$50),"FAIL: wind speed below "&amp;SG_Criteria!$B$50&amp;" m/s. ","")&amp;IF(AND(X262&lt;&gt;"",X262&lt;SG_Criteria!$B$51),"FAIL: roof fixing pull-out below "&amp;SG_Criteria!$B$51&amp;" kN. ","")&amp;IF(AND(Y262&lt;&gt;"",IFERROR(VALUE(MID(Y262,2,2)),0)&lt;SG_Criteria!$B$52),"FAIL: grade below C"&amp;SG_Criteria!$B$52&amp;". ","")&amp;IF(E262="Non-standard (project design)","NOTE: not an SDRE standard, needs LTA acceptance. ",""))=0,"OK",IF(AND(D262&lt;&gt;"High Covered Linkway",G262&lt;SG_Criteria!$B$46),"FAIL: headroom below "&amp;SG_Criteria!$B$46&amp;" m. ","")&amp;IF(AND(D262="High Covered Linkway",G262&lt;SG_Criteria!$B$47),"FAIL: high linkway headroom below "&amp;SG_Criteria!$B$47&amp;" m. ","")&amp;IF(F262&lt;SG_Criteria!$B$48,"FAIL: roof width below "&amp;SG_Criteria!$B$48&amp;" m. ",IF(F262&lt;SG_Criteria!$B$49,"NOTE: not for MRT/LRT or high-traffic routes (min "&amp;SG_Criteria!$B$49&amp;" m). ",""))&amp;IF(AND(W262&lt;&gt;"",W262&lt;SG_Criteria!$B$50),"FAIL: wind speed below "&amp;SG_Criteria!$B$50&amp;" m/s. ","")&amp;IF(AND(X262&lt;&gt;"",X262&lt;SG_Criteria!$B$51),"FAIL: roof fixing pull-out below "&amp;SG_Criteria!$B$51&amp;" kN. ","")&amp;IF(AND(Y262&lt;&gt;"",IFERROR(VALUE(MID(Y262,2,2)),0)&lt;SG_Criteria!$B$52),"FAIL: grade below C"&amp;SG_Criteria!$B$52&amp;". ","")&amp;IF(E262="Non-standard (project design)","NOTE: not an SDRE standard, needs LTA acceptance. ","")))</f>
        <v/>
      </c>
      <c r="BD262" s="9"/>
      <c r="BE262" s="9"/>
      <c r="BF262" s="9"/>
      <c r="BG262" s="10" t="str">
        <f aca="false">IF(BF262="","",IFERROR(VLOOKUP(BF262,Projects!$A$5:$D$504,2,0),"Ref not in Projects"))</f>
        <v/>
      </c>
      <c r="BH262" s="10" t="str">
        <f aca="false">IF(BF262="","",IFERROR(VLOOKUP(BF262,Projects!$A$5:$D$504,4,0),"Ref not in Projects"))</f>
        <v/>
      </c>
      <c r="BI262" s="9"/>
      <c r="BJ262" s="9"/>
      <c r="BK262" s="9"/>
      <c r="BL262" s="40"/>
      <c r="BM262" s="9"/>
      <c r="BN262" s="40"/>
      <c r="BO262" s="9"/>
      <c r="BP262" s="40"/>
      <c r="BQ262" s="9"/>
      <c r="BR262" s="9"/>
      <c r="BS262" s="9"/>
      <c r="BT262" s="40"/>
      <c r="BU262" s="40"/>
      <c r="BV262" s="36" t="str">
        <f aca="false">IF(BU262="","",EDATE(BU262,SG_Criteria!$B$54*12))</f>
        <v/>
      </c>
      <c r="BW262" s="33" t="str">
        <f aca="true">IF(A262="","",IF(BU262="","NOTE: not reviewed yet",IF(TODAY()&gt;BV262,"NOTE: review overdue","OK")))</f>
        <v/>
      </c>
      <c r="BX262" s="37" t="str">
        <f aca="false">IF(A262="","",ROUND((IF(LEN(D262)&gt;0,1,0)+IF(LEN(E262)&gt;0,1,0)+IF(LEN(F262)&gt;0,1,0)+IF(LEN(G262)&gt;0,1,0)+IF(LEN(H262)&gt;0,1,0)+IF(LEN(I262)&gt;0,1,0)+IF(LEN(J262)&gt;0,1,0)+IF(LEN(K262)&gt;0,1,0)+IF(LEN(N262)&gt;0,1,0)+IF(LEN(O262)&gt;0,1,0)+IF(LEN(W262)&gt;0,1,0)+IF(LEN(X262)&gt;0,1,0)+IF(LEN(Y262)&gt;0,1,0)+IF(LEN(AG262)&gt;0,1,0)+IF(LEN(AI262)&gt;0,1,0)+IF(LEN(AJ262)&gt;0,1,0)+IF(LEN(AK262)&gt;0,1,0)+IF(LEN(AL262)&gt;0,1,0)+IF(LEN(AU262)&gt;0,1,0)+IF(LEN(BF262)&gt;0,1,0)+IF(LEN(BS262)&gt;0,1,0))/21,2))</f>
        <v/>
      </c>
      <c r="BY262" s="10" t="str">
        <f aca="false">IF(D262="","",IF(AND(AJ262="Approved",ISERROR(SEARCH("FAIL",BC262))),"Y","N"))</f>
        <v/>
      </c>
      <c r="BZ262" s="10" t="str">
        <f aca="false">IF(D262="","",D262&amp;"|"&amp;F262&amp;"|"&amp;G262&amp;"|"&amp;BY262)</f>
        <v/>
      </c>
    </row>
    <row r="263" customFormat="false" ht="15" hidden="false" customHeight="false" outlineLevel="0" collapsed="false">
      <c r="A263" s="10" t="str">
        <f aca="false">IF(D263="","","LKW-"&amp;IFERROR(VLOOKUP(D263,Lists!$AQ$4:$AR$17,2,0),"??")&amp;"-W"&amp;TEXT(F263*1000,"0000")&amp;"-H"&amp;TEXT(G263*1000,"0000")&amp;"-B"&amp;TEXT(H263*1000,"0000")&amp;"-"&amp;AI263)</f>
        <v/>
      </c>
      <c r="B263" s="10" t="str">
        <f aca="false">IF(D263="","",D263&amp;", "&amp;F263&amp;" m wide, "&amp;G263&amp;" m headroom, "&amp;H263&amp;" m bays, "&amp;I263&amp;" ("&amp;E263&amp;")")</f>
        <v/>
      </c>
      <c r="C263" s="9"/>
      <c r="D263" s="9"/>
      <c r="E263" s="9"/>
      <c r="F263" s="42"/>
      <c r="G263" s="42"/>
      <c r="H263" s="42"/>
      <c r="I263" s="9"/>
      <c r="J263" s="9"/>
      <c r="K263" s="9"/>
      <c r="L263" s="9"/>
      <c r="M263" s="9"/>
      <c r="N263" s="9"/>
      <c r="O263" s="9"/>
      <c r="P263" s="9"/>
      <c r="Q263" s="9"/>
      <c r="R263" s="9"/>
      <c r="S263" s="42"/>
      <c r="T263" s="9"/>
      <c r="U263" s="9"/>
      <c r="V263" s="9"/>
      <c r="W263" s="38"/>
      <c r="X263" s="42"/>
      <c r="Y263" s="9"/>
      <c r="Z263" s="9"/>
      <c r="AA263" s="9"/>
      <c r="AB263" s="42"/>
      <c r="AC263" s="9"/>
      <c r="AD263" s="38"/>
      <c r="AE263" s="9"/>
      <c r="AF263" s="39"/>
      <c r="AG263" s="9"/>
      <c r="AH263" s="9"/>
      <c r="AI263" s="9"/>
      <c r="AJ263" s="9"/>
      <c r="AK263" s="9"/>
      <c r="AL263" s="9"/>
      <c r="AM263" s="9"/>
      <c r="AN263" s="10" t="str">
        <f aca="false">IF(A263="","",SG_Criteria!$B$6&amp;SG_Criteria!$B$12&amp;"\"&amp;A263&amp;"\")</f>
        <v/>
      </c>
      <c r="AO263" s="10" t="str">
        <f aca="false">IF(A263="","",A263&amp;"_CAD.dwg")</f>
        <v/>
      </c>
      <c r="AP263" s="10" t="str">
        <f aca="false">IF(A263="","",A263&amp;"_DWG.pdf")</f>
        <v/>
      </c>
      <c r="AQ263" s="10" t="str">
        <f aca="false">IF(A263="","",IF(AM263="Y",A263&amp;"_STAAD.std","n/a"))</f>
        <v/>
      </c>
      <c r="AR263" s="10" t="str">
        <f aca="false">IF(A263="","",A263&amp;"_CALC.xlsx")</f>
        <v/>
      </c>
      <c r="AS263" s="10" t="str">
        <f aca="false">IF(A263="","",A263&amp;"_CALC.pdf")</f>
        <v/>
      </c>
      <c r="AT263" s="9"/>
      <c r="AU263" s="9"/>
      <c r="AV263" s="39"/>
      <c r="AW263" s="39"/>
      <c r="AX263" s="39"/>
      <c r="AY263" s="39"/>
      <c r="AZ263" s="39"/>
      <c r="BA263" s="12" t="str">
        <f aca="false">IF(A263="","",IF(COUNTIF(Rebar_Schedule!$A$5:$A$2004,A263)=0,"",ROUND(SUMIF(Rebar_Schedule!$A$5:$A$2004,A263,Rebar_Schedule!$K$5:$K$2004),1)))</f>
        <v/>
      </c>
      <c r="BB263" s="33" t="str">
        <f aca="false">IF(A263="","",IF(BA263="","No rebar schedule yet",IF(ABS(BA263-N(AW263))/MAX(N(AW263),1)&gt;SG_Criteria!$B$55,"NOTE: register rebar differs from schedule by "&amp;TEXT(ABS(BA263-N(AW263))/MAX(N(AW263),1),"0%"),"OK")))</f>
        <v/>
      </c>
      <c r="BC263" s="33" t="str">
        <f aca="false">IF(D263="","",IF(LEN(IF(AND(D263&lt;&gt;"High Covered Linkway",G263&lt;SG_Criteria!$B$46),"FAIL: headroom below "&amp;SG_Criteria!$B$46&amp;" m. ","")&amp;IF(AND(D263="High Covered Linkway",G263&lt;SG_Criteria!$B$47),"FAIL: high linkway headroom below "&amp;SG_Criteria!$B$47&amp;" m. ","")&amp;IF(F263&lt;SG_Criteria!$B$48,"FAIL: roof width below "&amp;SG_Criteria!$B$48&amp;" m. ",IF(F263&lt;SG_Criteria!$B$49,"NOTE: not for MRT/LRT or high-traffic routes (min "&amp;SG_Criteria!$B$49&amp;" m). ",""))&amp;IF(AND(W263&lt;&gt;"",W263&lt;SG_Criteria!$B$50),"FAIL: wind speed below "&amp;SG_Criteria!$B$50&amp;" m/s. ","")&amp;IF(AND(X263&lt;&gt;"",X263&lt;SG_Criteria!$B$51),"FAIL: roof fixing pull-out below "&amp;SG_Criteria!$B$51&amp;" kN. ","")&amp;IF(AND(Y263&lt;&gt;"",IFERROR(VALUE(MID(Y263,2,2)),0)&lt;SG_Criteria!$B$52),"FAIL: grade below C"&amp;SG_Criteria!$B$52&amp;". ","")&amp;IF(E263="Non-standard (project design)","NOTE: not an SDRE standard, needs LTA acceptance. ",""))=0,"OK",IF(AND(D263&lt;&gt;"High Covered Linkway",G263&lt;SG_Criteria!$B$46),"FAIL: headroom below "&amp;SG_Criteria!$B$46&amp;" m. ","")&amp;IF(AND(D263="High Covered Linkway",G263&lt;SG_Criteria!$B$47),"FAIL: high linkway headroom below "&amp;SG_Criteria!$B$47&amp;" m. ","")&amp;IF(F263&lt;SG_Criteria!$B$48,"FAIL: roof width below "&amp;SG_Criteria!$B$48&amp;" m. ",IF(F263&lt;SG_Criteria!$B$49,"NOTE: not for MRT/LRT or high-traffic routes (min "&amp;SG_Criteria!$B$49&amp;" m). ",""))&amp;IF(AND(W263&lt;&gt;"",W263&lt;SG_Criteria!$B$50),"FAIL: wind speed below "&amp;SG_Criteria!$B$50&amp;" m/s. ","")&amp;IF(AND(X263&lt;&gt;"",X263&lt;SG_Criteria!$B$51),"FAIL: roof fixing pull-out below "&amp;SG_Criteria!$B$51&amp;" kN. ","")&amp;IF(AND(Y263&lt;&gt;"",IFERROR(VALUE(MID(Y263,2,2)),0)&lt;SG_Criteria!$B$52),"FAIL: grade below C"&amp;SG_Criteria!$B$52&amp;". ","")&amp;IF(E263="Non-standard (project design)","NOTE: not an SDRE standard, needs LTA acceptance. ","")))</f>
        <v/>
      </c>
      <c r="BD263" s="9"/>
      <c r="BE263" s="9"/>
      <c r="BF263" s="9"/>
      <c r="BG263" s="10" t="str">
        <f aca="false">IF(BF263="","",IFERROR(VLOOKUP(BF263,Projects!$A$5:$D$504,2,0),"Ref not in Projects"))</f>
        <v/>
      </c>
      <c r="BH263" s="10" t="str">
        <f aca="false">IF(BF263="","",IFERROR(VLOOKUP(BF263,Projects!$A$5:$D$504,4,0),"Ref not in Projects"))</f>
        <v/>
      </c>
      <c r="BI263" s="9"/>
      <c r="BJ263" s="9"/>
      <c r="BK263" s="9"/>
      <c r="BL263" s="40"/>
      <c r="BM263" s="9"/>
      <c r="BN263" s="40"/>
      <c r="BO263" s="9"/>
      <c r="BP263" s="40"/>
      <c r="BQ263" s="9"/>
      <c r="BR263" s="9"/>
      <c r="BS263" s="9"/>
      <c r="BT263" s="40"/>
      <c r="BU263" s="40"/>
      <c r="BV263" s="36" t="str">
        <f aca="false">IF(BU263="","",EDATE(BU263,SG_Criteria!$B$54*12))</f>
        <v/>
      </c>
      <c r="BW263" s="33" t="str">
        <f aca="true">IF(A263="","",IF(BU263="","NOTE: not reviewed yet",IF(TODAY()&gt;BV263,"NOTE: review overdue","OK")))</f>
        <v/>
      </c>
      <c r="BX263" s="37" t="str">
        <f aca="false">IF(A263="","",ROUND((IF(LEN(D263)&gt;0,1,0)+IF(LEN(E263)&gt;0,1,0)+IF(LEN(F263)&gt;0,1,0)+IF(LEN(G263)&gt;0,1,0)+IF(LEN(H263)&gt;0,1,0)+IF(LEN(I263)&gt;0,1,0)+IF(LEN(J263)&gt;0,1,0)+IF(LEN(K263)&gt;0,1,0)+IF(LEN(N263)&gt;0,1,0)+IF(LEN(O263)&gt;0,1,0)+IF(LEN(W263)&gt;0,1,0)+IF(LEN(X263)&gt;0,1,0)+IF(LEN(Y263)&gt;0,1,0)+IF(LEN(AG263)&gt;0,1,0)+IF(LEN(AI263)&gt;0,1,0)+IF(LEN(AJ263)&gt;0,1,0)+IF(LEN(AK263)&gt;0,1,0)+IF(LEN(AL263)&gt;0,1,0)+IF(LEN(AU263)&gt;0,1,0)+IF(LEN(BF263)&gt;0,1,0)+IF(LEN(BS263)&gt;0,1,0))/21,2))</f>
        <v/>
      </c>
      <c r="BY263" s="10" t="str">
        <f aca="false">IF(D263="","",IF(AND(AJ263="Approved",ISERROR(SEARCH("FAIL",BC263))),"Y","N"))</f>
        <v/>
      </c>
      <c r="BZ263" s="10" t="str">
        <f aca="false">IF(D263="","",D263&amp;"|"&amp;F263&amp;"|"&amp;G263&amp;"|"&amp;BY263)</f>
        <v/>
      </c>
    </row>
    <row r="264" customFormat="false" ht="15" hidden="false" customHeight="false" outlineLevel="0" collapsed="false">
      <c r="A264" s="10" t="str">
        <f aca="false">IF(D264="","","LKW-"&amp;IFERROR(VLOOKUP(D264,Lists!$AQ$4:$AR$17,2,0),"??")&amp;"-W"&amp;TEXT(F264*1000,"0000")&amp;"-H"&amp;TEXT(G264*1000,"0000")&amp;"-B"&amp;TEXT(H264*1000,"0000")&amp;"-"&amp;AI264)</f>
        <v/>
      </c>
      <c r="B264" s="10" t="str">
        <f aca="false">IF(D264="","",D264&amp;", "&amp;F264&amp;" m wide, "&amp;G264&amp;" m headroom, "&amp;H264&amp;" m bays, "&amp;I264&amp;" ("&amp;E264&amp;")")</f>
        <v/>
      </c>
      <c r="C264" s="9"/>
      <c r="D264" s="9"/>
      <c r="E264" s="9"/>
      <c r="F264" s="42"/>
      <c r="G264" s="42"/>
      <c r="H264" s="42"/>
      <c r="I264" s="9"/>
      <c r="J264" s="9"/>
      <c r="K264" s="9"/>
      <c r="L264" s="9"/>
      <c r="M264" s="9"/>
      <c r="N264" s="9"/>
      <c r="O264" s="9"/>
      <c r="P264" s="9"/>
      <c r="Q264" s="9"/>
      <c r="R264" s="9"/>
      <c r="S264" s="42"/>
      <c r="T264" s="9"/>
      <c r="U264" s="9"/>
      <c r="V264" s="9"/>
      <c r="W264" s="38"/>
      <c r="X264" s="42"/>
      <c r="Y264" s="9"/>
      <c r="Z264" s="9"/>
      <c r="AA264" s="9"/>
      <c r="AB264" s="42"/>
      <c r="AC264" s="9"/>
      <c r="AD264" s="38"/>
      <c r="AE264" s="9"/>
      <c r="AF264" s="39"/>
      <c r="AG264" s="9"/>
      <c r="AH264" s="9"/>
      <c r="AI264" s="9"/>
      <c r="AJ264" s="9"/>
      <c r="AK264" s="9"/>
      <c r="AL264" s="9"/>
      <c r="AM264" s="9"/>
      <c r="AN264" s="10" t="str">
        <f aca="false">IF(A264="","",SG_Criteria!$B$6&amp;SG_Criteria!$B$12&amp;"\"&amp;A264&amp;"\")</f>
        <v/>
      </c>
      <c r="AO264" s="10" t="str">
        <f aca="false">IF(A264="","",A264&amp;"_CAD.dwg")</f>
        <v/>
      </c>
      <c r="AP264" s="10" t="str">
        <f aca="false">IF(A264="","",A264&amp;"_DWG.pdf")</f>
        <v/>
      </c>
      <c r="AQ264" s="10" t="str">
        <f aca="false">IF(A264="","",IF(AM264="Y",A264&amp;"_STAAD.std","n/a"))</f>
        <v/>
      </c>
      <c r="AR264" s="10" t="str">
        <f aca="false">IF(A264="","",A264&amp;"_CALC.xlsx")</f>
        <v/>
      </c>
      <c r="AS264" s="10" t="str">
        <f aca="false">IF(A264="","",A264&amp;"_CALC.pdf")</f>
        <v/>
      </c>
      <c r="AT264" s="9"/>
      <c r="AU264" s="9"/>
      <c r="AV264" s="39"/>
      <c r="AW264" s="39"/>
      <c r="AX264" s="39"/>
      <c r="AY264" s="39"/>
      <c r="AZ264" s="39"/>
      <c r="BA264" s="12" t="str">
        <f aca="false">IF(A264="","",IF(COUNTIF(Rebar_Schedule!$A$5:$A$2004,A264)=0,"",ROUND(SUMIF(Rebar_Schedule!$A$5:$A$2004,A264,Rebar_Schedule!$K$5:$K$2004),1)))</f>
        <v/>
      </c>
      <c r="BB264" s="33" t="str">
        <f aca="false">IF(A264="","",IF(BA264="","No rebar schedule yet",IF(ABS(BA264-N(AW264))/MAX(N(AW264),1)&gt;SG_Criteria!$B$55,"NOTE: register rebar differs from schedule by "&amp;TEXT(ABS(BA264-N(AW264))/MAX(N(AW264),1),"0%"),"OK")))</f>
        <v/>
      </c>
      <c r="BC264" s="33" t="str">
        <f aca="false">IF(D264="","",IF(LEN(IF(AND(D264&lt;&gt;"High Covered Linkway",G264&lt;SG_Criteria!$B$46),"FAIL: headroom below "&amp;SG_Criteria!$B$46&amp;" m. ","")&amp;IF(AND(D264="High Covered Linkway",G264&lt;SG_Criteria!$B$47),"FAIL: high linkway headroom below "&amp;SG_Criteria!$B$47&amp;" m. ","")&amp;IF(F264&lt;SG_Criteria!$B$48,"FAIL: roof width below "&amp;SG_Criteria!$B$48&amp;" m. ",IF(F264&lt;SG_Criteria!$B$49,"NOTE: not for MRT/LRT or high-traffic routes (min "&amp;SG_Criteria!$B$49&amp;" m). ",""))&amp;IF(AND(W264&lt;&gt;"",W264&lt;SG_Criteria!$B$50),"FAIL: wind speed below "&amp;SG_Criteria!$B$50&amp;" m/s. ","")&amp;IF(AND(X264&lt;&gt;"",X264&lt;SG_Criteria!$B$51),"FAIL: roof fixing pull-out below "&amp;SG_Criteria!$B$51&amp;" kN. ","")&amp;IF(AND(Y264&lt;&gt;"",IFERROR(VALUE(MID(Y264,2,2)),0)&lt;SG_Criteria!$B$52),"FAIL: grade below C"&amp;SG_Criteria!$B$52&amp;". ","")&amp;IF(E264="Non-standard (project design)","NOTE: not an SDRE standard, needs LTA acceptance. ",""))=0,"OK",IF(AND(D264&lt;&gt;"High Covered Linkway",G264&lt;SG_Criteria!$B$46),"FAIL: headroom below "&amp;SG_Criteria!$B$46&amp;" m. ","")&amp;IF(AND(D264="High Covered Linkway",G264&lt;SG_Criteria!$B$47),"FAIL: high linkway headroom below "&amp;SG_Criteria!$B$47&amp;" m. ","")&amp;IF(F264&lt;SG_Criteria!$B$48,"FAIL: roof width below "&amp;SG_Criteria!$B$48&amp;" m. ",IF(F264&lt;SG_Criteria!$B$49,"NOTE: not for MRT/LRT or high-traffic routes (min "&amp;SG_Criteria!$B$49&amp;" m). ",""))&amp;IF(AND(W264&lt;&gt;"",W264&lt;SG_Criteria!$B$50),"FAIL: wind speed below "&amp;SG_Criteria!$B$50&amp;" m/s. ","")&amp;IF(AND(X264&lt;&gt;"",X264&lt;SG_Criteria!$B$51),"FAIL: roof fixing pull-out below "&amp;SG_Criteria!$B$51&amp;" kN. ","")&amp;IF(AND(Y264&lt;&gt;"",IFERROR(VALUE(MID(Y264,2,2)),0)&lt;SG_Criteria!$B$52),"FAIL: grade below C"&amp;SG_Criteria!$B$52&amp;". ","")&amp;IF(E264="Non-standard (project design)","NOTE: not an SDRE standard, needs LTA acceptance. ","")))</f>
        <v/>
      </c>
      <c r="BD264" s="9"/>
      <c r="BE264" s="9"/>
      <c r="BF264" s="9"/>
      <c r="BG264" s="10" t="str">
        <f aca="false">IF(BF264="","",IFERROR(VLOOKUP(BF264,Projects!$A$5:$D$504,2,0),"Ref not in Projects"))</f>
        <v/>
      </c>
      <c r="BH264" s="10" t="str">
        <f aca="false">IF(BF264="","",IFERROR(VLOOKUP(BF264,Projects!$A$5:$D$504,4,0),"Ref not in Projects"))</f>
        <v/>
      </c>
      <c r="BI264" s="9"/>
      <c r="BJ264" s="9"/>
      <c r="BK264" s="9"/>
      <c r="BL264" s="40"/>
      <c r="BM264" s="9"/>
      <c r="BN264" s="40"/>
      <c r="BO264" s="9"/>
      <c r="BP264" s="40"/>
      <c r="BQ264" s="9"/>
      <c r="BR264" s="9"/>
      <c r="BS264" s="9"/>
      <c r="BT264" s="40"/>
      <c r="BU264" s="40"/>
      <c r="BV264" s="36" t="str">
        <f aca="false">IF(BU264="","",EDATE(BU264,SG_Criteria!$B$54*12))</f>
        <v/>
      </c>
      <c r="BW264" s="33" t="str">
        <f aca="true">IF(A264="","",IF(BU264="","NOTE: not reviewed yet",IF(TODAY()&gt;BV264,"NOTE: review overdue","OK")))</f>
        <v/>
      </c>
      <c r="BX264" s="37" t="str">
        <f aca="false">IF(A264="","",ROUND((IF(LEN(D264)&gt;0,1,0)+IF(LEN(E264)&gt;0,1,0)+IF(LEN(F264)&gt;0,1,0)+IF(LEN(G264)&gt;0,1,0)+IF(LEN(H264)&gt;0,1,0)+IF(LEN(I264)&gt;0,1,0)+IF(LEN(J264)&gt;0,1,0)+IF(LEN(K264)&gt;0,1,0)+IF(LEN(N264)&gt;0,1,0)+IF(LEN(O264)&gt;0,1,0)+IF(LEN(W264)&gt;0,1,0)+IF(LEN(X264)&gt;0,1,0)+IF(LEN(Y264)&gt;0,1,0)+IF(LEN(AG264)&gt;0,1,0)+IF(LEN(AI264)&gt;0,1,0)+IF(LEN(AJ264)&gt;0,1,0)+IF(LEN(AK264)&gt;0,1,0)+IF(LEN(AL264)&gt;0,1,0)+IF(LEN(AU264)&gt;0,1,0)+IF(LEN(BF264)&gt;0,1,0)+IF(LEN(BS264)&gt;0,1,0))/21,2))</f>
        <v/>
      </c>
      <c r="BY264" s="10" t="str">
        <f aca="false">IF(D264="","",IF(AND(AJ264="Approved",ISERROR(SEARCH("FAIL",BC264))),"Y","N"))</f>
        <v/>
      </c>
      <c r="BZ264" s="10" t="str">
        <f aca="false">IF(D264="","",D264&amp;"|"&amp;F264&amp;"|"&amp;G264&amp;"|"&amp;BY264)</f>
        <v/>
      </c>
    </row>
    <row r="265" customFormat="false" ht="15" hidden="false" customHeight="false" outlineLevel="0" collapsed="false">
      <c r="A265" s="10" t="str">
        <f aca="false">IF(D265="","","LKW-"&amp;IFERROR(VLOOKUP(D265,Lists!$AQ$4:$AR$17,2,0),"??")&amp;"-W"&amp;TEXT(F265*1000,"0000")&amp;"-H"&amp;TEXT(G265*1000,"0000")&amp;"-B"&amp;TEXT(H265*1000,"0000")&amp;"-"&amp;AI265)</f>
        <v/>
      </c>
      <c r="B265" s="10" t="str">
        <f aca="false">IF(D265="","",D265&amp;", "&amp;F265&amp;" m wide, "&amp;G265&amp;" m headroom, "&amp;H265&amp;" m bays, "&amp;I265&amp;" ("&amp;E265&amp;")")</f>
        <v/>
      </c>
      <c r="C265" s="9"/>
      <c r="D265" s="9"/>
      <c r="E265" s="9"/>
      <c r="F265" s="42"/>
      <c r="G265" s="42"/>
      <c r="H265" s="42"/>
      <c r="I265" s="9"/>
      <c r="J265" s="9"/>
      <c r="K265" s="9"/>
      <c r="L265" s="9"/>
      <c r="M265" s="9"/>
      <c r="N265" s="9"/>
      <c r="O265" s="9"/>
      <c r="P265" s="9"/>
      <c r="Q265" s="9"/>
      <c r="R265" s="9"/>
      <c r="S265" s="42"/>
      <c r="T265" s="9"/>
      <c r="U265" s="9"/>
      <c r="V265" s="9"/>
      <c r="W265" s="38"/>
      <c r="X265" s="42"/>
      <c r="Y265" s="9"/>
      <c r="Z265" s="9"/>
      <c r="AA265" s="9"/>
      <c r="AB265" s="42"/>
      <c r="AC265" s="9"/>
      <c r="AD265" s="38"/>
      <c r="AE265" s="9"/>
      <c r="AF265" s="39"/>
      <c r="AG265" s="9"/>
      <c r="AH265" s="9"/>
      <c r="AI265" s="9"/>
      <c r="AJ265" s="9"/>
      <c r="AK265" s="9"/>
      <c r="AL265" s="9"/>
      <c r="AM265" s="9"/>
      <c r="AN265" s="10" t="str">
        <f aca="false">IF(A265="","",SG_Criteria!$B$6&amp;SG_Criteria!$B$12&amp;"\"&amp;A265&amp;"\")</f>
        <v/>
      </c>
      <c r="AO265" s="10" t="str">
        <f aca="false">IF(A265="","",A265&amp;"_CAD.dwg")</f>
        <v/>
      </c>
      <c r="AP265" s="10" t="str">
        <f aca="false">IF(A265="","",A265&amp;"_DWG.pdf")</f>
        <v/>
      </c>
      <c r="AQ265" s="10" t="str">
        <f aca="false">IF(A265="","",IF(AM265="Y",A265&amp;"_STAAD.std","n/a"))</f>
        <v/>
      </c>
      <c r="AR265" s="10" t="str">
        <f aca="false">IF(A265="","",A265&amp;"_CALC.xlsx")</f>
        <v/>
      </c>
      <c r="AS265" s="10" t="str">
        <f aca="false">IF(A265="","",A265&amp;"_CALC.pdf")</f>
        <v/>
      </c>
      <c r="AT265" s="9"/>
      <c r="AU265" s="9"/>
      <c r="AV265" s="39"/>
      <c r="AW265" s="39"/>
      <c r="AX265" s="39"/>
      <c r="AY265" s="39"/>
      <c r="AZ265" s="39"/>
      <c r="BA265" s="12" t="str">
        <f aca="false">IF(A265="","",IF(COUNTIF(Rebar_Schedule!$A$5:$A$2004,A265)=0,"",ROUND(SUMIF(Rebar_Schedule!$A$5:$A$2004,A265,Rebar_Schedule!$K$5:$K$2004),1)))</f>
        <v/>
      </c>
      <c r="BB265" s="33" t="str">
        <f aca="false">IF(A265="","",IF(BA265="","No rebar schedule yet",IF(ABS(BA265-N(AW265))/MAX(N(AW265),1)&gt;SG_Criteria!$B$55,"NOTE: register rebar differs from schedule by "&amp;TEXT(ABS(BA265-N(AW265))/MAX(N(AW265),1),"0%"),"OK")))</f>
        <v/>
      </c>
      <c r="BC265" s="33" t="str">
        <f aca="false">IF(D265="","",IF(LEN(IF(AND(D265&lt;&gt;"High Covered Linkway",G265&lt;SG_Criteria!$B$46),"FAIL: headroom below "&amp;SG_Criteria!$B$46&amp;" m. ","")&amp;IF(AND(D265="High Covered Linkway",G265&lt;SG_Criteria!$B$47),"FAIL: high linkway headroom below "&amp;SG_Criteria!$B$47&amp;" m. ","")&amp;IF(F265&lt;SG_Criteria!$B$48,"FAIL: roof width below "&amp;SG_Criteria!$B$48&amp;" m. ",IF(F265&lt;SG_Criteria!$B$49,"NOTE: not for MRT/LRT or high-traffic routes (min "&amp;SG_Criteria!$B$49&amp;" m). ",""))&amp;IF(AND(W265&lt;&gt;"",W265&lt;SG_Criteria!$B$50),"FAIL: wind speed below "&amp;SG_Criteria!$B$50&amp;" m/s. ","")&amp;IF(AND(X265&lt;&gt;"",X265&lt;SG_Criteria!$B$51),"FAIL: roof fixing pull-out below "&amp;SG_Criteria!$B$51&amp;" kN. ","")&amp;IF(AND(Y265&lt;&gt;"",IFERROR(VALUE(MID(Y265,2,2)),0)&lt;SG_Criteria!$B$52),"FAIL: grade below C"&amp;SG_Criteria!$B$52&amp;". ","")&amp;IF(E265="Non-standard (project design)","NOTE: not an SDRE standard, needs LTA acceptance. ",""))=0,"OK",IF(AND(D265&lt;&gt;"High Covered Linkway",G265&lt;SG_Criteria!$B$46),"FAIL: headroom below "&amp;SG_Criteria!$B$46&amp;" m. ","")&amp;IF(AND(D265="High Covered Linkway",G265&lt;SG_Criteria!$B$47),"FAIL: high linkway headroom below "&amp;SG_Criteria!$B$47&amp;" m. ","")&amp;IF(F265&lt;SG_Criteria!$B$48,"FAIL: roof width below "&amp;SG_Criteria!$B$48&amp;" m. ",IF(F265&lt;SG_Criteria!$B$49,"NOTE: not for MRT/LRT or high-traffic routes (min "&amp;SG_Criteria!$B$49&amp;" m). ",""))&amp;IF(AND(W265&lt;&gt;"",W265&lt;SG_Criteria!$B$50),"FAIL: wind speed below "&amp;SG_Criteria!$B$50&amp;" m/s. ","")&amp;IF(AND(X265&lt;&gt;"",X265&lt;SG_Criteria!$B$51),"FAIL: roof fixing pull-out below "&amp;SG_Criteria!$B$51&amp;" kN. ","")&amp;IF(AND(Y265&lt;&gt;"",IFERROR(VALUE(MID(Y265,2,2)),0)&lt;SG_Criteria!$B$52),"FAIL: grade below C"&amp;SG_Criteria!$B$52&amp;". ","")&amp;IF(E265="Non-standard (project design)","NOTE: not an SDRE standard, needs LTA acceptance. ","")))</f>
        <v/>
      </c>
      <c r="BD265" s="9"/>
      <c r="BE265" s="9"/>
      <c r="BF265" s="9"/>
      <c r="BG265" s="10" t="str">
        <f aca="false">IF(BF265="","",IFERROR(VLOOKUP(BF265,Projects!$A$5:$D$504,2,0),"Ref not in Projects"))</f>
        <v/>
      </c>
      <c r="BH265" s="10" t="str">
        <f aca="false">IF(BF265="","",IFERROR(VLOOKUP(BF265,Projects!$A$5:$D$504,4,0),"Ref not in Projects"))</f>
        <v/>
      </c>
      <c r="BI265" s="9"/>
      <c r="BJ265" s="9"/>
      <c r="BK265" s="9"/>
      <c r="BL265" s="40"/>
      <c r="BM265" s="9"/>
      <c r="BN265" s="40"/>
      <c r="BO265" s="9"/>
      <c r="BP265" s="40"/>
      <c r="BQ265" s="9"/>
      <c r="BR265" s="9"/>
      <c r="BS265" s="9"/>
      <c r="BT265" s="40"/>
      <c r="BU265" s="40"/>
      <c r="BV265" s="36" t="str">
        <f aca="false">IF(BU265="","",EDATE(BU265,SG_Criteria!$B$54*12))</f>
        <v/>
      </c>
      <c r="BW265" s="33" t="str">
        <f aca="true">IF(A265="","",IF(BU265="","NOTE: not reviewed yet",IF(TODAY()&gt;BV265,"NOTE: review overdue","OK")))</f>
        <v/>
      </c>
      <c r="BX265" s="37" t="str">
        <f aca="false">IF(A265="","",ROUND((IF(LEN(D265)&gt;0,1,0)+IF(LEN(E265)&gt;0,1,0)+IF(LEN(F265)&gt;0,1,0)+IF(LEN(G265)&gt;0,1,0)+IF(LEN(H265)&gt;0,1,0)+IF(LEN(I265)&gt;0,1,0)+IF(LEN(J265)&gt;0,1,0)+IF(LEN(K265)&gt;0,1,0)+IF(LEN(N265)&gt;0,1,0)+IF(LEN(O265)&gt;0,1,0)+IF(LEN(W265)&gt;0,1,0)+IF(LEN(X265)&gt;0,1,0)+IF(LEN(Y265)&gt;0,1,0)+IF(LEN(AG265)&gt;0,1,0)+IF(LEN(AI265)&gt;0,1,0)+IF(LEN(AJ265)&gt;0,1,0)+IF(LEN(AK265)&gt;0,1,0)+IF(LEN(AL265)&gt;0,1,0)+IF(LEN(AU265)&gt;0,1,0)+IF(LEN(BF265)&gt;0,1,0)+IF(LEN(BS265)&gt;0,1,0))/21,2))</f>
        <v/>
      </c>
      <c r="BY265" s="10" t="str">
        <f aca="false">IF(D265="","",IF(AND(AJ265="Approved",ISERROR(SEARCH("FAIL",BC265))),"Y","N"))</f>
        <v/>
      </c>
      <c r="BZ265" s="10" t="str">
        <f aca="false">IF(D265="","",D265&amp;"|"&amp;F265&amp;"|"&amp;G265&amp;"|"&amp;BY265)</f>
        <v/>
      </c>
    </row>
    <row r="266" customFormat="false" ht="15" hidden="false" customHeight="false" outlineLevel="0" collapsed="false">
      <c r="A266" s="10" t="str">
        <f aca="false">IF(D266="","","LKW-"&amp;IFERROR(VLOOKUP(D266,Lists!$AQ$4:$AR$17,2,0),"??")&amp;"-W"&amp;TEXT(F266*1000,"0000")&amp;"-H"&amp;TEXT(G266*1000,"0000")&amp;"-B"&amp;TEXT(H266*1000,"0000")&amp;"-"&amp;AI266)</f>
        <v/>
      </c>
      <c r="B266" s="10" t="str">
        <f aca="false">IF(D266="","",D266&amp;", "&amp;F266&amp;" m wide, "&amp;G266&amp;" m headroom, "&amp;H266&amp;" m bays, "&amp;I266&amp;" ("&amp;E266&amp;")")</f>
        <v/>
      </c>
      <c r="C266" s="9"/>
      <c r="D266" s="9"/>
      <c r="E266" s="9"/>
      <c r="F266" s="42"/>
      <c r="G266" s="42"/>
      <c r="H266" s="42"/>
      <c r="I266" s="9"/>
      <c r="J266" s="9"/>
      <c r="K266" s="9"/>
      <c r="L266" s="9"/>
      <c r="M266" s="9"/>
      <c r="N266" s="9"/>
      <c r="O266" s="9"/>
      <c r="P266" s="9"/>
      <c r="Q266" s="9"/>
      <c r="R266" s="9"/>
      <c r="S266" s="42"/>
      <c r="T266" s="9"/>
      <c r="U266" s="9"/>
      <c r="V266" s="9"/>
      <c r="W266" s="38"/>
      <c r="X266" s="42"/>
      <c r="Y266" s="9"/>
      <c r="Z266" s="9"/>
      <c r="AA266" s="9"/>
      <c r="AB266" s="42"/>
      <c r="AC266" s="9"/>
      <c r="AD266" s="38"/>
      <c r="AE266" s="9"/>
      <c r="AF266" s="39"/>
      <c r="AG266" s="9"/>
      <c r="AH266" s="9"/>
      <c r="AI266" s="9"/>
      <c r="AJ266" s="9"/>
      <c r="AK266" s="9"/>
      <c r="AL266" s="9"/>
      <c r="AM266" s="9"/>
      <c r="AN266" s="10" t="str">
        <f aca="false">IF(A266="","",SG_Criteria!$B$6&amp;SG_Criteria!$B$12&amp;"\"&amp;A266&amp;"\")</f>
        <v/>
      </c>
      <c r="AO266" s="10" t="str">
        <f aca="false">IF(A266="","",A266&amp;"_CAD.dwg")</f>
        <v/>
      </c>
      <c r="AP266" s="10" t="str">
        <f aca="false">IF(A266="","",A266&amp;"_DWG.pdf")</f>
        <v/>
      </c>
      <c r="AQ266" s="10" t="str">
        <f aca="false">IF(A266="","",IF(AM266="Y",A266&amp;"_STAAD.std","n/a"))</f>
        <v/>
      </c>
      <c r="AR266" s="10" t="str">
        <f aca="false">IF(A266="","",A266&amp;"_CALC.xlsx")</f>
        <v/>
      </c>
      <c r="AS266" s="10" t="str">
        <f aca="false">IF(A266="","",A266&amp;"_CALC.pdf")</f>
        <v/>
      </c>
      <c r="AT266" s="9"/>
      <c r="AU266" s="9"/>
      <c r="AV266" s="39"/>
      <c r="AW266" s="39"/>
      <c r="AX266" s="39"/>
      <c r="AY266" s="39"/>
      <c r="AZ266" s="39"/>
      <c r="BA266" s="12" t="str">
        <f aca="false">IF(A266="","",IF(COUNTIF(Rebar_Schedule!$A$5:$A$2004,A266)=0,"",ROUND(SUMIF(Rebar_Schedule!$A$5:$A$2004,A266,Rebar_Schedule!$K$5:$K$2004),1)))</f>
        <v/>
      </c>
      <c r="BB266" s="33" t="str">
        <f aca="false">IF(A266="","",IF(BA266="","No rebar schedule yet",IF(ABS(BA266-N(AW266))/MAX(N(AW266),1)&gt;SG_Criteria!$B$55,"NOTE: register rebar differs from schedule by "&amp;TEXT(ABS(BA266-N(AW266))/MAX(N(AW266),1),"0%"),"OK")))</f>
        <v/>
      </c>
      <c r="BC266" s="33" t="str">
        <f aca="false">IF(D266="","",IF(LEN(IF(AND(D266&lt;&gt;"High Covered Linkway",G266&lt;SG_Criteria!$B$46),"FAIL: headroom below "&amp;SG_Criteria!$B$46&amp;" m. ","")&amp;IF(AND(D266="High Covered Linkway",G266&lt;SG_Criteria!$B$47),"FAIL: high linkway headroom below "&amp;SG_Criteria!$B$47&amp;" m. ","")&amp;IF(F266&lt;SG_Criteria!$B$48,"FAIL: roof width below "&amp;SG_Criteria!$B$48&amp;" m. ",IF(F266&lt;SG_Criteria!$B$49,"NOTE: not for MRT/LRT or high-traffic routes (min "&amp;SG_Criteria!$B$49&amp;" m). ",""))&amp;IF(AND(W266&lt;&gt;"",W266&lt;SG_Criteria!$B$50),"FAIL: wind speed below "&amp;SG_Criteria!$B$50&amp;" m/s. ","")&amp;IF(AND(X266&lt;&gt;"",X266&lt;SG_Criteria!$B$51),"FAIL: roof fixing pull-out below "&amp;SG_Criteria!$B$51&amp;" kN. ","")&amp;IF(AND(Y266&lt;&gt;"",IFERROR(VALUE(MID(Y266,2,2)),0)&lt;SG_Criteria!$B$52),"FAIL: grade below C"&amp;SG_Criteria!$B$52&amp;". ","")&amp;IF(E266="Non-standard (project design)","NOTE: not an SDRE standard, needs LTA acceptance. ",""))=0,"OK",IF(AND(D266&lt;&gt;"High Covered Linkway",G266&lt;SG_Criteria!$B$46),"FAIL: headroom below "&amp;SG_Criteria!$B$46&amp;" m. ","")&amp;IF(AND(D266="High Covered Linkway",G266&lt;SG_Criteria!$B$47),"FAIL: high linkway headroom below "&amp;SG_Criteria!$B$47&amp;" m. ","")&amp;IF(F266&lt;SG_Criteria!$B$48,"FAIL: roof width below "&amp;SG_Criteria!$B$48&amp;" m. ",IF(F266&lt;SG_Criteria!$B$49,"NOTE: not for MRT/LRT or high-traffic routes (min "&amp;SG_Criteria!$B$49&amp;" m). ",""))&amp;IF(AND(W266&lt;&gt;"",W266&lt;SG_Criteria!$B$50),"FAIL: wind speed below "&amp;SG_Criteria!$B$50&amp;" m/s. ","")&amp;IF(AND(X266&lt;&gt;"",X266&lt;SG_Criteria!$B$51),"FAIL: roof fixing pull-out below "&amp;SG_Criteria!$B$51&amp;" kN. ","")&amp;IF(AND(Y266&lt;&gt;"",IFERROR(VALUE(MID(Y266,2,2)),0)&lt;SG_Criteria!$B$52),"FAIL: grade below C"&amp;SG_Criteria!$B$52&amp;". ","")&amp;IF(E266="Non-standard (project design)","NOTE: not an SDRE standard, needs LTA acceptance. ","")))</f>
        <v/>
      </c>
      <c r="BD266" s="9"/>
      <c r="BE266" s="9"/>
      <c r="BF266" s="9"/>
      <c r="BG266" s="10" t="str">
        <f aca="false">IF(BF266="","",IFERROR(VLOOKUP(BF266,Projects!$A$5:$D$504,2,0),"Ref not in Projects"))</f>
        <v/>
      </c>
      <c r="BH266" s="10" t="str">
        <f aca="false">IF(BF266="","",IFERROR(VLOOKUP(BF266,Projects!$A$5:$D$504,4,0),"Ref not in Projects"))</f>
        <v/>
      </c>
      <c r="BI266" s="9"/>
      <c r="BJ266" s="9"/>
      <c r="BK266" s="9"/>
      <c r="BL266" s="40"/>
      <c r="BM266" s="9"/>
      <c r="BN266" s="40"/>
      <c r="BO266" s="9"/>
      <c r="BP266" s="40"/>
      <c r="BQ266" s="9"/>
      <c r="BR266" s="9"/>
      <c r="BS266" s="9"/>
      <c r="BT266" s="40"/>
      <c r="BU266" s="40"/>
      <c r="BV266" s="36" t="str">
        <f aca="false">IF(BU266="","",EDATE(BU266,SG_Criteria!$B$54*12))</f>
        <v/>
      </c>
      <c r="BW266" s="33" t="str">
        <f aca="true">IF(A266="","",IF(BU266="","NOTE: not reviewed yet",IF(TODAY()&gt;BV266,"NOTE: review overdue","OK")))</f>
        <v/>
      </c>
      <c r="BX266" s="37" t="str">
        <f aca="false">IF(A266="","",ROUND((IF(LEN(D266)&gt;0,1,0)+IF(LEN(E266)&gt;0,1,0)+IF(LEN(F266)&gt;0,1,0)+IF(LEN(G266)&gt;0,1,0)+IF(LEN(H266)&gt;0,1,0)+IF(LEN(I266)&gt;0,1,0)+IF(LEN(J266)&gt;0,1,0)+IF(LEN(K266)&gt;0,1,0)+IF(LEN(N266)&gt;0,1,0)+IF(LEN(O266)&gt;0,1,0)+IF(LEN(W266)&gt;0,1,0)+IF(LEN(X266)&gt;0,1,0)+IF(LEN(Y266)&gt;0,1,0)+IF(LEN(AG266)&gt;0,1,0)+IF(LEN(AI266)&gt;0,1,0)+IF(LEN(AJ266)&gt;0,1,0)+IF(LEN(AK266)&gt;0,1,0)+IF(LEN(AL266)&gt;0,1,0)+IF(LEN(AU266)&gt;0,1,0)+IF(LEN(BF266)&gt;0,1,0)+IF(LEN(BS266)&gt;0,1,0))/21,2))</f>
        <v/>
      </c>
      <c r="BY266" s="10" t="str">
        <f aca="false">IF(D266="","",IF(AND(AJ266="Approved",ISERROR(SEARCH("FAIL",BC266))),"Y","N"))</f>
        <v/>
      </c>
      <c r="BZ266" s="10" t="str">
        <f aca="false">IF(D266="","",D266&amp;"|"&amp;F266&amp;"|"&amp;G266&amp;"|"&amp;BY266)</f>
        <v/>
      </c>
    </row>
    <row r="267" customFormat="false" ht="15" hidden="false" customHeight="false" outlineLevel="0" collapsed="false">
      <c r="A267" s="10" t="str">
        <f aca="false">IF(D267="","","LKW-"&amp;IFERROR(VLOOKUP(D267,Lists!$AQ$4:$AR$17,2,0),"??")&amp;"-W"&amp;TEXT(F267*1000,"0000")&amp;"-H"&amp;TEXT(G267*1000,"0000")&amp;"-B"&amp;TEXT(H267*1000,"0000")&amp;"-"&amp;AI267)</f>
        <v/>
      </c>
      <c r="B267" s="10" t="str">
        <f aca="false">IF(D267="","",D267&amp;", "&amp;F267&amp;" m wide, "&amp;G267&amp;" m headroom, "&amp;H267&amp;" m bays, "&amp;I267&amp;" ("&amp;E267&amp;")")</f>
        <v/>
      </c>
      <c r="C267" s="9"/>
      <c r="D267" s="9"/>
      <c r="E267" s="9"/>
      <c r="F267" s="42"/>
      <c r="G267" s="42"/>
      <c r="H267" s="42"/>
      <c r="I267" s="9"/>
      <c r="J267" s="9"/>
      <c r="K267" s="9"/>
      <c r="L267" s="9"/>
      <c r="M267" s="9"/>
      <c r="N267" s="9"/>
      <c r="O267" s="9"/>
      <c r="P267" s="9"/>
      <c r="Q267" s="9"/>
      <c r="R267" s="9"/>
      <c r="S267" s="42"/>
      <c r="T267" s="9"/>
      <c r="U267" s="9"/>
      <c r="V267" s="9"/>
      <c r="W267" s="38"/>
      <c r="X267" s="42"/>
      <c r="Y267" s="9"/>
      <c r="Z267" s="9"/>
      <c r="AA267" s="9"/>
      <c r="AB267" s="42"/>
      <c r="AC267" s="9"/>
      <c r="AD267" s="38"/>
      <c r="AE267" s="9"/>
      <c r="AF267" s="39"/>
      <c r="AG267" s="9"/>
      <c r="AH267" s="9"/>
      <c r="AI267" s="9"/>
      <c r="AJ267" s="9"/>
      <c r="AK267" s="9"/>
      <c r="AL267" s="9"/>
      <c r="AM267" s="9"/>
      <c r="AN267" s="10" t="str">
        <f aca="false">IF(A267="","",SG_Criteria!$B$6&amp;SG_Criteria!$B$12&amp;"\"&amp;A267&amp;"\")</f>
        <v/>
      </c>
      <c r="AO267" s="10" t="str">
        <f aca="false">IF(A267="","",A267&amp;"_CAD.dwg")</f>
        <v/>
      </c>
      <c r="AP267" s="10" t="str">
        <f aca="false">IF(A267="","",A267&amp;"_DWG.pdf")</f>
        <v/>
      </c>
      <c r="AQ267" s="10" t="str">
        <f aca="false">IF(A267="","",IF(AM267="Y",A267&amp;"_STAAD.std","n/a"))</f>
        <v/>
      </c>
      <c r="AR267" s="10" t="str">
        <f aca="false">IF(A267="","",A267&amp;"_CALC.xlsx")</f>
        <v/>
      </c>
      <c r="AS267" s="10" t="str">
        <f aca="false">IF(A267="","",A267&amp;"_CALC.pdf")</f>
        <v/>
      </c>
      <c r="AT267" s="9"/>
      <c r="AU267" s="9"/>
      <c r="AV267" s="39"/>
      <c r="AW267" s="39"/>
      <c r="AX267" s="39"/>
      <c r="AY267" s="39"/>
      <c r="AZ267" s="39"/>
      <c r="BA267" s="12" t="str">
        <f aca="false">IF(A267="","",IF(COUNTIF(Rebar_Schedule!$A$5:$A$2004,A267)=0,"",ROUND(SUMIF(Rebar_Schedule!$A$5:$A$2004,A267,Rebar_Schedule!$K$5:$K$2004),1)))</f>
        <v/>
      </c>
      <c r="BB267" s="33" t="str">
        <f aca="false">IF(A267="","",IF(BA267="","No rebar schedule yet",IF(ABS(BA267-N(AW267))/MAX(N(AW267),1)&gt;SG_Criteria!$B$55,"NOTE: register rebar differs from schedule by "&amp;TEXT(ABS(BA267-N(AW267))/MAX(N(AW267),1),"0%"),"OK")))</f>
        <v/>
      </c>
      <c r="BC267" s="33" t="str">
        <f aca="false">IF(D267="","",IF(LEN(IF(AND(D267&lt;&gt;"High Covered Linkway",G267&lt;SG_Criteria!$B$46),"FAIL: headroom below "&amp;SG_Criteria!$B$46&amp;" m. ","")&amp;IF(AND(D267="High Covered Linkway",G267&lt;SG_Criteria!$B$47),"FAIL: high linkway headroom below "&amp;SG_Criteria!$B$47&amp;" m. ","")&amp;IF(F267&lt;SG_Criteria!$B$48,"FAIL: roof width below "&amp;SG_Criteria!$B$48&amp;" m. ",IF(F267&lt;SG_Criteria!$B$49,"NOTE: not for MRT/LRT or high-traffic routes (min "&amp;SG_Criteria!$B$49&amp;" m). ",""))&amp;IF(AND(W267&lt;&gt;"",W267&lt;SG_Criteria!$B$50),"FAIL: wind speed below "&amp;SG_Criteria!$B$50&amp;" m/s. ","")&amp;IF(AND(X267&lt;&gt;"",X267&lt;SG_Criteria!$B$51),"FAIL: roof fixing pull-out below "&amp;SG_Criteria!$B$51&amp;" kN. ","")&amp;IF(AND(Y267&lt;&gt;"",IFERROR(VALUE(MID(Y267,2,2)),0)&lt;SG_Criteria!$B$52),"FAIL: grade below C"&amp;SG_Criteria!$B$52&amp;". ","")&amp;IF(E267="Non-standard (project design)","NOTE: not an SDRE standard, needs LTA acceptance. ",""))=0,"OK",IF(AND(D267&lt;&gt;"High Covered Linkway",G267&lt;SG_Criteria!$B$46),"FAIL: headroom below "&amp;SG_Criteria!$B$46&amp;" m. ","")&amp;IF(AND(D267="High Covered Linkway",G267&lt;SG_Criteria!$B$47),"FAIL: high linkway headroom below "&amp;SG_Criteria!$B$47&amp;" m. ","")&amp;IF(F267&lt;SG_Criteria!$B$48,"FAIL: roof width below "&amp;SG_Criteria!$B$48&amp;" m. ",IF(F267&lt;SG_Criteria!$B$49,"NOTE: not for MRT/LRT or high-traffic routes (min "&amp;SG_Criteria!$B$49&amp;" m). ",""))&amp;IF(AND(W267&lt;&gt;"",W267&lt;SG_Criteria!$B$50),"FAIL: wind speed below "&amp;SG_Criteria!$B$50&amp;" m/s. ","")&amp;IF(AND(X267&lt;&gt;"",X267&lt;SG_Criteria!$B$51),"FAIL: roof fixing pull-out below "&amp;SG_Criteria!$B$51&amp;" kN. ","")&amp;IF(AND(Y267&lt;&gt;"",IFERROR(VALUE(MID(Y267,2,2)),0)&lt;SG_Criteria!$B$52),"FAIL: grade below C"&amp;SG_Criteria!$B$52&amp;". ","")&amp;IF(E267="Non-standard (project design)","NOTE: not an SDRE standard, needs LTA acceptance. ","")))</f>
        <v/>
      </c>
      <c r="BD267" s="9"/>
      <c r="BE267" s="9"/>
      <c r="BF267" s="9"/>
      <c r="BG267" s="10" t="str">
        <f aca="false">IF(BF267="","",IFERROR(VLOOKUP(BF267,Projects!$A$5:$D$504,2,0),"Ref not in Projects"))</f>
        <v/>
      </c>
      <c r="BH267" s="10" t="str">
        <f aca="false">IF(BF267="","",IFERROR(VLOOKUP(BF267,Projects!$A$5:$D$504,4,0),"Ref not in Projects"))</f>
        <v/>
      </c>
      <c r="BI267" s="9"/>
      <c r="BJ267" s="9"/>
      <c r="BK267" s="9"/>
      <c r="BL267" s="40"/>
      <c r="BM267" s="9"/>
      <c r="BN267" s="40"/>
      <c r="BO267" s="9"/>
      <c r="BP267" s="40"/>
      <c r="BQ267" s="9"/>
      <c r="BR267" s="9"/>
      <c r="BS267" s="9"/>
      <c r="BT267" s="40"/>
      <c r="BU267" s="40"/>
      <c r="BV267" s="36" t="str">
        <f aca="false">IF(BU267="","",EDATE(BU267,SG_Criteria!$B$54*12))</f>
        <v/>
      </c>
      <c r="BW267" s="33" t="str">
        <f aca="true">IF(A267="","",IF(BU267="","NOTE: not reviewed yet",IF(TODAY()&gt;BV267,"NOTE: review overdue","OK")))</f>
        <v/>
      </c>
      <c r="BX267" s="37" t="str">
        <f aca="false">IF(A267="","",ROUND((IF(LEN(D267)&gt;0,1,0)+IF(LEN(E267)&gt;0,1,0)+IF(LEN(F267)&gt;0,1,0)+IF(LEN(G267)&gt;0,1,0)+IF(LEN(H267)&gt;0,1,0)+IF(LEN(I267)&gt;0,1,0)+IF(LEN(J267)&gt;0,1,0)+IF(LEN(K267)&gt;0,1,0)+IF(LEN(N267)&gt;0,1,0)+IF(LEN(O267)&gt;0,1,0)+IF(LEN(W267)&gt;0,1,0)+IF(LEN(X267)&gt;0,1,0)+IF(LEN(Y267)&gt;0,1,0)+IF(LEN(AG267)&gt;0,1,0)+IF(LEN(AI267)&gt;0,1,0)+IF(LEN(AJ267)&gt;0,1,0)+IF(LEN(AK267)&gt;0,1,0)+IF(LEN(AL267)&gt;0,1,0)+IF(LEN(AU267)&gt;0,1,0)+IF(LEN(BF267)&gt;0,1,0)+IF(LEN(BS267)&gt;0,1,0))/21,2))</f>
        <v/>
      </c>
      <c r="BY267" s="10" t="str">
        <f aca="false">IF(D267="","",IF(AND(AJ267="Approved",ISERROR(SEARCH("FAIL",BC267))),"Y","N"))</f>
        <v/>
      </c>
      <c r="BZ267" s="10" t="str">
        <f aca="false">IF(D267="","",D267&amp;"|"&amp;F267&amp;"|"&amp;G267&amp;"|"&amp;BY267)</f>
        <v/>
      </c>
    </row>
    <row r="268" customFormat="false" ht="15" hidden="false" customHeight="false" outlineLevel="0" collapsed="false">
      <c r="A268" s="10" t="str">
        <f aca="false">IF(D268="","","LKW-"&amp;IFERROR(VLOOKUP(D268,Lists!$AQ$4:$AR$17,2,0),"??")&amp;"-W"&amp;TEXT(F268*1000,"0000")&amp;"-H"&amp;TEXT(G268*1000,"0000")&amp;"-B"&amp;TEXT(H268*1000,"0000")&amp;"-"&amp;AI268)</f>
        <v/>
      </c>
      <c r="B268" s="10" t="str">
        <f aca="false">IF(D268="","",D268&amp;", "&amp;F268&amp;" m wide, "&amp;G268&amp;" m headroom, "&amp;H268&amp;" m bays, "&amp;I268&amp;" ("&amp;E268&amp;")")</f>
        <v/>
      </c>
      <c r="C268" s="9"/>
      <c r="D268" s="9"/>
      <c r="E268" s="9"/>
      <c r="F268" s="42"/>
      <c r="G268" s="42"/>
      <c r="H268" s="42"/>
      <c r="I268" s="9"/>
      <c r="J268" s="9"/>
      <c r="K268" s="9"/>
      <c r="L268" s="9"/>
      <c r="M268" s="9"/>
      <c r="N268" s="9"/>
      <c r="O268" s="9"/>
      <c r="P268" s="9"/>
      <c r="Q268" s="9"/>
      <c r="R268" s="9"/>
      <c r="S268" s="42"/>
      <c r="T268" s="9"/>
      <c r="U268" s="9"/>
      <c r="V268" s="9"/>
      <c r="W268" s="38"/>
      <c r="X268" s="42"/>
      <c r="Y268" s="9"/>
      <c r="Z268" s="9"/>
      <c r="AA268" s="9"/>
      <c r="AB268" s="42"/>
      <c r="AC268" s="9"/>
      <c r="AD268" s="38"/>
      <c r="AE268" s="9"/>
      <c r="AF268" s="39"/>
      <c r="AG268" s="9"/>
      <c r="AH268" s="9"/>
      <c r="AI268" s="9"/>
      <c r="AJ268" s="9"/>
      <c r="AK268" s="9"/>
      <c r="AL268" s="9"/>
      <c r="AM268" s="9"/>
      <c r="AN268" s="10" t="str">
        <f aca="false">IF(A268="","",SG_Criteria!$B$6&amp;SG_Criteria!$B$12&amp;"\"&amp;A268&amp;"\")</f>
        <v/>
      </c>
      <c r="AO268" s="10" t="str">
        <f aca="false">IF(A268="","",A268&amp;"_CAD.dwg")</f>
        <v/>
      </c>
      <c r="AP268" s="10" t="str">
        <f aca="false">IF(A268="","",A268&amp;"_DWG.pdf")</f>
        <v/>
      </c>
      <c r="AQ268" s="10" t="str">
        <f aca="false">IF(A268="","",IF(AM268="Y",A268&amp;"_STAAD.std","n/a"))</f>
        <v/>
      </c>
      <c r="AR268" s="10" t="str">
        <f aca="false">IF(A268="","",A268&amp;"_CALC.xlsx")</f>
        <v/>
      </c>
      <c r="AS268" s="10" t="str">
        <f aca="false">IF(A268="","",A268&amp;"_CALC.pdf")</f>
        <v/>
      </c>
      <c r="AT268" s="9"/>
      <c r="AU268" s="9"/>
      <c r="AV268" s="39"/>
      <c r="AW268" s="39"/>
      <c r="AX268" s="39"/>
      <c r="AY268" s="39"/>
      <c r="AZ268" s="39"/>
      <c r="BA268" s="12" t="str">
        <f aca="false">IF(A268="","",IF(COUNTIF(Rebar_Schedule!$A$5:$A$2004,A268)=0,"",ROUND(SUMIF(Rebar_Schedule!$A$5:$A$2004,A268,Rebar_Schedule!$K$5:$K$2004),1)))</f>
        <v/>
      </c>
      <c r="BB268" s="33" t="str">
        <f aca="false">IF(A268="","",IF(BA268="","No rebar schedule yet",IF(ABS(BA268-N(AW268))/MAX(N(AW268),1)&gt;SG_Criteria!$B$55,"NOTE: register rebar differs from schedule by "&amp;TEXT(ABS(BA268-N(AW268))/MAX(N(AW268),1),"0%"),"OK")))</f>
        <v/>
      </c>
      <c r="BC268" s="33" t="str">
        <f aca="false">IF(D268="","",IF(LEN(IF(AND(D268&lt;&gt;"High Covered Linkway",G268&lt;SG_Criteria!$B$46),"FAIL: headroom below "&amp;SG_Criteria!$B$46&amp;" m. ","")&amp;IF(AND(D268="High Covered Linkway",G268&lt;SG_Criteria!$B$47),"FAIL: high linkway headroom below "&amp;SG_Criteria!$B$47&amp;" m. ","")&amp;IF(F268&lt;SG_Criteria!$B$48,"FAIL: roof width below "&amp;SG_Criteria!$B$48&amp;" m. ",IF(F268&lt;SG_Criteria!$B$49,"NOTE: not for MRT/LRT or high-traffic routes (min "&amp;SG_Criteria!$B$49&amp;" m). ",""))&amp;IF(AND(W268&lt;&gt;"",W268&lt;SG_Criteria!$B$50),"FAIL: wind speed below "&amp;SG_Criteria!$B$50&amp;" m/s. ","")&amp;IF(AND(X268&lt;&gt;"",X268&lt;SG_Criteria!$B$51),"FAIL: roof fixing pull-out below "&amp;SG_Criteria!$B$51&amp;" kN. ","")&amp;IF(AND(Y268&lt;&gt;"",IFERROR(VALUE(MID(Y268,2,2)),0)&lt;SG_Criteria!$B$52),"FAIL: grade below C"&amp;SG_Criteria!$B$52&amp;". ","")&amp;IF(E268="Non-standard (project design)","NOTE: not an SDRE standard, needs LTA acceptance. ",""))=0,"OK",IF(AND(D268&lt;&gt;"High Covered Linkway",G268&lt;SG_Criteria!$B$46),"FAIL: headroom below "&amp;SG_Criteria!$B$46&amp;" m. ","")&amp;IF(AND(D268="High Covered Linkway",G268&lt;SG_Criteria!$B$47),"FAIL: high linkway headroom below "&amp;SG_Criteria!$B$47&amp;" m. ","")&amp;IF(F268&lt;SG_Criteria!$B$48,"FAIL: roof width below "&amp;SG_Criteria!$B$48&amp;" m. ",IF(F268&lt;SG_Criteria!$B$49,"NOTE: not for MRT/LRT or high-traffic routes (min "&amp;SG_Criteria!$B$49&amp;" m). ",""))&amp;IF(AND(W268&lt;&gt;"",W268&lt;SG_Criteria!$B$50),"FAIL: wind speed below "&amp;SG_Criteria!$B$50&amp;" m/s. ","")&amp;IF(AND(X268&lt;&gt;"",X268&lt;SG_Criteria!$B$51),"FAIL: roof fixing pull-out below "&amp;SG_Criteria!$B$51&amp;" kN. ","")&amp;IF(AND(Y268&lt;&gt;"",IFERROR(VALUE(MID(Y268,2,2)),0)&lt;SG_Criteria!$B$52),"FAIL: grade below C"&amp;SG_Criteria!$B$52&amp;". ","")&amp;IF(E268="Non-standard (project design)","NOTE: not an SDRE standard, needs LTA acceptance. ","")))</f>
        <v/>
      </c>
      <c r="BD268" s="9"/>
      <c r="BE268" s="9"/>
      <c r="BF268" s="9"/>
      <c r="BG268" s="10" t="str">
        <f aca="false">IF(BF268="","",IFERROR(VLOOKUP(BF268,Projects!$A$5:$D$504,2,0),"Ref not in Projects"))</f>
        <v/>
      </c>
      <c r="BH268" s="10" t="str">
        <f aca="false">IF(BF268="","",IFERROR(VLOOKUP(BF268,Projects!$A$5:$D$504,4,0),"Ref not in Projects"))</f>
        <v/>
      </c>
      <c r="BI268" s="9"/>
      <c r="BJ268" s="9"/>
      <c r="BK268" s="9"/>
      <c r="BL268" s="40"/>
      <c r="BM268" s="9"/>
      <c r="BN268" s="40"/>
      <c r="BO268" s="9"/>
      <c r="BP268" s="40"/>
      <c r="BQ268" s="9"/>
      <c r="BR268" s="9"/>
      <c r="BS268" s="9"/>
      <c r="BT268" s="40"/>
      <c r="BU268" s="40"/>
      <c r="BV268" s="36" t="str">
        <f aca="false">IF(BU268="","",EDATE(BU268,SG_Criteria!$B$54*12))</f>
        <v/>
      </c>
      <c r="BW268" s="33" t="str">
        <f aca="true">IF(A268="","",IF(BU268="","NOTE: not reviewed yet",IF(TODAY()&gt;BV268,"NOTE: review overdue","OK")))</f>
        <v/>
      </c>
      <c r="BX268" s="37" t="str">
        <f aca="false">IF(A268="","",ROUND((IF(LEN(D268)&gt;0,1,0)+IF(LEN(E268)&gt;0,1,0)+IF(LEN(F268)&gt;0,1,0)+IF(LEN(G268)&gt;0,1,0)+IF(LEN(H268)&gt;0,1,0)+IF(LEN(I268)&gt;0,1,0)+IF(LEN(J268)&gt;0,1,0)+IF(LEN(K268)&gt;0,1,0)+IF(LEN(N268)&gt;0,1,0)+IF(LEN(O268)&gt;0,1,0)+IF(LEN(W268)&gt;0,1,0)+IF(LEN(X268)&gt;0,1,0)+IF(LEN(Y268)&gt;0,1,0)+IF(LEN(AG268)&gt;0,1,0)+IF(LEN(AI268)&gt;0,1,0)+IF(LEN(AJ268)&gt;0,1,0)+IF(LEN(AK268)&gt;0,1,0)+IF(LEN(AL268)&gt;0,1,0)+IF(LEN(AU268)&gt;0,1,0)+IF(LEN(BF268)&gt;0,1,0)+IF(LEN(BS268)&gt;0,1,0))/21,2))</f>
        <v/>
      </c>
      <c r="BY268" s="10" t="str">
        <f aca="false">IF(D268="","",IF(AND(AJ268="Approved",ISERROR(SEARCH("FAIL",BC268))),"Y","N"))</f>
        <v/>
      </c>
      <c r="BZ268" s="10" t="str">
        <f aca="false">IF(D268="","",D268&amp;"|"&amp;F268&amp;"|"&amp;G268&amp;"|"&amp;BY268)</f>
        <v/>
      </c>
    </row>
    <row r="269" customFormat="false" ht="15" hidden="false" customHeight="false" outlineLevel="0" collapsed="false">
      <c r="A269" s="10" t="str">
        <f aca="false">IF(D269="","","LKW-"&amp;IFERROR(VLOOKUP(D269,Lists!$AQ$4:$AR$17,2,0),"??")&amp;"-W"&amp;TEXT(F269*1000,"0000")&amp;"-H"&amp;TEXT(G269*1000,"0000")&amp;"-B"&amp;TEXT(H269*1000,"0000")&amp;"-"&amp;AI269)</f>
        <v/>
      </c>
      <c r="B269" s="10" t="str">
        <f aca="false">IF(D269="","",D269&amp;", "&amp;F269&amp;" m wide, "&amp;G269&amp;" m headroom, "&amp;H269&amp;" m bays, "&amp;I269&amp;" ("&amp;E269&amp;")")</f>
        <v/>
      </c>
      <c r="C269" s="9"/>
      <c r="D269" s="9"/>
      <c r="E269" s="9"/>
      <c r="F269" s="42"/>
      <c r="G269" s="42"/>
      <c r="H269" s="42"/>
      <c r="I269" s="9"/>
      <c r="J269" s="9"/>
      <c r="K269" s="9"/>
      <c r="L269" s="9"/>
      <c r="M269" s="9"/>
      <c r="N269" s="9"/>
      <c r="O269" s="9"/>
      <c r="P269" s="9"/>
      <c r="Q269" s="9"/>
      <c r="R269" s="9"/>
      <c r="S269" s="42"/>
      <c r="T269" s="9"/>
      <c r="U269" s="9"/>
      <c r="V269" s="9"/>
      <c r="W269" s="38"/>
      <c r="X269" s="42"/>
      <c r="Y269" s="9"/>
      <c r="Z269" s="9"/>
      <c r="AA269" s="9"/>
      <c r="AB269" s="42"/>
      <c r="AC269" s="9"/>
      <c r="AD269" s="38"/>
      <c r="AE269" s="9"/>
      <c r="AF269" s="39"/>
      <c r="AG269" s="9"/>
      <c r="AH269" s="9"/>
      <c r="AI269" s="9"/>
      <c r="AJ269" s="9"/>
      <c r="AK269" s="9"/>
      <c r="AL269" s="9"/>
      <c r="AM269" s="9"/>
      <c r="AN269" s="10" t="str">
        <f aca="false">IF(A269="","",SG_Criteria!$B$6&amp;SG_Criteria!$B$12&amp;"\"&amp;A269&amp;"\")</f>
        <v/>
      </c>
      <c r="AO269" s="10" t="str">
        <f aca="false">IF(A269="","",A269&amp;"_CAD.dwg")</f>
        <v/>
      </c>
      <c r="AP269" s="10" t="str">
        <f aca="false">IF(A269="","",A269&amp;"_DWG.pdf")</f>
        <v/>
      </c>
      <c r="AQ269" s="10" t="str">
        <f aca="false">IF(A269="","",IF(AM269="Y",A269&amp;"_STAAD.std","n/a"))</f>
        <v/>
      </c>
      <c r="AR269" s="10" t="str">
        <f aca="false">IF(A269="","",A269&amp;"_CALC.xlsx")</f>
        <v/>
      </c>
      <c r="AS269" s="10" t="str">
        <f aca="false">IF(A269="","",A269&amp;"_CALC.pdf")</f>
        <v/>
      </c>
      <c r="AT269" s="9"/>
      <c r="AU269" s="9"/>
      <c r="AV269" s="39"/>
      <c r="AW269" s="39"/>
      <c r="AX269" s="39"/>
      <c r="AY269" s="39"/>
      <c r="AZ269" s="39"/>
      <c r="BA269" s="12" t="str">
        <f aca="false">IF(A269="","",IF(COUNTIF(Rebar_Schedule!$A$5:$A$2004,A269)=0,"",ROUND(SUMIF(Rebar_Schedule!$A$5:$A$2004,A269,Rebar_Schedule!$K$5:$K$2004),1)))</f>
        <v/>
      </c>
      <c r="BB269" s="33" t="str">
        <f aca="false">IF(A269="","",IF(BA269="","No rebar schedule yet",IF(ABS(BA269-N(AW269))/MAX(N(AW269),1)&gt;SG_Criteria!$B$55,"NOTE: register rebar differs from schedule by "&amp;TEXT(ABS(BA269-N(AW269))/MAX(N(AW269),1),"0%"),"OK")))</f>
        <v/>
      </c>
      <c r="BC269" s="33" t="str">
        <f aca="false">IF(D269="","",IF(LEN(IF(AND(D269&lt;&gt;"High Covered Linkway",G269&lt;SG_Criteria!$B$46),"FAIL: headroom below "&amp;SG_Criteria!$B$46&amp;" m. ","")&amp;IF(AND(D269="High Covered Linkway",G269&lt;SG_Criteria!$B$47),"FAIL: high linkway headroom below "&amp;SG_Criteria!$B$47&amp;" m. ","")&amp;IF(F269&lt;SG_Criteria!$B$48,"FAIL: roof width below "&amp;SG_Criteria!$B$48&amp;" m. ",IF(F269&lt;SG_Criteria!$B$49,"NOTE: not for MRT/LRT or high-traffic routes (min "&amp;SG_Criteria!$B$49&amp;" m). ",""))&amp;IF(AND(W269&lt;&gt;"",W269&lt;SG_Criteria!$B$50),"FAIL: wind speed below "&amp;SG_Criteria!$B$50&amp;" m/s. ","")&amp;IF(AND(X269&lt;&gt;"",X269&lt;SG_Criteria!$B$51),"FAIL: roof fixing pull-out below "&amp;SG_Criteria!$B$51&amp;" kN. ","")&amp;IF(AND(Y269&lt;&gt;"",IFERROR(VALUE(MID(Y269,2,2)),0)&lt;SG_Criteria!$B$52),"FAIL: grade below C"&amp;SG_Criteria!$B$52&amp;". ","")&amp;IF(E269="Non-standard (project design)","NOTE: not an SDRE standard, needs LTA acceptance. ",""))=0,"OK",IF(AND(D269&lt;&gt;"High Covered Linkway",G269&lt;SG_Criteria!$B$46),"FAIL: headroom below "&amp;SG_Criteria!$B$46&amp;" m. ","")&amp;IF(AND(D269="High Covered Linkway",G269&lt;SG_Criteria!$B$47),"FAIL: high linkway headroom below "&amp;SG_Criteria!$B$47&amp;" m. ","")&amp;IF(F269&lt;SG_Criteria!$B$48,"FAIL: roof width below "&amp;SG_Criteria!$B$48&amp;" m. ",IF(F269&lt;SG_Criteria!$B$49,"NOTE: not for MRT/LRT or high-traffic routes (min "&amp;SG_Criteria!$B$49&amp;" m). ",""))&amp;IF(AND(W269&lt;&gt;"",W269&lt;SG_Criteria!$B$50),"FAIL: wind speed below "&amp;SG_Criteria!$B$50&amp;" m/s. ","")&amp;IF(AND(X269&lt;&gt;"",X269&lt;SG_Criteria!$B$51),"FAIL: roof fixing pull-out below "&amp;SG_Criteria!$B$51&amp;" kN. ","")&amp;IF(AND(Y269&lt;&gt;"",IFERROR(VALUE(MID(Y269,2,2)),0)&lt;SG_Criteria!$B$52),"FAIL: grade below C"&amp;SG_Criteria!$B$52&amp;". ","")&amp;IF(E269="Non-standard (project design)","NOTE: not an SDRE standard, needs LTA acceptance. ","")))</f>
        <v/>
      </c>
      <c r="BD269" s="9"/>
      <c r="BE269" s="9"/>
      <c r="BF269" s="9"/>
      <c r="BG269" s="10" t="str">
        <f aca="false">IF(BF269="","",IFERROR(VLOOKUP(BF269,Projects!$A$5:$D$504,2,0),"Ref not in Projects"))</f>
        <v/>
      </c>
      <c r="BH269" s="10" t="str">
        <f aca="false">IF(BF269="","",IFERROR(VLOOKUP(BF269,Projects!$A$5:$D$504,4,0),"Ref not in Projects"))</f>
        <v/>
      </c>
      <c r="BI269" s="9"/>
      <c r="BJ269" s="9"/>
      <c r="BK269" s="9"/>
      <c r="BL269" s="40"/>
      <c r="BM269" s="9"/>
      <c r="BN269" s="40"/>
      <c r="BO269" s="9"/>
      <c r="BP269" s="40"/>
      <c r="BQ269" s="9"/>
      <c r="BR269" s="9"/>
      <c r="BS269" s="9"/>
      <c r="BT269" s="40"/>
      <c r="BU269" s="40"/>
      <c r="BV269" s="36" t="str">
        <f aca="false">IF(BU269="","",EDATE(BU269,SG_Criteria!$B$54*12))</f>
        <v/>
      </c>
      <c r="BW269" s="33" t="str">
        <f aca="true">IF(A269="","",IF(BU269="","NOTE: not reviewed yet",IF(TODAY()&gt;BV269,"NOTE: review overdue","OK")))</f>
        <v/>
      </c>
      <c r="BX269" s="37" t="str">
        <f aca="false">IF(A269="","",ROUND((IF(LEN(D269)&gt;0,1,0)+IF(LEN(E269)&gt;0,1,0)+IF(LEN(F269)&gt;0,1,0)+IF(LEN(G269)&gt;0,1,0)+IF(LEN(H269)&gt;0,1,0)+IF(LEN(I269)&gt;0,1,0)+IF(LEN(J269)&gt;0,1,0)+IF(LEN(K269)&gt;0,1,0)+IF(LEN(N269)&gt;0,1,0)+IF(LEN(O269)&gt;0,1,0)+IF(LEN(W269)&gt;0,1,0)+IF(LEN(X269)&gt;0,1,0)+IF(LEN(Y269)&gt;0,1,0)+IF(LEN(AG269)&gt;0,1,0)+IF(LEN(AI269)&gt;0,1,0)+IF(LEN(AJ269)&gt;0,1,0)+IF(LEN(AK269)&gt;0,1,0)+IF(LEN(AL269)&gt;0,1,0)+IF(LEN(AU269)&gt;0,1,0)+IF(LEN(BF269)&gt;0,1,0)+IF(LEN(BS269)&gt;0,1,0))/21,2))</f>
        <v/>
      </c>
      <c r="BY269" s="10" t="str">
        <f aca="false">IF(D269="","",IF(AND(AJ269="Approved",ISERROR(SEARCH("FAIL",BC269))),"Y","N"))</f>
        <v/>
      </c>
      <c r="BZ269" s="10" t="str">
        <f aca="false">IF(D269="","",D269&amp;"|"&amp;F269&amp;"|"&amp;G269&amp;"|"&amp;BY269)</f>
        <v/>
      </c>
    </row>
    <row r="270" customFormat="false" ht="15" hidden="false" customHeight="false" outlineLevel="0" collapsed="false">
      <c r="A270" s="10" t="str">
        <f aca="false">IF(D270="","","LKW-"&amp;IFERROR(VLOOKUP(D270,Lists!$AQ$4:$AR$17,2,0),"??")&amp;"-W"&amp;TEXT(F270*1000,"0000")&amp;"-H"&amp;TEXT(G270*1000,"0000")&amp;"-B"&amp;TEXT(H270*1000,"0000")&amp;"-"&amp;AI270)</f>
        <v/>
      </c>
      <c r="B270" s="10" t="str">
        <f aca="false">IF(D270="","",D270&amp;", "&amp;F270&amp;" m wide, "&amp;G270&amp;" m headroom, "&amp;H270&amp;" m bays, "&amp;I270&amp;" ("&amp;E270&amp;")")</f>
        <v/>
      </c>
      <c r="C270" s="9"/>
      <c r="D270" s="9"/>
      <c r="E270" s="9"/>
      <c r="F270" s="42"/>
      <c r="G270" s="42"/>
      <c r="H270" s="42"/>
      <c r="I270" s="9"/>
      <c r="J270" s="9"/>
      <c r="K270" s="9"/>
      <c r="L270" s="9"/>
      <c r="M270" s="9"/>
      <c r="N270" s="9"/>
      <c r="O270" s="9"/>
      <c r="P270" s="9"/>
      <c r="Q270" s="9"/>
      <c r="R270" s="9"/>
      <c r="S270" s="42"/>
      <c r="T270" s="9"/>
      <c r="U270" s="9"/>
      <c r="V270" s="9"/>
      <c r="W270" s="38"/>
      <c r="X270" s="42"/>
      <c r="Y270" s="9"/>
      <c r="Z270" s="9"/>
      <c r="AA270" s="9"/>
      <c r="AB270" s="42"/>
      <c r="AC270" s="9"/>
      <c r="AD270" s="38"/>
      <c r="AE270" s="9"/>
      <c r="AF270" s="39"/>
      <c r="AG270" s="9"/>
      <c r="AH270" s="9"/>
      <c r="AI270" s="9"/>
      <c r="AJ270" s="9"/>
      <c r="AK270" s="9"/>
      <c r="AL270" s="9"/>
      <c r="AM270" s="9"/>
      <c r="AN270" s="10" t="str">
        <f aca="false">IF(A270="","",SG_Criteria!$B$6&amp;SG_Criteria!$B$12&amp;"\"&amp;A270&amp;"\")</f>
        <v/>
      </c>
      <c r="AO270" s="10" t="str">
        <f aca="false">IF(A270="","",A270&amp;"_CAD.dwg")</f>
        <v/>
      </c>
      <c r="AP270" s="10" t="str">
        <f aca="false">IF(A270="","",A270&amp;"_DWG.pdf")</f>
        <v/>
      </c>
      <c r="AQ270" s="10" t="str">
        <f aca="false">IF(A270="","",IF(AM270="Y",A270&amp;"_STAAD.std","n/a"))</f>
        <v/>
      </c>
      <c r="AR270" s="10" t="str">
        <f aca="false">IF(A270="","",A270&amp;"_CALC.xlsx")</f>
        <v/>
      </c>
      <c r="AS270" s="10" t="str">
        <f aca="false">IF(A270="","",A270&amp;"_CALC.pdf")</f>
        <v/>
      </c>
      <c r="AT270" s="9"/>
      <c r="AU270" s="9"/>
      <c r="AV270" s="39"/>
      <c r="AW270" s="39"/>
      <c r="AX270" s="39"/>
      <c r="AY270" s="39"/>
      <c r="AZ270" s="39"/>
      <c r="BA270" s="12" t="str">
        <f aca="false">IF(A270="","",IF(COUNTIF(Rebar_Schedule!$A$5:$A$2004,A270)=0,"",ROUND(SUMIF(Rebar_Schedule!$A$5:$A$2004,A270,Rebar_Schedule!$K$5:$K$2004),1)))</f>
        <v/>
      </c>
      <c r="BB270" s="33" t="str">
        <f aca="false">IF(A270="","",IF(BA270="","No rebar schedule yet",IF(ABS(BA270-N(AW270))/MAX(N(AW270),1)&gt;SG_Criteria!$B$55,"NOTE: register rebar differs from schedule by "&amp;TEXT(ABS(BA270-N(AW270))/MAX(N(AW270),1),"0%"),"OK")))</f>
        <v/>
      </c>
      <c r="BC270" s="33" t="str">
        <f aca="false">IF(D270="","",IF(LEN(IF(AND(D270&lt;&gt;"High Covered Linkway",G270&lt;SG_Criteria!$B$46),"FAIL: headroom below "&amp;SG_Criteria!$B$46&amp;" m. ","")&amp;IF(AND(D270="High Covered Linkway",G270&lt;SG_Criteria!$B$47),"FAIL: high linkway headroom below "&amp;SG_Criteria!$B$47&amp;" m. ","")&amp;IF(F270&lt;SG_Criteria!$B$48,"FAIL: roof width below "&amp;SG_Criteria!$B$48&amp;" m. ",IF(F270&lt;SG_Criteria!$B$49,"NOTE: not for MRT/LRT or high-traffic routes (min "&amp;SG_Criteria!$B$49&amp;" m). ",""))&amp;IF(AND(W270&lt;&gt;"",W270&lt;SG_Criteria!$B$50),"FAIL: wind speed below "&amp;SG_Criteria!$B$50&amp;" m/s. ","")&amp;IF(AND(X270&lt;&gt;"",X270&lt;SG_Criteria!$B$51),"FAIL: roof fixing pull-out below "&amp;SG_Criteria!$B$51&amp;" kN. ","")&amp;IF(AND(Y270&lt;&gt;"",IFERROR(VALUE(MID(Y270,2,2)),0)&lt;SG_Criteria!$B$52),"FAIL: grade below C"&amp;SG_Criteria!$B$52&amp;". ","")&amp;IF(E270="Non-standard (project design)","NOTE: not an SDRE standard, needs LTA acceptance. ",""))=0,"OK",IF(AND(D270&lt;&gt;"High Covered Linkway",G270&lt;SG_Criteria!$B$46),"FAIL: headroom below "&amp;SG_Criteria!$B$46&amp;" m. ","")&amp;IF(AND(D270="High Covered Linkway",G270&lt;SG_Criteria!$B$47),"FAIL: high linkway headroom below "&amp;SG_Criteria!$B$47&amp;" m. ","")&amp;IF(F270&lt;SG_Criteria!$B$48,"FAIL: roof width below "&amp;SG_Criteria!$B$48&amp;" m. ",IF(F270&lt;SG_Criteria!$B$49,"NOTE: not for MRT/LRT or high-traffic routes (min "&amp;SG_Criteria!$B$49&amp;" m). ",""))&amp;IF(AND(W270&lt;&gt;"",W270&lt;SG_Criteria!$B$50),"FAIL: wind speed below "&amp;SG_Criteria!$B$50&amp;" m/s. ","")&amp;IF(AND(X270&lt;&gt;"",X270&lt;SG_Criteria!$B$51),"FAIL: roof fixing pull-out below "&amp;SG_Criteria!$B$51&amp;" kN. ","")&amp;IF(AND(Y270&lt;&gt;"",IFERROR(VALUE(MID(Y270,2,2)),0)&lt;SG_Criteria!$B$52),"FAIL: grade below C"&amp;SG_Criteria!$B$52&amp;". ","")&amp;IF(E270="Non-standard (project design)","NOTE: not an SDRE standard, needs LTA acceptance. ","")))</f>
        <v/>
      </c>
      <c r="BD270" s="9"/>
      <c r="BE270" s="9"/>
      <c r="BF270" s="9"/>
      <c r="BG270" s="10" t="str">
        <f aca="false">IF(BF270="","",IFERROR(VLOOKUP(BF270,Projects!$A$5:$D$504,2,0),"Ref not in Projects"))</f>
        <v/>
      </c>
      <c r="BH270" s="10" t="str">
        <f aca="false">IF(BF270="","",IFERROR(VLOOKUP(BF270,Projects!$A$5:$D$504,4,0),"Ref not in Projects"))</f>
        <v/>
      </c>
      <c r="BI270" s="9"/>
      <c r="BJ270" s="9"/>
      <c r="BK270" s="9"/>
      <c r="BL270" s="40"/>
      <c r="BM270" s="9"/>
      <c r="BN270" s="40"/>
      <c r="BO270" s="9"/>
      <c r="BP270" s="40"/>
      <c r="BQ270" s="9"/>
      <c r="BR270" s="9"/>
      <c r="BS270" s="9"/>
      <c r="BT270" s="40"/>
      <c r="BU270" s="40"/>
      <c r="BV270" s="36" t="str">
        <f aca="false">IF(BU270="","",EDATE(BU270,SG_Criteria!$B$54*12))</f>
        <v/>
      </c>
      <c r="BW270" s="33" t="str">
        <f aca="true">IF(A270="","",IF(BU270="","NOTE: not reviewed yet",IF(TODAY()&gt;BV270,"NOTE: review overdue","OK")))</f>
        <v/>
      </c>
      <c r="BX270" s="37" t="str">
        <f aca="false">IF(A270="","",ROUND((IF(LEN(D270)&gt;0,1,0)+IF(LEN(E270)&gt;0,1,0)+IF(LEN(F270)&gt;0,1,0)+IF(LEN(G270)&gt;0,1,0)+IF(LEN(H270)&gt;0,1,0)+IF(LEN(I270)&gt;0,1,0)+IF(LEN(J270)&gt;0,1,0)+IF(LEN(K270)&gt;0,1,0)+IF(LEN(N270)&gt;0,1,0)+IF(LEN(O270)&gt;0,1,0)+IF(LEN(W270)&gt;0,1,0)+IF(LEN(X270)&gt;0,1,0)+IF(LEN(Y270)&gt;0,1,0)+IF(LEN(AG270)&gt;0,1,0)+IF(LEN(AI270)&gt;0,1,0)+IF(LEN(AJ270)&gt;0,1,0)+IF(LEN(AK270)&gt;0,1,0)+IF(LEN(AL270)&gt;0,1,0)+IF(LEN(AU270)&gt;0,1,0)+IF(LEN(BF270)&gt;0,1,0)+IF(LEN(BS270)&gt;0,1,0))/21,2))</f>
        <v/>
      </c>
      <c r="BY270" s="10" t="str">
        <f aca="false">IF(D270="","",IF(AND(AJ270="Approved",ISERROR(SEARCH("FAIL",BC270))),"Y","N"))</f>
        <v/>
      </c>
      <c r="BZ270" s="10" t="str">
        <f aca="false">IF(D270="","",D270&amp;"|"&amp;F270&amp;"|"&amp;G270&amp;"|"&amp;BY270)</f>
        <v/>
      </c>
    </row>
    <row r="271" customFormat="false" ht="15" hidden="false" customHeight="false" outlineLevel="0" collapsed="false">
      <c r="A271" s="10" t="str">
        <f aca="false">IF(D271="","","LKW-"&amp;IFERROR(VLOOKUP(D271,Lists!$AQ$4:$AR$17,2,0),"??")&amp;"-W"&amp;TEXT(F271*1000,"0000")&amp;"-H"&amp;TEXT(G271*1000,"0000")&amp;"-B"&amp;TEXT(H271*1000,"0000")&amp;"-"&amp;AI271)</f>
        <v/>
      </c>
      <c r="B271" s="10" t="str">
        <f aca="false">IF(D271="","",D271&amp;", "&amp;F271&amp;" m wide, "&amp;G271&amp;" m headroom, "&amp;H271&amp;" m bays, "&amp;I271&amp;" ("&amp;E271&amp;")")</f>
        <v/>
      </c>
      <c r="C271" s="9"/>
      <c r="D271" s="9"/>
      <c r="E271" s="9"/>
      <c r="F271" s="42"/>
      <c r="G271" s="42"/>
      <c r="H271" s="42"/>
      <c r="I271" s="9"/>
      <c r="J271" s="9"/>
      <c r="K271" s="9"/>
      <c r="L271" s="9"/>
      <c r="M271" s="9"/>
      <c r="N271" s="9"/>
      <c r="O271" s="9"/>
      <c r="P271" s="9"/>
      <c r="Q271" s="9"/>
      <c r="R271" s="9"/>
      <c r="S271" s="42"/>
      <c r="T271" s="9"/>
      <c r="U271" s="9"/>
      <c r="V271" s="9"/>
      <c r="W271" s="38"/>
      <c r="X271" s="42"/>
      <c r="Y271" s="9"/>
      <c r="Z271" s="9"/>
      <c r="AA271" s="9"/>
      <c r="AB271" s="42"/>
      <c r="AC271" s="9"/>
      <c r="AD271" s="38"/>
      <c r="AE271" s="9"/>
      <c r="AF271" s="39"/>
      <c r="AG271" s="9"/>
      <c r="AH271" s="9"/>
      <c r="AI271" s="9"/>
      <c r="AJ271" s="9"/>
      <c r="AK271" s="9"/>
      <c r="AL271" s="9"/>
      <c r="AM271" s="9"/>
      <c r="AN271" s="10" t="str">
        <f aca="false">IF(A271="","",SG_Criteria!$B$6&amp;SG_Criteria!$B$12&amp;"\"&amp;A271&amp;"\")</f>
        <v/>
      </c>
      <c r="AO271" s="10" t="str">
        <f aca="false">IF(A271="","",A271&amp;"_CAD.dwg")</f>
        <v/>
      </c>
      <c r="AP271" s="10" t="str">
        <f aca="false">IF(A271="","",A271&amp;"_DWG.pdf")</f>
        <v/>
      </c>
      <c r="AQ271" s="10" t="str">
        <f aca="false">IF(A271="","",IF(AM271="Y",A271&amp;"_STAAD.std","n/a"))</f>
        <v/>
      </c>
      <c r="AR271" s="10" t="str">
        <f aca="false">IF(A271="","",A271&amp;"_CALC.xlsx")</f>
        <v/>
      </c>
      <c r="AS271" s="10" t="str">
        <f aca="false">IF(A271="","",A271&amp;"_CALC.pdf")</f>
        <v/>
      </c>
      <c r="AT271" s="9"/>
      <c r="AU271" s="9"/>
      <c r="AV271" s="39"/>
      <c r="AW271" s="39"/>
      <c r="AX271" s="39"/>
      <c r="AY271" s="39"/>
      <c r="AZ271" s="39"/>
      <c r="BA271" s="12" t="str">
        <f aca="false">IF(A271="","",IF(COUNTIF(Rebar_Schedule!$A$5:$A$2004,A271)=0,"",ROUND(SUMIF(Rebar_Schedule!$A$5:$A$2004,A271,Rebar_Schedule!$K$5:$K$2004),1)))</f>
        <v/>
      </c>
      <c r="BB271" s="33" t="str">
        <f aca="false">IF(A271="","",IF(BA271="","No rebar schedule yet",IF(ABS(BA271-N(AW271))/MAX(N(AW271),1)&gt;SG_Criteria!$B$55,"NOTE: register rebar differs from schedule by "&amp;TEXT(ABS(BA271-N(AW271))/MAX(N(AW271),1),"0%"),"OK")))</f>
        <v/>
      </c>
      <c r="BC271" s="33" t="str">
        <f aca="false">IF(D271="","",IF(LEN(IF(AND(D271&lt;&gt;"High Covered Linkway",G271&lt;SG_Criteria!$B$46),"FAIL: headroom below "&amp;SG_Criteria!$B$46&amp;" m. ","")&amp;IF(AND(D271="High Covered Linkway",G271&lt;SG_Criteria!$B$47),"FAIL: high linkway headroom below "&amp;SG_Criteria!$B$47&amp;" m. ","")&amp;IF(F271&lt;SG_Criteria!$B$48,"FAIL: roof width below "&amp;SG_Criteria!$B$48&amp;" m. ",IF(F271&lt;SG_Criteria!$B$49,"NOTE: not for MRT/LRT or high-traffic routes (min "&amp;SG_Criteria!$B$49&amp;" m). ",""))&amp;IF(AND(W271&lt;&gt;"",W271&lt;SG_Criteria!$B$50),"FAIL: wind speed below "&amp;SG_Criteria!$B$50&amp;" m/s. ","")&amp;IF(AND(X271&lt;&gt;"",X271&lt;SG_Criteria!$B$51),"FAIL: roof fixing pull-out below "&amp;SG_Criteria!$B$51&amp;" kN. ","")&amp;IF(AND(Y271&lt;&gt;"",IFERROR(VALUE(MID(Y271,2,2)),0)&lt;SG_Criteria!$B$52),"FAIL: grade below C"&amp;SG_Criteria!$B$52&amp;". ","")&amp;IF(E271="Non-standard (project design)","NOTE: not an SDRE standard, needs LTA acceptance. ",""))=0,"OK",IF(AND(D271&lt;&gt;"High Covered Linkway",G271&lt;SG_Criteria!$B$46),"FAIL: headroom below "&amp;SG_Criteria!$B$46&amp;" m. ","")&amp;IF(AND(D271="High Covered Linkway",G271&lt;SG_Criteria!$B$47),"FAIL: high linkway headroom below "&amp;SG_Criteria!$B$47&amp;" m. ","")&amp;IF(F271&lt;SG_Criteria!$B$48,"FAIL: roof width below "&amp;SG_Criteria!$B$48&amp;" m. ",IF(F271&lt;SG_Criteria!$B$49,"NOTE: not for MRT/LRT or high-traffic routes (min "&amp;SG_Criteria!$B$49&amp;" m). ",""))&amp;IF(AND(W271&lt;&gt;"",W271&lt;SG_Criteria!$B$50),"FAIL: wind speed below "&amp;SG_Criteria!$B$50&amp;" m/s. ","")&amp;IF(AND(X271&lt;&gt;"",X271&lt;SG_Criteria!$B$51),"FAIL: roof fixing pull-out below "&amp;SG_Criteria!$B$51&amp;" kN. ","")&amp;IF(AND(Y271&lt;&gt;"",IFERROR(VALUE(MID(Y271,2,2)),0)&lt;SG_Criteria!$B$52),"FAIL: grade below C"&amp;SG_Criteria!$B$52&amp;". ","")&amp;IF(E271="Non-standard (project design)","NOTE: not an SDRE standard, needs LTA acceptance. ","")))</f>
        <v/>
      </c>
      <c r="BD271" s="9"/>
      <c r="BE271" s="9"/>
      <c r="BF271" s="9"/>
      <c r="BG271" s="10" t="str">
        <f aca="false">IF(BF271="","",IFERROR(VLOOKUP(BF271,Projects!$A$5:$D$504,2,0),"Ref not in Projects"))</f>
        <v/>
      </c>
      <c r="BH271" s="10" t="str">
        <f aca="false">IF(BF271="","",IFERROR(VLOOKUP(BF271,Projects!$A$5:$D$504,4,0),"Ref not in Projects"))</f>
        <v/>
      </c>
      <c r="BI271" s="9"/>
      <c r="BJ271" s="9"/>
      <c r="BK271" s="9"/>
      <c r="BL271" s="40"/>
      <c r="BM271" s="9"/>
      <c r="BN271" s="40"/>
      <c r="BO271" s="9"/>
      <c r="BP271" s="40"/>
      <c r="BQ271" s="9"/>
      <c r="BR271" s="9"/>
      <c r="BS271" s="9"/>
      <c r="BT271" s="40"/>
      <c r="BU271" s="40"/>
      <c r="BV271" s="36" t="str">
        <f aca="false">IF(BU271="","",EDATE(BU271,SG_Criteria!$B$54*12))</f>
        <v/>
      </c>
      <c r="BW271" s="33" t="str">
        <f aca="true">IF(A271="","",IF(BU271="","NOTE: not reviewed yet",IF(TODAY()&gt;BV271,"NOTE: review overdue","OK")))</f>
        <v/>
      </c>
      <c r="BX271" s="37" t="str">
        <f aca="false">IF(A271="","",ROUND((IF(LEN(D271)&gt;0,1,0)+IF(LEN(E271)&gt;0,1,0)+IF(LEN(F271)&gt;0,1,0)+IF(LEN(G271)&gt;0,1,0)+IF(LEN(H271)&gt;0,1,0)+IF(LEN(I271)&gt;0,1,0)+IF(LEN(J271)&gt;0,1,0)+IF(LEN(K271)&gt;0,1,0)+IF(LEN(N271)&gt;0,1,0)+IF(LEN(O271)&gt;0,1,0)+IF(LEN(W271)&gt;0,1,0)+IF(LEN(X271)&gt;0,1,0)+IF(LEN(Y271)&gt;0,1,0)+IF(LEN(AG271)&gt;0,1,0)+IF(LEN(AI271)&gt;0,1,0)+IF(LEN(AJ271)&gt;0,1,0)+IF(LEN(AK271)&gt;0,1,0)+IF(LEN(AL271)&gt;0,1,0)+IF(LEN(AU271)&gt;0,1,0)+IF(LEN(BF271)&gt;0,1,0)+IF(LEN(BS271)&gt;0,1,0))/21,2))</f>
        <v/>
      </c>
      <c r="BY271" s="10" t="str">
        <f aca="false">IF(D271="","",IF(AND(AJ271="Approved",ISERROR(SEARCH("FAIL",BC271))),"Y","N"))</f>
        <v/>
      </c>
      <c r="BZ271" s="10" t="str">
        <f aca="false">IF(D271="","",D271&amp;"|"&amp;F271&amp;"|"&amp;G271&amp;"|"&amp;BY271)</f>
        <v/>
      </c>
    </row>
    <row r="272" customFormat="false" ht="15" hidden="false" customHeight="false" outlineLevel="0" collapsed="false">
      <c r="A272" s="10" t="str">
        <f aca="false">IF(D272="","","LKW-"&amp;IFERROR(VLOOKUP(D272,Lists!$AQ$4:$AR$17,2,0),"??")&amp;"-W"&amp;TEXT(F272*1000,"0000")&amp;"-H"&amp;TEXT(G272*1000,"0000")&amp;"-B"&amp;TEXT(H272*1000,"0000")&amp;"-"&amp;AI272)</f>
        <v/>
      </c>
      <c r="B272" s="10" t="str">
        <f aca="false">IF(D272="","",D272&amp;", "&amp;F272&amp;" m wide, "&amp;G272&amp;" m headroom, "&amp;H272&amp;" m bays, "&amp;I272&amp;" ("&amp;E272&amp;")")</f>
        <v/>
      </c>
      <c r="C272" s="9"/>
      <c r="D272" s="9"/>
      <c r="E272" s="9"/>
      <c r="F272" s="42"/>
      <c r="G272" s="42"/>
      <c r="H272" s="42"/>
      <c r="I272" s="9"/>
      <c r="J272" s="9"/>
      <c r="K272" s="9"/>
      <c r="L272" s="9"/>
      <c r="M272" s="9"/>
      <c r="N272" s="9"/>
      <c r="O272" s="9"/>
      <c r="P272" s="9"/>
      <c r="Q272" s="9"/>
      <c r="R272" s="9"/>
      <c r="S272" s="42"/>
      <c r="T272" s="9"/>
      <c r="U272" s="9"/>
      <c r="V272" s="9"/>
      <c r="W272" s="38"/>
      <c r="X272" s="42"/>
      <c r="Y272" s="9"/>
      <c r="Z272" s="9"/>
      <c r="AA272" s="9"/>
      <c r="AB272" s="42"/>
      <c r="AC272" s="9"/>
      <c r="AD272" s="38"/>
      <c r="AE272" s="9"/>
      <c r="AF272" s="39"/>
      <c r="AG272" s="9"/>
      <c r="AH272" s="9"/>
      <c r="AI272" s="9"/>
      <c r="AJ272" s="9"/>
      <c r="AK272" s="9"/>
      <c r="AL272" s="9"/>
      <c r="AM272" s="9"/>
      <c r="AN272" s="10" t="str">
        <f aca="false">IF(A272="","",SG_Criteria!$B$6&amp;SG_Criteria!$B$12&amp;"\"&amp;A272&amp;"\")</f>
        <v/>
      </c>
      <c r="AO272" s="10" t="str">
        <f aca="false">IF(A272="","",A272&amp;"_CAD.dwg")</f>
        <v/>
      </c>
      <c r="AP272" s="10" t="str">
        <f aca="false">IF(A272="","",A272&amp;"_DWG.pdf")</f>
        <v/>
      </c>
      <c r="AQ272" s="10" t="str">
        <f aca="false">IF(A272="","",IF(AM272="Y",A272&amp;"_STAAD.std","n/a"))</f>
        <v/>
      </c>
      <c r="AR272" s="10" t="str">
        <f aca="false">IF(A272="","",A272&amp;"_CALC.xlsx")</f>
        <v/>
      </c>
      <c r="AS272" s="10" t="str">
        <f aca="false">IF(A272="","",A272&amp;"_CALC.pdf")</f>
        <v/>
      </c>
      <c r="AT272" s="9"/>
      <c r="AU272" s="9"/>
      <c r="AV272" s="39"/>
      <c r="AW272" s="39"/>
      <c r="AX272" s="39"/>
      <c r="AY272" s="39"/>
      <c r="AZ272" s="39"/>
      <c r="BA272" s="12" t="str">
        <f aca="false">IF(A272="","",IF(COUNTIF(Rebar_Schedule!$A$5:$A$2004,A272)=0,"",ROUND(SUMIF(Rebar_Schedule!$A$5:$A$2004,A272,Rebar_Schedule!$K$5:$K$2004),1)))</f>
        <v/>
      </c>
      <c r="BB272" s="33" t="str">
        <f aca="false">IF(A272="","",IF(BA272="","No rebar schedule yet",IF(ABS(BA272-N(AW272))/MAX(N(AW272),1)&gt;SG_Criteria!$B$55,"NOTE: register rebar differs from schedule by "&amp;TEXT(ABS(BA272-N(AW272))/MAX(N(AW272),1),"0%"),"OK")))</f>
        <v/>
      </c>
      <c r="BC272" s="33" t="str">
        <f aca="false">IF(D272="","",IF(LEN(IF(AND(D272&lt;&gt;"High Covered Linkway",G272&lt;SG_Criteria!$B$46),"FAIL: headroom below "&amp;SG_Criteria!$B$46&amp;" m. ","")&amp;IF(AND(D272="High Covered Linkway",G272&lt;SG_Criteria!$B$47),"FAIL: high linkway headroom below "&amp;SG_Criteria!$B$47&amp;" m. ","")&amp;IF(F272&lt;SG_Criteria!$B$48,"FAIL: roof width below "&amp;SG_Criteria!$B$48&amp;" m. ",IF(F272&lt;SG_Criteria!$B$49,"NOTE: not for MRT/LRT or high-traffic routes (min "&amp;SG_Criteria!$B$49&amp;" m). ",""))&amp;IF(AND(W272&lt;&gt;"",W272&lt;SG_Criteria!$B$50),"FAIL: wind speed below "&amp;SG_Criteria!$B$50&amp;" m/s. ","")&amp;IF(AND(X272&lt;&gt;"",X272&lt;SG_Criteria!$B$51),"FAIL: roof fixing pull-out below "&amp;SG_Criteria!$B$51&amp;" kN. ","")&amp;IF(AND(Y272&lt;&gt;"",IFERROR(VALUE(MID(Y272,2,2)),0)&lt;SG_Criteria!$B$52),"FAIL: grade below C"&amp;SG_Criteria!$B$52&amp;". ","")&amp;IF(E272="Non-standard (project design)","NOTE: not an SDRE standard, needs LTA acceptance. ",""))=0,"OK",IF(AND(D272&lt;&gt;"High Covered Linkway",G272&lt;SG_Criteria!$B$46),"FAIL: headroom below "&amp;SG_Criteria!$B$46&amp;" m. ","")&amp;IF(AND(D272="High Covered Linkway",G272&lt;SG_Criteria!$B$47),"FAIL: high linkway headroom below "&amp;SG_Criteria!$B$47&amp;" m. ","")&amp;IF(F272&lt;SG_Criteria!$B$48,"FAIL: roof width below "&amp;SG_Criteria!$B$48&amp;" m. ",IF(F272&lt;SG_Criteria!$B$49,"NOTE: not for MRT/LRT or high-traffic routes (min "&amp;SG_Criteria!$B$49&amp;" m). ",""))&amp;IF(AND(W272&lt;&gt;"",W272&lt;SG_Criteria!$B$50),"FAIL: wind speed below "&amp;SG_Criteria!$B$50&amp;" m/s. ","")&amp;IF(AND(X272&lt;&gt;"",X272&lt;SG_Criteria!$B$51),"FAIL: roof fixing pull-out below "&amp;SG_Criteria!$B$51&amp;" kN. ","")&amp;IF(AND(Y272&lt;&gt;"",IFERROR(VALUE(MID(Y272,2,2)),0)&lt;SG_Criteria!$B$52),"FAIL: grade below C"&amp;SG_Criteria!$B$52&amp;". ","")&amp;IF(E272="Non-standard (project design)","NOTE: not an SDRE standard, needs LTA acceptance. ","")))</f>
        <v/>
      </c>
      <c r="BD272" s="9"/>
      <c r="BE272" s="9"/>
      <c r="BF272" s="9"/>
      <c r="BG272" s="10" t="str">
        <f aca="false">IF(BF272="","",IFERROR(VLOOKUP(BF272,Projects!$A$5:$D$504,2,0),"Ref not in Projects"))</f>
        <v/>
      </c>
      <c r="BH272" s="10" t="str">
        <f aca="false">IF(BF272="","",IFERROR(VLOOKUP(BF272,Projects!$A$5:$D$504,4,0),"Ref not in Projects"))</f>
        <v/>
      </c>
      <c r="BI272" s="9"/>
      <c r="BJ272" s="9"/>
      <c r="BK272" s="9"/>
      <c r="BL272" s="40"/>
      <c r="BM272" s="9"/>
      <c r="BN272" s="40"/>
      <c r="BO272" s="9"/>
      <c r="BP272" s="40"/>
      <c r="BQ272" s="9"/>
      <c r="BR272" s="9"/>
      <c r="BS272" s="9"/>
      <c r="BT272" s="40"/>
      <c r="BU272" s="40"/>
      <c r="BV272" s="36" t="str">
        <f aca="false">IF(BU272="","",EDATE(BU272,SG_Criteria!$B$54*12))</f>
        <v/>
      </c>
      <c r="BW272" s="33" t="str">
        <f aca="true">IF(A272="","",IF(BU272="","NOTE: not reviewed yet",IF(TODAY()&gt;BV272,"NOTE: review overdue","OK")))</f>
        <v/>
      </c>
      <c r="BX272" s="37" t="str">
        <f aca="false">IF(A272="","",ROUND((IF(LEN(D272)&gt;0,1,0)+IF(LEN(E272)&gt;0,1,0)+IF(LEN(F272)&gt;0,1,0)+IF(LEN(G272)&gt;0,1,0)+IF(LEN(H272)&gt;0,1,0)+IF(LEN(I272)&gt;0,1,0)+IF(LEN(J272)&gt;0,1,0)+IF(LEN(K272)&gt;0,1,0)+IF(LEN(N272)&gt;0,1,0)+IF(LEN(O272)&gt;0,1,0)+IF(LEN(W272)&gt;0,1,0)+IF(LEN(X272)&gt;0,1,0)+IF(LEN(Y272)&gt;0,1,0)+IF(LEN(AG272)&gt;0,1,0)+IF(LEN(AI272)&gt;0,1,0)+IF(LEN(AJ272)&gt;0,1,0)+IF(LEN(AK272)&gt;0,1,0)+IF(LEN(AL272)&gt;0,1,0)+IF(LEN(AU272)&gt;0,1,0)+IF(LEN(BF272)&gt;0,1,0)+IF(LEN(BS272)&gt;0,1,0))/21,2))</f>
        <v/>
      </c>
      <c r="BY272" s="10" t="str">
        <f aca="false">IF(D272="","",IF(AND(AJ272="Approved",ISERROR(SEARCH("FAIL",BC272))),"Y","N"))</f>
        <v/>
      </c>
      <c r="BZ272" s="10" t="str">
        <f aca="false">IF(D272="","",D272&amp;"|"&amp;F272&amp;"|"&amp;G272&amp;"|"&amp;BY272)</f>
        <v/>
      </c>
    </row>
    <row r="273" customFormat="false" ht="15" hidden="false" customHeight="false" outlineLevel="0" collapsed="false">
      <c r="A273" s="10" t="str">
        <f aca="false">IF(D273="","","LKW-"&amp;IFERROR(VLOOKUP(D273,Lists!$AQ$4:$AR$17,2,0),"??")&amp;"-W"&amp;TEXT(F273*1000,"0000")&amp;"-H"&amp;TEXT(G273*1000,"0000")&amp;"-B"&amp;TEXT(H273*1000,"0000")&amp;"-"&amp;AI273)</f>
        <v/>
      </c>
      <c r="B273" s="10" t="str">
        <f aca="false">IF(D273="","",D273&amp;", "&amp;F273&amp;" m wide, "&amp;G273&amp;" m headroom, "&amp;H273&amp;" m bays, "&amp;I273&amp;" ("&amp;E273&amp;")")</f>
        <v/>
      </c>
      <c r="C273" s="9"/>
      <c r="D273" s="9"/>
      <c r="E273" s="9"/>
      <c r="F273" s="42"/>
      <c r="G273" s="42"/>
      <c r="H273" s="42"/>
      <c r="I273" s="9"/>
      <c r="J273" s="9"/>
      <c r="K273" s="9"/>
      <c r="L273" s="9"/>
      <c r="M273" s="9"/>
      <c r="N273" s="9"/>
      <c r="O273" s="9"/>
      <c r="P273" s="9"/>
      <c r="Q273" s="9"/>
      <c r="R273" s="9"/>
      <c r="S273" s="42"/>
      <c r="T273" s="9"/>
      <c r="U273" s="9"/>
      <c r="V273" s="9"/>
      <c r="W273" s="38"/>
      <c r="X273" s="42"/>
      <c r="Y273" s="9"/>
      <c r="Z273" s="9"/>
      <c r="AA273" s="9"/>
      <c r="AB273" s="42"/>
      <c r="AC273" s="9"/>
      <c r="AD273" s="38"/>
      <c r="AE273" s="9"/>
      <c r="AF273" s="39"/>
      <c r="AG273" s="9"/>
      <c r="AH273" s="9"/>
      <c r="AI273" s="9"/>
      <c r="AJ273" s="9"/>
      <c r="AK273" s="9"/>
      <c r="AL273" s="9"/>
      <c r="AM273" s="9"/>
      <c r="AN273" s="10" t="str">
        <f aca="false">IF(A273="","",SG_Criteria!$B$6&amp;SG_Criteria!$B$12&amp;"\"&amp;A273&amp;"\")</f>
        <v/>
      </c>
      <c r="AO273" s="10" t="str">
        <f aca="false">IF(A273="","",A273&amp;"_CAD.dwg")</f>
        <v/>
      </c>
      <c r="AP273" s="10" t="str">
        <f aca="false">IF(A273="","",A273&amp;"_DWG.pdf")</f>
        <v/>
      </c>
      <c r="AQ273" s="10" t="str">
        <f aca="false">IF(A273="","",IF(AM273="Y",A273&amp;"_STAAD.std","n/a"))</f>
        <v/>
      </c>
      <c r="AR273" s="10" t="str">
        <f aca="false">IF(A273="","",A273&amp;"_CALC.xlsx")</f>
        <v/>
      </c>
      <c r="AS273" s="10" t="str">
        <f aca="false">IF(A273="","",A273&amp;"_CALC.pdf")</f>
        <v/>
      </c>
      <c r="AT273" s="9"/>
      <c r="AU273" s="9"/>
      <c r="AV273" s="39"/>
      <c r="AW273" s="39"/>
      <c r="AX273" s="39"/>
      <c r="AY273" s="39"/>
      <c r="AZ273" s="39"/>
      <c r="BA273" s="12" t="str">
        <f aca="false">IF(A273="","",IF(COUNTIF(Rebar_Schedule!$A$5:$A$2004,A273)=0,"",ROUND(SUMIF(Rebar_Schedule!$A$5:$A$2004,A273,Rebar_Schedule!$K$5:$K$2004),1)))</f>
        <v/>
      </c>
      <c r="BB273" s="33" t="str">
        <f aca="false">IF(A273="","",IF(BA273="","No rebar schedule yet",IF(ABS(BA273-N(AW273))/MAX(N(AW273),1)&gt;SG_Criteria!$B$55,"NOTE: register rebar differs from schedule by "&amp;TEXT(ABS(BA273-N(AW273))/MAX(N(AW273),1),"0%"),"OK")))</f>
        <v/>
      </c>
      <c r="BC273" s="33" t="str">
        <f aca="false">IF(D273="","",IF(LEN(IF(AND(D273&lt;&gt;"High Covered Linkway",G273&lt;SG_Criteria!$B$46),"FAIL: headroom below "&amp;SG_Criteria!$B$46&amp;" m. ","")&amp;IF(AND(D273="High Covered Linkway",G273&lt;SG_Criteria!$B$47),"FAIL: high linkway headroom below "&amp;SG_Criteria!$B$47&amp;" m. ","")&amp;IF(F273&lt;SG_Criteria!$B$48,"FAIL: roof width below "&amp;SG_Criteria!$B$48&amp;" m. ",IF(F273&lt;SG_Criteria!$B$49,"NOTE: not for MRT/LRT or high-traffic routes (min "&amp;SG_Criteria!$B$49&amp;" m). ",""))&amp;IF(AND(W273&lt;&gt;"",W273&lt;SG_Criteria!$B$50),"FAIL: wind speed below "&amp;SG_Criteria!$B$50&amp;" m/s. ","")&amp;IF(AND(X273&lt;&gt;"",X273&lt;SG_Criteria!$B$51),"FAIL: roof fixing pull-out below "&amp;SG_Criteria!$B$51&amp;" kN. ","")&amp;IF(AND(Y273&lt;&gt;"",IFERROR(VALUE(MID(Y273,2,2)),0)&lt;SG_Criteria!$B$52),"FAIL: grade below C"&amp;SG_Criteria!$B$52&amp;". ","")&amp;IF(E273="Non-standard (project design)","NOTE: not an SDRE standard, needs LTA acceptance. ",""))=0,"OK",IF(AND(D273&lt;&gt;"High Covered Linkway",G273&lt;SG_Criteria!$B$46),"FAIL: headroom below "&amp;SG_Criteria!$B$46&amp;" m. ","")&amp;IF(AND(D273="High Covered Linkway",G273&lt;SG_Criteria!$B$47),"FAIL: high linkway headroom below "&amp;SG_Criteria!$B$47&amp;" m. ","")&amp;IF(F273&lt;SG_Criteria!$B$48,"FAIL: roof width below "&amp;SG_Criteria!$B$48&amp;" m. ",IF(F273&lt;SG_Criteria!$B$49,"NOTE: not for MRT/LRT or high-traffic routes (min "&amp;SG_Criteria!$B$49&amp;" m). ",""))&amp;IF(AND(W273&lt;&gt;"",W273&lt;SG_Criteria!$B$50),"FAIL: wind speed below "&amp;SG_Criteria!$B$50&amp;" m/s. ","")&amp;IF(AND(X273&lt;&gt;"",X273&lt;SG_Criteria!$B$51),"FAIL: roof fixing pull-out below "&amp;SG_Criteria!$B$51&amp;" kN. ","")&amp;IF(AND(Y273&lt;&gt;"",IFERROR(VALUE(MID(Y273,2,2)),0)&lt;SG_Criteria!$B$52),"FAIL: grade below C"&amp;SG_Criteria!$B$52&amp;". ","")&amp;IF(E273="Non-standard (project design)","NOTE: not an SDRE standard, needs LTA acceptance. ","")))</f>
        <v/>
      </c>
      <c r="BD273" s="9"/>
      <c r="BE273" s="9"/>
      <c r="BF273" s="9"/>
      <c r="BG273" s="10" t="str">
        <f aca="false">IF(BF273="","",IFERROR(VLOOKUP(BF273,Projects!$A$5:$D$504,2,0),"Ref not in Projects"))</f>
        <v/>
      </c>
      <c r="BH273" s="10" t="str">
        <f aca="false">IF(BF273="","",IFERROR(VLOOKUP(BF273,Projects!$A$5:$D$504,4,0),"Ref not in Projects"))</f>
        <v/>
      </c>
      <c r="BI273" s="9"/>
      <c r="BJ273" s="9"/>
      <c r="BK273" s="9"/>
      <c r="BL273" s="40"/>
      <c r="BM273" s="9"/>
      <c r="BN273" s="40"/>
      <c r="BO273" s="9"/>
      <c r="BP273" s="40"/>
      <c r="BQ273" s="9"/>
      <c r="BR273" s="9"/>
      <c r="BS273" s="9"/>
      <c r="BT273" s="40"/>
      <c r="BU273" s="40"/>
      <c r="BV273" s="36" t="str">
        <f aca="false">IF(BU273="","",EDATE(BU273,SG_Criteria!$B$54*12))</f>
        <v/>
      </c>
      <c r="BW273" s="33" t="str">
        <f aca="true">IF(A273="","",IF(BU273="","NOTE: not reviewed yet",IF(TODAY()&gt;BV273,"NOTE: review overdue","OK")))</f>
        <v/>
      </c>
      <c r="BX273" s="37" t="str">
        <f aca="false">IF(A273="","",ROUND((IF(LEN(D273)&gt;0,1,0)+IF(LEN(E273)&gt;0,1,0)+IF(LEN(F273)&gt;0,1,0)+IF(LEN(G273)&gt;0,1,0)+IF(LEN(H273)&gt;0,1,0)+IF(LEN(I273)&gt;0,1,0)+IF(LEN(J273)&gt;0,1,0)+IF(LEN(K273)&gt;0,1,0)+IF(LEN(N273)&gt;0,1,0)+IF(LEN(O273)&gt;0,1,0)+IF(LEN(W273)&gt;0,1,0)+IF(LEN(X273)&gt;0,1,0)+IF(LEN(Y273)&gt;0,1,0)+IF(LEN(AG273)&gt;0,1,0)+IF(LEN(AI273)&gt;0,1,0)+IF(LEN(AJ273)&gt;0,1,0)+IF(LEN(AK273)&gt;0,1,0)+IF(LEN(AL273)&gt;0,1,0)+IF(LEN(AU273)&gt;0,1,0)+IF(LEN(BF273)&gt;0,1,0)+IF(LEN(BS273)&gt;0,1,0))/21,2))</f>
        <v/>
      </c>
      <c r="BY273" s="10" t="str">
        <f aca="false">IF(D273="","",IF(AND(AJ273="Approved",ISERROR(SEARCH("FAIL",BC273))),"Y","N"))</f>
        <v/>
      </c>
      <c r="BZ273" s="10" t="str">
        <f aca="false">IF(D273="","",D273&amp;"|"&amp;F273&amp;"|"&amp;G273&amp;"|"&amp;BY273)</f>
        <v/>
      </c>
    </row>
    <row r="274" customFormat="false" ht="15" hidden="false" customHeight="false" outlineLevel="0" collapsed="false">
      <c r="A274" s="10" t="str">
        <f aca="false">IF(D274="","","LKW-"&amp;IFERROR(VLOOKUP(D274,Lists!$AQ$4:$AR$17,2,0),"??")&amp;"-W"&amp;TEXT(F274*1000,"0000")&amp;"-H"&amp;TEXT(G274*1000,"0000")&amp;"-B"&amp;TEXT(H274*1000,"0000")&amp;"-"&amp;AI274)</f>
        <v/>
      </c>
      <c r="B274" s="10" t="str">
        <f aca="false">IF(D274="","",D274&amp;", "&amp;F274&amp;" m wide, "&amp;G274&amp;" m headroom, "&amp;H274&amp;" m bays, "&amp;I274&amp;" ("&amp;E274&amp;")")</f>
        <v/>
      </c>
      <c r="C274" s="9"/>
      <c r="D274" s="9"/>
      <c r="E274" s="9"/>
      <c r="F274" s="42"/>
      <c r="G274" s="42"/>
      <c r="H274" s="42"/>
      <c r="I274" s="9"/>
      <c r="J274" s="9"/>
      <c r="K274" s="9"/>
      <c r="L274" s="9"/>
      <c r="M274" s="9"/>
      <c r="N274" s="9"/>
      <c r="O274" s="9"/>
      <c r="P274" s="9"/>
      <c r="Q274" s="9"/>
      <c r="R274" s="9"/>
      <c r="S274" s="42"/>
      <c r="T274" s="9"/>
      <c r="U274" s="9"/>
      <c r="V274" s="9"/>
      <c r="W274" s="38"/>
      <c r="X274" s="42"/>
      <c r="Y274" s="9"/>
      <c r="Z274" s="9"/>
      <c r="AA274" s="9"/>
      <c r="AB274" s="42"/>
      <c r="AC274" s="9"/>
      <c r="AD274" s="38"/>
      <c r="AE274" s="9"/>
      <c r="AF274" s="39"/>
      <c r="AG274" s="9"/>
      <c r="AH274" s="9"/>
      <c r="AI274" s="9"/>
      <c r="AJ274" s="9"/>
      <c r="AK274" s="9"/>
      <c r="AL274" s="9"/>
      <c r="AM274" s="9"/>
      <c r="AN274" s="10" t="str">
        <f aca="false">IF(A274="","",SG_Criteria!$B$6&amp;SG_Criteria!$B$12&amp;"\"&amp;A274&amp;"\")</f>
        <v/>
      </c>
      <c r="AO274" s="10" t="str">
        <f aca="false">IF(A274="","",A274&amp;"_CAD.dwg")</f>
        <v/>
      </c>
      <c r="AP274" s="10" t="str">
        <f aca="false">IF(A274="","",A274&amp;"_DWG.pdf")</f>
        <v/>
      </c>
      <c r="AQ274" s="10" t="str">
        <f aca="false">IF(A274="","",IF(AM274="Y",A274&amp;"_STAAD.std","n/a"))</f>
        <v/>
      </c>
      <c r="AR274" s="10" t="str">
        <f aca="false">IF(A274="","",A274&amp;"_CALC.xlsx")</f>
        <v/>
      </c>
      <c r="AS274" s="10" t="str">
        <f aca="false">IF(A274="","",A274&amp;"_CALC.pdf")</f>
        <v/>
      </c>
      <c r="AT274" s="9"/>
      <c r="AU274" s="9"/>
      <c r="AV274" s="39"/>
      <c r="AW274" s="39"/>
      <c r="AX274" s="39"/>
      <c r="AY274" s="39"/>
      <c r="AZ274" s="39"/>
      <c r="BA274" s="12" t="str">
        <f aca="false">IF(A274="","",IF(COUNTIF(Rebar_Schedule!$A$5:$A$2004,A274)=0,"",ROUND(SUMIF(Rebar_Schedule!$A$5:$A$2004,A274,Rebar_Schedule!$K$5:$K$2004),1)))</f>
        <v/>
      </c>
      <c r="BB274" s="33" t="str">
        <f aca="false">IF(A274="","",IF(BA274="","No rebar schedule yet",IF(ABS(BA274-N(AW274))/MAX(N(AW274),1)&gt;SG_Criteria!$B$55,"NOTE: register rebar differs from schedule by "&amp;TEXT(ABS(BA274-N(AW274))/MAX(N(AW274),1),"0%"),"OK")))</f>
        <v/>
      </c>
      <c r="BC274" s="33" t="str">
        <f aca="false">IF(D274="","",IF(LEN(IF(AND(D274&lt;&gt;"High Covered Linkway",G274&lt;SG_Criteria!$B$46),"FAIL: headroom below "&amp;SG_Criteria!$B$46&amp;" m. ","")&amp;IF(AND(D274="High Covered Linkway",G274&lt;SG_Criteria!$B$47),"FAIL: high linkway headroom below "&amp;SG_Criteria!$B$47&amp;" m. ","")&amp;IF(F274&lt;SG_Criteria!$B$48,"FAIL: roof width below "&amp;SG_Criteria!$B$48&amp;" m. ",IF(F274&lt;SG_Criteria!$B$49,"NOTE: not for MRT/LRT or high-traffic routes (min "&amp;SG_Criteria!$B$49&amp;" m). ",""))&amp;IF(AND(W274&lt;&gt;"",W274&lt;SG_Criteria!$B$50),"FAIL: wind speed below "&amp;SG_Criteria!$B$50&amp;" m/s. ","")&amp;IF(AND(X274&lt;&gt;"",X274&lt;SG_Criteria!$B$51),"FAIL: roof fixing pull-out below "&amp;SG_Criteria!$B$51&amp;" kN. ","")&amp;IF(AND(Y274&lt;&gt;"",IFERROR(VALUE(MID(Y274,2,2)),0)&lt;SG_Criteria!$B$52),"FAIL: grade below C"&amp;SG_Criteria!$B$52&amp;". ","")&amp;IF(E274="Non-standard (project design)","NOTE: not an SDRE standard, needs LTA acceptance. ",""))=0,"OK",IF(AND(D274&lt;&gt;"High Covered Linkway",G274&lt;SG_Criteria!$B$46),"FAIL: headroom below "&amp;SG_Criteria!$B$46&amp;" m. ","")&amp;IF(AND(D274="High Covered Linkway",G274&lt;SG_Criteria!$B$47),"FAIL: high linkway headroom below "&amp;SG_Criteria!$B$47&amp;" m. ","")&amp;IF(F274&lt;SG_Criteria!$B$48,"FAIL: roof width below "&amp;SG_Criteria!$B$48&amp;" m. ",IF(F274&lt;SG_Criteria!$B$49,"NOTE: not for MRT/LRT or high-traffic routes (min "&amp;SG_Criteria!$B$49&amp;" m). ",""))&amp;IF(AND(W274&lt;&gt;"",W274&lt;SG_Criteria!$B$50),"FAIL: wind speed below "&amp;SG_Criteria!$B$50&amp;" m/s. ","")&amp;IF(AND(X274&lt;&gt;"",X274&lt;SG_Criteria!$B$51),"FAIL: roof fixing pull-out below "&amp;SG_Criteria!$B$51&amp;" kN. ","")&amp;IF(AND(Y274&lt;&gt;"",IFERROR(VALUE(MID(Y274,2,2)),0)&lt;SG_Criteria!$B$52),"FAIL: grade below C"&amp;SG_Criteria!$B$52&amp;". ","")&amp;IF(E274="Non-standard (project design)","NOTE: not an SDRE standard, needs LTA acceptance. ","")))</f>
        <v/>
      </c>
      <c r="BD274" s="9"/>
      <c r="BE274" s="9"/>
      <c r="BF274" s="9"/>
      <c r="BG274" s="10" t="str">
        <f aca="false">IF(BF274="","",IFERROR(VLOOKUP(BF274,Projects!$A$5:$D$504,2,0),"Ref not in Projects"))</f>
        <v/>
      </c>
      <c r="BH274" s="10" t="str">
        <f aca="false">IF(BF274="","",IFERROR(VLOOKUP(BF274,Projects!$A$5:$D$504,4,0),"Ref not in Projects"))</f>
        <v/>
      </c>
      <c r="BI274" s="9"/>
      <c r="BJ274" s="9"/>
      <c r="BK274" s="9"/>
      <c r="BL274" s="40"/>
      <c r="BM274" s="9"/>
      <c r="BN274" s="40"/>
      <c r="BO274" s="9"/>
      <c r="BP274" s="40"/>
      <c r="BQ274" s="9"/>
      <c r="BR274" s="9"/>
      <c r="BS274" s="9"/>
      <c r="BT274" s="40"/>
      <c r="BU274" s="40"/>
      <c r="BV274" s="36" t="str">
        <f aca="false">IF(BU274="","",EDATE(BU274,SG_Criteria!$B$54*12))</f>
        <v/>
      </c>
      <c r="BW274" s="33" t="str">
        <f aca="true">IF(A274="","",IF(BU274="","NOTE: not reviewed yet",IF(TODAY()&gt;BV274,"NOTE: review overdue","OK")))</f>
        <v/>
      </c>
      <c r="BX274" s="37" t="str">
        <f aca="false">IF(A274="","",ROUND((IF(LEN(D274)&gt;0,1,0)+IF(LEN(E274)&gt;0,1,0)+IF(LEN(F274)&gt;0,1,0)+IF(LEN(G274)&gt;0,1,0)+IF(LEN(H274)&gt;0,1,0)+IF(LEN(I274)&gt;0,1,0)+IF(LEN(J274)&gt;0,1,0)+IF(LEN(K274)&gt;0,1,0)+IF(LEN(N274)&gt;0,1,0)+IF(LEN(O274)&gt;0,1,0)+IF(LEN(W274)&gt;0,1,0)+IF(LEN(X274)&gt;0,1,0)+IF(LEN(Y274)&gt;0,1,0)+IF(LEN(AG274)&gt;0,1,0)+IF(LEN(AI274)&gt;0,1,0)+IF(LEN(AJ274)&gt;0,1,0)+IF(LEN(AK274)&gt;0,1,0)+IF(LEN(AL274)&gt;0,1,0)+IF(LEN(AU274)&gt;0,1,0)+IF(LEN(BF274)&gt;0,1,0)+IF(LEN(BS274)&gt;0,1,0))/21,2))</f>
        <v/>
      </c>
      <c r="BY274" s="10" t="str">
        <f aca="false">IF(D274="","",IF(AND(AJ274="Approved",ISERROR(SEARCH("FAIL",BC274))),"Y","N"))</f>
        <v/>
      </c>
      <c r="BZ274" s="10" t="str">
        <f aca="false">IF(D274="","",D274&amp;"|"&amp;F274&amp;"|"&amp;G274&amp;"|"&amp;BY274)</f>
        <v/>
      </c>
    </row>
    <row r="275" customFormat="false" ht="15" hidden="false" customHeight="false" outlineLevel="0" collapsed="false">
      <c r="A275" s="10" t="str">
        <f aca="false">IF(D275="","","LKW-"&amp;IFERROR(VLOOKUP(D275,Lists!$AQ$4:$AR$17,2,0),"??")&amp;"-W"&amp;TEXT(F275*1000,"0000")&amp;"-H"&amp;TEXT(G275*1000,"0000")&amp;"-B"&amp;TEXT(H275*1000,"0000")&amp;"-"&amp;AI275)</f>
        <v/>
      </c>
      <c r="B275" s="10" t="str">
        <f aca="false">IF(D275="","",D275&amp;", "&amp;F275&amp;" m wide, "&amp;G275&amp;" m headroom, "&amp;H275&amp;" m bays, "&amp;I275&amp;" ("&amp;E275&amp;")")</f>
        <v/>
      </c>
      <c r="C275" s="9"/>
      <c r="D275" s="9"/>
      <c r="E275" s="9"/>
      <c r="F275" s="42"/>
      <c r="G275" s="42"/>
      <c r="H275" s="42"/>
      <c r="I275" s="9"/>
      <c r="J275" s="9"/>
      <c r="K275" s="9"/>
      <c r="L275" s="9"/>
      <c r="M275" s="9"/>
      <c r="N275" s="9"/>
      <c r="O275" s="9"/>
      <c r="P275" s="9"/>
      <c r="Q275" s="9"/>
      <c r="R275" s="9"/>
      <c r="S275" s="42"/>
      <c r="T275" s="9"/>
      <c r="U275" s="9"/>
      <c r="V275" s="9"/>
      <c r="W275" s="38"/>
      <c r="X275" s="42"/>
      <c r="Y275" s="9"/>
      <c r="Z275" s="9"/>
      <c r="AA275" s="9"/>
      <c r="AB275" s="42"/>
      <c r="AC275" s="9"/>
      <c r="AD275" s="38"/>
      <c r="AE275" s="9"/>
      <c r="AF275" s="39"/>
      <c r="AG275" s="9"/>
      <c r="AH275" s="9"/>
      <c r="AI275" s="9"/>
      <c r="AJ275" s="9"/>
      <c r="AK275" s="9"/>
      <c r="AL275" s="9"/>
      <c r="AM275" s="9"/>
      <c r="AN275" s="10" t="str">
        <f aca="false">IF(A275="","",SG_Criteria!$B$6&amp;SG_Criteria!$B$12&amp;"\"&amp;A275&amp;"\")</f>
        <v/>
      </c>
      <c r="AO275" s="10" t="str">
        <f aca="false">IF(A275="","",A275&amp;"_CAD.dwg")</f>
        <v/>
      </c>
      <c r="AP275" s="10" t="str">
        <f aca="false">IF(A275="","",A275&amp;"_DWG.pdf")</f>
        <v/>
      </c>
      <c r="AQ275" s="10" t="str">
        <f aca="false">IF(A275="","",IF(AM275="Y",A275&amp;"_STAAD.std","n/a"))</f>
        <v/>
      </c>
      <c r="AR275" s="10" t="str">
        <f aca="false">IF(A275="","",A275&amp;"_CALC.xlsx")</f>
        <v/>
      </c>
      <c r="AS275" s="10" t="str">
        <f aca="false">IF(A275="","",A275&amp;"_CALC.pdf")</f>
        <v/>
      </c>
      <c r="AT275" s="9"/>
      <c r="AU275" s="9"/>
      <c r="AV275" s="39"/>
      <c r="AW275" s="39"/>
      <c r="AX275" s="39"/>
      <c r="AY275" s="39"/>
      <c r="AZ275" s="39"/>
      <c r="BA275" s="12" t="str">
        <f aca="false">IF(A275="","",IF(COUNTIF(Rebar_Schedule!$A$5:$A$2004,A275)=0,"",ROUND(SUMIF(Rebar_Schedule!$A$5:$A$2004,A275,Rebar_Schedule!$K$5:$K$2004),1)))</f>
        <v/>
      </c>
      <c r="BB275" s="33" t="str">
        <f aca="false">IF(A275="","",IF(BA275="","No rebar schedule yet",IF(ABS(BA275-N(AW275))/MAX(N(AW275),1)&gt;SG_Criteria!$B$55,"NOTE: register rebar differs from schedule by "&amp;TEXT(ABS(BA275-N(AW275))/MAX(N(AW275),1),"0%"),"OK")))</f>
        <v/>
      </c>
      <c r="BC275" s="33" t="str">
        <f aca="false">IF(D275="","",IF(LEN(IF(AND(D275&lt;&gt;"High Covered Linkway",G275&lt;SG_Criteria!$B$46),"FAIL: headroom below "&amp;SG_Criteria!$B$46&amp;" m. ","")&amp;IF(AND(D275="High Covered Linkway",G275&lt;SG_Criteria!$B$47),"FAIL: high linkway headroom below "&amp;SG_Criteria!$B$47&amp;" m. ","")&amp;IF(F275&lt;SG_Criteria!$B$48,"FAIL: roof width below "&amp;SG_Criteria!$B$48&amp;" m. ",IF(F275&lt;SG_Criteria!$B$49,"NOTE: not for MRT/LRT or high-traffic routes (min "&amp;SG_Criteria!$B$49&amp;" m). ",""))&amp;IF(AND(W275&lt;&gt;"",W275&lt;SG_Criteria!$B$50),"FAIL: wind speed below "&amp;SG_Criteria!$B$50&amp;" m/s. ","")&amp;IF(AND(X275&lt;&gt;"",X275&lt;SG_Criteria!$B$51),"FAIL: roof fixing pull-out below "&amp;SG_Criteria!$B$51&amp;" kN. ","")&amp;IF(AND(Y275&lt;&gt;"",IFERROR(VALUE(MID(Y275,2,2)),0)&lt;SG_Criteria!$B$52),"FAIL: grade below C"&amp;SG_Criteria!$B$52&amp;". ","")&amp;IF(E275="Non-standard (project design)","NOTE: not an SDRE standard, needs LTA acceptance. ",""))=0,"OK",IF(AND(D275&lt;&gt;"High Covered Linkway",G275&lt;SG_Criteria!$B$46),"FAIL: headroom below "&amp;SG_Criteria!$B$46&amp;" m. ","")&amp;IF(AND(D275="High Covered Linkway",G275&lt;SG_Criteria!$B$47),"FAIL: high linkway headroom below "&amp;SG_Criteria!$B$47&amp;" m. ","")&amp;IF(F275&lt;SG_Criteria!$B$48,"FAIL: roof width below "&amp;SG_Criteria!$B$48&amp;" m. ",IF(F275&lt;SG_Criteria!$B$49,"NOTE: not for MRT/LRT or high-traffic routes (min "&amp;SG_Criteria!$B$49&amp;" m). ",""))&amp;IF(AND(W275&lt;&gt;"",W275&lt;SG_Criteria!$B$50),"FAIL: wind speed below "&amp;SG_Criteria!$B$50&amp;" m/s. ","")&amp;IF(AND(X275&lt;&gt;"",X275&lt;SG_Criteria!$B$51),"FAIL: roof fixing pull-out below "&amp;SG_Criteria!$B$51&amp;" kN. ","")&amp;IF(AND(Y275&lt;&gt;"",IFERROR(VALUE(MID(Y275,2,2)),0)&lt;SG_Criteria!$B$52),"FAIL: grade below C"&amp;SG_Criteria!$B$52&amp;". ","")&amp;IF(E275="Non-standard (project design)","NOTE: not an SDRE standard, needs LTA acceptance. ","")))</f>
        <v/>
      </c>
      <c r="BD275" s="9"/>
      <c r="BE275" s="9"/>
      <c r="BF275" s="9"/>
      <c r="BG275" s="10" t="str">
        <f aca="false">IF(BF275="","",IFERROR(VLOOKUP(BF275,Projects!$A$5:$D$504,2,0),"Ref not in Projects"))</f>
        <v/>
      </c>
      <c r="BH275" s="10" t="str">
        <f aca="false">IF(BF275="","",IFERROR(VLOOKUP(BF275,Projects!$A$5:$D$504,4,0),"Ref not in Projects"))</f>
        <v/>
      </c>
      <c r="BI275" s="9"/>
      <c r="BJ275" s="9"/>
      <c r="BK275" s="9"/>
      <c r="BL275" s="40"/>
      <c r="BM275" s="9"/>
      <c r="BN275" s="40"/>
      <c r="BO275" s="9"/>
      <c r="BP275" s="40"/>
      <c r="BQ275" s="9"/>
      <c r="BR275" s="9"/>
      <c r="BS275" s="9"/>
      <c r="BT275" s="40"/>
      <c r="BU275" s="40"/>
      <c r="BV275" s="36" t="str">
        <f aca="false">IF(BU275="","",EDATE(BU275,SG_Criteria!$B$54*12))</f>
        <v/>
      </c>
      <c r="BW275" s="33" t="str">
        <f aca="true">IF(A275="","",IF(BU275="","NOTE: not reviewed yet",IF(TODAY()&gt;BV275,"NOTE: review overdue","OK")))</f>
        <v/>
      </c>
      <c r="BX275" s="37" t="str">
        <f aca="false">IF(A275="","",ROUND((IF(LEN(D275)&gt;0,1,0)+IF(LEN(E275)&gt;0,1,0)+IF(LEN(F275)&gt;0,1,0)+IF(LEN(G275)&gt;0,1,0)+IF(LEN(H275)&gt;0,1,0)+IF(LEN(I275)&gt;0,1,0)+IF(LEN(J275)&gt;0,1,0)+IF(LEN(K275)&gt;0,1,0)+IF(LEN(N275)&gt;0,1,0)+IF(LEN(O275)&gt;0,1,0)+IF(LEN(W275)&gt;0,1,0)+IF(LEN(X275)&gt;0,1,0)+IF(LEN(Y275)&gt;0,1,0)+IF(LEN(AG275)&gt;0,1,0)+IF(LEN(AI275)&gt;0,1,0)+IF(LEN(AJ275)&gt;0,1,0)+IF(LEN(AK275)&gt;0,1,0)+IF(LEN(AL275)&gt;0,1,0)+IF(LEN(AU275)&gt;0,1,0)+IF(LEN(BF275)&gt;0,1,0)+IF(LEN(BS275)&gt;0,1,0))/21,2))</f>
        <v/>
      </c>
      <c r="BY275" s="10" t="str">
        <f aca="false">IF(D275="","",IF(AND(AJ275="Approved",ISERROR(SEARCH("FAIL",BC275))),"Y","N"))</f>
        <v/>
      </c>
      <c r="BZ275" s="10" t="str">
        <f aca="false">IF(D275="","",D275&amp;"|"&amp;F275&amp;"|"&amp;G275&amp;"|"&amp;BY275)</f>
        <v/>
      </c>
    </row>
    <row r="276" customFormat="false" ht="15" hidden="false" customHeight="false" outlineLevel="0" collapsed="false">
      <c r="A276" s="10" t="str">
        <f aca="false">IF(D276="","","LKW-"&amp;IFERROR(VLOOKUP(D276,Lists!$AQ$4:$AR$17,2,0),"??")&amp;"-W"&amp;TEXT(F276*1000,"0000")&amp;"-H"&amp;TEXT(G276*1000,"0000")&amp;"-B"&amp;TEXT(H276*1000,"0000")&amp;"-"&amp;AI276)</f>
        <v/>
      </c>
      <c r="B276" s="10" t="str">
        <f aca="false">IF(D276="","",D276&amp;", "&amp;F276&amp;" m wide, "&amp;G276&amp;" m headroom, "&amp;H276&amp;" m bays, "&amp;I276&amp;" ("&amp;E276&amp;")")</f>
        <v/>
      </c>
      <c r="C276" s="9"/>
      <c r="D276" s="9"/>
      <c r="E276" s="9"/>
      <c r="F276" s="42"/>
      <c r="G276" s="42"/>
      <c r="H276" s="42"/>
      <c r="I276" s="9"/>
      <c r="J276" s="9"/>
      <c r="K276" s="9"/>
      <c r="L276" s="9"/>
      <c r="M276" s="9"/>
      <c r="N276" s="9"/>
      <c r="O276" s="9"/>
      <c r="P276" s="9"/>
      <c r="Q276" s="9"/>
      <c r="R276" s="9"/>
      <c r="S276" s="42"/>
      <c r="T276" s="9"/>
      <c r="U276" s="9"/>
      <c r="V276" s="9"/>
      <c r="W276" s="38"/>
      <c r="X276" s="42"/>
      <c r="Y276" s="9"/>
      <c r="Z276" s="9"/>
      <c r="AA276" s="9"/>
      <c r="AB276" s="42"/>
      <c r="AC276" s="9"/>
      <c r="AD276" s="38"/>
      <c r="AE276" s="9"/>
      <c r="AF276" s="39"/>
      <c r="AG276" s="9"/>
      <c r="AH276" s="9"/>
      <c r="AI276" s="9"/>
      <c r="AJ276" s="9"/>
      <c r="AK276" s="9"/>
      <c r="AL276" s="9"/>
      <c r="AM276" s="9"/>
      <c r="AN276" s="10" t="str">
        <f aca="false">IF(A276="","",SG_Criteria!$B$6&amp;SG_Criteria!$B$12&amp;"\"&amp;A276&amp;"\")</f>
        <v/>
      </c>
      <c r="AO276" s="10" t="str">
        <f aca="false">IF(A276="","",A276&amp;"_CAD.dwg")</f>
        <v/>
      </c>
      <c r="AP276" s="10" t="str">
        <f aca="false">IF(A276="","",A276&amp;"_DWG.pdf")</f>
        <v/>
      </c>
      <c r="AQ276" s="10" t="str">
        <f aca="false">IF(A276="","",IF(AM276="Y",A276&amp;"_STAAD.std","n/a"))</f>
        <v/>
      </c>
      <c r="AR276" s="10" t="str">
        <f aca="false">IF(A276="","",A276&amp;"_CALC.xlsx")</f>
        <v/>
      </c>
      <c r="AS276" s="10" t="str">
        <f aca="false">IF(A276="","",A276&amp;"_CALC.pdf")</f>
        <v/>
      </c>
      <c r="AT276" s="9"/>
      <c r="AU276" s="9"/>
      <c r="AV276" s="39"/>
      <c r="AW276" s="39"/>
      <c r="AX276" s="39"/>
      <c r="AY276" s="39"/>
      <c r="AZ276" s="39"/>
      <c r="BA276" s="12" t="str">
        <f aca="false">IF(A276="","",IF(COUNTIF(Rebar_Schedule!$A$5:$A$2004,A276)=0,"",ROUND(SUMIF(Rebar_Schedule!$A$5:$A$2004,A276,Rebar_Schedule!$K$5:$K$2004),1)))</f>
        <v/>
      </c>
      <c r="BB276" s="33" t="str">
        <f aca="false">IF(A276="","",IF(BA276="","No rebar schedule yet",IF(ABS(BA276-N(AW276))/MAX(N(AW276),1)&gt;SG_Criteria!$B$55,"NOTE: register rebar differs from schedule by "&amp;TEXT(ABS(BA276-N(AW276))/MAX(N(AW276),1),"0%"),"OK")))</f>
        <v/>
      </c>
      <c r="BC276" s="33" t="str">
        <f aca="false">IF(D276="","",IF(LEN(IF(AND(D276&lt;&gt;"High Covered Linkway",G276&lt;SG_Criteria!$B$46),"FAIL: headroom below "&amp;SG_Criteria!$B$46&amp;" m. ","")&amp;IF(AND(D276="High Covered Linkway",G276&lt;SG_Criteria!$B$47),"FAIL: high linkway headroom below "&amp;SG_Criteria!$B$47&amp;" m. ","")&amp;IF(F276&lt;SG_Criteria!$B$48,"FAIL: roof width below "&amp;SG_Criteria!$B$48&amp;" m. ",IF(F276&lt;SG_Criteria!$B$49,"NOTE: not for MRT/LRT or high-traffic routes (min "&amp;SG_Criteria!$B$49&amp;" m). ",""))&amp;IF(AND(W276&lt;&gt;"",W276&lt;SG_Criteria!$B$50),"FAIL: wind speed below "&amp;SG_Criteria!$B$50&amp;" m/s. ","")&amp;IF(AND(X276&lt;&gt;"",X276&lt;SG_Criteria!$B$51),"FAIL: roof fixing pull-out below "&amp;SG_Criteria!$B$51&amp;" kN. ","")&amp;IF(AND(Y276&lt;&gt;"",IFERROR(VALUE(MID(Y276,2,2)),0)&lt;SG_Criteria!$B$52),"FAIL: grade below C"&amp;SG_Criteria!$B$52&amp;". ","")&amp;IF(E276="Non-standard (project design)","NOTE: not an SDRE standard, needs LTA acceptance. ",""))=0,"OK",IF(AND(D276&lt;&gt;"High Covered Linkway",G276&lt;SG_Criteria!$B$46),"FAIL: headroom below "&amp;SG_Criteria!$B$46&amp;" m. ","")&amp;IF(AND(D276="High Covered Linkway",G276&lt;SG_Criteria!$B$47),"FAIL: high linkway headroom below "&amp;SG_Criteria!$B$47&amp;" m. ","")&amp;IF(F276&lt;SG_Criteria!$B$48,"FAIL: roof width below "&amp;SG_Criteria!$B$48&amp;" m. ",IF(F276&lt;SG_Criteria!$B$49,"NOTE: not for MRT/LRT or high-traffic routes (min "&amp;SG_Criteria!$B$49&amp;" m). ",""))&amp;IF(AND(W276&lt;&gt;"",W276&lt;SG_Criteria!$B$50),"FAIL: wind speed below "&amp;SG_Criteria!$B$50&amp;" m/s. ","")&amp;IF(AND(X276&lt;&gt;"",X276&lt;SG_Criteria!$B$51),"FAIL: roof fixing pull-out below "&amp;SG_Criteria!$B$51&amp;" kN. ","")&amp;IF(AND(Y276&lt;&gt;"",IFERROR(VALUE(MID(Y276,2,2)),0)&lt;SG_Criteria!$B$52),"FAIL: grade below C"&amp;SG_Criteria!$B$52&amp;". ","")&amp;IF(E276="Non-standard (project design)","NOTE: not an SDRE standard, needs LTA acceptance. ","")))</f>
        <v/>
      </c>
      <c r="BD276" s="9"/>
      <c r="BE276" s="9"/>
      <c r="BF276" s="9"/>
      <c r="BG276" s="10" t="str">
        <f aca="false">IF(BF276="","",IFERROR(VLOOKUP(BF276,Projects!$A$5:$D$504,2,0),"Ref not in Projects"))</f>
        <v/>
      </c>
      <c r="BH276" s="10" t="str">
        <f aca="false">IF(BF276="","",IFERROR(VLOOKUP(BF276,Projects!$A$5:$D$504,4,0),"Ref not in Projects"))</f>
        <v/>
      </c>
      <c r="BI276" s="9"/>
      <c r="BJ276" s="9"/>
      <c r="BK276" s="9"/>
      <c r="BL276" s="40"/>
      <c r="BM276" s="9"/>
      <c r="BN276" s="40"/>
      <c r="BO276" s="9"/>
      <c r="BP276" s="40"/>
      <c r="BQ276" s="9"/>
      <c r="BR276" s="9"/>
      <c r="BS276" s="9"/>
      <c r="BT276" s="40"/>
      <c r="BU276" s="40"/>
      <c r="BV276" s="36" t="str">
        <f aca="false">IF(BU276="","",EDATE(BU276,SG_Criteria!$B$54*12))</f>
        <v/>
      </c>
      <c r="BW276" s="33" t="str">
        <f aca="true">IF(A276="","",IF(BU276="","NOTE: not reviewed yet",IF(TODAY()&gt;BV276,"NOTE: review overdue","OK")))</f>
        <v/>
      </c>
      <c r="BX276" s="37" t="str">
        <f aca="false">IF(A276="","",ROUND((IF(LEN(D276)&gt;0,1,0)+IF(LEN(E276)&gt;0,1,0)+IF(LEN(F276)&gt;0,1,0)+IF(LEN(G276)&gt;0,1,0)+IF(LEN(H276)&gt;0,1,0)+IF(LEN(I276)&gt;0,1,0)+IF(LEN(J276)&gt;0,1,0)+IF(LEN(K276)&gt;0,1,0)+IF(LEN(N276)&gt;0,1,0)+IF(LEN(O276)&gt;0,1,0)+IF(LEN(W276)&gt;0,1,0)+IF(LEN(X276)&gt;0,1,0)+IF(LEN(Y276)&gt;0,1,0)+IF(LEN(AG276)&gt;0,1,0)+IF(LEN(AI276)&gt;0,1,0)+IF(LEN(AJ276)&gt;0,1,0)+IF(LEN(AK276)&gt;0,1,0)+IF(LEN(AL276)&gt;0,1,0)+IF(LEN(AU276)&gt;0,1,0)+IF(LEN(BF276)&gt;0,1,0)+IF(LEN(BS276)&gt;0,1,0))/21,2))</f>
        <v/>
      </c>
      <c r="BY276" s="10" t="str">
        <f aca="false">IF(D276="","",IF(AND(AJ276="Approved",ISERROR(SEARCH("FAIL",BC276))),"Y","N"))</f>
        <v/>
      </c>
      <c r="BZ276" s="10" t="str">
        <f aca="false">IF(D276="","",D276&amp;"|"&amp;F276&amp;"|"&amp;G276&amp;"|"&amp;BY276)</f>
        <v/>
      </c>
    </row>
    <row r="277" customFormat="false" ht="15" hidden="false" customHeight="false" outlineLevel="0" collapsed="false">
      <c r="A277" s="10" t="str">
        <f aca="false">IF(D277="","","LKW-"&amp;IFERROR(VLOOKUP(D277,Lists!$AQ$4:$AR$17,2,0),"??")&amp;"-W"&amp;TEXT(F277*1000,"0000")&amp;"-H"&amp;TEXT(G277*1000,"0000")&amp;"-B"&amp;TEXT(H277*1000,"0000")&amp;"-"&amp;AI277)</f>
        <v/>
      </c>
      <c r="B277" s="10" t="str">
        <f aca="false">IF(D277="","",D277&amp;", "&amp;F277&amp;" m wide, "&amp;G277&amp;" m headroom, "&amp;H277&amp;" m bays, "&amp;I277&amp;" ("&amp;E277&amp;")")</f>
        <v/>
      </c>
      <c r="C277" s="9"/>
      <c r="D277" s="9"/>
      <c r="E277" s="9"/>
      <c r="F277" s="42"/>
      <c r="G277" s="42"/>
      <c r="H277" s="42"/>
      <c r="I277" s="9"/>
      <c r="J277" s="9"/>
      <c r="K277" s="9"/>
      <c r="L277" s="9"/>
      <c r="M277" s="9"/>
      <c r="N277" s="9"/>
      <c r="O277" s="9"/>
      <c r="P277" s="9"/>
      <c r="Q277" s="9"/>
      <c r="R277" s="9"/>
      <c r="S277" s="42"/>
      <c r="T277" s="9"/>
      <c r="U277" s="9"/>
      <c r="V277" s="9"/>
      <c r="W277" s="38"/>
      <c r="X277" s="42"/>
      <c r="Y277" s="9"/>
      <c r="Z277" s="9"/>
      <c r="AA277" s="9"/>
      <c r="AB277" s="42"/>
      <c r="AC277" s="9"/>
      <c r="AD277" s="38"/>
      <c r="AE277" s="9"/>
      <c r="AF277" s="39"/>
      <c r="AG277" s="9"/>
      <c r="AH277" s="9"/>
      <c r="AI277" s="9"/>
      <c r="AJ277" s="9"/>
      <c r="AK277" s="9"/>
      <c r="AL277" s="9"/>
      <c r="AM277" s="9"/>
      <c r="AN277" s="10" t="str">
        <f aca="false">IF(A277="","",SG_Criteria!$B$6&amp;SG_Criteria!$B$12&amp;"\"&amp;A277&amp;"\")</f>
        <v/>
      </c>
      <c r="AO277" s="10" t="str">
        <f aca="false">IF(A277="","",A277&amp;"_CAD.dwg")</f>
        <v/>
      </c>
      <c r="AP277" s="10" t="str">
        <f aca="false">IF(A277="","",A277&amp;"_DWG.pdf")</f>
        <v/>
      </c>
      <c r="AQ277" s="10" t="str">
        <f aca="false">IF(A277="","",IF(AM277="Y",A277&amp;"_STAAD.std","n/a"))</f>
        <v/>
      </c>
      <c r="AR277" s="10" t="str">
        <f aca="false">IF(A277="","",A277&amp;"_CALC.xlsx")</f>
        <v/>
      </c>
      <c r="AS277" s="10" t="str">
        <f aca="false">IF(A277="","",A277&amp;"_CALC.pdf")</f>
        <v/>
      </c>
      <c r="AT277" s="9"/>
      <c r="AU277" s="9"/>
      <c r="AV277" s="39"/>
      <c r="AW277" s="39"/>
      <c r="AX277" s="39"/>
      <c r="AY277" s="39"/>
      <c r="AZ277" s="39"/>
      <c r="BA277" s="12" t="str">
        <f aca="false">IF(A277="","",IF(COUNTIF(Rebar_Schedule!$A$5:$A$2004,A277)=0,"",ROUND(SUMIF(Rebar_Schedule!$A$5:$A$2004,A277,Rebar_Schedule!$K$5:$K$2004),1)))</f>
        <v/>
      </c>
      <c r="BB277" s="33" t="str">
        <f aca="false">IF(A277="","",IF(BA277="","No rebar schedule yet",IF(ABS(BA277-N(AW277))/MAX(N(AW277),1)&gt;SG_Criteria!$B$55,"NOTE: register rebar differs from schedule by "&amp;TEXT(ABS(BA277-N(AW277))/MAX(N(AW277),1),"0%"),"OK")))</f>
        <v/>
      </c>
      <c r="BC277" s="33" t="str">
        <f aca="false">IF(D277="","",IF(LEN(IF(AND(D277&lt;&gt;"High Covered Linkway",G277&lt;SG_Criteria!$B$46),"FAIL: headroom below "&amp;SG_Criteria!$B$46&amp;" m. ","")&amp;IF(AND(D277="High Covered Linkway",G277&lt;SG_Criteria!$B$47),"FAIL: high linkway headroom below "&amp;SG_Criteria!$B$47&amp;" m. ","")&amp;IF(F277&lt;SG_Criteria!$B$48,"FAIL: roof width below "&amp;SG_Criteria!$B$48&amp;" m. ",IF(F277&lt;SG_Criteria!$B$49,"NOTE: not for MRT/LRT or high-traffic routes (min "&amp;SG_Criteria!$B$49&amp;" m). ",""))&amp;IF(AND(W277&lt;&gt;"",W277&lt;SG_Criteria!$B$50),"FAIL: wind speed below "&amp;SG_Criteria!$B$50&amp;" m/s. ","")&amp;IF(AND(X277&lt;&gt;"",X277&lt;SG_Criteria!$B$51),"FAIL: roof fixing pull-out below "&amp;SG_Criteria!$B$51&amp;" kN. ","")&amp;IF(AND(Y277&lt;&gt;"",IFERROR(VALUE(MID(Y277,2,2)),0)&lt;SG_Criteria!$B$52),"FAIL: grade below C"&amp;SG_Criteria!$B$52&amp;". ","")&amp;IF(E277="Non-standard (project design)","NOTE: not an SDRE standard, needs LTA acceptance. ",""))=0,"OK",IF(AND(D277&lt;&gt;"High Covered Linkway",G277&lt;SG_Criteria!$B$46),"FAIL: headroom below "&amp;SG_Criteria!$B$46&amp;" m. ","")&amp;IF(AND(D277="High Covered Linkway",G277&lt;SG_Criteria!$B$47),"FAIL: high linkway headroom below "&amp;SG_Criteria!$B$47&amp;" m. ","")&amp;IF(F277&lt;SG_Criteria!$B$48,"FAIL: roof width below "&amp;SG_Criteria!$B$48&amp;" m. ",IF(F277&lt;SG_Criteria!$B$49,"NOTE: not for MRT/LRT or high-traffic routes (min "&amp;SG_Criteria!$B$49&amp;" m). ",""))&amp;IF(AND(W277&lt;&gt;"",W277&lt;SG_Criteria!$B$50),"FAIL: wind speed below "&amp;SG_Criteria!$B$50&amp;" m/s. ","")&amp;IF(AND(X277&lt;&gt;"",X277&lt;SG_Criteria!$B$51),"FAIL: roof fixing pull-out below "&amp;SG_Criteria!$B$51&amp;" kN. ","")&amp;IF(AND(Y277&lt;&gt;"",IFERROR(VALUE(MID(Y277,2,2)),0)&lt;SG_Criteria!$B$52),"FAIL: grade below C"&amp;SG_Criteria!$B$52&amp;". ","")&amp;IF(E277="Non-standard (project design)","NOTE: not an SDRE standard, needs LTA acceptance. ","")))</f>
        <v/>
      </c>
      <c r="BD277" s="9"/>
      <c r="BE277" s="9"/>
      <c r="BF277" s="9"/>
      <c r="BG277" s="10" t="str">
        <f aca="false">IF(BF277="","",IFERROR(VLOOKUP(BF277,Projects!$A$5:$D$504,2,0),"Ref not in Projects"))</f>
        <v/>
      </c>
      <c r="BH277" s="10" t="str">
        <f aca="false">IF(BF277="","",IFERROR(VLOOKUP(BF277,Projects!$A$5:$D$504,4,0),"Ref not in Projects"))</f>
        <v/>
      </c>
      <c r="BI277" s="9"/>
      <c r="BJ277" s="9"/>
      <c r="BK277" s="9"/>
      <c r="BL277" s="40"/>
      <c r="BM277" s="9"/>
      <c r="BN277" s="40"/>
      <c r="BO277" s="9"/>
      <c r="BP277" s="40"/>
      <c r="BQ277" s="9"/>
      <c r="BR277" s="9"/>
      <c r="BS277" s="9"/>
      <c r="BT277" s="40"/>
      <c r="BU277" s="40"/>
      <c r="BV277" s="36" t="str">
        <f aca="false">IF(BU277="","",EDATE(BU277,SG_Criteria!$B$54*12))</f>
        <v/>
      </c>
      <c r="BW277" s="33" t="str">
        <f aca="true">IF(A277="","",IF(BU277="","NOTE: not reviewed yet",IF(TODAY()&gt;BV277,"NOTE: review overdue","OK")))</f>
        <v/>
      </c>
      <c r="BX277" s="37" t="str">
        <f aca="false">IF(A277="","",ROUND((IF(LEN(D277)&gt;0,1,0)+IF(LEN(E277)&gt;0,1,0)+IF(LEN(F277)&gt;0,1,0)+IF(LEN(G277)&gt;0,1,0)+IF(LEN(H277)&gt;0,1,0)+IF(LEN(I277)&gt;0,1,0)+IF(LEN(J277)&gt;0,1,0)+IF(LEN(K277)&gt;0,1,0)+IF(LEN(N277)&gt;0,1,0)+IF(LEN(O277)&gt;0,1,0)+IF(LEN(W277)&gt;0,1,0)+IF(LEN(X277)&gt;0,1,0)+IF(LEN(Y277)&gt;0,1,0)+IF(LEN(AG277)&gt;0,1,0)+IF(LEN(AI277)&gt;0,1,0)+IF(LEN(AJ277)&gt;0,1,0)+IF(LEN(AK277)&gt;0,1,0)+IF(LEN(AL277)&gt;0,1,0)+IF(LEN(AU277)&gt;0,1,0)+IF(LEN(BF277)&gt;0,1,0)+IF(LEN(BS277)&gt;0,1,0))/21,2))</f>
        <v/>
      </c>
      <c r="BY277" s="10" t="str">
        <f aca="false">IF(D277="","",IF(AND(AJ277="Approved",ISERROR(SEARCH("FAIL",BC277))),"Y","N"))</f>
        <v/>
      </c>
      <c r="BZ277" s="10" t="str">
        <f aca="false">IF(D277="","",D277&amp;"|"&amp;F277&amp;"|"&amp;G277&amp;"|"&amp;BY277)</f>
        <v/>
      </c>
    </row>
    <row r="278" customFormat="false" ht="15" hidden="false" customHeight="false" outlineLevel="0" collapsed="false">
      <c r="A278" s="10" t="str">
        <f aca="false">IF(D278="","","LKW-"&amp;IFERROR(VLOOKUP(D278,Lists!$AQ$4:$AR$17,2,0),"??")&amp;"-W"&amp;TEXT(F278*1000,"0000")&amp;"-H"&amp;TEXT(G278*1000,"0000")&amp;"-B"&amp;TEXT(H278*1000,"0000")&amp;"-"&amp;AI278)</f>
        <v/>
      </c>
      <c r="B278" s="10" t="str">
        <f aca="false">IF(D278="","",D278&amp;", "&amp;F278&amp;" m wide, "&amp;G278&amp;" m headroom, "&amp;H278&amp;" m bays, "&amp;I278&amp;" ("&amp;E278&amp;")")</f>
        <v/>
      </c>
      <c r="C278" s="9"/>
      <c r="D278" s="9"/>
      <c r="E278" s="9"/>
      <c r="F278" s="42"/>
      <c r="G278" s="42"/>
      <c r="H278" s="42"/>
      <c r="I278" s="9"/>
      <c r="J278" s="9"/>
      <c r="K278" s="9"/>
      <c r="L278" s="9"/>
      <c r="M278" s="9"/>
      <c r="N278" s="9"/>
      <c r="O278" s="9"/>
      <c r="P278" s="9"/>
      <c r="Q278" s="9"/>
      <c r="R278" s="9"/>
      <c r="S278" s="42"/>
      <c r="T278" s="9"/>
      <c r="U278" s="9"/>
      <c r="V278" s="9"/>
      <c r="W278" s="38"/>
      <c r="X278" s="42"/>
      <c r="Y278" s="9"/>
      <c r="Z278" s="9"/>
      <c r="AA278" s="9"/>
      <c r="AB278" s="42"/>
      <c r="AC278" s="9"/>
      <c r="AD278" s="38"/>
      <c r="AE278" s="9"/>
      <c r="AF278" s="39"/>
      <c r="AG278" s="9"/>
      <c r="AH278" s="9"/>
      <c r="AI278" s="9"/>
      <c r="AJ278" s="9"/>
      <c r="AK278" s="9"/>
      <c r="AL278" s="9"/>
      <c r="AM278" s="9"/>
      <c r="AN278" s="10" t="str">
        <f aca="false">IF(A278="","",SG_Criteria!$B$6&amp;SG_Criteria!$B$12&amp;"\"&amp;A278&amp;"\")</f>
        <v/>
      </c>
      <c r="AO278" s="10" t="str">
        <f aca="false">IF(A278="","",A278&amp;"_CAD.dwg")</f>
        <v/>
      </c>
      <c r="AP278" s="10" t="str">
        <f aca="false">IF(A278="","",A278&amp;"_DWG.pdf")</f>
        <v/>
      </c>
      <c r="AQ278" s="10" t="str">
        <f aca="false">IF(A278="","",IF(AM278="Y",A278&amp;"_STAAD.std","n/a"))</f>
        <v/>
      </c>
      <c r="AR278" s="10" t="str">
        <f aca="false">IF(A278="","",A278&amp;"_CALC.xlsx")</f>
        <v/>
      </c>
      <c r="AS278" s="10" t="str">
        <f aca="false">IF(A278="","",A278&amp;"_CALC.pdf")</f>
        <v/>
      </c>
      <c r="AT278" s="9"/>
      <c r="AU278" s="9"/>
      <c r="AV278" s="39"/>
      <c r="AW278" s="39"/>
      <c r="AX278" s="39"/>
      <c r="AY278" s="39"/>
      <c r="AZ278" s="39"/>
      <c r="BA278" s="12" t="str">
        <f aca="false">IF(A278="","",IF(COUNTIF(Rebar_Schedule!$A$5:$A$2004,A278)=0,"",ROUND(SUMIF(Rebar_Schedule!$A$5:$A$2004,A278,Rebar_Schedule!$K$5:$K$2004),1)))</f>
        <v/>
      </c>
      <c r="BB278" s="33" t="str">
        <f aca="false">IF(A278="","",IF(BA278="","No rebar schedule yet",IF(ABS(BA278-N(AW278))/MAX(N(AW278),1)&gt;SG_Criteria!$B$55,"NOTE: register rebar differs from schedule by "&amp;TEXT(ABS(BA278-N(AW278))/MAX(N(AW278),1),"0%"),"OK")))</f>
        <v/>
      </c>
      <c r="BC278" s="33" t="str">
        <f aca="false">IF(D278="","",IF(LEN(IF(AND(D278&lt;&gt;"High Covered Linkway",G278&lt;SG_Criteria!$B$46),"FAIL: headroom below "&amp;SG_Criteria!$B$46&amp;" m. ","")&amp;IF(AND(D278="High Covered Linkway",G278&lt;SG_Criteria!$B$47),"FAIL: high linkway headroom below "&amp;SG_Criteria!$B$47&amp;" m. ","")&amp;IF(F278&lt;SG_Criteria!$B$48,"FAIL: roof width below "&amp;SG_Criteria!$B$48&amp;" m. ",IF(F278&lt;SG_Criteria!$B$49,"NOTE: not for MRT/LRT or high-traffic routes (min "&amp;SG_Criteria!$B$49&amp;" m). ",""))&amp;IF(AND(W278&lt;&gt;"",W278&lt;SG_Criteria!$B$50),"FAIL: wind speed below "&amp;SG_Criteria!$B$50&amp;" m/s. ","")&amp;IF(AND(X278&lt;&gt;"",X278&lt;SG_Criteria!$B$51),"FAIL: roof fixing pull-out below "&amp;SG_Criteria!$B$51&amp;" kN. ","")&amp;IF(AND(Y278&lt;&gt;"",IFERROR(VALUE(MID(Y278,2,2)),0)&lt;SG_Criteria!$B$52),"FAIL: grade below C"&amp;SG_Criteria!$B$52&amp;". ","")&amp;IF(E278="Non-standard (project design)","NOTE: not an SDRE standard, needs LTA acceptance. ",""))=0,"OK",IF(AND(D278&lt;&gt;"High Covered Linkway",G278&lt;SG_Criteria!$B$46),"FAIL: headroom below "&amp;SG_Criteria!$B$46&amp;" m. ","")&amp;IF(AND(D278="High Covered Linkway",G278&lt;SG_Criteria!$B$47),"FAIL: high linkway headroom below "&amp;SG_Criteria!$B$47&amp;" m. ","")&amp;IF(F278&lt;SG_Criteria!$B$48,"FAIL: roof width below "&amp;SG_Criteria!$B$48&amp;" m. ",IF(F278&lt;SG_Criteria!$B$49,"NOTE: not for MRT/LRT or high-traffic routes (min "&amp;SG_Criteria!$B$49&amp;" m). ",""))&amp;IF(AND(W278&lt;&gt;"",W278&lt;SG_Criteria!$B$50),"FAIL: wind speed below "&amp;SG_Criteria!$B$50&amp;" m/s. ","")&amp;IF(AND(X278&lt;&gt;"",X278&lt;SG_Criteria!$B$51),"FAIL: roof fixing pull-out below "&amp;SG_Criteria!$B$51&amp;" kN. ","")&amp;IF(AND(Y278&lt;&gt;"",IFERROR(VALUE(MID(Y278,2,2)),0)&lt;SG_Criteria!$B$52),"FAIL: grade below C"&amp;SG_Criteria!$B$52&amp;". ","")&amp;IF(E278="Non-standard (project design)","NOTE: not an SDRE standard, needs LTA acceptance. ","")))</f>
        <v/>
      </c>
      <c r="BD278" s="9"/>
      <c r="BE278" s="9"/>
      <c r="BF278" s="9"/>
      <c r="BG278" s="10" t="str">
        <f aca="false">IF(BF278="","",IFERROR(VLOOKUP(BF278,Projects!$A$5:$D$504,2,0),"Ref not in Projects"))</f>
        <v/>
      </c>
      <c r="BH278" s="10" t="str">
        <f aca="false">IF(BF278="","",IFERROR(VLOOKUP(BF278,Projects!$A$5:$D$504,4,0),"Ref not in Projects"))</f>
        <v/>
      </c>
      <c r="BI278" s="9"/>
      <c r="BJ278" s="9"/>
      <c r="BK278" s="9"/>
      <c r="BL278" s="40"/>
      <c r="BM278" s="9"/>
      <c r="BN278" s="40"/>
      <c r="BO278" s="9"/>
      <c r="BP278" s="40"/>
      <c r="BQ278" s="9"/>
      <c r="BR278" s="9"/>
      <c r="BS278" s="9"/>
      <c r="BT278" s="40"/>
      <c r="BU278" s="40"/>
      <c r="BV278" s="36" t="str">
        <f aca="false">IF(BU278="","",EDATE(BU278,SG_Criteria!$B$54*12))</f>
        <v/>
      </c>
      <c r="BW278" s="33" t="str">
        <f aca="true">IF(A278="","",IF(BU278="","NOTE: not reviewed yet",IF(TODAY()&gt;BV278,"NOTE: review overdue","OK")))</f>
        <v/>
      </c>
      <c r="BX278" s="37" t="str">
        <f aca="false">IF(A278="","",ROUND((IF(LEN(D278)&gt;0,1,0)+IF(LEN(E278)&gt;0,1,0)+IF(LEN(F278)&gt;0,1,0)+IF(LEN(G278)&gt;0,1,0)+IF(LEN(H278)&gt;0,1,0)+IF(LEN(I278)&gt;0,1,0)+IF(LEN(J278)&gt;0,1,0)+IF(LEN(K278)&gt;0,1,0)+IF(LEN(N278)&gt;0,1,0)+IF(LEN(O278)&gt;0,1,0)+IF(LEN(W278)&gt;0,1,0)+IF(LEN(X278)&gt;0,1,0)+IF(LEN(Y278)&gt;0,1,0)+IF(LEN(AG278)&gt;0,1,0)+IF(LEN(AI278)&gt;0,1,0)+IF(LEN(AJ278)&gt;0,1,0)+IF(LEN(AK278)&gt;0,1,0)+IF(LEN(AL278)&gt;0,1,0)+IF(LEN(AU278)&gt;0,1,0)+IF(LEN(BF278)&gt;0,1,0)+IF(LEN(BS278)&gt;0,1,0))/21,2))</f>
        <v/>
      </c>
      <c r="BY278" s="10" t="str">
        <f aca="false">IF(D278="","",IF(AND(AJ278="Approved",ISERROR(SEARCH("FAIL",BC278))),"Y","N"))</f>
        <v/>
      </c>
      <c r="BZ278" s="10" t="str">
        <f aca="false">IF(D278="","",D278&amp;"|"&amp;F278&amp;"|"&amp;G278&amp;"|"&amp;BY278)</f>
        <v/>
      </c>
    </row>
    <row r="279" customFormat="false" ht="15" hidden="false" customHeight="false" outlineLevel="0" collapsed="false">
      <c r="A279" s="10" t="str">
        <f aca="false">IF(D279="","","LKW-"&amp;IFERROR(VLOOKUP(D279,Lists!$AQ$4:$AR$17,2,0),"??")&amp;"-W"&amp;TEXT(F279*1000,"0000")&amp;"-H"&amp;TEXT(G279*1000,"0000")&amp;"-B"&amp;TEXT(H279*1000,"0000")&amp;"-"&amp;AI279)</f>
        <v/>
      </c>
      <c r="B279" s="10" t="str">
        <f aca="false">IF(D279="","",D279&amp;", "&amp;F279&amp;" m wide, "&amp;G279&amp;" m headroom, "&amp;H279&amp;" m bays, "&amp;I279&amp;" ("&amp;E279&amp;")")</f>
        <v/>
      </c>
      <c r="C279" s="9"/>
      <c r="D279" s="9"/>
      <c r="E279" s="9"/>
      <c r="F279" s="42"/>
      <c r="G279" s="42"/>
      <c r="H279" s="42"/>
      <c r="I279" s="9"/>
      <c r="J279" s="9"/>
      <c r="K279" s="9"/>
      <c r="L279" s="9"/>
      <c r="M279" s="9"/>
      <c r="N279" s="9"/>
      <c r="O279" s="9"/>
      <c r="P279" s="9"/>
      <c r="Q279" s="9"/>
      <c r="R279" s="9"/>
      <c r="S279" s="42"/>
      <c r="T279" s="9"/>
      <c r="U279" s="9"/>
      <c r="V279" s="9"/>
      <c r="W279" s="38"/>
      <c r="X279" s="42"/>
      <c r="Y279" s="9"/>
      <c r="Z279" s="9"/>
      <c r="AA279" s="9"/>
      <c r="AB279" s="42"/>
      <c r="AC279" s="9"/>
      <c r="AD279" s="38"/>
      <c r="AE279" s="9"/>
      <c r="AF279" s="39"/>
      <c r="AG279" s="9"/>
      <c r="AH279" s="9"/>
      <c r="AI279" s="9"/>
      <c r="AJ279" s="9"/>
      <c r="AK279" s="9"/>
      <c r="AL279" s="9"/>
      <c r="AM279" s="9"/>
      <c r="AN279" s="10" t="str">
        <f aca="false">IF(A279="","",SG_Criteria!$B$6&amp;SG_Criteria!$B$12&amp;"\"&amp;A279&amp;"\")</f>
        <v/>
      </c>
      <c r="AO279" s="10" t="str">
        <f aca="false">IF(A279="","",A279&amp;"_CAD.dwg")</f>
        <v/>
      </c>
      <c r="AP279" s="10" t="str">
        <f aca="false">IF(A279="","",A279&amp;"_DWG.pdf")</f>
        <v/>
      </c>
      <c r="AQ279" s="10" t="str">
        <f aca="false">IF(A279="","",IF(AM279="Y",A279&amp;"_STAAD.std","n/a"))</f>
        <v/>
      </c>
      <c r="AR279" s="10" t="str">
        <f aca="false">IF(A279="","",A279&amp;"_CALC.xlsx")</f>
        <v/>
      </c>
      <c r="AS279" s="10" t="str">
        <f aca="false">IF(A279="","",A279&amp;"_CALC.pdf")</f>
        <v/>
      </c>
      <c r="AT279" s="9"/>
      <c r="AU279" s="9"/>
      <c r="AV279" s="39"/>
      <c r="AW279" s="39"/>
      <c r="AX279" s="39"/>
      <c r="AY279" s="39"/>
      <c r="AZ279" s="39"/>
      <c r="BA279" s="12" t="str">
        <f aca="false">IF(A279="","",IF(COUNTIF(Rebar_Schedule!$A$5:$A$2004,A279)=0,"",ROUND(SUMIF(Rebar_Schedule!$A$5:$A$2004,A279,Rebar_Schedule!$K$5:$K$2004),1)))</f>
        <v/>
      </c>
      <c r="BB279" s="33" t="str">
        <f aca="false">IF(A279="","",IF(BA279="","No rebar schedule yet",IF(ABS(BA279-N(AW279))/MAX(N(AW279),1)&gt;SG_Criteria!$B$55,"NOTE: register rebar differs from schedule by "&amp;TEXT(ABS(BA279-N(AW279))/MAX(N(AW279),1),"0%"),"OK")))</f>
        <v/>
      </c>
      <c r="BC279" s="33" t="str">
        <f aca="false">IF(D279="","",IF(LEN(IF(AND(D279&lt;&gt;"High Covered Linkway",G279&lt;SG_Criteria!$B$46),"FAIL: headroom below "&amp;SG_Criteria!$B$46&amp;" m. ","")&amp;IF(AND(D279="High Covered Linkway",G279&lt;SG_Criteria!$B$47),"FAIL: high linkway headroom below "&amp;SG_Criteria!$B$47&amp;" m. ","")&amp;IF(F279&lt;SG_Criteria!$B$48,"FAIL: roof width below "&amp;SG_Criteria!$B$48&amp;" m. ",IF(F279&lt;SG_Criteria!$B$49,"NOTE: not for MRT/LRT or high-traffic routes (min "&amp;SG_Criteria!$B$49&amp;" m). ",""))&amp;IF(AND(W279&lt;&gt;"",W279&lt;SG_Criteria!$B$50),"FAIL: wind speed below "&amp;SG_Criteria!$B$50&amp;" m/s. ","")&amp;IF(AND(X279&lt;&gt;"",X279&lt;SG_Criteria!$B$51),"FAIL: roof fixing pull-out below "&amp;SG_Criteria!$B$51&amp;" kN. ","")&amp;IF(AND(Y279&lt;&gt;"",IFERROR(VALUE(MID(Y279,2,2)),0)&lt;SG_Criteria!$B$52),"FAIL: grade below C"&amp;SG_Criteria!$B$52&amp;". ","")&amp;IF(E279="Non-standard (project design)","NOTE: not an SDRE standard, needs LTA acceptance. ",""))=0,"OK",IF(AND(D279&lt;&gt;"High Covered Linkway",G279&lt;SG_Criteria!$B$46),"FAIL: headroom below "&amp;SG_Criteria!$B$46&amp;" m. ","")&amp;IF(AND(D279="High Covered Linkway",G279&lt;SG_Criteria!$B$47),"FAIL: high linkway headroom below "&amp;SG_Criteria!$B$47&amp;" m. ","")&amp;IF(F279&lt;SG_Criteria!$B$48,"FAIL: roof width below "&amp;SG_Criteria!$B$48&amp;" m. ",IF(F279&lt;SG_Criteria!$B$49,"NOTE: not for MRT/LRT or high-traffic routes (min "&amp;SG_Criteria!$B$49&amp;" m). ",""))&amp;IF(AND(W279&lt;&gt;"",W279&lt;SG_Criteria!$B$50),"FAIL: wind speed below "&amp;SG_Criteria!$B$50&amp;" m/s. ","")&amp;IF(AND(X279&lt;&gt;"",X279&lt;SG_Criteria!$B$51),"FAIL: roof fixing pull-out below "&amp;SG_Criteria!$B$51&amp;" kN. ","")&amp;IF(AND(Y279&lt;&gt;"",IFERROR(VALUE(MID(Y279,2,2)),0)&lt;SG_Criteria!$B$52),"FAIL: grade below C"&amp;SG_Criteria!$B$52&amp;". ","")&amp;IF(E279="Non-standard (project design)","NOTE: not an SDRE standard, needs LTA acceptance. ","")))</f>
        <v/>
      </c>
      <c r="BD279" s="9"/>
      <c r="BE279" s="9"/>
      <c r="BF279" s="9"/>
      <c r="BG279" s="10" t="str">
        <f aca="false">IF(BF279="","",IFERROR(VLOOKUP(BF279,Projects!$A$5:$D$504,2,0),"Ref not in Projects"))</f>
        <v/>
      </c>
      <c r="BH279" s="10" t="str">
        <f aca="false">IF(BF279="","",IFERROR(VLOOKUP(BF279,Projects!$A$5:$D$504,4,0),"Ref not in Projects"))</f>
        <v/>
      </c>
      <c r="BI279" s="9"/>
      <c r="BJ279" s="9"/>
      <c r="BK279" s="9"/>
      <c r="BL279" s="40"/>
      <c r="BM279" s="9"/>
      <c r="BN279" s="40"/>
      <c r="BO279" s="9"/>
      <c r="BP279" s="40"/>
      <c r="BQ279" s="9"/>
      <c r="BR279" s="9"/>
      <c r="BS279" s="9"/>
      <c r="BT279" s="40"/>
      <c r="BU279" s="40"/>
      <c r="BV279" s="36" t="str">
        <f aca="false">IF(BU279="","",EDATE(BU279,SG_Criteria!$B$54*12))</f>
        <v/>
      </c>
      <c r="BW279" s="33" t="str">
        <f aca="true">IF(A279="","",IF(BU279="","NOTE: not reviewed yet",IF(TODAY()&gt;BV279,"NOTE: review overdue","OK")))</f>
        <v/>
      </c>
      <c r="BX279" s="37" t="str">
        <f aca="false">IF(A279="","",ROUND((IF(LEN(D279)&gt;0,1,0)+IF(LEN(E279)&gt;0,1,0)+IF(LEN(F279)&gt;0,1,0)+IF(LEN(G279)&gt;0,1,0)+IF(LEN(H279)&gt;0,1,0)+IF(LEN(I279)&gt;0,1,0)+IF(LEN(J279)&gt;0,1,0)+IF(LEN(K279)&gt;0,1,0)+IF(LEN(N279)&gt;0,1,0)+IF(LEN(O279)&gt;0,1,0)+IF(LEN(W279)&gt;0,1,0)+IF(LEN(X279)&gt;0,1,0)+IF(LEN(Y279)&gt;0,1,0)+IF(LEN(AG279)&gt;0,1,0)+IF(LEN(AI279)&gt;0,1,0)+IF(LEN(AJ279)&gt;0,1,0)+IF(LEN(AK279)&gt;0,1,0)+IF(LEN(AL279)&gt;0,1,0)+IF(LEN(AU279)&gt;0,1,0)+IF(LEN(BF279)&gt;0,1,0)+IF(LEN(BS279)&gt;0,1,0))/21,2))</f>
        <v/>
      </c>
      <c r="BY279" s="10" t="str">
        <f aca="false">IF(D279="","",IF(AND(AJ279="Approved",ISERROR(SEARCH("FAIL",BC279))),"Y","N"))</f>
        <v/>
      </c>
      <c r="BZ279" s="10" t="str">
        <f aca="false">IF(D279="","",D279&amp;"|"&amp;F279&amp;"|"&amp;G279&amp;"|"&amp;BY279)</f>
        <v/>
      </c>
    </row>
    <row r="280" customFormat="false" ht="15" hidden="false" customHeight="false" outlineLevel="0" collapsed="false">
      <c r="A280" s="10" t="str">
        <f aca="false">IF(D280="","","LKW-"&amp;IFERROR(VLOOKUP(D280,Lists!$AQ$4:$AR$17,2,0),"??")&amp;"-W"&amp;TEXT(F280*1000,"0000")&amp;"-H"&amp;TEXT(G280*1000,"0000")&amp;"-B"&amp;TEXT(H280*1000,"0000")&amp;"-"&amp;AI280)</f>
        <v/>
      </c>
      <c r="B280" s="10" t="str">
        <f aca="false">IF(D280="","",D280&amp;", "&amp;F280&amp;" m wide, "&amp;G280&amp;" m headroom, "&amp;H280&amp;" m bays, "&amp;I280&amp;" ("&amp;E280&amp;")")</f>
        <v/>
      </c>
      <c r="C280" s="9"/>
      <c r="D280" s="9"/>
      <c r="E280" s="9"/>
      <c r="F280" s="42"/>
      <c r="G280" s="42"/>
      <c r="H280" s="42"/>
      <c r="I280" s="9"/>
      <c r="J280" s="9"/>
      <c r="K280" s="9"/>
      <c r="L280" s="9"/>
      <c r="M280" s="9"/>
      <c r="N280" s="9"/>
      <c r="O280" s="9"/>
      <c r="P280" s="9"/>
      <c r="Q280" s="9"/>
      <c r="R280" s="9"/>
      <c r="S280" s="42"/>
      <c r="T280" s="9"/>
      <c r="U280" s="9"/>
      <c r="V280" s="9"/>
      <c r="W280" s="38"/>
      <c r="X280" s="42"/>
      <c r="Y280" s="9"/>
      <c r="Z280" s="9"/>
      <c r="AA280" s="9"/>
      <c r="AB280" s="42"/>
      <c r="AC280" s="9"/>
      <c r="AD280" s="38"/>
      <c r="AE280" s="9"/>
      <c r="AF280" s="39"/>
      <c r="AG280" s="9"/>
      <c r="AH280" s="9"/>
      <c r="AI280" s="9"/>
      <c r="AJ280" s="9"/>
      <c r="AK280" s="9"/>
      <c r="AL280" s="9"/>
      <c r="AM280" s="9"/>
      <c r="AN280" s="10" t="str">
        <f aca="false">IF(A280="","",SG_Criteria!$B$6&amp;SG_Criteria!$B$12&amp;"\"&amp;A280&amp;"\")</f>
        <v/>
      </c>
      <c r="AO280" s="10" t="str">
        <f aca="false">IF(A280="","",A280&amp;"_CAD.dwg")</f>
        <v/>
      </c>
      <c r="AP280" s="10" t="str">
        <f aca="false">IF(A280="","",A280&amp;"_DWG.pdf")</f>
        <v/>
      </c>
      <c r="AQ280" s="10" t="str">
        <f aca="false">IF(A280="","",IF(AM280="Y",A280&amp;"_STAAD.std","n/a"))</f>
        <v/>
      </c>
      <c r="AR280" s="10" t="str">
        <f aca="false">IF(A280="","",A280&amp;"_CALC.xlsx")</f>
        <v/>
      </c>
      <c r="AS280" s="10" t="str">
        <f aca="false">IF(A280="","",A280&amp;"_CALC.pdf")</f>
        <v/>
      </c>
      <c r="AT280" s="9"/>
      <c r="AU280" s="9"/>
      <c r="AV280" s="39"/>
      <c r="AW280" s="39"/>
      <c r="AX280" s="39"/>
      <c r="AY280" s="39"/>
      <c r="AZ280" s="39"/>
      <c r="BA280" s="12" t="str">
        <f aca="false">IF(A280="","",IF(COUNTIF(Rebar_Schedule!$A$5:$A$2004,A280)=0,"",ROUND(SUMIF(Rebar_Schedule!$A$5:$A$2004,A280,Rebar_Schedule!$K$5:$K$2004),1)))</f>
        <v/>
      </c>
      <c r="BB280" s="33" t="str">
        <f aca="false">IF(A280="","",IF(BA280="","No rebar schedule yet",IF(ABS(BA280-N(AW280))/MAX(N(AW280),1)&gt;SG_Criteria!$B$55,"NOTE: register rebar differs from schedule by "&amp;TEXT(ABS(BA280-N(AW280))/MAX(N(AW280),1),"0%"),"OK")))</f>
        <v/>
      </c>
      <c r="BC280" s="33" t="str">
        <f aca="false">IF(D280="","",IF(LEN(IF(AND(D280&lt;&gt;"High Covered Linkway",G280&lt;SG_Criteria!$B$46),"FAIL: headroom below "&amp;SG_Criteria!$B$46&amp;" m. ","")&amp;IF(AND(D280="High Covered Linkway",G280&lt;SG_Criteria!$B$47),"FAIL: high linkway headroom below "&amp;SG_Criteria!$B$47&amp;" m. ","")&amp;IF(F280&lt;SG_Criteria!$B$48,"FAIL: roof width below "&amp;SG_Criteria!$B$48&amp;" m. ",IF(F280&lt;SG_Criteria!$B$49,"NOTE: not for MRT/LRT or high-traffic routes (min "&amp;SG_Criteria!$B$49&amp;" m). ",""))&amp;IF(AND(W280&lt;&gt;"",W280&lt;SG_Criteria!$B$50),"FAIL: wind speed below "&amp;SG_Criteria!$B$50&amp;" m/s. ","")&amp;IF(AND(X280&lt;&gt;"",X280&lt;SG_Criteria!$B$51),"FAIL: roof fixing pull-out below "&amp;SG_Criteria!$B$51&amp;" kN. ","")&amp;IF(AND(Y280&lt;&gt;"",IFERROR(VALUE(MID(Y280,2,2)),0)&lt;SG_Criteria!$B$52),"FAIL: grade below C"&amp;SG_Criteria!$B$52&amp;". ","")&amp;IF(E280="Non-standard (project design)","NOTE: not an SDRE standard, needs LTA acceptance. ",""))=0,"OK",IF(AND(D280&lt;&gt;"High Covered Linkway",G280&lt;SG_Criteria!$B$46),"FAIL: headroom below "&amp;SG_Criteria!$B$46&amp;" m. ","")&amp;IF(AND(D280="High Covered Linkway",G280&lt;SG_Criteria!$B$47),"FAIL: high linkway headroom below "&amp;SG_Criteria!$B$47&amp;" m. ","")&amp;IF(F280&lt;SG_Criteria!$B$48,"FAIL: roof width below "&amp;SG_Criteria!$B$48&amp;" m. ",IF(F280&lt;SG_Criteria!$B$49,"NOTE: not for MRT/LRT or high-traffic routes (min "&amp;SG_Criteria!$B$49&amp;" m). ",""))&amp;IF(AND(W280&lt;&gt;"",W280&lt;SG_Criteria!$B$50),"FAIL: wind speed below "&amp;SG_Criteria!$B$50&amp;" m/s. ","")&amp;IF(AND(X280&lt;&gt;"",X280&lt;SG_Criteria!$B$51),"FAIL: roof fixing pull-out below "&amp;SG_Criteria!$B$51&amp;" kN. ","")&amp;IF(AND(Y280&lt;&gt;"",IFERROR(VALUE(MID(Y280,2,2)),0)&lt;SG_Criteria!$B$52),"FAIL: grade below C"&amp;SG_Criteria!$B$52&amp;". ","")&amp;IF(E280="Non-standard (project design)","NOTE: not an SDRE standard, needs LTA acceptance. ","")))</f>
        <v/>
      </c>
      <c r="BD280" s="9"/>
      <c r="BE280" s="9"/>
      <c r="BF280" s="9"/>
      <c r="BG280" s="10" t="str">
        <f aca="false">IF(BF280="","",IFERROR(VLOOKUP(BF280,Projects!$A$5:$D$504,2,0),"Ref not in Projects"))</f>
        <v/>
      </c>
      <c r="BH280" s="10" t="str">
        <f aca="false">IF(BF280="","",IFERROR(VLOOKUP(BF280,Projects!$A$5:$D$504,4,0),"Ref not in Projects"))</f>
        <v/>
      </c>
      <c r="BI280" s="9"/>
      <c r="BJ280" s="9"/>
      <c r="BK280" s="9"/>
      <c r="BL280" s="40"/>
      <c r="BM280" s="9"/>
      <c r="BN280" s="40"/>
      <c r="BO280" s="9"/>
      <c r="BP280" s="40"/>
      <c r="BQ280" s="9"/>
      <c r="BR280" s="9"/>
      <c r="BS280" s="9"/>
      <c r="BT280" s="40"/>
      <c r="BU280" s="40"/>
      <c r="BV280" s="36" t="str">
        <f aca="false">IF(BU280="","",EDATE(BU280,SG_Criteria!$B$54*12))</f>
        <v/>
      </c>
      <c r="BW280" s="33" t="str">
        <f aca="true">IF(A280="","",IF(BU280="","NOTE: not reviewed yet",IF(TODAY()&gt;BV280,"NOTE: review overdue","OK")))</f>
        <v/>
      </c>
      <c r="BX280" s="37" t="str">
        <f aca="false">IF(A280="","",ROUND((IF(LEN(D280)&gt;0,1,0)+IF(LEN(E280)&gt;0,1,0)+IF(LEN(F280)&gt;0,1,0)+IF(LEN(G280)&gt;0,1,0)+IF(LEN(H280)&gt;0,1,0)+IF(LEN(I280)&gt;0,1,0)+IF(LEN(J280)&gt;0,1,0)+IF(LEN(K280)&gt;0,1,0)+IF(LEN(N280)&gt;0,1,0)+IF(LEN(O280)&gt;0,1,0)+IF(LEN(W280)&gt;0,1,0)+IF(LEN(X280)&gt;0,1,0)+IF(LEN(Y280)&gt;0,1,0)+IF(LEN(AG280)&gt;0,1,0)+IF(LEN(AI280)&gt;0,1,0)+IF(LEN(AJ280)&gt;0,1,0)+IF(LEN(AK280)&gt;0,1,0)+IF(LEN(AL280)&gt;0,1,0)+IF(LEN(AU280)&gt;0,1,0)+IF(LEN(BF280)&gt;0,1,0)+IF(LEN(BS280)&gt;0,1,0))/21,2))</f>
        <v/>
      </c>
      <c r="BY280" s="10" t="str">
        <f aca="false">IF(D280="","",IF(AND(AJ280="Approved",ISERROR(SEARCH("FAIL",BC280))),"Y","N"))</f>
        <v/>
      </c>
      <c r="BZ280" s="10" t="str">
        <f aca="false">IF(D280="","",D280&amp;"|"&amp;F280&amp;"|"&amp;G280&amp;"|"&amp;BY280)</f>
        <v/>
      </c>
    </row>
    <row r="281" customFormat="false" ht="15" hidden="false" customHeight="false" outlineLevel="0" collapsed="false">
      <c r="A281" s="10" t="str">
        <f aca="false">IF(D281="","","LKW-"&amp;IFERROR(VLOOKUP(D281,Lists!$AQ$4:$AR$17,2,0),"??")&amp;"-W"&amp;TEXT(F281*1000,"0000")&amp;"-H"&amp;TEXT(G281*1000,"0000")&amp;"-B"&amp;TEXT(H281*1000,"0000")&amp;"-"&amp;AI281)</f>
        <v/>
      </c>
      <c r="B281" s="10" t="str">
        <f aca="false">IF(D281="","",D281&amp;", "&amp;F281&amp;" m wide, "&amp;G281&amp;" m headroom, "&amp;H281&amp;" m bays, "&amp;I281&amp;" ("&amp;E281&amp;")")</f>
        <v/>
      </c>
      <c r="C281" s="9"/>
      <c r="D281" s="9"/>
      <c r="E281" s="9"/>
      <c r="F281" s="42"/>
      <c r="G281" s="42"/>
      <c r="H281" s="42"/>
      <c r="I281" s="9"/>
      <c r="J281" s="9"/>
      <c r="K281" s="9"/>
      <c r="L281" s="9"/>
      <c r="M281" s="9"/>
      <c r="N281" s="9"/>
      <c r="O281" s="9"/>
      <c r="P281" s="9"/>
      <c r="Q281" s="9"/>
      <c r="R281" s="9"/>
      <c r="S281" s="42"/>
      <c r="T281" s="9"/>
      <c r="U281" s="9"/>
      <c r="V281" s="9"/>
      <c r="W281" s="38"/>
      <c r="X281" s="42"/>
      <c r="Y281" s="9"/>
      <c r="Z281" s="9"/>
      <c r="AA281" s="9"/>
      <c r="AB281" s="42"/>
      <c r="AC281" s="9"/>
      <c r="AD281" s="38"/>
      <c r="AE281" s="9"/>
      <c r="AF281" s="39"/>
      <c r="AG281" s="9"/>
      <c r="AH281" s="9"/>
      <c r="AI281" s="9"/>
      <c r="AJ281" s="9"/>
      <c r="AK281" s="9"/>
      <c r="AL281" s="9"/>
      <c r="AM281" s="9"/>
      <c r="AN281" s="10" t="str">
        <f aca="false">IF(A281="","",SG_Criteria!$B$6&amp;SG_Criteria!$B$12&amp;"\"&amp;A281&amp;"\")</f>
        <v/>
      </c>
      <c r="AO281" s="10" t="str">
        <f aca="false">IF(A281="","",A281&amp;"_CAD.dwg")</f>
        <v/>
      </c>
      <c r="AP281" s="10" t="str">
        <f aca="false">IF(A281="","",A281&amp;"_DWG.pdf")</f>
        <v/>
      </c>
      <c r="AQ281" s="10" t="str">
        <f aca="false">IF(A281="","",IF(AM281="Y",A281&amp;"_STAAD.std","n/a"))</f>
        <v/>
      </c>
      <c r="AR281" s="10" t="str">
        <f aca="false">IF(A281="","",A281&amp;"_CALC.xlsx")</f>
        <v/>
      </c>
      <c r="AS281" s="10" t="str">
        <f aca="false">IF(A281="","",A281&amp;"_CALC.pdf")</f>
        <v/>
      </c>
      <c r="AT281" s="9"/>
      <c r="AU281" s="9"/>
      <c r="AV281" s="39"/>
      <c r="AW281" s="39"/>
      <c r="AX281" s="39"/>
      <c r="AY281" s="39"/>
      <c r="AZ281" s="39"/>
      <c r="BA281" s="12" t="str">
        <f aca="false">IF(A281="","",IF(COUNTIF(Rebar_Schedule!$A$5:$A$2004,A281)=0,"",ROUND(SUMIF(Rebar_Schedule!$A$5:$A$2004,A281,Rebar_Schedule!$K$5:$K$2004),1)))</f>
        <v/>
      </c>
      <c r="BB281" s="33" t="str">
        <f aca="false">IF(A281="","",IF(BA281="","No rebar schedule yet",IF(ABS(BA281-N(AW281))/MAX(N(AW281),1)&gt;SG_Criteria!$B$55,"NOTE: register rebar differs from schedule by "&amp;TEXT(ABS(BA281-N(AW281))/MAX(N(AW281),1),"0%"),"OK")))</f>
        <v/>
      </c>
      <c r="BC281" s="33" t="str">
        <f aca="false">IF(D281="","",IF(LEN(IF(AND(D281&lt;&gt;"High Covered Linkway",G281&lt;SG_Criteria!$B$46),"FAIL: headroom below "&amp;SG_Criteria!$B$46&amp;" m. ","")&amp;IF(AND(D281="High Covered Linkway",G281&lt;SG_Criteria!$B$47),"FAIL: high linkway headroom below "&amp;SG_Criteria!$B$47&amp;" m. ","")&amp;IF(F281&lt;SG_Criteria!$B$48,"FAIL: roof width below "&amp;SG_Criteria!$B$48&amp;" m. ",IF(F281&lt;SG_Criteria!$B$49,"NOTE: not for MRT/LRT or high-traffic routes (min "&amp;SG_Criteria!$B$49&amp;" m). ",""))&amp;IF(AND(W281&lt;&gt;"",W281&lt;SG_Criteria!$B$50),"FAIL: wind speed below "&amp;SG_Criteria!$B$50&amp;" m/s. ","")&amp;IF(AND(X281&lt;&gt;"",X281&lt;SG_Criteria!$B$51),"FAIL: roof fixing pull-out below "&amp;SG_Criteria!$B$51&amp;" kN. ","")&amp;IF(AND(Y281&lt;&gt;"",IFERROR(VALUE(MID(Y281,2,2)),0)&lt;SG_Criteria!$B$52),"FAIL: grade below C"&amp;SG_Criteria!$B$52&amp;". ","")&amp;IF(E281="Non-standard (project design)","NOTE: not an SDRE standard, needs LTA acceptance. ",""))=0,"OK",IF(AND(D281&lt;&gt;"High Covered Linkway",G281&lt;SG_Criteria!$B$46),"FAIL: headroom below "&amp;SG_Criteria!$B$46&amp;" m. ","")&amp;IF(AND(D281="High Covered Linkway",G281&lt;SG_Criteria!$B$47),"FAIL: high linkway headroom below "&amp;SG_Criteria!$B$47&amp;" m. ","")&amp;IF(F281&lt;SG_Criteria!$B$48,"FAIL: roof width below "&amp;SG_Criteria!$B$48&amp;" m. ",IF(F281&lt;SG_Criteria!$B$49,"NOTE: not for MRT/LRT or high-traffic routes (min "&amp;SG_Criteria!$B$49&amp;" m). ",""))&amp;IF(AND(W281&lt;&gt;"",W281&lt;SG_Criteria!$B$50),"FAIL: wind speed below "&amp;SG_Criteria!$B$50&amp;" m/s. ","")&amp;IF(AND(X281&lt;&gt;"",X281&lt;SG_Criteria!$B$51),"FAIL: roof fixing pull-out below "&amp;SG_Criteria!$B$51&amp;" kN. ","")&amp;IF(AND(Y281&lt;&gt;"",IFERROR(VALUE(MID(Y281,2,2)),0)&lt;SG_Criteria!$B$52),"FAIL: grade below C"&amp;SG_Criteria!$B$52&amp;". ","")&amp;IF(E281="Non-standard (project design)","NOTE: not an SDRE standard, needs LTA acceptance. ","")))</f>
        <v/>
      </c>
      <c r="BD281" s="9"/>
      <c r="BE281" s="9"/>
      <c r="BF281" s="9"/>
      <c r="BG281" s="10" t="str">
        <f aca="false">IF(BF281="","",IFERROR(VLOOKUP(BF281,Projects!$A$5:$D$504,2,0),"Ref not in Projects"))</f>
        <v/>
      </c>
      <c r="BH281" s="10" t="str">
        <f aca="false">IF(BF281="","",IFERROR(VLOOKUP(BF281,Projects!$A$5:$D$504,4,0),"Ref not in Projects"))</f>
        <v/>
      </c>
      <c r="BI281" s="9"/>
      <c r="BJ281" s="9"/>
      <c r="BK281" s="9"/>
      <c r="BL281" s="40"/>
      <c r="BM281" s="9"/>
      <c r="BN281" s="40"/>
      <c r="BO281" s="9"/>
      <c r="BP281" s="40"/>
      <c r="BQ281" s="9"/>
      <c r="BR281" s="9"/>
      <c r="BS281" s="9"/>
      <c r="BT281" s="40"/>
      <c r="BU281" s="40"/>
      <c r="BV281" s="36" t="str">
        <f aca="false">IF(BU281="","",EDATE(BU281,SG_Criteria!$B$54*12))</f>
        <v/>
      </c>
      <c r="BW281" s="33" t="str">
        <f aca="true">IF(A281="","",IF(BU281="","NOTE: not reviewed yet",IF(TODAY()&gt;BV281,"NOTE: review overdue","OK")))</f>
        <v/>
      </c>
      <c r="BX281" s="37" t="str">
        <f aca="false">IF(A281="","",ROUND((IF(LEN(D281)&gt;0,1,0)+IF(LEN(E281)&gt;0,1,0)+IF(LEN(F281)&gt;0,1,0)+IF(LEN(G281)&gt;0,1,0)+IF(LEN(H281)&gt;0,1,0)+IF(LEN(I281)&gt;0,1,0)+IF(LEN(J281)&gt;0,1,0)+IF(LEN(K281)&gt;0,1,0)+IF(LEN(N281)&gt;0,1,0)+IF(LEN(O281)&gt;0,1,0)+IF(LEN(W281)&gt;0,1,0)+IF(LEN(X281)&gt;0,1,0)+IF(LEN(Y281)&gt;0,1,0)+IF(LEN(AG281)&gt;0,1,0)+IF(LEN(AI281)&gt;0,1,0)+IF(LEN(AJ281)&gt;0,1,0)+IF(LEN(AK281)&gt;0,1,0)+IF(LEN(AL281)&gt;0,1,0)+IF(LEN(AU281)&gt;0,1,0)+IF(LEN(BF281)&gt;0,1,0)+IF(LEN(BS281)&gt;0,1,0))/21,2))</f>
        <v/>
      </c>
      <c r="BY281" s="10" t="str">
        <f aca="false">IF(D281="","",IF(AND(AJ281="Approved",ISERROR(SEARCH("FAIL",BC281))),"Y","N"))</f>
        <v/>
      </c>
      <c r="BZ281" s="10" t="str">
        <f aca="false">IF(D281="","",D281&amp;"|"&amp;F281&amp;"|"&amp;G281&amp;"|"&amp;BY281)</f>
        <v/>
      </c>
    </row>
    <row r="282" customFormat="false" ht="15" hidden="false" customHeight="false" outlineLevel="0" collapsed="false">
      <c r="A282" s="10" t="str">
        <f aca="false">IF(D282="","","LKW-"&amp;IFERROR(VLOOKUP(D282,Lists!$AQ$4:$AR$17,2,0),"??")&amp;"-W"&amp;TEXT(F282*1000,"0000")&amp;"-H"&amp;TEXT(G282*1000,"0000")&amp;"-B"&amp;TEXT(H282*1000,"0000")&amp;"-"&amp;AI282)</f>
        <v/>
      </c>
      <c r="B282" s="10" t="str">
        <f aca="false">IF(D282="","",D282&amp;", "&amp;F282&amp;" m wide, "&amp;G282&amp;" m headroom, "&amp;H282&amp;" m bays, "&amp;I282&amp;" ("&amp;E282&amp;")")</f>
        <v/>
      </c>
      <c r="C282" s="9"/>
      <c r="D282" s="9"/>
      <c r="E282" s="9"/>
      <c r="F282" s="42"/>
      <c r="G282" s="42"/>
      <c r="H282" s="42"/>
      <c r="I282" s="9"/>
      <c r="J282" s="9"/>
      <c r="K282" s="9"/>
      <c r="L282" s="9"/>
      <c r="M282" s="9"/>
      <c r="N282" s="9"/>
      <c r="O282" s="9"/>
      <c r="P282" s="9"/>
      <c r="Q282" s="9"/>
      <c r="R282" s="9"/>
      <c r="S282" s="42"/>
      <c r="T282" s="9"/>
      <c r="U282" s="9"/>
      <c r="V282" s="9"/>
      <c r="W282" s="38"/>
      <c r="X282" s="42"/>
      <c r="Y282" s="9"/>
      <c r="Z282" s="9"/>
      <c r="AA282" s="9"/>
      <c r="AB282" s="42"/>
      <c r="AC282" s="9"/>
      <c r="AD282" s="38"/>
      <c r="AE282" s="9"/>
      <c r="AF282" s="39"/>
      <c r="AG282" s="9"/>
      <c r="AH282" s="9"/>
      <c r="AI282" s="9"/>
      <c r="AJ282" s="9"/>
      <c r="AK282" s="9"/>
      <c r="AL282" s="9"/>
      <c r="AM282" s="9"/>
      <c r="AN282" s="10" t="str">
        <f aca="false">IF(A282="","",SG_Criteria!$B$6&amp;SG_Criteria!$B$12&amp;"\"&amp;A282&amp;"\")</f>
        <v/>
      </c>
      <c r="AO282" s="10" t="str">
        <f aca="false">IF(A282="","",A282&amp;"_CAD.dwg")</f>
        <v/>
      </c>
      <c r="AP282" s="10" t="str">
        <f aca="false">IF(A282="","",A282&amp;"_DWG.pdf")</f>
        <v/>
      </c>
      <c r="AQ282" s="10" t="str">
        <f aca="false">IF(A282="","",IF(AM282="Y",A282&amp;"_STAAD.std","n/a"))</f>
        <v/>
      </c>
      <c r="AR282" s="10" t="str">
        <f aca="false">IF(A282="","",A282&amp;"_CALC.xlsx")</f>
        <v/>
      </c>
      <c r="AS282" s="10" t="str">
        <f aca="false">IF(A282="","",A282&amp;"_CALC.pdf")</f>
        <v/>
      </c>
      <c r="AT282" s="9"/>
      <c r="AU282" s="9"/>
      <c r="AV282" s="39"/>
      <c r="AW282" s="39"/>
      <c r="AX282" s="39"/>
      <c r="AY282" s="39"/>
      <c r="AZ282" s="39"/>
      <c r="BA282" s="12" t="str">
        <f aca="false">IF(A282="","",IF(COUNTIF(Rebar_Schedule!$A$5:$A$2004,A282)=0,"",ROUND(SUMIF(Rebar_Schedule!$A$5:$A$2004,A282,Rebar_Schedule!$K$5:$K$2004),1)))</f>
        <v/>
      </c>
      <c r="BB282" s="33" t="str">
        <f aca="false">IF(A282="","",IF(BA282="","No rebar schedule yet",IF(ABS(BA282-N(AW282))/MAX(N(AW282),1)&gt;SG_Criteria!$B$55,"NOTE: register rebar differs from schedule by "&amp;TEXT(ABS(BA282-N(AW282))/MAX(N(AW282),1),"0%"),"OK")))</f>
        <v/>
      </c>
      <c r="BC282" s="33" t="str">
        <f aca="false">IF(D282="","",IF(LEN(IF(AND(D282&lt;&gt;"High Covered Linkway",G282&lt;SG_Criteria!$B$46),"FAIL: headroom below "&amp;SG_Criteria!$B$46&amp;" m. ","")&amp;IF(AND(D282="High Covered Linkway",G282&lt;SG_Criteria!$B$47),"FAIL: high linkway headroom below "&amp;SG_Criteria!$B$47&amp;" m. ","")&amp;IF(F282&lt;SG_Criteria!$B$48,"FAIL: roof width below "&amp;SG_Criteria!$B$48&amp;" m. ",IF(F282&lt;SG_Criteria!$B$49,"NOTE: not for MRT/LRT or high-traffic routes (min "&amp;SG_Criteria!$B$49&amp;" m). ",""))&amp;IF(AND(W282&lt;&gt;"",W282&lt;SG_Criteria!$B$50),"FAIL: wind speed below "&amp;SG_Criteria!$B$50&amp;" m/s. ","")&amp;IF(AND(X282&lt;&gt;"",X282&lt;SG_Criteria!$B$51),"FAIL: roof fixing pull-out below "&amp;SG_Criteria!$B$51&amp;" kN. ","")&amp;IF(AND(Y282&lt;&gt;"",IFERROR(VALUE(MID(Y282,2,2)),0)&lt;SG_Criteria!$B$52),"FAIL: grade below C"&amp;SG_Criteria!$B$52&amp;". ","")&amp;IF(E282="Non-standard (project design)","NOTE: not an SDRE standard, needs LTA acceptance. ",""))=0,"OK",IF(AND(D282&lt;&gt;"High Covered Linkway",G282&lt;SG_Criteria!$B$46),"FAIL: headroom below "&amp;SG_Criteria!$B$46&amp;" m. ","")&amp;IF(AND(D282="High Covered Linkway",G282&lt;SG_Criteria!$B$47),"FAIL: high linkway headroom below "&amp;SG_Criteria!$B$47&amp;" m. ","")&amp;IF(F282&lt;SG_Criteria!$B$48,"FAIL: roof width below "&amp;SG_Criteria!$B$48&amp;" m. ",IF(F282&lt;SG_Criteria!$B$49,"NOTE: not for MRT/LRT or high-traffic routes (min "&amp;SG_Criteria!$B$49&amp;" m). ",""))&amp;IF(AND(W282&lt;&gt;"",W282&lt;SG_Criteria!$B$50),"FAIL: wind speed below "&amp;SG_Criteria!$B$50&amp;" m/s. ","")&amp;IF(AND(X282&lt;&gt;"",X282&lt;SG_Criteria!$B$51),"FAIL: roof fixing pull-out below "&amp;SG_Criteria!$B$51&amp;" kN. ","")&amp;IF(AND(Y282&lt;&gt;"",IFERROR(VALUE(MID(Y282,2,2)),0)&lt;SG_Criteria!$B$52),"FAIL: grade below C"&amp;SG_Criteria!$B$52&amp;". ","")&amp;IF(E282="Non-standard (project design)","NOTE: not an SDRE standard, needs LTA acceptance. ","")))</f>
        <v/>
      </c>
      <c r="BD282" s="9"/>
      <c r="BE282" s="9"/>
      <c r="BF282" s="9"/>
      <c r="BG282" s="10" t="str">
        <f aca="false">IF(BF282="","",IFERROR(VLOOKUP(BF282,Projects!$A$5:$D$504,2,0),"Ref not in Projects"))</f>
        <v/>
      </c>
      <c r="BH282" s="10" t="str">
        <f aca="false">IF(BF282="","",IFERROR(VLOOKUP(BF282,Projects!$A$5:$D$504,4,0),"Ref not in Projects"))</f>
        <v/>
      </c>
      <c r="BI282" s="9"/>
      <c r="BJ282" s="9"/>
      <c r="BK282" s="9"/>
      <c r="BL282" s="40"/>
      <c r="BM282" s="9"/>
      <c r="BN282" s="40"/>
      <c r="BO282" s="9"/>
      <c r="BP282" s="40"/>
      <c r="BQ282" s="9"/>
      <c r="BR282" s="9"/>
      <c r="BS282" s="9"/>
      <c r="BT282" s="40"/>
      <c r="BU282" s="40"/>
      <c r="BV282" s="36" t="str">
        <f aca="false">IF(BU282="","",EDATE(BU282,SG_Criteria!$B$54*12))</f>
        <v/>
      </c>
      <c r="BW282" s="33" t="str">
        <f aca="true">IF(A282="","",IF(BU282="","NOTE: not reviewed yet",IF(TODAY()&gt;BV282,"NOTE: review overdue","OK")))</f>
        <v/>
      </c>
      <c r="BX282" s="37" t="str">
        <f aca="false">IF(A282="","",ROUND((IF(LEN(D282)&gt;0,1,0)+IF(LEN(E282)&gt;0,1,0)+IF(LEN(F282)&gt;0,1,0)+IF(LEN(G282)&gt;0,1,0)+IF(LEN(H282)&gt;0,1,0)+IF(LEN(I282)&gt;0,1,0)+IF(LEN(J282)&gt;0,1,0)+IF(LEN(K282)&gt;0,1,0)+IF(LEN(N282)&gt;0,1,0)+IF(LEN(O282)&gt;0,1,0)+IF(LEN(W282)&gt;0,1,0)+IF(LEN(X282)&gt;0,1,0)+IF(LEN(Y282)&gt;0,1,0)+IF(LEN(AG282)&gt;0,1,0)+IF(LEN(AI282)&gt;0,1,0)+IF(LEN(AJ282)&gt;0,1,0)+IF(LEN(AK282)&gt;0,1,0)+IF(LEN(AL282)&gt;0,1,0)+IF(LEN(AU282)&gt;0,1,0)+IF(LEN(BF282)&gt;0,1,0)+IF(LEN(BS282)&gt;0,1,0))/21,2))</f>
        <v/>
      </c>
      <c r="BY282" s="10" t="str">
        <f aca="false">IF(D282="","",IF(AND(AJ282="Approved",ISERROR(SEARCH("FAIL",BC282))),"Y","N"))</f>
        <v/>
      </c>
      <c r="BZ282" s="10" t="str">
        <f aca="false">IF(D282="","",D282&amp;"|"&amp;F282&amp;"|"&amp;G282&amp;"|"&amp;BY282)</f>
        <v/>
      </c>
    </row>
    <row r="283" customFormat="false" ht="15" hidden="false" customHeight="false" outlineLevel="0" collapsed="false">
      <c r="A283" s="10" t="str">
        <f aca="false">IF(D283="","","LKW-"&amp;IFERROR(VLOOKUP(D283,Lists!$AQ$4:$AR$17,2,0),"??")&amp;"-W"&amp;TEXT(F283*1000,"0000")&amp;"-H"&amp;TEXT(G283*1000,"0000")&amp;"-B"&amp;TEXT(H283*1000,"0000")&amp;"-"&amp;AI283)</f>
        <v/>
      </c>
      <c r="B283" s="10" t="str">
        <f aca="false">IF(D283="","",D283&amp;", "&amp;F283&amp;" m wide, "&amp;G283&amp;" m headroom, "&amp;H283&amp;" m bays, "&amp;I283&amp;" ("&amp;E283&amp;")")</f>
        <v/>
      </c>
      <c r="C283" s="9"/>
      <c r="D283" s="9"/>
      <c r="E283" s="9"/>
      <c r="F283" s="42"/>
      <c r="G283" s="42"/>
      <c r="H283" s="42"/>
      <c r="I283" s="9"/>
      <c r="J283" s="9"/>
      <c r="K283" s="9"/>
      <c r="L283" s="9"/>
      <c r="M283" s="9"/>
      <c r="N283" s="9"/>
      <c r="O283" s="9"/>
      <c r="P283" s="9"/>
      <c r="Q283" s="9"/>
      <c r="R283" s="9"/>
      <c r="S283" s="42"/>
      <c r="T283" s="9"/>
      <c r="U283" s="9"/>
      <c r="V283" s="9"/>
      <c r="W283" s="38"/>
      <c r="X283" s="42"/>
      <c r="Y283" s="9"/>
      <c r="Z283" s="9"/>
      <c r="AA283" s="9"/>
      <c r="AB283" s="42"/>
      <c r="AC283" s="9"/>
      <c r="AD283" s="38"/>
      <c r="AE283" s="9"/>
      <c r="AF283" s="39"/>
      <c r="AG283" s="9"/>
      <c r="AH283" s="9"/>
      <c r="AI283" s="9"/>
      <c r="AJ283" s="9"/>
      <c r="AK283" s="9"/>
      <c r="AL283" s="9"/>
      <c r="AM283" s="9"/>
      <c r="AN283" s="10" t="str">
        <f aca="false">IF(A283="","",SG_Criteria!$B$6&amp;SG_Criteria!$B$12&amp;"\"&amp;A283&amp;"\")</f>
        <v/>
      </c>
      <c r="AO283" s="10" t="str">
        <f aca="false">IF(A283="","",A283&amp;"_CAD.dwg")</f>
        <v/>
      </c>
      <c r="AP283" s="10" t="str">
        <f aca="false">IF(A283="","",A283&amp;"_DWG.pdf")</f>
        <v/>
      </c>
      <c r="AQ283" s="10" t="str">
        <f aca="false">IF(A283="","",IF(AM283="Y",A283&amp;"_STAAD.std","n/a"))</f>
        <v/>
      </c>
      <c r="AR283" s="10" t="str">
        <f aca="false">IF(A283="","",A283&amp;"_CALC.xlsx")</f>
        <v/>
      </c>
      <c r="AS283" s="10" t="str">
        <f aca="false">IF(A283="","",A283&amp;"_CALC.pdf")</f>
        <v/>
      </c>
      <c r="AT283" s="9"/>
      <c r="AU283" s="9"/>
      <c r="AV283" s="39"/>
      <c r="AW283" s="39"/>
      <c r="AX283" s="39"/>
      <c r="AY283" s="39"/>
      <c r="AZ283" s="39"/>
      <c r="BA283" s="12" t="str">
        <f aca="false">IF(A283="","",IF(COUNTIF(Rebar_Schedule!$A$5:$A$2004,A283)=0,"",ROUND(SUMIF(Rebar_Schedule!$A$5:$A$2004,A283,Rebar_Schedule!$K$5:$K$2004),1)))</f>
        <v/>
      </c>
      <c r="BB283" s="33" t="str">
        <f aca="false">IF(A283="","",IF(BA283="","No rebar schedule yet",IF(ABS(BA283-N(AW283))/MAX(N(AW283),1)&gt;SG_Criteria!$B$55,"NOTE: register rebar differs from schedule by "&amp;TEXT(ABS(BA283-N(AW283))/MAX(N(AW283),1),"0%"),"OK")))</f>
        <v/>
      </c>
      <c r="BC283" s="33" t="str">
        <f aca="false">IF(D283="","",IF(LEN(IF(AND(D283&lt;&gt;"High Covered Linkway",G283&lt;SG_Criteria!$B$46),"FAIL: headroom below "&amp;SG_Criteria!$B$46&amp;" m. ","")&amp;IF(AND(D283="High Covered Linkway",G283&lt;SG_Criteria!$B$47),"FAIL: high linkway headroom below "&amp;SG_Criteria!$B$47&amp;" m. ","")&amp;IF(F283&lt;SG_Criteria!$B$48,"FAIL: roof width below "&amp;SG_Criteria!$B$48&amp;" m. ",IF(F283&lt;SG_Criteria!$B$49,"NOTE: not for MRT/LRT or high-traffic routes (min "&amp;SG_Criteria!$B$49&amp;" m). ",""))&amp;IF(AND(W283&lt;&gt;"",W283&lt;SG_Criteria!$B$50),"FAIL: wind speed below "&amp;SG_Criteria!$B$50&amp;" m/s. ","")&amp;IF(AND(X283&lt;&gt;"",X283&lt;SG_Criteria!$B$51),"FAIL: roof fixing pull-out below "&amp;SG_Criteria!$B$51&amp;" kN. ","")&amp;IF(AND(Y283&lt;&gt;"",IFERROR(VALUE(MID(Y283,2,2)),0)&lt;SG_Criteria!$B$52),"FAIL: grade below C"&amp;SG_Criteria!$B$52&amp;". ","")&amp;IF(E283="Non-standard (project design)","NOTE: not an SDRE standard, needs LTA acceptance. ",""))=0,"OK",IF(AND(D283&lt;&gt;"High Covered Linkway",G283&lt;SG_Criteria!$B$46),"FAIL: headroom below "&amp;SG_Criteria!$B$46&amp;" m. ","")&amp;IF(AND(D283="High Covered Linkway",G283&lt;SG_Criteria!$B$47),"FAIL: high linkway headroom below "&amp;SG_Criteria!$B$47&amp;" m. ","")&amp;IF(F283&lt;SG_Criteria!$B$48,"FAIL: roof width below "&amp;SG_Criteria!$B$48&amp;" m. ",IF(F283&lt;SG_Criteria!$B$49,"NOTE: not for MRT/LRT or high-traffic routes (min "&amp;SG_Criteria!$B$49&amp;" m). ",""))&amp;IF(AND(W283&lt;&gt;"",W283&lt;SG_Criteria!$B$50),"FAIL: wind speed below "&amp;SG_Criteria!$B$50&amp;" m/s. ","")&amp;IF(AND(X283&lt;&gt;"",X283&lt;SG_Criteria!$B$51),"FAIL: roof fixing pull-out below "&amp;SG_Criteria!$B$51&amp;" kN. ","")&amp;IF(AND(Y283&lt;&gt;"",IFERROR(VALUE(MID(Y283,2,2)),0)&lt;SG_Criteria!$B$52),"FAIL: grade below C"&amp;SG_Criteria!$B$52&amp;". ","")&amp;IF(E283="Non-standard (project design)","NOTE: not an SDRE standard, needs LTA acceptance. ","")))</f>
        <v/>
      </c>
      <c r="BD283" s="9"/>
      <c r="BE283" s="9"/>
      <c r="BF283" s="9"/>
      <c r="BG283" s="10" t="str">
        <f aca="false">IF(BF283="","",IFERROR(VLOOKUP(BF283,Projects!$A$5:$D$504,2,0),"Ref not in Projects"))</f>
        <v/>
      </c>
      <c r="BH283" s="10" t="str">
        <f aca="false">IF(BF283="","",IFERROR(VLOOKUP(BF283,Projects!$A$5:$D$504,4,0),"Ref not in Projects"))</f>
        <v/>
      </c>
      <c r="BI283" s="9"/>
      <c r="BJ283" s="9"/>
      <c r="BK283" s="9"/>
      <c r="BL283" s="40"/>
      <c r="BM283" s="9"/>
      <c r="BN283" s="40"/>
      <c r="BO283" s="9"/>
      <c r="BP283" s="40"/>
      <c r="BQ283" s="9"/>
      <c r="BR283" s="9"/>
      <c r="BS283" s="9"/>
      <c r="BT283" s="40"/>
      <c r="BU283" s="40"/>
      <c r="BV283" s="36" t="str">
        <f aca="false">IF(BU283="","",EDATE(BU283,SG_Criteria!$B$54*12))</f>
        <v/>
      </c>
      <c r="BW283" s="33" t="str">
        <f aca="true">IF(A283="","",IF(BU283="","NOTE: not reviewed yet",IF(TODAY()&gt;BV283,"NOTE: review overdue","OK")))</f>
        <v/>
      </c>
      <c r="BX283" s="37" t="str">
        <f aca="false">IF(A283="","",ROUND((IF(LEN(D283)&gt;0,1,0)+IF(LEN(E283)&gt;0,1,0)+IF(LEN(F283)&gt;0,1,0)+IF(LEN(G283)&gt;0,1,0)+IF(LEN(H283)&gt;0,1,0)+IF(LEN(I283)&gt;0,1,0)+IF(LEN(J283)&gt;0,1,0)+IF(LEN(K283)&gt;0,1,0)+IF(LEN(N283)&gt;0,1,0)+IF(LEN(O283)&gt;0,1,0)+IF(LEN(W283)&gt;0,1,0)+IF(LEN(X283)&gt;0,1,0)+IF(LEN(Y283)&gt;0,1,0)+IF(LEN(AG283)&gt;0,1,0)+IF(LEN(AI283)&gt;0,1,0)+IF(LEN(AJ283)&gt;0,1,0)+IF(LEN(AK283)&gt;0,1,0)+IF(LEN(AL283)&gt;0,1,0)+IF(LEN(AU283)&gt;0,1,0)+IF(LEN(BF283)&gt;0,1,0)+IF(LEN(BS283)&gt;0,1,0))/21,2))</f>
        <v/>
      </c>
      <c r="BY283" s="10" t="str">
        <f aca="false">IF(D283="","",IF(AND(AJ283="Approved",ISERROR(SEARCH("FAIL",BC283))),"Y","N"))</f>
        <v/>
      </c>
      <c r="BZ283" s="10" t="str">
        <f aca="false">IF(D283="","",D283&amp;"|"&amp;F283&amp;"|"&amp;G283&amp;"|"&amp;BY283)</f>
        <v/>
      </c>
    </row>
    <row r="284" customFormat="false" ht="15" hidden="false" customHeight="false" outlineLevel="0" collapsed="false">
      <c r="A284" s="10" t="str">
        <f aca="false">IF(D284="","","LKW-"&amp;IFERROR(VLOOKUP(D284,Lists!$AQ$4:$AR$17,2,0),"??")&amp;"-W"&amp;TEXT(F284*1000,"0000")&amp;"-H"&amp;TEXT(G284*1000,"0000")&amp;"-B"&amp;TEXT(H284*1000,"0000")&amp;"-"&amp;AI284)</f>
        <v/>
      </c>
      <c r="B284" s="10" t="str">
        <f aca="false">IF(D284="","",D284&amp;", "&amp;F284&amp;" m wide, "&amp;G284&amp;" m headroom, "&amp;H284&amp;" m bays, "&amp;I284&amp;" ("&amp;E284&amp;")")</f>
        <v/>
      </c>
      <c r="C284" s="9"/>
      <c r="D284" s="9"/>
      <c r="E284" s="9"/>
      <c r="F284" s="42"/>
      <c r="G284" s="42"/>
      <c r="H284" s="42"/>
      <c r="I284" s="9"/>
      <c r="J284" s="9"/>
      <c r="K284" s="9"/>
      <c r="L284" s="9"/>
      <c r="M284" s="9"/>
      <c r="N284" s="9"/>
      <c r="O284" s="9"/>
      <c r="P284" s="9"/>
      <c r="Q284" s="9"/>
      <c r="R284" s="9"/>
      <c r="S284" s="42"/>
      <c r="T284" s="9"/>
      <c r="U284" s="9"/>
      <c r="V284" s="9"/>
      <c r="W284" s="38"/>
      <c r="X284" s="42"/>
      <c r="Y284" s="9"/>
      <c r="Z284" s="9"/>
      <c r="AA284" s="9"/>
      <c r="AB284" s="42"/>
      <c r="AC284" s="9"/>
      <c r="AD284" s="38"/>
      <c r="AE284" s="9"/>
      <c r="AF284" s="39"/>
      <c r="AG284" s="9"/>
      <c r="AH284" s="9"/>
      <c r="AI284" s="9"/>
      <c r="AJ284" s="9"/>
      <c r="AK284" s="9"/>
      <c r="AL284" s="9"/>
      <c r="AM284" s="9"/>
      <c r="AN284" s="10" t="str">
        <f aca="false">IF(A284="","",SG_Criteria!$B$6&amp;SG_Criteria!$B$12&amp;"\"&amp;A284&amp;"\")</f>
        <v/>
      </c>
      <c r="AO284" s="10" t="str">
        <f aca="false">IF(A284="","",A284&amp;"_CAD.dwg")</f>
        <v/>
      </c>
      <c r="AP284" s="10" t="str">
        <f aca="false">IF(A284="","",A284&amp;"_DWG.pdf")</f>
        <v/>
      </c>
      <c r="AQ284" s="10" t="str">
        <f aca="false">IF(A284="","",IF(AM284="Y",A284&amp;"_STAAD.std","n/a"))</f>
        <v/>
      </c>
      <c r="AR284" s="10" t="str">
        <f aca="false">IF(A284="","",A284&amp;"_CALC.xlsx")</f>
        <v/>
      </c>
      <c r="AS284" s="10" t="str">
        <f aca="false">IF(A284="","",A284&amp;"_CALC.pdf")</f>
        <v/>
      </c>
      <c r="AT284" s="9"/>
      <c r="AU284" s="9"/>
      <c r="AV284" s="39"/>
      <c r="AW284" s="39"/>
      <c r="AX284" s="39"/>
      <c r="AY284" s="39"/>
      <c r="AZ284" s="39"/>
      <c r="BA284" s="12" t="str">
        <f aca="false">IF(A284="","",IF(COUNTIF(Rebar_Schedule!$A$5:$A$2004,A284)=0,"",ROUND(SUMIF(Rebar_Schedule!$A$5:$A$2004,A284,Rebar_Schedule!$K$5:$K$2004),1)))</f>
        <v/>
      </c>
      <c r="BB284" s="33" t="str">
        <f aca="false">IF(A284="","",IF(BA284="","No rebar schedule yet",IF(ABS(BA284-N(AW284))/MAX(N(AW284),1)&gt;SG_Criteria!$B$55,"NOTE: register rebar differs from schedule by "&amp;TEXT(ABS(BA284-N(AW284))/MAX(N(AW284),1),"0%"),"OK")))</f>
        <v/>
      </c>
      <c r="BC284" s="33" t="str">
        <f aca="false">IF(D284="","",IF(LEN(IF(AND(D284&lt;&gt;"High Covered Linkway",G284&lt;SG_Criteria!$B$46),"FAIL: headroom below "&amp;SG_Criteria!$B$46&amp;" m. ","")&amp;IF(AND(D284="High Covered Linkway",G284&lt;SG_Criteria!$B$47),"FAIL: high linkway headroom below "&amp;SG_Criteria!$B$47&amp;" m. ","")&amp;IF(F284&lt;SG_Criteria!$B$48,"FAIL: roof width below "&amp;SG_Criteria!$B$48&amp;" m. ",IF(F284&lt;SG_Criteria!$B$49,"NOTE: not for MRT/LRT or high-traffic routes (min "&amp;SG_Criteria!$B$49&amp;" m). ",""))&amp;IF(AND(W284&lt;&gt;"",W284&lt;SG_Criteria!$B$50),"FAIL: wind speed below "&amp;SG_Criteria!$B$50&amp;" m/s. ","")&amp;IF(AND(X284&lt;&gt;"",X284&lt;SG_Criteria!$B$51),"FAIL: roof fixing pull-out below "&amp;SG_Criteria!$B$51&amp;" kN. ","")&amp;IF(AND(Y284&lt;&gt;"",IFERROR(VALUE(MID(Y284,2,2)),0)&lt;SG_Criteria!$B$52),"FAIL: grade below C"&amp;SG_Criteria!$B$52&amp;". ","")&amp;IF(E284="Non-standard (project design)","NOTE: not an SDRE standard, needs LTA acceptance. ",""))=0,"OK",IF(AND(D284&lt;&gt;"High Covered Linkway",G284&lt;SG_Criteria!$B$46),"FAIL: headroom below "&amp;SG_Criteria!$B$46&amp;" m. ","")&amp;IF(AND(D284="High Covered Linkway",G284&lt;SG_Criteria!$B$47),"FAIL: high linkway headroom below "&amp;SG_Criteria!$B$47&amp;" m. ","")&amp;IF(F284&lt;SG_Criteria!$B$48,"FAIL: roof width below "&amp;SG_Criteria!$B$48&amp;" m. ",IF(F284&lt;SG_Criteria!$B$49,"NOTE: not for MRT/LRT or high-traffic routes (min "&amp;SG_Criteria!$B$49&amp;" m). ",""))&amp;IF(AND(W284&lt;&gt;"",W284&lt;SG_Criteria!$B$50),"FAIL: wind speed below "&amp;SG_Criteria!$B$50&amp;" m/s. ","")&amp;IF(AND(X284&lt;&gt;"",X284&lt;SG_Criteria!$B$51),"FAIL: roof fixing pull-out below "&amp;SG_Criteria!$B$51&amp;" kN. ","")&amp;IF(AND(Y284&lt;&gt;"",IFERROR(VALUE(MID(Y284,2,2)),0)&lt;SG_Criteria!$B$52),"FAIL: grade below C"&amp;SG_Criteria!$B$52&amp;". ","")&amp;IF(E284="Non-standard (project design)","NOTE: not an SDRE standard, needs LTA acceptance. ","")))</f>
        <v/>
      </c>
      <c r="BD284" s="9"/>
      <c r="BE284" s="9"/>
      <c r="BF284" s="9"/>
      <c r="BG284" s="10" t="str">
        <f aca="false">IF(BF284="","",IFERROR(VLOOKUP(BF284,Projects!$A$5:$D$504,2,0),"Ref not in Projects"))</f>
        <v/>
      </c>
      <c r="BH284" s="10" t="str">
        <f aca="false">IF(BF284="","",IFERROR(VLOOKUP(BF284,Projects!$A$5:$D$504,4,0),"Ref not in Projects"))</f>
        <v/>
      </c>
      <c r="BI284" s="9"/>
      <c r="BJ284" s="9"/>
      <c r="BK284" s="9"/>
      <c r="BL284" s="40"/>
      <c r="BM284" s="9"/>
      <c r="BN284" s="40"/>
      <c r="BO284" s="9"/>
      <c r="BP284" s="40"/>
      <c r="BQ284" s="9"/>
      <c r="BR284" s="9"/>
      <c r="BS284" s="9"/>
      <c r="BT284" s="40"/>
      <c r="BU284" s="40"/>
      <c r="BV284" s="36" t="str">
        <f aca="false">IF(BU284="","",EDATE(BU284,SG_Criteria!$B$54*12))</f>
        <v/>
      </c>
      <c r="BW284" s="33" t="str">
        <f aca="true">IF(A284="","",IF(BU284="","NOTE: not reviewed yet",IF(TODAY()&gt;BV284,"NOTE: review overdue","OK")))</f>
        <v/>
      </c>
      <c r="BX284" s="37" t="str">
        <f aca="false">IF(A284="","",ROUND((IF(LEN(D284)&gt;0,1,0)+IF(LEN(E284)&gt;0,1,0)+IF(LEN(F284)&gt;0,1,0)+IF(LEN(G284)&gt;0,1,0)+IF(LEN(H284)&gt;0,1,0)+IF(LEN(I284)&gt;0,1,0)+IF(LEN(J284)&gt;0,1,0)+IF(LEN(K284)&gt;0,1,0)+IF(LEN(N284)&gt;0,1,0)+IF(LEN(O284)&gt;0,1,0)+IF(LEN(W284)&gt;0,1,0)+IF(LEN(X284)&gt;0,1,0)+IF(LEN(Y284)&gt;0,1,0)+IF(LEN(AG284)&gt;0,1,0)+IF(LEN(AI284)&gt;0,1,0)+IF(LEN(AJ284)&gt;0,1,0)+IF(LEN(AK284)&gt;0,1,0)+IF(LEN(AL284)&gt;0,1,0)+IF(LEN(AU284)&gt;0,1,0)+IF(LEN(BF284)&gt;0,1,0)+IF(LEN(BS284)&gt;0,1,0))/21,2))</f>
        <v/>
      </c>
      <c r="BY284" s="10" t="str">
        <f aca="false">IF(D284="","",IF(AND(AJ284="Approved",ISERROR(SEARCH("FAIL",BC284))),"Y","N"))</f>
        <v/>
      </c>
      <c r="BZ284" s="10" t="str">
        <f aca="false">IF(D284="","",D284&amp;"|"&amp;F284&amp;"|"&amp;G284&amp;"|"&amp;BY284)</f>
        <v/>
      </c>
    </row>
    <row r="285" customFormat="false" ht="15" hidden="false" customHeight="false" outlineLevel="0" collapsed="false">
      <c r="A285" s="10" t="str">
        <f aca="false">IF(D285="","","LKW-"&amp;IFERROR(VLOOKUP(D285,Lists!$AQ$4:$AR$17,2,0),"??")&amp;"-W"&amp;TEXT(F285*1000,"0000")&amp;"-H"&amp;TEXT(G285*1000,"0000")&amp;"-B"&amp;TEXT(H285*1000,"0000")&amp;"-"&amp;AI285)</f>
        <v/>
      </c>
      <c r="B285" s="10" t="str">
        <f aca="false">IF(D285="","",D285&amp;", "&amp;F285&amp;" m wide, "&amp;G285&amp;" m headroom, "&amp;H285&amp;" m bays, "&amp;I285&amp;" ("&amp;E285&amp;")")</f>
        <v/>
      </c>
      <c r="C285" s="9"/>
      <c r="D285" s="9"/>
      <c r="E285" s="9"/>
      <c r="F285" s="42"/>
      <c r="G285" s="42"/>
      <c r="H285" s="42"/>
      <c r="I285" s="9"/>
      <c r="J285" s="9"/>
      <c r="K285" s="9"/>
      <c r="L285" s="9"/>
      <c r="M285" s="9"/>
      <c r="N285" s="9"/>
      <c r="O285" s="9"/>
      <c r="P285" s="9"/>
      <c r="Q285" s="9"/>
      <c r="R285" s="9"/>
      <c r="S285" s="42"/>
      <c r="T285" s="9"/>
      <c r="U285" s="9"/>
      <c r="V285" s="9"/>
      <c r="W285" s="38"/>
      <c r="X285" s="42"/>
      <c r="Y285" s="9"/>
      <c r="Z285" s="9"/>
      <c r="AA285" s="9"/>
      <c r="AB285" s="42"/>
      <c r="AC285" s="9"/>
      <c r="AD285" s="38"/>
      <c r="AE285" s="9"/>
      <c r="AF285" s="39"/>
      <c r="AG285" s="9"/>
      <c r="AH285" s="9"/>
      <c r="AI285" s="9"/>
      <c r="AJ285" s="9"/>
      <c r="AK285" s="9"/>
      <c r="AL285" s="9"/>
      <c r="AM285" s="9"/>
      <c r="AN285" s="10" t="str">
        <f aca="false">IF(A285="","",SG_Criteria!$B$6&amp;SG_Criteria!$B$12&amp;"\"&amp;A285&amp;"\")</f>
        <v/>
      </c>
      <c r="AO285" s="10" t="str">
        <f aca="false">IF(A285="","",A285&amp;"_CAD.dwg")</f>
        <v/>
      </c>
      <c r="AP285" s="10" t="str">
        <f aca="false">IF(A285="","",A285&amp;"_DWG.pdf")</f>
        <v/>
      </c>
      <c r="AQ285" s="10" t="str">
        <f aca="false">IF(A285="","",IF(AM285="Y",A285&amp;"_STAAD.std","n/a"))</f>
        <v/>
      </c>
      <c r="AR285" s="10" t="str">
        <f aca="false">IF(A285="","",A285&amp;"_CALC.xlsx")</f>
        <v/>
      </c>
      <c r="AS285" s="10" t="str">
        <f aca="false">IF(A285="","",A285&amp;"_CALC.pdf")</f>
        <v/>
      </c>
      <c r="AT285" s="9"/>
      <c r="AU285" s="9"/>
      <c r="AV285" s="39"/>
      <c r="AW285" s="39"/>
      <c r="AX285" s="39"/>
      <c r="AY285" s="39"/>
      <c r="AZ285" s="39"/>
      <c r="BA285" s="12" t="str">
        <f aca="false">IF(A285="","",IF(COUNTIF(Rebar_Schedule!$A$5:$A$2004,A285)=0,"",ROUND(SUMIF(Rebar_Schedule!$A$5:$A$2004,A285,Rebar_Schedule!$K$5:$K$2004),1)))</f>
        <v/>
      </c>
      <c r="BB285" s="33" t="str">
        <f aca="false">IF(A285="","",IF(BA285="","No rebar schedule yet",IF(ABS(BA285-N(AW285))/MAX(N(AW285),1)&gt;SG_Criteria!$B$55,"NOTE: register rebar differs from schedule by "&amp;TEXT(ABS(BA285-N(AW285))/MAX(N(AW285),1),"0%"),"OK")))</f>
        <v/>
      </c>
      <c r="BC285" s="33" t="str">
        <f aca="false">IF(D285="","",IF(LEN(IF(AND(D285&lt;&gt;"High Covered Linkway",G285&lt;SG_Criteria!$B$46),"FAIL: headroom below "&amp;SG_Criteria!$B$46&amp;" m. ","")&amp;IF(AND(D285="High Covered Linkway",G285&lt;SG_Criteria!$B$47),"FAIL: high linkway headroom below "&amp;SG_Criteria!$B$47&amp;" m. ","")&amp;IF(F285&lt;SG_Criteria!$B$48,"FAIL: roof width below "&amp;SG_Criteria!$B$48&amp;" m. ",IF(F285&lt;SG_Criteria!$B$49,"NOTE: not for MRT/LRT or high-traffic routes (min "&amp;SG_Criteria!$B$49&amp;" m). ",""))&amp;IF(AND(W285&lt;&gt;"",W285&lt;SG_Criteria!$B$50),"FAIL: wind speed below "&amp;SG_Criteria!$B$50&amp;" m/s. ","")&amp;IF(AND(X285&lt;&gt;"",X285&lt;SG_Criteria!$B$51),"FAIL: roof fixing pull-out below "&amp;SG_Criteria!$B$51&amp;" kN. ","")&amp;IF(AND(Y285&lt;&gt;"",IFERROR(VALUE(MID(Y285,2,2)),0)&lt;SG_Criteria!$B$52),"FAIL: grade below C"&amp;SG_Criteria!$B$52&amp;". ","")&amp;IF(E285="Non-standard (project design)","NOTE: not an SDRE standard, needs LTA acceptance. ",""))=0,"OK",IF(AND(D285&lt;&gt;"High Covered Linkway",G285&lt;SG_Criteria!$B$46),"FAIL: headroom below "&amp;SG_Criteria!$B$46&amp;" m. ","")&amp;IF(AND(D285="High Covered Linkway",G285&lt;SG_Criteria!$B$47),"FAIL: high linkway headroom below "&amp;SG_Criteria!$B$47&amp;" m. ","")&amp;IF(F285&lt;SG_Criteria!$B$48,"FAIL: roof width below "&amp;SG_Criteria!$B$48&amp;" m. ",IF(F285&lt;SG_Criteria!$B$49,"NOTE: not for MRT/LRT or high-traffic routes (min "&amp;SG_Criteria!$B$49&amp;" m). ",""))&amp;IF(AND(W285&lt;&gt;"",W285&lt;SG_Criteria!$B$50),"FAIL: wind speed below "&amp;SG_Criteria!$B$50&amp;" m/s. ","")&amp;IF(AND(X285&lt;&gt;"",X285&lt;SG_Criteria!$B$51),"FAIL: roof fixing pull-out below "&amp;SG_Criteria!$B$51&amp;" kN. ","")&amp;IF(AND(Y285&lt;&gt;"",IFERROR(VALUE(MID(Y285,2,2)),0)&lt;SG_Criteria!$B$52),"FAIL: grade below C"&amp;SG_Criteria!$B$52&amp;". ","")&amp;IF(E285="Non-standard (project design)","NOTE: not an SDRE standard, needs LTA acceptance. ","")))</f>
        <v/>
      </c>
      <c r="BD285" s="9"/>
      <c r="BE285" s="9"/>
      <c r="BF285" s="9"/>
      <c r="BG285" s="10" t="str">
        <f aca="false">IF(BF285="","",IFERROR(VLOOKUP(BF285,Projects!$A$5:$D$504,2,0),"Ref not in Projects"))</f>
        <v/>
      </c>
      <c r="BH285" s="10" t="str">
        <f aca="false">IF(BF285="","",IFERROR(VLOOKUP(BF285,Projects!$A$5:$D$504,4,0),"Ref not in Projects"))</f>
        <v/>
      </c>
      <c r="BI285" s="9"/>
      <c r="BJ285" s="9"/>
      <c r="BK285" s="9"/>
      <c r="BL285" s="40"/>
      <c r="BM285" s="9"/>
      <c r="BN285" s="40"/>
      <c r="BO285" s="9"/>
      <c r="BP285" s="40"/>
      <c r="BQ285" s="9"/>
      <c r="BR285" s="9"/>
      <c r="BS285" s="9"/>
      <c r="BT285" s="40"/>
      <c r="BU285" s="40"/>
      <c r="BV285" s="36" t="str">
        <f aca="false">IF(BU285="","",EDATE(BU285,SG_Criteria!$B$54*12))</f>
        <v/>
      </c>
      <c r="BW285" s="33" t="str">
        <f aca="true">IF(A285="","",IF(BU285="","NOTE: not reviewed yet",IF(TODAY()&gt;BV285,"NOTE: review overdue","OK")))</f>
        <v/>
      </c>
      <c r="BX285" s="37" t="str">
        <f aca="false">IF(A285="","",ROUND((IF(LEN(D285)&gt;0,1,0)+IF(LEN(E285)&gt;0,1,0)+IF(LEN(F285)&gt;0,1,0)+IF(LEN(G285)&gt;0,1,0)+IF(LEN(H285)&gt;0,1,0)+IF(LEN(I285)&gt;0,1,0)+IF(LEN(J285)&gt;0,1,0)+IF(LEN(K285)&gt;0,1,0)+IF(LEN(N285)&gt;0,1,0)+IF(LEN(O285)&gt;0,1,0)+IF(LEN(W285)&gt;0,1,0)+IF(LEN(X285)&gt;0,1,0)+IF(LEN(Y285)&gt;0,1,0)+IF(LEN(AG285)&gt;0,1,0)+IF(LEN(AI285)&gt;0,1,0)+IF(LEN(AJ285)&gt;0,1,0)+IF(LEN(AK285)&gt;0,1,0)+IF(LEN(AL285)&gt;0,1,0)+IF(LEN(AU285)&gt;0,1,0)+IF(LEN(BF285)&gt;0,1,0)+IF(LEN(BS285)&gt;0,1,0))/21,2))</f>
        <v/>
      </c>
      <c r="BY285" s="10" t="str">
        <f aca="false">IF(D285="","",IF(AND(AJ285="Approved",ISERROR(SEARCH("FAIL",BC285))),"Y","N"))</f>
        <v/>
      </c>
      <c r="BZ285" s="10" t="str">
        <f aca="false">IF(D285="","",D285&amp;"|"&amp;F285&amp;"|"&amp;G285&amp;"|"&amp;BY285)</f>
        <v/>
      </c>
    </row>
    <row r="286" customFormat="false" ht="15" hidden="false" customHeight="false" outlineLevel="0" collapsed="false">
      <c r="A286" s="10" t="str">
        <f aca="false">IF(D286="","","LKW-"&amp;IFERROR(VLOOKUP(D286,Lists!$AQ$4:$AR$17,2,0),"??")&amp;"-W"&amp;TEXT(F286*1000,"0000")&amp;"-H"&amp;TEXT(G286*1000,"0000")&amp;"-B"&amp;TEXT(H286*1000,"0000")&amp;"-"&amp;AI286)</f>
        <v/>
      </c>
      <c r="B286" s="10" t="str">
        <f aca="false">IF(D286="","",D286&amp;", "&amp;F286&amp;" m wide, "&amp;G286&amp;" m headroom, "&amp;H286&amp;" m bays, "&amp;I286&amp;" ("&amp;E286&amp;")")</f>
        <v/>
      </c>
      <c r="C286" s="9"/>
      <c r="D286" s="9"/>
      <c r="E286" s="9"/>
      <c r="F286" s="42"/>
      <c r="G286" s="42"/>
      <c r="H286" s="42"/>
      <c r="I286" s="9"/>
      <c r="J286" s="9"/>
      <c r="K286" s="9"/>
      <c r="L286" s="9"/>
      <c r="M286" s="9"/>
      <c r="N286" s="9"/>
      <c r="O286" s="9"/>
      <c r="P286" s="9"/>
      <c r="Q286" s="9"/>
      <c r="R286" s="9"/>
      <c r="S286" s="42"/>
      <c r="T286" s="9"/>
      <c r="U286" s="9"/>
      <c r="V286" s="9"/>
      <c r="W286" s="38"/>
      <c r="X286" s="42"/>
      <c r="Y286" s="9"/>
      <c r="Z286" s="9"/>
      <c r="AA286" s="9"/>
      <c r="AB286" s="42"/>
      <c r="AC286" s="9"/>
      <c r="AD286" s="38"/>
      <c r="AE286" s="9"/>
      <c r="AF286" s="39"/>
      <c r="AG286" s="9"/>
      <c r="AH286" s="9"/>
      <c r="AI286" s="9"/>
      <c r="AJ286" s="9"/>
      <c r="AK286" s="9"/>
      <c r="AL286" s="9"/>
      <c r="AM286" s="9"/>
      <c r="AN286" s="10" t="str">
        <f aca="false">IF(A286="","",SG_Criteria!$B$6&amp;SG_Criteria!$B$12&amp;"\"&amp;A286&amp;"\")</f>
        <v/>
      </c>
      <c r="AO286" s="10" t="str">
        <f aca="false">IF(A286="","",A286&amp;"_CAD.dwg")</f>
        <v/>
      </c>
      <c r="AP286" s="10" t="str">
        <f aca="false">IF(A286="","",A286&amp;"_DWG.pdf")</f>
        <v/>
      </c>
      <c r="AQ286" s="10" t="str">
        <f aca="false">IF(A286="","",IF(AM286="Y",A286&amp;"_STAAD.std","n/a"))</f>
        <v/>
      </c>
      <c r="AR286" s="10" t="str">
        <f aca="false">IF(A286="","",A286&amp;"_CALC.xlsx")</f>
        <v/>
      </c>
      <c r="AS286" s="10" t="str">
        <f aca="false">IF(A286="","",A286&amp;"_CALC.pdf")</f>
        <v/>
      </c>
      <c r="AT286" s="9"/>
      <c r="AU286" s="9"/>
      <c r="AV286" s="39"/>
      <c r="AW286" s="39"/>
      <c r="AX286" s="39"/>
      <c r="AY286" s="39"/>
      <c r="AZ286" s="39"/>
      <c r="BA286" s="12" t="str">
        <f aca="false">IF(A286="","",IF(COUNTIF(Rebar_Schedule!$A$5:$A$2004,A286)=0,"",ROUND(SUMIF(Rebar_Schedule!$A$5:$A$2004,A286,Rebar_Schedule!$K$5:$K$2004),1)))</f>
        <v/>
      </c>
      <c r="BB286" s="33" t="str">
        <f aca="false">IF(A286="","",IF(BA286="","No rebar schedule yet",IF(ABS(BA286-N(AW286))/MAX(N(AW286),1)&gt;SG_Criteria!$B$55,"NOTE: register rebar differs from schedule by "&amp;TEXT(ABS(BA286-N(AW286))/MAX(N(AW286),1),"0%"),"OK")))</f>
        <v/>
      </c>
      <c r="BC286" s="33" t="str">
        <f aca="false">IF(D286="","",IF(LEN(IF(AND(D286&lt;&gt;"High Covered Linkway",G286&lt;SG_Criteria!$B$46),"FAIL: headroom below "&amp;SG_Criteria!$B$46&amp;" m. ","")&amp;IF(AND(D286="High Covered Linkway",G286&lt;SG_Criteria!$B$47),"FAIL: high linkway headroom below "&amp;SG_Criteria!$B$47&amp;" m. ","")&amp;IF(F286&lt;SG_Criteria!$B$48,"FAIL: roof width below "&amp;SG_Criteria!$B$48&amp;" m. ",IF(F286&lt;SG_Criteria!$B$49,"NOTE: not for MRT/LRT or high-traffic routes (min "&amp;SG_Criteria!$B$49&amp;" m). ",""))&amp;IF(AND(W286&lt;&gt;"",W286&lt;SG_Criteria!$B$50),"FAIL: wind speed below "&amp;SG_Criteria!$B$50&amp;" m/s. ","")&amp;IF(AND(X286&lt;&gt;"",X286&lt;SG_Criteria!$B$51),"FAIL: roof fixing pull-out below "&amp;SG_Criteria!$B$51&amp;" kN. ","")&amp;IF(AND(Y286&lt;&gt;"",IFERROR(VALUE(MID(Y286,2,2)),0)&lt;SG_Criteria!$B$52),"FAIL: grade below C"&amp;SG_Criteria!$B$52&amp;". ","")&amp;IF(E286="Non-standard (project design)","NOTE: not an SDRE standard, needs LTA acceptance. ",""))=0,"OK",IF(AND(D286&lt;&gt;"High Covered Linkway",G286&lt;SG_Criteria!$B$46),"FAIL: headroom below "&amp;SG_Criteria!$B$46&amp;" m. ","")&amp;IF(AND(D286="High Covered Linkway",G286&lt;SG_Criteria!$B$47),"FAIL: high linkway headroom below "&amp;SG_Criteria!$B$47&amp;" m. ","")&amp;IF(F286&lt;SG_Criteria!$B$48,"FAIL: roof width below "&amp;SG_Criteria!$B$48&amp;" m. ",IF(F286&lt;SG_Criteria!$B$49,"NOTE: not for MRT/LRT or high-traffic routes (min "&amp;SG_Criteria!$B$49&amp;" m). ",""))&amp;IF(AND(W286&lt;&gt;"",W286&lt;SG_Criteria!$B$50),"FAIL: wind speed below "&amp;SG_Criteria!$B$50&amp;" m/s. ","")&amp;IF(AND(X286&lt;&gt;"",X286&lt;SG_Criteria!$B$51),"FAIL: roof fixing pull-out below "&amp;SG_Criteria!$B$51&amp;" kN. ","")&amp;IF(AND(Y286&lt;&gt;"",IFERROR(VALUE(MID(Y286,2,2)),0)&lt;SG_Criteria!$B$52),"FAIL: grade below C"&amp;SG_Criteria!$B$52&amp;". ","")&amp;IF(E286="Non-standard (project design)","NOTE: not an SDRE standard, needs LTA acceptance. ","")))</f>
        <v/>
      </c>
      <c r="BD286" s="9"/>
      <c r="BE286" s="9"/>
      <c r="BF286" s="9"/>
      <c r="BG286" s="10" t="str">
        <f aca="false">IF(BF286="","",IFERROR(VLOOKUP(BF286,Projects!$A$5:$D$504,2,0),"Ref not in Projects"))</f>
        <v/>
      </c>
      <c r="BH286" s="10" t="str">
        <f aca="false">IF(BF286="","",IFERROR(VLOOKUP(BF286,Projects!$A$5:$D$504,4,0),"Ref not in Projects"))</f>
        <v/>
      </c>
      <c r="BI286" s="9"/>
      <c r="BJ286" s="9"/>
      <c r="BK286" s="9"/>
      <c r="BL286" s="40"/>
      <c r="BM286" s="9"/>
      <c r="BN286" s="40"/>
      <c r="BO286" s="9"/>
      <c r="BP286" s="40"/>
      <c r="BQ286" s="9"/>
      <c r="BR286" s="9"/>
      <c r="BS286" s="9"/>
      <c r="BT286" s="40"/>
      <c r="BU286" s="40"/>
      <c r="BV286" s="36" t="str">
        <f aca="false">IF(BU286="","",EDATE(BU286,SG_Criteria!$B$54*12))</f>
        <v/>
      </c>
      <c r="BW286" s="33" t="str">
        <f aca="true">IF(A286="","",IF(BU286="","NOTE: not reviewed yet",IF(TODAY()&gt;BV286,"NOTE: review overdue","OK")))</f>
        <v/>
      </c>
      <c r="BX286" s="37" t="str">
        <f aca="false">IF(A286="","",ROUND((IF(LEN(D286)&gt;0,1,0)+IF(LEN(E286)&gt;0,1,0)+IF(LEN(F286)&gt;0,1,0)+IF(LEN(G286)&gt;0,1,0)+IF(LEN(H286)&gt;0,1,0)+IF(LEN(I286)&gt;0,1,0)+IF(LEN(J286)&gt;0,1,0)+IF(LEN(K286)&gt;0,1,0)+IF(LEN(N286)&gt;0,1,0)+IF(LEN(O286)&gt;0,1,0)+IF(LEN(W286)&gt;0,1,0)+IF(LEN(X286)&gt;0,1,0)+IF(LEN(Y286)&gt;0,1,0)+IF(LEN(AG286)&gt;0,1,0)+IF(LEN(AI286)&gt;0,1,0)+IF(LEN(AJ286)&gt;0,1,0)+IF(LEN(AK286)&gt;0,1,0)+IF(LEN(AL286)&gt;0,1,0)+IF(LEN(AU286)&gt;0,1,0)+IF(LEN(BF286)&gt;0,1,0)+IF(LEN(BS286)&gt;0,1,0))/21,2))</f>
        <v/>
      </c>
      <c r="BY286" s="10" t="str">
        <f aca="false">IF(D286="","",IF(AND(AJ286="Approved",ISERROR(SEARCH("FAIL",BC286))),"Y","N"))</f>
        <v/>
      </c>
      <c r="BZ286" s="10" t="str">
        <f aca="false">IF(D286="","",D286&amp;"|"&amp;F286&amp;"|"&amp;G286&amp;"|"&amp;BY286)</f>
        <v/>
      </c>
    </row>
    <row r="287" customFormat="false" ht="15" hidden="false" customHeight="false" outlineLevel="0" collapsed="false">
      <c r="A287" s="10" t="str">
        <f aca="false">IF(D287="","","LKW-"&amp;IFERROR(VLOOKUP(D287,Lists!$AQ$4:$AR$17,2,0),"??")&amp;"-W"&amp;TEXT(F287*1000,"0000")&amp;"-H"&amp;TEXT(G287*1000,"0000")&amp;"-B"&amp;TEXT(H287*1000,"0000")&amp;"-"&amp;AI287)</f>
        <v/>
      </c>
      <c r="B287" s="10" t="str">
        <f aca="false">IF(D287="","",D287&amp;", "&amp;F287&amp;" m wide, "&amp;G287&amp;" m headroom, "&amp;H287&amp;" m bays, "&amp;I287&amp;" ("&amp;E287&amp;")")</f>
        <v/>
      </c>
      <c r="C287" s="9"/>
      <c r="D287" s="9"/>
      <c r="E287" s="9"/>
      <c r="F287" s="42"/>
      <c r="G287" s="42"/>
      <c r="H287" s="42"/>
      <c r="I287" s="9"/>
      <c r="J287" s="9"/>
      <c r="K287" s="9"/>
      <c r="L287" s="9"/>
      <c r="M287" s="9"/>
      <c r="N287" s="9"/>
      <c r="O287" s="9"/>
      <c r="P287" s="9"/>
      <c r="Q287" s="9"/>
      <c r="R287" s="9"/>
      <c r="S287" s="42"/>
      <c r="T287" s="9"/>
      <c r="U287" s="9"/>
      <c r="V287" s="9"/>
      <c r="W287" s="38"/>
      <c r="X287" s="42"/>
      <c r="Y287" s="9"/>
      <c r="Z287" s="9"/>
      <c r="AA287" s="9"/>
      <c r="AB287" s="42"/>
      <c r="AC287" s="9"/>
      <c r="AD287" s="38"/>
      <c r="AE287" s="9"/>
      <c r="AF287" s="39"/>
      <c r="AG287" s="9"/>
      <c r="AH287" s="9"/>
      <c r="AI287" s="9"/>
      <c r="AJ287" s="9"/>
      <c r="AK287" s="9"/>
      <c r="AL287" s="9"/>
      <c r="AM287" s="9"/>
      <c r="AN287" s="10" t="str">
        <f aca="false">IF(A287="","",SG_Criteria!$B$6&amp;SG_Criteria!$B$12&amp;"\"&amp;A287&amp;"\")</f>
        <v/>
      </c>
      <c r="AO287" s="10" t="str">
        <f aca="false">IF(A287="","",A287&amp;"_CAD.dwg")</f>
        <v/>
      </c>
      <c r="AP287" s="10" t="str">
        <f aca="false">IF(A287="","",A287&amp;"_DWG.pdf")</f>
        <v/>
      </c>
      <c r="AQ287" s="10" t="str">
        <f aca="false">IF(A287="","",IF(AM287="Y",A287&amp;"_STAAD.std","n/a"))</f>
        <v/>
      </c>
      <c r="AR287" s="10" t="str">
        <f aca="false">IF(A287="","",A287&amp;"_CALC.xlsx")</f>
        <v/>
      </c>
      <c r="AS287" s="10" t="str">
        <f aca="false">IF(A287="","",A287&amp;"_CALC.pdf")</f>
        <v/>
      </c>
      <c r="AT287" s="9"/>
      <c r="AU287" s="9"/>
      <c r="AV287" s="39"/>
      <c r="AW287" s="39"/>
      <c r="AX287" s="39"/>
      <c r="AY287" s="39"/>
      <c r="AZ287" s="39"/>
      <c r="BA287" s="12" t="str">
        <f aca="false">IF(A287="","",IF(COUNTIF(Rebar_Schedule!$A$5:$A$2004,A287)=0,"",ROUND(SUMIF(Rebar_Schedule!$A$5:$A$2004,A287,Rebar_Schedule!$K$5:$K$2004),1)))</f>
        <v/>
      </c>
      <c r="BB287" s="33" t="str">
        <f aca="false">IF(A287="","",IF(BA287="","No rebar schedule yet",IF(ABS(BA287-N(AW287))/MAX(N(AW287),1)&gt;SG_Criteria!$B$55,"NOTE: register rebar differs from schedule by "&amp;TEXT(ABS(BA287-N(AW287))/MAX(N(AW287),1),"0%"),"OK")))</f>
        <v/>
      </c>
      <c r="BC287" s="33" t="str">
        <f aca="false">IF(D287="","",IF(LEN(IF(AND(D287&lt;&gt;"High Covered Linkway",G287&lt;SG_Criteria!$B$46),"FAIL: headroom below "&amp;SG_Criteria!$B$46&amp;" m. ","")&amp;IF(AND(D287="High Covered Linkway",G287&lt;SG_Criteria!$B$47),"FAIL: high linkway headroom below "&amp;SG_Criteria!$B$47&amp;" m. ","")&amp;IF(F287&lt;SG_Criteria!$B$48,"FAIL: roof width below "&amp;SG_Criteria!$B$48&amp;" m. ",IF(F287&lt;SG_Criteria!$B$49,"NOTE: not for MRT/LRT or high-traffic routes (min "&amp;SG_Criteria!$B$49&amp;" m). ",""))&amp;IF(AND(W287&lt;&gt;"",W287&lt;SG_Criteria!$B$50),"FAIL: wind speed below "&amp;SG_Criteria!$B$50&amp;" m/s. ","")&amp;IF(AND(X287&lt;&gt;"",X287&lt;SG_Criteria!$B$51),"FAIL: roof fixing pull-out below "&amp;SG_Criteria!$B$51&amp;" kN. ","")&amp;IF(AND(Y287&lt;&gt;"",IFERROR(VALUE(MID(Y287,2,2)),0)&lt;SG_Criteria!$B$52),"FAIL: grade below C"&amp;SG_Criteria!$B$52&amp;". ","")&amp;IF(E287="Non-standard (project design)","NOTE: not an SDRE standard, needs LTA acceptance. ",""))=0,"OK",IF(AND(D287&lt;&gt;"High Covered Linkway",G287&lt;SG_Criteria!$B$46),"FAIL: headroom below "&amp;SG_Criteria!$B$46&amp;" m. ","")&amp;IF(AND(D287="High Covered Linkway",G287&lt;SG_Criteria!$B$47),"FAIL: high linkway headroom below "&amp;SG_Criteria!$B$47&amp;" m. ","")&amp;IF(F287&lt;SG_Criteria!$B$48,"FAIL: roof width below "&amp;SG_Criteria!$B$48&amp;" m. ",IF(F287&lt;SG_Criteria!$B$49,"NOTE: not for MRT/LRT or high-traffic routes (min "&amp;SG_Criteria!$B$49&amp;" m). ",""))&amp;IF(AND(W287&lt;&gt;"",W287&lt;SG_Criteria!$B$50),"FAIL: wind speed below "&amp;SG_Criteria!$B$50&amp;" m/s. ","")&amp;IF(AND(X287&lt;&gt;"",X287&lt;SG_Criteria!$B$51),"FAIL: roof fixing pull-out below "&amp;SG_Criteria!$B$51&amp;" kN. ","")&amp;IF(AND(Y287&lt;&gt;"",IFERROR(VALUE(MID(Y287,2,2)),0)&lt;SG_Criteria!$B$52),"FAIL: grade below C"&amp;SG_Criteria!$B$52&amp;". ","")&amp;IF(E287="Non-standard (project design)","NOTE: not an SDRE standard, needs LTA acceptance. ","")))</f>
        <v/>
      </c>
      <c r="BD287" s="9"/>
      <c r="BE287" s="9"/>
      <c r="BF287" s="9"/>
      <c r="BG287" s="10" t="str">
        <f aca="false">IF(BF287="","",IFERROR(VLOOKUP(BF287,Projects!$A$5:$D$504,2,0),"Ref not in Projects"))</f>
        <v/>
      </c>
      <c r="BH287" s="10" t="str">
        <f aca="false">IF(BF287="","",IFERROR(VLOOKUP(BF287,Projects!$A$5:$D$504,4,0),"Ref not in Projects"))</f>
        <v/>
      </c>
      <c r="BI287" s="9"/>
      <c r="BJ287" s="9"/>
      <c r="BK287" s="9"/>
      <c r="BL287" s="40"/>
      <c r="BM287" s="9"/>
      <c r="BN287" s="40"/>
      <c r="BO287" s="9"/>
      <c r="BP287" s="40"/>
      <c r="BQ287" s="9"/>
      <c r="BR287" s="9"/>
      <c r="BS287" s="9"/>
      <c r="BT287" s="40"/>
      <c r="BU287" s="40"/>
      <c r="BV287" s="36" t="str">
        <f aca="false">IF(BU287="","",EDATE(BU287,SG_Criteria!$B$54*12))</f>
        <v/>
      </c>
      <c r="BW287" s="33" t="str">
        <f aca="true">IF(A287="","",IF(BU287="","NOTE: not reviewed yet",IF(TODAY()&gt;BV287,"NOTE: review overdue","OK")))</f>
        <v/>
      </c>
      <c r="BX287" s="37" t="str">
        <f aca="false">IF(A287="","",ROUND((IF(LEN(D287)&gt;0,1,0)+IF(LEN(E287)&gt;0,1,0)+IF(LEN(F287)&gt;0,1,0)+IF(LEN(G287)&gt;0,1,0)+IF(LEN(H287)&gt;0,1,0)+IF(LEN(I287)&gt;0,1,0)+IF(LEN(J287)&gt;0,1,0)+IF(LEN(K287)&gt;0,1,0)+IF(LEN(N287)&gt;0,1,0)+IF(LEN(O287)&gt;0,1,0)+IF(LEN(W287)&gt;0,1,0)+IF(LEN(X287)&gt;0,1,0)+IF(LEN(Y287)&gt;0,1,0)+IF(LEN(AG287)&gt;0,1,0)+IF(LEN(AI287)&gt;0,1,0)+IF(LEN(AJ287)&gt;0,1,0)+IF(LEN(AK287)&gt;0,1,0)+IF(LEN(AL287)&gt;0,1,0)+IF(LEN(AU287)&gt;0,1,0)+IF(LEN(BF287)&gt;0,1,0)+IF(LEN(BS287)&gt;0,1,0))/21,2))</f>
        <v/>
      </c>
      <c r="BY287" s="10" t="str">
        <f aca="false">IF(D287="","",IF(AND(AJ287="Approved",ISERROR(SEARCH("FAIL",BC287))),"Y","N"))</f>
        <v/>
      </c>
      <c r="BZ287" s="10" t="str">
        <f aca="false">IF(D287="","",D287&amp;"|"&amp;F287&amp;"|"&amp;G287&amp;"|"&amp;BY287)</f>
        <v/>
      </c>
    </row>
    <row r="288" customFormat="false" ht="15" hidden="false" customHeight="false" outlineLevel="0" collapsed="false">
      <c r="A288" s="10" t="str">
        <f aca="false">IF(D288="","","LKW-"&amp;IFERROR(VLOOKUP(D288,Lists!$AQ$4:$AR$17,2,0),"??")&amp;"-W"&amp;TEXT(F288*1000,"0000")&amp;"-H"&amp;TEXT(G288*1000,"0000")&amp;"-B"&amp;TEXT(H288*1000,"0000")&amp;"-"&amp;AI288)</f>
        <v/>
      </c>
      <c r="B288" s="10" t="str">
        <f aca="false">IF(D288="","",D288&amp;", "&amp;F288&amp;" m wide, "&amp;G288&amp;" m headroom, "&amp;H288&amp;" m bays, "&amp;I288&amp;" ("&amp;E288&amp;")")</f>
        <v/>
      </c>
      <c r="C288" s="9"/>
      <c r="D288" s="9"/>
      <c r="E288" s="9"/>
      <c r="F288" s="42"/>
      <c r="G288" s="42"/>
      <c r="H288" s="42"/>
      <c r="I288" s="9"/>
      <c r="J288" s="9"/>
      <c r="K288" s="9"/>
      <c r="L288" s="9"/>
      <c r="M288" s="9"/>
      <c r="N288" s="9"/>
      <c r="O288" s="9"/>
      <c r="P288" s="9"/>
      <c r="Q288" s="9"/>
      <c r="R288" s="9"/>
      <c r="S288" s="42"/>
      <c r="T288" s="9"/>
      <c r="U288" s="9"/>
      <c r="V288" s="9"/>
      <c r="W288" s="38"/>
      <c r="X288" s="42"/>
      <c r="Y288" s="9"/>
      <c r="Z288" s="9"/>
      <c r="AA288" s="9"/>
      <c r="AB288" s="42"/>
      <c r="AC288" s="9"/>
      <c r="AD288" s="38"/>
      <c r="AE288" s="9"/>
      <c r="AF288" s="39"/>
      <c r="AG288" s="9"/>
      <c r="AH288" s="9"/>
      <c r="AI288" s="9"/>
      <c r="AJ288" s="9"/>
      <c r="AK288" s="9"/>
      <c r="AL288" s="9"/>
      <c r="AM288" s="9"/>
      <c r="AN288" s="10" t="str">
        <f aca="false">IF(A288="","",SG_Criteria!$B$6&amp;SG_Criteria!$B$12&amp;"\"&amp;A288&amp;"\")</f>
        <v/>
      </c>
      <c r="AO288" s="10" t="str">
        <f aca="false">IF(A288="","",A288&amp;"_CAD.dwg")</f>
        <v/>
      </c>
      <c r="AP288" s="10" t="str">
        <f aca="false">IF(A288="","",A288&amp;"_DWG.pdf")</f>
        <v/>
      </c>
      <c r="AQ288" s="10" t="str">
        <f aca="false">IF(A288="","",IF(AM288="Y",A288&amp;"_STAAD.std","n/a"))</f>
        <v/>
      </c>
      <c r="AR288" s="10" t="str">
        <f aca="false">IF(A288="","",A288&amp;"_CALC.xlsx")</f>
        <v/>
      </c>
      <c r="AS288" s="10" t="str">
        <f aca="false">IF(A288="","",A288&amp;"_CALC.pdf")</f>
        <v/>
      </c>
      <c r="AT288" s="9"/>
      <c r="AU288" s="9"/>
      <c r="AV288" s="39"/>
      <c r="AW288" s="39"/>
      <c r="AX288" s="39"/>
      <c r="AY288" s="39"/>
      <c r="AZ288" s="39"/>
      <c r="BA288" s="12" t="str">
        <f aca="false">IF(A288="","",IF(COUNTIF(Rebar_Schedule!$A$5:$A$2004,A288)=0,"",ROUND(SUMIF(Rebar_Schedule!$A$5:$A$2004,A288,Rebar_Schedule!$K$5:$K$2004),1)))</f>
        <v/>
      </c>
      <c r="BB288" s="33" t="str">
        <f aca="false">IF(A288="","",IF(BA288="","No rebar schedule yet",IF(ABS(BA288-N(AW288))/MAX(N(AW288),1)&gt;SG_Criteria!$B$55,"NOTE: register rebar differs from schedule by "&amp;TEXT(ABS(BA288-N(AW288))/MAX(N(AW288),1),"0%"),"OK")))</f>
        <v/>
      </c>
      <c r="BC288" s="33" t="str">
        <f aca="false">IF(D288="","",IF(LEN(IF(AND(D288&lt;&gt;"High Covered Linkway",G288&lt;SG_Criteria!$B$46),"FAIL: headroom below "&amp;SG_Criteria!$B$46&amp;" m. ","")&amp;IF(AND(D288="High Covered Linkway",G288&lt;SG_Criteria!$B$47),"FAIL: high linkway headroom below "&amp;SG_Criteria!$B$47&amp;" m. ","")&amp;IF(F288&lt;SG_Criteria!$B$48,"FAIL: roof width below "&amp;SG_Criteria!$B$48&amp;" m. ",IF(F288&lt;SG_Criteria!$B$49,"NOTE: not for MRT/LRT or high-traffic routes (min "&amp;SG_Criteria!$B$49&amp;" m). ",""))&amp;IF(AND(W288&lt;&gt;"",W288&lt;SG_Criteria!$B$50),"FAIL: wind speed below "&amp;SG_Criteria!$B$50&amp;" m/s. ","")&amp;IF(AND(X288&lt;&gt;"",X288&lt;SG_Criteria!$B$51),"FAIL: roof fixing pull-out below "&amp;SG_Criteria!$B$51&amp;" kN. ","")&amp;IF(AND(Y288&lt;&gt;"",IFERROR(VALUE(MID(Y288,2,2)),0)&lt;SG_Criteria!$B$52),"FAIL: grade below C"&amp;SG_Criteria!$B$52&amp;". ","")&amp;IF(E288="Non-standard (project design)","NOTE: not an SDRE standard, needs LTA acceptance. ",""))=0,"OK",IF(AND(D288&lt;&gt;"High Covered Linkway",G288&lt;SG_Criteria!$B$46),"FAIL: headroom below "&amp;SG_Criteria!$B$46&amp;" m. ","")&amp;IF(AND(D288="High Covered Linkway",G288&lt;SG_Criteria!$B$47),"FAIL: high linkway headroom below "&amp;SG_Criteria!$B$47&amp;" m. ","")&amp;IF(F288&lt;SG_Criteria!$B$48,"FAIL: roof width below "&amp;SG_Criteria!$B$48&amp;" m. ",IF(F288&lt;SG_Criteria!$B$49,"NOTE: not for MRT/LRT or high-traffic routes (min "&amp;SG_Criteria!$B$49&amp;" m). ",""))&amp;IF(AND(W288&lt;&gt;"",W288&lt;SG_Criteria!$B$50),"FAIL: wind speed below "&amp;SG_Criteria!$B$50&amp;" m/s. ","")&amp;IF(AND(X288&lt;&gt;"",X288&lt;SG_Criteria!$B$51),"FAIL: roof fixing pull-out below "&amp;SG_Criteria!$B$51&amp;" kN. ","")&amp;IF(AND(Y288&lt;&gt;"",IFERROR(VALUE(MID(Y288,2,2)),0)&lt;SG_Criteria!$B$52),"FAIL: grade below C"&amp;SG_Criteria!$B$52&amp;". ","")&amp;IF(E288="Non-standard (project design)","NOTE: not an SDRE standard, needs LTA acceptance. ","")))</f>
        <v/>
      </c>
      <c r="BD288" s="9"/>
      <c r="BE288" s="9"/>
      <c r="BF288" s="9"/>
      <c r="BG288" s="10" t="str">
        <f aca="false">IF(BF288="","",IFERROR(VLOOKUP(BF288,Projects!$A$5:$D$504,2,0),"Ref not in Projects"))</f>
        <v/>
      </c>
      <c r="BH288" s="10" t="str">
        <f aca="false">IF(BF288="","",IFERROR(VLOOKUP(BF288,Projects!$A$5:$D$504,4,0),"Ref not in Projects"))</f>
        <v/>
      </c>
      <c r="BI288" s="9"/>
      <c r="BJ288" s="9"/>
      <c r="BK288" s="9"/>
      <c r="BL288" s="40"/>
      <c r="BM288" s="9"/>
      <c r="BN288" s="40"/>
      <c r="BO288" s="9"/>
      <c r="BP288" s="40"/>
      <c r="BQ288" s="9"/>
      <c r="BR288" s="9"/>
      <c r="BS288" s="9"/>
      <c r="BT288" s="40"/>
      <c r="BU288" s="40"/>
      <c r="BV288" s="36" t="str">
        <f aca="false">IF(BU288="","",EDATE(BU288,SG_Criteria!$B$54*12))</f>
        <v/>
      </c>
      <c r="BW288" s="33" t="str">
        <f aca="true">IF(A288="","",IF(BU288="","NOTE: not reviewed yet",IF(TODAY()&gt;BV288,"NOTE: review overdue","OK")))</f>
        <v/>
      </c>
      <c r="BX288" s="37" t="str">
        <f aca="false">IF(A288="","",ROUND((IF(LEN(D288)&gt;0,1,0)+IF(LEN(E288)&gt;0,1,0)+IF(LEN(F288)&gt;0,1,0)+IF(LEN(G288)&gt;0,1,0)+IF(LEN(H288)&gt;0,1,0)+IF(LEN(I288)&gt;0,1,0)+IF(LEN(J288)&gt;0,1,0)+IF(LEN(K288)&gt;0,1,0)+IF(LEN(N288)&gt;0,1,0)+IF(LEN(O288)&gt;0,1,0)+IF(LEN(W288)&gt;0,1,0)+IF(LEN(X288)&gt;0,1,0)+IF(LEN(Y288)&gt;0,1,0)+IF(LEN(AG288)&gt;0,1,0)+IF(LEN(AI288)&gt;0,1,0)+IF(LEN(AJ288)&gt;0,1,0)+IF(LEN(AK288)&gt;0,1,0)+IF(LEN(AL288)&gt;0,1,0)+IF(LEN(AU288)&gt;0,1,0)+IF(LEN(BF288)&gt;0,1,0)+IF(LEN(BS288)&gt;0,1,0))/21,2))</f>
        <v/>
      </c>
      <c r="BY288" s="10" t="str">
        <f aca="false">IF(D288="","",IF(AND(AJ288="Approved",ISERROR(SEARCH("FAIL",BC288))),"Y","N"))</f>
        <v/>
      </c>
      <c r="BZ288" s="10" t="str">
        <f aca="false">IF(D288="","",D288&amp;"|"&amp;F288&amp;"|"&amp;G288&amp;"|"&amp;BY288)</f>
        <v/>
      </c>
    </row>
    <row r="289" customFormat="false" ht="15" hidden="false" customHeight="false" outlineLevel="0" collapsed="false">
      <c r="A289" s="10" t="str">
        <f aca="false">IF(D289="","","LKW-"&amp;IFERROR(VLOOKUP(D289,Lists!$AQ$4:$AR$17,2,0),"??")&amp;"-W"&amp;TEXT(F289*1000,"0000")&amp;"-H"&amp;TEXT(G289*1000,"0000")&amp;"-B"&amp;TEXT(H289*1000,"0000")&amp;"-"&amp;AI289)</f>
        <v/>
      </c>
      <c r="B289" s="10" t="str">
        <f aca="false">IF(D289="","",D289&amp;", "&amp;F289&amp;" m wide, "&amp;G289&amp;" m headroom, "&amp;H289&amp;" m bays, "&amp;I289&amp;" ("&amp;E289&amp;")")</f>
        <v/>
      </c>
      <c r="C289" s="9"/>
      <c r="D289" s="9"/>
      <c r="E289" s="9"/>
      <c r="F289" s="42"/>
      <c r="G289" s="42"/>
      <c r="H289" s="42"/>
      <c r="I289" s="9"/>
      <c r="J289" s="9"/>
      <c r="K289" s="9"/>
      <c r="L289" s="9"/>
      <c r="M289" s="9"/>
      <c r="N289" s="9"/>
      <c r="O289" s="9"/>
      <c r="P289" s="9"/>
      <c r="Q289" s="9"/>
      <c r="R289" s="9"/>
      <c r="S289" s="42"/>
      <c r="T289" s="9"/>
      <c r="U289" s="9"/>
      <c r="V289" s="9"/>
      <c r="W289" s="38"/>
      <c r="X289" s="42"/>
      <c r="Y289" s="9"/>
      <c r="Z289" s="9"/>
      <c r="AA289" s="9"/>
      <c r="AB289" s="42"/>
      <c r="AC289" s="9"/>
      <c r="AD289" s="38"/>
      <c r="AE289" s="9"/>
      <c r="AF289" s="39"/>
      <c r="AG289" s="9"/>
      <c r="AH289" s="9"/>
      <c r="AI289" s="9"/>
      <c r="AJ289" s="9"/>
      <c r="AK289" s="9"/>
      <c r="AL289" s="9"/>
      <c r="AM289" s="9"/>
      <c r="AN289" s="10" t="str">
        <f aca="false">IF(A289="","",SG_Criteria!$B$6&amp;SG_Criteria!$B$12&amp;"\"&amp;A289&amp;"\")</f>
        <v/>
      </c>
      <c r="AO289" s="10" t="str">
        <f aca="false">IF(A289="","",A289&amp;"_CAD.dwg")</f>
        <v/>
      </c>
      <c r="AP289" s="10" t="str">
        <f aca="false">IF(A289="","",A289&amp;"_DWG.pdf")</f>
        <v/>
      </c>
      <c r="AQ289" s="10" t="str">
        <f aca="false">IF(A289="","",IF(AM289="Y",A289&amp;"_STAAD.std","n/a"))</f>
        <v/>
      </c>
      <c r="AR289" s="10" t="str">
        <f aca="false">IF(A289="","",A289&amp;"_CALC.xlsx")</f>
        <v/>
      </c>
      <c r="AS289" s="10" t="str">
        <f aca="false">IF(A289="","",A289&amp;"_CALC.pdf")</f>
        <v/>
      </c>
      <c r="AT289" s="9"/>
      <c r="AU289" s="9"/>
      <c r="AV289" s="39"/>
      <c r="AW289" s="39"/>
      <c r="AX289" s="39"/>
      <c r="AY289" s="39"/>
      <c r="AZ289" s="39"/>
      <c r="BA289" s="12" t="str">
        <f aca="false">IF(A289="","",IF(COUNTIF(Rebar_Schedule!$A$5:$A$2004,A289)=0,"",ROUND(SUMIF(Rebar_Schedule!$A$5:$A$2004,A289,Rebar_Schedule!$K$5:$K$2004),1)))</f>
        <v/>
      </c>
      <c r="BB289" s="33" t="str">
        <f aca="false">IF(A289="","",IF(BA289="","No rebar schedule yet",IF(ABS(BA289-N(AW289))/MAX(N(AW289),1)&gt;SG_Criteria!$B$55,"NOTE: register rebar differs from schedule by "&amp;TEXT(ABS(BA289-N(AW289))/MAX(N(AW289),1),"0%"),"OK")))</f>
        <v/>
      </c>
      <c r="BC289" s="33" t="str">
        <f aca="false">IF(D289="","",IF(LEN(IF(AND(D289&lt;&gt;"High Covered Linkway",G289&lt;SG_Criteria!$B$46),"FAIL: headroom below "&amp;SG_Criteria!$B$46&amp;" m. ","")&amp;IF(AND(D289="High Covered Linkway",G289&lt;SG_Criteria!$B$47),"FAIL: high linkway headroom below "&amp;SG_Criteria!$B$47&amp;" m. ","")&amp;IF(F289&lt;SG_Criteria!$B$48,"FAIL: roof width below "&amp;SG_Criteria!$B$48&amp;" m. ",IF(F289&lt;SG_Criteria!$B$49,"NOTE: not for MRT/LRT or high-traffic routes (min "&amp;SG_Criteria!$B$49&amp;" m). ",""))&amp;IF(AND(W289&lt;&gt;"",W289&lt;SG_Criteria!$B$50),"FAIL: wind speed below "&amp;SG_Criteria!$B$50&amp;" m/s. ","")&amp;IF(AND(X289&lt;&gt;"",X289&lt;SG_Criteria!$B$51),"FAIL: roof fixing pull-out below "&amp;SG_Criteria!$B$51&amp;" kN. ","")&amp;IF(AND(Y289&lt;&gt;"",IFERROR(VALUE(MID(Y289,2,2)),0)&lt;SG_Criteria!$B$52),"FAIL: grade below C"&amp;SG_Criteria!$B$52&amp;". ","")&amp;IF(E289="Non-standard (project design)","NOTE: not an SDRE standard, needs LTA acceptance. ",""))=0,"OK",IF(AND(D289&lt;&gt;"High Covered Linkway",G289&lt;SG_Criteria!$B$46),"FAIL: headroom below "&amp;SG_Criteria!$B$46&amp;" m. ","")&amp;IF(AND(D289="High Covered Linkway",G289&lt;SG_Criteria!$B$47),"FAIL: high linkway headroom below "&amp;SG_Criteria!$B$47&amp;" m. ","")&amp;IF(F289&lt;SG_Criteria!$B$48,"FAIL: roof width below "&amp;SG_Criteria!$B$48&amp;" m. ",IF(F289&lt;SG_Criteria!$B$49,"NOTE: not for MRT/LRT or high-traffic routes (min "&amp;SG_Criteria!$B$49&amp;" m). ",""))&amp;IF(AND(W289&lt;&gt;"",W289&lt;SG_Criteria!$B$50),"FAIL: wind speed below "&amp;SG_Criteria!$B$50&amp;" m/s. ","")&amp;IF(AND(X289&lt;&gt;"",X289&lt;SG_Criteria!$B$51),"FAIL: roof fixing pull-out below "&amp;SG_Criteria!$B$51&amp;" kN. ","")&amp;IF(AND(Y289&lt;&gt;"",IFERROR(VALUE(MID(Y289,2,2)),0)&lt;SG_Criteria!$B$52),"FAIL: grade below C"&amp;SG_Criteria!$B$52&amp;". ","")&amp;IF(E289="Non-standard (project design)","NOTE: not an SDRE standard, needs LTA acceptance. ","")))</f>
        <v/>
      </c>
      <c r="BD289" s="9"/>
      <c r="BE289" s="9"/>
      <c r="BF289" s="9"/>
      <c r="BG289" s="10" t="str">
        <f aca="false">IF(BF289="","",IFERROR(VLOOKUP(BF289,Projects!$A$5:$D$504,2,0),"Ref not in Projects"))</f>
        <v/>
      </c>
      <c r="BH289" s="10" t="str">
        <f aca="false">IF(BF289="","",IFERROR(VLOOKUP(BF289,Projects!$A$5:$D$504,4,0),"Ref not in Projects"))</f>
        <v/>
      </c>
      <c r="BI289" s="9"/>
      <c r="BJ289" s="9"/>
      <c r="BK289" s="9"/>
      <c r="BL289" s="40"/>
      <c r="BM289" s="9"/>
      <c r="BN289" s="40"/>
      <c r="BO289" s="9"/>
      <c r="BP289" s="40"/>
      <c r="BQ289" s="9"/>
      <c r="BR289" s="9"/>
      <c r="BS289" s="9"/>
      <c r="BT289" s="40"/>
      <c r="BU289" s="40"/>
      <c r="BV289" s="36" t="str">
        <f aca="false">IF(BU289="","",EDATE(BU289,SG_Criteria!$B$54*12))</f>
        <v/>
      </c>
      <c r="BW289" s="33" t="str">
        <f aca="true">IF(A289="","",IF(BU289="","NOTE: not reviewed yet",IF(TODAY()&gt;BV289,"NOTE: review overdue","OK")))</f>
        <v/>
      </c>
      <c r="BX289" s="37" t="str">
        <f aca="false">IF(A289="","",ROUND((IF(LEN(D289)&gt;0,1,0)+IF(LEN(E289)&gt;0,1,0)+IF(LEN(F289)&gt;0,1,0)+IF(LEN(G289)&gt;0,1,0)+IF(LEN(H289)&gt;0,1,0)+IF(LEN(I289)&gt;0,1,0)+IF(LEN(J289)&gt;0,1,0)+IF(LEN(K289)&gt;0,1,0)+IF(LEN(N289)&gt;0,1,0)+IF(LEN(O289)&gt;0,1,0)+IF(LEN(W289)&gt;0,1,0)+IF(LEN(X289)&gt;0,1,0)+IF(LEN(Y289)&gt;0,1,0)+IF(LEN(AG289)&gt;0,1,0)+IF(LEN(AI289)&gt;0,1,0)+IF(LEN(AJ289)&gt;0,1,0)+IF(LEN(AK289)&gt;0,1,0)+IF(LEN(AL289)&gt;0,1,0)+IF(LEN(AU289)&gt;0,1,0)+IF(LEN(BF289)&gt;0,1,0)+IF(LEN(BS289)&gt;0,1,0))/21,2))</f>
        <v/>
      </c>
      <c r="BY289" s="10" t="str">
        <f aca="false">IF(D289="","",IF(AND(AJ289="Approved",ISERROR(SEARCH("FAIL",BC289))),"Y","N"))</f>
        <v/>
      </c>
      <c r="BZ289" s="10" t="str">
        <f aca="false">IF(D289="","",D289&amp;"|"&amp;F289&amp;"|"&amp;G289&amp;"|"&amp;BY289)</f>
        <v/>
      </c>
    </row>
    <row r="290" customFormat="false" ht="15" hidden="false" customHeight="false" outlineLevel="0" collapsed="false">
      <c r="A290" s="10" t="str">
        <f aca="false">IF(D290="","","LKW-"&amp;IFERROR(VLOOKUP(D290,Lists!$AQ$4:$AR$17,2,0),"??")&amp;"-W"&amp;TEXT(F290*1000,"0000")&amp;"-H"&amp;TEXT(G290*1000,"0000")&amp;"-B"&amp;TEXT(H290*1000,"0000")&amp;"-"&amp;AI290)</f>
        <v/>
      </c>
      <c r="B290" s="10" t="str">
        <f aca="false">IF(D290="","",D290&amp;", "&amp;F290&amp;" m wide, "&amp;G290&amp;" m headroom, "&amp;H290&amp;" m bays, "&amp;I290&amp;" ("&amp;E290&amp;")")</f>
        <v/>
      </c>
      <c r="C290" s="9"/>
      <c r="D290" s="9"/>
      <c r="E290" s="9"/>
      <c r="F290" s="42"/>
      <c r="G290" s="42"/>
      <c r="H290" s="42"/>
      <c r="I290" s="9"/>
      <c r="J290" s="9"/>
      <c r="K290" s="9"/>
      <c r="L290" s="9"/>
      <c r="M290" s="9"/>
      <c r="N290" s="9"/>
      <c r="O290" s="9"/>
      <c r="P290" s="9"/>
      <c r="Q290" s="9"/>
      <c r="R290" s="9"/>
      <c r="S290" s="42"/>
      <c r="T290" s="9"/>
      <c r="U290" s="9"/>
      <c r="V290" s="9"/>
      <c r="W290" s="38"/>
      <c r="X290" s="42"/>
      <c r="Y290" s="9"/>
      <c r="Z290" s="9"/>
      <c r="AA290" s="9"/>
      <c r="AB290" s="42"/>
      <c r="AC290" s="9"/>
      <c r="AD290" s="38"/>
      <c r="AE290" s="9"/>
      <c r="AF290" s="39"/>
      <c r="AG290" s="9"/>
      <c r="AH290" s="9"/>
      <c r="AI290" s="9"/>
      <c r="AJ290" s="9"/>
      <c r="AK290" s="9"/>
      <c r="AL290" s="9"/>
      <c r="AM290" s="9"/>
      <c r="AN290" s="10" t="str">
        <f aca="false">IF(A290="","",SG_Criteria!$B$6&amp;SG_Criteria!$B$12&amp;"\"&amp;A290&amp;"\")</f>
        <v/>
      </c>
      <c r="AO290" s="10" t="str">
        <f aca="false">IF(A290="","",A290&amp;"_CAD.dwg")</f>
        <v/>
      </c>
      <c r="AP290" s="10" t="str">
        <f aca="false">IF(A290="","",A290&amp;"_DWG.pdf")</f>
        <v/>
      </c>
      <c r="AQ290" s="10" t="str">
        <f aca="false">IF(A290="","",IF(AM290="Y",A290&amp;"_STAAD.std","n/a"))</f>
        <v/>
      </c>
      <c r="AR290" s="10" t="str">
        <f aca="false">IF(A290="","",A290&amp;"_CALC.xlsx")</f>
        <v/>
      </c>
      <c r="AS290" s="10" t="str">
        <f aca="false">IF(A290="","",A290&amp;"_CALC.pdf")</f>
        <v/>
      </c>
      <c r="AT290" s="9"/>
      <c r="AU290" s="9"/>
      <c r="AV290" s="39"/>
      <c r="AW290" s="39"/>
      <c r="AX290" s="39"/>
      <c r="AY290" s="39"/>
      <c r="AZ290" s="39"/>
      <c r="BA290" s="12" t="str">
        <f aca="false">IF(A290="","",IF(COUNTIF(Rebar_Schedule!$A$5:$A$2004,A290)=0,"",ROUND(SUMIF(Rebar_Schedule!$A$5:$A$2004,A290,Rebar_Schedule!$K$5:$K$2004),1)))</f>
        <v/>
      </c>
      <c r="BB290" s="33" t="str">
        <f aca="false">IF(A290="","",IF(BA290="","No rebar schedule yet",IF(ABS(BA290-N(AW290))/MAX(N(AW290),1)&gt;SG_Criteria!$B$55,"NOTE: register rebar differs from schedule by "&amp;TEXT(ABS(BA290-N(AW290))/MAX(N(AW290),1),"0%"),"OK")))</f>
        <v/>
      </c>
      <c r="BC290" s="33" t="str">
        <f aca="false">IF(D290="","",IF(LEN(IF(AND(D290&lt;&gt;"High Covered Linkway",G290&lt;SG_Criteria!$B$46),"FAIL: headroom below "&amp;SG_Criteria!$B$46&amp;" m. ","")&amp;IF(AND(D290="High Covered Linkway",G290&lt;SG_Criteria!$B$47),"FAIL: high linkway headroom below "&amp;SG_Criteria!$B$47&amp;" m. ","")&amp;IF(F290&lt;SG_Criteria!$B$48,"FAIL: roof width below "&amp;SG_Criteria!$B$48&amp;" m. ",IF(F290&lt;SG_Criteria!$B$49,"NOTE: not for MRT/LRT or high-traffic routes (min "&amp;SG_Criteria!$B$49&amp;" m). ",""))&amp;IF(AND(W290&lt;&gt;"",W290&lt;SG_Criteria!$B$50),"FAIL: wind speed below "&amp;SG_Criteria!$B$50&amp;" m/s. ","")&amp;IF(AND(X290&lt;&gt;"",X290&lt;SG_Criteria!$B$51),"FAIL: roof fixing pull-out below "&amp;SG_Criteria!$B$51&amp;" kN. ","")&amp;IF(AND(Y290&lt;&gt;"",IFERROR(VALUE(MID(Y290,2,2)),0)&lt;SG_Criteria!$B$52),"FAIL: grade below C"&amp;SG_Criteria!$B$52&amp;". ","")&amp;IF(E290="Non-standard (project design)","NOTE: not an SDRE standard, needs LTA acceptance. ",""))=0,"OK",IF(AND(D290&lt;&gt;"High Covered Linkway",G290&lt;SG_Criteria!$B$46),"FAIL: headroom below "&amp;SG_Criteria!$B$46&amp;" m. ","")&amp;IF(AND(D290="High Covered Linkway",G290&lt;SG_Criteria!$B$47),"FAIL: high linkway headroom below "&amp;SG_Criteria!$B$47&amp;" m. ","")&amp;IF(F290&lt;SG_Criteria!$B$48,"FAIL: roof width below "&amp;SG_Criteria!$B$48&amp;" m. ",IF(F290&lt;SG_Criteria!$B$49,"NOTE: not for MRT/LRT or high-traffic routes (min "&amp;SG_Criteria!$B$49&amp;" m). ",""))&amp;IF(AND(W290&lt;&gt;"",W290&lt;SG_Criteria!$B$50),"FAIL: wind speed below "&amp;SG_Criteria!$B$50&amp;" m/s. ","")&amp;IF(AND(X290&lt;&gt;"",X290&lt;SG_Criteria!$B$51),"FAIL: roof fixing pull-out below "&amp;SG_Criteria!$B$51&amp;" kN. ","")&amp;IF(AND(Y290&lt;&gt;"",IFERROR(VALUE(MID(Y290,2,2)),0)&lt;SG_Criteria!$B$52),"FAIL: grade below C"&amp;SG_Criteria!$B$52&amp;". ","")&amp;IF(E290="Non-standard (project design)","NOTE: not an SDRE standard, needs LTA acceptance. ","")))</f>
        <v/>
      </c>
      <c r="BD290" s="9"/>
      <c r="BE290" s="9"/>
      <c r="BF290" s="9"/>
      <c r="BG290" s="10" t="str">
        <f aca="false">IF(BF290="","",IFERROR(VLOOKUP(BF290,Projects!$A$5:$D$504,2,0),"Ref not in Projects"))</f>
        <v/>
      </c>
      <c r="BH290" s="10" t="str">
        <f aca="false">IF(BF290="","",IFERROR(VLOOKUP(BF290,Projects!$A$5:$D$504,4,0),"Ref not in Projects"))</f>
        <v/>
      </c>
      <c r="BI290" s="9"/>
      <c r="BJ290" s="9"/>
      <c r="BK290" s="9"/>
      <c r="BL290" s="40"/>
      <c r="BM290" s="9"/>
      <c r="BN290" s="40"/>
      <c r="BO290" s="9"/>
      <c r="BP290" s="40"/>
      <c r="BQ290" s="9"/>
      <c r="BR290" s="9"/>
      <c r="BS290" s="9"/>
      <c r="BT290" s="40"/>
      <c r="BU290" s="40"/>
      <c r="BV290" s="36" t="str">
        <f aca="false">IF(BU290="","",EDATE(BU290,SG_Criteria!$B$54*12))</f>
        <v/>
      </c>
      <c r="BW290" s="33" t="str">
        <f aca="true">IF(A290="","",IF(BU290="","NOTE: not reviewed yet",IF(TODAY()&gt;BV290,"NOTE: review overdue","OK")))</f>
        <v/>
      </c>
      <c r="BX290" s="37" t="str">
        <f aca="false">IF(A290="","",ROUND((IF(LEN(D290)&gt;0,1,0)+IF(LEN(E290)&gt;0,1,0)+IF(LEN(F290)&gt;0,1,0)+IF(LEN(G290)&gt;0,1,0)+IF(LEN(H290)&gt;0,1,0)+IF(LEN(I290)&gt;0,1,0)+IF(LEN(J290)&gt;0,1,0)+IF(LEN(K290)&gt;0,1,0)+IF(LEN(N290)&gt;0,1,0)+IF(LEN(O290)&gt;0,1,0)+IF(LEN(W290)&gt;0,1,0)+IF(LEN(X290)&gt;0,1,0)+IF(LEN(Y290)&gt;0,1,0)+IF(LEN(AG290)&gt;0,1,0)+IF(LEN(AI290)&gt;0,1,0)+IF(LEN(AJ290)&gt;0,1,0)+IF(LEN(AK290)&gt;0,1,0)+IF(LEN(AL290)&gt;0,1,0)+IF(LEN(AU290)&gt;0,1,0)+IF(LEN(BF290)&gt;0,1,0)+IF(LEN(BS290)&gt;0,1,0))/21,2))</f>
        <v/>
      </c>
      <c r="BY290" s="10" t="str">
        <f aca="false">IF(D290="","",IF(AND(AJ290="Approved",ISERROR(SEARCH("FAIL",BC290))),"Y","N"))</f>
        <v/>
      </c>
      <c r="BZ290" s="10" t="str">
        <f aca="false">IF(D290="","",D290&amp;"|"&amp;F290&amp;"|"&amp;G290&amp;"|"&amp;BY290)</f>
        <v/>
      </c>
    </row>
    <row r="291" customFormat="false" ht="15" hidden="false" customHeight="false" outlineLevel="0" collapsed="false">
      <c r="A291" s="10" t="str">
        <f aca="false">IF(D291="","","LKW-"&amp;IFERROR(VLOOKUP(D291,Lists!$AQ$4:$AR$17,2,0),"??")&amp;"-W"&amp;TEXT(F291*1000,"0000")&amp;"-H"&amp;TEXT(G291*1000,"0000")&amp;"-B"&amp;TEXT(H291*1000,"0000")&amp;"-"&amp;AI291)</f>
        <v/>
      </c>
      <c r="B291" s="10" t="str">
        <f aca="false">IF(D291="","",D291&amp;", "&amp;F291&amp;" m wide, "&amp;G291&amp;" m headroom, "&amp;H291&amp;" m bays, "&amp;I291&amp;" ("&amp;E291&amp;")")</f>
        <v/>
      </c>
      <c r="C291" s="9"/>
      <c r="D291" s="9"/>
      <c r="E291" s="9"/>
      <c r="F291" s="42"/>
      <c r="G291" s="42"/>
      <c r="H291" s="42"/>
      <c r="I291" s="9"/>
      <c r="J291" s="9"/>
      <c r="K291" s="9"/>
      <c r="L291" s="9"/>
      <c r="M291" s="9"/>
      <c r="N291" s="9"/>
      <c r="O291" s="9"/>
      <c r="P291" s="9"/>
      <c r="Q291" s="9"/>
      <c r="R291" s="9"/>
      <c r="S291" s="42"/>
      <c r="T291" s="9"/>
      <c r="U291" s="9"/>
      <c r="V291" s="9"/>
      <c r="W291" s="38"/>
      <c r="X291" s="42"/>
      <c r="Y291" s="9"/>
      <c r="Z291" s="9"/>
      <c r="AA291" s="9"/>
      <c r="AB291" s="42"/>
      <c r="AC291" s="9"/>
      <c r="AD291" s="38"/>
      <c r="AE291" s="9"/>
      <c r="AF291" s="39"/>
      <c r="AG291" s="9"/>
      <c r="AH291" s="9"/>
      <c r="AI291" s="9"/>
      <c r="AJ291" s="9"/>
      <c r="AK291" s="9"/>
      <c r="AL291" s="9"/>
      <c r="AM291" s="9"/>
      <c r="AN291" s="10" t="str">
        <f aca="false">IF(A291="","",SG_Criteria!$B$6&amp;SG_Criteria!$B$12&amp;"\"&amp;A291&amp;"\")</f>
        <v/>
      </c>
      <c r="AO291" s="10" t="str">
        <f aca="false">IF(A291="","",A291&amp;"_CAD.dwg")</f>
        <v/>
      </c>
      <c r="AP291" s="10" t="str">
        <f aca="false">IF(A291="","",A291&amp;"_DWG.pdf")</f>
        <v/>
      </c>
      <c r="AQ291" s="10" t="str">
        <f aca="false">IF(A291="","",IF(AM291="Y",A291&amp;"_STAAD.std","n/a"))</f>
        <v/>
      </c>
      <c r="AR291" s="10" t="str">
        <f aca="false">IF(A291="","",A291&amp;"_CALC.xlsx")</f>
        <v/>
      </c>
      <c r="AS291" s="10" t="str">
        <f aca="false">IF(A291="","",A291&amp;"_CALC.pdf")</f>
        <v/>
      </c>
      <c r="AT291" s="9"/>
      <c r="AU291" s="9"/>
      <c r="AV291" s="39"/>
      <c r="AW291" s="39"/>
      <c r="AX291" s="39"/>
      <c r="AY291" s="39"/>
      <c r="AZ291" s="39"/>
      <c r="BA291" s="12" t="str">
        <f aca="false">IF(A291="","",IF(COUNTIF(Rebar_Schedule!$A$5:$A$2004,A291)=0,"",ROUND(SUMIF(Rebar_Schedule!$A$5:$A$2004,A291,Rebar_Schedule!$K$5:$K$2004),1)))</f>
        <v/>
      </c>
      <c r="BB291" s="33" t="str">
        <f aca="false">IF(A291="","",IF(BA291="","No rebar schedule yet",IF(ABS(BA291-N(AW291))/MAX(N(AW291),1)&gt;SG_Criteria!$B$55,"NOTE: register rebar differs from schedule by "&amp;TEXT(ABS(BA291-N(AW291))/MAX(N(AW291),1),"0%"),"OK")))</f>
        <v/>
      </c>
      <c r="BC291" s="33" t="str">
        <f aca="false">IF(D291="","",IF(LEN(IF(AND(D291&lt;&gt;"High Covered Linkway",G291&lt;SG_Criteria!$B$46),"FAIL: headroom below "&amp;SG_Criteria!$B$46&amp;" m. ","")&amp;IF(AND(D291="High Covered Linkway",G291&lt;SG_Criteria!$B$47),"FAIL: high linkway headroom below "&amp;SG_Criteria!$B$47&amp;" m. ","")&amp;IF(F291&lt;SG_Criteria!$B$48,"FAIL: roof width below "&amp;SG_Criteria!$B$48&amp;" m. ",IF(F291&lt;SG_Criteria!$B$49,"NOTE: not for MRT/LRT or high-traffic routes (min "&amp;SG_Criteria!$B$49&amp;" m). ",""))&amp;IF(AND(W291&lt;&gt;"",W291&lt;SG_Criteria!$B$50),"FAIL: wind speed below "&amp;SG_Criteria!$B$50&amp;" m/s. ","")&amp;IF(AND(X291&lt;&gt;"",X291&lt;SG_Criteria!$B$51),"FAIL: roof fixing pull-out below "&amp;SG_Criteria!$B$51&amp;" kN. ","")&amp;IF(AND(Y291&lt;&gt;"",IFERROR(VALUE(MID(Y291,2,2)),0)&lt;SG_Criteria!$B$52),"FAIL: grade below C"&amp;SG_Criteria!$B$52&amp;". ","")&amp;IF(E291="Non-standard (project design)","NOTE: not an SDRE standard, needs LTA acceptance. ",""))=0,"OK",IF(AND(D291&lt;&gt;"High Covered Linkway",G291&lt;SG_Criteria!$B$46),"FAIL: headroom below "&amp;SG_Criteria!$B$46&amp;" m. ","")&amp;IF(AND(D291="High Covered Linkway",G291&lt;SG_Criteria!$B$47),"FAIL: high linkway headroom below "&amp;SG_Criteria!$B$47&amp;" m. ","")&amp;IF(F291&lt;SG_Criteria!$B$48,"FAIL: roof width below "&amp;SG_Criteria!$B$48&amp;" m. ",IF(F291&lt;SG_Criteria!$B$49,"NOTE: not for MRT/LRT or high-traffic routes (min "&amp;SG_Criteria!$B$49&amp;" m). ",""))&amp;IF(AND(W291&lt;&gt;"",W291&lt;SG_Criteria!$B$50),"FAIL: wind speed below "&amp;SG_Criteria!$B$50&amp;" m/s. ","")&amp;IF(AND(X291&lt;&gt;"",X291&lt;SG_Criteria!$B$51),"FAIL: roof fixing pull-out below "&amp;SG_Criteria!$B$51&amp;" kN. ","")&amp;IF(AND(Y291&lt;&gt;"",IFERROR(VALUE(MID(Y291,2,2)),0)&lt;SG_Criteria!$B$52),"FAIL: grade below C"&amp;SG_Criteria!$B$52&amp;". ","")&amp;IF(E291="Non-standard (project design)","NOTE: not an SDRE standard, needs LTA acceptance. ","")))</f>
        <v/>
      </c>
      <c r="BD291" s="9"/>
      <c r="BE291" s="9"/>
      <c r="BF291" s="9"/>
      <c r="BG291" s="10" t="str">
        <f aca="false">IF(BF291="","",IFERROR(VLOOKUP(BF291,Projects!$A$5:$D$504,2,0),"Ref not in Projects"))</f>
        <v/>
      </c>
      <c r="BH291" s="10" t="str">
        <f aca="false">IF(BF291="","",IFERROR(VLOOKUP(BF291,Projects!$A$5:$D$504,4,0),"Ref not in Projects"))</f>
        <v/>
      </c>
      <c r="BI291" s="9"/>
      <c r="BJ291" s="9"/>
      <c r="BK291" s="9"/>
      <c r="BL291" s="40"/>
      <c r="BM291" s="9"/>
      <c r="BN291" s="40"/>
      <c r="BO291" s="9"/>
      <c r="BP291" s="40"/>
      <c r="BQ291" s="9"/>
      <c r="BR291" s="9"/>
      <c r="BS291" s="9"/>
      <c r="BT291" s="40"/>
      <c r="BU291" s="40"/>
      <c r="BV291" s="36" t="str">
        <f aca="false">IF(BU291="","",EDATE(BU291,SG_Criteria!$B$54*12))</f>
        <v/>
      </c>
      <c r="BW291" s="33" t="str">
        <f aca="true">IF(A291="","",IF(BU291="","NOTE: not reviewed yet",IF(TODAY()&gt;BV291,"NOTE: review overdue","OK")))</f>
        <v/>
      </c>
      <c r="BX291" s="37" t="str">
        <f aca="false">IF(A291="","",ROUND((IF(LEN(D291)&gt;0,1,0)+IF(LEN(E291)&gt;0,1,0)+IF(LEN(F291)&gt;0,1,0)+IF(LEN(G291)&gt;0,1,0)+IF(LEN(H291)&gt;0,1,0)+IF(LEN(I291)&gt;0,1,0)+IF(LEN(J291)&gt;0,1,0)+IF(LEN(K291)&gt;0,1,0)+IF(LEN(N291)&gt;0,1,0)+IF(LEN(O291)&gt;0,1,0)+IF(LEN(W291)&gt;0,1,0)+IF(LEN(X291)&gt;0,1,0)+IF(LEN(Y291)&gt;0,1,0)+IF(LEN(AG291)&gt;0,1,0)+IF(LEN(AI291)&gt;0,1,0)+IF(LEN(AJ291)&gt;0,1,0)+IF(LEN(AK291)&gt;0,1,0)+IF(LEN(AL291)&gt;0,1,0)+IF(LEN(AU291)&gt;0,1,0)+IF(LEN(BF291)&gt;0,1,0)+IF(LEN(BS291)&gt;0,1,0))/21,2))</f>
        <v/>
      </c>
      <c r="BY291" s="10" t="str">
        <f aca="false">IF(D291="","",IF(AND(AJ291="Approved",ISERROR(SEARCH("FAIL",BC291))),"Y","N"))</f>
        <v/>
      </c>
      <c r="BZ291" s="10" t="str">
        <f aca="false">IF(D291="","",D291&amp;"|"&amp;F291&amp;"|"&amp;G291&amp;"|"&amp;BY291)</f>
        <v/>
      </c>
    </row>
    <row r="292" customFormat="false" ht="15" hidden="false" customHeight="false" outlineLevel="0" collapsed="false">
      <c r="A292" s="10" t="str">
        <f aca="false">IF(D292="","","LKW-"&amp;IFERROR(VLOOKUP(D292,Lists!$AQ$4:$AR$17,2,0),"??")&amp;"-W"&amp;TEXT(F292*1000,"0000")&amp;"-H"&amp;TEXT(G292*1000,"0000")&amp;"-B"&amp;TEXT(H292*1000,"0000")&amp;"-"&amp;AI292)</f>
        <v/>
      </c>
      <c r="B292" s="10" t="str">
        <f aca="false">IF(D292="","",D292&amp;", "&amp;F292&amp;" m wide, "&amp;G292&amp;" m headroom, "&amp;H292&amp;" m bays, "&amp;I292&amp;" ("&amp;E292&amp;")")</f>
        <v/>
      </c>
      <c r="C292" s="9"/>
      <c r="D292" s="9"/>
      <c r="E292" s="9"/>
      <c r="F292" s="42"/>
      <c r="G292" s="42"/>
      <c r="H292" s="42"/>
      <c r="I292" s="9"/>
      <c r="J292" s="9"/>
      <c r="K292" s="9"/>
      <c r="L292" s="9"/>
      <c r="M292" s="9"/>
      <c r="N292" s="9"/>
      <c r="O292" s="9"/>
      <c r="P292" s="9"/>
      <c r="Q292" s="9"/>
      <c r="R292" s="9"/>
      <c r="S292" s="42"/>
      <c r="T292" s="9"/>
      <c r="U292" s="9"/>
      <c r="V292" s="9"/>
      <c r="W292" s="38"/>
      <c r="X292" s="42"/>
      <c r="Y292" s="9"/>
      <c r="Z292" s="9"/>
      <c r="AA292" s="9"/>
      <c r="AB292" s="42"/>
      <c r="AC292" s="9"/>
      <c r="AD292" s="38"/>
      <c r="AE292" s="9"/>
      <c r="AF292" s="39"/>
      <c r="AG292" s="9"/>
      <c r="AH292" s="9"/>
      <c r="AI292" s="9"/>
      <c r="AJ292" s="9"/>
      <c r="AK292" s="9"/>
      <c r="AL292" s="9"/>
      <c r="AM292" s="9"/>
      <c r="AN292" s="10" t="str">
        <f aca="false">IF(A292="","",SG_Criteria!$B$6&amp;SG_Criteria!$B$12&amp;"\"&amp;A292&amp;"\")</f>
        <v/>
      </c>
      <c r="AO292" s="10" t="str">
        <f aca="false">IF(A292="","",A292&amp;"_CAD.dwg")</f>
        <v/>
      </c>
      <c r="AP292" s="10" t="str">
        <f aca="false">IF(A292="","",A292&amp;"_DWG.pdf")</f>
        <v/>
      </c>
      <c r="AQ292" s="10" t="str">
        <f aca="false">IF(A292="","",IF(AM292="Y",A292&amp;"_STAAD.std","n/a"))</f>
        <v/>
      </c>
      <c r="AR292" s="10" t="str">
        <f aca="false">IF(A292="","",A292&amp;"_CALC.xlsx")</f>
        <v/>
      </c>
      <c r="AS292" s="10" t="str">
        <f aca="false">IF(A292="","",A292&amp;"_CALC.pdf")</f>
        <v/>
      </c>
      <c r="AT292" s="9"/>
      <c r="AU292" s="9"/>
      <c r="AV292" s="39"/>
      <c r="AW292" s="39"/>
      <c r="AX292" s="39"/>
      <c r="AY292" s="39"/>
      <c r="AZ292" s="39"/>
      <c r="BA292" s="12" t="str">
        <f aca="false">IF(A292="","",IF(COUNTIF(Rebar_Schedule!$A$5:$A$2004,A292)=0,"",ROUND(SUMIF(Rebar_Schedule!$A$5:$A$2004,A292,Rebar_Schedule!$K$5:$K$2004),1)))</f>
        <v/>
      </c>
      <c r="BB292" s="33" t="str">
        <f aca="false">IF(A292="","",IF(BA292="","No rebar schedule yet",IF(ABS(BA292-N(AW292))/MAX(N(AW292),1)&gt;SG_Criteria!$B$55,"NOTE: register rebar differs from schedule by "&amp;TEXT(ABS(BA292-N(AW292))/MAX(N(AW292),1),"0%"),"OK")))</f>
        <v/>
      </c>
      <c r="BC292" s="33" t="str">
        <f aca="false">IF(D292="","",IF(LEN(IF(AND(D292&lt;&gt;"High Covered Linkway",G292&lt;SG_Criteria!$B$46),"FAIL: headroom below "&amp;SG_Criteria!$B$46&amp;" m. ","")&amp;IF(AND(D292="High Covered Linkway",G292&lt;SG_Criteria!$B$47),"FAIL: high linkway headroom below "&amp;SG_Criteria!$B$47&amp;" m. ","")&amp;IF(F292&lt;SG_Criteria!$B$48,"FAIL: roof width below "&amp;SG_Criteria!$B$48&amp;" m. ",IF(F292&lt;SG_Criteria!$B$49,"NOTE: not for MRT/LRT or high-traffic routes (min "&amp;SG_Criteria!$B$49&amp;" m). ",""))&amp;IF(AND(W292&lt;&gt;"",W292&lt;SG_Criteria!$B$50),"FAIL: wind speed below "&amp;SG_Criteria!$B$50&amp;" m/s. ","")&amp;IF(AND(X292&lt;&gt;"",X292&lt;SG_Criteria!$B$51),"FAIL: roof fixing pull-out below "&amp;SG_Criteria!$B$51&amp;" kN. ","")&amp;IF(AND(Y292&lt;&gt;"",IFERROR(VALUE(MID(Y292,2,2)),0)&lt;SG_Criteria!$B$52),"FAIL: grade below C"&amp;SG_Criteria!$B$52&amp;". ","")&amp;IF(E292="Non-standard (project design)","NOTE: not an SDRE standard, needs LTA acceptance. ",""))=0,"OK",IF(AND(D292&lt;&gt;"High Covered Linkway",G292&lt;SG_Criteria!$B$46),"FAIL: headroom below "&amp;SG_Criteria!$B$46&amp;" m. ","")&amp;IF(AND(D292="High Covered Linkway",G292&lt;SG_Criteria!$B$47),"FAIL: high linkway headroom below "&amp;SG_Criteria!$B$47&amp;" m. ","")&amp;IF(F292&lt;SG_Criteria!$B$48,"FAIL: roof width below "&amp;SG_Criteria!$B$48&amp;" m. ",IF(F292&lt;SG_Criteria!$B$49,"NOTE: not for MRT/LRT or high-traffic routes (min "&amp;SG_Criteria!$B$49&amp;" m). ",""))&amp;IF(AND(W292&lt;&gt;"",W292&lt;SG_Criteria!$B$50),"FAIL: wind speed below "&amp;SG_Criteria!$B$50&amp;" m/s. ","")&amp;IF(AND(X292&lt;&gt;"",X292&lt;SG_Criteria!$B$51),"FAIL: roof fixing pull-out below "&amp;SG_Criteria!$B$51&amp;" kN. ","")&amp;IF(AND(Y292&lt;&gt;"",IFERROR(VALUE(MID(Y292,2,2)),0)&lt;SG_Criteria!$B$52),"FAIL: grade below C"&amp;SG_Criteria!$B$52&amp;". ","")&amp;IF(E292="Non-standard (project design)","NOTE: not an SDRE standard, needs LTA acceptance. ","")))</f>
        <v/>
      </c>
      <c r="BD292" s="9"/>
      <c r="BE292" s="9"/>
      <c r="BF292" s="9"/>
      <c r="BG292" s="10" t="str">
        <f aca="false">IF(BF292="","",IFERROR(VLOOKUP(BF292,Projects!$A$5:$D$504,2,0),"Ref not in Projects"))</f>
        <v/>
      </c>
      <c r="BH292" s="10" t="str">
        <f aca="false">IF(BF292="","",IFERROR(VLOOKUP(BF292,Projects!$A$5:$D$504,4,0),"Ref not in Projects"))</f>
        <v/>
      </c>
      <c r="BI292" s="9"/>
      <c r="BJ292" s="9"/>
      <c r="BK292" s="9"/>
      <c r="BL292" s="40"/>
      <c r="BM292" s="9"/>
      <c r="BN292" s="40"/>
      <c r="BO292" s="9"/>
      <c r="BP292" s="40"/>
      <c r="BQ292" s="9"/>
      <c r="BR292" s="9"/>
      <c r="BS292" s="9"/>
      <c r="BT292" s="40"/>
      <c r="BU292" s="40"/>
      <c r="BV292" s="36" t="str">
        <f aca="false">IF(BU292="","",EDATE(BU292,SG_Criteria!$B$54*12))</f>
        <v/>
      </c>
      <c r="BW292" s="33" t="str">
        <f aca="true">IF(A292="","",IF(BU292="","NOTE: not reviewed yet",IF(TODAY()&gt;BV292,"NOTE: review overdue","OK")))</f>
        <v/>
      </c>
      <c r="BX292" s="37" t="str">
        <f aca="false">IF(A292="","",ROUND((IF(LEN(D292)&gt;0,1,0)+IF(LEN(E292)&gt;0,1,0)+IF(LEN(F292)&gt;0,1,0)+IF(LEN(G292)&gt;0,1,0)+IF(LEN(H292)&gt;0,1,0)+IF(LEN(I292)&gt;0,1,0)+IF(LEN(J292)&gt;0,1,0)+IF(LEN(K292)&gt;0,1,0)+IF(LEN(N292)&gt;0,1,0)+IF(LEN(O292)&gt;0,1,0)+IF(LEN(W292)&gt;0,1,0)+IF(LEN(X292)&gt;0,1,0)+IF(LEN(Y292)&gt;0,1,0)+IF(LEN(AG292)&gt;0,1,0)+IF(LEN(AI292)&gt;0,1,0)+IF(LEN(AJ292)&gt;0,1,0)+IF(LEN(AK292)&gt;0,1,0)+IF(LEN(AL292)&gt;0,1,0)+IF(LEN(AU292)&gt;0,1,0)+IF(LEN(BF292)&gt;0,1,0)+IF(LEN(BS292)&gt;0,1,0))/21,2))</f>
        <v/>
      </c>
      <c r="BY292" s="10" t="str">
        <f aca="false">IF(D292="","",IF(AND(AJ292="Approved",ISERROR(SEARCH("FAIL",BC292))),"Y","N"))</f>
        <v/>
      </c>
      <c r="BZ292" s="10" t="str">
        <f aca="false">IF(D292="","",D292&amp;"|"&amp;F292&amp;"|"&amp;G292&amp;"|"&amp;BY292)</f>
        <v/>
      </c>
    </row>
    <row r="293" customFormat="false" ht="15" hidden="false" customHeight="false" outlineLevel="0" collapsed="false">
      <c r="A293" s="10" t="str">
        <f aca="false">IF(D293="","","LKW-"&amp;IFERROR(VLOOKUP(D293,Lists!$AQ$4:$AR$17,2,0),"??")&amp;"-W"&amp;TEXT(F293*1000,"0000")&amp;"-H"&amp;TEXT(G293*1000,"0000")&amp;"-B"&amp;TEXT(H293*1000,"0000")&amp;"-"&amp;AI293)</f>
        <v/>
      </c>
      <c r="B293" s="10" t="str">
        <f aca="false">IF(D293="","",D293&amp;", "&amp;F293&amp;" m wide, "&amp;G293&amp;" m headroom, "&amp;H293&amp;" m bays, "&amp;I293&amp;" ("&amp;E293&amp;")")</f>
        <v/>
      </c>
      <c r="C293" s="9"/>
      <c r="D293" s="9"/>
      <c r="E293" s="9"/>
      <c r="F293" s="42"/>
      <c r="G293" s="42"/>
      <c r="H293" s="42"/>
      <c r="I293" s="9"/>
      <c r="J293" s="9"/>
      <c r="K293" s="9"/>
      <c r="L293" s="9"/>
      <c r="M293" s="9"/>
      <c r="N293" s="9"/>
      <c r="O293" s="9"/>
      <c r="P293" s="9"/>
      <c r="Q293" s="9"/>
      <c r="R293" s="9"/>
      <c r="S293" s="42"/>
      <c r="T293" s="9"/>
      <c r="U293" s="9"/>
      <c r="V293" s="9"/>
      <c r="W293" s="38"/>
      <c r="X293" s="42"/>
      <c r="Y293" s="9"/>
      <c r="Z293" s="9"/>
      <c r="AA293" s="9"/>
      <c r="AB293" s="42"/>
      <c r="AC293" s="9"/>
      <c r="AD293" s="38"/>
      <c r="AE293" s="9"/>
      <c r="AF293" s="39"/>
      <c r="AG293" s="9"/>
      <c r="AH293" s="9"/>
      <c r="AI293" s="9"/>
      <c r="AJ293" s="9"/>
      <c r="AK293" s="9"/>
      <c r="AL293" s="9"/>
      <c r="AM293" s="9"/>
      <c r="AN293" s="10" t="str">
        <f aca="false">IF(A293="","",SG_Criteria!$B$6&amp;SG_Criteria!$B$12&amp;"\"&amp;A293&amp;"\")</f>
        <v/>
      </c>
      <c r="AO293" s="10" t="str">
        <f aca="false">IF(A293="","",A293&amp;"_CAD.dwg")</f>
        <v/>
      </c>
      <c r="AP293" s="10" t="str">
        <f aca="false">IF(A293="","",A293&amp;"_DWG.pdf")</f>
        <v/>
      </c>
      <c r="AQ293" s="10" t="str">
        <f aca="false">IF(A293="","",IF(AM293="Y",A293&amp;"_STAAD.std","n/a"))</f>
        <v/>
      </c>
      <c r="AR293" s="10" t="str">
        <f aca="false">IF(A293="","",A293&amp;"_CALC.xlsx")</f>
        <v/>
      </c>
      <c r="AS293" s="10" t="str">
        <f aca="false">IF(A293="","",A293&amp;"_CALC.pdf")</f>
        <v/>
      </c>
      <c r="AT293" s="9"/>
      <c r="AU293" s="9"/>
      <c r="AV293" s="39"/>
      <c r="AW293" s="39"/>
      <c r="AX293" s="39"/>
      <c r="AY293" s="39"/>
      <c r="AZ293" s="39"/>
      <c r="BA293" s="12" t="str">
        <f aca="false">IF(A293="","",IF(COUNTIF(Rebar_Schedule!$A$5:$A$2004,A293)=0,"",ROUND(SUMIF(Rebar_Schedule!$A$5:$A$2004,A293,Rebar_Schedule!$K$5:$K$2004),1)))</f>
        <v/>
      </c>
      <c r="BB293" s="33" t="str">
        <f aca="false">IF(A293="","",IF(BA293="","No rebar schedule yet",IF(ABS(BA293-N(AW293))/MAX(N(AW293),1)&gt;SG_Criteria!$B$55,"NOTE: register rebar differs from schedule by "&amp;TEXT(ABS(BA293-N(AW293))/MAX(N(AW293),1),"0%"),"OK")))</f>
        <v/>
      </c>
      <c r="BC293" s="33" t="str">
        <f aca="false">IF(D293="","",IF(LEN(IF(AND(D293&lt;&gt;"High Covered Linkway",G293&lt;SG_Criteria!$B$46),"FAIL: headroom below "&amp;SG_Criteria!$B$46&amp;" m. ","")&amp;IF(AND(D293="High Covered Linkway",G293&lt;SG_Criteria!$B$47),"FAIL: high linkway headroom below "&amp;SG_Criteria!$B$47&amp;" m. ","")&amp;IF(F293&lt;SG_Criteria!$B$48,"FAIL: roof width below "&amp;SG_Criteria!$B$48&amp;" m. ",IF(F293&lt;SG_Criteria!$B$49,"NOTE: not for MRT/LRT or high-traffic routes (min "&amp;SG_Criteria!$B$49&amp;" m). ",""))&amp;IF(AND(W293&lt;&gt;"",W293&lt;SG_Criteria!$B$50),"FAIL: wind speed below "&amp;SG_Criteria!$B$50&amp;" m/s. ","")&amp;IF(AND(X293&lt;&gt;"",X293&lt;SG_Criteria!$B$51),"FAIL: roof fixing pull-out below "&amp;SG_Criteria!$B$51&amp;" kN. ","")&amp;IF(AND(Y293&lt;&gt;"",IFERROR(VALUE(MID(Y293,2,2)),0)&lt;SG_Criteria!$B$52),"FAIL: grade below C"&amp;SG_Criteria!$B$52&amp;". ","")&amp;IF(E293="Non-standard (project design)","NOTE: not an SDRE standard, needs LTA acceptance. ",""))=0,"OK",IF(AND(D293&lt;&gt;"High Covered Linkway",G293&lt;SG_Criteria!$B$46),"FAIL: headroom below "&amp;SG_Criteria!$B$46&amp;" m. ","")&amp;IF(AND(D293="High Covered Linkway",G293&lt;SG_Criteria!$B$47),"FAIL: high linkway headroom below "&amp;SG_Criteria!$B$47&amp;" m. ","")&amp;IF(F293&lt;SG_Criteria!$B$48,"FAIL: roof width below "&amp;SG_Criteria!$B$48&amp;" m. ",IF(F293&lt;SG_Criteria!$B$49,"NOTE: not for MRT/LRT or high-traffic routes (min "&amp;SG_Criteria!$B$49&amp;" m). ",""))&amp;IF(AND(W293&lt;&gt;"",W293&lt;SG_Criteria!$B$50),"FAIL: wind speed below "&amp;SG_Criteria!$B$50&amp;" m/s. ","")&amp;IF(AND(X293&lt;&gt;"",X293&lt;SG_Criteria!$B$51),"FAIL: roof fixing pull-out below "&amp;SG_Criteria!$B$51&amp;" kN. ","")&amp;IF(AND(Y293&lt;&gt;"",IFERROR(VALUE(MID(Y293,2,2)),0)&lt;SG_Criteria!$B$52),"FAIL: grade below C"&amp;SG_Criteria!$B$52&amp;". ","")&amp;IF(E293="Non-standard (project design)","NOTE: not an SDRE standard, needs LTA acceptance. ","")))</f>
        <v/>
      </c>
      <c r="BD293" s="9"/>
      <c r="BE293" s="9"/>
      <c r="BF293" s="9"/>
      <c r="BG293" s="10" t="str">
        <f aca="false">IF(BF293="","",IFERROR(VLOOKUP(BF293,Projects!$A$5:$D$504,2,0),"Ref not in Projects"))</f>
        <v/>
      </c>
      <c r="BH293" s="10" t="str">
        <f aca="false">IF(BF293="","",IFERROR(VLOOKUP(BF293,Projects!$A$5:$D$504,4,0),"Ref not in Projects"))</f>
        <v/>
      </c>
      <c r="BI293" s="9"/>
      <c r="BJ293" s="9"/>
      <c r="BK293" s="9"/>
      <c r="BL293" s="40"/>
      <c r="BM293" s="9"/>
      <c r="BN293" s="40"/>
      <c r="BO293" s="9"/>
      <c r="BP293" s="40"/>
      <c r="BQ293" s="9"/>
      <c r="BR293" s="9"/>
      <c r="BS293" s="9"/>
      <c r="BT293" s="40"/>
      <c r="BU293" s="40"/>
      <c r="BV293" s="36" t="str">
        <f aca="false">IF(BU293="","",EDATE(BU293,SG_Criteria!$B$54*12))</f>
        <v/>
      </c>
      <c r="BW293" s="33" t="str">
        <f aca="true">IF(A293="","",IF(BU293="","NOTE: not reviewed yet",IF(TODAY()&gt;BV293,"NOTE: review overdue","OK")))</f>
        <v/>
      </c>
      <c r="BX293" s="37" t="str">
        <f aca="false">IF(A293="","",ROUND((IF(LEN(D293)&gt;0,1,0)+IF(LEN(E293)&gt;0,1,0)+IF(LEN(F293)&gt;0,1,0)+IF(LEN(G293)&gt;0,1,0)+IF(LEN(H293)&gt;0,1,0)+IF(LEN(I293)&gt;0,1,0)+IF(LEN(J293)&gt;0,1,0)+IF(LEN(K293)&gt;0,1,0)+IF(LEN(N293)&gt;0,1,0)+IF(LEN(O293)&gt;0,1,0)+IF(LEN(W293)&gt;0,1,0)+IF(LEN(X293)&gt;0,1,0)+IF(LEN(Y293)&gt;0,1,0)+IF(LEN(AG293)&gt;0,1,0)+IF(LEN(AI293)&gt;0,1,0)+IF(LEN(AJ293)&gt;0,1,0)+IF(LEN(AK293)&gt;0,1,0)+IF(LEN(AL293)&gt;0,1,0)+IF(LEN(AU293)&gt;0,1,0)+IF(LEN(BF293)&gt;0,1,0)+IF(LEN(BS293)&gt;0,1,0))/21,2))</f>
        <v/>
      </c>
      <c r="BY293" s="10" t="str">
        <f aca="false">IF(D293="","",IF(AND(AJ293="Approved",ISERROR(SEARCH("FAIL",BC293))),"Y","N"))</f>
        <v/>
      </c>
      <c r="BZ293" s="10" t="str">
        <f aca="false">IF(D293="","",D293&amp;"|"&amp;F293&amp;"|"&amp;G293&amp;"|"&amp;BY293)</f>
        <v/>
      </c>
    </row>
    <row r="294" customFormat="false" ht="15" hidden="false" customHeight="false" outlineLevel="0" collapsed="false">
      <c r="A294" s="10" t="str">
        <f aca="false">IF(D294="","","LKW-"&amp;IFERROR(VLOOKUP(D294,Lists!$AQ$4:$AR$17,2,0),"??")&amp;"-W"&amp;TEXT(F294*1000,"0000")&amp;"-H"&amp;TEXT(G294*1000,"0000")&amp;"-B"&amp;TEXT(H294*1000,"0000")&amp;"-"&amp;AI294)</f>
        <v/>
      </c>
      <c r="B294" s="10" t="str">
        <f aca="false">IF(D294="","",D294&amp;", "&amp;F294&amp;" m wide, "&amp;G294&amp;" m headroom, "&amp;H294&amp;" m bays, "&amp;I294&amp;" ("&amp;E294&amp;")")</f>
        <v/>
      </c>
      <c r="C294" s="9"/>
      <c r="D294" s="9"/>
      <c r="E294" s="9"/>
      <c r="F294" s="42"/>
      <c r="G294" s="42"/>
      <c r="H294" s="42"/>
      <c r="I294" s="9"/>
      <c r="J294" s="9"/>
      <c r="K294" s="9"/>
      <c r="L294" s="9"/>
      <c r="M294" s="9"/>
      <c r="N294" s="9"/>
      <c r="O294" s="9"/>
      <c r="P294" s="9"/>
      <c r="Q294" s="9"/>
      <c r="R294" s="9"/>
      <c r="S294" s="42"/>
      <c r="T294" s="9"/>
      <c r="U294" s="9"/>
      <c r="V294" s="9"/>
      <c r="W294" s="38"/>
      <c r="X294" s="42"/>
      <c r="Y294" s="9"/>
      <c r="Z294" s="9"/>
      <c r="AA294" s="9"/>
      <c r="AB294" s="42"/>
      <c r="AC294" s="9"/>
      <c r="AD294" s="38"/>
      <c r="AE294" s="9"/>
      <c r="AF294" s="39"/>
      <c r="AG294" s="9"/>
      <c r="AH294" s="9"/>
      <c r="AI294" s="9"/>
      <c r="AJ294" s="9"/>
      <c r="AK294" s="9"/>
      <c r="AL294" s="9"/>
      <c r="AM294" s="9"/>
      <c r="AN294" s="10" t="str">
        <f aca="false">IF(A294="","",SG_Criteria!$B$6&amp;SG_Criteria!$B$12&amp;"\"&amp;A294&amp;"\")</f>
        <v/>
      </c>
      <c r="AO294" s="10" t="str">
        <f aca="false">IF(A294="","",A294&amp;"_CAD.dwg")</f>
        <v/>
      </c>
      <c r="AP294" s="10" t="str">
        <f aca="false">IF(A294="","",A294&amp;"_DWG.pdf")</f>
        <v/>
      </c>
      <c r="AQ294" s="10" t="str">
        <f aca="false">IF(A294="","",IF(AM294="Y",A294&amp;"_STAAD.std","n/a"))</f>
        <v/>
      </c>
      <c r="AR294" s="10" t="str">
        <f aca="false">IF(A294="","",A294&amp;"_CALC.xlsx")</f>
        <v/>
      </c>
      <c r="AS294" s="10" t="str">
        <f aca="false">IF(A294="","",A294&amp;"_CALC.pdf")</f>
        <v/>
      </c>
      <c r="AT294" s="9"/>
      <c r="AU294" s="9"/>
      <c r="AV294" s="39"/>
      <c r="AW294" s="39"/>
      <c r="AX294" s="39"/>
      <c r="AY294" s="39"/>
      <c r="AZ294" s="39"/>
      <c r="BA294" s="12" t="str">
        <f aca="false">IF(A294="","",IF(COUNTIF(Rebar_Schedule!$A$5:$A$2004,A294)=0,"",ROUND(SUMIF(Rebar_Schedule!$A$5:$A$2004,A294,Rebar_Schedule!$K$5:$K$2004),1)))</f>
        <v/>
      </c>
      <c r="BB294" s="33" t="str">
        <f aca="false">IF(A294="","",IF(BA294="","No rebar schedule yet",IF(ABS(BA294-N(AW294))/MAX(N(AW294),1)&gt;SG_Criteria!$B$55,"NOTE: register rebar differs from schedule by "&amp;TEXT(ABS(BA294-N(AW294))/MAX(N(AW294),1),"0%"),"OK")))</f>
        <v/>
      </c>
      <c r="BC294" s="33" t="str">
        <f aca="false">IF(D294="","",IF(LEN(IF(AND(D294&lt;&gt;"High Covered Linkway",G294&lt;SG_Criteria!$B$46),"FAIL: headroom below "&amp;SG_Criteria!$B$46&amp;" m. ","")&amp;IF(AND(D294="High Covered Linkway",G294&lt;SG_Criteria!$B$47),"FAIL: high linkway headroom below "&amp;SG_Criteria!$B$47&amp;" m. ","")&amp;IF(F294&lt;SG_Criteria!$B$48,"FAIL: roof width below "&amp;SG_Criteria!$B$48&amp;" m. ",IF(F294&lt;SG_Criteria!$B$49,"NOTE: not for MRT/LRT or high-traffic routes (min "&amp;SG_Criteria!$B$49&amp;" m). ",""))&amp;IF(AND(W294&lt;&gt;"",W294&lt;SG_Criteria!$B$50),"FAIL: wind speed below "&amp;SG_Criteria!$B$50&amp;" m/s. ","")&amp;IF(AND(X294&lt;&gt;"",X294&lt;SG_Criteria!$B$51),"FAIL: roof fixing pull-out below "&amp;SG_Criteria!$B$51&amp;" kN. ","")&amp;IF(AND(Y294&lt;&gt;"",IFERROR(VALUE(MID(Y294,2,2)),0)&lt;SG_Criteria!$B$52),"FAIL: grade below C"&amp;SG_Criteria!$B$52&amp;". ","")&amp;IF(E294="Non-standard (project design)","NOTE: not an SDRE standard, needs LTA acceptance. ",""))=0,"OK",IF(AND(D294&lt;&gt;"High Covered Linkway",G294&lt;SG_Criteria!$B$46),"FAIL: headroom below "&amp;SG_Criteria!$B$46&amp;" m. ","")&amp;IF(AND(D294="High Covered Linkway",G294&lt;SG_Criteria!$B$47),"FAIL: high linkway headroom below "&amp;SG_Criteria!$B$47&amp;" m. ","")&amp;IF(F294&lt;SG_Criteria!$B$48,"FAIL: roof width below "&amp;SG_Criteria!$B$48&amp;" m. ",IF(F294&lt;SG_Criteria!$B$49,"NOTE: not for MRT/LRT or high-traffic routes (min "&amp;SG_Criteria!$B$49&amp;" m). ",""))&amp;IF(AND(W294&lt;&gt;"",W294&lt;SG_Criteria!$B$50),"FAIL: wind speed below "&amp;SG_Criteria!$B$50&amp;" m/s. ","")&amp;IF(AND(X294&lt;&gt;"",X294&lt;SG_Criteria!$B$51),"FAIL: roof fixing pull-out below "&amp;SG_Criteria!$B$51&amp;" kN. ","")&amp;IF(AND(Y294&lt;&gt;"",IFERROR(VALUE(MID(Y294,2,2)),0)&lt;SG_Criteria!$B$52),"FAIL: grade below C"&amp;SG_Criteria!$B$52&amp;". ","")&amp;IF(E294="Non-standard (project design)","NOTE: not an SDRE standard, needs LTA acceptance. ","")))</f>
        <v/>
      </c>
      <c r="BD294" s="9"/>
      <c r="BE294" s="9"/>
      <c r="BF294" s="9"/>
      <c r="BG294" s="10" t="str">
        <f aca="false">IF(BF294="","",IFERROR(VLOOKUP(BF294,Projects!$A$5:$D$504,2,0),"Ref not in Projects"))</f>
        <v/>
      </c>
      <c r="BH294" s="10" t="str">
        <f aca="false">IF(BF294="","",IFERROR(VLOOKUP(BF294,Projects!$A$5:$D$504,4,0),"Ref not in Projects"))</f>
        <v/>
      </c>
      <c r="BI294" s="9"/>
      <c r="BJ294" s="9"/>
      <c r="BK294" s="9"/>
      <c r="BL294" s="40"/>
      <c r="BM294" s="9"/>
      <c r="BN294" s="40"/>
      <c r="BO294" s="9"/>
      <c r="BP294" s="40"/>
      <c r="BQ294" s="9"/>
      <c r="BR294" s="9"/>
      <c r="BS294" s="9"/>
      <c r="BT294" s="40"/>
      <c r="BU294" s="40"/>
      <c r="BV294" s="36" t="str">
        <f aca="false">IF(BU294="","",EDATE(BU294,SG_Criteria!$B$54*12))</f>
        <v/>
      </c>
      <c r="BW294" s="33" t="str">
        <f aca="true">IF(A294="","",IF(BU294="","NOTE: not reviewed yet",IF(TODAY()&gt;BV294,"NOTE: review overdue","OK")))</f>
        <v/>
      </c>
      <c r="BX294" s="37" t="str">
        <f aca="false">IF(A294="","",ROUND((IF(LEN(D294)&gt;0,1,0)+IF(LEN(E294)&gt;0,1,0)+IF(LEN(F294)&gt;0,1,0)+IF(LEN(G294)&gt;0,1,0)+IF(LEN(H294)&gt;0,1,0)+IF(LEN(I294)&gt;0,1,0)+IF(LEN(J294)&gt;0,1,0)+IF(LEN(K294)&gt;0,1,0)+IF(LEN(N294)&gt;0,1,0)+IF(LEN(O294)&gt;0,1,0)+IF(LEN(W294)&gt;0,1,0)+IF(LEN(X294)&gt;0,1,0)+IF(LEN(Y294)&gt;0,1,0)+IF(LEN(AG294)&gt;0,1,0)+IF(LEN(AI294)&gt;0,1,0)+IF(LEN(AJ294)&gt;0,1,0)+IF(LEN(AK294)&gt;0,1,0)+IF(LEN(AL294)&gt;0,1,0)+IF(LEN(AU294)&gt;0,1,0)+IF(LEN(BF294)&gt;0,1,0)+IF(LEN(BS294)&gt;0,1,0))/21,2))</f>
        <v/>
      </c>
      <c r="BY294" s="10" t="str">
        <f aca="false">IF(D294="","",IF(AND(AJ294="Approved",ISERROR(SEARCH("FAIL",BC294))),"Y","N"))</f>
        <v/>
      </c>
      <c r="BZ294" s="10" t="str">
        <f aca="false">IF(D294="","",D294&amp;"|"&amp;F294&amp;"|"&amp;G294&amp;"|"&amp;BY294)</f>
        <v/>
      </c>
    </row>
    <row r="295" customFormat="false" ht="15" hidden="false" customHeight="false" outlineLevel="0" collapsed="false">
      <c r="A295" s="10" t="str">
        <f aca="false">IF(D295="","","LKW-"&amp;IFERROR(VLOOKUP(D295,Lists!$AQ$4:$AR$17,2,0),"??")&amp;"-W"&amp;TEXT(F295*1000,"0000")&amp;"-H"&amp;TEXT(G295*1000,"0000")&amp;"-B"&amp;TEXT(H295*1000,"0000")&amp;"-"&amp;AI295)</f>
        <v/>
      </c>
      <c r="B295" s="10" t="str">
        <f aca="false">IF(D295="","",D295&amp;", "&amp;F295&amp;" m wide, "&amp;G295&amp;" m headroom, "&amp;H295&amp;" m bays, "&amp;I295&amp;" ("&amp;E295&amp;")")</f>
        <v/>
      </c>
      <c r="C295" s="9"/>
      <c r="D295" s="9"/>
      <c r="E295" s="9"/>
      <c r="F295" s="42"/>
      <c r="G295" s="42"/>
      <c r="H295" s="42"/>
      <c r="I295" s="9"/>
      <c r="J295" s="9"/>
      <c r="K295" s="9"/>
      <c r="L295" s="9"/>
      <c r="M295" s="9"/>
      <c r="N295" s="9"/>
      <c r="O295" s="9"/>
      <c r="P295" s="9"/>
      <c r="Q295" s="9"/>
      <c r="R295" s="9"/>
      <c r="S295" s="42"/>
      <c r="T295" s="9"/>
      <c r="U295" s="9"/>
      <c r="V295" s="9"/>
      <c r="W295" s="38"/>
      <c r="X295" s="42"/>
      <c r="Y295" s="9"/>
      <c r="Z295" s="9"/>
      <c r="AA295" s="9"/>
      <c r="AB295" s="42"/>
      <c r="AC295" s="9"/>
      <c r="AD295" s="38"/>
      <c r="AE295" s="9"/>
      <c r="AF295" s="39"/>
      <c r="AG295" s="9"/>
      <c r="AH295" s="9"/>
      <c r="AI295" s="9"/>
      <c r="AJ295" s="9"/>
      <c r="AK295" s="9"/>
      <c r="AL295" s="9"/>
      <c r="AM295" s="9"/>
      <c r="AN295" s="10" t="str">
        <f aca="false">IF(A295="","",SG_Criteria!$B$6&amp;SG_Criteria!$B$12&amp;"\"&amp;A295&amp;"\")</f>
        <v/>
      </c>
      <c r="AO295" s="10" t="str">
        <f aca="false">IF(A295="","",A295&amp;"_CAD.dwg")</f>
        <v/>
      </c>
      <c r="AP295" s="10" t="str">
        <f aca="false">IF(A295="","",A295&amp;"_DWG.pdf")</f>
        <v/>
      </c>
      <c r="AQ295" s="10" t="str">
        <f aca="false">IF(A295="","",IF(AM295="Y",A295&amp;"_STAAD.std","n/a"))</f>
        <v/>
      </c>
      <c r="AR295" s="10" t="str">
        <f aca="false">IF(A295="","",A295&amp;"_CALC.xlsx")</f>
        <v/>
      </c>
      <c r="AS295" s="10" t="str">
        <f aca="false">IF(A295="","",A295&amp;"_CALC.pdf")</f>
        <v/>
      </c>
      <c r="AT295" s="9"/>
      <c r="AU295" s="9"/>
      <c r="AV295" s="39"/>
      <c r="AW295" s="39"/>
      <c r="AX295" s="39"/>
      <c r="AY295" s="39"/>
      <c r="AZ295" s="39"/>
      <c r="BA295" s="12" t="str">
        <f aca="false">IF(A295="","",IF(COUNTIF(Rebar_Schedule!$A$5:$A$2004,A295)=0,"",ROUND(SUMIF(Rebar_Schedule!$A$5:$A$2004,A295,Rebar_Schedule!$K$5:$K$2004),1)))</f>
        <v/>
      </c>
      <c r="BB295" s="33" t="str">
        <f aca="false">IF(A295="","",IF(BA295="","No rebar schedule yet",IF(ABS(BA295-N(AW295))/MAX(N(AW295),1)&gt;SG_Criteria!$B$55,"NOTE: register rebar differs from schedule by "&amp;TEXT(ABS(BA295-N(AW295))/MAX(N(AW295),1),"0%"),"OK")))</f>
        <v/>
      </c>
      <c r="BC295" s="33" t="str">
        <f aca="false">IF(D295="","",IF(LEN(IF(AND(D295&lt;&gt;"High Covered Linkway",G295&lt;SG_Criteria!$B$46),"FAIL: headroom below "&amp;SG_Criteria!$B$46&amp;" m. ","")&amp;IF(AND(D295="High Covered Linkway",G295&lt;SG_Criteria!$B$47),"FAIL: high linkway headroom below "&amp;SG_Criteria!$B$47&amp;" m. ","")&amp;IF(F295&lt;SG_Criteria!$B$48,"FAIL: roof width below "&amp;SG_Criteria!$B$48&amp;" m. ",IF(F295&lt;SG_Criteria!$B$49,"NOTE: not for MRT/LRT or high-traffic routes (min "&amp;SG_Criteria!$B$49&amp;" m). ",""))&amp;IF(AND(W295&lt;&gt;"",W295&lt;SG_Criteria!$B$50),"FAIL: wind speed below "&amp;SG_Criteria!$B$50&amp;" m/s. ","")&amp;IF(AND(X295&lt;&gt;"",X295&lt;SG_Criteria!$B$51),"FAIL: roof fixing pull-out below "&amp;SG_Criteria!$B$51&amp;" kN. ","")&amp;IF(AND(Y295&lt;&gt;"",IFERROR(VALUE(MID(Y295,2,2)),0)&lt;SG_Criteria!$B$52),"FAIL: grade below C"&amp;SG_Criteria!$B$52&amp;". ","")&amp;IF(E295="Non-standard (project design)","NOTE: not an SDRE standard, needs LTA acceptance. ",""))=0,"OK",IF(AND(D295&lt;&gt;"High Covered Linkway",G295&lt;SG_Criteria!$B$46),"FAIL: headroom below "&amp;SG_Criteria!$B$46&amp;" m. ","")&amp;IF(AND(D295="High Covered Linkway",G295&lt;SG_Criteria!$B$47),"FAIL: high linkway headroom below "&amp;SG_Criteria!$B$47&amp;" m. ","")&amp;IF(F295&lt;SG_Criteria!$B$48,"FAIL: roof width below "&amp;SG_Criteria!$B$48&amp;" m. ",IF(F295&lt;SG_Criteria!$B$49,"NOTE: not for MRT/LRT or high-traffic routes (min "&amp;SG_Criteria!$B$49&amp;" m). ",""))&amp;IF(AND(W295&lt;&gt;"",W295&lt;SG_Criteria!$B$50),"FAIL: wind speed below "&amp;SG_Criteria!$B$50&amp;" m/s. ","")&amp;IF(AND(X295&lt;&gt;"",X295&lt;SG_Criteria!$B$51),"FAIL: roof fixing pull-out below "&amp;SG_Criteria!$B$51&amp;" kN. ","")&amp;IF(AND(Y295&lt;&gt;"",IFERROR(VALUE(MID(Y295,2,2)),0)&lt;SG_Criteria!$B$52),"FAIL: grade below C"&amp;SG_Criteria!$B$52&amp;". ","")&amp;IF(E295="Non-standard (project design)","NOTE: not an SDRE standard, needs LTA acceptance. ","")))</f>
        <v/>
      </c>
      <c r="BD295" s="9"/>
      <c r="BE295" s="9"/>
      <c r="BF295" s="9"/>
      <c r="BG295" s="10" t="str">
        <f aca="false">IF(BF295="","",IFERROR(VLOOKUP(BF295,Projects!$A$5:$D$504,2,0),"Ref not in Projects"))</f>
        <v/>
      </c>
      <c r="BH295" s="10" t="str">
        <f aca="false">IF(BF295="","",IFERROR(VLOOKUP(BF295,Projects!$A$5:$D$504,4,0),"Ref not in Projects"))</f>
        <v/>
      </c>
      <c r="BI295" s="9"/>
      <c r="BJ295" s="9"/>
      <c r="BK295" s="9"/>
      <c r="BL295" s="40"/>
      <c r="BM295" s="9"/>
      <c r="BN295" s="40"/>
      <c r="BO295" s="9"/>
      <c r="BP295" s="40"/>
      <c r="BQ295" s="9"/>
      <c r="BR295" s="9"/>
      <c r="BS295" s="9"/>
      <c r="BT295" s="40"/>
      <c r="BU295" s="40"/>
      <c r="BV295" s="36" t="str">
        <f aca="false">IF(BU295="","",EDATE(BU295,SG_Criteria!$B$54*12))</f>
        <v/>
      </c>
      <c r="BW295" s="33" t="str">
        <f aca="true">IF(A295="","",IF(BU295="","NOTE: not reviewed yet",IF(TODAY()&gt;BV295,"NOTE: review overdue","OK")))</f>
        <v/>
      </c>
      <c r="BX295" s="37" t="str">
        <f aca="false">IF(A295="","",ROUND((IF(LEN(D295)&gt;0,1,0)+IF(LEN(E295)&gt;0,1,0)+IF(LEN(F295)&gt;0,1,0)+IF(LEN(G295)&gt;0,1,0)+IF(LEN(H295)&gt;0,1,0)+IF(LEN(I295)&gt;0,1,0)+IF(LEN(J295)&gt;0,1,0)+IF(LEN(K295)&gt;0,1,0)+IF(LEN(N295)&gt;0,1,0)+IF(LEN(O295)&gt;0,1,0)+IF(LEN(W295)&gt;0,1,0)+IF(LEN(X295)&gt;0,1,0)+IF(LEN(Y295)&gt;0,1,0)+IF(LEN(AG295)&gt;0,1,0)+IF(LEN(AI295)&gt;0,1,0)+IF(LEN(AJ295)&gt;0,1,0)+IF(LEN(AK295)&gt;0,1,0)+IF(LEN(AL295)&gt;0,1,0)+IF(LEN(AU295)&gt;0,1,0)+IF(LEN(BF295)&gt;0,1,0)+IF(LEN(BS295)&gt;0,1,0))/21,2))</f>
        <v/>
      </c>
      <c r="BY295" s="10" t="str">
        <f aca="false">IF(D295="","",IF(AND(AJ295="Approved",ISERROR(SEARCH("FAIL",BC295))),"Y","N"))</f>
        <v/>
      </c>
      <c r="BZ295" s="10" t="str">
        <f aca="false">IF(D295="","",D295&amp;"|"&amp;F295&amp;"|"&amp;G295&amp;"|"&amp;BY295)</f>
        <v/>
      </c>
    </row>
    <row r="296" customFormat="false" ht="15" hidden="false" customHeight="false" outlineLevel="0" collapsed="false">
      <c r="A296" s="10" t="str">
        <f aca="false">IF(D296="","","LKW-"&amp;IFERROR(VLOOKUP(D296,Lists!$AQ$4:$AR$17,2,0),"??")&amp;"-W"&amp;TEXT(F296*1000,"0000")&amp;"-H"&amp;TEXT(G296*1000,"0000")&amp;"-B"&amp;TEXT(H296*1000,"0000")&amp;"-"&amp;AI296)</f>
        <v/>
      </c>
      <c r="B296" s="10" t="str">
        <f aca="false">IF(D296="","",D296&amp;", "&amp;F296&amp;" m wide, "&amp;G296&amp;" m headroom, "&amp;H296&amp;" m bays, "&amp;I296&amp;" ("&amp;E296&amp;")")</f>
        <v/>
      </c>
      <c r="C296" s="9"/>
      <c r="D296" s="9"/>
      <c r="E296" s="9"/>
      <c r="F296" s="42"/>
      <c r="G296" s="42"/>
      <c r="H296" s="42"/>
      <c r="I296" s="9"/>
      <c r="J296" s="9"/>
      <c r="K296" s="9"/>
      <c r="L296" s="9"/>
      <c r="M296" s="9"/>
      <c r="N296" s="9"/>
      <c r="O296" s="9"/>
      <c r="P296" s="9"/>
      <c r="Q296" s="9"/>
      <c r="R296" s="9"/>
      <c r="S296" s="42"/>
      <c r="T296" s="9"/>
      <c r="U296" s="9"/>
      <c r="V296" s="9"/>
      <c r="W296" s="38"/>
      <c r="X296" s="42"/>
      <c r="Y296" s="9"/>
      <c r="Z296" s="9"/>
      <c r="AA296" s="9"/>
      <c r="AB296" s="42"/>
      <c r="AC296" s="9"/>
      <c r="AD296" s="38"/>
      <c r="AE296" s="9"/>
      <c r="AF296" s="39"/>
      <c r="AG296" s="9"/>
      <c r="AH296" s="9"/>
      <c r="AI296" s="9"/>
      <c r="AJ296" s="9"/>
      <c r="AK296" s="9"/>
      <c r="AL296" s="9"/>
      <c r="AM296" s="9"/>
      <c r="AN296" s="10" t="str">
        <f aca="false">IF(A296="","",SG_Criteria!$B$6&amp;SG_Criteria!$B$12&amp;"\"&amp;A296&amp;"\")</f>
        <v/>
      </c>
      <c r="AO296" s="10" t="str">
        <f aca="false">IF(A296="","",A296&amp;"_CAD.dwg")</f>
        <v/>
      </c>
      <c r="AP296" s="10" t="str">
        <f aca="false">IF(A296="","",A296&amp;"_DWG.pdf")</f>
        <v/>
      </c>
      <c r="AQ296" s="10" t="str">
        <f aca="false">IF(A296="","",IF(AM296="Y",A296&amp;"_STAAD.std","n/a"))</f>
        <v/>
      </c>
      <c r="AR296" s="10" t="str">
        <f aca="false">IF(A296="","",A296&amp;"_CALC.xlsx")</f>
        <v/>
      </c>
      <c r="AS296" s="10" t="str">
        <f aca="false">IF(A296="","",A296&amp;"_CALC.pdf")</f>
        <v/>
      </c>
      <c r="AT296" s="9"/>
      <c r="AU296" s="9"/>
      <c r="AV296" s="39"/>
      <c r="AW296" s="39"/>
      <c r="AX296" s="39"/>
      <c r="AY296" s="39"/>
      <c r="AZ296" s="39"/>
      <c r="BA296" s="12" t="str">
        <f aca="false">IF(A296="","",IF(COUNTIF(Rebar_Schedule!$A$5:$A$2004,A296)=0,"",ROUND(SUMIF(Rebar_Schedule!$A$5:$A$2004,A296,Rebar_Schedule!$K$5:$K$2004),1)))</f>
        <v/>
      </c>
      <c r="BB296" s="33" t="str">
        <f aca="false">IF(A296="","",IF(BA296="","No rebar schedule yet",IF(ABS(BA296-N(AW296))/MAX(N(AW296),1)&gt;SG_Criteria!$B$55,"NOTE: register rebar differs from schedule by "&amp;TEXT(ABS(BA296-N(AW296))/MAX(N(AW296),1),"0%"),"OK")))</f>
        <v/>
      </c>
      <c r="BC296" s="33" t="str">
        <f aca="false">IF(D296="","",IF(LEN(IF(AND(D296&lt;&gt;"High Covered Linkway",G296&lt;SG_Criteria!$B$46),"FAIL: headroom below "&amp;SG_Criteria!$B$46&amp;" m. ","")&amp;IF(AND(D296="High Covered Linkway",G296&lt;SG_Criteria!$B$47),"FAIL: high linkway headroom below "&amp;SG_Criteria!$B$47&amp;" m. ","")&amp;IF(F296&lt;SG_Criteria!$B$48,"FAIL: roof width below "&amp;SG_Criteria!$B$48&amp;" m. ",IF(F296&lt;SG_Criteria!$B$49,"NOTE: not for MRT/LRT or high-traffic routes (min "&amp;SG_Criteria!$B$49&amp;" m). ",""))&amp;IF(AND(W296&lt;&gt;"",W296&lt;SG_Criteria!$B$50),"FAIL: wind speed below "&amp;SG_Criteria!$B$50&amp;" m/s. ","")&amp;IF(AND(X296&lt;&gt;"",X296&lt;SG_Criteria!$B$51),"FAIL: roof fixing pull-out below "&amp;SG_Criteria!$B$51&amp;" kN. ","")&amp;IF(AND(Y296&lt;&gt;"",IFERROR(VALUE(MID(Y296,2,2)),0)&lt;SG_Criteria!$B$52),"FAIL: grade below C"&amp;SG_Criteria!$B$52&amp;". ","")&amp;IF(E296="Non-standard (project design)","NOTE: not an SDRE standard, needs LTA acceptance. ",""))=0,"OK",IF(AND(D296&lt;&gt;"High Covered Linkway",G296&lt;SG_Criteria!$B$46),"FAIL: headroom below "&amp;SG_Criteria!$B$46&amp;" m. ","")&amp;IF(AND(D296="High Covered Linkway",G296&lt;SG_Criteria!$B$47),"FAIL: high linkway headroom below "&amp;SG_Criteria!$B$47&amp;" m. ","")&amp;IF(F296&lt;SG_Criteria!$B$48,"FAIL: roof width below "&amp;SG_Criteria!$B$48&amp;" m. ",IF(F296&lt;SG_Criteria!$B$49,"NOTE: not for MRT/LRT or high-traffic routes (min "&amp;SG_Criteria!$B$49&amp;" m). ",""))&amp;IF(AND(W296&lt;&gt;"",W296&lt;SG_Criteria!$B$50),"FAIL: wind speed below "&amp;SG_Criteria!$B$50&amp;" m/s. ","")&amp;IF(AND(X296&lt;&gt;"",X296&lt;SG_Criteria!$B$51),"FAIL: roof fixing pull-out below "&amp;SG_Criteria!$B$51&amp;" kN. ","")&amp;IF(AND(Y296&lt;&gt;"",IFERROR(VALUE(MID(Y296,2,2)),0)&lt;SG_Criteria!$B$52),"FAIL: grade below C"&amp;SG_Criteria!$B$52&amp;". ","")&amp;IF(E296="Non-standard (project design)","NOTE: not an SDRE standard, needs LTA acceptance. ","")))</f>
        <v/>
      </c>
      <c r="BD296" s="9"/>
      <c r="BE296" s="9"/>
      <c r="BF296" s="9"/>
      <c r="BG296" s="10" t="str">
        <f aca="false">IF(BF296="","",IFERROR(VLOOKUP(BF296,Projects!$A$5:$D$504,2,0),"Ref not in Projects"))</f>
        <v/>
      </c>
      <c r="BH296" s="10" t="str">
        <f aca="false">IF(BF296="","",IFERROR(VLOOKUP(BF296,Projects!$A$5:$D$504,4,0),"Ref not in Projects"))</f>
        <v/>
      </c>
      <c r="BI296" s="9"/>
      <c r="BJ296" s="9"/>
      <c r="BK296" s="9"/>
      <c r="BL296" s="40"/>
      <c r="BM296" s="9"/>
      <c r="BN296" s="40"/>
      <c r="BO296" s="9"/>
      <c r="BP296" s="40"/>
      <c r="BQ296" s="9"/>
      <c r="BR296" s="9"/>
      <c r="BS296" s="9"/>
      <c r="BT296" s="40"/>
      <c r="BU296" s="40"/>
      <c r="BV296" s="36" t="str">
        <f aca="false">IF(BU296="","",EDATE(BU296,SG_Criteria!$B$54*12))</f>
        <v/>
      </c>
      <c r="BW296" s="33" t="str">
        <f aca="true">IF(A296="","",IF(BU296="","NOTE: not reviewed yet",IF(TODAY()&gt;BV296,"NOTE: review overdue","OK")))</f>
        <v/>
      </c>
      <c r="BX296" s="37" t="str">
        <f aca="false">IF(A296="","",ROUND((IF(LEN(D296)&gt;0,1,0)+IF(LEN(E296)&gt;0,1,0)+IF(LEN(F296)&gt;0,1,0)+IF(LEN(G296)&gt;0,1,0)+IF(LEN(H296)&gt;0,1,0)+IF(LEN(I296)&gt;0,1,0)+IF(LEN(J296)&gt;0,1,0)+IF(LEN(K296)&gt;0,1,0)+IF(LEN(N296)&gt;0,1,0)+IF(LEN(O296)&gt;0,1,0)+IF(LEN(W296)&gt;0,1,0)+IF(LEN(X296)&gt;0,1,0)+IF(LEN(Y296)&gt;0,1,0)+IF(LEN(AG296)&gt;0,1,0)+IF(LEN(AI296)&gt;0,1,0)+IF(LEN(AJ296)&gt;0,1,0)+IF(LEN(AK296)&gt;0,1,0)+IF(LEN(AL296)&gt;0,1,0)+IF(LEN(AU296)&gt;0,1,0)+IF(LEN(BF296)&gt;0,1,0)+IF(LEN(BS296)&gt;0,1,0))/21,2))</f>
        <v/>
      </c>
      <c r="BY296" s="10" t="str">
        <f aca="false">IF(D296="","",IF(AND(AJ296="Approved",ISERROR(SEARCH("FAIL",BC296))),"Y","N"))</f>
        <v/>
      </c>
      <c r="BZ296" s="10" t="str">
        <f aca="false">IF(D296="","",D296&amp;"|"&amp;F296&amp;"|"&amp;G296&amp;"|"&amp;BY296)</f>
        <v/>
      </c>
    </row>
    <row r="297" customFormat="false" ht="15" hidden="false" customHeight="false" outlineLevel="0" collapsed="false">
      <c r="A297" s="10" t="str">
        <f aca="false">IF(D297="","","LKW-"&amp;IFERROR(VLOOKUP(D297,Lists!$AQ$4:$AR$17,2,0),"??")&amp;"-W"&amp;TEXT(F297*1000,"0000")&amp;"-H"&amp;TEXT(G297*1000,"0000")&amp;"-B"&amp;TEXT(H297*1000,"0000")&amp;"-"&amp;AI297)</f>
        <v/>
      </c>
      <c r="B297" s="10" t="str">
        <f aca="false">IF(D297="","",D297&amp;", "&amp;F297&amp;" m wide, "&amp;G297&amp;" m headroom, "&amp;H297&amp;" m bays, "&amp;I297&amp;" ("&amp;E297&amp;")")</f>
        <v/>
      </c>
      <c r="C297" s="9"/>
      <c r="D297" s="9"/>
      <c r="E297" s="9"/>
      <c r="F297" s="42"/>
      <c r="G297" s="42"/>
      <c r="H297" s="42"/>
      <c r="I297" s="9"/>
      <c r="J297" s="9"/>
      <c r="K297" s="9"/>
      <c r="L297" s="9"/>
      <c r="M297" s="9"/>
      <c r="N297" s="9"/>
      <c r="O297" s="9"/>
      <c r="P297" s="9"/>
      <c r="Q297" s="9"/>
      <c r="R297" s="9"/>
      <c r="S297" s="42"/>
      <c r="T297" s="9"/>
      <c r="U297" s="9"/>
      <c r="V297" s="9"/>
      <c r="W297" s="38"/>
      <c r="X297" s="42"/>
      <c r="Y297" s="9"/>
      <c r="Z297" s="9"/>
      <c r="AA297" s="9"/>
      <c r="AB297" s="42"/>
      <c r="AC297" s="9"/>
      <c r="AD297" s="38"/>
      <c r="AE297" s="9"/>
      <c r="AF297" s="39"/>
      <c r="AG297" s="9"/>
      <c r="AH297" s="9"/>
      <c r="AI297" s="9"/>
      <c r="AJ297" s="9"/>
      <c r="AK297" s="9"/>
      <c r="AL297" s="9"/>
      <c r="AM297" s="9"/>
      <c r="AN297" s="10" t="str">
        <f aca="false">IF(A297="","",SG_Criteria!$B$6&amp;SG_Criteria!$B$12&amp;"\"&amp;A297&amp;"\")</f>
        <v/>
      </c>
      <c r="AO297" s="10" t="str">
        <f aca="false">IF(A297="","",A297&amp;"_CAD.dwg")</f>
        <v/>
      </c>
      <c r="AP297" s="10" t="str">
        <f aca="false">IF(A297="","",A297&amp;"_DWG.pdf")</f>
        <v/>
      </c>
      <c r="AQ297" s="10" t="str">
        <f aca="false">IF(A297="","",IF(AM297="Y",A297&amp;"_STAAD.std","n/a"))</f>
        <v/>
      </c>
      <c r="AR297" s="10" t="str">
        <f aca="false">IF(A297="","",A297&amp;"_CALC.xlsx")</f>
        <v/>
      </c>
      <c r="AS297" s="10" t="str">
        <f aca="false">IF(A297="","",A297&amp;"_CALC.pdf")</f>
        <v/>
      </c>
      <c r="AT297" s="9"/>
      <c r="AU297" s="9"/>
      <c r="AV297" s="39"/>
      <c r="AW297" s="39"/>
      <c r="AX297" s="39"/>
      <c r="AY297" s="39"/>
      <c r="AZ297" s="39"/>
      <c r="BA297" s="12" t="str">
        <f aca="false">IF(A297="","",IF(COUNTIF(Rebar_Schedule!$A$5:$A$2004,A297)=0,"",ROUND(SUMIF(Rebar_Schedule!$A$5:$A$2004,A297,Rebar_Schedule!$K$5:$K$2004),1)))</f>
        <v/>
      </c>
      <c r="BB297" s="33" t="str">
        <f aca="false">IF(A297="","",IF(BA297="","No rebar schedule yet",IF(ABS(BA297-N(AW297))/MAX(N(AW297),1)&gt;SG_Criteria!$B$55,"NOTE: register rebar differs from schedule by "&amp;TEXT(ABS(BA297-N(AW297))/MAX(N(AW297),1),"0%"),"OK")))</f>
        <v/>
      </c>
      <c r="BC297" s="33" t="str">
        <f aca="false">IF(D297="","",IF(LEN(IF(AND(D297&lt;&gt;"High Covered Linkway",G297&lt;SG_Criteria!$B$46),"FAIL: headroom below "&amp;SG_Criteria!$B$46&amp;" m. ","")&amp;IF(AND(D297="High Covered Linkway",G297&lt;SG_Criteria!$B$47),"FAIL: high linkway headroom below "&amp;SG_Criteria!$B$47&amp;" m. ","")&amp;IF(F297&lt;SG_Criteria!$B$48,"FAIL: roof width below "&amp;SG_Criteria!$B$48&amp;" m. ",IF(F297&lt;SG_Criteria!$B$49,"NOTE: not for MRT/LRT or high-traffic routes (min "&amp;SG_Criteria!$B$49&amp;" m). ",""))&amp;IF(AND(W297&lt;&gt;"",W297&lt;SG_Criteria!$B$50),"FAIL: wind speed below "&amp;SG_Criteria!$B$50&amp;" m/s. ","")&amp;IF(AND(X297&lt;&gt;"",X297&lt;SG_Criteria!$B$51),"FAIL: roof fixing pull-out below "&amp;SG_Criteria!$B$51&amp;" kN. ","")&amp;IF(AND(Y297&lt;&gt;"",IFERROR(VALUE(MID(Y297,2,2)),0)&lt;SG_Criteria!$B$52),"FAIL: grade below C"&amp;SG_Criteria!$B$52&amp;". ","")&amp;IF(E297="Non-standard (project design)","NOTE: not an SDRE standard, needs LTA acceptance. ",""))=0,"OK",IF(AND(D297&lt;&gt;"High Covered Linkway",G297&lt;SG_Criteria!$B$46),"FAIL: headroom below "&amp;SG_Criteria!$B$46&amp;" m. ","")&amp;IF(AND(D297="High Covered Linkway",G297&lt;SG_Criteria!$B$47),"FAIL: high linkway headroom below "&amp;SG_Criteria!$B$47&amp;" m. ","")&amp;IF(F297&lt;SG_Criteria!$B$48,"FAIL: roof width below "&amp;SG_Criteria!$B$48&amp;" m. ",IF(F297&lt;SG_Criteria!$B$49,"NOTE: not for MRT/LRT or high-traffic routes (min "&amp;SG_Criteria!$B$49&amp;" m). ",""))&amp;IF(AND(W297&lt;&gt;"",W297&lt;SG_Criteria!$B$50),"FAIL: wind speed below "&amp;SG_Criteria!$B$50&amp;" m/s. ","")&amp;IF(AND(X297&lt;&gt;"",X297&lt;SG_Criteria!$B$51),"FAIL: roof fixing pull-out below "&amp;SG_Criteria!$B$51&amp;" kN. ","")&amp;IF(AND(Y297&lt;&gt;"",IFERROR(VALUE(MID(Y297,2,2)),0)&lt;SG_Criteria!$B$52),"FAIL: grade below C"&amp;SG_Criteria!$B$52&amp;". ","")&amp;IF(E297="Non-standard (project design)","NOTE: not an SDRE standard, needs LTA acceptance. ","")))</f>
        <v/>
      </c>
      <c r="BD297" s="9"/>
      <c r="BE297" s="9"/>
      <c r="BF297" s="9"/>
      <c r="BG297" s="10" t="str">
        <f aca="false">IF(BF297="","",IFERROR(VLOOKUP(BF297,Projects!$A$5:$D$504,2,0),"Ref not in Projects"))</f>
        <v/>
      </c>
      <c r="BH297" s="10" t="str">
        <f aca="false">IF(BF297="","",IFERROR(VLOOKUP(BF297,Projects!$A$5:$D$504,4,0),"Ref not in Projects"))</f>
        <v/>
      </c>
      <c r="BI297" s="9"/>
      <c r="BJ297" s="9"/>
      <c r="BK297" s="9"/>
      <c r="BL297" s="40"/>
      <c r="BM297" s="9"/>
      <c r="BN297" s="40"/>
      <c r="BO297" s="9"/>
      <c r="BP297" s="40"/>
      <c r="BQ297" s="9"/>
      <c r="BR297" s="9"/>
      <c r="BS297" s="9"/>
      <c r="BT297" s="40"/>
      <c r="BU297" s="40"/>
      <c r="BV297" s="36" t="str">
        <f aca="false">IF(BU297="","",EDATE(BU297,SG_Criteria!$B$54*12))</f>
        <v/>
      </c>
      <c r="BW297" s="33" t="str">
        <f aca="true">IF(A297="","",IF(BU297="","NOTE: not reviewed yet",IF(TODAY()&gt;BV297,"NOTE: review overdue","OK")))</f>
        <v/>
      </c>
      <c r="BX297" s="37" t="str">
        <f aca="false">IF(A297="","",ROUND((IF(LEN(D297)&gt;0,1,0)+IF(LEN(E297)&gt;0,1,0)+IF(LEN(F297)&gt;0,1,0)+IF(LEN(G297)&gt;0,1,0)+IF(LEN(H297)&gt;0,1,0)+IF(LEN(I297)&gt;0,1,0)+IF(LEN(J297)&gt;0,1,0)+IF(LEN(K297)&gt;0,1,0)+IF(LEN(N297)&gt;0,1,0)+IF(LEN(O297)&gt;0,1,0)+IF(LEN(W297)&gt;0,1,0)+IF(LEN(X297)&gt;0,1,0)+IF(LEN(Y297)&gt;0,1,0)+IF(LEN(AG297)&gt;0,1,0)+IF(LEN(AI297)&gt;0,1,0)+IF(LEN(AJ297)&gt;0,1,0)+IF(LEN(AK297)&gt;0,1,0)+IF(LEN(AL297)&gt;0,1,0)+IF(LEN(AU297)&gt;0,1,0)+IF(LEN(BF297)&gt;0,1,0)+IF(LEN(BS297)&gt;0,1,0))/21,2))</f>
        <v/>
      </c>
      <c r="BY297" s="10" t="str">
        <f aca="false">IF(D297="","",IF(AND(AJ297="Approved",ISERROR(SEARCH("FAIL",BC297))),"Y","N"))</f>
        <v/>
      </c>
      <c r="BZ297" s="10" t="str">
        <f aca="false">IF(D297="","",D297&amp;"|"&amp;F297&amp;"|"&amp;G297&amp;"|"&amp;BY297)</f>
        <v/>
      </c>
    </row>
    <row r="298" customFormat="false" ht="15" hidden="false" customHeight="false" outlineLevel="0" collapsed="false">
      <c r="A298" s="10" t="str">
        <f aca="false">IF(D298="","","LKW-"&amp;IFERROR(VLOOKUP(D298,Lists!$AQ$4:$AR$17,2,0),"??")&amp;"-W"&amp;TEXT(F298*1000,"0000")&amp;"-H"&amp;TEXT(G298*1000,"0000")&amp;"-B"&amp;TEXT(H298*1000,"0000")&amp;"-"&amp;AI298)</f>
        <v/>
      </c>
      <c r="B298" s="10" t="str">
        <f aca="false">IF(D298="","",D298&amp;", "&amp;F298&amp;" m wide, "&amp;G298&amp;" m headroom, "&amp;H298&amp;" m bays, "&amp;I298&amp;" ("&amp;E298&amp;")")</f>
        <v/>
      </c>
      <c r="C298" s="9"/>
      <c r="D298" s="9"/>
      <c r="E298" s="9"/>
      <c r="F298" s="42"/>
      <c r="G298" s="42"/>
      <c r="H298" s="42"/>
      <c r="I298" s="9"/>
      <c r="J298" s="9"/>
      <c r="K298" s="9"/>
      <c r="L298" s="9"/>
      <c r="M298" s="9"/>
      <c r="N298" s="9"/>
      <c r="O298" s="9"/>
      <c r="P298" s="9"/>
      <c r="Q298" s="9"/>
      <c r="R298" s="9"/>
      <c r="S298" s="42"/>
      <c r="T298" s="9"/>
      <c r="U298" s="9"/>
      <c r="V298" s="9"/>
      <c r="W298" s="38"/>
      <c r="X298" s="42"/>
      <c r="Y298" s="9"/>
      <c r="Z298" s="9"/>
      <c r="AA298" s="9"/>
      <c r="AB298" s="42"/>
      <c r="AC298" s="9"/>
      <c r="AD298" s="38"/>
      <c r="AE298" s="9"/>
      <c r="AF298" s="39"/>
      <c r="AG298" s="9"/>
      <c r="AH298" s="9"/>
      <c r="AI298" s="9"/>
      <c r="AJ298" s="9"/>
      <c r="AK298" s="9"/>
      <c r="AL298" s="9"/>
      <c r="AM298" s="9"/>
      <c r="AN298" s="10" t="str">
        <f aca="false">IF(A298="","",SG_Criteria!$B$6&amp;SG_Criteria!$B$12&amp;"\"&amp;A298&amp;"\")</f>
        <v/>
      </c>
      <c r="AO298" s="10" t="str">
        <f aca="false">IF(A298="","",A298&amp;"_CAD.dwg")</f>
        <v/>
      </c>
      <c r="AP298" s="10" t="str">
        <f aca="false">IF(A298="","",A298&amp;"_DWG.pdf")</f>
        <v/>
      </c>
      <c r="AQ298" s="10" t="str">
        <f aca="false">IF(A298="","",IF(AM298="Y",A298&amp;"_STAAD.std","n/a"))</f>
        <v/>
      </c>
      <c r="AR298" s="10" t="str">
        <f aca="false">IF(A298="","",A298&amp;"_CALC.xlsx")</f>
        <v/>
      </c>
      <c r="AS298" s="10" t="str">
        <f aca="false">IF(A298="","",A298&amp;"_CALC.pdf")</f>
        <v/>
      </c>
      <c r="AT298" s="9"/>
      <c r="AU298" s="9"/>
      <c r="AV298" s="39"/>
      <c r="AW298" s="39"/>
      <c r="AX298" s="39"/>
      <c r="AY298" s="39"/>
      <c r="AZ298" s="39"/>
      <c r="BA298" s="12" t="str">
        <f aca="false">IF(A298="","",IF(COUNTIF(Rebar_Schedule!$A$5:$A$2004,A298)=0,"",ROUND(SUMIF(Rebar_Schedule!$A$5:$A$2004,A298,Rebar_Schedule!$K$5:$K$2004),1)))</f>
        <v/>
      </c>
      <c r="BB298" s="33" t="str">
        <f aca="false">IF(A298="","",IF(BA298="","No rebar schedule yet",IF(ABS(BA298-N(AW298))/MAX(N(AW298),1)&gt;SG_Criteria!$B$55,"NOTE: register rebar differs from schedule by "&amp;TEXT(ABS(BA298-N(AW298))/MAX(N(AW298),1),"0%"),"OK")))</f>
        <v/>
      </c>
      <c r="BC298" s="33" t="str">
        <f aca="false">IF(D298="","",IF(LEN(IF(AND(D298&lt;&gt;"High Covered Linkway",G298&lt;SG_Criteria!$B$46),"FAIL: headroom below "&amp;SG_Criteria!$B$46&amp;" m. ","")&amp;IF(AND(D298="High Covered Linkway",G298&lt;SG_Criteria!$B$47),"FAIL: high linkway headroom below "&amp;SG_Criteria!$B$47&amp;" m. ","")&amp;IF(F298&lt;SG_Criteria!$B$48,"FAIL: roof width below "&amp;SG_Criteria!$B$48&amp;" m. ",IF(F298&lt;SG_Criteria!$B$49,"NOTE: not for MRT/LRT or high-traffic routes (min "&amp;SG_Criteria!$B$49&amp;" m). ",""))&amp;IF(AND(W298&lt;&gt;"",W298&lt;SG_Criteria!$B$50),"FAIL: wind speed below "&amp;SG_Criteria!$B$50&amp;" m/s. ","")&amp;IF(AND(X298&lt;&gt;"",X298&lt;SG_Criteria!$B$51),"FAIL: roof fixing pull-out below "&amp;SG_Criteria!$B$51&amp;" kN. ","")&amp;IF(AND(Y298&lt;&gt;"",IFERROR(VALUE(MID(Y298,2,2)),0)&lt;SG_Criteria!$B$52),"FAIL: grade below C"&amp;SG_Criteria!$B$52&amp;". ","")&amp;IF(E298="Non-standard (project design)","NOTE: not an SDRE standard, needs LTA acceptance. ",""))=0,"OK",IF(AND(D298&lt;&gt;"High Covered Linkway",G298&lt;SG_Criteria!$B$46),"FAIL: headroom below "&amp;SG_Criteria!$B$46&amp;" m. ","")&amp;IF(AND(D298="High Covered Linkway",G298&lt;SG_Criteria!$B$47),"FAIL: high linkway headroom below "&amp;SG_Criteria!$B$47&amp;" m. ","")&amp;IF(F298&lt;SG_Criteria!$B$48,"FAIL: roof width below "&amp;SG_Criteria!$B$48&amp;" m. ",IF(F298&lt;SG_Criteria!$B$49,"NOTE: not for MRT/LRT or high-traffic routes (min "&amp;SG_Criteria!$B$49&amp;" m). ",""))&amp;IF(AND(W298&lt;&gt;"",W298&lt;SG_Criteria!$B$50),"FAIL: wind speed below "&amp;SG_Criteria!$B$50&amp;" m/s. ","")&amp;IF(AND(X298&lt;&gt;"",X298&lt;SG_Criteria!$B$51),"FAIL: roof fixing pull-out below "&amp;SG_Criteria!$B$51&amp;" kN. ","")&amp;IF(AND(Y298&lt;&gt;"",IFERROR(VALUE(MID(Y298,2,2)),0)&lt;SG_Criteria!$B$52),"FAIL: grade below C"&amp;SG_Criteria!$B$52&amp;". ","")&amp;IF(E298="Non-standard (project design)","NOTE: not an SDRE standard, needs LTA acceptance. ","")))</f>
        <v/>
      </c>
      <c r="BD298" s="9"/>
      <c r="BE298" s="9"/>
      <c r="BF298" s="9"/>
      <c r="BG298" s="10" t="str">
        <f aca="false">IF(BF298="","",IFERROR(VLOOKUP(BF298,Projects!$A$5:$D$504,2,0),"Ref not in Projects"))</f>
        <v/>
      </c>
      <c r="BH298" s="10" t="str">
        <f aca="false">IF(BF298="","",IFERROR(VLOOKUP(BF298,Projects!$A$5:$D$504,4,0),"Ref not in Projects"))</f>
        <v/>
      </c>
      <c r="BI298" s="9"/>
      <c r="BJ298" s="9"/>
      <c r="BK298" s="9"/>
      <c r="BL298" s="40"/>
      <c r="BM298" s="9"/>
      <c r="BN298" s="40"/>
      <c r="BO298" s="9"/>
      <c r="BP298" s="40"/>
      <c r="BQ298" s="9"/>
      <c r="BR298" s="9"/>
      <c r="BS298" s="9"/>
      <c r="BT298" s="40"/>
      <c r="BU298" s="40"/>
      <c r="BV298" s="36" t="str">
        <f aca="false">IF(BU298="","",EDATE(BU298,SG_Criteria!$B$54*12))</f>
        <v/>
      </c>
      <c r="BW298" s="33" t="str">
        <f aca="true">IF(A298="","",IF(BU298="","NOTE: not reviewed yet",IF(TODAY()&gt;BV298,"NOTE: review overdue","OK")))</f>
        <v/>
      </c>
      <c r="BX298" s="37" t="str">
        <f aca="false">IF(A298="","",ROUND((IF(LEN(D298)&gt;0,1,0)+IF(LEN(E298)&gt;0,1,0)+IF(LEN(F298)&gt;0,1,0)+IF(LEN(G298)&gt;0,1,0)+IF(LEN(H298)&gt;0,1,0)+IF(LEN(I298)&gt;0,1,0)+IF(LEN(J298)&gt;0,1,0)+IF(LEN(K298)&gt;0,1,0)+IF(LEN(N298)&gt;0,1,0)+IF(LEN(O298)&gt;0,1,0)+IF(LEN(W298)&gt;0,1,0)+IF(LEN(X298)&gt;0,1,0)+IF(LEN(Y298)&gt;0,1,0)+IF(LEN(AG298)&gt;0,1,0)+IF(LEN(AI298)&gt;0,1,0)+IF(LEN(AJ298)&gt;0,1,0)+IF(LEN(AK298)&gt;0,1,0)+IF(LEN(AL298)&gt;0,1,0)+IF(LEN(AU298)&gt;0,1,0)+IF(LEN(BF298)&gt;0,1,0)+IF(LEN(BS298)&gt;0,1,0))/21,2))</f>
        <v/>
      </c>
      <c r="BY298" s="10" t="str">
        <f aca="false">IF(D298="","",IF(AND(AJ298="Approved",ISERROR(SEARCH("FAIL",BC298))),"Y","N"))</f>
        <v/>
      </c>
      <c r="BZ298" s="10" t="str">
        <f aca="false">IF(D298="","",D298&amp;"|"&amp;F298&amp;"|"&amp;G298&amp;"|"&amp;BY298)</f>
        <v/>
      </c>
    </row>
    <row r="299" customFormat="false" ht="15" hidden="false" customHeight="false" outlineLevel="0" collapsed="false">
      <c r="A299" s="10" t="str">
        <f aca="false">IF(D299="","","LKW-"&amp;IFERROR(VLOOKUP(D299,Lists!$AQ$4:$AR$17,2,0),"??")&amp;"-W"&amp;TEXT(F299*1000,"0000")&amp;"-H"&amp;TEXT(G299*1000,"0000")&amp;"-B"&amp;TEXT(H299*1000,"0000")&amp;"-"&amp;AI299)</f>
        <v/>
      </c>
      <c r="B299" s="10" t="str">
        <f aca="false">IF(D299="","",D299&amp;", "&amp;F299&amp;" m wide, "&amp;G299&amp;" m headroom, "&amp;H299&amp;" m bays, "&amp;I299&amp;" ("&amp;E299&amp;")")</f>
        <v/>
      </c>
      <c r="C299" s="9"/>
      <c r="D299" s="9"/>
      <c r="E299" s="9"/>
      <c r="F299" s="42"/>
      <c r="G299" s="42"/>
      <c r="H299" s="42"/>
      <c r="I299" s="9"/>
      <c r="J299" s="9"/>
      <c r="K299" s="9"/>
      <c r="L299" s="9"/>
      <c r="M299" s="9"/>
      <c r="N299" s="9"/>
      <c r="O299" s="9"/>
      <c r="P299" s="9"/>
      <c r="Q299" s="9"/>
      <c r="R299" s="9"/>
      <c r="S299" s="42"/>
      <c r="T299" s="9"/>
      <c r="U299" s="9"/>
      <c r="V299" s="9"/>
      <c r="W299" s="38"/>
      <c r="X299" s="42"/>
      <c r="Y299" s="9"/>
      <c r="Z299" s="9"/>
      <c r="AA299" s="9"/>
      <c r="AB299" s="42"/>
      <c r="AC299" s="9"/>
      <c r="AD299" s="38"/>
      <c r="AE299" s="9"/>
      <c r="AF299" s="39"/>
      <c r="AG299" s="9"/>
      <c r="AH299" s="9"/>
      <c r="AI299" s="9"/>
      <c r="AJ299" s="9"/>
      <c r="AK299" s="9"/>
      <c r="AL299" s="9"/>
      <c r="AM299" s="9"/>
      <c r="AN299" s="10" t="str">
        <f aca="false">IF(A299="","",SG_Criteria!$B$6&amp;SG_Criteria!$B$12&amp;"\"&amp;A299&amp;"\")</f>
        <v/>
      </c>
      <c r="AO299" s="10" t="str">
        <f aca="false">IF(A299="","",A299&amp;"_CAD.dwg")</f>
        <v/>
      </c>
      <c r="AP299" s="10" t="str">
        <f aca="false">IF(A299="","",A299&amp;"_DWG.pdf")</f>
        <v/>
      </c>
      <c r="AQ299" s="10" t="str">
        <f aca="false">IF(A299="","",IF(AM299="Y",A299&amp;"_STAAD.std","n/a"))</f>
        <v/>
      </c>
      <c r="AR299" s="10" t="str">
        <f aca="false">IF(A299="","",A299&amp;"_CALC.xlsx")</f>
        <v/>
      </c>
      <c r="AS299" s="10" t="str">
        <f aca="false">IF(A299="","",A299&amp;"_CALC.pdf")</f>
        <v/>
      </c>
      <c r="AT299" s="9"/>
      <c r="AU299" s="9"/>
      <c r="AV299" s="39"/>
      <c r="AW299" s="39"/>
      <c r="AX299" s="39"/>
      <c r="AY299" s="39"/>
      <c r="AZ299" s="39"/>
      <c r="BA299" s="12" t="str">
        <f aca="false">IF(A299="","",IF(COUNTIF(Rebar_Schedule!$A$5:$A$2004,A299)=0,"",ROUND(SUMIF(Rebar_Schedule!$A$5:$A$2004,A299,Rebar_Schedule!$K$5:$K$2004),1)))</f>
        <v/>
      </c>
      <c r="BB299" s="33" t="str">
        <f aca="false">IF(A299="","",IF(BA299="","No rebar schedule yet",IF(ABS(BA299-N(AW299))/MAX(N(AW299),1)&gt;SG_Criteria!$B$55,"NOTE: register rebar differs from schedule by "&amp;TEXT(ABS(BA299-N(AW299))/MAX(N(AW299),1),"0%"),"OK")))</f>
        <v/>
      </c>
      <c r="BC299" s="33" t="str">
        <f aca="false">IF(D299="","",IF(LEN(IF(AND(D299&lt;&gt;"High Covered Linkway",G299&lt;SG_Criteria!$B$46),"FAIL: headroom below "&amp;SG_Criteria!$B$46&amp;" m. ","")&amp;IF(AND(D299="High Covered Linkway",G299&lt;SG_Criteria!$B$47),"FAIL: high linkway headroom below "&amp;SG_Criteria!$B$47&amp;" m. ","")&amp;IF(F299&lt;SG_Criteria!$B$48,"FAIL: roof width below "&amp;SG_Criteria!$B$48&amp;" m. ",IF(F299&lt;SG_Criteria!$B$49,"NOTE: not for MRT/LRT or high-traffic routes (min "&amp;SG_Criteria!$B$49&amp;" m). ",""))&amp;IF(AND(W299&lt;&gt;"",W299&lt;SG_Criteria!$B$50),"FAIL: wind speed below "&amp;SG_Criteria!$B$50&amp;" m/s. ","")&amp;IF(AND(X299&lt;&gt;"",X299&lt;SG_Criteria!$B$51),"FAIL: roof fixing pull-out below "&amp;SG_Criteria!$B$51&amp;" kN. ","")&amp;IF(AND(Y299&lt;&gt;"",IFERROR(VALUE(MID(Y299,2,2)),0)&lt;SG_Criteria!$B$52),"FAIL: grade below C"&amp;SG_Criteria!$B$52&amp;". ","")&amp;IF(E299="Non-standard (project design)","NOTE: not an SDRE standard, needs LTA acceptance. ",""))=0,"OK",IF(AND(D299&lt;&gt;"High Covered Linkway",G299&lt;SG_Criteria!$B$46),"FAIL: headroom below "&amp;SG_Criteria!$B$46&amp;" m. ","")&amp;IF(AND(D299="High Covered Linkway",G299&lt;SG_Criteria!$B$47),"FAIL: high linkway headroom below "&amp;SG_Criteria!$B$47&amp;" m. ","")&amp;IF(F299&lt;SG_Criteria!$B$48,"FAIL: roof width below "&amp;SG_Criteria!$B$48&amp;" m. ",IF(F299&lt;SG_Criteria!$B$49,"NOTE: not for MRT/LRT or high-traffic routes (min "&amp;SG_Criteria!$B$49&amp;" m). ",""))&amp;IF(AND(W299&lt;&gt;"",W299&lt;SG_Criteria!$B$50),"FAIL: wind speed below "&amp;SG_Criteria!$B$50&amp;" m/s. ","")&amp;IF(AND(X299&lt;&gt;"",X299&lt;SG_Criteria!$B$51),"FAIL: roof fixing pull-out below "&amp;SG_Criteria!$B$51&amp;" kN. ","")&amp;IF(AND(Y299&lt;&gt;"",IFERROR(VALUE(MID(Y299,2,2)),0)&lt;SG_Criteria!$B$52),"FAIL: grade below C"&amp;SG_Criteria!$B$52&amp;". ","")&amp;IF(E299="Non-standard (project design)","NOTE: not an SDRE standard, needs LTA acceptance. ","")))</f>
        <v/>
      </c>
      <c r="BD299" s="9"/>
      <c r="BE299" s="9"/>
      <c r="BF299" s="9"/>
      <c r="BG299" s="10" t="str">
        <f aca="false">IF(BF299="","",IFERROR(VLOOKUP(BF299,Projects!$A$5:$D$504,2,0),"Ref not in Projects"))</f>
        <v/>
      </c>
      <c r="BH299" s="10" t="str">
        <f aca="false">IF(BF299="","",IFERROR(VLOOKUP(BF299,Projects!$A$5:$D$504,4,0),"Ref not in Projects"))</f>
        <v/>
      </c>
      <c r="BI299" s="9"/>
      <c r="BJ299" s="9"/>
      <c r="BK299" s="9"/>
      <c r="BL299" s="40"/>
      <c r="BM299" s="9"/>
      <c r="BN299" s="40"/>
      <c r="BO299" s="9"/>
      <c r="BP299" s="40"/>
      <c r="BQ299" s="9"/>
      <c r="BR299" s="9"/>
      <c r="BS299" s="9"/>
      <c r="BT299" s="40"/>
      <c r="BU299" s="40"/>
      <c r="BV299" s="36" t="str">
        <f aca="false">IF(BU299="","",EDATE(BU299,SG_Criteria!$B$54*12))</f>
        <v/>
      </c>
      <c r="BW299" s="33" t="str">
        <f aca="true">IF(A299="","",IF(BU299="","NOTE: not reviewed yet",IF(TODAY()&gt;BV299,"NOTE: review overdue","OK")))</f>
        <v/>
      </c>
      <c r="BX299" s="37" t="str">
        <f aca="false">IF(A299="","",ROUND((IF(LEN(D299)&gt;0,1,0)+IF(LEN(E299)&gt;0,1,0)+IF(LEN(F299)&gt;0,1,0)+IF(LEN(G299)&gt;0,1,0)+IF(LEN(H299)&gt;0,1,0)+IF(LEN(I299)&gt;0,1,0)+IF(LEN(J299)&gt;0,1,0)+IF(LEN(K299)&gt;0,1,0)+IF(LEN(N299)&gt;0,1,0)+IF(LEN(O299)&gt;0,1,0)+IF(LEN(W299)&gt;0,1,0)+IF(LEN(X299)&gt;0,1,0)+IF(LEN(Y299)&gt;0,1,0)+IF(LEN(AG299)&gt;0,1,0)+IF(LEN(AI299)&gt;0,1,0)+IF(LEN(AJ299)&gt;0,1,0)+IF(LEN(AK299)&gt;0,1,0)+IF(LEN(AL299)&gt;0,1,0)+IF(LEN(AU299)&gt;0,1,0)+IF(LEN(BF299)&gt;0,1,0)+IF(LEN(BS299)&gt;0,1,0))/21,2))</f>
        <v/>
      </c>
      <c r="BY299" s="10" t="str">
        <f aca="false">IF(D299="","",IF(AND(AJ299="Approved",ISERROR(SEARCH("FAIL",BC299))),"Y","N"))</f>
        <v/>
      </c>
      <c r="BZ299" s="10" t="str">
        <f aca="false">IF(D299="","",D299&amp;"|"&amp;F299&amp;"|"&amp;G299&amp;"|"&amp;BY299)</f>
        <v/>
      </c>
    </row>
    <row r="300" customFormat="false" ht="15" hidden="false" customHeight="false" outlineLevel="0" collapsed="false">
      <c r="A300" s="10" t="str">
        <f aca="false">IF(D300="","","LKW-"&amp;IFERROR(VLOOKUP(D300,Lists!$AQ$4:$AR$17,2,0),"??")&amp;"-W"&amp;TEXT(F300*1000,"0000")&amp;"-H"&amp;TEXT(G300*1000,"0000")&amp;"-B"&amp;TEXT(H300*1000,"0000")&amp;"-"&amp;AI300)</f>
        <v/>
      </c>
      <c r="B300" s="10" t="str">
        <f aca="false">IF(D300="","",D300&amp;", "&amp;F300&amp;" m wide, "&amp;G300&amp;" m headroom, "&amp;H300&amp;" m bays, "&amp;I300&amp;" ("&amp;E300&amp;")")</f>
        <v/>
      </c>
      <c r="C300" s="9"/>
      <c r="D300" s="9"/>
      <c r="E300" s="9"/>
      <c r="F300" s="42"/>
      <c r="G300" s="42"/>
      <c r="H300" s="42"/>
      <c r="I300" s="9"/>
      <c r="J300" s="9"/>
      <c r="K300" s="9"/>
      <c r="L300" s="9"/>
      <c r="M300" s="9"/>
      <c r="N300" s="9"/>
      <c r="O300" s="9"/>
      <c r="P300" s="9"/>
      <c r="Q300" s="9"/>
      <c r="R300" s="9"/>
      <c r="S300" s="42"/>
      <c r="T300" s="9"/>
      <c r="U300" s="9"/>
      <c r="V300" s="9"/>
      <c r="W300" s="38"/>
      <c r="X300" s="42"/>
      <c r="Y300" s="9"/>
      <c r="Z300" s="9"/>
      <c r="AA300" s="9"/>
      <c r="AB300" s="42"/>
      <c r="AC300" s="9"/>
      <c r="AD300" s="38"/>
      <c r="AE300" s="9"/>
      <c r="AF300" s="39"/>
      <c r="AG300" s="9"/>
      <c r="AH300" s="9"/>
      <c r="AI300" s="9"/>
      <c r="AJ300" s="9"/>
      <c r="AK300" s="9"/>
      <c r="AL300" s="9"/>
      <c r="AM300" s="9"/>
      <c r="AN300" s="10" t="str">
        <f aca="false">IF(A300="","",SG_Criteria!$B$6&amp;SG_Criteria!$B$12&amp;"\"&amp;A300&amp;"\")</f>
        <v/>
      </c>
      <c r="AO300" s="10" t="str">
        <f aca="false">IF(A300="","",A300&amp;"_CAD.dwg")</f>
        <v/>
      </c>
      <c r="AP300" s="10" t="str">
        <f aca="false">IF(A300="","",A300&amp;"_DWG.pdf")</f>
        <v/>
      </c>
      <c r="AQ300" s="10" t="str">
        <f aca="false">IF(A300="","",IF(AM300="Y",A300&amp;"_STAAD.std","n/a"))</f>
        <v/>
      </c>
      <c r="AR300" s="10" t="str">
        <f aca="false">IF(A300="","",A300&amp;"_CALC.xlsx")</f>
        <v/>
      </c>
      <c r="AS300" s="10" t="str">
        <f aca="false">IF(A300="","",A300&amp;"_CALC.pdf")</f>
        <v/>
      </c>
      <c r="AT300" s="9"/>
      <c r="AU300" s="9"/>
      <c r="AV300" s="39"/>
      <c r="AW300" s="39"/>
      <c r="AX300" s="39"/>
      <c r="AY300" s="39"/>
      <c r="AZ300" s="39"/>
      <c r="BA300" s="12" t="str">
        <f aca="false">IF(A300="","",IF(COUNTIF(Rebar_Schedule!$A$5:$A$2004,A300)=0,"",ROUND(SUMIF(Rebar_Schedule!$A$5:$A$2004,A300,Rebar_Schedule!$K$5:$K$2004),1)))</f>
        <v/>
      </c>
      <c r="BB300" s="33" t="str">
        <f aca="false">IF(A300="","",IF(BA300="","No rebar schedule yet",IF(ABS(BA300-N(AW300))/MAX(N(AW300),1)&gt;SG_Criteria!$B$55,"NOTE: register rebar differs from schedule by "&amp;TEXT(ABS(BA300-N(AW300))/MAX(N(AW300),1),"0%"),"OK")))</f>
        <v/>
      </c>
      <c r="BC300" s="33" t="str">
        <f aca="false">IF(D300="","",IF(LEN(IF(AND(D300&lt;&gt;"High Covered Linkway",G300&lt;SG_Criteria!$B$46),"FAIL: headroom below "&amp;SG_Criteria!$B$46&amp;" m. ","")&amp;IF(AND(D300="High Covered Linkway",G300&lt;SG_Criteria!$B$47),"FAIL: high linkway headroom below "&amp;SG_Criteria!$B$47&amp;" m. ","")&amp;IF(F300&lt;SG_Criteria!$B$48,"FAIL: roof width below "&amp;SG_Criteria!$B$48&amp;" m. ",IF(F300&lt;SG_Criteria!$B$49,"NOTE: not for MRT/LRT or high-traffic routes (min "&amp;SG_Criteria!$B$49&amp;" m). ",""))&amp;IF(AND(W300&lt;&gt;"",W300&lt;SG_Criteria!$B$50),"FAIL: wind speed below "&amp;SG_Criteria!$B$50&amp;" m/s. ","")&amp;IF(AND(X300&lt;&gt;"",X300&lt;SG_Criteria!$B$51),"FAIL: roof fixing pull-out below "&amp;SG_Criteria!$B$51&amp;" kN. ","")&amp;IF(AND(Y300&lt;&gt;"",IFERROR(VALUE(MID(Y300,2,2)),0)&lt;SG_Criteria!$B$52),"FAIL: grade below C"&amp;SG_Criteria!$B$52&amp;". ","")&amp;IF(E300="Non-standard (project design)","NOTE: not an SDRE standard, needs LTA acceptance. ",""))=0,"OK",IF(AND(D300&lt;&gt;"High Covered Linkway",G300&lt;SG_Criteria!$B$46),"FAIL: headroom below "&amp;SG_Criteria!$B$46&amp;" m. ","")&amp;IF(AND(D300="High Covered Linkway",G300&lt;SG_Criteria!$B$47),"FAIL: high linkway headroom below "&amp;SG_Criteria!$B$47&amp;" m. ","")&amp;IF(F300&lt;SG_Criteria!$B$48,"FAIL: roof width below "&amp;SG_Criteria!$B$48&amp;" m. ",IF(F300&lt;SG_Criteria!$B$49,"NOTE: not for MRT/LRT or high-traffic routes (min "&amp;SG_Criteria!$B$49&amp;" m). ",""))&amp;IF(AND(W300&lt;&gt;"",W300&lt;SG_Criteria!$B$50),"FAIL: wind speed below "&amp;SG_Criteria!$B$50&amp;" m/s. ","")&amp;IF(AND(X300&lt;&gt;"",X300&lt;SG_Criteria!$B$51),"FAIL: roof fixing pull-out below "&amp;SG_Criteria!$B$51&amp;" kN. ","")&amp;IF(AND(Y300&lt;&gt;"",IFERROR(VALUE(MID(Y300,2,2)),0)&lt;SG_Criteria!$B$52),"FAIL: grade below C"&amp;SG_Criteria!$B$52&amp;". ","")&amp;IF(E300="Non-standard (project design)","NOTE: not an SDRE standard, needs LTA acceptance. ","")))</f>
        <v/>
      </c>
      <c r="BD300" s="9"/>
      <c r="BE300" s="9"/>
      <c r="BF300" s="9"/>
      <c r="BG300" s="10" t="str">
        <f aca="false">IF(BF300="","",IFERROR(VLOOKUP(BF300,Projects!$A$5:$D$504,2,0),"Ref not in Projects"))</f>
        <v/>
      </c>
      <c r="BH300" s="10" t="str">
        <f aca="false">IF(BF300="","",IFERROR(VLOOKUP(BF300,Projects!$A$5:$D$504,4,0),"Ref not in Projects"))</f>
        <v/>
      </c>
      <c r="BI300" s="9"/>
      <c r="BJ300" s="9"/>
      <c r="BK300" s="9"/>
      <c r="BL300" s="40"/>
      <c r="BM300" s="9"/>
      <c r="BN300" s="40"/>
      <c r="BO300" s="9"/>
      <c r="BP300" s="40"/>
      <c r="BQ300" s="9"/>
      <c r="BR300" s="9"/>
      <c r="BS300" s="9"/>
      <c r="BT300" s="40"/>
      <c r="BU300" s="40"/>
      <c r="BV300" s="36" t="str">
        <f aca="false">IF(BU300="","",EDATE(BU300,SG_Criteria!$B$54*12))</f>
        <v/>
      </c>
      <c r="BW300" s="33" t="str">
        <f aca="true">IF(A300="","",IF(BU300="","NOTE: not reviewed yet",IF(TODAY()&gt;BV300,"NOTE: review overdue","OK")))</f>
        <v/>
      </c>
      <c r="BX300" s="37" t="str">
        <f aca="false">IF(A300="","",ROUND((IF(LEN(D300)&gt;0,1,0)+IF(LEN(E300)&gt;0,1,0)+IF(LEN(F300)&gt;0,1,0)+IF(LEN(G300)&gt;0,1,0)+IF(LEN(H300)&gt;0,1,0)+IF(LEN(I300)&gt;0,1,0)+IF(LEN(J300)&gt;0,1,0)+IF(LEN(K300)&gt;0,1,0)+IF(LEN(N300)&gt;0,1,0)+IF(LEN(O300)&gt;0,1,0)+IF(LEN(W300)&gt;0,1,0)+IF(LEN(X300)&gt;0,1,0)+IF(LEN(Y300)&gt;0,1,0)+IF(LEN(AG300)&gt;0,1,0)+IF(LEN(AI300)&gt;0,1,0)+IF(LEN(AJ300)&gt;0,1,0)+IF(LEN(AK300)&gt;0,1,0)+IF(LEN(AL300)&gt;0,1,0)+IF(LEN(AU300)&gt;0,1,0)+IF(LEN(BF300)&gt;0,1,0)+IF(LEN(BS300)&gt;0,1,0))/21,2))</f>
        <v/>
      </c>
      <c r="BY300" s="10" t="str">
        <f aca="false">IF(D300="","",IF(AND(AJ300="Approved",ISERROR(SEARCH("FAIL",BC300))),"Y","N"))</f>
        <v/>
      </c>
      <c r="BZ300" s="10" t="str">
        <f aca="false">IF(D300="","",D300&amp;"|"&amp;F300&amp;"|"&amp;G300&amp;"|"&amp;BY300)</f>
        <v/>
      </c>
    </row>
    <row r="301" customFormat="false" ht="15" hidden="false" customHeight="false" outlineLevel="0" collapsed="false">
      <c r="A301" s="10" t="str">
        <f aca="false">IF(D301="","","LKW-"&amp;IFERROR(VLOOKUP(D301,Lists!$AQ$4:$AR$17,2,0),"??")&amp;"-W"&amp;TEXT(F301*1000,"0000")&amp;"-H"&amp;TEXT(G301*1000,"0000")&amp;"-B"&amp;TEXT(H301*1000,"0000")&amp;"-"&amp;AI301)</f>
        <v/>
      </c>
      <c r="B301" s="10" t="str">
        <f aca="false">IF(D301="","",D301&amp;", "&amp;F301&amp;" m wide, "&amp;G301&amp;" m headroom, "&amp;H301&amp;" m bays, "&amp;I301&amp;" ("&amp;E301&amp;")")</f>
        <v/>
      </c>
      <c r="C301" s="9"/>
      <c r="D301" s="9"/>
      <c r="E301" s="9"/>
      <c r="F301" s="42"/>
      <c r="G301" s="42"/>
      <c r="H301" s="42"/>
      <c r="I301" s="9"/>
      <c r="J301" s="9"/>
      <c r="K301" s="9"/>
      <c r="L301" s="9"/>
      <c r="M301" s="9"/>
      <c r="N301" s="9"/>
      <c r="O301" s="9"/>
      <c r="P301" s="9"/>
      <c r="Q301" s="9"/>
      <c r="R301" s="9"/>
      <c r="S301" s="42"/>
      <c r="T301" s="9"/>
      <c r="U301" s="9"/>
      <c r="V301" s="9"/>
      <c r="W301" s="38"/>
      <c r="X301" s="42"/>
      <c r="Y301" s="9"/>
      <c r="Z301" s="9"/>
      <c r="AA301" s="9"/>
      <c r="AB301" s="42"/>
      <c r="AC301" s="9"/>
      <c r="AD301" s="38"/>
      <c r="AE301" s="9"/>
      <c r="AF301" s="39"/>
      <c r="AG301" s="9"/>
      <c r="AH301" s="9"/>
      <c r="AI301" s="9"/>
      <c r="AJ301" s="9"/>
      <c r="AK301" s="9"/>
      <c r="AL301" s="9"/>
      <c r="AM301" s="9"/>
      <c r="AN301" s="10" t="str">
        <f aca="false">IF(A301="","",SG_Criteria!$B$6&amp;SG_Criteria!$B$12&amp;"\"&amp;A301&amp;"\")</f>
        <v/>
      </c>
      <c r="AO301" s="10" t="str">
        <f aca="false">IF(A301="","",A301&amp;"_CAD.dwg")</f>
        <v/>
      </c>
      <c r="AP301" s="10" t="str">
        <f aca="false">IF(A301="","",A301&amp;"_DWG.pdf")</f>
        <v/>
      </c>
      <c r="AQ301" s="10" t="str">
        <f aca="false">IF(A301="","",IF(AM301="Y",A301&amp;"_STAAD.std","n/a"))</f>
        <v/>
      </c>
      <c r="AR301" s="10" t="str">
        <f aca="false">IF(A301="","",A301&amp;"_CALC.xlsx")</f>
        <v/>
      </c>
      <c r="AS301" s="10" t="str">
        <f aca="false">IF(A301="","",A301&amp;"_CALC.pdf")</f>
        <v/>
      </c>
      <c r="AT301" s="9"/>
      <c r="AU301" s="9"/>
      <c r="AV301" s="39"/>
      <c r="AW301" s="39"/>
      <c r="AX301" s="39"/>
      <c r="AY301" s="39"/>
      <c r="AZ301" s="39"/>
      <c r="BA301" s="12" t="str">
        <f aca="false">IF(A301="","",IF(COUNTIF(Rebar_Schedule!$A$5:$A$2004,A301)=0,"",ROUND(SUMIF(Rebar_Schedule!$A$5:$A$2004,A301,Rebar_Schedule!$K$5:$K$2004),1)))</f>
        <v/>
      </c>
      <c r="BB301" s="33" t="str">
        <f aca="false">IF(A301="","",IF(BA301="","No rebar schedule yet",IF(ABS(BA301-N(AW301))/MAX(N(AW301),1)&gt;SG_Criteria!$B$55,"NOTE: register rebar differs from schedule by "&amp;TEXT(ABS(BA301-N(AW301))/MAX(N(AW301),1),"0%"),"OK")))</f>
        <v/>
      </c>
      <c r="BC301" s="33" t="str">
        <f aca="false">IF(D301="","",IF(LEN(IF(AND(D301&lt;&gt;"High Covered Linkway",G301&lt;SG_Criteria!$B$46),"FAIL: headroom below "&amp;SG_Criteria!$B$46&amp;" m. ","")&amp;IF(AND(D301="High Covered Linkway",G301&lt;SG_Criteria!$B$47),"FAIL: high linkway headroom below "&amp;SG_Criteria!$B$47&amp;" m. ","")&amp;IF(F301&lt;SG_Criteria!$B$48,"FAIL: roof width below "&amp;SG_Criteria!$B$48&amp;" m. ",IF(F301&lt;SG_Criteria!$B$49,"NOTE: not for MRT/LRT or high-traffic routes (min "&amp;SG_Criteria!$B$49&amp;" m). ",""))&amp;IF(AND(W301&lt;&gt;"",W301&lt;SG_Criteria!$B$50),"FAIL: wind speed below "&amp;SG_Criteria!$B$50&amp;" m/s. ","")&amp;IF(AND(X301&lt;&gt;"",X301&lt;SG_Criteria!$B$51),"FAIL: roof fixing pull-out below "&amp;SG_Criteria!$B$51&amp;" kN. ","")&amp;IF(AND(Y301&lt;&gt;"",IFERROR(VALUE(MID(Y301,2,2)),0)&lt;SG_Criteria!$B$52),"FAIL: grade below C"&amp;SG_Criteria!$B$52&amp;". ","")&amp;IF(E301="Non-standard (project design)","NOTE: not an SDRE standard, needs LTA acceptance. ",""))=0,"OK",IF(AND(D301&lt;&gt;"High Covered Linkway",G301&lt;SG_Criteria!$B$46),"FAIL: headroom below "&amp;SG_Criteria!$B$46&amp;" m. ","")&amp;IF(AND(D301="High Covered Linkway",G301&lt;SG_Criteria!$B$47),"FAIL: high linkway headroom below "&amp;SG_Criteria!$B$47&amp;" m. ","")&amp;IF(F301&lt;SG_Criteria!$B$48,"FAIL: roof width below "&amp;SG_Criteria!$B$48&amp;" m. ",IF(F301&lt;SG_Criteria!$B$49,"NOTE: not for MRT/LRT or high-traffic routes (min "&amp;SG_Criteria!$B$49&amp;" m). ",""))&amp;IF(AND(W301&lt;&gt;"",W301&lt;SG_Criteria!$B$50),"FAIL: wind speed below "&amp;SG_Criteria!$B$50&amp;" m/s. ","")&amp;IF(AND(X301&lt;&gt;"",X301&lt;SG_Criteria!$B$51),"FAIL: roof fixing pull-out below "&amp;SG_Criteria!$B$51&amp;" kN. ","")&amp;IF(AND(Y301&lt;&gt;"",IFERROR(VALUE(MID(Y301,2,2)),0)&lt;SG_Criteria!$B$52),"FAIL: grade below C"&amp;SG_Criteria!$B$52&amp;". ","")&amp;IF(E301="Non-standard (project design)","NOTE: not an SDRE standard, needs LTA acceptance. ","")))</f>
        <v/>
      </c>
      <c r="BD301" s="9"/>
      <c r="BE301" s="9"/>
      <c r="BF301" s="9"/>
      <c r="BG301" s="10" t="str">
        <f aca="false">IF(BF301="","",IFERROR(VLOOKUP(BF301,Projects!$A$5:$D$504,2,0),"Ref not in Projects"))</f>
        <v/>
      </c>
      <c r="BH301" s="10" t="str">
        <f aca="false">IF(BF301="","",IFERROR(VLOOKUP(BF301,Projects!$A$5:$D$504,4,0),"Ref not in Projects"))</f>
        <v/>
      </c>
      <c r="BI301" s="9"/>
      <c r="BJ301" s="9"/>
      <c r="BK301" s="9"/>
      <c r="BL301" s="40"/>
      <c r="BM301" s="9"/>
      <c r="BN301" s="40"/>
      <c r="BO301" s="9"/>
      <c r="BP301" s="40"/>
      <c r="BQ301" s="9"/>
      <c r="BR301" s="9"/>
      <c r="BS301" s="9"/>
      <c r="BT301" s="40"/>
      <c r="BU301" s="40"/>
      <c r="BV301" s="36" t="str">
        <f aca="false">IF(BU301="","",EDATE(BU301,SG_Criteria!$B$54*12))</f>
        <v/>
      </c>
      <c r="BW301" s="33" t="str">
        <f aca="true">IF(A301="","",IF(BU301="","NOTE: not reviewed yet",IF(TODAY()&gt;BV301,"NOTE: review overdue","OK")))</f>
        <v/>
      </c>
      <c r="BX301" s="37" t="str">
        <f aca="false">IF(A301="","",ROUND((IF(LEN(D301)&gt;0,1,0)+IF(LEN(E301)&gt;0,1,0)+IF(LEN(F301)&gt;0,1,0)+IF(LEN(G301)&gt;0,1,0)+IF(LEN(H301)&gt;0,1,0)+IF(LEN(I301)&gt;0,1,0)+IF(LEN(J301)&gt;0,1,0)+IF(LEN(K301)&gt;0,1,0)+IF(LEN(N301)&gt;0,1,0)+IF(LEN(O301)&gt;0,1,0)+IF(LEN(W301)&gt;0,1,0)+IF(LEN(X301)&gt;0,1,0)+IF(LEN(Y301)&gt;0,1,0)+IF(LEN(AG301)&gt;0,1,0)+IF(LEN(AI301)&gt;0,1,0)+IF(LEN(AJ301)&gt;0,1,0)+IF(LEN(AK301)&gt;0,1,0)+IF(LEN(AL301)&gt;0,1,0)+IF(LEN(AU301)&gt;0,1,0)+IF(LEN(BF301)&gt;0,1,0)+IF(LEN(BS301)&gt;0,1,0))/21,2))</f>
        <v/>
      </c>
      <c r="BY301" s="10" t="str">
        <f aca="false">IF(D301="","",IF(AND(AJ301="Approved",ISERROR(SEARCH("FAIL",BC301))),"Y","N"))</f>
        <v/>
      </c>
      <c r="BZ301" s="10" t="str">
        <f aca="false">IF(D301="","",D301&amp;"|"&amp;F301&amp;"|"&amp;G301&amp;"|"&amp;BY301)</f>
        <v/>
      </c>
    </row>
    <row r="302" customFormat="false" ht="15" hidden="false" customHeight="false" outlineLevel="0" collapsed="false">
      <c r="A302" s="10" t="str">
        <f aca="false">IF(D302="","","LKW-"&amp;IFERROR(VLOOKUP(D302,Lists!$AQ$4:$AR$17,2,0),"??")&amp;"-W"&amp;TEXT(F302*1000,"0000")&amp;"-H"&amp;TEXT(G302*1000,"0000")&amp;"-B"&amp;TEXT(H302*1000,"0000")&amp;"-"&amp;AI302)</f>
        <v/>
      </c>
      <c r="B302" s="10" t="str">
        <f aca="false">IF(D302="","",D302&amp;", "&amp;F302&amp;" m wide, "&amp;G302&amp;" m headroom, "&amp;H302&amp;" m bays, "&amp;I302&amp;" ("&amp;E302&amp;")")</f>
        <v/>
      </c>
      <c r="C302" s="9"/>
      <c r="D302" s="9"/>
      <c r="E302" s="9"/>
      <c r="F302" s="42"/>
      <c r="G302" s="42"/>
      <c r="H302" s="42"/>
      <c r="I302" s="9"/>
      <c r="J302" s="9"/>
      <c r="K302" s="9"/>
      <c r="L302" s="9"/>
      <c r="M302" s="9"/>
      <c r="N302" s="9"/>
      <c r="O302" s="9"/>
      <c r="P302" s="9"/>
      <c r="Q302" s="9"/>
      <c r="R302" s="9"/>
      <c r="S302" s="42"/>
      <c r="T302" s="9"/>
      <c r="U302" s="9"/>
      <c r="V302" s="9"/>
      <c r="W302" s="38"/>
      <c r="X302" s="42"/>
      <c r="Y302" s="9"/>
      <c r="Z302" s="9"/>
      <c r="AA302" s="9"/>
      <c r="AB302" s="42"/>
      <c r="AC302" s="9"/>
      <c r="AD302" s="38"/>
      <c r="AE302" s="9"/>
      <c r="AF302" s="39"/>
      <c r="AG302" s="9"/>
      <c r="AH302" s="9"/>
      <c r="AI302" s="9"/>
      <c r="AJ302" s="9"/>
      <c r="AK302" s="9"/>
      <c r="AL302" s="9"/>
      <c r="AM302" s="9"/>
      <c r="AN302" s="10" t="str">
        <f aca="false">IF(A302="","",SG_Criteria!$B$6&amp;SG_Criteria!$B$12&amp;"\"&amp;A302&amp;"\")</f>
        <v/>
      </c>
      <c r="AO302" s="10" t="str">
        <f aca="false">IF(A302="","",A302&amp;"_CAD.dwg")</f>
        <v/>
      </c>
      <c r="AP302" s="10" t="str">
        <f aca="false">IF(A302="","",A302&amp;"_DWG.pdf")</f>
        <v/>
      </c>
      <c r="AQ302" s="10" t="str">
        <f aca="false">IF(A302="","",IF(AM302="Y",A302&amp;"_STAAD.std","n/a"))</f>
        <v/>
      </c>
      <c r="AR302" s="10" t="str">
        <f aca="false">IF(A302="","",A302&amp;"_CALC.xlsx")</f>
        <v/>
      </c>
      <c r="AS302" s="10" t="str">
        <f aca="false">IF(A302="","",A302&amp;"_CALC.pdf")</f>
        <v/>
      </c>
      <c r="AT302" s="9"/>
      <c r="AU302" s="9"/>
      <c r="AV302" s="39"/>
      <c r="AW302" s="39"/>
      <c r="AX302" s="39"/>
      <c r="AY302" s="39"/>
      <c r="AZ302" s="39"/>
      <c r="BA302" s="12" t="str">
        <f aca="false">IF(A302="","",IF(COUNTIF(Rebar_Schedule!$A$5:$A$2004,A302)=0,"",ROUND(SUMIF(Rebar_Schedule!$A$5:$A$2004,A302,Rebar_Schedule!$K$5:$K$2004),1)))</f>
        <v/>
      </c>
      <c r="BB302" s="33" t="str">
        <f aca="false">IF(A302="","",IF(BA302="","No rebar schedule yet",IF(ABS(BA302-N(AW302))/MAX(N(AW302),1)&gt;SG_Criteria!$B$55,"NOTE: register rebar differs from schedule by "&amp;TEXT(ABS(BA302-N(AW302))/MAX(N(AW302),1),"0%"),"OK")))</f>
        <v/>
      </c>
      <c r="BC302" s="33" t="str">
        <f aca="false">IF(D302="","",IF(LEN(IF(AND(D302&lt;&gt;"High Covered Linkway",G302&lt;SG_Criteria!$B$46),"FAIL: headroom below "&amp;SG_Criteria!$B$46&amp;" m. ","")&amp;IF(AND(D302="High Covered Linkway",G302&lt;SG_Criteria!$B$47),"FAIL: high linkway headroom below "&amp;SG_Criteria!$B$47&amp;" m. ","")&amp;IF(F302&lt;SG_Criteria!$B$48,"FAIL: roof width below "&amp;SG_Criteria!$B$48&amp;" m. ",IF(F302&lt;SG_Criteria!$B$49,"NOTE: not for MRT/LRT or high-traffic routes (min "&amp;SG_Criteria!$B$49&amp;" m). ",""))&amp;IF(AND(W302&lt;&gt;"",W302&lt;SG_Criteria!$B$50),"FAIL: wind speed below "&amp;SG_Criteria!$B$50&amp;" m/s. ","")&amp;IF(AND(X302&lt;&gt;"",X302&lt;SG_Criteria!$B$51),"FAIL: roof fixing pull-out below "&amp;SG_Criteria!$B$51&amp;" kN. ","")&amp;IF(AND(Y302&lt;&gt;"",IFERROR(VALUE(MID(Y302,2,2)),0)&lt;SG_Criteria!$B$52),"FAIL: grade below C"&amp;SG_Criteria!$B$52&amp;". ","")&amp;IF(E302="Non-standard (project design)","NOTE: not an SDRE standard, needs LTA acceptance. ",""))=0,"OK",IF(AND(D302&lt;&gt;"High Covered Linkway",G302&lt;SG_Criteria!$B$46),"FAIL: headroom below "&amp;SG_Criteria!$B$46&amp;" m. ","")&amp;IF(AND(D302="High Covered Linkway",G302&lt;SG_Criteria!$B$47),"FAIL: high linkway headroom below "&amp;SG_Criteria!$B$47&amp;" m. ","")&amp;IF(F302&lt;SG_Criteria!$B$48,"FAIL: roof width below "&amp;SG_Criteria!$B$48&amp;" m. ",IF(F302&lt;SG_Criteria!$B$49,"NOTE: not for MRT/LRT or high-traffic routes (min "&amp;SG_Criteria!$B$49&amp;" m). ",""))&amp;IF(AND(W302&lt;&gt;"",W302&lt;SG_Criteria!$B$50),"FAIL: wind speed below "&amp;SG_Criteria!$B$50&amp;" m/s. ","")&amp;IF(AND(X302&lt;&gt;"",X302&lt;SG_Criteria!$B$51),"FAIL: roof fixing pull-out below "&amp;SG_Criteria!$B$51&amp;" kN. ","")&amp;IF(AND(Y302&lt;&gt;"",IFERROR(VALUE(MID(Y302,2,2)),0)&lt;SG_Criteria!$B$52),"FAIL: grade below C"&amp;SG_Criteria!$B$52&amp;". ","")&amp;IF(E302="Non-standard (project design)","NOTE: not an SDRE standard, needs LTA acceptance. ","")))</f>
        <v/>
      </c>
      <c r="BD302" s="9"/>
      <c r="BE302" s="9"/>
      <c r="BF302" s="9"/>
      <c r="BG302" s="10" t="str">
        <f aca="false">IF(BF302="","",IFERROR(VLOOKUP(BF302,Projects!$A$5:$D$504,2,0),"Ref not in Projects"))</f>
        <v/>
      </c>
      <c r="BH302" s="10" t="str">
        <f aca="false">IF(BF302="","",IFERROR(VLOOKUP(BF302,Projects!$A$5:$D$504,4,0),"Ref not in Projects"))</f>
        <v/>
      </c>
      <c r="BI302" s="9"/>
      <c r="BJ302" s="9"/>
      <c r="BK302" s="9"/>
      <c r="BL302" s="40"/>
      <c r="BM302" s="9"/>
      <c r="BN302" s="40"/>
      <c r="BO302" s="9"/>
      <c r="BP302" s="40"/>
      <c r="BQ302" s="9"/>
      <c r="BR302" s="9"/>
      <c r="BS302" s="9"/>
      <c r="BT302" s="40"/>
      <c r="BU302" s="40"/>
      <c r="BV302" s="36" t="str">
        <f aca="false">IF(BU302="","",EDATE(BU302,SG_Criteria!$B$54*12))</f>
        <v/>
      </c>
      <c r="BW302" s="33" t="str">
        <f aca="true">IF(A302="","",IF(BU302="","NOTE: not reviewed yet",IF(TODAY()&gt;BV302,"NOTE: review overdue","OK")))</f>
        <v/>
      </c>
      <c r="BX302" s="37" t="str">
        <f aca="false">IF(A302="","",ROUND((IF(LEN(D302)&gt;0,1,0)+IF(LEN(E302)&gt;0,1,0)+IF(LEN(F302)&gt;0,1,0)+IF(LEN(G302)&gt;0,1,0)+IF(LEN(H302)&gt;0,1,0)+IF(LEN(I302)&gt;0,1,0)+IF(LEN(J302)&gt;0,1,0)+IF(LEN(K302)&gt;0,1,0)+IF(LEN(N302)&gt;0,1,0)+IF(LEN(O302)&gt;0,1,0)+IF(LEN(W302)&gt;0,1,0)+IF(LEN(X302)&gt;0,1,0)+IF(LEN(Y302)&gt;0,1,0)+IF(LEN(AG302)&gt;0,1,0)+IF(LEN(AI302)&gt;0,1,0)+IF(LEN(AJ302)&gt;0,1,0)+IF(LEN(AK302)&gt;0,1,0)+IF(LEN(AL302)&gt;0,1,0)+IF(LEN(AU302)&gt;0,1,0)+IF(LEN(BF302)&gt;0,1,0)+IF(LEN(BS302)&gt;0,1,0))/21,2))</f>
        <v/>
      </c>
      <c r="BY302" s="10" t="str">
        <f aca="false">IF(D302="","",IF(AND(AJ302="Approved",ISERROR(SEARCH("FAIL",BC302))),"Y","N"))</f>
        <v/>
      </c>
      <c r="BZ302" s="10" t="str">
        <f aca="false">IF(D302="","",D302&amp;"|"&amp;F302&amp;"|"&amp;G302&amp;"|"&amp;BY302)</f>
        <v/>
      </c>
    </row>
    <row r="303" customFormat="false" ht="15" hidden="false" customHeight="false" outlineLevel="0" collapsed="false">
      <c r="A303" s="10" t="str">
        <f aca="false">IF(D303="","","LKW-"&amp;IFERROR(VLOOKUP(D303,Lists!$AQ$4:$AR$17,2,0),"??")&amp;"-W"&amp;TEXT(F303*1000,"0000")&amp;"-H"&amp;TEXT(G303*1000,"0000")&amp;"-B"&amp;TEXT(H303*1000,"0000")&amp;"-"&amp;AI303)</f>
        <v/>
      </c>
      <c r="B303" s="10" t="str">
        <f aca="false">IF(D303="","",D303&amp;", "&amp;F303&amp;" m wide, "&amp;G303&amp;" m headroom, "&amp;H303&amp;" m bays, "&amp;I303&amp;" ("&amp;E303&amp;")")</f>
        <v/>
      </c>
      <c r="C303" s="9"/>
      <c r="D303" s="9"/>
      <c r="E303" s="9"/>
      <c r="F303" s="42"/>
      <c r="G303" s="42"/>
      <c r="H303" s="42"/>
      <c r="I303" s="9"/>
      <c r="J303" s="9"/>
      <c r="K303" s="9"/>
      <c r="L303" s="9"/>
      <c r="M303" s="9"/>
      <c r="N303" s="9"/>
      <c r="O303" s="9"/>
      <c r="P303" s="9"/>
      <c r="Q303" s="9"/>
      <c r="R303" s="9"/>
      <c r="S303" s="42"/>
      <c r="T303" s="9"/>
      <c r="U303" s="9"/>
      <c r="V303" s="9"/>
      <c r="W303" s="38"/>
      <c r="X303" s="42"/>
      <c r="Y303" s="9"/>
      <c r="Z303" s="9"/>
      <c r="AA303" s="9"/>
      <c r="AB303" s="42"/>
      <c r="AC303" s="9"/>
      <c r="AD303" s="38"/>
      <c r="AE303" s="9"/>
      <c r="AF303" s="39"/>
      <c r="AG303" s="9"/>
      <c r="AH303" s="9"/>
      <c r="AI303" s="9"/>
      <c r="AJ303" s="9"/>
      <c r="AK303" s="9"/>
      <c r="AL303" s="9"/>
      <c r="AM303" s="9"/>
      <c r="AN303" s="10" t="str">
        <f aca="false">IF(A303="","",SG_Criteria!$B$6&amp;SG_Criteria!$B$12&amp;"\"&amp;A303&amp;"\")</f>
        <v/>
      </c>
      <c r="AO303" s="10" t="str">
        <f aca="false">IF(A303="","",A303&amp;"_CAD.dwg")</f>
        <v/>
      </c>
      <c r="AP303" s="10" t="str">
        <f aca="false">IF(A303="","",A303&amp;"_DWG.pdf")</f>
        <v/>
      </c>
      <c r="AQ303" s="10" t="str">
        <f aca="false">IF(A303="","",IF(AM303="Y",A303&amp;"_STAAD.std","n/a"))</f>
        <v/>
      </c>
      <c r="AR303" s="10" t="str">
        <f aca="false">IF(A303="","",A303&amp;"_CALC.xlsx")</f>
        <v/>
      </c>
      <c r="AS303" s="10" t="str">
        <f aca="false">IF(A303="","",A303&amp;"_CALC.pdf")</f>
        <v/>
      </c>
      <c r="AT303" s="9"/>
      <c r="AU303" s="9"/>
      <c r="AV303" s="39"/>
      <c r="AW303" s="39"/>
      <c r="AX303" s="39"/>
      <c r="AY303" s="39"/>
      <c r="AZ303" s="39"/>
      <c r="BA303" s="12" t="str">
        <f aca="false">IF(A303="","",IF(COUNTIF(Rebar_Schedule!$A$5:$A$2004,A303)=0,"",ROUND(SUMIF(Rebar_Schedule!$A$5:$A$2004,A303,Rebar_Schedule!$K$5:$K$2004),1)))</f>
        <v/>
      </c>
      <c r="BB303" s="33" t="str">
        <f aca="false">IF(A303="","",IF(BA303="","No rebar schedule yet",IF(ABS(BA303-N(AW303))/MAX(N(AW303),1)&gt;SG_Criteria!$B$55,"NOTE: register rebar differs from schedule by "&amp;TEXT(ABS(BA303-N(AW303))/MAX(N(AW303),1),"0%"),"OK")))</f>
        <v/>
      </c>
      <c r="BC303" s="33" t="str">
        <f aca="false">IF(D303="","",IF(LEN(IF(AND(D303&lt;&gt;"High Covered Linkway",G303&lt;SG_Criteria!$B$46),"FAIL: headroom below "&amp;SG_Criteria!$B$46&amp;" m. ","")&amp;IF(AND(D303="High Covered Linkway",G303&lt;SG_Criteria!$B$47),"FAIL: high linkway headroom below "&amp;SG_Criteria!$B$47&amp;" m. ","")&amp;IF(F303&lt;SG_Criteria!$B$48,"FAIL: roof width below "&amp;SG_Criteria!$B$48&amp;" m. ",IF(F303&lt;SG_Criteria!$B$49,"NOTE: not for MRT/LRT or high-traffic routes (min "&amp;SG_Criteria!$B$49&amp;" m). ",""))&amp;IF(AND(W303&lt;&gt;"",W303&lt;SG_Criteria!$B$50),"FAIL: wind speed below "&amp;SG_Criteria!$B$50&amp;" m/s. ","")&amp;IF(AND(X303&lt;&gt;"",X303&lt;SG_Criteria!$B$51),"FAIL: roof fixing pull-out below "&amp;SG_Criteria!$B$51&amp;" kN. ","")&amp;IF(AND(Y303&lt;&gt;"",IFERROR(VALUE(MID(Y303,2,2)),0)&lt;SG_Criteria!$B$52),"FAIL: grade below C"&amp;SG_Criteria!$B$52&amp;". ","")&amp;IF(E303="Non-standard (project design)","NOTE: not an SDRE standard, needs LTA acceptance. ",""))=0,"OK",IF(AND(D303&lt;&gt;"High Covered Linkway",G303&lt;SG_Criteria!$B$46),"FAIL: headroom below "&amp;SG_Criteria!$B$46&amp;" m. ","")&amp;IF(AND(D303="High Covered Linkway",G303&lt;SG_Criteria!$B$47),"FAIL: high linkway headroom below "&amp;SG_Criteria!$B$47&amp;" m. ","")&amp;IF(F303&lt;SG_Criteria!$B$48,"FAIL: roof width below "&amp;SG_Criteria!$B$48&amp;" m. ",IF(F303&lt;SG_Criteria!$B$49,"NOTE: not for MRT/LRT or high-traffic routes (min "&amp;SG_Criteria!$B$49&amp;" m). ",""))&amp;IF(AND(W303&lt;&gt;"",W303&lt;SG_Criteria!$B$50),"FAIL: wind speed below "&amp;SG_Criteria!$B$50&amp;" m/s. ","")&amp;IF(AND(X303&lt;&gt;"",X303&lt;SG_Criteria!$B$51),"FAIL: roof fixing pull-out below "&amp;SG_Criteria!$B$51&amp;" kN. ","")&amp;IF(AND(Y303&lt;&gt;"",IFERROR(VALUE(MID(Y303,2,2)),0)&lt;SG_Criteria!$B$52),"FAIL: grade below C"&amp;SG_Criteria!$B$52&amp;". ","")&amp;IF(E303="Non-standard (project design)","NOTE: not an SDRE standard, needs LTA acceptance. ","")))</f>
        <v/>
      </c>
      <c r="BD303" s="9"/>
      <c r="BE303" s="9"/>
      <c r="BF303" s="9"/>
      <c r="BG303" s="10" t="str">
        <f aca="false">IF(BF303="","",IFERROR(VLOOKUP(BF303,Projects!$A$5:$D$504,2,0),"Ref not in Projects"))</f>
        <v/>
      </c>
      <c r="BH303" s="10" t="str">
        <f aca="false">IF(BF303="","",IFERROR(VLOOKUP(BF303,Projects!$A$5:$D$504,4,0),"Ref not in Projects"))</f>
        <v/>
      </c>
      <c r="BI303" s="9"/>
      <c r="BJ303" s="9"/>
      <c r="BK303" s="9"/>
      <c r="BL303" s="40"/>
      <c r="BM303" s="9"/>
      <c r="BN303" s="40"/>
      <c r="BO303" s="9"/>
      <c r="BP303" s="40"/>
      <c r="BQ303" s="9"/>
      <c r="BR303" s="9"/>
      <c r="BS303" s="9"/>
      <c r="BT303" s="40"/>
      <c r="BU303" s="40"/>
      <c r="BV303" s="36" t="str">
        <f aca="false">IF(BU303="","",EDATE(BU303,SG_Criteria!$B$54*12))</f>
        <v/>
      </c>
      <c r="BW303" s="33" t="str">
        <f aca="true">IF(A303="","",IF(BU303="","NOTE: not reviewed yet",IF(TODAY()&gt;BV303,"NOTE: review overdue","OK")))</f>
        <v/>
      </c>
      <c r="BX303" s="37" t="str">
        <f aca="false">IF(A303="","",ROUND((IF(LEN(D303)&gt;0,1,0)+IF(LEN(E303)&gt;0,1,0)+IF(LEN(F303)&gt;0,1,0)+IF(LEN(G303)&gt;0,1,0)+IF(LEN(H303)&gt;0,1,0)+IF(LEN(I303)&gt;0,1,0)+IF(LEN(J303)&gt;0,1,0)+IF(LEN(K303)&gt;0,1,0)+IF(LEN(N303)&gt;0,1,0)+IF(LEN(O303)&gt;0,1,0)+IF(LEN(W303)&gt;0,1,0)+IF(LEN(X303)&gt;0,1,0)+IF(LEN(Y303)&gt;0,1,0)+IF(LEN(AG303)&gt;0,1,0)+IF(LEN(AI303)&gt;0,1,0)+IF(LEN(AJ303)&gt;0,1,0)+IF(LEN(AK303)&gt;0,1,0)+IF(LEN(AL303)&gt;0,1,0)+IF(LEN(AU303)&gt;0,1,0)+IF(LEN(BF303)&gt;0,1,0)+IF(LEN(BS303)&gt;0,1,0))/21,2))</f>
        <v/>
      </c>
      <c r="BY303" s="10" t="str">
        <f aca="false">IF(D303="","",IF(AND(AJ303="Approved",ISERROR(SEARCH("FAIL",BC303))),"Y","N"))</f>
        <v/>
      </c>
      <c r="BZ303" s="10" t="str">
        <f aca="false">IF(D303="","",D303&amp;"|"&amp;F303&amp;"|"&amp;G303&amp;"|"&amp;BY303)</f>
        <v/>
      </c>
    </row>
    <row r="304" customFormat="false" ht="15" hidden="false" customHeight="false" outlineLevel="0" collapsed="false">
      <c r="A304" s="10" t="str">
        <f aca="false">IF(D304="","","LKW-"&amp;IFERROR(VLOOKUP(D304,Lists!$AQ$4:$AR$17,2,0),"??")&amp;"-W"&amp;TEXT(F304*1000,"0000")&amp;"-H"&amp;TEXT(G304*1000,"0000")&amp;"-B"&amp;TEXT(H304*1000,"0000")&amp;"-"&amp;AI304)</f>
        <v/>
      </c>
      <c r="B304" s="10" t="str">
        <f aca="false">IF(D304="","",D304&amp;", "&amp;F304&amp;" m wide, "&amp;G304&amp;" m headroom, "&amp;H304&amp;" m bays, "&amp;I304&amp;" ("&amp;E304&amp;")")</f>
        <v/>
      </c>
      <c r="C304" s="9"/>
      <c r="D304" s="9"/>
      <c r="E304" s="9"/>
      <c r="F304" s="42"/>
      <c r="G304" s="42"/>
      <c r="H304" s="42"/>
      <c r="I304" s="9"/>
      <c r="J304" s="9"/>
      <c r="K304" s="9"/>
      <c r="L304" s="9"/>
      <c r="M304" s="9"/>
      <c r="N304" s="9"/>
      <c r="O304" s="9"/>
      <c r="P304" s="9"/>
      <c r="Q304" s="9"/>
      <c r="R304" s="9"/>
      <c r="S304" s="42"/>
      <c r="T304" s="9"/>
      <c r="U304" s="9"/>
      <c r="V304" s="9"/>
      <c r="W304" s="38"/>
      <c r="X304" s="42"/>
      <c r="Y304" s="9"/>
      <c r="Z304" s="9"/>
      <c r="AA304" s="9"/>
      <c r="AB304" s="42"/>
      <c r="AC304" s="9"/>
      <c r="AD304" s="38"/>
      <c r="AE304" s="9"/>
      <c r="AF304" s="39"/>
      <c r="AG304" s="9"/>
      <c r="AH304" s="9"/>
      <c r="AI304" s="9"/>
      <c r="AJ304" s="9"/>
      <c r="AK304" s="9"/>
      <c r="AL304" s="9"/>
      <c r="AM304" s="9"/>
      <c r="AN304" s="10" t="str">
        <f aca="false">IF(A304="","",SG_Criteria!$B$6&amp;SG_Criteria!$B$12&amp;"\"&amp;A304&amp;"\")</f>
        <v/>
      </c>
      <c r="AO304" s="10" t="str">
        <f aca="false">IF(A304="","",A304&amp;"_CAD.dwg")</f>
        <v/>
      </c>
      <c r="AP304" s="10" t="str">
        <f aca="false">IF(A304="","",A304&amp;"_DWG.pdf")</f>
        <v/>
      </c>
      <c r="AQ304" s="10" t="str">
        <f aca="false">IF(A304="","",IF(AM304="Y",A304&amp;"_STAAD.std","n/a"))</f>
        <v/>
      </c>
      <c r="AR304" s="10" t="str">
        <f aca="false">IF(A304="","",A304&amp;"_CALC.xlsx")</f>
        <v/>
      </c>
      <c r="AS304" s="10" t="str">
        <f aca="false">IF(A304="","",A304&amp;"_CALC.pdf")</f>
        <v/>
      </c>
      <c r="AT304" s="9"/>
      <c r="AU304" s="9"/>
      <c r="AV304" s="39"/>
      <c r="AW304" s="39"/>
      <c r="AX304" s="39"/>
      <c r="AY304" s="39"/>
      <c r="AZ304" s="39"/>
      <c r="BA304" s="12" t="str">
        <f aca="false">IF(A304="","",IF(COUNTIF(Rebar_Schedule!$A$5:$A$2004,A304)=0,"",ROUND(SUMIF(Rebar_Schedule!$A$5:$A$2004,A304,Rebar_Schedule!$K$5:$K$2004),1)))</f>
        <v/>
      </c>
      <c r="BB304" s="33" t="str">
        <f aca="false">IF(A304="","",IF(BA304="","No rebar schedule yet",IF(ABS(BA304-N(AW304))/MAX(N(AW304),1)&gt;SG_Criteria!$B$55,"NOTE: register rebar differs from schedule by "&amp;TEXT(ABS(BA304-N(AW304))/MAX(N(AW304),1),"0%"),"OK")))</f>
        <v/>
      </c>
      <c r="BC304" s="33" t="str">
        <f aca="false">IF(D304="","",IF(LEN(IF(AND(D304&lt;&gt;"High Covered Linkway",G304&lt;SG_Criteria!$B$46),"FAIL: headroom below "&amp;SG_Criteria!$B$46&amp;" m. ","")&amp;IF(AND(D304="High Covered Linkway",G304&lt;SG_Criteria!$B$47),"FAIL: high linkway headroom below "&amp;SG_Criteria!$B$47&amp;" m. ","")&amp;IF(F304&lt;SG_Criteria!$B$48,"FAIL: roof width below "&amp;SG_Criteria!$B$48&amp;" m. ",IF(F304&lt;SG_Criteria!$B$49,"NOTE: not for MRT/LRT or high-traffic routes (min "&amp;SG_Criteria!$B$49&amp;" m). ",""))&amp;IF(AND(W304&lt;&gt;"",W304&lt;SG_Criteria!$B$50),"FAIL: wind speed below "&amp;SG_Criteria!$B$50&amp;" m/s. ","")&amp;IF(AND(X304&lt;&gt;"",X304&lt;SG_Criteria!$B$51),"FAIL: roof fixing pull-out below "&amp;SG_Criteria!$B$51&amp;" kN. ","")&amp;IF(AND(Y304&lt;&gt;"",IFERROR(VALUE(MID(Y304,2,2)),0)&lt;SG_Criteria!$B$52),"FAIL: grade below C"&amp;SG_Criteria!$B$52&amp;". ","")&amp;IF(E304="Non-standard (project design)","NOTE: not an SDRE standard, needs LTA acceptance. ",""))=0,"OK",IF(AND(D304&lt;&gt;"High Covered Linkway",G304&lt;SG_Criteria!$B$46),"FAIL: headroom below "&amp;SG_Criteria!$B$46&amp;" m. ","")&amp;IF(AND(D304="High Covered Linkway",G304&lt;SG_Criteria!$B$47),"FAIL: high linkway headroom below "&amp;SG_Criteria!$B$47&amp;" m. ","")&amp;IF(F304&lt;SG_Criteria!$B$48,"FAIL: roof width below "&amp;SG_Criteria!$B$48&amp;" m. ",IF(F304&lt;SG_Criteria!$B$49,"NOTE: not for MRT/LRT or high-traffic routes (min "&amp;SG_Criteria!$B$49&amp;" m). ",""))&amp;IF(AND(W304&lt;&gt;"",W304&lt;SG_Criteria!$B$50),"FAIL: wind speed below "&amp;SG_Criteria!$B$50&amp;" m/s. ","")&amp;IF(AND(X304&lt;&gt;"",X304&lt;SG_Criteria!$B$51),"FAIL: roof fixing pull-out below "&amp;SG_Criteria!$B$51&amp;" kN. ","")&amp;IF(AND(Y304&lt;&gt;"",IFERROR(VALUE(MID(Y304,2,2)),0)&lt;SG_Criteria!$B$52),"FAIL: grade below C"&amp;SG_Criteria!$B$52&amp;". ","")&amp;IF(E304="Non-standard (project design)","NOTE: not an SDRE standard, needs LTA acceptance. ","")))</f>
        <v/>
      </c>
      <c r="BD304" s="9"/>
      <c r="BE304" s="9"/>
      <c r="BF304" s="9"/>
      <c r="BG304" s="10" t="str">
        <f aca="false">IF(BF304="","",IFERROR(VLOOKUP(BF304,Projects!$A$5:$D$504,2,0),"Ref not in Projects"))</f>
        <v/>
      </c>
      <c r="BH304" s="10" t="str">
        <f aca="false">IF(BF304="","",IFERROR(VLOOKUP(BF304,Projects!$A$5:$D$504,4,0),"Ref not in Projects"))</f>
        <v/>
      </c>
      <c r="BI304" s="9"/>
      <c r="BJ304" s="9"/>
      <c r="BK304" s="9"/>
      <c r="BL304" s="40"/>
      <c r="BM304" s="9"/>
      <c r="BN304" s="40"/>
      <c r="BO304" s="9"/>
      <c r="BP304" s="40"/>
      <c r="BQ304" s="9"/>
      <c r="BR304" s="9"/>
      <c r="BS304" s="9"/>
      <c r="BT304" s="40"/>
      <c r="BU304" s="40"/>
      <c r="BV304" s="36" t="str">
        <f aca="false">IF(BU304="","",EDATE(BU304,SG_Criteria!$B$54*12))</f>
        <v/>
      </c>
      <c r="BW304" s="33" t="str">
        <f aca="true">IF(A304="","",IF(BU304="","NOTE: not reviewed yet",IF(TODAY()&gt;BV304,"NOTE: review overdue","OK")))</f>
        <v/>
      </c>
      <c r="BX304" s="37" t="str">
        <f aca="false">IF(A304="","",ROUND((IF(LEN(D304)&gt;0,1,0)+IF(LEN(E304)&gt;0,1,0)+IF(LEN(F304)&gt;0,1,0)+IF(LEN(G304)&gt;0,1,0)+IF(LEN(H304)&gt;0,1,0)+IF(LEN(I304)&gt;0,1,0)+IF(LEN(J304)&gt;0,1,0)+IF(LEN(K304)&gt;0,1,0)+IF(LEN(N304)&gt;0,1,0)+IF(LEN(O304)&gt;0,1,0)+IF(LEN(W304)&gt;0,1,0)+IF(LEN(X304)&gt;0,1,0)+IF(LEN(Y304)&gt;0,1,0)+IF(LEN(AG304)&gt;0,1,0)+IF(LEN(AI304)&gt;0,1,0)+IF(LEN(AJ304)&gt;0,1,0)+IF(LEN(AK304)&gt;0,1,0)+IF(LEN(AL304)&gt;0,1,0)+IF(LEN(AU304)&gt;0,1,0)+IF(LEN(BF304)&gt;0,1,0)+IF(LEN(BS304)&gt;0,1,0))/21,2))</f>
        <v/>
      </c>
      <c r="BY304" s="10" t="str">
        <f aca="false">IF(D304="","",IF(AND(AJ304="Approved",ISERROR(SEARCH("FAIL",BC304))),"Y","N"))</f>
        <v/>
      </c>
      <c r="BZ304" s="10" t="str">
        <f aca="false">IF(D304="","",D304&amp;"|"&amp;F304&amp;"|"&amp;G304&amp;"|"&amp;BY304)</f>
        <v/>
      </c>
    </row>
  </sheetData>
  <conditionalFormatting sqref="BC5:BC304">
    <cfRule type="expression" priority="2" aboveAverage="0" equalAverage="0" bottom="0" percent="0" rank="0" text="" dxfId="0">
      <formula>ISNUMBER(SEARCH("FAIL",BC5))</formula>
    </cfRule>
    <cfRule type="expression" priority="3" aboveAverage="0" equalAverage="0" bottom="0" percent="0" rank="0" text="" dxfId="16">
      <formula>ISNUMBER(SEARCH("NOTE",BC5))</formula>
    </cfRule>
    <cfRule type="expression" priority="4" aboveAverage="0" equalAverage="0" bottom="0" percent="0" rank="0" text="" dxfId="1">
      <formula>BC5="OK"</formula>
    </cfRule>
  </conditionalFormatting>
  <conditionalFormatting sqref="BB5:BB304">
    <cfRule type="expression" priority="5" aboveAverage="0" equalAverage="0" bottom="0" percent="0" rank="0" text="" dxfId="0">
      <formula>ISNUMBER(SEARCH("FAIL",BB5))</formula>
    </cfRule>
    <cfRule type="expression" priority="6" aboveAverage="0" equalAverage="0" bottom="0" percent="0" rank="0" text="" dxfId="16">
      <formula>ISNUMBER(SEARCH("NOTE",BB5))</formula>
    </cfRule>
    <cfRule type="expression" priority="7" aboveAverage="0" equalAverage="0" bottom="0" percent="0" rank="0" text="" dxfId="1">
      <formula>BB5="OK"</formula>
    </cfRule>
  </conditionalFormatting>
  <conditionalFormatting sqref="BW5:BW304">
    <cfRule type="expression" priority="8" aboveAverage="0" equalAverage="0" bottom="0" percent="0" rank="0" text="" dxfId="0">
      <formula>ISNUMBER(SEARCH("FAIL",BW5))</formula>
    </cfRule>
    <cfRule type="expression" priority="9" aboveAverage="0" equalAverage="0" bottom="0" percent="0" rank="0" text="" dxfId="16">
      <formula>ISNUMBER(SEARCH("NOTE",BW5))</formula>
    </cfRule>
    <cfRule type="expression" priority="10" aboveAverage="0" equalAverage="0" bottom="0" percent="0" rank="0" text="" dxfId="1">
      <formula>BW5="OK"</formula>
    </cfRule>
  </conditionalFormatting>
  <conditionalFormatting sqref="BX5:BX304">
    <cfRule type="expression" priority="11" aboveAverage="0" equalAverage="0" bottom="0" percent="0" rank="0" text="" dxfId="16">
      <formula>AND(BX5&lt;&gt;"",BX5&lt;SG_Criteria!$B$56)</formula>
    </cfRule>
    <cfRule type="expression" priority="12" aboveAverage="0" equalAverage="0" bottom="0" percent="0" rank="0" text="" dxfId="1">
      <formula>AND(BX5&lt;&gt;"",BX5&gt;=SG_Criteria!$B$56)</formula>
    </cfRule>
  </conditionalFormatting>
  <dataValidations count="14">
    <dataValidation allowBlank="true" error="Pick a value from the list (add new values on the Lists sheet)." errorStyle="stop" errorTitle="Not in list" operator="between" showDropDown="false" showErrorMessage="false" showInputMessage="false" sqref="D5:D304" type="list">
      <formula1>Lists!$AQ$4:$AQ$17</formula1>
      <formula2>0</formula2>
    </dataValidation>
    <dataValidation allowBlank="true" error="Pick a value from the list (add new values on the Lists sheet)." errorStyle="stop" errorTitle="Not in list" operator="between" showDropDown="false" showErrorMessage="false" showInputMessage="false" sqref="E5:E304" type="list">
      <formula1>Lists!$AT$4:$AT$20</formula1>
      <formula2>0</formula2>
    </dataValidation>
    <dataValidation allowBlank="true" error="Pick a value from the list (add new values on the Lists sheet)." errorStyle="stop" errorTitle="Not in list" operator="between" showDropDown="false" showErrorMessage="false" showInputMessage="false" sqref="I5:I304" type="list">
      <formula1>Lists!$AW$4:$AW$17</formula1>
      <formula2>0</formula2>
    </dataValidation>
    <dataValidation allowBlank="true" error="Pick a value from the list (add new values on the Lists sheet)." errorStyle="stop" errorTitle="Not in list" operator="between" showDropDown="false" showErrorMessage="false" showInputMessage="false" sqref="K5:K304" type="list">
      <formula1>Lists!$AZ$4:$AZ$18</formula1>
      <formula2>0</formula2>
    </dataValidation>
    <dataValidation allowBlank="true" error="Pick a value from the list (add new values on the Lists sheet)." errorStyle="stop" errorTitle="Not in list" operator="between" showDropDown="false" showErrorMessage="false" showInputMessage="false" sqref="Y5:Y304" type="list">
      <formula1>Lists!$BO$4:$BO$20</formula1>
      <formula2>0</formula2>
    </dataValidation>
    <dataValidation allowBlank="true" error="Pick a value from the list (add new values on the Lists sheet)." errorStyle="stop" errorTitle="Not in list" operator="between" showDropDown="false" showErrorMessage="false" showInputMessage="false" sqref="Z5:Z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C5:AC304" type="list">
      <formula1>Lists!$BU$4:$BU$27</formula1>
      <formula2>0</formula2>
    </dataValidation>
    <dataValidation allowBlank="true" error="Pick a value from the list (add new values on the Lists sheet)." errorStyle="stop" errorTitle="Not in list" operator="between" showDropDown="false" showErrorMessage="false" showInputMessage="false" sqref="AE5:AE304" type="list">
      <formula1>Lists!$BX$4:$BX$18</formula1>
      <formula2>0</formula2>
    </dataValidation>
    <dataValidation allowBlank="true" error="Pick a value from the list (add new values on the Lists sheet)." errorStyle="stop" errorTitle="Not in list" operator="between" showDropDown="false" showErrorMessage="false" showInputMessage="false" sqref="AJ5:AJ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AL5:AL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AM5:AM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T5:AT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U5:AU304" type="list">
      <formula1>Lists!$BL$4:$BL$19</formula1>
      <formula2>0</formula2>
    </dataValidation>
    <dataValidation allowBlank="true" error="Pick a Project Ref from the Projects sheet (add the project there first)." errorStyle="stop" errorTitle="Not in list" operator="between" showDropDown="false" showErrorMessage="false" showInputMessage="false" sqref="BF5:BF304" type="list">
      <formula1>Projects!$A$5:$A$504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BI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40"/>
    <col collapsed="false" customWidth="true" hidden="false" outlineLevel="0" max="3" min="3" style="0" width="24"/>
    <col collapsed="false" customWidth="true" hidden="false" outlineLevel="0" max="4" min="4" style="0" width="13"/>
    <col collapsed="false" customWidth="true" hidden="false" outlineLevel="0" max="5" min="5" style="0" width="18"/>
    <col collapsed="false" customWidth="true" hidden="false" outlineLevel="0" max="7" min="6" style="0" width="7"/>
    <col collapsed="false" customWidth="true" hidden="false" outlineLevel="0" max="8" min="8" style="0" width="6"/>
    <col collapsed="false" customWidth="true" hidden="false" outlineLevel="0" max="9" min="9" style="0" width="18"/>
    <col collapsed="false" customWidth="true" hidden="false" outlineLevel="0" max="11" min="10" style="0" width="14"/>
    <col collapsed="false" customWidth="true" hidden="false" outlineLevel="0" max="12" min="12" style="0" width="22"/>
    <col collapsed="false" customWidth="true" hidden="false" outlineLevel="0" max="14" min="13" style="0" width="7"/>
    <col collapsed="false" customWidth="true" hidden="false" outlineLevel="0" max="15" min="15" style="0" width="13"/>
    <col collapsed="false" customWidth="true" hidden="false" outlineLevel="0" max="16" min="16" style="0" width="7"/>
    <col collapsed="false" customWidth="true" hidden="false" outlineLevel="0" max="17" min="17" style="0" width="30"/>
    <col collapsed="false" customWidth="true" hidden="false" outlineLevel="0" max="18" min="18" style="0" width="28"/>
    <col collapsed="false" customWidth="true" hidden="false" outlineLevel="0" max="19" min="19" style="0" width="5"/>
    <col collapsed="false" customWidth="true" hidden="false" outlineLevel="0" max="20" min="20" style="0" width="10"/>
    <col collapsed="false" customWidth="true" hidden="false" outlineLevel="0" max="21" min="21" style="0" width="14"/>
    <col collapsed="false" customWidth="true" hidden="false" outlineLevel="0" max="22" min="22" style="0" width="8"/>
    <col collapsed="false" customWidth="true" hidden="false" outlineLevel="0" max="23" min="23" style="0" width="9"/>
    <col collapsed="false" customWidth="true" hidden="false" outlineLevel="0" max="24" min="24" style="0" width="46"/>
    <col collapsed="false" customWidth="true" hidden="false" outlineLevel="0" max="29" min="25" style="0" width="30"/>
    <col collapsed="false" customWidth="true" hidden="false" outlineLevel="0" max="30" min="30" style="0" width="9"/>
    <col collapsed="false" customWidth="true" hidden="false" outlineLevel="0" max="31" min="31" style="0" width="6"/>
    <col collapsed="false" customWidth="true" hidden="false" outlineLevel="0" max="36" min="32" style="0" width="9"/>
    <col collapsed="false" customWidth="true" hidden="false" outlineLevel="0" max="37" min="37" style="0" width="10"/>
    <col collapsed="false" customWidth="true" hidden="false" outlineLevel="0" max="38" min="38" style="0" width="22"/>
    <col collapsed="false" customWidth="true" hidden="false" outlineLevel="0" max="39" min="39" style="0" width="20"/>
    <col collapsed="false" customWidth="true" hidden="false" outlineLevel="0" max="40" min="40" style="0" width="36"/>
    <col collapsed="false" customWidth="true" hidden="false" outlineLevel="0" max="41" min="41" style="0" width="22"/>
    <col collapsed="false" customWidth="true" hidden="false" outlineLevel="0" max="42" min="42" style="0" width="11"/>
    <col collapsed="false" customWidth="true" hidden="false" outlineLevel="0" max="43" min="43" style="0" width="30"/>
    <col collapsed="false" customWidth="true" hidden="false" outlineLevel="0" max="44" min="44" style="0" width="10"/>
    <col collapsed="false" customWidth="true" hidden="false" outlineLevel="0" max="46" min="45" style="0" width="22"/>
    <col collapsed="false" customWidth="true" hidden="false" outlineLevel="0" max="50" min="47" style="0" width="11"/>
    <col collapsed="false" customWidth="true" hidden="false" outlineLevel="0" max="51" min="51" style="0" width="18"/>
    <col collapsed="false" customWidth="true" hidden="false" outlineLevel="0" max="52" min="52" style="0" width="11"/>
    <col collapsed="false" customWidth="true" hidden="false" outlineLevel="0" max="54" min="53" style="0" width="10"/>
    <col collapsed="false" customWidth="true" hidden="false" outlineLevel="0" max="58" min="55" style="0" width="11"/>
    <col collapsed="false" customWidth="true" hidden="false" outlineLevel="0" max="59" min="59" style="0" width="18"/>
    <col collapsed="false" customWidth="true" hidden="false" outlineLevel="0" max="60" min="60" style="0" width="9"/>
    <col collapsed="false" customWidth="true" hidden="false" outlineLevel="0" max="61" min="61" style="0" width="8"/>
  </cols>
  <sheetData>
    <row r="1" customFormat="false" ht="17.35" hidden="false" customHeight="false" outlineLevel="0" collapsed="false">
      <c r="A1" s="5" t="s">
        <v>888</v>
      </c>
    </row>
    <row r="2" customFormat="false" ht="15" hidden="false" customHeight="false" outlineLevel="0" collapsed="false">
      <c r="A2" s="6" t="s">
        <v>889</v>
      </c>
    </row>
    <row r="3" customFormat="false" ht="15" hidden="false" customHeight="false" outlineLevel="0" collapsed="false">
      <c r="A3" s="6" t="s">
        <v>598</v>
      </c>
    </row>
    <row r="4" customFormat="false" ht="54" hidden="false" customHeight="true" outlineLevel="0" collapsed="false">
      <c r="A4" s="16" t="s">
        <v>102</v>
      </c>
      <c r="B4" s="16" t="s">
        <v>103</v>
      </c>
      <c r="C4" s="15" t="s">
        <v>279</v>
      </c>
      <c r="D4" s="15" t="s">
        <v>531</v>
      </c>
      <c r="E4" s="15" t="s">
        <v>532</v>
      </c>
      <c r="F4" s="15" t="s">
        <v>533</v>
      </c>
      <c r="G4" s="15" t="s">
        <v>534</v>
      </c>
      <c r="H4" s="15" t="s">
        <v>535</v>
      </c>
      <c r="I4" s="15" t="s">
        <v>536</v>
      </c>
      <c r="J4" s="15" t="s">
        <v>537</v>
      </c>
      <c r="K4" s="15" t="s">
        <v>538</v>
      </c>
      <c r="L4" s="15" t="s">
        <v>539</v>
      </c>
      <c r="M4" s="15" t="s">
        <v>320</v>
      </c>
      <c r="N4" s="15" t="s">
        <v>322</v>
      </c>
      <c r="O4" s="15" t="s">
        <v>325</v>
      </c>
      <c r="P4" s="15" t="s">
        <v>327</v>
      </c>
      <c r="Q4" s="15" t="s">
        <v>329</v>
      </c>
      <c r="R4" s="15" t="s">
        <v>333</v>
      </c>
      <c r="S4" s="15" t="s">
        <v>131</v>
      </c>
      <c r="T4" s="15" t="s">
        <v>132</v>
      </c>
      <c r="U4" s="15" t="s">
        <v>133</v>
      </c>
      <c r="V4" s="15" t="s">
        <v>336</v>
      </c>
      <c r="W4" s="15" t="s">
        <v>341</v>
      </c>
      <c r="X4" s="30" t="s">
        <v>343</v>
      </c>
      <c r="Y4" s="30" t="s">
        <v>344</v>
      </c>
      <c r="Z4" s="30" t="s">
        <v>345</v>
      </c>
      <c r="AA4" s="30" t="s">
        <v>346</v>
      </c>
      <c r="AB4" s="30" t="s">
        <v>347</v>
      </c>
      <c r="AC4" s="30" t="s">
        <v>348</v>
      </c>
      <c r="AD4" s="15" t="s">
        <v>349</v>
      </c>
      <c r="AE4" s="15" t="s">
        <v>351</v>
      </c>
      <c r="AF4" s="17" t="s">
        <v>355</v>
      </c>
      <c r="AG4" s="17" t="s">
        <v>357</v>
      </c>
      <c r="AH4" s="17" t="s">
        <v>359</v>
      </c>
      <c r="AI4" s="17" t="s">
        <v>360</v>
      </c>
      <c r="AJ4" s="17" t="s">
        <v>362</v>
      </c>
      <c r="AK4" s="16" t="s">
        <v>363</v>
      </c>
      <c r="AL4" s="16" t="s">
        <v>365</v>
      </c>
      <c r="AM4" s="16" t="s">
        <v>371</v>
      </c>
      <c r="AN4" s="15" t="s">
        <v>373</v>
      </c>
      <c r="AO4" s="15" t="s">
        <v>374</v>
      </c>
      <c r="AP4" s="15" t="s">
        <v>375</v>
      </c>
      <c r="AQ4" s="16" t="s">
        <v>378</v>
      </c>
      <c r="AR4" s="16" t="s">
        <v>379</v>
      </c>
      <c r="AS4" s="15" t="s">
        <v>380</v>
      </c>
      <c r="AT4" s="15" t="s">
        <v>382</v>
      </c>
      <c r="AU4" s="15" t="s">
        <v>384</v>
      </c>
      <c r="AV4" s="15" t="s">
        <v>386</v>
      </c>
      <c r="AW4" s="15" t="s">
        <v>387</v>
      </c>
      <c r="AX4" s="15" t="s">
        <v>389</v>
      </c>
      <c r="AY4" s="15" t="s">
        <v>390</v>
      </c>
      <c r="AZ4" s="15" t="s">
        <v>392</v>
      </c>
      <c r="BA4" s="15" t="s">
        <v>393</v>
      </c>
      <c r="BB4" s="15" t="s">
        <v>394</v>
      </c>
      <c r="BC4" s="15" t="s">
        <v>395</v>
      </c>
      <c r="BD4" s="15" t="s">
        <v>397</v>
      </c>
      <c r="BE4" s="15" t="s">
        <v>398</v>
      </c>
      <c r="BF4" s="16" t="s">
        <v>400</v>
      </c>
      <c r="BG4" s="16" t="s">
        <v>402</v>
      </c>
      <c r="BH4" s="16" t="s">
        <v>404</v>
      </c>
      <c r="BI4" s="16" t="s">
        <v>406</v>
      </c>
    </row>
    <row r="5" customFormat="false" ht="15" hidden="false" customHeight="false" outlineLevel="0" collapsed="false">
      <c r="A5" s="10" t="str">
        <f aca="false">IF(D5="","",IFERROR(VLOOKUP(D5,Lists!$BI$4:$BJ$20,2,0),"??")&amp;"-"&amp;UPPER(SUBSTITUTE(E5," ",""))&amp;IF(F5&lt;&gt;"","-SP"&amp;TEXT(F5*1000,"0"),"")&amp;IF(G5&lt;&gt;"","-H"&amp;TEXT(G5*1000,"0"),"")&amp;"-"&amp;S5)</f>
        <v>RLG-DRAINSAFETY-H1000-A</v>
      </c>
      <c r="B5" s="10" t="str">
        <f aca="false">IF(D5="","",D5&amp;" - "&amp;E5&amp;IF(F5&lt;&gt;"",", span "&amp;F5&amp;" m","")&amp;IF(G5&lt;&gt;"",", H "&amp;G5&amp;" m","")&amp;IF(H5&lt;&gt;"",", W "&amp;H5&amp;" m",""))</f>
        <v>Railing - Drain Safety, H 1 m</v>
      </c>
      <c r="C5" s="18" t="s">
        <v>890</v>
      </c>
      <c r="D5" s="18" t="s">
        <v>891</v>
      </c>
      <c r="E5" s="18" t="s">
        <v>892</v>
      </c>
      <c r="F5" s="41"/>
      <c r="G5" s="41" t="n">
        <v>1</v>
      </c>
      <c r="H5" s="41"/>
      <c r="I5" s="18" t="s">
        <v>893</v>
      </c>
      <c r="J5" s="18" t="s">
        <v>894</v>
      </c>
      <c r="K5" s="18" t="s">
        <v>895</v>
      </c>
      <c r="L5" s="18" t="s">
        <v>896</v>
      </c>
      <c r="M5" s="18" t="s">
        <v>860</v>
      </c>
      <c r="N5" s="31" t="n">
        <v>100</v>
      </c>
      <c r="O5" s="18" t="s">
        <v>609</v>
      </c>
      <c r="P5" s="32" t="n">
        <v>0.3</v>
      </c>
      <c r="Q5" s="18" t="s">
        <v>897</v>
      </c>
      <c r="R5" s="18" t="s">
        <v>898</v>
      </c>
      <c r="S5" s="18" t="s">
        <v>612</v>
      </c>
      <c r="T5" s="18" t="s">
        <v>254</v>
      </c>
      <c r="U5" s="18" t="s">
        <v>899</v>
      </c>
      <c r="V5" s="18" t="n">
        <v>10</v>
      </c>
      <c r="W5" s="18" t="s">
        <v>84</v>
      </c>
      <c r="X5" s="10" t="str">
        <f aca="false">IF(A5="","",SG_Criteria!$B$6&amp;SG_Criteria!$B$13&amp;"\"&amp;A5&amp;"\")</f>
        <v>C:\Users\yourname\YourCompany\Design Library - Documents\07_Other_Structures\RLG-DRAINSAFETY-H1000-A\</v>
      </c>
      <c r="Y5" s="10" t="str">
        <f aca="false">IF(A5="","",A5&amp;"_CAD.dwg")</f>
        <v>RLG-DRAINSAFETY-H1000-A_CAD.dwg</v>
      </c>
      <c r="Z5" s="10" t="str">
        <f aca="false">IF(A5="","",A5&amp;"_DWG.pdf")</f>
        <v>RLG-DRAINSAFETY-H1000-A_DWG.pdf</v>
      </c>
      <c r="AA5" s="10" t="str">
        <f aca="false">IF(A5="","",IF(W5="Y",A5&amp;"_STAAD.std","n/a"))</f>
        <v>n/a</v>
      </c>
      <c r="AB5" s="10" t="str">
        <f aca="false">IF(A5="","",A5&amp;"_CALC.xlsx")</f>
        <v>RLG-DRAINSAFETY-H1000-A_CALC.xlsx</v>
      </c>
      <c r="AC5" s="10" t="str">
        <f aca="false">IF(A5="","",A5&amp;"_CALC.pdf")</f>
        <v>RLG-DRAINSAFETY-H1000-A_CALC.pdf</v>
      </c>
      <c r="AD5" s="18" t="s">
        <v>84</v>
      </c>
      <c r="AE5" s="18" t="s">
        <v>313</v>
      </c>
      <c r="AF5" s="32" t="n">
        <v>0</v>
      </c>
      <c r="AG5" s="32" t="n">
        <v>0</v>
      </c>
      <c r="AH5" s="32" t="n">
        <v>18</v>
      </c>
      <c r="AI5" s="32" t="n">
        <v>0</v>
      </c>
      <c r="AJ5" s="32" t="n">
        <v>0</v>
      </c>
      <c r="AK5" s="12" t="str">
        <f aca="false">IF(A5="","",IF(COUNTIF(Rebar_Schedule!$A$5:$A$2004,A5)=0,"",ROUND(SUMIF(Rebar_Schedule!$A$5:$A$2004,A5,Rebar_Schedule!$K$5:$K$2004),1)))</f>
        <v/>
      </c>
      <c r="AL5" s="33" t="str">
        <f aca="false">IF(A5="","",IF(AK5="","No rebar schedule yet",IF(ABS(AK5-N(AG5))/MAX(N(AG5),1)&gt;SG_Criteria!$B$55,"NOTE: register rebar differs from schedule by "&amp;TEXT(ABS(AK5-N(AG5))/MAX(N(AG5),1),"0%"),"OK")))</f>
        <v>No rebar schedule yet</v>
      </c>
      <c r="AM5" s="33" t="str">
        <f aca="false">IF(D5="","","OK")</f>
        <v>OK</v>
      </c>
      <c r="AN5" s="18" t="s">
        <v>900</v>
      </c>
      <c r="AO5" s="18"/>
      <c r="AP5" s="18" t="s">
        <v>574</v>
      </c>
      <c r="AQ5" s="10" t="str">
        <f aca="false">IF(AP5="","",IFERROR(VLOOKUP(AP5,Projects!$A$5:$D$504,2,0),"Ref not in Projects"))</f>
        <v>EXAMPLE Road upgrading at Jalan Contoh</v>
      </c>
      <c r="AR5" s="10" t="str">
        <f aca="false">IF(AP5="","",IFERROR(VLOOKUP(AP5,Projects!$A$5:$D$504,4,0),"Ref not in Projects"))</f>
        <v>LTA</v>
      </c>
      <c r="AS5" s="18" t="s">
        <v>615</v>
      </c>
      <c r="AT5" s="18" t="s">
        <v>616</v>
      </c>
      <c r="AU5" s="18" t="s">
        <v>617</v>
      </c>
      <c r="AV5" s="35" t="n">
        <v>46309</v>
      </c>
      <c r="AW5" s="18" t="s">
        <v>617</v>
      </c>
      <c r="AX5" s="35" t="n">
        <v>46309</v>
      </c>
      <c r="AY5" s="18" t="s">
        <v>618</v>
      </c>
      <c r="AZ5" s="35"/>
      <c r="BA5" s="18" t="s">
        <v>617</v>
      </c>
      <c r="BB5" s="18" t="s">
        <v>617</v>
      </c>
      <c r="BC5" s="18" t="s">
        <v>617</v>
      </c>
      <c r="BD5" s="35" t="n">
        <v>46309</v>
      </c>
      <c r="BE5" s="35" t="n">
        <v>46309</v>
      </c>
      <c r="BF5" s="36" t="n">
        <f aca="false">IF(BE5="","",EDATE(BE5,SG_Criteria!$B$54*12))</f>
        <v>47405</v>
      </c>
      <c r="BG5" s="33" t="str">
        <f aca="true">IF(A5="","",IF(BE5="","NOTE: not reviewed yet",IF(TODAY()&gt;BF5,"NOTE: review overdue","OK")))</f>
        <v>OK</v>
      </c>
      <c r="BH5" s="37" t="n">
        <f aca="false">IF(A5="","",ROUND((IF(LEN(D5)&gt;0,1,0)+IF(LEN(E5)&gt;0,1,0)+IF(LEN(I5)&gt;0,1,0)+IF(LEN(K5)&gt;0,1,0)+IF(LEN(Q5)&gt;0,1,0)+IF(LEN(S5)&gt;0,1,0)+IF(LEN(T5)&gt;0,1,0)+IF(LEN(U5)&gt;0,1,0)+IF(LEN(V5)&gt;0,1,0)+IF(LEN(AE5)&gt;0,1,0)+IF(LEN(AP5)&gt;0,1,0)+IF(LEN(BC5)&gt;0,1,0))/12,2))</f>
        <v>1</v>
      </c>
      <c r="BI5" s="10" t="str">
        <f aca="false">IF(D5="","",IF(AND(T5="Approved",ISERROR(SEARCH("FAIL",AM5))),"Y","N"))</f>
        <v>Y</v>
      </c>
    </row>
    <row r="6" customFormat="false" ht="15" hidden="false" customHeight="false" outlineLevel="0" collapsed="false">
      <c r="A6" s="10" t="str">
        <f aca="false">IF(D6="","",IFERROR(VLOOKUP(D6,Lists!$BI$4:$BJ$20,2,0),"??")&amp;"-"&amp;UPPER(SUBSTITUTE(E6," ",""))&amp;IF(F6&lt;&gt;"","-SP"&amp;TEXT(F6*1000,"0"),"")&amp;IF(G6&lt;&gt;"","-H"&amp;TEXT(G6*1000,"0"),"")&amp;"-"&amp;S6)</f>
        <v>RLG-PARAPET-H1100-A</v>
      </c>
      <c r="B6" s="10" t="str">
        <f aca="false">IF(D6="","",D6&amp;" - "&amp;E6&amp;IF(F6&lt;&gt;"",", span "&amp;F6&amp;" m","")&amp;IF(G6&lt;&gt;"",", H "&amp;G6&amp;" m","")&amp;IF(H6&lt;&gt;"",", W "&amp;H6&amp;" m",""))</f>
        <v>Railing - Parapet, H 1.1 m</v>
      </c>
      <c r="C6" s="18" t="s">
        <v>890</v>
      </c>
      <c r="D6" s="18" t="s">
        <v>891</v>
      </c>
      <c r="E6" s="18" t="s">
        <v>901</v>
      </c>
      <c r="F6" s="41"/>
      <c r="G6" s="41" t="n">
        <v>1.1</v>
      </c>
      <c r="H6" s="41"/>
      <c r="I6" s="18" t="s">
        <v>893</v>
      </c>
      <c r="J6" s="18" t="s">
        <v>902</v>
      </c>
      <c r="K6" s="18" t="s">
        <v>895</v>
      </c>
      <c r="L6" s="18" t="s">
        <v>903</v>
      </c>
      <c r="M6" s="18" t="s">
        <v>860</v>
      </c>
      <c r="N6" s="31" t="n">
        <v>100</v>
      </c>
      <c r="O6" s="18" t="s">
        <v>609</v>
      </c>
      <c r="P6" s="32" t="n">
        <v>0.3</v>
      </c>
      <c r="Q6" s="18" t="s">
        <v>897</v>
      </c>
      <c r="R6" s="18" t="s">
        <v>898</v>
      </c>
      <c r="S6" s="18" t="s">
        <v>612</v>
      </c>
      <c r="T6" s="18" t="s">
        <v>255</v>
      </c>
      <c r="U6" s="18" t="s">
        <v>904</v>
      </c>
      <c r="V6" s="18" t="n">
        <v>10</v>
      </c>
      <c r="W6" s="18" t="s">
        <v>84</v>
      </c>
      <c r="X6" s="10" t="str">
        <f aca="false">IF(A6="","",SG_Criteria!$B$6&amp;SG_Criteria!$B$13&amp;"\"&amp;A6&amp;"\")</f>
        <v>C:\Users\yourname\YourCompany\Design Library - Documents\07_Other_Structures\RLG-PARAPET-H1100-A\</v>
      </c>
      <c r="Y6" s="10" t="str">
        <f aca="false">IF(A6="","",A6&amp;"_CAD.dwg")</f>
        <v>RLG-PARAPET-H1100-A_CAD.dwg</v>
      </c>
      <c r="Z6" s="10" t="str">
        <f aca="false">IF(A6="","",A6&amp;"_DWG.pdf")</f>
        <v>RLG-PARAPET-H1100-A_DWG.pdf</v>
      </c>
      <c r="AA6" s="10" t="str">
        <f aca="false">IF(A6="","",IF(W6="Y",A6&amp;"_STAAD.std","n/a"))</f>
        <v>n/a</v>
      </c>
      <c r="AB6" s="10" t="str">
        <f aca="false">IF(A6="","",A6&amp;"_CALC.xlsx")</f>
        <v>RLG-PARAPET-H1100-A_CALC.xlsx</v>
      </c>
      <c r="AC6" s="10" t="str">
        <f aca="false">IF(A6="","",A6&amp;"_CALC.pdf")</f>
        <v>RLG-PARAPET-H1100-A_CALC.pdf</v>
      </c>
      <c r="AD6" s="18" t="s">
        <v>84</v>
      </c>
      <c r="AE6" s="18" t="s">
        <v>313</v>
      </c>
      <c r="AF6" s="32" t="n">
        <v>0</v>
      </c>
      <c r="AG6" s="32" t="n">
        <v>0</v>
      </c>
      <c r="AH6" s="32" t="n">
        <v>32</v>
      </c>
      <c r="AI6" s="32" t="n">
        <v>0</v>
      </c>
      <c r="AJ6" s="32" t="n">
        <v>0</v>
      </c>
      <c r="AK6" s="12" t="str">
        <f aca="false">IF(A6="","",IF(COUNTIF(Rebar_Schedule!$A$5:$A$2004,A6)=0,"",ROUND(SUMIF(Rebar_Schedule!$A$5:$A$2004,A6,Rebar_Schedule!$K$5:$K$2004),1)))</f>
        <v/>
      </c>
      <c r="AL6" s="33" t="str">
        <f aca="false">IF(A6="","",IF(AK6="","No rebar schedule yet",IF(ABS(AK6-N(AG6))/MAX(N(AG6),1)&gt;SG_Criteria!$B$55,"NOTE: register rebar differs from schedule by "&amp;TEXT(ABS(AK6-N(AG6))/MAX(N(AG6),1),"0%"),"OK")))</f>
        <v>No rebar schedule yet</v>
      </c>
      <c r="AM6" s="33" t="str">
        <f aca="false">IF(D6="","","OK")</f>
        <v>OK</v>
      </c>
      <c r="AN6" s="18" t="s">
        <v>621</v>
      </c>
      <c r="AO6" s="18"/>
      <c r="AP6" s="18" t="s">
        <v>574</v>
      </c>
      <c r="AQ6" s="10" t="str">
        <f aca="false">IF(AP6="","",IFERROR(VLOOKUP(AP6,Projects!$A$5:$D$504,2,0),"Ref not in Projects"))</f>
        <v>EXAMPLE Road upgrading at Jalan Contoh</v>
      </c>
      <c r="AR6" s="10" t="str">
        <f aca="false">IF(AP6="","",IFERROR(VLOOKUP(AP6,Projects!$A$5:$D$504,4,0),"Ref not in Projects"))</f>
        <v>LTA</v>
      </c>
      <c r="AS6" s="18" t="s">
        <v>622</v>
      </c>
      <c r="AT6" s="18" t="s">
        <v>616</v>
      </c>
      <c r="AU6" s="18" t="s">
        <v>617</v>
      </c>
      <c r="AV6" s="35" t="n">
        <v>46309</v>
      </c>
      <c r="AW6" s="18" t="s">
        <v>617</v>
      </c>
      <c r="AX6" s="35" t="n">
        <v>46309</v>
      </c>
      <c r="AY6" s="18"/>
      <c r="AZ6" s="35"/>
      <c r="BA6" s="18" t="s">
        <v>617</v>
      </c>
      <c r="BB6" s="18" t="s">
        <v>617</v>
      </c>
      <c r="BC6" s="18" t="s">
        <v>617</v>
      </c>
      <c r="BD6" s="35" t="n">
        <v>46309</v>
      </c>
      <c r="BE6" s="35" t="n">
        <v>46309</v>
      </c>
      <c r="BF6" s="36" t="n">
        <f aca="false">IF(BE6="","",EDATE(BE6,SG_Criteria!$B$54*12))</f>
        <v>47405</v>
      </c>
      <c r="BG6" s="33" t="str">
        <f aca="true">IF(A6="","",IF(BE6="","NOTE: not reviewed yet",IF(TODAY()&gt;BF6,"NOTE: review overdue","OK")))</f>
        <v>OK</v>
      </c>
      <c r="BH6" s="37" t="n">
        <f aca="false">IF(A6="","",ROUND((IF(LEN(D6)&gt;0,1,0)+IF(LEN(E6)&gt;0,1,0)+IF(LEN(I6)&gt;0,1,0)+IF(LEN(K6)&gt;0,1,0)+IF(LEN(Q6)&gt;0,1,0)+IF(LEN(S6)&gt;0,1,0)+IF(LEN(T6)&gt;0,1,0)+IF(LEN(U6)&gt;0,1,0)+IF(LEN(V6)&gt;0,1,0)+IF(LEN(AE6)&gt;0,1,0)+IF(LEN(AP6)&gt;0,1,0)+IF(LEN(BC6)&gt;0,1,0))/12,2))</f>
        <v>1</v>
      </c>
      <c r="BI6" s="10" t="str">
        <f aca="false">IF(D6="","",IF(AND(T6="Approved",ISERROR(SEARCH("FAIL",AM6))),"Y","N"))</f>
        <v>N</v>
      </c>
    </row>
    <row r="7" customFormat="false" ht="15" hidden="false" customHeight="false" outlineLevel="0" collapsed="false">
      <c r="A7" s="10" t="str">
        <f aca="false">IF(D7="","",IFERROR(VLOOKUP(D7,Lists!$BI$4:$BJ$20,2,0),"??")&amp;"-"&amp;UPPER(SUBSTITUTE(E7," ",""))&amp;IF(F7&lt;&gt;"","-SP"&amp;TEXT(F7*1000,"0"),"")&amp;IF(G7&lt;&gt;"","-H"&amp;TEXT(G7*1000,"0"),"")&amp;"-"&amp;S7)</f>
        <v>STR-RCSTRAIGHTFLIGHT-SP3600-H3000-A</v>
      </c>
      <c r="B7" s="10" t="str">
        <f aca="false">IF(D7="","",D7&amp;" - "&amp;E7&amp;IF(F7&lt;&gt;"",", span "&amp;F7&amp;" m","")&amp;IF(G7&lt;&gt;"",", H "&amp;G7&amp;" m","")&amp;IF(H7&lt;&gt;"",", W "&amp;H7&amp;" m",""))</f>
        <v>Staircase - RC Straight Flight, span 3.6 m, H 3 m, W 1.5 m</v>
      </c>
      <c r="C7" s="18" t="s">
        <v>905</v>
      </c>
      <c r="D7" s="18" t="s">
        <v>906</v>
      </c>
      <c r="E7" s="18" t="s">
        <v>907</v>
      </c>
      <c r="F7" s="41" t="n">
        <v>3.6</v>
      </c>
      <c r="G7" s="41" t="n">
        <v>3</v>
      </c>
      <c r="H7" s="41" t="n">
        <v>1.5</v>
      </c>
      <c r="I7" s="18" t="s">
        <v>908</v>
      </c>
      <c r="J7" s="18" t="s">
        <v>909</v>
      </c>
      <c r="K7" s="18" t="s">
        <v>910</v>
      </c>
      <c r="L7" s="18" t="s">
        <v>911</v>
      </c>
      <c r="M7" s="18" t="s">
        <v>860</v>
      </c>
      <c r="N7" s="31" t="n">
        <v>100</v>
      </c>
      <c r="O7" s="18" t="s">
        <v>609</v>
      </c>
      <c r="P7" s="32" t="n">
        <v>0.3</v>
      </c>
      <c r="Q7" s="18" t="s">
        <v>897</v>
      </c>
      <c r="R7" s="18" t="s">
        <v>898</v>
      </c>
      <c r="S7" s="18" t="s">
        <v>612</v>
      </c>
      <c r="T7" s="18" t="s">
        <v>254</v>
      </c>
      <c r="U7" s="18" t="s">
        <v>912</v>
      </c>
      <c r="V7" s="18" t="n">
        <v>25</v>
      </c>
      <c r="W7" s="18" t="s">
        <v>84</v>
      </c>
      <c r="X7" s="10" t="str">
        <f aca="false">IF(A7="","",SG_Criteria!$B$6&amp;SG_Criteria!$B$13&amp;"\"&amp;A7&amp;"\")</f>
        <v>C:\Users\yourname\YourCompany\Design Library - Documents\07_Other_Structures\STR-RCSTRAIGHTFLIGHT-SP3600-H3000-A\</v>
      </c>
      <c r="Y7" s="10" t="str">
        <f aca="false">IF(A7="","",A7&amp;"_CAD.dwg")</f>
        <v>STR-RCSTRAIGHTFLIGHT-SP3600-H3000-A_CAD.dwg</v>
      </c>
      <c r="Z7" s="10" t="str">
        <f aca="false">IF(A7="","",A7&amp;"_DWG.pdf")</f>
        <v>STR-RCSTRAIGHTFLIGHT-SP3600-H3000-A_DWG.pdf</v>
      </c>
      <c r="AA7" s="10" t="str">
        <f aca="false">IF(A7="","",IF(W7="Y",A7&amp;"_STAAD.std","n/a"))</f>
        <v>n/a</v>
      </c>
      <c r="AB7" s="10" t="str">
        <f aca="false">IF(A7="","",A7&amp;"_CALC.xlsx")</f>
        <v>STR-RCSTRAIGHTFLIGHT-SP3600-H3000-A_CALC.xlsx</v>
      </c>
      <c r="AC7" s="10" t="str">
        <f aca="false">IF(A7="","",A7&amp;"_CALC.pdf")</f>
        <v>STR-RCSTRAIGHTFLIGHT-SP3600-H3000-A_CALC.pdf</v>
      </c>
      <c r="AD7" s="18" t="s">
        <v>84</v>
      </c>
      <c r="AE7" s="18" t="s">
        <v>673</v>
      </c>
      <c r="AF7" s="32" t="n">
        <v>2.4</v>
      </c>
      <c r="AG7" s="32" t="n">
        <v>210</v>
      </c>
      <c r="AH7" s="32" t="n">
        <v>0</v>
      </c>
      <c r="AI7" s="32" t="n">
        <v>12.5</v>
      </c>
      <c r="AJ7" s="32" t="n">
        <v>1.8</v>
      </c>
      <c r="AK7" s="12" t="str">
        <f aca="false">IF(A7="","",IF(COUNTIF(Rebar_Schedule!$A$5:$A$2004,A7)=0,"",ROUND(SUMIF(Rebar_Schedule!$A$5:$A$2004,A7,Rebar_Schedule!$K$5:$K$2004),1)))</f>
        <v/>
      </c>
      <c r="AL7" s="33" t="str">
        <f aca="false">IF(A7="","",IF(AK7="","No rebar schedule yet",IF(ABS(AK7-N(AG7))/MAX(N(AG7),1)&gt;SG_Criteria!$B$55,"NOTE: register rebar differs from schedule by "&amp;TEXT(ABS(AK7-N(AG7))/MAX(N(AG7),1),"0%"),"OK")))</f>
        <v>No rebar schedule yet</v>
      </c>
      <c r="AM7" s="33" t="str">
        <f aca="false">IF(D7="","","OK")</f>
        <v>OK</v>
      </c>
      <c r="AN7" s="18" t="s">
        <v>913</v>
      </c>
      <c r="AO7" s="18"/>
      <c r="AP7" s="18" t="s">
        <v>574</v>
      </c>
      <c r="AQ7" s="10" t="str">
        <f aca="false">IF(AP7="","",IFERROR(VLOOKUP(AP7,Projects!$A$5:$D$504,2,0),"Ref not in Projects"))</f>
        <v>EXAMPLE Road upgrading at Jalan Contoh</v>
      </c>
      <c r="AR7" s="10" t="str">
        <f aca="false">IF(AP7="","",IFERROR(VLOOKUP(AP7,Projects!$A$5:$D$504,4,0),"Ref not in Projects"))</f>
        <v>LTA</v>
      </c>
      <c r="AS7" s="18" t="s">
        <v>615</v>
      </c>
      <c r="AT7" s="18" t="s">
        <v>616</v>
      </c>
      <c r="AU7" s="18" t="s">
        <v>617</v>
      </c>
      <c r="AV7" s="35" t="n">
        <v>46309</v>
      </c>
      <c r="AW7" s="18" t="s">
        <v>617</v>
      </c>
      <c r="AX7" s="35" t="n">
        <v>46309</v>
      </c>
      <c r="AY7" s="18" t="s">
        <v>618</v>
      </c>
      <c r="AZ7" s="35"/>
      <c r="BA7" s="18" t="s">
        <v>617</v>
      </c>
      <c r="BB7" s="18" t="s">
        <v>617</v>
      </c>
      <c r="BC7" s="18" t="s">
        <v>617</v>
      </c>
      <c r="BD7" s="35" t="n">
        <v>46309</v>
      </c>
      <c r="BE7" s="35" t="n">
        <v>46309</v>
      </c>
      <c r="BF7" s="36" t="n">
        <f aca="false">IF(BE7="","",EDATE(BE7,SG_Criteria!$B$54*12))</f>
        <v>47405</v>
      </c>
      <c r="BG7" s="33" t="str">
        <f aca="true">IF(A7="","",IF(BE7="","NOTE: not reviewed yet",IF(TODAY()&gt;BF7,"NOTE: review overdue","OK")))</f>
        <v>OK</v>
      </c>
      <c r="BH7" s="37" t="n">
        <f aca="false">IF(A7="","",ROUND((IF(LEN(D7)&gt;0,1,0)+IF(LEN(E7)&gt;0,1,0)+IF(LEN(I7)&gt;0,1,0)+IF(LEN(K7)&gt;0,1,0)+IF(LEN(Q7)&gt;0,1,0)+IF(LEN(S7)&gt;0,1,0)+IF(LEN(T7)&gt;0,1,0)+IF(LEN(U7)&gt;0,1,0)+IF(LEN(V7)&gt;0,1,0)+IF(LEN(AE7)&gt;0,1,0)+IF(LEN(AP7)&gt;0,1,0)+IF(LEN(BC7)&gt;0,1,0))/12,2))</f>
        <v>1</v>
      </c>
      <c r="BI7" s="10" t="str">
        <f aca="false">IF(D7="","",IF(AND(T7="Approved",ISERROR(SEARCH("FAIL",AM7))),"Y","N"))</f>
        <v>Y</v>
      </c>
    </row>
    <row r="8" customFormat="false" ht="15" hidden="false" customHeight="false" outlineLevel="0" collapsed="false">
      <c r="A8" s="10" t="str">
        <f aca="false">IF(D8="","",IFERROR(VLOOKUP(D8,Lists!$BI$4:$BJ$20,2,0),"??")&amp;"-"&amp;UPPER(SUBSTITUTE(E8," ",""))&amp;IF(F8&lt;&gt;"","-SP"&amp;TEXT(F8*1000,"0"),"")&amp;IF(G8&lt;&gt;"","-H"&amp;TEXT(G8*1000,"0"),"")&amp;"-"&amp;S8)</f>
        <v>POB-STEELTRUSSWITHLIFT-SP30000-H5700-A</v>
      </c>
      <c r="B8" s="10" t="str">
        <f aca="false">IF(D8="","",D8&amp;" - "&amp;E8&amp;IF(F8&lt;&gt;"",", span "&amp;F8&amp;" m","")&amp;IF(G8&lt;&gt;"",", H "&amp;G8&amp;" m","")&amp;IF(H8&lt;&gt;"",", W "&amp;H8&amp;" m",""))</f>
        <v>POB - Steel Truss with Lift, span 30 m, H 5.7 m, W 3 m</v>
      </c>
      <c r="C8" s="18" t="s">
        <v>914</v>
      </c>
      <c r="D8" s="18" t="s">
        <v>915</v>
      </c>
      <c r="E8" s="18" t="s">
        <v>916</v>
      </c>
      <c r="F8" s="41" t="n">
        <v>30</v>
      </c>
      <c r="G8" s="41" t="n">
        <v>5.7</v>
      </c>
      <c r="H8" s="41" t="n">
        <v>3</v>
      </c>
      <c r="I8" s="18" t="s">
        <v>917</v>
      </c>
      <c r="J8" s="18" t="s">
        <v>918</v>
      </c>
      <c r="K8" s="18" t="s">
        <v>919</v>
      </c>
      <c r="L8" s="18" t="s">
        <v>920</v>
      </c>
      <c r="M8" s="18" t="s">
        <v>860</v>
      </c>
      <c r="N8" s="31" t="n">
        <v>100</v>
      </c>
      <c r="O8" s="18" t="s">
        <v>609</v>
      </c>
      <c r="P8" s="32" t="n">
        <v>0.3</v>
      </c>
      <c r="Q8" s="18" t="s">
        <v>897</v>
      </c>
      <c r="R8" s="18" t="s">
        <v>898</v>
      </c>
      <c r="S8" s="18" t="s">
        <v>612</v>
      </c>
      <c r="T8" s="18" t="s">
        <v>256</v>
      </c>
      <c r="U8" s="18" t="s">
        <v>921</v>
      </c>
      <c r="V8" s="18" t="n">
        <v>100</v>
      </c>
      <c r="W8" s="18" t="s">
        <v>284</v>
      </c>
      <c r="X8" s="10" t="str">
        <f aca="false">IF(A8="","",SG_Criteria!$B$6&amp;SG_Criteria!$B$13&amp;"\"&amp;A8&amp;"\")</f>
        <v>C:\Users\yourname\YourCompany\Design Library - Documents\07_Other_Structures\POB-STEELTRUSSWITHLIFT-SP30000-H5700-A\</v>
      </c>
      <c r="Y8" s="10" t="str">
        <f aca="false">IF(A8="","",A8&amp;"_CAD.dwg")</f>
        <v>POB-STEELTRUSSWITHLIFT-SP30000-H5700-A_CAD.dwg</v>
      </c>
      <c r="Z8" s="10" t="str">
        <f aca="false">IF(A8="","",A8&amp;"_DWG.pdf")</f>
        <v>POB-STEELTRUSSWITHLIFT-SP30000-H5700-A_DWG.pdf</v>
      </c>
      <c r="AA8" s="10" t="str">
        <f aca="false">IF(A8="","",IF(W8="Y",A8&amp;"_STAAD.std","n/a"))</f>
        <v>POB-STEELTRUSSWITHLIFT-SP30000-H5700-A_STAAD.std</v>
      </c>
      <c r="AB8" s="10" t="str">
        <f aca="false">IF(A8="","",A8&amp;"_CALC.xlsx")</f>
        <v>POB-STEELTRUSSWITHLIFT-SP30000-H5700-A_CALC.xlsx</v>
      </c>
      <c r="AC8" s="10" t="str">
        <f aca="false">IF(A8="","",A8&amp;"_CALC.pdf")</f>
        <v>POB-STEELTRUSSWITHLIFT-SP30000-H5700-A_CALC.pdf</v>
      </c>
      <c r="AD8" s="18" t="s">
        <v>84</v>
      </c>
      <c r="AE8" s="18" t="s">
        <v>673</v>
      </c>
      <c r="AF8" s="32" t="n">
        <v>85</v>
      </c>
      <c r="AG8" s="32" t="n">
        <v>6000</v>
      </c>
      <c r="AH8" s="32" t="n">
        <v>46000</v>
      </c>
      <c r="AI8" s="32" t="n">
        <v>210</v>
      </c>
      <c r="AJ8" s="32" t="n">
        <v>120</v>
      </c>
      <c r="AK8" s="12" t="str">
        <f aca="false">IF(A8="","",IF(COUNTIF(Rebar_Schedule!$A$5:$A$2004,A8)=0,"",ROUND(SUMIF(Rebar_Schedule!$A$5:$A$2004,A8,Rebar_Schedule!$K$5:$K$2004),1)))</f>
        <v/>
      </c>
      <c r="AL8" s="33" t="str">
        <f aca="false">IF(A8="","",IF(AK8="","No rebar schedule yet",IF(ABS(AK8-N(AG8))/MAX(N(AG8),1)&gt;SG_Criteria!$B$55,"NOTE: register rebar differs from schedule by "&amp;TEXT(ABS(AK8-N(AG8))/MAX(N(AG8),1),"0%"),"OK")))</f>
        <v>No rebar schedule yet</v>
      </c>
      <c r="AM8" s="33" t="str">
        <f aca="false">IF(D8="","","OK")</f>
        <v>OK</v>
      </c>
      <c r="AN8" s="18" t="s">
        <v>922</v>
      </c>
      <c r="AO8" s="18"/>
      <c r="AP8" s="18" t="s">
        <v>574</v>
      </c>
      <c r="AQ8" s="10" t="str">
        <f aca="false">IF(AP8="","",IFERROR(VLOOKUP(AP8,Projects!$A$5:$D$504,2,0),"Ref not in Projects"))</f>
        <v>EXAMPLE Road upgrading at Jalan Contoh</v>
      </c>
      <c r="AR8" s="10" t="str">
        <f aca="false">IF(AP8="","",IFERROR(VLOOKUP(AP8,Projects!$A$5:$D$504,4,0),"Ref not in Projects"))</f>
        <v>LTA</v>
      </c>
      <c r="AS8" s="18" t="s">
        <v>615</v>
      </c>
      <c r="AT8" s="18" t="s">
        <v>616</v>
      </c>
      <c r="AU8" s="18" t="s">
        <v>617</v>
      </c>
      <c r="AV8" s="35" t="n">
        <v>46309</v>
      </c>
      <c r="AW8" s="18" t="s">
        <v>617</v>
      </c>
      <c r="AX8" s="35" t="n">
        <v>46309</v>
      </c>
      <c r="AY8" s="18"/>
      <c r="AZ8" s="35"/>
      <c r="BA8" s="18" t="s">
        <v>617</v>
      </c>
      <c r="BB8" s="18" t="s">
        <v>617</v>
      </c>
      <c r="BC8" s="18" t="s">
        <v>617</v>
      </c>
      <c r="BD8" s="35" t="n">
        <v>46309</v>
      </c>
      <c r="BE8" s="35" t="n">
        <v>46309</v>
      </c>
      <c r="BF8" s="36" t="n">
        <f aca="false">IF(BE8="","",EDATE(BE8,SG_Criteria!$B$54*12))</f>
        <v>47405</v>
      </c>
      <c r="BG8" s="33" t="str">
        <f aca="true">IF(A8="","",IF(BE8="","NOTE: not reviewed yet",IF(TODAY()&gt;BF8,"NOTE: review overdue","OK")))</f>
        <v>OK</v>
      </c>
      <c r="BH8" s="37" t="n">
        <f aca="false">IF(A8="","",ROUND((IF(LEN(D8)&gt;0,1,0)+IF(LEN(E8)&gt;0,1,0)+IF(LEN(I8)&gt;0,1,0)+IF(LEN(K8)&gt;0,1,0)+IF(LEN(Q8)&gt;0,1,0)+IF(LEN(S8)&gt;0,1,0)+IF(LEN(T8)&gt;0,1,0)+IF(LEN(U8)&gt;0,1,0)+IF(LEN(V8)&gt;0,1,0)+IF(LEN(AE8)&gt;0,1,0)+IF(LEN(AP8)&gt;0,1,0)+IF(LEN(BC8)&gt;0,1,0))/12,2))</f>
        <v>1</v>
      </c>
      <c r="BI8" s="10" t="str">
        <f aca="false">IF(D8="","",IF(AND(T8="Approved",ISERROR(SEARCH("FAIL",AM8))),"Y","N"))</f>
        <v>N</v>
      </c>
    </row>
    <row r="9" customFormat="false" ht="15" hidden="false" customHeight="false" outlineLevel="0" collapsed="false">
      <c r="A9" s="10" t="str">
        <f aca="false">IF(D9="","",IFERROR(VLOOKUP(D9,Lists!$BI$4:$BJ$20,2,0),"??")&amp;"-"&amp;UPPER(SUBSTITUTE(E9," ",""))&amp;IF(F9&lt;&gt;"","-SP"&amp;TEXT(F9*1000,"0"),"")&amp;IF(G9&lt;&gt;"","-H"&amp;TEXT(G9*1000,"0"),"")&amp;"-"&amp;S9)</f>
        <v/>
      </c>
      <c r="B9" s="10" t="str">
        <f aca="false">IF(D9="","",D9&amp;" - "&amp;E9&amp;IF(F9&lt;&gt;"",", span "&amp;F9&amp;" m","")&amp;IF(G9&lt;&gt;"",", H "&amp;G9&amp;" m","")&amp;IF(H9&lt;&gt;"",", W "&amp;H9&amp;" m",""))</f>
        <v/>
      </c>
      <c r="C9" s="9"/>
      <c r="D9" s="9"/>
      <c r="E9" s="9"/>
      <c r="F9" s="42"/>
      <c r="G9" s="42"/>
      <c r="H9" s="42"/>
      <c r="I9" s="9"/>
      <c r="J9" s="9"/>
      <c r="K9" s="9"/>
      <c r="L9" s="9"/>
      <c r="M9" s="9"/>
      <c r="N9" s="38"/>
      <c r="O9" s="9"/>
      <c r="P9" s="39"/>
      <c r="Q9" s="9"/>
      <c r="R9" s="9"/>
      <c r="S9" s="9"/>
      <c r="T9" s="9"/>
      <c r="U9" s="9"/>
      <c r="V9" s="9"/>
      <c r="W9" s="9"/>
      <c r="X9" s="10" t="str">
        <f aca="false">IF(A9="","",SG_Criteria!$B$6&amp;SG_Criteria!$B$13&amp;"\"&amp;A9&amp;"\")</f>
        <v/>
      </c>
      <c r="Y9" s="10" t="str">
        <f aca="false">IF(A9="","",A9&amp;"_CAD.dwg")</f>
        <v/>
      </c>
      <c r="Z9" s="10" t="str">
        <f aca="false">IF(A9="","",A9&amp;"_DWG.pdf")</f>
        <v/>
      </c>
      <c r="AA9" s="10" t="str">
        <f aca="false">IF(A9="","",IF(W9="Y",A9&amp;"_STAAD.std","n/a"))</f>
        <v/>
      </c>
      <c r="AB9" s="10" t="str">
        <f aca="false">IF(A9="","",A9&amp;"_CALC.xlsx")</f>
        <v/>
      </c>
      <c r="AC9" s="10" t="str">
        <f aca="false">IF(A9="","",A9&amp;"_CALC.pdf")</f>
        <v/>
      </c>
      <c r="AD9" s="9"/>
      <c r="AE9" s="9"/>
      <c r="AF9" s="39"/>
      <c r="AG9" s="39"/>
      <c r="AH9" s="39"/>
      <c r="AI9" s="39"/>
      <c r="AJ9" s="39"/>
      <c r="AK9" s="12" t="str">
        <f aca="false">IF(A9="","",IF(COUNTIF(Rebar_Schedule!$A$5:$A$2004,A9)=0,"",ROUND(SUMIF(Rebar_Schedule!$A$5:$A$2004,A9,Rebar_Schedule!$K$5:$K$2004),1)))</f>
        <v/>
      </c>
      <c r="AL9" s="33" t="str">
        <f aca="false">IF(A9="","",IF(AK9="","No rebar schedule yet",IF(ABS(AK9-N(AG9))/MAX(N(AG9),1)&gt;SG_Criteria!$B$55,"NOTE: register rebar differs from schedule by "&amp;TEXT(ABS(AK9-N(AG9))/MAX(N(AG9),1),"0%"),"OK")))</f>
        <v/>
      </c>
      <c r="AM9" s="33" t="str">
        <f aca="false">IF(D9="","","OK")</f>
        <v/>
      </c>
      <c r="AN9" s="9"/>
      <c r="AO9" s="9"/>
      <c r="AP9" s="9"/>
      <c r="AQ9" s="10" t="str">
        <f aca="false">IF(AP9="","",IFERROR(VLOOKUP(AP9,Projects!$A$5:$D$504,2,0),"Ref not in Projects"))</f>
        <v/>
      </c>
      <c r="AR9" s="10" t="str">
        <f aca="false">IF(AP9="","",IFERROR(VLOOKUP(AP9,Projects!$A$5:$D$504,4,0),"Ref not in Projects"))</f>
        <v/>
      </c>
      <c r="AS9" s="9"/>
      <c r="AT9" s="9"/>
      <c r="AU9" s="9"/>
      <c r="AV9" s="40"/>
      <c r="AW9" s="9"/>
      <c r="AX9" s="40"/>
      <c r="AY9" s="9"/>
      <c r="AZ9" s="40"/>
      <c r="BA9" s="9"/>
      <c r="BB9" s="9"/>
      <c r="BC9" s="9"/>
      <c r="BD9" s="40"/>
      <c r="BE9" s="40"/>
      <c r="BF9" s="36" t="str">
        <f aca="false">IF(BE9="","",EDATE(BE9,SG_Criteria!$B$54*12))</f>
        <v/>
      </c>
      <c r="BG9" s="33" t="str">
        <f aca="true">IF(A9="","",IF(BE9="","NOTE: not reviewed yet",IF(TODAY()&gt;BF9,"NOTE: review overdue","OK")))</f>
        <v/>
      </c>
      <c r="BH9" s="37" t="str">
        <f aca="false">IF(A9="","",ROUND((IF(LEN(D9)&gt;0,1,0)+IF(LEN(E9)&gt;0,1,0)+IF(LEN(I9)&gt;0,1,0)+IF(LEN(K9)&gt;0,1,0)+IF(LEN(Q9)&gt;0,1,0)+IF(LEN(S9)&gt;0,1,0)+IF(LEN(T9)&gt;0,1,0)+IF(LEN(U9)&gt;0,1,0)+IF(LEN(V9)&gt;0,1,0)+IF(LEN(AE9)&gt;0,1,0)+IF(LEN(AP9)&gt;0,1,0)+IF(LEN(BC9)&gt;0,1,0))/12,2))</f>
        <v/>
      </c>
      <c r="BI9" s="10" t="str">
        <f aca="false">IF(D9="","",IF(AND(T9="Approved",ISERROR(SEARCH("FAIL",AM9))),"Y","N"))</f>
        <v/>
      </c>
    </row>
    <row r="10" customFormat="false" ht="15" hidden="false" customHeight="false" outlineLevel="0" collapsed="false">
      <c r="A10" s="10" t="str">
        <f aca="false">IF(D10="","",IFERROR(VLOOKUP(D10,Lists!$BI$4:$BJ$20,2,0),"??")&amp;"-"&amp;UPPER(SUBSTITUTE(E10," ",""))&amp;IF(F10&lt;&gt;"","-SP"&amp;TEXT(F10*1000,"0"),"")&amp;IF(G10&lt;&gt;"","-H"&amp;TEXT(G10*1000,"0"),"")&amp;"-"&amp;S10)</f>
        <v/>
      </c>
      <c r="B10" s="10" t="str">
        <f aca="false">IF(D10="","",D10&amp;" - "&amp;E10&amp;IF(F10&lt;&gt;"",", span "&amp;F10&amp;" m","")&amp;IF(G10&lt;&gt;"",", H "&amp;G10&amp;" m","")&amp;IF(H10&lt;&gt;"",", W "&amp;H10&amp;" m",""))</f>
        <v/>
      </c>
      <c r="C10" s="9"/>
      <c r="D10" s="9"/>
      <c r="E10" s="9"/>
      <c r="F10" s="42"/>
      <c r="G10" s="42"/>
      <c r="H10" s="42"/>
      <c r="I10" s="9"/>
      <c r="J10" s="9"/>
      <c r="K10" s="9"/>
      <c r="L10" s="9"/>
      <c r="M10" s="9"/>
      <c r="N10" s="38"/>
      <c r="O10" s="9"/>
      <c r="P10" s="39"/>
      <c r="Q10" s="9"/>
      <c r="R10" s="9"/>
      <c r="S10" s="9"/>
      <c r="T10" s="9"/>
      <c r="U10" s="9"/>
      <c r="V10" s="9"/>
      <c r="W10" s="9"/>
      <c r="X10" s="10" t="str">
        <f aca="false">IF(A10="","",SG_Criteria!$B$6&amp;SG_Criteria!$B$13&amp;"\"&amp;A10&amp;"\")</f>
        <v/>
      </c>
      <c r="Y10" s="10" t="str">
        <f aca="false">IF(A10="","",A10&amp;"_CAD.dwg")</f>
        <v/>
      </c>
      <c r="Z10" s="10" t="str">
        <f aca="false">IF(A10="","",A10&amp;"_DWG.pdf")</f>
        <v/>
      </c>
      <c r="AA10" s="10" t="str">
        <f aca="false">IF(A10="","",IF(W10="Y",A10&amp;"_STAAD.std","n/a"))</f>
        <v/>
      </c>
      <c r="AB10" s="10" t="str">
        <f aca="false">IF(A10="","",A10&amp;"_CALC.xlsx")</f>
        <v/>
      </c>
      <c r="AC10" s="10" t="str">
        <f aca="false">IF(A10="","",A10&amp;"_CALC.pdf")</f>
        <v/>
      </c>
      <c r="AD10" s="9"/>
      <c r="AE10" s="9"/>
      <c r="AF10" s="39"/>
      <c r="AG10" s="39"/>
      <c r="AH10" s="39"/>
      <c r="AI10" s="39"/>
      <c r="AJ10" s="39"/>
      <c r="AK10" s="12" t="str">
        <f aca="false">IF(A10="","",IF(COUNTIF(Rebar_Schedule!$A$5:$A$2004,A10)=0,"",ROUND(SUMIF(Rebar_Schedule!$A$5:$A$2004,A10,Rebar_Schedule!$K$5:$K$2004),1)))</f>
        <v/>
      </c>
      <c r="AL10" s="33" t="str">
        <f aca="false">IF(A10="","",IF(AK10="","No rebar schedule yet",IF(ABS(AK10-N(AG10))/MAX(N(AG10),1)&gt;SG_Criteria!$B$55,"NOTE: register rebar differs from schedule by "&amp;TEXT(ABS(AK10-N(AG10))/MAX(N(AG10),1),"0%"),"OK")))</f>
        <v/>
      </c>
      <c r="AM10" s="33" t="str">
        <f aca="false">IF(D10="","","OK")</f>
        <v/>
      </c>
      <c r="AN10" s="9"/>
      <c r="AO10" s="9"/>
      <c r="AP10" s="9"/>
      <c r="AQ10" s="10" t="str">
        <f aca="false">IF(AP10="","",IFERROR(VLOOKUP(AP10,Projects!$A$5:$D$504,2,0),"Ref not in Projects"))</f>
        <v/>
      </c>
      <c r="AR10" s="10" t="str">
        <f aca="false">IF(AP10="","",IFERROR(VLOOKUP(AP10,Projects!$A$5:$D$504,4,0),"Ref not in Projects"))</f>
        <v/>
      </c>
      <c r="AS10" s="9"/>
      <c r="AT10" s="9"/>
      <c r="AU10" s="9"/>
      <c r="AV10" s="40"/>
      <c r="AW10" s="9"/>
      <c r="AX10" s="40"/>
      <c r="AY10" s="9"/>
      <c r="AZ10" s="40"/>
      <c r="BA10" s="9"/>
      <c r="BB10" s="9"/>
      <c r="BC10" s="9"/>
      <c r="BD10" s="40"/>
      <c r="BE10" s="40"/>
      <c r="BF10" s="36" t="str">
        <f aca="false">IF(BE10="","",EDATE(BE10,SG_Criteria!$B$54*12))</f>
        <v/>
      </c>
      <c r="BG10" s="33" t="str">
        <f aca="true">IF(A10="","",IF(BE10="","NOTE: not reviewed yet",IF(TODAY()&gt;BF10,"NOTE: review overdue","OK")))</f>
        <v/>
      </c>
      <c r="BH10" s="37" t="str">
        <f aca="false">IF(A10="","",ROUND((IF(LEN(D10)&gt;0,1,0)+IF(LEN(E10)&gt;0,1,0)+IF(LEN(I10)&gt;0,1,0)+IF(LEN(K10)&gt;0,1,0)+IF(LEN(Q10)&gt;0,1,0)+IF(LEN(S10)&gt;0,1,0)+IF(LEN(T10)&gt;0,1,0)+IF(LEN(U10)&gt;0,1,0)+IF(LEN(V10)&gt;0,1,0)+IF(LEN(AE10)&gt;0,1,0)+IF(LEN(AP10)&gt;0,1,0)+IF(LEN(BC10)&gt;0,1,0))/12,2))</f>
        <v/>
      </c>
      <c r="BI10" s="10" t="str">
        <f aca="false">IF(D10="","",IF(AND(T10="Approved",ISERROR(SEARCH("FAIL",AM10))),"Y","N"))</f>
        <v/>
      </c>
    </row>
    <row r="11" customFormat="false" ht="15" hidden="false" customHeight="false" outlineLevel="0" collapsed="false">
      <c r="A11" s="10" t="str">
        <f aca="false">IF(D11="","",IFERROR(VLOOKUP(D11,Lists!$BI$4:$BJ$20,2,0),"??")&amp;"-"&amp;UPPER(SUBSTITUTE(E11," ",""))&amp;IF(F11&lt;&gt;"","-SP"&amp;TEXT(F11*1000,"0"),"")&amp;IF(G11&lt;&gt;"","-H"&amp;TEXT(G11*1000,"0"),"")&amp;"-"&amp;S11)</f>
        <v/>
      </c>
      <c r="B11" s="10" t="str">
        <f aca="false">IF(D11="","",D11&amp;" - "&amp;E11&amp;IF(F11&lt;&gt;"",", span "&amp;F11&amp;" m","")&amp;IF(G11&lt;&gt;"",", H "&amp;G11&amp;" m","")&amp;IF(H11&lt;&gt;"",", W "&amp;H11&amp;" m",""))</f>
        <v/>
      </c>
      <c r="C11" s="9"/>
      <c r="D11" s="9"/>
      <c r="E11" s="9"/>
      <c r="F11" s="42"/>
      <c r="G11" s="42"/>
      <c r="H11" s="42"/>
      <c r="I11" s="9"/>
      <c r="J11" s="9"/>
      <c r="K11" s="9"/>
      <c r="L11" s="9"/>
      <c r="M11" s="9"/>
      <c r="N11" s="38"/>
      <c r="O11" s="9"/>
      <c r="P11" s="39"/>
      <c r="Q11" s="9"/>
      <c r="R11" s="9"/>
      <c r="S11" s="9"/>
      <c r="T11" s="9"/>
      <c r="U11" s="9"/>
      <c r="V11" s="9"/>
      <c r="W11" s="9"/>
      <c r="X11" s="10" t="str">
        <f aca="false">IF(A11="","",SG_Criteria!$B$6&amp;SG_Criteria!$B$13&amp;"\"&amp;A11&amp;"\")</f>
        <v/>
      </c>
      <c r="Y11" s="10" t="str">
        <f aca="false">IF(A11="","",A11&amp;"_CAD.dwg")</f>
        <v/>
      </c>
      <c r="Z11" s="10" t="str">
        <f aca="false">IF(A11="","",A11&amp;"_DWG.pdf")</f>
        <v/>
      </c>
      <c r="AA11" s="10" t="str">
        <f aca="false">IF(A11="","",IF(W11="Y",A11&amp;"_STAAD.std","n/a"))</f>
        <v/>
      </c>
      <c r="AB11" s="10" t="str">
        <f aca="false">IF(A11="","",A11&amp;"_CALC.xlsx")</f>
        <v/>
      </c>
      <c r="AC11" s="10" t="str">
        <f aca="false">IF(A11="","",A11&amp;"_CALC.pdf")</f>
        <v/>
      </c>
      <c r="AD11" s="9"/>
      <c r="AE11" s="9"/>
      <c r="AF11" s="39"/>
      <c r="AG11" s="39"/>
      <c r="AH11" s="39"/>
      <c r="AI11" s="39"/>
      <c r="AJ11" s="39"/>
      <c r="AK11" s="12" t="str">
        <f aca="false">IF(A11="","",IF(COUNTIF(Rebar_Schedule!$A$5:$A$2004,A11)=0,"",ROUND(SUMIF(Rebar_Schedule!$A$5:$A$2004,A11,Rebar_Schedule!$K$5:$K$2004),1)))</f>
        <v/>
      </c>
      <c r="AL11" s="33" t="str">
        <f aca="false">IF(A11="","",IF(AK11="","No rebar schedule yet",IF(ABS(AK11-N(AG11))/MAX(N(AG11),1)&gt;SG_Criteria!$B$55,"NOTE: register rebar differs from schedule by "&amp;TEXT(ABS(AK11-N(AG11))/MAX(N(AG11),1),"0%"),"OK")))</f>
        <v/>
      </c>
      <c r="AM11" s="33" t="str">
        <f aca="false">IF(D11="","","OK")</f>
        <v/>
      </c>
      <c r="AN11" s="9"/>
      <c r="AO11" s="9"/>
      <c r="AP11" s="9"/>
      <c r="AQ11" s="10" t="str">
        <f aca="false">IF(AP11="","",IFERROR(VLOOKUP(AP11,Projects!$A$5:$D$504,2,0),"Ref not in Projects"))</f>
        <v/>
      </c>
      <c r="AR11" s="10" t="str">
        <f aca="false">IF(AP11="","",IFERROR(VLOOKUP(AP11,Projects!$A$5:$D$504,4,0),"Ref not in Projects"))</f>
        <v/>
      </c>
      <c r="AS11" s="9"/>
      <c r="AT11" s="9"/>
      <c r="AU11" s="9"/>
      <c r="AV11" s="40"/>
      <c r="AW11" s="9"/>
      <c r="AX11" s="40"/>
      <c r="AY11" s="9"/>
      <c r="AZ11" s="40"/>
      <c r="BA11" s="9"/>
      <c r="BB11" s="9"/>
      <c r="BC11" s="9"/>
      <c r="BD11" s="40"/>
      <c r="BE11" s="40"/>
      <c r="BF11" s="36" t="str">
        <f aca="false">IF(BE11="","",EDATE(BE11,SG_Criteria!$B$54*12))</f>
        <v/>
      </c>
      <c r="BG11" s="33" t="str">
        <f aca="true">IF(A11="","",IF(BE11="","NOTE: not reviewed yet",IF(TODAY()&gt;BF11,"NOTE: review overdue","OK")))</f>
        <v/>
      </c>
      <c r="BH11" s="37" t="str">
        <f aca="false">IF(A11="","",ROUND((IF(LEN(D11)&gt;0,1,0)+IF(LEN(E11)&gt;0,1,0)+IF(LEN(I11)&gt;0,1,0)+IF(LEN(K11)&gt;0,1,0)+IF(LEN(Q11)&gt;0,1,0)+IF(LEN(S11)&gt;0,1,0)+IF(LEN(T11)&gt;0,1,0)+IF(LEN(U11)&gt;0,1,0)+IF(LEN(V11)&gt;0,1,0)+IF(LEN(AE11)&gt;0,1,0)+IF(LEN(AP11)&gt;0,1,0)+IF(LEN(BC11)&gt;0,1,0))/12,2))</f>
        <v/>
      </c>
      <c r="BI11" s="10" t="str">
        <f aca="false">IF(D11="","",IF(AND(T11="Approved",ISERROR(SEARCH("FAIL",AM11))),"Y","N"))</f>
        <v/>
      </c>
    </row>
    <row r="12" customFormat="false" ht="15" hidden="false" customHeight="false" outlineLevel="0" collapsed="false">
      <c r="A12" s="10" t="str">
        <f aca="false">IF(D12="","",IFERROR(VLOOKUP(D12,Lists!$BI$4:$BJ$20,2,0),"??")&amp;"-"&amp;UPPER(SUBSTITUTE(E12," ",""))&amp;IF(F12&lt;&gt;"","-SP"&amp;TEXT(F12*1000,"0"),"")&amp;IF(G12&lt;&gt;"","-H"&amp;TEXT(G12*1000,"0"),"")&amp;"-"&amp;S12)</f>
        <v/>
      </c>
      <c r="B12" s="10" t="str">
        <f aca="false">IF(D12="","",D12&amp;" - "&amp;E12&amp;IF(F12&lt;&gt;"",", span "&amp;F12&amp;" m","")&amp;IF(G12&lt;&gt;"",", H "&amp;G12&amp;" m","")&amp;IF(H12&lt;&gt;"",", W "&amp;H12&amp;" m",""))</f>
        <v/>
      </c>
      <c r="C12" s="9"/>
      <c r="D12" s="9"/>
      <c r="E12" s="9"/>
      <c r="F12" s="42"/>
      <c r="G12" s="42"/>
      <c r="H12" s="42"/>
      <c r="I12" s="9"/>
      <c r="J12" s="9"/>
      <c r="K12" s="9"/>
      <c r="L12" s="9"/>
      <c r="M12" s="9"/>
      <c r="N12" s="38"/>
      <c r="O12" s="9"/>
      <c r="P12" s="39"/>
      <c r="Q12" s="9"/>
      <c r="R12" s="9"/>
      <c r="S12" s="9"/>
      <c r="T12" s="9"/>
      <c r="U12" s="9"/>
      <c r="V12" s="9"/>
      <c r="W12" s="9"/>
      <c r="X12" s="10" t="str">
        <f aca="false">IF(A12="","",SG_Criteria!$B$6&amp;SG_Criteria!$B$13&amp;"\"&amp;A12&amp;"\")</f>
        <v/>
      </c>
      <c r="Y12" s="10" t="str">
        <f aca="false">IF(A12="","",A12&amp;"_CAD.dwg")</f>
        <v/>
      </c>
      <c r="Z12" s="10" t="str">
        <f aca="false">IF(A12="","",A12&amp;"_DWG.pdf")</f>
        <v/>
      </c>
      <c r="AA12" s="10" t="str">
        <f aca="false">IF(A12="","",IF(W12="Y",A12&amp;"_STAAD.std","n/a"))</f>
        <v/>
      </c>
      <c r="AB12" s="10" t="str">
        <f aca="false">IF(A12="","",A12&amp;"_CALC.xlsx")</f>
        <v/>
      </c>
      <c r="AC12" s="10" t="str">
        <f aca="false">IF(A12="","",A12&amp;"_CALC.pdf")</f>
        <v/>
      </c>
      <c r="AD12" s="9"/>
      <c r="AE12" s="9"/>
      <c r="AF12" s="39"/>
      <c r="AG12" s="39"/>
      <c r="AH12" s="39"/>
      <c r="AI12" s="39"/>
      <c r="AJ12" s="39"/>
      <c r="AK12" s="12" t="str">
        <f aca="false">IF(A12="","",IF(COUNTIF(Rebar_Schedule!$A$5:$A$2004,A12)=0,"",ROUND(SUMIF(Rebar_Schedule!$A$5:$A$2004,A12,Rebar_Schedule!$K$5:$K$2004),1)))</f>
        <v/>
      </c>
      <c r="AL12" s="33" t="str">
        <f aca="false">IF(A12="","",IF(AK12="","No rebar schedule yet",IF(ABS(AK12-N(AG12))/MAX(N(AG12),1)&gt;SG_Criteria!$B$55,"NOTE: register rebar differs from schedule by "&amp;TEXT(ABS(AK12-N(AG12))/MAX(N(AG12),1),"0%"),"OK")))</f>
        <v/>
      </c>
      <c r="AM12" s="33" t="str">
        <f aca="false">IF(D12="","","OK")</f>
        <v/>
      </c>
      <c r="AN12" s="9"/>
      <c r="AO12" s="9"/>
      <c r="AP12" s="9"/>
      <c r="AQ12" s="10" t="str">
        <f aca="false">IF(AP12="","",IFERROR(VLOOKUP(AP12,Projects!$A$5:$D$504,2,0),"Ref not in Projects"))</f>
        <v/>
      </c>
      <c r="AR12" s="10" t="str">
        <f aca="false">IF(AP12="","",IFERROR(VLOOKUP(AP12,Projects!$A$5:$D$504,4,0),"Ref not in Projects"))</f>
        <v/>
      </c>
      <c r="AS12" s="9"/>
      <c r="AT12" s="9"/>
      <c r="AU12" s="9"/>
      <c r="AV12" s="40"/>
      <c r="AW12" s="9"/>
      <c r="AX12" s="40"/>
      <c r="AY12" s="9"/>
      <c r="AZ12" s="40"/>
      <c r="BA12" s="9"/>
      <c r="BB12" s="9"/>
      <c r="BC12" s="9"/>
      <c r="BD12" s="40"/>
      <c r="BE12" s="40"/>
      <c r="BF12" s="36" t="str">
        <f aca="false">IF(BE12="","",EDATE(BE12,SG_Criteria!$B$54*12))</f>
        <v/>
      </c>
      <c r="BG12" s="33" t="str">
        <f aca="true">IF(A12="","",IF(BE12="","NOTE: not reviewed yet",IF(TODAY()&gt;BF12,"NOTE: review overdue","OK")))</f>
        <v/>
      </c>
      <c r="BH12" s="37" t="str">
        <f aca="false">IF(A12="","",ROUND((IF(LEN(D12)&gt;0,1,0)+IF(LEN(E12)&gt;0,1,0)+IF(LEN(I12)&gt;0,1,0)+IF(LEN(K12)&gt;0,1,0)+IF(LEN(Q12)&gt;0,1,0)+IF(LEN(S12)&gt;0,1,0)+IF(LEN(T12)&gt;0,1,0)+IF(LEN(U12)&gt;0,1,0)+IF(LEN(V12)&gt;0,1,0)+IF(LEN(AE12)&gt;0,1,0)+IF(LEN(AP12)&gt;0,1,0)+IF(LEN(BC12)&gt;0,1,0))/12,2))</f>
        <v/>
      </c>
      <c r="BI12" s="10" t="str">
        <f aca="false">IF(D12="","",IF(AND(T12="Approved",ISERROR(SEARCH("FAIL",AM12))),"Y","N"))</f>
        <v/>
      </c>
    </row>
    <row r="13" customFormat="false" ht="15" hidden="false" customHeight="false" outlineLevel="0" collapsed="false">
      <c r="A13" s="10" t="str">
        <f aca="false">IF(D13="","",IFERROR(VLOOKUP(D13,Lists!$BI$4:$BJ$20,2,0),"??")&amp;"-"&amp;UPPER(SUBSTITUTE(E13," ",""))&amp;IF(F13&lt;&gt;"","-SP"&amp;TEXT(F13*1000,"0"),"")&amp;IF(G13&lt;&gt;"","-H"&amp;TEXT(G13*1000,"0"),"")&amp;"-"&amp;S13)</f>
        <v/>
      </c>
      <c r="B13" s="10" t="str">
        <f aca="false">IF(D13="","",D13&amp;" - "&amp;E13&amp;IF(F13&lt;&gt;"",", span "&amp;F13&amp;" m","")&amp;IF(G13&lt;&gt;"",", H "&amp;G13&amp;" m","")&amp;IF(H13&lt;&gt;"",", W "&amp;H13&amp;" m",""))</f>
        <v/>
      </c>
      <c r="C13" s="9"/>
      <c r="D13" s="9"/>
      <c r="E13" s="9"/>
      <c r="F13" s="42"/>
      <c r="G13" s="42"/>
      <c r="H13" s="42"/>
      <c r="I13" s="9"/>
      <c r="J13" s="9"/>
      <c r="K13" s="9"/>
      <c r="L13" s="9"/>
      <c r="M13" s="9"/>
      <c r="N13" s="38"/>
      <c r="O13" s="9"/>
      <c r="P13" s="39"/>
      <c r="Q13" s="9"/>
      <c r="R13" s="9"/>
      <c r="S13" s="9"/>
      <c r="T13" s="9"/>
      <c r="U13" s="9"/>
      <c r="V13" s="9"/>
      <c r="W13" s="9"/>
      <c r="X13" s="10" t="str">
        <f aca="false">IF(A13="","",SG_Criteria!$B$6&amp;SG_Criteria!$B$13&amp;"\"&amp;A13&amp;"\")</f>
        <v/>
      </c>
      <c r="Y13" s="10" t="str">
        <f aca="false">IF(A13="","",A13&amp;"_CAD.dwg")</f>
        <v/>
      </c>
      <c r="Z13" s="10" t="str">
        <f aca="false">IF(A13="","",A13&amp;"_DWG.pdf")</f>
        <v/>
      </c>
      <c r="AA13" s="10" t="str">
        <f aca="false">IF(A13="","",IF(W13="Y",A13&amp;"_STAAD.std","n/a"))</f>
        <v/>
      </c>
      <c r="AB13" s="10" t="str">
        <f aca="false">IF(A13="","",A13&amp;"_CALC.xlsx")</f>
        <v/>
      </c>
      <c r="AC13" s="10" t="str">
        <f aca="false">IF(A13="","",A13&amp;"_CALC.pdf")</f>
        <v/>
      </c>
      <c r="AD13" s="9"/>
      <c r="AE13" s="9"/>
      <c r="AF13" s="39"/>
      <c r="AG13" s="39"/>
      <c r="AH13" s="39"/>
      <c r="AI13" s="39"/>
      <c r="AJ13" s="39"/>
      <c r="AK13" s="12" t="str">
        <f aca="false">IF(A13="","",IF(COUNTIF(Rebar_Schedule!$A$5:$A$2004,A13)=0,"",ROUND(SUMIF(Rebar_Schedule!$A$5:$A$2004,A13,Rebar_Schedule!$K$5:$K$2004),1)))</f>
        <v/>
      </c>
      <c r="AL13" s="33" t="str">
        <f aca="false">IF(A13="","",IF(AK13="","No rebar schedule yet",IF(ABS(AK13-N(AG13))/MAX(N(AG13),1)&gt;SG_Criteria!$B$55,"NOTE: register rebar differs from schedule by "&amp;TEXT(ABS(AK13-N(AG13))/MAX(N(AG13),1),"0%"),"OK")))</f>
        <v/>
      </c>
      <c r="AM13" s="33" t="str">
        <f aca="false">IF(D13="","","OK")</f>
        <v/>
      </c>
      <c r="AN13" s="9"/>
      <c r="AO13" s="9"/>
      <c r="AP13" s="9"/>
      <c r="AQ13" s="10" t="str">
        <f aca="false">IF(AP13="","",IFERROR(VLOOKUP(AP13,Projects!$A$5:$D$504,2,0),"Ref not in Projects"))</f>
        <v/>
      </c>
      <c r="AR13" s="10" t="str">
        <f aca="false">IF(AP13="","",IFERROR(VLOOKUP(AP13,Projects!$A$5:$D$504,4,0),"Ref not in Projects"))</f>
        <v/>
      </c>
      <c r="AS13" s="9"/>
      <c r="AT13" s="9"/>
      <c r="AU13" s="9"/>
      <c r="AV13" s="40"/>
      <c r="AW13" s="9"/>
      <c r="AX13" s="40"/>
      <c r="AY13" s="9"/>
      <c r="AZ13" s="40"/>
      <c r="BA13" s="9"/>
      <c r="BB13" s="9"/>
      <c r="BC13" s="9"/>
      <c r="BD13" s="40"/>
      <c r="BE13" s="40"/>
      <c r="BF13" s="36" t="str">
        <f aca="false">IF(BE13="","",EDATE(BE13,SG_Criteria!$B$54*12))</f>
        <v/>
      </c>
      <c r="BG13" s="33" t="str">
        <f aca="true">IF(A13="","",IF(BE13="","NOTE: not reviewed yet",IF(TODAY()&gt;BF13,"NOTE: review overdue","OK")))</f>
        <v/>
      </c>
      <c r="BH13" s="37" t="str">
        <f aca="false">IF(A13="","",ROUND((IF(LEN(D13)&gt;0,1,0)+IF(LEN(E13)&gt;0,1,0)+IF(LEN(I13)&gt;0,1,0)+IF(LEN(K13)&gt;0,1,0)+IF(LEN(Q13)&gt;0,1,0)+IF(LEN(S13)&gt;0,1,0)+IF(LEN(T13)&gt;0,1,0)+IF(LEN(U13)&gt;0,1,0)+IF(LEN(V13)&gt;0,1,0)+IF(LEN(AE13)&gt;0,1,0)+IF(LEN(AP13)&gt;0,1,0)+IF(LEN(BC13)&gt;0,1,0))/12,2))</f>
        <v/>
      </c>
      <c r="BI13" s="10" t="str">
        <f aca="false">IF(D13="","",IF(AND(T13="Approved",ISERROR(SEARCH("FAIL",AM13))),"Y","N"))</f>
        <v/>
      </c>
    </row>
    <row r="14" customFormat="false" ht="15" hidden="false" customHeight="false" outlineLevel="0" collapsed="false">
      <c r="A14" s="10" t="str">
        <f aca="false">IF(D14="","",IFERROR(VLOOKUP(D14,Lists!$BI$4:$BJ$20,2,0),"??")&amp;"-"&amp;UPPER(SUBSTITUTE(E14," ",""))&amp;IF(F14&lt;&gt;"","-SP"&amp;TEXT(F14*1000,"0"),"")&amp;IF(G14&lt;&gt;"","-H"&amp;TEXT(G14*1000,"0"),"")&amp;"-"&amp;S14)</f>
        <v/>
      </c>
      <c r="B14" s="10" t="str">
        <f aca="false">IF(D14="","",D14&amp;" - "&amp;E14&amp;IF(F14&lt;&gt;"",", span "&amp;F14&amp;" m","")&amp;IF(G14&lt;&gt;"",", H "&amp;G14&amp;" m","")&amp;IF(H14&lt;&gt;"",", W "&amp;H14&amp;" m",""))</f>
        <v/>
      </c>
      <c r="C14" s="9"/>
      <c r="D14" s="9"/>
      <c r="E14" s="9"/>
      <c r="F14" s="42"/>
      <c r="G14" s="42"/>
      <c r="H14" s="42"/>
      <c r="I14" s="9"/>
      <c r="J14" s="9"/>
      <c r="K14" s="9"/>
      <c r="L14" s="9"/>
      <c r="M14" s="9"/>
      <c r="N14" s="38"/>
      <c r="O14" s="9"/>
      <c r="P14" s="39"/>
      <c r="Q14" s="9"/>
      <c r="R14" s="9"/>
      <c r="S14" s="9"/>
      <c r="T14" s="9"/>
      <c r="U14" s="9"/>
      <c r="V14" s="9"/>
      <c r="W14" s="9"/>
      <c r="X14" s="10" t="str">
        <f aca="false">IF(A14="","",SG_Criteria!$B$6&amp;SG_Criteria!$B$13&amp;"\"&amp;A14&amp;"\")</f>
        <v/>
      </c>
      <c r="Y14" s="10" t="str">
        <f aca="false">IF(A14="","",A14&amp;"_CAD.dwg")</f>
        <v/>
      </c>
      <c r="Z14" s="10" t="str">
        <f aca="false">IF(A14="","",A14&amp;"_DWG.pdf")</f>
        <v/>
      </c>
      <c r="AA14" s="10" t="str">
        <f aca="false">IF(A14="","",IF(W14="Y",A14&amp;"_STAAD.std","n/a"))</f>
        <v/>
      </c>
      <c r="AB14" s="10" t="str">
        <f aca="false">IF(A14="","",A14&amp;"_CALC.xlsx")</f>
        <v/>
      </c>
      <c r="AC14" s="10" t="str">
        <f aca="false">IF(A14="","",A14&amp;"_CALC.pdf")</f>
        <v/>
      </c>
      <c r="AD14" s="9"/>
      <c r="AE14" s="9"/>
      <c r="AF14" s="39"/>
      <c r="AG14" s="39"/>
      <c r="AH14" s="39"/>
      <c r="AI14" s="39"/>
      <c r="AJ14" s="39"/>
      <c r="AK14" s="12" t="str">
        <f aca="false">IF(A14="","",IF(COUNTIF(Rebar_Schedule!$A$5:$A$2004,A14)=0,"",ROUND(SUMIF(Rebar_Schedule!$A$5:$A$2004,A14,Rebar_Schedule!$K$5:$K$2004),1)))</f>
        <v/>
      </c>
      <c r="AL14" s="33" t="str">
        <f aca="false">IF(A14="","",IF(AK14="","No rebar schedule yet",IF(ABS(AK14-N(AG14))/MAX(N(AG14),1)&gt;SG_Criteria!$B$55,"NOTE: register rebar differs from schedule by "&amp;TEXT(ABS(AK14-N(AG14))/MAX(N(AG14),1),"0%"),"OK")))</f>
        <v/>
      </c>
      <c r="AM14" s="33" t="str">
        <f aca="false">IF(D14="","","OK")</f>
        <v/>
      </c>
      <c r="AN14" s="9"/>
      <c r="AO14" s="9"/>
      <c r="AP14" s="9"/>
      <c r="AQ14" s="10" t="str">
        <f aca="false">IF(AP14="","",IFERROR(VLOOKUP(AP14,Projects!$A$5:$D$504,2,0),"Ref not in Projects"))</f>
        <v/>
      </c>
      <c r="AR14" s="10" t="str">
        <f aca="false">IF(AP14="","",IFERROR(VLOOKUP(AP14,Projects!$A$5:$D$504,4,0),"Ref not in Projects"))</f>
        <v/>
      </c>
      <c r="AS14" s="9"/>
      <c r="AT14" s="9"/>
      <c r="AU14" s="9"/>
      <c r="AV14" s="40"/>
      <c r="AW14" s="9"/>
      <c r="AX14" s="40"/>
      <c r="AY14" s="9"/>
      <c r="AZ14" s="40"/>
      <c r="BA14" s="9"/>
      <c r="BB14" s="9"/>
      <c r="BC14" s="9"/>
      <c r="BD14" s="40"/>
      <c r="BE14" s="40"/>
      <c r="BF14" s="36" t="str">
        <f aca="false">IF(BE14="","",EDATE(BE14,SG_Criteria!$B$54*12))</f>
        <v/>
      </c>
      <c r="BG14" s="33" t="str">
        <f aca="true">IF(A14="","",IF(BE14="","NOTE: not reviewed yet",IF(TODAY()&gt;BF14,"NOTE: review overdue","OK")))</f>
        <v/>
      </c>
      <c r="BH14" s="37" t="str">
        <f aca="false">IF(A14="","",ROUND((IF(LEN(D14)&gt;0,1,0)+IF(LEN(E14)&gt;0,1,0)+IF(LEN(I14)&gt;0,1,0)+IF(LEN(K14)&gt;0,1,0)+IF(LEN(Q14)&gt;0,1,0)+IF(LEN(S14)&gt;0,1,0)+IF(LEN(T14)&gt;0,1,0)+IF(LEN(U14)&gt;0,1,0)+IF(LEN(V14)&gt;0,1,0)+IF(LEN(AE14)&gt;0,1,0)+IF(LEN(AP14)&gt;0,1,0)+IF(LEN(BC14)&gt;0,1,0))/12,2))</f>
        <v/>
      </c>
      <c r="BI14" s="10" t="str">
        <f aca="false">IF(D14="","",IF(AND(T14="Approved",ISERROR(SEARCH("FAIL",AM14))),"Y","N"))</f>
        <v/>
      </c>
    </row>
    <row r="15" customFormat="false" ht="15" hidden="false" customHeight="false" outlineLevel="0" collapsed="false">
      <c r="A15" s="10" t="str">
        <f aca="false">IF(D15="","",IFERROR(VLOOKUP(D15,Lists!$BI$4:$BJ$20,2,0),"??")&amp;"-"&amp;UPPER(SUBSTITUTE(E15," ",""))&amp;IF(F15&lt;&gt;"","-SP"&amp;TEXT(F15*1000,"0"),"")&amp;IF(G15&lt;&gt;"","-H"&amp;TEXT(G15*1000,"0"),"")&amp;"-"&amp;S15)</f>
        <v/>
      </c>
      <c r="B15" s="10" t="str">
        <f aca="false">IF(D15="","",D15&amp;" - "&amp;E15&amp;IF(F15&lt;&gt;"",", span "&amp;F15&amp;" m","")&amp;IF(G15&lt;&gt;"",", H "&amp;G15&amp;" m","")&amp;IF(H15&lt;&gt;"",", W "&amp;H15&amp;" m",""))</f>
        <v/>
      </c>
      <c r="C15" s="9"/>
      <c r="D15" s="9"/>
      <c r="E15" s="9"/>
      <c r="F15" s="42"/>
      <c r="G15" s="42"/>
      <c r="H15" s="42"/>
      <c r="I15" s="9"/>
      <c r="J15" s="9"/>
      <c r="K15" s="9"/>
      <c r="L15" s="9"/>
      <c r="M15" s="9"/>
      <c r="N15" s="38"/>
      <c r="O15" s="9"/>
      <c r="P15" s="39"/>
      <c r="Q15" s="9"/>
      <c r="R15" s="9"/>
      <c r="S15" s="9"/>
      <c r="T15" s="9"/>
      <c r="U15" s="9"/>
      <c r="V15" s="9"/>
      <c r="W15" s="9"/>
      <c r="X15" s="10" t="str">
        <f aca="false">IF(A15="","",SG_Criteria!$B$6&amp;SG_Criteria!$B$13&amp;"\"&amp;A15&amp;"\")</f>
        <v/>
      </c>
      <c r="Y15" s="10" t="str">
        <f aca="false">IF(A15="","",A15&amp;"_CAD.dwg")</f>
        <v/>
      </c>
      <c r="Z15" s="10" t="str">
        <f aca="false">IF(A15="","",A15&amp;"_DWG.pdf")</f>
        <v/>
      </c>
      <c r="AA15" s="10" t="str">
        <f aca="false">IF(A15="","",IF(W15="Y",A15&amp;"_STAAD.std","n/a"))</f>
        <v/>
      </c>
      <c r="AB15" s="10" t="str">
        <f aca="false">IF(A15="","",A15&amp;"_CALC.xlsx")</f>
        <v/>
      </c>
      <c r="AC15" s="10" t="str">
        <f aca="false">IF(A15="","",A15&amp;"_CALC.pdf")</f>
        <v/>
      </c>
      <c r="AD15" s="9"/>
      <c r="AE15" s="9"/>
      <c r="AF15" s="39"/>
      <c r="AG15" s="39"/>
      <c r="AH15" s="39"/>
      <c r="AI15" s="39"/>
      <c r="AJ15" s="39"/>
      <c r="AK15" s="12" t="str">
        <f aca="false">IF(A15="","",IF(COUNTIF(Rebar_Schedule!$A$5:$A$2004,A15)=0,"",ROUND(SUMIF(Rebar_Schedule!$A$5:$A$2004,A15,Rebar_Schedule!$K$5:$K$2004),1)))</f>
        <v/>
      </c>
      <c r="AL15" s="33" t="str">
        <f aca="false">IF(A15="","",IF(AK15="","No rebar schedule yet",IF(ABS(AK15-N(AG15))/MAX(N(AG15),1)&gt;SG_Criteria!$B$55,"NOTE: register rebar differs from schedule by "&amp;TEXT(ABS(AK15-N(AG15))/MAX(N(AG15),1),"0%"),"OK")))</f>
        <v/>
      </c>
      <c r="AM15" s="33" t="str">
        <f aca="false">IF(D15="","","OK")</f>
        <v/>
      </c>
      <c r="AN15" s="9"/>
      <c r="AO15" s="9"/>
      <c r="AP15" s="9"/>
      <c r="AQ15" s="10" t="str">
        <f aca="false">IF(AP15="","",IFERROR(VLOOKUP(AP15,Projects!$A$5:$D$504,2,0),"Ref not in Projects"))</f>
        <v/>
      </c>
      <c r="AR15" s="10" t="str">
        <f aca="false">IF(AP15="","",IFERROR(VLOOKUP(AP15,Projects!$A$5:$D$504,4,0),"Ref not in Projects"))</f>
        <v/>
      </c>
      <c r="AS15" s="9"/>
      <c r="AT15" s="9"/>
      <c r="AU15" s="9"/>
      <c r="AV15" s="40"/>
      <c r="AW15" s="9"/>
      <c r="AX15" s="40"/>
      <c r="AY15" s="9"/>
      <c r="AZ15" s="40"/>
      <c r="BA15" s="9"/>
      <c r="BB15" s="9"/>
      <c r="BC15" s="9"/>
      <c r="BD15" s="40"/>
      <c r="BE15" s="40"/>
      <c r="BF15" s="36" t="str">
        <f aca="false">IF(BE15="","",EDATE(BE15,SG_Criteria!$B$54*12))</f>
        <v/>
      </c>
      <c r="BG15" s="33" t="str">
        <f aca="true">IF(A15="","",IF(BE15="","NOTE: not reviewed yet",IF(TODAY()&gt;BF15,"NOTE: review overdue","OK")))</f>
        <v/>
      </c>
      <c r="BH15" s="37" t="str">
        <f aca="false">IF(A15="","",ROUND((IF(LEN(D15)&gt;0,1,0)+IF(LEN(E15)&gt;0,1,0)+IF(LEN(I15)&gt;0,1,0)+IF(LEN(K15)&gt;0,1,0)+IF(LEN(Q15)&gt;0,1,0)+IF(LEN(S15)&gt;0,1,0)+IF(LEN(T15)&gt;0,1,0)+IF(LEN(U15)&gt;0,1,0)+IF(LEN(V15)&gt;0,1,0)+IF(LEN(AE15)&gt;0,1,0)+IF(LEN(AP15)&gt;0,1,0)+IF(LEN(BC15)&gt;0,1,0))/12,2))</f>
        <v/>
      </c>
      <c r="BI15" s="10" t="str">
        <f aca="false">IF(D15="","",IF(AND(T15="Approved",ISERROR(SEARCH("FAIL",AM15))),"Y","N"))</f>
        <v/>
      </c>
    </row>
    <row r="16" customFormat="false" ht="15" hidden="false" customHeight="false" outlineLevel="0" collapsed="false">
      <c r="A16" s="10" t="str">
        <f aca="false">IF(D16="","",IFERROR(VLOOKUP(D16,Lists!$BI$4:$BJ$20,2,0),"??")&amp;"-"&amp;UPPER(SUBSTITUTE(E16," ",""))&amp;IF(F16&lt;&gt;"","-SP"&amp;TEXT(F16*1000,"0"),"")&amp;IF(G16&lt;&gt;"","-H"&amp;TEXT(G16*1000,"0"),"")&amp;"-"&amp;S16)</f>
        <v/>
      </c>
      <c r="B16" s="10" t="str">
        <f aca="false">IF(D16="","",D16&amp;" - "&amp;E16&amp;IF(F16&lt;&gt;"",", span "&amp;F16&amp;" m","")&amp;IF(G16&lt;&gt;"",", H "&amp;G16&amp;" m","")&amp;IF(H16&lt;&gt;"",", W "&amp;H16&amp;" m",""))</f>
        <v/>
      </c>
      <c r="C16" s="9"/>
      <c r="D16" s="9"/>
      <c r="E16" s="9"/>
      <c r="F16" s="42"/>
      <c r="G16" s="42"/>
      <c r="H16" s="42"/>
      <c r="I16" s="9"/>
      <c r="J16" s="9"/>
      <c r="K16" s="9"/>
      <c r="L16" s="9"/>
      <c r="M16" s="9"/>
      <c r="N16" s="38"/>
      <c r="O16" s="9"/>
      <c r="P16" s="39"/>
      <c r="Q16" s="9"/>
      <c r="R16" s="9"/>
      <c r="S16" s="9"/>
      <c r="T16" s="9"/>
      <c r="U16" s="9"/>
      <c r="V16" s="9"/>
      <c r="W16" s="9"/>
      <c r="X16" s="10" t="str">
        <f aca="false">IF(A16="","",SG_Criteria!$B$6&amp;SG_Criteria!$B$13&amp;"\"&amp;A16&amp;"\")</f>
        <v/>
      </c>
      <c r="Y16" s="10" t="str">
        <f aca="false">IF(A16="","",A16&amp;"_CAD.dwg")</f>
        <v/>
      </c>
      <c r="Z16" s="10" t="str">
        <f aca="false">IF(A16="","",A16&amp;"_DWG.pdf")</f>
        <v/>
      </c>
      <c r="AA16" s="10" t="str">
        <f aca="false">IF(A16="","",IF(W16="Y",A16&amp;"_STAAD.std","n/a"))</f>
        <v/>
      </c>
      <c r="AB16" s="10" t="str">
        <f aca="false">IF(A16="","",A16&amp;"_CALC.xlsx")</f>
        <v/>
      </c>
      <c r="AC16" s="10" t="str">
        <f aca="false">IF(A16="","",A16&amp;"_CALC.pdf")</f>
        <v/>
      </c>
      <c r="AD16" s="9"/>
      <c r="AE16" s="9"/>
      <c r="AF16" s="39"/>
      <c r="AG16" s="39"/>
      <c r="AH16" s="39"/>
      <c r="AI16" s="39"/>
      <c r="AJ16" s="39"/>
      <c r="AK16" s="12" t="str">
        <f aca="false">IF(A16="","",IF(COUNTIF(Rebar_Schedule!$A$5:$A$2004,A16)=0,"",ROUND(SUMIF(Rebar_Schedule!$A$5:$A$2004,A16,Rebar_Schedule!$K$5:$K$2004),1)))</f>
        <v/>
      </c>
      <c r="AL16" s="33" t="str">
        <f aca="false">IF(A16="","",IF(AK16="","No rebar schedule yet",IF(ABS(AK16-N(AG16))/MAX(N(AG16),1)&gt;SG_Criteria!$B$55,"NOTE: register rebar differs from schedule by "&amp;TEXT(ABS(AK16-N(AG16))/MAX(N(AG16),1),"0%"),"OK")))</f>
        <v/>
      </c>
      <c r="AM16" s="33" t="str">
        <f aca="false">IF(D16="","","OK")</f>
        <v/>
      </c>
      <c r="AN16" s="9"/>
      <c r="AO16" s="9"/>
      <c r="AP16" s="9"/>
      <c r="AQ16" s="10" t="str">
        <f aca="false">IF(AP16="","",IFERROR(VLOOKUP(AP16,Projects!$A$5:$D$504,2,0),"Ref not in Projects"))</f>
        <v/>
      </c>
      <c r="AR16" s="10" t="str">
        <f aca="false">IF(AP16="","",IFERROR(VLOOKUP(AP16,Projects!$A$5:$D$504,4,0),"Ref not in Projects"))</f>
        <v/>
      </c>
      <c r="AS16" s="9"/>
      <c r="AT16" s="9"/>
      <c r="AU16" s="9"/>
      <c r="AV16" s="40"/>
      <c r="AW16" s="9"/>
      <c r="AX16" s="40"/>
      <c r="AY16" s="9"/>
      <c r="AZ16" s="40"/>
      <c r="BA16" s="9"/>
      <c r="BB16" s="9"/>
      <c r="BC16" s="9"/>
      <c r="BD16" s="40"/>
      <c r="BE16" s="40"/>
      <c r="BF16" s="36" t="str">
        <f aca="false">IF(BE16="","",EDATE(BE16,SG_Criteria!$B$54*12))</f>
        <v/>
      </c>
      <c r="BG16" s="33" t="str">
        <f aca="true">IF(A16="","",IF(BE16="","NOTE: not reviewed yet",IF(TODAY()&gt;BF16,"NOTE: review overdue","OK")))</f>
        <v/>
      </c>
      <c r="BH16" s="37" t="str">
        <f aca="false">IF(A16="","",ROUND((IF(LEN(D16)&gt;0,1,0)+IF(LEN(E16)&gt;0,1,0)+IF(LEN(I16)&gt;0,1,0)+IF(LEN(K16)&gt;0,1,0)+IF(LEN(Q16)&gt;0,1,0)+IF(LEN(S16)&gt;0,1,0)+IF(LEN(T16)&gt;0,1,0)+IF(LEN(U16)&gt;0,1,0)+IF(LEN(V16)&gt;0,1,0)+IF(LEN(AE16)&gt;0,1,0)+IF(LEN(AP16)&gt;0,1,0)+IF(LEN(BC16)&gt;0,1,0))/12,2))</f>
        <v/>
      </c>
      <c r="BI16" s="10" t="str">
        <f aca="false">IF(D16="","",IF(AND(T16="Approved",ISERROR(SEARCH("FAIL",AM16))),"Y","N"))</f>
        <v/>
      </c>
    </row>
    <row r="17" customFormat="false" ht="15" hidden="false" customHeight="false" outlineLevel="0" collapsed="false">
      <c r="A17" s="10" t="str">
        <f aca="false">IF(D17="","",IFERROR(VLOOKUP(D17,Lists!$BI$4:$BJ$20,2,0),"??")&amp;"-"&amp;UPPER(SUBSTITUTE(E17," ",""))&amp;IF(F17&lt;&gt;"","-SP"&amp;TEXT(F17*1000,"0"),"")&amp;IF(G17&lt;&gt;"","-H"&amp;TEXT(G17*1000,"0"),"")&amp;"-"&amp;S17)</f>
        <v/>
      </c>
      <c r="B17" s="10" t="str">
        <f aca="false">IF(D17="","",D17&amp;" - "&amp;E17&amp;IF(F17&lt;&gt;"",", span "&amp;F17&amp;" m","")&amp;IF(G17&lt;&gt;"",", H "&amp;G17&amp;" m","")&amp;IF(H17&lt;&gt;"",", W "&amp;H17&amp;" m",""))</f>
        <v/>
      </c>
      <c r="C17" s="9"/>
      <c r="D17" s="9"/>
      <c r="E17" s="9"/>
      <c r="F17" s="42"/>
      <c r="G17" s="42"/>
      <c r="H17" s="42"/>
      <c r="I17" s="9"/>
      <c r="J17" s="9"/>
      <c r="K17" s="9"/>
      <c r="L17" s="9"/>
      <c r="M17" s="9"/>
      <c r="N17" s="38"/>
      <c r="O17" s="9"/>
      <c r="P17" s="39"/>
      <c r="Q17" s="9"/>
      <c r="R17" s="9"/>
      <c r="S17" s="9"/>
      <c r="T17" s="9"/>
      <c r="U17" s="9"/>
      <c r="V17" s="9"/>
      <c r="W17" s="9"/>
      <c r="X17" s="10" t="str">
        <f aca="false">IF(A17="","",SG_Criteria!$B$6&amp;SG_Criteria!$B$13&amp;"\"&amp;A17&amp;"\")</f>
        <v/>
      </c>
      <c r="Y17" s="10" t="str">
        <f aca="false">IF(A17="","",A17&amp;"_CAD.dwg")</f>
        <v/>
      </c>
      <c r="Z17" s="10" t="str">
        <f aca="false">IF(A17="","",A17&amp;"_DWG.pdf")</f>
        <v/>
      </c>
      <c r="AA17" s="10" t="str">
        <f aca="false">IF(A17="","",IF(W17="Y",A17&amp;"_STAAD.std","n/a"))</f>
        <v/>
      </c>
      <c r="AB17" s="10" t="str">
        <f aca="false">IF(A17="","",A17&amp;"_CALC.xlsx")</f>
        <v/>
      </c>
      <c r="AC17" s="10" t="str">
        <f aca="false">IF(A17="","",A17&amp;"_CALC.pdf")</f>
        <v/>
      </c>
      <c r="AD17" s="9"/>
      <c r="AE17" s="9"/>
      <c r="AF17" s="39"/>
      <c r="AG17" s="39"/>
      <c r="AH17" s="39"/>
      <c r="AI17" s="39"/>
      <c r="AJ17" s="39"/>
      <c r="AK17" s="12" t="str">
        <f aca="false">IF(A17="","",IF(COUNTIF(Rebar_Schedule!$A$5:$A$2004,A17)=0,"",ROUND(SUMIF(Rebar_Schedule!$A$5:$A$2004,A17,Rebar_Schedule!$K$5:$K$2004),1)))</f>
        <v/>
      </c>
      <c r="AL17" s="33" t="str">
        <f aca="false">IF(A17="","",IF(AK17="","No rebar schedule yet",IF(ABS(AK17-N(AG17))/MAX(N(AG17),1)&gt;SG_Criteria!$B$55,"NOTE: register rebar differs from schedule by "&amp;TEXT(ABS(AK17-N(AG17))/MAX(N(AG17),1),"0%"),"OK")))</f>
        <v/>
      </c>
      <c r="AM17" s="33" t="str">
        <f aca="false">IF(D17="","","OK")</f>
        <v/>
      </c>
      <c r="AN17" s="9"/>
      <c r="AO17" s="9"/>
      <c r="AP17" s="9"/>
      <c r="AQ17" s="10" t="str">
        <f aca="false">IF(AP17="","",IFERROR(VLOOKUP(AP17,Projects!$A$5:$D$504,2,0),"Ref not in Projects"))</f>
        <v/>
      </c>
      <c r="AR17" s="10" t="str">
        <f aca="false">IF(AP17="","",IFERROR(VLOOKUP(AP17,Projects!$A$5:$D$504,4,0),"Ref not in Projects"))</f>
        <v/>
      </c>
      <c r="AS17" s="9"/>
      <c r="AT17" s="9"/>
      <c r="AU17" s="9"/>
      <c r="AV17" s="40"/>
      <c r="AW17" s="9"/>
      <c r="AX17" s="40"/>
      <c r="AY17" s="9"/>
      <c r="AZ17" s="40"/>
      <c r="BA17" s="9"/>
      <c r="BB17" s="9"/>
      <c r="BC17" s="9"/>
      <c r="BD17" s="40"/>
      <c r="BE17" s="40"/>
      <c r="BF17" s="36" t="str">
        <f aca="false">IF(BE17="","",EDATE(BE17,SG_Criteria!$B$54*12))</f>
        <v/>
      </c>
      <c r="BG17" s="33" t="str">
        <f aca="true">IF(A17="","",IF(BE17="","NOTE: not reviewed yet",IF(TODAY()&gt;BF17,"NOTE: review overdue","OK")))</f>
        <v/>
      </c>
      <c r="BH17" s="37" t="str">
        <f aca="false">IF(A17="","",ROUND((IF(LEN(D17)&gt;0,1,0)+IF(LEN(E17)&gt;0,1,0)+IF(LEN(I17)&gt;0,1,0)+IF(LEN(K17)&gt;0,1,0)+IF(LEN(Q17)&gt;0,1,0)+IF(LEN(S17)&gt;0,1,0)+IF(LEN(T17)&gt;0,1,0)+IF(LEN(U17)&gt;0,1,0)+IF(LEN(V17)&gt;0,1,0)+IF(LEN(AE17)&gt;0,1,0)+IF(LEN(AP17)&gt;0,1,0)+IF(LEN(BC17)&gt;0,1,0))/12,2))</f>
        <v/>
      </c>
      <c r="BI17" s="10" t="str">
        <f aca="false">IF(D17="","",IF(AND(T17="Approved",ISERROR(SEARCH("FAIL",AM17))),"Y","N"))</f>
        <v/>
      </c>
    </row>
    <row r="18" customFormat="false" ht="15" hidden="false" customHeight="false" outlineLevel="0" collapsed="false">
      <c r="A18" s="10" t="str">
        <f aca="false">IF(D18="","",IFERROR(VLOOKUP(D18,Lists!$BI$4:$BJ$20,2,0),"??")&amp;"-"&amp;UPPER(SUBSTITUTE(E18," ",""))&amp;IF(F18&lt;&gt;"","-SP"&amp;TEXT(F18*1000,"0"),"")&amp;IF(G18&lt;&gt;"","-H"&amp;TEXT(G18*1000,"0"),"")&amp;"-"&amp;S18)</f>
        <v/>
      </c>
      <c r="B18" s="10" t="str">
        <f aca="false">IF(D18="","",D18&amp;" - "&amp;E18&amp;IF(F18&lt;&gt;"",", span "&amp;F18&amp;" m","")&amp;IF(G18&lt;&gt;"",", H "&amp;G18&amp;" m","")&amp;IF(H18&lt;&gt;"",", W "&amp;H18&amp;" m",""))</f>
        <v/>
      </c>
      <c r="C18" s="9"/>
      <c r="D18" s="9"/>
      <c r="E18" s="9"/>
      <c r="F18" s="42"/>
      <c r="G18" s="42"/>
      <c r="H18" s="42"/>
      <c r="I18" s="9"/>
      <c r="J18" s="9"/>
      <c r="K18" s="9"/>
      <c r="L18" s="9"/>
      <c r="M18" s="9"/>
      <c r="N18" s="38"/>
      <c r="O18" s="9"/>
      <c r="P18" s="39"/>
      <c r="Q18" s="9"/>
      <c r="R18" s="9"/>
      <c r="S18" s="9"/>
      <c r="T18" s="9"/>
      <c r="U18" s="9"/>
      <c r="V18" s="9"/>
      <c r="W18" s="9"/>
      <c r="X18" s="10" t="str">
        <f aca="false">IF(A18="","",SG_Criteria!$B$6&amp;SG_Criteria!$B$13&amp;"\"&amp;A18&amp;"\")</f>
        <v/>
      </c>
      <c r="Y18" s="10" t="str">
        <f aca="false">IF(A18="","",A18&amp;"_CAD.dwg")</f>
        <v/>
      </c>
      <c r="Z18" s="10" t="str">
        <f aca="false">IF(A18="","",A18&amp;"_DWG.pdf")</f>
        <v/>
      </c>
      <c r="AA18" s="10" t="str">
        <f aca="false">IF(A18="","",IF(W18="Y",A18&amp;"_STAAD.std","n/a"))</f>
        <v/>
      </c>
      <c r="AB18" s="10" t="str">
        <f aca="false">IF(A18="","",A18&amp;"_CALC.xlsx")</f>
        <v/>
      </c>
      <c r="AC18" s="10" t="str">
        <f aca="false">IF(A18="","",A18&amp;"_CALC.pdf")</f>
        <v/>
      </c>
      <c r="AD18" s="9"/>
      <c r="AE18" s="9"/>
      <c r="AF18" s="39"/>
      <c r="AG18" s="39"/>
      <c r="AH18" s="39"/>
      <c r="AI18" s="39"/>
      <c r="AJ18" s="39"/>
      <c r="AK18" s="12" t="str">
        <f aca="false">IF(A18="","",IF(COUNTIF(Rebar_Schedule!$A$5:$A$2004,A18)=0,"",ROUND(SUMIF(Rebar_Schedule!$A$5:$A$2004,A18,Rebar_Schedule!$K$5:$K$2004),1)))</f>
        <v/>
      </c>
      <c r="AL18" s="33" t="str">
        <f aca="false">IF(A18="","",IF(AK18="","No rebar schedule yet",IF(ABS(AK18-N(AG18))/MAX(N(AG18),1)&gt;SG_Criteria!$B$55,"NOTE: register rebar differs from schedule by "&amp;TEXT(ABS(AK18-N(AG18))/MAX(N(AG18),1),"0%"),"OK")))</f>
        <v/>
      </c>
      <c r="AM18" s="33" t="str">
        <f aca="false">IF(D18="","","OK")</f>
        <v/>
      </c>
      <c r="AN18" s="9"/>
      <c r="AO18" s="9"/>
      <c r="AP18" s="9"/>
      <c r="AQ18" s="10" t="str">
        <f aca="false">IF(AP18="","",IFERROR(VLOOKUP(AP18,Projects!$A$5:$D$504,2,0),"Ref not in Projects"))</f>
        <v/>
      </c>
      <c r="AR18" s="10" t="str">
        <f aca="false">IF(AP18="","",IFERROR(VLOOKUP(AP18,Projects!$A$5:$D$504,4,0),"Ref not in Projects"))</f>
        <v/>
      </c>
      <c r="AS18" s="9"/>
      <c r="AT18" s="9"/>
      <c r="AU18" s="9"/>
      <c r="AV18" s="40"/>
      <c r="AW18" s="9"/>
      <c r="AX18" s="40"/>
      <c r="AY18" s="9"/>
      <c r="AZ18" s="40"/>
      <c r="BA18" s="9"/>
      <c r="BB18" s="9"/>
      <c r="BC18" s="9"/>
      <c r="BD18" s="40"/>
      <c r="BE18" s="40"/>
      <c r="BF18" s="36" t="str">
        <f aca="false">IF(BE18="","",EDATE(BE18,SG_Criteria!$B$54*12))</f>
        <v/>
      </c>
      <c r="BG18" s="33" t="str">
        <f aca="true">IF(A18="","",IF(BE18="","NOTE: not reviewed yet",IF(TODAY()&gt;BF18,"NOTE: review overdue","OK")))</f>
        <v/>
      </c>
      <c r="BH18" s="37" t="str">
        <f aca="false">IF(A18="","",ROUND((IF(LEN(D18)&gt;0,1,0)+IF(LEN(E18)&gt;0,1,0)+IF(LEN(I18)&gt;0,1,0)+IF(LEN(K18)&gt;0,1,0)+IF(LEN(Q18)&gt;0,1,0)+IF(LEN(S18)&gt;0,1,0)+IF(LEN(T18)&gt;0,1,0)+IF(LEN(U18)&gt;0,1,0)+IF(LEN(V18)&gt;0,1,0)+IF(LEN(AE18)&gt;0,1,0)+IF(LEN(AP18)&gt;0,1,0)+IF(LEN(BC18)&gt;0,1,0))/12,2))</f>
        <v/>
      </c>
      <c r="BI18" s="10" t="str">
        <f aca="false">IF(D18="","",IF(AND(T18="Approved",ISERROR(SEARCH("FAIL",AM18))),"Y","N"))</f>
        <v/>
      </c>
    </row>
    <row r="19" customFormat="false" ht="15" hidden="false" customHeight="false" outlineLevel="0" collapsed="false">
      <c r="A19" s="10" t="str">
        <f aca="false">IF(D19="","",IFERROR(VLOOKUP(D19,Lists!$BI$4:$BJ$20,2,0),"??")&amp;"-"&amp;UPPER(SUBSTITUTE(E19," ",""))&amp;IF(F19&lt;&gt;"","-SP"&amp;TEXT(F19*1000,"0"),"")&amp;IF(G19&lt;&gt;"","-H"&amp;TEXT(G19*1000,"0"),"")&amp;"-"&amp;S19)</f>
        <v/>
      </c>
      <c r="B19" s="10" t="str">
        <f aca="false">IF(D19="","",D19&amp;" - "&amp;E19&amp;IF(F19&lt;&gt;"",", span "&amp;F19&amp;" m","")&amp;IF(G19&lt;&gt;"",", H "&amp;G19&amp;" m","")&amp;IF(H19&lt;&gt;"",", W "&amp;H19&amp;" m",""))</f>
        <v/>
      </c>
      <c r="C19" s="9"/>
      <c r="D19" s="9"/>
      <c r="E19" s="9"/>
      <c r="F19" s="42"/>
      <c r="G19" s="42"/>
      <c r="H19" s="42"/>
      <c r="I19" s="9"/>
      <c r="J19" s="9"/>
      <c r="K19" s="9"/>
      <c r="L19" s="9"/>
      <c r="M19" s="9"/>
      <c r="N19" s="38"/>
      <c r="O19" s="9"/>
      <c r="P19" s="39"/>
      <c r="Q19" s="9"/>
      <c r="R19" s="9"/>
      <c r="S19" s="9"/>
      <c r="T19" s="9"/>
      <c r="U19" s="9"/>
      <c r="V19" s="9"/>
      <c r="W19" s="9"/>
      <c r="X19" s="10" t="str">
        <f aca="false">IF(A19="","",SG_Criteria!$B$6&amp;SG_Criteria!$B$13&amp;"\"&amp;A19&amp;"\")</f>
        <v/>
      </c>
      <c r="Y19" s="10" t="str">
        <f aca="false">IF(A19="","",A19&amp;"_CAD.dwg")</f>
        <v/>
      </c>
      <c r="Z19" s="10" t="str">
        <f aca="false">IF(A19="","",A19&amp;"_DWG.pdf")</f>
        <v/>
      </c>
      <c r="AA19" s="10" t="str">
        <f aca="false">IF(A19="","",IF(W19="Y",A19&amp;"_STAAD.std","n/a"))</f>
        <v/>
      </c>
      <c r="AB19" s="10" t="str">
        <f aca="false">IF(A19="","",A19&amp;"_CALC.xlsx")</f>
        <v/>
      </c>
      <c r="AC19" s="10" t="str">
        <f aca="false">IF(A19="","",A19&amp;"_CALC.pdf")</f>
        <v/>
      </c>
      <c r="AD19" s="9"/>
      <c r="AE19" s="9"/>
      <c r="AF19" s="39"/>
      <c r="AG19" s="39"/>
      <c r="AH19" s="39"/>
      <c r="AI19" s="39"/>
      <c r="AJ19" s="39"/>
      <c r="AK19" s="12" t="str">
        <f aca="false">IF(A19="","",IF(COUNTIF(Rebar_Schedule!$A$5:$A$2004,A19)=0,"",ROUND(SUMIF(Rebar_Schedule!$A$5:$A$2004,A19,Rebar_Schedule!$K$5:$K$2004),1)))</f>
        <v/>
      </c>
      <c r="AL19" s="33" t="str">
        <f aca="false">IF(A19="","",IF(AK19="","No rebar schedule yet",IF(ABS(AK19-N(AG19))/MAX(N(AG19),1)&gt;SG_Criteria!$B$55,"NOTE: register rebar differs from schedule by "&amp;TEXT(ABS(AK19-N(AG19))/MAX(N(AG19),1),"0%"),"OK")))</f>
        <v/>
      </c>
      <c r="AM19" s="33" t="str">
        <f aca="false">IF(D19="","","OK")</f>
        <v/>
      </c>
      <c r="AN19" s="9"/>
      <c r="AO19" s="9"/>
      <c r="AP19" s="9"/>
      <c r="AQ19" s="10" t="str">
        <f aca="false">IF(AP19="","",IFERROR(VLOOKUP(AP19,Projects!$A$5:$D$504,2,0),"Ref not in Projects"))</f>
        <v/>
      </c>
      <c r="AR19" s="10" t="str">
        <f aca="false">IF(AP19="","",IFERROR(VLOOKUP(AP19,Projects!$A$5:$D$504,4,0),"Ref not in Projects"))</f>
        <v/>
      </c>
      <c r="AS19" s="9"/>
      <c r="AT19" s="9"/>
      <c r="AU19" s="9"/>
      <c r="AV19" s="40"/>
      <c r="AW19" s="9"/>
      <c r="AX19" s="40"/>
      <c r="AY19" s="9"/>
      <c r="AZ19" s="40"/>
      <c r="BA19" s="9"/>
      <c r="BB19" s="9"/>
      <c r="BC19" s="9"/>
      <c r="BD19" s="40"/>
      <c r="BE19" s="40"/>
      <c r="BF19" s="36" t="str">
        <f aca="false">IF(BE19="","",EDATE(BE19,SG_Criteria!$B$54*12))</f>
        <v/>
      </c>
      <c r="BG19" s="33" t="str">
        <f aca="true">IF(A19="","",IF(BE19="","NOTE: not reviewed yet",IF(TODAY()&gt;BF19,"NOTE: review overdue","OK")))</f>
        <v/>
      </c>
      <c r="BH19" s="37" t="str">
        <f aca="false">IF(A19="","",ROUND((IF(LEN(D19)&gt;0,1,0)+IF(LEN(E19)&gt;0,1,0)+IF(LEN(I19)&gt;0,1,0)+IF(LEN(K19)&gt;0,1,0)+IF(LEN(Q19)&gt;0,1,0)+IF(LEN(S19)&gt;0,1,0)+IF(LEN(T19)&gt;0,1,0)+IF(LEN(U19)&gt;0,1,0)+IF(LEN(V19)&gt;0,1,0)+IF(LEN(AE19)&gt;0,1,0)+IF(LEN(AP19)&gt;0,1,0)+IF(LEN(BC19)&gt;0,1,0))/12,2))</f>
        <v/>
      </c>
      <c r="BI19" s="10" t="str">
        <f aca="false">IF(D19="","",IF(AND(T19="Approved",ISERROR(SEARCH("FAIL",AM19))),"Y","N"))</f>
        <v/>
      </c>
    </row>
    <row r="20" customFormat="false" ht="15" hidden="false" customHeight="false" outlineLevel="0" collapsed="false">
      <c r="A20" s="10" t="str">
        <f aca="false">IF(D20="","",IFERROR(VLOOKUP(D20,Lists!$BI$4:$BJ$20,2,0),"??")&amp;"-"&amp;UPPER(SUBSTITUTE(E20," ",""))&amp;IF(F20&lt;&gt;"","-SP"&amp;TEXT(F20*1000,"0"),"")&amp;IF(G20&lt;&gt;"","-H"&amp;TEXT(G20*1000,"0"),"")&amp;"-"&amp;S20)</f>
        <v/>
      </c>
      <c r="B20" s="10" t="str">
        <f aca="false">IF(D20="","",D20&amp;" - "&amp;E20&amp;IF(F20&lt;&gt;"",", span "&amp;F20&amp;" m","")&amp;IF(G20&lt;&gt;"",", H "&amp;G20&amp;" m","")&amp;IF(H20&lt;&gt;"",", W "&amp;H20&amp;" m",""))</f>
        <v/>
      </c>
      <c r="C20" s="9"/>
      <c r="D20" s="9"/>
      <c r="E20" s="9"/>
      <c r="F20" s="42"/>
      <c r="G20" s="42"/>
      <c r="H20" s="42"/>
      <c r="I20" s="9"/>
      <c r="J20" s="9"/>
      <c r="K20" s="9"/>
      <c r="L20" s="9"/>
      <c r="M20" s="9"/>
      <c r="N20" s="38"/>
      <c r="O20" s="9"/>
      <c r="P20" s="39"/>
      <c r="Q20" s="9"/>
      <c r="R20" s="9"/>
      <c r="S20" s="9"/>
      <c r="T20" s="9"/>
      <c r="U20" s="9"/>
      <c r="V20" s="9"/>
      <c r="W20" s="9"/>
      <c r="X20" s="10" t="str">
        <f aca="false">IF(A20="","",SG_Criteria!$B$6&amp;SG_Criteria!$B$13&amp;"\"&amp;A20&amp;"\")</f>
        <v/>
      </c>
      <c r="Y20" s="10" t="str">
        <f aca="false">IF(A20="","",A20&amp;"_CAD.dwg")</f>
        <v/>
      </c>
      <c r="Z20" s="10" t="str">
        <f aca="false">IF(A20="","",A20&amp;"_DWG.pdf")</f>
        <v/>
      </c>
      <c r="AA20" s="10" t="str">
        <f aca="false">IF(A20="","",IF(W20="Y",A20&amp;"_STAAD.std","n/a"))</f>
        <v/>
      </c>
      <c r="AB20" s="10" t="str">
        <f aca="false">IF(A20="","",A20&amp;"_CALC.xlsx")</f>
        <v/>
      </c>
      <c r="AC20" s="10" t="str">
        <f aca="false">IF(A20="","",A20&amp;"_CALC.pdf")</f>
        <v/>
      </c>
      <c r="AD20" s="9"/>
      <c r="AE20" s="9"/>
      <c r="AF20" s="39"/>
      <c r="AG20" s="39"/>
      <c r="AH20" s="39"/>
      <c r="AI20" s="39"/>
      <c r="AJ20" s="39"/>
      <c r="AK20" s="12" t="str">
        <f aca="false">IF(A20="","",IF(COUNTIF(Rebar_Schedule!$A$5:$A$2004,A20)=0,"",ROUND(SUMIF(Rebar_Schedule!$A$5:$A$2004,A20,Rebar_Schedule!$K$5:$K$2004),1)))</f>
        <v/>
      </c>
      <c r="AL20" s="33" t="str">
        <f aca="false">IF(A20="","",IF(AK20="","No rebar schedule yet",IF(ABS(AK20-N(AG20))/MAX(N(AG20),1)&gt;SG_Criteria!$B$55,"NOTE: register rebar differs from schedule by "&amp;TEXT(ABS(AK20-N(AG20))/MAX(N(AG20),1),"0%"),"OK")))</f>
        <v/>
      </c>
      <c r="AM20" s="33" t="str">
        <f aca="false">IF(D20="","","OK")</f>
        <v/>
      </c>
      <c r="AN20" s="9"/>
      <c r="AO20" s="9"/>
      <c r="AP20" s="9"/>
      <c r="AQ20" s="10" t="str">
        <f aca="false">IF(AP20="","",IFERROR(VLOOKUP(AP20,Projects!$A$5:$D$504,2,0),"Ref not in Projects"))</f>
        <v/>
      </c>
      <c r="AR20" s="10" t="str">
        <f aca="false">IF(AP20="","",IFERROR(VLOOKUP(AP20,Projects!$A$5:$D$504,4,0),"Ref not in Projects"))</f>
        <v/>
      </c>
      <c r="AS20" s="9"/>
      <c r="AT20" s="9"/>
      <c r="AU20" s="9"/>
      <c r="AV20" s="40"/>
      <c r="AW20" s="9"/>
      <c r="AX20" s="40"/>
      <c r="AY20" s="9"/>
      <c r="AZ20" s="40"/>
      <c r="BA20" s="9"/>
      <c r="BB20" s="9"/>
      <c r="BC20" s="9"/>
      <c r="BD20" s="40"/>
      <c r="BE20" s="40"/>
      <c r="BF20" s="36" t="str">
        <f aca="false">IF(BE20="","",EDATE(BE20,SG_Criteria!$B$54*12))</f>
        <v/>
      </c>
      <c r="BG20" s="33" t="str">
        <f aca="true">IF(A20="","",IF(BE20="","NOTE: not reviewed yet",IF(TODAY()&gt;BF20,"NOTE: review overdue","OK")))</f>
        <v/>
      </c>
      <c r="BH20" s="37" t="str">
        <f aca="false">IF(A20="","",ROUND((IF(LEN(D20)&gt;0,1,0)+IF(LEN(E20)&gt;0,1,0)+IF(LEN(I20)&gt;0,1,0)+IF(LEN(K20)&gt;0,1,0)+IF(LEN(Q20)&gt;0,1,0)+IF(LEN(S20)&gt;0,1,0)+IF(LEN(T20)&gt;0,1,0)+IF(LEN(U20)&gt;0,1,0)+IF(LEN(V20)&gt;0,1,0)+IF(LEN(AE20)&gt;0,1,0)+IF(LEN(AP20)&gt;0,1,0)+IF(LEN(BC20)&gt;0,1,0))/12,2))</f>
        <v/>
      </c>
      <c r="BI20" s="10" t="str">
        <f aca="false">IF(D20="","",IF(AND(T20="Approved",ISERROR(SEARCH("FAIL",AM20))),"Y","N"))</f>
        <v/>
      </c>
    </row>
    <row r="21" customFormat="false" ht="15" hidden="false" customHeight="false" outlineLevel="0" collapsed="false">
      <c r="A21" s="10" t="str">
        <f aca="false">IF(D21="","",IFERROR(VLOOKUP(D21,Lists!$BI$4:$BJ$20,2,0),"??")&amp;"-"&amp;UPPER(SUBSTITUTE(E21," ",""))&amp;IF(F21&lt;&gt;"","-SP"&amp;TEXT(F21*1000,"0"),"")&amp;IF(G21&lt;&gt;"","-H"&amp;TEXT(G21*1000,"0"),"")&amp;"-"&amp;S21)</f>
        <v/>
      </c>
      <c r="B21" s="10" t="str">
        <f aca="false">IF(D21="","",D21&amp;" - "&amp;E21&amp;IF(F21&lt;&gt;"",", span "&amp;F21&amp;" m","")&amp;IF(G21&lt;&gt;"",", H "&amp;G21&amp;" m","")&amp;IF(H21&lt;&gt;"",", W "&amp;H21&amp;" m",""))</f>
        <v/>
      </c>
      <c r="C21" s="9"/>
      <c r="D21" s="9"/>
      <c r="E21" s="9"/>
      <c r="F21" s="42"/>
      <c r="G21" s="42"/>
      <c r="H21" s="42"/>
      <c r="I21" s="9"/>
      <c r="J21" s="9"/>
      <c r="K21" s="9"/>
      <c r="L21" s="9"/>
      <c r="M21" s="9"/>
      <c r="N21" s="38"/>
      <c r="O21" s="9"/>
      <c r="P21" s="39"/>
      <c r="Q21" s="9"/>
      <c r="R21" s="9"/>
      <c r="S21" s="9"/>
      <c r="T21" s="9"/>
      <c r="U21" s="9"/>
      <c r="V21" s="9"/>
      <c r="W21" s="9"/>
      <c r="X21" s="10" t="str">
        <f aca="false">IF(A21="","",SG_Criteria!$B$6&amp;SG_Criteria!$B$13&amp;"\"&amp;A21&amp;"\")</f>
        <v/>
      </c>
      <c r="Y21" s="10" t="str">
        <f aca="false">IF(A21="","",A21&amp;"_CAD.dwg")</f>
        <v/>
      </c>
      <c r="Z21" s="10" t="str">
        <f aca="false">IF(A21="","",A21&amp;"_DWG.pdf")</f>
        <v/>
      </c>
      <c r="AA21" s="10" t="str">
        <f aca="false">IF(A21="","",IF(W21="Y",A21&amp;"_STAAD.std","n/a"))</f>
        <v/>
      </c>
      <c r="AB21" s="10" t="str">
        <f aca="false">IF(A21="","",A21&amp;"_CALC.xlsx")</f>
        <v/>
      </c>
      <c r="AC21" s="10" t="str">
        <f aca="false">IF(A21="","",A21&amp;"_CALC.pdf")</f>
        <v/>
      </c>
      <c r="AD21" s="9"/>
      <c r="AE21" s="9"/>
      <c r="AF21" s="39"/>
      <c r="AG21" s="39"/>
      <c r="AH21" s="39"/>
      <c r="AI21" s="39"/>
      <c r="AJ21" s="39"/>
      <c r="AK21" s="12" t="str">
        <f aca="false">IF(A21="","",IF(COUNTIF(Rebar_Schedule!$A$5:$A$2004,A21)=0,"",ROUND(SUMIF(Rebar_Schedule!$A$5:$A$2004,A21,Rebar_Schedule!$K$5:$K$2004),1)))</f>
        <v/>
      </c>
      <c r="AL21" s="33" t="str">
        <f aca="false">IF(A21="","",IF(AK21="","No rebar schedule yet",IF(ABS(AK21-N(AG21))/MAX(N(AG21),1)&gt;SG_Criteria!$B$55,"NOTE: register rebar differs from schedule by "&amp;TEXT(ABS(AK21-N(AG21))/MAX(N(AG21),1),"0%"),"OK")))</f>
        <v/>
      </c>
      <c r="AM21" s="33" t="str">
        <f aca="false">IF(D21="","","OK")</f>
        <v/>
      </c>
      <c r="AN21" s="9"/>
      <c r="AO21" s="9"/>
      <c r="AP21" s="9"/>
      <c r="AQ21" s="10" t="str">
        <f aca="false">IF(AP21="","",IFERROR(VLOOKUP(AP21,Projects!$A$5:$D$504,2,0),"Ref not in Projects"))</f>
        <v/>
      </c>
      <c r="AR21" s="10" t="str">
        <f aca="false">IF(AP21="","",IFERROR(VLOOKUP(AP21,Projects!$A$5:$D$504,4,0),"Ref not in Projects"))</f>
        <v/>
      </c>
      <c r="AS21" s="9"/>
      <c r="AT21" s="9"/>
      <c r="AU21" s="9"/>
      <c r="AV21" s="40"/>
      <c r="AW21" s="9"/>
      <c r="AX21" s="40"/>
      <c r="AY21" s="9"/>
      <c r="AZ21" s="40"/>
      <c r="BA21" s="9"/>
      <c r="BB21" s="9"/>
      <c r="BC21" s="9"/>
      <c r="BD21" s="40"/>
      <c r="BE21" s="40"/>
      <c r="BF21" s="36" t="str">
        <f aca="false">IF(BE21="","",EDATE(BE21,SG_Criteria!$B$54*12))</f>
        <v/>
      </c>
      <c r="BG21" s="33" t="str">
        <f aca="true">IF(A21="","",IF(BE21="","NOTE: not reviewed yet",IF(TODAY()&gt;BF21,"NOTE: review overdue","OK")))</f>
        <v/>
      </c>
      <c r="BH21" s="37" t="str">
        <f aca="false">IF(A21="","",ROUND((IF(LEN(D21)&gt;0,1,0)+IF(LEN(E21)&gt;0,1,0)+IF(LEN(I21)&gt;0,1,0)+IF(LEN(K21)&gt;0,1,0)+IF(LEN(Q21)&gt;0,1,0)+IF(LEN(S21)&gt;0,1,0)+IF(LEN(T21)&gt;0,1,0)+IF(LEN(U21)&gt;0,1,0)+IF(LEN(V21)&gt;0,1,0)+IF(LEN(AE21)&gt;0,1,0)+IF(LEN(AP21)&gt;0,1,0)+IF(LEN(BC21)&gt;0,1,0))/12,2))</f>
        <v/>
      </c>
      <c r="BI21" s="10" t="str">
        <f aca="false">IF(D21="","",IF(AND(T21="Approved",ISERROR(SEARCH("FAIL",AM21))),"Y","N"))</f>
        <v/>
      </c>
    </row>
    <row r="22" customFormat="false" ht="15" hidden="false" customHeight="false" outlineLevel="0" collapsed="false">
      <c r="A22" s="10" t="str">
        <f aca="false">IF(D22="","",IFERROR(VLOOKUP(D22,Lists!$BI$4:$BJ$20,2,0),"??")&amp;"-"&amp;UPPER(SUBSTITUTE(E22," ",""))&amp;IF(F22&lt;&gt;"","-SP"&amp;TEXT(F22*1000,"0"),"")&amp;IF(G22&lt;&gt;"","-H"&amp;TEXT(G22*1000,"0"),"")&amp;"-"&amp;S22)</f>
        <v/>
      </c>
      <c r="B22" s="10" t="str">
        <f aca="false">IF(D22="","",D22&amp;" - "&amp;E22&amp;IF(F22&lt;&gt;"",", span "&amp;F22&amp;" m","")&amp;IF(G22&lt;&gt;"",", H "&amp;G22&amp;" m","")&amp;IF(H22&lt;&gt;"",", W "&amp;H22&amp;" m",""))</f>
        <v/>
      </c>
      <c r="C22" s="9"/>
      <c r="D22" s="9"/>
      <c r="E22" s="9"/>
      <c r="F22" s="42"/>
      <c r="G22" s="42"/>
      <c r="H22" s="42"/>
      <c r="I22" s="9"/>
      <c r="J22" s="9"/>
      <c r="K22" s="9"/>
      <c r="L22" s="9"/>
      <c r="M22" s="9"/>
      <c r="N22" s="38"/>
      <c r="O22" s="9"/>
      <c r="P22" s="39"/>
      <c r="Q22" s="9"/>
      <c r="R22" s="9"/>
      <c r="S22" s="9"/>
      <c r="T22" s="9"/>
      <c r="U22" s="9"/>
      <c r="V22" s="9"/>
      <c r="W22" s="9"/>
      <c r="X22" s="10" t="str">
        <f aca="false">IF(A22="","",SG_Criteria!$B$6&amp;SG_Criteria!$B$13&amp;"\"&amp;A22&amp;"\")</f>
        <v/>
      </c>
      <c r="Y22" s="10" t="str">
        <f aca="false">IF(A22="","",A22&amp;"_CAD.dwg")</f>
        <v/>
      </c>
      <c r="Z22" s="10" t="str">
        <f aca="false">IF(A22="","",A22&amp;"_DWG.pdf")</f>
        <v/>
      </c>
      <c r="AA22" s="10" t="str">
        <f aca="false">IF(A22="","",IF(W22="Y",A22&amp;"_STAAD.std","n/a"))</f>
        <v/>
      </c>
      <c r="AB22" s="10" t="str">
        <f aca="false">IF(A22="","",A22&amp;"_CALC.xlsx")</f>
        <v/>
      </c>
      <c r="AC22" s="10" t="str">
        <f aca="false">IF(A22="","",A22&amp;"_CALC.pdf")</f>
        <v/>
      </c>
      <c r="AD22" s="9"/>
      <c r="AE22" s="9"/>
      <c r="AF22" s="39"/>
      <c r="AG22" s="39"/>
      <c r="AH22" s="39"/>
      <c r="AI22" s="39"/>
      <c r="AJ22" s="39"/>
      <c r="AK22" s="12" t="str">
        <f aca="false">IF(A22="","",IF(COUNTIF(Rebar_Schedule!$A$5:$A$2004,A22)=0,"",ROUND(SUMIF(Rebar_Schedule!$A$5:$A$2004,A22,Rebar_Schedule!$K$5:$K$2004),1)))</f>
        <v/>
      </c>
      <c r="AL22" s="33" t="str">
        <f aca="false">IF(A22="","",IF(AK22="","No rebar schedule yet",IF(ABS(AK22-N(AG22))/MAX(N(AG22),1)&gt;SG_Criteria!$B$55,"NOTE: register rebar differs from schedule by "&amp;TEXT(ABS(AK22-N(AG22))/MAX(N(AG22),1),"0%"),"OK")))</f>
        <v/>
      </c>
      <c r="AM22" s="33" t="str">
        <f aca="false">IF(D22="","","OK")</f>
        <v/>
      </c>
      <c r="AN22" s="9"/>
      <c r="AO22" s="9"/>
      <c r="AP22" s="9"/>
      <c r="AQ22" s="10" t="str">
        <f aca="false">IF(AP22="","",IFERROR(VLOOKUP(AP22,Projects!$A$5:$D$504,2,0),"Ref not in Projects"))</f>
        <v/>
      </c>
      <c r="AR22" s="10" t="str">
        <f aca="false">IF(AP22="","",IFERROR(VLOOKUP(AP22,Projects!$A$5:$D$504,4,0),"Ref not in Projects"))</f>
        <v/>
      </c>
      <c r="AS22" s="9"/>
      <c r="AT22" s="9"/>
      <c r="AU22" s="9"/>
      <c r="AV22" s="40"/>
      <c r="AW22" s="9"/>
      <c r="AX22" s="40"/>
      <c r="AY22" s="9"/>
      <c r="AZ22" s="40"/>
      <c r="BA22" s="9"/>
      <c r="BB22" s="9"/>
      <c r="BC22" s="9"/>
      <c r="BD22" s="40"/>
      <c r="BE22" s="40"/>
      <c r="BF22" s="36" t="str">
        <f aca="false">IF(BE22="","",EDATE(BE22,SG_Criteria!$B$54*12))</f>
        <v/>
      </c>
      <c r="BG22" s="33" t="str">
        <f aca="true">IF(A22="","",IF(BE22="","NOTE: not reviewed yet",IF(TODAY()&gt;BF22,"NOTE: review overdue","OK")))</f>
        <v/>
      </c>
      <c r="BH22" s="37" t="str">
        <f aca="false">IF(A22="","",ROUND((IF(LEN(D22)&gt;0,1,0)+IF(LEN(E22)&gt;0,1,0)+IF(LEN(I22)&gt;0,1,0)+IF(LEN(K22)&gt;0,1,0)+IF(LEN(Q22)&gt;0,1,0)+IF(LEN(S22)&gt;0,1,0)+IF(LEN(T22)&gt;0,1,0)+IF(LEN(U22)&gt;0,1,0)+IF(LEN(V22)&gt;0,1,0)+IF(LEN(AE22)&gt;0,1,0)+IF(LEN(AP22)&gt;0,1,0)+IF(LEN(BC22)&gt;0,1,0))/12,2))</f>
        <v/>
      </c>
      <c r="BI22" s="10" t="str">
        <f aca="false">IF(D22="","",IF(AND(T22="Approved",ISERROR(SEARCH("FAIL",AM22))),"Y","N"))</f>
        <v/>
      </c>
    </row>
    <row r="23" customFormat="false" ht="15" hidden="false" customHeight="false" outlineLevel="0" collapsed="false">
      <c r="A23" s="10" t="str">
        <f aca="false">IF(D23="","",IFERROR(VLOOKUP(D23,Lists!$BI$4:$BJ$20,2,0),"??")&amp;"-"&amp;UPPER(SUBSTITUTE(E23," ",""))&amp;IF(F23&lt;&gt;"","-SP"&amp;TEXT(F23*1000,"0"),"")&amp;IF(G23&lt;&gt;"","-H"&amp;TEXT(G23*1000,"0"),"")&amp;"-"&amp;S23)</f>
        <v/>
      </c>
      <c r="B23" s="10" t="str">
        <f aca="false">IF(D23="","",D23&amp;" - "&amp;E23&amp;IF(F23&lt;&gt;"",", span "&amp;F23&amp;" m","")&amp;IF(G23&lt;&gt;"",", H "&amp;G23&amp;" m","")&amp;IF(H23&lt;&gt;"",", W "&amp;H23&amp;" m",""))</f>
        <v/>
      </c>
      <c r="C23" s="9"/>
      <c r="D23" s="9"/>
      <c r="E23" s="9"/>
      <c r="F23" s="42"/>
      <c r="G23" s="42"/>
      <c r="H23" s="42"/>
      <c r="I23" s="9"/>
      <c r="J23" s="9"/>
      <c r="K23" s="9"/>
      <c r="L23" s="9"/>
      <c r="M23" s="9"/>
      <c r="N23" s="38"/>
      <c r="O23" s="9"/>
      <c r="P23" s="39"/>
      <c r="Q23" s="9"/>
      <c r="R23" s="9"/>
      <c r="S23" s="9"/>
      <c r="T23" s="9"/>
      <c r="U23" s="9"/>
      <c r="V23" s="9"/>
      <c r="W23" s="9"/>
      <c r="X23" s="10" t="str">
        <f aca="false">IF(A23="","",SG_Criteria!$B$6&amp;SG_Criteria!$B$13&amp;"\"&amp;A23&amp;"\")</f>
        <v/>
      </c>
      <c r="Y23" s="10" t="str">
        <f aca="false">IF(A23="","",A23&amp;"_CAD.dwg")</f>
        <v/>
      </c>
      <c r="Z23" s="10" t="str">
        <f aca="false">IF(A23="","",A23&amp;"_DWG.pdf")</f>
        <v/>
      </c>
      <c r="AA23" s="10" t="str">
        <f aca="false">IF(A23="","",IF(W23="Y",A23&amp;"_STAAD.std","n/a"))</f>
        <v/>
      </c>
      <c r="AB23" s="10" t="str">
        <f aca="false">IF(A23="","",A23&amp;"_CALC.xlsx")</f>
        <v/>
      </c>
      <c r="AC23" s="10" t="str">
        <f aca="false">IF(A23="","",A23&amp;"_CALC.pdf")</f>
        <v/>
      </c>
      <c r="AD23" s="9"/>
      <c r="AE23" s="9"/>
      <c r="AF23" s="39"/>
      <c r="AG23" s="39"/>
      <c r="AH23" s="39"/>
      <c r="AI23" s="39"/>
      <c r="AJ23" s="39"/>
      <c r="AK23" s="12" t="str">
        <f aca="false">IF(A23="","",IF(COUNTIF(Rebar_Schedule!$A$5:$A$2004,A23)=0,"",ROUND(SUMIF(Rebar_Schedule!$A$5:$A$2004,A23,Rebar_Schedule!$K$5:$K$2004),1)))</f>
        <v/>
      </c>
      <c r="AL23" s="33" t="str">
        <f aca="false">IF(A23="","",IF(AK23="","No rebar schedule yet",IF(ABS(AK23-N(AG23))/MAX(N(AG23),1)&gt;SG_Criteria!$B$55,"NOTE: register rebar differs from schedule by "&amp;TEXT(ABS(AK23-N(AG23))/MAX(N(AG23),1),"0%"),"OK")))</f>
        <v/>
      </c>
      <c r="AM23" s="33" t="str">
        <f aca="false">IF(D23="","","OK")</f>
        <v/>
      </c>
      <c r="AN23" s="9"/>
      <c r="AO23" s="9"/>
      <c r="AP23" s="9"/>
      <c r="AQ23" s="10" t="str">
        <f aca="false">IF(AP23="","",IFERROR(VLOOKUP(AP23,Projects!$A$5:$D$504,2,0),"Ref not in Projects"))</f>
        <v/>
      </c>
      <c r="AR23" s="10" t="str">
        <f aca="false">IF(AP23="","",IFERROR(VLOOKUP(AP23,Projects!$A$5:$D$504,4,0),"Ref not in Projects"))</f>
        <v/>
      </c>
      <c r="AS23" s="9"/>
      <c r="AT23" s="9"/>
      <c r="AU23" s="9"/>
      <c r="AV23" s="40"/>
      <c r="AW23" s="9"/>
      <c r="AX23" s="40"/>
      <c r="AY23" s="9"/>
      <c r="AZ23" s="40"/>
      <c r="BA23" s="9"/>
      <c r="BB23" s="9"/>
      <c r="BC23" s="9"/>
      <c r="BD23" s="40"/>
      <c r="BE23" s="40"/>
      <c r="BF23" s="36" t="str">
        <f aca="false">IF(BE23="","",EDATE(BE23,SG_Criteria!$B$54*12))</f>
        <v/>
      </c>
      <c r="BG23" s="33" t="str">
        <f aca="true">IF(A23="","",IF(BE23="","NOTE: not reviewed yet",IF(TODAY()&gt;BF23,"NOTE: review overdue","OK")))</f>
        <v/>
      </c>
      <c r="BH23" s="37" t="str">
        <f aca="false">IF(A23="","",ROUND((IF(LEN(D23)&gt;0,1,0)+IF(LEN(E23)&gt;0,1,0)+IF(LEN(I23)&gt;0,1,0)+IF(LEN(K23)&gt;0,1,0)+IF(LEN(Q23)&gt;0,1,0)+IF(LEN(S23)&gt;0,1,0)+IF(LEN(T23)&gt;0,1,0)+IF(LEN(U23)&gt;0,1,0)+IF(LEN(V23)&gt;0,1,0)+IF(LEN(AE23)&gt;0,1,0)+IF(LEN(AP23)&gt;0,1,0)+IF(LEN(BC23)&gt;0,1,0))/12,2))</f>
        <v/>
      </c>
      <c r="BI23" s="10" t="str">
        <f aca="false">IF(D23="","",IF(AND(T23="Approved",ISERROR(SEARCH("FAIL",AM23))),"Y","N"))</f>
        <v/>
      </c>
    </row>
    <row r="24" customFormat="false" ht="15" hidden="false" customHeight="false" outlineLevel="0" collapsed="false">
      <c r="A24" s="10" t="str">
        <f aca="false">IF(D24="","",IFERROR(VLOOKUP(D24,Lists!$BI$4:$BJ$20,2,0),"??")&amp;"-"&amp;UPPER(SUBSTITUTE(E24," ",""))&amp;IF(F24&lt;&gt;"","-SP"&amp;TEXT(F24*1000,"0"),"")&amp;IF(G24&lt;&gt;"","-H"&amp;TEXT(G24*1000,"0"),"")&amp;"-"&amp;S24)</f>
        <v/>
      </c>
      <c r="B24" s="10" t="str">
        <f aca="false">IF(D24="","",D24&amp;" - "&amp;E24&amp;IF(F24&lt;&gt;"",", span "&amp;F24&amp;" m","")&amp;IF(G24&lt;&gt;"",", H "&amp;G24&amp;" m","")&amp;IF(H24&lt;&gt;"",", W "&amp;H24&amp;" m",""))</f>
        <v/>
      </c>
      <c r="C24" s="9"/>
      <c r="D24" s="9"/>
      <c r="E24" s="9"/>
      <c r="F24" s="42"/>
      <c r="G24" s="42"/>
      <c r="H24" s="42"/>
      <c r="I24" s="9"/>
      <c r="J24" s="9"/>
      <c r="K24" s="9"/>
      <c r="L24" s="9"/>
      <c r="M24" s="9"/>
      <c r="N24" s="38"/>
      <c r="O24" s="9"/>
      <c r="P24" s="39"/>
      <c r="Q24" s="9"/>
      <c r="R24" s="9"/>
      <c r="S24" s="9"/>
      <c r="T24" s="9"/>
      <c r="U24" s="9"/>
      <c r="V24" s="9"/>
      <c r="W24" s="9"/>
      <c r="X24" s="10" t="str">
        <f aca="false">IF(A24="","",SG_Criteria!$B$6&amp;SG_Criteria!$B$13&amp;"\"&amp;A24&amp;"\")</f>
        <v/>
      </c>
      <c r="Y24" s="10" t="str">
        <f aca="false">IF(A24="","",A24&amp;"_CAD.dwg")</f>
        <v/>
      </c>
      <c r="Z24" s="10" t="str">
        <f aca="false">IF(A24="","",A24&amp;"_DWG.pdf")</f>
        <v/>
      </c>
      <c r="AA24" s="10" t="str">
        <f aca="false">IF(A24="","",IF(W24="Y",A24&amp;"_STAAD.std","n/a"))</f>
        <v/>
      </c>
      <c r="AB24" s="10" t="str">
        <f aca="false">IF(A24="","",A24&amp;"_CALC.xlsx")</f>
        <v/>
      </c>
      <c r="AC24" s="10" t="str">
        <f aca="false">IF(A24="","",A24&amp;"_CALC.pdf")</f>
        <v/>
      </c>
      <c r="AD24" s="9"/>
      <c r="AE24" s="9"/>
      <c r="AF24" s="39"/>
      <c r="AG24" s="39"/>
      <c r="AH24" s="39"/>
      <c r="AI24" s="39"/>
      <c r="AJ24" s="39"/>
      <c r="AK24" s="12" t="str">
        <f aca="false">IF(A24="","",IF(COUNTIF(Rebar_Schedule!$A$5:$A$2004,A24)=0,"",ROUND(SUMIF(Rebar_Schedule!$A$5:$A$2004,A24,Rebar_Schedule!$K$5:$K$2004),1)))</f>
        <v/>
      </c>
      <c r="AL24" s="33" t="str">
        <f aca="false">IF(A24="","",IF(AK24="","No rebar schedule yet",IF(ABS(AK24-N(AG24))/MAX(N(AG24),1)&gt;SG_Criteria!$B$55,"NOTE: register rebar differs from schedule by "&amp;TEXT(ABS(AK24-N(AG24))/MAX(N(AG24),1),"0%"),"OK")))</f>
        <v/>
      </c>
      <c r="AM24" s="33" t="str">
        <f aca="false">IF(D24="","","OK")</f>
        <v/>
      </c>
      <c r="AN24" s="9"/>
      <c r="AO24" s="9"/>
      <c r="AP24" s="9"/>
      <c r="AQ24" s="10" t="str">
        <f aca="false">IF(AP24="","",IFERROR(VLOOKUP(AP24,Projects!$A$5:$D$504,2,0),"Ref not in Projects"))</f>
        <v/>
      </c>
      <c r="AR24" s="10" t="str">
        <f aca="false">IF(AP24="","",IFERROR(VLOOKUP(AP24,Projects!$A$5:$D$504,4,0),"Ref not in Projects"))</f>
        <v/>
      </c>
      <c r="AS24" s="9"/>
      <c r="AT24" s="9"/>
      <c r="AU24" s="9"/>
      <c r="AV24" s="40"/>
      <c r="AW24" s="9"/>
      <c r="AX24" s="40"/>
      <c r="AY24" s="9"/>
      <c r="AZ24" s="40"/>
      <c r="BA24" s="9"/>
      <c r="BB24" s="9"/>
      <c r="BC24" s="9"/>
      <c r="BD24" s="40"/>
      <c r="BE24" s="40"/>
      <c r="BF24" s="36" t="str">
        <f aca="false">IF(BE24="","",EDATE(BE24,SG_Criteria!$B$54*12))</f>
        <v/>
      </c>
      <c r="BG24" s="33" t="str">
        <f aca="true">IF(A24="","",IF(BE24="","NOTE: not reviewed yet",IF(TODAY()&gt;BF24,"NOTE: review overdue","OK")))</f>
        <v/>
      </c>
      <c r="BH24" s="37" t="str">
        <f aca="false">IF(A24="","",ROUND((IF(LEN(D24)&gt;0,1,0)+IF(LEN(E24)&gt;0,1,0)+IF(LEN(I24)&gt;0,1,0)+IF(LEN(K24)&gt;0,1,0)+IF(LEN(Q24)&gt;0,1,0)+IF(LEN(S24)&gt;0,1,0)+IF(LEN(T24)&gt;0,1,0)+IF(LEN(U24)&gt;0,1,0)+IF(LEN(V24)&gt;0,1,0)+IF(LEN(AE24)&gt;0,1,0)+IF(LEN(AP24)&gt;0,1,0)+IF(LEN(BC24)&gt;0,1,0))/12,2))</f>
        <v/>
      </c>
      <c r="BI24" s="10" t="str">
        <f aca="false">IF(D24="","",IF(AND(T24="Approved",ISERROR(SEARCH("FAIL",AM24))),"Y","N"))</f>
        <v/>
      </c>
    </row>
    <row r="25" customFormat="false" ht="15" hidden="false" customHeight="false" outlineLevel="0" collapsed="false">
      <c r="A25" s="10" t="str">
        <f aca="false">IF(D25="","",IFERROR(VLOOKUP(D25,Lists!$BI$4:$BJ$20,2,0),"??")&amp;"-"&amp;UPPER(SUBSTITUTE(E25," ",""))&amp;IF(F25&lt;&gt;"","-SP"&amp;TEXT(F25*1000,"0"),"")&amp;IF(G25&lt;&gt;"","-H"&amp;TEXT(G25*1000,"0"),"")&amp;"-"&amp;S25)</f>
        <v/>
      </c>
      <c r="B25" s="10" t="str">
        <f aca="false">IF(D25="","",D25&amp;" - "&amp;E25&amp;IF(F25&lt;&gt;"",", span "&amp;F25&amp;" m","")&amp;IF(G25&lt;&gt;"",", H "&amp;G25&amp;" m","")&amp;IF(H25&lt;&gt;"",", W "&amp;H25&amp;" m",""))</f>
        <v/>
      </c>
      <c r="C25" s="9"/>
      <c r="D25" s="9"/>
      <c r="E25" s="9"/>
      <c r="F25" s="42"/>
      <c r="G25" s="42"/>
      <c r="H25" s="42"/>
      <c r="I25" s="9"/>
      <c r="J25" s="9"/>
      <c r="K25" s="9"/>
      <c r="L25" s="9"/>
      <c r="M25" s="9"/>
      <c r="N25" s="38"/>
      <c r="O25" s="9"/>
      <c r="P25" s="39"/>
      <c r="Q25" s="9"/>
      <c r="R25" s="9"/>
      <c r="S25" s="9"/>
      <c r="T25" s="9"/>
      <c r="U25" s="9"/>
      <c r="V25" s="9"/>
      <c r="W25" s="9"/>
      <c r="X25" s="10" t="str">
        <f aca="false">IF(A25="","",SG_Criteria!$B$6&amp;SG_Criteria!$B$13&amp;"\"&amp;A25&amp;"\")</f>
        <v/>
      </c>
      <c r="Y25" s="10" t="str">
        <f aca="false">IF(A25="","",A25&amp;"_CAD.dwg")</f>
        <v/>
      </c>
      <c r="Z25" s="10" t="str">
        <f aca="false">IF(A25="","",A25&amp;"_DWG.pdf")</f>
        <v/>
      </c>
      <c r="AA25" s="10" t="str">
        <f aca="false">IF(A25="","",IF(W25="Y",A25&amp;"_STAAD.std","n/a"))</f>
        <v/>
      </c>
      <c r="AB25" s="10" t="str">
        <f aca="false">IF(A25="","",A25&amp;"_CALC.xlsx")</f>
        <v/>
      </c>
      <c r="AC25" s="10" t="str">
        <f aca="false">IF(A25="","",A25&amp;"_CALC.pdf")</f>
        <v/>
      </c>
      <c r="AD25" s="9"/>
      <c r="AE25" s="9"/>
      <c r="AF25" s="39"/>
      <c r="AG25" s="39"/>
      <c r="AH25" s="39"/>
      <c r="AI25" s="39"/>
      <c r="AJ25" s="39"/>
      <c r="AK25" s="12" t="str">
        <f aca="false">IF(A25="","",IF(COUNTIF(Rebar_Schedule!$A$5:$A$2004,A25)=0,"",ROUND(SUMIF(Rebar_Schedule!$A$5:$A$2004,A25,Rebar_Schedule!$K$5:$K$2004),1)))</f>
        <v/>
      </c>
      <c r="AL25" s="33" t="str">
        <f aca="false">IF(A25="","",IF(AK25="","No rebar schedule yet",IF(ABS(AK25-N(AG25))/MAX(N(AG25),1)&gt;SG_Criteria!$B$55,"NOTE: register rebar differs from schedule by "&amp;TEXT(ABS(AK25-N(AG25))/MAX(N(AG25),1),"0%"),"OK")))</f>
        <v/>
      </c>
      <c r="AM25" s="33" t="str">
        <f aca="false">IF(D25="","","OK")</f>
        <v/>
      </c>
      <c r="AN25" s="9"/>
      <c r="AO25" s="9"/>
      <c r="AP25" s="9"/>
      <c r="AQ25" s="10" t="str">
        <f aca="false">IF(AP25="","",IFERROR(VLOOKUP(AP25,Projects!$A$5:$D$504,2,0),"Ref not in Projects"))</f>
        <v/>
      </c>
      <c r="AR25" s="10" t="str">
        <f aca="false">IF(AP25="","",IFERROR(VLOOKUP(AP25,Projects!$A$5:$D$504,4,0),"Ref not in Projects"))</f>
        <v/>
      </c>
      <c r="AS25" s="9"/>
      <c r="AT25" s="9"/>
      <c r="AU25" s="9"/>
      <c r="AV25" s="40"/>
      <c r="AW25" s="9"/>
      <c r="AX25" s="40"/>
      <c r="AY25" s="9"/>
      <c r="AZ25" s="40"/>
      <c r="BA25" s="9"/>
      <c r="BB25" s="9"/>
      <c r="BC25" s="9"/>
      <c r="BD25" s="40"/>
      <c r="BE25" s="40"/>
      <c r="BF25" s="36" t="str">
        <f aca="false">IF(BE25="","",EDATE(BE25,SG_Criteria!$B$54*12))</f>
        <v/>
      </c>
      <c r="BG25" s="33" t="str">
        <f aca="true">IF(A25="","",IF(BE25="","NOTE: not reviewed yet",IF(TODAY()&gt;BF25,"NOTE: review overdue","OK")))</f>
        <v/>
      </c>
      <c r="BH25" s="37" t="str">
        <f aca="false">IF(A25="","",ROUND((IF(LEN(D25)&gt;0,1,0)+IF(LEN(E25)&gt;0,1,0)+IF(LEN(I25)&gt;0,1,0)+IF(LEN(K25)&gt;0,1,0)+IF(LEN(Q25)&gt;0,1,0)+IF(LEN(S25)&gt;0,1,0)+IF(LEN(T25)&gt;0,1,0)+IF(LEN(U25)&gt;0,1,0)+IF(LEN(V25)&gt;0,1,0)+IF(LEN(AE25)&gt;0,1,0)+IF(LEN(AP25)&gt;0,1,0)+IF(LEN(BC25)&gt;0,1,0))/12,2))</f>
        <v/>
      </c>
      <c r="BI25" s="10" t="str">
        <f aca="false">IF(D25="","",IF(AND(T25="Approved",ISERROR(SEARCH("FAIL",AM25))),"Y","N"))</f>
        <v/>
      </c>
    </row>
    <row r="26" customFormat="false" ht="15" hidden="false" customHeight="false" outlineLevel="0" collapsed="false">
      <c r="A26" s="10" t="str">
        <f aca="false">IF(D26="","",IFERROR(VLOOKUP(D26,Lists!$BI$4:$BJ$20,2,0),"??")&amp;"-"&amp;UPPER(SUBSTITUTE(E26," ",""))&amp;IF(F26&lt;&gt;"","-SP"&amp;TEXT(F26*1000,"0"),"")&amp;IF(G26&lt;&gt;"","-H"&amp;TEXT(G26*1000,"0"),"")&amp;"-"&amp;S26)</f>
        <v/>
      </c>
      <c r="B26" s="10" t="str">
        <f aca="false">IF(D26="","",D26&amp;" - "&amp;E26&amp;IF(F26&lt;&gt;"",", span "&amp;F26&amp;" m","")&amp;IF(G26&lt;&gt;"",", H "&amp;G26&amp;" m","")&amp;IF(H26&lt;&gt;"",", W "&amp;H26&amp;" m",""))</f>
        <v/>
      </c>
      <c r="C26" s="9"/>
      <c r="D26" s="9"/>
      <c r="E26" s="9"/>
      <c r="F26" s="42"/>
      <c r="G26" s="42"/>
      <c r="H26" s="42"/>
      <c r="I26" s="9"/>
      <c r="J26" s="9"/>
      <c r="K26" s="9"/>
      <c r="L26" s="9"/>
      <c r="M26" s="9"/>
      <c r="N26" s="38"/>
      <c r="O26" s="9"/>
      <c r="P26" s="39"/>
      <c r="Q26" s="9"/>
      <c r="R26" s="9"/>
      <c r="S26" s="9"/>
      <c r="T26" s="9"/>
      <c r="U26" s="9"/>
      <c r="V26" s="9"/>
      <c r="W26" s="9"/>
      <c r="X26" s="10" t="str">
        <f aca="false">IF(A26="","",SG_Criteria!$B$6&amp;SG_Criteria!$B$13&amp;"\"&amp;A26&amp;"\")</f>
        <v/>
      </c>
      <c r="Y26" s="10" t="str">
        <f aca="false">IF(A26="","",A26&amp;"_CAD.dwg")</f>
        <v/>
      </c>
      <c r="Z26" s="10" t="str">
        <f aca="false">IF(A26="","",A26&amp;"_DWG.pdf")</f>
        <v/>
      </c>
      <c r="AA26" s="10" t="str">
        <f aca="false">IF(A26="","",IF(W26="Y",A26&amp;"_STAAD.std","n/a"))</f>
        <v/>
      </c>
      <c r="AB26" s="10" t="str">
        <f aca="false">IF(A26="","",A26&amp;"_CALC.xlsx")</f>
        <v/>
      </c>
      <c r="AC26" s="10" t="str">
        <f aca="false">IF(A26="","",A26&amp;"_CALC.pdf")</f>
        <v/>
      </c>
      <c r="AD26" s="9"/>
      <c r="AE26" s="9"/>
      <c r="AF26" s="39"/>
      <c r="AG26" s="39"/>
      <c r="AH26" s="39"/>
      <c r="AI26" s="39"/>
      <c r="AJ26" s="39"/>
      <c r="AK26" s="12" t="str">
        <f aca="false">IF(A26="","",IF(COUNTIF(Rebar_Schedule!$A$5:$A$2004,A26)=0,"",ROUND(SUMIF(Rebar_Schedule!$A$5:$A$2004,A26,Rebar_Schedule!$K$5:$K$2004),1)))</f>
        <v/>
      </c>
      <c r="AL26" s="33" t="str">
        <f aca="false">IF(A26="","",IF(AK26="","No rebar schedule yet",IF(ABS(AK26-N(AG26))/MAX(N(AG26),1)&gt;SG_Criteria!$B$55,"NOTE: register rebar differs from schedule by "&amp;TEXT(ABS(AK26-N(AG26))/MAX(N(AG26),1),"0%"),"OK")))</f>
        <v/>
      </c>
      <c r="AM26" s="33" t="str">
        <f aca="false">IF(D26="","","OK")</f>
        <v/>
      </c>
      <c r="AN26" s="9"/>
      <c r="AO26" s="9"/>
      <c r="AP26" s="9"/>
      <c r="AQ26" s="10" t="str">
        <f aca="false">IF(AP26="","",IFERROR(VLOOKUP(AP26,Projects!$A$5:$D$504,2,0),"Ref not in Projects"))</f>
        <v/>
      </c>
      <c r="AR26" s="10" t="str">
        <f aca="false">IF(AP26="","",IFERROR(VLOOKUP(AP26,Projects!$A$5:$D$504,4,0),"Ref not in Projects"))</f>
        <v/>
      </c>
      <c r="AS26" s="9"/>
      <c r="AT26" s="9"/>
      <c r="AU26" s="9"/>
      <c r="AV26" s="40"/>
      <c r="AW26" s="9"/>
      <c r="AX26" s="40"/>
      <c r="AY26" s="9"/>
      <c r="AZ26" s="40"/>
      <c r="BA26" s="9"/>
      <c r="BB26" s="9"/>
      <c r="BC26" s="9"/>
      <c r="BD26" s="40"/>
      <c r="BE26" s="40"/>
      <c r="BF26" s="36" t="str">
        <f aca="false">IF(BE26="","",EDATE(BE26,SG_Criteria!$B$54*12))</f>
        <v/>
      </c>
      <c r="BG26" s="33" t="str">
        <f aca="true">IF(A26="","",IF(BE26="","NOTE: not reviewed yet",IF(TODAY()&gt;BF26,"NOTE: review overdue","OK")))</f>
        <v/>
      </c>
      <c r="BH26" s="37" t="str">
        <f aca="false">IF(A26="","",ROUND((IF(LEN(D26)&gt;0,1,0)+IF(LEN(E26)&gt;0,1,0)+IF(LEN(I26)&gt;0,1,0)+IF(LEN(K26)&gt;0,1,0)+IF(LEN(Q26)&gt;0,1,0)+IF(LEN(S26)&gt;0,1,0)+IF(LEN(T26)&gt;0,1,0)+IF(LEN(U26)&gt;0,1,0)+IF(LEN(V26)&gt;0,1,0)+IF(LEN(AE26)&gt;0,1,0)+IF(LEN(AP26)&gt;0,1,0)+IF(LEN(BC26)&gt;0,1,0))/12,2))</f>
        <v/>
      </c>
      <c r="BI26" s="10" t="str">
        <f aca="false">IF(D26="","",IF(AND(T26="Approved",ISERROR(SEARCH("FAIL",AM26))),"Y","N"))</f>
        <v/>
      </c>
    </row>
    <row r="27" customFormat="false" ht="15" hidden="false" customHeight="false" outlineLevel="0" collapsed="false">
      <c r="A27" s="10" t="str">
        <f aca="false">IF(D27="","",IFERROR(VLOOKUP(D27,Lists!$BI$4:$BJ$20,2,0),"??")&amp;"-"&amp;UPPER(SUBSTITUTE(E27," ",""))&amp;IF(F27&lt;&gt;"","-SP"&amp;TEXT(F27*1000,"0"),"")&amp;IF(G27&lt;&gt;"","-H"&amp;TEXT(G27*1000,"0"),"")&amp;"-"&amp;S27)</f>
        <v/>
      </c>
      <c r="B27" s="10" t="str">
        <f aca="false">IF(D27="","",D27&amp;" - "&amp;E27&amp;IF(F27&lt;&gt;"",", span "&amp;F27&amp;" m","")&amp;IF(G27&lt;&gt;"",", H "&amp;G27&amp;" m","")&amp;IF(H27&lt;&gt;"",", W "&amp;H27&amp;" m",""))</f>
        <v/>
      </c>
      <c r="C27" s="9"/>
      <c r="D27" s="9"/>
      <c r="E27" s="9"/>
      <c r="F27" s="42"/>
      <c r="G27" s="42"/>
      <c r="H27" s="42"/>
      <c r="I27" s="9"/>
      <c r="J27" s="9"/>
      <c r="K27" s="9"/>
      <c r="L27" s="9"/>
      <c r="M27" s="9"/>
      <c r="N27" s="38"/>
      <c r="O27" s="9"/>
      <c r="P27" s="39"/>
      <c r="Q27" s="9"/>
      <c r="R27" s="9"/>
      <c r="S27" s="9"/>
      <c r="T27" s="9"/>
      <c r="U27" s="9"/>
      <c r="V27" s="9"/>
      <c r="W27" s="9"/>
      <c r="X27" s="10" t="str">
        <f aca="false">IF(A27="","",SG_Criteria!$B$6&amp;SG_Criteria!$B$13&amp;"\"&amp;A27&amp;"\")</f>
        <v/>
      </c>
      <c r="Y27" s="10" t="str">
        <f aca="false">IF(A27="","",A27&amp;"_CAD.dwg")</f>
        <v/>
      </c>
      <c r="Z27" s="10" t="str">
        <f aca="false">IF(A27="","",A27&amp;"_DWG.pdf")</f>
        <v/>
      </c>
      <c r="AA27" s="10" t="str">
        <f aca="false">IF(A27="","",IF(W27="Y",A27&amp;"_STAAD.std","n/a"))</f>
        <v/>
      </c>
      <c r="AB27" s="10" t="str">
        <f aca="false">IF(A27="","",A27&amp;"_CALC.xlsx")</f>
        <v/>
      </c>
      <c r="AC27" s="10" t="str">
        <f aca="false">IF(A27="","",A27&amp;"_CALC.pdf")</f>
        <v/>
      </c>
      <c r="AD27" s="9"/>
      <c r="AE27" s="9"/>
      <c r="AF27" s="39"/>
      <c r="AG27" s="39"/>
      <c r="AH27" s="39"/>
      <c r="AI27" s="39"/>
      <c r="AJ27" s="39"/>
      <c r="AK27" s="12" t="str">
        <f aca="false">IF(A27="","",IF(COUNTIF(Rebar_Schedule!$A$5:$A$2004,A27)=0,"",ROUND(SUMIF(Rebar_Schedule!$A$5:$A$2004,A27,Rebar_Schedule!$K$5:$K$2004),1)))</f>
        <v/>
      </c>
      <c r="AL27" s="33" t="str">
        <f aca="false">IF(A27="","",IF(AK27="","No rebar schedule yet",IF(ABS(AK27-N(AG27))/MAX(N(AG27),1)&gt;SG_Criteria!$B$55,"NOTE: register rebar differs from schedule by "&amp;TEXT(ABS(AK27-N(AG27))/MAX(N(AG27),1),"0%"),"OK")))</f>
        <v/>
      </c>
      <c r="AM27" s="33" t="str">
        <f aca="false">IF(D27="","","OK")</f>
        <v/>
      </c>
      <c r="AN27" s="9"/>
      <c r="AO27" s="9"/>
      <c r="AP27" s="9"/>
      <c r="AQ27" s="10" t="str">
        <f aca="false">IF(AP27="","",IFERROR(VLOOKUP(AP27,Projects!$A$5:$D$504,2,0),"Ref not in Projects"))</f>
        <v/>
      </c>
      <c r="AR27" s="10" t="str">
        <f aca="false">IF(AP27="","",IFERROR(VLOOKUP(AP27,Projects!$A$5:$D$504,4,0),"Ref not in Projects"))</f>
        <v/>
      </c>
      <c r="AS27" s="9"/>
      <c r="AT27" s="9"/>
      <c r="AU27" s="9"/>
      <c r="AV27" s="40"/>
      <c r="AW27" s="9"/>
      <c r="AX27" s="40"/>
      <c r="AY27" s="9"/>
      <c r="AZ27" s="40"/>
      <c r="BA27" s="9"/>
      <c r="BB27" s="9"/>
      <c r="BC27" s="9"/>
      <c r="BD27" s="40"/>
      <c r="BE27" s="40"/>
      <c r="BF27" s="36" t="str">
        <f aca="false">IF(BE27="","",EDATE(BE27,SG_Criteria!$B$54*12))</f>
        <v/>
      </c>
      <c r="BG27" s="33" t="str">
        <f aca="true">IF(A27="","",IF(BE27="","NOTE: not reviewed yet",IF(TODAY()&gt;BF27,"NOTE: review overdue","OK")))</f>
        <v/>
      </c>
      <c r="BH27" s="37" t="str">
        <f aca="false">IF(A27="","",ROUND((IF(LEN(D27)&gt;0,1,0)+IF(LEN(E27)&gt;0,1,0)+IF(LEN(I27)&gt;0,1,0)+IF(LEN(K27)&gt;0,1,0)+IF(LEN(Q27)&gt;0,1,0)+IF(LEN(S27)&gt;0,1,0)+IF(LEN(T27)&gt;0,1,0)+IF(LEN(U27)&gt;0,1,0)+IF(LEN(V27)&gt;0,1,0)+IF(LEN(AE27)&gt;0,1,0)+IF(LEN(AP27)&gt;0,1,0)+IF(LEN(BC27)&gt;0,1,0))/12,2))</f>
        <v/>
      </c>
      <c r="BI27" s="10" t="str">
        <f aca="false">IF(D27="","",IF(AND(T27="Approved",ISERROR(SEARCH("FAIL",AM27))),"Y","N"))</f>
        <v/>
      </c>
    </row>
    <row r="28" customFormat="false" ht="15" hidden="false" customHeight="false" outlineLevel="0" collapsed="false">
      <c r="A28" s="10" t="str">
        <f aca="false">IF(D28="","",IFERROR(VLOOKUP(D28,Lists!$BI$4:$BJ$20,2,0),"??")&amp;"-"&amp;UPPER(SUBSTITUTE(E28," ",""))&amp;IF(F28&lt;&gt;"","-SP"&amp;TEXT(F28*1000,"0"),"")&amp;IF(G28&lt;&gt;"","-H"&amp;TEXT(G28*1000,"0"),"")&amp;"-"&amp;S28)</f>
        <v/>
      </c>
      <c r="B28" s="10" t="str">
        <f aca="false">IF(D28="","",D28&amp;" - "&amp;E28&amp;IF(F28&lt;&gt;"",", span "&amp;F28&amp;" m","")&amp;IF(G28&lt;&gt;"",", H "&amp;G28&amp;" m","")&amp;IF(H28&lt;&gt;"",", W "&amp;H28&amp;" m",""))</f>
        <v/>
      </c>
      <c r="C28" s="9"/>
      <c r="D28" s="9"/>
      <c r="E28" s="9"/>
      <c r="F28" s="42"/>
      <c r="G28" s="42"/>
      <c r="H28" s="42"/>
      <c r="I28" s="9"/>
      <c r="J28" s="9"/>
      <c r="K28" s="9"/>
      <c r="L28" s="9"/>
      <c r="M28" s="9"/>
      <c r="N28" s="38"/>
      <c r="O28" s="9"/>
      <c r="P28" s="39"/>
      <c r="Q28" s="9"/>
      <c r="R28" s="9"/>
      <c r="S28" s="9"/>
      <c r="T28" s="9"/>
      <c r="U28" s="9"/>
      <c r="V28" s="9"/>
      <c r="W28" s="9"/>
      <c r="X28" s="10" t="str">
        <f aca="false">IF(A28="","",SG_Criteria!$B$6&amp;SG_Criteria!$B$13&amp;"\"&amp;A28&amp;"\")</f>
        <v/>
      </c>
      <c r="Y28" s="10" t="str">
        <f aca="false">IF(A28="","",A28&amp;"_CAD.dwg")</f>
        <v/>
      </c>
      <c r="Z28" s="10" t="str">
        <f aca="false">IF(A28="","",A28&amp;"_DWG.pdf")</f>
        <v/>
      </c>
      <c r="AA28" s="10" t="str">
        <f aca="false">IF(A28="","",IF(W28="Y",A28&amp;"_STAAD.std","n/a"))</f>
        <v/>
      </c>
      <c r="AB28" s="10" t="str">
        <f aca="false">IF(A28="","",A28&amp;"_CALC.xlsx")</f>
        <v/>
      </c>
      <c r="AC28" s="10" t="str">
        <f aca="false">IF(A28="","",A28&amp;"_CALC.pdf")</f>
        <v/>
      </c>
      <c r="AD28" s="9"/>
      <c r="AE28" s="9"/>
      <c r="AF28" s="39"/>
      <c r="AG28" s="39"/>
      <c r="AH28" s="39"/>
      <c r="AI28" s="39"/>
      <c r="AJ28" s="39"/>
      <c r="AK28" s="12" t="str">
        <f aca="false">IF(A28="","",IF(COUNTIF(Rebar_Schedule!$A$5:$A$2004,A28)=0,"",ROUND(SUMIF(Rebar_Schedule!$A$5:$A$2004,A28,Rebar_Schedule!$K$5:$K$2004),1)))</f>
        <v/>
      </c>
      <c r="AL28" s="33" t="str">
        <f aca="false">IF(A28="","",IF(AK28="","No rebar schedule yet",IF(ABS(AK28-N(AG28))/MAX(N(AG28),1)&gt;SG_Criteria!$B$55,"NOTE: register rebar differs from schedule by "&amp;TEXT(ABS(AK28-N(AG28))/MAX(N(AG28),1),"0%"),"OK")))</f>
        <v/>
      </c>
      <c r="AM28" s="33" t="str">
        <f aca="false">IF(D28="","","OK")</f>
        <v/>
      </c>
      <c r="AN28" s="9"/>
      <c r="AO28" s="9"/>
      <c r="AP28" s="9"/>
      <c r="AQ28" s="10" t="str">
        <f aca="false">IF(AP28="","",IFERROR(VLOOKUP(AP28,Projects!$A$5:$D$504,2,0),"Ref not in Projects"))</f>
        <v/>
      </c>
      <c r="AR28" s="10" t="str">
        <f aca="false">IF(AP28="","",IFERROR(VLOOKUP(AP28,Projects!$A$5:$D$504,4,0),"Ref not in Projects"))</f>
        <v/>
      </c>
      <c r="AS28" s="9"/>
      <c r="AT28" s="9"/>
      <c r="AU28" s="9"/>
      <c r="AV28" s="40"/>
      <c r="AW28" s="9"/>
      <c r="AX28" s="40"/>
      <c r="AY28" s="9"/>
      <c r="AZ28" s="40"/>
      <c r="BA28" s="9"/>
      <c r="BB28" s="9"/>
      <c r="BC28" s="9"/>
      <c r="BD28" s="40"/>
      <c r="BE28" s="40"/>
      <c r="BF28" s="36" t="str">
        <f aca="false">IF(BE28="","",EDATE(BE28,SG_Criteria!$B$54*12))</f>
        <v/>
      </c>
      <c r="BG28" s="33" t="str">
        <f aca="true">IF(A28="","",IF(BE28="","NOTE: not reviewed yet",IF(TODAY()&gt;BF28,"NOTE: review overdue","OK")))</f>
        <v/>
      </c>
      <c r="BH28" s="37" t="str">
        <f aca="false">IF(A28="","",ROUND((IF(LEN(D28)&gt;0,1,0)+IF(LEN(E28)&gt;0,1,0)+IF(LEN(I28)&gt;0,1,0)+IF(LEN(K28)&gt;0,1,0)+IF(LEN(Q28)&gt;0,1,0)+IF(LEN(S28)&gt;0,1,0)+IF(LEN(T28)&gt;0,1,0)+IF(LEN(U28)&gt;0,1,0)+IF(LEN(V28)&gt;0,1,0)+IF(LEN(AE28)&gt;0,1,0)+IF(LEN(AP28)&gt;0,1,0)+IF(LEN(BC28)&gt;0,1,0))/12,2))</f>
        <v/>
      </c>
      <c r="BI28" s="10" t="str">
        <f aca="false">IF(D28="","",IF(AND(T28="Approved",ISERROR(SEARCH("FAIL",AM28))),"Y","N"))</f>
        <v/>
      </c>
    </row>
    <row r="29" customFormat="false" ht="15" hidden="false" customHeight="false" outlineLevel="0" collapsed="false">
      <c r="A29" s="10" t="str">
        <f aca="false">IF(D29="","",IFERROR(VLOOKUP(D29,Lists!$BI$4:$BJ$20,2,0),"??")&amp;"-"&amp;UPPER(SUBSTITUTE(E29," ",""))&amp;IF(F29&lt;&gt;"","-SP"&amp;TEXT(F29*1000,"0"),"")&amp;IF(G29&lt;&gt;"","-H"&amp;TEXT(G29*1000,"0"),"")&amp;"-"&amp;S29)</f>
        <v/>
      </c>
      <c r="B29" s="10" t="str">
        <f aca="false">IF(D29="","",D29&amp;" - "&amp;E29&amp;IF(F29&lt;&gt;"",", span "&amp;F29&amp;" m","")&amp;IF(G29&lt;&gt;"",", H "&amp;G29&amp;" m","")&amp;IF(H29&lt;&gt;"",", W "&amp;H29&amp;" m",""))</f>
        <v/>
      </c>
      <c r="C29" s="9"/>
      <c r="D29" s="9"/>
      <c r="E29" s="9"/>
      <c r="F29" s="42"/>
      <c r="G29" s="42"/>
      <c r="H29" s="42"/>
      <c r="I29" s="9"/>
      <c r="J29" s="9"/>
      <c r="K29" s="9"/>
      <c r="L29" s="9"/>
      <c r="M29" s="9"/>
      <c r="N29" s="38"/>
      <c r="O29" s="9"/>
      <c r="P29" s="39"/>
      <c r="Q29" s="9"/>
      <c r="R29" s="9"/>
      <c r="S29" s="9"/>
      <c r="T29" s="9"/>
      <c r="U29" s="9"/>
      <c r="V29" s="9"/>
      <c r="W29" s="9"/>
      <c r="X29" s="10" t="str">
        <f aca="false">IF(A29="","",SG_Criteria!$B$6&amp;SG_Criteria!$B$13&amp;"\"&amp;A29&amp;"\")</f>
        <v/>
      </c>
      <c r="Y29" s="10" t="str">
        <f aca="false">IF(A29="","",A29&amp;"_CAD.dwg")</f>
        <v/>
      </c>
      <c r="Z29" s="10" t="str">
        <f aca="false">IF(A29="","",A29&amp;"_DWG.pdf")</f>
        <v/>
      </c>
      <c r="AA29" s="10" t="str">
        <f aca="false">IF(A29="","",IF(W29="Y",A29&amp;"_STAAD.std","n/a"))</f>
        <v/>
      </c>
      <c r="AB29" s="10" t="str">
        <f aca="false">IF(A29="","",A29&amp;"_CALC.xlsx")</f>
        <v/>
      </c>
      <c r="AC29" s="10" t="str">
        <f aca="false">IF(A29="","",A29&amp;"_CALC.pdf")</f>
        <v/>
      </c>
      <c r="AD29" s="9"/>
      <c r="AE29" s="9"/>
      <c r="AF29" s="39"/>
      <c r="AG29" s="39"/>
      <c r="AH29" s="39"/>
      <c r="AI29" s="39"/>
      <c r="AJ29" s="39"/>
      <c r="AK29" s="12" t="str">
        <f aca="false">IF(A29="","",IF(COUNTIF(Rebar_Schedule!$A$5:$A$2004,A29)=0,"",ROUND(SUMIF(Rebar_Schedule!$A$5:$A$2004,A29,Rebar_Schedule!$K$5:$K$2004),1)))</f>
        <v/>
      </c>
      <c r="AL29" s="33" t="str">
        <f aca="false">IF(A29="","",IF(AK29="","No rebar schedule yet",IF(ABS(AK29-N(AG29))/MAX(N(AG29),1)&gt;SG_Criteria!$B$55,"NOTE: register rebar differs from schedule by "&amp;TEXT(ABS(AK29-N(AG29))/MAX(N(AG29),1),"0%"),"OK")))</f>
        <v/>
      </c>
      <c r="AM29" s="33" t="str">
        <f aca="false">IF(D29="","","OK")</f>
        <v/>
      </c>
      <c r="AN29" s="9"/>
      <c r="AO29" s="9"/>
      <c r="AP29" s="9"/>
      <c r="AQ29" s="10" t="str">
        <f aca="false">IF(AP29="","",IFERROR(VLOOKUP(AP29,Projects!$A$5:$D$504,2,0),"Ref not in Projects"))</f>
        <v/>
      </c>
      <c r="AR29" s="10" t="str">
        <f aca="false">IF(AP29="","",IFERROR(VLOOKUP(AP29,Projects!$A$5:$D$504,4,0),"Ref not in Projects"))</f>
        <v/>
      </c>
      <c r="AS29" s="9"/>
      <c r="AT29" s="9"/>
      <c r="AU29" s="9"/>
      <c r="AV29" s="40"/>
      <c r="AW29" s="9"/>
      <c r="AX29" s="40"/>
      <c r="AY29" s="9"/>
      <c r="AZ29" s="40"/>
      <c r="BA29" s="9"/>
      <c r="BB29" s="9"/>
      <c r="BC29" s="9"/>
      <c r="BD29" s="40"/>
      <c r="BE29" s="40"/>
      <c r="BF29" s="36" t="str">
        <f aca="false">IF(BE29="","",EDATE(BE29,SG_Criteria!$B$54*12))</f>
        <v/>
      </c>
      <c r="BG29" s="33" t="str">
        <f aca="true">IF(A29="","",IF(BE29="","NOTE: not reviewed yet",IF(TODAY()&gt;BF29,"NOTE: review overdue","OK")))</f>
        <v/>
      </c>
      <c r="BH29" s="37" t="str">
        <f aca="false">IF(A29="","",ROUND((IF(LEN(D29)&gt;0,1,0)+IF(LEN(E29)&gt;0,1,0)+IF(LEN(I29)&gt;0,1,0)+IF(LEN(K29)&gt;0,1,0)+IF(LEN(Q29)&gt;0,1,0)+IF(LEN(S29)&gt;0,1,0)+IF(LEN(T29)&gt;0,1,0)+IF(LEN(U29)&gt;0,1,0)+IF(LEN(V29)&gt;0,1,0)+IF(LEN(AE29)&gt;0,1,0)+IF(LEN(AP29)&gt;0,1,0)+IF(LEN(BC29)&gt;0,1,0))/12,2))</f>
        <v/>
      </c>
      <c r="BI29" s="10" t="str">
        <f aca="false">IF(D29="","",IF(AND(T29="Approved",ISERROR(SEARCH("FAIL",AM29))),"Y","N"))</f>
        <v/>
      </c>
    </row>
    <row r="30" customFormat="false" ht="15" hidden="false" customHeight="false" outlineLevel="0" collapsed="false">
      <c r="A30" s="10" t="str">
        <f aca="false">IF(D30="","",IFERROR(VLOOKUP(D30,Lists!$BI$4:$BJ$20,2,0),"??")&amp;"-"&amp;UPPER(SUBSTITUTE(E30," ",""))&amp;IF(F30&lt;&gt;"","-SP"&amp;TEXT(F30*1000,"0"),"")&amp;IF(G30&lt;&gt;"","-H"&amp;TEXT(G30*1000,"0"),"")&amp;"-"&amp;S30)</f>
        <v/>
      </c>
      <c r="B30" s="10" t="str">
        <f aca="false">IF(D30="","",D30&amp;" - "&amp;E30&amp;IF(F30&lt;&gt;"",", span "&amp;F30&amp;" m","")&amp;IF(G30&lt;&gt;"",", H "&amp;G30&amp;" m","")&amp;IF(H30&lt;&gt;"",", W "&amp;H30&amp;" m",""))</f>
        <v/>
      </c>
      <c r="C30" s="9"/>
      <c r="D30" s="9"/>
      <c r="E30" s="9"/>
      <c r="F30" s="42"/>
      <c r="G30" s="42"/>
      <c r="H30" s="42"/>
      <c r="I30" s="9"/>
      <c r="J30" s="9"/>
      <c r="K30" s="9"/>
      <c r="L30" s="9"/>
      <c r="M30" s="9"/>
      <c r="N30" s="38"/>
      <c r="O30" s="9"/>
      <c r="P30" s="39"/>
      <c r="Q30" s="9"/>
      <c r="R30" s="9"/>
      <c r="S30" s="9"/>
      <c r="T30" s="9"/>
      <c r="U30" s="9"/>
      <c r="V30" s="9"/>
      <c r="W30" s="9"/>
      <c r="X30" s="10" t="str">
        <f aca="false">IF(A30="","",SG_Criteria!$B$6&amp;SG_Criteria!$B$13&amp;"\"&amp;A30&amp;"\")</f>
        <v/>
      </c>
      <c r="Y30" s="10" t="str">
        <f aca="false">IF(A30="","",A30&amp;"_CAD.dwg")</f>
        <v/>
      </c>
      <c r="Z30" s="10" t="str">
        <f aca="false">IF(A30="","",A30&amp;"_DWG.pdf")</f>
        <v/>
      </c>
      <c r="AA30" s="10" t="str">
        <f aca="false">IF(A30="","",IF(W30="Y",A30&amp;"_STAAD.std","n/a"))</f>
        <v/>
      </c>
      <c r="AB30" s="10" t="str">
        <f aca="false">IF(A30="","",A30&amp;"_CALC.xlsx")</f>
        <v/>
      </c>
      <c r="AC30" s="10" t="str">
        <f aca="false">IF(A30="","",A30&amp;"_CALC.pdf")</f>
        <v/>
      </c>
      <c r="AD30" s="9"/>
      <c r="AE30" s="9"/>
      <c r="AF30" s="39"/>
      <c r="AG30" s="39"/>
      <c r="AH30" s="39"/>
      <c r="AI30" s="39"/>
      <c r="AJ30" s="39"/>
      <c r="AK30" s="12" t="str">
        <f aca="false">IF(A30="","",IF(COUNTIF(Rebar_Schedule!$A$5:$A$2004,A30)=0,"",ROUND(SUMIF(Rebar_Schedule!$A$5:$A$2004,A30,Rebar_Schedule!$K$5:$K$2004),1)))</f>
        <v/>
      </c>
      <c r="AL30" s="33" t="str">
        <f aca="false">IF(A30="","",IF(AK30="","No rebar schedule yet",IF(ABS(AK30-N(AG30))/MAX(N(AG30),1)&gt;SG_Criteria!$B$55,"NOTE: register rebar differs from schedule by "&amp;TEXT(ABS(AK30-N(AG30))/MAX(N(AG30),1),"0%"),"OK")))</f>
        <v/>
      </c>
      <c r="AM30" s="33" t="str">
        <f aca="false">IF(D30="","","OK")</f>
        <v/>
      </c>
      <c r="AN30" s="9"/>
      <c r="AO30" s="9"/>
      <c r="AP30" s="9"/>
      <c r="AQ30" s="10" t="str">
        <f aca="false">IF(AP30="","",IFERROR(VLOOKUP(AP30,Projects!$A$5:$D$504,2,0),"Ref not in Projects"))</f>
        <v/>
      </c>
      <c r="AR30" s="10" t="str">
        <f aca="false">IF(AP30="","",IFERROR(VLOOKUP(AP30,Projects!$A$5:$D$504,4,0),"Ref not in Projects"))</f>
        <v/>
      </c>
      <c r="AS30" s="9"/>
      <c r="AT30" s="9"/>
      <c r="AU30" s="9"/>
      <c r="AV30" s="40"/>
      <c r="AW30" s="9"/>
      <c r="AX30" s="40"/>
      <c r="AY30" s="9"/>
      <c r="AZ30" s="40"/>
      <c r="BA30" s="9"/>
      <c r="BB30" s="9"/>
      <c r="BC30" s="9"/>
      <c r="BD30" s="40"/>
      <c r="BE30" s="40"/>
      <c r="BF30" s="36" t="str">
        <f aca="false">IF(BE30="","",EDATE(BE30,SG_Criteria!$B$54*12))</f>
        <v/>
      </c>
      <c r="BG30" s="33" t="str">
        <f aca="true">IF(A30="","",IF(BE30="","NOTE: not reviewed yet",IF(TODAY()&gt;BF30,"NOTE: review overdue","OK")))</f>
        <v/>
      </c>
      <c r="BH30" s="37" t="str">
        <f aca="false">IF(A30="","",ROUND((IF(LEN(D30)&gt;0,1,0)+IF(LEN(E30)&gt;0,1,0)+IF(LEN(I30)&gt;0,1,0)+IF(LEN(K30)&gt;0,1,0)+IF(LEN(Q30)&gt;0,1,0)+IF(LEN(S30)&gt;0,1,0)+IF(LEN(T30)&gt;0,1,0)+IF(LEN(U30)&gt;0,1,0)+IF(LEN(V30)&gt;0,1,0)+IF(LEN(AE30)&gt;0,1,0)+IF(LEN(AP30)&gt;0,1,0)+IF(LEN(BC30)&gt;0,1,0))/12,2))</f>
        <v/>
      </c>
      <c r="BI30" s="10" t="str">
        <f aca="false">IF(D30="","",IF(AND(T30="Approved",ISERROR(SEARCH("FAIL",AM30))),"Y","N"))</f>
        <v/>
      </c>
    </row>
    <row r="31" customFormat="false" ht="15" hidden="false" customHeight="false" outlineLevel="0" collapsed="false">
      <c r="A31" s="10" t="str">
        <f aca="false">IF(D31="","",IFERROR(VLOOKUP(D31,Lists!$BI$4:$BJ$20,2,0),"??")&amp;"-"&amp;UPPER(SUBSTITUTE(E31," ",""))&amp;IF(F31&lt;&gt;"","-SP"&amp;TEXT(F31*1000,"0"),"")&amp;IF(G31&lt;&gt;"","-H"&amp;TEXT(G31*1000,"0"),"")&amp;"-"&amp;S31)</f>
        <v/>
      </c>
      <c r="B31" s="10" t="str">
        <f aca="false">IF(D31="","",D31&amp;" - "&amp;E31&amp;IF(F31&lt;&gt;"",", span "&amp;F31&amp;" m","")&amp;IF(G31&lt;&gt;"",", H "&amp;G31&amp;" m","")&amp;IF(H31&lt;&gt;"",", W "&amp;H31&amp;" m",""))</f>
        <v/>
      </c>
      <c r="C31" s="9"/>
      <c r="D31" s="9"/>
      <c r="E31" s="9"/>
      <c r="F31" s="42"/>
      <c r="G31" s="42"/>
      <c r="H31" s="42"/>
      <c r="I31" s="9"/>
      <c r="J31" s="9"/>
      <c r="K31" s="9"/>
      <c r="L31" s="9"/>
      <c r="M31" s="9"/>
      <c r="N31" s="38"/>
      <c r="O31" s="9"/>
      <c r="P31" s="39"/>
      <c r="Q31" s="9"/>
      <c r="R31" s="9"/>
      <c r="S31" s="9"/>
      <c r="T31" s="9"/>
      <c r="U31" s="9"/>
      <c r="V31" s="9"/>
      <c r="W31" s="9"/>
      <c r="X31" s="10" t="str">
        <f aca="false">IF(A31="","",SG_Criteria!$B$6&amp;SG_Criteria!$B$13&amp;"\"&amp;A31&amp;"\")</f>
        <v/>
      </c>
      <c r="Y31" s="10" t="str">
        <f aca="false">IF(A31="","",A31&amp;"_CAD.dwg")</f>
        <v/>
      </c>
      <c r="Z31" s="10" t="str">
        <f aca="false">IF(A31="","",A31&amp;"_DWG.pdf")</f>
        <v/>
      </c>
      <c r="AA31" s="10" t="str">
        <f aca="false">IF(A31="","",IF(W31="Y",A31&amp;"_STAAD.std","n/a"))</f>
        <v/>
      </c>
      <c r="AB31" s="10" t="str">
        <f aca="false">IF(A31="","",A31&amp;"_CALC.xlsx")</f>
        <v/>
      </c>
      <c r="AC31" s="10" t="str">
        <f aca="false">IF(A31="","",A31&amp;"_CALC.pdf")</f>
        <v/>
      </c>
      <c r="AD31" s="9"/>
      <c r="AE31" s="9"/>
      <c r="AF31" s="39"/>
      <c r="AG31" s="39"/>
      <c r="AH31" s="39"/>
      <c r="AI31" s="39"/>
      <c r="AJ31" s="39"/>
      <c r="AK31" s="12" t="str">
        <f aca="false">IF(A31="","",IF(COUNTIF(Rebar_Schedule!$A$5:$A$2004,A31)=0,"",ROUND(SUMIF(Rebar_Schedule!$A$5:$A$2004,A31,Rebar_Schedule!$K$5:$K$2004),1)))</f>
        <v/>
      </c>
      <c r="AL31" s="33" t="str">
        <f aca="false">IF(A31="","",IF(AK31="","No rebar schedule yet",IF(ABS(AK31-N(AG31))/MAX(N(AG31),1)&gt;SG_Criteria!$B$55,"NOTE: register rebar differs from schedule by "&amp;TEXT(ABS(AK31-N(AG31))/MAX(N(AG31),1),"0%"),"OK")))</f>
        <v/>
      </c>
      <c r="AM31" s="33" t="str">
        <f aca="false">IF(D31="","","OK")</f>
        <v/>
      </c>
      <c r="AN31" s="9"/>
      <c r="AO31" s="9"/>
      <c r="AP31" s="9"/>
      <c r="AQ31" s="10" t="str">
        <f aca="false">IF(AP31="","",IFERROR(VLOOKUP(AP31,Projects!$A$5:$D$504,2,0),"Ref not in Projects"))</f>
        <v/>
      </c>
      <c r="AR31" s="10" t="str">
        <f aca="false">IF(AP31="","",IFERROR(VLOOKUP(AP31,Projects!$A$5:$D$504,4,0),"Ref not in Projects"))</f>
        <v/>
      </c>
      <c r="AS31" s="9"/>
      <c r="AT31" s="9"/>
      <c r="AU31" s="9"/>
      <c r="AV31" s="40"/>
      <c r="AW31" s="9"/>
      <c r="AX31" s="40"/>
      <c r="AY31" s="9"/>
      <c r="AZ31" s="40"/>
      <c r="BA31" s="9"/>
      <c r="BB31" s="9"/>
      <c r="BC31" s="9"/>
      <c r="BD31" s="40"/>
      <c r="BE31" s="40"/>
      <c r="BF31" s="36" t="str">
        <f aca="false">IF(BE31="","",EDATE(BE31,SG_Criteria!$B$54*12))</f>
        <v/>
      </c>
      <c r="BG31" s="33" t="str">
        <f aca="true">IF(A31="","",IF(BE31="","NOTE: not reviewed yet",IF(TODAY()&gt;BF31,"NOTE: review overdue","OK")))</f>
        <v/>
      </c>
      <c r="BH31" s="37" t="str">
        <f aca="false">IF(A31="","",ROUND((IF(LEN(D31)&gt;0,1,0)+IF(LEN(E31)&gt;0,1,0)+IF(LEN(I31)&gt;0,1,0)+IF(LEN(K31)&gt;0,1,0)+IF(LEN(Q31)&gt;0,1,0)+IF(LEN(S31)&gt;0,1,0)+IF(LEN(T31)&gt;0,1,0)+IF(LEN(U31)&gt;0,1,0)+IF(LEN(V31)&gt;0,1,0)+IF(LEN(AE31)&gt;0,1,0)+IF(LEN(AP31)&gt;0,1,0)+IF(LEN(BC31)&gt;0,1,0))/12,2))</f>
        <v/>
      </c>
      <c r="BI31" s="10" t="str">
        <f aca="false">IF(D31="","",IF(AND(T31="Approved",ISERROR(SEARCH("FAIL",AM31))),"Y","N"))</f>
        <v/>
      </c>
    </row>
    <row r="32" customFormat="false" ht="15" hidden="false" customHeight="false" outlineLevel="0" collapsed="false">
      <c r="A32" s="10" t="str">
        <f aca="false">IF(D32="","",IFERROR(VLOOKUP(D32,Lists!$BI$4:$BJ$20,2,0),"??")&amp;"-"&amp;UPPER(SUBSTITUTE(E32," ",""))&amp;IF(F32&lt;&gt;"","-SP"&amp;TEXT(F32*1000,"0"),"")&amp;IF(G32&lt;&gt;"","-H"&amp;TEXT(G32*1000,"0"),"")&amp;"-"&amp;S32)</f>
        <v/>
      </c>
      <c r="B32" s="10" t="str">
        <f aca="false">IF(D32="","",D32&amp;" - "&amp;E32&amp;IF(F32&lt;&gt;"",", span "&amp;F32&amp;" m","")&amp;IF(G32&lt;&gt;"",", H "&amp;G32&amp;" m","")&amp;IF(H32&lt;&gt;"",", W "&amp;H32&amp;" m",""))</f>
        <v/>
      </c>
      <c r="C32" s="9"/>
      <c r="D32" s="9"/>
      <c r="E32" s="9"/>
      <c r="F32" s="42"/>
      <c r="G32" s="42"/>
      <c r="H32" s="42"/>
      <c r="I32" s="9"/>
      <c r="J32" s="9"/>
      <c r="K32" s="9"/>
      <c r="L32" s="9"/>
      <c r="M32" s="9"/>
      <c r="N32" s="38"/>
      <c r="O32" s="9"/>
      <c r="P32" s="39"/>
      <c r="Q32" s="9"/>
      <c r="R32" s="9"/>
      <c r="S32" s="9"/>
      <c r="T32" s="9"/>
      <c r="U32" s="9"/>
      <c r="V32" s="9"/>
      <c r="W32" s="9"/>
      <c r="X32" s="10" t="str">
        <f aca="false">IF(A32="","",SG_Criteria!$B$6&amp;SG_Criteria!$B$13&amp;"\"&amp;A32&amp;"\")</f>
        <v/>
      </c>
      <c r="Y32" s="10" t="str">
        <f aca="false">IF(A32="","",A32&amp;"_CAD.dwg")</f>
        <v/>
      </c>
      <c r="Z32" s="10" t="str">
        <f aca="false">IF(A32="","",A32&amp;"_DWG.pdf")</f>
        <v/>
      </c>
      <c r="AA32" s="10" t="str">
        <f aca="false">IF(A32="","",IF(W32="Y",A32&amp;"_STAAD.std","n/a"))</f>
        <v/>
      </c>
      <c r="AB32" s="10" t="str">
        <f aca="false">IF(A32="","",A32&amp;"_CALC.xlsx")</f>
        <v/>
      </c>
      <c r="AC32" s="10" t="str">
        <f aca="false">IF(A32="","",A32&amp;"_CALC.pdf")</f>
        <v/>
      </c>
      <c r="AD32" s="9"/>
      <c r="AE32" s="9"/>
      <c r="AF32" s="39"/>
      <c r="AG32" s="39"/>
      <c r="AH32" s="39"/>
      <c r="AI32" s="39"/>
      <c r="AJ32" s="39"/>
      <c r="AK32" s="12" t="str">
        <f aca="false">IF(A32="","",IF(COUNTIF(Rebar_Schedule!$A$5:$A$2004,A32)=0,"",ROUND(SUMIF(Rebar_Schedule!$A$5:$A$2004,A32,Rebar_Schedule!$K$5:$K$2004),1)))</f>
        <v/>
      </c>
      <c r="AL32" s="33" t="str">
        <f aca="false">IF(A32="","",IF(AK32="","No rebar schedule yet",IF(ABS(AK32-N(AG32))/MAX(N(AG32),1)&gt;SG_Criteria!$B$55,"NOTE: register rebar differs from schedule by "&amp;TEXT(ABS(AK32-N(AG32))/MAX(N(AG32),1),"0%"),"OK")))</f>
        <v/>
      </c>
      <c r="AM32" s="33" t="str">
        <f aca="false">IF(D32="","","OK")</f>
        <v/>
      </c>
      <c r="AN32" s="9"/>
      <c r="AO32" s="9"/>
      <c r="AP32" s="9"/>
      <c r="AQ32" s="10" t="str">
        <f aca="false">IF(AP32="","",IFERROR(VLOOKUP(AP32,Projects!$A$5:$D$504,2,0),"Ref not in Projects"))</f>
        <v/>
      </c>
      <c r="AR32" s="10" t="str">
        <f aca="false">IF(AP32="","",IFERROR(VLOOKUP(AP32,Projects!$A$5:$D$504,4,0),"Ref not in Projects"))</f>
        <v/>
      </c>
      <c r="AS32" s="9"/>
      <c r="AT32" s="9"/>
      <c r="AU32" s="9"/>
      <c r="AV32" s="40"/>
      <c r="AW32" s="9"/>
      <c r="AX32" s="40"/>
      <c r="AY32" s="9"/>
      <c r="AZ32" s="40"/>
      <c r="BA32" s="9"/>
      <c r="BB32" s="9"/>
      <c r="BC32" s="9"/>
      <c r="BD32" s="40"/>
      <c r="BE32" s="40"/>
      <c r="BF32" s="36" t="str">
        <f aca="false">IF(BE32="","",EDATE(BE32,SG_Criteria!$B$54*12))</f>
        <v/>
      </c>
      <c r="BG32" s="33" t="str">
        <f aca="true">IF(A32="","",IF(BE32="","NOTE: not reviewed yet",IF(TODAY()&gt;BF32,"NOTE: review overdue","OK")))</f>
        <v/>
      </c>
      <c r="BH32" s="37" t="str">
        <f aca="false">IF(A32="","",ROUND((IF(LEN(D32)&gt;0,1,0)+IF(LEN(E32)&gt;0,1,0)+IF(LEN(I32)&gt;0,1,0)+IF(LEN(K32)&gt;0,1,0)+IF(LEN(Q32)&gt;0,1,0)+IF(LEN(S32)&gt;0,1,0)+IF(LEN(T32)&gt;0,1,0)+IF(LEN(U32)&gt;0,1,0)+IF(LEN(V32)&gt;0,1,0)+IF(LEN(AE32)&gt;0,1,0)+IF(LEN(AP32)&gt;0,1,0)+IF(LEN(BC32)&gt;0,1,0))/12,2))</f>
        <v/>
      </c>
      <c r="BI32" s="10" t="str">
        <f aca="false">IF(D32="","",IF(AND(T32="Approved",ISERROR(SEARCH("FAIL",AM32))),"Y","N"))</f>
        <v/>
      </c>
    </row>
    <row r="33" customFormat="false" ht="15" hidden="false" customHeight="false" outlineLevel="0" collapsed="false">
      <c r="A33" s="10" t="str">
        <f aca="false">IF(D33="","",IFERROR(VLOOKUP(D33,Lists!$BI$4:$BJ$20,2,0),"??")&amp;"-"&amp;UPPER(SUBSTITUTE(E33," ",""))&amp;IF(F33&lt;&gt;"","-SP"&amp;TEXT(F33*1000,"0"),"")&amp;IF(G33&lt;&gt;"","-H"&amp;TEXT(G33*1000,"0"),"")&amp;"-"&amp;S33)</f>
        <v/>
      </c>
      <c r="B33" s="10" t="str">
        <f aca="false">IF(D33="","",D33&amp;" - "&amp;E33&amp;IF(F33&lt;&gt;"",", span "&amp;F33&amp;" m","")&amp;IF(G33&lt;&gt;"",", H "&amp;G33&amp;" m","")&amp;IF(H33&lt;&gt;"",", W "&amp;H33&amp;" m",""))</f>
        <v/>
      </c>
      <c r="C33" s="9"/>
      <c r="D33" s="9"/>
      <c r="E33" s="9"/>
      <c r="F33" s="42"/>
      <c r="G33" s="42"/>
      <c r="H33" s="42"/>
      <c r="I33" s="9"/>
      <c r="J33" s="9"/>
      <c r="K33" s="9"/>
      <c r="L33" s="9"/>
      <c r="M33" s="9"/>
      <c r="N33" s="38"/>
      <c r="O33" s="9"/>
      <c r="P33" s="39"/>
      <c r="Q33" s="9"/>
      <c r="R33" s="9"/>
      <c r="S33" s="9"/>
      <c r="T33" s="9"/>
      <c r="U33" s="9"/>
      <c r="V33" s="9"/>
      <c r="W33" s="9"/>
      <c r="X33" s="10" t="str">
        <f aca="false">IF(A33="","",SG_Criteria!$B$6&amp;SG_Criteria!$B$13&amp;"\"&amp;A33&amp;"\")</f>
        <v/>
      </c>
      <c r="Y33" s="10" t="str">
        <f aca="false">IF(A33="","",A33&amp;"_CAD.dwg")</f>
        <v/>
      </c>
      <c r="Z33" s="10" t="str">
        <f aca="false">IF(A33="","",A33&amp;"_DWG.pdf")</f>
        <v/>
      </c>
      <c r="AA33" s="10" t="str">
        <f aca="false">IF(A33="","",IF(W33="Y",A33&amp;"_STAAD.std","n/a"))</f>
        <v/>
      </c>
      <c r="AB33" s="10" t="str">
        <f aca="false">IF(A33="","",A33&amp;"_CALC.xlsx")</f>
        <v/>
      </c>
      <c r="AC33" s="10" t="str">
        <f aca="false">IF(A33="","",A33&amp;"_CALC.pdf")</f>
        <v/>
      </c>
      <c r="AD33" s="9"/>
      <c r="AE33" s="9"/>
      <c r="AF33" s="39"/>
      <c r="AG33" s="39"/>
      <c r="AH33" s="39"/>
      <c r="AI33" s="39"/>
      <c r="AJ33" s="39"/>
      <c r="AK33" s="12" t="str">
        <f aca="false">IF(A33="","",IF(COUNTIF(Rebar_Schedule!$A$5:$A$2004,A33)=0,"",ROUND(SUMIF(Rebar_Schedule!$A$5:$A$2004,A33,Rebar_Schedule!$K$5:$K$2004),1)))</f>
        <v/>
      </c>
      <c r="AL33" s="33" t="str">
        <f aca="false">IF(A33="","",IF(AK33="","No rebar schedule yet",IF(ABS(AK33-N(AG33))/MAX(N(AG33),1)&gt;SG_Criteria!$B$55,"NOTE: register rebar differs from schedule by "&amp;TEXT(ABS(AK33-N(AG33))/MAX(N(AG33),1),"0%"),"OK")))</f>
        <v/>
      </c>
      <c r="AM33" s="33" t="str">
        <f aca="false">IF(D33="","","OK")</f>
        <v/>
      </c>
      <c r="AN33" s="9"/>
      <c r="AO33" s="9"/>
      <c r="AP33" s="9"/>
      <c r="AQ33" s="10" t="str">
        <f aca="false">IF(AP33="","",IFERROR(VLOOKUP(AP33,Projects!$A$5:$D$504,2,0),"Ref not in Projects"))</f>
        <v/>
      </c>
      <c r="AR33" s="10" t="str">
        <f aca="false">IF(AP33="","",IFERROR(VLOOKUP(AP33,Projects!$A$5:$D$504,4,0),"Ref not in Projects"))</f>
        <v/>
      </c>
      <c r="AS33" s="9"/>
      <c r="AT33" s="9"/>
      <c r="AU33" s="9"/>
      <c r="AV33" s="40"/>
      <c r="AW33" s="9"/>
      <c r="AX33" s="40"/>
      <c r="AY33" s="9"/>
      <c r="AZ33" s="40"/>
      <c r="BA33" s="9"/>
      <c r="BB33" s="9"/>
      <c r="BC33" s="9"/>
      <c r="BD33" s="40"/>
      <c r="BE33" s="40"/>
      <c r="BF33" s="36" t="str">
        <f aca="false">IF(BE33="","",EDATE(BE33,SG_Criteria!$B$54*12))</f>
        <v/>
      </c>
      <c r="BG33" s="33" t="str">
        <f aca="true">IF(A33="","",IF(BE33="","NOTE: not reviewed yet",IF(TODAY()&gt;BF33,"NOTE: review overdue","OK")))</f>
        <v/>
      </c>
      <c r="BH33" s="37" t="str">
        <f aca="false">IF(A33="","",ROUND((IF(LEN(D33)&gt;0,1,0)+IF(LEN(E33)&gt;0,1,0)+IF(LEN(I33)&gt;0,1,0)+IF(LEN(K33)&gt;0,1,0)+IF(LEN(Q33)&gt;0,1,0)+IF(LEN(S33)&gt;0,1,0)+IF(LEN(T33)&gt;0,1,0)+IF(LEN(U33)&gt;0,1,0)+IF(LEN(V33)&gt;0,1,0)+IF(LEN(AE33)&gt;0,1,0)+IF(LEN(AP33)&gt;0,1,0)+IF(LEN(BC33)&gt;0,1,0))/12,2))</f>
        <v/>
      </c>
      <c r="BI33" s="10" t="str">
        <f aca="false">IF(D33="","",IF(AND(T33="Approved",ISERROR(SEARCH("FAIL",AM33))),"Y","N"))</f>
        <v/>
      </c>
    </row>
    <row r="34" customFormat="false" ht="15" hidden="false" customHeight="false" outlineLevel="0" collapsed="false">
      <c r="A34" s="10" t="str">
        <f aca="false">IF(D34="","",IFERROR(VLOOKUP(D34,Lists!$BI$4:$BJ$20,2,0),"??")&amp;"-"&amp;UPPER(SUBSTITUTE(E34," ",""))&amp;IF(F34&lt;&gt;"","-SP"&amp;TEXT(F34*1000,"0"),"")&amp;IF(G34&lt;&gt;"","-H"&amp;TEXT(G34*1000,"0"),"")&amp;"-"&amp;S34)</f>
        <v/>
      </c>
      <c r="B34" s="10" t="str">
        <f aca="false">IF(D34="","",D34&amp;" - "&amp;E34&amp;IF(F34&lt;&gt;"",", span "&amp;F34&amp;" m","")&amp;IF(G34&lt;&gt;"",", H "&amp;G34&amp;" m","")&amp;IF(H34&lt;&gt;"",", W "&amp;H34&amp;" m",""))</f>
        <v/>
      </c>
      <c r="C34" s="9"/>
      <c r="D34" s="9"/>
      <c r="E34" s="9"/>
      <c r="F34" s="42"/>
      <c r="G34" s="42"/>
      <c r="H34" s="42"/>
      <c r="I34" s="9"/>
      <c r="J34" s="9"/>
      <c r="K34" s="9"/>
      <c r="L34" s="9"/>
      <c r="M34" s="9"/>
      <c r="N34" s="38"/>
      <c r="O34" s="9"/>
      <c r="P34" s="39"/>
      <c r="Q34" s="9"/>
      <c r="R34" s="9"/>
      <c r="S34" s="9"/>
      <c r="T34" s="9"/>
      <c r="U34" s="9"/>
      <c r="V34" s="9"/>
      <c r="W34" s="9"/>
      <c r="X34" s="10" t="str">
        <f aca="false">IF(A34="","",SG_Criteria!$B$6&amp;SG_Criteria!$B$13&amp;"\"&amp;A34&amp;"\")</f>
        <v/>
      </c>
      <c r="Y34" s="10" t="str">
        <f aca="false">IF(A34="","",A34&amp;"_CAD.dwg")</f>
        <v/>
      </c>
      <c r="Z34" s="10" t="str">
        <f aca="false">IF(A34="","",A34&amp;"_DWG.pdf")</f>
        <v/>
      </c>
      <c r="AA34" s="10" t="str">
        <f aca="false">IF(A34="","",IF(W34="Y",A34&amp;"_STAAD.std","n/a"))</f>
        <v/>
      </c>
      <c r="AB34" s="10" t="str">
        <f aca="false">IF(A34="","",A34&amp;"_CALC.xlsx")</f>
        <v/>
      </c>
      <c r="AC34" s="10" t="str">
        <f aca="false">IF(A34="","",A34&amp;"_CALC.pdf")</f>
        <v/>
      </c>
      <c r="AD34" s="9"/>
      <c r="AE34" s="9"/>
      <c r="AF34" s="39"/>
      <c r="AG34" s="39"/>
      <c r="AH34" s="39"/>
      <c r="AI34" s="39"/>
      <c r="AJ34" s="39"/>
      <c r="AK34" s="12" t="str">
        <f aca="false">IF(A34="","",IF(COUNTIF(Rebar_Schedule!$A$5:$A$2004,A34)=0,"",ROUND(SUMIF(Rebar_Schedule!$A$5:$A$2004,A34,Rebar_Schedule!$K$5:$K$2004),1)))</f>
        <v/>
      </c>
      <c r="AL34" s="33" t="str">
        <f aca="false">IF(A34="","",IF(AK34="","No rebar schedule yet",IF(ABS(AK34-N(AG34))/MAX(N(AG34),1)&gt;SG_Criteria!$B$55,"NOTE: register rebar differs from schedule by "&amp;TEXT(ABS(AK34-N(AG34))/MAX(N(AG34),1),"0%"),"OK")))</f>
        <v/>
      </c>
      <c r="AM34" s="33" t="str">
        <f aca="false">IF(D34="","","OK")</f>
        <v/>
      </c>
      <c r="AN34" s="9"/>
      <c r="AO34" s="9"/>
      <c r="AP34" s="9"/>
      <c r="AQ34" s="10" t="str">
        <f aca="false">IF(AP34="","",IFERROR(VLOOKUP(AP34,Projects!$A$5:$D$504,2,0),"Ref not in Projects"))</f>
        <v/>
      </c>
      <c r="AR34" s="10" t="str">
        <f aca="false">IF(AP34="","",IFERROR(VLOOKUP(AP34,Projects!$A$5:$D$504,4,0),"Ref not in Projects"))</f>
        <v/>
      </c>
      <c r="AS34" s="9"/>
      <c r="AT34" s="9"/>
      <c r="AU34" s="9"/>
      <c r="AV34" s="40"/>
      <c r="AW34" s="9"/>
      <c r="AX34" s="40"/>
      <c r="AY34" s="9"/>
      <c r="AZ34" s="40"/>
      <c r="BA34" s="9"/>
      <c r="BB34" s="9"/>
      <c r="BC34" s="9"/>
      <c r="BD34" s="40"/>
      <c r="BE34" s="40"/>
      <c r="BF34" s="36" t="str">
        <f aca="false">IF(BE34="","",EDATE(BE34,SG_Criteria!$B$54*12))</f>
        <v/>
      </c>
      <c r="BG34" s="33" t="str">
        <f aca="true">IF(A34="","",IF(BE34="","NOTE: not reviewed yet",IF(TODAY()&gt;BF34,"NOTE: review overdue","OK")))</f>
        <v/>
      </c>
      <c r="BH34" s="37" t="str">
        <f aca="false">IF(A34="","",ROUND((IF(LEN(D34)&gt;0,1,0)+IF(LEN(E34)&gt;0,1,0)+IF(LEN(I34)&gt;0,1,0)+IF(LEN(K34)&gt;0,1,0)+IF(LEN(Q34)&gt;0,1,0)+IF(LEN(S34)&gt;0,1,0)+IF(LEN(T34)&gt;0,1,0)+IF(LEN(U34)&gt;0,1,0)+IF(LEN(V34)&gt;0,1,0)+IF(LEN(AE34)&gt;0,1,0)+IF(LEN(AP34)&gt;0,1,0)+IF(LEN(BC34)&gt;0,1,0))/12,2))</f>
        <v/>
      </c>
      <c r="BI34" s="10" t="str">
        <f aca="false">IF(D34="","",IF(AND(T34="Approved",ISERROR(SEARCH("FAIL",AM34))),"Y","N"))</f>
        <v/>
      </c>
    </row>
    <row r="35" customFormat="false" ht="15" hidden="false" customHeight="false" outlineLevel="0" collapsed="false">
      <c r="A35" s="10" t="str">
        <f aca="false">IF(D35="","",IFERROR(VLOOKUP(D35,Lists!$BI$4:$BJ$20,2,0),"??")&amp;"-"&amp;UPPER(SUBSTITUTE(E35," ",""))&amp;IF(F35&lt;&gt;"","-SP"&amp;TEXT(F35*1000,"0"),"")&amp;IF(G35&lt;&gt;"","-H"&amp;TEXT(G35*1000,"0"),"")&amp;"-"&amp;S35)</f>
        <v/>
      </c>
      <c r="B35" s="10" t="str">
        <f aca="false">IF(D35="","",D35&amp;" - "&amp;E35&amp;IF(F35&lt;&gt;"",", span "&amp;F35&amp;" m","")&amp;IF(G35&lt;&gt;"",", H "&amp;G35&amp;" m","")&amp;IF(H35&lt;&gt;"",", W "&amp;H35&amp;" m",""))</f>
        <v/>
      </c>
      <c r="C35" s="9"/>
      <c r="D35" s="9"/>
      <c r="E35" s="9"/>
      <c r="F35" s="42"/>
      <c r="G35" s="42"/>
      <c r="H35" s="42"/>
      <c r="I35" s="9"/>
      <c r="J35" s="9"/>
      <c r="K35" s="9"/>
      <c r="L35" s="9"/>
      <c r="M35" s="9"/>
      <c r="N35" s="38"/>
      <c r="O35" s="9"/>
      <c r="P35" s="39"/>
      <c r="Q35" s="9"/>
      <c r="R35" s="9"/>
      <c r="S35" s="9"/>
      <c r="T35" s="9"/>
      <c r="U35" s="9"/>
      <c r="V35" s="9"/>
      <c r="W35" s="9"/>
      <c r="X35" s="10" t="str">
        <f aca="false">IF(A35="","",SG_Criteria!$B$6&amp;SG_Criteria!$B$13&amp;"\"&amp;A35&amp;"\")</f>
        <v/>
      </c>
      <c r="Y35" s="10" t="str">
        <f aca="false">IF(A35="","",A35&amp;"_CAD.dwg")</f>
        <v/>
      </c>
      <c r="Z35" s="10" t="str">
        <f aca="false">IF(A35="","",A35&amp;"_DWG.pdf")</f>
        <v/>
      </c>
      <c r="AA35" s="10" t="str">
        <f aca="false">IF(A35="","",IF(W35="Y",A35&amp;"_STAAD.std","n/a"))</f>
        <v/>
      </c>
      <c r="AB35" s="10" t="str">
        <f aca="false">IF(A35="","",A35&amp;"_CALC.xlsx")</f>
        <v/>
      </c>
      <c r="AC35" s="10" t="str">
        <f aca="false">IF(A35="","",A35&amp;"_CALC.pdf")</f>
        <v/>
      </c>
      <c r="AD35" s="9"/>
      <c r="AE35" s="9"/>
      <c r="AF35" s="39"/>
      <c r="AG35" s="39"/>
      <c r="AH35" s="39"/>
      <c r="AI35" s="39"/>
      <c r="AJ35" s="39"/>
      <c r="AK35" s="12" t="str">
        <f aca="false">IF(A35="","",IF(COUNTIF(Rebar_Schedule!$A$5:$A$2004,A35)=0,"",ROUND(SUMIF(Rebar_Schedule!$A$5:$A$2004,A35,Rebar_Schedule!$K$5:$K$2004),1)))</f>
        <v/>
      </c>
      <c r="AL35" s="33" t="str">
        <f aca="false">IF(A35="","",IF(AK35="","No rebar schedule yet",IF(ABS(AK35-N(AG35))/MAX(N(AG35),1)&gt;SG_Criteria!$B$55,"NOTE: register rebar differs from schedule by "&amp;TEXT(ABS(AK35-N(AG35))/MAX(N(AG35),1),"0%"),"OK")))</f>
        <v/>
      </c>
      <c r="AM35" s="33" t="str">
        <f aca="false">IF(D35="","","OK")</f>
        <v/>
      </c>
      <c r="AN35" s="9"/>
      <c r="AO35" s="9"/>
      <c r="AP35" s="9"/>
      <c r="AQ35" s="10" t="str">
        <f aca="false">IF(AP35="","",IFERROR(VLOOKUP(AP35,Projects!$A$5:$D$504,2,0),"Ref not in Projects"))</f>
        <v/>
      </c>
      <c r="AR35" s="10" t="str">
        <f aca="false">IF(AP35="","",IFERROR(VLOOKUP(AP35,Projects!$A$5:$D$504,4,0),"Ref not in Projects"))</f>
        <v/>
      </c>
      <c r="AS35" s="9"/>
      <c r="AT35" s="9"/>
      <c r="AU35" s="9"/>
      <c r="AV35" s="40"/>
      <c r="AW35" s="9"/>
      <c r="AX35" s="40"/>
      <c r="AY35" s="9"/>
      <c r="AZ35" s="40"/>
      <c r="BA35" s="9"/>
      <c r="BB35" s="9"/>
      <c r="BC35" s="9"/>
      <c r="BD35" s="40"/>
      <c r="BE35" s="40"/>
      <c r="BF35" s="36" t="str">
        <f aca="false">IF(BE35="","",EDATE(BE35,SG_Criteria!$B$54*12))</f>
        <v/>
      </c>
      <c r="BG35" s="33" t="str">
        <f aca="true">IF(A35="","",IF(BE35="","NOTE: not reviewed yet",IF(TODAY()&gt;BF35,"NOTE: review overdue","OK")))</f>
        <v/>
      </c>
      <c r="BH35" s="37" t="str">
        <f aca="false">IF(A35="","",ROUND((IF(LEN(D35)&gt;0,1,0)+IF(LEN(E35)&gt;0,1,0)+IF(LEN(I35)&gt;0,1,0)+IF(LEN(K35)&gt;0,1,0)+IF(LEN(Q35)&gt;0,1,0)+IF(LEN(S35)&gt;0,1,0)+IF(LEN(T35)&gt;0,1,0)+IF(LEN(U35)&gt;0,1,0)+IF(LEN(V35)&gt;0,1,0)+IF(LEN(AE35)&gt;0,1,0)+IF(LEN(AP35)&gt;0,1,0)+IF(LEN(BC35)&gt;0,1,0))/12,2))</f>
        <v/>
      </c>
      <c r="BI35" s="10" t="str">
        <f aca="false">IF(D35="","",IF(AND(T35="Approved",ISERROR(SEARCH("FAIL",AM35))),"Y","N"))</f>
        <v/>
      </c>
    </row>
    <row r="36" customFormat="false" ht="15" hidden="false" customHeight="false" outlineLevel="0" collapsed="false">
      <c r="A36" s="10" t="str">
        <f aca="false">IF(D36="","",IFERROR(VLOOKUP(D36,Lists!$BI$4:$BJ$20,2,0),"??")&amp;"-"&amp;UPPER(SUBSTITUTE(E36," ",""))&amp;IF(F36&lt;&gt;"","-SP"&amp;TEXT(F36*1000,"0"),"")&amp;IF(G36&lt;&gt;"","-H"&amp;TEXT(G36*1000,"0"),"")&amp;"-"&amp;S36)</f>
        <v/>
      </c>
      <c r="B36" s="10" t="str">
        <f aca="false">IF(D36="","",D36&amp;" - "&amp;E36&amp;IF(F36&lt;&gt;"",", span "&amp;F36&amp;" m","")&amp;IF(G36&lt;&gt;"",", H "&amp;G36&amp;" m","")&amp;IF(H36&lt;&gt;"",", W "&amp;H36&amp;" m",""))</f>
        <v/>
      </c>
      <c r="C36" s="9"/>
      <c r="D36" s="9"/>
      <c r="E36" s="9"/>
      <c r="F36" s="42"/>
      <c r="G36" s="42"/>
      <c r="H36" s="42"/>
      <c r="I36" s="9"/>
      <c r="J36" s="9"/>
      <c r="K36" s="9"/>
      <c r="L36" s="9"/>
      <c r="M36" s="9"/>
      <c r="N36" s="38"/>
      <c r="O36" s="9"/>
      <c r="P36" s="39"/>
      <c r="Q36" s="9"/>
      <c r="R36" s="9"/>
      <c r="S36" s="9"/>
      <c r="T36" s="9"/>
      <c r="U36" s="9"/>
      <c r="V36" s="9"/>
      <c r="W36" s="9"/>
      <c r="X36" s="10" t="str">
        <f aca="false">IF(A36="","",SG_Criteria!$B$6&amp;SG_Criteria!$B$13&amp;"\"&amp;A36&amp;"\")</f>
        <v/>
      </c>
      <c r="Y36" s="10" t="str">
        <f aca="false">IF(A36="","",A36&amp;"_CAD.dwg")</f>
        <v/>
      </c>
      <c r="Z36" s="10" t="str">
        <f aca="false">IF(A36="","",A36&amp;"_DWG.pdf")</f>
        <v/>
      </c>
      <c r="AA36" s="10" t="str">
        <f aca="false">IF(A36="","",IF(W36="Y",A36&amp;"_STAAD.std","n/a"))</f>
        <v/>
      </c>
      <c r="AB36" s="10" t="str">
        <f aca="false">IF(A36="","",A36&amp;"_CALC.xlsx")</f>
        <v/>
      </c>
      <c r="AC36" s="10" t="str">
        <f aca="false">IF(A36="","",A36&amp;"_CALC.pdf")</f>
        <v/>
      </c>
      <c r="AD36" s="9"/>
      <c r="AE36" s="9"/>
      <c r="AF36" s="39"/>
      <c r="AG36" s="39"/>
      <c r="AH36" s="39"/>
      <c r="AI36" s="39"/>
      <c r="AJ36" s="39"/>
      <c r="AK36" s="12" t="str">
        <f aca="false">IF(A36="","",IF(COUNTIF(Rebar_Schedule!$A$5:$A$2004,A36)=0,"",ROUND(SUMIF(Rebar_Schedule!$A$5:$A$2004,A36,Rebar_Schedule!$K$5:$K$2004),1)))</f>
        <v/>
      </c>
      <c r="AL36" s="33" t="str">
        <f aca="false">IF(A36="","",IF(AK36="","No rebar schedule yet",IF(ABS(AK36-N(AG36))/MAX(N(AG36),1)&gt;SG_Criteria!$B$55,"NOTE: register rebar differs from schedule by "&amp;TEXT(ABS(AK36-N(AG36))/MAX(N(AG36),1),"0%"),"OK")))</f>
        <v/>
      </c>
      <c r="AM36" s="33" t="str">
        <f aca="false">IF(D36="","","OK")</f>
        <v/>
      </c>
      <c r="AN36" s="9"/>
      <c r="AO36" s="9"/>
      <c r="AP36" s="9"/>
      <c r="AQ36" s="10" t="str">
        <f aca="false">IF(AP36="","",IFERROR(VLOOKUP(AP36,Projects!$A$5:$D$504,2,0),"Ref not in Projects"))</f>
        <v/>
      </c>
      <c r="AR36" s="10" t="str">
        <f aca="false">IF(AP36="","",IFERROR(VLOOKUP(AP36,Projects!$A$5:$D$504,4,0),"Ref not in Projects"))</f>
        <v/>
      </c>
      <c r="AS36" s="9"/>
      <c r="AT36" s="9"/>
      <c r="AU36" s="9"/>
      <c r="AV36" s="40"/>
      <c r="AW36" s="9"/>
      <c r="AX36" s="40"/>
      <c r="AY36" s="9"/>
      <c r="AZ36" s="40"/>
      <c r="BA36" s="9"/>
      <c r="BB36" s="9"/>
      <c r="BC36" s="9"/>
      <c r="BD36" s="40"/>
      <c r="BE36" s="40"/>
      <c r="BF36" s="36" t="str">
        <f aca="false">IF(BE36="","",EDATE(BE36,SG_Criteria!$B$54*12))</f>
        <v/>
      </c>
      <c r="BG36" s="33" t="str">
        <f aca="true">IF(A36="","",IF(BE36="","NOTE: not reviewed yet",IF(TODAY()&gt;BF36,"NOTE: review overdue","OK")))</f>
        <v/>
      </c>
      <c r="BH36" s="37" t="str">
        <f aca="false">IF(A36="","",ROUND((IF(LEN(D36)&gt;0,1,0)+IF(LEN(E36)&gt;0,1,0)+IF(LEN(I36)&gt;0,1,0)+IF(LEN(K36)&gt;0,1,0)+IF(LEN(Q36)&gt;0,1,0)+IF(LEN(S36)&gt;0,1,0)+IF(LEN(T36)&gt;0,1,0)+IF(LEN(U36)&gt;0,1,0)+IF(LEN(V36)&gt;0,1,0)+IF(LEN(AE36)&gt;0,1,0)+IF(LEN(AP36)&gt;0,1,0)+IF(LEN(BC36)&gt;0,1,0))/12,2))</f>
        <v/>
      </c>
      <c r="BI36" s="10" t="str">
        <f aca="false">IF(D36="","",IF(AND(T36="Approved",ISERROR(SEARCH("FAIL",AM36))),"Y","N"))</f>
        <v/>
      </c>
    </row>
    <row r="37" customFormat="false" ht="15" hidden="false" customHeight="false" outlineLevel="0" collapsed="false">
      <c r="A37" s="10" t="str">
        <f aca="false">IF(D37="","",IFERROR(VLOOKUP(D37,Lists!$BI$4:$BJ$20,2,0),"??")&amp;"-"&amp;UPPER(SUBSTITUTE(E37," ",""))&amp;IF(F37&lt;&gt;"","-SP"&amp;TEXT(F37*1000,"0"),"")&amp;IF(G37&lt;&gt;"","-H"&amp;TEXT(G37*1000,"0"),"")&amp;"-"&amp;S37)</f>
        <v/>
      </c>
      <c r="B37" s="10" t="str">
        <f aca="false">IF(D37="","",D37&amp;" - "&amp;E37&amp;IF(F37&lt;&gt;"",", span "&amp;F37&amp;" m","")&amp;IF(G37&lt;&gt;"",", H "&amp;G37&amp;" m","")&amp;IF(H37&lt;&gt;"",", W "&amp;H37&amp;" m",""))</f>
        <v/>
      </c>
      <c r="C37" s="9"/>
      <c r="D37" s="9"/>
      <c r="E37" s="9"/>
      <c r="F37" s="42"/>
      <c r="G37" s="42"/>
      <c r="H37" s="42"/>
      <c r="I37" s="9"/>
      <c r="J37" s="9"/>
      <c r="K37" s="9"/>
      <c r="L37" s="9"/>
      <c r="M37" s="9"/>
      <c r="N37" s="38"/>
      <c r="O37" s="9"/>
      <c r="P37" s="39"/>
      <c r="Q37" s="9"/>
      <c r="R37" s="9"/>
      <c r="S37" s="9"/>
      <c r="T37" s="9"/>
      <c r="U37" s="9"/>
      <c r="V37" s="9"/>
      <c r="W37" s="9"/>
      <c r="X37" s="10" t="str">
        <f aca="false">IF(A37="","",SG_Criteria!$B$6&amp;SG_Criteria!$B$13&amp;"\"&amp;A37&amp;"\")</f>
        <v/>
      </c>
      <c r="Y37" s="10" t="str">
        <f aca="false">IF(A37="","",A37&amp;"_CAD.dwg")</f>
        <v/>
      </c>
      <c r="Z37" s="10" t="str">
        <f aca="false">IF(A37="","",A37&amp;"_DWG.pdf")</f>
        <v/>
      </c>
      <c r="AA37" s="10" t="str">
        <f aca="false">IF(A37="","",IF(W37="Y",A37&amp;"_STAAD.std","n/a"))</f>
        <v/>
      </c>
      <c r="AB37" s="10" t="str">
        <f aca="false">IF(A37="","",A37&amp;"_CALC.xlsx")</f>
        <v/>
      </c>
      <c r="AC37" s="10" t="str">
        <f aca="false">IF(A37="","",A37&amp;"_CALC.pdf")</f>
        <v/>
      </c>
      <c r="AD37" s="9"/>
      <c r="AE37" s="9"/>
      <c r="AF37" s="39"/>
      <c r="AG37" s="39"/>
      <c r="AH37" s="39"/>
      <c r="AI37" s="39"/>
      <c r="AJ37" s="39"/>
      <c r="AK37" s="12" t="str">
        <f aca="false">IF(A37="","",IF(COUNTIF(Rebar_Schedule!$A$5:$A$2004,A37)=0,"",ROUND(SUMIF(Rebar_Schedule!$A$5:$A$2004,A37,Rebar_Schedule!$K$5:$K$2004),1)))</f>
        <v/>
      </c>
      <c r="AL37" s="33" t="str">
        <f aca="false">IF(A37="","",IF(AK37="","No rebar schedule yet",IF(ABS(AK37-N(AG37))/MAX(N(AG37),1)&gt;SG_Criteria!$B$55,"NOTE: register rebar differs from schedule by "&amp;TEXT(ABS(AK37-N(AG37))/MAX(N(AG37),1),"0%"),"OK")))</f>
        <v/>
      </c>
      <c r="AM37" s="33" t="str">
        <f aca="false">IF(D37="","","OK")</f>
        <v/>
      </c>
      <c r="AN37" s="9"/>
      <c r="AO37" s="9"/>
      <c r="AP37" s="9"/>
      <c r="AQ37" s="10" t="str">
        <f aca="false">IF(AP37="","",IFERROR(VLOOKUP(AP37,Projects!$A$5:$D$504,2,0),"Ref not in Projects"))</f>
        <v/>
      </c>
      <c r="AR37" s="10" t="str">
        <f aca="false">IF(AP37="","",IFERROR(VLOOKUP(AP37,Projects!$A$5:$D$504,4,0),"Ref not in Projects"))</f>
        <v/>
      </c>
      <c r="AS37" s="9"/>
      <c r="AT37" s="9"/>
      <c r="AU37" s="9"/>
      <c r="AV37" s="40"/>
      <c r="AW37" s="9"/>
      <c r="AX37" s="40"/>
      <c r="AY37" s="9"/>
      <c r="AZ37" s="40"/>
      <c r="BA37" s="9"/>
      <c r="BB37" s="9"/>
      <c r="BC37" s="9"/>
      <c r="BD37" s="40"/>
      <c r="BE37" s="40"/>
      <c r="BF37" s="36" t="str">
        <f aca="false">IF(BE37="","",EDATE(BE37,SG_Criteria!$B$54*12))</f>
        <v/>
      </c>
      <c r="BG37" s="33" t="str">
        <f aca="true">IF(A37="","",IF(BE37="","NOTE: not reviewed yet",IF(TODAY()&gt;BF37,"NOTE: review overdue","OK")))</f>
        <v/>
      </c>
      <c r="BH37" s="37" t="str">
        <f aca="false">IF(A37="","",ROUND((IF(LEN(D37)&gt;0,1,0)+IF(LEN(E37)&gt;0,1,0)+IF(LEN(I37)&gt;0,1,0)+IF(LEN(K37)&gt;0,1,0)+IF(LEN(Q37)&gt;0,1,0)+IF(LEN(S37)&gt;0,1,0)+IF(LEN(T37)&gt;0,1,0)+IF(LEN(U37)&gt;0,1,0)+IF(LEN(V37)&gt;0,1,0)+IF(LEN(AE37)&gt;0,1,0)+IF(LEN(AP37)&gt;0,1,0)+IF(LEN(BC37)&gt;0,1,0))/12,2))</f>
        <v/>
      </c>
      <c r="BI37" s="10" t="str">
        <f aca="false">IF(D37="","",IF(AND(T37="Approved",ISERROR(SEARCH("FAIL",AM37))),"Y","N"))</f>
        <v/>
      </c>
    </row>
    <row r="38" customFormat="false" ht="15" hidden="false" customHeight="false" outlineLevel="0" collapsed="false">
      <c r="A38" s="10" t="str">
        <f aca="false">IF(D38="","",IFERROR(VLOOKUP(D38,Lists!$BI$4:$BJ$20,2,0),"??")&amp;"-"&amp;UPPER(SUBSTITUTE(E38," ",""))&amp;IF(F38&lt;&gt;"","-SP"&amp;TEXT(F38*1000,"0"),"")&amp;IF(G38&lt;&gt;"","-H"&amp;TEXT(G38*1000,"0"),"")&amp;"-"&amp;S38)</f>
        <v/>
      </c>
      <c r="B38" s="10" t="str">
        <f aca="false">IF(D38="","",D38&amp;" - "&amp;E38&amp;IF(F38&lt;&gt;"",", span "&amp;F38&amp;" m","")&amp;IF(G38&lt;&gt;"",", H "&amp;G38&amp;" m","")&amp;IF(H38&lt;&gt;"",", W "&amp;H38&amp;" m",""))</f>
        <v/>
      </c>
      <c r="C38" s="9"/>
      <c r="D38" s="9"/>
      <c r="E38" s="9"/>
      <c r="F38" s="42"/>
      <c r="G38" s="42"/>
      <c r="H38" s="42"/>
      <c r="I38" s="9"/>
      <c r="J38" s="9"/>
      <c r="K38" s="9"/>
      <c r="L38" s="9"/>
      <c r="M38" s="9"/>
      <c r="N38" s="38"/>
      <c r="O38" s="9"/>
      <c r="P38" s="39"/>
      <c r="Q38" s="9"/>
      <c r="R38" s="9"/>
      <c r="S38" s="9"/>
      <c r="T38" s="9"/>
      <c r="U38" s="9"/>
      <c r="V38" s="9"/>
      <c r="W38" s="9"/>
      <c r="X38" s="10" t="str">
        <f aca="false">IF(A38="","",SG_Criteria!$B$6&amp;SG_Criteria!$B$13&amp;"\"&amp;A38&amp;"\")</f>
        <v/>
      </c>
      <c r="Y38" s="10" t="str">
        <f aca="false">IF(A38="","",A38&amp;"_CAD.dwg")</f>
        <v/>
      </c>
      <c r="Z38" s="10" t="str">
        <f aca="false">IF(A38="","",A38&amp;"_DWG.pdf")</f>
        <v/>
      </c>
      <c r="AA38" s="10" t="str">
        <f aca="false">IF(A38="","",IF(W38="Y",A38&amp;"_STAAD.std","n/a"))</f>
        <v/>
      </c>
      <c r="AB38" s="10" t="str">
        <f aca="false">IF(A38="","",A38&amp;"_CALC.xlsx")</f>
        <v/>
      </c>
      <c r="AC38" s="10" t="str">
        <f aca="false">IF(A38="","",A38&amp;"_CALC.pdf")</f>
        <v/>
      </c>
      <c r="AD38" s="9"/>
      <c r="AE38" s="9"/>
      <c r="AF38" s="39"/>
      <c r="AG38" s="39"/>
      <c r="AH38" s="39"/>
      <c r="AI38" s="39"/>
      <c r="AJ38" s="39"/>
      <c r="AK38" s="12" t="str">
        <f aca="false">IF(A38="","",IF(COUNTIF(Rebar_Schedule!$A$5:$A$2004,A38)=0,"",ROUND(SUMIF(Rebar_Schedule!$A$5:$A$2004,A38,Rebar_Schedule!$K$5:$K$2004),1)))</f>
        <v/>
      </c>
      <c r="AL38" s="33" t="str">
        <f aca="false">IF(A38="","",IF(AK38="","No rebar schedule yet",IF(ABS(AK38-N(AG38))/MAX(N(AG38),1)&gt;SG_Criteria!$B$55,"NOTE: register rebar differs from schedule by "&amp;TEXT(ABS(AK38-N(AG38))/MAX(N(AG38),1),"0%"),"OK")))</f>
        <v/>
      </c>
      <c r="AM38" s="33" t="str">
        <f aca="false">IF(D38="","","OK")</f>
        <v/>
      </c>
      <c r="AN38" s="9"/>
      <c r="AO38" s="9"/>
      <c r="AP38" s="9"/>
      <c r="AQ38" s="10" t="str">
        <f aca="false">IF(AP38="","",IFERROR(VLOOKUP(AP38,Projects!$A$5:$D$504,2,0),"Ref not in Projects"))</f>
        <v/>
      </c>
      <c r="AR38" s="10" t="str">
        <f aca="false">IF(AP38="","",IFERROR(VLOOKUP(AP38,Projects!$A$5:$D$504,4,0),"Ref not in Projects"))</f>
        <v/>
      </c>
      <c r="AS38" s="9"/>
      <c r="AT38" s="9"/>
      <c r="AU38" s="9"/>
      <c r="AV38" s="40"/>
      <c r="AW38" s="9"/>
      <c r="AX38" s="40"/>
      <c r="AY38" s="9"/>
      <c r="AZ38" s="40"/>
      <c r="BA38" s="9"/>
      <c r="BB38" s="9"/>
      <c r="BC38" s="9"/>
      <c r="BD38" s="40"/>
      <c r="BE38" s="40"/>
      <c r="BF38" s="36" t="str">
        <f aca="false">IF(BE38="","",EDATE(BE38,SG_Criteria!$B$54*12))</f>
        <v/>
      </c>
      <c r="BG38" s="33" t="str">
        <f aca="true">IF(A38="","",IF(BE38="","NOTE: not reviewed yet",IF(TODAY()&gt;BF38,"NOTE: review overdue","OK")))</f>
        <v/>
      </c>
      <c r="BH38" s="37" t="str">
        <f aca="false">IF(A38="","",ROUND((IF(LEN(D38)&gt;0,1,0)+IF(LEN(E38)&gt;0,1,0)+IF(LEN(I38)&gt;0,1,0)+IF(LEN(K38)&gt;0,1,0)+IF(LEN(Q38)&gt;0,1,0)+IF(LEN(S38)&gt;0,1,0)+IF(LEN(T38)&gt;0,1,0)+IF(LEN(U38)&gt;0,1,0)+IF(LEN(V38)&gt;0,1,0)+IF(LEN(AE38)&gt;0,1,0)+IF(LEN(AP38)&gt;0,1,0)+IF(LEN(BC38)&gt;0,1,0))/12,2))</f>
        <v/>
      </c>
      <c r="BI38" s="10" t="str">
        <f aca="false">IF(D38="","",IF(AND(T38="Approved",ISERROR(SEARCH("FAIL",AM38))),"Y","N"))</f>
        <v/>
      </c>
    </row>
    <row r="39" customFormat="false" ht="15" hidden="false" customHeight="false" outlineLevel="0" collapsed="false">
      <c r="A39" s="10" t="str">
        <f aca="false">IF(D39="","",IFERROR(VLOOKUP(D39,Lists!$BI$4:$BJ$20,2,0),"??")&amp;"-"&amp;UPPER(SUBSTITUTE(E39," ",""))&amp;IF(F39&lt;&gt;"","-SP"&amp;TEXT(F39*1000,"0"),"")&amp;IF(G39&lt;&gt;"","-H"&amp;TEXT(G39*1000,"0"),"")&amp;"-"&amp;S39)</f>
        <v/>
      </c>
      <c r="B39" s="10" t="str">
        <f aca="false">IF(D39="","",D39&amp;" - "&amp;E39&amp;IF(F39&lt;&gt;"",", span "&amp;F39&amp;" m","")&amp;IF(G39&lt;&gt;"",", H "&amp;G39&amp;" m","")&amp;IF(H39&lt;&gt;"",", W "&amp;H39&amp;" m",""))</f>
        <v/>
      </c>
      <c r="C39" s="9"/>
      <c r="D39" s="9"/>
      <c r="E39" s="9"/>
      <c r="F39" s="42"/>
      <c r="G39" s="42"/>
      <c r="H39" s="42"/>
      <c r="I39" s="9"/>
      <c r="J39" s="9"/>
      <c r="K39" s="9"/>
      <c r="L39" s="9"/>
      <c r="M39" s="9"/>
      <c r="N39" s="38"/>
      <c r="O39" s="9"/>
      <c r="P39" s="39"/>
      <c r="Q39" s="9"/>
      <c r="R39" s="9"/>
      <c r="S39" s="9"/>
      <c r="T39" s="9"/>
      <c r="U39" s="9"/>
      <c r="V39" s="9"/>
      <c r="W39" s="9"/>
      <c r="X39" s="10" t="str">
        <f aca="false">IF(A39="","",SG_Criteria!$B$6&amp;SG_Criteria!$B$13&amp;"\"&amp;A39&amp;"\")</f>
        <v/>
      </c>
      <c r="Y39" s="10" t="str">
        <f aca="false">IF(A39="","",A39&amp;"_CAD.dwg")</f>
        <v/>
      </c>
      <c r="Z39" s="10" t="str">
        <f aca="false">IF(A39="","",A39&amp;"_DWG.pdf")</f>
        <v/>
      </c>
      <c r="AA39" s="10" t="str">
        <f aca="false">IF(A39="","",IF(W39="Y",A39&amp;"_STAAD.std","n/a"))</f>
        <v/>
      </c>
      <c r="AB39" s="10" t="str">
        <f aca="false">IF(A39="","",A39&amp;"_CALC.xlsx")</f>
        <v/>
      </c>
      <c r="AC39" s="10" t="str">
        <f aca="false">IF(A39="","",A39&amp;"_CALC.pdf")</f>
        <v/>
      </c>
      <c r="AD39" s="9"/>
      <c r="AE39" s="9"/>
      <c r="AF39" s="39"/>
      <c r="AG39" s="39"/>
      <c r="AH39" s="39"/>
      <c r="AI39" s="39"/>
      <c r="AJ39" s="39"/>
      <c r="AK39" s="12" t="str">
        <f aca="false">IF(A39="","",IF(COUNTIF(Rebar_Schedule!$A$5:$A$2004,A39)=0,"",ROUND(SUMIF(Rebar_Schedule!$A$5:$A$2004,A39,Rebar_Schedule!$K$5:$K$2004),1)))</f>
        <v/>
      </c>
      <c r="AL39" s="33" t="str">
        <f aca="false">IF(A39="","",IF(AK39="","No rebar schedule yet",IF(ABS(AK39-N(AG39))/MAX(N(AG39),1)&gt;SG_Criteria!$B$55,"NOTE: register rebar differs from schedule by "&amp;TEXT(ABS(AK39-N(AG39))/MAX(N(AG39),1),"0%"),"OK")))</f>
        <v/>
      </c>
      <c r="AM39" s="33" t="str">
        <f aca="false">IF(D39="","","OK")</f>
        <v/>
      </c>
      <c r="AN39" s="9"/>
      <c r="AO39" s="9"/>
      <c r="AP39" s="9"/>
      <c r="AQ39" s="10" t="str">
        <f aca="false">IF(AP39="","",IFERROR(VLOOKUP(AP39,Projects!$A$5:$D$504,2,0),"Ref not in Projects"))</f>
        <v/>
      </c>
      <c r="AR39" s="10" t="str">
        <f aca="false">IF(AP39="","",IFERROR(VLOOKUP(AP39,Projects!$A$5:$D$504,4,0),"Ref not in Projects"))</f>
        <v/>
      </c>
      <c r="AS39" s="9"/>
      <c r="AT39" s="9"/>
      <c r="AU39" s="9"/>
      <c r="AV39" s="40"/>
      <c r="AW39" s="9"/>
      <c r="AX39" s="40"/>
      <c r="AY39" s="9"/>
      <c r="AZ39" s="40"/>
      <c r="BA39" s="9"/>
      <c r="BB39" s="9"/>
      <c r="BC39" s="9"/>
      <c r="BD39" s="40"/>
      <c r="BE39" s="40"/>
      <c r="BF39" s="36" t="str">
        <f aca="false">IF(BE39="","",EDATE(BE39,SG_Criteria!$B$54*12))</f>
        <v/>
      </c>
      <c r="BG39" s="33" t="str">
        <f aca="true">IF(A39="","",IF(BE39="","NOTE: not reviewed yet",IF(TODAY()&gt;BF39,"NOTE: review overdue","OK")))</f>
        <v/>
      </c>
      <c r="BH39" s="37" t="str">
        <f aca="false">IF(A39="","",ROUND((IF(LEN(D39)&gt;0,1,0)+IF(LEN(E39)&gt;0,1,0)+IF(LEN(I39)&gt;0,1,0)+IF(LEN(K39)&gt;0,1,0)+IF(LEN(Q39)&gt;0,1,0)+IF(LEN(S39)&gt;0,1,0)+IF(LEN(T39)&gt;0,1,0)+IF(LEN(U39)&gt;0,1,0)+IF(LEN(V39)&gt;0,1,0)+IF(LEN(AE39)&gt;0,1,0)+IF(LEN(AP39)&gt;0,1,0)+IF(LEN(BC39)&gt;0,1,0))/12,2))</f>
        <v/>
      </c>
      <c r="BI39" s="10" t="str">
        <f aca="false">IF(D39="","",IF(AND(T39="Approved",ISERROR(SEARCH("FAIL",AM39))),"Y","N"))</f>
        <v/>
      </c>
    </row>
    <row r="40" customFormat="false" ht="15" hidden="false" customHeight="false" outlineLevel="0" collapsed="false">
      <c r="A40" s="10" t="str">
        <f aca="false">IF(D40="","",IFERROR(VLOOKUP(D40,Lists!$BI$4:$BJ$20,2,0),"??")&amp;"-"&amp;UPPER(SUBSTITUTE(E40," ",""))&amp;IF(F40&lt;&gt;"","-SP"&amp;TEXT(F40*1000,"0"),"")&amp;IF(G40&lt;&gt;"","-H"&amp;TEXT(G40*1000,"0"),"")&amp;"-"&amp;S40)</f>
        <v/>
      </c>
      <c r="B40" s="10" t="str">
        <f aca="false">IF(D40="","",D40&amp;" - "&amp;E40&amp;IF(F40&lt;&gt;"",", span "&amp;F40&amp;" m","")&amp;IF(G40&lt;&gt;"",", H "&amp;G40&amp;" m","")&amp;IF(H40&lt;&gt;"",", W "&amp;H40&amp;" m",""))</f>
        <v/>
      </c>
      <c r="C40" s="9"/>
      <c r="D40" s="9"/>
      <c r="E40" s="9"/>
      <c r="F40" s="42"/>
      <c r="G40" s="42"/>
      <c r="H40" s="42"/>
      <c r="I40" s="9"/>
      <c r="J40" s="9"/>
      <c r="K40" s="9"/>
      <c r="L40" s="9"/>
      <c r="M40" s="9"/>
      <c r="N40" s="38"/>
      <c r="O40" s="9"/>
      <c r="P40" s="39"/>
      <c r="Q40" s="9"/>
      <c r="R40" s="9"/>
      <c r="S40" s="9"/>
      <c r="T40" s="9"/>
      <c r="U40" s="9"/>
      <c r="V40" s="9"/>
      <c r="W40" s="9"/>
      <c r="X40" s="10" t="str">
        <f aca="false">IF(A40="","",SG_Criteria!$B$6&amp;SG_Criteria!$B$13&amp;"\"&amp;A40&amp;"\")</f>
        <v/>
      </c>
      <c r="Y40" s="10" t="str">
        <f aca="false">IF(A40="","",A40&amp;"_CAD.dwg")</f>
        <v/>
      </c>
      <c r="Z40" s="10" t="str">
        <f aca="false">IF(A40="","",A40&amp;"_DWG.pdf")</f>
        <v/>
      </c>
      <c r="AA40" s="10" t="str">
        <f aca="false">IF(A40="","",IF(W40="Y",A40&amp;"_STAAD.std","n/a"))</f>
        <v/>
      </c>
      <c r="AB40" s="10" t="str">
        <f aca="false">IF(A40="","",A40&amp;"_CALC.xlsx")</f>
        <v/>
      </c>
      <c r="AC40" s="10" t="str">
        <f aca="false">IF(A40="","",A40&amp;"_CALC.pdf")</f>
        <v/>
      </c>
      <c r="AD40" s="9"/>
      <c r="AE40" s="9"/>
      <c r="AF40" s="39"/>
      <c r="AG40" s="39"/>
      <c r="AH40" s="39"/>
      <c r="AI40" s="39"/>
      <c r="AJ40" s="39"/>
      <c r="AK40" s="12" t="str">
        <f aca="false">IF(A40="","",IF(COUNTIF(Rebar_Schedule!$A$5:$A$2004,A40)=0,"",ROUND(SUMIF(Rebar_Schedule!$A$5:$A$2004,A40,Rebar_Schedule!$K$5:$K$2004),1)))</f>
        <v/>
      </c>
      <c r="AL40" s="33" t="str">
        <f aca="false">IF(A40="","",IF(AK40="","No rebar schedule yet",IF(ABS(AK40-N(AG40))/MAX(N(AG40),1)&gt;SG_Criteria!$B$55,"NOTE: register rebar differs from schedule by "&amp;TEXT(ABS(AK40-N(AG40))/MAX(N(AG40),1),"0%"),"OK")))</f>
        <v/>
      </c>
      <c r="AM40" s="33" t="str">
        <f aca="false">IF(D40="","","OK")</f>
        <v/>
      </c>
      <c r="AN40" s="9"/>
      <c r="AO40" s="9"/>
      <c r="AP40" s="9"/>
      <c r="AQ40" s="10" t="str">
        <f aca="false">IF(AP40="","",IFERROR(VLOOKUP(AP40,Projects!$A$5:$D$504,2,0),"Ref not in Projects"))</f>
        <v/>
      </c>
      <c r="AR40" s="10" t="str">
        <f aca="false">IF(AP40="","",IFERROR(VLOOKUP(AP40,Projects!$A$5:$D$504,4,0),"Ref not in Projects"))</f>
        <v/>
      </c>
      <c r="AS40" s="9"/>
      <c r="AT40" s="9"/>
      <c r="AU40" s="9"/>
      <c r="AV40" s="40"/>
      <c r="AW40" s="9"/>
      <c r="AX40" s="40"/>
      <c r="AY40" s="9"/>
      <c r="AZ40" s="40"/>
      <c r="BA40" s="9"/>
      <c r="BB40" s="9"/>
      <c r="BC40" s="9"/>
      <c r="BD40" s="40"/>
      <c r="BE40" s="40"/>
      <c r="BF40" s="36" t="str">
        <f aca="false">IF(BE40="","",EDATE(BE40,SG_Criteria!$B$54*12))</f>
        <v/>
      </c>
      <c r="BG40" s="33" t="str">
        <f aca="true">IF(A40="","",IF(BE40="","NOTE: not reviewed yet",IF(TODAY()&gt;BF40,"NOTE: review overdue","OK")))</f>
        <v/>
      </c>
      <c r="BH40" s="37" t="str">
        <f aca="false">IF(A40="","",ROUND((IF(LEN(D40)&gt;0,1,0)+IF(LEN(E40)&gt;0,1,0)+IF(LEN(I40)&gt;0,1,0)+IF(LEN(K40)&gt;0,1,0)+IF(LEN(Q40)&gt;0,1,0)+IF(LEN(S40)&gt;0,1,0)+IF(LEN(T40)&gt;0,1,0)+IF(LEN(U40)&gt;0,1,0)+IF(LEN(V40)&gt;0,1,0)+IF(LEN(AE40)&gt;0,1,0)+IF(LEN(AP40)&gt;0,1,0)+IF(LEN(BC40)&gt;0,1,0))/12,2))</f>
        <v/>
      </c>
      <c r="BI40" s="10" t="str">
        <f aca="false">IF(D40="","",IF(AND(T40="Approved",ISERROR(SEARCH("FAIL",AM40))),"Y","N"))</f>
        <v/>
      </c>
    </row>
    <row r="41" customFormat="false" ht="15" hidden="false" customHeight="false" outlineLevel="0" collapsed="false">
      <c r="A41" s="10" t="str">
        <f aca="false">IF(D41="","",IFERROR(VLOOKUP(D41,Lists!$BI$4:$BJ$20,2,0),"??")&amp;"-"&amp;UPPER(SUBSTITUTE(E41," ",""))&amp;IF(F41&lt;&gt;"","-SP"&amp;TEXT(F41*1000,"0"),"")&amp;IF(G41&lt;&gt;"","-H"&amp;TEXT(G41*1000,"0"),"")&amp;"-"&amp;S41)</f>
        <v/>
      </c>
      <c r="B41" s="10" t="str">
        <f aca="false">IF(D41="","",D41&amp;" - "&amp;E41&amp;IF(F41&lt;&gt;"",", span "&amp;F41&amp;" m","")&amp;IF(G41&lt;&gt;"",", H "&amp;G41&amp;" m","")&amp;IF(H41&lt;&gt;"",", W "&amp;H41&amp;" m",""))</f>
        <v/>
      </c>
      <c r="C41" s="9"/>
      <c r="D41" s="9"/>
      <c r="E41" s="9"/>
      <c r="F41" s="42"/>
      <c r="G41" s="42"/>
      <c r="H41" s="42"/>
      <c r="I41" s="9"/>
      <c r="J41" s="9"/>
      <c r="K41" s="9"/>
      <c r="L41" s="9"/>
      <c r="M41" s="9"/>
      <c r="N41" s="38"/>
      <c r="O41" s="9"/>
      <c r="P41" s="39"/>
      <c r="Q41" s="9"/>
      <c r="R41" s="9"/>
      <c r="S41" s="9"/>
      <c r="T41" s="9"/>
      <c r="U41" s="9"/>
      <c r="V41" s="9"/>
      <c r="W41" s="9"/>
      <c r="X41" s="10" t="str">
        <f aca="false">IF(A41="","",SG_Criteria!$B$6&amp;SG_Criteria!$B$13&amp;"\"&amp;A41&amp;"\")</f>
        <v/>
      </c>
      <c r="Y41" s="10" t="str">
        <f aca="false">IF(A41="","",A41&amp;"_CAD.dwg")</f>
        <v/>
      </c>
      <c r="Z41" s="10" t="str">
        <f aca="false">IF(A41="","",A41&amp;"_DWG.pdf")</f>
        <v/>
      </c>
      <c r="AA41" s="10" t="str">
        <f aca="false">IF(A41="","",IF(W41="Y",A41&amp;"_STAAD.std","n/a"))</f>
        <v/>
      </c>
      <c r="AB41" s="10" t="str">
        <f aca="false">IF(A41="","",A41&amp;"_CALC.xlsx")</f>
        <v/>
      </c>
      <c r="AC41" s="10" t="str">
        <f aca="false">IF(A41="","",A41&amp;"_CALC.pdf")</f>
        <v/>
      </c>
      <c r="AD41" s="9"/>
      <c r="AE41" s="9"/>
      <c r="AF41" s="39"/>
      <c r="AG41" s="39"/>
      <c r="AH41" s="39"/>
      <c r="AI41" s="39"/>
      <c r="AJ41" s="39"/>
      <c r="AK41" s="12" t="str">
        <f aca="false">IF(A41="","",IF(COUNTIF(Rebar_Schedule!$A$5:$A$2004,A41)=0,"",ROUND(SUMIF(Rebar_Schedule!$A$5:$A$2004,A41,Rebar_Schedule!$K$5:$K$2004),1)))</f>
        <v/>
      </c>
      <c r="AL41" s="33" t="str">
        <f aca="false">IF(A41="","",IF(AK41="","No rebar schedule yet",IF(ABS(AK41-N(AG41))/MAX(N(AG41),1)&gt;SG_Criteria!$B$55,"NOTE: register rebar differs from schedule by "&amp;TEXT(ABS(AK41-N(AG41))/MAX(N(AG41),1),"0%"),"OK")))</f>
        <v/>
      </c>
      <c r="AM41" s="33" t="str">
        <f aca="false">IF(D41="","","OK")</f>
        <v/>
      </c>
      <c r="AN41" s="9"/>
      <c r="AO41" s="9"/>
      <c r="AP41" s="9"/>
      <c r="AQ41" s="10" t="str">
        <f aca="false">IF(AP41="","",IFERROR(VLOOKUP(AP41,Projects!$A$5:$D$504,2,0),"Ref not in Projects"))</f>
        <v/>
      </c>
      <c r="AR41" s="10" t="str">
        <f aca="false">IF(AP41="","",IFERROR(VLOOKUP(AP41,Projects!$A$5:$D$504,4,0),"Ref not in Projects"))</f>
        <v/>
      </c>
      <c r="AS41" s="9"/>
      <c r="AT41" s="9"/>
      <c r="AU41" s="9"/>
      <c r="AV41" s="40"/>
      <c r="AW41" s="9"/>
      <c r="AX41" s="40"/>
      <c r="AY41" s="9"/>
      <c r="AZ41" s="40"/>
      <c r="BA41" s="9"/>
      <c r="BB41" s="9"/>
      <c r="BC41" s="9"/>
      <c r="BD41" s="40"/>
      <c r="BE41" s="40"/>
      <c r="BF41" s="36" t="str">
        <f aca="false">IF(BE41="","",EDATE(BE41,SG_Criteria!$B$54*12))</f>
        <v/>
      </c>
      <c r="BG41" s="33" t="str">
        <f aca="true">IF(A41="","",IF(BE41="","NOTE: not reviewed yet",IF(TODAY()&gt;BF41,"NOTE: review overdue","OK")))</f>
        <v/>
      </c>
      <c r="BH41" s="37" t="str">
        <f aca="false">IF(A41="","",ROUND((IF(LEN(D41)&gt;0,1,0)+IF(LEN(E41)&gt;0,1,0)+IF(LEN(I41)&gt;0,1,0)+IF(LEN(K41)&gt;0,1,0)+IF(LEN(Q41)&gt;0,1,0)+IF(LEN(S41)&gt;0,1,0)+IF(LEN(T41)&gt;0,1,0)+IF(LEN(U41)&gt;0,1,0)+IF(LEN(V41)&gt;0,1,0)+IF(LEN(AE41)&gt;0,1,0)+IF(LEN(AP41)&gt;0,1,0)+IF(LEN(BC41)&gt;0,1,0))/12,2))</f>
        <v/>
      </c>
      <c r="BI41" s="10" t="str">
        <f aca="false">IF(D41="","",IF(AND(T41="Approved",ISERROR(SEARCH("FAIL",AM41))),"Y","N"))</f>
        <v/>
      </c>
    </row>
    <row r="42" customFormat="false" ht="15" hidden="false" customHeight="false" outlineLevel="0" collapsed="false">
      <c r="A42" s="10" t="str">
        <f aca="false">IF(D42="","",IFERROR(VLOOKUP(D42,Lists!$BI$4:$BJ$20,2,0),"??")&amp;"-"&amp;UPPER(SUBSTITUTE(E42," ",""))&amp;IF(F42&lt;&gt;"","-SP"&amp;TEXT(F42*1000,"0"),"")&amp;IF(G42&lt;&gt;"","-H"&amp;TEXT(G42*1000,"0"),"")&amp;"-"&amp;S42)</f>
        <v/>
      </c>
      <c r="B42" s="10" t="str">
        <f aca="false">IF(D42="","",D42&amp;" - "&amp;E42&amp;IF(F42&lt;&gt;"",", span "&amp;F42&amp;" m","")&amp;IF(G42&lt;&gt;"",", H "&amp;G42&amp;" m","")&amp;IF(H42&lt;&gt;"",", W "&amp;H42&amp;" m",""))</f>
        <v/>
      </c>
      <c r="C42" s="9"/>
      <c r="D42" s="9"/>
      <c r="E42" s="9"/>
      <c r="F42" s="42"/>
      <c r="G42" s="42"/>
      <c r="H42" s="42"/>
      <c r="I42" s="9"/>
      <c r="J42" s="9"/>
      <c r="K42" s="9"/>
      <c r="L42" s="9"/>
      <c r="M42" s="9"/>
      <c r="N42" s="38"/>
      <c r="O42" s="9"/>
      <c r="P42" s="39"/>
      <c r="Q42" s="9"/>
      <c r="R42" s="9"/>
      <c r="S42" s="9"/>
      <c r="T42" s="9"/>
      <c r="U42" s="9"/>
      <c r="V42" s="9"/>
      <c r="W42" s="9"/>
      <c r="X42" s="10" t="str">
        <f aca="false">IF(A42="","",SG_Criteria!$B$6&amp;SG_Criteria!$B$13&amp;"\"&amp;A42&amp;"\")</f>
        <v/>
      </c>
      <c r="Y42" s="10" t="str">
        <f aca="false">IF(A42="","",A42&amp;"_CAD.dwg")</f>
        <v/>
      </c>
      <c r="Z42" s="10" t="str">
        <f aca="false">IF(A42="","",A42&amp;"_DWG.pdf")</f>
        <v/>
      </c>
      <c r="AA42" s="10" t="str">
        <f aca="false">IF(A42="","",IF(W42="Y",A42&amp;"_STAAD.std","n/a"))</f>
        <v/>
      </c>
      <c r="AB42" s="10" t="str">
        <f aca="false">IF(A42="","",A42&amp;"_CALC.xlsx")</f>
        <v/>
      </c>
      <c r="AC42" s="10" t="str">
        <f aca="false">IF(A42="","",A42&amp;"_CALC.pdf")</f>
        <v/>
      </c>
      <c r="AD42" s="9"/>
      <c r="AE42" s="9"/>
      <c r="AF42" s="39"/>
      <c r="AG42" s="39"/>
      <c r="AH42" s="39"/>
      <c r="AI42" s="39"/>
      <c r="AJ42" s="39"/>
      <c r="AK42" s="12" t="str">
        <f aca="false">IF(A42="","",IF(COUNTIF(Rebar_Schedule!$A$5:$A$2004,A42)=0,"",ROUND(SUMIF(Rebar_Schedule!$A$5:$A$2004,A42,Rebar_Schedule!$K$5:$K$2004),1)))</f>
        <v/>
      </c>
      <c r="AL42" s="33" t="str">
        <f aca="false">IF(A42="","",IF(AK42="","No rebar schedule yet",IF(ABS(AK42-N(AG42))/MAX(N(AG42),1)&gt;SG_Criteria!$B$55,"NOTE: register rebar differs from schedule by "&amp;TEXT(ABS(AK42-N(AG42))/MAX(N(AG42),1),"0%"),"OK")))</f>
        <v/>
      </c>
      <c r="AM42" s="33" t="str">
        <f aca="false">IF(D42="","","OK")</f>
        <v/>
      </c>
      <c r="AN42" s="9"/>
      <c r="AO42" s="9"/>
      <c r="AP42" s="9"/>
      <c r="AQ42" s="10" t="str">
        <f aca="false">IF(AP42="","",IFERROR(VLOOKUP(AP42,Projects!$A$5:$D$504,2,0),"Ref not in Projects"))</f>
        <v/>
      </c>
      <c r="AR42" s="10" t="str">
        <f aca="false">IF(AP42="","",IFERROR(VLOOKUP(AP42,Projects!$A$5:$D$504,4,0),"Ref not in Projects"))</f>
        <v/>
      </c>
      <c r="AS42" s="9"/>
      <c r="AT42" s="9"/>
      <c r="AU42" s="9"/>
      <c r="AV42" s="40"/>
      <c r="AW42" s="9"/>
      <c r="AX42" s="40"/>
      <c r="AY42" s="9"/>
      <c r="AZ42" s="40"/>
      <c r="BA42" s="9"/>
      <c r="BB42" s="9"/>
      <c r="BC42" s="9"/>
      <c r="BD42" s="40"/>
      <c r="BE42" s="40"/>
      <c r="BF42" s="36" t="str">
        <f aca="false">IF(BE42="","",EDATE(BE42,SG_Criteria!$B$54*12))</f>
        <v/>
      </c>
      <c r="BG42" s="33" t="str">
        <f aca="true">IF(A42="","",IF(BE42="","NOTE: not reviewed yet",IF(TODAY()&gt;BF42,"NOTE: review overdue","OK")))</f>
        <v/>
      </c>
      <c r="BH42" s="37" t="str">
        <f aca="false">IF(A42="","",ROUND((IF(LEN(D42)&gt;0,1,0)+IF(LEN(E42)&gt;0,1,0)+IF(LEN(I42)&gt;0,1,0)+IF(LEN(K42)&gt;0,1,0)+IF(LEN(Q42)&gt;0,1,0)+IF(LEN(S42)&gt;0,1,0)+IF(LEN(T42)&gt;0,1,0)+IF(LEN(U42)&gt;0,1,0)+IF(LEN(V42)&gt;0,1,0)+IF(LEN(AE42)&gt;0,1,0)+IF(LEN(AP42)&gt;0,1,0)+IF(LEN(BC42)&gt;0,1,0))/12,2))</f>
        <v/>
      </c>
      <c r="BI42" s="10" t="str">
        <f aca="false">IF(D42="","",IF(AND(T42="Approved",ISERROR(SEARCH("FAIL",AM42))),"Y","N"))</f>
        <v/>
      </c>
    </row>
    <row r="43" customFormat="false" ht="15" hidden="false" customHeight="false" outlineLevel="0" collapsed="false">
      <c r="A43" s="10" t="str">
        <f aca="false">IF(D43="","",IFERROR(VLOOKUP(D43,Lists!$BI$4:$BJ$20,2,0),"??")&amp;"-"&amp;UPPER(SUBSTITUTE(E43," ",""))&amp;IF(F43&lt;&gt;"","-SP"&amp;TEXT(F43*1000,"0"),"")&amp;IF(G43&lt;&gt;"","-H"&amp;TEXT(G43*1000,"0"),"")&amp;"-"&amp;S43)</f>
        <v/>
      </c>
      <c r="B43" s="10" t="str">
        <f aca="false">IF(D43="","",D43&amp;" - "&amp;E43&amp;IF(F43&lt;&gt;"",", span "&amp;F43&amp;" m","")&amp;IF(G43&lt;&gt;"",", H "&amp;G43&amp;" m","")&amp;IF(H43&lt;&gt;"",", W "&amp;H43&amp;" m",""))</f>
        <v/>
      </c>
      <c r="C43" s="9"/>
      <c r="D43" s="9"/>
      <c r="E43" s="9"/>
      <c r="F43" s="42"/>
      <c r="G43" s="42"/>
      <c r="H43" s="42"/>
      <c r="I43" s="9"/>
      <c r="J43" s="9"/>
      <c r="K43" s="9"/>
      <c r="L43" s="9"/>
      <c r="M43" s="9"/>
      <c r="N43" s="38"/>
      <c r="O43" s="9"/>
      <c r="P43" s="39"/>
      <c r="Q43" s="9"/>
      <c r="R43" s="9"/>
      <c r="S43" s="9"/>
      <c r="T43" s="9"/>
      <c r="U43" s="9"/>
      <c r="V43" s="9"/>
      <c r="W43" s="9"/>
      <c r="X43" s="10" t="str">
        <f aca="false">IF(A43="","",SG_Criteria!$B$6&amp;SG_Criteria!$B$13&amp;"\"&amp;A43&amp;"\")</f>
        <v/>
      </c>
      <c r="Y43" s="10" t="str">
        <f aca="false">IF(A43="","",A43&amp;"_CAD.dwg")</f>
        <v/>
      </c>
      <c r="Z43" s="10" t="str">
        <f aca="false">IF(A43="","",A43&amp;"_DWG.pdf")</f>
        <v/>
      </c>
      <c r="AA43" s="10" t="str">
        <f aca="false">IF(A43="","",IF(W43="Y",A43&amp;"_STAAD.std","n/a"))</f>
        <v/>
      </c>
      <c r="AB43" s="10" t="str">
        <f aca="false">IF(A43="","",A43&amp;"_CALC.xlsx")</f>
        <v/>
      </c>
      <c r="AC43" s="10" t="str">
        <f aca="false">IF(A43="","",A43&amp;"_CALC.pdf")</f>
        <v/>
      </c>
      <c r="AD43" s="9"/>
      <c r="AE43" s="9"/>
      <c r="AF43" s="39"/>
      <c r="AG43" s="39"/>
      <c r="AH43" s="39"/>
      <c r="AI43" s="39"/>
      <c r="AJ43" s="39"/>
      <c r="AK43" s="12" t="str">
        <f aca="false">IF(A43="","",IF(COUNTIF(Rebar_Schedule!$A$5:$A$2004,A43)=0,"",ROUND(SUMIF(Rebar_Schedule!$A$5:$A$2004,A43,Rebar_Schedule!$K$5:$K$2004),1)))</f>
        <v/>
      </c>
      <c r="AL43" s="33" t="str">
        <f aca="false">IF(A43="","",IF(AK43="","No rebar schedule yet",IF(ABS(AK43-N(AG43))/MAX(N(AG43),1)&gt;SG_Criteria!$B$55,"NOTE: register rebar differs from schedule by "&amp;TEXT(ABS(AK43-N(AG43))/MAX(N(AG43),1),"0%"),"OK")))</f>
        <v/>
      </c>
      <c r="AM43" s="33" t="str">
        <f aca="false">IF(D43="","","OK")</f>
        <v/>
      </c>
      <c r="AN43" s="9"/>
      <c r="AO43" s="9"/>
      <c r="AP43" s="9"/>
      <c r="AQ43" s="10" t="str">
        <f aca="false">IF(AP43="","",IFERROR(VLOOKUP(AP43,Projects!$A$5:$D$504,2,0),"Ref not in Projects"))</f>
        <v/>
      </c>
      <c r="AR43" s="10" t="str">
        <f aca="false">IF(AP43="","",IFERROR(VLOOKUP(AP43,Projects!$A$5:$D$504,4,0),"Ref not in Projects"))</f>
        <v/>
      </c>
      <c r="AS43" s="9"/>
      <c r="AT43" s="9"/>
      <c r="AU43" s="9"/>
      <c r="AV43" s="40"/>
      <c r="AW43" s="9"/>
      <c r="AX43" s="40"/>
      <c r="AY43" s="9"/>
      <c r="AZ43" s="40"/>
      <c r="BA43" s="9"/>
      <c r="BB43" s="9"/>
      <c r="BC43" s="9"/>
      <c r="BD43" s="40"/>
      <c r="BE43" s="40"/>
      <c r="BF43" s="36" t="str">
        <f aca="false">IF(BE43="","",EDATE(BE43,SG_Criteria!$B$54*12))</f>
        <v/>
      </c>
      <c r="BG43" s="33" t="str">
        <f aca="true">IF(A43="","",IF(BE43="","NOTE: not reviewed yet",IF(TODAY()&gt;BF43,"NOTE: review overdue","OK")))</f>
        <v/>
      </c>
      <c r="BH43" s="37" t="str">
        <f aca="false">IF(A43="","",ROUND((IF(LEN(D43)&gt;0,1,0)+IF(LEN(E43)&gt;0,1,0)+IF(LEN(I43)&gt;0,1,0)+IF(LEN(K43)&gt;0,1,0)+IF(LEN(Q43)&gt;0,1,0)+IF(LEN(S43)&gt;0,1,0)+IF(LEN(T43)&gt;0,1,0)+IF(LEN(U43)&gt;0,1,0)+IF(LEN(V43)&gt;0,1,0)+IF(LEN(AE43)&gt;0,1,0)+IF(LEN(AP43)&gt;0,1,0)+IF(LEN(BC43)&gt;0,1,0))/12,2))</f>
        <v/>
      </c>
      <c r="BI43" s="10" t="str">
        <f aca="false">IF(D43="","",IF(AND(T43="Approved",ISERROR(SEARCH("FAIL",AM43))),"Y","N"))</f>
        <v/>
      </c>
    </row>
    <row r="44" customFormat="false" ht="15" hidden="false" customHeight="false" outlineLevel="0" collapsed="false">
      <c r="A44" s="10" t="str">
        <f aca="false">IF(D44="","",IFERROR(VLOOKUP(D44,Lists!$BI$4:$BJ$20,2,0),"??")&amp;"-"&amp;UPPER(SUBSTITUTE(E44," ",""))&amp;IF(F44&lt;&gt;"","-SP"&amp;TEXT(F44*1000,"0"),"")&amp;IF(G44&lt;&gt;"","-H"&amp;TEXT(G44*1000,"0"),"")&amp;"-"&amp;S44)</f>
        <v/>
      </c>
      <c r="B44" s="10" t="str">
        <f aca="false">IF(D44="","",D44&amp;" - "&amp;E44&amp;IF(F44&lt;&gt;"",", span "&amp;F44&amp;" m","")&amp;IF(G44&lt;&gt;"",", H "&amp;G44&amp;" m","")&amp;IF(H44&lt;&gt;"",", W "&amp;H44&amp;" m",""))</f>
        <v/>
      </c>
      <c r="C44" s="9"/>
      <c r="D44" s="9"/>
      <c r="E44" s="9"/>
      <c r="F44" s="42"/>
      <c r="G44" s="42"/>
      <c r="H44" s="42"/>
      <c r="I44" s="9"/>
      <c r="J44" s="9"/>
      <c r="K44" s="9"/>
      <c r="L44" s="9"/>
      <c r="M44" s="9"/>
      <c r="N44" s="38"/>
      <c r="O44" s="9"/>
      <c r="P44" s="39"/>
      <c r="Q44" s="9"/>
      <c r="R44" s="9"/>
      <c r="S44" s="9"/>
      <c r="T44" s="9"/>
      <c r="U44" s="9"/>
      <c r="V44" s="9"/>
      <c r="W44" s="9"/>
      <c r="X44" s="10" t="str">
        <f aca="false">IF(A44="","",SG_Criteria!$B$6&amp;SG_Criteria!$B$13&amp;"\"&amp;A44&amp;"\")</f>
        <v/>
      </c>
      <c r="Y44" s="10" t="str">
        <f aca="false">IF(A44="","",A44&amp;"_CAD.dwg")</f>
        <v/>
      </c>
      <c r="Z44" s="10" t="str">
        <f aca="false">IF(A44="","",A44&amp;"_DWG.pdf")</f>
        <v/>
      </c>
      <c r="AA44" s="10" t="str">
        <f aca="false">IF(A44="","",IF(W44="Y",A44&amp;"_STAAD.std","n/a"))</f>
        <v/>
      </c>
      <c r="AB44" s="10" t="str">
        <f aca="false">IF(A44="","",A44&amp;"_CALC.xlsx")</f>
        <v/>
      </c>
      <c r="AC44" s="10" t="str">
        <f aca="false">IF(A44="","",A44&amp;"_CALC.pdf")</f>
        <v/>
      </c>
      <c r="AD44" s="9"/>
      <c r="AE44" s="9"/>
      <c r="AF44" s="39"/>
      <c r="AG44" s="39"/>
      <c r="AH44" s="39"/>
      <c r="AI44" s="39"/>
      <c r="AJ44" s="39"/>
      <c r="AK44" s="12" t="str">
        <f aca="false">IF(A44="","",IF(COUNTIF(Rebar_Schedule!$A$5:$A$2004,A44)=0,"",ROUND(SUMIF(Rebar_Schedule!$A$5:$A$2004,A44,Rebar_Schedule!$K$5:$K$2004),1)))</f>
        <v/>
      </c>
      <c r="AL44" s="33" t="str">
        <f aca="false">IF(A44="","",IF(AK44="","No rebar schedule yet",IF(ABS(AK44-N(AG44))/MAX(N(AG44),1)&gt;SG_Criteria!$B$55,"NOTE: register rebar differs from schedule by "&amp;TEXT(ABS(AK44-N(AG44))/MAX(N(AG44),1),"0%"),"OK")))</f>
        <v/>
      </c>
      <c r="AM44" s="33" t="str">
        <f aca="false">IF(D44="","","OK")</f>
        <v/>
      </c>
      <c r="AN44" s="9"/>
      <c r="AO44" s="9"/>
      <c r="AP44" s="9"/>
      <c r="AQ44" s="10" t="str">
        <f aca="false">IF(AP44="","",IFERROR(VLOOKUP(AP44,Projects!$A$5:$D$504,2,0),"Ref not in Projects"))</f>
        <v/>
      </c>
      <c r="AR44" s="10" t="str">
        <f aca="false">IF(AP44="","",IFERROR(VLOOKUP(AP44,Projects!$A$5:$D$504,4,0),"Ref not in Projects"))</f>
        <v/>
      </c>
      <c r="AS44" s="9"/>
      <c r="AT44" s="9"/>
      <c r="AU44" s="9"/>
      <c r="AV44" s="40"/>
      <c r="AW44" s="9"/>
      <c r="AX44" s="40"/>
      <c r="AY44" s="9"/>
      <c r="AZ44" s="40"/>
      <c r="BA44" s="9"/>
      <c r="BB44" s="9"/>
      <c r="BC44" s="9"/>
      <c r="BD44" s="40"/>
      <c r="BE44" s="40"/>
      <c r="BF44" s="36" t="str">
        <f aca="false">IF(BE44="","",EDATE(BE44,SG_Criteria!$B$54*12))</f>
        <v/>
      </c>
      <c r="BG44" s="33" t="str">
        <f aca="true">IF(A44="","",IF(BE44="","NOTE: not reviewed yet",IF(TODAY()&gt;BF44,"NOTE: review overdue","OK")))</f>
        <v/>
      </c>
      <c r="BH44" s="37" t="str">
        <f aca="false">IF(A44="","",ROUND((IF(LEN(D44)&gt;0,1,0)+IF(LEN(E44)&gt;0,1,0)+IF(LEN(I44)&gt;0,1,0)+IF(LEN(K44)&gt;0,1,0)+IF(LEN(Q44)&gt;0,1,0)+IF(LEN(S44)&gt;0,1,0)+IF(LEN(T44)&gt;0,1,0)+IF(LEN(U44)&gt;0,1,0)+IF(LEN(V44)&gt;0,1,0)+IF(LEN(AE44)&gt;0,1,0)+IF(LEN(AP44)&gt;0,1,0)+IF(LEN(BC44)&gt;0,1,0))/12,2))</f>
        <v/>
      </c>
      <c r="BI44" s="10" t="str">
        <f aca="false">IF(D44="","",IF(AND(T44="Approved",ISERROR(SEARCH("FAIL",AM44))),"Y","N"))</f>
        <v/>
      </c>
    </row>
    <row r="45" customFormat="false" ht="15" hidden="false" customHeight="false" outlineLevel="0" collapsed="false">
      <c r="A45" s="10" t="str">
        <f aca="false">IF(D45="","",IFERROR(VLOOKUP(D45,Lists!$BI$4:$BJ$20,2,0),"??")&amp;"-"&amp;UPPER(SUBSTITUTE(E45," ",""))&amp;IF(F45&lt;&gt;"","-SP"&amp;TEXT(F45*1000,"0"),"")&amp;IF(G45&lt;&gt;"","-H"&amp;TEXT(G45*1000,"0"),"")&amp;"-"&amp;S45)</f>
        <v/>
      </c>
      <c r="B45" s="10" t="str">
        <f aca="false">IF(D45="","",D45&amp;" - "&amp;E45&amp;IF(F45&lt;&gt;"",", span "&amp;F45&amp;" m","")&amp;IF(G45&lt;&gt;"",", H "&amp;G45&amp;" m","")&amp;IF(H45&lt;&gt;"",", W "&amp;H45&amp;" m",""))</f>
        <v/>
      </c>
      <c r="C45" s="9"/>
      <c r="D45" s="9"/>
      <c r="E45" s="9"/>
      <c r="F45" s="42"/>
      <c r="G45" s="42"/>
      <c r="H45" s="42"/>
      <c r="I45" s="9"/>
      <c r="J45" s="9"/>
      <c r="K45" s="9"/>
      <c r="L45" s="9"/>
      <c r="M45" s="9"/>
      <c r="N45" s="38"/>
      <c r="O45" s="9"/>
      <c r="P45" s="39"/>
      <c r="Q45" s="9"/>
      <c r="R45" s="9"/>
      <c r="S45" s="9"/>
      <c r="T45" s="9"/>
      <c r="U45" s="9"/>
      <c r="V45" s="9"/>
      <c r="W45" s="9"/>
      <c r="X45" s="10" t="str">
        <f aca="false">IF(A45="","",SG_Criteria!$B$6&amp;SG_Criteria!$B$13&amp;"\"&amp;A45&amp;"\")</f>
        <v/>
      </c>
      <c r="Y45" s="10" t="str">
        <f aca="false">IF(A45="","",A45&amp;"_CAD.dwg")</f>
        <v/>
      </c>
      <c r="Z45" s="10" t="str">
        <f aca="false">IF(A45="","",A45&amp;"_DWG.pdf")</f>
        <v/>
      </c>
      <c r="AA45" s="10" t="str">
        <f aca="false">IF(A45="","",IF(W45="Y",A45&amp;"_STAAD.std","n/a"))</f>
        <v/>
      </c>
      <c r="AB45" s="10" t="str">
        <f aca="false">IF(A45="","",A45&amp;"_CALC.xlsx")</f>
        <v/>
      </c>
      <c r="AC45" s="10" t="str">
        <f aca="false">IF(A45="","",A45&amp;"_CALC.pdf")</f>
        <v/>
      </c>
      <c r="AD45" s="9"/>
      <c r="AE45" s="9"/>
      <c r="AF45" s="39"/>
      <c r="AG45" s="39"/>
      <c r="AH45" s="39"/>
      <c r="AI45" s="39"/>
      <c r="AJ45" s="39"/>
      <c r="AK45" s="12" t="str">
        <f aca="false">IF(A45="","",IF(COUNTIF(Rebar_Schedule!$A$5:$A$2004,A45)=0,"",ROUND(SUMIF(Rebar_Schedule!$A$5:$A$2004,A45,Rebar_Schedule!$K$5:$K$2004),1)))</f>
        <v/>
      </c>
      <c r="AL45" s="33" t="str">
        <f aca="false">IF(A45="","",IF(AK45="","No rebar schedule yet",IF(ABS(AK45-N(AG45))/MAX(N(AG45),1)&gt;SG_Criteria!$B$55,"NOTE: register rebar differs from schedule by "&amp;TEXT(ABS(AK45-N(AG45))/MAX(N(AG45),1),"0%"),"OK")))</f>
        <v/>
      </c>
      <c r="AM45" s="33" t="str">
        <f aca="false">IF(D45="","","OK")</f>
        <v/>
      </c>
      <c r="AN45" s="9"/>
      <c r="AO45" s="9"/>
      <c r="AP45" s="9"/>
      <c r="AQ45" s="10" t="str">
        <f aca="false">IF(AP45="","",IFERROR(VLOOKUP(AP45,Projects!$A$5:$D$504,2,0),"Ref not in Projects"))</f>
        <v/>
      </c>
      <c r="AR45" s="10" t="str">
        <f aca="false">IF(AP45="","",IFERROR(VLOOKUP(AP45,Projects!$A$5:$D$504,4,0),"Ref not in Projects"))</f>
        <v/>
      </c>
      <c r="AS45" s="9"/>
      <c r="AT45" s="9"/>
      <c r="AU45" s="9"/>
      <c r="AV45" s="40"/>
      <c r="AW45" s="9"/>
      <c r="AX45" s="40"/>
      <c r="AY45" s="9"/>
      <c r="AZ45" s="40"/>
      <c r="BA45" s="9"/>
      <c r="BB45" s="9"/>
      <c r="BC45" s="9"/>
      <c r="BD45" s="40"/>
      <c r="BE45" s="40"/>
      <c r="BF45" s="36" t="str">
        <f aca="false">IF(BE45="","",EDATE(BE45,SG_Criteria!$B$54*12))</f>
        <v/>
      </c>
      <c r="BG45" s="33" t="str">
        <f aca="true">IF(A45="","",IF(BE45="","NOTE: not reviewed yet",IF(TODAY()&gt;BF45,"NOTE: review overdue","OK")))</f>
        <v/>
      </c>
      <c r="BH45" s="37" t="str">
        <f aca="false">IF(A45="","",ROUND((IF(LEN(D45)&gt;0,1,0)+IF(LEN(E45)&gt;0,1,0)+IF(LEN(I45)&gt;0,1,0)+IF(LEN(K45)&gt;0,1,0)+IF(LEN(Q45)&gt;0,1,0)+IF(LEN(S45)&gt;0,1,0)+IF(LEN(T45)&gt;0,1,0)+IF(LEN(U45)&gt;0,1,0)+IF(LEN(V45)&gt;0,1,0)+IF(LEN(AE45)&gt;0,1,0)+IF(LEN(AP45)&gt;0,1,0)+IF(LEN(BC45)&gt;0,1,0))/12,2))</f>
        <v/>
      </c>
      <c r="BI45" s="10" t="str">
        <f aca="false">IF(D45="","",IF(AND(T45="Approved",ISERROR(SEARCH("FAIL",AM45))),"Y","N"))</f>
        <v/>
      </c>
    </row>
    <row r="46" customFormat="false" ht="15" hidden="false" customHeight="false" outlineLevel="0" collapsed="false">
      <c r="A46" s="10" t="str">
        <f aca="false">IF(D46="","",IFERROR(VLOOKUP(D46,Lists!$BI$4:$BJ$20,2,0),"??")&amp;"-"&amp;UPPER(SUBSTITUTE(E46," ",""))&amp;IF(F46&lt;&gt;"","-SP"&amp;TEXT(F46*1000,"0"),"")&amp;IF(G46&lt;&gt;"","-H"&amp;TEXT(G46*1000,"0"),"")&amp;"-"&amp;S46)</f>
        <v/>
      </c>
      <c r="B46" s="10" t="str">
        <f aca="false">IF(D46="","",D46&amp;" - "&amp;E46&amp;IF(F46&lt;&gt;"",", span "&amp;F46&amp;" m","")&amp;IF(G46&lt;&gt;"",", H "&amp;G46&amp;" m","")&amp;IF(H46&lt;&gt;"",", W "&amp;H46&amp;" m",""))</f>
        <v/>
      </c>
      <c r="C46" s="9"/>
      <c r="D46" s="9"/>
      <c r="E46" s="9"/>
      <c r="F46" s="42"/>
      <c r="G46" s="42"/>
      <c r="H46" s="42"/>
      <c r="I46" s="9"/>
      <c r="J46" s="9"/>
      <c r="K46" s="9"/>
      <c r="L46" s="9"/>
      <c r="M46" s="9"/>
      <c r="N46" s="38"/>
      <c r="O46" s="9"/>
      <c r="P46" s="39"/>
      <c r="Q46" s="9"/>
      <c r="R46" s="9"/>
      <c r="S46" s="9"/>
      <c r="T46" s="9"/>
      <c r="U46" s="9"/>
      <c r="V46" s="9"/>
      <c r="W46" s="9"/>
      <c r="X46" s="10" t="str">
        <f aca="false">IF(A46="","",SG_Criteria!$B$6&amp;SG_Criteria!$B$13&amp;"\"&amp;A46&amp;"\")</f>
        <v/>
      </c>
      <c r="Y46" s="10" t="str">
        <f aca="false">IF(A46="","",A46&amp;"_CAD.dwg")</f>
        <v/>
      </c>
      <c r="Z46" s="10" t="str">
        <f aca="false">IF(A46="","",A46&amp;"_DWG.pdf")</f>
        <v/>
      </c>
      <c r="AA46" s="10" t="str">
        <f aca="false">IF(A46="","",IF(W46="Y",A46&amp;"_STAAD.std","n/a"))</f>
        <v/>
      </c>
      <c r="AB46" s="10" t="str">
        <f aca="false">IF(A46="","",A46&amp;"_CALC.xlsx")</f>
        <v/>
      </c>
      <c r="AC46" s="10" t="str">
        <f aca="false">IF(A46="","",A46&amp;"_CALC.pdf")</f>
        <v/>
      </c>
      <c r="AD46" s="9"/>
      <c r="AE46" s="9"/>
      <c r="AF46" s="39"/>
      <c r="AG46" s="39"/>
      <c r="AH46" s="39"/>
      <c r="AI46" s="39"/>
      <c r="AJ46" s="39"/>
      <c r="AK46" s="12" t="str">
        <f aca="false">IF(A46="","",IF(COUNTIF(Rebar_Schedule!$A$5:$A$2004,A46)=0,"",ROUND(SUMIF(Rebar_Schedule!$A$5:$A$2004,A46,Rebar_Schedule!$K$5:$K$2004),1)))</f>
        <v/>
      </c>
      <c r="AL46" s="33" t="str">
        <f aca="false">IF(A46="","",IF(AK46="","No rebar schedule yet",IF(ABS(AK46-N(AG46))/MAX(N(AG46),1)&gt;SG_Criteria!$B$55,"NOTE: register rebar differs from schedule by "&amp;TEXT(ABS(AK46-N(AG46))/MAX(N(AG46),1),"0%"),"OK")))</f>
        <v/>
      </c>
      <c r="AM46" s="33" t="str">
        <f aca="false">IF(D46="","","OK")</f>
        <v/>
      </c>
      <c r="AN46" s="9"/>
      <c r="AO46" s="9"/>
      <c r="AP46" s="9"/>
      <c r="AQ46" s="10" t="str">
        <f aca="false">IF(AP46="","",IFERROR(VLOOKUP(AP46,Projects!$A$5:$D$504,2,0),"Ref not in Projects"))</f>
        <v/>
      </c>
      <c r="AR46" s="10" t="str">
        <f aca="false">IF(AP46="","",IFERROR(VLOOKUP(AP46,Projects!$A$5:$D$504,4,0),"Ref not in Projects"))</f>
        <v/>
      </c>
      <c r="AS46" s="9"/>
      <c r="AT46" s="9"/>
      <c r="AU46" s="9"/>
      <c r="AV46" s="40"/>
      <c r="AW46" s="9"/>
      <c r="AX46" s="40"/>
      <c r="AY46" s="9"/>
      <c r="AZ46" s="40"/>
      <c r="BA46" s="9"/>
      <c r="BB46" s="9"/>
      <c r="BC46" s="9"/>
      <c r="BD46" s="40"/>
      <c r="BE46" s="40"/>
      <c r="BF46" s="36" t="str">
        <f aca="false">IF(BE46="","",EDATE(BE46,SG_Criteria!$B$54*12))</f>
        <v/>
      </c>
      <c r="BG46" s="33" t="str">
        <f aca="true">IF(A46="","",IF(BE46="","NOTE: not reviewed yet",IF(TODAY()&gt;BF46,"NOTE: review overdue","OK")))</f>
        <v/>
      </c>
      <c r="BH46" s="37" t="str">
        <f aca="false">IF(A46="","",ROUND((IF(LEN(D46)&gt;0,1,0)+IF(LEN(E46)&gt;0,1,0)+IF(LEN(I46)&gt;0,1,0)+IF(LEN(K46)&gt;0,1,0)+IF(LEN(Q46)&gt;0,1,0)+IF(LEN(S46)&gt;0,1,0)+IF(LEN(T46)&gt;0,1,0)+IF(LEN(U46)&gt;0,1,0)+IF(LEN(V46)&gt;0,1,0)+IF(LEN(AE46)&gt;0,1,0)+IF(LEN(AP46)&gt;0,1,0)+IF(LEN(BC46)&gt;0,1,0))/12,2))</f>
        <v/>
      </c>
      <c r="BI46" s="10" t="str">
        <f aca="false">IF(D46="","",IF(AND(T46="Approved",ISERROR(SEARCH("FAIL",AM46))),"Y","N"))</f>
        <v/>
      </c>
    </row>
    <row r="47" customFormat="false" ht="15" hidden="false" customHeight="false" outlineLevel="0" collapsed="false">
      <c r="A47" s="10" t="str">
        <f aca="false">IF(D47="","",IFERROR(VLOOKUP(D47,Lists!$BI$4:$BJ$20,2,0),"??")&amp;"-"&amp;UPPER(SUBSTITUTE(E47," ",""))&amp;IF(F47&lt;&gt;"","-SP"&amp;TEXT(F47*1000,"0"),"")&amp;IF(G47&lt;&gt;"","-H"&amp;TEXT(G47*1000,"0"),"")&amp;"-"&amp;S47)</f>
        <v/>
      </c>
      <c r="B47" s="10" t="str">
        <f aca="false">IF(D47="","",D47&amp;" - "&amp;E47&amp;IF(F47&lt;&gt;"",", span "&amp;F47&amp;" m","")&amp;IF(G47&lt;&gt;"",", H "&amp;G47&amp;" m","")&amp;IF(H47&lt;&gt;"",", W "&amp;H47&amp;" m",""))</f>
        <v/>
      </c>
      <c r="C47" s="9"/>
      <c r="D47" s="9"/>
      <c r="E47" s="9"/>
      <c r="F47" s="42"/>
      <c r="G47" s="42"/>
      <c r="H47" s="42"/>
      <c r="I47" s="9"/>
      <c r="J47" s="9"/>
      <c r="K47" s="9"/>
      <c r="L47" s="9"/>
      <c r="M47" s="9"/>
      <c r="N47" s="38"/>
      <c r="O47" s="9"/>
      <c r="P47" s="39"/>
      <c r="Q47" s="9"/>
      <c r="R47" s="9"/>
      <c r="S47" s="9"/>
      <c r="T47" s="9"/>
      <c r="U47" s="9"/>
      <c r="V47" s="9"/>
      <c r="W47" s="9"/>
      <c r="X47" s="10" t="str">
        <f aca="false">IF(A47="","",SG_Criteria!$B$6&amp;SG_Criteria!$B$13&amp;"\"&amp;A47&amp;"\")</f>
        <v/>
      </c>
      <c r="Y47" s="10" t="str">
        <f aca="false">IF(A47="","",A47&amp;"_CAD.dwg")</f>
        <v/>
      </c>
      <c r="Z47" s="10" t="str">
        <f aca="false">IF(A47="","",A47&amp;"_DWG.pdf")</f>
        <v/>
      </c>
      <c r="AA47" s="10" t="str">
        <f aca="false">IF(A47="","",IF(W47="Y",A47&amp;"_STAAD.std","n/a"))</f>
        <v/>
      </c>
      <c r="AB47" s="10" t="str">
        <f aca="false">IF(A47="","",A47&amp;"_CALC.xlsx")</f>
        <v/>
      </c>
      <c r="AC47" s="10" t="str">
        <f aca="false">IF(A47="","",A47&amp;"_CALC.pdf")</f>
        <v/>
      </c>
      <c r="AD47" s="9"/>
      <c r="AE47" s="9"/>
      <c r="AF47" s="39"/>
      <c r="AG47" s="39"/>
      <c r="AH47" s="39"/>
      <c r="AI47" s="39"/>
      <c r="AJ47" s="39"/>
      <c r="AK47" s="12" t="str">
        <f aca="false">IF(A47="","",IF(COUNTIF(Rebar_Schedule!$A$5:$A$2004,A47)=0,"",ROUND(SUMIF(Rebar_Schedule!$A$5:$A$2004,A47,Rebar_Schedule!$K$5:$K$2004),1)))</f>
        <v/>
      </c>
      <c r="AL47" s="33" t="str">
        <f aca="false">IF(A47="","",IF(AK47="","No rebar schedule yet",IF(ABS(AK47-N(AG47))/MAX(N(AG47),1)&gt;SG_Criteria!$B$55,"NOTE: register rebar differs from schedule by "&amp;TEXT(ABS(AK47-N(AG47))/MAX(N(AG47),1),"0%"),"OK")))</f>
        <v/>
      </c>
      <c r="AM47" s="33" t="str">
        <f aca="false">IF(D47="","","OK")</f>
        <v/>
      </c>
      <c r="AN47" s="9"/>
      <c r="AO47" s="9"/>
      <c r="AP47" s="9"/>
      <c r="AQ47" s="10" t="str">
        <f aca="false">IF(AP47="","",IFERROR(VLOOKUP(AP47,Projects!$A$5:$D$504,2,0),"Ref not in Projects"))</f>
        <v/>
      </c>
      <c r="AR47" s="10" t="str">
        <f aca="false">IF(AP47="","",IFERROR(VLOOKUP(AP47,Projects!$A$5:$D$504,4,0),"Ref not in Projects"))</f>
        <v/>
      </c>
      <c r="AS47" s="9"/>
      <c r="AT47" s="9"/>
      <c r="AU47" s="9"/>
      <c r="AV47" s="40"/>
      <c r="AW47" s="9"/>
      <c r="AX47" s="40"/>
      <c r="AY47" s="9"/>
      <c r="AZ47" s="40"/>
      <c r="BA47" s="9"/>
      <c r="BB47" s="9"/>
      <c r="BC47" s="9"/>
      <c r="BD47" s="40"/>
      <c r="BE47" s="40"/>
      <c r="BF47" s="36" t="str">
        <f aca="false">IF(BE47="","",EDATE(BE47,SG_Criteria!$B$54*12))</f>
        <v/>
      </c>
      <c r="BG47" s="33" t="str">
        <f aca="true">IF(A47="","",IF(BE47="","NOTE: not reviewed yet",IF(TODAY()&gt;BF47,"NOTE: review overdue","OK")))</f>
        <v/>
      </c>
      <c r="BH47" s="37" t="str">
        <f aca="false">IF(A47="","",ROUND((IF(LEN(D47)&gt;0,1,0)+IF(LEN(E47)&gt;0,1,0)+IF(LEN(I47)&gt;0,1,0)+IF(LEN(K47)&gt;0,1,0)+IF(LEN(Q47)&gt;0,1,0)+IF(LEN(S47)&gt;0,1,0)+IF(LEN(T47)&gt;0,1,0)+IF(LEN(U47)&gt;0,1,0)+IF(LEN(V47)&gt;0,1,0)+IF(LEN(AE47)&gt;0,1,0)+IF(LEN(AP47)&gt;0,1,0)+IF(LEN(BC47)&gt;0,1,0))/12,2))</f>
        <v/>
      </c>
      <c r="BI47" s="10" t="str">
        <f aca="false">IF(D47="","",IF(AND(T47="Approved",ISERROR(SEARCH("FAIL",AM47))),"Y","N"))</f>
        <v/>
      </c>
    </row>
    <row r="48" customFormat="false" ht="15" hidden="false" customHeight="false" outlineLevel="0" collapsed="false">
      <c r="A48" s="10" t="str">
        <f aca="false">IF(D48="","",IFERROR(VLOOKUP(D48,Lists!$BI$4:$BJ$20,2,0),"??")&amp;"-"&amp;UPPER(SUBSTITUTE(E48," ",""))&amp;IF(F48&lt;&gt;"","-SP"&amp;TEXT(F48*1000,"0"),"")&amp;IF(G48&lt;&gt;"","-H"&amp;TEXT(G48*1000,"0"),"")&amp;"-"&amp;S48)</f>
        <v/>
      </c>
      <c r="B48" s="10" t="str">
        <f aca="false">IF(D48="","",D48&amp;" - "&amp;E48&amp;IF(F48&lt;&gt;"",", span "&amp;F48&amp;" m","")&amp;IF(G48&lt;&gt;"",", H "&amp;G48&amp;" m","")&amp;IF(H48&lt;&gt;"",", W "&amp;H48&amp;" m",""))</f>
        <v/>
      </c>
      <c r="C48" s="9"/>
      <c r="D48" s="9"/>
      <c r="E48" s="9"/>
      <c r="F48" s="42"/>
      <c r="G48" s="42"/>
      <c r="H48" s="42"/>
      <c r="I48" s="9"/>
      <c r="J48" s="9"/>
      <c r="K48" s="9"/>
      <c r="L48" s="9"/>
      <c r="M48" s="9"/>
      <c r="N48" s="38"/>
      <c r="O48" s="9"/>
      <c r="P48" s="39"/>
      <c r="Q48" s="9"/>
      <c r="R48" s="9"/>
      <c r="S48" s="9"/>
      <c r="T48" s="9"/>
      <c r="U48" s="9"/>
      <c r="V48" s="9"/>
      <c r="W48" s="9"/>
      <c r="X48" s="10" t="str">
        <f aca="false">IF(A48="","",SG_Criteria!$B$6&amp;SG_Criteria!$B$13&amp;"\"&amp;A48&amp;"\")</f>
        <v/>
      </c>
      <c r="Y48" s="10" t="str">
        <f aca="false">IF(A48="","",A48&amp;"_CAD.dwg")</f>
        <v/>
      </c>
      <c r="Z48" s="10" t="str">
        <f aca="false">IF(A48="","",A48&amp;"_DWG.pdf")</f>
        <v/>
      </c>
      <c r="AA48" s="10" t="str">
        <f aca="false">IF(A48="","",IF(W48="Y",A48&amp;"_STAAD.std","n/a"))</f>
        <v/>
      </c>
      <c r="AB48" s="10" t="str">
        <f aca="false">IF(A48="","",A48&amp;"_CALC.xlsx")</f>
        <v/>
      </c>
      <c r="AC48" s="10" t="str">
        <f aca="false">IF(A48="","",A48&amp;"_CALC.pdf")</f>
        <v/>
      </c>
      <c r="AD48" s="9"/>
      <c r="AE48" s="9"/>
      <c r="AF48" s="39"/>
      <c r="AG48" s="39"/>
      <c r="AH48" s="39"/>
      <c r="AI48" s="39"/>
      <c r="AJ48" s="39"/>
      <c r="AK48" s="12" t="str">
        <f aca="false">IF(A48="","",IF(COUNTIF(Rebar_Schedule!$A$5:$A$2004,A48)=0,"",ROUND(SUMIF(Rebar_Schedule!$A$5:$A$2004,A48,Rebar_Schedule!$K$5:$K$2004),1)))</f>
        <v/>
      </c>
      <c r="AL48" s="33" t="str">
        <f aca="false">IF(A48="","",IF(AK48="","No rebar schedule yet",IF(ABS(AK48-N(AG48))/MAX(N(AG48),1)&gt;SG_Criteria!$B$55,"NOTE: register rebar differs from schedule by "&amp;TEXT(ABS(AK48-N(AG48))/MAX(N(AG48),1),"0%"),"OK")))</f>
        <v/>
      </c>
      <c r="AM48" s="33" t="str">
        <f aca="false">IF(D48="","","OK")</f>
        <v/>
      </c>
      <c r="AN48" s="9"/>
      <c r="AO48" s="9"/>
      <c r="AP48" s="9"/>
      <c r="AQ48" s="10" t="str">
        <f aca="false">IF(AP48="","",IFERROR(VLOOKUP(AP48,Projects!$A$5:$D$504,2,0),"Ref not in Projects"))</f>
        <v/>
      </c>
      <c r="AR48" s="10" t="str">
        <f aca="false">IF(AP48="","",IFERROR(VLOOKUP(AP48,Projects!$A$5:$D$504,4,0),"Ref not in Projects"))</f>
        <v/>
      </c>
      <c r="AS48" s="9"/>
      <c r="AT48" s="9"/>
      <c r="AU48" s="9"/>
      <c r="AV48" s="40"/>
      <c r="AW48" s="9"/>
      <c r="AX48" s="40"/>
      <c r="AY48" s="9"/>
      <c r="AZ48" s="40"/>
      <c r="BA48" s="9"/>
      <c r="BB48" s="9"/>
      <c r="BC48" s="9"/>
      <c r="BD48" s="40"/>
      <c r="BE48" s="40"/>
      <c r="BF48" s="36" t="str">
        <f aca="false">IF(BE48="","",EDATE(BE48,SG_Criteria!$B$54*12))</f>
        <v/>
      </c>
      <c r="BG48" s="33" t="str">
        <f aca="true">IF(A48="","",IF(BE48="","NOTE: not reviewed yet",IF(TODAY()&gt;BF48,"NOTE: review overdue","OK")))</f>
        <v/>
      </c>
      <c r="BH48" s="37" t="str">
        <f aca="false">IF(A48="","",ROUND((IF(LEN(D48)&gt;0,1,0)+IF(LEN(E48)&gt;0,1,0)+IF(LEN(I48)&gt;0,1,0)+IF(LEN(K48)&gt;0,1,0)+IF(LEN(Q48)&gt;0,1,0)+IF(LEN(S48)&gt;0,1,0)+IF(LEN(T48)&gt;0,1,0)+IF(LEN(U48)&gt;0,1,0)+IF(LEN(V48)&gt;0,1,0)+IF(LEN(AE48)&gt;0,1,0)+IF(LEN(AP48)&gt;0,1,0)+IF(LEN(BC48)&gt;0,1,0))/12,2))</f>
        <v/>
      </c>
      <c r="BI48" s="10" t="str">
        <f aca="false">IF(D48="","",IF(AND(T48="Approved",ISERROR(SEARCH("FAIL",AM48))),"Y","N"))</f>
        <v/>
      </c>
    </row>
    <row r="49" customFormat="false" ht="15" hidden="false" customHeight="false" outlineLevel="0" collapsed="false">
      <c r="A49" s="10" t="str">
        <f aca="false">IF(D49="","",IFERROR(VLOOKUP(D49,Lists!$BI$4:$BJ$20,2,0),"??")&amp;"-"&amp;UPPER(SUBSTITUTE(E49," ",""))&amp;IF(F49&lt;&gt;"","-SP"&amp;TEXT(F49*1000,"0"),"")&amp;IF(G49&lt;&gt;"","-H"&amp;TEXT(G49*1000,"0"),"")&amp;"-"&amp;S49)</f>
        <v/>
      </c>
      <c r="B49" s="10" t="str">
        <f aca="false">IF(D49="","",D49&amp;" - "&amp;E49&amp;IF(F49&lt;&gt;"",", span "&amp;F49&amp;" m","")&amp;IF(G49&lt;&gt;"",", H "&amp;G49&amp;" m","")&amp;IF(H49&lt;&gt;"",", W "&amp;H49&amp;" m",""))</f>
        <v/>
      </c>
      <c r="C49" s="9"/>
      <c r="D49" s="9"/>
      <c r="E49" s="9"/>
      <c r="F49" s="42"/>
      <c r="G49" s="42"/>
      <c r="H49" s="42"/>
      <c r="I49" s="9"/>
      <c r="J49" s="9"/>
      <c r="K49" s="9"/>
      <c r="L49" s="9"/>
      <c r="M49" s="9"/>
      <c r="N49" s="38"/>
      <c r="O49" s="9"/>
      <c r="P49" s="39"/>
      <c r="Q49" s="9"/>
      <c r="R49" s="9"/>
      <c r="S49" s="9"/>
      <c r="T49" s="9"/>
      <c r="U49" s="9"/>
      <c r="V49" s="9"/>
      <c r="W49" s="9"/>
      <c r="X49" s="10" t="str">
        <f aca="false">IF(A49="","",SG_Criteria!$B$6&amp;SG_Criteria!$B$13&amp;"\"&amp;A49&amp;"\")</f>
        <v/>
      </c>
      <c r="Y49" s="10" t="str">
        <f aca="false">IF(A49="","",A49&amp;"_CAD.dwg")</f>
        <v/>
      </c>
      <c r="Z49" s="10" t="str">
        <f aca="false">IF(A49="","",A49&amp;"_DWG.pdf")</f>
        <v/>
      </c>
      <c r="AA49" s="10" t="str">
        <f aca="false">IF(A49="","",IF(W49="Y",A49&amp;"_STAAD.std","n/a"))</f>
        <v/>
      </c>
      <c r="AB49" s="10" t="str">
        <f aca="false">IF(A49="","",A49&amp;"_CALC.xlsx")</f>
        <v/>
      </c>
      <c r="AC49" s="10" t="str">
        <f aca="false">IF(A49="","",A49&amp;"_CALC.pdf")</f>
        <v/>
      </c>
      <c r="AD49" s="9"/>
      <c r="AE49" s="9"/>
      <c r="AF49" s="39"/>
      <c r="AG49" s="39"/>
      <c r="AH49" s="39"/>
      <c r="AI49" s="39"/>
      <c r="AJ49" s="39"/>
      <c r="AK49" s="12" t="str">
        <f aca="false">IF(A49="","",IF(COUNTIF(Rebar_Schedule!$A$5:$A$2004,A49)=0,"",ROUND(SUMIF(Rebar_Schedule!$A$5:$A$2004,A49,Rebar_Schedule!$K$5:$K$2004),1)))</f>
        <v/>
      </c>
      <c r="AL49" s="33" t="str">
        <f aca="false">IF(A49="","",IF(AK49="","No rebar schedule yet",IF(ABS(AK49-N(AG49))/MAX(N(AG49),1)&gt;SG_Criteria!$B$55,"NOTE: register rebar differs from schedule by "&amp;TEXT(ABS(AK49-N(AG49))/MAX(N(AG49),1),"0%"),"OK")))</f>
        <v/>
      </c>
      <c r="AM49" s="33" t="str">
        <f aca="false">IF(D49="","","OK")</f>
        <v/>
      </c>
      <c r="AN49" s="9"/>
      <c r="AO49" s="9"/>
      <c r="AP49" s="9"/>
      <c r="AQ49" s="10" t="str">
        <f aca="false">IF(AP49="","",IFERROR(VLOOKUP(AP49,Projects!$A$5:$D$504,2,0),"Ref not in Projects"))</f>
        <v/>
      </c>
      <c r="AR49" s="10" t="str">
        <f aca="false">IF(AP49="","",IFERROR(VLOOKUP(AP49,Projects!$A$5:$D$504,4,0),"Ref not in Projects"))</f>
        <v/>
      </c>
      <c r="AS49" s="9"/>
      <c r="AT49" s="9"/>
      <c r="AU49" s="9"/>
      <c r="AV49" s="40"/>
      <c r="AW49" s="9"/>
      <c r="AX49" s="40"/>
      <c r="AY49" s="9"/>
      <c r="AZ49" s="40"/>
      <c r="BA49" s="9"/>
      <c r="BB49" s="9"/>
      <c r="BC49" s="9"/>
      <c r="BD49" s="40"/>
      <c r="BE49" s="40"/>
      <c r="BF49" s="36" t="str">
        <f aca="false">IF(BE49="","",EDATE(BE49,SG_Criteria!$B$54*12))</f>
        <v/>
      </c>
      <c r="BG49" s="33" t="str">
        <f aca="true">IF(A49="","",IF(BE49="","NOTE: not reviewed yet",IF(TODAY()&gt;BF49,"NOTE: review overdue","OK")))</f>
        <v/>
      </c>
      <c r="BH49" s="37" t="str">
        <f aca="false">IF(A49="","",ROUND((IF(LEN(D49)&gt;0,1,0)+IF(LEN(E49)&gt;0,1,0)+IF(LEN(I49)&gt;0,1,0)+IF(LEN(K49)&gt;0,1,0)+IF(LEN(Q49)&gt;0,1,0)+IF(LEN(S49)&gt;0,1,0)+IF(LEN(T49)&gt;0,1,0)+IF(LEN(U49)&gt;0,1,0)+IF(LEN(V49)&gt;0,1,0)+IF(LEN(AE49)&gt;0,1,0)+IF(LEN(AP49)&gt;0,1,0)+IF(LEN(BC49)&gt;0,1,0))/12,2))</f>
        <v/>
      </c>
      <c r="BI49" s="10" t="str">
        <f aca="false">IF(D49="","",IF(AND(T49="Approved",ISERROR(SEARCH("FAIL",AM49))),"Y","N"))</f>
        <v/>
      </c>
    </row>
    <row r="50" customFormat="false" ht="15" hidden="false" customHeight="false" outlineLevel="0" collapsed="false">
      <c r="A50" s="10" t="str">
        <f aca="false">IF(D50="","",IFERROR(VLOOKUP(D50,Lists!$BI$4:$BJ$20,2,0),"??")&amp;"-"&amp;UPPER(SUBSTITUTE(E50," ",""))&amp;IF(F50&lt;&gt;"","-SP"&amp;TEXT(F50*1000,"0"),"")&amp;IF(G50&lt;&gt;"","-H"&amp;TEXT(G50*1000,"0"),"")&amp;"-"&amp;S50)</f>
        <v/>
      </c>
      <c r="B50" s="10" t="str">
        <f aca="false">IF(D50="","",D50&amp;" - "&amp;E50&amp;IF(F50&lt;&gt;"",", span "&amp;F50&amp;" m","")&amp;IF(G50&lt;&gt;"",", H "&amp;G50&amp;" m","")&amp;IF(H50&lt;&gt;"",", W "&amp;H50&amp;" m",""))</f>
        <v/>
      </c>
      <c r="C50" s="9"/>
      <c r="D50" s="9"/>
      <c r="E50" s="9"/>
      <c r="F50" s="42"/>
      <c r="G50" s="42"/>
      <c r="H50" s="42"/>
      <c r="I50" s="9"/>
      <c r="J50" s="9"/>
      <c r="K50" s="9"/>
      <c r="L50" s="9"/>
      <c r="M50" s="9"/>
      <c r="N50" s="38"/>
      <c r="O50" s="9"/>
      <c r="P50" s="39"/>
      <c r="Q50" s="9"/>
      <c r="R50" s="9"/>
      <c r="S50" s="9"/>
      <c r="T50" s="9"/>
      <c r="U50" s="9"/>
      <c r="V50" s="9"/>
      <c r="W50" s="9"/>
      <c r="X50" s="10" t="str">
        <f aca="false">IF(A50="","",SG_Criteria!$B$6&amp;SG_Criteria!$B$13&amp;"\"&amp;A50&amp;"\")</f>
        <v/>
      </c>
      <c r="Y50" s="10" t="str">
        <f aca="false">IF(A50="","",A50&amp;"_CAD.dwg")</f>
        <v/>
      </c>
      <c r="Z50" s="10" t="str">
        <f aca="false">IF(A50="","",A50&amp;"_DWG.pdf")</f>
        <v/>
      </c>
      <c r="AA50" s="10" t="str">
        <f aca="false">IF(A50="","",IF(W50="Y",A50&amp;"_STAAD.std","n/a"))</f>
        <v/>
      </c>
      <c r="AB50" s="10" t="str">
        <f aca="false">IF(A50="","",A50&amp;"_CALC.xlsx")</f>
        <v/>
      </c>
      <c r="AC50" s="10" t="str">
        <f aca="false">IF(A50="","",A50&amp;"_CALC.pdf")</f>
        <v/>
      </c>
      <c r="AD50" s="9"/>
      <c r="AE50" s="9"/>
      <c r="AF50" s="39"/>
      <c r="AG50" s="39"/>
      <c r="AH50" s="39"/>
      <c r="AI50" s="39"/>
      <c r="AJ50" s="39"/>
      <c r="AK50" s="12" t="str">
        <f aca="false">IF(A50="","",IF(COUNTIF(Rebar_Schedule!$A$5:$A$2004,A50)=0,"",ROUND(SUMIF(Rebar_Schedule!$A$5:$A$2004,A50,Rebar_Schedule!$K$5:$K$2004),1)))</f>
        <v/>
      </c>
      <c r="AL50" s="33" t="str">
        <f aca="false">IF(A50="","",IF(AK50="","No rebar schedule yet",IF(ABS(AK50-N(AG50))/MAX(N(AG50),1)&gt;SG_Criteria!$B$55,"NOTE: register rebar differs from schedule by "&amp;TEXT(ABS(AK50-N(AG50))/MAX(N(AG50),1),"0%"),"OK")))</f>
        <v/>
      </c>
      <c r="AM50" s="33" t="str">
        <f aca="false">IF(D50="","","OK")</f>
        <v/>
      </c>
      <c r="AN50" s="9"/>
      <c r="AO50" s="9"/>
      <c r="AP50" s="9"/>
      <c r="AQ50" s="10" t="str">
        <f aca="false">IF(AP50="","",IFERROR(VLOOKUP(AP50,Projects!$A$5:$D$504,2,0),"Ref not in Projects"))</f>
        <v/>
      </c>
      <c r="AR50" s="10" t="str">
        <f aca="false">IF(AP50="","",IFERROR(VLOOKUP(AP50,Projects!$A$5:$D$504,4,0),"Ref not in Projects"))</f>
        <v/>
      </c>
      <c r="AS50" s="9"/>
      <c r="AT50" s="9"/>
      <c r="AU50" s="9"/>
      <c r="AV50" s="40"/>
      <c r="AW50" s="9"/>
      <c r="AX50" s="40"/>
      <c r="AY50" s="9"/>
      <c r="AZ50" s="40"/>
      <c r="BA50" s="9"/>
      <c r="BB50" s="9"/>
      <c r="BC50" s="9"/>
      <c r="BD50" s="40"/>
      <c r="BE50" s="40"/>
      <c r="BF50" s="36" t="str">
        <f aca="false">IF(BE50="","",EDATE(BE50,SG_Criteria!$B$54*12))</f>
        <v/>
      </c>
      <c r="BG50" s="33" t="str">
        <f aca="true">IF(A50="","",IF(BE50="","NOTE: not reviewed yet",IF(TODAY()&gt;BF50,"NOTE: review overdue","OK")))</f>
        <v/>
      </c>
      <c r="BH50" s="37" t="str">
        <f aca="false">IF(A50="","",ROUND((IF(LEN(D50)&gt;0,1,0)+IF(LEN(E50)&gt;0,1,0)+IF(LEN(I50)&gt;0,1,0)+IF(LEN(K50)&gt;0,1,0)+IF(LEN(Q50)&gt;0,1,0)+IF(LEN(S50)&gt;0,1,0)+IF(LEN(T50)&gt;0,1,0)+IF(LEN(U50)&gt;0,1,0)+IF(LEN(V50)&gt;0,1,0)+IF(LEN(AE50)&gt;0,1,0)+IF(LEN(AP50)&gt;0,1,0)+IF(LEN(BC50)&gt;0,1,0))/12,2))</f>
        <v/>
      </c>
      <c r="BI50" s="10" t="str">
        <f aca="false">IF(D50="","",IF(AND(T50="Approved",ISERROR(SEARCH("FAIL",AM50))),"Y","N"))</f>
        <v/>
      </c>
    </row>
    <row r="51" customFormat="false" ht="15" hidden="false" customHeight="false" outlineLevel="0" collapsed="false">
      <c r="A51" s="10" t="str">
        <f aca="false">IF(D51="","",IFERROR(VLOOKUP(D51,Lists!$BI$4:$BJ$20,2,0),"??")&amp;"-"&amp;UPPER(SUBSTITUTE(E51," ",""))&amp;IF(F51&lt;&gt;"","-SP"&amp;TEXT(F51*1000,"0"),"")&amp;IF(G51&lt;&gt;"","-H"&amp;TEXT(G51*1000,"0"),"")&amp;"-"&amp;S51)</f>
        <v/>
      </c>
      <c r="B51" s="10" t="str">
        <f aca="false">IF(D51="","",D51&amp;" - "&amp;E51&amp;IF(F51&lt;&gt;"",", span "&amp;F51&amp;" m","")&amp;IF(G51&lt;&gt;"",", H "&amp;G51&amp;" m","")&amp;IF(H51&lt;&gt;"",", W "&amp;H51&amp;" m",""))</f>
        <v/>
      </c>
      <c r="C51" s="9"/>
      <c r="D51" s="9"/>
      <c r="E51" s="9"/>
      <c r="F51" s="42"/>
      <c r="G51" s="42"/>
      <c r="H51" s="42"/>
      <c r="I51" s="9"/>
      <c r="J51" s="9"/>
      <c r="K51" s="9"/>
      <c r="L51" s="9"/>
      <c r="M51" s="9"/>
      <c r="N51" s="38"/>
      <c r="O51" s="9"/>
      <c r="P51" s="39"/>
      <c r="Q51" s="9"/>
      <c r="R51" s="9"/>
      <c r="S51" s="9"/>
      <c r="T51" s="9"/>
      <c r="U51" s="9"/>
      <c r="V51" s="9"/>
      <c r="W51" s="9"/>
      <c r="X51" s="10" t="str">
        <f aca="false">IF(A51="","",SG_Criteria!$B$6&amp;SG_Criteria!$B$13&amp;"\"&amp;A51&amp;"\")</f>
        <v/>
      </c>
      <c r="Y51" s="10" t="str">
        <f aca="false">IF(A51="","",A51&amp;"_CAD.dwg")</f>
        <v/>
      </c>
      <c r="Z51" s="10" t="str">
        <f aca="false">IF(A51="","",A51&amp;"_DWG.pdf")</f>
        <v/>
      </c>
      <c r="AA51" s="10" t="str">
        <f aca="false">IF(A51="","",IF(W51="Y",A51&amp;"_STAAD.std","n/a"))</f>
        <v/>
      </c>
      <c r="AB51" s="10" t="str">
        <f aca="false">IF(A51="","",A51&amp;"_CALC.xlsx")</f>
        <v/>
      </c>
      <c r="AC51" s="10" t="str">
        <f aca="false">IF(A51="","",A51&amp;"_CALC.pdf")</f>
        <v/>
      </c>
      <c r="AD51" s="9"/>
      <c r="AE51" s="9"/>
      <c r="AF51" s="39"/>
      <c r="AG51" s="39"/>
      <c r="AH51" s="39"/>
      <c r="AI51" s="39"/>
      <c r="AJ51" s="39"/>
      <c r="AK51" s="12" t="str">
        <f aca="false">IF(A51="","",IF(COUNTIF(Rebar_Schedule!$A$5:$A$2004,A51)=0,"",ROUND(SUMIF(Rebar_Schedule!$A$5:$A$2004,A51,Rebar_Schedule!$K$5:$K$2004),1)))</f>
        <v/>
      </c>
      <c r="AL51" s="33" t="str">
        <f aca="false">IF(A51="","",IF(AK51="","No rebar schedule yet",IF(ABS(AK51-N(AG51))/MAX(N(AG51),1)&gt;SG_Criteria!$B$55,"NOTE: register rebar differs from schedule by "&amp;TEXT(ABS(AK51-N(AG51))/MAX(N(AG51),1),"0%"),"OK")))</f>
        <v/>
      </c>
      <c r="AM51" s="33" t="str">
        <f aca="false">IF(D51="","","OK")</f>
        <v/>
      </c>
      <c r="AN51" s="9"/>
      <c r="AO51" s="9"/>
      <c r="AP51" s="9"/>
      <c r="AQ51" s="10" t="str">
        <f aca="false">IF(AP51="","",IFERROR(VLOOKUP(AP51,Projects!$A$5:$D$504,2,0),"Ref not in Projects"))</f>
        <v/>
      </c>
      <c r="AR51" s="10" t="str">
        <f aca="false">IF(AP51="","",IFERROR(VLOOKUP(AP51,Projects!$A$5:$D$504,4,0),"Ref not in Projects"))</f>
        <v/>
      </c>
      <c r="AS51" s="9"/>
      <c r="AT51" s="9"/>
      <c r="AU51" s="9"/>
      <c r="AV51" s="40"/>
      <c r="AW51" s="9"/>
      <c r="AX51" s="40"/>
      <c r="AY51" s="9"/>
      <c r="AZ51" s="40"/>
      <c r="BA51" s="9"/>
      <c r="BB51" s="9"/>
      <c r="BC51" s="9"/>
      <c r="BD51" s="40"/>
      <c r="BE51" s="40"/>
      <c r="BF51" s="36" t="str">
        <f aca="false">IF(BE51="","",EDATE(BE51,SG_Criteria!$B$54*12))</f>
        <v/>
      </c>
      <c r="BG51" s="33" t="str">
        <f aca="true">IF(A51="","",IF(BE51="","NOTE: not reviewed yet",IF(TODAY()&gt;BF51,"NOTE: review overdue","OK")))</f>
        <v/>
      </c>
      <c r="BH51" s="37" t="str">
        <f aca="false">IF(A51="","",ROUND((IF(LEN(D51)&gt;0,1,0)+IF(LEN(E51)&gt;0,1,0)+IF(LEN(I51)&gt;0,1,0)+IF(LEN(K51)&gt;0,1,0)+IF(LEN(Q51)&gt;0,1,0)+IF(LEN(S51)&gt;0,1,0)+IF(LEN(T51)&gt;0,1,0)+IF(LEN(U51)&gt;0,1,0)+IF(LEN(V51)&gt;0,1,0)+IF(LEN(AE51)&gt;0,1,0)+IF(LEN(AP51)&gt;0,1,0)+IF(LEN(BC51)&gt;0,1,0))/12,2))</f>
        <v/>
      </c>
      <c r="BI51" s="10" t="str">
        <f aca="false">IF(D51="","",IF(AND(T51="Approved",ISERROR(SEARCH("FAIL",AM51))),"Y","N"))</f>
        <v/>
      </c>
    </row>
    <row r="52" customFormat="false" ht="15" hidden="false" customHeight="false" outlineLevel="0" collapsed="false">
      <c r="A52" s="10" t="str">
        <f aca="false">IF(D52="","",IFERROR(VLOOKUP(D52,Lists!$BI$4:$BJ$20,2,0),"??")&amp;"-"&amp;UPPER(SUBSTITUTE(E52," ",""))&amp;IF(F52&lt;&gt;"","-SP"&amp;TEXT(F52*1000,"0"),"")&amp;IF(G52&lt;&gt;"","-H"&amp;TEXT(G52*1000,"0"),"")&amp;"-"&amp;S52)</f>
        <v/>
      </c>
      <c r="B52" s="10" t="str">
        <f aca="false">IF(D52="","",D52&amp;" - "&amp;E52&amp;IF(F52&lt;&gt;"",", span "&amp;F52&amp;" m","")&amp;IF(G52&lt;&gt;"",", H "&amp;G52&amp;" m","")&amp;IF(H52&lt;&gt;"",", W "&amp;H52&amp;" m",""))</f>
        <v/>
      </c>
      <c r="C52" s="9"/>
      <c r="D52" s="9"/>
      <c r="E52" s="9"/>
      <c r="F52" s="42"/>
      <c r="G52" s="42"/>
      <c r="H52" s="42"/>
      <c r="I52" s="9"/>
      <c r="J52" s="9"/>
      <c r="K52" s="9"/>
      <c r="L52" s="9"/>
      <c r="M52" s="9"/>
      <c r="N52" s="38"/>
      <c r="O52" s="9"/>
      <c r="P52" s="39"/>
      <c r="Q52" s="9"/>
      <c r="R52" s="9"/>
      <c r="S52" s="9"/>
      <c r="T52" s="9"/>
      <c r="U52" s="9"/>
      <c r="V52" s="9"/>
      <c r="W52" s="9"/>
      <c r="X52" s="10" t="str">
        <f aca="false">IF(A52="","",SG_Criteria!$B$6&amp;SG_Criteria!$B$13&amp;"\"&amp;A52&amp;"\")</f>
        <v/>
      </c>
      <c r="Y52" s="10" t="str">
        <f aca="false">IF(A52="","",A52&amp;"_CAD.dwg")</f>
        <v/>
      </c>
      <c r="Z52" s="10" t="str">
        <f aca="false">IF(A52="","",A52&amp;"_DWG.pdf")</f>
        <v/>
      </c>
      <c r="AA52" s="10" t="str">
        <f aca="false">IF(A52="","",IF(W52="Y",A52&amp;"_STAAD.std","n/a"))</f>
        <v/>
      </c>
      <c r="AB52" s="10" t="str">
        <f aca="false">IF(A52="","",A52&amp;"_CALC.xlsx")</f>
        <v/>
      </c>
      <c r="AC52" s="10" t="str">
        <f aca="false">IF(A52="","",A52&amp;"_CALC.pdf")</f>
        <v/>
      </c>
      <c r="AD52" s="9"/>
      <c r="AE52" s="9"/>
      <c r="AF52" s="39"/>
      <c r="AG52" s="39"/>
      <c r="AH52" s="39"/>
      <c r="AI52" s="39"/>
      <c r="AJ52" s="39"/>
      <c r="AK52" s="12" t="str">
        <f aca="false">IF(A52="","",IF(COUNTIF(Rebar_Schedule!$A$5:$A$2004,A52)=0,"",ROUND(SUMIF(Rebar_Schedule!$A$5:$A$2004,A52,Rebar_Schedule!$K$5:$K$2004),1)))</f>
        <v/>
      </c>
      <c r="AL52" s="33" t="str">
        <f aca="false">IF(A52="","",IF(AK52="","No rebar schedule yet",IF(ABS(AK52-N(AG52))/MAX(N(AG52),1)&gt;SG_Criteria!$B$55,"NOTE: register rebar differs from schedule by "&amp;TEXT(ABS(AK52-N(AG52))/MAX(N(AG52),1),"0%"),"OK")))</f>
        <v/>
      </c>
      <c r="AM52" s="33" t="str">
        <f aca="false">IF(D52="","","OK")</f>
        <v/>
      </c>
      <c r="AN52" s="9"/>
      <c r="AO52" s="9"/>
      <c r="AP52" s="9"/>
      <c r="AQ52" s="10" t="str">
        <f aca="false">IF(AP52="","",IFERROR(VLOOKUP(AP52,Projects!$A$5:$D$504,2,0),"Ref not in Projects"))</f>
        <v/>
      </c>
      <c r="AR52" s="10" t="str">
        <f aca="false">IF(AP52="","",IFERROR(VLOOKUP(AP52,Projects!$A$5:$D$504,4,0),"Ref not in Projects"))</f>
        <v/>
      </c>
      <c r="AS52" s="9"/>
      <c r="AT52" s="9"/>
      <c r="AU52" s="9"/>
      <c r="AV52" s="40"/>
      <c r="AW52" s="9"/>
      <c r="AX52" s="40"/>
      <c r="AY52" s="9"/>
      <c r="AZ52" s="40"/>
      <c r="BA52" s="9"/>
      <c r="BB52" s="9"/>
      <c r="BC52" s="9"/>
      <c r="BD52" s="40"/>
      <c r="BE52" s="40"/>
      <c r="BF52" s="36" t="str">
        <f aca="false">IF(BE52="","",EDATE(BE52,SG_Criteria!$B$54*12))</f>
        <v/>
      </c>
      <c r="BG52" s="33" t="str">
        <f aca="true">IF(A52="","",IF(BE52="","NOTE: not reviewed yet",IF(TODAY()&gt;BF52,"NOTE: review overdue","OK")))</f>
        <v/>
      </c>
      <c r="BH52" s="37" t="str">
        <f aca="false">IF(A52="","",ROUND((IF(LEN(D52)&gt;0,1,0)+IF(LEN(E52)&gt;0,1,0)+IF(LEN(I52)&gt;0,1,0)+IF(LEN(K52)&gt;0,1,0)+IF(LEN(Q52)&gt;0,1,0)+IF(LEN(S52)&gt;0,1,0)+IF(LEN(T52)&gt;0,1,0)+IF(LEN(U52)&gt;0,1,0)+IF(LEN(V52)&gt;0,1,0)+IF(LEN(AE52)&gt;0,1,0)+IF(LEN(AP52)&gt;0,1,0)+IF(LEN(BC52)&gt;0,1,0))/12,2))</f>
        <v/>
      </c>
      <c r="BI52" s="10" t="str">
        <f aca="false">IF(D52="","",IF(AND(T52="Approved",ISERROR(SEARCH("FAIL",AM52))),"Y","N"))</f>
        <v/>
      </c>
    </row>
    <row r="53" customFormat="false" ht="15" hidden="false" customHeight="false" outlineLevel="0" collapsed="false">
      <c r="A53" s="10" t="str">
        <f aca="false">IF(D53="","",IFERROR(VLOOKUP(D53,Lists!$BI$4:$BJ$20,2,0),"??")&amp;"-"&amp;UPPER(SUBSTITUTE(E53," ",""))&amp;IF(F53&lt;&gt;"","-SP"&amp;TEXT(F53*1000,"0"),"")&amp;IF(G53&lt;&gt;"","-H"&amp;TEXT(G53*1000,"0"),"")&amp;"-"&amp;S53)</f>
        <v/>
      </c>
      <c r="B53" s="10" t="str">
        <f aca="false">IF(D53="","",D53&amp;" - "&amp;E53&amp;IF(F53&lt;&gt;"",", span "&amp;F53&amp;" m","")&amp;IF(G53&lt;&gt;"",", H "&amp;G53&amp;" m","")&amp;IF(H53&lt;&gt;"",", W "&amp;H53&amp;" m",""))</f>
        <v/>
      </c>
      <c r="C53" s="9"/>
      <c r="D53" s="9"/>
      <c r="E53" s="9"/>
      <c r="F53" s="42"/>
      <c r="G53" s="42"/>
      <c r="H53" s="42"/>
      <c r="I53" s="9"/>
      <c r="J53" s="9"/>
      <c r="K53" s="9"/>
      <c r="L53" s="9"/>
      <c r="M53" s="9"/>
      <c r="N53" s="38"/>
      <c r="O53" s="9"/>
      <c r="P53" s="39"/>
      <c r="Q53" s="9"/>
      <c r="R53" s="9"/>
      <c r="S53" s="9"/>
      <c r="T53" s="9"/>
      <c r="U53" s="9"/>
      <c r="V53" s="9"/>
      <c r="W53" s="9"/>
      <c r="X53" s="10" t="str">
        <f aca="false">IF(A53="","",SG_Criteria!$B$6&amp;SG_Criteria!$B$13&amp;"\"&amp;A53&amp;"\")</f>
        <v/>
      </c>
      <c r="Y53" s="10" t="str">
        <f aca="false">IF(A53="","",A53&amp;"_CAD.dwg")</f>
        <v/>
      </c>
      <c r="Z53" s="10" t="str">
        <f aca="false">IF(A53="","",A53&amp;"_DWG.pdf")</f>
        <v/>
      </c>
      <c r="AA53" s="10" t="str">
        <f aca="false">IF(A53="","",IF(W53="Y",A53&amp;"_STAAD.std","n/a"))</f>
        <v/>
      </c>
      <c r="AB53" s="10" t="str">
        <f aca="false">IF(A53="","",A53&amp;"_CALC.xlsx")</f>
        <v/>
      </c>
      <c r="AC53" s="10" t="str">
        <f aca="false">IF(A53="","",A53&amp;"_CALC.pdf")</f>
        <v/>
      </c>
      <c r="AD53" s="9"/>
      <c r="AE53" s="9"/>
      <c r="AF53" s="39"/>
      <c r="AG53" s="39"/>
      <c r="AH53" s="39"/>
      <c r="AI53" s="39"/>
      <c r="AJ53" s="39"/>
      <c r="AK53" s="12" t="str">
        <f aca="false">IF(A53="","",IF(COUNTIF(Rebar_Schedule!$A$5:$A$2004,A53)=0,"",ROUND(SUMIF(Rebar_Schedule!$A$5:$A$2004,A53,Rebar_Schedule!$K$5:$K$2004),1)))</f>
        <v/>
      </c>
      <c r="AL53" s="33" t="str">
        <f aca="false">IF(A53="","",IF(AK53="","No rebar schedule yet",IF(ABS(AK53-N(AG53))/MAX(N(AG53),1)&gt;SG_Criteria!$B$55,"NOTE: register rebar differs from schedule by "&amp;TEXT(ABS(AK53-N(AG53))/MAX(N(AG53),1),"0%"),"OK")))</f>
        <v/>
      </c>
      <c r="AM53" s="33" t="str">
        <f aca="false">IF(D53="","","OK")</f>
        <v/>
      </c>
      <c r="AN53" s="9"/>
      <c r="AO53" s="9"/>
      <c r="AP53" s="9"/>
      <c r="AQ53" s="10" t="str">
        <f aca="false">IF(AP53="","",IFERROR(VLOOKUP(AP53,Projects!$A$5:$D$504,2,0),"Ref not in Projects"))</f>
        <v/>
      </c>
      <c r="AR53" s="10" t="str">
        <f aca="false">IF(AP53="","",IFERROR(VLOOKUP(AP53,Projects!$A$5:$D$504,4,0),"Ref not in Projects"))</f>
        <v/>
      </c>
      <c r="AS53" s="9"/>
      <c r="AT53" s="9"/>
      <c r="AU53" s="9"/>
      <c r="AV53" s="40"/>
      <c r="AW53" s="9"/>
      <c r="AX53" s="40"/>
      <c r="AY53" s="9"/>
      <c r="AZ53" s="40"/>
      <c r="BA53" s="9"/>
      <c r="BB53" s="9"/>
      <c r="BC53" s="9"/>
      <c r="BD53" s="40"/>
      <c r="BE53" s="40"/>
      <c r="BF53" s="36" t="str">
        <f aca="false">IF(BE53="","",EDATE(BE53,SG_Criteria!$B$54*12))</f>
        <v/>
      </c>
      <c r="BG53" s="33" t="str">
        <f aca="true">IF(A53="","",IF(BE53="","NOTE: not reviewed yet",IF(TODAY()&gt;BF53,"NOTE: review overdue","OK")))</f>
        <v/>
      </c>
      <c r="BH53" s="37" t="str">
        <f aca="false">IF(A53="","",ROUND((IF(LEN(D53)&gt;0,1,0)+IF(LEN(E53)&gt;0,1,0)+IF(LEN(I53)&gt;0,1,0)+IF(LEN(K53)&gt;0,1,0)+IF(LEN(Q53)&gt;0,1,0)+IF(LEN(S53)&gt;0,1,0)+IF(LEN(T53)&gt;0,1,0)+IF(LEN(U53)&gt;0,1,0)+IF(LEN(V53)&gt;0,1,0)+IF(LEN(AE53)&gt;0,1,0)+IF(LEN(AP53)&gt;0,1,0)+IF(LEN(BC53)&gt;0,1,0))/12,2))</f>
        <v/>
      </c>
      <c r="BI53" s="10" t="str">
        <f aca="false">IF(D53="","",IF(AND(T53="Approved",ISERROR(SEARCH("FAIL",AM53))),"Y","N"))</f>
        <v/>
      </c>
    </row>
    <row r="54" customFormat="false" ht="15" hidden="false" customHeight="false" outlineLevel="0" collapsed="false">
      <c r="A54" s="10" t="str">
        <f aca="false">IF(D54="","",IFERROR(VLOOKUP(D54,Lists!$BI$4:$BJ$20,2,0),"??")&amp;"-"&amp;UPPER(SUBSTITUTE(E54," ",""))&amp;IF(F54&lt;&gt;"","-SP"&amp;TEXT(F54*1000,"0"),"")&amp;IF(G54&lt;&gt;"","-H"&amp;TEXT(G54*1000,"0"),"")&amp;"-"&amp;S54)</f>
        <v/>
      </c>
      <c r="B54" s="10" t="str">
        <f aca="false">IF(D54="","",D54&amp;" - "&amp;E54&amp;IF(F54&lt;&gt;"",", span "&amp;F54&amp;" m","")&amp;IF(G54&lt;&gt;"",", H "&amp;G54&amp;" m","")&amp;IF(H54&lt;&gt;"",", W "&amp;H54&amp;" m",""))</f>
        <v/>
      </c>
      <c r="C54" s="9"/>
      <c r="D54" s="9"/>
      <c r="E54" s="9"/>
      <c r="F54" s="42"/>
      <c r="G54" s="42"/>
      <c r="H54" s="42"/>
      <c r="I54" s="9"/>
      <c r="J54" s="9"/>
      <c r="K54" s="9"/>
      <c r="L54" s="9"/>
      <c r="M54" s="9"/>
      <c r="N54" s="38"/>
      <c r="O54" s="9"/>
      <c r="P54" s="39"/>
      <c r="Q54" s="9"/>
      <c r="R54" s="9"/>
      <c r="S54" s="9"/>
      <c r="T54" s="9"/>
      <c r="U54" s="9"/>
      <c r="V54" s="9"/>
      <c r="W54" s="9"/>
      <c r="X54" s="10" t="str">
        <f aca="false">IF(A54="","",SG_Criteria!$B$6&amp;SG_Criteria!$B$13&amp;"\"&amp;A54&amp;"\")</f>
        <v/>
      </c>
      <c r="Y54" s="10" t="str">
        <f aca="false">IF(A54="","",A54&amp;"_CAD.dwg")</f>
        <v/>
      </c>
      <c r="Z54" s="10" t="str">
        <f aca="false">IF(A54="","",A54&amp;"_DWG.pdf")</f>
        <v/>
      </c>
      <c r="AA54" s="10" t="str">
        <f aca="false">IF(A54="","",IF(W54="Y",A54&amp;"_STAAD.std","n/a"))</f>
        <v/>
      </c>
      <c r="AB54" s="10" t="str">
        <f aca="false">IF(A54="","",A54&amp;"_CALC.xlsx")</f>
        <v/>
      </c>
      <c r="AC54" s="10" t="str">
        <f aca="false">IF(A54="","",A54&amp;"_CALC.pdf")</f>
        <v/>
      </c>
      <c r="AD54" s="9"/>
      <c r="AE54" s="9"/>
      <c r="AF54" s="39"/>
      <c r="AG54" s="39"/>
      <c r="AH54" s="39"/>
      <c r="AI54" s="39"/>
      <c r="AJ54" s="39"/>
      <c r="AK54" s="12" t="str">
        <f aca="false">IF(A54="","",IF(COUNTIF(Rebar_Schedule!$A$5:$A$2004,A54)=0,"",ROUND(SUMIF(Rebar_Schedule!$A$5:$A$2004,A54,Rebar_Schedule!$K$5:$K$2004),1)))</f>
        <v/>
      </c>
      <c r="AL54" s="33" t="str">
        <f aca="false">IF(A54="","",IF(AK54="","No rebar schedule yet",IF(ABS(AK54-N(AG54))/MAX(N(AG54),1)&gt;SG_Criteria!$B$55,"NOTE: register rebar differs from schedule by "&amp;TEXT(ABS(AK54-N(AG54))/MAX(N(AG54),1),"0%"),"OK")))</f>
        <v/>
      </c>
      <c r="AM54" s="33" t="str">
        <f aca="false">IF(D54="","","OK")</f>
        <v/>
      </c>
      <c r="AN54" s="9"/>
      <c r="AO54" s="9"/>
      <c r="AP54" s="9"/>
      <c r="AQ54" s="10" t="str">
        <f aca="false">IF(AP54="","",IFERROR(VLOOKUP(AP54,Projects!$A$5:$D$504,2,0),"Ref not in Projects"))</f>
        <v/>
      </c>
      <c r="AR54" s="10" t="str">
        <f aca="false">IF(AP54="","",IFERROR(VLOOKUP(AP54,Projects!$A$5:$D$504,4,0),"Ref not in Projects"))</f>
        <v/>
      </c>
      <c r="AS54" s="9"/>
      <c r="AT54" s="9"/>
      <c r="AU54" s="9"/>
      <c r="AV54" s="40"/>
      <c r="AW54" s="9"/>
      <c r="AX54" s="40"/>
      <c r="AY54" s="9"/>
      <c r="AZ54" s="40"/>
      <c r="BA54" s="9"/>
      <c r="BB54" s="9"/>
      <c r="BC54" s="9"/>
      <c r="BD54" s="40"/>
      <c r="BE54" s="40"/>
      <c r="BF54" s="36" t="str">
        <f aca="false">IF(BE54="","",EDATE(BE54,SG_Criteria!$B$54*12))</f>
        <v/>
      </c>
      <c r="BG54" s="33" t="str">
        <f aca="true">IF(A54="","",IF(BE54="","NOTE: not reviewed yet",IF(TODAY()&gt;BF54,"NOTE: review overdue","OK")))</f>
        <v/>
      </c>
      <c r="BH54" s="37" t="str">
        <f aca="false">IF(A54="","",ROUND((IF(LEN(D54)&gt;0,1,0)+IF(LEN(E54)&gt;0,1,0)+IF(LEN(I54)&gt;0,1,0)+IF(LEN(K54)&gt;0,1,0)+IF(LEN(Q54)&gt;0,1,0)+IF(LEN(S54)&gt;0,1,0)+IF(LEN(T54)&gt;0,1,0)+IF(LEN(U54)&gt;0,1,0)+IF(LEN(V54)&gt;0,1,0)+IF(LEN(AE54)&gt;0,1,0)+IF(LEN(AP54)&gt;0,1,0)+IF(LEN(BC54)&gt;0,1,0))/12,2))</f>
        <v/>
      </c>
      <c r="BI54" s="10" t="str">
        <f aca="false">IF(D54="","",IF(AND(T54="Approved",ISERROR(SEARCH("FAIL",AM54))),"Y","N"))</f>
        <v/>
      </c>
    </row>
    <row r="55" customFormat="false" ht="15" hidden="false" customHeight="false" outlineLevel="0" collapsed="false">
      <c r="A55" s="10" t="str">
        <f aca="false">IF(D55="","",IFERROR(VLOOKUP(D55,Lists!$BI$4:$BJ$20,2,0),"??")&amp;"-"&amp;UPPER(SUBSTITUTE(E55," ",""))&amp;IF(F55&lt;&gt;"","-SP"&amp;TEXT(F55*1000,"0"),"")&amp;IF(G55&lt;&gt;"","-H"&amp;TEXT(G55*1000,"0"),"")&amp;"-"&amp;S55)</f>
        <v/>
      </c>
      <c r="B55" s="10" t="str">
        <f aca="false">IF(D55="","",D55&amp;" - "&amp;E55&amp;IF(F55&lt;&gt;"",", span "&amp;F55&amp;" m","")&amp;IF(G55&lt;&gt;"",", H "&amp;G55&amp;" m","")&amp;IF(H55&lt;&gt;"",", W "&amp;H55&amp;" m",""))</f>
        <v/>
      </c>
      <c r="C55" s="9"/>
      <c r="D55" s="9"/>
      <c r="E55" s="9"/>
      <c r="F55" s="42"/>
      <c r="G55" s="42"/>
      <c r="H55" s="42"/>
      <c r="I55" s="9"/>
      <c r="J55" s="9"/>
      <c r="K55" s="9"/>
      <c r="L55" s="9"/>
      <c r="M55" s="9"/>
      <c r="N55" s="38"/>
      <c r="O55" s="9"/>
      <c r="P55" s="39"/>
      <c r="Q55" s="9"/>
      <c r="R55" s="9"/>
      <c r="S55" s="9"/>
      <c r="T55" s="9"/>
      <c r="U55" s="9"/>
      <c r="V55" s="9"/>
      <c r="W55" s="9"/>
      <c r="X55" s="10" t="str">
        <f aca="false">IF(A55="","",SG_Criteria!$B$6&amp;SG_Criteria!$B$13&amp;"\"&amp;A55&amp;"\")</f>
        <v/>
      </c>
      <c r="Y55" s="10" t="str">
        <f aca="false">IF(A55="","",A55&amp;"_CAD.dwg")</f>
        <v/>
      </c>
      <c r="Z55" s="10" t="str">
        <f aca="false">IF(A55="","",A55&amp;"_DWG.pdf")</f>
        <v/>
      </c>
      <c r="AA55" s="10" t="str">
        <f aca="false">IF(A55="","",IF(W55="Y",A55&amp;"_STAAD.std","n/a"))</f>
        <v/>
      </c>
      <c r="AB55" s="10" t="str">
        <f aca="false">IF(A55="","",A55&amp;"_CALC.xlsx")</f>
        <v/>
      </c>
      <c r="AC55" s="10" t="str">
        <f aca="false">IF(A55="","",A55&amp;"_CALC.pdf")</f>
        <v/>
      </c>
      <c r="AD55" s="9"/>
      <c r="AE55" s="9"/>
      <c r="AF55" s="39"/>
      <c r="AG55" s="39"/>
      <c r="AH55" s="39"/>
      <c r="AI55" s="39"/>
      <c r="AJ55" s="39"/>
      <c r="AK55" s="12" t="str">
        <f aca="false">IF(A55="","",IF(COUNTIF(Rebar_Schedule!$A$5:$A$2004,A55)=0,"",ROUND(SUMIF(Rebar_Schedule!$A$5:$A$2004,A55,Rebar_Schedule!$K$5:$K$2004),1)))</f>
        <v/>
      </c>
      <c r="AL55" s="33" t="str">
        <f aca="false">IF(A55="","",IF(AK55="","No rebar schedule yet",IF(ABS(AK55-N(AG55))/MAX(N(AG55),1)&gt;SG_Criteria!$B$55,"NOTE: register rebar differs from schedule by "&amp;TEXT(ABS(AK55-N(AG55))/MAX(N(AG55),1),"0%"),"OK")))</f>
        <v/>
      </c>
      <c r="AM55" s="33" t="str">
        <f aca="false">IF(D55="","","OK")</f>
        <v/>
      </c>
      <c r="AN55" s="9"/>
      <c r="AO55" s="9"/>
      <c r="AP55" s="9"/>
      <c r="AQ55" s="10" t="str">
        <f aca="false">IF(AP55="","",IFERROR(VLOOKUP(AP55,Projects!$A$5:$D$504,2,0),"Ref not in Projects"))</f>
        <v/>
      </c>
      <c r="AR55" s="10" t="str">
        <f aca="false">IF(AP55="","",IFERROR(VLOOKUP(AP55,Projects!$A$5:$D$504,4,0),"Ref not in Projects"))</f>
        <v/>
      </c>
      <c r="AS55" s="9"/>
      <c r="AT55" s="9"/>
      <c r="AU55" s="9"/>
      <c r="AV55" s="40"/>
      <c r="AW55" s="9"/>
      <c r="AX55" s="40"/>
      <c r="AY55" s="9"/>
      <c r="AZ55" s="40"/>
      <c r="BA55" s="9"/>
      <c r="BB55" s="9"/>
      <c r="BC55" s="9"/>
      <c r="BD55" s="40"/>
      <c r="BE55" s="40"/>
      <c r="BF55" s="36" t="str">
        <f aca="false">IF(BE55="","",EDATE(BE55,SG_Criteria!$B$54*12))</f>
        <v/>
      </c>
      <c r="BG55" s="33" t="str">
        <f aca="true">IF(A55="","",IF(BE55="","NOTE: not reviewed yet",IF(TODAY()&gt;BF55,"NOTE: review overdue","OK")))</f>
        <v/>
      </c>
      <c r="BH55" s="37" t="str">
        <f aca="false">IF(A55="","",ROUND((IF(LEN(D55)&gt;0,1,0)+IF(LEN(E55)&gt;0,1,0)+IF(LEN(I55)&gt;0,1,0)+IF(LEN(K55)&gt;0,1,0)+IF(LEN(Q55)&gt;0,1,0)+IF(LEN(S55)&gt;0,1,0)+IF(LEN(T55)&gt;0,1,0)+IF(LEN(U55)&gt;0,1,0)+IF(LEN(V55)&gt;0,1,0)+IF(LEN(AE55)&gt;0,1,0)+IF(LEN(AP55)&gt;0,1,0)+IF(LEN(BC55)&gt;0,1,0))/12,2))</f>
        <v/>
      </c>
      <c r="BI55" s="10" t="str">
        <f aca="false">IF(D55="","",IF(AND(T55="Approved",ISERROR(SEARCH("FAIL",AM55))),"Y","N"))</f>
        <v/>
      </c>
    </row>
    <row r="56" customFormat="false" ht="15" hidden="false" customHeight="false" outlineLevel="0" collapsed="false">
      <c r="A56" s="10" t="str">
        <f aca="false">IF(D56="","",IFERROR(VLOOKUP(D56,Lists!$BI$4:$BJ$20,2,0),"??")&amp;"-"&amp;UPPER(SUBSTITUTE(E56," ",""))&amp;IF(F56&lt;&gt;"","-SP"&amp;TEXT(F56*1000,"0"),"")&amp;IF(G56&lt;&gt;"","-H"&amp;TEXT(G56*1000,"0"),"")&amp;"-"&amp;S56)</f>
        <v/>
      </c>
      <c r="B56" s="10" t="str">
        <f aca="false">IF(D56="","",D56&amp;" - "&amp;E56&amp;IF(F56&lt;&gt;"",", span "&amp;F56&amp;" m","")&amp;IF(G56&lt;&gt;"",", H "&amp;G56&amp;" m","")&amp;IF(H56&lt;&gt;"",", W "&amp;H56&amp;" m",""))</f>
        <v/>
      </c>
      <c r="C56" s="9"/>
      <c r="D56" s="9"/>
      <c r="E56" s="9"/>
      <c r="F56" s="42"/>
      <c r="G56" s="42"/>
      <c r="H56" s="42"/>
      <c r="I56" s="9"/>
      <c r="J56" s="9"/>
      <c r="K56" s="9"/>
      <c r="L56" s="9"/>
      <c r="M56" s="9"/>
      <c r="N56" s="38"/>
      <c r="O56" s="9"/>
      <c r="P56" s="39"/>
      <c r="Q56" s="9"/>
      <c r="R56" s="9"/>
      <c r="S56" s="9"/>
      <c r="T56" s="9"/>
      <c r="U56" s="9"/>
      <c r="V56" s="9"/>
      <c r="W56" s="9"/>
      <c r="X56" s="10" t="str">
        <f aca="false">IF(A56="","",SG_Criteria!$B$6&amp;SG_Criteria!$B$13&amp;"\"&amp;A56&amp;"\")</f>
        <v/>
      </c>
      <c r="Y56" s="10" t="str">
        <f aca="false">IF(A56="","",A56&amp;"_CAD.dwg")</f>
        <v/>
      </c>
      <c r="Z56" s="10" t="str">
        <f aca="false">IF(A56="","",A56&amp;"_DWG.pdf")</f>
        <v/>
      </c>
      <c r="AA56" s="10" t="str">
        <f aca="false">IF(A56="","",IF(W56="Y",A56&amp;"_STAAD.std","n/a"))</f>
        <v/>
      </c>
      <c r="AB56" s="10" t="str">
        <f aca="false">IF(A56="","",A56&amp;"_CALC.xlsx")</f>
        <v/>
      </c>
      <c r="AC56" s="10" t="str">
        <f aca="false">IF(A56="","",A56&amp;"_CALC.pdf")</f>
        <v/>
      </c>
      <c r="AD56" s="9"/>
      <c r="AE56" s="9"/>
      <c r="AF56" s="39"/>
      <c r="AG56" s="39"/>
      <c r="AH56" s="39"/>
      <c r="AI56" s="39"/>
      <c r="AJ56" s="39"/>
      <c r="AK56" s="12" t="str">
        <f aca="false">IF(A56="","",IF(COUNTIF(Rebar_Schedule!$A$5:$A$2004,A56)=0,"",ROUND(SUMIF(Rebar_Schedule!$A$5:$A$2004,A56,Rebar_Schedule!$K$5:$K$2004),1)))</f>
        <v/>
      </c>
      <c r="AL56" s="33" t="str">
        <f aca="false">IF(A56="","",IF(AK56="","No rebar schedule yet",IF(ABS(AK56-N(AG56))/MAX(N(AG56),1)&gt;SG_Criteria!$B$55,"NOTE: register rebar differs from schedule by "&amp;TEXT(ABS(AK56-N(AG56))/MAX(N(AG56),1),"0%"),"OK")))</f>
        <v/>
      </c>
      <c r="AM56" s="33" t="str">
        <f aca="false">IF(D56="","","OK")</f>
        <v/>
      </c>
      <c r="AN56" s="9"/>
      <c r="AO56" s="9"/>
      <c r="AP56" s="9"/>
      <c r="AQ56" s="10" t="str">
        <f aca="false">IF(AP56="","",IFERROR(VLOOKUP(AP56,Projects!$A$5:$D$504,2,0),"Ref not in Projects"))</f>
        <v/>
      </c>
      <c r="AR56" s="10" t="str">
        <f aca="false">IF(AP56="","",IFERROR(VLOOKUP(AP56,Projects!$A$5:$D$504,4,0),"Ref not in Projects"))</f>
        <v/>
      </c>
      <c r="AS56" s="9"/>
      <c r="AT56" s="9"/>
      <c r="AU56" s="9"/>
      <c r="AV56" s="40"/>
      <c r="AW56" s="9"/>
      <c r="AX56" s="40"/>
      <c r="AY56" s="9"/>
      <c r="AZ56" s="40"/>
      <c r="BA56" s="9"/>
      <c r="BB56" s="9"/>
      <c r="BC56" s="9"/>
      <c r="BD56" s="40"/>
      <c r="BE56" s="40"/>
      <c r="BF56" s="36" t="str">
        <f aca="false">IF(BE56="","",EDATE(BE56,SG_Criteria!$B$54*12))</f>
        <v/>
      </c>
      <c r="BG56" s="33" t="str">
        <f aca="true">IF(A56="","",IF(BE56="","NOTE: not reviewed yet",IF(TODAY()&gt;BF56,"NOTE: review overdue","OK")))</f>
        <v/>
      </c>
      <c r="BH56" s="37" t="str">
        <f aca="false">IF(A56="","",ROUND((IF(LEN(D56)&gt;0,1,0)+IF(LEN(E56)&gt;0,1,0)+IF(LEN(I56)&gt;0,1,0)+IF(LEN(K56)&gt;0,1,0)+IF(LEN(Q56)&gt;0,1,0)+IF(LEN(S56)&gt;0,1,0)+IF(LEN(T56)&gt;0,1,0)+IF(LEN(U56)&gt;0,1,0)+IF(LEN(V56)&gt;0,1,0)+IF(LEN(AE56)&gt;0,1,0)+IF(LEN(AP56)&gt;0,1,0)+IF(LEN(BC56)&gt;0,1,0))/12,2))</f>
        <v/>
      </c>
      <c r="BI56" s="10" t="str">
        <f aca="false">IF(D56="","",IF(AND(T56="Approved",ISERROR(SEARCH("FAIL",AM56))),"Y","N"))</f>
        <v/>
      </c>
    </row>
    <row r="57" customFormat="false" ht="15" hidden="false" customHeight="false" outlineLevel="0" collapsed="false">
      <c r="A57" s="10" t="str">
        <f aca="false">IF(D57="","",IFERROR(VLOOKUP(D57,Lists!$BI$4:$BJ$20,2,0),"??")&amp;"-"&amp;UPPER(SUBSTITUTE(E57," ",""))&amp;IF(F57&lt;&gt;"","-SP"&amp;TEXT(F57*1000,"0"),"")&amp;IF(G57&lt;&gt;"","-H"&amp;TEXT(G57*1000,"0"),"")&amp;"-"&amp;S57)</f>
        <v/>
      </c>
      <c r="B57" s="10" t="str">
        <f aca="false">IF(D57="","",D57&amp;" - "&amp;E57&amp;IF(F57&lt;&gt;"",", span "&amp;F57&amp;" m","")&amp;IF(G57&lt;&gt;"",", H "&amp;G57&amp;" m","")&amp;IF(H57&lt;&gt;"",", W "&amp;H57&amp;" m",""))</f>
        <v/>
      </c>
      <c r="C57" s="9"/>
      <c r="D57" s="9"/>
      <c r="E57" s="9"/>
      <c r="F57" s="42"/>
      <c r="G57" s="42"/>
      <c r="H57" s="42"/>
      <c r="I57" s="9"/>
      <c r="J57" s="9"/>
      <c r="K57" s="9"/>
      <c r="L57" s="9"/>
      <c r="M57" s="9"/>
      <c r="N57" s="38"/>
      <c r="O57" s="9"/>
      <c r="P57" s="39"/>
      <c r="Q57" s="9"/>
      <c r="R57" s="9"/>
      <c r="S57" s="9"/>
      <c r="T57" s="9"/>
      <c r="U57" s="9"/>
      <c r="V57" s="9"/>
      <c r="W57" s="9"/>
      <c r="X57" s="10" t="str">
        <f aca="false">IF(A57="","",SG_Criteria!$B$6&amp;SG_Criteria!$B$13&amp;"\"&amp;A57&amp;"\")</f>
        <v/>
      </c>
      <c r="Y57" s="10" t="str">
        <f aca="false">IF(A57="","",A57&amp;"_CAD.dwg")</f>
        <v/>
      </c>
      <c r="Z57" s="10" t="str">
        <f aca="false">IF(A57="","",A57&amp;"_DWG.pdf")</f>
        <v/>
      </c>
      <c r="AA57" s="10" t="str">
        <f aca="false">IF(A57="","",IF(W57="Y",A57&amp;"_STAAD.std","n/a"))</f>
        <v/>
      </c>
      <c r="AB57" s="10" t="str">
        <f aca="false">IF(A57="","",A57&amp;"_CALC.xlsx")</f>
        <v/>
      </c>
      <c r="AC57" s="10" t="str">
        <f aca="false">IF(A57="","",A57&amp;"_CALC.pdf")</f>
        <v/>
      </c>
      <c r="AD57" s="9"/>
      <c r="AE57" s="9"/>
      <c r="AF57" s="39"/>
      <c r="AG57" s="39"/>
      <c r="AH57" s="39"/>
      <c r="AI57" s="39"/>
      <c r="AJ57" s="39"/>
      <c r="AK57" s="12" t="str">
        <f aca="false">IF(A57="","",IF(COUNTIF(Rebar_Schedule!$A$5:$A$2004,A57)=0,"",ROUND(SUMIF(Rebar_Schedule!$A$5:$A$2004,A57,Rebar_Schedule!$K$5:$K$2004),1)))</f>
        <v/>
      </c>
      <c r="AL57" s="33" t="str">
        <f aca="false">IF(A57="","",IF(AK57="","No rebar schedule yet",IF(ABS(AK57-N(AG57))/MAX(N(AG57),1)&gt;SG_Criteria!$B$55,"NOTE: register rebar differs from schedule by "&amp;TEXT(ABS(AK57-N(AG57))/MAX(N(AG57),1),"0%"),"OK")))</f>
        <v/>
      </c>
      <c r="AM57" s="33" t="str">
        <f aca="false">IF(D57="","","OK")</f>
        <v/>
      </c>
      <c r="AN57" s="9"/>
      <c r="AO57" s="9"/>
      <c r="AP57" s="9"/>
      <c r="AQ57" s="10" t="str">
        <f aca="false">IF(AP57="","",IFERROR(VLOOKUP(AP57,Projects!$A$5:$D$504,2,0),"Ref not in Projects"))</f>
        <v/>
      </c>
      <c r="AR57" s="10" t="str">
        <f aca="false">IF(AP57="","",IFERROR(VLOOKUP(AP57,Projects!$A$5:$D$504,4,0),"Ref not in Projects"))</f>
        <v/>
      </c>
      <c r="AS57" s="9"/>
      <c r="AT57" s="9"/>
      <c r="AU57" s="9"/>
      <c r="AV57" s="40"/>
      <c r="AW57" s="9"/>
      <c r="AX57" s="40"/>
      <c r="AY57" s="9"/>
      <c r="AZ57" s="40"/>
      <c r="BA57" s="9"/>
      <c r="BB57" s="9"/>
      <c r="BC57" s="9"/>
      <c r="BD57" s="40"/>
      <c r="BE57" s="40"/>
      <c r="BF57" s="36" t="str">
        <f aca="false">IF(BE57="","",EDATE(BE57,SG_Criteria!$B$54*12))</f>
        <v/>
      </c>
      <c r="BG57" s="33" t="str">
        <f aca="true">IF(A57="","",IF(BE57="","NOTE: not reviewed yet",IF(TODAY()&gt;BF57,"NOTE: review overdue","OK")))</f>
        <v/>
      </c>
      <c r="BH57" s="37" t="str">
        <f aca="false">IF(A57="","",ROUND((IF(LEN(D57)&gt;0,1,0)+IF(LEN(E57)&gt;0,1,0)+IF(LEN(I57)&gt;0,1,0)+IF(LEN(K57)&gt;0,1,0)+IF(LEN(Q57)&gt;0,1,0)+IF(LEN(S57)&gt;0,1,0)+IF(LEN(T57)&gt;0,1,0)+IF(LEN(U57)&gt;0,1,0)+IF(LEN(V57)&gt;0,1,0)+IF(LEN(AE57)&gt;0,1,0)+IF(LEN(AP57)&gt;0,1,0)+IF(LEN(BC57)&gt;0,1,0))/12,2))</f>
        <v/>
      </c>
      <c r="BI57" s="10" t="str">
        <f aca="false">IF(D57="","",IF(AND(T57="Approved",ISERROR(SEARCH("FAIL",AM57))),"Y","N"))</f>
        <v/>
      </c>
    </row>
    <row r="58" customFormat="false" ht="15" hidden="false" customHeight="false" outlineLevel="0" collapsed="false">
      <c r="A58" s="10" t="str">
        <f aca="false">IF(D58="","",IFERROR(VLOOKUP(D58,Lists!$BI$4:$BJ$20,2,0),"??")&amp;"-"&amp;UPPER(SUBSTITUTE(E58," ",""))&amp;IF(F58&lt;&gt;"","-SP"&amp;TEXT(F58*1000,"0"),"")&amp;IF(G58&lt;&gt;"","-H"&amp;TEXT(G58*1000,"0"),"")&amp;"-"&amp;S58)</f>
        <v/>
      </c>
      <c r="B58" s="10" t="str">
        <f aca="false">IF(D58="","",D58&amp;" - "&amp;E58&amp;IF(F58&lt;&gt;"",", span "&amp;F58&amp;" m","")&amp;IF(G58&lt;&gt;"",", H "&amp;G58&amp;" m","")&amp;IF(H58&lt;&gt;"",", W "&amp;H58&amp;" m",""))</f>
        <v/>
      </c>
      <c r="C58" s="9"/>
      <c r="D58" s="9"/>
      <c r="E58" s="9"/>
      <c r="F58" s="42"/>
      <c r="G58" s="42"/>
      <c r="H58" s="42"/>
      <c r="I58" s="9"/>
      <c r="J58" s="9"/>
      <c r="K58" s="9"/>
      <c r="L58" s="9"/>
      <c r="M58" s="9"/>
      <c r="N58" s="38"/>
      <c r="O58" s="9"/>
      <c r="P58" s="39"/>
      <c r="Q58" s="9"/>
      <c r="R58" s="9"/>
      <c r="S58" s="9"/>
      <c r="T58" s="9"/>
      <c r="U58" s="9"/>
      <c r="V58" s="9"/>
      <c r="W58" s="9"/>
      <c r="X58" s="10" t="str">
        <f aca="false">IF(A58="","",SG_Criteria!$B$6&amp;SG_Criteria!$B$13&amp;"\"&amp;A58&amp;"\")</f>
        <v/>
      </c>
      <c r="Y58" s="10" t="str">
        <f aca="false">IF(A58="","",A58&amp;"_CAD.dwg")</f>
        <v/>
      </c>
      <c r="Z58" s="10" t="str">
        <f aca="false">IF(A58="","",A58&amp;"_DWG.pdf")</f>
        <v/>
      </c>
      <c r="AA58" s="10" t="str">
        <f aca="false">IF(A58="","",IF(W58="Y",A58&amp;"_STAAD.std","n/a"))</f>
        <v/>
      </c>
      <c r="AB58" s="10" t="str">
        <f aca="false">IF(A58="","",A58&amp;"_CALC.xlsx")</f>
        <v/>
      </c>
      <c r="AC58" s="10" t="str">
        <f aca="false">IF(A58="","",A58&amp;"_CALC.pdf")</f>
        <v/>
      </c>
      <c r="AD58" s="9"/>
      <c r="AE58" s="9"/>
      <c r="AF58" s="39"/>
      <c r="AG58" s="39"/>
      <c r="AH58" s="39"/>
      <c r="AI58" s="39"/>
      <c r="AJ58" s="39"/>
      <c r="AK58" s="12" t="str">
        <f aca="false">IF(A58="","",IF(COUNTIF(Rebar_Schedule!$A$5:$A$2004,A58)=0,"",ROUND(SUMIF(Rebar_Schedule!$A$5:$A$2004,A58,Rebar_Schedule!$K$5:$K$2004),1)))</f>
        <v/>
      </c>
      <c r="AL58" s="33" t="str">
        <f aca="false">IF(A58="","",IF(AK58="","No rebar schedule yet",IF(ABS(AK58-N(AG58))/MAX(N(AG58),1)&gt;SG_Criteria!$B$55,"NOTE: register rebar differs from schedule by "&amp;TEXT(ABS(AK58-N(AG58))/MAX(N(AG58),1),"0%"),"OK")))</f>
        <v/>
      </c>
      <c r="AM58" s="33" t="str">
        <f aca="false">IF(D58="","","OK")</f>
        <v/>
      </c>
      <c r="AN58" s="9"/>
      <c r="AO58" s="9"/>
      <c r="AP58" s="9"/>
      <c r="AQ58" s="10" t="str">
        <f aca="false">IF(AP58="","",IFERROR(VLOOKUP(AP58,Projects!$A$5:$D$504,2,0),"Ref not in Projects"))</f>
        <v/>
      </c>
      <c r="AR58" s="10" t="str">
        <f aca="false">IF(AP58="","",IFERROR(VLOOKUP(AP58,Projects!$A$5:$D$504,4,0),"Ref not in Projects"))</f>
        <v/>
      </c>
      <c r="AS58" s="9"/>
      <c r="AT58" s="9"/>
      <c r="AU58" s="9"/>
      <c r="AV58" s="40"/>
      <c r="AW58" s="9"/>
      <c r="AX58" s="40"/>
      <c r="AY58" s="9"/>
      <c r="AZ58" s="40"/>
      <c r="BA58" s="9"/>
      <c r="BB58" s="9"/>
      <c r="BC58" s="9"/>
      <c r="BD58" s="40"/>
      <c r="BE58" s="40"/>
      <c r="BF58" s="36" t="str">
        <f aca="false">IF(BE58="","",EDATE(BE58,SG_Criteria!$B$54*12))</f>
        <v/>
      </c>
      <c r="BG58" s="33" t="str">
        <f aca="true">IF(A58="","",IF(BE58="","NOTE: not reviewed yet",IF(TODAY()&gt;BF58,"NOTE: review overdue","OK")))</f>
        <v/>
      </c>
      <c r="BH58" s="37" t="str">
        <f aca="false">IF(A58="","",ROUND((IF(LEN(D58)&gt;0,1,0)+IF(LEN(E58)&gt;0,1,0)+IF(LEN(I58)&gt;0,1,0)+IF(LEN(K58)&gt;0,1,0)+IF(LEN(Q58)&gt;0,1,0)+IF(LEN(S58)&gt;0,1,0)+IF(LEN(T58)&gt;0,1,0)+IF(LEN(U58)&gt;0,1,0)+IF(LEN(V58)&gt;0,1,0)+IF(LEN(AE58)&gt;0,1,0)+IF(LEN(AP58)&gt;0,1,0)+IF(LEN(BC58)&gt;0,1,0))/12,2))</f>
        <v/>
      </c>
      <c r="BI58" s="10" t="str">
        <f aca="false">IF(D58="","",IF(AND(T58="Approved",ISERROR(SEARCH("FAIL",AM58))),"Y","N"))</f>
        <v/>
      </c>
    </row>
    <row r="59" customFormat="false" ht="15" hidden="false" customHeight="false" outlineLevel="0" collapsed="false">
      <c r="A59" s="10" t="str">
        <f aca="false">IF(D59="","",IFERROR(VLOOKUP(D59,Lists!$BI$4:$BJ$20,2,0),"??")&amp;"-"&amp;UPPER(SUBSTITUTE(E59," ",""))&amp;IF(F59&lt;&gt;"","-SP"&amp;TEXT(F59*1000,"0"),"")&amp;IF(G59&lt;&gt;"","-H"&amp;TEXT(G59*1000,"0"),"")&amp;"-"&amp;S59)</f>
        <v/>
      </c>
      <c r="B59" s="10" t="str">
        <f aca="false">IF(D59="","",D59&amp;" - "&amp;E59&amp;IF(F59&lt;&gt;"",", span "&amp;F59&amp;" m","")&amp;IF(G59&lt;&gt;"",", H "&amp;G59&amp;" m","")&amp;IF(H59&lt;&gt;"",", W "&amp;H59&amp;" m",""))</f>
        <v/>
      </c>
      <c r="C59" s="9"/>
      <c r="D59" s="9"/>
      <c r="E59" s="9"/>
      <c r="F59" s="42"/>
      <c r="G59" s="42"/>
      <c r="H59" s="42"/>
      <c r="I59" s="9"/>
      <c r="J59" s="9"/>
      <c r="K59" s="9"/>
      <c r="L59" s="9"/>
      <c r="M59" s="9"/>
      <c r="N59" s="38"/>
      <c r="O59" s="9"/>
      <c r="P59" s="39"/>
      <c r="Q59" s="9"/>
      <c r="R59" s="9"/>
      <c r="S59" s="9"/>
      <c r="T59" s="9"/>
      <c r="U59" s="9"/>
      <c r="V59" s="9"/>
      <c r="W59" s="9"/>
      <c r="X59" s="10" t="str">
        <f aca="false">IF(A59="","",SG_Criteria!$B$6&amp;SG_Criteria!$B$13&amp;"\"&amp;A59&amp;"\")</f>
        <v/>
      </c>
      <c r="Y59" s="10" t="str">
        <f aca="false">IF(A59="","",A59&amp;"_CAD.dwg")</f>
        <v/>
      </c>
      <c r="Z59" s="10" t="str">
        <f aca="false">IF(A59="","",A59&amp;"_DWG.pdf")</f>
        <v/>
      </c>
      <c r="AA59" s="10" t="str">
        <f aca="false">IF(A59="","",IF(W59="Y",A59&amp;"_STAAD.std","n/a"))</f>
        <v/>
      </c>
      <c r="AB59" s="10" t="str">
        <f aca="false">IF(A59="","",A59&amp;"_CALC.xlsx")</f>
        <v/>
      </c>
      <c r="AC59" s="10" t="str">
        <f aca="false">IF(A59="","",A59&amp;"_CALC.pdf")</f>
        <v/>
      </c>
      <c r="AD59" s="9"/>
      <c r="AE59" s="9"/>
      <c r="AF59" s="39"/>
      <c r="AG59" s="39"/>
      <c r="AH59" s="39"/>
      <c r="AI59" s="39"/>
      <c r="AJ59" s="39"/>
      <c r="AK59" s="12" t="str">
        <f aca="false">IF(A59="","",IF(COUNTIF(Rebar_Schedule!$A$5:$A$2004,A59)=0,"",ROUND(SUMIF(Rebar_Schedule!$A$5:$A$2004,A59,Rebar_Schedule!$K$5:$K$2004),1)))</f>
        <v/>
      </c>
      <c r="AL59" s="33" t="str">
        <f aca="false">IF(A59="","",IF(AK59="","No rebar schedule yet",IF(ABS(AK59-N(AG59))/MAX(N(AG59),1)&gt;SG_Criteria!$B$55,"NOTE: register rebar differs from schedule by "&amp;TEXT(ABS(AK59-N(AG59))/MAX(N(AG59),1),"0%"),"OK")))</f>
        <v/>
      </c>
      <c r="AM59" s="33" t="str">
        <f aca="false">IF(D59="","","OK")</f>
        <v/>
      </c>
      <c r="AN59" s="9"/>
      <c r="AO59" s="9"/>
      <c r="AP59" s="9"/>
      <c r="AQ59" s="10" t="str">
        <f aca="false">IF(AP59="","",IFERROR(VLOOKUP(AP59,Projects!$A$5:$D$504,2,0),"Ref not in Projects"))</f>
        <v/>
      </c>
      <c r="AR59" s="10" t="str">
        <f aca="false">IF(AP59="","",IFERROR(VLOOKUP(AP59,Projects!$A$5:$D$504,4,0),"Ref not in Projects"))</f>
        <v/>
      </c>
      <c r="AS59" s="9"/>
      <c r="AT59" s="9"/>
      <c r="AU59" s="9"/>
      <c r="AV59" s="40"/>
      <c r="AW59" s="9"/>
      <c r="AX59" s="40"/>
      <c r="AY59" s="9"/>
      <c r="AZ59" s="40"/>
      <c r="BA59" s="9"/>
      <c r="BB59" s="9"/>
      <c r="BC59" s="9"/>
      <c r="BD59" s="40"/>
      <c r="BE59" s="40"/>
      <c r="BF59" s="36" t="str">
        <f aca="false">IF(BE59="","",EDATE(BE59,SG_Criteria!$B$54*12))</f>
        <v/>
      </c>
      <c r="BG59" s="33" t="str">
        <f aca="true">IF(A59="","",IF(BE59="","NOTE: not reviewed yet",IF(TODAY()&gt;BF59,"NOTE: review overdue","OK")))</f>
        <v/>
      </c>
      <c r="BH59" s="37" t="str">
        <f aca="false">IF(A59="","",ROUND((IF(LEN(D59)&gt;0,1,0)+IF(LEN(E59)&gt;0,1,0)+IF(LEN(I59)&gt;0,1,0)+IF(LEN(K59)&gt;0,1,0)+IF(LEN(Q59)&gt;0,1,0)+IF(LEN(S59)&gt;0,1,0)+IF(LEN(T59)&gt;0,1,0)+IF(LEN(U59)&gt;0,1,0)+IF(LEN(V59)&gt;0,1,0)+IF(LEN(AE59)&gt;0,1,0)+IF(LEN(AP59)&gt;0,1,0)+IF(LEN(BC59)&gt;0,1,0))/12,2))</f>
        <v/>
      </c>
      <c r="BI59" s="10" t="str">
        <f aca="false">IF(D59="","",IF(AND(T59="Approved",ISERROR(SEARCH("FAIL",AM59))),"Y","N"))</f>
        <v/>
      </c>
    </row>
    <row r="60" customFormat="false" ht="15" hidden="false" customHeight="false" outlineLevel="0" collapsed="false">
      <c r="A60" s="10" t="str">
        <f aca="false">IF(D60="","",IFERROR(VLOOKUP(D60,Lists!$BI$4:$BJ$20,2,0),"??")&amp;"-"&amp;UPPER(SUBSTITUTE(E60," ",""))&amp;IF(F60&lt;&gt;"","-SP"&amp;TEXT(F60*1000,"0"),"")&amp;IF(G60&lt;&gt;"","-H"&amp;TEXT(G60*1000,"0"),"")&amp;"-"&amp;S60)</f>
        <v/>
      </c>
      <c r="B60" s="10" t="str">
        <f aca="false">IF(D60="","",D60&amp;" - "&amp;E60&amp;IF(F60&lt;&gt;"",", span "&amp;F60&amp;" m","")&amp;IF(G60&lt;&gt;"",", H "&amp;G60&amp;" m","")&amp;IF(H60&lt;&gt;"",", W "&amp;H60&amp;" m",""))</f>
        <v/>
      </c>
      <c r="C60" s="9"/>
      <c r="D60" s="9"/>
      <c r="E60" s="9"/>
      <c r="F60" s="42"/>
      <c r="G60" s="42"/>
      <c r="H60" s="42"/>
      <c r="I60" s="9"/>
      <c r="J60" s="9"/>
      <c r="K60" s="9"/>
      <c r="L60" s="9"/>
      <c r="M60" s="9"/>
      <c r="N60" s="38"/>
      <c r="O60" s="9"/>
      <c r="P60" s="39"/>
      <c r="Q60" s="9"/>
      <c r="R60" s="9"/>
      <c r="S60" s="9"/>
      <c r="T60" s="9"/>
      <c r="U60" s="9"/>
      <c r="V60" s="9"/>
      <c r="W60" s="9"/>
      <c r="X60" s="10" t="str">
        <f aca="false">IF(A60="","",SG_Criteria!$B$6&amp;SG_Criteria!$B$13&amp;"\"&amp;A60&amp;"\")</f>
        <v/>
      </c>
      <c r="Y60" s="10" t="str">
        <f aca="false">IF(A60="","",A60&amp;"_CAD.dwg")</f>
        <v/>
      </c>
      <c r="Z60" s="10" t="str">
        <f aca="false">IF(A60="","",A60&amp;"_DWG.pdf")</f>
        <v/>
      </c>
      <c r="AA60" s="10" t="str">
        <f aca="false">IF(A60="","",IF(W60="Y",A60&amp;"_STAAD.std","n/a"))</f>
        <v/>
      </c>
      <c r="AB60" s="10" t="str">
        <f aca="false">IF(A60="","",A60&amp;"_CALC.xlsx")</f>
        <v/>
      </c>
      <c r="AC60" s="10" t="str">
        <f aca="false">IF(A60="","",A60&amp;"_CALC.pdf")</f>
        <v/>
      </c>
      <c r="AD60" s="9"/>
      <c r="AE60" s="9"/>
      <c r="AF60" s="39"/>
      <c r="AG60" s="39"/>
      <c r="AH60" s="39"/>
      <c r="AI60" s="39"/>
      <c r="AJ60" s="39"/>
      <c r="AK60" s="12" t="str">
        <f aca="false">IF(A60="","",IF(COUNTIF(Rebar_Schedule!$A$5:$A$2004,A60)=0,"",ROUND(SUMIF(Rebar_Schedule!$A$5:$A$2004,A60,Rebar_Schedule!$K$5:$K$2004),1)))</f>
        <v/>
      </c>
      <c r="AL60" s="33" t="str">
        <f aca="false">IF(A60="","",IF(AK60="","No rebar schedule yet",IF(ABS(AK60-N(AG60))/MAX(N(AG60),1)&gt;SG_Criteria!$B$55,"NOTE: register rebar differs from schedule by "&amp;TEXT(ABS(AK60-N(AG60))/MAX(N(AG60),1),"0%"),"OK")))</f>
        <v/>
      </c>
      <c r="AM60" s="33" t="str">
        <f aca="false">IF(D60="","","OK")</f>
        <v/>
      </c>
      <c r="AN60" s="9"/>
      <c r="AO60" s="9"/>
      <c r="AP60" s="9"/>
      <c r="AQ60" s="10" t="str">
        <f aca="false">IF(AP60="","",IFERROR(VLOOKUP(AP60,Projects!$A$5:$D$504,2,0),"Ref not in Projects"))</f>
        <v/>
      </c>
      <c r="AR60" s="10" t="str">
        <f aca="false">IF(AP60="","",IFERROR(VLOOKUP(AP60,Projects!$A$5:$D$504,4,0),"Ref not in Projects"))</f>
        <v/>
      </c>
      <c r="AS60" s="9"/>
      <c r="AT60" s="9"/>
      <c r="AU60" s="9"/>
      <c r="AV60" s="40"/>
      <c r="AW60" s="9"/>
      <c r="AX60" s="40"/>
      <c r="AY60" s="9"/>
      <c r="AZ60" s="40"/>
      <c r="BA60" s="9"/>
      <c r="BB60" s="9"/>
      <c r="BC60" s="9"/>
      <c r="BD60" s="40"/>
      <c r="BE60" s="40"/>
      <c r="BF60" s="36" t="str">
        <f aca="false">IF(BE60="","",EDATE(BE60,SG_Criteria!$B$54*12))</f>
        <v/>
      </c>
      <c r="BG60" s="33" t="str">
        <f aca="true">IF(A60="","",IF(BE60="","NOTE: not reviewed yet",IF(TODAY()&gt;BF60,"NOTE: review overdue","OK")))</f>
        <v/>
      </c>
      <c r="BH60" s="37" t="str">
        <f aca="false">IF(A60="","",ROUND((IF(LEN(D60)&gt;0,1,0)+IF(LEN(E60)&gt;0,1,0)+IF(LEN(I60)&gt;0,1,0)+IF(LEN(K60)&gt;0,1,0)+IF(LEN(Q60)&gt;0,1,0)+IF(LEN(S60)&gt;0,1,0)+IF(LEN(T60)&gt;0,1,0)+IF(LEN(U60)&gt;0,1,0)+IF(LEN(V60)&gt;0,1,0)+IF(LEN(AE60)&gt;0,1,0)+IF(LEN(AP60)&gt;0,1,0)+IF(LEN(BC60)&gt;0,1,0))/12,2))</f>
        <v/>
      </c>
      <c r="BI60" s="10" t="str">
        <f aca="false">IF(D60="","",IF(AND(T60="Approved",ISERROR(SEARCH("FAIL",AM60))),"Y","N"))</f>
        <v/>
      </c>
    </row>
    <row r="61" customFormat="false" ht="15" hidden="false" customHeight="false" outlineLevel="0" collapsed="false">
      <c r="A61" s="10" t="str">
        <f aca="false">IF(D61="","",IFERROR(VLOOKUP(D61,Lists!$BI$4:$BJ$20,2,0),"??")&amp;"-"&amp;UPPER(SUBSTITUTE(E61," ",""))&amp;IF(F61&lt;&gt;"","-SP"&amp;TEXT(F61*1000,"0"),"")&amp;IF(G61&lt;&gt;"","-H"&amp;TEXT(G61*1000,"0"),"")&amp;"-"&amp;S61)</f>
        <v/>
      </c>
      <c r="B61" s="10" t="str">
        <f aca="false">IF(D61="","",D61&amp;" - "&amp;E61&amp;IF(F61&lt;&gt;"",", span "&amp;F61&amp;" m","")&amp;IF(G61&lt;&gt;"",", H "&amp;G61&amp;" m","")&amp;IF(H61&lt;&gt;"",", W "&amp;H61&amp;" m",""))</f>
        <v/>
      </c>
      <c r="C61" s="9"/>
      <c r="D61" s="9"/>
      <c r="E61" s="9"/>
      <c r="F61" s="42"/>
      <c r="G61" s="42"/>
      <c r="H61" s="42"/>
      <c r="I61" s="9"/>
      <c r="J61" s="9"/>
      <c r="K61" s="9"/>
      <c r="L61" s="9"/>
      <c r="M61" s="9"/>
      <c r="N61" s="38"/>
      <c r="O61" s="9"/>
      <c r="P61" s="39"/>
      <c r="Q61" s="9"/>
      <c r="R61" s="9"/>
      <c r="S61" s="9"/>
      <c r="T61" s="9"/>
      <c r="U61" s="9"/>
      <c r="V61" s="9"/>
      <c r="W61" s="9"/>
      <c r="X61" s="10" t="str">
        <f aca="false">IF(A61="","",SG_Criteria!$B$6&amp;SG_Criteria!$B$13&amp;"\"&amp;A61&amp;"\")</f>
        <v/>
      </c>
      <c r="Y61" s="10" t="str">
        <f aca="false">IF(A61="","",A61&amp;"_CAD.dwg")</f>
        <v/>
      </c>
      <c r="Z61" s="10" t="str">
        <f aca="false">IF(A61="","",A61&amp;"_DWG.pdf")</f>
        <v/>
      </c>
      <c r="AA61" s="10" t="str">
        <f aca="false">IF(A61="","",IF(W61="Y",A61&amp;"_STAAD.std","n/a"))</f>
        <v/>
      </c>
      <c r="AB61" s="10" t="str">
        <f aca="false">IF(A61="","",A61&amp;"_CALC.xlsx")</f>
        <v/>
      </c>
      <c r="AC61" s="10" t="str">
        <f aca="false">IF(A61="","",A61&amp;"_CALC.pdf")</f>
        <v/>
      </c>
      <c r="AD61" s="9"/>
      <c r="AE61" s="9"/>
      <c r="AF61" s="39"/>
      <c r="AG61" s="39"/>
      <c r="AH61" s="39"/>
      <c r="AI61" s="39"/>
      <c r="AJ61" s="39"/>
      <c r="AK61" s="12" t="str">
        <f aca="false">IF(A61="","",IF(COUNTIF(Rebar_Schedule!$A$5:$A$2004,A61)=0,"",ROUND(SUMIF(Rebar_Schedule!$A$5:$A$2004,A61,Rebar_Schedule!$K$5:$K$2004),1)))</f>
        <v/>
      </c>
      <c r="AL61" s="33" t="str">
        <f aca="false">IF(A61="","",IF(AK61="","No rebar schedule yet",IF(ABS(AK61-N(AG61))/MAX(N(AG61),1)&gt;SG_Criteria!$B$55,"NOTE: register rebar differs from schedule by "&amp;TEXT(ABS(AK61-N(AG61))/MAX(N(AG61),1),"0%"),"OK")))</f>
        <v/>
      </c>
      <c r="AM61" s="33" t="str">
        <f aca="false">IF(D61="","","OK")</f>
        <v/>
      </c>
      <c r="AN61" s="9"/>
      <c r="AO61" s="9"/>
      <c r="AP61" s="9"/>
      <c r="AQ61" s="10" t="str">
        <f aca="false">IF(AP61="","",IFERROR(VLOOKUP(AP61,Projects!$A$5:$D$504,2,0),"Ref not in Projects"))</f>
        <v/>
      </c>
      <c r="AR61" s="10" t="str">
        <f aca="false">IF(AP61="","",IFERROR(VLOOKUP(AP61,Projects!$A$5:$D$504,4,0),"Ref not in Projects"))</f>
        <v/>
      </c>
      <c r="AS61" s="9"/>
      <c r="AT61" s="9"/>
      <c r="AU61" s="9"/>
      <c r="AV61" s="40"/>
      <c r="AW61" s="9"/>
      <c r="AX61" s="40"/>
      <c r="AY61" s="9"/>
      <c r="AZ61" s="40"/>
      <c r="BA61" s="9"/>
      <c r="BB61" s="9"/>
      <c r="BC61" s="9"/>
      <c r="BD61" s="40"/>
      <c r="BE61" s="40"/>
      <c r="BF61" s="36" t="str">
        <f aca="false">IF(BE61="","",EDATE(BE61,SG_Criteria!$B$54*12))</f>
        <v/>
      </c>
      <c r="BG61" s="33" t="str">
        <f aca="true">IF(A61="","",IF(BE61="","NOTE: not reviewed yet",IF(TODAY()&gt;BF61,"NOTE: review overdue","OK")))</f>
        <v/>
      </c>
      <c r="BH61" s="37" t="str">
        <f aca="false">IF(A61="","",ROUND((IF(LEN(D61)&gt;0,1,0)+IF(LEN(E61)&gt;0,1,0)+IF(LEN(I61)&gt;0,1,0)+IF(LEN(K61)&gt;0,1,0)+IF(LEN(Q61)&gt;0,1,0)+IF(LEN(S61)&gt;0,1,0)+IF(LEN(T61)&gt;0,1,0)+IF(LEN(U61)&gt;0,1,0)+IF(LEN(V61)&gt;0,1,0)+IF(LEN(AE61)&gt;0,1,0)+IF(LEN(AP61)&gt;0,1,0)+IF(LEN(BC61)&gt;0,1,0))/12,2))</f>
        <v/>
      </c>
      <c r="BI61" s="10" t="str">
        <f aca="false">IF(D61="","",IF(AND(T61="Approved",ISERROR(SEARCH("FAIL",AM61))),"Y","N"))</f>
        <v/>
      </c>
    </row>
    <row r="62" customFormat="false" ht="15" hidden="false" customHeight="false" outlineLevel="0" collapsed="false">
      <c r="A62" s="10" t="str">
        <f aca="false">IF(D62="","",IFERROR(VLOOKUP(D62,Lists!$BI$4:$BJ$20,2,0),"??")&amp;"-"&amp;UPPER(SUBSTITUTE(E62," ",""))&amp;IF(F62&lt;&gt;"","-SP"&amp;TEXT(F62*1000,"0"),"")&amp;IF(G62&lt;&gt;"","-H"&amp;TEXT(G62*1000,"0"),"")&amp;"-"&amp;S62)</f>
        <v/>
      </c>
      <c r="B62" s="10" t="str">
        <f aca="false">IF(D62="","",D62&amp;" - "&amp;E62&amp;IF(F62&lt;&gt;"",", span "&amp;F62&amp;" m","")&amp;IF(G62&lt;&gt;"",", H "&amp;G62&amp;" m","")&amp;IF(H62&lt;&gt;"",", W "&amp;H62&amp;" m",""))</f>
        <v/>
      </c>
      <c r="C62" s="9"/>
      <c r="D62" s="9"/>
      <c r="E62" s="9"/>
      <c r="F62" s="42"/>
      <c r="G62" s="42"/>
      <c r="H62" s="42"/>
      <c r="I62" s="9"/>
      <c r="J62" s="9"/>
      <c r="K62" s="9"/>
      <c r="L62" s="9"/>
      <c r="M62" s="9"/>
      <c r="N62" s="38"/>
      <c r="O62" s="9"/>
      <c r="P62" s="39"/>
      <c r="Q62" s="9"/>
      <c r="R62" s="9"/>
      <c r="S62" s="9"/>
      <c r="T62" s="9"/>
      <c r="U62" s="9"/>
      <c r="V62" s="9"/>
      <c r="W62" s="9"/>
      <c r="X62" s="10" t="str">
        <f aca="false">IF(A62="","",SG_Criteria!$B$6&amp;SG_Criteria!$B$13&amp;"\"&amp;A62&amp;"\")</f>
        <v/>
      </c>
      <c r="Y62" s="10" t="str">
        <f aca="false">IF(A62="","",A62&amp;"_CAD.dwg")</f>
        <v/>
      </c>
      <c r="Z62" s="10" t="str">
        <f aca="false">IF(A62="","",A62&amp;"_DWG.pdf")</f>
        <v/>
      </c>
      <c r="AA62" s="10" t="str">
        <f aca="false">IF(A62="","",IF(W62="Y",A62&amp;"_STAAD.std","n/a"))</f>
        <v/>
      </c>
      <c r="AB62" s="10" t="str">
        <f aca="false">IF(A62="","",A62&amp;"_CALC.xlsx")</f>
        <v/>
      </c>
      <c r="AC62" s="10" t="str">
        <f aca="false">IF(A62="","",A62&amp;"_CALC.pdf")</f>
        <v/>
      </c>
      <c r="AD62" s="9"/>
      <c r="AE62" s="9"/>
      <c r="AF62" s="39"/>
      <c r="AG62" s="39"/>
      <c r="AH62" s="39"/>
      <c r="AI62" s="39"/>
      <c r="AJ62" s="39"/>
      <c r="AK62" s="12" t="str">
        <f aca="false">IF(A62="","",IF(COUNTIF(Rebar_Schedule!$A$5:$A$2004,A62)=0,"",ROUND(SUMIF(Rebar_Schedule!$A$5:$A$2004,A62,Rebar_Schedule!$K$5:$K$2004),1)))</f>
        <v/>
      </c>
      <c r="AL62" s="33" t="str">
        <f aca="false">IF(A62="","",IF(AK62="","No rebar schedule yet",IF(ABS(AK62-N(AG62))/MAX(N(AG62),1)&gt;SG_Criteria!$B$55,"NOTE: register rebar differs from schedule by "&amp;TEXT(ABS(AK62-N(AG62))/MAX(N(AG62),1),"0%"),"OK")))</f>
        <v/>
      </c>
      <c r="AM62" s="33" t="str">
        <f aca="false">IF(D62="","","OK")</f>
        <v/>
      </c>
      <c r="AN62" s="9"/>
      <c r="AO62" s="9"/>
      <c r="AP62" s="9"/>
      <c r="AQ62" s="10" t="str">
        <f aca="false">IF(AP62="","",IFERROR(VLOOKUP(AP62,Projects!$A$5:$D$504,2,0),"Ref not in Projects"))</f>
        <v/>
      </c>
      <c r="AR62" s="10" t="str">
        <f aca="false">IF(AP62="","",IFERROR(VLOOKUP(AP62,Projects!$A$5:$D$504,4,0),"Ref not in Projects"))</f>
        <v/>
      </c>
      <c r="AS62" s="9"/>
      <c r="AT62" s="9"/>
      <c r="AU62" s="9"/>
      <c r="AV62" s="40"/>
      <c r="AW62" s="9"/>
      <c r="AX62" s="40"/>
      <c r="AY62" s="9"/>
      <c r="AZ62" s="40"/>
      <c r="BA62" s="9"/>
      <c r="BB62" s="9"/>
      <c r="BC62" s="9"/>
      <c r="BD62" s="40"/>
      <c r="BE62" s="40"/>
      <c r="BF62" s="36" t="str">
        <f aca="false">IF(BE62="","",EDATE(BE62,SG_Criteria!$B$54*12))</f>
        <v/>
      </c>
      <c r="BG62" s="33" t="str">
        <f aca="true">IF(A62="","",IF(BE62="","NOTE: not reviewed yet",IF(TODAY()&gt;BF62,"NOTE: review overdue","OK")))</f>
        <v/>
      </c>
      <c r="BH62" s="37" t="str">
        <f aca="false">IF(A62="","",ROUND((IF(LEN(D62)&gt;0,1,0)+IF(LEN(E62)&gt;0,1,0)+IF(LEN(I62)&gt;0,1,0)+IF(LEN(K62)&gt;0,1,0)+IF(LEN(Q62)&gt;0,1,0)+IF(LEN(S62)&gt;0,1,0)+IF(LEN(T62)&gt;0,1,0)+IF(LEN(U62)&gt;0,1,0)+IF(LEN(V62)&gt;0,1,0)+IF(LEN(AE62)&gt;0,1,0)+IF(LEN(AP62)&gt;0,1,0)+IF(LEN(BC62)&gt;0,1,0))/12,2))</f>
        <v/>
      </c>
      <c r="BI62" s="10" t="str">
        <f aca="false">IF(D62="","",IF(AND(T62="Approved",ISERROR(SEARCH("FAIL",AM62))),"Y","N"))</f>
        <v/>
      </c>
    </row>
    <row r="63" customFormat="false" ht="15" hidden="false" customHeight="false" outlineLevel="0" collapsed="false">
      <c r="A63" s="10" t="str">
        <f aca="false">IF(D63="","",IFERROR(VLOOKUP(D63,Lists!$BI$4:$BJ$20,2,0),"??")&amp;"-"&amp;UPPER(SUBSTITUTE(E63," ",""))&amp;IF(F63&lt;&gt;"","-SP"&amp;TEXT(F63*1000,"0"),"")&amp;IF(G63&lt;&gt;"","-H"&amp;TEXT(G63*1000,"0"),"")&amp;"-"&amp;S63)</f>
        <v/>
      </c>
      <c r="B63" s="10" t="str">
        <f aca="false">IF(D63="","",D63&amp;" - "&amp;E63&amp;IF(F63&lt;&gt;"",", span "&amp;F63&amp;" m","")&amp;IF(G63&lt;&gt;"",", H "&amp;G63&amp;" m","")&amp;IF(H63&lt;&gt;"",", W "&amp;H63&amp;" m",""))</f>
        <v/>
      </c>
      <c r="C63" s="9"/>
      <c r="D63" s="9"/>
      <c r="E63" s="9"/>
      <c r="F63" s="42"/>
      <c r="G63" s="42"/>
      <c r="H63" s="42"/>
      <c r="I63" s="9"/>
      <c r="J63" s="9"/>
      <c r="K63" s="9"/>
      <c r="L63" s="9"/>
      <c r="M63" s="9"/>
      <c r="N63" s="38"/>
      <c r="O63" s="9"/>
      <c r="P63" s="39"/>
      <c r="Q63" s="9"/>
      <c r="R63" s="9"/>
      <c r="S63" s="9"/>
      <c r="T63" s="9"/>
      <c r="U63" s="9"/>
      <c r="V63" s="9"/>
      <c r="W63" s="9"/>
      <c r="X63" s="10" t="str">
        <f aca="false">IF(A63="","",SG_Criteria!$B$6&amp;SG_Criteria!$B$13&amp;"\"&amp;A63&amp;"\")</f>
        <v/>
      </c>
      <c r="Y63" s="10" t="str">
        <f aca="false">IF(A63="","",A63&amp;"_CAD.dwg")</f>
        <v/>
      </c>
      <c r="Z63" s="10" t="str">
        <f aca="false">IF(A63="","",A63&amp;"_DWG.pdf")</f>
        <v/>
      </c>
      <c r="AA63" s="10" t="str">
        <f aca="false">IF(A63="","",IF(W63="Y",A63&amp;"_STAAD.std","n/a"))</f>
        <v/>
      </c>
      <c r="AB63" s="10" t="str">
        <f aca="false">IF(A63="","",A63&amp;"_CALC.xlsx")</f>
        <v/>
      </c>
      <c r="AC63" s="10" t="str">
        <f aca="false">IF(A63="","",A63&amp;"_CALC.pdf")</f>
        <v/>
      </c>
      <c r="AD63" s="9"/>
      <c r="AE63" s="9"/>
      <c r="AF63" s="39"/>
      <c r="AG63" s="39"/>
      <c r="AH63" s="39"/>
      <c r="AI63" s="39"/>
      <c r="AJ63" s="39"/>
      <c r="AK63" s="12" t="str">
        <f aca="false">IF(A63="","",IF(COUNTIF(Rebar_Schedule!$A$5:$A$2004,A63)=0,"",ROUND(SUMIF(Rebar_Schedule!$A$5:$A$2004,A63,Rebar_Schedule!$K$5:$K$2004),1)))</f>
        <v/>
      </c>
      <c r="AL63" s="33" t="str">
        <f aca="false">IF(A63="","",IF(AK63="","No rebar schedule yet",IF(ABS(AK63-N(AG63))/MAX(N(AG63),1)&gt;SG_Criteria!$B$55,"NOTE: register rebar differs from schedule by "&amp;TEXT(ABS(AK63-N(AG63))/MAX(N(AG63),1),"0%"),"OK")))</f>
        <v/>
      </c>
      <c r="AM63" s="33" t="str">
        <f aca="false">IF(D63="","","OK")</f>
        <v/>
      </c>
      <c r="AN63" s="9"/>
      <c r="AO63" s="9"/>
      <c r="AP63" s="9"/>
      <c r="AQ63" s="10" t="str">
        <f aca="false">IF(AP63="","",IFERROR(VLOOKUP(AP63,Projects!$A$5:$D$504,2,0),"Ref not in Projects"))</f>
        <v/>
      </c>
      <c r="AR63" s="10" t="str">
        <f aca="false">IF(AP63="","",IFERROR(VLOOKUP(AP63,Projects!$A$5:$D$504,4,0),"Ref not in Projects"))</f>
        <v/>
      </c>
      <c r="AS63" s="9"/>
      <c r="AT63" s="9"/>
      <c r="AU63" s="9"/>
      <c r="AV63" s="40"/>
      <c r="AW63" s="9"/>
      <c r="AX63" s="40"/>
      <c r="AY63" s="9"/>
      <c r="AZ63" s="40"/>
      <c r="BA63" s="9"/>
      <c r="BB63" s="9"/>
      <c r="BC63" s="9"/>
      <c r="BD63" s="40"/>
      <c r="BE63" s="40"/>
      <c r="BF63" s="36" t="str">
        <f aca="false">IF(BE63="","",EDATE(BE63,SG_Criteria!$B$54*12))</f>
        <v/>
      </c>
      <c r="BG63" s="33" t="str">
        <f aca="true">IF(A63="","",IF(BE63="","NOTE: not reviewed yet",IF(TODAY()&gt;BF63,"NOTE: review overdue","OK")))</f>
        <v/>
      </c>
      <c r="BH63" s="37" t="str">
        <f aca="false">IF(A63="","",ROUND((IF(LEN(D63)&gt;0,1,0)+IF(LEN(E63)&gt;0,1,0)+IF(LEN(I63)&gt;0,1,0)+IF(LEN(K63)&gt;0,1,0)+IF(LEN(Q63)&gt;0,1,0)+IF(LEN(S63)&gt;0,1,0)+IF(LEN(T63)&gt;0,1,0)+IF(LEN(U63)&gt;0,1,0)+IF(LEN(V63)&gt;0,1,0)+IF(LEN(AE63)&gt;0,1,0)+IF(LEN(AP63)&gt;0,1,0)+IF(LEN(BC63)&gt;0,1,0))/12,2))</f>
        <v/>
      </c>
      <c r="BI63" s="10" t="str">
        <f aca="false">IF(D63="","",IF(AND(T63="Approved",ISERROR(SEARCH("FAIL",AM63))),"Y","N"))</f>
        <v/>
      </c>
    </row>
    <row r="64" customFormat="false" ht="15" hidden="false" customHeight="false" outlineLevel="0" collapsed="false">
      <c r="A64" s="10" t="str">
        <f aca="false">IF(D64="","",IFERROR(VLOOKUP(D64,Lists!$BI$4:$BJ$20,2,0),"??")&amp;"-"&amp;UPPER(SUBSTITUTE(E64," ",""))&amp;IF(F64&lt;&gt;"","-SP"&amp;TEXT(F64*1000,"0"),"")&amp;IF(G64&lt;&gt;"","-H"&amp;TEXT(G64*1000,"0"),"")&amp;"-"&amp;S64)</f>
        <v/>
      </c>
      <c r="B64" s="10" t="str">
        <f aca="false">IF(D64="","",D64&amp;" - "&amp;E64&amp;IF(F64&lt;&gt;"",", span "&amp;F64&amp;" m","")&amp;IF(G64&lt;&gt;"",", H "&amp;G64&amp;" m","")&amp;IF(H64&lt;&gt;"",", W "&amp;H64&amp;" m",""))</f>
        <v/>
      </c>
      <c r="C64" s="9"/>
      <c r="D64" s="9"/>
      <c r="E64" s="9"/>
      <c r="F64" s="42"/>
      <c r="G64" s="42"/>
      <c r="H64" s="42"/>
      <c r="I64" s="9"/>
      <c r="J64" s="9"/>
      <c r="K64" s="9"/>
      <c r="L64" s="9"/>
      <c r="M64" s="9"/>
      <c r="N64" s="38"/>
      <c r="O64" s="9"/>
      <c r="P64" s="39"/>
      <c r="Q64" s="9"/>
      <c r="R64" s="9"/>
      <c r="S64" s="9"/>
      <c r="T64" s="9"/>
      <c r="U64" s="9"/>
      <c r="V64" s="9"/>
      <c r="W64" s="9"/>
      <c r="X64" s="10" t="str">
        <f aca="false">IF(A64="","",SG_Criteria!$B$6&amp;SG_Criteria!$B$13&amp;"\"&amp;A64&amp;"\")</f>
        <v/>
      </c>
      <c r="Y64" s="10" t="str">
        <f aca="false">IF(A64="","",A64&amp;"_CAD.dwg")</f>
        <v/>
      </c>
      <c r="Z64" s="10" t="str">
        <f aca="false">IF(A64="","",A64&amp;"_DWG.pdf")</f>
        <v/>
      </c>
      <c r="AA64" s="10" t="str">
        <f aca="false">IF(A64="","",IF(W64="Y",A64&amp;"_STAAD.std","n/a"))</f>
        <v/>
      </c>
      <c r="AB64" s="10" t="str">
        <f aca="false">IF(A64="","",A64&amp;"_CALC.xlsx")</f>
        <v/>
      </c>
      <c r="AC64" s="10" t="str">
        <f aca="false">IF(A64="","",A64&amp;"_CALC.pdf")</f>
        <v/>
      </c>
      <c r="AD64" s="9"/>
      <c r="AE64" s="9"/>
      <c r="AF64" s="39"/>
      <c r="AG64" s="39"/>
      <c r="AH64" s="39"/>
      <c r="AI64" s="39"/>
      <c r="AJ64" s="39"/>
      <c r="AK64" s="12" t="str">
        <f aca="false">IF(A64="","",IF(COUNTIF(Rebar_Schedule!$A$5:$A$2004,A64)=0,"",ROUND(SUMIF(Rebar_Schedule!$A$5:$A$2004,A64,Rebar_Schedule!$K$5:$K$2004),1)))</f>
        <v/>
      </c>
      <c r="AL64" s="33" t="str">
        <f aca="false">IF(A64="","",IF(AK64="","No rebar schedule yet",IF(ABS(AK64-N(AG64))/MAX(N(AG64),1)&gt;SG_Criteria!$B$55,"NOTE: register rebar differs from schedule by "&amp;TEXT(ABS(AK64-N(AG64))/MAX(N(AG64),1),"0%"),"OK")))</f>
        <v/>
      </c>
      <c r="AM64" s="33" t="str">
        <f aca="false">IF(D64="","","OK")</f>
        <v/>
      </c>
      <c r="AN64" s="9"/>
      <c r="AO64" s="9"/>
      <c r="AP64" s="9"/>
      <c r="AQ64" s="10" t="str">
        <f aca="false">IF(AP64="","",IFERROR(VLOOKUP(AP64,Projects!$A$5:$D$504,2,0),"Ref not in Projects"))</f>
        <v/>
      </c>
      <c r="AR64" s="10" t="str">
        <f aca="false">IF(AP64="","",IFERROR(VLOOKUP(AP64,Projects!$A$5:$D$504,4,0),"Ref not in Projects"))</f>
        <v/>
      </c>
      <c r="AS64" s="9"/>
      <c r="AT64" s="9"/>
      <c r="AU64" s="9"/>
      <c r="AV64" s="40"/>
      <c r="AW64" s="9"/>
      <c r="AX64" s="40"/>
      <c r="AY64" s="9"/>
      <c r="AZ64" s="40"/>
      <c r="BA64" s="9"/>
      <c r="BB64" s="9"/>
      <c r="BC64" s="9"/>
      <c r="BD64" s="40"/>
      <c r="BE64" s="40"/>
      <c r="BF64" s="36" t="str">
        <f aca="false">IF(BE64="","",EDATE(BE64,SG_Criteria!$B$54*12))</f>
        <v/>
      </c>
      <c r="BG64" s="33" t="str">
        <f aca="true">IF(A64="","",IF(BE64="","NOTE: not reviewed yet",IF(TODAY()&gt;BF64,"NOTE: review overdue","OK")))</f>
        <v/>
      </c>
      <c r="BH64" s="37" t="str">
        <f aca="false">IF(A64="","",ROUND((IF(LEN(D64)&gt;0,1,0)+IF(LEN(E64)&gt;0,1,0)+IF(LEN(I64)&gt;0,1,0)+IF(LEN(K64)&gt;0,1,0)+IF(LEN(Q64)&gt;0,1,0)+IF(LEN(S64)&gt;0,1,0)+IF(LEN(T64)&gt;0,1,0)+IF(LEN(U64)&gt;0,1,0)+IF(LEN(V64)&gt;0,1,0)+IF(LEN(AE64)&gt;0,1,0)+IF(LEN(AP64)&gt;0,1,0)+IF(LEN(BC64)&gt;0,1,0))/12,2))</f>
        <v/>
      </c>
      <c r="BI64" s="10" t="str">
        <f aca="false">IF(D64="","",IF(AND(T64="Approved",ISERROR(SEARCH("FAIL",AM64))),"Y","N"))</f>
        <v/>
      </c>
    </row>
    <row r="65" customFormat="false" ht="15" hidden="false" customHeight="false" outlineLevel="0" collapsed="false">
      <c r="A65" s="10" t="str">
        <f aca="false">IF(D65="","",IFERROR(VLOOKUP(D65,Lists!$BI$4:$BJ$20,2,0),"??")&amp;"-"&amp;UPPER(SUBSTITUTE(E65," ",""))&amp;IF(F65&lt;&gt;"","-SP"&amp;TEXT(F65*1000,"0"),"")&amp;IF(G65&lt;&gt;"","-H"&amp;TEXT(G65*1000,"0"),"")&amp;"-"&amp;S65)</f>
        <v/>
      </c>
      <c r="B65" s="10" t="str">
        <f aca="false">IF(D65="","",D65&amp;" - "&amp;E65&amp;IF(F65&lt;&gt;"",", span "&amp;F65&amp;" m","")&amp;IF(G65&lt;&gt;"",", H "&amp;G65&amp;" m","")&amp;IF(H65&lt;&gt;"",", W "&amp;H65&amp;" m",""))</f>
        <v/>
      </c>
      <c r="C65" s="9"/>
      <c r="D65" s="9"/>
      <c r="E65" s="9"/>
      <c r="F65" s="42"/>
      <c r="G65" s="42"/>
      <c r="H65" s="42"/>
      <c r="I65" s="9"/>
      <c r="J65" s="9"/>
      <c r="K65" s="9"/>
      <c r="L65" s="9"/>
      <c r="M65" s="9"/>
      <c r="N65" s="38"/>
      <c r="O65" s="9"/>
      <c r="P65" s="39"/>
      <c r="Q65" s="9"/>
      <c r="R65" s="9"/>
      <c r="S65" s="9"/>
      <c r="T65" s="9"/>
      <c r="U65" s="9"/>
      <c r="V65" s="9"/>
      <c r="W65" s="9"/>
      <c r="X65" s="10" t="str">
        <f aca="false">IF(A65="","",SG_Criteria!$B$6&amp;SG_Criteria!$B$13&amp;"\"&amp;A65&amp;"\")</f>
        <v/>
      </c>
      <c r="Y65" s="10" t="str">
        <f aca="false">IF(A65="","",A65&amp;"_CAD.dwg")</f>
        <v/>
      </c>
      <c r="Z65" s="10" t="str">
        <f aca="false">IF(A65="","",A65&amp;"_DWG.pdf")</f>
        <v/>
      </c>
      <c r="AA65" s="10" t="str">
        <f aca="false">IF(A65="","",IF(W65="Y",A65&amp;"_STAAD.std","n/a"))</f>
        <v/>
      </c>
      <c r="AB65" s="10" t="str">
        <f aca="false">IF(A65="","",A65&amp;"_CALC.xlsx")</f>
        <v/>
      </c>
      <c r="AC65" s="10" t="str">
        <f aca="false">IF(A65="","",A65&amp;"_CALC.pdf")</f>
        <v/>
      </c>
      <c r="AD65" s="9"/>
      <c r="AE65" s="9"/>
      <c r="AF65" s="39"/>
      <c r="AG65" s="39"/>
      <c r="AH65" s="39"/>
      <c r="AI65" s="39"/>
      <c r="AJ65" s="39"/>
      <c r="AK65" s="12" t="str">
        <f aca="false">IF(A65="","",IF(COUNTIF(Rebar_Schedule!$A$5:$A$2004,A65)=0,"",ROUND(SUMIF(Rebar_Schedule!$A$5:$A$2004,A65,Rebar_Schedule!$K$5:$K$2004),1)))</f>
        <v/>
      </c>
      <c r="AL65" s="33" t="str">
        <f aca="false">IF(A65="","",IF(AK65="","No rebar schedule yet",IF(ABS(AK65-N(AG65))/MAX(N(AG65),1)&gt;SG_Criteria!$B$55,"NOTE: register rebar differs from schedule by "&amp;TEXT(ABS(AK65-N(AG65))/MAX(N(AG65),1),"0%"),"OK")))</f>
        <v/>
      </c>
      <c r="AM65" s="33" t="str">
        <f aca="false">IF(D65="","","OK")</f>
        <v/>
      </c>
      <c r="AN65" s="9"/>
      <c r="AO65" s="9"/>
      <c r="AP65" s="9"/>
      <c r="AQ65" s="10" t="str">
        <f aca="false">IF(AP65="","",IFERROR(VLOOKUP(AP65,Projects!$A$5:$D$504,2,0),"Ref not in Projects"))</f>
        <v/>
      </c>
      <c r="AR65" s="10" t="str">
        <f aca="false">IF(AP65="","",IFERROR(VLOOKUP(AP65,Projects!$A$5:$D$504,4,0),"Ref not in Projects"))</f>
        <v/>
      </c>
      <c r="AS65" s="9"/>
      <c r="AT65" s="9"/>
      <c r="AU65" s="9"/>
      <c r="AV65" s="40"/>
      <c r="AW65" s="9"/>
      <c r="AX65" s="40"/>
      <c r="AY65" s="9"/>
      <c r="AZ65" s="40"/>
      <c r="BA65" s="9"/>
      <c r="BB65" s="9"/>
      <c r="BC65" s="9"/>
      <c r="BD65" s="40"/>
      <c r="BE65" s="40"/>
      <c r="BF65" s="36" t="str">
        <f aca="false">IF(BE65="","",EDATE(BE65,SG_Criteria!$B$54*12))</f>
        <v/>
      </c>
      <c r="BG65" s="33" t="str">
        <f aca="true">IF(A65="","",IF(BE65="","NOTE: not reviewed yet",IF(TODAY()&gt;BF65,"NOTE: review overdue","OK")))</f>
        <v/>
      </c>
      <c r="BH65" s="37" t="str">
        <f aca="false">IF(A65="","",ROUND((IF(LEN(D65)&gt;0,1,0)+IF(LEN(E65)&gt;0,1,0)+IF(LEN(I65)&gt;0,1,0)+IF(LEN(K65)&gt;0,1,0)+IF(LEN(Q65)&gt;0,1,0)+IF(LEN(S65)&gt;0,1,0)+IF(LEN(T65)&gt;0,1,0)+IF(LEN(U65)&gt;0,1,0)+IF(LEN(V65)&gt;0,1,0)+IF(LEN(AE65)&gt;0,1,0)+IF(LEN(AP65)&gt;0,1,0)+IF(LEN(BC65)&gt;0,1,0))/12,2))</f>
        <v/>
      </c>
      <c r="BI65" s="10" t="str">
        <f aca="false">IF(D65="","",IF(AND(T65="Approved",ISERROR(SEARCH("FAIL",AM65))),"Y","N"))</f>
        <v/>
      </c>
    </row>
    <row r="66" customFormat="false" ht="15" hidden="false" customHeight="false" outlineLevel="0" collapsed="false">
      <c r="A66" s="10" t="str">
        <f aca="false">IF(D66="","",IFERROR(VLOOKUP(D66,Lists!$BI$4:$BJ$20,2,0),"??")&amp;"-"&amp;UPPER(SUBSTITUTE(E66," ",""))&amp;IF(F66&lt;&gt;"","-SP"&amp;TEXT(F66*1000,"0"),"")&amp;IF(G66&lt;&gt;"","-H"&amp;TEXT(G66*1000,"0"),"")&amp;"-"&amp;S66)</f>
        <v/>
      </c>
      <c r="B66" s="10" t="str">
        <f aca="false">IF(D66="","",D66&amp;" - "&amp;E66&amp;IF(F66&lt;&gt;"",", span "&amp;F66&amp;" m","")&amp;IF(G66&lt;&gt;"",", H "&amp;G66&amp;" m","")&amp;IF(H66&lt;&gt;"",", W "&amp;H66&amp;" m",""))</f>
        <v/>
      </c>
      <c r="C66" s="9"/>
      <c r="D66" s="9"/>
      <c r="E66" s="9"/>
      <c r="F66" s="42"/>
      <c r="G66" s="42"/>
      <c r="H66" s="42"/>
      <c r="I66" s="9"/>
      <c r="J66" s="9"/>
      <c r="K66" s="9"/>
      <c r="L66" s="9"/>
      <c r="M66" s="9"/>
      <c r="N66" s="38"/>
      <c r="O66" s="9"/>
      <c r="P66" s="39"/>
      <c r="Q66" s="9"/>
      <c r="R66" s="9"/>
      <c r="S66" s="9"/>
      <c r="T66" s="9"/>
      <c r="U66" s="9"/>
      <c r="V66" s="9"/>
      <c r="W66" s="9"/>
      <c r="X66" s="10" t="str">
        <f aca="false">IF(A66="","",SG_Criteria!$B$6&amp;SG_Criteria!$B$13&amp;"\"&amp;A66&amp;"\")</f>
        <v/>
      </c>
      <c r="Y66" s="10" t="str">
        <f aca="false">IF(A66="","",A66&amp;"_CAD.dwg")</f>
        <v/>
      </c>
      <c r="Z66" s="10" t="str">
        <f aca="false">IF(A66="","",A66&amp;"_DWG.pdf")</f>
        <v/>
      </c>
      <c r="AA66" s="10" t="str">
        <f aca="false">IF(A66="","",IF(W66="Y",A66&amp;"_STAAD.std","n/a"))</f>
        <v/>
      </c>
      <c r="AB66" s="10" t="str">
        <f aca="false">IF(A66="","",A66&amp;"_CALC.xlsx")</f>
        <v/>
      </c>
      <c r="AC66" s="10" t="str">
        <f aca="false">IF(A66="","",A66&amp;"_CALC.pdf")</f>
        <v/>
      </c>
      <c r="AD66" s="9"/>
      <c r="AE66" s="9"/>
      <c r="AF66" s="39"/>
      <c r="AG66" s="39"/>
      <c r="AH66" s="39"/>
      <c r="AI66" s="39"/>
      <c r="AJ66" s="39"/>
      <c r="AK66" s="12" t="str">
        <f aca="false">IF(A66="","",IF(COUNTIF(Rebar_Schedule!$A$5:$A$2004,A66)=0,"",ROUND(SUMIF(Rebar_Schedule!$A$5:$A$2004,A66,Rebar_Schedule!$K$5:$K$2004),1)))</f>
        <v/>
      </c>
      <c r="AL66" s="33" t="str">
        <f aca="false">IF(A66="","",IF(AK66="","No rebar schedule yet",IF(ABS(AK66-N(AG66))/MAX(N(AG66),1)&gt;SG_Criteria!$B$55,"NOTE: register rebar differs from schedule by "&amp;TEXT(ABS(AK66-N(AG66))/MAX(N(AG66),1),"0%"),"OK")))</f>
        <v/>
      </c>
      <c r="AM66" s="33" t="str">
        <f aca="false">IF(D66="","","OK")</f>
        <v/>
      </c>
      <c r="AN66" s="9"/>
      <c r="AO66" s="9"/>
      <c r="AP66" s="9"/>
      <c r="AQ66" s="10" t="str">
        <f aca="false">IF(AP66="","",IFERROR(VLOOKUP(AP66,Projects!$A$5:$D$504,2,0),"Ref not in Projects"))</f>
        <v/>
      </c>
      <c r="AR66" s="10" t="str">
        <f aca="false">IF(AP66="","",IFERROR(VLOOKUP(AP66,Projects!$A$5:$D$504,4,0),"Ref not in Projects"))</f>
        <v/>
      </c>
      <c r="AS66" s="9"/>
      <c r="AT66" s="9"/>
      <c r="AU66" s="9"/>
      <c r="AV66" s="40"/>
      <c r="AW66" s="9"/>
      <c r="AX66" s="40"/>
      <c r="AY66" s="9"/>
      <c r="AZ66" s="40"/>
      <c r="BA66" s="9"/>
      <c r="BB66" s="9"/>
      <c r="BC66" s="9"/>
      <c r="BD66" s="40"/>
      <c r="BE66" s="40"/>
      <c r="BF66" s="36" t="str">
        <f aca="false">IF(BE66="","",EDATE(BE66,SG_Criteria!$B$54*12))</f>
        <v/>
      </c>
      <c r="BG66" s="33" t="str">
        <f aca="true">IF(A66="","",IF(BE66="","NOTE: not reviewed yet",IF(TODAY()&gt;BF66,"NOTE: review overdue","OK")))</f>
        <v/>
      </c>
      <c r="BH66" s="37" t="str">
        <f aca="false">IF(A66="","",ROUND((IF(LEN(D66)&gt;0,1,0)+IF(LEN(E66)&gt;0,1,0)+IF(LEN(I66)&gt;0,1,0)+IF(LEN(K66)&gt;0,1,0)+IF(LEN(Q66)&gt;0,1,0)+IF(LEN(S66)&gt;0,1,0)+IF(LEN(T66)&gt;0,1,0)+IF(LEN(U66)&gt;0,1,0)+IF(LEN(V66)&gt;0,1,0)+IF(LEN(AE66)&gt;0,1,0)+IF(LEN(AP66)&gt;0,1,0)+IF(LEN(BC66)&gt;0,1,0))/12,2))</f>
        <v/>
      </c>
      <c r="BI66" s="10" t="str">
        <f aca="false">IF(D66="","",IF(AND(T66="Approved",ISERROR(SEARCH("FAIL",AM66))),"Y","N"))</f>
        <v/>
      </c>
    </row>
    <row r="67" customFormat="false" ht="15" hidden="false" customHeight="false" outlineLevel="0" collapsed="false">
      <c r="A67" s="10" t="str">
        <f aca="false">IF(D67="","",IFERROR(VLOOKUP(D67,Lists!$BI$4:$BJ$20,2,0),"??")&amp;"-"&amp;UPPER(SUBSTITUTE(E67," ",""))&amp;IF(F67&lt;&gt;"","-SP"&amp;TEXT(F67*1000,"0"),"")&amp;IF(G67&lt;&gt;"","-H"&amp;TEXT(G67*1000,"0"),"")&amp;"-"&amp;S67)</f>
        <v/>
      </c>
      <c r="B67" s="10" t="str">
        <f aca="false">IF(D67="","",D67&amp;" - "&amp;E67&amp;IF(F67&lt;&gt;"",", span "&amp;F67&amp;" m","")&amp;IF(G67&lt;&gt;"",", H "&amp;G67&amp;" m","")&amp;IF(H67&lt;&gt;"",", W "&amp;H67&amp;" m",""))</f>
        <v/>
      </c>
      <c r="C67" s="9"/>
      <c r="D67" s="9"/>
      <c r="E67" s="9"/>
      <c r="F67" s="42"/>
      <c r="G67" s="42"/>
      <c r="H67" s="42"/>
      <c r="I67" s="9"/>
      <c r="J67" s="9"/>
      <c r="K67" s="9"/>
      <c r="L67" s="9"/>
      <c r="M67" s="9"/>
      <c r="N67" s="38"/>
      <c r="O67" s="9"/>
      <c r="P67" s="39"/>
      <c r="Q67" s="9"/>
      <c r="R67" s="9"/>
      <c r="S67" s="9"/>
      <c r="T67" s="9"/>
      <c r="U67" s="9"/>
      <c r="V67" s="9"/>
      <c r="W67" s="9"/>
      <c r="X67" s="10" t="str">
        <f aca="false">IF(A67="","",SG_Criteria!$B$6&amp;SG_Criteria!$B$13&amp;"\"&amp;A67&amp;"\")</f>
        <v/>
      </c>
      <c r="Y67" s="10" t="str">
        <f aca="false">IF(A67="","",A67&amp;"_CAD.dwg")</f>
        <v/>
      </c>
      <c r="Z67" s="10" t="str">
        <f aca="false">IF(A67="","",A67&amp;"_DWG.pdf")</f>
        <v/>
      </c>
      <c r="AA67" s="10" t="str">
        <f aca="false">IF(A67="","",IF(W67="Y",A67&amp;"_STAAD.std","n/a"))</f>
        <v/>
      </c>
      <c r="AB67" s="10" t="str">
        <f aca="false">IF(A67="","",A67&amp;"_CALC.xlsx")</f>
        <v/>
      </c>
      <c r="AC67" s="10" t="str">
        <f aca="false">IF(A67="","",A67&amp;"_CALC.pdf")</f>
        <v/>
      </c>
      <c r="AD67" s="9"/>
      <c r="AE67" s="9"/>
      <c r="AF67" s="39"/>
      <c r="AG67" s="39"/>
      <c r="AH67" s="39"/>
      <c r="AI67" s="39"/>
      <c r="AJ67" s="39"/>
      <c r="AK67" s="12" t="str">
        <f aca="false">IF(A67="","",IF(COUNTIF(Rebar_Schedule!$A$5:$A$2004,A67)=0,"",ROUND(SUMIF(Rebar_Schedule!$A$5:$A$2004,A67,Rebar_Schedule!$K$5:$K$2004),1)))</f>
        <v/>
      </c>
      <c r="AL67" s="33" t="str">
        <f aca="false">IF(A67="","",IF(AK67="","No rebar schedule yet",IF(ABS(AK67-N(AG67))/MAX(N(AG67),1)&gt;SG_Criteria!$B$55,"NOTE: register rebar differs from schedule by "&amp;TEXT(ABS(AK67-N(AG67))/MAX(N(AG67),1),"0%"),"OK")))</f>
        <v/>
      </c>
      <c r="AM67" s="33" t="str">
        <f aca="false">IF(D67="","","OK")</f>
        <v/>
      </c>
      <c r="AN67" s="9"/>
      <c r="AO67" s="9"/>
      <c r="AP67" s="9"/>
      <c r="AQ67" s="10" t="str">
        <f aca="false">IF(AP67="","",IFERROR(VLOOKUP(AP67,Projects!$A$5:$D$504,2,0),"Ref not in Projects"))</f>
        <v/>
      </c>
      <c r="AR67" s="10" t="str">
        <f aca="false">IF(AP67="","",IFERROR(VLOOKUP(AP67,Projects!$A$5:$D$504,4,0),"Ref not in Projects"))</f>
        <v/>
      </c>
      <c r="AS67" s="9"/>
      <c r="AT67" s="9"/>
      <c r="AU67" s="9"/>
      <c r="AV67" s="40"/>
      <c r="AW67" s="9"/>
      <c r="AX67" s="40"/>
      <c r="AY67" s="9"/>
      <c r="AZ67" s="40"/>
      <c r="BA67" s="9"/>
      <c r="BB67" s="9"/>
      <c r="BC67" s="9"/>
      <c r="BD67" s="40"/>
      <c r="BE67" s="40"/>
      <c r="BF67" s="36" t="str">
        <f aca="false">IF(BE67="","",EDATE(BE67,SG_Criteria!$B$54*12))</f>
        <v/>
      </c>
      <c r="BG67" s="33" t="str">
        <f aca="true">IF(A67="","",IF(BE67="","NOTE: not reviewed yet",IF(TODAY()&gt;BF67,"NOTE: review overdue","OK")))</f>
        <v/>
      </c>
      <c r="BH67" s="37" t="str">
        <f aca="false">IF(A67="","",ROUND((IF(LEN(D67)&gt;0,1,0)+IF(LEN(E67)&gt;0,1,0)+IF(LEN(I67)&gt;0,1,0)+IF(LEN(K67)&gt;0,1,0)+IF(LEN(Q67)&gt;0,1,0)+IF(LEN(S67)&gt;0,1,0)+IF(LEN(T67)&gt;0,1,0)+IF(LEN(U67)&gt;0,1,0)+IF(LEN(V67)&gt;0,1,0)+IF(LEN(AE67)&gt;0,1,0)+IF(LEN(AP67)&gt;0,1,0)+IF(LEN(BC67)&gt;0,1,0))/12,2))</f>
        <v/>
      </c>
      <c r="BI67" s="10" t="str">
        <f aca="false">IF(D67="","",IF(AND(T67="Approved",ISERROR(SEARCH("FAIL",AM67))),"Y","N"))</f>
        <v/>
      </c>
    </row>
    <row r="68" customFormat="false" ht="15" hidden="false" customHeight="false" outlineLevel="0" collapsed="false">
      <c r="A68" s="10" t="str">
        <f aca="false">IF(D68="","",IFERROR(VLOOKUP(D68,Lists!$BI$4:$BJ$20,2,0),"??")&amp;"-"&amp;UPPER(SUBSTITUTE(E68," ",""))&amp;IF(F68&lt;&gt;"","-SP"&amp;TEXT(F68*1000,"0"),"")&amp;IF(G68&lt;&gt;"","-H"&amp;TEXT(G68*1000,"0"),"")&amp;"-"&amp;S68)</f>
        <v/>
      </c>
      <c r="B68" s="10" t="str">
        <f aca="false">IF(D68="","",D68&amp;" - "&amp;E68&amp;IF(F68&lt;&gt;"",", span "&amp;F68&amp;" m","")&amp;IF(G68&lt;&gt;"",", H "&amp;G68&amp;" m","")&amp;IF(H68&lt;&gt;"",", W "&amp;H68&amp;" m",""))</f>
        <v/>
      </c>
      <c r="C68" s="9"/>
      <c r="D68" s="9"/>
      <c r="E68" s="9"/>
      <c r="F68" s="42"/>
      <c r="G68" s="42"/>
      <c r="H68" s="42"/>
      <c r="I68" s="9"/>
      <c r="J68" s="9"/>
      <c r="K68" s="9"/>
      <c r="L68" s="9"/>
      <c r="M68" s="9"/>
      <c r="N68" s="38"/>
      <c r="O68" s="9"/>
      <c r="P68" s="39"/>
      <c r="Q68" s="9"/>
      <c r="R68" s="9"/>
      <c r="S68" s="9"/>
      <c r="T68" s="9"/>
      <c r="U68" s="9"/>
      <c r="V68" s="9"/>
      <c r="W68" s="9"/>
      <c r="X68" s="10" t="str">
        <f aca="false">IF(A68="","",SG_Criteria!$B$6&amp;SG_Criteria!$B$13&amp;"\"&amp;A68&amp;"\")</f>
        <v/>
      </c>
      <c r="Y68" s="10" t="str">
        <f aca="false">IF(A68="","",A68&amp;"_CAD.dwg")</f>
        <v/>
      </c>
      <c r="Z68" s="10" t="str">
        <f aca="false">IF(A68="","",A68&amp;"_DWG.pdf")</f>
        <v/>
      </c>
      <c r="AA68" s="10" t="str">
        <f aca="false">IF(A68="","",IF(W68="Y",A68&amp;"_STAAD.std","n/a"))</f>
        <v/>
      </c>
      <c r="AB68" s="10" t="str">
        <f aca="false">IF(A68="","",A68&amp;"_CALC.xlsx")</f>
        <v/>
      </c>
      <c r="AC68" s="10" t="str">
        <f aca="false">IF(A68="","",A68&amp;"_CALC.pdf")</f>
        <v/>
      </c>
      <c r="AD68" s="9"/>
      <c r="AE68" s="9"/>
      <c r="AF68" s="39"/>
      <c r="AG68" s="39"/>
      <c r="AH68" s="39"/>
      <c r="AI68" s="39"/>
      <c r="AJ68" s="39"/>
      <c r="AK68" s="12" t="str">
        <f aca="false">IF(A68="","",IF(COUNTIF(Rebar_Schedule!$A$5:$A$2004,A68)=0,"",ROUND(SUMIF(Rebar_Schedule!$A$5:$A$2004,A68,Rebar_Schedule!$K$5:$K$2004),1)))</f>
        <v/>
      </c>
      <c r="AL68" s="33" t="str">
        <f aca="false">IF(A68="","",IF(AK68="","No rebar schedule yet",IF(ABS(AK68-N(AG68))/MAX(N(AG68),1)&gt;SG_Criteria!$B$55,"NOTE: register rebar differs from schedule by "&amp;TEXT(ABS(AK68-N(AG68))/MAX(N(AG68),1),"0%"),"OK")))</f>
        <v/>
      </c>
      <c r="AM68" s="33" t="str">
        <f aca="false">IF(D68="","","OK")</f>
        <v/>
      </c>
      <c r="AN68" s="9"/>
      <c r="AO68" s="9"/>
      <c r="AP68" s="9"/>
      <c r="AQ68" s="10" t="str">
        <f aca="false">IF(AP68="","",IFERROR(VLOOKUP(AP68,Projects!$A$5:$D$504,2,0),"Ref not in Projects"))</f>
        <v/>
      </c>
      <c r="AR68" s="10" t="str">
        <f aca="false">IF(AP68="","",IFERROR(VLOOKUP(AP68,Projects!$A$5:$D$504,4,0),"Ref not in Projects"))</f>
        <v/>
      </c>
      <c r="AS68" s="9"/>
      <c r="AT68" s="9"/>
      <c r="AU68" s="9"/>
      <c r="AV68" s="40"/>
      <c r="AW68" s="9"/>
      <c r="AX68" s="40"/>
      <c r="AY68" s="9"/>
      <c r="AZ68" s="40"/>
      <c r="BA68" s="9"/>
      <c r="BB68" s="9"/>
      <c r="BC68" s="9"/>
      <c r="BD68" s="40"/>
      <c r="BE68" s="40"/>
      <c r="BF68" s="36" t="str">
        <f aca="false">IF(BE68="","",EDATE(BE68,SG_Criteria!$B$54*12))</f>
        <v/>
      </c>
      <c r="BG68" s="33" t="str">
        <f aca="true">IF(A68="","",IF(BE68="","NOTE: not reviewed yet",IF(TODAY()&gt;BF68,"NOTE: review overdue","OK")))</f>
        <v/>
      </c>
      <c r="BH68" s="37" t="str">
        <f aca="false">IF(A68="","",ROUND((IF(LEN(D68)&gt;0,1,0)+IF(LEN(E68)&gt;0,1,0)+IF(LEN(I68)&gt;0,1,0)+IF(LEN(K68)&gt;0,1,0)+IF(LEN(Q68)&gt;0,1,0)+IF(LEN(S68)&gt;0,1,0)+IF(LEN(T68)&gt;0,1,0)+IF(LEN(U68)&gt;0,1,0)+IF(LEN(V68)&gt;0,1,0)+IF(LEN(AE68)&gt;0,1,0)+IF(LEN(AP68)&gt;0,1,0)+IF(LEN(BC68)&gt;0,1,0))/12,2))</f>
        <v/>
      </c>
      <c r="BI68" s="10" t="str">
        <f aca="false">IF(D68="","",IF(AND(T68="Approved",ISERROR(SEARCH("FAIL",AM68))),"Y","N"))</f>
        <v/>
      </c>
    </row>
    <row r="69" customFormat="false" ht="15" hidden="false" customHeight="false" outlineLevel="0" collapsed="false">
      <c r="A69" s="10" t="str">
        <f aca="false">IF(D69="","",IFERROR(VLOOKUP(D69,Lists!$BI$4:$BJ$20,2,0),"??")&amp;"-"&amp;UPPER(SUBSTITUTE(E69," ",""))&amp;IF(F69&lt;&gt;"","-SP"&amp;TEXT(F69*1000,"0"),"")&amp;IF(G69&lt;&gt;"","-H"&amp;TEXT(G69*1000,"0"),"")&amp;"-"&amp;S69)</f>
        <v/>
      </c>
      <c r="B69" s="10" t="str">
        <f aca="false">IF(D69="","",D69&amp;" - "&amp;E69&amp;IF(F69&lt;&gt;"",", span "&amp;F69&amp;" m","")&amp;IF(G69&lt;&gt;"",", H "&amp;G69&amp;" m","")&amp;IF(H69&lt;&gt;"",", W "&amp;H69&amp;" m",""))</f>
        <v/>
      </c>
      <c r="C69" s="9"/>
      <c r="D69" s="9"/>
      <c r="E69" s="9"/>
      <c r="F69" s="42"/>
      <c r="G69" s="42"/>
      <c r="H69" s="42"/>
      <c r="I69" s="9"/>
      <c r="J69" s="9"/>
      <c r="K69" s="9"/>
      <c r="L69" s="9"/>
      <c r="M69" s="9"/>
      <c r="N69" s="38"/>
      <c r="O69" s="9"/>
      <c r="P69" s="39"/>
      <c r="Q69" s="9"/>
      <c r="R69" s="9"/>
      <c r="S69" s="9"/>
      <c r="T69" s="9"/>
      <c r="U69" s="9"/>
      <c r="V69" s="9"/>
      <c r="W69" s="9"/>
      <c r="X69" s="10" t="str">
        <f aca="false">IF(A69="","",SG_Criteria!$B$6&amp;SG_Criteria!$B$13&amp;"\"&amp;A69&amp;"\")</f>
        <v/>
      </c>
      <c r="Y69" s="10" t="str">
        <f aca="false">IF(A69="","",A69&amp;"_CAD.dwg")</f>
        <v/>
      </c>
      <c r="Z69" s="10" t="str">
        <f aca="false">IF(A69="","",A69&amp;"_DWG.pdf")</f>
        <v/>
      </c>
      <c r="AA69" s="10" t="str">
        <f aca="false">IF(A69="","",IF(W69="Y",A69&amp;"_STAAD.std","n/a"))</f>
        <v/>
      </c>
      <c r="AB69" s="10" t="str">
        <f aca="false">IF(A69="","",A69&amp;"_CALC.xlsx")</f>
        <v/>
      </c>
      <c r="AC69" s="10" t="str">
        <f aca="false">IF(A69="","",A69&amp;"_CALC.pdf")</f>
        <v/>
      </c>
      <c r="AD69" s="9"/>
      <c r="AE69" s="9"/>
      <c r="AF69" s="39"/>
      <c r="AG69" s="39"/>
      <c r="AH69" s="39"/>
      <c r="AI69" s="39"/>
      <c r="AJ69" s="39"/>
      <c r="AK69" s="12" t="str">
        <f aca="false">IF(A69="","",IF(COUNTIF(Rebar_Schedule!$A$5:$A$2004,A69)=0,"",ROUND(SUMIF(Rebar_Schedule!$A$5:$A$2004,A69,Rebar_Schedule!$K$5:$K$2004),1)))</f>
        <v/>
      </c>
      <c r="AL69" s="33" t="str">
        <f aca="false">IF(A69="","",IF(AK69="","No rebar schedule yet",IF(ABS(AK69-N(AG69))/MAX(N(AG69),1)&gt;SG_Criteria!$B$55,"NOTE: register rebar differs from schedule by "&amp;TEXT(ABS(AK69-N(AG69))/MAX(N(AG69),1),"0%"),"OK")))</f>
        <v/>
      </c>
      <c r="AM69" s="33" t="str">
        <f aca="false">IF(D69="","","OK")</f>
        <v/>
      </c>
      <c r="AN69" s="9"/>
      <c r="AO69" s="9"/>
      <c r="AP69" s="9"/>
      <c r="AQ69" s="10" t="str">
        <f aca="false">IF(AP69="","",IFERROR(VLOOKUP(AP69,Projects!$A$5:$D$504,2,0),"Ref not in Projects"))</f>
        <v/>
      </c>
      <c r="AR69" s="10" t="str">
        <f aca="false">IF(AP69="","",IFERROR(VLOOKUP(AP69,Projects!$A$5:$D$504,4,0),"Ref not in Projects"))</f>
        <v/>
      </c>
      <c r="AS69" s="9"/>
      <c r="AT69" s="9"/>
      <c r="AU69" s="9"/>
      <c r="AV69" s="40"/>
      <c r="AW69" s="9"/>
      <c r="AX69" s="40"/>
      <c r="AY69" s="9"/>
      <c r="AZ69" s="40"/>
      <c r="BA69" s="9"/>
      <c r="BB69" s="9"/>
      <c r="BC69" s="9"/>
      <c r="BD69" s="40"/>
      <c r="BE69" s="40"/>
      <c r="BF69" s="36" t="str">
        <f aca="false">IF(BE69="","",EDATE(BE69,SG_Criteria!$B$54*12))</f>
        <v/>
      </c>
      <c r="BG69" s="33" t="str">
        <f aca="true">IF(A69="","",IF(BE69="","NOTE: not reviewed yet",IF(TODAY()&gt;BF69,"NOTE: review overdue","OK")))</f>
        <v/>
      </c>
      <c r="BH69" s="37" t="str">
        <f aca="false">IF(A69="","",ROUND((IF(LEN(D69)&gt;0,1,0)+IF(LEN(E69)&gt;0,1,0)+IF(LEN(I69)&gt;0,1,0)+IF(LEN(K69)&gt;0,1,0)+IF(LEN(Q69)&gt;0,1,0)+IF(LEN(S69)&gt;0,1,0)+IF(LEN(T69)&gt;0,1,0)+IF(LEN(U69)&gt;0,1,0)+IF(LEN(V69)&gt;0,1,0)+IF(LEN(AE69)&gt;0,1,0)+IF(LEN(AP69)&gt;0,1,0)+IF(LEN(BC69)&gt;0,1,0))/12,2))</f>
        <v/>
      </c>
      <c r="BI69" s="10" t="str">
        <f aca="false">IF(D69="","",IF(AND(T69="Approved",ISERROR(SEARCH("FAIL",AM69))),"Y","N"))</f>
        <v/>
      </c>
    </row>
    <row r="70" customFormat="false" ht="15" hidden="false" customHeight="false" outlineLevel="0" collapsed="false">
      <c r="A70" s="10" t="str">
        <f aca="false">IF(D70="","",IFERROR(VLOOKUP(D70,Lists!$BI$4:$BJ$20,2,0),"??")&amp;"-"&amp;UPPER(SUBSTITUTE(E70," ",""))&amp;IF(F70&lt;&gt;"","-SP"&amp;TEXT(F70*1000,"0"),"")&amp;IF(G70&lt;&gt;"","-H"&amp;TEXT(G70*1000,"0"),"")&amp;"-"&amp;S70)</f>
        <v/>
      </c>
      <c r="B70" s="10" t="str">
        <f aca="false">IF(D70="","",D70&amp;" - "&amp;E70&amp;IF(F70&lt;&gt;"",", span "&amp;F70&amp;" m","")&amp;IF(G70&lt;&gt;"",", H "&amp;G70&amp;" m","")&amp;IF(H70&lt;&gt;"",", W "&amp;H70&amp;" m",""))</f>
        <v/>
      </c>
      <c r="C70" s="9"/>
      <c r="D70" s="9"/>
      <c r="E70" s="9"/>
      <c r="F70" s="42"/>
      <c r="G70" s="42"/>
      <c r="H70" s="42"/>
      <c r="I70" s="9"/>
      <c r="J70" s="9"/>
      <c r="K70" s="9"/>
      <c r="L70" s="9"/>
      <c r="M70" s="9"/>
      <c r="N70" s="38"/>
      <c r="O70" s="9"/>
      <c r="P70" s="39"/>
      <c r="Q70" s="9"/>
      <c r="R70" s="9"/>
      <c r="S70" s="9"/>
      <c r="T70" s="9"/>
      <c r="U70" s="9"/>
      <c r="V70" s="9"/>
      <c r="W70" s="9"/>
      <c r="X70" s="10" t="str">
        <f aca="false">IF(A70="","",SG_Criteria!$B$6&amp;SG_Criteria!$B$13&amp;"\"&amp;A70&amp;"\")</f>
        <v/>
      </c>
      <c r="Y70" s="10" t="str">
        <f aca="false">IF(A70="","",A70&amp;"_CAD.dwg")</f>
        <v/>
      </c>
      <c r="Z70" s="10" t="str">
        <f aca="false">IF(A70="","",A70&amp;"_DWG.pdf")</f>
        <v/>
      </c>
      <c r="AA70" s="10" t="str">
        <f aca="false">IF(A70="","",IF(W70="Y",A70&amp;"_STAAD.std","n/a"))</f>
        <v/>
      </c>
      <c r="AB70" s="10" t="str">
        <f aca="false">IF(A70="","",A70&amp;"_CALC.xlsx")</f>
        <v/>
      </c>
      <c r="AC70" s="10" t="str">
        <f aca="false">IF(A70="","",A70&amp;"_CALC.pdf")</f>
        <v/>
      </c>
      <c r="AD70" s="9"/>
      <c r="AE70" s="9"/>
      <c r="AF70" s="39"/>
      <c r="AG70" s="39"/>
      <c r="AH70" s="39"/>
      <c r="AI70" s="39"/>
      <c r="AJ70" s="39"/>
      <c r="AK70" s="12" t="str">
        <f aca="false">IF(A70="","",IF(COUNTIF(Rebar_Schedule!$A$5:$A$2004,A70)=0,"",ROUND(SUMIF(Rebar_Schedule!$A$5:$A$2004,A70,Rebar_Schedule!$K$5:$K$2004),1)))</f>
        <v/>
      </c>
      <c r="AL70" s="33" t="str">
        <f aca="false">IF(A70="","",IF(AK70="","No rebar schedule yet",IF(ABS(AK70-N(AG70))/MAX(N(AG70),1)&gt;SG_Criteria!$B$55,"NOTE: register rebar differs from schedule by "&amp;TEXT(ABS(AK70-N(AG70))/MAX(N(AG70),1),"0%"),"OK")))</f>
        <v/>
      </c>
      <c r="AM70" s="33" t="str">
        <f aca="false">IF(D70="","","OK")</f>
        <v/>
      </c>
      <c r="AN70" s="9"/>
      <c r="AO70" s="9"/>
      <c r="AP70" s="9"/>
      <c r="AQ70" s="10" t="str">
        <f aca="false">IF(AP70="","",IFERROR(VLOOKUP(AP70,Projects!$A$5:$D$504,2,0),"Ref not in Projects"))</f>
        <v/>
      </c>
      <c r="AR70" s="10" t="str">
        <f aca="false">IF(AP70="","",IFERROR(VLOOKUP(AP70,Projects!$A$5:$D$504,4,0),"Ref not in Projects"))</f>
        <v/>
      </c>
      <c r="AS70" s="9"/>
      <c r="AT70" s="9"/>
      <c r="AU70" s="9"/>
      <c r="AV70" s="40"/>
      <c r="AW70" s="9"/>
      <c r="AX70" s="40"/>
      <c r="AY70" s="9"/>
      <c r="AZ70" s="40"/>
      <c r="BA70" s="9"/>
      <c r="BB70" s="9"/>
      <c r="BC70" s="9"/>
      <c r="BD70" s="40"/>
      <c r="BE70" s="40"/>
      <c r="BF70" s="36" t="str">
        <f aca="false">IF(BE70="","",EDATE(BE70,SG_Criteria!$B$54*12))</f>
        <v/>
      </c>
      <c r="BG70" s="33" t="str">
        <f aca="true">IF(A70="","",IF(BE70="","NOTE: not reviewed yet",IF(TODAY()&gt;BF70,"NOTE: review overdue","OK")))</f>
        <v/>
      </c>
      <c r="BH70" s="37" t="str">
        <f aca="false">IF(A70="","",ROUND((IF(LEN(D70)&gt;0,1,0)+IF(LEN(E70)&gt;0,1,0)+IF(LEN(I70)&gt;0,1,0)+IF(LEN(K70)&gt;0,1,0)+IF(LEN(Q70)&gt;0,1,0)+IF(LEN(S70)&gt;0,1,0)+IF(LEN(T70)&gt;0,1,0)+IF(LEN(U70)&gt;0,1,0)+IF(LEN(V70)&gt;0,1,0)+IF(LEN(AE70)&gt;0,1,0)+IF(LEN(AP70)&gt;0,1,0)+IF(LEN(BC70)&gt;0,1,0))/12,2))</f>
        <v/>
      </c>
      <c r="BI70" s="10" t="str">
        <f aca="false">IF(D70="","",IF(AND(T70="Approved",ISERROR(SEARCH("FAIL",AM70))),"Y","N"))</f>
        <v/>
      </c>
    </row>
    <row r="71" customFormat="false" ht="15" hidden="false" customHeight="false" outlineLevel="0" collapsed="false">
      <c r="A71" s="10" t="str">
        <f aca="false">IF(D71="","",IFERROR(VLOOKUP(D71,Lists!$BI$4:$BJ$20,2,0),"??")&amp;"-"&amp;UPPER(SUBSTITUTE(E71," ",""))&amp;IF(F71&lt;&gt;"","-SP"&amp;TEXT(F71*1000,"0"),"")&amp;IF(G71&lt;&gt;"","-H"&amp;TEXT(G71*1000,"0"),"")&amp;"-"&amp;S71)</f>
        <v/>
      </c>
      <c r="B71" s="10" t="str">
        <f aca="false">IF(D71="","",D71&amp;" - "&amp;E71&amp;IF(F71&lt;&gt;"",", span "&amp;F71&amp;" m","")&amp;IF(G71&lt;&gt;"",", H "&amp;G71&amp;" m","")&amp;IF(H71&lt;&gt;"",", W "&amp;H71&amp;" m",""))</f>
        <v/>
      </c>
      <c r="C71" s="9"/>
      <c r="D71" s="9"/>
      <c r="E71" s="9"/>
      <c r="F71" s="42"/>
      <c r="G71" s="42"/>
      <c r="H71" s="42"/>
      <c r="I71" s="9"/>
      <c r="J71" s="9"/>
      <c r="K71" s="9"/>
      <c r="L71" s="9"/>
      <c r="M71" s="9"/>
      <c r="N71" s="38"/>
      <c r="O71" s="9"/>
      <c r="P71" s="39"/>
      <c r="Q71" s="9"/>
      <c r="R71" s="9"/>
      <c r="S71" s="9"/>
      <c r="T71" s="9"/>
      <c r="U71" s="9"/>
      <c r="V71" s="9"/>
      <c r="W71" s="9"/>
      <c r="X71" s="10" t="str">
        <f aca="false">IF(A71="","",SG_Criteria!$B$6&amp;SG_Criteria!$B$13&amp;"\"&amp;A71&amp;"\")</f>
        <v/>
      </c>
      <c r="Y71" s="10" t="str">
        <f aca="false">IF(A71="","",A71&amp;"_CAD.dwg")</f>
        <v/>
      </c>
      <c r="Z71" s="10" t="str">
        <f aca="false">IF(A71="","",A71&amp;"_DWG.pdf")</f>
        <v/>
      </c>
      <c r="AA71" s="10" t="str">
        <f aca="false">IF(A71="","",IF(W71="Y",A71&amp;"_STAAD.std","n/a"))</f>
        <v/>
      </c>
      <c r="AB71" s="10" t="str">
        <f aca="false">IF(A71="","",A71&amp;"_CALC.xlsx")</f>
        <v/>
      </c>
      <c r="AC71" s="10" t="str">
        <f aca="false">IF(A71="","",A71&amp;"_CALC.pdf")</f>
        <v/>
      </c>
      <c r="AD71" s="9"/>
      <c r="AE71" s="9"/>
      <c r="AF71" s="39"/>
      <c r="AG71" s="39"/>
      <c r="AH71" s="39"/>
      <c r="AI71" s="39"/>
      <c r="AJ71" s="39"/>
      <c r="AK71" s="12" t="str">
        <f aca="false">IF(A71="","",IF(COUNTIF(Rebar_Schedule!$A$5:$A$2004,A71)=0,"",ROUND(SUMIF(Rebar_Schedule!$A$5:$A$2004,A71,Rebar_Schedule!$K$5:$K$2004),1)))</f>
        <v/>
      </c>
      <c r="AL71" s="33" t="str">
        <f aca="false">IF(A71="","",IF(AK71="","No rebar schedule yet",IF(ABS(AK71-N(AG71))/MAX(N(AG71),1)&gt;SG_Criteria!$B$55,"NOTE: register rebar differs from schedule by "&amp;TEXT(ABS(AK71-N(AG71))/MAX(N(AG71),1),"0%"),"OK")))</f>
        <v/>
      </c>
      <c r="AM71" s="33" t="str">
        <f aca="false">IF(D71="","","OK")</f>
        <v/>
      </c>
      <c r="AN71" s="9"/>
      <c r="AO71" s="9"/>
      <c r="AP71" s="9"/>
      <c r="AQ71" s="10" t="str">
        <f aca="false">IF(AP71="","",IFERROR(VLOOKUP(AP71,Projects!$A$5:$D$504,2,0),"Ref not in Projects"))</f>
        <v/>
      </c>
      <c r="AR71" s="10" t="str">
        <f aca="false">IF(AP71="","",IFERROR(VLOOKUP(AP71,Projects!$A$5:$D$504,4,0),"Ref not in Projects"))</f>
        <v/>
      </c>
      <c r="AS71" s="9"/>
      <c r="AT71" s="9"/>
      <c r="AU71" s="9"/>
      <c r="AV71" s="40"/>
      <c r="AW71" s="9"/>
      <c r="AX71" s="40"/>
      <c r="AY71" s="9"/>
      <c r="AZ71" s="40"/>
      <c r="BA71" s="9"/>
      <c r="BB71" s="9"/>
      <c r="BC71" s="9"/>
      <c r="BD71" s="40"/>
      <c r="BE71" s="40"/>
      <c r="BF71" s="36" t="str">
        <f aca="false">IF(BE71="","",EDATE(BE71,SG_Criteria!$B$54*12))</f>
        <v/>
      </c>
      <c r="BG71" s="33" t="str">
        <f aca="true">IF(A71="","",IF(BE71="","NOTE: not reviewed yet",IF(TODAY()&gt;BF71,"NOTE: review overdue","OK")))</f>
        <v/>
      </c>
      <c r="BH71" s="37" t="str">
        <f aca="false">IF(A71="","",ROUND((IF(LEN(D71)&gt;0,1,0)+IF(LEN(E71)&gt;0,1,0)+IF(LEN(I71)&gt;0,1,0)+IF(LEN(K71)&gt;0,1,0)+IF(LEN(Q71)&gt;0,1,0)+IF(LEN(S71)&gt;0,1,0)+IF(LEN(T71)&gt;0,1,0)+IF(LEN(U71)&gt;0,1,0)+IF(LEN(V71)&gt;0,1,0)+IF(LEN(AE71)&gt;0,1,0)+IF(LEN(AP71)&gt;0,1,0)+IF(LEN(BC71)&gt;0,1,0))/12,2))</f>
        <v/>
      </c>
      <c r="BI71" s="10" t="str">
        <f aca="false">IF(D71="","",IF(AND(T71="Approved",ISERROR(SEARCH("FAIL",AM71))),"Y","N"))</f>
        <v/>
      </c>
    </row>
    <row r="72" customFormat="false" ht="15" hidden="false" customHeight="false" outlineLevel="0" collapsed="false">
      <c r="A72" s="10" t="str">
        <f aca="false">IF(D72="","",IFERROR(VLOOKUP(D72,Lists!$BI$4:$BJ$20,2,0),"??")&amp;"-"&amp;UPPER(SUBSTITUTE(E72," ",""))&amp;IF(F72&lt;&gt;"","-SP"&amp;TEXT(F72*1000,"0"),"")&amp;IF(G72&lt;&gt;"","-H"&amp;TEXT(G72*1000,"0"),"")&amp;"-"&amp;S72)</f>
        <v/>
      </c>
      <c r="B72" s="10" t="str">
        <f aca="false">IF(D72="","",D72&amp;" - "&amp;E72&amp;IF(F72&lt;&gt;"",", span "&amp;F72&amp;" m","")&amp;IF(G72&lt;&gt;"",", H "&amp;G72&amp;" m","")&amp;IF(H72&lt;&gt;"",", W "&amp;H72&amp;" m",""))</f>
        <v/>
      </c>
      <c r="C72" s="9"/>
      <c r="D72" s="9"/>
      <c r="E72" s="9"/>
      <c r="F72" s="42"/>
      <c r="G72" s="42"/>
      <c r="H72" s="42"/>
      <c r="I72" s="9"/>
      <c r="J72" s="9"/>
      <c r="K72" s="9"/>
      <c r="L72" s="9"/>
      <c r="M72" s="9"/>
      <c r="N72" s="38"/>
      <c r="O72" s="9"/>
      <c r="P72" s="39"/>
      <c r="Q72" s="9"/>
      <c r="R72" s="9"/>
      <c r="S72" s="9"/>
      <c r="T72" s="9"/>
      <c r="U72" s="9"/>
      <c r="V72" s="9"/>
      <c r="W72" s="9"/>
      <c r="X72" s="10" t="str">
        <f aca="false">IF(A72="","",SG_Criteria!$B$6&amp;SG_Criteria!$B$13&amp;"\"&amp;A72&amp;"\")</f>
        <v/>
      </c>
      <c r="Y72" s="10" t="str">
        <f aca="false">IF(A72="","",A72&amp;"_CAD.dwg")</f>
        <v/>
      </c>
      <c r="Z72" s="10" t="str">
        <f aca="false">IF(A72="","",A72&amp;"_DWG.pdf")</f>
        <v/>
      </c>
      <c r="AA72" s="10" t="str">
        <f aca="false">IF(A72="","",IF(W72="Y",A72&amp;"_STAAD.std","n/a"))</f>
        <v/>
      </c>
      <c r="AB72" s="10" t="str">
        <f aca="false">IF(A72="","",A72&amp;"_CALC.xlsx")</f>
        <v/>
      </c>
      <c r="AC72" s="10" t="str">
        <f aca="false">IF(A72="","",A72&amp;"_CALC.pdf")</f>
        <v/>
      </c>
      <c r="AD72" s="9"/>
      <c r="AE72" s="9"/>
      <c r="AF72" s="39"/>
      <c r="AG72" s="39"/>
      <c r="AH72" s="39"/>
      <c r="AI72" s="39"/>
      <c r="AJ72" s="39"/>
      <c r="AK72" s="12" t="str">
        <f aca="false">IF(A72="","",IF(COUNTIF(Rebar_Schedule!$A$5:$A$2004,A72)=0,"",ROUND(SUMIF(Rebar_Schedule!$A$5:$A$2004,A72,Rebar_Schedule!$K$5:$K$2004),1)))</f>
        <v/>
      </c>
      <c r="AL72" s="33" t="str">
        <f aca="false">IF(A72="","",IF(AK72="","No rebar schedule yet",IF(ABS(AK72-N(AG72))/MAX(N(AG72),1)&gt;SG_Criteria!$B$55,"NOTE: register rebar differs from schedule by "&amp;TEXT(ABS(AK72-N(AG72))/MAX(N(AG72),1),"0%"),"OK")))</f>
        <v/>
      </c>
      <c r="AM72" s="33" t="str">
        <f aca="false">IF(D72="","","OK")</f>
        <v/>
      </c>
      <c r="AN72" s="9"/>
      <c r="AO72" s="9"/>
      <c r="AP72" s="9"/>
      <c r="AQ72" s="10" t="str">
        <f aca="false">IF(AP72="","",IFERROR(VLOOKUP(AP72,Projects!$A$5:$D$504,2,0),"Ref not in Projects"))</f>
        <v/>
      </c>
      <c r="AR72" s="10" t="str">
        <f aca="false">IF(AP72="","",IFERROR(VLOOKUP(AP72,Projects!$A$5:$D$504,4,0),"Ref not in Projects"))</f>
        <v/>
      </c>
      <c r="AS72" s="9"/>
      <c r="AT72" s="9"/>
      <c r="AU72" s="9"/>
      <c r="AV72" s="40"/>
      <c r="AW72" s="9"/>
      <c r="AX72" s="40"/>
      <c r="AY72" s="9"/>
      <c r="AZ72" s="40"/>
      <c r="BA72" s="9"/>
      <c r="BB72" s="9"/>
      <c r="BC72" s="9"/>
      <c r="BD72" s="40"/>
      <c r="BE72" s="40"/>
      <c r="BF72" s="36" t="str">
        <f aca="false">IF(BE72="","",EDATE(BE72,SG_Criteria!$B$54*12))</f>
        <v/>
      </c>
      <c r="BG72" s="33" t="str">
        <f aca="true">IF(A72="","",IF(BE72="","NOTE: not reviewed yet",IF(TODAY()&gt;BF72,"NOTE: review overdue","OK")))</f>
        <v/>
      </c>
      <c r="BH72" s="37" t="str">
        <f aca="false">IF(A72="","",ROUND((IF(LEN(D72)&gt;0,1,0)+IF(LEN(E72)&gt;0,1,0)+IF(LEN(I72)&gt;0,1,0)+IF(LEN(K72)&gt;0,1,0)+IF(LEN(Q72)&gt;0,1,0)+IF(LEN(S72)&gt;0,1,0)+IF(LEN(T72)&gt;0,1,0)+IF(LEN(U72)&gt;0,1,0)+IF(LEN(V72)&gt;0,1,0)+IF(LEN(AE72)&gt;0,1,0)+IF(LEN(AP72)&gt;0,1,0)+IF(LEN(BC72)&gt;0,1,0))/12,2))</f>
        <v/>
      </c>
      <c r="BI72" s="10" t="str">
        <f aca="false">IF(D72="","",IF(AND(T72="Approved",ISERROR(SEARCH("FAIL",AM72))),"Y","N"))</f>
        <v/>
      </c>
    </row>
    <row r="73" customFormat="false" ht="15" hidden="false" customHeight="false" outlineLevel="0" collapsed="false">
      <c r="A73" s="10" t="str">
        <f aca="false">IF(D73="","",IFERROR(VLOOKUP(D73,Lists!$BI$4:$BJ$20,2,0),"??")&amp;"-"&amp;UPPER(SUBSTITUTE(E73," ",""))&amp;IF(F73&lt;&gt;"","-SP"&amp;TEXT(F73*1000,"0"),"")&amp;IF(G73&lt;&gt;"","-H"&amp;TEXT(G73*1000,"0"),"")&amp;"-"&amp;S73)</f>
        <v/>
      </c>
      <c r="B73" s="10" t="str">
        <f aca="false">IF(D73="","",D73&amp;" - "&amp;E73&amp;IF(F73&lt;&gt;"",", span "&amp;F73&amp;" m","")&amp;IF(G73&lt;&gt;"",", H "&amp;G73&amp;" m","")&amp;IF(H73&lt;&gt;"",", W "&amp;H73&amp;" m",""))</f>
        <v/>
      </c>
      <c r="C73" s="9"/>
      <c r="D73" s="9"/>
      <c r="E73" s="9"/>
      <c r="F73" s="42"/>
      <c r="G73" s="42"/>
      <c r="H73" s="42"/>
      <c r="I73" s="9"/>
      <c r="J73" s="9"/>
      <c r="K73" s="9"/>
      <c r="L73" s="9"/>
      <c r="M73" s="9"/>
      <c r="N73" s="38"/>
      <c r="O73" s="9"/>
      <c r="P73" s="39"/>
      <c r="Q73" s="9"/>
      <c r="R73" s="9"/>
      <c r="S73" s="9"/>
      <c r="T73" s="9"/>
      <c r="U73" s="9"/>
      <c r="V73" s="9"/>
      <c r="W73" s="9"/>
      <c r="X73" s="10" t="str">
        <f aca="false">IF(A73="","",SG_Criteria!$B$6&amp;SG_Criteria!$B$13&amp;"\"&amp;A73&amp;"\")</f>
        <v/>
      </c>
      <c r="Y73" s="10" t="str">
        <f aca="false">IF(A73="","",A73&amp;"_CAD.dwg")</f>
        <v/>
      </c>
      <c r="Z73" s="10" t="str">
        <f aca="false">IF(A73="","",A73&amp;"_DWG.pdf")</f>
        <v/>
      </c>
      <c r="AA73" s="10" t="str">
        <f aca="false">IF(A73="","",IF(W73="Y",A73&amp;"_STAAD.std","n/a"))</f>
        <v/>
      </c>
      <c r="AB73" s="10" t="str">
        <f aca="false">IF(A73="","",A73&amp;"_CALC.xlsx")</f>
        <v/>
      </c>
      <c r="AC73" s="10" t="str">
        <f aca="false">IF(A73="","",A73&amp;"_CALC.pdf")</f>
        <v/>
      </c>
      <c r="AD73" s="9"/>
      <c r="AE73" s="9"/>
      <c r="AF73" s="39"/>
      <c r="AG73" s="39"/>
      <c r="AH73" s="39"/>
      <c r="AI73" s="39"/>
      <c r="AJ73" s="39"/>
      <c r="AK73" s="12" t="str">
        <f aca="false">IF(A73="","",IF(COUNTIF(Rebar_Schedule!$A$5:$A$2004,A73)=0,"",ROUND(SUMIF(Rebar_Schedule!$A$5:$A$2004,A73,Rebar_Schedule!$K$5:$K$2004),1)))</f>
        <v/>
      </c>
      <c r="AL73" s="33" t="str">
        <f aca="false">IF(A73="","",IF(AK73="","No rebar schedule yet",IF(ABS(AK73-N(AG73))/MAX(N(AG73),1)&gt;SG_Criteria!$B$55,"NOTE: register rebar differs from schedule by "&amp;TEXT(ABS(AK73-N(AG73))/MAX(N(AG73),1),"0%"),"OK")))</f>
        <v/>
      </c>
      <c r="AM73" s="33" t="str">
        <f aca="false">IF(D73="","","OK")</f>
        <v/>
      </c>
      <c r="AN73" s="9"/>
      <c r="AO73" s="9"/>
      <c r="AP73" s="9"/>
      <c r="AQ73" s="10" t="str">
        <f aca="false">IF(AP73="","",IFERROR(VLOOKUP(AP73,Projects!$A$5:$D$504,2,0),"Ref not in Projects"))</f>
        <v/>
      </c>
      <c r="AR73" s="10" t="str">
        <f aca="false">IF(AP73="","",IFERROR(VLOOKUP(AP73,Projects!$A$5:$D$504,4,0),"Ref not in Projects"))</f>
        <v/>
      </c>
      <c r="AS73" s="9"/>
      <c r="AT73" s="9"/>
      <c r="AU73" s="9"/>
      <c r="AV73" s="40"/>
      <c r="AW73" s="9"/>
      <c r="AX73" s="40"/>
      <c r="AY73" s="9"/>
      <c r="AZ73" s="40"/>
      <c r="BA73" s="9"/>
      <c r="BB73" s="9"/>
      <c r="BC73" s="9"/>
      <c r="BD73" s="40"/>
      <c r="BE73" s="40"/>
      <c r="BF73" s="36" t="str">
        <f aca="false">IF(BE73="","",EDATE(BE73,SG_Criteria!$B$54*12))</f>
        <v/>
      </c>
      <c r="BG73" s="33" t="str">
        <f aca="true">IF(A73="","",IF(BE73="","NOTE: not reviewed yet",IF(TODAY()&gt;BF73,"NOTE: review overdue","OK")))</f>
        <v/>
      </c>
      <c r="BH73" s="37" t="str">
        <f aca="false">IF(A73="","",ROUND((IF(LEN(D73)&gt;0,1,0)+IF(LEN(E73)&gt;0,1,0)+IF(LEN(I73)&gt;0,1,0)+IF(LEN(K73)&gt;0,1,0)+IF(LEN(Q73)&gt;0,1,0)+IF(LEN(S73)&gt;0,1,0)+IF(LEN(T73)&gt;0,1,0)+IF(LEN(U73)&gt;0,1,0)+IF(LEN(V73)&gt;0,1,0)+IF(LEN(AE73)&gt;0,1,0)+IF(LEN(AP73)&gt;0,1,0)+IF(LEN(BC73)&gt;0,1,0))/12,2))</f>
        <v/>
      </c>
      <c r="BI73" s="10" t="str">
        <f aca="false">IF(D73="","",IF(AND(T73="Approved",ISERROR(SEARCH("FAIL",AM73))),"Y","N"))</f>
        <v/>
      </c>
    </row>
    <row r="74" customFormat="false" ht="15" hidden="false" customHeight="false" outlineLevel="0" collapsed="false">
      <c r="A74" s="10" t="str">
        <f aca="false">IF(D74="","",IFERROR(VLOOKUP(D74,Lists!$BI$4:$BJ$20,2,0),"??")&amp;"-"&amp;UPPER(SUBSTITUTE(E74," ",""))&amp;IF(F74&lt;&gt;"","-SP"&amp;TEXT(F74*1000,"0"),"")&amp;IF(G74&lt;&gt;"","-H"&amp;TEXT(G74*1000,"0"),"")&amp;"-"&amp;S74)</f>
        <v/>
      </c>
      <c r="B74" s="10" t="str">
        <f aca="false">IF(D74="","",D74&amp;" - "&amp;E74&amp;IF(F74&lt;&gt;"",", span "&amp;F74&amp;" m","")&amp;IF(G74&lt;&gt;"",", H "&amp;G74&amp;" m","")&amp;IF(H74&lt;&gt;"",", W "&amp;H74&amp;" m",""))</f>
        <v/>
      </c>
      <c r="C74" s="9"/>
      <c r="D74" s="9"/>
      <c r="E74" s="9"/>
      <c r="F74" s="42"/>
      <c r="G74" s="42"/>
      <c r="H74" s="42"/>
      <c r="I74" s="9"/>
      <c r="J74" s="9"/>
      <c r="K74" s="9"/>
      <c r="L74" s="9"/>
      <c r="M74" s="9"/>
      <c r="N74" s="38"/>
      <c r="O74" s="9"/>
      <c r="P74" s="39"/>
      <c r="Q74" s="9"/>
      <c r="R74" s="9"/>
      <c r="S74" s="9"/>
      <c r="T74" s="9"/>
      <c r="U74" s="9"/>
      <c r="V74" s="9"/>
      <c r="W74" s="9"/>
      <c r="X74" s="10" t="str">
        <f aca="false">IF(A74="","",SG_Criteria!$B$6&amp;SG_Criteria!$B$13&amp;"\"&amp;A74&amp;"\")</f>
        <v/>
      </c>
      <c r="Y74" s="10" t="str">
        <f aca="false">IF(A74="","",A74&amp;"_CAD.dwg")</f>
        <v/>
      </c>
      <c r="Z74" s="10" t="str">
        <f aca="false">IF(A74="","",A74&amp;"_DWG.pdf")</f>
        <v/>
      </c>
      <c r="AA74" s="10" t="str">
        <f aca="false">IF(A74="","",IF(W74="Y",A74&amp;"_STAAD.std","n/a"))</f>
        <v/>
      </c>
      <c r="AB74" s="10" t="str">
        <f aca="false">IF(A74="","",A74&amp;"_CALC.xlsx")</f>
        <v/>
      </c>
      <c r="AC74" s="10" t="str">
        <f aca="false">IF(A74="","",A74&amp;"_CALC.pdf")</f>
        <v/>
      </c>
      <c r="AD74" s="9"/>
      <c r="AE74" s="9"/>
      <c r="AF74" s="39"/>
      <c r="AG74" s="39"/>
      <c r="AH74" s="39"/>
      <c r="AI74" s="39"/>
      <c r="AJ74" s="39"/>
      <c r="AK74" s="12" t="str">
        <f aca="false">IF(A74="","",IF(COUNTIF(Rebar_Schedule!$A$5:$A$2004,A74)=0,"",ROUND(SUMIF(Rebar_Schedule!$A$5:$A$2004,A74,Rebar_Schedule!$K$5:$K$2004),1)))</f>
        <v/>
      </c>
      <c r="AL74" s="33" t="str">
        <f aca="false">IF(A74="","",IF(AK74="","No rebar schedule yet",IF(ABS(AK74-N(AG74))/MAX(N(AG74),1)&gt;SG_Criteria!$B$55,"NOTE: register rebar differs from schedule by "&amp;TEXT(ABS(AK74-N(AG74))/MAX(N(AG74),1),"0%"),"OK")))</f>
        <v/>
      </c>
      <c r="AM74" s="33" t="str">
        <f aca="false">IF(D74="","","OK")</f>
        <v/>
      </c>
      <c r="AN74" s="9"/>
      <c r="AO74" s="9"/>
      <c r="AP74" s="9"/>
      <c r="AQ74" s="10" t="str">
        <f aca="false">IF(AP74="","",IFERROR(VLOOKUP(AP74,Projects!$A$5:$D$504,2,0),"Ref not in Projects"))</f>
        <v/>
      </c>
      <c r="AR74" s="10" t="str">
        <f aca="false">IF(AP74="","",IFERROR(VLOOKUP(AP74,Projects!$A$5:$D$504,4,0),"Ref not in Projects"))</f>
        <v/>
      </c>
      <c r="AS74" s="9"/>
      <c r="AT74" s="9"/>
      <c r="AU74" s="9"/>
      <c r="AV74" s="40"/>
      <c r="AW74" s="9"/>
      <c r="AX74" s="40"/>
      <c r="AY74" s="9"/>
      <c r="AZ74" s="40"/>
      <c r="BA74" s="9"/>
      <c r="BB74" s="9"/>
      <c r="BC74" s="9"/>
      <c r="BD74" s="40"/>
      <c r="BE74" s="40"/>
      <c r="BF74" s="36" t="str">
        <f aca="false">IF(BE74="","",EDATE(BE74,SG_Criteria!$B$54*12))</f>
        <v/>
      </c>
      <c r="BG74" s="33" t="str">
        <f aca="true">IF(A74="","",IF(BE74="","NOTE: not reviewed yet",IF(TODAY()&gt;BF74,"NOTE: review overdue","OK")))</f>
        <v/>
      </c>
      <c r="BH74" s="37" t="str">
        <f aca="false">IF(A74="","",ROUND((IF(LEN(D74)&gt;0,1,0)+IF(LEN(E74)&gt;0,1,0)+IF(LEN(I74)&gt;0,1,0)+IF(LEN(K74)&gt;0,1,0)+IF(LEN(Q74)&gt;0,1,0)+IF(LEN(S74)&gt;0,1,0)+IF(LEN(T74)&gt;0,1,0)+IF(LEN(U74)&gt;0,1,0)+IF(LEN(V74)&gt;0,1,0)+IF(LEN(AE74)&gt;0,1,0)+IF(LEN(AP74)&gt;0,1,0)+IF(LEN(BC74)&gt;0,1,0))/12,2))</f>
        <v/>
      </c>
      <c r="BI74" s="10" t="str">
        <f aca="false">IF(D74="","",IF(AND(T74="Approved",ISERROR(SEARCH("FAIL",AM74))),"Y","N"))</f>
        <v/>
      </c>
    </row>
    <row r="75" customFormat="false" ht="15" hidden="false" customHeight="false" outlineLevel="0" collapsed="false">
      <c r="A75" s="10" t="str">
        <f aca="false">IF(D75="","",IFERROR(VLOOKUP(D75,Lists!$BI$4:$BJ$20,2,0),"??")&amp;"-"&amp;UPPER(SUBSTITUTE(E75," ",""))&amp;IF(F75&lt;&gt;"","-SP"&amp;TEXT(F75*1000,"0"),"")&amp;IF(G75&lt;&gt;"","-H"&amp;TEXT(G75*1000,"0"),"")&amp;"-"&amp;S75)</f>
        <v/>
      </c>
      <c r="B75" s="10" t="str">
        <f aca="false">IF(D75="","",D75&amp;" - "&amp;E75&amp;IF(F75&lt;&gt;"",", span "&amp;F75&amp;" m","")&amp;IF(G75&lt;&gt;"",", H "&amp;G75&amp;" m","")&amp;IF(H75&lt;&gt;"",", W "&amp;H75&amp;" m",""))</f>
        <v/>
      </c>
      <c r="C75" s="9"/>
      <c r="D75" s="9"/>
      <c r="E75" s="9"/>
      <c r="F75" s="42"/>
      <c r="G75" s="42"/>
      <c r="H75" s="42"/>
      <c r="I75" s="9"/>
      <c r="J75" s="9"/>
      <c r="K75" s="9"/>
      <c r="L75" s="9"/>
      <c r="M75" s="9"/>
      <c r="N75" s="38"/>
      <c r="O75" s="9"/>
      <c r="P75" s="39"/>
      <c r="Q75" s="9"/>
      <c r="R75" s="9"/>
      <c r="S75" s="9"/>
      <c r="T75" s="9"/>
      <c r="U75" s="9"/>
      <c r="V75" s="9"/>
      <c r="W75" s="9"/>
      <c r="X75" s="10" t="str">
        <f aca="false">IF(A75="","",SG_Criteria!$B$6&amp;SG_Criteria!$B$13&amp;"\"&amp;A75&amp;"\")</f>
        <v/>
      </c>
      <c r="Y75" s="10" t="str">
        <f aca="false">IF(A75="","",A75&amp;"_CAD.dwg")</f>
        <v/>
      </c>
      <c r="Z75" s="10" t="str">
        <f aca="false">IF(A75="","",A75&amp;"_DWG.pdf")</f>
        <v/>
      </c>
      <c r="AA75" s="10" t="str">
        <f aca="false">IF(A75="","",IF(W75="Y",A75&amp;"_STAAD.std","n/a"))</f>
        <v/>
      </c>
      <c r="AB75" s="10" t="str">
        <f aca="false">IF(A75="","",A75&amp;"_CALC.xlsx")</f>
        <v/>
      </c>
      <c r="AC75" s="10" t="str">
        <f aca="false">IF(A75="","",A75&amp;"_CALC.pdf")</f>
        <v/>
      </c>
      <c r="AD75" s="9"/>
      <c r="AE75" s="9"/>
      <c r="AF75" s="39"/>
      <c r="AG75" s="39"/>
      <c r="AH75" s="39"/>
      <c r="AI75" s="39"/>
      <c r="AJ75" s="39"/>
      <c r="AK75" s="12" t="str">
        <f aca="false">IF(A75="","",IF(COUNTIF(Rebar_Schedule!$A$5:$A$2004,A75)=0,"",ROUND(SUMIF(Rebar_Schedule!$A$5:$A$2004,A75,Rebar_Schedule!$K$5:$K$2004),1)))</f>
        <v/>
      </c>
      <c r="AL75" s="33" t="str">
        <f aca="false">IF(A75="","",IF(AK75="","No rebar schedule yet",IF(ABS(AK75-N(AG75))/MAX(N(AG75),1)&gt;SG_Criteria!$B$55,"NOTE: register rebar differs from schedule by "&amp;TEXT(ABS(AK75-N(AG75))/MAX(N(AG75),1),"0%"),"OK")))</f>
        <v/>
      </c>
      <c r="AM75" s="33" t="str">
        <f aca="false">IF(D75="","","OK")</f>
        <v/>
      </c>
      <c r="AN75" s="9"/>
      <c r="AO75" s="9"/>
      <c r="AP75" s="9"/>
      <c r="AQ75" s="10" t="str">
        <f aca="false">IF(AP75="","",IFERROR(VLOOKUP(AP75,Projects!$A$5:$D$504,2,0),"Ref not in Projects"))</f>
        <v/>
      </c>
      <c r="AR75" s="10" t="str">
        <f aca="false">IF(AP75="","",IFERROR(VLOOKUP(AP75,Projects!$A$5:$D$504,4,0),"Ref not in Projects"))</f>
        <v/>
      </c>
      <c r="AS75" s="9"/>
      <c r="AT75" s="9"/>
      <c r="AU75" s="9"/>
      <c r="AV75" s="40"/>
      <c r="AW75" s="9"/>
      <c r="AX75" s="40"/>
      <c r="AY75" s="9"/>
      <c r="AZ75" s="40"/>
      <c r="BA75" s="9"/>
      <c r="BB75" s="9"/>
      <c r="BC75" s="9"/>
      <c r="BD75" s="40"/>
      <c r="BE75" s="40"/>
      <c r="BF75" s="36" t="str">
        <f aca="false">IF(BE75="","",EDATE(BE75,SG_Criteria!$B$54*12))</f>
        <v/>
      </c>
      <c r="BG75" s="33" t="str">
        <f aca="true">IF(A75="","",IF(BE75="","NOTE: not reviewed yet",IF(TODAY()&gt;BF75,"NOTE: review overdue","OK")))</f>
        <v/>
      </c>
      <c r="BH75" s="37" t="str">
        <f aca="false">IF(A75="","",ROUND((IF(LEN(D75)&gt;0,1,0)+IF(LEN(E75)&gt;0,1,0)+IF(LEN(I75)&gt;0,1,0)+IF(LEN(K75)&gt;0,1,0)+IF(LEN(Q75)&gt;0,1,0)+IF(LEN(S75)&gt;0,1,0)+IF(LEN(T75)&gt;0,1,0)+IF(LEN(U75)&gt;0,1,0)+IF(LEN(V75)&gt;0,1,0)+IF(LEN(AE75)&gt;0,1,0)+IF(LEN(AP75)&gt;0,1,0)+IF(LEN(BC75)&gt;0,1,0))/12,2))</f>
        <v/>
      </c>
      <c r="BI75" s="10" t="str">
        <f aca="false">IF(D75="","",IF(AND(T75="Approved",ISERROR(SEARCH("FAIL",AM75))),"Y","N"))</f>
        <v/>
      </c>
    </row>
    <row r="76" customFormat="false" ht="15" hidden="false" customHeight="false" outlineLevel="0" collapsed="false">
      <c r="A76" s="10" t="str">
        <f aca="false">IF(D76="","",IFERROR(VLOOKUP(D76,Lists!$BI$4:$BJ$20,2,0),"??")&amp;"-"&amp;UPPER(SUBSTITUTE(E76," ",""))&amp;IF(F76&lt;&gt;"","-SP"&amp;TEXT(F76*1000,"0"),"")&amp;IF(G76&lt;&gt;"","-H"&amp;TEXT(G76*1000,"0"),"")&amp;"-"&amp;S76)</f>
        <v/>
      </c>
      <c r="B76" s="10" t="str">
        <f aca="false">IF(D76="","",D76&amp;" - "&amp;E76&amp;IF(F76&lt;&gt;"",", span "&amp;F76&amp;" m","")&amp;IF(G76&lt;&gt;"",", H "&amp;G76&amp;" m","")&amp;IF(H76&lt;&gt;"",", W "&amp;H76&amp;" m",""))</f>
        <v/>
      </c>
      <c r="C76" s="9"/>
      <c r="D76" s="9"/>
      <c r="E76" s="9"/>
      <c r="F76" s="42"/>
      <c r="G76" s="42"/>
      <c r="H76" s="42"/>
      <c r="I76" s="9"/>
      <c r="J76" s="9"/>
      <c r="K76" s="9"/>
      <c r="L76" s="9"/>
      <c r="M76" s="9"/>
      <c r="N76" s="38"/>
      <c r="O76" s="9"/>
      <c r="P76" s="39"/>
      <c r="Q76" s="9"/>
      <c r="R76" s="9"/>
      <c r="S76" s="9"/>
      <c r="T76" s="9"/>
      <c r="U76" s="9"/>
      <c r="V76" s="9"/>
      <c r="W76" s="9"/>
      <c r="X76" s="10" t="str">
        <f aca="false">IF(A76="","",SG_Criteria!$B$6&amp;SG_Criteria!$B$13&amp;"\"&amp;A76&amp;"\")</f>
        <v/>
      </c>
      <c r="Y76" s="10" t="str">
        <f aca="false">IF(A76="","",A76&amp;"_CAD.dwg")</f>
        <v/>
      </c>
      <c r="Z76" s="10" t="str">
        <f aca="false">IF(A76="","",A76&amp;"_DWG.pdf")</f>
        <v/>
      </c>
      <c r="AA76" s="10" t="str">
        <f aca="false">IF(A76="","",IF(W76="Y",A76&amp;"_STAAD.std","n/a"))</f>
        <v/>
      </c>
      <c r="AB76" s="10" t="str">
        <f aca="false">IF(A76="","",A76&amp;"_CALC.xlsx")</f>
        <v/>
      </c>
      <c r="AC76" s="10" t="str">
        <f aca="false">IF(A76="","",A76&amp;"_CALC.pdf")</f>
        <v/>
      </c>
      <c r="AD76" s="9"/>
      <c r="AE76" s="9"/>
      <c r="AF76" s="39"/>
      <c r="AG76" s="39"/>
      <c r="AH76" s="39"/>
      <c r="AI76" s="39"/>
      <c r="AJ76" s="39"/>
      <c r="AK76" s="12" t="str">
        <f aca="false">IF(A76="","",IF(COUNTIF(Rebar_Schedule!$A$5:$A$2004,A76)=0,"",ROUND(SUMIF(Rebar_Schedule!$A$5:$A$2004,A76,Rebar_Schedule!$K$5:$K$2004),1)))</f>
        <v/>
      </c>
      <c r="AL76" s="33" t="str">
        <f aca="false">IF(A76="","",IF(AK76="","No rebar schedule yet",IF(ABS(AK76-N(AG76))/MAX(N(AG76),1)&gt;SG_Criteria!$B$55,"NOTE: register rebar differs from schedule by "&amp;TEXT(ABS(AK76-N(AG76))/MAX(N(AG76),1),"0%"),"OK")))</f>
        <v/>
      </c>
      <c r="AM76" s="33" t="str">
        <f aca="false">IF(D76="","","OK")</f>
        <v/>
      </c>
      <c r="AN76" s="9"/>
      <c r="AO76" s="9"/>
      <c r="AP76" s="9"/>
      <c r="AQ76" s="10" t="str">
        <f aca="false">IF(AP76="","",IFERROR(VLOOKUP(AP76,Projects!$A$5:$D$504,2,0),"Ref not in Projects"))</f>
        <v/>
      </c>
      <c r="AR76" s="10" t="str">
        <f aca="false">IF(AP76="","",IFERROR(VLOOKUP(AP76,Projects!$A$5:$D$504,4,0),"Ref not in Projects"))</f>
        <v/>
      </c>
      <c r="AS76" s="9"/>
      <c r="AT76" s="9"/>
      <c r="AU76" s="9"/>
      <c r="AV76" s="40"/>
      <c r="AW76" s="9"/>
      <c r="AX76" s="40"/>
      <c r="AY76" s="9"/>
      <c r="AZ76" s="40"/>
      <c r="BA76" s="9"/>
      <c r="BB76" s="9"/>
      <c r="BC76" s="9"/>
      <c r="BD76" s="40"/>
      <c r="BE76" s="40"/>
      <c r="BF76" s="36" t="str">
        <f aca="false">IF(BE76="","",EDATE(BE76,SG_Criteria!$B$54*12))</f>
        <v/>
      </c>
      <c r="BG76" s="33" t="str">
        <f aca="true">IF(A76="","",IF(BE76="","NOTE: not reviewed yet",IF(TODAY()&gt;BF76,"NOTE: review overdue","OK")))</f>
        <v/>
      </c>
      <c r="BH76" s="37" t="str">
        <f aca="false">IF(A76="","",ROUND((IF(LEN(D76)&gt;0,1,0)+IF(LEN(E76)&gt;0,1,0)+IF(LEN(I76)&gt;0,1,0)+IF(LEN(K76)&gt;0,1,0)+IF(LEN(Q76)&gt;0,1,0)+IF(LEN(S76)&gt;0,1,0)+IF(LEN(T76)&gt;0,1,0)+IF(LEN(U76)&gt;0,1,0)+IF(LEN(V76)&gt;0,1,0)+IF(LEN(AE76)&gt;0,1,0)+IF(LEN(AP76)&gt;0,1,0)+IF(LEN(BC76)&gt;0,1,0))/12,2))</f>
        <v/>
      </c>
      <c r="BI76" s="10" t="str">
        <f aca="false">IF(D76="","",IF(AND(T76="Approved",ISERROR(SEARCH("FAIL",AM76))),"Y","N"))</f>
        <v/>
      </c>
    </row>
    <row r="77" customFormat="false" ht="15" hidden="false" customHeight="false" outlineLevel="0" collapsed="false">
      <c r="A77" s="10" t="str">
        <f aca="false">IF(D77="","",IFERROR(VLOOKUP(D77,Lists!$BI$4:$BJ$20,2,0),"??")&amp;"-"&amp;UPPER(SUBSTITUTE(E77," ",""))&amp;IF(F77&lt;&gt;"","-SP"&amp;TEXT(F77*1000,"0"),"")&amp;IF(G77&lt;&gt;"","-H"&amp;TEXT(G77*1000,"0"),"")&amp;"-"&amp;S77)</f>
        <v/>
      </c>
      <c r="B77" s="10" t="str">
        <f aca="false">IF(D77="","",D77&amp;" - "&amp;E77&amp;IF(F77&lt;&gt;"",", span "&amp;F77&amp;" m","")&amp;IF(G77&lt;&gt;"",", H "&amp;G77&amp;" m","")&amp;IF(H77&lt;&gt;"",", W "&amp;H77&amp;" m",""))</f>
        <v/>
      </c>
      <c r="C77" s="9"/>
      <c r="D77" s="9"/>
      <c r="E77" s="9"/>
      <c r="F77" s="42"/>
      <c r="G77" s="42"/>
      <c r="H77" s="42"/>
      <c r="I77" s="9"/>
      <c r="J77" s="9"/>
      <c r="K77" s="9"/>
      <c r="L77" s="9"/>
      <c r="M77" s="9"/>
      <c r="N77" s="38"/>
      <c r="O77" s="9"/>
      <c r="P77" s="39"/>
      <c r="Q77" s="9"/>
      <c r="R77" s="9"/>
      <c r="S77" s="9"/>
      <c r="T77" s="9"/>
      <c r="U77" s="9"/>
      <c r="V77" s="9"/>
      <c r="W77" s="9"/>
      <c r="X77" s="10" t="str">
        <f aca="false">IF(A77="","",SG_Criteria!$B$6&amp;SG_Criteria!$B$13&amp;"\"&amp;A77&amp;"\")</f>
        <v/>
      </c>
      <c r="Y77" s="10" t="str">
        <f aca="false">IF(A77="","",A77&amp;"_CAD.dwg")</f>
        <v/>
      </c>
      <c r="Z77" s="10" t="str">
        <f aca="false">IF(A77="","",A77&amp;"_DWG.pdf")</f>
        <v/>
      </c>
      <c r="AA77" s="10" t="str">
        <f aca="false">IF(A77="","",IF(W77="Y",A77&amp;"_STAAD.std","n/a"))</f>
        <v/>
      </c>
      <c r="AB77" s="10" t="str">
        <f aca="false">IF(A77="","",A77&amp;"_CALC.xlsx")</f>
        <v/>
      </c>
      <c r="AC77" s="10" t="str">
        <f aca="false">IF(A77="","",A77&amp;"_CALC.pdf")</f>
        <v/>
      </c>
      <c r="AD77" s="9"/>
      <c r="AE77" s="9"/>
      <c r="AF77" s="39"/>
      <c r="AG77" s="39"/>
      <c r="AH77" s="39"/>
      <c r="AI77" s="39"/>
      <c r="AJ77" s="39"/>
      <c r="AK77" s="12" t="str">
        <f aca="false">IF(A77="","",IF(COUNTIF(Rebar_Schedule!$A$5:$A$2004,A77)=0,"",ROUND(SUMIF(Rebar_Schedule!$A$5:$A$2004,A77,Rebar_Schedule!$K$5:$K$2004),1)))</f>
        <v/>
      </c>
      <c r="AL77" s="33" t="str">
        <f aca="false">IF(A77="","",IF(AK77="","No rebar schedule yet",IF(ABS(AK77-N(AG77))/MAX(N(AG77),1)&gt;SG_Criteria!$B$55,"NOTE: register rebar differs from schedule by "&amp;TEXT(ABS(AK77-N(AG77))/MAX(N(AG77),1),"0%"),"OK")))</f>
        <v/>
      </c>
      <c r="AM77" s="33" t="str">
        <f aca="false">IF(D77="","","OK")</f>
        <v/>
      </c>
      <c r="AN77" s="9"/>
      <c r="AO77" s="9"/>
      <c r="AP77" s="9"/>
      <c r="AQ77" s="10" t="str">
        <f aca="false">IF(AP77="","",IFERROR(VLOOKUP(AP77,Projects!$A$5:$D$504,2,0),"Ref not in Projects"))</f>
        <v/>
      </c>
      <c r="AR77" s="10" t="str">
        <f aca="false">IF(AP77="","",IFERROR(VLOOKUP(AP77,Projects!$A$5:$D$504,4,0),"Ref not in Projects"))</f>
        <v/>
      </c>
      <c r="AS77" s="9"/>
      <c r="AT77" s="9"/>
      <c r="AU77" s="9"/>
      <c r="AV77" s="40"/>
      <c r="AW77" s="9"/>
      <c r="AX77" s="40"/>
      <c r="AY77" s="9"/>
      <c r="AZ77" s="40"/>
      <c r="BA77" s="9"/>
      <c r="BB77" s="9"/>
      <c r="BC77" s="9"/>
      <c r="BD77" s="40"/>
      <c r="BE77" s="40"/>
      <c r="BF77" s="36" t="str">
        <f aca="false">IF(BE77="","",EDATE(BE77,SG_Criteria!$B$54*12))</f>
        <v/>
      </c>
      <c r="BG77" s="33" t="str">
        <f aca="true">IF(A77="","",IF(BE77="","NOTE: not reviewed yet",IF(TODAY()&gt;BF77,"NOTE: review overdue","OK")))</f>
        <v/>
      </c>
      <c r="BH77" s="37" t="str">
        <f aca="false">IF(A77="","",ROUND((IF(LEN(D77)&gt;0,1,0)+IF(LEN(E77)&gt;0,1,0)+IF(LEN(I77)&gt;0,1,0)+IF(LEN(K77)&gt;0,1,0)+IF(LEN(Q77)&gt;0,1,0)+IF(LEN(S77)&gt;0,1,0)+IF(LEN(T77)&gt;0,1,0)+IF(LEN(U77)&gt;0,1,0)+IF(LEN(V77)&gt;0,1,0)+IF(LEN(AE77)&gt;0,1,0)+IF(LEN(AP77)&gt;0,1,0)+IF(LEN(BC77)&gt;0,1,0))/12,2))</f>
        <v/>
      </c>
      <c r="BI77" s="10" t="str">
        <f aca="false">IF(D77="","",IF(AND(T77="Approved",ISERROR(SEARCH("FAIL",AM77))),"Y","N"))</f>
        <v/>
      </c>
    </row>
    <row r="78" customFormat="false" ht="15" hidden="false" customHeight="false" outlineLevel="0" collapsed="false">
      <c r="A78" s="10" t="str">
        <f aca="false">IF(D78="","",IFERROR(VLOOKUP(D78,Lists!$BI$4:$BJ$20,2,0),"??")&amp;"-"&amp;UPPER(SUBSTITUTE(E78," ",""))&amp;IF(F78&lt;&gt;"","-SP"&amp;TEXT(F78*1000,"0"),"")&amp;IF(G78&lt;&gt;"","-H"&amp;TEXT(G78*1000,"0"),"")&amp;"-"&amp;S78)</f>
        <v/>
      </c>
      <c r="B78" s="10" t="str">
        <f aca="false">IF(D78="","",D78&amp;" - "&amp;E78&amp;IF(F78&lt;&gt;"",", span "&amp;F78&amp;" m","")&amp;IF(G78&lt;&gt;"",", H "&amp;G78&amp;" m","")&amp;IF(H78&lt;&gt;"",", W "&amp;H78&amp;" m",""))</f>
        <v/>
      </c>
      <c r="C78" s="9"/>
      <c r="D78" s="9"/>
      <c r="E78" s="9"/>
      <c r="F78" s="42"/>
      <c r="G78" s="42"/>
      <c r="H78" s="42"/>
      <c r="I78" s="9"/>
      <c r="J78" s="9"/>
      <c r="K78" s="9"/>
      <c r="L78" s="9"/>
      <c r="M78" s="9"/>
      <c r="N78" s="38"/>
      <c r="O78" s="9"/>
      <c r="P78" s="39"/>
      <c r="Q78" s="9"/>
      <c r="R78" s="9"/>
      <c r="S78" s="9"/>
      <c r="T78" s="9"/>
      <c r="U78" s="9"/>
      <c r="V78" s="9"/>
      <c r="W78" s="9"/>
      <c r="X78" s="10" t="str">
        <f aca="false">IF(A78="","",SG_Criteria!$B$6&amp;SG_Criteria!$B$13&amp;"\"&amp;A78&amp;"\")</f>
        <v/>
      </c>
      <c r="Y78" s="10" t="str">
        <f aca="false">IF(A78="","",A78&amp;"_CAD.dwg")</f>
        <v/>
      </c>
      <c r="Z78" s="10" t="str">
        <f aca="false">IF(A78="","",A78&amp;"_DWG.pdf")</f>
        <v/>
      </c>
      <c r="AA78" s="10" t="str">
        <f aca="false">IF(A78="","",IF(W78="Y",A78&amp;"_STAAD.std","n/a"))</f>
        <v/>
      </c>
      <c r="AB78" s="10" t="str">
        <f aca="false">IF(A78="","",A78&amp;"_CALC.xlsx")</f>
        <v/>
      </c>
      <c r="AC78" s="10" t="str">
        <f aca="false">IF(A78="","",A78&amp;"_CALC.pdf")</f>
        <v/>
      </c>
      <c r="AD78" s="9"/>
      <c r="AE78" s="9"/>
      <c r="AF78" s="39"/>
      <c r="AG78" s="39"/>
      <c r="AH78" s="39"/>
      <c r="AI78" s="39"/>
      <c r="AJ78" s="39"/>
      <c r="AK78" s="12" t="str">
        <f aca="false">IF(A78="","",IF(COUNTIF(Rebar_Schedule!$A$5:$A$2004,A78)=0,"",ROUND(SUMIF(Rebar_Schedule!$A$5:$A$2004,A78,Rebar_Schedule!$K$5:$K$2004),1)))</f>
        <v/>
      </c>
      <c r="AL78" s="33" t="str">
        <f aca="false">IF(A78="","",IF(AK78="","No rebar schedule yet",IF(ABS(AK78-N(AG78))/MAX(N(AG78),1)&gt;SG_Criteria!$B$55,"NOTE: register rebar differs from schedule by "&amp;TEXT(ABS(AK78-N(AG78))/MAX(N(AG78),1),"0%"),"OK")))</f>
        <v/>
      </c>
      <c r="AM78" s="33" t="str">
        <f aca="false">IF(D78="","","OK")</f>
        <v/>
      </c>
      <c r="AN78" s="9"/>
      <c r="AO78" s="9"/>
      <c r="AP78" s="9"/>
      <c r="AQ78" s="10" t="str">
        <f aca="false">IF(AP78="","",IFERROR(VLOOKUP(AP78,Projects!$A$5:$D$504,2,0),"Ref not in Projects"))</f>
        <v/>
      </c>
      <c r="AR78" s="10" t="str">
        <f aca="false">IF(AP78="","",IFERROR(VLOOKUP(AP78,Projects!$A$5:$D$504,4,0),"Ref not in Projects"))</f>
        <v/>
      </c>
      <c r="AS78" s="9"/>
      <c r="AT78" s="9"/>
      <c r="AU78" s="9"/>
      <c r="AV78" s="40"/>
      <c r="AW78" s="9"/>
      <c r="AX78" s="40"/>
      <c r="AY78" s="9"/>
      <c r="AZ78" s="40"/>
      <c r="BA78" s="9"/>
      <c r="BB78" s="9"/>
      <c r="BC78" s="9"/>
      <c r="BD78" s="40"/>
      <c r="BE78" s="40"/>
      <c r="BF78" s="36" t="str">
        <f aca="false">IF(BE78="","",EDATE(BE78,SG_Criteria!$B$54*12))</f>
        <v/>
      </c>
      <c r="BG78" s="33" t="str">
        <f aca="true">IF(A78="","",IF(BE78="","NOTE: not reviewed yet",IF(TODAY()&gt;BF78,"NOTE: review overdue","OK")))</f>
        <v/>
      </c>
      <c r="BH78" s="37" t="str">
        <f aca="false">IF(A78="","",ROUND((IF(LEN(D78)&gt;0,1,0)+IF(LEN(E78)&gt;0,1,0)+IF(LEN(I78)&gt;0,1,0)+IF(LEN(K78)&gt;0,1,0)+IF(LEN(Q78)&gt;0,1,0)+IF(LEN(S78)&gt;0,1,0)+IF(LEN(T78)&gt;0,1,0)+IF(LEN(U78)&gt;0,1,0)+IF(LEN(V78)&gt;0,1,0)+IF(LEN(AE78)&gt;0,1,0)+IF(LEN(AP78)&gt;0,1,0)+IF(LEN(BC78)&gt;0,1,0))/12,2))</f>
        <v/>
      </c>
      <c r="BI78" s="10" t="str">
        <f aca="false">IF(D78="","",IF(AND(T78="Approved",ISERROR(SEARCH("FAIL",AM78))),"Y","N"))</f>
        <v/>
      </c>
    </row>
    <row r="79" customFormat="false" ht="15" hidden="false" customHeight="false" outlineLevel="0" collapsed="false">
      <c r="A79" s="10" t="str">
        <f aca="false">IF(D79="","",IFERROR(VLOOKUP(D79,Lists!$BI$4:$BJ$20,2,0),"??")&amp;"-"&amp;UPPER(SUBSTITUTE(E79," ",""))&amp;IF(F79&lt;&gt;"","-SP"&amp;TEXT(F79*1000,"0"),"")&amp;IF(G79&lt;&gt;"","-H"&amp;TEXT(G79*1000,"0"),"")&amp;"-"&amp;S79)</f>
        <v/>
      </c>
      <c r="B79" s="10" t="str">
        <f aca="false">IF(D79="","",D79&amp;" - "&amp;E79&amp;IF(F79&lt;&gt;"",", span "&amp;F79&amp;" m","")&amp;IF(G79&lt;&gt;"",", H "&amp;G79&amp;" m","")&amp;IF(H79&lt;&gt;"",", W "&amp;H79&amp;" m",""))</f>
        <v/>
      </c>
      <c r="C79" s="9"/>
      <c r="D79" s="9"/>
      <c r="E79" s="9"/>
      <c r="F79" s="42"/>
      <c r="G79" s="42"/>
      <c r="H79" s="42"/>
      <c r="I79" s="9"/>
      <c r="J79" s="9"/>
      <c r="K79" s="9"/>
      <c r="L79" s="9"/>
      <c r="M79" s="9"/>
      <c r="N79" s="38"/>
      <c r="O79" s="9"/>
      <c r="P79" s="39"/>
      <c r="Q79" s="9"/>
      <c r="R79" s="9"/>
      <c r="S79" s="9"/>
      <c r="T79" s="9"/>
      <c r="U79" s="9"/>
      <c r="V79" s="9"/>
      <c r="W79" s="9"/>
      <c r="X79" s="10" t="str">
        <f aca="false">IF(A79="","",SG_Criteria!$B$6&amp;SG_Criteria!$B$13&amp;"\"&amp;A79&amp;"\")</f>
        <v/>
      </c>
      <c r="Y79" s="10" t="str">
        <f aca="false">IF(A79="","",A79&amp;"_CAD.dwg")</f>
        <v/>
      </c>
      <c r="Z79" s="10" t="str">
        <f aca="false">IF(A79="","",A79&amp;"_DWG.pdf")</f>
        <v/>
      </c>
      <c r="AA79" s="10" t="str">
        <f aca="false">IF(A79="","",IF(W79="Y",A79&amp;"_STAAD.std","n/a"))</f>
        <v/>
      </c>
      <c r="AB79" s="10" t="str">
        <f aca="false">IF(A79="","",A79&amp;"_CALC.xlsx")</f>
        <v/>
      </c>
      <c r="AC79" s="10" t="str">
        <f aca="false">IF(A79="","",A79&amp;"_CALC.pdf")</f>
        <v/>
      </c>
      <c r="AD79" s="9"/>
      <c r="AE79" s="9"/>
      <c r="AF79" s="39"/>
      <c r="AG79" s="39"/>
      <c r="AH79" s="39"/>
      <c r="AI79" s="39"/>
      <c r="AJ79" s="39"/>
      <c r="AK79" s="12" t="str">
        <f aca="false">IF(A79="","",IF(COUNTIF(Rebar_Schedule!$A$5:$A$2004,A79)=0,"",ROUND(SUMIF(Rebar_Schedule!$A$5:$A$2004,A79,Rebar_Schedule!$K$5:$K$2004),1)))</f>
        <v/>
      </c>
      <c r="AL79" s="33" t="str">
        <f aca="false">IF(A79="","",IF(AK79="","No rebar schedule yet",IF(ABS(AK79-N(AG79))/MAX(N(AG79),1)&gt;SG_Criteria!$B$55,"NOTE: register rebar differs from schedule by "&amp;TEXT(ABS(AK79-N(AG79))/MAX(N(AG79),1),"0%"),"OK")))</f>
        <v/>
      </c>
      <c r="AM79" s="33" t="str">
        <f aca="false">IF(D79="","","OK")</f>
        <v/>
      </c>
      <c r="AN79" s="9"/>
      <c r="AO79" s="9"/>
      <c r="AP79" s="9"/>
      <c r="AQ79" s="10" t="str">
        <f aca="false">IF(AP79="","",IFERROR(VLOOKUP(AP79,Projects!$A$5:$D$504,2,0),"Ref not in Projects"))</f>
        <v/>
      </c>
      <c r="AR79" s="10" t="str">
        <f aca="false">IF(AP79="","",IFERROR(VLOOKUP(AP79,Projects!$A$5:$D$504,4,0),"Ref not in Projects"))</f>
        <v/>
      </c>
      <c r="AS79" s="9"/>
      <c r="AT79" s="9"/>
      <c r="AU79" s="9"/>
      <c r="AV79" s="40"/>
      <c r="AW79" s="9"/>
      <c r="AX79" s="40"/>
      <c r="AY79" s="9"/>
      <c r="AZ79" s="40"/>
      <c r="BA79" s="9"/>
      <c r="BB79" s="9"/>
      <c r="BC79" s="9"/>
      <c r="BD79" s="40"/>
      <c r="BE79" s="40"/>
      <c r="BF79" s="36" t="str">
        <f aca="false">IF(BE79="","",EDATE(BE79,SG_Criteria!$B$54*12))</f>
        <v/>
      </c>
      <c r="BG79" s="33" t="str">
        <f aca="true">IF(A79="","",IF(BE79="","NOTE: not reviewed yet",IF(TODAY()&gt;BF79,"NOTE: review overdue","OK")))</f>
        <v/>
      </c>
      <c r="BH79" s="37" t="str">
        <f aca="false">IF(A79="","",ROUND((IF(LEN(D79)&gt;0,1,0)+IF(LEN(E79)&gt;0,1,0)+IF(LEN(I79)&gt;0,1,0)+IF(LEN(K79)&gt;0,1,0)+IF(LEN(Q79)&gt;0,1,0)+IF(LEN(S79)&gt;0,1,0)+IF(LEN(T79)&gt;0,1,0)+IF(LEN(U79)&gt;0,1,0)+IF(LEN(V79)&gt;0,1,0)+IF(LEN(AE79)&gt;0,1,0)+IF(LEN(AP79)&gt;0,1,0)+IF(LEN(BC79)&gt;0,1,0))/12,2))</f>
        <v/>
      </c>
      <c r="BI79" s="10" t="str">
        <f aca="false">IF(D79="","",IF(AND(T79="Approved",ISERROR(SEARCH("FAIL",AM79))),"Y","N"))</f>
        <v/>
      </c>
    </row>
    <row r="80" customFormat="false" ht="15" hidden="false" customHeight="false" outlineLevel="0" collapsed="false">
      <c r="A80" s="10" t="str">
        <f aca="false">IF(D80="","",IFERROR(VLOOKUP(D80,Lists!$BI$4:$BJ$20,2,0),"??")&amp;"-"&amp;UPPER(SUBSTITUTE(E80," ",""))&amp;IF(F80&lt;&gt;"","-SP"&amp;TEXT(F80*1000,"0"),"")&amp;IF(G80&lt;&gt;"","-H"&amp;TEXT(G80*1000,"0"),"")&amp;"-"&amp;S80)</f>
        <v/>
      </c>
      <c r="B80" s="10" t="str">
        <f aca="false">IF(D80="","",D80&amp;" - "&amp;E80&amp;IF(F80&lt;&gt;"",", span "&amp;F80&amp;" m","")&amp;IF(G80&lt;&gt;"",", H "&amp;G80&amp;" m","")&amp;IF(H80&lt;&gt;"",", W "&amp;H80&amp;" m",""))</f>
        <v/>
      </c>
      <c r="C80" s="9"/>
      <c r="D80" s="9"/>
      <c r="E80" s="9"/>
      <c r="F80" s="42"/>
      <c r="G80" s="42"/>
      <c r="H80" s="42"/>
      <c r="I80" s="9"/>
      <c r="J80" s="9"/>
      <c r="K80" s="9"/>
      <c r="L80" s="9"/>
      <c r="M80" s="9"/>
      <c r="N80" s="38"/>
      <c r="O80" s="9"/>
      <c r="P80" s="39"/>
      <c r="Q80" s="9"/>
      <c r="R80" s="9"/>
      <c r="S80" s="9"/>
      <c r="T80" s="9"/>
      <c r="U80" s="9"/>
      <c r="V80" s="9"/>
      <c r="W80" s="9"/>
      <c r="X80" s="10" t="str">
        <f aca="false">IF(A80="","",SG_Criteria!$B$6&amp;SG_Criteria!$B$13&amp;"\"&amp;A80&amp;"\")</f>
        <v/>
      </c>
      <c r="Y80" s="10" t="str">
        <f aca="false">IF(A80="","",A80&amp;"_CAD.dwg")</f>
        <v/>
      </c>
      <c r="Z80" s="10" t="str">
        <f aca="false">IF(A80="","",A80&amp;"_DWG.pdf")</f>
        <v/>
      </c>
      <c r="AA80" s="10" t="str">
        <f aca="false">IF(A80="","",IF(W80="Y",A80&amp;"_STAAD.std","n/a"))</f>
        <v/>
      </c>
      <c r="AB80" s="10" t="str">
        <f aca="false">IF(A80="","",A80&amp;"_CALC.xlsx")</f>
        <v/>
      </c>
      <c r="AC80" s="10" t="str">
        <f aca="false">IF(A80="","",A80&amp;"_CALC.pdf")</f>
        <v/>
      </c>
      <c r="AD80" s="9"/>
      <c r="AE80" s="9"/>
      <c r="AF80" s="39"/>
      <c r="AG80" s="39"/>
      <c r="AH80" s="39"/>
      <c r="AI80" s="39"/>
      <c r="AJ80" s="39"/>
      <c r="AK80" s="12" t="str">
        <f aca="false">IF(A80="","",IF(COUNTIF(Rebar_Schedule!$A$5:$A$2004,A80)=0,"",ROUND(SUMIF(Rebar_Schedule!$A$5:$A$2004,A80,Rebar_Schedule!$K$5:$K$2004),1)))</f>
        <v/>
      </c>
      <c r="AL80" s="33" t="str">
        <f aca="false">IF(A80="","",IF(AK80="","No rebar schedule yet",IF(ABS(AK80-N(AG80))/MAX(N(AG80),1)&gt;SG_Criteria!$B$55,"NOTE: register rebar differs from schedule by "&amp;TEXT(ABS(AK80-N(AG80))/MAX(N(AG80),1),"0%"),"OK")))</f>
        <v/>
      </c>
      <c r="AM80" s="33" t="str">
        <f aca="false">IF(D80="","","OK")</f>
        <v/>
      </c>
      <c r="AN80" s="9"/>
      <c r="AO80" s="9"/>
      <c r="AP80" s="9"/>
      <c r="AQ80" s="10" t="str">
        <f aca="false">IF(AP80="","",IFERROR(VLOOKUP(AP80,Projects!$A$5:$D$504,2,0),"Ref not in Projects"))</f>
        <v/>
      </c>
      <c r="AR80" s="10" t="str">
        <f aca="false">IF(AP80="","",IFERROR(VLOOKUP(AP80,Projects!$A$5:$D$504,4,0),"Ref not in Projects"))</f>
        <v/>
      </c>
      <c r="AS80" s="9"/>
      <c r="AT80" s="9"/>
      <c r="AU80" s="9"/>
      <c r="AV80" s="40"/>
      <c r="AW80" s="9"/>
      <c r="AX80" s="40"/>
      <c r="AY80" s="9"/>
      <c r="AZ80" s="40"/>
      <c r="BA80" s="9"/>
      <c r="BB80" s="9"/>
      <c r="BC80" s="9"/>
      <c r="BD80" s="40"/>
      <c r="BE80" s="40"/>
      <c r="BF80" s="36" t="str">
        <f aca="false">IF(BE80="","",EDATE(BE80,SG_Criteria!$B$54*12))</f>
        <v/>
      </c>
      <c r="BG80" s="33" t="str">
        <f aca="true">IF(A80="","",IF(BE80="","NOTE: not reviewed yet",IF(TODAY()&gt;BF80,"NOTE: review overdue","OK")))</f>
        <v/>
      </c>
      <c r="BH80" s="37" t="str">
        <f aca="false">IF(A80="","",ROUND((IF(LEN(D80)&gt;0,1,0)+IF(LEN(E80)&gt;0,1,0)+IF(LEN(I80)&gt;0,1,0)+IF(LEN(K80)&gt;0,1,0)+IF(LEN(Q80)&gt;0,1,0)+IF(LEN(S80)&gt;0,1,0)+IF(LEN(T80)&gt;0,1,0)+IF(LEN(U80)&gt;0,1,0)+IF(LEN(V80)&gt;0,1,0)+IF(LEN(AE80)&gt;0,1,0)+IF(LEN(AP80)&gt;0,1,0)+IF(LEN(BC80)&gt;0,1,0))/12,2))</f>
        <v/>
      </c>
      <c r="BI80" s="10" t="str">
        <f aca="false">IF(D80="","",IF(AND(T80="Approved",ISERROR(SEARCH("FAIL",AM80))),"Y","N"))</f>
        <v/>
      </c>
    </row>
    <row r="81" customFormat="false" ht="15" hidden="false" customHeight="false" outlineLevel="0" collapsed="false">
      <c r="A81" s="10" t="str">
        <f aca="false">IF(D81="","",IFERROR(VLOOKUP(D81,Lists!$BI$4:$BJ$20,2,0),"??")&amp;"-"&amp;UPPER(SUBSTITUTE(E81," ",""))&amp;IF(F81&lt;&gt;"","-SP"&amp;TEXT(F81*1000,"0"),"")&amp;IF(G81&lt;&gt;"","-H"&amp;TEXT(G81*1000,"0"),"")&amp;"-"&amp;S81)</f>
        <v/>
      </c>
      <c r="B81" s="10" t="str">
        <f aca="false">IF(D81="","",D81&amp;" - "&amp;E81&amp;IF(F81&lt;&gt;"",", span "&amp;F81&amp;" m","")&amp;IF(G81&lt;&gt;"",", H "&amp;G81&amp;" m","")&amp;IF(H81&lt;&gt;"",", W "&amp;H81&amp;" m",""))</f>
        <v/>
      </c>
      <c r="C81" s="9"/>
      <c r="D81" s="9"/>
      <c r="E81" s="9"/>
      <c r="F81" s="42"/>
      <c r="G81" s="42"/>
      <c r="H81" s="42"/>
      <c r="I81" s="9"/>
      <c r="J81" s="9"/>
      <c r="K81" s="9"/>
      <c r="L81" s="9"/>
      <c r="M81" s="9"/>
      <c r="N81" s="38"/>
      <c r="O81" s="9"/>
      <c r="P81" s="39"/>
      <c r="Q81" s="9"/>
      <c r="R81" s="9"/>
      <c r="S81" s="9"/>
      <c r="T81" s="9"/>
      <c r="U81" s="9"/>
      <c r="V81" s="9"/>
      <c r="W81" s="9"/>
      <c r="X81" s="10" t="str">
        <f aca="false">IF(A81="","",SG_Criteria!$B$6&amp;SG_Criteria!$B$13&amp;"\"&amp;A81&amp;"\")</f>
        <v/>
      </c>
      <c r="Y81" s="10" t="str">
        <f aca="false">IF(A81="","",A81&amp;"_CAD.dwg")</f>
        <v/>
      </c>
      <c r="Z81" s="10" t="str">
        <f aca="false">IF(A81="","",A81&amp;"_DWG.pdf")</f>
        <v/>
      </c>
      <c r="AA81" s="10" t="str">
        <f aca="false">IF(A81="","",IF(W81="Y",A81&amp;"_STAAD.std","n/a"))</f>
        <v/>
      </c>
      <c r="AB81" s="10" t="str">
        <f aca="false">IF(A81="","",A81&amp;"_CALC.xlsx")</f>
        <v/>
      </c>
      <c r="AC81" s="10" t="str">
        <f aca="false">IF(A81="","",A81&amp;"_CALC.pdf")</f>
        <v/>
      </c>
      <c r="AD81" s="9"/>
      <c r="AE81" s="9"/>
      <c r="AF81" s="39"/>
      <c r="AG81" s="39"/>
      <c r="AH81" s="39"/>
      <c r="AI81" s="39"/>
      <c r="AJ81" s="39"/>
      <c r="AK81" s="12" t="str">
        <f aca="false">IF(A81="","",IF(COUNTIF(Rebar_Schedule!$A$5:$A$2004,A81)=0,"",ROUND(SUMIF(Rebar_Schedule!$A$5:$A$2004,A81,Rebar_Schedule!$K$5:$K$2004),1)))</f>
        <v/>
      </c>
      <c r="AL81" s="33" t="str">
        <f aca="false">IF(A81="","",IF(AK81="","No rebar schedule yet",IF(ABS(AK81-N(AG81))/MAX(N(AG81),1)&gt;SG_Criteria!$B$55,"NOTE: register rebar differs from schedule by "&amp;TEXT(ABS(AK81-N(AG81))/MAX(N(AG81),1),"0%"),"OK")))</f>
        <v/>
      </c>
      <c r="AM81" s="33" t="str">
        <f aca="false">IF(D81="","","OK")</f>
        <v/>
      </c>
      <c r="AN81" s="9"/>
      <c r="AO81" s="9"/>
      <c r="AP81" s="9"/>
      <c r="AQ81" s="10" t="str">
        <f aca="false">IF(AP81="","",IFERROR(VLOOKUP(AP81,Projects!$A$5:$D$504,2,0),"Ref not in Projects"))</f>
        <v/>
      </c>
      <c r="AR81" s="10" t="str">
        <f aca="false">IF(AP81="","",IFERROR(VLOOKUP(AP81,Projects!$A$5:$D$504,4,0),"Ref not in Projects"))</f>
        <v/>
      </c>
      <c r="AS81" s="9"/>
      <c r="AT81" s="9"/>
      <c r="AU81" s="9"/>
      <c r="AV81" s="40"/>
      <c r="AW81" s="9"/>
      <c r="AX81" s="40"/>
      <c r="AY81" s="9"/>
      <c r="AZ81" s="40"/>
      <c r="BA81" s="9"/>
      <c r="BB81" s="9"/>
      <c r="BC81" s="9"/>
      <c r="BD81" s="40"/>
      <c r="BE81" s="40"/>
      <c r="BF81" s="36" t="str">
        <f aca="false">IF(BE81="","",EDATE(BE81,SG_Criteria!$B$54*12))</f>
        <v/>
      </c>
      <c r="BG81" s="33" t="str">
        <f aca="true">IF(A81="","",IF(BE81="","NOTE: not reviewed yet",IF(TODAY()&gt;BF81,"NOTE: review overdue","OK")))</f>
        <v/>
      </c>
      <c r="BH81" s="37" t="str">
        <f aca="false">IF(A81="","",ROUND((IF(LEN(D81)&gt;0,1,0)+IF(LEN(E81)&gt;0,1,0)+IF(LEN(I81)&gt;0,1,0)+IF(LEN(K81)&gt;0,1,0)+IF(LEN(Q81)&gt;0,1,0)+IF(LEN(S81)&gt;0,1,0)+IF(LEN(T81)&gt;0,1,0)+IF(LEN(U81)&gt;0,1,0)+IF(LEN(V81)&gt;0,1,0)+IF(LEN(AE81)&gt;0,1,0)+IF(LEN(AP81)&gt;0,1,0)+IF(LEN(BC81)&gt;0,1,0))/12,2))</f>
        <v/>
      </c>
      <c r="BI81" s="10" t="str">
        <f aca="false">IF(D81="","",IF(AND(T81="Approved",ISERROR(SEARCH("FAIL",AM81))),"Y","N"))</f>
        <v/>
      </c>
    </row>
    <row r="82" customFormat="false" ht="15" hidden="false" customHeight="false" outlineLevel="0" collapsed="false">
      <c r="A82" s="10" t="str">
        <f aca="false">IF(D82="","",IFERROR(VLOOKUP(D82,Lists!$BI$4:$BJ$20,2,0),"??")&amp;"-"&amp;UPPER(SUBSTITUTE(E82," ",""))&amp;IF(F82&lt;&gt;"","-SP"&amp;TEXT(F82*1000,"0"),"")&amp;IF(G82&lt;&gt;"","-H"&amp;TEXT(G82*1000,"0"),"")&amp;"-"&amp;S82)</f>
        <v/>
      </c>
      <c r="B82" s="10" t="str">
        <f aca="false">IF(D82="","",D82&amp;" - "&amp;E82&amp;IF(F82&lt;&gt;"",", span "&amp;F82&amp;" m","")&amp;IF(G82&lt;&gt;"",", H "&amp;G82&amp;" m","")&amp;IF(H82&lt;&gt;"",", W "&amp;H82&amp;" m",""))</f>
        <v/>
      </c>
      <c r="C82" s="9"/>
      <c r="D82" s="9"/>
      <c r="E82" s="9"/>
      <c r="F82" s="42"/>
      <c r="G82" s="42"/>
      <c r="H82" s="42"/>
      <c r="I82" s="9"/>
      <c r="J82" s="9"/>
      <c r="K82" s="9"/>
      <c r="L82" s="9"/>
      <c r="M82" s="9"/>
      <c r="N82" s="38"/>
      <c r="O82" s="9"/>
      <c r="P82" s="39"/>
      <c r="Q82" s="9"/>
      <c r="R82" s="9"/>
      <c r="S82" s="9"/>
      <c r="T82" s="9"/>
      <c r="U82" s="9"/>
      <c r="V82" s="9"/>
      <c r="W82" s="9"/>
      <c r="X82" s="10" t="str">
        <f aca="false">IF(A82="","",SG_Criteria!$B$6&amp;SG_Criteria!$B$13&amp;"\"&amp;A82&amp;"\")</f>
        <v/>
      </c>
      <c r="Y82" s="10" t="str">
        <f aca="false">IF(A82="","",A82&amp;"_CAD.dwg")</f>
        <v/>
      </c>
      <c r="Z82" s="10" t="str">
        <f aca="false">IF(A82="","",A82&amp;"_DWG.pdf")</f>
        <v/>
      </c>
      <c r="AA82" s="10" t="str">
        <f aca="false">IF(A82="","",IF(W82="Y",A82&amp;"_STAAD.std","n/a"))</f>
        <v/>
      </c>
      <c r="AB82" s="10" t="str">
        <f aca="false">IF(A82="","",A82&amp;"_CALC.xlsx")</f>
        <v/>
      </c>
      <c r="AC82" s="10" t="str">
        <f aca="false">IF(A82="","",A82&amp;"_CALC.pdf")</f>
        <v/>
      </c>
      <c r="AD82" s="9"/>
      <c r="AE82" s="9"/>
      <c r="AF82" s="39"/>
      <c r="AG82" s="39"/>
      <c r="AH82" s="39"/>
      <c r="AI82" s="39"/>
      <c r="AJ82" s="39"/>
      <c r="AK82" s="12" t="str">
        <f aca="false">IF(A82="","",IF(COUNTIF(Rebar_Schedule!$A$5:$A$2004,A82)=0,"",ROUND(SUMIF(Rebar_Schedule!$A$5:$A$2004,A82,Rebar_Schedule!$K$5:$K$2004),1)))</f>
        <v/>
      </c>
      <c r="AL82" s="33" t="str">
        <f aca="false">IF(A82="","",IF(AK82="","No rebar schedule yet",IF(ABS(AK82-N(AG82))/MAX(N(AG82),1)&gt;SG_Criteria!$B$55,"NOTE: register rebar differs from schedule by "&amp;TEXT(ABS(AK82-N(AG82))/MAX(N(AG82),1),"0%"),"OK")))</f>
        <v/>
      </c>
      <c r="AM82" s="33" t="str">
        <f aca="false">IF(D82="","","OK")</f>
        <v/>
      </c>
      <c r="AN82" s="9"/>
      <c r="AO82" s="9"/>
      <c r="AP82" s="9"/>
      <c r="AQ82" s="10" t="str">
        <f aca="false">IF(AP82="","",IFERROR(VLOOKUP(AP82,Projects!$A$5:$D$504,2,0),"Ref not in Projects"))</f>
        <v/>
      </c>
      <c r="AR82" s="10" t="str">
        <f aca="false">IF(AP82="","",IFERROR(VLOOKUP(AP82,Projects!$A$5:$D$504,4,0),"Ref not in Projects"))</f>
        <v/>
      </c>
      <c r="AS82" s="9"/>
      <c r="AT82" s="9"/>
      <c r="AU82" s="9"/>
      <c r="AV82" s="40"/>
      <c r="AW82" s="9"/>
      <c r="AX82" s="40"/>
      <c r="AY82" s="9"/>
      <c r="AZ82" s="40"/>
      <c r="BA82" s="9"/>
      <c r="BB82" s="9"/>
      <c r="BC82" s="9"/>
      <c r="BD82" s="40"/>
      <c r="BE82" s="40"/>
      <c r="BF82" s="36" t="str">
        <f aca="false">IF(BE82="","",EDATE(BE82,SG_Criteria!$B$54*12))</f>
        <v/>
      </c>
      <c r="BG82" s="33" t="str">
        <f aca="true">IF(A82="","",IF(BE82="","NOTE: not reviewed yet",IF(TODAY()&gt;BF82,"NOTE: review overdue","OK")))</f>
        <v/>
      </c>
      <c r="BH82" s="37" t="str">
        <f aca="false">IF(A82="","",ROUND((IF(LEN(D82)&gt;0,1,0)+IF(LEN(E82)&gt;0,1,0)+IF(LEN(I82)&gt;0,1,0)+IF(LEN(K82)&gt;0,1,0)+IF(LEN(Q82)&gt;0,1,0)+IF(LEN(S82)&gt;0,1,0)+IF(LEN(T82)&gt;0,1,0)+IF(LEN(U82)&gt;0,1,0)+IF(LEN(V82)&gt;0,1,0)+IF(LEN(AE82)&gt;0,1,0)+IF(LEN(AP82)&gt;0,1,0)+IF(LEN(BC82)&gt;0,1,0))/12,2))</f>
        <v/>
      </c>
      <c r="BI82" s="10" t="str">
        <f aca="false">IF(D82="","",IF(AND(T82="Approved",ISERROR(SEARCH("FAIL",AM82))),"Y","N"))</f>
        <v/>
      </c>
    </row>
    <row r="83" customFormat="false" ht="15" hidden="false" customHeight="false" outlineLevel="0" collapsed="false">
      <c r="A83" s="10" t="str">
        <f aca="false">IF(D83="","",IFERROR(VLOOKUP(D83,Lists!$BI$4:$BJ$20,2,0),"??")&amp;"-"&amp;UPPER(SUBSTITUTE(E83," ",""))&amp;IF(F83&lt;&gt;"","-SP"&amp;TEXT(F83*1000,"0"),"")&amp;IF(G83&lt;&gt;"","-H"&amp;TEXT(G83*1000,"0"),"")&amp;"-"&amp;S83)</f>
        <v/>
      </c>
      <c r="B83" s="10" t="str">
        <f aca="false">IF(D83="","",D83&amp;" - "&amp;E83&amp;IF(F83&lt;&gt;"",", span "&amp;F83&amp;" m","")&amp;IF(G83&lt;&gt;"",", H "&amp;G83&amp;" m","")&amp;IF(H83&lt;&gt;"",", W "&amp;H83&amp;" m",""))</f>
        <v/>
      </c>
      <c r="C83" s="9"/>
      <c r="D83" s="9"/>
      <c r="E83" s="9"/>
      <c r="F83" s="42"/>
      <c r="G83" s="42"/>
      <c r="H83" s="42"/>
      <c r="I83" s="9"/>
      <c r="J83" s="9"/>
      <c r="K83" s="9"/>
      <c r="L83" s="9"/>
      <c r="M83" s="9"/>
      <c r="N83" s="38"/>
      <c r="O83" s="9"/>
      <c r="P83" s="39"/>
      <c r="Q83" s="9"/>
      <c r="R83" s="9"/>
      <c r="S83" s="9"/>
      <c r="T83" s="9"/>
      <c r="U83" s="9"/>
      <c r="V83" s="9"/>
      <c r="W83" s="9"/>
      <c r="X83" s="10" t="str">
        <f aca="false">IF(A83="","",SG_Criteria!$B$6&amp;SG_Criteria!$B$13&amp;"\"&amp;A83&amp;"\")</f>
        <v/>
      </c>
      <c r="Y83" s="10" t="str">
        <f aca="false">IF(A83="","",A83&amp;"_CAD.dwg")</f>
        <v/>
      </c>
      <c r="Z83" s="10" t="str">
        <f aca="false">IF(A83="","",A83&amp;"_DWG.pdf")</f>
        <v/>
      </c>
      <c r="AA83" s="10" t="str">
        <f aca="false">IF(A83="","",IF(W83="Y",A83&amp;"_STAAD.std","n/a"))</f>
        <v/>
      </c>
      <c r="AB83" s="10" t="str">
        <f aca="false">IF(A83="","",A83&amp;"_CALC.xlsx")</f>
        <v/>
      </c>
      <c r="AC83" s="10" t="str">
        <f aca="false">IF(A83="","",A83&amp;"_CALC.pdf")</f>
        <v/>
      </c>
      <c r="AD83" s="9"/>
      <c r="AE83" s="9"/>
      <c r="AF83" s="39"/>
      <c r="AG83" s="39"/>
      <c r="AH83" s="39"/>
      <c r="AI83" s="39"/>
      <c r="AJ83" s="39"/>
      <c r="AK83" s="12" t="str">
        <f aca="false">IF(A83="","",IF(COUNTIF(Rebar_Schedule!$A$5:$A$2004,A83)=0,"",ROUND(SUMIF(Rebar_Schedule!$A$5:$A$2004,A83,Rebar_Schedule!$K$5:$K$2004),1)))</f>
        <v/>
      </c>
      <c r="AL83" s="33" t="str">
        <f aca="false">IF(A83="","",IF(AK83="","No rebar schedule yet",IF(ABS(AK83-N(AG83))/MAX(N(AG83),1)&gt;SG_Criteria!$B$55,"NOTE: register rebar differs from schedule by "&amp;TEXT(ABS(AK83-N(AG83))/MAX(N(AG83),1),"0%"),"OK")))</f>
        <v/>
      </c>
      <c r="AM83" s="33" t="str">
        <f aca="false">IF(D83="","","OK")</f>
        <v/>
      </c>
      <c r="AN83" s="9"/>
      <c r="AO83" s="9"/>
      <c r="AP83" s="9"/>
      <c r="AQ83" s="10" t="str">
        <f aca="false">IF(AP83="","",IFERROR(VLOOKUP(AP83,Projects!$A$5:$D$504,2,0),"Ref not in Projects"))</f>
        <v/>
      </c>
      <c r="AR83" s="10" t="str">
        <f aca="false">IF(AP83="","",IFERROR(VLOOKUP(AP83,Projects!$A$5:$D$504,4,0),"Ref not in Projects"))</f>
        <v/>
      </c>
      <c r="AS83" s="9"/>
      <c r="AT83" s="9"/>
      <c r="AU83" s="9"/>
      <c r="AV83" s="40"/>
      <c r="AW83" s="9"/>
      <c r="AX83" s="40"/>
      <c r="AY83" s="9"/>
      <c r="AZ83" s="40"/>
      <c r="BA83" s="9"/>
      <c r="BB83" s="9"/>
      <c r="BC83" s="9"/>
      <c r="BD83" s="40"/>
      <c r="BE83" s="40"/>
      <c r="BF83" s="36" t="str">
        <f aca="false">IF(BE83="","",EDATE(BE83,SG_Criteria!$B$54*12))</f>
        <v/>
      </c>
      <c r="BG83" s="33" t="str">
        <f aca="true">IF(A83="","",IF(BE83="","NOTE: not reviewed yet",IF(TODAY()&gt;BF83,"NOTE: review overdue","OK")))</f>
        <v/>
      </c>
      <c r="BH83" s="37" t="str">
        <f aca="false">IF(A83="","",ROUND((IF(LEN(D83)&gt;0,1,0)+IF(LEN(E83)&gt;0,1,0)+IF(LEN(I83)&gt;0,1,0)+IF(LEN(K83)&gt;0,1,0)+IF(LEN(Q83)&gt;0,1,0)+IF(LEN(S83)&gt;0,1,0)+IF(LEN(T83)&gt;0,1,0)+IF(LEN(U83)&gt;0,1,0)+IF(LEN(V83)&gt;0,1,0)+IF(LEN(AE83)&gt;0,1,0)+IF(LEN(AP83)&gt;0,1,0)+IF(LEN(BC83)&gt;0,1,0))/12,2))</f>
        <v/>
      </c>
      <c r="BI83" s="10" t="str">
        <f aca="false">IF(D83="","",IF(AND(T83="Approved",ISERROR(SEARCH("FAIL",AM83))),"Y","N"))</f>
        <v/>
      </c>
    </row>
    <row r="84" customFormat="false" ht="15" hidden="false" customHeight="false" outlineLevel="0" collapsed="false">
      <c r="A84" s="10" t="str">
        <f aca="false">IF(D84="","",IFERROR(VLOOKUP(D84,Lists!$BI$4:$BJ$20,2,0),"??")&amp;"-"&amp;UPPER(SUBSTITUTE(E84," ",""))&amp;IF(F84&lt;&gt;"","-SP"&amp;TEXT(F84*1000,"0"),"")&amp;IF(G84&lt;&gt;"","-H"&amp;TEXT(G84*1000,"0"),"")&amp;"-"&amp;S84)</f>
        <v/>
      </c>
      <c r="B84" s="10" t="str">
        <f aca="false">IF(D84="","",D84&amp;" - "&amp;E84&amp;IF(F84&lt;&gt;"",", span "&amp;F84&amp;" m","")&amp;IF(G84&lt;&gt;"",", H "&amp;G84&amp;" m","")&amp;IF(H84&lt;&gt;"",", W "&amp;H84&amp;" m",""))</f>
        <v/>
      </c>
      <c r="C84" s="9"/>
      <c r="D84" s="9"/>
      <c r="E84" s="9"/>
      <c r="F84" s="42"/>
      <c r="G84" s="42"/>
      <c r="H84" s="42"/>
      <c r="I84" s="9"/>
      <c r="J84" s="9"/>
      <c r="K84" s="9"/>
      <c r="L84" s="9"/>
      <c r="M84" s="9"/>
      <c r="N84" s="38"/>
      <c r="O84" s="9"/>
      <c r="P84" s="39"/>
      <c r="Q84" s="9"/>
      <c r="R84" s="9"/>
      <c r="S84" s="9"/>
      <c r="T84" s="9"/>
      <c r="U84" s="9"/>
      <c r="V84" s="9"/>
      <c r="W84" s="9"/>
      <c r="X84" s="10" t="str">
        <f aca="false">IF(A84="","",SG_Criteria!$B$6&amp;SG_Criteria!$B$13&amp;"\"&amp;A84&amp;"\")</f>
        <v/>
      </c>
      <c r="Y84" s="10" t="str">
        <f aca="false">IF(A84="","",A84&amp;"_CAD.dwg")</f>
        <v/>
      </c>
      <c r="Z84" s="10" t="str">
        <f aca="false">IF(A84="","",A84&amp;"_DWG.pdf")</f>
        <v/>
      </c>
      <c r="AA84" s="10" t="str">
        <f aca="false">IF(A84="","",IF(W84="Y",A84&amp;"_STAAD.std","n/a"))</f>
        <v/>
      </c>
      <c r="AB84" s="10" t="str">
        <f aca="false">IF(A84="","",A84&amp;"_CALC.xlsx")</f>
        <v/>
      </c>
      <c r="AC84" s="10" t="str">
        <f aca="false">IF(A84="","",A84&amp;"_CALC.pdf")</f>
        <v/>
      </c>
      <c r="AD84" s="9"/>
      <c r="AE84" s="9"/>
      <c r="AF84" s="39"/>
      <c r="AG84" s="39"/>
      <c r="AH84" s="39"/>
      <c r="AI84" s="39"/>
      <c r="AJ84" s="39"/>
      <c r="AK84" s="12" t="str">
        <f aca="false">IF(A84="","",IF(COUNTIF(Rebar_Schedule!$A$5:$A$2004,A84)=0,"",ROUND(SUMIF(Rebar_Schedule!$A$5:$A$2004,A84,Rebar_Schedule!$K$5:$K$2004),1)))</f>
        <v/>
      </c>
      <c r="AL84" s="33" t="str">
        <f aca="false">IF(A84="","",IF(AK84="","No rebar schedule yet",IF(ABS(AK84-N(AG84))/MAX(N(AG84),1)&gt;SG_Criteria!$B$55,"NOTE: register rebar differs from schedule by "&amp;TEXT(ABS(AK84-N(AG84))/MAX(N(AG84),1),"0%"),"OK")))</f>
        <v/>
      </c>
      <c r="AM84" s="33" t="str">
        <f aca="false">IF(D84="","","OK")</f>
        <v/>
      </c>
      <c r="AN84" s="9"/>
      <c r="AO84" s="9"/>
      <c r="AP84" s="9"/>
      <c r="AQ84" s="10" t="str">
        <f aca="false">IF(AP84="","",IFERROR(VLOOKUP(AP84,Projects!$A$5:$D$504,2,0),"Ref not in Projects"))</f>
        <v/>
      </c>
      <c r="AR84" s="10" t="str">
        <f aca="false">IF(AP84="","",IFERROR(VLOOKUP(AP84,Projects!$A$5:$D$504,4,0),"Ref not in Projects"))</f>
        <v/>
      </c>
      <c r="AS84" s="9"/>
      <c r="AT84" s="9"/>
      <c r="AU84" s="9"/>
      <c r="AV84" s="40"/>
      <c r="AW84" s="9"/>
      <c r="AX84" s="40"/>
      <c r="AY84" s="9"/>
      <c r="AZ84" s="40"/>
      <c r="BA84" s="9"/>
      <c r="BB84" s="9"/>
      <c r="BC84" s="9"/>
      <c r="BD84" s="40"/>
      <c r="BE84" s="40"/>
      <c r="BF84" s="36" t="str">
        <f aca="false">IF(BE84="","",EDATE(BE84,SG_Criteria!$B$54*12))</f>
        <v/>
      </c>
      <c r="BG84" s="33" t="str">
        <f aca="true">IF(A84="","",IF(BE84="","NOTE: not reviewed yet",IF(TODAY()&gt;BF84,"NOTE: review overdue","OK")))</f>
        <v/>
      </c>
      <c r="BH84" s="37" t="str">
        <f aca="false">IF(A84="","",ROUND((IF(LEN(D84)&gt;0,1,0)+IF(LEN(E84)&gt;0,1,0)+IF(LEN(I84)&gt;0,1,0)+IF(LEN(K84)&gt;0,1,0)+IF(LEN(Q84)&gt;0,1,0)+IF(LEN(S84)&gt;0,1,0)+IF(LEN(T84)&gt;0,1,0)+IF(LEN(U84)&gt;0,1,0)+IF(LEN(V84)&gt;0,1,0)+IF(LEN(AE84)&gt;0,1,0)+IF(LEN(AP84)&gt;0,1,0)+IF(LEN(BC84)&gt;0,1,0))/12,2))</f>
        <v/>
      </c>
      <c r="BI84" s="10" t="str">
        <f aca="false">IF(D84="","",IF(AND(T84="Approved",ISERROR(SEARCH("FAIL",AM84))),"Y","N"))</f>
        <v/>
      </c>
    </row>
    <row r="85" customFormat="false" ht="15" hidden="false" customHeight="false" outlineLevel="0" collapsed="false">
      <c r="A85" s="10" t="str">
        <f aca="false">IF(D85="","",IFERROR(VLOOKUP(D85,Lists!$BI$4:$BJ$20,2,0),"??")&amp;"-"&amp;UPPER(SUBSTITUTE(E85," ",""))&amp;IF(F85&lt;&gt;"","-SP"&amp;TEXT(F85*1000,"0"),"")&amp;IF(G85&lt;&gt;"","-H"&amp;TEXT(G85*1000,"0"),"")&amp;"-"&amp;S85)</f>
        <v/>
      </c>
      <c r="B85" s="10" t="str">
        <f aca="false">IF(D85="","",D85&amp;" - "&amp;E85&amp;IF(F85&lt;&gt;"",", span "&amp;F85&amp;" m","")&amp;IF(G85&lt;&gt;"",", H "&amp;G85&amp;" m","")&amp;IF(H85&lt;&gt;"",", W "&amp;H85&amp;" m",""))</f>
        <v/>
      </c>
      <c r="C85" s="9"/>
      <c r="D85" s="9"/>
      <c r="E85" s="9"/>
      <c r="F85" s="42"/>
      <c r="G85" s="42"/>
      <c r="H85" s="42"/>
      <c r="I85" s="9"/>
      <c r="J85" s="9"/>
      <c r="K85" s="9"/>
      <c r="L85" s="9"/>
      <c r="M85" s="9"/>
      <c r="N85" s="38"/>
      <c r="O85" s="9"/>
      <c r="P85" s="39"/>
      <c r="Q85" s="9"/>
      <c r="R85" s="9"/>
      <c r="S85" s="9"/>
      <c r="T85" s="9"/>
      <c r="U85" s="9"/>
      <c r="V85" s="9"/>
      <c r="W85" s="9"/>
      <c r="X85" s="10" t="str">
        <f aca="false">IF(A85="","",SG_Criteria!$B$6&amp;SG_Criteria!$B$13&amp;"\"&amp;A85&amp;"\")</f>
        <v/>
      </c>
      <c r="Y85" s="10" t="str">
        <f aca="false">IF(A85="","",A85&amp;"_CAD.dwg")</f>
        <v/>
      </c>
      <c r="Z85" s="10" t="str">
        <f aca="false">IF(A85="","",A85&amp;"_DWG.pdf")</f>
        <v/>
      </c>
      <c r="AA85" s="10" t="str">
        <f aca="false">IF(A85="","",IF(W85="Y",A85&amp;"_STAAD.std","n/a"))</f>
        <v/>
      </c>
      <c r="AB85" s="10" t="str">
        <f aca="false">IF(A85="","",A85&amp;"_CALC.xlsx")</f>
        <v/>
      </c>
      <c r="AC85" s="10" t="str">
        <f aca="false">IF(A85="","",A85&amp;"_CALC.pdf")</f>
        <v/>
      </c>
      <c r="AD85" s="9"/>
      <c r="AE85" s="9"/>
      <c r="AF85" s="39"/>
      <c r="AG85" s="39"/>
      <c r="AH85" s="39"/>
      <c r="AI85" s="39"/>
      <c r="AJ85" s="39"/>
      <c r="AK85" s="12" t="str">
        <f aca="false">IF(A85="","",IF(COUNTIF(Rebar_Schedule!$A$5:$A$2004,A85)=0,"",ROUND(SUMIF(Rebar_Schedule!$A$5:$A$2004,A85,Rebar_Schedule!$K$5:$K$2004),1)))</f>
        <v/>
      </c>
      <c r="AL85" s="33" t="str">
        <f aca="false">IF(A85="","",IF(AK85="","No rebar schedule yet",IF(ABS(AK85-N(AG85))/MAX(N(AG85),1)&gt;SG_Criteria!$B$55,"NOTE: register rebar differs from schedule by "&amp;TEXT(ABS(AK85-N(AG85))/MAX(N(AG85),1),"0%"),"OK")))</f>
        <v/>
      </c>
      <c r="AM85" s="33" t="str">
        <f aca="false">IF(D85="","","OK")</f>
        <v/>
      </c>
      <c r="AN85" s="9"/>
      <c r="AO85" s="9"/>
      <c r="AP85" s="9"/>
      <c r="AQ85" s="10" t="str">
        <f aca="false">IF(AP85="","",IFERROR(VLOOKUP(AP85,Projects!$A$5:$D$504,2,0),"Ref not in Projects"))</f>
        <v/>
      </c>
      <c r="AR85" s="10" t="str">
        <f aca="false">IF(AP85="","",IFERROR(VLOOKUP(AP85,Projects!$A$5:$D$504,4,0),"Ref not in Projects"))</f>
        <v/>
      </c>
      <c r="AS85" s="9"/>
      <c r="AT85" s="9"/>
      <c r="AU85" s="9"/>
      <c r="AV85" s="40"/>
      <c r="AW85" s="9"/>
      <c r="AX85" s="40"/>
      <c r="AY85" s="9"/>
      <c r="AZ85" s="40"/>
      <c r="BA85" s="9"/>
      <c r="BB85" s="9"/>
      <c r="BC85" s="9"/>
      <c r="BD85" s="40"/>
      <c r="BE85" s="40"/>
      <c r="BF85" s="36" t="str">
        <f aca="false">IF(BE85="","",EDATE(BE85,SG_Criteria!$B$54*12))</f>
        <v/>
      </c>
      <c r="BG85" s="33" t="str">
        <f aca="true">IF(A85="","",IF(BE85="","NOTE: not reviewed yet",IF(TODAY()&gt;BF85,"NOTE: review overdue","OK")))</f>
        <v/>
      </c>
      <c r="BH85" s="37" t="str">
        <f aca="false">IF(A85="","",ROUND((IF(LEN(D85)&gt;0,1,0)+IF(LEN(E85)&gt;0,1,0)+IF(LEN(I85)&gt;0,1,0)+IF(LEN(K85)&gt;0,1,0)+IF(LEN(Q85)&gt;0,1,0)+IF(LEN(S85)&gt;0,1,0)+IF(LEN(T85)&gt;0,1,0)+IF(LEN(U85)&gt;0,1,0)+IF(LEN(V85)&gt;0,1,0)+IF(LEN(AE85)&gt;0,1,0)+IF(LEN(AP85)&gt;0,1,0)+IF(LEN(BC85)&gt;0,1,0))/12,2))</f>
        <v/>
      </c>
      <c r="BI85" s="10" t="str">
        <f aca="false">IF(D85="","",IF(AND(T85="Approved",ISERROR(SEARCH("FAIL",AM85))),"Y","N"))</f>
        <v/>
      </c>
    </row>
    <row r="86" customFormat="false" ht="15" hidden="false" customHeight="false" outlineLevel="0" collapsed="false">
      <c r="A86" s="10" t="str">
        <f aca="false">IF(D86="","",IFERROR(VLOOKUP(D86,Lists!$BI$4:$BJ$20,2,0),"??")&amp;"-"&amp;UPPER(SUBSTITUTE(E86," ",""))&amp;IF(F86&lt;&gt;"","-SP"&amp;TEXT(F86*1000,"0"),"")&amp;IF(G86&lt;&gt;"","-H"&amp;TEXT(G86*1000,"0"),"")&amp;"-"&amp;S86)</f>
        <v/>
      </c>
      <c r="B86" s="10" t="str">
        <f aca="false">IF(D86="","",D86&amp;" - "&amp;E86&amp;IF(F86&lt;&gt;"",", span "&amp;F86&amp;" m","")&amp;IF(G86&lt;&gt;"",", H "&amp;G86&amp;" m","")&amp;IF(H86&lt;&gt;"",", W "&amp;H86&amp;" m",""))</f>
        <v/>
      </c>
      <c r="C86" s="9"/>
      <c r="D86" s="9"/>
      <c r="E86" s="9"/>
      <c r="F86" s="42"/>
      <c r="G86" s="42"/>
      <c r="H86" s="42"/>
      <c r="I86" s="9"/>
      <c r="J86" s="9"/>
      <c r="K86" s="9"/>
      <c r="L86" s="9"/>
      <c r="M86" s="9"/>
      <c r="N86" s="38"/>
      <c r="O86" s="9"/>
      <c r="P86" s="39"/>
      <c r="Q86" s="9"/>
      <c r="R86" s="9"/>
      <c r="S86" s="9"/>
      <c r="T86" s="9"/>
      <c r="U86" s="9"/>
      <c r="V86" s="9"/>
      <c r="W86" s="9"/>
      <c r="X86" s="10" t="str">
        <f aca="false">IF(A86="","",SG_Criteria!$B$6&amp;SG_Criteria!$B$13&amp;"\"&amp;A86&amp;"\")</f>
        <v/>
      </c>
      <c r="Y86" s="10" t="str">
        <f aca="false">IF(A86="","",A86&amp;"_CAD.dwg")</f>
        <v/>
      </c>
      <c r="Z86" s="10" t="str">
        <f aca="false">IF(A86="","",A86&amp;"_DWG.pdf")</f>
        <v/>
      </c>
      <c r="AA86" s="10" t="str">
        <f aca="false">IF(A86="","",IF(W86="Y",A86&amp;"_STAAD.std","n/a"))</f>
        <v/>
      </c>
      <c r="AB86" s="10" t="str">
        <f aca="false">IF(A86="","",A86&amp;"_CALC.xlsx")</f>
        <v/>
      </c>
      <c r="AC86" s="10" t="str">
        <f aca="false">IF(A86="","",A86&amp;"_CALC.pdf")</f>
        <v/>
      </c>
      <c r="AD86" s="9"/>
      <c r="AE86" s="9"/>
      <c r="AF86" s="39"/>
      <c r="AG86" s="39"/>
      <c r="AH86" s="39"/>
      <c r="AI86" s="39"/>
      <c r="AJ86" s="39"/>
      <c r="AK86" s="12" t="str">
        <f aca="false">IF(A86="","",IF(COUNTIF(Rebar_Schedule!$A$5:$A$2004,A86)=0,"",ROUND(SUMIF(Rebar_Schedule!$A$5:$A$2004,A86,Rebar_Schedule!$K$5:$K$2004),1)))</f>
        <v/>
      </c>
      <c r="AL86" s="33" t="str">
        <f aca="false">IF(A86="","",IF(AK86="","No rebar schedule yet",IF(ABS(AK86-N(AG86))/MAX(N(AG86),1)&gt;SG_Criteria!$B$55,"NOTE: register rebar differs from schedule by "&amp;TEXT(ABS(AK86-N(AG86))/MAX(N(AG86),1),"0%"),"OK")))</f>
        <v/>
      </c>
      <c r="AM86" s="33" t="str">
        <f aca="false">IF(D86="","","OK")</f>
        <v/>
      </c>
      <c r="AN86" s="9"/>
      <c r="AO86" s="9"/>
      <c r="AP86" s="9"/>
      <c r="AQ86" s="10" t="str">
        <f aca="false">IF(AP86="","",IFERROR(VLOOKUP(AP86,Projects!$A$5:$D$504,2,0),"Ref not in Projects"))</f>
        <v/>
      </c>
      <c r="AR86" s="10" t="str">
        <f aca="false">IF(AP86="","",IFERROR(VLOOKUP(AP86,Projects!$A$5:$D$504,4,0),"Ref not in Projects"))</f>
        <v/>
      </c>
      <c r="AS86" s="9"/>
      <c r="AT86" s="9"/>
      <c r="AU86" s="9"/>
      <c r="AV86" s="40"/>
      <c r="AW86" s="9"/>
      <c r="AX86" s="40"/>
      <c r="AY86" s="9"/>
      <c r="AZ86" s="40"/>
      <c r="BA86" s="9"/>
      <c r="BB86" s="9"/>
      <c r="BC86" s="9"/>
      <c r="BD86" s="40"/>
      <c r="BE86" s="40"/>
      <c r="BF86" s="36" t="str">
        <f aca="false">IF(BE86="","",EDATE(BE86,SG_Criteria!$B$54*12))</f>
        <v/>
      </c>
      <c r="BG86" s="33" t="str">
        <f aca="true">IF(A86="","",IF(BE86="","NOTE: not reviewed yet",IF(TODAY()&gt;BF86,"NOTE: review overdue","OK")))</f>
        <v/>
      </c>
      <c r="BH86" s="37" t="str">
        <f aca="false">IF(A86="","",ROUND((IF(LEN(D86)&gt;0,1,0)+IF(LEN(E86)&gt;0,1,0)+IF(LEN(I86)&gt;0,1,0)+IF(LEN(K86)&gt;0,1,0)+IF(LEN(Q86)&gt;0,1,0)+IF(LEN(S86)&gt;0,1,0)+IF(LEN(T86)&gt;0,1,0)+IF(LEN(U86)&gt;0,1,0)+IF(LEN(V86)&gt;0,1,0)+IF(LEN(AE86)&gt;0,1,0)+IF(LEN(AP86)&gt;0,1,0)+IF(LEN(BC86)&gt;0,1,0))/12,2))</f>
        <v/>
      </c>
      <c r="BI86" s="10" t="str">
        <f aca="false">IF(D86="","",IF(AND(T86="Approved",ISERROR(SEARCH("FAIL",AM86))),"Y","N"))</f>
        <v/>
      </c>
    </row>
    <row r="87" customFormat="false" ht="15" hidden="false" customHeight="false" outlineLevel="0" collapsed="false">
      <c r="A87" s="10" t="str">
        <f aca="false">IF(D87="","",IFERROR(VLOOKUP(D87,Lists!$BI$4:$BJ$20,2,0),"??")&amp;"-"&amp;UPPER(SUBSTITUTE(E87," ",""))&amp;IF(F87&lt;&gt;"","-SP"&amp;TEXT(F87*1000,"0"),"")&amp;IF(G87&lt;&gt;"","-H"&amp;TEXT(G87*1000,"0"),"")&amp;"-"&amp;S87)</f>
        <v/>
      </c>
      <c r="B87" s="10" t="str">
        <f aca="false">IF(D87="","",D87&amp;" - "&amp;E87&amp;IF(F87&lt;&gt;"",", span "&amp;F87&amp;" m","")&amp;IF(G87&lt;&gt;"",", H "&amp;G87&amp;" m","")&amp;IF(H87&lt;&gt;"",", W "&amp;H87&amp;" m",""))</f>
        <v/>
      </c>
      <c r="C87" s="9"/>
      <c r="D87" s="9"/>
      <c r="E87" s="9"/>
      <c r="F87" s="42"/>
      <c r="G87" s="42"/>
      <c r="H87" s="42"/>
      <c r="I87" s="9"/>
      <c r="J87" s="9"/>
      <c r="K87" s="9"/>
      <c r="L87" s="9"/>
      <c r="M87" s="9"/>
      <c r="N87" s="38"/>
      <c r="O87" s="9"/>
      <c r="P87" s="39"/>
      <c r="Q87" s="9"/>
      <c r="R87" s="9"/>
      <c r="S87" s="9"/>
      <c r="T87" s="9"/>
      <c r="U87" s="9"/>
      <c r="V87" s="9"/>
      <c r="W87" s="9"/>
      <c r="X87" s="10" t="str">
        <f aca="false">IF(A87="","",SG_Criteria!$B$6&amp;SG_Criteria!$B$13&amp;"\"&amp;A87&amp;"\")</f>
        <v/>
      </c>
      <c r="Y87" s="10" t="str">
        <f aca="false">IF(A87="","",A87&amp;"_CAD.dwg")</f>
        <v/>
      </c>
      <c r="Z87" s="10" t="str">
        <f aca="false">IF(A87="","",A87&amp;"_DWG.pdf")</f>
        <v/>
      </c>
      <c r="AA87" s="10" t="str">
        <f aca="false">IF(A87="","",IF(W87="Y",A87&amp;"_STAAD.std","n/a"))</f>
        <v/>
      </c>
      <c r="AB87" s="10" t="str">
        <f aca="false">IF(A87="","",A87&amp;"_CALC.xlsx")</f>
        <v/>
      </c>
      <c r="AC87" s="10" t="str">
        <f aca="false">IF(A87="","",A87&amp;"_CALC.pdf")</f>
        <v/>
      </c>
      <c r="AD87" s="9"/>
      <c r="AE87" s="9"/>
      <c r="AF87" s="39"/>
      <c r="AG87" s="39"/>
      <c r="AH87" s="39"/>
      <c r="AI87" s="39"/>
      <c r="AJ87" s="39"/>
      <c r="AK87" s="12" t="str">
        <f aca="false">IF(A87="","",IF(COUNTIF(Rebar_Schedule!$A$5:$A$2004,A87)=0,"",ROUND(SUMIF(Rebar_Schedule!$A$5:$A$2004,A87,Rebar_Schedule!$K$5:$K$2004),1)))</f>
        <v/>
      </c>
      <c r="AL87" s="33" t="str">
        <f aca="false">IF(A87="","",IF(AK87="","No rebar schedule yet",IF(ABS(AK87-N(AG87))/MAX(N(AG87),1)&gt;SG_Criteria!$B$55,"NOTE: register rebar differs from schedule by "&amp;TEXT(ABS(AK87-N(AG87))/MAX(N(AG87),1),"0%"),"OK")))</f>
        <v/>
      </c>
      <c r="AM87" s="33" t="str">
        <f aca="false">IF(D87="","","OK")</f>
        <v/>
      </c>
      <c r="AN87" s="9"/>
      <c r="AO87" s="9"/>
      <c r="AP87" s="9"/>
      <c r="AQ87" s="10" t="str">
        <f aca="false">IF(AP87="","",IFERROR(VLOOKUP(AP87,Projects!$A$5:$D$504,2,0),"Ref not in Projects"))</f>
        <v/>
      </c>
      <c r="AR87" s="10" t="str">
        <f aca="false">IF(AP87="","",IFERROR(VLOOKUP(AP87,Projects!$A$5:$D$504,4,0),"Ref not in Projects"))</f>
        <v/>
      </c>
      <c r="AS87" s="9"/>
      <c r="AT87" s="9"/>
      <c r="AU87" s="9"/>
      <c r="AV87" s="40"/>
      <c r="AW87" s="9"/>
      <c r="AX87" s="40"/>
      <c r="AY87" s="9"/>
      <c r="AZ87" s="40"/>
      <c r="BA87" s="9"/>
      <c r="BB87" s="9"/>
      <c r="BC87" s="9"/>
      <c r="BD87" s="40"/>
      <c r="BE87" s="40"/>
      <c r="BF87" s="36" t="str">
        <f aca="false">IF(BE87="","",EDATE(BE87,SG_Criteria!$B$54*12))</f>
        <v/>
      </c>
      <c r="BG87" s="33" t="str">
        <f aca="true">IF(A87="","",IF(BE87="","NOTE: not reviewed yet",IF(TODAY()&gt;BF87,"NOTE: review overdue","OK")))</f>
        <v/>
      </c>
      <c r="BH87" s="37" t="str">
        <f aca="false">IF(A87="","",ROUND((IF(LEN(D87)&gt;0,1,0)+IF(LEN(E87)&gt;0,1,0)+IF(LEN(I87)&gt;0,1,0)+IF(LEN(K87)&gt;0,1,0)+IF(LEN(Q87)&gt;0,1,0)+IF(LEN(S87)&gt;0,1,0)+IF(LEN(T87)&gt;0,1,0)+IF(LEN(U87)&gt;0,1,0)+IF(LEN(V87)&gt;0,1,0)+IF(LEN(AE87)&gt;0,1,0)+IF(LEN(AP87)&gt;0,1,0)+IF(LEN(BC87)&gt;0,1,0))/12,2))</f>
        <v/>
      </c>
      <c r="BI87" s="10" t="str">
        <f aca="false">IF(D87="","",IF(AND(T87="Approved",ISERROR(SEARCH("FAIL",AM87))),"Y","N"))</f>
        <v/>
      </c>
    </row>
    <row r="88" customFormat="false" ht="15" hidden="false" customHeight="false" outlineLevel="0" collapsed="false">
      <c r="A88" s="10" t="str">
        <f aca="false">IF(D88="","",IFERROR(VLOOKUP(D88,Lists!$BI$4:$BJ$20,2,0),"??")&amp;"-"&amp;UPPER(SUBSTITUTE(E88," ",""))&amp;IF(F88&lt;&gt;"","-SP"&amp;TEXT(F88*1000,"0"),"")&amp;IF(G88&lt;&gt;"","-H"&amp;TEXT(G88*1000,"0"),"")&amp;"-"&amp;S88)</f>
        <v/>
      </c>
      <c r="B88" s="10" t="str">
        <f aca="false">IF(D88="","",D88&amp;" - "&amp;E88&amp;IF(F88&lt;&gt;"",", span "&amp;F88&amp;" m","")&amp;IF(G88&lt;&gt;"",", H "&amp;G88&amp;" m","")&amp;IF(H88&lt;&gt;"",", W "&amp;H88&amp;" m",""))</f>
        <v/>
      </c>
      <c r="C88" s="9"/>
      <c r="D88" s="9"/>
      <c r="E88" s="9"/>
      <c r="F88" s="42"/>
      <c r="G88" s="42"/>
      <c r="H88" s="42"/>
      <c r="I88" s="9"/>
      <c r="J88" s="9"/>
      <c r="K88" s="9"/>
      <c r="L88" s="9"/>
      <c r="M88" s="9"/>
      <c r="N88" s="38"/>
      <c r="O88" s="9"/>
      <c r="P88" s="39"/>
      <c r="Q88" s="9"/>
      <c r="R88" s="9"/>
      <c r="S88" s="9"/>
      <c r="T88" s="9"/>
      <c r="U88" s="9"/>
      <c r="V88" s="9"/>
      <c r="W88" s="9"/>
      <c r="X88" s="10" t="str">
        <f aca="false">IF(A88="","",SG_Criteria!$B$6&amp;SG_Criteria!$B$13&amp;"\"&amp;A88&amp;"\")</f>
        <v/>
      </c>
      <c r="Y88" s="10" t="str">
        <f aca="false">IF(A88="","",A88&amp;"_CAD.dwg")</f>
        <v/>
      </c>
      <c r="Z88" s="10" t="str">
        <f aca="false">IF(A88="","",A88&amp;"_DWG.pdf")</f>
        <v/>
      </c>
      <c r="AA88" s="10" t="str">
        <f aca="false">IF(A88="","",IF(W88="Y",A88&amp;"_STAAD.std","n/a"))</f>
        <v/>
      </c>
      <c r="AB88" s="10" t="str">
        <f aca="false">IF(A88="","",A88&amp;"_CALC.xlsx")</f>
        <v/>
      </c>
      <c r="AC88" s="10" t="str">
        <f aca="false">IF(A88="","",A88&amp;"_CALC.pdf")</f>
        <v/>
      </c>
      <c r="AD88" s="9"/>
      <c r="AE88" s="9"/>
      <c r="AF88" s="39"/>
      <c r="AG88" s="39"/>
      <c r="AH88" s="39"/>
      <c r="AI88" s="39"/>
      <c r="AJ88" s="39"/>
      <c r="AK88" s="12" t="str">
        <f aca="false">IF(A88="","",IF(COUNTIF(Rebar_Schedule!$A$5:$A$2004,A88)=0,"",ROUND(SUMIF(Rebar_Schedule!$A$5:$A$2004,A88,Rebar_Schedule!$K$5:$K$2004),1)))</f>
        <v/>
      </c>
      <c r="AL88" s="33" t="str">
        <f aca="false">IF(A88="","",IF(AK88="","No rebar schedule yet",IF(ABS(AK88-N(AG88))/MAX(N(AG88),1)&gt;SG_Criteria!$B$55,"NOTE: register rebar differs from schedule by "&amp;TEXT(ABS(AK88-N(AG88))/MAX(N(AG88),1),"0%"),"OK")))</f>
        <v/>
      </c>
      <c r="AM88" s="33" t="str">
        <f aca="false">IF(D88="","","OK")</f>
        <v/>
      </c>
      <c r="AN88" s="9"/>
      <c r="AO88" s="9"/>
      <c r="AP88" s="9"/>
      <c r="AQ88" s="10" t="str">
        <f aca="false">IF(AP88="","",IFERROR(VLOOKUP(AP88,Projects!$A$5:$D$504,2,0),"Ref not in Projects"))</f>
        <v/>
      </c>
      <c r="AR88" s="10" t="str">
        <f aca="false">IF(AP88="","",IFERROR(VLOOKUP(AP88,Projects!$A$5:$D$504,4,0),"Ref not in Projects"))</f>
        <v/>
      </c>
      <c r="AS88" s="9"/>
      <c r="AT88" s="9"/>
      <c r="AU88" s="9"/>
      <c r="AV88" s="40"/>
      <c r="AW88" s="9"/>
      <c r="AX88" s="40"/>
      <c r="AY88" s="9"/>
      <c r="AZ88" s="40"/>
      <c r="BA88" s="9"/>
      <c r="BB88" s="9"/>
      <c r="BC88" s="9"/>
      <c r="BD88" s="40"/>
      <c r="BE88" s="40"/>
      <c r="BF88" s="36" t="str">
        <f aca="false">IF(BE88="","",EDATE(BE88,SG_Criteria!$B$54*12))</f>
        <v/>
      </c>
      <c r="BG88" s="33" t="str">
        <f aca="true">IF(A88="","",IF(BE88="","NOTE: not reviewed yet",IF(TODAY()&gt;BF88,"NOTE: review overdue","OK")))</f>
        <v/>
      </c>
      <c r="BH88" s="37" t="str">
        <f aca="false">IF(A88="","",ROUND((IF(LEN(D88)&gt;0,1,0)+IF(LEN(E88)&gt;0,1,0)+IF(LEN(I88)&gt;0,1,0)+IF(LEN(K88)&gt;0,1,0)+IF(LEN(Q88)&gt;0,1,0)+IF(LEN(S88)&gt;0,1,0)+IF(LEN(T88)&gt;0,1,0)+IF(LEN(U88)&gt;0,1,0)+IF(LEN(V88)&gt;0,1,0)+IF(LEN(AE88)&gt;0,1,0)+IF(LEN(AP88)&gt;0,1,0)+IF(LEN(BC88)&gt;0,1,0))/12,2))</f>
        <v/>
      </c>
      <c r="BI88" s="10" t="str">
        <f aca="false">IF(D88="","",IF(AND(T88="Approved",ISERROR(SEARCH("FAIL",AM88))),"Y","N"))</f>
        <v/>
      </c>
    </row>
    <row r="89" customFormat="false" ht="15" hidden="false" customHeight="false" outlineLevel="0" collapsed="false">
      <c r="A89" s="10" t="str">
        <f aca="false">IF(D89="","",IFERROR(VLOOKUP(D89,Lists!$BI$4:$BJ$20,2,0),"??")&amp;"-"&amp;UPPER(SUBSTITUTE(E89," ",""))&amp;IF(F89&lt;&gt;"","-SP"&amp;TEXT(F89*1000,"0"),"")&amp;IF(G89&lt;&gt;"","-H"&amp;TEXT(G89*1000,"0"),"")&amp;"-"&amp;S89)</f>
        <v/>
      </c>
      <c r="B89" s="10" t="str">
        <f aca="false">IF(D89="","",D89&amp;" - "&amp;E89&amp;IF(F89&lt;&gt;"",", span "&amp;F89&amp;" m","")&amp;IF(G89&lt;&gt;"",", H "&amp;G89&amp;" m","")&amp;IF(H89&lt;&gt;"",", W "&amp;H89&amp;" m",""))</f>
        <v/>
      </c>
      <c r="C89" s="9"/>
      <c r="D89" s="9"/>
      <c r="E89" s="9"/>
      <c r="F89" s="42"/>
      <c r="G89" s="42"/>
      <c r="H89" s="42"/>
      <c r="I89" s="9"/>
      <c r="J89" s="9"/>
      <c r="K89" s="9"/>
      <c r="L89" s="9"/>
      <c r="M89" s="9"/>
      <c r="N89" s="38"/>
      <c r="O89" s="9"/>
      <c r="P89" s="39"/>
      <c r="Q89" s="9"/>
      <c r="R89" s="9"/>
      <c r="S89" s="9"/>
      <c r="T89" s="9"/>
      <c r="U89" s="9"/>
      <c r="V89" s="9"/>
      <c r="W89" s="9"/>
      <c r="X89" s="10" t="str">
        <f aca="false">IF(A89="","",SG_Criteria!$B$6&amp;SG_Criteria!$B$13&amp;"\"&amp;A89&amp;"\")</f>
        <v/>
      </c>
      <c r="Y89" s="10" t="str">
        <f aca="false">IF(A89="","",A89&amp;"_CAD.dwg")</f>
        <v/>
      </c>
      <c r="Z89" s="10" t="str">
        <f aca="false">IF(A89="","",A89&amp;"_DWG.pdf")</f>
        <v/>
      </c>
      <c r="AA89" s="10" t="str">
        <f aca="false">IF(A89="","",IF(W89="Y",A89&amp;"_STAAD.std","n/a"))</f>
        <v/>
      </c>
      <c r="AB89" s="10" t="str">
        <f aca="false">IF(A89="","",A89&amp;"_CALC.xlsx")</f>
        <v/>
      </c>
      <c r="AC89" s="10" t="str">
        <f aca="false">IF(A89="","",A89&amp;"_CALC.pdf")</f>
        <v/>
      </c>
      <c r="AD89" s="9"/>
      <c r="AE89" s="9"/>
      <c r="AF89" s="39"/>
      <c r="AG89" s="39"/>
      <c r="AH89" s="39"/>
      <c r="AI89" s="39"/>
      <c r="AJ89" s="39"/>
      <c r="AK89" s="12" t="str">
        <f aca="false">IF(A89="","",IF(COUNTIF(Rebar_Schedule!$A$5:$A$2004,A89)=0,"",ROUND(SUMIF(Rebar_Schedule!$A$5:$A$2004,A89,Rebar_Schedule!$K$5:$K$2004),1)))</f>
        <v/>
      </c>
      <c r="AL89" s="33" t="str">
        <f aca="false">IF(A89="","",IF(AK89="","No rebar schedule yet",IF(ABS(AK89-N(AG89))/MAX(N(AG89),1)&gt;SG_Criteria!$B$55,"NOTE: register rebar differs from schedule by "&amp;TEXT(ABS(AK89-N(AG89))/MAX(N(AG89),1),"0%"),"OK")))</f>
        <v/>
      </c>
      <c r="AM89" s="33" t="str">
        <f aca="false">IF(D89="","","OK")</f>
        <v/>
      </c>
      <c r="AN89" s="9"/>
      <c r="AO89" s="9"/>
      <c r="AP89" s="9"/>
      <c r="AQ89" s="10" t="str">
        <f aca="false">IF(AP89="","",IFERROR(VLOOKUP(AP89,Projects!$A$5:$D$504,2,0),"Ref not in Projects"))</f>
        <v/>
      </c>
      <c r="AR89" s="10" t="str">
        <f aca="false">IF(AP89="","",IFERROR(VLOOKUP(AP89,Projects!$A$5:$D$504,4,0),"Ref not in Projects"))</f>
        <v/>
      </c>
      <c r="AS89" s="9"/>
      <c r="AT89" s="9"/>
      <c r="AU89" s="9"/>
      <c r="AV89" s="40"/>
      <c r="AW89" s="9"/>
      <c r="AX89" s="40"/>
      <c r="AY89" s="9"/>
      <c r="AZ89" s="40"/>
      <c r="BA89" s="9"/>
      <c r="BB89" s="9"/>
      <c r="BC89" s="9"/>
      <c r="BD89" s="40"/>
      <c r="BE89" s="40"/>
      <c r="BF89" s="36" t="str">
        <f aca="false">IF(BE89="","",EDATE(BE89,SG_Criteria!$B$54*12))</f>
        <v/>
      </c>
      <c r="BG89" s="33" t="str">
        <f aca="true">IF(A89="","",IF(BE89="","NOTE: not reviewed yet",IF(TODAY()&gt;BF89,"NOTE: review overdue","OK")))</f>
        <v/>
      </c>
      <c r="BH89" s="37" t="str">
        <f aca="false">IF(A89="","",ROUND((IF(LEN(D89)&gt;0,1,0)+IF(LEN(E89)&gt;0,1,0)+IF(LEN(I89)&gt;0,1,0)+IF(LEN(K89)&gt;0,1,0)+IF(LEN(Q89)&gt;0,1,0)+IF(LEN(S89)&gt;0,1,0)+IF(LEN(T89)&gt;0,1,0)+IF(LEN(U89)&gt;0,1,0)+IF(LEN(V89)&gt;0,1,0)+IF(LEN(AE89)&gt;0,1,0)+IF(LEN(AP89)&gt;0,1,0)+IF(LEN(BC89)&gt;0,1,0))/12,2))</f>
        <v/>
      </c>
      <c r="BI89" s="10" t="str">
        <f aca="false">IF(D89="","",IF(AND(T89="Approved",ISERROR(SEARCH("FAIL",AM89))),"Y","N"))</f>
        <v/>
      </c>
    </row>
    <row r="90" customFormat="false" ht="15" hidden="false" customHeight="false" outlineLevel="0" collapsed="false">
      <c r="A90" s="10" t="str">
        <f aca="false">IF(D90="","",IFERROR(VLOOKUP(D90,Lists!$BI$4:$BJ$20,2,0),"??")&amp;"-"&amp;UPPER(SUBSTITUTE(E90," ",""))&amp;IF(F90&lt;&gt;"","-SP"&amp;TEXT(F90*1000,"0"),"")&amp;IF(G90&lt;&gt;"","-H"&amp;TEXT(G90*1000,"0"),"")&amp;"-"&amp;S90)</f>
        <v/>
      </c>
      <c r="B90" s="10" t="str">
        <f aca="false">IF(D90="","",D90&amp;" - "&amp;E90&amp;IF(F90&lt;&gt;"",", span "&amp;F90&amp;" m","")&amp;IF(G90&lt;&gt;"",", H "&amp;G90&amp;" m","")&amp;IF(H90&lt;&gt;"",", W "&amp;H90&amp;" m",""))</f>
        <v/>
      </c>
      <c r="C90" s="9"/>
      <c r="D90" s="9"/>
      <c r="E90" s="9"/>
      <c r="F90" s="42"/>
      <c r="G90" s="42"/>
      <c r="H90" s="42"/>
      <c r="I90" s="9"/>
      <c r="J90" s="9"/>
      <c r="K90" s="9"/>
      <c r="L90" s="9"/>
      <c r="M90" s="9"/>
      <c r="N90" s="38"/>
      <c r="O90" s="9"/>
      <c r="P90" s="39"/>
      <c r="Q90" s="9"/>
      <c r="R90" s="9"/>
      <c r="S90" s="9"/>
      <c r="T90" s="9"/>
      <c r="U90" s="9"/>
      <c r="V90" s="9"/>
      <c r="W90" s="9"/>
      <c r="X90" s="10" t="str">
        <f aca="false">IF(A90="","",SG_Criteria!$B$6&amp;SG_Criteria!$B$13&amp;"\"&amp;A90&amp;"\")</f>
        <v/>
      </c>
      <c r="Y90" s="10" t="str">
        <f aca="false">IF(A90="","",A90&amp;"_CAD.dwg")</f>
        <v/>
      </c>
      <c r="Z90" s="10" t="str">
        <f aca="false">IF(A90="","",A90&amp;"_DWG.pdf")</f>
        <v/>
      </c>
      <c r="AA90" s="10" t="str">
        <f aca="false">IF(A90="","",IF(W90="Y",A90&amp;"_STAAD.std","n/a"))</f>
        <v/>
      </c>
      <c r="AB90" s="10" t="str">
        <f aca="false">IF(A90="","",A90&amp;"_CALC.xlsx")</f>
        <v/>
      </c>
      <c r="AC90" s="10" t="str">
        <f aca="false">IF(A90="","",A90&amp;"_CALC.pdf")</f>
        <v/>
      </c>
      <c r="AD90" s="9"/>
      <c r="AE90" s="9"/>
      <c r="AF90" s="39"/>
      <c r="AG90" s="39"/>
      <c r="AH90" s="39"/>
      <c r="AI90" s="39"/>
      <c r="AJ90" s="39"/>
      <c r="AK90" s="12" t="str">
        <f aca="false">IF(A90="","",IF(COUNTIF(Rebar_Schedule!$A$5:$A$2004,A90)=0,"",ROUND(SUMIF(Rebar_Schedule!$A$5:$A$2004,A90,Rebar_Schedule!$K$5:$K$2004),1)))</f>
        <v/>
      </c>
      <c r="AL90" s="33" t="str">
        <f aca="false">IF(A90="","",IF(AK90="","No rebar schedule yet",IF(ABS(AK90-N(AG90))/MAX(N(AG90),1)&gt;SG_Criteria!$B$55,"NOTE: register rebar differs from schedule by "&amp;TEXT(ABS(AK90-N(AG90))/MAX(N(AG90),1),"0%"),"OK")))</f>
        <v/>
      </c>
      <c r="AM90" s="33" t="str">
        <f aca="false">IF(D90="","","OK")</f>
        <v/>
      </c>
      <c r="AN90" s="9"/>
      <c r="AO90" s="9"/>
      <c r="AP90" s="9"/>
      <c r="AQ90" s="10" t="str">
        <f aca="false">IF(AP90="","",IFERROR(VLOOKUP(AP90,Projects!$A$5:$D$504,2,0),"Ref not in Projects"))</f>
        <v/>
      </c>
      <c r="AR90" s="10" t="str">
        <f aca="false">IF(AP90="","",IFERROR(VLOOKUP(AP90,Projects!$A$5:$D$504,4,0),"Ref not in Projects"))</f>
        <v/>
      </c>
      <c r="AS90" s="9"/>
      <c r="AT90" s="9"/>
      <c r="AU90" s="9"/>
      <c r="AV90" s="40"/>
      <c r="AW90" s="9"/>
      <c r="AX90" s="40"/>
      <c r="AY90" s="9"/>
      <c r="AZ90" s="40"/>
      <c r="BA90" s="9"/>
      <c r="BB90" s="9"/>
      <c r="BC90" s="9"/>
      <c r="BD90" s="40"/>
      <c r="BE90" s="40"/>
      <c r="BF90" s="36" t="str">
        <f aca="false">IF(BE90="","",EDATE(BE90,SG_Criteria!$B$54*12))</f>
        <v/>
      </c>
      <c r="BG90" s="33" t="str">
        <f aca="true">IF(A90="","",IF(BE90="","NOTE: not reviewed yet",IF(TODAY()&gt;BF90,"NOTE: review overdue","OK")))</f>
        <v/>
      </c>
      <c r="BH90" s="37" t="str">
        <f aca="false">IF(A90="","",ROUND((IF(LEN(D90)&gt;0,1,0)+IF(LEN(E90)&gt;0,1,0)+IF(LEN(I90)&gt;0,1,0)+IF(LEN(K90)&gt;0,1,0)+IF(LEN(Q90)&gt;0,1,0)+IF(LEN(S90)&gt;0,1,0)+IF(LEN(T90)&gt;0,1,0)+IF(LEN(U90)&gt;0,1,0)+IF(LEN(V90)&gt;0,1,0)+IF(LEN(AE90)&gt;0,1,0)+IF(LEN(AP90)&gt;0,1,0)+IF(LEN(BC90)&gt;0,1,0))/12,2))</f>
        <v/>
      </c>
      <c r="BI90" s="10" t="str">
        <f aca="false">IF(D90="","",IF(AND(T90="Approved",ISERROR(SEARCH("FAIL",AM90))),"Y","N"))</f>
        <v/>
      </c>
    </row>
    <row r="91" customFormat="false" ht="15" hidden="false" customHeight="false" outlineLevel="0" collapsed="false">
      <c r="A91" s="10" t="str">
        <f aca="false">IF(D91="","",IFERROR(VLOOKUP(D91,Lists!$BI$4:$BJ$20,2,0),"??")&amp;"-"&amp;UPPER(SUBSTITUTE(E91," ",""))&amp;IF(F91&lt;&gt;"","-SP"&amp;TEXT(F91*1000,"0"),"")&amp;IF(G91&lt;&gt;"","-H"&amp;TEXT(G91*1000,"0"),"")&amp;"-"&amp;S91)</f>
        <v/>
      </c>
      <c r="B91" s="10" t="str">
        <f aca="false">IF(D91="","",D91&amp;" - "&amp;E91&amp;IF(F91&lt;&gt;"",", span "&amp;F91&amp;" m","")&amp;IF(G91&lt;&gt;"",", H "&amp;G91&amp;" m","")&amp;IF(H91&lt;&gt;"",", W "&amp;H91&amp;" m",""))</f>
        <v/>
      </c>
      <c r="C91" s="9"/>
      <c r="D91" s="9"/>
      <c r="E91" s="9"/>
      <c r="F91" s="42"/>
      <c r="G91" s="42"/>
      <c r="H91" s="42"/>
      <c r="I91" s="9"/>
      <c r="J91" s="9"/>
      <c r="K91" s="9"/>
      <c r="L91" s="9"/>
      <c r="M91" s="9"/>
      <c r="N91" s="38"/>
      <c r="O91" s="9"/>
      <c r="P91" s="39"/>
      <c r="Q91" s="9"/>
      <c r="R91" s="9"/>
      <c r="S91" s="9"/>
      <c r="T91" s="9"/>
      <c r="U91" s="9"/>
      <c r="V91" s="9"/>
      <c r="W91" s="9"/>
      <c r="X91" s="10" t="str">
        <f aca="false">IF(A91="","",SG_Criteria!$B$6&amp;SG_Criteria!$B$13&amp;"\"&amp;A91&amp;"\")</f>
        <v/>
      </c>
      <c r="Y91" s="10" t="str">
        <f aca="false">IF(A91="","",A91&amp;"_CAD.dwg")</f>
        <v/>
      </c>
      <c r="Z91" s="10" t="str">
        <f aca="false">IF(A91="","",A91&amp;"_DWG.pdf")</f>
        <v/>
      </c>
      <c r="AA91" s="10" t="str">
        <f aca="false">IF(A91="","",IF(W91="Y",A91&amp;"_STAAD.std","n/a"))</f>
        <v/>
      </c>
      <c r="AB91" s="10" t="str">
        <f aca="false">IF(A91="","",A91&amp;"_CALC.xlsx")</f>
        <v/>
      </c>
      <c r="AC91" s="10" t="str">
        <f aca="false">IF(A91="","",A91&amp;"_CALC.pdf")</f>
        <v/>
      </c>
      <c r="AD91" s="9"/>
      <c r="AE91" s="9"/>
      <c r="AF91" s="39"/>
      <c r="AG91" s="39"/>
      <c r="AH91" s="39"/>
      <c r="AI91" s="39"/>
      <c r="AJ91" s="39"/>
      <c r="AK91" s="12" t="str">
        <f aca="false">IF(A91="","",IF(COUNTIF(Rebar_Schedule!$A$5:$A$2004,A91)=0,"",ROUND(SUMIF(Rebar_Schedule!$A$5:$A$2004,A91,Rebar_Schedule!$K$5:$K$2004),1)))</f>
        <v/>
      </c>
      <c r="AL91" s="33" t="str">
        <f aca="false">IF(A91="","",IF(AK91="","No rebar schedule yet",IF(ABS(AK91-N(AG91))/MAX(N(AG91),1)&gt;SG_Criteria!$B$55,"NOTE: register rebar differs from schedule by "&amp;TEXT(ABS(AK91-N(AG91))/MAX(N(AG91),1),"0%"),"OK")))</f>
        <v/>
      </c>
      <c r="AM91" s="33" t="str">
        <f aca="false">IF(D91="","","OK")</f>
        <v/>
      </c>
      <c r="AN91" s="9"/>
      <c r="AO91" s="9"/>
      <c r="AP91" s="9"/>
      <c r="AQ91" s="10" t="str">
        <f aca="false">IF(AP91="","",IFERROR(VLOOKUP(AP91,Projects!$A$5:$D$504,2,0),"Ref not in Projects"))</f>
        <v/>
      </c>
      <c r="AR91" s="10" t="str">
        <f aca="false">IF(AP91="","",IFERROR(VLOOKUP(AP91,Projects!$A$5:$D$504,4,0),"Ref not in Projects"))</f>
        <v/>
      </c>
      <c r="AS91" s="9"/>
      <c r="AT91" s="9"/>
      <c r="AU91" s="9"/>
      <c r="AV91" s="40"/>
      <c r="AW91" s="9"/>
      <c r="AX91" s="40"/>
      <c r="AY91" s="9"/>
      <c r="AZ91" s="40"/>
      <c r="BA91" s="9"/>
      <c r="BB91" s="9"/>
      <c r="BC91" s="9"/>
      <c r="BD91" s="40"/>
      <c r="BE91" s="40"/>
      <c r="BF91" s="36" t="str">
        <f aca="false">IF(BE91="","",EDATE(BE91,SG_Criteria!$B$54*12))</f>
        <v/>
      </c>
      <c r="BG91" s="33" t="str">
        <f aca="true">IF(A91="","",IF(BE91="","NOTE: not reviewed yet",IF(TODAY()&gt;BF91,"NOTE: review overdue","OK")))</f>
        <v/>
      </c>
      <c r="BH91" s="37" t="str">
        <f aca="false">IF(A91="","",ROUND((IF(LEN(D91)&gt;0,1,0)+IF(LEN(E91)&gt;0,1,0)+IF(LEN(I91)&gt;0,1,0)+IF(LEN(K91)&gt;0,1,0)+IF(LEN(Q91)&gt;0,1,0)+IF(LEN(S91)&gt;0,1,0)+IF(LEN(T91)&gt;0,1,0)+IF(LEN(U91)&gt;0,1,0)+IF(LEN(V91)&gt;0,1,0)+IF(LEN(AE91)&gt;0,1,0)+IF(LEN(AP91)&gt;0,1,0)+IF(LEN(BC91)&gt;0,1,0))/12,2))</f>
        <v/>
      </c>
      <c r="BI91" s="10" t="str">
        <f aca="false">IF(D91="","",IF(AND(T91="Approved",ISERROR(SEARCH("FAIL",AM91))),"Y","N"))</f>
        <v/>
      </c>
    </row>
    <row r="92" customFormat="false" ht="15" hidden="false" customHeight="false" outlineLevel="0" collapsed="false">
      <c r="A92" s="10" t="str">
        <f aca="false">IF(D92="","",IFERROR(VLOOKUP(D92,Lists!$BI$4:$BJ$20,2,0),"??")&amp;"-"&amp;UPPER(SUBSTITUTE(E92," ",""))&amp;IF(F92&lt;&gt;"","-SP"&amp;TEXT(F92*1000,"0"),"")&amp;IF(G92&lt;&gt;"","-H"&amp;TEXT(G92*1000,"0"),"")&amp;"-"&amp;S92)</f>
        <v/>
      </c>
      <c r="B92" s="10" t="str">
        <f aca="false">IF(D92="","",D92&amp;" - "&amp;E92&amp;IF(F92&lt;&gt;"",", span "&amp;F92&amp;" m","")&amp;IF(G92&lt;&gt;"",", H "&amp;G92&amp;" m","")&amp;IF(H92&lt;&gt;"",", W "&amp;H92&amp;" m",""))</f>
        <v/>
      </c>
      <c r="C92" s="9"/>
      <c r="D92" s="9"/>
      <c r="E92" s="9"/>
      <c r="F92" s="42"/>
      <c r="G92" s="42"/>
      <c r="H92" s="42"/>
      <c r="I92" s="9"/>
      <c r="J92" s="9"/>
      <c r="K92" s="9"/>
      <c r="L92" s="9"/>
      <c r="M92" s="9"/>
      <c r="N92" s="38"/>
      <c r="O92" s="9"/>
      <c r="P92" s="39"/>
      <c r="Q92" s="9"/>
      <c r="R92" s="9"/>
      <c r="S92" s="9"/>
      <c r="T92" s="9"/>
      <c r="U92" s="9"/>
      <c r="V92" s="9"/>
      <c r="W92" s="9"/>
      <c r="X92" s="10" t="str">
        <f aca="false">IF(A92="","",SG_Criteria!$B$6&amp;SG_Criteria!$B$13&amp;"\"&amp;A92&amp;"\")</f>
        <v/>
      </c>
      <c r="Y92" s="10" t="str">
        <f aca="false">IF(A92="","",A92&amp;"_CAD.dwg")</f>
        <v/>
      </c>
      <c r="Z92" s="10" t="str">
        <f aca="false">IF(A92="","",A92&amp;"_DWG.pdf")</f>
        <v/>
      </c>
      <c r="AA92" s="10" t="str">
        <f aca="false">IF(A92="","",IF(W92="Y",A92&amp;"_STAAD.std","n/a"))</f>
        <v/>
      </c>
      <c r="AB92" s="10" t="str">
        <f aca="false">IF(A92="","",A92&amp;"_CALC.xlsx")</f>
        <v/>
      </c>
      <c r="AC92" s="10" t="str">
        <f aca="false">IF(A92="","",A92&amp;"_CALC.pdf")</f>
        <v/>
      </c>
      <c r="AD92" s="9"/>
      <c r="AE92" s="9"/>
      <c r="AF92" s="39"/>
      <c r="AG92" s="39"/>
      <c r="AH92" s="39"/>
      <c r="AI92" s="39"/>
      <c r="AJ92" s="39"/>
      <c r="AK92" s="12" t="str">
        <f aca="false">IF(A92="","",IF(COUNTIF(Rebar_Schedule!$A$5:$A$2004,A92)=0,"",ROUND(SUMIF(Rebar_Schedule!$A$5:$A$2004,A92,Rebar_Schedule!$K$5:$K$2004),1)))</f>
        <v/>
      </c>
      <c r="AL92" s="33" t="str">
        <f aca="false">IF(A92="","",IF(AK92="","No rebar schedule yet",IF(ABS(AK92-N(AG92))/MAX(N(AG92),1)&gt;SG_Criteria!$B$55,"NOTE: register rebar differs from schedule by "&amp;TEXT(ABS(AK92-N(AG92))/MAX(N(AG92),1),"0%"),"OK")))</f>
        <v/>
      </c>
      <c r="AM92" s="33" t="str">
        <f aca="false">IF(D92="","","OK")</f>
        <v/>
      </c>
      <c r="AN92" s="9"/>
      <c r="AO92" s="9"/>
      <c r="AP92" s="9"/>
      <c r="AQ92" s="10" t="str">
        <f aca="false">IF(AP92="","",IFERROR(VLOOKUP(AP92,Projects!$A$5:$D$504,2,0),"Ref not in Projects"))</f>
        <v/>
      </c>
      <c r="AR92" s="10" t="str">
        <f aca="false">IF(AP92="","",IFERROR(VLOOKUP(AP92,Projects!$A$5:$D$504,4,0),"Ref not in Projects"))</f>
        <v/>
      </c>
      <c r="AS92" s="9"/>
      <c r="AT92" s="9"/>
      <c r="AU92" s="9"/>
      <c r="AV92" s="40"/>
      <c r="AW92" s="9"/>
      <c r="AX92" s="40"/>
      <c r="AY92" s="9"/>
      <c r="AZ92" s="40"/>
      <c r="BA92" s="9"/>
      <c r="BB92" s="9"/>
      <c r="BC92" s="9"/>
      <c r="BD92" s="40"/>
      <c r="BE92" s="40"/>
      <c r="BF92" s="36" t="str">
        <f aca="false">IF(BE92="","",EDATE(BE92,SG_Criteria!$B$54*12))</f>
        <v/>
      </c>
      <c r="BG92" s="33" t="str">
        <f aca="true">IF(A92="","",IF(BE92="","NOTE: not reviewed yet",IF(TODAY()&gt;BF92,"NOTE: review overdue","OK")))</f>
        <v/>
      </c>
      <c r="BH92" s="37" t="str">
        <f aca="false">IF(A92="","",ROUND((IF(LEN(D92)&gt;0,1,0)+IF(LEN(E92)&gt;0,1,0)+IF(LEN(I92)&gt;0,1,0)+IF(LEN(K92)&gt;0,1,0)+IF(LEN(Q92)&gt;0,1,0)+IF(LEN(S92)&gt;0,1,0)+IF(LEN(T92)&gt;0,1,0)+IF(LEN(U92)&gt;0,1,0)+IF(LEN(V92)&gt;0,1,0)+IF(LEN(AE92)&gt;0,1,0)+IF(LEN(AP92)&gt;0,1,0)+IF(LEN(BC92)&gt;0,1,0))/12,2))</f>
        <v/>
      </c>
      <c r="BI92" s="10" t="str">
        <f aca="false">IF(D92="","",IF(AND(T92="Approved",ISERROR(SEARCH("FAIL",AM92))),"Y","N"))</f>
        <v/>
      </c>
    </row>
    <row r="93" customFormat="false" ht="15" hidden="false" customHeight="false" outlineLevel="0" collapsed="false">
      <c r="A93" s="10" t="str">
        <f aca="false">IF(D93="","",IFERROR(VLOOKUP(D93,Lists!$BI$4:$BJ$20,2,0),"??")&amp;"-"&amp;UPPER(SUBSTITUTE(E93," ",""))&amp;IF(F93&lt;&gt;"","-SP"&amp;TEXT(F93*1000,"0"),"")&amp;IF(G93&lt;&gt;"","-H"&amp;TEXT(G93*1000,"0"),"")&amp;"-"&amp;S93)</f>
        <v/>
      </c>
      <c r="B93" s="10" t="str">
        <f aca="false">IF(D93="","",D93&amp;" - "&amp;E93&amp;IF(F93&lt;&gt;"",", span "&amp;F93&amp;" m","")&amp;IF(G93&lt;&gt;"",", H "&amp;G93&amp;" m","")&amp;IF(H93&lt;&gt;"",", W "&amp;H93&amp;" m",""))</f>
        <v/>
      </c>
      <c r="C93" s="9"/>
      <c r="D93" s="9"/>
      <c r="E93" s="9"/>
      <c r="F93" s="42"/>
      <c r="G93" s="42"/>
      <c r="H93" s="42"/>
      <c r="I93" s="9"/>
      <c r="J93" s="9"/>
      <c r="K93" s="9"/>
      <c r="L93" s="9"/>
      <c r="M93" s="9"/>
      <c r="N93" s="38"/>
      <c r="O93" s="9"/>
      <c r="P93" s="39"/>
      <c r="Q93" s="9"/>
      <c r="R93" s="9"/>
      <c r="S93" s="9"/>
      <c r="T93" s="9"/>
      <c r="U93" s="9"/>
      <c r="V93" s="9"/>
      <c r="W93" s="9"/>
      <c r="X93" s="10" t="str">
        <f aca="false">IF(A93="","",SG_Criteria!$B$6&amp;SG_Criteria!$B$13&amp;"\"&amp;A93&amp;"\")</f>
        <v/>
      </c>
      <c r="Y93" s="10" t="str">
        <f aca="false">IF(A93="","",A93&amp;"_CAD.dwg")</f>
        <v/>
      </c>
      <c r="Z93" s="10" t="str">
        <f aca="false">IF(A93="","",A93&amp;"_DWG.pdf")</f>
        <v/>
      </c>
      <c r="AA93" s="10" t="str">
        <f aca="false">IF(A93="","",IF(W93="Y",A93&amp;"_STAAD.std","n/a"))</f>
        <v/>
      </c>
      <c r="AB93" s="10" t="str">
        <f aca="false">IF(A93="","",A93&amp;"_CALC.xlsx")</f>
        <v/>
      </c>
      <c r="AC93" s="10" t="str">
        <f aca="false">IF(A93="","",A93&amp;"_CALC.pdf")</f>
        <v/>
      </c>
      <c r="AD93" s="9"/>
      <c r="AE93" s="9"/>
      <c r="AF93" s="39"/>
      <c r="AG93" s="39"/>
      <c r="AH93" s="39"/>
      <c r="AI93" s="39"/>
      <c r="AJ93" s="39"/>
      <c r="AK93" s="12" t="str">
        <f aca="false">IF(A93="","",IF(COUNTIF(Rebar_Schedule!$A$5:$A$2004,A93)=0,"",ROUND(SUMIF(Rebar_Schedule!$A$5:$A$2004,A93,Rebar_Schedule!$K$5:$K$2004),1)))</f>
        <v/>
      </c>
      <c r="AL93" s="33" t="str">
        <f aca="false">IF(A93="","",IF(AK93="","No rebar schedule yet",IF(ABS(AK93-N(AG93))/MAX(N(AG93),1)&gt;SG_Criteria!$B$55,"NOTE: register rebar differs from schedule by "&amp;TEXT(ABS(AK93-N(AG93))/MAX(N(AG93),1),"0%"),"OK")))</f>
        <v/>
      </c>
      <c r="AM93" s="33" t="str">
        <f aca="false">IF(D93="","","OK")</f>
        <v/>
      </c>
      <c r="AN93" s="9"/>
      <c r="AO93" s="9"/>
      <c r="AP93" s="9"/>
      <c r="AQ93" s="10" t="str">
        <f aca="false">IF(AP93="","",IFERROR(VLOOKUP(AP93,Projects!$A$5:$D$504,2,0),"Ref not in Projects"))</f>
        <v/>
      </c>
      <c r="AR93" s="10" t="str">
        <f aca="false">IF(AP93="","",IFERROR(VLOOKUP(AP93,Projects!$A$5:$D$504,4,0),"Ref not in Projects"))</f>
        <v/>
      </c>
      <c r="AS93" s="9"/>
      <c r="AT93" s="9"/>
      <c r="AU93" s="9"/>
      <c r="AV93" s="40"/>
      <c r="AW93" s="9"/>
      <c r="AX93" s="40"/>
      <c r="AY93" s="9"/>
      <c r="AZ93" s="40"/>
      <c r="BA93" s="9"/>
      <c r="BB93" s="9"/>
      <c r="BC93" s="9"/>
      <c r="BD93" s="40"/>
      <c r="BE93" s="40"/>
      <c r="BF93" s="36" t="str">
        <f aca="false">IF(BE93="","",EDATE(BE93,SG_Criteria!$B$54*12))</f>
        <v/>
      </c>
      <c r="BG93" s="33" t="str">
        <f aca="true">IF(A93="","",IF(BE93="","NOTE: not reviewed yet",IF(TODAY()&gt;BF93,"NOTE: review overdue","OK")))</f>
        <v/>
      </c>
      <c r="BH93" s="37" t="str">
        <f aca="false">IF(A93="","",ROUND((IF(LEN(D93)&gt;0,1,0)+IF(LEN(E93)&gt;0,1,0)+IF(LEN(I93)&gt;0,1,0)+IF(LEN(K93)&gt;0,1,0)+IF(LEN(Q93)&gt;0,1,0)+IF(LEN(S93)&gt;0,1,0)+IF(LEN(T93)&gt;0,1,0)+IF(LEN(U93)&gt;0,1,0)+IF(LEN(V93)&gt;0,1,0)+IF(LEN(AE93)&gt;0,1,0)+IF(LEN(AP93)&gt;0,1,0)+IF(LEN(BC93)&gt;0,1,0))/12,2))</f>
        <v/>
      </c>
      <c r="BI93" s="10" t="str">
        <f aca="false">IF(D93="","",IF(AND(T93="Approved",ISERROR(SEARCH("FAIL",AM93))),"Y","N"))</f>
        <v/>
      </c>
    </row>
    <row r="94" customFormat="false" ht="15" hidden="false" customHeight="false" outlineLevel="0" collapsed="false">
      <c r="A94" s="10" t="str">
        <f aca="false">IF(D94="","",IFERROR(VLOOKUP(D94,Lists!$BI$4:$BJ$20,2,0),"??")&amp;"-"&amp;UPPER(SUBSTITUTE(E94," ",""))&amp;IF(F94&lt;&gt;"","-SP"&amp;TEXT(F94*1000,"0"),"")&amp;IF(G94&lt;&gt;"","-H"&amp;TEXT(G94*1000,"0"),"")&amp;"-"&amp;S94)</f>
        <v/>
      </c>
      <c r="B94" s="10" t="str">
        <f aca="false">IF(D94="","",D94&amp;" - "&amp;E94&amp;IF(F94&lt;&gt;"",", span "&amp;F94&amp;" m","")&amp;IF(G94&lt;&gt;"",", H "&amp;G94&amp;" m","")&amp;IF(H94&lt;&gt;"",", W "&amp;H94&amp;" m",""))</f>
        <v/>
      </c>
      <c r="C94" s="9"/>
      <c r="D94" s="9"/>
      <c r="E94" s="9"/>
      <c r="F94" s="42"/>
      <c r="G94" s="42"/>
      <c r="H94" s="42"/>
      <c r="I94" s="9"/>
      <c r="J94" s="9"/>
      <c r="K94" s="9"/>
      <c r="L94" s="9"/>
      <c r="M94" s="9"/>
      <c r="N94" s="38"/>
      <c r="O94" s="9"/>
      <c r="P94" s="39"/>
      <c r="Q94" s="9"/>
      <c r="R94" s="9"/>
      <c r="S94" s="9"/>
      <c r="T94" s="9"/>
      <c r="U94" s="9"/>
      <c r="V94" s="9"/>
      <c r="W94" s="9"/>
      <c r="X94" s="10" t="str">
        <f aca="false">IF(A94="","",SG_Criteria!$B$6&amp;SG_Criteria!$B$13&amp;"\"&amp;A94&amp;"\")</f>
        <v/>
      </c>
      <c r="Y94" s="10" t="str">
        <f aca="false">IF(A94="","",A94&amp;"_CAD.dwg")</f>
        <v/>
      </c>
      <c r="Z94" s="10" t="str">
        <f aca="false">IF(A94="","",A94&amp;"_DWG.pdf")</f>
        <v/>
      </c>
      <c r="AA94" s="10" t="str">
        <f aca="false">IF(A94="","",IF(W94="Y",A94&amp;"_STAAD.std","n/a"))</f>
        <v/>
      </c>
      <c r="AB94" s="10" t="str">
        <f aca="false">IF(A94="","",A94&amp;"_CALC.xlsx")</f>
        <v/>
      </c>
      <c r="AC94" s="10" t="str">
        <f aca="false">IF(A94="","",A94&amp;"_CALC.pdf")</f>
        <v/>
      </c>
      <c r="AD94" s="9"/>
      <c r="AE94" s="9"/>
      <c r="AF94" s="39"/>
      <c r="AG94" s="39"/>
      <c r="AH94" s="39"/>
      <c r="AI94" s="39"/>
      <c r="AJ94" s="39"/>
      <c r="AK94" s="12" t="str">
        <f aca="false">IF(A94="","",IF(COUNTIF(Rebar_Schedule!$A$5:$A$2004,A94)=0,"",ROUND(SUMIF(Rebar_Schedule!$A$5:$A$2004,A94,Rebar_Schedule!$K$5:$K$2004),1)))</f>
        <v/>
      </c>
      <c r="AL94" s="33" t="str">
        <f aca="false">IF(A94="","",IF(AK94="","No rebar schedule yet",IF(ABS(AK94-N(AG94))/MAX(N(AG94),1)&gt;SG_Criteria!$B$55,"NOTE: register rebar differs from schedule by "&amp;TEXT(ABS(AK94-N(AG94))/MAX(N(AG94),1),"0%"),"OK")))</f>
        <v/>
      </c>
      <c r="AM94" s="33" t="str">
        <f aca="false">IF(D94="","","OK")</f>
        <v/>
      </c>
      <c r="AN94" s="9"/>
      <c r="AO94" s="9"/>
      <c r="AP94" s="9"/>
      <c r="AQ94" s="10" t="str">
        <f aca="false">IF(AP94="","",IFERROR(VLOOKUP(AP94,Projects!$A$5:$D$504,2,0),"Ref not in Projects"))</f>
        <v/>
      </c>
      <c r="AR94" s="10" t="str">
        <f aca="false">IF(AP94="","",IFERROR(VLOOKUP(AP94,Projects!$A$5:$D$504,4,0),"Ref not in Projects"))</f>
        <v/>
      </c>
      <c r="AS94" s="9"/>
      <c r="AT94" s="9"/>
      <c r="AU94" s="9"/>
      <c r="AV94" s="40"/>
      <c r="AW94" s="9"/>
      <c r="AX94" s="40"/>
      <c r="AY94" s="9"/>
      <c r="AZ94" s="40"/>
      <c r="BA94" s="9"/>
      <c r="BB94" s="9"/>
      <c r="BC94" s="9"/>
      <c r="BD94" s="40"/>
      <c r="BE94" s="40"/>
      <c r="BF94" s="36" t="str">
        <f aca="false">IF(BE94="","",EDATE(BE94,SG_Criteria!$B$54*12))</f>
        <v/>
      </c>
      <c r="BG94" s="33" t="str">
        <f aca="true">IF(A94="","",IF(BE94="","NOTE: not reviewed yet",IF(TODAY()&gt;BF94,"NOTE: review overdue","OK")))</f>
        <v/>
      </c>
      <c r="BH94" s="37" t="str">
        <f aca="false">IF(A94="","",ROUND((IF(LEN(D94)&gt;0,1,0)+IF(LEN(E94)&gt;0,1,0)+IF(LEN(I94)&gt;0,1,0)+IF(LEN(K94)&gt;0,1,0)+IF(LEN(Q94)&gt;0,1,0)+IF(LEN(S94)&gt;0,1,0)+IF(LEN(T94)&gt;0,1,0)+IF(LEN(U94)&gt;0,1,0)+IF(LEN(V94)&gt;0,1,0)+IF(LEN(AE94)&gt;0,1,0)+IF(LEN(AP94)&gt;0,1,0)+IF(LEN(BC94)&gt;0,1,0))/12,2))</f>
        <v/>
      </c>
      <c r="BI94" s="10" t="str">
        <f aca="false">IF(D94="","",IF(AND(T94="Approved",ISERROR(SEARCH("FAIL",AM94))),"Y","N"))</f>
        <v/>
      </c>
    </row>
    <row r="95" customFormat="false" ht="15" hidden="false" customHeight="false" outlineLevel="0" collapsed="false">
      <c r="A95" s="10" t="str">
        <f aca="false">IF(D95="","",IFERROR(VLOOKUP(D95,Lists!$BI$4:$BJ$20,2,0),"??")&amp;"-"&amp;UPPER(SUBSTITUTE(E95," ",""))&amp;IF(F95&lt;&gt;"","-SP"&amp;TEXT(F95*1000,"0"),"")&amp;IF(G95&lt;&gt;"","-H"&amp;TEXT(G95*1000,"0"),"")&amp;"-"&amp;S95)</f>
        <v/>
      </c>
      <c r="B95" s="10" t="str">
        <f aca="false">IF(D95="","",D95&amp;" - "&amp;E95&amp;IF(F95&lt;&gt;"",", span "&amp;F95&amp;" m","")&amp;IF(G95&lt;&gt;"",", H "&amp;G95&amp;" m","")&amp;IF(H95&lt;&gt;"",", W "&amp;H95&amp;" m",""))</f>
        <v/>
      </c>
      <c r="C95" s="9"/>
      <c r="D95" s="9"/>
      <c r="E95" s="9"/>
      <c r="F95" s="42"/>
      <c r="G95" s="42"/>
      <c r="H95" s="42"/>
      <c r="I95" s="9"/>
      <c r="J95" s="9"/>
      <c r="K95" s="9"/>
      <c r="L95" s="9"/>
      <c r="M95" s="9"/>
      <c r="N95" s="38"/>
      <c r="O95" s="9"/>
      <c r="P95" s="39"/>
      <c r="Q95" s="9"/>
      <c r="R95" s="9"/>
      <c r="S95" s="9"/>
      <c r="T95" s="9"/>
      <c r="U95" s="9"/>
      <c r="V95" s="9"/>
      <c r="W95" s="9"/>
      <c r="X95" s="10" t="str">
        <f aca="false">IF(A95="","",SG_Criteria!$B$6&amp;SG_Criteria!$B$13&amp;"\"&amp;A95&amp;"\")</f>
        <v/>
      </c>
      <c r="Y95" s="10" t="str">
        <f aca="false">IF(A95="","",A95&amp;"_CAD.dwg")</f>
        <v/>
      </c>
      <c r="Z95" s="10" t="str">
        <f aca="false">IF(A95="","",A95&amp;"_DWG.pdf")</f>
        <v/>
      </c>
      <c r="AA95" s="10" t="str">
        <f aca="false">IF(A95="","",IF(W95="Y",A95&amp;"_STAAD.std","n/a"))</f>
        <v/>
      </c>
      <c r="AB95" s="10" t="str">
        <f aca="false">IF(A95="","",A95&amp;"_CALC.xlsx")</f>
        <v/>
      </c>
      <c r="AC95" s="10" t="str">
        <f aca="false">IF(A95="","",A95&amp;"_CALC.pdf")</f>
        <v/>
      </c>
      <c r="AD95" s="9"/>
      <c r="AE95" s="9"/>
      <c r="AF95" s="39"/>
      <c r="AG95" s="39"/>
      <c r="AH95" s="39"/>
      <c r="AI95" s="39"/>
      <c r="AJ95" s="39"/>
      <c r="AK95" s="12" t="str">
        <f aca="false">IF(A95="","",IF(COUNTIF(Rebar_Schedule!$A$5:$A$2004,A95)=0,"",ROUND(SUMIF(Rebar_Schedule!$A$5:$A$2004,A95,Rebar_Schedule!$K$5:$K$2004),1)))</f>
        <v/>
      </c>
      <c r="AL95" s="33" t="str">
        <f aca="false">IF(A95="","",IF(AK95="","No rebar schedule yet",IF(ABS(AK95-N(AG95))/MAX(N(AG95),1)&gt;SG_Criteria!$B$55,"NOTE: register rebar differs from schedule by "&amp;TEXT(ABS(AK95-N(AG95))/MAX(N(AG95),1),"0%"),"OK")))</f>
        <v/>
      </c>
      <c r="AM95" s="33" t="str">
        <f aca="false">IF(D95="","","OK")</f>
        <v/>
      </c>
      <c r="AN95" s="9"/>
      <c r="AO95" s="9"/>
      <c r="AP95" s="9"/>
      <c r="AQ95" s="10" t="str">
        <f aca="false">IF(AP95="","",IFERROR(VLOOKUP(AP95,Projects!$A$5:$D$504,2,0),"Ref not in Projects"))</f>
        <v/>
      </c>
      <c r="AR95" s="10" t="str">
        <f aca="false">IF(AP95="","",IFERROR(VLOOKUP(AP95,Projects!$A$5:$D$504,4,0),"Ref not in Projects"))</f>
        <v/>
      </c>
      <c r="AS95" s="9"/>
      <c r="AT95" s="9"/>
      <c r="AU95" s="9"/>
      <c r="AV95" s="40"/>
      <c r="AW95" s="9"/>
      <c r="AX95" s="40"/>
      <c r="AY95" s="9"/>
      <c r="AZ95" s="40"/>
      <c r="BA95" s="9"/>
      <c r="BB95" s="9"/>
      <c r="BC95" s="9"/>
      <c r="BD95" s="40"/>
      <c r="BE95" s="40"/>
      <c r="BF95" s="36" t="str">
        <f aca="false">IF(BE95="","",EDATE(BE95,SG_Criteria!$B$54*12))</f>
        <v/>
      </c>
      <c r="BG95" s="33" t="str">
        <f aca="true">IF(A95="","",IF(BE95="","NOTE: not reviewed yet",IF(TODAY()&gt;BF95,"NOTE: review overdue","OK")))</f>
        <v/>
      </c>
      <c r="BH95" s="37" t="str">
        <f aca="false">IF(A95="","",ROUND((IF(LEN(D95)&gt;0,1,0)+IF(LEN(E95)&gt;0,1,0)+IF(LEN(I95)&gt;0,1,0)+IF(LEN(K95)&gt;0,1,0)+IF(LEN(Q95)&gt;0,1,0)+IF(LEN(S95)&gt;0,1,0)+IF(LEN(T95)&gt;0,1,0)+IF(LEN(U95)&gt;0,1,0)+IF(LEN(V95)&gt;0,1,0)+IF(LEN(AE95)&gt;0,1,0)+IF(LEN(AP95)&gt;0,1,0)+IF(LEN(BC95)&gt;0,1,0))/12,2))</f>
        <v/>
      </c>
      <c r="BI95" s="10" t="str">
        <f aca="false">IF(D95="","",IF(AND(T95="Approved",ISERROR(SEARCH("FAIL",AM95))),"Y","N"))</f>
        <v/>
      </c>
    </row>
    <row r="96" customFormat="false" ht="15" hidden="false" customHeight="false" outlineLevel="0" collapsed="false">
      <c r="A96" s="10" t="str">
        <f aca="false">IF(D96="","",IFERROR(VLOOKUP(D96,Lists!$BI$4:$BJ$20,2,0),"??")&amp;"-"&amp;UPPER(SUBSTITUTE(E96," ",""))&amp;IF(F96&lt;&gt;"","-SP"&amp;TEXT(F96*1000,"0"),"")&amp;IF(G96&lt;&gt;"","-H"&amp;TEXT(G96*1000,"0"),"")&amp;"-"&amp;S96)</f>
        <v/>
      </c>
      <c r="B96" s="10" t="str">
        <f aca="false">IF(D96="","",D96&amp;" - "&amp;E96&amp;IF(F96&lt;&gt;"",", span "&amp;F96&amp;" m","")&amp;IF(G96&lt;&gt;"",", H "&amp;G96&amp;" m","")&amp;IF(H96&lt;&gt;"",", W "&amp;H96&amp;" m",""))</f>
        <v/>
      </c>
      <c r="C96" s="9"/>
      <c r="D96" s="9"/>
      <c r="E96" s="9"/>
      <c r="F96" s="42"/>
      <c r="G96" s="42"/>
      <c r="H96" s="42"/>
      <c r="I96" s="9"/>
      <c r="J96" s="9"/>
      <c r="K96" s="9"/>
      <c r="L96" s="9"/>
      <c r="M96" s="9"/>
      <c r="N96" s="38"/>
      <c r="O96" s="9"/>
      <c r="P96" s="39"/>
      <c r="Q96" s="9"/>
      <c r="R96" s="9"/>
      <c r="S96" s="9"/>
      <c r="T96" s="9"/>
      <c r="U96" s="9"/>
      <c r="V96" s="9"/>
      <c r="W96" s="9"/>
      <c r="X96" s="10" t="str">
        <f aca="false">IF(A96="","",SG_Criteria!$B$6&amp;SG_Criteria!$B$13&amp;"\"&amp;A96&amp;"\")</f>
        <v/>
      </c>
      <c r="Y96" s="10" t="str">
        <f aca="false">IF(A96="","",A96&amp;"_CAD.dwg")</f>
        <v/>
      </c>
      <c r="Z96" s="10" t="str">
        <f aca="false">IF(A96="","",A96&amp;"_DWG.pdf")</f>
        <v/>
      </c>
      <c r="AA96" s="10" t="str">
        <f aca="false">IF(A96="","",IF(W96="Y",A96&amp;"_STAAD.std","n/a"))</f>
        <v/>
      </c>
      <c r="AB96" s="10" t="str">
        <f aca="false">IF(A96="","",A96&amp;"_CALC.xlsx")</f>
        <v/>
      </c>
      <c r="AC96" s="10" t="str">
        <f aca="false">IF(A96="","",A96&amp;"_CALC.pdf")</f>
        <v/>
      </c>
      <c r="AD96" s="9"/>
      <c r="AE96" s="9"/>
      <c r="AF96" s="39"/>
      <c r="AG96" s="39"/>
      <c r="AH96" s="39"/>
      <c r="AI96" s="39"/>
      <c r="AJ96" s="39"/>
      <c r="AK96" s="12" t="str">
        <f aca="false">IF(A96="","",IF(COUNTIF(Rebar_Schedule!$A$5:$A$2004,A96)=0,"",ROUND(SUMIF(Rebar_Schedule!$A$5:$A$2004,A96,Rebar_Schedule!$K$5:$K$2004),1)))</f>
        <v/>
      </c>
      <c r="AL96" s="33" t="str">
        <f aca="false">IF(A96="","",IF(AK96="","No rebar schedule yet",IF(ABS(AK96-N(AG96))/MAX(N(AG96),1)&gt;SG_Criteria!$B$55,"NOTE: register rebar differs from schedule by "&amp;TEXT(ABS(AK96-N(AG96))/MAX(N(AG96),1),"0%"),"OK")))</f>
        <v/>
      </c>
      <c r="AM96" s="33" t="str">
        <f aca="false">IF(D96="","","OK")</f>
        <v/>
      </c>
      <c r="AN96" s="9"/>
      <c r="AO96" s="9"/>
      <c r="AP96" s="9"/>
      <c r="AQ96" s="10" t="str">
        <f aca="false">IF(AP96="","",IFERROR(VLOOKUP(AP96,Projects!$A$5:$D$504,2,0),"Ref not in Projects"))</f>
        <v/>
      </c>
      <c r="AR96" s="10" t="str">
        <f aca="false">IF(AP96="","",IFERROR(VLOOKUP(AP96,Projects!$A$5:$D$504,4,0),"Ref not in Projects"))</f>
        <v/>
      </c>
      <c r="AS96" s="9"/>
      <c r="AT96" s="9"/>
      <c r="AU96" s="9"/>
      <c r="AV96" s="40"/>
      <c r="AW96" s="9"/>
      <c r="AX96" s="40"/>
      <c r="AY96" s="9"/>
      <c r="AZ96" s="40"/>
      <c r="BA96" s="9"/>
      <c r="BB96" s="9"/>
      <c r="BC96" s="9"/>
      <c r="BD96" s="40"/>
      <c r="BE96" s="40"/>
      <c r="BF96" s="36" t="str">
        <f aca="false">IF(BE96="","",EDATE(BE96,SG_Criteria!$B$54*12))</f>
        <v/>
      </c>
      <c r="BG96" s="33" t="str">
        <f aca="true">IF(A96="","",IF(BE96="","NOTE: not reviewed yet",IF(TODAY()&gt;BF96,"NOTE: review overdue","OK")))</f>
        <v/>
      </c>
      <c r="BH96" s="37" t="str">
        <f aca="false">IF(A96="","",ROUND((IF(LEN(D96)&gt;0,1,0)+IF(LEN(E96)&gt;0,1,0)+IF(LEN(I96)&gt;0,1,0)+IF(LEN(K96)&gt;0,1,0)+IF(LEN(Q96)&gt;0,1,0)+IF(LEN(S96)&gt;0,1,0)+IF(LEN(T96)&gt;0,1,0)+IF(LEN(U96)&gt;0,1,0)+IF(LEN(V96)&gt;0,1,0)+IF(LEN(AE96)&gt;0,1,0)+IF(LEN(AP96)&gt;0,1,0)+IF(LEN(BC96)&gt;0,1,0))/12,2))</f>
        <v/>
      </c>
      <c r="BI96" s="10" t="str">
        <f aca="false">IF(D96="","",IF(AND(T96="Approved",ISERROR(SEARCH("FAIL",AM96))),"Y","N"))</f>
        <v/>
      </c>
    </row>
    <row r="97" customFormat="false" ht="15" hidden="false" customHeight="false" outlineLevel="0" collapsed="false">
      <c r="A97" s="10" t="str">
        <f aca="false">IF(D97="","",IFERROR(VLOOKUP(D97,Lists!$BI$4:$BJ$20,2,0),"??")&amp;"-"&amp;UPPER(SUBSTITUTE(E97," ",""))&amp;IF(F97&lt;&gt;"","-SP"&amp;TEXT(F97*1000,"0"),"")&amp;IF(G97&lt;&gt;"","-H"&amp;TEXT(G97*1000,"0"),"")&amp;"-"&amp;S97)</f>
        <v/>
      </c>
      <c r="B97" s="10" t="str">
        <f aca="false">IF(D97="","",D97&amp;" - "&amp;E97&amp;IF(F97&lt;&gt;"",", span "&amp;F97&amp;" m","")&amp;IF(G97&lt;&gt;"",", H "&amp;G97&amp;" m","")&amp;IF(H97&lt;&gt;"",", W "&amp;H97&amp;" m",""))</f>
        <v/>
      </c>
      <c r="C97" s="9"/>
      <c r="D97" s="9"/>
      <c r="E97" s="9"/>
      <c r="F97" s="42"/>
      <c r="G97" s="42"/>
      <c r="H97" s="42"/>
      <c r="I97" s="9"/>
      <c r="J97" s="9"/>
      <c r="K97" s="9"/>
      <c r="L97" s="9"/>
      <c r="M97" s="9"/>
      <c r="N97" s="38"/>
      <c r="O97" s="9"/>
      <c r="P97" s="39"/>
      <c r="Q97" s="9"/>
      <c r="R97" s="9"/>
      <c r="S97" s="9"/>
      <c r="T97" s="9"/>
      <c r="U97" s="9"/>
      <c r="V97" s="9"/>
      <c r="W97" s="9"/>
      <c r="X97" s="10" t="str">
        <f aca="false">IF(A97="","",SG_Criteria!$B$6&amp;SG_Criteria!$B$13&amp;"\"&amp;A97&amp;"\")</f>
        <v/>
      </c>
      <c r="Y97" s="10" t="str">
        <f aca="false">IF(A97="","",A97&amp;"_CAD.dwg")</f>
        <v/>
      </c>
      <c r="Z97" s="10" t="str">
        <f aca="false">IF(A97="","",A97&amp;"_DWG.pdf")</f>
        <v/>
      </c>
      <c r="AA97" s="10" t="str">
        <f aca="false">IF(A97="","",IF(W97="Y",A97&amp;"_STAAD.std","n/a"))</f>
        <v/>
      </c>
      <c r="AB97" s="10" t="str">
        <f aca="false">IF(A97="","",A97&amp;"_CALC.xlsx")</f>
        <v/>
      </c>
      <c r="AC97" s="10" t="str">
        <f aca="false">IF(A97="","",A97&amp;"_CALC.pdf")</f>
        <v/>
      </c>
      <c r="AD97" s="9"/>
      <c r="AE97" s="9"/>
      <c r="AF97" s="39"/>
      <c r="AG97" s="39"/>
      <c r="AH97" s="39"/>
      <c r="AI97" s="39"/>
      <c r="AJ97" s="39"/>
      <c r="AK97" s="12" t="str">
        <f aca="false">IF(A97="","",IF(COUNTIF(Rebar_Schedule!$A$5:$A$2004,A97)=0,"",ROUND(SUMIF(Rebar_Schedule!$A$5:$A$2004,A97,Rebar_Schedule!$K$5:$K$2004),1)))</f>
        <v/>
      </c>
      <c r="AL97" s="33" t="str">
        <f aca="false">IF(A97="","",IF(AK97="","No rebar schedule yet",IF(ABS(AK97-N(AG97))/MAX(N(AG97),1)&gt;SG_Criteria!$B$55,"NOTE: register rebar differs from schedule by "&amp;TEXT(ABS(AK97-N(AG97))/MAX(N(AG97),1),"0%"),"OK")))</f>
        <v/>
      </c>
      <c r="AM97" s="33" t="str">
        <f aca="false">IF(D97="","","OK")</f>
        <v/>
      </c>
      <c r="AN97" s="9"/>
      <c r="AO97" s="9"/>
      <c r="AP97" s="9"/>
      <c r="AQ97" s="10" t="str">
        <f aca="false">IF(AP97="","",IFERROR(VLOOKUP(AP97,Projects!$A$5:$D$504,2,0),"Ref not in Projects"))</f>
        <v/>
      </c>
      <c r="AR97" s="10" t="str">
        <f aca="false">IF(AP97="","",IFERROR(VLOOKUP(AP97,Projects!$A$5:$D$504,4,0),"Ref not in Projects"))</f>
        <v/>
      </c>
      <c r="AS97" s="9"/>
      <c r="AT97" s="9"/>
      <c r="AU97" s="9"/>
      <c r="AV97" s="40"/>
      <c r="AW97" s="9"/>
      <c r="AX97" s="40"/>
      <c r="AY97" s="9"/>
      <c r="AZ97" s="40"/>
      <c r="BA97" s="9"/>
      <c r="BB97" s="9"/>
      <c r="BC97" s="9"/>
      <c r="BD97" s="40"/>
      <c r="BE97" s="40"/>
      <c r="BF97" s="36" t="str">
        <f aca="false">IF(BE97="","",EDATE(BE97,SG_Criteria!$B$54*12))</f>
        <v/>
      </c>
      <c r="BG97" s="33" t="str">
        <f aca="true">IF(A97="","",IF(BE97="","NOTE: not reviewed yet",IF(TODAY()&gt;BF97,"NOTE: review overdue","OK")))</f>
        <v/>
      </c>
      <c r="BH97" s="37" t="str">
        <f aca="false">IF(A97="","",ROUND((IF(LEN(D97)&gt;0,1,0)+IF(LEN(E97)&gt;0,1,0)+IF(LEN(I97)&gt;0,1,0)+IF(LEN(K97)&gt;0,1,0)+IF(LEN(Q97)&gt;0,1,0)+IF(LEN(S97)&gt;0,1,0)+IF(LEN(T97)&gt;0,1,0)+IF(LEN(U97)&gt;0,1,0)+IF(LEN(V97)&gt;0,1,0)+IF(LEN(AE97)&gt;0,1,0)+IF(LEN(AP97)&gt;0,1,0)+IF(LEN(BC97)&gt;0,1,0))/12,2))</f>
        <v/>
      </c>
      <c r="BI97" s="10" t="str">
        <f aca="false">IF(D97="","",IF(AND(T97="Approved",ISERROR(SEARCH("FAIL",AM97))),"Y","N"))</f>
        <v/>
      </c>
    </row>
    <row r="98" customFormat="false" ht="15" hidden="false" customHeight="false" outlineLevel="0" collapsed="false">
      <c r="A98" s="10" t="str">
        <f aca="false">IF(D98="","",IFERROR(VLOOKUP(D98,Lists!$BI$4:$BJ$20,2,0),"??")&amp;"-"&amp;UPPER(SUBSTITUTE(E98," ",""))&amp;IF(F98&lt;&gt;"","-SP"&amp;TEXT(F98*1000,"0"),"")&amp;IF(G98&lt;&gt;"","-H"&amp;TEXT(G98*1000,"0"),"")&amp;"-"&amp;S98)</f>
        <v/>
      </c>
      <c r="B98" s="10" t="str">
        <f aca="false">IF(D98="","",D98&amp;" - "&amp;E98&amp;IF(F98&lt;&gt;"",", span "&amp;F98&amp;" m","")&amp;IF(G98&lt;&gt;"",", H "&amp;G98&amp;" m","")&amp;IF(H98&lt;&gt;"",", W "&amp;H98&amp;" m",""))</f>
        <v/>
      </c>
      <c r="C98" s="9"/>
      <c r="D98" s="9"/>
      <c r="E98" s="9"/>
      <c r="F98" s="42"/>
      <c r="G98" s="42"/>
      <c r="H98" s="42"/>
      <c r="I98" s="9"/>
      <c r="J98" s="9"/>
      <c r="K98" s="9"/>
      <c r="L98" s="9"/>
      <c r="M98" s="9"/>
      <c r="N98" s="38"/>
      <c r="O98" s="9"/>
      <c r="P98" s="39"/>
      <c r="Q98" s="9"/>
      <c r="R98" s="9"/>
      <c r="S98" s="9"/>
      <c r="T98" s="9"/>
      <c r="U98" s="9"/>
      <c r="V98" s="9"/>
      <c r="W98" s="9"/>
      <c r="X98" s="10" t="str">
        <f aca="false">IF(A98="","",SG_Criteria!$B$6&amp;SG_Criteria!$B$13&amp;"\"&amp;A98&amp;"\")</f>
        <v/>
      </c>
      <c r="Y98" s="10" t="str">
        <f aca="false">IF(A98="","",A98&amp;"_CAD.dwg")</f>
        <v/>
      </c>
      <c r="Z98" s="10" t="str">
        <f aca="false">IF(A98="","",A98&amp;"_DWG.pdf")</f>
        <v/>
      </c>
      <c r="AA98" s="10" t="str">
        <f aca="false">IF(A98="","",IF(W98="Y",A98&amp;"_STAAD.std","n/a"))</f>
        <v/>
      </c>
      <c r="AB98" s="10" t="str">
        <f aca="false">IF(A98="","",A98&amp;"_CALC.xlsx")</f>
        <v/>
      </c>
      <c r="AC98" s="10" t="str">
        <f aca="false">IF(A98="","",A98&amp;"_CALC.pdf")</f>
        <v/>
      </c>
      <c r="AD98" s="9"/>
      <c r="AE98" s="9"/>
      <c r="AF98" s="39"/>
      <c r="AG98" s="39"/>
      <c r="AH98" s="39"/>
      <c r="AI98" s="39"/>
      <c r="AJ98" s="39"/>
      <c r="AK98" s="12" t="str">
        <f aca="false">IF(A98="","",IF(COUNTIF(Rebar_Schedule!$A$5:$A$2004,A98)=0,"",ROUND(SUMIF(Rebar_Schedule!$A$5:$A$2004,A98,Rebar_Schedule!$K$5:$K$2004),1)))</f>
        <v/>
      </c>
      <c r="AL98" s="33" t="str">
        <f aca="false">IF(A98="","",IF(AK98="","No rebar schedule yet",IF(ABS(AK98-N(AG98))/MAX(N(AG98),1)&gt;SG_Criteria!$B$55,"NOTE: register rebar differs from schedule by "&amp;TEXT(ABS(AK98-N(AG98))/MAX(N(AG98),1),"0%"),"OK")))</f>
        <v/>
      </c>
      <c r="AM98" s="33" t="str">
        <f aca="false">IF(D98="","","OK")</f>
        <v/>
      </c>
      <c r="AN98" s="9"/>
      <c r="AO98" s="9"/>
      <c r="AP98" s="9"/>
      <c r="AQ98" s="10" t="str">
        <f aca="false">IF(AP98="","",IFERROR(VLOOKUP(AP98,Projects!$A$5:$D$504,2,0),"Ref not in Projects"))</f>
        <v/>
      </c>
      <c r="AR98" s="10" t="str">
        <f aca="false">IF(AP98="","",IFERROR(VLOOKUP(AP98,Projects!$A$5:$D$504,4,0),"Ref not in Projects"))</f>
        <v/>
      </c>
      <c r="AS98" s="9"/>
      <c r="AT98" s="9"/>
      <c r="AU98" s="9"/>
      <c r="AV98" s="40"/>
      <c r="AW98" s="9"/>
      <c r="AX98" s="40"/>
      <c r="AY98" s="9"/>
      <c r="AZ98" s="40"/>
      <c r="BA98" s="9"/>
      <c r="BB98" s="9"/>
      <c r="BC98" s="9"/>
      <c r="BD98" s="40"/>
      <c r="BE98" s="40"/>
      <c r="BF98" s="36" t="str">
        <f aca="false">IF(BE98="","",EDATE(BE98,SG_Criteria!$B$54*12))</f>
        <v/>
      </c>
      <c r="BG98" s="33" t="str">
        <f aca="true">IF(A98="","",IF(BE98="","NOTE: not reviewed yet",IF(TODAY()&gt;BF98,"NOTE: review overdue","OK")))</f>
        <v/>
      </c>
      <c r="BH98" s="37" t="str">
        <f aca="false">IF(A98="","",ROUND((IF(LEN(D98)&gt;0,1,0)+IF(LEN(E98)&gt;0,1,0)+IF(LEN(I98)&gt;0,1,0)+IF(LEN(K98)&gt;0,1,0)+IF(LEN(Q98)&gt;0,1,0)+IF(LEN(S98)&gt;0,1,0)+IF(LEN(T98)&gt;0,1,0)+IF(LEN(U98)&gt;0,1,0)+IF(LEN(V98)&gt;0,1,0)+IF(LEN(AE98)&gt;0,1,0)+IF(LEN(AP98)&gt;0,1,0)+IF(LEN(BC98)&gt;0,1,0))/12,2))</f>
        <v/>
      </c>
      <c r="BI98" s="10" t="str">
        <f aca="false">IF(D98="","",IF(AND(T98="Approved",ISERROR(SEARCH("FAIL",AM98))),"Y","N"))</f>
        <v/>
      </c>
    </row>
    <row r="99" customFormat="false" ht="15" hidden="false" customHeight="false" outlineLevel="0" collapsed="false">
      <c r="A99" s="10" t="str">
        <f aca="false">IF(D99="","",IFERROR(VLOOKUP(D99,Lists!$BI$4:$BJ$20,2,0),"??")&amp;"-"&amp;UPPER(SUBSTITUTE(E99," ",""))&amp;IF(F99&lt;&gt;"","-SP"&amp;TEXT(F99*1000,"0"),"")&amp;IF(G99&lt;&gt;"","-H"&amp;TEXT(G99*1000,"0"),"")&amp;"-"&amp;S99)</f>
        <v/>
      </c>
      <c r="B99" s="10" t="str">
        <f aca="false">IF(D99="","",D99&amp;" - "&amp;E99&amp;IF(F99&lt;&gt;"",", span "&amp;F99&amp;" m","")&amp;IF(G99&lt;&gt;"",", H "&amp;G99&amp;" m","")&amp;IF(H99&lt;&gt;"",", W "&amp;H99&amp;" m",""))</f>
        <v/>
      </c>
      <c r="C99" s="9"/>
      <c r="D99" s="9"/>
      <c r="E99" s="9"/>
      <c r="F99" s="42"/>
      <c r="G99" s="42"/>
      <c r="H99" s="42"/>
      <c r="I99" s="9"/>
      <c r="J99" s="9"/>
      <c r="K99" s="9"/>
      <c r="L99" s="9"/>
      <c r="M99" s="9"/>
      <c r="N99" s="38"/>
      <c r="O99" s="9"/>
      <c r="P99" s="39"/>
      <c r="Q99" s="9"/>
      <c r="R99" s="9"/>
      <c r="S99" s="9"/>
      <c r="T99" s="9"/>
      <c r="U99" s="9"/>
      <c r="V99" s="9"/>
      <c r="W99" s="9"/>
      <c r="X99" s="10" t="str">
        <f aca="false">IF(A99="","",SG_Criteria!$B$6&amp;SG_Criteria!$B$13&amp;"\"&amp;A99&amp;"\")</f>
        <v/>
      </c>
      <c r="Y99" s="10" t="str">
        <f aca="false">IF(A99="","",A99&amp;"_CAD.dwg")</f>
        <v/>
      </c>
      <c r="Z99" s="10" t="str">
        <f aca="false">IF(A99="","",A99&amp;"_DWG.pdf")</f>
        <v/>
      </c>
      <c r="AA99" s="10" t="str">
        <f aca="false">IF(A99="","",IF(W99="Y",A99&amp;"_STAAD.std","n/a"))</f>
        <v/>
      </c>
      <c r="AB99" s="10" t="str">
        <f aca="false">IF(A99="","",A99&amp;"_CALC.xlsx")</f>
        <v/>
      </c>
      <c r="AC99" s="10" t="str">
        <f aca="false">IF(A99="","",A99&amp;"_CALC.pdf")</f>
        <v/>
      </c>
      <c r="AD99" s="9"/>
      <c r="AE99" s="9"/>
      <c r="AF99" s="39"/>
      <c r="AG99" s="39"/>
      <c r="AH99" s="39"/>
      <c r="AI99" s="39"/>
      <c r="AJ99" s="39"/>
      <c r="AK99" s="12" t="str">
        <f aca="false">IF(A99="","",IF(COUNTIF(Rebar_Schedule!$A$5:$A$2004,A99)=0,"",ROUND(SUMIF(Rebar_Schedule!$A$5:$A$2004,A99,Rebar_Schedule!$K$5:$K$2004),1)))</f>
        <v/>
      </c>
      <c r="AL99" s="33" t="str">
        <f aca="false">IF(A99="","",IF(AK99="","No rebar schedule yet",IF(ABS(AK99-N(AG99))/MAX(N(AG99),1)&gt;SG_Criteria!$B$55,"NOTE: register rebar differs from schedule by "&amp;TEXT(ABS(AK99-N(AG99))/MAX(N(AG99),1),"0%"),"OK")))</f>
        <v/>
      </c>
      <c r="AM99" s="33" t="str">
        <f aca="false">IF(D99="","","OK")</f>
        <v/>
      </c>
      <c r="AN99" s="9"/>
      <c r="AO99" s="9"/>
      <c r="AP99" s="9"/>
      <c r="AQ99" s="10" t="str">
        <f aca="false">IF(AP99="","",IFERROR(VLOOKUP(AP99,Projects!$A$5:$D$504,2,0),"Ref not in Projects"))</f>
        <v/>
      </c>
      <c r="AR99" s="10" t="str">
        <f aca="false">IF(AP99="","",IFERROR(VLOOKUP(AP99,Projects!$A$5:$D$504,4,0),"Ref not in Projects"))</f>
        <v/>
      </c>
      <c r="AS99" s="9"/>
      <c r="AT99" s="9"/>
      <c r="AU99" s="9"/>
      <c r="AV99" s="40"/>
      <c r="AW99" s="9"/>
      <c r="AX99" s="40"/>
      <c r="AY99" s="9"/>
      <c r="AZ99" s="40"/>
      <c r="BA99" s="9"/>
      <c r="BB99" s="9"/>
      <c r="BC99" s="9"/>
      <c r="BD99" s="40"/>
      <c r="BE99" s="40"/>
      <c r="BF99" s="36" t="str">
        <f aca="false">IF(BE99="","",EDATE(BE99,SG_Criteria!$B$54*12))</f>
        <v/>
      </c>
      <c r="BG99" s="33" t="str">
        <f aca="true">IF(A99="","",IF(BE99="","NOTE: not reviewed yet",IF(TODAY()&gt;BF99,"NOTE: review overdue","OK")))</f>
        <v/>
      </c>
      <c r="BH99" s="37" t="str">
        <f aca="false">IF(A99="","",ROUND((IF(LEN(D99)&gt;0,1,0)+IF(LEN(E99)&gt;0,1,0)+IF(LEN(I99)&gt;0,1,0)+IF(LEN(K99)&gt;0,1,0)+IF(LEN(Q99)&gt;0,1,0)+IF(LEN(S99)&gt;0,1,0)+IF(LEN(T99)&gt;0,1,0)+IF(LEN(U99)&gt;0,1,0)+IF(LEN(V99)&gt;0,1,0)+IF(LEN(AE99)&gt;0,1,0)+IF(LEN(AP99)&gt;0,1,0)+IF(LEN(BC99)&gt;0,1,0))/12,2))</f>
        <v/>
      </c>
      <c r="BI99" s="10" t="str">
        <f aca="false">IF(D99="","",IF(AND(T99="Approved",ISERROR(SEARCH("FAIL",AM99))),"Y","N"))</f>
        <v/>
      </c>
    </row>
    <row r="100" customFormat="false" ht="15" hidden="false" customHeight="false" outlineLevel="0" collapsed="false">
      <c r="A100" s="10" t="str">
        <f aca="false">IF(D100="","",IFERROR(VLOOKUP(D100,Lists!$BI$4:$BJ$20,2,0),"??")&amp;"-"&amp;UPPER(SUBSTITUTE(E100," ",""))&amp;IF(F100&lt;&gt;"","-SP"&amp;TEXT(F100*1000,"0"),"")&amp;IF(G100&lt;&gt;"","-H"&amp;TEXT(G100*1000,"0"),"")&amp;"-"&amp;S100)</f>
        <v/>
      </c>
      <c r="B100" s="10" t="str">
        <f aca="false">IF(D100="","",D100&amp;" - "&amp;E100&amp;IF(F100&lt;&gt;"",", span "&amp;F100&amp;" m","")&amp;IF(G100&lt;&gt;"",", H "&amp;G100&amp;" m","")&amp;IF(H100&lt;&gt;"",", W "&amp;H100&amp;" m",""))</f>
        <v/>
      </c>
      <c r="C100" s="9"/>
      <c r="D100" s="9"/>
      <c r="E100" s="9"/>
      <c r="F100" s="42"/>
      <c r="G100" s="42"/>
      <c r="H100" s="42"/>
      <c r="I100" s="9"/>
      <c r="J100" s="9"/>
      <c r="K100" s="9"/>
      <c r="L100" s="9"/>
      <c r="M100" s="9"/>
      <c r="N100" s="38"/>
      <c r="O100" s="9"/>
      <c r="P100" s="39"/>
      <c r="Q100" s="9"/>
      <c r="R100" s="9"/>
      <c r="S100" s="9"/>
      <c r="T100" s="9"/>
      <c r="U100" s="9"/>
      <c r="V100" s="9"/>
      <c r="W100" s="9"/>
      <c r="X100" s="10" t="str">
        <f aca="false">IF(A100="","",SG_Criteria!$B$6&amp;SG_Criteria!$B$13&amp;"\"&amp;A100&amp;"\")</f>
        <v/>
      </c>
      <c r="Y100" s="10" t="str">
        <f aca="false">IF(A100="","",A100&amp;"_CAD.dwg")</f>
        <v/>
      </c>
      <c r="Z100" s="10" t="str">
        <f aca="false">IF(A100="","",A100&amp;"_DWG.pdf")</f>
        <v/>
      </c>
      <c r="AA100" s="10" t="str">
        <f aca="false">IF(A100="","",IF(W100="Y",A100&amp;"_STAAD.std","n/a"))</f>
        <v/>
      </c>
      <c r="AB100" s="10" t="str">
        <f aca="false">IF(A100="","",A100&amp;"_CALC.xlsx")</f>
        <v/>
      </c>
      <c r="AC100" s="10" t="str">
        <f aca="false">IF(A100="","",A100&amp;"_CALC.pdf")</f>
        <v/>
      </c>
      <c r="AD100" s="9"/>
      <c r="AE100" s="9"/>
      <c r="AF100" s="39"/>
      <c r="AG100" s="39"/>
      <c r="AH100" s="39"/>
      <c r="AI100" s="39"/>
      <c r="AJ100" s="39"/>
      <c r="AK100" s="12" t="str">
        <f aca="false">IF(A100="","",IF(COUNTIF(Rebar_Schedule!$A$5:$A$2004,A100)=0,"",ROUND(SUMIF(Rebar_Schedule!$A$5:$A$2004,A100,Rebar_Schedule!$K$5:$K$2004),1)))</f>
        <v/>
      </c>
      <c r="AL100" s="33" t="str">
        <f aca="false">IF(A100="","",IF(AK100="","No rebar schedule yet",IF(ABS(AK100-N(AG100))/MAX(N(AG100),1)&gt;SG_Criteria!$B$55,"NOTE: register rebar differs from schedule by "&amp;TEXT(ABS(AK100-N(AG100))/MAX(N(AG100),1),"0%"),"OK")))</f>
        <v/>
      </c>
      <c r="AM100" s="33" t="str">
        <f aca="false">IF(D100="","","OK")</f>
        <v/>
      </c>
      <c r="AN100" s="9"/>
      <c r="AO100" s="9"/>
      <c r="AP100" s="9"/>
      <c r="AQ100" s="10" t="str">
        <f aca="false">IF(AP100="","",IFERROR(VLOOKUP(AP100,Projects!$A$5:$D$504,2,0),"Ref not in Projects"))</f>
        <v/>
      </c>
      <c r="AR100" s="10" t="str">
        <f aca="false">IF(AP100="","",IFERROR(VLOOKUP(AP100,Projects!$A$5:$D$504,4,0),"Ref not in Projects"))</f>
        <v/>
      </c>
      <c r="AS100" s="9"/>
      <c r="AT100" s="9"/>
      <c r="AU100" s="9"/>
      <c r="AV100" s="40"/>
      <c r="AW100" s="9"/>
      <c r="AX100" s="40"/>
      <c r="AY100" s="9"/>
      <c r="AZ100" s="40"/>
      <c r="BA100" s="9"/>
      <c r="BB100" s="9"/>
      <c r="BC100" s="9"/>
      <c r="BD100" s="40"/>
      <c r="BE100" s="40"/>
      <c r="BF100" s="36" t="str">
        <f aca="false">IF(BE100="","",EDATE(BE100,SG_Criteria!$B$54*12))</f>
        <v/>
      </c>
      <c r="BG100" s="33" t="str">
        <f aca="true">IF(A100="","",IF(BE100="","NOTE: not reviewed yet",IF(TODAY()&gt;BF100,"NOTE: review overdue","OK")))</f>
        <v/>
      </c>
      <c r="BH100" s="37" t="str">
        <f aca="false">IF(A100="","",ROUND((IF(LEN(D100)&gt;0,1,0)+IF(LEN(E100)&gt;0,1,0)+IF(LEN(I100)&gt;0,1,0)+IF(LEN(K100)&gt;0,1,0)+IF(LEN(Q100)&gt;0,1,0)+IF(LEN(S100)&gt;0,1,0)+IF(LEN(T100)&gt;0,1,0)+IF(LEN(U100)&gt;0,1,0)+IF(LEN(V100)&gt;0,1,0)+IF(LEN(AE100)&gt;0,1,0)+IF(LEN(AP100)&gt;0,1,0)+IF(LEN(BC100)&gt;0,1,0))/12,2))</f>
        <v/>
      </c>
      <c r="BI100" s="10" t="str">
        <f aca="false">IF(D100="","",IF(AND(T100="Approved",ISERROR(SEARCH("FAIL",AM100))),"Y","N"))</f>
        <v/>
      </c>
    </row>
    <row r="101" customFormat="false" ht="15" hidden="false" customHeight="false" outlineLevel="0" collapsed="false">
      <c r="A101" s="10" t="str">
        <f aca="false">IF(D101="","",IFERROR(VLOOKUP(D101,Lists!$BI$4:$BJ$20,2,0),"??")&amp;"-"&amp;UPPER(SUBSTITUTE(E101," ",""))&amp;IF(F101&lt;&gt;"","-SP"&amp;TEXT(F101*1000,"0"),"")&amp;IF(G101&lt;&gt;"","-H"&amp;TEXT(G101*1000,"0"),"")&amp;"-"&amp;S101)</f>
        <v/>
      </c>
      <c r="B101" s="10" t="str">
        <f aca="false">IF(D101="","",D101&amp;" - "&amp;E101&amp;IF(F101&lt;&gt;"",", span "&amp;F101&amp;" m","")&amp;IF(G101&lt;&gt;"",", H "&amp;G101&amp;" m","")&amp;IF(H101&lt;&gt;"",", W "&amp;H101&amp;" m",""))</f>
        <v/>
      </c>
      <c r="C101" s="9"/>
      <c r="D101" s="9"/>
      <c r="E101" s="9"/>
      <c r="F101" s="42"/>
      <c r="G101" s="42"/>
      <c r="H101" s="42"/>
      <c r="I101" s="9"/>
      <c r="J101" s="9"/>
      <c r="K101" s="9"/>
      <c r="L101" s="9"/>
      <c r="M101" s="9"/>
      <c r="N101" s="38"/>
      <c r="O101" s="9"/>
      <c r="P101" s="39"/>
      <c r="Q101" s="9"/>
      <c r="R101" s="9"/>
      <c r="S101" s="9"/>
      <c r="T101" s="9"/>
      <c r="U101" s="9"/>
      <c r="V101" s="9"/>
      <c r="W101" s="9"/>
      <c r="X101" s="10" t="str">
        <f aca="false">IF(A101="","",SG_Criteria!$B$6&amp;SG_Criteria!$B$13&amp;"\"&amp;A101&amp;"\")</f>
        <v/>
      </c>
      <c r="Y101" s="10" t="str">
        <f aca="false">IF(A101="","",A101&amp;"_CAD.dwg")</f>
        <v/>
      </c>
      <c r="Z101" s="10" t="str">
        <f aca="false">IF(A101="","",A101&amp;"_DWG.pdf")</f>
        <v/>
      </c>
      <c r="AA101" s="10" t="str">
        <f aca="false">IF(A101="","",IF(W101="Y",A101&amp;"_STAAD.std","n/a"))</f>
        <v/>
      </c>
      <c r="AB101" s="10" t="str">
        <f aca="false">IF(A101="","",A101&amp;"_CALC.xlsx")</f>
        <v/>
      </c>
      <c r="AC101" s="10" t="str">
        <f aca="false">IF(A101="","",A101&amp;"_CALC.pdf")</f>
        <v/>
      </c>
      <c r="AD101" s="9"/>
      <c r="AE101" s="9"/>
      <c r="AF101" s="39"/>
      <c r="AG101" s="39"/>
      <c r="AH101" s="39"/>
      <c r="AI101" s="39"/>
      <c r="AJ101" s="39"/>
      <c r="AK101" s="12" t="str">
        <f aca="false">IF(A101="","",IF(COUNTIF(Rebar_Schedule!$A$5:$A$2004,A101)=0,"",ROUND(SUMIF(Rebar_Schedule!$A$5:$A$2004,A101,Rebar_Schedule!$K$5:$K$2004),1)))</f>
        <v/>
      </c>
      <c r="AL101" s="33" t="str">
        <f aca="false">IF(A101="","",IF(AK101="","No rebar schedule yet",IF(ABS(AK101-N(AG101))/MAX(N(AG101),1)&gt;SG_Criteria!$B$55,"NOTE: register rebar differs from schedule by "&amp;TEXT(ABS(AK101-N(AG101))/MAX(N(AG101),1),"0%"),"OK")))</f>
        <v/>
      </c>
      <c r="AM101" s="33" t="str">
        <f aca="false">IF(D101="","","OK")</f>
        <v/>
      </c>
      <c r="AN101" s="9"/>
      <c r="AO101" s="9"/>
      <c r="AP101" s="9"/>
      <c r="AQ101" s="10" t="str">
        <f aca="false">IF(AP101="","",IFERROR(VLOOKUP(AP101,Projects!$A$5:$D$504,2,0),"Ref not in Projects"))</f>
        <v/>
      </c>
      <c r="AR101" s="10" t="str">
        <f aca="false">IF(AP101="","",IFERROR(VLOOKUP(AP101,Projects!$A$5:$D$504,4,0),"Ref not in Projects"))</f>
        <v/>
      </c>
      <c r="AS101" s="9"/>
      <c r="AT101" s="9"/>
      <c r="AU101" s="9"/>
      <c r="AV101" s="40"/>
      <c r="AW101" s="9"/>
      <c r="AX101" s="40"/>
      <c r="AY101" s="9"/>
      <c r="AZ101" s="40"/>
      <c r="BA101" s="9"/>
      <c r="BB101" s="9"/>
      <c r="BC101" s="9"/>
      <c r="BD101" s="40"/>
      <c r="BE101" s="40"/>
      <c r="BF101" s="36" t="str">
        <f aca="false">IF(BE101="","",EDATE(BE101,SG_Criteria!$B$54*12))</f>
        <v/>
      </c>
      <c r="BG101" s="33" t="str">
        <f aca="true">IF(A101="","",IF(BE101="","NOTE: not reviewed yet",IF(TODAY()&gt;BF101,"NOTE: review overdue","OK")))</f>
        <v/>
      </c>
      <c r="BH101" s="37" t="str">
        <f aca="false">IF(A101="","",ROUND((IF(LEN(D101)&gt;0,1,0)+IF(LEN(E101)&gt;0,1,0)+IF(LEN(I101)&gt;0,1,0)+IF(LEN(K101)&gt;0,1,0)+IF(LEN(Q101)&gt;0,1,0)+IF(LEN(S101)&gt;0,1,0)+IF(LEN(T101)&gt;0,1,0)+IF(LEN(U101)&gt;0,1,0)+IF(LEN(V101)&gt;0,1,0)+IF(LEN(AE101)&gt;0,1,0)+IF(LEN(AP101)&gt;0,1,0)+IF(LEN(BC101)&gt;0,1,0))/12,2))</f>
        <v/>
      </c>
      <c r="BI101" s="10" t="str">
        <f aca="false">IF(D101="","",IF(AND(T101="Approved",ISERROR(SEARCH("FAIL",AM101))),"Y","N"))</f>
        <v/>
      </c>
    </row>
    <row r="102" customFormat="false" ht="15" hidden="false" customHeight="false" outlineLevel="0" collapsed="false">
      <c r="A102" s="10" t="str">
        <f aca="false">IF(D102="","",IFERROR(VLOOKUP(D102,Lists!$BI$4:$BJ$20,2,0),"??")&amp;"-"&amp;UPPER(SUBSTITUTE(E102," ",""))&amp;IF(F102&lt;&gt;"","-SP"&amp;TEXT(F102*1000,"0"),"")&amp;IF(G102&lt;&gt;"","-H"&amp;TEXT(G102*1000,"0"),"")&amp;"-"&amp;S102)</f>
        <v/>
      </c>
      <c r="B102" s="10" t="str">
        <f aca="false">IF(D102="","",D102&amp;" - "&amp;E102&amp;IF(F102&lt;&gt;"",", span "&amp;F102&amp;" m","")&amp;IF(G102&lt;&gt;"",", H "&amp;G102&amp;" m","")&amp;IF(H102&lt;&gt;"",", W "&amp;H102&amp;" m",""))</f>
        <v/>
      </c>
      <c r="C102" s="9"/>
      <c r="D102" s="9"/>
      <c r="E102" s="9"/>
      <c r="F102" s="42"/>
      <c r="G102" s="42"/>
      <c r="H102" s="42"/>
      <c r="I102" s="9"/>
      <c r="J102" s="9"/>
      <c r="K102" s="9"/>
      <c r="L102" s="9"/>
      <c r="M102" s="9"/>
      <c r="N102" s="38"/>
      <c r="O102" s="9"/>
      <c r="P102" s="39"/>
      <c r="Q102" s="9"/>
      <c r="R102" s="9"/>
      <c r="S102" s="9"/>
      <c r="T102" s="9"/>
      <c r="U102" s="9"/>
      <c r="V102" s="9"/>
      <c r="W102" s="9"/>
      <c r="X102" s="10" t="str">
        <f aca="false">IF(A102="","",SG_Criteria!$B$6&amp;SG_Criteria!$B$13&amp;"\"&amp;A102&amp;"\")</f>
        <v/>
      </c>
      <c r="Y102" s="10" t="str">
        <f aca="false">IF(A102="","",A102&amp;"_CAD.dwg")</f>
        <v/>
      </c>
      <c r="Z102" s="10" t="str">
        <f aca="false">IF(A102="","",A102&amp;"_DWG.pdf")</f>
        <v/>
      </c>
      <c r="AA102" s="10" t="str">
        <f aca="false">IF(A102="","",IF(W102="Y",A102&amp;"_STAAD.std","n/a"))</f>
        <v/>
      </c>
      <c r="AB102" s="10" t="str">
        <f aca="false">IF(A102="","",A102&amp;"_CALC.xlsx")</f>
        <v/>
      </c>
      <c r="AC102" s="10" t="str">
        <f aca="false">IF(A102="","",A102&amp;"_CALC.pdf")</f>
        <v/>
      </c>
      <c r="AD102" s="9"/>
      <c r="AE102" s="9"/>
      <c r="AF102" s="39"/>
      <c r="AG102" s="39"/>
      <c r="AH102" s="39"/>
      <c r="AI102" s="39"/>
      <c r="AJ102" s="39"/>
      <c r="AK102" s="12" t="str">
        <f aca="false">IF(A102="","",IF(COUNTIF(Rebar_Schedule!$A$5:$A$2004,A102)=0,"",ROUND(SUMIF(Rebar_Schedule!$A$5:$A$2004,A102,Rebar_Schedule!$K$5:$K$2004),1)))</f>
        <v/>
      </c>
      <c r="AL102" s="33" t="str">
        <f aca="false">IF(A102="","",IF(AK102="","No rebar schedule yet",IF(ABS(AK102-N(AG102))/MAX(N(AG102),1)&gt;SG_Criteria!$B$55,"NOTE: register rebar differs from schedule by "&amp;TEXT(ABS(AK102-N(AG102))/MAX(N(AG102),1),"0%"),"OK")))</f>
        <v/>
      </c>
      <c r="AM102" s="33" t="str">
        <f aca="false">IF(D102="","","OK")</f>
        <v/>
      </c>
      <c r="AN102" s="9"/>
      <c r="AO102" s="9"/>
      <c r="AP102" s="9"/>
      <c r="AQ102" s="10" t="str">
        <f aca="false">IF(AP102="","",IFERROR(VLOOKUP(AP102,Projects!$A$5:$D$504,2,0),"Ref not in Projects"))</f>
        <v/>
      </c>
      <c r="AR102" s="10" t="str">
        <f aca="false">IF(AP102="","",IFERROR(VLOOKUP(AP102,Projects!$A$5:$D$504,4,0),"Ref not in Projects"))</f>
        <v/>
      </c>
      <c r="AS102" s="9"/>
      <c r="AT102" s="9"/>
      <c r="AU102" s="9"/>
      <c r="AV102" s="40"/>
      <c r="AW102" s="9"/>
      <c r="AX102" s="40"/>
      <c r="AY102" s="9"/>
      <c r="AZ102" s="40"/>
      <c r="BA102" s="9"/>
      <c r="BB102" s="9"/>
      <c r="BC102" s="9"/>
      <c r="BD102" s="40"/>
      <c r="BE102" s="40"/>
      <c r="BF102" s="36" t="str">
        <f aca="false">IF(BE102="","",EDATE(BE102,SG_Criteria!$B$54*12))</f>
        <v/>
      </c>
      <c r="BG102" s="33" t="str">
        <f aca="true">IF(A102="","",IF(BE102="","NOTE: not reviewed yet",IF(TODAY()&gt;BF102,"NOTE: review overdue","OK")))</f>
        <v/>
      </c>
      <c r="BH102" s="37" t="str">
        <f aca="false">IF(A102="","",ROUND((IF(LEN(D102)&gt;0,1,0)+IF(LEN(E102)&gt;0,1,0)+IF(LEN(I102)&gt;0,1,0)+IF(LEN(K102)&gt;0,1,0)+IF(LEN(Q102)&gt;0,1,0)+IF(LEN(S102)&gt;0,1,0)+IF(LEN(T102)&gt;0,1,0)+IF(LEN(U102)&gt;0,1,0)+IF(LEN(V102)&gt;0,1,0)+IF(LEN(AE102)&gt;0,1,0)+IF(LEN(AP102)&gt;0,1,0)+IF(LEN(BC102)&gt;0,1,0))/12,2))</f>
        <v/>
      </c>
      <c r="BI102" s="10" t="str">
        <f aca="false">IF(D102="","",IF(AND(T102="Approved",ISERROR(SEARCH("FAIL",AM102))),"Y","N"))</f>
        <v/>
      </c>
    </row>
    <row r="103" customFormat="false" ht="15" hidden="false" customHeight="false" outlineLevel="0" collapsed="false">
      <c r="A103" s="10" t="str">
        <f aca="false">IF(D103="","",IFERROR(VLOOKUP(D103,Lists!$BI$4:$BJ$20,2,0),"??")&amp;"-"&amp;UPPER(SUBSTITUTE(E103," ",""))&amp;IF(F103&lt;&gt;"","-SP"&amp;TEXT(F103*1000,"0"),"")&amp;IF(G103&lt;&gt;"","-H"&amp;TEXT(G103*1000,"0"),"")&amp;"-"&amp;S103)</f>
        <v/>
      </c>
      <c r="B103" s="10" t="str">
        <f aca="false">IF(D103="","",D103&amp;" - "&amp;E103&amp;IF(F103&lt;&gt;"",", span "&amp;F103&amp;" m","")&amp;IF(G103&lt;&gt;"",", H "&amp;G103&amp;" m","")&amp;IF(H103&lt;&gt;"",", W "&amp;H103&amp;" m",""))</f>
        <v/>
      </c>
      <c r="C103" s="9"/>
      <c r="D103" s="9"/>
      <c r="E103" s="9"/>
      <c r="F103" s="42"/>
      <c r="G103" s="42"/>
      <c r="H103" s="42"/>
      <c r="I103" s="9"/>
      <c r="J103" s="9"/>
      <c r="K103" s="9"/>
      <c r="L103" s="9"/>
      <c r="M103" s="9"/>
      <c r="N103" s="38"/>
      <c r="O103" s="9"/>
      <c r="P103" s="39"/>
      <c r="Q103" s="9"/>
      <c r="R103" s="9"/>
      <c r="S103" s="9"/>
      <c r="T103" s="9"/>
      <c r="U103" s="9"/>
      <c r="V103" s="9"/>
      <c r="W103" s="9"/>
      <c r="X103" s="10" t="str">
        <f aca="false">IF(A103="","",SG_Criteria!$B$6&amp;SG_Criteria!$B$13&amp;"\"&amp;A103&amp;"\")</f>
        <v/>
      </c>
      <c r="Y103" s="10" t="str">
        <f aca="false">IF(A103="","",A103&amp;"_CAD.dwg")</f>
        <v/>
      </c>
      <c r="Z103" s="10" t="str">
        <f aca="false">IF(A103="","",A103&amp;"_DWG.pdf")</f>
        <v/>
      </c>
      <c r="AA103" s="10" t="str">
        <f aca="false">IF(A103="","",IF(W103="Y",A103&amp;"_STAAD.std","n/a"))</f>
        <v/>
      </c>
      <c r="AB103" s="10" t="str">
        <f aca="false">IF(A103="","",A103&amp;"_CALC.xlsx")</f>
        <v/>
      </c>
      <c r="AC103" s="10" t="str">
        <f aca="false">IF(A103="","",A103&amp;"_CALC.pdf")</f>
        <v/>
      </c>
      <c r="AD103" s="9"/>
      <c r="AE103" s="9"/>
      <c r="AF103" s="39"/>
      <c r="AG103" s="39"/>
      <c r="AH103" s="39"/>
      <c r="AI103" s="39"/>
      <c r="AJ103" s="39"/>
      <c r="AK103" s="12" t="str">
        <f aca="false">IF(A103="","",IF(COUNTIF(Rebar_Schedule!$A$5:$A$2004,A103)=0,"",ROUND(SUMIF(Rebar_Schedule!$A$5:$A$2004,A103,Rebar_Schedule!$K$5:$K$2004),1)))</f>
        <v/>
      </c>
      <c r="AL103" s="33" t="str">
        <f aca="false">IF(A103="","",IF(AK103="","No rebar schedule yet",IF(ABS(AK103-N(AG103))/MAX(N(AG103),1)&gt;SG_Criteria!$B$55,"NOTE: register rebar differs from schedule by "&amp;TEXT(ABS(AK103-N(AG103))/MAX(N(AG103),1),"0%"),"OK")))</f>
        <v/>
      </c>
      <c r="AM103" s="33" t="str">
        <f aca="false">IF(D103="","","OK")</f>
        <v/>
      </c>
      <c r="AN103" s="9"/>
      <c r="AO103" s="9"/>
      <c r="AP103" s="9"/>
      <c r="AQ103" s="10" t="str">
        <f aca="false">IF(AP103="","",IFERROR(VLOOKUP(AP103,Projects!$A$5:$D$504,2,0),"Ref not in Projects"))</f>
        <v/>
      </c>
      <c r="AR103" s="10" t="str">
        <f aca="false">IF(AP103="","",IFERROR(VLOOKUP(AP103,Projects!$A$5:$D$504,4,0),"Ref not in Projects"))</f>
        <v/>
      </c>
      <c r="AS103" s="9"/>
      <c r="AT103" s="9"/>
      <c r="AU103" s="9"/>
      <c r="AV103" s="40"/>
      <c r="AW103" s="9"/>
      <c r="AX103" s="40"/>
      <c r="AY103" s="9"/>
      <c r="AZ103" s="40"/>
      <c r="BA103" s="9"/>
      <c r="BB103" s="9"/>
      <c r="BC103" s="9"/>
      <c r="BD103" s="40"/>
      <c r="BE103" s="40"/>
      <c r="BF103" s="36" t="str">
        <f aca="false">IF(BE103="","",EDATE(BE103,SG_Criteria!$B$54*12))</f>
        <v/>
      </c>
      <c r="BG103" s="33" t="str">
        <f aca="true">IF(A103="","",IF(BE103="","NOTE: not reviewed yet",IF(TODAY()&gt;BF103,"NOTE: review overdue","OK")))</f>
        <v/>
      </c>
      <c r="BH103" s="37" t="str">
        <f aca="false">IF(A103="","",ROUND((IF(LEN(D103)&gt;0,1,0)+IF(LEN(E103)&gt;0,1,0)+IF(LEN(I103)&gt;0,1,0)+IF(LEN(K103)&gt;0,1,0)+IF(LEN(Q103)&gt;0,1,0)+IF(LEN(S103)&gt;0,1,0)+IF(LEN(T103)&gt;0,1,0)+IF(LEN(U103)&gt;0,1,0)+IF(LEN(V103)&gt;0,1,0)+IF(LEN(AE103)&gt;0,1,0)+IF(LEN(AP103)&gt;0,1,0)+IF(LEN(BC103)&gt;0,1,0))/12,2))</f>
        <v/>
      </c>
      <c r="BI103" s="10" t="str">
        <f aca="false">IF(D103="","",IF(AND(T103="Approved",ISERROR(SEARCH("FAIL",AM103))),"Y","N"))</f>
        <v/>
      </c>
    </row>
    <row r="104" customFormat="false" ht="15" hidden="false" customHeight="false" outlineLevel="0" collapsed="false">
      <c r="A104" s="10" t="str">
        <f aca="false">IF(D104="","",IFERROR(VLOOKUP(D104,Lists!$BI$4:$BJ$20,2,0),"??")&amp;"-"&amp;UPPER(SUBSTITUTE(E104," ",""))&amp;IF(F104&lt;&gt;"","-SP"&amp;TEXT(F104*1000,"0"),"")&amp;IF(G104&lt;&gt;"","-H"&amp;TEXT(G104*1000,"0"),"")&amp;"-"&amp;S104)</f>
        <v/>
      </c>
      <c r="B104" s="10" t="str">
        <f aca="false">IF(D104="","",D104&amp;" - "&amp;E104&amp;IF(F104&lt;&gt;"",", span "&amp;F104&amp;" m","")&amp;IF(G104&lt;&gt;"",", H "&amp;G104&amp;" m","")&amp;IF(H104&lt;&gt;"",", W "&amp;H104&amp;" m",""))</f>
        <v/>
      </c>
      <c r="C104" s="9"/>
      <c r="D104" s="9"/>
      <c r="E104" s="9"/>
      <c r="F104" s="42"/>
      <c r="G104" s="42"/>
      <c r="H104" s="42"/>
      <c r="I104" s="9"/>
      <c r="J104" s="9"/>
      <c r="K104" s="9"/>
      <c r="L104" s="9"/>
      <c r="M104" s="9"/>
      <c r="N104" s="38"/>
      <c r="O104" s="9"/>
      <c r="P104" s="39"/>
      <c r="Q104" s="9"/>
      <c r="R104" s="9"/>
      <c r="S104" s="9"/>
      <c r="T104" s="9"/>
      <c r="U104" s="9"/>
      <c r="V104" s="9"/>
      <c r="W104" s="9"/>
      <c r="X104" s="10" t="str">
        <f aca="false">IF(A104="","",SG_Criteria!$B$6&amp;SG_Criteria!$B$13&amp;"\"&amp;A104&amp;"\")</f>
        <v/>
      </c>
      <c r="Y104" s="10" t="str">
        <f aca="false">IF(A104="","",A104&amp;"_CAD.dwg")</f>
        <v/>
      </c>
      <c r="Z104" s="10" t="str">
        <f aca="false">IF(A104="","",A104&amp;"_DWG.pdf")</f>
        <v/>
      </c>
      <c r="AA104" s="10" t="str">
        <f aca="false">IF(A104="","",IF(W104="Y",A104&amp;"_STAAD.std","n/a"))</f>
        <v/>
      </c>
      <c r="AB104" s="10" t="str">
        <f aca="false">IF(A104="","",A104&amp;"_CALC.xlsx")</f>
        <v/>
      </c>
      <c r="AC104" s="10" t="str">
        <f aca="false">IF(A104="","",A104&amp;"_CALC.pdf")</f>
        <v/>
      </c>
      <c r="AD104" s="9"/>
      <c r="AE104" s="9"/>
      <c r="AF104" s="39"/>
      <c r="AG104" s="39"/>
      <c r="AH104" s="39"/>
      <c r="AI104" s="39"/>
      <c r="AJ104" s="39"/>
      <c r="AK104" s="12" t="str">
        <f aca="false">IF(A104="","",IF(COUNTIF(Rebar_Schedule!$A$5:$A$2004,A104)=0,"",ROUND(SUMIF(Rebar_Schedule!$A$5:$A$2004,A104,Rebar_Schedule!$K$5:$K$2004),1)))</f>
        <v/>
      </c>
      <c r="AL104" s="33" t="str">
        <f aca="false">IF(A104="","",IF(AK104="","No rebar schedule yet",IF(ABS(AK104-N(AG104))/MAX(N(AG104),1)&gt;SG_Criteria!$B$55,"NOTE: register rebar differs from schedule by "&amp;TEXT(ABS(AK104-N(AG104))/MAX(N(AG104),1),"0%"),"OK")))</f>
        <v/>
      </c>
      <c r="AM104" s="33" t="str">
        <f aca="false">IF(D104="","","OK")</f>
        <v/>
      </c>
      <c r="AN104" s="9"/>
      <c r="AO104" s="9"/>
      <c r="AP104" s="9"/>
      <c r="AQ104" s="10" t="str">
        <f aca="false">IF(AP104="","",IFERROR(VLOOKUP(AP104,Projects!$A$5:$D$504,2,0),"Ref not in Projects"))</f>
        <v/>
      </c>
      <c r="AR104" s="10" t="str">
        <f aca="false">IF(AP104="","",IFERROR(VLOOKUP(AP104,Projects!$A$5:$D$504,4,0),"Ref not in Projects"))</f>
        <v/>
      </c>
      <c r="AS104" s="9"/>
      <c r="AT104" s="9"/>
      <c r="AU104" s="9"/>
      <c r="AV104" s="40"/>
      <c r="AW104" s="9"/>
      <c r="AX104" s="40"/>
      <c r="AY104" s="9"/>
      <c r="AZ104" s="40"/>
      <c r="BA104" s="9"/>
      <c r="BB104" s="9"/>
      <c r="BC104" s="9"/>
      <c r="BD104" s="40"/>
      <c r="BE104" s="40"/>
      <c r="BF104" s="36" t="str">
        <f aca="false">IF(BE104="","",EDATE(BE104,SG_Criteria!$B$54*12))</f>
        <v/>
      </c>
      <c r="BG104" s="33" t="str">
        <f aca="true">IF(A104="","",IF(BE104="","NOTE: not reviewed yet",IF(TODAY()&gt;BF104,"NOTE: review overdue","OK")))</f>
        <v/>
      </c>
      <c r="BH104" s="37" t="str">
        <f aca="false">IF(A104="","",ROUND((IF(LEN(D104)&gt;0,1,0)+IF(LEN(E104)&gt;0,1,0)+IF(LEN(I104)&gt;0,1,0)+IF(LEN(K104)&gt;0,1,0)+IF(LEN(Q104)&gt;0,1,0)+IF(LEN(S104)&gt;0,1,0)+IF(LEN(T104)&gt;0,1,0)+IF(LEN(U104)&gt;0,1,0)+IF(LEN(V104)&gt;0,1,0)+IF(LEN(AE104)&gt;0,1,0)+IF(LEN(AP104)&gt;0,1,0)+IF(LEN(BC104)&gt;0,1,0))/12,2))</f>
        <v/>
      </c>
      <c r="BI104" s="10" t="str">
        <f aca="false">IF(D104="","",IF(AND(T104="Approved",ISERROR(SEARCH("FAIL",AM104))),"Y","N"))</f>
        <v/>
      </c>
    </row>
    <row r="105" customFormat="false" ht="15" hidden="false" customHeight="false" outlineLevel="0" collapsed="false">
      <c r="A105" s="10" t="str">
        <f aca="false">IF(D105="","",IFERROR(VLOOKUP(D105,Lists!$BI$4:$BJ$20,2,0),"??")&amp;"-"&amp;UPPER(SUBSTITUTE(E105," ",""))&amp;IF(F105&lt;&gt;"","-SP"&amp;TEXT(F105*1000,"0"),"")&amp;IF(G105&lt;&gt;"","-H"&amp;TEXT(G105*1000,"0"),"")&amp;"-"&amp;S105)</f>
        <v/>
      </c>
      <c r="B105" s="10" t="str">
        <f aca="false">IF(D105="","",D105&amp;" - "&amp;E105&amp;IF(F105&lt;&gt;"",", span "&amp;F105&amp;" m","")&amp;IF(G105&lt;&gt;"",", H "&amp;G105&amp;" m","")&amp;IF(H105&lt;&gt;"",", W "&amp;H105&amp;" m",""))</f>
        <v/>
      </c>
      <c r="C105" s="9"/>
      <c r="D105" s="9"/>
      <c r="E105" s="9"/>
      <c r="F105" s="42"/>
      <c r="G105" s="42"/>
      <c r="H105" s="42"/>
      <c r="I105" s="9"/>
      <c r="J105" s="9"/>
      <c r="K105" s="9"/>
      <c r="L105" s="9"/>
      <c r="M105" s="9"/>
      <c r="N105" s="38"/>
      <c r="O105" s="9"/>
      <c r="P105" s="39"/>
      <c r="Q105" s="9"/>
      <c r="R105" s="9"/>
      <c r="S105" s="9"/>
      <c r="T105" s="9"/>
      <c r="U105" s="9"/>
      <c r="V105" s="9"/>
      <c r="W105" s="9"/>
      <c r="X105" s="10" t="str">
        <f aca="false">IF(A105="","",SG_Criteria!$B$6&amp;SG_Criteria!$B$13&amp;"\"&amp;A105&amp;"\")</f>
        <v/>
      </c>
      <c r="Y105" s="10" t="str">
        <f aca="false">IF(A105="","",A105&amp;"_CAD.dwg")</f>
        <v/>
      </c>
      <c r="Z105" s="10" t="str">
        <f aca="false">IF(A105="","",A105&amp;"_DWG.pdf")</f>
        <v/>
      </c>
      <c r="AA105" s="10" t="str">
        <f aca="false">IF(A105="","",IF(W105="Y",A105&amp;"_STAAD.std","n/a"))</f>
        <v/>
      </c>
      <c r="AB105" s="10" t="str">
        <f aca="false">IF(A105="","",A105&amp;"_CALC.xlsx")</f>
        <v/>
      </c>
      <c r="AC105" s="10" t="str">
        <f aca="false">IF(A105="","",A105&amp;"_CALC.pdf")</f>
        <v/>
      </c>
      <c r="AD105" s="9"/>
      <c r="AE105" s="9"/>
      <c r="AF105" s="39"/>
      <c r="AG105" s="39"/>
      <c r="AH105" s="39"/>
      <c r="AI105" s="39"/>
      <c r="AJ105" s="39"/>
      <c r="AK105" s="12" t="str">
        <f aca="false">IF(A105="","",IF(COUNTIF(Rebar_Schedule!$A$5:$A$2004,A105)=0,"",ROUND(SUMIF(Rebar_Schedule!$A$5:$A$2004,A105,Rebar_Schedule!$K$5:$K$2004),1)))</f>
        <v/>
      </c>
      <c r="AL105" s="33" t="str">
        <f aca="false">IF(A105="","",IF(AK105="","No rebar schedule yet",IF(ABS(AK105-N(AG105))/MAX(N(AG105),1)&gt;SG_Criteria!$B$55,"NOTE: register rebar differs from schedule by "&amp;TEXT(ABS(AK105-N(AG105))/MAX(N(AG105),1),"0%"),"OK")))</f>
        <v/>
      </c>
      <c r="AM105" s="33" t="str">
        <f aca="false">IF(D105="","","OK")</f>
        <v/>
      </c>
      <c r="AN105" s="9"/>
      <c r="AO105" s="9"/>
      <c r="AP105" s="9"/>
      <c r="AQ105" s="10" t="str">
        <f aca="false">IF(AP105="","",IFERROR(VLOOKUP(AP105,Projects!$A$5:$D$504,2,0),"Ref not in Projects"))</f>
        <v/>
      </c>
      <c r="AR105" s="10" t="str">
        <f aca="false">IF(AP105="","",IFERROR(VLOOKUP(AP105,Projects!$A$5:$D$504,4,0),"Ref not in Projects"))</f>
        <v/>
      </c>
      <c r="AS105" s="9"/>
      <c r="AT105" s="9"/>
      <c r="AU105" s="9"/>
      <c r="AV105" s="40"/>
      <c r="AW105" s="9"/>
      <c r="AX105" s="40"/>
      <c r="AY105" s="9"/>
      <c r="AZ105" s="40"/>
      <c r="BA105" s="9"/>
      <c r="BB105" s="9"/>
      <c r="BC105" s="9"/>
      <c r="BD105" s="40"/>
      <c r="BE105" s="40"/>
      <c r="BF105" s="36" t="str">
        <f aca="false">IF(BE105="","",EDATE(BE105,SG_Criteria!$B$54*12))</f>
        <v/>
      </c>
      <c r="BG105" s="33" t="str">
        <f aca="true">IF(A105="","",IF(BE105="","NOTE: not reviewed yet",IF(TODAY()&gt;BF105,"NOTE: review overdue","OK")))</f>
        <v/>
      </c>
      <c r="BH105" s="37" t="str">
        <f aca="false">IF(A105="","",ROUND((IF(LEN(D105)&gt;0,1,0)+IF(LEN(E105)&gt;0,1,0)+IF(LEN(I105)&gt;0,1,0)+IF(LEN(K105)&gt;0,1,0)+IF(LEN(Q105)&gt;0,1,0)+IF(LEN(S105)&gt;0,1,0)+IF(LEN(T105)&gt;0,1,0)+IF(LEN(U105)&gt;0,1,0)+IF(LEN(V105)&gt;0,1,0)+IF(LEN(AE105)&gt;0,1,0)+IF(LEN(AP105)&gt;0,1,0)+IF(LEN(BC105)&gt;0,1,0))/12,2))</f>
        <v/>
      </c>
      <c r="BI105" s="10" t="str">
        <f aca="false">IF(D105="","",IF(AND(T105="Approved",ISERROR(SEARCH("FAIL",AM105))),"Y","N"))</f>
        <v/>
      </c>
    </row>
    <row r="106" customFormat="false" ht="15" hidden="false" customHeight="false" outlineLevel="0" collapsed="false">
      <c r="A106" s="10" t="str">
        <f aca="false">IF(D106="","",IFERROR(VLOOKUP(D106,Lists!$BI$4:$BJ$20,2,0),"??")&amp;"-"&amp;UPPER(SUBSTITUTE(E106," ",""))&amp;IF(F106&lt;&gt;"","-SP"&amp;TEXT(F106*1000,"0"),"")&amp;IF(G106&lt;&gt;"","-H"&amp;TEXT(G106*1000,"0"),"")&amp;"-"&amp;S106)</f>
        <v/>
      </c>
      <c r="B106" s="10" t="str">
        <f aca="false">IF(D106="","",D106&amp;" - "&amp;E106&amp;IF(F106&lt;&gt;"",", span "&amp;F106&amp;" m","")&amp;IF(G106&lt;&gt;"",", H "&amp;G106&amp;" m","")&amp;IF(H106&lt;&gt;"",", W "&amp;H106&amp;" m",""))</f>
        <v/>
      </c>
      <c r="C106" s="9"/>
      <c r="D106" s="9"/>
      <c r="E106" s="9"/>
      <c r="F106" s="42"/>
      <c r="G106" s="42"/>
      <c r="H106" s="42"/>
      <c r="I106" s="9"/>
      <c r="J106" s="9"/>
      <c r="K106" s="9"/>
      <c r="L106" s="9"/>
      <c r="M106" s="9"/>
      <c r="N106" s="38"/>
      <c r="O106" s="9"/>
      <c r="P106" s="39"/>
      <c r="Q106" s="9"/>
      <c r="R106" s="9"/>
      <c r="S106" s="9"/>
      <c r="T106" s="9"/>
      <c r="U106" s="9"/>
      <c r="V106" s="9"/>
      <c r="W106" s="9"/>
      <c r="X106" s="10" t="str">
        <f aca="false">IF(A106="","",SG_Criteria!$B$6&amp;SG_Criteria!$B$13&amp;"\"&amp;A106&amp;"\")</f>
        <v/>
      </c>
      <c r="Y106" s="10" t="str">
        <f aca="false">IF(A106="","",A106&amp;"_CAD.dwg")</f>
        <v/>
      </c>
      <c r="Z106" s="10" t="str">
        <f aca="false">IF(A106="","",A106&amp;"_DWG.pdf")</f>
        <v/>
      </c>
      <c r="AA106" s="10" t="str">
        <f aca="false">IF(A106="","",IF(W106="Y",A106&amp;"_STAAD.std","n/a"))</f>
        <v/>
      </c>
      <c r="AB106" s="10" t="str">
        <f aca="false">IF(A106="","",A106&amp;"_CALC.xlsx")</f>
        <v/>
      </c>
      <c r="AC106" s="10" t="str">
        <f aca="false">IF(A106="","",A106&amp;"_CALC.pdf")</f>
        <v/>
      </c>
      <c r="AD106" s="9"/>
      <c r="AE106" s="9"/>
      <c r="AF106" s="39"/>
      <c r="AG106" s="39"/>
      <c r="AH106" s="39"/>
      <c r="AI106" s="39"/>
      <c r="AJ106" s="39"/>
      <c r="AK106" s="12" t="str">
        <f aca="false">IF(A106="","",IF(COUNTIF(Rebar_Schedule!$A$5:$A$2004,A106)=0,"",ROUND(SUMIF(Rebar_Schedule!$A$5:$A$2004,A106,Rebar_Schedule!$K$5:$K$2004),1)))</f>
        <v/>
      </c>
      <c r="AL106" s="33" t="str">
        <f aca="false">IF(A106="","",IF(AK106="","No rebar schedule yet",IF(ABS(AK106-N(AG106))/MAX(N(AG106),1)&gt;SG_Criteria!$B$55,"NOTE: register rebar differs from schedule by "&amp;TEXT(ABS(AK106-N(AG106))/MAX(N(AG106),1),"0%"),"OK")))</f>
        <v/>
      </c>
      <c r="AM106" s="33" t="str">
        <f aca="false">IF(D106="","","OK")</f>
        <v/>
      </c>
      <c r="AN106" s="9"/>
      <c r="AO106" s="9"/>
      <c r="AP106" s="9"/>
      <c r="AQ106" s="10" t="str">
        <f aca="false">IF(AP106="","",IFERROR(VLOOKUP(AP106,Projects!$A$5:$D$504,2,0),"Ref not in Projects"))</f>
        <v/>
      </c>
      <c r="AR106" s="10" t="str">
        <f aca="false">IF(AP106="","",IFERROR(VLOOKUP(AP106,Projects!$A$5:$D$504,4,0),"Ref not in Projects"))</f>
        <v/>
      </c>
      <c r="AS106" s="9"/>
      <c r="AT106" s="9"/>
      <c r="AU106" s="9"/>
      <c r="AV106" s="40"/>
      <c r="AW106" s="9"/>
      <c r="AX106" s="40"/>
      <c r="AY106" s="9"/>
      <c r="AZ106" s="40"/>
      <c r="BA106" s="9"/>
      <c r="BB106" s="9"/>
      <c r="BC106" s="9"/>
      <c r="BD106" s="40"/>
      <c r="BE106" s="40"/>
      <c r="BF106" s="36" t="str">
        <f aca="false">IF(BE106="","",EDATE(BE106,SG_Criteria!$B$54*12))</f>
        <v/>
      </c>
      <c r="BG106" s="33" t="str">
        <f aca="true">IF(A106="","",IF(BE106="","NOTE: not reviewed yet",IF(TODAY()&gt;BF106,"NOTE: review overdue","OK")))</f>
        <v/>
      </c>
      <c r="BH106" s="37" t="str">
        <f aca="false">IF(A106="","",ROUND((IF(LEN(D106)&gt;0,1,0)+IF(LEN(E106)&gt;0,1,0)+IF(LEN(I106)&gt;0,1,0)+IF(LEN(K106)&gt;0,1,0)+IF(LEN(Q106)&gt;0,1,0)+IF(LEN(S106)&gt;0,1,0)+IF(LEN(T106)&gt;0,1,0)+IF(LEN(U106)&gt;0,1,0)+IF(LEN(V106)&gt;0,1,0)+IF(LEN(AE106)&gt;0,1,0)+IF(LEN(AP106)&gt;0,1,0)+IF(LEN(BC106)&gt;0,1,0))/12,2))</f>
        <v/>
      </c>
      <c r="BI106" s="10" t="str">
        <f aca="false">IF(D106="","",IF(AND(T106="Approved",ISERROR(SEARCH("FAIL",AM106))),"Y","N"))</f>
        <v/>
      </c>
    </row>
    <row r="107" customFormat="false" ht="15" hidden="false" customHeight="false" outlineLevel="0" collapsed="false">
      <c r="A107" s="10" t="str">
        <f aca="false">IF(D107="","",IFERROR(VLOOKUP(D107,Lists!$BI$4:$BJ$20,2,0),"??")&amp;"-"&amp;UPPER(SUBSTITUTE(E107," ",""))&amp;IF(F107&lt;&gt;"","-SP"&amp;TEXT(F107*1000,"0"),"")&amp;IF(G107&lt;&gt;"","-H"&amp;TEXT(G107*1000,"0"),"")&amp;"-"&amp;S107)</f>
        <v/>
      </c>
      <c r="B107" s="10" t="str">
        <f aca="false">IF(D107="","",D107&amp;" - "&amp;E107&amp;IF(F107&lt;&gt;"",", span "&amp;F107&amp;" m","")&amp;IF(G107&lt;&gt;"",", H "&amp;G107&amp;" m","")&amp;IF(H107&lt;&gt;"",", W "&amp;H107&amp;" m",""))</f>
        <v/>
      </c>
      <c r="C107" s="9"/>
      <c r="D107" s="9"/>
      <c r="E107" s="9"/>
      <c r="F107" s="42"/>
      <c r="G107" s="42"/>
      <c r="H107" s="42"/>
      <c r="I107" s="9"/>
      <c r="J107" s="9"/>
      <c r="K107" s="9"/>
      <c r="L107" s="9"/>
      <c r="M107" s="9"/>
      <c r="N107" s="38"/>
      <c r="O107" s="9"/>
      <c r="P107" s="39"/>
      <c r="Q107" s="9"/>
      <c r="R107" s="9"/>
      <c r="S107" s="9"/>
      <c r="T107" s="9"/>
      <c r="U107" s="9"/>
      <c r="V107" s="9"/>
      <c r="W107" s="9"/>
      <c r="X107" s="10" t="str">
        <f aca="false">IF(A107="","",SG_Criteria!$B$6&amp;SG_Criteria!$B$13&amp;"\"&amp;A107&amp;"\")</f>
        <v/>
      </c>
      <c r="Y107" s="10" t="str">
        <f aca="false">IF(A107="","",A107&amp;"_CAD.dwg")</f>
        <v/>
      </c>
      <c r="Z107" s="10" t="str">
        <f aca="false">IF(A107="","",A107&amp;"_DWG.pdf")</f>
        <v/>
      </c>
      <c r="AA107" s="10" t="str">
        <f aca="false">IF(A107="","",IF(W107="Y",A107&amp;"_STAAD.std","n/a"))</f>
        <v/>
      </c>
      <c r="AB107" s="10" t="str">
        <f aca="false">IF(A107="","",A107&amp;"_CALC.xlsx")</f>
        <v/>
      </c>
      <c r="AC107" s="10" t="str">
        <f aca="false">IF(A107="","",A107&amp;"_CALC.pdf")</f>
        <v/>
      </c>
      <c r="AD107" s="9"/>
      <c r="AE107" s="9"/>
      <c r="AF107" s="39"/>
      <c r="AG107" s="39"/>
      <c r="AH107" s="39"/>
      <c r="AI107" s="39"/>
      <c r="AJ107" s="39"/>
      <c r="AK107" s="12" t="str">
        <f aca="false">IF(A107="","",IF(COUNTIF(Rebar_Schedule!$A$5:$A$2004,A107)=0,"",ROUND(SUMIF(Rebar_Schedule!$A$5:$A$2004,A107,Rebar_Schedule!$K$5:$K$2004),1)))</f>
        <v/>
      </c>
      <c r="AL107" s="33" t="str">
        <f aca="false">IF(A107="","",IF(AK107="","No rebar schedule yet",IF(ABS(AK107-N(AG107))/MAX(N(AG107),1)&gt;SG_Criteria!$B$55,"NOTE: register rebar differs from schedule by "&amp;TEXT(ABS(AK107-N(AG107))/MAX(N(AG107),1),"0%"),"OK")))</f>
        <v/>
      </c>
      <c r="AM107" s="33" t="str">
        <f aca="false">IF(D107="","","OK")</f>
        <v/>
      </c>
      <c r="AN107" s="9"/>
      <c r="AO107" s="9"/>
      <c r="AP107" s="9"/>
      <c r="AQ107" s="10" t="str">
        <f aca="false">IF(AP107="","",IFERROR(VLOOKUP(AP107,Projects!$A$5:$D$504,2,0),"Ref not in Projects"))</f>
        <v/>
      </c>
      <c r="AR107" s="10" t="str">
        <f aca="false">IF(AP107="","",IFERROR(VLOOKUP(AP107,Projects!$A$5:$D$504,4,0),"Ref not in Projects"))</f>
        <v/>
      </c>
      <c r="AS107" s="9"/>
      <c r="AT107" s="9"/>
      <c r="AU107" s="9"/>
      <c r="AV107" s="40"/>
      <c r="AW107" s="9"/>
      <c r="AX107" s="40"/>
      <c r="AY107" s="9"/>
      <c r="AZ107" s="40"/>
      <c r="BA107" s="9"/>
      <c r="BB107" s="9"/>
      <c r="BC107" s="9"/>
      <c r="BD107" s="40"/>
      <c r="BE107" s="40"/>
      <c r="BF107" s="36" t="str">
        <f aca="false">IF(BE107="","",EDATE(BE107,SG_Criteria!$B$54*12))</f>
        <v/>
      </c>
      <c r="BG107" s="33" t="str">
        <f aca="true">IF(A107="","",IF(BE107="","NOTE: not reviewed yet",IF(TODAY()&gt;BF107,"NOTE: review overdue","OK")))</f>
        <v/>
      </c>
      <c r="BH107" s="37" t="str">
        <f aca="false">IF(A107="","",ROUND((IF(LEN(D107)&gt;0,1,0)+IF(LEN(E107)&gt;0,1,0)+IF(LEN(I107)&gt;0,1,0)+IF(LEN(K107)&gt;0,1,0)+IF(LEN(Q107)&gt;0,1,0)+IF(LEN(S107)&gt;0,1,0)+IF(LEN(T107)&gt;0,1,0)+IF(LEN(U107)&gt;0,1,0)+IF(LEN(V107)&gt;0,1,0)+IF(LEN(AE107)&gt;0,1,0)+IF(LEN(AP107)&gt;0,1,0)+IF(LEN(BC107)&gt;0,1,0))/12,2))</f>
        <v/>
      </c>
      <c r="BI107" s="10" t="str">
        <f aca="false">IF(D107="","",IF(AND(T107="Approved",ISERROR(SEARCH("FAIL",AM107))),"Y","N"))</f>
        <v/>
      </c>
    </row>
    <row r="108" customFormat="false" ht="15" hidden="false" customHeight="false" outlineLevel="0" collapsed="false">
      <c r="A108" s="10" t="str">
        <f aca="false">IF(D108="","",IFERROR(VLOOKUP(D108,Lists!$BI$4:$BJ$20,2,0),"??")&amp;"-"&amp;UPPER(SUBSTITUTE(E108," ",""))&amp;IF(F108&lt;&gt;"","-SP"&amp;TEXT(F108*1000,"0"),"")&amp;IF(G108&lt;&gt;"","-H"&amp;TEXT(G108*1000,"0"),"")&amp;"-"&amp;S108)</f>
        <v/>
      </c>
      <c r="B108" s="10" t="str">
        <f aca="false">IF(D108="","",D108&amp;" - "&amp;E108&amp;IF(F108&lt;&gt;"",", span "&amp;F108&amp;" m","")&amp;IF(G108&lt;&gt;"",", H "&amp;G108&amp;" m","")&amp;IF(H108&lt;&gt;"",", W "&amp;H108&amp;" m",""))</f>
        <v/>
      </c>
      <c r="C108" s="9"/>
      <c r="D108" s="9"/>
      <c r="E108" s="9"/>
      <c r="F108" s="42"/>
      <c r="G108" s="42"/>
      <c r="H108" s="42"/>
      <c r="I108" s="9"/>
      <c r="J108" s="9"/>
      <c r="K108" s="9"/>
      <c r="L108" s="9"/>
      <c r="M108" s="9"/>
      <c r="N108" s="38"/>
      <c r="O108" s="9"/>
      <c r="P108" s="39"/>
      <c r="Q108" s="9"/>
      <c r="R108" s="9"/>
      <c r="S108" s="9"/>
      <c r="T108" s="9"/>
      <c r="U108" s="9"/>
      <c r="V108" s="9"/>
      <c r="W108" s="9"/>
      <c r="X108" s="10" t="str">
        <f aca="false">IF(A108="","",SG_Criteria!$B$6&amp;SG_Criteria!$B$13&amp;"\"&amp;A108&amp;"\")</f>
        <v/>
      </c>
      <c r="Y108" s="10" t="str">
        <f aca="false">IF(A108="","",A108&amp;"_CAD.dwg")</f>
        <v/>
      </c>
      <c r="Z108" s="10" t="str">
        <f aca="false">IF(A108="","",A108&amp;"_DWG.pdf")</f>
        <v/>
      </c>
      <c r="AA108" s="10" t="str">
        <f aca="false">IF(A108="","",IF(W108="Y",A108&amp;"_STAAD.std","n/a"))</f>
        <v/>
      </c>
      <c r="AB108" s="10" t="str">
        <f aca="false">IF(A108="","",A108&amp;"_CALC.xlsx")</f>
        <v/>
      </c>
      <c r="AC108" s="10" t="str">
        <f aca="false">IF(A108="","",A108&amp;"_CALC.pdf")</f>
        <v/>
      </c>
      <c r="AD108" s="9"/>
      <c r="AE108" s="9"/>
      <c r="AF108" s="39"/>
      <c r="AG108" s="39"/>
      <c r="AH108" s="39"/>
      <c r="AI108" s="39"/>
      <c r="AJ108" s="39"/>
      <c r="AK108" s="12" t="str">
        <f aca="false">IF(A108="","",IF(COUNTIF(Rebar_Schedule!$A$5:$A$2004,A108)=0,"",ROUND(SUMIF(Rebar_Schedule!$A$5:$A$2004,A108,Rebar_Schedule!$K$5:$K$2004),1)))</f>
        <v/>
      </c>
      <c r="AL108" s="33" t="str">
        <f aca="false">IF(A108="","",IF(AK108="","No rebar schedule yet",IF(ABS(AK108-N(AG108))/MAX(N(AG108),1)&gt;SG_Criteria!$B$55,"NOTE: register rebar differs from schedule by "&amp;TEXT(ABS(AK108-N(AG108))/MAX(N(AG108),1),"0%"),"OK")))</f>
        <v/>
      </c>
      <c r="AM108" s="33" t="str">
        <f aca="false">IF(D108="","","OK")</f>
        <v/>
      </c>
      <c r="AN108" s="9"/>
      <c r="AO108" s="9"/>
      <c r="AP108" s="9"/>
      <c r="AQ108" s="10" t="str">
        <f aca="false">IF(AP108="","",IFERROR(VLOOKUP(AP108,Projects!$A$5:$D$504,2,0),"Ref not in Projects"))</f>
        <v/>
      </c>
      <c r="AR108" s="10" t="str">
        <f aca="false">IF(AP108="","",IFERROR(VLOOKUP(AP108,Projects!$A$5:$D$504,4,0),"Ref not in Projects"))</f>
        <v/>
      </c>
      <c r="AS108" s="9"/>
      <c r="AT108" s="9"/>
      <c r="AU108" s="9"/>
      <c r="AV108" s="40"/>
      <c r="AW108" s="9"/>
      <c r="AX108" s="40"/>
      <c r="AY108" s="9"/>
      <c r="AZ108" s="40"/>
      <c r="BA108" s="9"/>
      <c r="BB108" s="9"/>
      <c r="BC108" s="9"/>
      <c r="BD108" s="40"/>
      <c r="BE108" s="40"/>
      <c r="BF108" s="36" t="str">
        <f aca="false">IF(BE108="","",EDATE(BE108,SG_Criteria!$B$54*12))</f>
        <v/>
      </c>
      <c r="BG108" s="33" t="str">
        <f aca="true">IF(A108="","",IF(BE108="","NOTE: not reviewed yet",IF(TODAY()&gt;BF108,"NOTE: review overdue","OK")))</f>
        <v/>
      </c>
      <c r="BH108" s="37" t="str">
        <f aca="false">IF(A108="","",ROUND((IF(LEN(D108)&gt;0,1,0)+IF(LEN(E108)&gt;0,1,0)+IF(LEN(I108)&gt;0,1,0)+IF(LEN(K108)&gt;0,1,0)+IF(LEN(Q108)&gt;0,1,0)+IF(LEN(S108)&gt;0,1,0)+IF(LEN(T108)&gt;0,1,0)+IF(LEN(U108)&gt;0,1,0)+IF(LEN(V108)&gt;0,1,0)+IF(LEN(AE108)&gt;0,1,0)+IF(LEN(AP108)&gt;0,1,0)+IF(LEN(BC108)&gt;0,1,0))/12,2))</f>
        <v/>
      </c>
      <c r="BI108" s="10" t="str">
        <f aca="false">IF(D108="","",IF(AND(T108="Approved",ISERROR(SEARCH("FAIL",AM108))),"Y","N"))</f>
        <v/>
      </c>
    </row>
    <row r="109" customFormat="false" ht="15" hidden="false" customHeight="false" outlineLevel="0" collapsed="false">
      <c r="A109" s="10" t="str">
        <f aca="false">IF(D109="","",IFERROR(VLOOKUP(D109,Lists!$BI$4:$BJ$20,2,0),"??")&amp;"-"&amp;UPPER(SUBSTITUTE(E109," ",""))&amp;IF(F109&lt;&gt;"","-SP"&amp;TEXT(F109*1000,"0"),"")&amp;IF(G109&lt;&gt;"","-H"&amp;TEXT(G109*1000,"0"),"")&amp;"-"&amp;S109)</f>
        <v/>
      </c>
      <c r="B109" s="10" t="str">
        <f aca="false">IF(D109="","",D109&amp;" - "&amp;E109&amp;IF(F109&lt;&gt;"",", span "&amp;F109&amp;" m","")&amp;IF(G109&lt;&gt;"",", H "&amp;G109&amp;" m","")&amp;IF(H109&lt;&gt;"",", W "&amp;H109&amp;" m",""))</f>
        <v/>
      </c>
      <c r="C109" s="9"/>
      <c r="D109" s="9"/>
      <c r="E109" s="9"/>
      <c r="F109" s="42"/>
      <c r="G109" s="42"/>
      <c r="H109" s="42"/>
      <c r="I109" s="9"/>
      <c r="J109" s="9"/>
      <c r="K109" s="9"/>
      <c r="L109" s="9"/>
      <c r="M109" s="9"/>
      <c r="N109" s="38"/>
      <c r="O109" s="9"/>
      <c r="P109" s="39"/>
      <c r="Q109" s="9"/>
      <c r="R109" s="9"/>
      <c r="S109" s="9"/>
      <c r="T109" s="9"/>
      <c r="U109" s="9"/>
      <c r="V109" s="9"/>
      <c r="W109" s="9"/>
      <c r="X109" s="10" t="str">
        <f aca="false">IF(A109="","",SG_Criteria!$B$6&amp;SG_Criteria!$B$13&amp;"\"&amp;A109&amp;"\")</f>
        <v/>
      </c>
      <c r="Y109" s="10" t="str">
        <f aca="false">IF(A109="","",A109&amp;"_CAD.dwg")</f>
        <v/>
      </c>
      <c r="Z109" s="10" t="str">
        <f aca="false">IF(A109="","",A109&amp;"_DWG.pdf")</f>
        <v/>
      </c>
      <c r="AA109" s="10" t="str">
        <f aca="false">IF(A109="","",IF(W109="Y",A109&amp;"_STAAD.std","n/a"))</f>
        <v/>
      </c>
      <c r="AB109" s="10" t="str">
        <f aca="false">IF(A109="","",A109&amp;"_CALC.xlsx")</f>
        <v/>
      </c>
      <c r="AC109" s="10" t="str">
        <f aca="false">IF(A109="","",A109&amp;"_CALC.pdf")</f>
        <v/>
      </c>
      <c r="AD109" s="9"/>
      <c r="AE109" s="9"/>
      <c r="AF109" s="39"/>
      <c r="AG109" s="39"/>
      <c r="AH109" s="39"/>
      <c r="AI109" s="39"/>
      <c r="AJ109" s="39"/>
      <c r="AK109" s="12" t="str">
        <f aca="false">IF(A109="","",IF(COUNTIF(Rebar_Schedule!$A$5:$A$2004,A109)=0,"",ROUND(SUMIF(Rebar_Schedule!$A$5:$A$2004,A109,Rebar_Schedule!$K$5:$K$2004),1)))</f>
        <v/>
      </c>
      <c r="AL109" s="33" t="str">
        <f aca="false">IF(A109="","",IF(AK109="","No rebar schedule yet",IF(ABS(AK109-N(AG109))/MAX(N(AG109),1)&gt;SG_Criteria!$B$55,"NOTE: register rebar differs from schedule by "&amp;TEXT(ABS(AK109-N(AG109))/MAX(N(AG109),1),"0%"),"OK")))</f>
        <v/>
      </c>
      <c r="AM109" s="33" t="str">
        <f aca="false">IF(D109="","","OK")</f>
        <v/>
      </c>
      <c r="AN109" s="9"/>
      <c r="AO109" s="9"/>
      <c r="AP109" s="9"/>
      <c r="AQ109" s="10" t="str">
        <f aca="false">IF(AP109="","",IFERROR(VLOOKUP(AP109,Projects!$A$5:$D$504,2,0),"Ref not in Projects"))</f>
        <v/>
      </c>
      <c r="AR109" s="10" t="str">
        <f aca="false">IF(AP109="","",IFERROR(VLOOKUP(AP109,Projects!$A$5:$D$504,4,0),"Ref not in Projects"))</f>
        <v/>
      </c>
      <c r="AS109" s="9"/>
      <c r="AT109" s="9"/>
      <c r="AU109" s="9"/>
      <c r="AV109" s="40"/>
      <c r="AW109" s="9"/>
      <c r="AX109" s="40"/>
      <c r="AY109" s="9"/>
      <c r="AZ109" s="40"/>
      <c r="BA109" s="9"/>
      <c r="BB109" s="9"/>
      <c r="BC109" s="9"/>
      <c r="BD109" s="40"/>
      <c r="BE109" s="40"/>
      <c r="BF109" s="36" t="str">
        <f aca="false">IF(BE109="","",EDATE(BE109,SG_Criteria!$B$54*12))</f>
        <v/>
      </c>
      <c r="BG109" s="33" t="str">
        <f aca="true">IF(A109="","",IF(BE109="","NOTE: not reviewed yet",IF(TODAY()&gt;BF109,"NOTE: review overdue","OK")))</f>
        <v/>
      </c>
      <c r="BH109" s="37" t="str">
        <f aca="false">IF(A109="","",ROUND((IF(LEN(D109)&gt;0,1,0)+IF(LEN(E109)&gt;0,1,0)+IF(LEN(I109)&gt;0,1,0)+IF(LEN(K109)&gt;0,1,0)+IF(LEN(Q109)&gt;0,1,0)+IF(LEN(S109)&gt;0,1,0)+IF(LEN(T109)&gt;0,1,0)+IF(LEN(U109)&gt;0,1,0)+IF(LEN(V109)&gt;0,1,0)+IF(LEN(AE109)&gt;0,1,0)+IF(LEN(AP109)&gt;0,1,0)+IF(LEN(BC109)&gt;0,1,0))/12,2))</f>
        <v/>
      </c>
      <c r="BI109" s="10" t="str">
        <f aca="false">IF(D109="","",IF(AND(T109="Approved",ISERROR(SEARCH("FAIL",AM109))),"Y","N"))</f>
        <v/>
      </c>
    </row>
    <row r="110" customFormat="false" ht="15" hidden="false" customHeight="false" outlineLevel="0" collapsed="false">
      <c r="A110" s="10" t="str">
        <f aca="false">IF(D110="","",IFERROR(VLOOKUP(D110,Lists!$BI$4:$BJ$20,2,0),"??")&amp;"-"&amp;UPPER(SUBSTITUTE(E110," ",""))&amp;IF(F110&lt;&gt;"","-SP"&amp;TEXT(F110*1000,"0"),"")&amp;IF(G110&lt;&gt;"","-H"&amp;TEXT(G110*1000,"0"),"")&amp;"-"&amp;S110)</f>
        <v/>
      </c>
      <c r="B110" s="10" t="str">
        <f aca="false">IF(D110="","",D110&amp;" - "&amp;E110&amp;IF(F110&lt;&gt;"",", span "&amp;F110&amp;" m","")&amp;IF(G110&lt;&gt;"",", H "&amp;G110&amp;" m","")&amp;IF(H110&lt;&gt;"",", W "&amp;H110&amp;" m",""))</f>
        <v/>
      </c>
      <c r="C110" s="9"/>
      <c r="D110" s="9"/>
      <c r="E110" s="9"/>
      <c r="F110" s="42"/>
      <c r="G110" s="42"/>
      <c r="H110" s="42"/>
      <c r="I110" s="9"/>
      <c r="J110" s="9"/>
      <c r="K110" s="9"/>
      <c r="L110" s="9"/>
      <c r="M110" s="9"/>
      <c r="N110" s="38"/>
      <c r="O110" s="9"/>
      <c r="P110" s="39"/>
      <c r="Q110" s="9"/>
      <c r="R110" s="9"/>
      <c r="S110" s="9"/>
      <c r="T110" s="9"/>
      <c r="U110" s="9"/>
      <c r="V110" s="9"/>
      <c r="W110" s="9"/>
      <c r="X110" s="10" t="str">
        <f aca="false">IF(A110="","",SG_Criteria!$B$6&amp;SG_Criteria!$B$13&amp;"\"&amp;A110&amp;"\")</f>
        <v/>
      </c>
      <c r="Y110" s="10" t="str">
        <f aca="false">IF(A110="","",A110&amp;"_CAD.dwg")</f>
        <v/>
      </c>
      <c r="Z110" s="10" t="str">
        <f aca="false">IF(A110="","",A110&amp;"_DWG.pdf")</f>
        <v/>
      </c>
      <c r="AA110" s="10" t="str">
        <f aca="false">IF(A110="","",IF(W110="Y",A110&amp;"_STAAD.std","n/a"))</f>
        <v/>
      </c>
      <c r="AB110" s="10" t="str">
        <f aca="false">IF(A110="","",A110&amp;"_CALC.xlsx")</f>
        <v/>
      </c>
      <c r="AC110" s="10" t="str">
        <f aca="false">IF(A110="","",A110&amp;"_CALC.pdf")</f>
        <v/>
      </c>
      <c r="AD110" s="9"/>
      <c r="AE110" s="9"/>
      <c r="AF110" s="39"/>
      <c r="AG110" s="39"/>
      <c r="AH110" s="39"/>
      <c r="AI110" s="39"/>
      <c r="AJ110" s="39"/>
      <c r="AK110" s="12" t="str">
        <f aca="false">IF(A110="","",IF(COUNTIF(Rebar_Schedule!$A$5:$A$2004,A110)=0,"",ROUND(SUMIF(Rebar_Schedule!$A$5:$A$2004,A110,Rebar_Schedule!$K$5:$K$2004),1)))</f>
        <v/>
      </c>
      <c r="AL110" s="33" t="str">
        <f aca="false">IF(A110="","",IF(AK110="","No rebar schedule yet",IF(ABS(AK110-N(AG110))/MAX(N(AG110),1)&gt;SG_Criteria!$B$55,"NOTE: register rebar differs from schedule by "&amp;TEXT(ABS(AK110-N(AG110))/MAX(N(AG110),1),"0%"),"OK")))</f>
        <v/>
      </c>
      <c r="AM110" s="33" t="str">
        <f aca="false">IF(D110="","","OK")</f>
        <v/>
      </c>
      <c r="AN110" s="9"/>
      <c r="AO110" s="9"/>
      <c r="AP110" s="9"/>
      <c r="AQ110" s="10" t="str">
        <f aca="false">IF(AP110="","",IFERROR(VLOOKUP(AP110,Projects!$A$5:$D$504,2,0),"Ref not in Projects"))</f>
        <v/>
      </c>
      <c r="AR110" s="10" t="str">
        <f aca="false">IF(AP110="","",IFERROR(VLOOKUP(AP110,Projects!$A$5:$D$504,4,0),"Ref not in Projects"))</f>
        <v/>
      </c>
      <c r="AS110" s="9"/>
      <c r="AT110" s="9"/>
      <c r="AU110" s="9"/>
      <c r="AV110" s="40"/>
      <c r="AW110" s="9"/>
      <c r="AX110" s="40"/>
      <c r="AY110" s="9"/>
      <c r="AZ110" s="40"/>
      <c r="BA110" s="9"/>
      <c r="BB110" s="9"/>
      <c r="BC110" s="9"/>
      <c r="BD110" s="40"/>
      <c r="BE110" s="40"/>
      <c r="BF110" s="36" t="str">
        <f aca="false">IF(BE110="","",EDATE(BE110,SG_Criteria!$B$54*12))</f>
        <v/>
      </c>
      <c r="BG110" s="33" t="str">
        <f aca="true">IF(A110="","",IF(BE110="","NOTE: not reviewed yet",IF(TODAY()&gt;BF110,"NOTE: review overdue","OK")))</f>
        <v/>
      </c>
      <c r="BH110" s="37" t="str">
        <f aca="false">IF(A110="","",ROUND((IF(LEN(D110)&gt;0,1,0)+IF(LEN(E110)&gt;0,1,0)+IF(LEN(I110)&gt;0,1,0)+IF(LEN(K110)&gt;0,1,0)+IF(LEN(Q110)&gt;0,1,0)+IF(LEN(S110)&gt;0,1,0)+IF(LEN(T110)&gt;0,1,0)+IF(LEN(U110)&gt;0,1,0)+IF(LEN(V110)&gt;0,1,0)+IF(LEN(AE110)&gt;0,1,0)+IF(LEN(AP110)&gt;0,1,0)+IF(LEN(BC110)&gt;0,1,0))/12,2))</f>
        <v/>
      </c>
      <c r="BI110" s="10" t="str">
        <f aca="false">IF(D110="","",IF(AND(T110="Approved",ISERROR(SEARCH("FAIL",AM110))),"Y","N"))</f>
        <v/>
      </c>
    </row>
    <row r="111" customFormat="false" ht="15" hidden="false" customHeight="false" outlineLevel="0" collapsed="false">
      <c r="A111" s="10" t="str">
        <f aca="false">IF(D111="","",IFERROR(VLOOKUP(D111,Lists!$BI$4:$BJ$20,2,0),"??")&amp;"-"&amp;UPPER(SUBSTITUTE(E111," ",""))&amp;IF(F111&lt;&gt;"","-SP"&amp;TEXT(F111*1000,"0"),"")&amp;IF(G111&lt;&gt;"","-H"&amp;TEXT(G111*1000,"0"),"")&amp;"-"&amp;S111)</f>
        <v/>
      </c>
      <c r="B111" s="10" t="str">
        <f aca="false">IF(D111="","",D111&amp;" - "&amp;E111&amp;IF(F111&lt;&gt;"",", span "&amp;F111&amp;" m","")&amp;IF(G111&lt;&gt;"",", H "&amp;G111&amp;" m","")&amp;IF(H111&lt;&gt;"",", W "&amp;H111&amp;" m",""))</f>
        <v/>
      </c>
      <c r="C111" s="9"/>
      <c r="D111" s="9"/>
      <c r="E111" s="9"/>
      <c r="F111" s="42"/>
      <c r="G111" s="42"/>
      <c r="H111" s="42"/>
      <c r="I111" s="9"/>
      <c r="J111" s="9"/>
      <c r="K111" s="9"/>
      <c r="L111" s="9"/>
      <c r="M111" s="9"/>
      <c r="N111" s="38"/>
      <c r="O111" s="9"/>
      <c r="P111" s="39"/>
      <c r="Q111" s="9"/>
      <c r="R111" s="9"/>
      <c r="S111" s="9"/>
      <c r="T111" s="9"/>
      <c r="U111" s="9"/>
      <c r="V111" s="9"/>
      <c r="W111" s="9"/>
      <c r="X111" s="10" t="str">
        <f aca="false">IF(A111="","",SG_Criteria!$B$6&amp;SG_Criteria!$B$13&amp;"\"&amp;A111&amp;"\")</f>
        <v/>
      </c>
      <c r="Y111" s="10" t="str">
        <f aca="false">IF(A111="","",A111&amp;"_CAD.dwg")</f>
        <v/>
      </c>
      <c r="Z111" s="10" t="str">
        <f aca="false">IF(A111="","",A111&amp;"_DWG.pdf")</f>
        <v/>
      </c>
      <c r="AA111" s="10" t="str">
        <f aca="false">IF(A111="","",IF(W111="Y",A111&amp;"_STAAD.std","n/a"))</f>
        <v/>
      </c>
      <c r="AB111" s="10" t="str">
        <f aca="false">IF(A111="","",A111&amp;"_CALC.xlsx")</f>
        <v/>
      </c>
      <c r="AC111" s="10" t="str">
        <f aca="false">IF(A111="","",A111&amp;"_CALC.pdf")</f>
        <v/>
      </c>
      <c r="AD111" s="9"/>
      <c r="AE111" s="9"/>
      <c r="AF111" s="39"/>
      <c r="AG111" s="39"/>
      <c r="AH111" s="39"/>
      <c r="AI111" s="39"/>
      <c r="AJ111" s="39"/>
      <c r="AK111" s="12" t="str">
        <f aca="false">IF(A111="","",IF(COUNTIF(Rebar_Schedule!$A$5:$A$2004,A111)=0,"",ROUND(SUMIF(Rebar_Schedule!$A$5:$A$2004,A111,Rebar_Schedule!$K$5:$K$2004),1)))</f>
        <v/>
      </c>
      <c r="AL111" s="33" t="str">
        <f aca="false">IF(A111="","",IF(AK111="","No rebar schedule yet",IF(ABS(AK111-N(AG111))/MAX(N(AG111),1)&gt;SG_Criteria!$B$55,"NOTE: register rebar differs from schedule by "&amp;TEXT(ABS(AK111-N(AG111))/MAX(N(AG111),1),"0%"),"OK")))</f>
        <v/>
      </c>
      <c r="AM111" s="33" t="str">
        <f aca="false">IF(D111="","","OK")</f>
        <v/>
      </c>
      <c r="AN111" s="9"/>
      <c r="AO111" s="9"/>
      <c r="AP111" s="9"/>
      <c r="AQ111" s="10" t="str">
        <f aca="false">IF(AP111="","",IFERROR(VLOOKUP(AP111,Projects!$A$5:$D$504,2,0),"Ref not in Projects"))</f>
        <v/>
      </c>
      <c r="AR111" s="10" t="str">
        <f aca="false">IF(AP111="","",IFERROR(VLOOKUP(AP111,Projects!$A$5:$D$504,4,0),"Ref not in Projects"))</f>
        <v/>
      </c>
      <c r="AS111" s="9"/>
      <c r="AT111" s="9"/>
      <c r="AU111" s="9"/>
      <c r="AV111" s="40"/>
      <c r="AW111" s="9"/>
      <c r="AX111" s="40"/>
      <c r="AY111" s="9"/>
      <c r="AZ111" s="40"/>
      <c r="BA111" s="9"/>
      <c r="BB111" s="9"/>
      <c r="BC111" s="9"/>
      <c r="BD111" s="40"/>
      <c r="BE111" s="40"/>
      <c r="BF111" s="36" t="str">
        <f aca="false">IF(BE111="","",EDATE(BE111,SG_Criteria!$B$54*12))</f>
        <v/>
      </c>
      <c r="BG111" s="33" t="str">
        <f aca="true">IF(A111="","",IF(BE111="","NOTE: not reviewed yet",IF(TODAY()&gt;BF111,"NOTE: review overdue","OK")))</f>
        <v/>
      </c>
      <c r="BH111" s="37" t="str">
        <f aca="false">IF(A111="","",ROUND((IF(LEN(D111)&gt;0,1,0)+IF(LEN(E111)&gt;0,1,0)+IF(LEN(I111)&gt;0,1,0)+IF(LEN(K111)&gt;0,1,0)+IF(LEN(Q111)&gt;0,1,0)+IF(LEN(S111)&gt;0,1,0)+IF(LEN(T111)&gt;0,1,0)+IF(LEN(U111)&gt;0,1,0)+IF(LEN(V111)&gt;0,1,0)+IF(LEN(AE111)&gt;0,1,0)+IF(LEN(AP111)&gt;0,1,0)+IF(LEN(BC111)&gt;0,1,0))/12,2))</f>
        <v/>
      </c>
      <c r="BI111" s="10" t="str">
        <f aca="false">IF(D111="","",IF(AND(T111="Approved",ISERROR(SEARCH("FAIL",AM111))),"Y","N"))</f>
        <v/>
      </c>
    </row>
    <row r="112" customFormat="false" ht="15" hidden="false" customHeight="false" outlineLevel="0" collapsed="false">
      <c r="A112" s="10" t="str">
        <f aca="false">IF(D112="","",IFERROR(VLOOKUP(D112,Lists!$BI$4:$BJ$20,2,0),"??")&amp;"-"&amp;UPPER(SUBSTITUTE(E112," ",""))&amp;IF(F112&lt;&gt;"","-SP"&amp;TEXT(F112*1000,"0"),"")&amp;IF(G112&lt;&gt;"","-H"&amp;TEXT(G112*1000,"0"),"")&amp;"-"&amp;S112)</f>
        <v/>
      </c>
      <c r="B112" s="10" t="str">
        <f aca="false">IF(D112="","",D112&amp;" - "&amp;E112&amp;IF(F112&lt;&gt;"",", span "&amp;F112&amp;" m","")&amp;IF(G112&lt;&gt;"",", H "&amp;G112&amp;" m","")&amp;IF(H112&lt;&gt;"",", W "&amp;H112&amp;" m",""))</f>
        <v/>
      </c>
      <c r="C112" s="9"/>
      <c r="D112" s="9"/>
      <c r="E112" s="9"/>
      <c r="F112" s="42"/>
      <c r="G112" s="42"/>
      <c r="H112" s="42"/>
      <c r="I112" s="9"/>
      <c r="J112" s="9"/>
      <c r="K112" s="9"/>
      <c r="L112" s="9"/>
      <c r="M112" s="9"/>
      <c r="N112" s="38"/>
      <c r="O112" s="9"/>
      <c r="P112" s="39"/>
      <c r="Q112" s="9"/>
      <c r="R112" s="9"/>
      <c r="S112" s="9"/>
      <c r="T112" s="9"/>
      <c r="U112" s="9"/>
      <c r="V112" s="9"/>
      <c r="W112" s="9"/>
      <c r="X112" s="10" t="str">
        <f aca="false">IF(A112="","",SG_Criteria!$B$6&amp;SG_Criteria!$B$13&amp;"\"&amp;A112&amp;"\")</f>
        <v/>
      </c>
      <c r="Y112" s="10" t="str">
        <f aca="false">IF(A112="","",A112&amp;"_CAD.dwg")</f>
        <v/>
      </c>
      <c r="Z112" s="10" t="str">
        <f aca="false">IF(A112="","",A112&amp;"_DWG.pdf")</f>
        <v/>
      </c>
      <c r="AA112" s="10" t="str">
        <f aca="false">IF(A112="","",IF(W112="Y",A112&amp;"_STAAD.std","n/a"))</f>
        <v/>
      </c>
      <c r="AB112" s="10" t="str">
        <f aca="false">IF(A112="","",A112&amp;"_CALC.xlsx")</f>
        <v/>
      </c>
      <c r="AC112" s="10" t="str">
        <f aca="false">IF(A112="","",A112&amp;"_CALC.pdf")</f>
        <v/>
      </c>
      <c r="AD112" s="9"/>
      <c r="AE112" s="9"/>
      <c r="AF112" s="39"/>
      <c r="AG112" s="39"/>
      <c r="AH112" s="39"/>
      <c r="AI112" s="39"/>
      <c r="AJ112" s="39"/>
      <c r="AK112" s="12" t="str">
        <f aca="false">IF(A112="","",IF(COUNTIF(Rebar_Schedule!$A$5:$A$2004,A112)=0,"",ROUND(SUMIF(Rebar_Schedule!$A$5:$A$2004,A112,Rebar_Schedule!$K$5:$K$2004),1)))</f>
        <v/>
      </c>
      <c r="AL112" s="33" t="str">
        <f aca="false">IF(A112="","",IF(AK112="","No rebar schedule yet",IF(ABS(AK112-N(AG112))/MAX(N(AG112),1)&gt;SG_Criteria!$B$55,"NOTE: register rebar differs from schedule by "&amp;TEXT(ABS(AK112-N(AG112))/MAX(N(AG112),1),"0%"),"OK")))</f>
        <v/>
      </c>
      <c r="AM112" s="33" t="str">
        <f aca="false">IF(D112="","","OK")</f>
        <v/>
      </c>
      <c r="AN112" s="9"/>
      <c r="AO112" s="9"/>
      <c r="AP112" s="9"/>
      <c r="AQ112" s="10" t="str">
        <f aca="false">IF(AP112="","",IFERROR(VLOOKUP(AP112,Projects!$A$5:$D$504,2,0),"Ref not in Projects"))</f>
        <v/>
      </c>
      <c r="AR112" s="10" t="str">
        <f aca="false">IF(AP112="","",IFERROR(VLOOKUP(AP112,Projects!$A$5:$D$504,4,0),"Ref not in Projects"))</f>
        <v/>
      </c>
      <c r="AS112" s="9"/>
      <c r="AT112" s="9"/>
      <c r="AU112" s="9"/>
      <c r="AV112" s="40"/>
      <c r="AW112" s="9"/>
      <c r="AX112" s="40"/>
      <c r="AY112" s="9"/>
      <c r="AZ112" s="40"/>
      <c r="BA112" s="9"/>
      <c r="BB112" s="9"/>
      <c r="BC112" s="9"/>
      <c r="BD112" s="40"/>
      <c r="BE112" s="40"/>
      <c r="BF112" s="36" t="str">
        <f aca="false">IF(BE112="","",EDATE(BE112,SG_Criteria!$B$54*12))</f>
        <v/>
      </c>
      <c r="BG112" s="33" t="str">
        <f aca="true">IF(A112="","",IF(BE112="","NOTE: not reviewed yet",IF(TODAY()&gt;BF112,"NOTE: review overdue","OK")))</f>
        <v/>
      </c>
      <c r="BH112" s="37" t="str">
        <f aca="false">IF(A112="","",ROUND((IF(LEN(D112)&gt;0,1,0)+IF(LEN(E112)&gt;0,1,0)+IF(LEN(I112)&gt;0,1,0)+IF(LEN(K112)&gt;0,1,0)+IF(LEN(Q112)&gt;0,1,0)+IF(LEN(S112)&gt;0,1,0)+IF(LEN(T112)&gt;0,1,0)+IF(LEN(U112)&gt;0,1,0)+IF(LEN(V112)&gt;0,1,0)+IF(LEN(AE112)&gt;0,1,0)+IF(LEN(AP112)&gt;0,1,0)+IF(LEN(BC112)&gt;0,1,0))/12,2))</f>
        <v/>
      </c>
      <c r="BI112" s="10" t="str">
        <f aca="false">IF(D112="","",IF(AND(T112="Approved",ISERROR(SEARCH("FAIL",AM112))),"Y","N"))</f>
        <v/>
      </c>
    </row>
    <row r="113" customFormat="false" ht="15" hidden="false" customHeight="false" outlineLevel="0" collapsed="false">
      <c r="A113" s="10" t="str">
        <f aca="false">IF(D113="","",IFERROR(VLOOKUP(D113,Lists!$BI$4:$BJ$20,2,0),"??")&amp;"-"&amp;UPPER(SUBSTITUTE(E113," ",""))&amp;IF(F113&lt;&gt;"","-SP"&amp;TEXT(F113*1000,"0"),"")&amp;IF(G113&lt;&gt;"","-H"&amp;TEXT(G113*1000,"0"),"")&amp;"-"&amp;S113)</f>
        <v/>
      </c>
      <c r="B113" s="10" t="str">
        <f aca="false">IF(D113="","",D113&amp;" - "&amp;E113&amp;IF(F113&lt;&gt;"",", span "&amp;F113&amp;" m","")&amp;IF(G113&lt;&gt;"",", H "&amp;G113&amp;" m","")&amp;IF(H113&lt;&gt;"",", W "&amp;H113&amp;" m",""))</f>
        <v/>
      </c>
      <c r="C113" s="9"/>
      <c r="D113" s="9"/>
      <c r="E113" s="9"/>
      <c r="F113" s="42"/>
      <c r="G113" s="42"/>
      <c r="H113" s="42"/>
      <c r="I113" s="9"/>
      <c r="J113" s="9"/>
      <c r="K113" s="9"/>
      <c r="L113" s="9"/>
      <c r="M113" s="9"/>
      <c r="N113" s="38"/>
      <c r="O113" s="9"/>
      <c r="P113" s="39"/>
      <c r="Q113" s="9"/>
      <c r="R113" s="9"/>
      <c r="S113" s="9"/>
      <c r="T113" s="9"/>
      <c r="U113" s="9"/>
      <c r="V113" s="9"/>
      <c r="W113" s="9"/>
      <c r="X113" s="10" t="str">
        <f aca="false">IF(A113="","",SG_Criteria!$B$6&amp;SG_Criteria!$B$13&amp;"\"&amp;A113&amp;"\")</f>
        <v/>
      </c>
      <c r="Y113" s="10" t="str">
        <f aca="false">IF(A113="","",A113&amp;"_CAD.dwg")</f>
        <v/>
      </c>
      <c r="Z113" s="10" t="str">
        <f aca="false">IF(A113="","",A113&amp;"_DWG.pdf")</f>
        <v/>
      </c>
      <c r="AA113" s="10" t="str">
        <f aca="false">IF(A113="","",IF(W113="Y",A113&amp;"_STAAD.std","n/a"))</f>
        <v/>
      </c>
      <c r="AB113" s="10" t="str">
        <f aca="false">IF(A113="","",A113&amp;"_CALC.xlsx")</f>
        <v/>
      </c>
      <c r="AC113" s="10" t="str">
        <f aca="false">IF(A113="","",A113&amp;"_CALC.pdf")</f>
        <v/>
      </c>
      <c r="AD113" s="9"/>
      <c r="AE113" s="9"/>
      <c r="AF113" s="39"/>
      <c r="AG113" s="39"/>
      <c r="AH113" s="39"/>
      <c r="AI113" s="39"/>
      <c r="AJ113" s="39"/>
      <c r="AK113" s="12" t="str">
        <f aca="false">IF(A113="","",IF(COUNTIF(Rebar_Schedule!$A$5:$A$2004,A113)=0,"",ROUND(SUMIF(Rebar_Schedule!$A$5:$A$2004,A113,Rebar_Schedule!$K$5:$K$2004),1)))</f>
        <v/>
      </c>
      <c r="AL113" s="33" t="str">
        <f aca="false">IF(A113="","",IF(AK113="","No rebar schedule yet",IF(ABS(AK113-N(AG113))/MAX(N(AG113),1)&gt;SG_Criteria!$B$55,"NOTE: register rebar differs from schedule by "&amp;TEXT(ABS(AK113-N(AG113))/MAX(N(AG113),1),"0%"),"OK")))</f>
        <v/>
      </c>
      <c r="AM113" s="33" t="str">
        <f aca="false">IF(D113="","","OK")</f>
        <v/>
      </c>
      <c r="AN113" s="9"/>
      <c r="AO113" s="9"/>
      <c r="AP113" s="9"/>
      <c r="AQ113" s="10" t="str">
        <f aca="false">IF(AP113="","",IFERROR(VLOOKUP(AP113,Projects!$A$5:$D$504,2,0),"Ref not in Projects"))</f>
        <v/>
      </c>
      <c r="AR113" s="10" t="str">
        <f aca="false">IF(AP113="","",IFERROR(VLOOKUP(AP113,Projects!$A$5:$D$504,4,0),"Ref not in Projects"))</f>
        <v/>
      </c>
      <c r="AS113" s="9"/>
      <c r="AT113" s="9"/>
      <c r="AU113" s="9"/>
      <c r="AV113" s="40"/>
      <c r="AW113" s="9"/>
      <c r="AX113" s="40"/>
      <c r="AY113" s="9"/>
      <c r="AZ113" s="40"/>
      <c r="BA113" s="9"/>
      <c r="BB113" s="9"/>
      <c r="BC113" s="9"/>
      <c r="BD113" s="40"/>
      <c r="BE113" s="40"/>
      <c r="BF113" s="36" t="str">
        <f aca="false">IF(BE113="","",EDATE(BE113,SG_Criteria!$B$54*12))</f>
        <v/>
      </c>
      <c r="BG113" s="33" t="str">
        <f aca="true">IF(A113="","",IF(BE113="","NOTE: not reviewed yet",IF(TODAY()&gt;BF113,"NOTE: review overdue","OK")))</f>
        <v/>
      </c>
      <c r="BH113" s="37" t="str">
        <f aca="false">IF(A113="","",ROUND((IF(LEN(D113)&gt;0,1,0)+IF(LEN(E113)&gt;0,1,0)+IF(LEN(I113)&gt;0,1,0)+IF(LEN(K113)&gt;0,1,0)+IF(LEN(Q113)&gt;0,1,0)+IF(LEN(S113)&gt;0,1,0)+IF(LEN(T113)&gt;0,1,0)+IF(LEN(U113)&gt;0,1,0)+IF(LEN(V113)&gt;0,1,0)+IF(LEN(AE113)&gt;0,1,0)+IF(LEN(AP113)&gt;0,1,0)+IF(LEN(BC113)&gt;0,1,0))/12,2))</f>
        <v/>
      </c>
      <c r="BI113" s="10" t="str">
        <f aca="false">IF(D113="","",IF(AND(T113="Approved",ISERROR(SEARCH("FAIL",AM113))),"Y","N"))</f>
        <v/>
      </c>
    </row>
    <row r="114" customFormat="false" ht="15" hidden="false" customHeight="false" outlineLevel="0" collapsed="false">
      <c r="A114" s="10" t="str">
        <f aca="false">IF(D114="","",IFERROR(VLOOKUP(D114,Lists!$BI$4:$BJ$20,2,0),"??")&amp;"-"&amp;UPPER(SUBSTITUTE(E114," ",""))&amp;IF(F114&lt;&gt;"","-SP"&amp;TEXT(F114*1000,"0"),"")&amp;IF(G114&lt;&gt;"","-H"&amp;TEXT(G114*1000,"0"),"")&amp;"-"&amp;S114)</f>
        <v/>
      </c>
      <c r="B114" s="10" t="str">
        <f aca="false">IF(D114="","",D114&amp;" - "&amp;E114&amp;IF(F114&lt;&gt;"",", span "&amp;F114&amp;" m","")&amp;IF(G114&lt;&gt;"",", H "&amp;G114&amp;" m","")&amp;IF(H114&lt;&gt;"",", W "&amp;H114&amp;" m",""))</f>
        <v/>
      </c>
      <c r="C114" s="9"/>
      <c r="D114" s="9"/>
      <c r="E114" s="9"/>
      <c r="F114" s="42"/>
      <c r="G114" s="42"/>
      <c r="H114" s="42"/>
      <c r="I114" s="9"/>
      <c r="J114" s="9"/>
      <c r="K114" s="9"/>
      <c r="L114" s="9"/>
      <c r="M114" s="9"/>
      <c r="N114" s="38"/>
      <c r="O114" s="9"/>
      <c r="P114" s="39"/>
      <c r="Q114" s="9"/>
      <c r="R114" s="9"/>
      <c r="S114" s="9"/>
      <c r="T114" s="9"/>
      <c r="U114" s="9"/>
      <c r="V114" s="9"/>
      <c r="W114" s="9"/>
      <c r="X114" s="10" t="str">
        <f aca="false">IF(A114="","",SG_Criteria!$B$6&amp;SG_Criteria!$B$13&amp;"\"&amp;A114&amp;"\")</f>
        <v/>
      </c>
      <c r="Y114" s="10" t="str">
        <f aca="false">IF(A114="","",A114&amp;"_CAD.dwg")</f>
        <v/>
      </c>
      <c r="Z114" s="10" t="str">
        <f aca="false">IF(A114="","",A114&amp;"_DWG.pdf")</f>
        <v/>
      </c>
      <c r="AA114" s="10" t="str">
        <f aca="false">IF(A114="","",IF(W114="Y",A114&amp;"_STAAD.std","n/a"))</f>
        <v/>
      </c>
      <c r="AB114" s="10" t="str">
        <f aca="false">IF(A114="","",A114&amp;"_CALC.xlsx")</f>
        <v/>
      </c>
      <c r="AC114" s="10" t="str">
        <f aca="false">IF(A114="","",A114&amp;"_CALC.pdf")</f>
        <v/>
      </c>
      <c r="AD114" s="9"/>
      <c r="AE114" s="9"/>
      <c r="AF114" s="39"/>
      <c r="AG114" s="39"/>
      <c r="AH114" s="39"/>
      <c r="AI114" s="39"/>
      <c r="AJ114" s="39"/>
      <c r="AK114" s="12" t="str">
        <f aca="false">IF(A114="","",IF(COUNTIF(Rebar_Schedule!$A$5:$A$2004,A114)=0,"",ROUND(SUMIF(Rebar_Schedule!$A$5:$A$2004,A114,Rebar_Schedule!$K$5:$K$2004),1)))</f>
        <v/>
      </c>
      <c r="AL114" s="33" t="str">
        <f aca="false">IF(A114="","",IF(AK114="","No rebar schedule yet",IF(ABS(AK114-N(AG114))/MAX(N(AG114),1)&gt;SG_Criteria!$B$55,"NOTE: register rebar differs from schedule by "&amp;TEXT(ABS(AK114-N(AG114))/MAX(N(AG114),1),"0%"),"OK")))</f>
        <v/>
      </c>
      <c r="AM114" s="33" t="str">
        <f aca="false">IF(D114="","","OK")</f>
        <v/>
      </c>
      <c r="AN114" s="9"/>
      <c r="AO114" s="9"/>
      <c r="AP114" s="9"/>
      <c r="AQ114" s="10" t="str">
        <f aca="false">IF(AP114="","",IFERROR(VLOOKUP(AP114,Projects!$A$5:$D$504,2,0),"Ref not in Projects"))</f>
        <v/>
      </c>
      <c r="AR114" s="10" t="str">
        <f aca="false">IF(AP114="","",IFERROR(VLOOKUP(AP114,Projects!$A$5:$D$504,4,0),"Ref not in Projects"))</f>
        <v/>
      </c>
      <c r="AS114" s="9"/>
      <c r="AT114" s="9"/>
      <c r="AU114" s="9"/>
      <c r="AV114" s="40"/>
      <c r="AW114" s="9"/>
      <c r="AX114" s="40"/>
      <c r="AY114" s="9"/>
      <c r="AZ114" s="40"/>
      <c r="BA114" s="9"/>
      <c r="BB114" s="9"/>
      <c r="BC114" s="9"/>
      <c r="BD114" s="40"/>
      <c r="BE114" s="40"/>
      <c r="BF114" s="36" t="str">
        <f aca="false">IF(BE114="","",EDATE(BE114,SG_Criteria!$B$54*12))</f>
        <v/>
      </c>
      <c r="BG114" s="33" t="str">
        <f aca="true">IF(A114="","",IF(BE114="","NOTE: not reviewed yet",IF(TODAY()&gt;BF114,"NOTE: review overdue","OK")))</f>
        <v/>
      </c>
      <c r="BH114" s="37" t="str">
        <f aca="false">IF(A114="","",ROUND((IF(LEN(D114)&gt;0,1,0)+IF(LEN(E114)&gt;0,1,0)+IF(LEN(I114)&gt;0,1,0)+IF(LEN(K114)&gt;0,1,0)+IF(LEN(Q114)&gt;0,1,0)+IF(LEN(S114)&gt;0,1,0)+IF(LEN(T114)&gt;0,1,0)+IF(LEN(U114)&gt;0,1,0)+IF(LEN(V114)&gt;0,1,0)+IF(LEN(AE114)&gt;0,1,0)+IF(LEN(AP114)&gt;0,1,0)+IF(LEN(BC114)&gt;0,1,0))/12,2))</f>
        <v/>
      </c>
      <c r="BI114" s="10" t="str">
        <f aca="false">IF(D114="","",IF(AND(T114="Approved",ISERROR(SEARCH("FAIL",AM114))),"Y","N"))</f>
        <v/>
      </c>
    </row>
    <row r="115" customFormat="false" ht="15" hidden="false" customHeight="false" outlineLevel="0" collapsed="false">
      <c r="A115" s="10" t="str">
        <f aca="false">IF(D115="","",IFERROR(VLOOKUP(D115,Lists!$BI$4:$BJ$20,2,0),"??")&amp;"-"&amp;UPPER(SUBSTITUTE(E115," ",""))&amp;IF(F115&lt;&gt;"","-SP"&amp;TEXT(F115*1000,"0"),"")&amp;IF(G115&lt;&gt;"","-H"&amp;TEXT(G115*1000,"0"),"")&amp;"-"&amp;S115)</f>
        <v/>
      </c>
      <c r="B115" s="10" t="str">
        <f aca="false">IF(D115="","",D115&amp;" - "&amp;E115&amp;IF(F115&lt;&gt;"",", span "&amp;F115&amp;" m","")&amp;IF(G115&lt;&gt;"",", H "&amp;G115&amp;" m","")&amp;IF(H115&lt;&gt;"",", W "&amp;H115&amp;" m",""))</f>
        <v/>
      </c>
      <c r="C115" s="9"/>
      <c r="D115" s="9"/>
      <c r="E115" s="9"/>
      <c r="F115" s="42"/>
      <c r="G115" s="42"/>
      <c r="H115" s="42"/>
      <c r="I115" s="9"/>
      <c r="J115" s="9"/>
      <c r="K115" s="9"/>
      <c r="L115" s="9"/>
      <c r="M115" s="9"/>
      <c r="N115" s="38"/>
      <c r="O115" s="9"/>
      <c r="P115" s="39"/>
      <c r="Q115" s="9"/>
      <c r="R115" s="9"/>
      <c r="S115" s="9"/>
      <c r="T115" s="9"/>
      <c r="U115" s="9"/>
      <c r="V115" s="9"/>
      <c r="W115" s="9"/>
      <c r="X115" s="10" t="str">
        <f aca="false">IF(A115="","",SG_Criteria!$B$6&amp;SG_Criteria!$B$13&amp;"\"&amp;A115&amp;"\")</f>
        <v/>
      </c>
      <c r="Y115" s="10" t="str">
        <f aca="false">IF(A115="","",A115&amp;"_CAD.dwg")</f>
        <v/>
      </c>
      <c r="Z115" s="10" t="str">
        <f aca="false">IF(A115="","",A115&amp;"_DWG.pdf")</f>
        <v/>
      </c>
      <c r="AA115" s="10" t="str">
        <f aca="false">IF(A115="","",IF(W115="Y",A115&amp;"_STAAD.std","n/a"))</f>
        <v/>
      </c>
      <c r="AB115" s="10" t="str">
        <f aca="false">IF(A115="","",A115&amp;"_CALC.xlsx")</f>
        <v/>
      </c>
      <c r="AC115" s="10" t="str">
        <f aca="false">IF(A115="","",A115&amp;"_CALC.pdf")</f>
        <v/>
      </c>
      <c r="AD115" s="9"/>
      <c r="AE115" s="9"/>
      <c r="AF115" s="39"/>
      <c r="AG115" s="39"/>
      <c r="AH115" s="39"/>
      <c r="AI115" s="39"/>
      <c r="AJ115" s="39"/>
      <c r="AK115" s="12" t="str">
        <f aca="false">IF(A115="","",IF(COUNTIF(Rebar_Schedule!$A$5:$A$2004,A115)=0,"",ROUND(SUMIF(Rebar_Schedule!$A$5:$A$2004,A115,Rebar_Schedule!$K$5:$K$2004),1)))</f>
        <v/>
      </c>
      <c r="AL115" s="33" t="str">
        <f aca="false">IF(A115="","",IF(AK115="","No rebar schedule yet",IF(ABS(AK115-N(AG115))/MAX(N(AG115),1)&gt;SG_Criteria!$B$55,"NOTE: register rebar differs from schedule by "&amp;TEXT(ABS(AK115-N(AG115))/MAX(N(AG115),1),"0%"),"OK")))</f>
        <v/>
      </c>
      <c r="AM115" s="33" t="str">
        <f aca="false">IF(D115="","","OK")</f>
        <v/>
      </c>
      <c r="AN115" s="9"/>
      <c r="AO115" s="9"/>
      <c r="AP115" s="9"/>
      <c r="AQ115" s="10" t="str">
        <f aca="false">IF(AP115="","",IFERROR(VLOOKUP(AP115,Projects!$A$5:$D$504,2,0),"Ref not in Projects"))</f>
        <v/>
      </c>
      <c r="AR115" s="10" t="str">
        <f aca="false">IF(AP115="","",IFERROR(VLOOKUP(AP115,Projects!$A$5:$D$504,4,0),"Ref not in Projects"))</f>
        <v/>
      </c>
      <c r="AS115" s="9"/>
      <c r="AT115" s="9"/>
      <c r="AU115" s="9"/>
      <c r="AV115" s="40"/>
      <c r="AW115" s="9"/>
      <c r="AX115" s="40"/>
      <c r="AY115" s="9"/>
      <c r="AZ115" s="40"/>
      <c r="BA115" s="9"/>
      <c r="BB115" s="9"/>
      <c r="BC115" s="9"/>
      <c r="BD115" s="40"/>
      <c r="BE115" s="40"/>
      <c r="BF115" s="36" t="str">
        <f aca="false">IF(BE115="","",EDATE(BE115,SG_Criteria!$B$54*12))</f>
        <v/>
      </c>
      <c r="BG115" s="33" t="str">
        <f aca="true">IF(A115="","",IF(BE115="","NOTE: not reviewed yet",IF(TODAY()&gt;BF115,"NOTE: review overdue","OK")))</f>
        <v/>
      </c>
      <c r="BH115" s="37" t="str">
        <f aca="false">IF(A115="","",ROUND((IF(LEN(D115)&gt;0,1,0)+IF(LEN(E115)&gt;0,1,0)+IF(LEN(I115)&gt;0,1,0)+IF(LEN(K115)&gt;0,1,0)+IF(LEN(Q115)&gt;0,1,0)+IF(LEN(S115)&gt;0,1,0)+IF(LEN(T115)&gt;0,1,0)+IF(LEN(U115)&gt;0,1,0)+IF(LEN(V115)&gt;0,1,0)+IF(LEN(AE115)&gt;0,1,0)+IF(LEN(AP115)&gt;0,1,0)+IF(LEN(BC115)&gt;0,1,0))/12,2))</f>
        <v/>
      </c>
      <c r="BI115" s="10" t="str">
        <f aca="false">IF(D115="","",IF(AND(T115="Approved",ISERROR(SEARCH("FAIL",AM115))),"Y","N"))</f>
        <v/>
      </c>
    </row>
    <row r="116" customFormat="false" ht="15" hidden="false" customHeight="false" outlineLevel="0" collapsed="false">
      <c r="A116" s="10" t="str">
        <f aca="false">IF(D116="","",IFERROR(VLOOKUP(D116,Lists!$BI$4:$BJ$20,2,0),"??")&amp;"-"&amp;UPPER(SUBSTITUTE(E116," ",""))&amp;IF(F116&lt;&gt;"","-SP"&amp;TEXT(F116*1000,"0"),"")&amp;IF(G116&lt;&gt;"","-H"&amp;TEXT(G116*1000,"0"),"")&amp;"-"&amp;S116)</f>
        <v/>
      </c>
      <c r="B116" s="10" t="str">
        <f aca="false">IF(D116="","",D116&amp;" - "&amp;E116&amp;IF(F116&lt;&gt;"",", span "&amp;F116&amp;" m","")&amp;IF(G116&lt;&gt;"",", H "&amp;G116&amp;" m","")&amp;IF(H116&lt;&gt;"",", W "&amp;H116&amp;" m",""))</f>
        <v/>
      </c>
      <c r="C116" s="9"/>
      <c r="D116" s="9"/>
      <c r="E116" s="9"/>
      <c r="F116" s="42"/>
      <c r="G116" s="42"/>
      <c r="H116" s="42"/>
      <c r="I116" s="9"/>
      <c r="J116" s="9"/>
      <c r="K116" s="9"/>
      <c r="L116" s="9"/>
      <c r="M116" s="9"/>
      <c r="N116" s="38"/>
      <c r="O116" s="9"/>
      <c r="P116" s="39"/>
      <c r="Q116" s="9"/>
      <c r="R116" s="9"/>
      <c r="S116" s="9"/>
      <c r="T116" s="9"/>
      <c r="U116" s="9"/>
      <c r="V116" s="9"/>
      <c r="W116" s="9"/>
      <c r="X116" s="10" t="str">
        <f aca="false">IF(A116="","",SG_Criteria!$B$6&amp;SG_Criteria!$B$13&amp;"\"&amp;A116&amp;"\")</f>
        <v/>
      </c>
      <c r="Y116" s="10" t="str">
        <f aca="false">IF(A116="","",A116&amp;"_CAD.dwg")</f>
        <v/>
      </c>
      <c r="Z116" s="10" t="str">
        <f aca="false">IF(A116="","",A116&amp;"_DWG.pdf")</f>
        <v/>
      </c>
      <c r="AA116" s="10" t="str">
        <f aca="false">IF(A116="","",IF(W116="Y",A116&amp;"_STAAD.std","n/a"))</f>
        <v/>
      </c>
      <c r="AB116" s="10" t="str">
        <f aca="false">IF(A116="","",A116&amp;"_CALC.xlsx")</f>
        <v/>
      </c>
      <c r="AC116" s="10" t="str">
        <f aca="false">IF(A116="","",A116&amp;"_CALC.pdf")</f>
        <v/>
      </c>
      <c r="AD116" s="9"/>
      <c r="AE116" s="9"/>
      <c r="AF116" s="39"/>
      <c r="AG116" s="39"/>
      <c r="AH116" s="39"/>
      <c r="AI116" s="39"/>
      <c r="AJ116" s="39"/>
      <c r="AK116" s="12" t="str">
        <f aca="false">IF(A116="","",IF(COUNTIF(Rebar_Schedule!$A$5:$A$2004,A116)=0,"",ROUND(SUMIF(Rebar_Schedule!$A$5:$A$2004,A116,Rebar_Schedule!$K$5:$K$2004),1)))</f>
        <v/>
      </c>
      <c r="AL116" s="33" t="str">
        <f aca="false">IF(A116="","",IF(AK116="","No rebar schedule yet",IF(ABS(AK116-N(AG116))/MAX(N(AG116),1)&gt;SG_Criteria!$B$55,"NOTE: register rebar differs from schedule by "&amp;TEXT(ABS(AK116-N(AG116))/MAX(N(AG116),1),"0%"),"OK")))</f>
        <v/>
      </c>
      <c r="AM116" s="33" t="str">
        <f aca="false">IF(D116="","","OK")</f>
        <v/>
      </c>
      <c r="AN116" s="9"/>
      <c r="AO116" s="9"/>
      <c r="AP116" s="9"/>
      <c r="AQ116" s="10" t="str">
        <f aca="false">IF(AP116="","",IFERROR(VLOOKUP(AP116,Projects!$A$5:$D$504,2,0),"Ref not in Projects"))</f>
        <v/>
      </c>
      <c r="AR116" s="10" t="str">
        <f aca="false">IF(AP116="","",IFERROR(VLOOKUP(AP116,Projects!$A$5:$D$504,4,0),"Ref not in Projects"))</f>
        <v/>
      </c>
      <c r="AS116" s="9"/>
      <c r="AT116" s="9"/>
      <c r="AU116" s="9"/>
      <c r="AV116" s="40"/>
      <c r="AW116" s="9"/>
      <c r="AX116" s="40"/>
      <c r="AY116" s="9"/>
      <c r="AZ116" s="40"/>
      <c r="BA116" s="9"/>
      <c r="BB116" s="9"/>
      <c r="BC116" s="9"/>
      <c r="BD116" s="40"/>
      <c r="BE116" s="40"/>
      <c r="BF116" s="36" t="str">
        <f aca="false">IF(BE116="","",EDATE(BE116,SG_Criteria!$B$54*12))</f>
        <v/>
      </c>
      <c r="BG116" s="33" t="str">
        <f aca="true">IF(A116="","",IF(BE116="","NOTE: not reviewed yet",IF(TODAY()&gt;BF116,"NOTE: review overdue","OK")))</f>
        <v/>
      </c>
      <c r="BH116" s="37" t="str">
        <f aca="false">IF(A116="","",ROUND((IF(LEN(D116)&gt;0,1,0)+IF(LEN(E116)&gt;0,1,0)+IF(LEN(I116)&gt;0,1,0)+IF(LEN(K116)&gt;0,1,0)+IF(LEN(Q116)&gt;0,1,0)+IF(LEN(S116)&gt;0,1,0)+IF(LEN(T116)&gt;0,1,0)+IF(LEN(U116)&gt;0,1,0)+IF(LEN(V116)&gt;0,1,0)+IF(LEN(AE116)&gt;0,1,0)+IF(LEN(AP116)&gt;0,1,0)+IF(LEN(BC116)&gt;0,1,0))/12,2))</f>
        <v/>
      </c>
      <c r="BI116" s="10" t="str">
        <f aca="false">IF(D116="","",IF(AND(T116="Approved",ISERROR(SEARCH("FAIL",AM116))),"Y","N"))</f>
        <v/>
      </c>
    </row>
    <row r="117" customFormat="false" ht="15" hidden="false" customHeight="false" outlineLevel="0" collapsed="false">
      <c r="A117" s="10" t="str">
        <f aca="false">IF(D117="","",IFERROR(VLOOKUP(D117,Lists!$BI$4:$BJ$20,2,0),"??")&amp;"-"&amp;UPPER(SUBSTITUTE(E117," ",""))&amp;IF(F117&lt;&gt;"","-SP"&amp;TEXT(F117*1000,"0"),"")&amp;IF(G117&lt;&gt;"","-H"&amp;TEXT(G117*1000,"0"),"")&amp;"-"&amp;S117)</f>
        <v/>
      </c>
      <c r="B117" s="10" t="str">
        <f aca="false">IF(D117="","",D117&amp;" - "&amp;E117&amp;IF(F117&lt;&gt;"",", span "&amp;F117&amp;" m","")&amp;IF(G117&lt;&gt;"",", H "&amp;G117&amp;" m","")&amp;IF(H117&lt;&gt;"",", W "&amp;H117&amp;" m",""))</f>
        <v/>
      </c>
      <c r="C117" s="9"/>
      <c r="D117" s="9"/>
      <c r="E117" s="9"/>
      <c r="F117" s="42"/>
      <c r="G117" s="42"/>
      <c r="H117" s="42"/>
      <c r="I117" s="9"/>
      <c r="J117" s="9"/>
      <c r="K117" s="9"/>
      <c r="L117" s="9"/>
      <c r="M117" s="9"/>
      <c r="N117" s="38"/>
      <c r="O117" s="9"/>
      <c r="P117" s="39"/>
      <c r="Q117" s="9"/>
      <c r="R117" s="9"/>
      <c r="S117" s="9"/>
      <c r="T117" s="9"/>
      <c r="U117" s="9"/>
      <c r="V117" s="9"/>
      <c r="W117" s="9"/>
      <c r="X117" s="10" t="str">
        <f aca="false">IF(A117="","",SG_Criteria!$B$6&amp;SG_Criteria!$B$13&amp;"\"&amp;A117&amp;"\")</f>
        <v/>
      </c>
      <c r="Y117" s="10" t="str">
        <f aca="false">IF(A117="","",A117&amp;"_CAD.dwg")</f>
        <v/>
      </c>
      <c r="Z117" s="10" t="str">
        <f aca="false">IF(A117="","",A117&amp;"_DWG.pdf")</f>
        <v/>
      </c>
      <c r="AA117" s="10" t="str">
        <f aca="false">IF(A117="","",IF(W117="Y",A117&amp;"_STAAD.std","n/a"))</f>
        <v/>
      </c>
      <c r="AB117" s="10" t="str">
        <f aca="false">IF(A117="","",A117&amp;"_CALC.xlsx")</f>
        <v/>
      </c>
      <c r="AC117" s="10" t="str">
        <f aca="false">IF(A117="","",A117&amp;"_CALC.pdf")</f>
        <v/>
      </c>
      <c r="AD117" s="9"/>
      <c r="AE117" s="9"/>
      <c r="AF117" s="39"/>
      <c r="AG117" s="39"/>
      <c r="AH117" s="39"/>
      <c r="AI117" s="39"/>
      <c r="AJ117" s="39"/>
      <c r="AK117" s="12" t="str">
        <f aca="false">IF(A117="","",IF(COUNTIF(Rebar_Schedule!$A$5:$A$2004,A117)=0,"",ROUND(SUMIF(Rebar_Schedule!$A$5:$A$2004,A117,Rebar_Schedule!$K$5:$K$2004),1)))</f>
        <v/>
      </c>
      <c r="AL117" s="33" t="str">
        <f aca="false">IF(A117="","",IF(AK117="","No rebar schedule yet",IF(ABS(AK117-N(AG117))/MAX(N(AG117),1)&gt;SG_Criteria!$B$55,"NOTE: register rebar differs from schedule by "&amp;TEXT(ABS(AK117-N(AG117))/MAX(N(AG117),1),"0%"),"OK")))</f>
        <v/>
      </c>
      <c r="AM117" s="33" t="str">
        <f aca="false">IF(D117="","","OK")</f>
        <v/>
      </c>
      <c r="AN117" s="9"/>
      <c r="AO117" s="9"/>
      <c r="AP117" s="9"/>
      <c r="AQ117" s="10" t="str">
        <f aca="false">IF(AP117="","",IFERROR(VLOOKUP(AP117,Projects!$A$5:$D$504,2,0),"Ref not in Projects"))</f>
        <v/>
      </c>
      <c r="AR117" s="10" t="str">
        <f aca="false">IF(AP117="","",IFERROR(VLOOKUP(AP117,Projects!$A$5:$D$504,4,0),"Ref not in Projects"))</f>
        <v/>
      </c>
      <c r="AS117" s="9"/>
      <c r="AT117" s="9"/>
      <c r="AU117" s="9"/>
      <c r="AV117" s="40"/>
      <c r="AW117" s="9"/>
      <c r="AX117" s="40"/>
      <c r="AY117" s="9"/>
      <c r="AZ117" s="40"/>
      <c r="BA117" s="9"/>
      <c r="BB117" s="9"/>
      <c r="BC117" s="9"/>
      <c r="BD117" s="40"/>
      <c r="BE117" s="40"/>
      <c r="BF117" s="36" t="str">
        <f aca="false">IF(BE117="","",EDATE(BE117,SG_Criteria!$B$54*12))</f>
        <v/>
      </c>
      <c r="BG117" s="33" t="str">
        <f aca="true">IF(A117="","",IF(BE117="","NOTE: not reviewed yet",IF(TODAY()&gt;BF117,"NOTE: review overdue","OK")))</f>
        <v/>
      </c>
      <c r="BH117" s="37" t="str">
        <f aca="false">IF(A117="","",ROUND((IF(LEN(D117)&gt;0,1,0)+IF(LEN(E117)&gt;0,1,0)+IF(LEN(I117)&gt;0,1,0)+IF(LEN(K117)&gt;0,1,0)+IF(LEN(Q117)&gt;0,1,0)+IF(LEN(S117)&gt;0,1,0)+IF(LEN(T117)&gt;0,1,0)+IF(LEN(U117)&gt;0,1,0)+IF(LEN(V117)&gt;0,1,0)+IF(LEN(AE117)&gt;0,1,0)+IF(LEN(AP117)&gt;0,1,0)+IF(LEN(BC117)&gt;0,1,0))/12,2))</f>
        <v/>
      </c>
      <c r="BI117" s="10" t="str">
        <f aca="false">IF(D117="","",IF(AND(T117="Approved",ISERROR(SEARCH("FAIL",AM117))),"Y","N"))</f>
        <v/>
      </c>
    </row>
    <row r="118" customFormat="false" ht="15" hidden="false" customHeight="false" outlineLevel="0" collapsed="false">
      <c r="A118" s="10" t="str">
        <f aca="false">IF(D118="","",IFERROR(VLOOKUP(D118,Lists!$BI$4:$BJ$20,2,0),"??")&amp;"-"&amp;UPPER(SUBSTITUTE(E118," ",""))&amp;IF(F118&lt;&gt;"","-SP"&amp;TEXT(F118*1000,"0"),"")&amp;IF(G118&lt;&gt;"","-H"&amp;TEXT(G118*1000,"0"),"")&amp;"-"&amp;S118)</f>
        <v/>
      </c>
      <c r="B118" s="10" t="str">
        <f aca="false">IF(D118="","",D118&amp;" - "&amp;E118&amp;IF(F118&lt;&gt;"",", span "&amp;F118&amp;" m","")&amp;IF(G118&lt;&gt;"",", H "&amp;G118&amp;" m","")&amp;IF(H118&lt;&gt;"",", W "&amp;H118&amp;" m",""))</f>
        <v/>
      </c>
      <c r="C118" s="9"/>
      <c r="D118" s="9"/>
      <c r="E118" s="9"/>
      <c r="F118" s="42"/>
      <c r="G118" s="42"/>
      <c r="H118" s="42"/>
      <c r="I118" s="9"/>
      <c r="J118" s="9"/>
      <c r="K118" s="9"/>
      <c r="L118" s="9"/>
      <c r="M118" s="9"/>
      <c r="N118" s="38"/>
      <c r="O118" s="9"/>
      <c r="P118" s="39"/>
      <c r="Q118" s="9"/>
      <c r="R118" s="9"/>
      <c r="S118" s="9"/>
      <c r="T118" s="9"/>
      <c r="U118" s="9"/>
      <c r="V118" s="9"/>
      <c r="W118" s="9"/>
      <c r="X118" s="10" t="str">
        <f aca="false">IF(A118="","",SG_Criteria!$B$6&amp;SG_Criteria!$B$13&amp;"\"&amp;A118&amp;"\")</f>
        <v/>
      </c>
      <c r="Y118" s="10" t="str">
        <f aca="false">IF(A118="","",A118&amp;"_CAD.dwg")</f>
        <v/>
      </c>
      <c r="Z118" s="10" t="str">
        <f aca="false">IF(A118="","",A118&amp;"_DWG.pdf")</f>
        <v/>
      </c>
      <c r="AA118" s="10" t="str">
        <f aca="false">IF(A118="","",IF(W118="Y",A118&amp;"_STAAD.std","n/a"))</f>
        <v/>
      </c>
      <c r="AB118" s="10" t="str">
        <f aca="false">IF(A118="","",A118&amp;"_CALC.xlsx")</f>
        <v/>
      </c>
      <c r="AC118" s="10" t="str">
        <f aca="false">IF(A118="","",A118&amp;"_CALC.pdf")</f>
        <v/>
      </c>
      <c r="AD118" s="9"/>
      <c r="AE118" s="9"/>
      <c r="AF118" s="39"/>
      <c r="AG118" s="39"/>
      <c r="AH118" s="39"/>
      <c r="AI118" s="39"/>
      <c r="AJ118" s="39"/>
      <c r="AK118" s="12" t="str">
        <f aca="false">IF(A118="","",IF(COUNTIF(Rebar_Schedule!$A$5:$A$2004,A118)=0,"",ROUND(SUMIF(Rebar_Schedule!$A$5:$A$2004,A118,Rebar_Schedule!$K$5:$K$2004),1)))</f>
        <v/>
      </c>
      <c r="AL118" s="33" t="str">
        <f aca="false">IF(A118="","",IF(AK118="","No rebar schedule yet",IF(ABS(AK118-N(AG118))/MAX(N(AG118),1)&gt;SG_Criteria!$B$55,"NOTE: register rebar differs from schedule by "&amp;TEXT(ABS(AK118-N(AG118))/MAX(N(AG118),1),"0%"),"OK")))</f>
        <v/>
      </c>
      <c r="AM118" s="33" t="str">
        <f aca="false">IF(D118="","","OK")</f>
        <v/>
      </c>
      <c r="AN118" s="9"/>
      <c r="AO118" s="9"/>
      <c r="AP118" s="9"/>
      <c r="AQ118" s="10" t="str">
        <f aca="false">IF(AP118="","",IFERROR(VLOOKUP(AP118,Projects!$A$5:$D$504,2,0),"Ref not in Projects"))</f>
        <v/>
      </c>
      <c r="AR118" s="10" t="str">
        <f aca="false">IF(AP118="","",IFERROR(VLOOKUP(AP118,Projects!$A$5:$D$504,4,0),"Ref not in Projects"))</f>
        <v/>
      </c>
      <c r="AS118" s="9"/>
      <c r="AT118" s="9"/>
      <c r="AU118" s="9"/>
      <c r="AV118" s="40"/>
      <c r="AW118" s="9"/>
      <c r="AX118" s="40"/>
      <c r="AY118" s="9"/>
      <c r="AZ118" s="40"/>
      <c r="BA118" s="9"/>
      <c r="BB118" s="9"/>
      <c r="BC118" s="9"/>
      <c r="BD118" s="40"/>
      <c r="BE118" s="40"/>
      <c r="BF118" s="36" t="str">
        <f aca="false">IF(BE118="","",EDATE(BE118,SG_Criteria!$B$54*12))</f>
        <v/>
      </c>
      <c r="BG118" s="33" t="str">
        <f aca="true">IF(A118="","",IF(BE118="","NOTE: not reviewed yet",IF(TODAY()&gt;BF118,"NOTE: review overdue","OK")))</f>
        <v/>
      </c>
      <c r="BH118" s="37" t="str">
        <f aca="false">IF(A118="","",ROUND((IF(LEN(D118)&gt;0,1,0)+IF(LEN(E118)&gt;0,1,0)+IF(LEN(I118)&gt;0,1,0)+IF(LEN(K118)&gt;0,1,0)+IF(LEN(Q118)&gt;0,1,0)+IF(LEN(S118)&gt;0,1,0)+IF(LEN(T118)&gt;0,1,0)+IF(LEN(U118)&gt;0,1,0)+IF(LEN(V118)&gt;0,1,0)+IF(LEN(AE118)&gt;0,1,0)+IF(LEN(AP118)&gt;0,1,0)+IF(LEN(BC118)&gt;0,1,0))/12,2))</f>
        <v/>
      </c>
      <c r="BI118" s="10" t="str">
        <f aca="false">IF(D118="","",IF(AND(T118="Approved",ISERROR(SEARCH("FAIL",AM118))),"Y","N"))</f>
        <v/>
      </c>
    </row>
    <row r="119" customFormat="false" ht="15" hidden="false" customHeight="false" outlineLevel="0" collapsed="false">
      <c r="A119" s="10" t="str">
        <f aca="false">IF(D119="","",IFERROR(VLOOKUP(D119,Lists!$BI$4:$BJ$20,2,0),"??")&amp;"-"&amp;UPPER(SUBSTITUTE(E119," ",""))&amp;IF(F119&lt;&gt;"","-SP"&amp;TEXT(F119*1000,"0"),"")&amp;IF(G119&lt;&gt;"","-H"&amp;TEXT(G119*1000,"0"),"")&amp;"-"&amp;S119)</f>
        <v/>
      </c>
      <c r="B119" s="10" t="str">
        <f aca="false">IF(D119="","",D119&amp;" - "&amp;E119&amp;IF(F119&lt;&gt;"",", span "&amp;F119&amp;" m","")&amp;IF(G119&lt;&gt;"",", H "&amp;G119&amp;" m","")&amp;IF(H119&lt;&gt;"",", W "&amp;H119&amp;" m",""))</f>
        <v/>
      </c>
      <c r="C119" s="9"/>
      <c r="D119" s="9"/>
      <c r="E119" s="9"/>
      <c r="F119" s="42"/>
      <c r="G119" s="42"/>
      <c r="H119" s="42"/>
      <c r="I119" s="9"/>
      <c r="J119" s="9"/>
      <c r="K119" s="9"/>
      <c r="L119" s="9"/>
      <c r="M119" s="9"/>
      <c r="N119" s="38"/>
      <c r="O119" s="9"/>
      <c r="P119" s="39"/>
      <c r="Q119" s="9"/>
      <c r="R119" s="9"/>
      <c r="S119" s="9"/>
      <c r="T119" s="9"/>
      <c r="U119" s="9"/>
      <c r="V119" s="9"/>
      <c r="W119" s="9"/>
      <c r="X119" s="10" t="str">
        <f aca="false">IF(A119="","",SG_Criteria!$B$6&amp;SG_Criteria!$B$13&amp;"\"&amp;A119&amp;"\")</f>
        <v/>
      </c>
      <c r="Y119" s="10" t="str">
        <f aca="false">IF(A119="","",A119&amp;"_CAD.dwg")</f>
        <v/>
      </c>
      <c r="Z119" s="10" t="str">
        <f aca="false">IF(A119="","",A119&amp;"_DWG.pdf")</f>
        <v/>
      </c>
      <c r="AA119" s="10" t="str">
        <f aca="false">IF(A119="","",IF(W119="Y",A119&amp;"_STAAD.std","n/a"))</f>
        <v/>
      </c>
      <c r="AB119" s="10" t="str">
        <f aca="false">IF(A119="","",A119&amp;"_CALC.xlsx")</f>
        <v/>
      </c>
      <c r="AC119" s="10" t="str">
        <f aca="false">IF(A119="","",A119&amp;"_CALC.pdf")</f>
        <v/>
      </c>
      <c r="AD119" s="9"/>
      <c r="AE119" s="9"/>
      <c r="AF119" s="39"/>
      <c r="AG119" s="39"/>
      <c r="AH119" s="39"/>
      <c r="AI119" s="39"/>
      <c r="AJ119" s="39"/>
      <c r="AK119" s="12" t="str">
        <f aca="false">IF(A119="","",IF(COUNTIF(Rebar_Schedule!$A$5:$A$2004,A119)=0,"",ROUND(SUMIF(Rebar_Schedule!$A$5:$A$2004,A119,Rebar_Schedule!$K$5:$K$2004),1)))</f>
        <v/>
      </c>
      <c r="AL119" s="33" t="str">
        <f aca="false">IF(A119="","",IF(AK119="","No rebar schedule yet",IF(ABS(AK119-N(AG119))/MAX(N(AG119),1)&gt;SG_Criteria!$B$55,"NOTE: register rebar differs from schedule by "&amp;TEXT(ABS(AK119-N(AG119))/MAX(N(AG119),1),"0%"),"OK")))</f>
        <v/>
      </c>
      <c r="AM119" s="33" t="str">
        <f aca="false">IF(D119="","","OK")</f>
        <v/>
      </c>
      <c r="AN119" s="9"/>
      <c r="AO119" s="9"/>
      <c r="AP119" s="9"/>
      <c r="AQ119" s="10" t="str">
        <f aca="false">IF(AP119="","",IFERROR(VLOOKUP(AP119,Projects!$A$5:$D$504,2,0),"Ref not in Projects"))</f>
        <v/>
      </c>
      <c r="AR119" s="10" t="str">
        <f aca="false">IF(AP119="","",IFERROR(VLOOKUP(AP119,Projects!$A$5:$D$504,4,0),"Ref not in Projects"))</f>
        <v/>
      </c>
      <c r="AS119" s="9"/>
      <c r="AT119" s="9"/>
      <c r="AU119" s="9"/>
      <c r="AV119" s="40"/>
      <c r="AW119" s="9"/>
      <c r="AX119" s="40"/>
      <c r="AY119" s="9"/>
      <c r="AZ119" s="40"/>
      <c r="BA119" s="9"/>
      <c r="BB119" s="9"/>
      <c r="BC119" s="9"/>
      <c r="BD119" s="40"/>
      <c r="BE119" s="40"/>
      <c r="BF119" s="36" t="str">
        <f aca="false">IF(BE119="","",EDATE(BE119,SG_Criteria!$B$54*12))</f>
        <v/>
      </c>
      <c r="BG119" s="33" t="str">
        <f aca="true">IF(A119="","",IF(BE119="","NOTE: not reviewed yet",IF(TODAY()&gt;BF119,"NOTE: review overdue","OK")))</f>
        <v/>
      </c>
      <c r="BH119" s="37" t="str">
        <f aca="false">IF(A119="","",ROUND((IF(LEN(D119)&gt;0,1,0)+IF(LEN(E119)&gt;0,1,0)+IF(LEN(I119)&gt;0,1,0)+IF(LEN(K119)&gt;0,1,0)+IF(LEN(Q119)&gt;0,1,0)+IF(LEN(S119)&gt;0,1,0)+IF(LEN(T119)&gt;0,1,0)+IF(LEN(U119)&gt;0,1,0)+IF(LEN(V119)&gt;0,1,0)+IF(LEN(AE119)&gt;0,1,0)+IF(LEN(AP119)&gt;0,1,0)+IF(LEN(BC119)&gt;0,1,0))/12,2))</f>
        <v/>
      </c>
      <c r="BI119" s="10" t="str">
        <f aca="false">IF(D119="","",IF(AND(T119="Approved",ISERROR(SEARCH("FAIL",AM119))),"Y","N"))</f>
        <v/>
      </c>
    </row>
    <row r="120" customFormat="false" ht="15" hidden="false" customHeight="false" outlineLevel="0" collapsed="false">
      <c r="A120" s="10" t="str">
        <f aca="false">IF(D120="","",IFERROR(VLOOKUP(D120,Lists!$BI$4:$BJ$20,2,0),"??")&amp;"-"&amp;UPPER(SUBSTITUTE(E120," ",""))&amp;IF(F120&lt;&gt;"","-SP"&amp;TEXT(F120*1000,"0"),"")&amp;IF(G120&lt;&gt;"","-H"&amp;TEXT(G120*1000,"0"),"")&amp;"-"&amp;S120)</f>
        <v/>
      </c>
      <c r="B120" s="10" t="str">
        <f aca="false">IF(D120="","",D120&amp;" - "&amp;E120&amp;IF(F120&lt;&gt;"",", span "&amp;F120&amp;" m","")&amp;IF(G120&lt;&gt;"",", H "&amp;G120&amp;" m","")&amp;IF(H120&lt;&gt;"",", W "&amp;H120&amp;" m",""))</f>
        <v/>
      </c>
      <c r="C120" s="9"/>
      <c r="D120" s="9"/>
      <c r="E120" s="9"/>
      <c r="F120" s="42"/>
      <c r="G120" s="42"/>
      <c r="H120" s="42"/>
      <c r="I120" s="9"/>
      <c r="J120" s="9"/>
      <c r="K120" s="9"/>
      <c r="L120" s="9"/>
      <c r="M120" s="9"/>
      <c r="N120" s="38"/>
      <c r="O120" s="9"/>
      <c r="P120" s="39"/>
      <c r="Q120" s="9"/>
      <c r="R120" s="9"/>
      <c r="S120" s="9"/>
      <c r="T120" s="9"/>
      <c r="U120" s="9"/>
      <c r="V120" s="9"/>
      <c r="W120" s="9"/>
      <c r="X120" s="10" t="str">
        <f aca="false">IF(A120="","",SG_Criteria!$B$6&amp;SG_Criteria!$B$13&amp;"\"&amp;A120&amp;"\")</f>
        <v/>
      </c>
      <c r="Y120" s="10" t="str">
        <f aca="false">IF(A120="","",A120&amp;"_CAD.dwg")</f>
        <v/>
      </c>
      <c r="Z120" s="10" t="str">
        <f aca="false">IF(A120="","",A120&amp;"_DWG.pdf")</f>
        <v/>
      </c>
      <c r="AA120" s="10" t="str">
        <f aca="false">IF(A120="","",IF(W120="Y",A120&amp;"_STAAD.std","n/a"))</f>
        <v/>
      </c>
      <c r="AB120" s="10" t="str">
        <f aca="false">IF(A120="","",A120&amp;"_CALC.xlsx")</f>
        <v/>
      </c>
      <c r="AC120" s="10" t="str">
        <f aca="false">IF(A120="","",A120&amp;"_CALC.pdf")</f>
        <v/>
      </c>
      <c r="AD120" s="9"/>
      <c r="AE120" s="9"/>
      <c r="AF120" s="39"/>
      <c r="AG120" s="39"/>
      <c r="AH120" s="39"/>
      <c r="AI120" s="39"/>
      <c r="AJ120" s="39"/>
      <c r="AK120" s="12" t="str">
        <f aca="false">IF(A120="","",IF(COUNTIF(Rebar_Schedule!$A$5:$A$2004,A120)=0,"",ROUND(SUMIF(Rebar_Schedule!$A$5:$A$2004,A120,Rebar_Schedule!$K$5:$K$2004),1)))</f>
        <v/>
      </c>
      <c r="AL120" s="33" t="str">
        <f aca="false">IF(A120="","",IF(AK120="","No rebar schedule yet",IF(ABS(AK120-N(AG120))/MAX(N(AG120),1)&gt;SG_Criteria!$B$55,"NOTE: register rebar differs from schedule by "&amp;TEXT(ABS(AK120-N(AG120))/MAX(N(AG120),1),"0%"),"OK")))</f>
        <v/>
      </c>
      <c r="AM120" s="33" t="str">
        <f aca="false">IF(D120="","","OK")</f>
        <v/>
      </c>
      <c r="AN120" s="9"/>
      <c r="AO120" s="9"/>
      <c r="AP120" s="9"/>
      <c r="AQ120" s="10" t="str">
        <f aca="false">IF(AP120="","",IFERROR(VLOOKUP(AP120,Projects!$A$5:$D$504,2,0),"Ref not in Projects"))</f>
        <v/>
      </c>
      <c r="AR120" s="10" t="str">
        <f aca="false">IF(AP120="","",IFERROR(VLOOKUP(AP120,Projects!$A$5:$D$504,4,0),"Ref not in Projects"))</f>
        <v/>
      </c>
      <c r="AS120" s="9"/>
      <c r="AT120" s="9"/>
      <c r="AU120" s="9"/>
      <c r="AV120" s="40"/>
      <c r="AW120" s="9"/>
      <c r="AX120" s="40"/>
      <c r="AY120" s="9"/>
      <c r="AZ120" s="40"/>
      <c r="BA120" s="9"/>
      <c r="BB120" s="9"/>
      <c r="BC120" s="9"/>
      <c r="BD120" s="40"/>
      <c r="BE120" s="40"/>
      <c r="BF120" s="36" t="str">
        <f aca="false">IF(BE120="","",EDATE(BE120,SG_Criteria!$B$54*12))</f>
        <v/>
      </c>
      <c r="BG120" s="33" t="str">
        <f aca="true">IF(A120="","",IF(BE120="","NOTE: not reviewed yet",IF(TODAY()&gt;BF120,"NOTE: review overdue","OK")))</f>
        <v/>
      </c>
      <c r="BH120" s="37" t="str">
        <f aca="false">IF(A120="","",ROUND((IF(LEN(D120)&gt;0,1,0)+IF(LEN(E120)&gt;0,1,0)+IF(LEN(I120)&gt;0,1,0)+IF(LEN(K120)&gt;0,1,0)+IF(LEN(Q120)&gt;0,1,0)+IF(LEN(S120)&gt;0,1,0)+IF(LEN(T120)&gt;0,1,0)+IF(LEN(U120)&gt;0,1,0)+IF(LEN(V120)&gt;0,1,0)+IF(LEN(AE120)&gt;0,1,0)+IF(LEN(AP120)&gt;0,1,0)+IF(LEN(BC120)&gt;0,1,0))/12,2))</f>
        <v/>
      </c>
      <c r="BI120" s="10" t="str">
        <f aca="false">IF(D120="","",IF(AND(T120="Approved",ISERROR(SEARCH("FAIL",AM120))),"Y","N"))</f>
        <v/>
      </c>
    </row>
    <row r="121" customFormat="false" ht="15" hidden="false" customHeight="false" outlineLevel="0" collapsed="false">
      <c r="A121" s="10" t="str">
        <f aca="false">IF(D121="","",IFERROR(VLOOKUP(D121,Lists!$BI$4:$BJ$20,2,0),"??")&amp;"-"&amp;UPPER(SUBSTITUTE(E121," ",""))&amp;IF(F121&lt;&gt;"","-SP"&amp;TEXT(F121*1000,"0"),"")&amp;IF(G121&lt;&gt;"","-H"&amp;TEXT(G121*1000,"0"),"")&amp;"-"&amp;S121)</f>
        <v/>
      </c>
      <c r="B121" s="10" t="str">
        <f aca="false">IF(D121="","",D121&amp;" - "&amp;E121&amp;IF(F121&lt;&gt;"",", span "&amp;F121&amp;" m","")&amp;IF(G121&lt;&gt;"",", H "&amp;G121&amp;" m","")&amp;IF(H121&lt;&gt;"",", W "&amp;H121&amp;" m",""))</f>
        <v/>
      </c>
      <c r="C121" s="9"/>
      <c r="D121" s="9"/>
      <c r="E121" s="9"/>
      <c r="F121" s="42"/>
      <c r="G121" s="42"/>
      <c r="H121" s="42"/>
      <c r="I121" s="9"/>
      <c r="J121" s="9"/>
      <c r="K121" s="9"/>
      <c r="L121" s="9"/>
      <c r="M121" s="9"/>
      <c r="N121" s="38"/>
      <c r="O121" s="9"/>
      <c r="P121" s="39"/>
      <c r="Q121" s="9"/>
      <c r="R121" s="9"/>
      <c r="S121" s="9"/>
      <c r="T121" s="9"/>
      <c r="U121" s="9"/>
      <c r="V121" s="9"/>
      <c r="W121" s="9"/>
      <c r="X121" s="10" t="str">
        <f aca="false">IF(A121="","",SG_Criteria!$B$6&amp;SG_Criteria!$B$13&amp;"\"&amp;A121&amp;"\")</f>
        <v/>
      </c>
      <c r="Y121" s="10" t="str">
        <f aca="false">IF(A121="","",A121&amp;"_CAD.dwg")</f>
        <v/>
      </c>
      <c r="Z121" s="10" t="str">
        <f aca="false">IF(A121="","",A121&amp;"_DWG.pdf")</f>
        <v/>
      </c>
      <c r="AA121" s="10" t="str">
        <f aca="false">IF(A121="","",IF(W121="Y",A121&amp;"_STAAD.std","n/a"))</f>
        <v/>
      </c>
      <c r="AB121" s="10" t="str">
        <f aca="false">IF(A121="","",A121&amp;"_CALC.xlsx")</f>
        <v/>
      </c>
      <c r="AC121" s="10" t="str">
        <f aca="false">IF(A121="","",A121&amp;"_CALC.pdf")</f>
        <v/>
      </c>
      <c r="AD121" s="9"/>
      <c r="AE121" s="9"/>
      <c r="AF121" s="39"/>
      <c r="AG121" s="39"/>
      <c r="AH121" s="39"/>
      <c r="AI121" s="39"/>
      <c r="AJ121" s="39"/>
      <c r="AK121" s="12" t="str">
        <f aca="false">IF(A121="","",IF(COUNTIF(Rebar_Schedule!$A$5:$A$2004,A121)=0,"",ROUND(SUMIF(Rebar_Schedule!$A$5:$A$2004,A121,Rebar_Schedule!$K$5:$K$2004),1)))</f>
        <v/>
      </c>
      <c r="AL121" s="33" t="str">
        <f aca="false">IF(A121="","",IF(AK121="","No rebar schedule yet",IF(ABS(AK121-N(AG121))/MAX(N(AG121),1)&gt;SG_Criteria!$B$55,"NOTE: register rebar differs from schedule by "&amp;TEXT(ABS(AK121-N(AG121))/MAX(N(AG121),1),"0%"),"OK")))</f>
        <v/>
      </c>
      <c r="AM121" s="33" t="str">
        <f aca="false">IF(D121="","","OK")</f>
        <v/>
      </c>
      <c r="AN121" s="9"/>
      <c r="AO121" s="9"/>
      <c r="AP121" s="9"/>
      <c r="AQ121" s="10" t="str">
        <f aca="false">IF(AP121="","",IFERROR(VLOOKUP(AP121,Projects!$A$5:$D$504,2,0),"Ref not in Projects"))</f>
        <v/>
      </c>
      <c r="AR121" s="10" t="str">
        <f aca="false">IF(AP121="","",IFERROR(VLOOKUP(AP121,Projects!$A$5:$D$504,4,0),"Ref not in Projects"))</f>
        <v/>
      </c>
      <c r="AS121" s="9"/>
      <c r="AT121" s="9"/>
      <c r="AU121" s="9"/>
      <c r="AV121" s="40"/>
      <c r="AW121" s="9"/>
      <c r="AX121" s="40"/>
      <c r="AY121" s="9"/>
      <c r="AZ121" s="40"/>
      <c r="BA121" s="9"/>
      <c r="BB121" s="9"/>
      <c r="BC121" s="9"/>
      <c r="BD121" s="40"/>
      <c r="BE121" s="40"/>
      <c r="BF121" s="36" t="str">
        <f aca="false">IF(BE121="","",EDATE(BE121,SG_Criteria!$B$54*12))</f>
        <v/>
      </c>
      <c r="BG121" s="33" t="str">
        <f aca="true">IF(A121="","",IF(BE121="","NOTE: not reviewed yet",IF(TODAY()&gt;BF121,"NOTE: review overdue","OK")))</f>
        <v/>
      </c>
      <c r="BH121" s="37" t="str">
        <f aca="false">IF(A121="","",ROUND((IF(LEN(D121)&gt;0,1,0)+IF(LEN(E121)&gt;0,1,0)+IF(LEN(I121)&gt;0,1,0)+IF(LEN(K121)&gt;0,1,0)+IF(LEN(Q121)&gt;0,1,0)+IF(LEN(S121)&gt;0,1,0)+IF(LEN(T121)&gt;0,1,0)+IF(LEN(U121)&gt;0,1,0)+IF(LEN(V121)&gt;0,1,0)+IF(LEN(AE121)&gt;0,1,0)+IF(LEN(AP121)&gt;0,1,0)+IF(LEN(BC121)&gt;0,1,0))/12,2))</f>
        <v/>
      </c>
      <c r="BI121" s="10" t="str">
        <f aca="false">IF(D121="","",IF(AND(T121="Approved",ISERROR(SEARCH("FAIL",AM121))),"Y","N"))</f>
        <v/>
      </c>
    </row>
    <row r="122" customFormat="false" ht="15" hidden="false" customHeight="false" outlineLevel="0" collapsed="false">
      <c r="A122" s="10" t="str">
        <f aca="false">IF(D122="","",IFERROR(VLOOKUP(D122,Lists!$BI$4:$BJ$20,2,0),"??")&amp;"-"&amp;UPPER(SUBSTITUTE(E122," ",""))&amp;IF(F122&lt;&gt;"","-SP"&amp;TEXT(F122*1000,"0"),"")&amp;IF(G122&lt;&gt;"","-H"&amp;TEXT(G122*1000,"0"),"")&amp;"-"&amp;S122)</f>
        <v/>
      </c>
      <c r="B122" s="10" t="str">
        <f aca="false">IF(D122="","",D122&amp;" - "&amp;E122&amp;IF(F122&lt;&gt;"",", span "&amp;F122&amp;" m","")&amp;IF(G122&lt;&gt;"",", H "&amp;G122&amp;" m","")&amp;IF(H122&lt;&gt;"",", W "&amp;H122&amp;" m",""))</f>
        <v/>
      </c>
      <c r="C122" s="9"/>
      <c r="D122" s="9"/>
      <c r="E122" s="9"/>
      <c r="F122" s="42"/>
      <c r="G122" s="42"/>
      <c r="H122" s="42"/>
      <c r="I122" s="9"/>
      <c r="J122" s="9"/>
      <c r="K122" s="9"/>
      <c r="L122" s="9"/>
      <c r="M122" s="9"/>
      <c r="N122" s="38"/>
      <c r="O122" s="9"/>
      <c r="P122" s="39"/>
      <c r="Q122" s="9"/>
      <c r="R122" s="9"/>
      <c r="S122" s="9"/>
      <c r="T122" s="9"/>
      <c r="U122" s="9"/>
      <c r="V122" s="9"/>
      <c r="W122" s="9"/>
      <c r="X122" s="10" t="str">
        <f aca="false">IF(A122="","",SG_Criteria!$B$6&amp;SG_Criteria!$B$13&amp;"\"&amp;A122&amp;"\")</f>
        <v/>
      </c>
      <c r="Y122" s="10" t="str">
        <f aca="false">IF(A122="","",A122&amp;"_CAD.dwg")</f>
        <v/>
      </c>
      <c r="Z122" s="10" t="str">
        <f aca="false">IF(A122="","",A122&amp;"_DWG.pdf")</f>
        <v/>
      </c>
      <c r="AA122" s="10" t="str">
        <f aca="false">IF(A122="","",IF(W122="Y",A122&amp;"_STAAD.std","n/a"))</f>
        <v/>
      </c>
      <c r="AB122" s="10" t="str">
        <f aca="false">IF(A122="","",A122&amp;"_CALC.xlsx")</f>
        <v/>
      </c>
      <c r="AC122" s="10" t="str">
        <f aca="false">IF(A122="","",A122&amp;"_CALC.pdf")</f>
        <v/>
      </c>
      <c r="AD122" s="9"/>
      <c r="AE122" s="9"/>
      <c r="AF122" s="39"/>
      <c r="AG122" s="39"/>
      <c r="AH122" s="39"/>
      <c r="AI122" s="39"/>
      <c r="AJ122" s="39"/>
      <c r="AK122" s="12" t="str">
        <f aca="false">IF(A122="","",IF(COUNTIF(Rebar_Schedule!$A$5:$A$2004,A122)=0,"",ROUND(SUMIF(Rebar_Schedule!$A$5:$A$2004,A122,Rebar_Schedule!$K$5:$K$2004),1)))</f>
        <v/>
      </c>
      <c r="AL122" s="33" t="str">
        <f aca="false">IF(A122="","",IF(AK122="","No rebar schedule yet",IF(ABS(AK122-N(AG122))/MAX(N(AG122),1)&gt;SG_Criteria!$B$55,"NOTE: register rebar differs from schedule by "&amp;TEXT(ABS(AK122-N(AG122))/MAX(N(AG122),1),"0%"),"OK")))</f>
        <v/>
      </c>
      <c r="AM122" s="33" t="str">
        <f aca="false">IF(D122="","","OK")</f>
        <v/>
      </c>
      <c r="AN122" s="9"/>
      <c r="AO122" s="9"/>
      <c r="AP122" s="9"/>
      <c r="AQ122" s="10" t="str">
        <f aca="false">IF(AP122="","",IFERROR(VLOOKUP(AP122,Projects!$A$5:$D$504,2,0),"Ref not in Projects"))</f>
        <v/>
      </c>
      <c r="AR122" s="10" t="str">
        <f aca="false">IF(AP122="","",IFERROR(VLOOKUP(AP122,Projects!$A$5:$D$504,4,0),"Ref not in Projects"))</f>
        <v/>
      </c>
      <c r="AS122" s="9"/>
      <c r="AT122" s="9"/>
      <c r="AU122" s="9"/>
      <c r="AV122" s="40"/>
      <c r="AW122" s="9"/>
      <c r="AX122" s="40"/>
      <c r="AY122" s="9"/>
      <c r="AZ122" s="40"/>
      <c r="BA122" s="9"/>
      <c r="BB122" s="9"/>
      <c r="BC122" s="9"/>
      <c r="BD122" s="40"/>
      <c r="BE122" s="40"/>
      <c r="BF122" s="36" t="str">
        <f aca="false">IF(BE122="","",EDATE(BE122,SG_Criteria!$B$54*12))</f>
        <v/>
      </c>
      <c r="BG122" s="33" t="str">
        <f aca="true">IF(A122="","",IF(BE122="","NOTE: not reviewed yet",IF(TODAY()&gt;BF122,"NOTE: review overdue","OK")))</f>
        <v/>
      </c>
      <c r="BH122" s="37" t="str">
        <f aca="false">IF(A122="","",ROUND((IF(LEN(D122)&gt;0,1,0)+IF(LEN(E122)&gt;0,1,0)+IF(LEN(I122)&gt;0,1,0)+IF(LEN(K122)&gt;0,1,0)+IF(LEN(Q122)&gt;0,1,0)+IF(LEN(S122)&gt;0,1,0)+IF(LEN(T122)&gt;0,1,0)+IF(LEN(U122)&gt;0,1,0)+IF(LEN(V122)&gt;0,1,0)+IF(LEN(AE122)&gt;0,1,0)+IF(LEN(AP122)&gt;0,1,0)+IF(LEN(BC122)&gt;0,1,0))/12,2))</f>
        <v/>
      </c>
      <c r="BI122" s="10" t="str">
        <f aca="false">IF(D122="","",IF(AND(T122="Approved",ISERROR(SEARCH("FAIL",AM122))),"Y","N"))</f>
        <v/>
      </c>
    </row>
    <row r="123" customFormat="false" ht="15" hidden="false" customHeight="false" outlineLevel="0" collapsed="false">
      <c r="A123" s="10" t="str">
        <f aca="false">IF(D123="","",IFERROR(VLOOKUP(D123,Lists!$BI$4:$BJ$20,2,0),"??")&amp;"-"&amp;UPPER(SUBSTITUTE(E123," ",""))&amp;IF(F123&lt;&gt;"","-SP"&amp;TEXT(F123*1000,"0"),"")&amp;IF(G123&lt;&gt;"","-H"&amp;TEXT(G123*1000,"0"),"")&amp;"-"&amp;S123)</f>
        <v/>
      </c>
      <c r="B123" s="10" t="str">
        <f aca="false">IF(D123="","",D123&amp;" - "&amp;E123&amp;IF(F123&lt;&gt;"",", span "&amp;F123&amp;" m","")&amp;IF(G123&lt;&gt;"",", H "&amp;G123&amp;" m","")&amp;IF(H123&lt;&gt;"",", W "&amp;H123&amp;" m",""))</f>
        <v/>
      </c>
      <c r="C123" s="9"/>
      <c r="D123" s="9"/>
      <c r="E123" s="9"/>
      <c r="F123" s="42"/>
      <c r="G123" s="42"/>
      <c r="H123" s="42"/>
      <c r="I123" s="9"/>
      <c r="J123" s="9"/>
      <c r="K123" s="9"/>
      <c r="L123" s="9"/>
      <c r="M123" s="9"/>
      <c r="N123" s="38"/>
      <c r="O123" s="9"/>
      <c r="P123" s="39"/>
      <c r="Q123" s="9"/>
      <c r="R123" s="9"/>
      <c r="S123" s="9"/>
      <c r="T123" s="9"/>
      <c r="U123" s="9"/>
      <c r="V123" s="9"/>
      <c r="W123" s="9"/>
      <c r="X123" s="10" t="str">
        <f aca="false">IF(A123="","",SG_Criteria!$B$6&amp;SG_Criteria!$B$13&amp;"\"&amp;A123&amp;"\")</f>
        <v/>
      </c>
      <c r="Y123" s="10" t="str">
        <f aca="false">IF(A123="","",A123&amp;"_CAD.dwg")</f>
        <v/>
      </c>
      <c r="Z123" s="10" t="str">
        <f aca="false">IF(A123="","",A123&amp;"_DWG.pdf")</f>
        <v/>
      </c>
      <c r="AA123" s="10" t="str">
        <f aca="false">IF(A123="","",IF(W123="Y",A123&amp;"_STAAD.std","n/a"))</f>
        <v/>
      </c>
      <c r="AB123" s="10" t="str">
        <f aca="false">IF(A123="","",A123&amp;"_CALC.xlsx")</f>
        <v/>
      </c>
      <c r="AC123" s="10" t="str">
        <f aca="false">IF(A123="","",A123&amp;"_CALC.pdf")</f>
        <v/>
      </c>
      <c r="AD123" s="9"/>
      <c r="AE123" s="9"/>
      <c r="AF123" s="39"/>
      <c r="AG123" s="39"/>
      <c r="AH123" s="39"/>
      <c r="AI123" s="39"/>
      <c r="AJ123" s="39"/>
      <c r="AK123" s="12" t="str">
        <f aca="false">IF(A123="","",IF(COUNTIF(Rebar_Schedule!$A$5:$A$2004,A123)=0,"",ROUND(SUMIF(Rebar_Schedule!$A$5:$A$2004,A123,Rebar_Schedule!$K$5:$K$2004),1)))</f>
        <v/>
      </c>
      <c r="AL123" s="33" t="str">
        <f aca="false">IF(A123="","",IF(AK123="","No rebar schedule yet",IF(ABS(AK123-N(AG123))/MAX(N(AG123),1)&gt;SG_Criteria!$B$55,"NOTE: register rebar differs from schedule by "&amp;TEXT(ABS(AK123-N(AG123))/MAX(N(AG123),1),"0%"),"OK")))</f>
        <v/>
      </c>
      <c r="AM123" s="33" t="str">
        <f aca="false">IF(D123="","","OK")</f>
        <v/>
      </c>
      <c r="AN123" s="9"/>
      <c r="AO123" s="9"/>
      <c r="AP123" s="9"/>
      <c r="AQ123" s="10" t="str">
        <f aca="false">IF(AP123="","",IFERROR(VLOOKUP(AP123,Projects!$A$5:$D$504,2,0),"Ref not in Projects"))</f>
        <v/>
      </c>
      <c r="AR123" s="10" t="str">
        <f aca="false">IF(AP123="","",IFERROR(VLOOKUP(AP123,Projects!$A$5:$D$504,4,0),"Ref not in Projects"))</f>
        <v/>
      </c>
      <c r="AS123" s="9"/>
      <c r="AT123" s="9"/>
      <c r="AU123" s="9"/>
      <c r="AV123" s="40"/>
      <c r="AW123" s="9"/>
      <c r="AX123" s="40"/>
      <c r="AY123" s="9"/>
      <c r="AZ123" s="40"/>
      <c r="BA123" s="9"/>
      <c r="BB123" s="9"/>
      <c r="BC123" s="9"/>
      <c r="BD123" s="40"/>
      <c r="BE123" s="40"/>
      <c r="BF123" s="36" t="str">
        <f aca="false">IF(BE123="","",EDATE(BE123,SG_Criteria!$B$54*12))</f>
        <v/>
      </c>
      <c r="BG123" s="33" t="str">
        <f aca="true">IF(A123="","",IF(BE123="","NOTE: not reviewed yet",IF(TODAY()&gt;BF123,"NOTE: review overdue","OK")))</f>
        <v/>
      </c>
      <c r="BH123" s="37" t="str">
        <f aca="false">IF(A123="","",ROUND((IF(LEN(D123)&gt;0,1,0)+IF(LEN(E123)&gt;0,1,0)+IF(LEN(I123)&gt;0,1,0)+IF(LEN(K123)&gt;0,1,0)+IF(LEN(Q123)&gt;0,1,0)+IF(LEN(S123)&gt;0,1,0)+IF(LEN(T123)&gt;0,1,0)+IF(LEN(U123)&gt;0,1,0)+IF(LEN(V123)&gt;0,1,0)+IF(LEN(AE123)&gt;0,1,0)+IF(LEN(AP123)&gt;0,1,0)+IF(LEN(BC123)&gt;0,1,0))/12,2))</f>
        <v/>
      </c>
      <c r="BI123" s="10" t="str">
        <f aca="false">IF(D123="","",IF(AND(T123="Approved",ISERROR(SEARCH("FAIL",AM123))),"Y","N"))</f>
        <v/>
      </c>
    </row>
    <row r="124" customFormat="false" ht="15" hidden="false" customHeight="false" outlineLevel="0" collapsed="false">
      <c r="A124" s="10" t="str">
        <f aca="false">IF(D124="","",IFERROR(VLOOKUP(D124,Lists!$BI$4:$BJ$20,2,0),"??")&amp;"-"&amp;UPPER(SUBSTITUTE(E124," ",""))&amp;IF(F124&lt;&gt;"","-SP"&amp;TEXT(F124*1000,"0"),"")&amp;IF(G124&lt;&gt;"","-H"&amp;TEXT(G124*1000,"0"),"")&amp;"-"&amp;S124)</f>
        <v/>
      </c>
      <c r="B124" s="10" t="str">
        <f aca="false">IF(D124="","",D124&amp;" - "&amp;E124&amp;IF(F124&lt;&gt;"",", span "&amp;F124&amp;" m","")&amp;IF(G124&lt;&gt;"",", H "&amp;G124&amp;" m","")&amp;IF(H124&lt;&gt;"",", W "&amp;H124&amp;" m",""))</f>
        <v/>
      </c>
      <c r="C124" s="9"/>
      <c r="D124" s="9"/>
      <c r="E124" s="9"/>
      <c r="F124" s="42"/>
      <c r="G124" s="42"/>
      <c r="H124" s="42"/>
      <c r="I124" s="9"/>
      <c r="J124" s="9"/>
      <c r="K124" s="9"/>
      <c r="L124" s="9"/>
      <c r="M124" s="9"/>
      <c r="N124" s="38"/>
      <c r="O124" s="9"/>
      <c r="P124" s="39"/>
      <c r="Q124" s="9"/>
      <c r="R124" s="9"/>
      <c r="S124" s="9"/>
      <c r="T124" s="9"/>
      <c r="U124" s="9"/>
      <c r="V124" s="9"/>
      <c r="W124" s="9"/>
      <c r="X124" s="10" t="str">
        <f aca="false">IF(A124="","",SG_Criteria!$B$6&amp;SG_Criteria!$B$13&amp;"\"&amp;A124&amp;"\")</f>
        <v/>
      </c>
      <c r="Y124" s="10" t="str">
        <f aca="false">IF(A124="","",A124&amp;"_CAD.dwg")</f>
        <v/>
      </c>
      <c r="Z124" s="10" t="str">
        <f aca="false">IF(A124="","",A124&amp;"_DWG.pdf")</f>
        <v/>
      </c>
      <c r="AA124" s="10" t="str">
        <f aca="false">IF(A124="","",IF(W124="Y",A124&amp;"_STAAD.std","n/a"))</f>
        <v/>
      </c>
      <c r="AB124" s="10" t="str">
        <f aca="false">IF(A124="","",A124&amp;"_CALC.xlsx")</f>
        <v/>
      </c>
      <c r="AC124" s="10" t="str">
        <f aca="false">IF(A124="","",A124&amp;"_CALC.pdf")</f>
        <v/>
      </c>
      <c r="AD124" s="9"/>
      <c r="AE124" s="9"/>
      <c r="AF124" s="39"/>
      <c r="AG124" s="39"/>
      <c r="AH124" s="39"/>
      <c r="AI124" s="39"/>
      <c r="AJ124" s="39"/>
      <c r="AK124" s="12" t="str">
        <f aca="false">IF(A124="","",IF(COUNTIF(Rebar_Schedule!$A$5:$A$2004,A124)=0,"",ROUND(SUMIF(Rebar_Schedule!$A$5:$A$2004,A124,Rebar_Schedule!$K$5:$K$2004),1)))</f>
        <v/>
      </c>
      <c r="AL124" s="33" t="str">
        <f aca="false">IF(A124="","",IF(AK124="","No rebar schedule yet",IF(ABS(AK124-N(AG124))/MAX(N(AG124),1)&gt;SG_Criteria!$B$55,"NOTE: register rebar differs from schedule by "&amp;TEXT(ABS(AK124-N(AG124))/MAX(N(AG124),1),"0%"),"OK")))</f>
        <v/>
      </c>
      <c r="AM124" s="33" t="str">
        <f aca="false">IF(D124="","","OK")</f>
        <v/>
      </c>
      <c r="AN124" s="9"/>
      <c r="AO124" s="9"/>
      <c r="AP124" s="9"/>
      <c r="AQ124" s="10" t="str">
        <f aca="false">IF(AP124="","",IFERROR(VLOOKUP(AP124,Projects!$A$5:$D$504,2,0),"Ref not in Projects"))</f>
        <v/>
      </c>
      <c r="AR124" s="10" t="str">
        <f aca="false">IF(AP124="","",IFERROR(VLOOKUP(AP124,Projects!$A$5:$D$504,4,0),"Ref not in Projects"))</f>
        <v/>
      </c>
      <c r="AS124" s="9"/>
      <c r="AT124" s="9"/>
      <c r="AU124" s="9"/>
      <c r="AV124" s="40"/>
      <c r="AW124" s="9"/>
      <c r="AX124" s="40"/>
      <c r="AY124" s="9"/>
      <c r="AZ124" s="40"/>
      <c r="BA124" s="9"/>
      <c r="BB124" s="9"/>
      <c r="BC124" s="9"/>
      <c r="BD124" s="40"/>
      <c r="BE124" s="40"/>
      <c r="BF124" s="36" t="str">
        <f aca="false">IF(BE124="","",EDATE(BE124,SG_Criteria!$B$54*12))</f>
        <v/>
      </c>
      <c r="BG124" s="33" t="str">
        <f aca="true">IF(A124="","",IF(BE124="","NOTE: not reviewed yet",IF(TODAY()&gt;BF124,"NOTE: review overdue","OK")))</f>
        <v/>
      </c>
      <c r="BH124" s="37" t="str">
        <f aca="false">IF(A124="","",ROUND((IF(LEN(D124)&gt;0,1,0)+IF(LEN(E124)&gt;0,1,0)+IF(LEN(I124)&gt;0,1,0)+IF(LEN(K124)&gt;0,1,0)+IF(LEN(Q124)&gt;0,1,0)+IF(LEN(S124)&gt;0,1,0)+IF(LEN(T124)&gt;0,1,0)+IF(LEN(U124)&gt;0,1,0)+IF(LEN(V124)&gt;0,1,0)+IF(LEN(AE124)&gt;0,1,0)+IF(LEN(AP124)&gt;0,1,0)+IF(LEN(BC124)&gt;0,1,0))/12,2))</f>
        <v/>
      </c>
      <c r="BI124" s="10" t="str">
        <f aca="false">IF(D124="","",IF(AND(T124="Approved",ISERROR(SEARCH("FAIL",AM124))),"Y","N"))</f>
        <v/>
      </c>
    </row>
    <row r="125" customFormat="false" ht="15" hidden="false" customHeight="false" outlineLevel="0" collapsed="false">
      <c r="A125" s="10" t="str">
        <f aca="false">IF(D125="","",IFERROR(VLOOKUP(D125,Lists!$BI$4:$BJ$20,2,0),"??")&amp;"-"&amp;UPPER(SUBSTITUTE(E125," ",""))&amp;IF(F125&lt;&gt;"","-SP"&amp;TEXT(F125*1000,"0"),"")&amp;IF(G125&lt;&gt;"","-H"&amp;TEXT(G125*1000,"0"),"")&amp;"-"&amp;S125)</f>
        <v/>
      </c>
      <c r="B125" s="10" t="str">
        <f aca="false">IF(D125="","",D125&amp;" - "&amp;E125&amp;IF(F125&lt;&gt;"",", span "&amp;F125&amp;" m","")&amp;IF(G125&lt;&gt;"",", H "&amp;G125&amp;" m","")&amp;IF(H125&lt;&gt;"",", W "&amp;H125&amp;" m",""))</f>
        <v/>
      </c>
      <c r="C125" s="9"/>
      <c r="D125" s="9"/>
      <c r="E125" s="9"/>
      <c r="F125" s="42"/>
      <c r="G125" s="42"/>
      <c r="H125" s="42"/>
      <c r="I125" s="9"/>
      <c r="J125" s="9"/>
      <c r="K125" s="9"/>
      <c r="L125" s="9"/>
      <c r="M125" s="9"/>
      <c r="N125" s="38"/>
      <c r="O125" s="9"/>
      <c r="P125" s="39"/>
      <c r="Q125" s="9"/>
      <c r="R125" s="9"/>
      <c r="S125" s="9"/>
      <c r="T125" s="9"/>
      <c r="U125" s="9"/>
      <c r="V125" s="9"/>
      <c r="W125" s="9"/>
      <c r="X125" s="10" t="str">
        <f aca="false">IF(A125="","",SG_Criteria!$B$6&amp;SG_Criteria!$B$13&amp;"\"&amp;A125&amp;"\")</f>
        <v/>
      </c>
      <c r="Y125" s="10" t="str">
        <f aca="false">IF(A125="","",A125&amp;"_CAD.dwg")</f>
        <v/>
      </c>
      <c r="Z125" s="10" t="str">
        <f aca="false">IF(A125="","",A125&amp;"_DWG.pdf")</f>
        <v/>
      </c>
      <c r="AA125" s="10" t="str">
        <f aca="false">IF(A125="","",IF(W125="Y",A125&amp;"_STAAD.std","n/a"))</f>
        <v/>
      </c>
      <c r="AB125" s="10" t="str">
        <f aca="false">IF(A125="","",A125&amp;"_CALC.xlsx")</f>
        <v/>
      </c>
      <c r="AC125" s="10" t="str">
        <f aca="false">IF(A125="","",A125&amp;"_CALC.pdf")</f>
        <v/>
      </c>
      <c r="AD125" s="9"/>
      <c r="AE125" s="9"/>
      <c r="AF125" s="39"/>
      <c r="AG125" s="39"/>
      <c r="AH125" s="39"/>
      <c r="AI125" s="39"/>
      <c r="AJ125" s="39"/>
      <c r="AK125" s="12" t="str">
        <f aca="false">IF(A125="","",IF(COUNTIF(Rebar_Schedule!$A$5:$A$2004,A125)=0,"",ROUND(SUMIF(Rebar_Schedule!$A$5:$A$2004,A125,Rebar_Schedule!$K$5:$K$2004),1)))</f>
        <v/>
      </c>
      <c r="AL125" s="33" t="str">
        <f aca="false">IF(A125="","",IF(AK125="","No rebar schedule yet",IF(ABS(AK125-N(AG125))/MAX(N(AG125),1)&gt;SG_Criteria!$B$55,"NOTE: register rebar differs from schedule by "&amp;TEXT(ABS(AK125-N(AG125))/MAX(N(AG125),1),"0%"),"OK")))</f>
        <v/>
      </c>
      <c r="AM125" s="33" t="str">
        <f aca="false">IF(D125="","","OK")</f>
        <v/>
      </c>
      <c r="AN125" s="9"/>
      <c r="AO125" s="9"/>
      <c r="AP125" s="9"/>
      <c r="AQ125" s="10" t="str">
        <f aca="false">IF(AP125="","",IFERROR(VLOOKUP(AP125,Projects!$A$5:$D$504,2,0),"Ref not in Projects"))</f>
        <v/>
      </c>
      <c r="AR125" s="10" t="str">
        <f aca="false">IF(AP125="","",IFERROR(VLOOKUP(AP125,Projects!$A$5:$D$504,4,0),"Ref not in Projects"))</f>
        <v/>
      </c>
      <c r="AS125" s="9"/>
      <c r="AT125" s="9"/>
      <c r="AU125" s="9"/>
      <c r="AV125" s="40"/>
      <c r="AW125" s="9"/>
      <c r="AX125" s="40"/>
      <c r="AY125" s="9"/>
      <c r="AZ125" s="40"/>
      <c r="BA125" s="9"/>
      <c r="BB125" s="9"/>
      <c r="BC125" s="9"/>
      <c r="BD125" s="40"/>
      <c r="BE125" s="40"/>
      <c r="BF125" s="36" t="str">
        <f aca="false">IF(BE125="","",EDATE(BE125,SG_Criteria!$B$54*12))</f>
        <v/>
      </c>
      <c r="BG125" s="33" t="str">
        <f aca="true">IF(A125="","",IF(BE125="","NOTE: not reviewed yet",IF(TODAY()&gt;BF125,"NOTE: review overdue","OK")))</f>
        <v/>
      </c>
      <c r="BH125" s="37" t="str">
        <f aca="false">IF(A125="","",ROUND((IF(LEN(D125)&gt;0,1,0)+IF(LEN(E125)&gt;0,1,0)+IF(LEN(I125)&gt;0,1,0)+IF(LEN(K125)&gt;0,1,0)+IF(LEN(Q125)&gt;0,1,0)+IF(LEN(S125)&gt;0,1,0)+IF(LEN(T125)&gt;0,1,0)+IF(LEN(U125)&gt;0,1,0)+IF(LEN(V125)&gt;0,1,0)+IF(LEN(AE125)&gt;0,1,0)+IF(LEN(AP125)&gt;0,1,0)+IF(LEN(BC125)&gt;0,1,0))/12,2))</f>
        <v/>
      </c>
      <c r="BI125" s="10" t="str">
        <f aca="false">IF(D125="","",IF(AND(T125="Approved",ISERROR(SEARCH("FAIL",AM125))),"Y","N"))</f>
        <v/>
      </c>
    </row>
    <row r="126" customFormat="false" ht="15" hidden="false" customHeight="false" outlineLevel="0" collapsed="false">
      <c r="A126" s="10" t="str">
        <f aca="false">IF(D126="","",IFERROR(VLOOKUP(D126,Lists!$BI$4:$BJ$20,2,0),"??")&amp;"-"&amp;UPPER(SUBSTITUTE(E126," ",""))&amp;IF(F126&lt;&gt;"","-SP"&amp;TEXT(F126*1000,"0"),"")&amp;IF(G126&lt;&gt;"","-H"&amp;TEXT(G126*1000,"0"),"")&amp;"-"&amp;S126)</f>
        <v/>
      </c>
      <c r="B126" s="10" t="str">
        <f aca="false">IF(D126="","",D126&amp;" - "&amp;E126&amp;IF(F126&lt;&gt;"",", span "&amp;F126&amp;" m","")&amp;IF(G126&lt;&gt;"",", H "&amp;G126&amp;" m","")&amp;IF(H126&lt;&gt;"",", W "&amp;H126&amp;" m",""))</f>
        <v/>
      </c>
      <c r="C126" s="9"/>
      <c r="D126" s="9"/>
      <c r="E126" s="9"/>
      <c r="F126" s="42"/>
      <c r="G126" s="42"/>
      <c r="H126" s="42"/>
      <c r="I126" s="9"/>
      <c r="J126" s="9"/>
      <c r="K126" s="9"/>
      <c r="L126" s="9"/>
      <c r="M126" s="9"/>
      <c r="N126" s="38"/>
      <c r="O126" s="9"/>
      <c r="P126" s="39"/>
      <c r="Q126" s="9"/>
      <c r="R126" s="9"/>
      <c r="S126" s="9"/>
      <c r="T126" s="9"/>
      <c r="U126" s="9"/>
      <c r="V126" s="9"/>
      <c r="W126" s="9"/>
      <c r="X126" s="10" t="str">
        <f aca="false">IF(A126="","",SG_Criteria!$B$6&amp;SG_Criteria!$B$13&amp;"\"&amp;A126&amp;"\")</f>
        <v/>
      </c>
      <c r="Y126" s="10" t="str">
        <f aca="false">IF(A126="","",A126&amp;"_CAD.dwg")</f>
        <v/>
      </c>
      <c r="Z126" s="10" t="str">
        <f aca="false">IF(A126="","",A126&amp;"_DWG.pdf")</f>
        <v/>
      </c>
      <c r="AA126" s="10" t="str">
        <f aca="false">IF(A126="","",IF(W126="Y",A126&amp;"_STAAD.std","n/a"))</f>
        <v/>
      </c>
      <c r="AB126" s="10" t="str">
        <f aca="false">IF(A126="","",A126&amp;"_CALC.xlsx")</f>
        <v/>
      </c>
      <c r="AC126" s="10" t="str">
        <f aca="false">IF(A126="","",A126&amp;"_CALC.pdf")</f>
        <v/>
      </c>
      <c r="AD126" s="9"/>
      <c r="AE126" s="9"/>
      <c r="AF126" s="39"/>
      <c r="AG126" s="39"/>
      <c r="AH126" s="39"/>
      <c r="AI126" s="39"/>
      <c r="AJ126" s="39"/>
      <c r="AK126" s="12" t="str">
        <f aca="false">IF(A126="","",IF(COUNTIF(Rebar_Schedule!$A$5:$A$2004,A126)=0,"",ROUND(SUMIF(Rebar_Schedule!$A$5:$A$2004,A126,Rebar_Schedule!$K$5:$K$2004),1)))</f>
        <v/>
      </c>
      <c r="AL126" s="33" t="str">
        <f aca="false">IF(A126="","",IF(AK126="","No rebar schedule yet",IF(ABS(AK126-N(AG126))/MAX(N(AG126),1)&gt;SG_Criteria!$B$55,"NOTE: register rebar differs from schedule by "&amp;TEXT(ABS(AK126-N(AG126))/MAX(N(AG126),1),"0%"),"OK")))</f>
        <v/>
      </c>
      <c r="AM126" s="33" t="str">
        <f aca="false">IF(D126="","","OK")</f>
        <v/>
      </c>
      <c r="AN126" s="9"/>
      <c r="AO126" s="9"/>
      <c r="AP126" s="9"/>
      <c r="AQ126" s="10" t="str">
        <f aca="false">IF(AP126="","",IFERROR(VLOOKUP(AP126,Projects!$A$5:$D$504,2,0),"Ref not in Projects"))</f>
        <v/>
      </c>
      <c r="AR126" s="10" t="str">
        <f aca="false">IF(AP126="","",IFERROR(VLOOKUP(AP126,Projects!$A$5:$D$504,4,0),"Ref not in Projects"))</f>
        <v/>
      </c>
      <c r="AS126" s="9"/>
      <c r="AT126" s="9"/>
      <c r="AU126" s="9"/>
      <c r="AV126" s="40"/>
      <c r="AW126" s="9"/>
      <c r="AX126" s="40"/>
      <c r="AY126" s="9"/>
      <c r="AZ126" s="40"/>
      <c r="BA126" s="9"/>
      <c r="BB126" s="9"/>
      <c r="BC126" s="9"/>
      <c r="BD126" s="40"/>
      <c r="BE126" s="40"/>
      <c r="BF126" s="36" t="str">
        <f aca="false">IF(BE126="","",EDATE(BE126,SG_Criteria!$B$54*12))</f>
        <v/>
      </c>
      <c r="BG126" s="33" t="str">
        <f aca="true">IF(A126="","",IF(BE126="","NOTE: not reviewed yet",IF(TODAY()&gt;BF126,"NOTE: review overdue","OK")))</f>
        <v/>
      </c>
      <c r="BH126" s="37" t="str">
        <f aca="false">IF(A126="","",ROUND((IF(LEN(D126)&gt;0,1,0)+IF(LEN(E126)&gt;0,1,0)+IF(LEN(I126)&gt;0,1,0)+IF(LEN(K126)&gt;0,1,0)+IF(LEN(Q126)&gt;0,1,0)+IF(LEN(S126)&gt;0,1,0)+IF(LEN(T126)&gt;0,1,0)+IF(LEN(U126)&gt;0,1,0)+IF(LEN(V126)&gt;0,1,0)+IF(LEN(AE126)&gt;0,1,0)+IF(LEN(AP126)&gt;0,1,0)+IF(LEN(BC126)&gt;0,1,0))/12,2))</f>
        <v/>
      </c>
      <c r="BI126" s="10" t="str">
        <f aca="false">IF(D126="","",IF(AND(T126="Approved",ISERROR(SEARCH("FAIL",AM126))),"Y","N"))</f>
        <v/>
      </c>
    </row>
    <row r="127" customFormat="false" ht="15" hidden="false" customHeight="false" outlineLevel="0" collapsed="false">
      <c r="A127" s="10" t="str">
        <f aca="false">IF(D127="","",IFERROR(VLOOKUP(D127,Lists!$BI$4:$BJ$20,2,0),"??")&amp;"-"&amp;UPPER(SUBSTITUTE(E127," ",""))&amp;IF(F127&lt;&gt;"","-SP"&amp;TEXT(F127*1000,"0"),"")&amp;IF(G127&lt;&gt;"","-H"&amp;TEXT(G127*1000,"0"),"")&amp;"-"&amp;S127)</f>
        <v/>
      </c>
      <c r="B127" s="10" t="str">
        <f aca="false">IF(D127="","",D127&amp;" - "&amp;E127&amp;IF(F127&lt;&gt;"",", span "&amp;F127&amp;" m","")&amp;IF(G127&lt;&gt;"",", H "&amp;G127&amp;" m","")&amp;IF(H127&lt;&gt;"",", W "&amp;H127&amp;" m",""))</f>
        <v/>
      </c>
      <c r="C127" s="9"/>
      <c r="D127" s="9"/>
      <c r="E127" s="9"/>
      <c r="F127" s="42"/>
      <c r="G127" s="42"/>
      <c r="H127" s="42"/>
      <c r="I127" s="9"/>
      <c r="J127" s="9"/>
      <c r="K127" s="9"/>
      <c r="L127" s="9"/>
      <c r="M127" s="9"/>
      <c r="N127" s="38"/>
      <c r="O127" s="9"/>
      <c r="P127" s="39"/>
      <c r="Q127" s="9"/>
      <c r="R127" s="9"/>
      <c r="S127" s="9"/>
      <c r="T127" s="9"/>
      <c r="U127" s="9"/>
      <c r="V127" s="9"/>
      <c r="W127" s="9"/>
      <c r="X127" s="10" t="str">
        <f aca="false">IF(A127="","",SG_Criteria!$B$6&amp;SG_Criteria!$B$13&amp;"\"&amp;A127&amp;"\")</f>
        <v/>
      </c>
      <c r="Y127" s="10" t="str">
        <f aca="false">IF(A127="","",A127&amp;"_CAD.dwg")</f>
        <v/>
      </c>
      <c r="Z127" s="10" t="str">
        <f aca="false">IF(A127="","",A127&amp;"_DWG.pdf")</f>
        <v/>
      </c>
      <c r="AA127" s="10" t="str">
        <f aca="false">IF(A127="","",IF(W127="Y",A127&amp;"_STAAD.std","n/a"))</f>
        <v/>
      </c>
      <c r="AB127" s="10" t="str">
        <f aca="false">IF(A127="","",A127&amp;"_CALC.xlsx")</f>
        <v/>
      </c>
      <c r="AC127" s="10" t="str">
        <f aca="false">IF(A127="","",A127&amp;"_CALC.pdf")</f>
        <v/>
      </c>
      <c r="AD127" s="9"/>
      <c r="AE127" s="9"/>
      <c r="AF127" s="39"/>
      <c r="AG127" s="39"/>
      <c r="AH127" s="39"/>
      <c r="AI127" s="39"/>
      <c r="AJ127" s="39"/>
      <c r="AK127" s="12" t="str">
        <f aca="false">IF(A127="","",IF(COUNTIF(Rebar_Schedule!$A$5:$A$2004,A127)=0,"",ROUND(SUMIF(Rebar_Schedule!$A$5:$A$2004,A127,Rebar_Schedule!$K$5:$K$2004),1)))</f>
        <v/>
      </c>
      <c r="AL127" s="33" t="str">
        <f aca="false">IF(A127="","",IF(AK127="","No rebar schedule yet",IF(ABS(AK127-N(AG127))/MAX(N(AG127),1)&gt;SG_Criteria!$B$55,"NOTE: register rebar differs from schedule by "&amp;TEXT(ABS(AK127-N(AG127))/MAX(N(AG127),1),"0%"),"OK")))</f>
        <v/>
      </c>
      <c r="AM127" s="33" t="str">
        <f aca="false">IF(D127="","","OK")</f>
        <v/>
      </c>
      <c r="AN127" s="9"/>
      <c r="AO127" s="9"/>
      <c r="AP127" s="9"/>
      <c r="AQ127" s="10" t="str">
        <f aca="false">IF(AP127="","",IFERROR(VLOOKUP(AP127,Projects!$A$5:$D$504,2,0),"Ref not in Projects"))</f>
        <v/>
      </c>
      <c r="AR127" s="10" t="str">
        <f aca="false">IF(AP127="","",IFERROR(VLOOKUP(AP127,Projects!$A$5:$D$504,4,0),"Ref not in Projects"))</f>
        <v/>
      </c>
      <c r="AS127" s="9"/>
      <c r="AT127" s="9"/>
      <c r="AU127" s="9"/>
      <c r="AV127" s="40"/>
      <c r="AW127" s="9"/>
      <c r="AX127" s="40"/>
      <c r="AY127" s="9"/>
      <c r="AZ127" s="40"/>
      <c r="BA127" s="9"/>
      <c r="BB127" s="9"/>
      <c r="BC127" s="9"/>
      <c r="BD127" s="40"/>
      <c r="BE127" s="40"/>
      <c r="BF127" s="36" t="str">
        <f aca="false">IF(BE127="","",EDATE(BE127,SG_Criteria!$B$54*12))</f>
        <v/>
      </c>
      <c r="BG127" s="33" t="str">
        <f aca="true">IF(A127="","",IF(BE127="","NOTE: not reviewed yet",IF(TODAY()&gt;BF127,"NOTE: review overdue","OK")))</f>
        <v/>
      </c>
      <c r="BH127" s="37" t="str">
        <f aca="false">IF(A127="","",ROUND((IF(LEN(D127)&gt;0,1,0)+IF(LEN(E127)&gt;0,1,0)+IF(LEN(I127)&gt;0,1,0)+IF(LEN(K127)&gt;0,1,0)+IF(LEN(Q127)&gt;0,1,0)+IF(LEN(S127)&gt;0,1,0)+IF(LEN(T127)&gt;0,1,0)+IF(LEN(U127)&gt;0,1,0)+IF(LEN(V127)&gt;0,1,0)+IF(LEN(AE127)&gt;0,1,0)+IF(LEN(AP127)&gt;0,1,0)+IF(LEN(BC127)&gt;0,1,0))/12,2))</f>
        <v/>
      </c>
      <c r="BI127" s="10" t="str">
        <f aca="false">IF(D127="","",IF(AND(T127="Approved",ISERROR(SEARCH("FAIL",AM127))),"Y","N"))</f>
        <v/>
      </c>
    </row>
    <row r="128" customFormat="false" ht="15" hidden="false" customHeight="false" outlineLevel="0" collapsed="false">
      <c r="A128" s="10" t="str">
        <f aca="false">IF(D128="","",IFERROR(VLOOKUP(D128,Lists!$BI$4:$BJ$20,2,0),"??")&amp;"-"&amp;UPPER(SUBSTITUTE(E128," ",""))&amp;IF(F128&lt;&gt;"","-SP"&amp;TEXT(F128*1000,"0"),"")&amp;IF(G128&lt;&gt;"","-H"&amp;TEXT(G128*1000,"0"),"")&amp;"-"&amp;S128)</f>
        <v/>
      </c>
      <c r="B128" s="10" t="str">
        <f aca="false">IF(D128="","",D128&amp;" - "&amp;E128&amp;IF(F128&lt;&gt;"",", span "&amp;F128&amp;" m","")&amp;IF(G128&lt;&gt;"",", H "&amp;G128&amp;" m","")&amp;IF(H128&lt;&gt;"",", W "&amp;H128&amp;" m",""))</f>
        <v/>
      </c>
      <c r="C128" s="9"/>
      <c r="D128" s="9"/>
      <c r="E128" s="9"/>
      <c r="F128" s="42"/>
      <c r="G128" s="42"/>
      <c r="H128" s="42"/>
      <c r="I128" s="9"/>
      <c r="J128" s="9"/>
      <c r="K128" s="9"/>
      <c r="L128" s="9"/>
      <c r="M128" s="9"/>
      <c r="N128" s="38"/>
      <c r="O128" s="9"/>
      <c r="P128" s="39"/>
      <c r="Q128" s="9"/>
      <c r="R128" s="9"/>
      <c r="S128" s="9"/>
      <c r="T128" s="9"/>
      <c r="U128" s="9"/>
      <c r="V128" s="9"/>
      <c r="W128" s="9"/>
      <c r="X128" s="10" t="str">
        <f aca="false">IF(A128="","",SG_Criteria!$B$6&amp;SG_Criteria!$B$13&amp;"\"&amp;A128&amp;"\")</f>
        <v/>
      </c>
      <c r="Y128" s="10" t="str">
        <f aca="false">IF(A128="","",A128&amp;"_CAD.dwg")</f>
        <v/>
      </c>
      <c r="Z128" s="10" t="str">
        <f aca="false">IF(A128="","",A128&amp;"_DWG.pdf")</f>
        <v/>
      </c>
      <c r="AA128" s="10" t="str">
        <f aca="false">IF(A128="","",IF(W128="Y",A128&amp;"_STAAD.std","n/a"))</f>
        <v/>
      </c>
      <c r="AB128" s="10" t="str">
        <f aca="false">IF(A128="","",A128&amp;"_CALC.xlsx")</f>
        <v/>
      </c>
      <c r="AC128" s="10" t="str">
        <f aca="false">IF(A128="","",A128&amp;"_CALC.pdf")</f>
        <v/>
      </c>
      <c r="AD128" s="9"/>
      <c r="AE128" s="9"/>
      <c r="AF128" s="39"/>
      <c r="AG128" s="39"/>
      <c r="AH128" s="39"/>
      <c r="AI128" s="39"/>
      <c r="AJ128" s="39"/>
      <c r="AK128" s="12" t="str">
        <f aca="false">IF(A128="","",IF(COUNTIF(Rebar_Schedule!$A$5:$A$2004,A128)=0,"",ROUND(SUMIF(Rebar_Schedule!$A$5:$A$2004,A128,Rebar_Schedule!$K$5:$K$2004),1)))</f>
        <v/>
      </c>
      <c r="AL128" s="33" t="str">
        <f aca="false">IF(A128="","",IF(AK128="","No rebar schedule yet",IF(ABS(AK128-N(AG128))/MAX(N(AG128),1)&gt;SG_Criteria!$B$55,"NOTE: register rebar differs from schedule by "&amp;TEXT(ABS(AK128-N(AG128))/MAX(N(AG128),1),"0%"),"OK")))</f>
        <v/>
      </c>
      <c r="AM128" s="33" t="str">
        <f aca="false">IF(D128="","","OK")</f>
        <v/>
      </c>
      <c r="AN128" s="9"/>
      <c r="AO128" s="9"/>
      <c r="AP128" s="9"/>
      <c r="AQ128" s="10" t="str">
        <f aca="false">IF(AP128="","",IFERROR(VLOOKUP(AP128,Projects!$A$5:$D$504,2,0),"Ref not in Projects"))</f>
        <v/>
      </c>
      <c r="AR128" s="10" t="str">
        <f aca="false">IF(AP128="","",IFERROR(VLOOKUP(AP128,Projects!$A$5:$D$504,4,0),"Ref not in Projects"))</f>
        <v/>
      </c>
      <c r="AS128" s="9"/>
      <c r="AT128" s="9"/>
      <c r="AU128" s="9"/>
      <c r="AV128" s="40"/>
      <c r="AW128" s="9"/>
      <c r="AX128" s="40"/>
      <c r="AY128" s="9"/>
      <c r="AZ128" s="40"/>
      <c r="BA128" s="9"/>
      <c r="BB128" s="9"/>
      <c r="BC128" s="9"/>
      <c r="BD128" s="40"/>
      <c r="BE128" s="40"/>
      <c r="BF128" s="36" t="str">
        <f aca="false">IF(BE128="","",EDATE(BE128,SG_Criteria!$B$54*12))</f>
        <v/>
      </c>
      <c r="BG128" s="33" t="str">
        <f aca="true">IF(A128="","",IF(BE128="","NOTE: not reviewed yet",IF(TODAY()&gt;BF128,"NOTE: review overdue","OK")))</f>
        <v/>
      </c>
      <c r="BH128" s="37" t="str">
        <f aca="false">IF(A128="","",ROUND((IF(LEN(D128)&gt;0,1,0)+IF(LEN(E128)&gt;0,1,0)+IF(LEN(I128)&gt;0,1,0)+IF(LEN(K128)&gt;0,1,0)+IF(LEN(Q128)&gt;0,1,0)+IF(LEN(S128)&gt;0,1,0)+IF(LEN(T128)&gt;0,1,0)+IF(LEN(U128)&gt;0,1,0)+IF(LEN(V128)&gt;0,1,0)+IF(LEN(AE128)&gt;0,1,0)+IF(LEN(AP128)&gt;0,1,0)+IF(LEN(BC128)&gt;0,1,0))/12,2))</f>
        <v/>
      </c>
      <c r="BI128" s="10" t="str">
        <f aca="false">IF(D128="","",IF(AND(T128="Approved",ISERROR(SEARCH("FAIL",AM128))),"Y","N"))</f>
        <v/>
      </c>
    </row>
    <row r="129" customFormat="false" ht="15" hidden="false" customHeight="false" outlineLevel="0" collapsed="false">
      <c r="A129" s="10" t="str">
        <f aca="false">IF(D129="","",IFERROR(VLOOKUP(D129,Lists!$BI$4:$BJ$20,2,0),"??")&amp;"-"&amp;UPPER(SUBSTITUTE(E129," ",""))&amp;IF(F129&lt;&gt;"","-SP"&amp;TEXT(F129*1000,"0"),"")&amp;IF(G129&lt;&gt;"","-H"&amp;TEXT(G129*1000,"0"),"")&amp;"-"&amp;S129)</f>
        <v/>
      </c>
      <c r="B129" s="10" t="str">
        <f aca="false">IF(D129="","",D129&amp;" - "&amp;E129&amp;IF(F129&lt;&gt;"",", span "&amp;F129&amp;" m","")&amp;IF(G129&lt;&gt;"",", H "&amp;G129&amp;" m","")&amp;IF(H129&lt;&gt;"",", W "&amp;H129&amp;" m",""))</f>
        <v/>
      </c>
      <c r="C129" s="9"/>
      <c r="D129" s="9"/>
      <c r="E129" s="9"/>
      <c r="F129" s="42"/>
      <c r="G129" s="42"/>
      <c r="H129" s="42"/>
      <c r="I129" s="9"/>
      <c r="J129" s="9"/>
      <c r="K129" s="9"/>
      <c r="L129" s="9"/>
      <c r="M129" s="9"/>
      <c r="N129" s="38"/>
      <c r="O129" s="9"/>
      <c r="P129" s="39"/>
      <c r="Q129" s="9"/>
      <c r="R129" s="9"/>
      <c r="S129" s="9"/>
      <c r="T129" s="9"/>
      <c r="U129" s="9"/>
      <c r="V129" s="9"/>
      <c r="W129" s="9"/>
      <c r="X129" s="10" t="str">
        <f aca="false">IF(A129="","",SG_Criteria!$B$6&amp;SG_Criteria!$B$13&amp;"\"&amp;A129&amp;"\")</f>
        <v/>
      </c>
      <c r="Y129" s="10" t="str">
        <f aca="false">IF(A129="","",A129&amp;"_CAD.dwg")</f>
        <v/>
      </c>
      <c r="Z129" s="10" t="str">
        <f aca="false">IF(A129="","",A129&amp;"_DWG.pdf")</f>
        <v/>
      </c>
      <c r="AA129" s="10" t="str">
        <f aca="false">IF(A129="","",IF(W129="Y",A129&amp;"_STAAD.std","n/a"))</f>
        <v/>
      </c>
      <c r="AB129" s="10" t="str">
        <f aca="false">IF(A129="","",A129&amp;"_CALC.xlsx")</f>
        <v/>
      </c>
      <c r="AC129" s="10" t="str">
        <f aca="false">IF(A129="","",A129&amp;"_CALC.pdf")</f>
        <v/>
      </c>
      <c r="AD129" s="9"/>
      <c r="AE129" s="9"/>
      <c r="AF129" s="39"/>
      <c r="AG129" s="39"/>
      <c r="AH129" s="39"/>
      <c r="AI129" s="39"/>
      <c r="AJ129" s="39"/>
      <c r="AK129" s="12" t="str">
        <f aca="false">IF(A129="","",IF(COUNTIF(Rebar_Schedule!$A$5:$A$2004,A129)=0,"",ROUND(SUMIF(Rebar_Schedule!$A$5:$A$2004,A129,Rebar_Schedule!$K$5:$K$2004),1)))</f>
        <v/>
      </c>
      <c r="AL129" s="33" t="str">
        <f aca="false">IF(A129="","",IF(AK129="","No rebar schedule yet",IF(ABS(AK129-N(AG129))/MAX(N(AG129),1)&gt;SG_Criteria!$B$55,"NOTE: register rebar differs from schedule by "&amp;TEXT(ABS(AK129-N(AG129))/MAX(N(AG129),1),"0%"),"OK")))</f>
        <v/>
      </c>
      <c r="AM129" s="33" t="str">
        <f aca="false">IF(D129="","","OK")</f>
        <v/>
      </c>
      <c r="AN129" s="9"/>
      <c r="AO129" s="9"/>
      <c r="AP129" s="9"/>
      <c r="AQ129" s="10" t="str">
        <f aca="false">IF(AP129="","",IFERROR(VLOOKUP(AP129,Projects!$A$5:$D$504,2,0),"Ref not in Projects"))</f>
        <v/>
      </c>
      <c r="AR129" s="10" t="str">
        <f aca="false">IF(AP129="","",IFERROR(VLOOKUP(AP129,Projects!$A$5:$D$504,4,0),"Ref not in Projects"))</f>
        <v/>
      </c>
      <c r="AS129" s="9"/>
      <c r="AT129" s="9"/>
      <c r="AU129" s="9"/>
      <c r="AV129" s="40"/>
      <c r="AW129" s="9"/>
      <c r="AX129" s="40"/>
      <c r="AY129" s="9"/>
      <c r="AZ129" s="40"/>
      <c r="BA129" s="9"/>
      <c r="BB129" s="9"/>
      <c r="BC129" s="9"/>
      <c r="BD129" s="40"/>
      <c r="BE129" s="40"/>
      <c r="BF129" s="36" t="str">
        <f aca="false">IF(BE129="","",EDATE(BE129,SG_Criteria!$B$54*12))</f>
        <v/>
      </c>
      <c r="BG129" s="33" t="str">
        <f aca="true">IF(A129="","",IF(BE129="","NOTE: not reviewed yet",IF(TODAY()&gt;BF129,"NOTE: review overdue","OK")))</f>
        <v/>
      </c>
      <c r="BH129" s="37" t="str">
        <f aca="false">IF(A129="","",ROUND((IF(LEN(D129)&gt;0,1,0)+IF(LEN(E129)&gt;0,1,0)+IF(LEN(I129)&gt;0,1,0)+IF(LEN(K129)&gt;0,1,0)+IF(LEN(Q129)&gt;0,1,0)+IF(LEN(S129)&gt;0,1,0)+IF(LEN(T129)&gt;0,1,0)+IF(LEN(U129)&gt;0,1,0)+IF(LEN(V129)&gt;0,1,0)+IF(LEN(AE129)&gt;0,1,0)+IF(LEN(AP129)&gt;0,1,0)+IF(LEN(BC129)&gt;0,1,0))/12,2))</f>
        <v/>
      </c>
      <c r="BI129" s="10" t="str">
        <f aca="false">IF(D129="","",IF(AND(T129="Approved",ISERROR(SEARCH("FAIL",AM129))),"Y","N"))</f>
        <v/>
      </c>
    </row>
    <row r="130" customFormat="false" ht="15" hidden="false" customHeight="false" outlineLevel="0" collapsed="false">
      <c r="A130" s="10" t="str">
        <f aca="false">IF(D130="","",IFERROR(VLOOKUP(D130,Lists!$BI$4:$BJ$20,2,0),"??")&amp;"-"&amp;UPPER(SUBSTITUTE(E130," ",""))&amp;IF(F130&lt;&gt;"","-SP"&amp;TEXT(F130*1000,"0"),"")&amp;IF(G130&lt;&gt;"","-H"&amp;TEXT(G130*1000,"0"),"")&amp;"-"&amp;S130)</f>
        <v/>
      </c>
      <c r="B130" s="10" t="str">
        <f aca="false">IF(D130="","",D130&amp;" - "&amp;E130&amp;IF(F130&lt;&gt;"",", span "&amp;F130&amp;" m","")&amp;IF(G130&lt;&gt;"",", H "&amp;G130&amp;" m","")&amp;IF(H130&lt;&gt;"",", W "&amp;H130&amp;" m",""))</f>
        <v/>
      </c>
      <c r="C130" s="9"/>
      <c r="D130" s="9"/>
      <c r="E130" s="9"/>
      <c r="F130" s="42"/>
      <c r="G130" s="42"/>
      <c r="H130" s="42"/>
      <c r="I130" s="9"/>
      <c r="J130" s="9"/>
      <c r="K130" s="9"/>
      <c r="L130" s="9"/>
      <c r="M130" s="9"/>
      <c r="N130" s="38"/>
      <c r="O130" s="9"/>
      <c r="P130" s="39"/>
      <c r="Q130" s="9"/>
      <c r="R130" s="9"/>
      <c r="S130" s="9"/>
      <c r="T130" s="9"/>
      <c r="U130" s="9"/>
      <c r="V130" s="9"/>
      <c r="W130" s="9"/>
      <c r="X130" s="10" t="str">
        <f aca="false">IF(A130="","",SG_Criteria!$B$6&amp;SG_Criteria!$B$13&amp;"\"&amp;A130&amp;"\")</f>
        <v/>
      </c>
      <c r="Y130" s="10" t="str">
        <f aca="false">IF(A130="","",A130&amp;"_CAD.dwg")</f>
        <v/>
      </c>
      <c r="Z130" s="10" t="str">
        <f aca="false">IF(A130="","",A130&amp;"_DWG.pdf")</f>
        <v/>
      </c>
      <c r="AA130" s="10" t="str">
        <f aca="false">IF(A130="","",IF(W130="Y",A130&amp;"_STAAD.std","n/a"))</f>
        <v/>
      </c>
      <c r="AB130" s="10" t="str">
        <f aca="false">IF(A130="","",A130&amp;"_CALC.xlsx")</f>
        <v/>
      </c>
      <c r="AC130" s="10" t="str">
        <f aca="false">IF(A130="","",A130&amp;"_CALC.pdf")</f>
        <v/>
      </c>
      <c r="AD130" s="9"/>
      <c r="AE130" s="9"/>
      <c r="AF130" s="39"/>
      <c r="AG130" s="39"/>
      <c r="AH130" s="39"/>
      <c r="AI130" s="39"/>
      <c r="AJ130" s="39"/>
      <c r="AK130" s="12" t="str">
        <f aca="false">IF(A130="","",IF(COUNTIF(Rebar_Schedule!$A$5:$A$2004,A130)=0,"",ROUND(SUMIF(Rebar_Schedule!$A$5:$A$2004,A130,Rebar_Schedule!$K$5:$K$2004),1)))</f>
        <v/>
      </c>
      <c r="AL130" s="33" t="str">
        <f aca="false">IF(A130="","",IF(AK130="","No rebar schedule yet",IF(ABS(AK130-N(AG130))/MAX(N(AG130),1)&gt;SG_Criteria!$B$55,"NOTE: register rebar differs from schedule by "&amp;TEXT(ABS(AK130-N(AG130))/MAX(N(AG130),1),"0%"),"OK")))</f>
        <v/>
      </c>
      <c r="AM130" s="33" t="str">
        <f aca="false">IF(D130="","","OK")</f>
        <v/>
      </c>
      <c r="AN130" s="9"/>
      <c r="AO130" s="9"/>
      <c r="AP130" s="9"/>
      <c r="AQ130" s="10" t="str">
        <f aca="false">IF(AP130="","",IFERROR(VLOOKUP(AP130,Projects!$A$5:$D$504,2,0),"Ref not in Projects"))</f>
        <v/>
      </c>
      <c r="AR130" s="10" t="str">
        <f aca="false">IF(AP130="","",IFERROR(VLOOKUP(AP130,Projects!$A$5:$D$504,4,0),"Ref not in Projects"))</f>
        <v/>
      </c>
      <c r="AS130" s="9"/>
      <c r="AT130" s="9"/>
      <c r="AU130" s="9"/>
      <c r="AV130" s="40"/>
      <c r="AW130" s="9"/>
      <c r="AX130" s="40"/>
      <c r="AY130" s="9"/>
      <c r="AZ130" s="40"/>
      <c r="BA130" s="9"/>
      <c r="BB130" s="9"/>
      <c r="BC130" s="9"/>
      <c r="BD130" s="40"/>
      <c r="BE130" s="40"/>
      <c r="BF130" s="36" t="str">
        <f aca="false">IF(BE130="","",EDATE(BE130,SG_Criteria!$B$54*12))</f>
        <v/>
      </c>
      <c r="BG130" s="33" t="str">
        <f aca="true">IF(A130="","",IF(BE130="","NOTE: not reviewed yet",IF(TODAY()&gt;BF130,"NOTE: review overdue","OK")))</f>
        <v/>
      </c>
      <c r="BH130" s="37" t="str">
        <f aca="false">IF(A130="","",ROUND((IF(LEN(D130)&gt;0,1,0)+IF(LEN(E130)&gt;0,1,0)+IF(LEN(I130)&gt;0,1,0)+IF(LEN(K130)&gt;0,1,0)+IF(LEN(Q130)&gt;0,1,0)+IF(LEN(S130)&gt;0,1,0)+IF(LEN(T130)&gt;0,1,0)+IF(LEN(U130)&gt;0,1,0)+IF(LEN(V130)&gt;0,1,0)+IF(LEN(AE130)&gt;0,1,0)+IF(LEN(AP130)&gt;0,1,0)+IF(LEN(BC130)&gt;0,1,0))/12,2))</f>
        <v/>
      </c>
      <c r="BI130" s="10" t="str">
        <f aca="false">IF(D130="","",IF(AND(T130="Approved",ISERROR(SEARCH("FAIL",AM130))),"Y","N"))</f>
        <v/>
      </c>
    </row>
    <row r="131" customFormat="false" ht="15" hidden="false" customHeight="false" outlineLevel="0" collapsed="false">
      <c r="A131" s="10" t="str">
        <f aca="false">IF(D131="","",IFERROR(VLOOKUP(D131,Lists!$BI$4:$BJ$20,2,0),"??")&amp;"-"&amp;UPPER(SUBSTITUTE(E131," ",""))&amp;IF(F131&lt;&gt;"","-SP"&amp;TEXT(F131*1000,"0"),"")&amp;IF(G131&lt;&gt;"","-H"&amp;TEXT(G131*1000,"0"),"")&amp;"-"&amp;S131)</f>
        <v/>
      </c>
      <c r="B131" s="10" t="str">
        <f aca="false">IF(D131="","",D131&amp;" - "&amp;E131&amp;IF(F131&lt;&gt;"",", span "&amp;F131&amp;" m","")&amp;IF(G131&lt;&gt;"",", H "&amp;G131&amp;" m","")&amp;IF(H131&lt;&gt;"",", W "&amp;H131&amp;" m",""))</f>
        <v/>
      </c>
      <c r="C131" s="9"/>
      <c r="D131" s="9"/>
      <c r="E131" s="9"/>
      <c r="F131" s="42"/>
      <c r="G131" s="42"/>
      <c r="H131" s="42"/>
      <c r="I131" s="9"/>
      <c r="J131" s="9"/>
      <c r="K131" s="9"/>
      <c r="L131" s="9"/>
      <c r="M131" s="9"/>
      <c r="N131" s="38"/>
      <c r="O131" s="9"/>
      <c r="P131" s="39"/>
      <c r="Q131" s="9"/>
      <c r="R131" s="9"/>
      <c r="S131" s="9"/>
      <c r="T131" s="9"/>
      <c r="U131" s="9"/>
      <c r="V131" s="9"/>
      <c r="W131" s="9"/>
      <c r="X131" s="10" t="str">
        <f aca="false">IF(A131="","",SG_Criteria!$B$6&amp;SG_Criteria!$B$13&amp;"\"&amp;A131&amp;"\")</f>
        <v/>
      </c>
      <c r="Y131" s="10" t="str">
        <f aca="false">IF(A131="","",A131&amp;"_CAD.dwg")</f>
        <v/>
      </c>
      <c r="Z131" s="10" t="str">
        <f aca="false">IF(A131="","",A131&amp;"_DWG.pdf")</f>
        <v/>
      </c>
      <c r="AA131" s="10" t="str">
        <f aca="false">IF(A131="","",IF(W131="Y",A131&amp;"_STAAD.std","n/a"))</f>
        <v/>
      </c>
      <c r="AB131" s="10" t="str">
        <f aca="false">IF(A131="","",A131&amp;"_CALC.xlsx")</f>
        <v/>
      </c>
      <c r="AC131" s="10" t="str">
        <f aca="false">IF(A131="","",A131&amp;"_CALC.pdf")</f>
        <v/>
      </c>
      <c r="AD131" s="9"/>
      <c r="AE131" s="9"/>
      <c r="AF131" s="39"/>
      <c r="AG131" s="39"/>
      <c r="AH131" s="39"/>
      <c r="AI131" s="39"/>
      <c r="AJ131" s="39"/>
      <c r="AK131" s="12" t="str">
        <f aca="false">IF(A131="","",IF(COUNTIF(Rebar_Schedule!$A$5:$A$2004,A131)=0,"",ROUND(SUMIF(Rebar_Schedule!$A$5:$A$2004,A131,Rebar_Schedule!$K$5:$K$2004),1)))</f>
        <v/>
      </c>
      <c r="AL131" s="33" t="str">
        <f aca="false">IF(A131="","",IF(AK131="","No rebar schedule yet",IF(ABS(AK131-N(AG131))/MAX(N(AG131),1)&gt;SG_Criteria!$B$55,"NOTE: register rebar differs from schedule by "&amp;TEXT(ABS(AK131-N(AG131))/MAX(N(AG131),1),"0%"),"OK")))</f>
        <v/>
      </c>
      <c r="AM131" s="33" t="str">
        <f aca="false">IF(D131="","","OK")</f>
        <v/>
      </c>
      <c r="AN131" s="9"/>
      <c r="AO131" s="9"/>
      <c r="AP131" s="9"/>
      <c r="AQ131" s="10" t="str">
        <f aca="false">IF(AP131="","",IFERROR(VLOOKUP(AP131,Projects!$A$5:$D$504,2,0),"Ref not in Projects"))</f>
        <v/>
      </c>
      <c r="AR131" s="10" t="str">
        <f aca="false">IF(AP131="","",IFERROR(VLOOKUP(AP131,Projects!$A$5:$D$504,4,0),"Ref not in Projects"))</f>
        <v/>
      </c>
      <c r="AS131" s="9"/>
      <c r="AT131" s="9"/>
      <c r="AU131" s="9"/>
      <c r="AV131" s="40"/>
      <c r="AW131" s="9"/>
      <c r="AX131" s="40"/>
      <c r="AY131" s="9"/>
      <c r="AZ131" s="40"/>
      <c r="BA131" s="9"/>
      <c r="BB131" s="9"/>
      <c r="BC131" s="9"/>
      <c r="BD131" s="40"/>
      <c r="BE131" s="40"/>
      <c r="BF131" s="36" t="str">
        <f aca="false">IF(BE131="","",EDATE(BE131,SG_Criteria!$B$54*12))</f>
        <v/>
      </c>
      <c r="BG131" s="33" t="str">
        <f aca="true">IF(A131="","",IF(BE131="","NOTE: not reviewed yet",IF(TODAY()&gt;BF131,"NOTE: review overdue","OK")))</f>
        <v/>
      </c>
      <c r="BH131" s="37" t="str">
        <f aca="false">IF(A131="","",ROUND((IF(LEN(D131)&gt;0,1,0)+IF(LEN(E131)&gt;0,1,0)+IF(LEN(I131)&gt;0,1,0)+IF(LEN(K131)&gt;0,1,0)+IF(LEN(Q131)&gt;0,1,0)+IF(LEN(S131)&gt;0,1,0)+IF(LEN(T131)&gt;0,1,0)+IF(LEN(U131)&gt;0,1,0)+IF(LEN(V131)&gt;0,1,0)+IF(LEN(AE131)&gt;0,1,0)+IF(LEN(AP131)&gt;0,1,0)+IF(LEN(BC131)&gt;0,1,0))/12,2))</f>
        <v/>
      </c>
      <c r="BI131" s="10" t="str">
        <f aca="false">IF(D131="","",IF(AND(T131="Approved",ISERROR(SEARCH("FAIL",AM131))),"Y","N"))</f>
        <v/>
      </c>
    </row>
    <row r="132" customFormat="false" ht="15" hidden="false" customHeight="false" outlineLevel="0" collapsed="false">
      <c r="A132" s="10" t="str">
        <f aca="false">IF(D132="","",IFERROR(VLOOKUP(D132,Lists!$BI$4:$BJ$20,2,0),"??")&amp;"-"&amp;UPPER(SUBSTITUTE(E132," ",""))&amp;IF(F132&lt;&gt;"","-SP"&amp;TEXT(F132*1000,"0"),"")&amp;IF(G132&lt;&gt;"","-H"&amp;TEXT(G132*1000,"0"),"")&amp;"-"&amp;S132)</f>
        <v/>
      </c>
      <c r="B132" s="10" t="str">
        <f aca="false">IF(D132="","",D132&amp;" - "&amp;E132&amp;IF(F132&lt;&gt;"",", span "&amp;F132&amp;" m","")&amp;IF(G132&lt;&gt;"",", H "&amp;G132&amp;" m","")&amp;IF(H132&lt;&gt;"",", W "&amp;H132&amp;" m",""))</f>
        <v/>
      </c>
      <c r="C132" s="9"/>
      <c r="D132" s="9"/>
      <c r="E132" s="9"/>
      <c r="F132" s="42"/>
      <c r="G132" s="42"/>
      <c r="H132" s="42"/>
      <c r="I132" s="9"/>
      <c r="J132" s="9"/>
      <c r="K132" s="9"/>
      <c r="L132" s="9"/>
      <c r="M132" s="9"/>
      <c r="N132" s="38"/>
      <c r="O132" s="9"/>
      <c r="P132" s="39"/>
      <c r="Q132" s="9"/>
      <c r="R132" s="9"/>
      <c r="S132" s="9"/>
      <c r="T132" s="9"/>
      <c r="U132" s="9"/>
      <c r="V132" s="9"/>
      <c r="W132" s="9"/>
      <c r="X132" s="10" t="str">
        <f aca="false">IF(A132="","",SG_Criteria!$B$6&amp;SG_Criteria!$B$13&amp;"\"&amp;A132&amp;"\")</f>
        <v/>
      </c>
      <c r="Y132" s="10" t="str">
        <f aca="false">IF(A132="","",A132&amp;"_CAD.dwg")</f>
        <v/>
      </c>
      <c r="Z132" s="10" t="str">
        <f aca="false">IF(A132="","",A132&amp;"_DWG.pdf")</f>
        <v/>
      </c>
      <c r="AA132" s="10" t="str">
        <f aca="false">IF(A132="","",IF(W132="Y",A132&amp;"_STAAD.std","n/a"))</f>
        <v/>
      </c>
      <c r="AB132" s="10" t="str">
        <f aca="false">IF(A132="","",A132&amp;"_CALC.xlsx")</f>
        <v/>
      </c>
      <c r="AC132" s="10" t="str">
        <f aca="false">IF(A132="","",A132&amp;"_CALC.pdf")</f>
        <v/>
      </c>
      <c r="AD132" s="9"/>
      <c r="AE132" s="9"/>
      <c r="AF132" s="39"/>
      <c r="AG132" s="39"/>
      <c r="AH132" s="39"/>
      <c r="AI132" s="39"/>
      <c r="AJ132" s="39"/>
      <c r="AK132" s="12" t="str">
        <f aca="false">IF(A132="","",IF(COUNTIF(Rebar_Schedule!$A$5:$A$2004,A132)=0,"",ROUND(SUMIF(Rebar_Schedule!$A$5:$A$2004,A132,Rebar_Schedule!$K$5:$K$2004),1)))</f>
        <v/>
      </c>
      <c r="AL132" s="33" t="str">
        <f aca="false">IF(A132="","",IF(AK132="","No rebar schedule yet",IF(ABS(AK132-N(AG132))/MAX(N(AG132),1)&gt;SG_Criteria!$B$55,"NOTE: register rebar differs from schedule by "&amp;TEXT(ABS(AK132-N(AG132))/MAX(N(AG132),1),"0%"),"OK")))</f>
        <v/>
      </c>
      <c r="AM132" s="33" t="str">
        <f aca="false">IF(D132="","","OK")</f>
        <v/>
      </c>
      <c r="AN132" s="9"/>
      <c r="AO132" s="9"/>
      <c r="AP132" s="9"/>
      <c r="AQ132" s="10" t="str">
        <f aca="false">IF(AP132="","",IFERROR(VLOOKUP(AP132,Projects!$A$5:$D$504,2,0),"Ref not in Projects"))</f>
        <v/>
      </c>
      <c r="AR132" s="10" t="str">
        <f aca="false">IF(AP132="","",IFERROR(VLOOKUP(AP132,Projects!$A$5:$D$504,4,0),"Ref not in Projects"))</f>
        <v/>
      </c>
      <c r="AS132" s="9"/>
      <c r="AT132" s="9"/>
      <c r="AU132" s="9"/>
      <c r="AV132" s="40"/>
      <c r="AW132" s="9"/>
      <c r="AX132" s="40"/>
      <c r="AY132" s="9"/>
      <c r="AZ132" s="40"/>
      <c r="BA132" s="9"/>
      <c r="BB132" s="9"/>
      <c r="BC132" s="9"/>
      <c r="BD132" s="40"/>
      <c r="BE132" s="40"/>
      <c r="BF132" s="36" t="str">
        <f aca="false">IF(BE132="","",EDATE(BE132,SG_Criteria!$B$54*12))</f>
        <v/>
      </c>
      <c r="BG132" s="33" t="str">
        <f aca="true">IF(A132="","",IF(BE132="","NOTE: not reviewed yet",IF(TODAY()&gt;BF132,"NOTE: review overdue","OK")))</f>
        <v/>
      </c>
      <c r="BH132" s="37" t="str">
        <f aca="false">IF(A132="","",ROUND((IF(LEN(D132)&gt;0,1,0)+IF(LEN(E132)&gt;0,1,0)+IF(LEN(I132)&gt;0,1,0)+IF(LEN(K132)&gt;0,1,0)+IF(LEN(Q132)&gt;0,1,0)+IF(LEN(S132)&gt;0,1,0)+IF(LEN(T132)&gt;0,1,0)+IF(LEN(U132)&gt;0,1,0)+IF(LEN(V132)&gt;0,1,0)+IF(LEN(AE132)&gt;0,1,0)+IF(LEN(AP132)&gt;0,1,0)+IF(LEN(BC132)&gt;0,1,0))/12,2))</f>
        <v/>
      </c>
      <c r="BI132" s="10" t="str">
        <f aca="false">IF(D132="","",IF(AND(T132="Approved",ISERROR(SEARCH("FAIL",AM132))),"Y","N"))</f>
        <v/>
      </c>
    </row>
    <row r="133" customFormat="false" ht="15" hidden="false" customHeight="false" outlineLevel="0" collapsed="false">
      <c r="A133" s="10" t="str">
        <f aca="false">IF(D133="","",IFERROR(VLOOKUP(D133,Lists!$BI$4:$BJ$20,2,0),"??")&amp;"-"&amp;UPPER(SUBSTITUTE(E133," ",""))&amp;IF(F133&lt;&gt;"","-SP"&amp;TEXT(F133*1000,"0"),"")&amp;IF(G133&lt;&gt;"","-H"&amp;TEXT(G133*1000,"0"),"")&amp;"-"&amp;S133)</f>
        <v/>
      </c>
      <c r="B133" s="10" t="str">
        <f aca="false">IF(D133="","",D133&amp;" - "&amp;E133&amp;IF(F133&lt;&gt;"",", span "&amp;F133&amp;" m","")&amp;IF(G133&lt;&gt;"",", H "&amp;G133&amp;" m","")&amp;IF(H133&lt;&gt;"",", W "&amp;H133&amp;" m",""))</f>
        <v/>
      </c>
      <c r="C133" s="9"/>
      <c r="D133" s="9"/>
      <c r="E133" s="9"/>
      <c r="F133" s="42"/>
      <c r="G133" s="42"/>
      <c r="H133" s="42"/>
      <c r="I133" s="9"/>
      <c r="J133" s="9"/>
      <c r="K133" s="9"/>
      <c r="L133" s="9"/>
      <c r="M133" s="9"/>
      <c r="N133" s="38"/>
      <c r="O133" s="9"/>
      <c r="P133" s="39"/>
      <c r="Q133" s="9"/>
      <c r="R133" s="9"/>
      <c r="S133" s="9"/>
      <c r="T133" s="9"/>
      <c r="U133" s="9"/>
      <c r="V133" s="9"/>
      <c r="W133" s="9"/>
      <c r="X133" s="10" t="str">
        <f aca="false">IF(A133="","",SG_Criteria!$B$6&amp;SG_Criteria!$B$13&amp;"\"&amp;A133&amp;"\")</f>
        <v/>
      </c>
      <c r="Y133" s="10" t="str">
        <f aca="false">IF(A133="","",A133&amp;"_CAD.dwg")</f>
        <v/>
      </c>
      <c r="Z133" s="10" t="str">
        <f aca="false">IF(A133="","",A133&amp;"_DWG.pdf")</f>
        <v/>
      </c>
      <c r="AA133" s="10" t="str">
        <f aca="false">IF(A133="","",IF(W133="Y",A133&amp;"_STAAD.std","n/a"))</f>
        <v/>
      </c>
      <c r="AB133" s="10" t="str">
        <f aca="false">IF(A133="","",A133&amp;"_CALC.xlsx")</f>
        <v/>
      </c>
      <c r="AC133" s="10" t="str">
        <f aca="false">IF(A133="","",A133&amp;"_CALC.pdf")</f>
        <v/>
      </c>
      <c r="AD133" s="9"/>
      <c r="AE133" s="9"/>
      <c r="AF133" s="39"/>
      <c r="AG133" s="39"/>
      <c r="AH133" s="39"/>
      <c r="AI133" s="39"/>
      <c r="AJ133" s="39"/>
      <c r="AK133" s="12" t="str">
        <f aca="false">IF(A133="","",IF(COUNTIF(Rebar_Schedule!$A$5:$A$2004,A133)=0,"",ROUND(SUMIF(Rebar_Schedule!$A$5:$A$2004,A133,Rebar_Schedule!$K$5:$K$2004),1)))</f>
        <v/>
      </c>
      <c r="AL133" s="33" t="str">
        <f aca="false">IF(A133="","",IF(AK133="","No rebar schedule yet",IF(ABS(AK133-N(AG133))/MAX(N(AG133),1)&gt;SG_Criteria!$B$55,"NOTE: register rebar differs from schedule by "&amp;TEXT(ABS(AK133-N(AG133))/MAX(N(AG133),1),"0%"),"OK")))</f>
        <v/>
      </c>
      <c r="AM133" s="33" t="str">
        <f aca="false">IF(D133="","","OK")</f>
        <v/>
      </c>
      <c r="AN133" s="9"/>
      <c r="AO133" s="9"/>
      <c r="AP133" s="9"/>
      <c r="AQ133" s="10" t="str">
        <f aca="false">IF(AP133="","",IFERROR(VLOOKUP(AP133,Projects!$A$5:$D$504,2,0),"Ref not in Projects"))</f>
        <v/>
      </c>
      <c r="AR133" s="10" t="str">
        <f aca="false">IF(AP133="","",IFERROR(VLOOKUP(AP133,Projects!$A$5:$D$504,4,0),"Ref not in Projects"))</f>
        <v/>
      </c>
      <c r="AS133" s="9"/>
      <c r="AT133" s="9"/>
      <c r="AU133" s="9"/>
      <c r="AV133" s="40"/>
      <c r="AW133" s="9"/>
      <c r="AX133" s="40"/>
      <c r="AY133" s="9"/>
      <c r="AZ133" s="40"/>
      <c r="BA133" s="9"/>
      <c r="BB133" s="9"/>
      <c r="BC133" s="9"/>
      <c r="BD133" s="40"/>
      <c r="BE133" s="40"/>
      <c r="BF133" s="36" t="str">
        <f aca="false">IF(BE133="","",EDATE(BE133,SG_Criteria!$B$54*12))</f>
        <v/>
      </c>
      <c r="BG133" s="33" t="str">
        <f aca="true">IF(A133="","",IF(BE133="","NOTE: not reviewed yet",IF(TODAY()&gt;BF133,"NOTE: review overdue","OK")))</f>
        <v/>
      </c>
      <c r="BH133" s="37" t="str">
        <f aca="false">IF(A133="","",ROUND((IF(LEN(D133)&gt;0,1,0)+IF(LEN(E133)&gt;0,1,0)+IF(LEN(I133)&gt;0,1,0)+IF(LEN(K133)&gt;0,1,0)+IF(LEN(Q133)&gt;0,1,0)+IF(LEN(S133)&gt;0,1,0)+IF(LEN(T133)&gt;0,1,0)+IF(LEN(U133)&gt;0,1,0)+IF(LEN(V133)&gt;0,1,0)+IF(LEN(AE133)&gt;0,1,0)+IF(LEN(AP133)&gt;0,1,0)+IF(LEN(BC133)&gt;0,1,0))/12,2))</f>
        <v/>
      </c>
      <c r="BI133" s="10" t="str">
        <f aca="false">IF(D133="","",IF(AND(T133="Approved",ISERROR(SEARCH("FAIL",AM133))),"Y","N"))</f>
        <v/>
      </c>
    </row>
    <row r="134" customFormat="false" ht="15" hidden="false" customHeight="false" outlineLevel="0" collapsed="false">
      <c r="A134" s="10" t="str">
        <f aca="false">IF(D134="","",IFERROR(VLOOKUP(D134,Lists!$BI$4:$BJ$20,2,0),"??")&amp;"-"&amp;UPPER(SUBSTITUTE(E134," ",""))&amp;IF(F134&lt;&gt;"","-SP"&amp;TEXT(F134*1000,"0"),"")&amp;IF(G134&lt;&gt;"","-H"&amp;TEXT(G134*1000,"0"),"")&amp;"-"&amp;S134)</f>
        <v/>
      </c>
      <c r="B134" s="10" t="str">
        <f aca="false">IF(D134="","",D134&amp;" - "&amp;E134&amp;IF(F134&lt;&gt;"",", span "&amp;F134&amp;" m","")&amp;IF(G134&lt;&gt;"",", H "&amp;G134&amp;" m","")&amp;IF(H134&lt;&gt;"",", W "&amp;H134&amp;" m",""))</f>
        <v/>
      </c>
      <c r="C134" s="9"/>
      <c r="D134" s="9"/>
      <c r="E134" s="9"/>
      <c r="F134" s="42"/>
      <c r="G134" s="42"/>
      <c r="H134" s="42"/>
      <c r="I134" s="9"/>
      <c r="J134" s="9"/>
      <c r="K134" s="9"/>
      <c r="L134" s="9"/>
      <c r="M134" s="9"/>
      <c r="N134" s="38"/>
      <c r="O134" s="9"/>
      <c r="P134" s="39"/>
      <c r="Q134" s="9"/>
      <c r="R134" s="9"/>
      <c r="S134" s="9"/>
      <c r="T134" s="9"/>
      <c r="U134" s="9"/>
      <c r="V134" s="9"/>
      <c r="W134" s="9"/>
      <c r="X134" s="10" t="str">
        <f aca="false">IF(A134="","",SG_Criteria!$B$6&amp;SG_Criteria!$B$13&amp;"\"&amp;A134&amp;"\")</f>
        <v/>
      </c>
      <c r="Y134" s="10" t="str">
        <f aca="false">IF(A134="","",A134&amp;"_CAD.dwg")</f>
        <v/>
      </c>
      <c r="Z134" s="10" t="str">
        <f aca="false">IF(A134="","",A134&amp;"_DWG.pdf")</f>
        <v/>
      </c>
      <c r="AA134" s="10" t="str">
        <f aca="false">IF(A134="","",IF(W134="Y",A134&amp;"_STAAD.std","n/a"))</f>
        <v/>
      </c>
      <c r="AB134" s="10" t="str">
        <f aca="false">IF(A134="","",A134&amp;"_CALC.xlsx")</f>
        <v/>
      </c>
      <c r="AC134" s="10" t="str">
        <f aca="false">IF(A134="","",A134&amp;"_CALC.pdf")</f>
        <v/>
      </c>
      <c r="AD134" s="9"/>
      <c r="AE134" s="9"/>
      <c r="AF134" s="39"/>
      <c r="AG134" s="39"/>
      <c r="AH134" s="39"/>
      <c r="AI134" s="39"/>
      <c r="AJ134" s="39"/>
      <c r="AK134" s="12" t="str">
        <f aca="false">IF(A134="","",IF(COUNTIF(Rebar_Schedule!$A$5:$A$2004,A134)=0,"",ROUND(SUMIF(Rebar_Schedule!$A$5:$A$2004,A134,Rebar_Schedule!$K$5:$K$2004),1)))</f>
        <v/>
      </c>
      <c r="AL134" s="33" t="str">
        <f aca="false">IF(A134="","",IF(AK134="","No rebar schedule yet",IF(ABS(AK134-N(AG134))/MAX(N(AG134),1)&gt;SG_Criteria!$B$55,"NOTE: register rebar differs from schedule by "&amp;TEXT(ABS(AK134-N(AG134))/MAX(N(AG134),1),"0%"),"OK")))</f>
        <v/>
      </c>
      <c r="AM134" s="33" t="str">
        <f aca="false">IF(D134="","","OK")</f>
        <v/>
      </c>
      <c r="AN134" s="9"/>
      <c r="AO134" s="9"/>
      <c r="AP134" s="9"/>
      <c r="AQ134" s="10" t="str">
        <f aca="false">IF(AP134="","",IFERROR(VLOOKUP(AP134,Projects!$A$5:$D$504,2,0),"Ref not in Projects"))</f>
        <v/>
      </c>
      <c r="AR134" s="10" t="str">
        <f aca="false">IF(AP134="","",IFERROR(VLOOKUP(AP134,Projects!$A$5:$D$504,4,0),"Ref not in Projects"))</f>
        <v/>
      </c>
      <c r="AS134" s="9"/>
      <c r="AT134" s="9"/>
      <c r="AU134" s="9"/>
      <c r="AV134" s="40"/>
      <c r="AW134" s="9"/>
      <c r="AX134" s="40"/>
      <c r="AY134" s="9"/>
      <c r="AZ134" s="40"/>
      <c r="BA134" s="9"/>
      <c r="BB134" s="9"/>
      <c r="BC134" s="9"/>
      <c r="BD134" s="40"/>
      <c r="BE134" s="40"/>
      <c r="BF134" s="36" t="str">
        <f aca="false">IF(BE134="","",EDATE(BE134,SG_Criteria!$B$54*12))</f>
        <v/>
      </c>
      <c r="BG134" s="33" t="str">
        <f aca="true">IF(A134="","",IF(BE134="","NOTE: not reviewed yet",IF(TODAY()&gt;BF134,"NOTE: review overdue","OK")))</f>
        <v/>
      </c>
      <c r="BH134" s="37" t="str">
        <f aca="false">IF(A134="","",ROUND((IF(LEN(D134)&gt;0,1,0)+IF(LEN(E134)&gt;0,1,0)+IF(LEN(I134)&gt;0,1,0)+IF(LEN(K134)&gt;0,1,0)+IF(LEN(Q134)&gt;0,1,0)+IF(LEN(S134)&gt;0,1,0)+IF(LEN(T134)&gt;0,1,0)+IF(LEN(U134)&gt;0,1,0)+IF(LEN(V134)&gt;0,1,0)+IF(LEN(AE134)&gt;0,1,0)+IF(LEN(AP134)&gt;0,1,0)+IF(LEN(BC134)&gt;0,1,0))/12,2))</f>
        <v/>
      </c>
      <c r="BI134" s="10" t="str">
        <f aca="false">IF(D134="","",IF(AND(T134="Approved",ISERROR(SEARCH("FAIL",AM134))),"Y","N"))</f>
        <v/>
      </c>
    </row>
    <row r="135" customFormat="false" ht="15" hidden="false" customHeight="false" outlineLevel="0" collapsed="false">
      <c r="A135" s="10" t="str">
        <f aca="false">IF(D135="","",IFERROR(VLOOKUP(D135,Lists!$BI$4:$BJ$20,2,0),"??")&amp;"-"&amp;UPPER(SUBSTITUTE(E135," ",""))&amp;IF(F135&lt;&gt;"","-SP"&amp;TEXT(F135*1000,"0"),"")&amp;IF(G135&lt;&gt;"","-H"&amp;TEXT(G135*1000,"0"),"")&amp;"-"&amp;S135)</f>
        <v/>
      </c>
      <c r="B135" s="10" t="str">
        <f aca="false">IF(D135="","",D135&amp;" - "&amp;E135&amp;IF(F135&lt;&gt;"",", span "&amp;F135&amp;" m","")&amp;IF(G135&lt;&gt;"",", H "&amp;G135&amp;" m","")&amp;IF(H135&lt;&gt;"",", W "&amp;H135&amp;" m",""))</f>
        <v/>
      </c>
      <c r="C135" s="9"/>
      <c r="D135" s="9"/>
      <c r="E135" s="9"/>
      <c r="F135" s="42"/>
      <c r="G135" s="42"/>
      <c r="H135" s="42"/>
      <c r="I135" s="9"/>
      <c r="J135" s="9"/>
      <c r="K135" s="9"/>
      <c r="L135" s="9"/>
      <c r="M135" s="9"/>
      <c r="N135" s="38"/>
      <c r="O135" s="9"/>
      <c r="P135" s="39"/>
      <c r="Q135" s="9"/>
      <c r="R135" s="9"/>
      <c r="S135" s="9"/>
      <c r="T135" s="9"/>
      <c r="U135" s="9"/>
      <c r="V135" s="9"/>
      <c r="W135" s="9"/>
      <c r="X135" s="10" t="str">
        <f aca="false">IF(A135="","",SG_Criteria!$B$6&amp;SG_Criteria!$B$13&amp;"\"&amp;A135&amp;"\")</f>
        <v/>
      </c>
      <c r="Y135" s="10" t="str">
        <f aca="false">IF(A135="","",A135&amp;"_CAD.dwg")</f>
        <v/>
      </c>
      <c r="Z135" s="10" t="str">
        <f aca="false">IF(A135="","",A135&amp;"_DWG.pdf")</f>
        <v/>
      </c>
      <c r="AA135" s="10" t="str">
        <f aca="false">IF(A135="","",IF(W135="Y",A135&amp;"_STAAD.std","n/a"))</f>
        <v/>
      </c>
      <c r="AB135" s="10" t="str">
        <f aca="false">IF(A135="","",A135&amp;"_CALC.xlsx")</f>
        <v/>
      </c>
      <c r="AC135" s="10" t="str">
        <f aca="false">IF(A135="","",A135&amp;"_CALC.pdf")</f>
        <v/>
      </c>
      <c r="AD135" s="9"/>
      <c r="AE135" s="9"/>
      <c r="AF135" s="39"/>
      <c r="AG135" s="39"/>
      <c r="AH135" s="39"/>
      <c r="AI135" s="39"/>
      <c r="AJ135" s="39"/>
      <c r="AK135" s="12" t="str">
        <f aca="false">IF(A135="","",IF(COUNTIF(Rebar_Schedule!$A$5:$A$2004,A135)=0,"",ROUND(SUMIF(Rebar_Schedule!$A$5:$A$2004,A135,Rebar_Schedule!$K$5:$K$2004),1)))</f>
        <v/>
      </c>
      <c r="AL135" s="33" t="str">
        <f aca="false">IF(A135="","",IF(AK135="","No rebar schedule yet",IF(ABS(AK135-N(AG135))/MAX(N(AG135),1)&gt;SG_Criteria!$B$55,"NOTE: register rebar differs from schedule by "&amp;TEXT(ABS(AK135-N(AG135))/MAX(N(AG135),1),"0%"),"OK")))</f>
        <v/>
      </c>
      <c r="AM135" s="33" t="str">
        <f aca="false">IF(D135="","","OK")</f>
        <v/>
      </c>
      <c r="AN135" s="9"/>
      <c r="AO135" s="9"/>
      <c r="AP135" s="9"/>
      <c r="AQ135" s="10" t="str">
        <f aca="false">IF(AP135="","",IFERROR(VLOOKUP(AP135,Projects!$A$5:$D$504,2,0),"Ref not in Projects"))</f>
        <v/>
      </c>
      <c r="AR135" s="10" t="str">
        <f aca="false">IF(AP135="","",IFERROR(VLOOKUP(AP135,Projects!$A$5:$D$504,4,0),"Ref not in Projects"))</f>
        <v/>
      </c>
      <c r="AS135" s="9"/>
      <c r="AT135" s="9"/>
      <c r="AU135" s="9"/>
      <c r="AV135" s="40"/>
      <c r="AW135" s="9"/>
      <c r="AX135" s="40"/>
      <c r="AY135" s="9"/>
      <c r="AZ135" s="40"/>
      <c r="BA135" s="9"/>
      <c r="BB135" s="9"/>
      <c r="BC135" s="9"/>
      <c r="BD135" s="40"/>
      <c r="BE135" s="40"/>
      <c r="BF135" s="36" t="str">
        <f aca="false">IF(BE135="","",EDATE(BE135,SG_Criteria!$B$54*12))</f>
        <v/>
      </c>
      <c r="BG135" s="33" t="str">
        <f aca="true">IF(A135="","",IF(BE135="","NOTE: not reviewed yet",IF(TODAY()&gt;BF135,"NOTE: review overdue","OK")))</f>
        <v/>
      </c>
      <c r="BH135" s="37" t="str">
        <f aca="false">IF(A135="","",ROUND((IF(LEN(D135)&gt;0,1,0)+IF(LEN(E135)&gt;0,1,0)+IF(LEN(I135)&gt;0,1,0)+IF(LEN(K135)&gt;0,1,0)+IF(LEN(Q135)&gt;0,1,0)+IF(LEN(S135)&gt;0,1,0)+IF(LEN(T135)&gt;0,1,0)+IF(LEN(U135)&gt;0,1,0)+IF(LEN(V135)&gt;0,1,0)+IF(LEN(AE135)&gt;0,1,0)+IF(LEN(AP135)&gt;0,1,0)+IF(LEN(BC135)&gt;0,1,0))/12,2))</f>
        <v/>
      </c>
      <c r="BI135" s="10" t="str">
        <f aca="false">IF(D135="","",IF(AND(T135="Approved",ISERROR(SEARCH("FAIL",AM135))),"Y","N"))</f>
        <v/>
      </c>
    </row>
    <row r="136" customFormat="false" ht="15" hidden="false" customHeight="false" outlineLevel="0" collapsed="false">
      <c r="A136" s="10" t="str">
        <f aca="false">IF(D136="","",IFERROR(VLOOKUP(D136,Lists!$BI$4:$BJ$20,2,0),"??")&amp;"-"&amp;UPPER(SUBSTITUTE(E136," ",""))&amp;IF(F136&lt;&gt;"","-SP"&amp;TEXT(F136*1000,"0"),"")&amp;IF(G136&lt;&gt;"","-H"&amp;TEXT(G136*1000,"0"),"")&amp;"-"&amp;S136)</f>
        <v/>
      </c>
      <c r="B136" s="10" t="str">
        <f aca="false">IF(D136="","",D136&amp;" - "&amp;E136&amp;IF(F136&lt;&gt;"",", span "&amp;F136&amp;" m","")&amp;IF(G136&lt;&gt;"",", H "&amp;G136&amp;" m","")&amp;IF(H136&lt;&gt;"",", W "&amp;H136&amp;" m",""))</f>
        <v/>
      </c>
      <c r="C136" s="9"/>
      <c r="D136" s="9"/>
      <c r="E136" s="9"/>
      <c r="F136" s="42"/>
      <c r="G136" s="42"/>
      <c r="H136" s="42"/>
      <c r="I136" s="9"/>
      <c r="J136" s="9"/>
      <c r="K136" s="9"/>
      <c r="L136" s="9"/>
      <c r="M136" s="9"/>
      <c r="N136" s="38"/>
      <c r="O136" s="9"/>
      <c r="P136" s="39"/>
      <c r="Q136" s="9"/>
      <c r="R136" s="9"/>
      <c r="S136" s="9"/>
      <c r="T136" s="9"/>
      <c r="U136" s="9"/>
      <c r="V136" s="9"/>
      <c r="W136" s="9"/>
      <c r="X136" s="10" t="str">
        <f aca="false">IF(A136="","",SG_Criteria!$B$6&amp;SG_Criteria!$B$13&amp;"\"&amp;A136&amp;"\")</f>
        <v/>
      </c>
      <c r="Y136" s="10" t="str">
        <f aca="false">IF(A136="","",A136&amp;"_CAD.dwg")</f>
        <v/>
      </c>
      <c r="Z136" s="10" t="str">
        <f aca="false">IF(A136="","",A136&amp;"_DWG.pdf")</f>
        <v/>
      </c>
      <c r="AA136" s="10" t="str">
        <f aca="false">IF(A136="","",IF(W136="Y",A136&amp;"_STAAD.std","n/a"))</f>
        <v/>
      </c>
      <c r="AB136" s="10" t="str">
        <f aca="false">IF(A136="","",A136&amp;"_CALC.xlsx")</f>
        <v/>
      </c>
      <c r="AC136" s="10" t="str">
        <f aca="false">IF(A136="","",A136&amp;"_CALC.pdf")</f>
        <v/>
      </c>
      <c r="AD136" s="9"/>
      <c r="AE136" s="9"/>
      <c r="AF136" s="39"/>
      <c r="AG136" s="39"/>
      <c r="AH136" s="39"/>
      <c r="AI136" s="39"/>
      <c r="AJ136" s="39"/>
      <c r="AK136" s="12" t="str">
        <f aca="false">IF(A136="","",IF(COUNTIF(Rebar_Schedule!$A$5:$A$2004,A136)=0,"",ROUND(SUMIF(Rebar_Schedule!$A$5:$A$2004,A136,Rebar_Schedule!$K$5:$K$2004),1)))</f>
        <v/>
      </c>
      <c r="AL136" s="33" t="str">
        <f aca="false">IF(A136="","",IF(AK136="","No rebar schedule yet",IF(ABS(AK136-N(AG136))/MAX(N(AG136),1)&gt;SG_Criteria!$B$55,"NOTE: register rebar differs from schedule by "&amp;TEXT(ABS(AK136-N(AG136))/MAX(N(AG136),1),"0%"),"OK")))</f>
        <v/>
      </c>
      <c r="AM136" s="33" t="str">
        <f aca="false">IF(D136="","","OK")</f>
        <v/>
      </c>
      <c r="AN136" s="9"/>
      <c r="AO136" s="9"/>
      <c r="AP136" s="9"/>
      <c r="AQ136" s="10" t="str">
        <f aca="false">IF(AP136="","",IFERROR(VLOOKUP(AP136,Projects!$A$5:$D$504,2,0),"Ref not in Projects"))</f>
        <v/>
      </c>
      <c r="AR136" s="10" t="str">
        <f aca="false">IF(AP136="","",IFERROR(VLOOKUP(AP136,Projects!$A$5:$D$504,4,0),"Ref not in Projects"))</f>
        <v/>
      </c>
      <c r="AS136" s="9"/>
      <c r="AT136" s="9"/>
      <c r="AU136" s="9"/>
      <c r="AV136" s="40"/>
      <c r="AW136" s="9"/>
      <c r="AX136" s="40"/>
      <c r="AY136" s="9"/>
      <c r="AZ136" s="40"/>
      <c r="BA136" s="9"/>
      <c r="BB136" s="9"/>
      <c r="BC136" s="9"/>
      <c r="BD136" s="40"/>
      <c r="BE136" s="40"/>
      <c r="BF136" s="36" t="str">
        <f aca="false">IF(BE136="","",EDATE(BE136,SG_Criteria!$B$54*12))</f>
        <v/>
      </c>
      <c r="BG136" s="33" t="str">
        <f aca="true">IF(A136="","",IF(BE136="","NOTE: not reviewed yet",IF(TODAY()&gt;BF136,"NOTE: review overdue","OK")))</f>
        <v/>
      </c>
      <c r="BH136" s="37" t="str">
        <f aca="false">IF(A136="","",ROUND((IF(LEN(D136)&gt;0,1,0)+IF(LEN(E136)&gt;0,1,0)+IF(LEN(I136)&gt;0,1,0)+IF(LEN(K136)&gt;0,1,0)+IF(LEN(Q136)&gt;0,1,0)+IF(LEN(S136)&gt;0,1,0)+IF(LEN(T136)&gt;0,1,0)+IF(LEN(U136)&gt;0,1,0)+IF(LEN(V136)&gt;0,1,0)+IF(LEN(AE136)&gt;0,1,0)+IF(LEN(AP136)&gt;0,1,0)+IF(LEN(BC136)&gt;0,1,0))/12,2))</f>
        <v/>
      </c>
      <c r="BI136" s="10" t="str">
        <f aca="false">IF(D136="","",IF(AND(T136="Approved",ISERROR(SEARCH("FAIL",AM136))),"Y","N"))</f>
        <v/>
      </c>
    </row>
    <row r="137" customFormat="false" ht="15" hidden="false" customHeight="false" outlineLevel="0" collapsed="false">
      <c r="A137" s="10" t="str">
        <f aca="false">IF(D137="","",IFERROR(VLOOKUP(D137,Lists!$BI$4:$BJ$20,2,0),"??")&amp;"-"&amp;UPPER(SUBSTITUTE(E137," ",""))&amp;IF(F137&lt;&gt;"","-SP"&amp;TEXT(F137*1000,"0"),"")&amp;IF(G137&lt;&gt;"","-H"&amp;TEXT(G137*1000,"0"),"")&amp;"-"&amp;S137)</f>
        <v/>
      </c>
      <c r="B137" s="10" t="str">
        <f aca="false">IF(D137="","",D137&amp;" - "&amp;E137&amp;IF(F137&lt;&gt;"",", span "&amp;F137&amp;" m","")&amp;IF(G137&lt;&gt;"",", H "&amp;G137&amp;" m","")&amp;IF(H137&lt;&gt;"",", W "&amp;H137&amp;" m",""))</f>
        <v/>
      </c>
      <c r="C137" s="9"/>
      <c r="D137" s="9"/>
      <c r="E137" s="9"/>
      <c r="F137" s="42"/>
      <c r="G137" s="42"/>
      <c r="H137" s="42"/>
      <c r="I137" s="9"/>
      <c r="J137" s="9"/>
      <c r="K137" s="9"/>
      <c r="L137" s="9"/>
      <c r="M137" s="9"/>
      <c r="N137" s="38"/>
      <c r="O137" s="9"/>
      <c r="P137" s="39"/>
      <c r="Q137" s="9"/>
      <c r="R137" s="9"/>
      <c r="S137" s="9"/>
      <c r="T137" s="9"/>
      <c r="U137" s="9"/>
      <c r="V137" s="9"/>
      <c r="W137" s="9"/>
      <c r="X137" s="10" t="str">
        <f aca="false">IF(A137="","",SG_Criteria!$B$6&amp;SG_Criteria!$B$13&amp;"\"&amp;A137&amp;"\")</f>
        <v/>
      </c>
      <c r="Y137" s="10" t="str">
        <f aca="false">IF(A137="","",A137&amp;"_CAD.dwg")</f>
        <v/>
      </c>
      <c r="Z137" s="10" t="str">
        <f aca="false">IF(A137="","",A137&amp;"_DWG.pdf")</f>
        <v/>
      </c>
      <c r="AA137" s="10" t="str">
        <f aca="false">IF(A137="","",IF(W137="Y",A137&amp;"_STAAD.std","n/a"))</f>
        <v/>
      </c>
      <c r="AB137" s="10" t="str">
        <f aca="false">IF(A137="","",A137&amp;"_CALC.xlsx")</f>
        <v/>
      </c>
      <c r="AC137" s="10" t="str">
        <f aca="false">IF(A137="","",A137&amp;"_CALC.pdf")</f>
        <v/>
      </c>
      <c r="AD137" s="9"/>
      <c r="AE137" s="9"/>
      <c r="AF137" s="39"/>
      <c r="AG137" s="39"/>
      <c r="AH137" s="39"/>
      <c r="AI137" s="39"/>
      <c r="AJ137" s="39"/>
      <c r="AK137" s="12" t="str">
        <f aca="false">IF(A137="","",IF(COUNTIF(Rebar_Schedule!$A$5:$A$2004,A137)=0,"",ROUND(SUMIF(Rebar_Schedule!$A$5:$A$2004,A137,Rebar_Schedule!$K$5:$K$2004),1)))</f>
        <v/>
      </c>
      <c r="AL137" s="33" t="str">
        <f aca="false">IF(A137="","",IF(AK137="","No rebar schedule yet",IF(ABS(AK137-N(AG137))/MAX(N(AG137),1)&gt;SG_Criteria!$B$55,"NOTE: register rebar differs from schedule by "&amp;TEXT(ABS(AK137-N(AG137))/MAX(N(AG137),1),"0%"),"OK")))</f>
        <v/>
      </c>
      <c r="AM137" s="33" t="str">
        <f aca="false">IF(D137="","","OK")</f>
        <v/>
      </c>
      <c r="AN137" s="9"/>
      <c r="AO137" s="9"/>
      <c r="AP137" s="9"/>
      <c r="AQ137" s="10" t="str">
        <f aca="false">IF(AP137="","",IFERROR(VLOOKUP(AP137,Projects!$A$5:$D$504,2,0),"Ref not in Projects"))</f>
        <v/>
      </c>
      <c r="AR137" s="10" t="str">
        <f aca="false">IF(AP137="","",IFERROR(VLOOKUP(AP137,Projects!$A$5:$D$504,4,0),"Ref not in Projects"))</f>
        <v/>
      </c>
      <c r="AS137" s="9"/>
      <c r="AT137" s="9"/>
      <c r="AU137" s="9"/>
      <c r="AV137" s="40"/>
      <c r="AW137" s="9"/>
      <c r="AX137" s="40"/>
      <c r="AY137" s="9"/>
      <c r="AZ137" s="40"/>
      <c r="BA137" s="9"/>
      <c r="BB137" s="9"/>
      <c r="BC137" s="9"/>
      <c r="BD137" s="40"/>
      <c r="BE137" s="40"/>
      <c r="BF137" s="36" t="str">
        <f aca="false">IF(BE137="","",EDATE(BE137,SG_Criteria!$B$54*12))</f>
        <v/>
      </c>
      <c r="BG137" s="33" t="str">
        <f aca="true">IF(A137="","",IF(BE137="","NOTE: not reviewed yet",IF(TODAY()&gt;BF137,"NOTE: review overdue","OK")))</f>
        <v/>
      </c>
      <c r="BH137" s="37" t="str">
        <f aca="false">IF(A137="","",ROUND((IF(LEN(D137)&gt;0,1,0)+IF(LEN(E137)&gt;0,1,0)+IF(LEN(I137)&gt;0,1,0)+IF(LEN(K137)&gt;0,1,0)+IF(LEN(Q137)&gt;0,1,0)+IF(LEN(S137)&gt;0,1,0)+IF(LEN(T137)&gt;0,1,0)+IF(LEN(U137)&gt;0,1,0)+IF(LEN(V137)&gt;0,1,0)+IF(LEN(AE137)&gt;0,1,0)+IF(LEN(AP137)&gt;0,1,0)+IF(LEN(BC137)&gt;0,1,0))/12,2))</f>
        <v/>
      </c>
      <c r="BI137" s="10" t="str">
        <f aca="false">IF(D137="","",IF(AND(T137="Approved",ISERROR(SEARCH("FAIL",AM137))),"Y","N"))</f>
        <v/>
      </c>
    </row>
    <row r="138" customFormat="false" ht="15" hidden="false" customHeight="false" outlineLevel="0" collapsed="false">
      <c r="A138" s="10" t="str">
        <f aca="false">IF(D138="","",IFERROR(VLOOKUP(D138,Lists!$BI$4:$BJ$20,2,0),"??")&amp;"-"&amp;UPPER(SUBSTITUTE(E138," ",""))&amp;IF(F138&lt;&gt;"","-SP"&amp;TEXT(F138*1000,"0"),"")&amp;IF(G138&lt;&gt;"","-H"&amp;TEXT(G138*1000,"0"),"")&amp;"-"&amp;S138)</f>
        <v/>
      </c>
      <c r="B138" s="10" t="str">
        <f aca="false">IF(D138="","",D138&amp;" - "&amp;E138&amp;IF(F138&lt;&gt;"",", span "&amp;F138&amp;" m","")&amp;IF(G138&lt;&gt;"",", H "&amp;G138&amp;" m","")&amp;IF(H138&lt;&gt;"",", W "&amp;H138&amp;" m",""))</f>
        <v/>
      </c>
      <c r="C138" s="9"/>
      <c r="D138" s="9"/>
      <c r="E138" s="9"/>
      <c r="F138" s="42"/>
      <c r="G138" s="42"/>
      <c r="H138" s="42"/>
      <c r="I138" s="9"/>
      <c r="J138" s="9"/>
      <c r="K138" s="9"/>
      <c r="L138" s="9"/>
      <c r="M138" s="9"/>
      <c r="N138" s="38"/>
      <c r="O138" s="9"/>
      <c r="P138" s="39"/>
      <c r="Q138" s="9"/>
      <c r="R138" s="9"/>
      <c r="S138" s="9"/>
      <c r="T138" s="9"/>
      <c r="U138" s="9"/>
      <c r="V138" s="9"/>
      <c r="W138" s="9"/>
      <c r="X138" s="10" t="str">
        <f aca="false">IF(A138="","",SG_Criteria!$B$6&amp;SG_Criteria!$B$13&amp;"\"&amp;A138&amp;"\")</f>
        <v/>
      </c>
      <c r="Y138" s="10" t="str">
        <f aca="false">IF(A138="","",A138&amp;"_CAD.dwg")</f>
        <v/>
      </c>
      <c r="Z138" s="10" t="str">
        <f aca="false">IF(A138="","",A138&amp;"_DWG.pdf")</f>
        <v/>
      </c>
      <c r="AA138" s="10" t="str">
        <f aca="false">IF(A138="","",IF(W138="Y",A138&amp;"_STAAD.std","n/a"))</f>
        <v/>
      </c>
      <c r="AB138" s="10" t="str">
        <f aca="false">IF(A138="","",A138&amp;"_CALC.xlsx")</f>
        <v/>
      </c>
      <c r="AC138" s="10" t="str">
        <f aca="false">IF(A138="","",A138&amp;"_CALC.pdf")</f>
        <v/>
      </c>
      <c r="AD138" s="9"/>
      <c r="AE138" s="9"/>
      <c r="AF138" s="39"/>
      <c r="AG138" s="39"/>
      <c r="AH138" s="39"/>
      <c r="AI138" s="39"/>
      <c r="AJ138" s="39"/>
      <c r="AK138" s="12" t="str">
        <f aca="false">IF(A138="","",IF(COUNTIF(Rebar_Schedule!$A$5:$A$2004,A138)=0,"",ROUND(SUMIF(Rebar_Schedule!$A$5:$A$2004,A138,Rebar_Schedule!$K$5:$K$2004),1)))</f>
        <v/>
      </c>
      <c r="AL138" s="33" t="str">
        <f aca="false">IF(A138="","",IF(AK138="","No rebar schedule yet",IF(ABS(AK138-N(AG138))/MAX(N(AG138),1)&gt;SG_Criteria!$B$55,"NOTE: register rebar differs from schedule by "&amp;TEXT(ABS(AK138-N(AG138))/MAX(N(AG138),1),"0%"),"OK")))</f>
        <v/>
      </c>
      <c r="AM138" s="33" t="str">
        <f aca="false">IF(D138="","","OK")</f>
        <v/>
      </c>
      <c r="AN138" s="9"/>
      <c r="AO138" s="9"/>
      <c r="AP138" s="9"/>
      <c r="AQ138" s="10" t="str">
        <f aca="false">IF(AP138="","",IFERROR(VLOOKUP(AP138,Projects!$A$5:$D$504,2,0),"Ref not in Projects"))</f>
        <v/>
      </c>
      <c r="AR138" s="10" t="str">
        <f aca="false">IF(AP138="","",IFERROR(VLOOKUP(AP138,Projects!$A$5:$D$504,4,0),"Ref not in Projects"))</f>
        <v/>
      </c>
      <c r="AS138" s="9"/>
      <c r="AT138" s="9"/>
      <c r="AU138" s="9"/>
      <c r="AV138" s="40"/>
      <c r="AW138" s="9"/>
      <c r="AX138" s="40"/>
      <c r="AY138" s="9"/>
      <c r="AZ138" s="40"/>
      <c r="BA138" s="9"/>
      <c r="BB138" s="9"/>
      <c r="BC138" s="9"/>
      <c r="BD138" s="40"/>
      <c r="BE138" s="40"/>
      <c r="BF138" s="36" t="str">
        <f aca="false">IF(BE138="","",EDATE(BE138,SG_Criteria!$B$54*12))</f>
        <v/>
      </c>
      <c r="BG138" s="33" t="str">
        <f aca="true">IF(A138="","",IF(BE138="","NOTE: not reviewed yet",IF(TODAY()&gt;BF138,"NOTE: review overdue","OK")))</f>
        <v/>
      </c>
      <c r="BH138" s="37" t="str">
        <f aca="false">IF(A138="","",ROUND((IF(LEN(D138)&gt;0,1,0)+IF(LEN(E138)&gt;0,1,0)+IF(LEN(I138)&gt;0,1,0)+IF(LEN(K138)&gt;0,1,0)+IF(LEN(Q138)&gt;0,1,0)+IF(LEN(S138)&gt;0,1,0)+IF(LEN(T138)&gt;0,1,0)+IF(LEN(U138)&gt;0,1,0)+IF(LEN(V138)&gt;0,1,0)+IF(LEN(AE138)&gt;0,1,0)+IF(LEN(AP138)&gt;0,1,0)+IF(LEN(BC138)&gt;0,1,0))/12,2))</f>
        <v/>
      </c>
      <c r="BI138" s="10" t="str">
        <f aca="false">IF(D138="","",IF(AND(T138="Approved",ISERROR(SEARCH("FAIL",AM138))),"Y","N"))</f>
        <v/>
      </c>
    </row>
    <row r="139" customFormat="false" ht="15" hidden="false" customHeight="false" outlineLevel="0" collapsed="false">
      <c r="A139" s="10" t="str">
        <f aca="false">IF(D139="","",IFERROR(VLOOKUP(D139,Lists!$BI$4:$BJ$20,2,0),"??")&amp;"-"&amp;UPPER(SUBSTITUTE(E139," ",""))&amp;IF(F139&lt;&gt;"","-SP"&amp;TEXT(F139*1000,"0"),"")&amp;IF(G139&lt;&gt;"","-H"&amp;TEXT(G139*1000,"0"),"")&amp;"-"&amp;S139)</f>
        <v/>
      </c>
      <c r="B139" s="10" t="str">
        <f aca="false">IF(D139="","",D139&amp;" - "&amp;E139&amp;IF(F139&lt;&gt;"",", span "&amp;F139&amp;" m","")&amp;IF(G139&lt;&gt;"",", H "&amp;G139&amp;" m","")&amp;IF(H139&lt;&gt;"",", W "&amp;H139&amp;" m",""))</f>
        <v/>
      </c>
      <c r="C139" s="9"/>
      <c r="D139" s="9"/>
      <c r="E139" s="9"/>
      <c r="F139" s="42"/>
      <c r="G139" s="42"/>
      <c r="H139" s="42"/>
      <c r="I139" s="9"/>
      <c r="J139" s="9"/>
      <c r="K139" s="9"/>
      <c r="L139" s="9"/>
      <c r="M139" s="9"/>
      <c r="N139" s="38"/>
      <c r="O139" s="9"/>
      <c r="P139" s="39"/>
      <c r="Q139" s="9"/>
      <c r="R139" s="9"/>
      <c r="S139" s="9"/>
      <c r="T139" s="9"/>
      <c r="U139" s="9"/>
      <c r="V139" s="9"/>
      <c r="W139" s="9"/>
      <c r="X139" s="10" t="str">
        <f aca="false">IF(A139="","",SG_Criteria!$B$6&amp;SG_Criteria!$B$13&amp;"\"&amp;A139&amp;"\")</f>
        <v/>
      </c>
      <c r="Y139" s="10" t="str">
        <f aca="false">IF(A139="","",A139&amp;"_CAD.dwg")</f>
        <v/>
      </c>
      <c r="Z139" s="10" t="str">
        <f aca="false">IF(A139="","",A139&amp;"_DWG.pdf")</f>
        <v/>
      </c>
      <c r="AA139" s="10" t="str">
        <f aca="false">IF(A139="","",IF(W139="Y",A139&amp;"_STAAD.std","n/a"))</f>
        <v/>
      </c>
      <c r="AB139" s="10" t="str">
        <f aca="false">IF(A139="","",A139&amp;"_CALC.xlsx")</f>
        <v/>
      </c>
      <c r="AC139" s="10" t="str">
        <f aca="false">IF(A139="","",A139&amp;"_CALC.pdf")</f>
        <v/>
      </c>
      <c r="AD139" s="9"/>
      <c r="AE139" s="9"/>
      <c r="AF139" s="39"/>
      <c r="AG139" s="39"/>
      <c r="AH139" s="39"/>
      <c r="AI139" s="39"/>
      <c r="AJ139" s="39"/>
      <c r="AK139" s="12" t="str">
        <f aca="false">IF(A139="","",IF(COUNTIF(Rebar_Schedule!$A$5:$A$2004,A139)=0,"",ROUND(SUMIF(Rebar_Schedule!$A$5:$A$2004,A139,Rebar_Schedule!$K$5:$K$2004),1)))</f>
        <v/>
      </c>
      <c r="AL139" s="33" t="str">
        <f aca="false">IF(A139="","",IF(AK139="","No rebar schedule yet",IF(ABS(AK139-N(AG139))/MAX(N(AG139),1)&gt;SG_Criteria!$B$55,"NOTE: register rebar differs from schedule by "&amp;TEXT(ABS(AK139-N(AG139))/MAX(N(AG139),1),"0%"),"OK")))</f>
        <v/>
      </c>
      <c r="AM139" s="33" t="str">
        <f aca="false">IF(D139="","","OK")</f>
        <v/>
      </c>
      <c r="AN139" s="9"/>
      <c r="AO139" s="9"/>
      <c r="AP139" s="9"/>
      <c r="AQ139" s="10" t="str">
        <f aca="false">IF(AP139="","",IFERROR(VLOOKUP(AP139,Projects!$A$5:$D$504,2,0),"Ref not in Projects"))</f>
        <v/>
      </c>
      <c r="AR139" s="10" t="str">
        <f aca="false">IF(AP139="","",IFERROR(VLOOKUP(AP139,Projects!$A$5:$D$504,4,0),"Ref not in Projects"))</f>
        <v/>
      </c>
      <c r="AS139" s="9"/>
      <c r="AT139" s="9"/>
      <c r="AU139" s="9"/>
      <c r="AV139" s="40"/>
      <c r="AW139" s="9"/>
      <c r="AX139" s="40"/>
      <c r="AY139" s="9"/>
      <c r="AZ139" s="40"/>
      <c r="BA139" s="9"/>
      <c r="BB139" s="9"/>
      <c r="BC139" s="9"/>
      <c r="BD139" s="40"/>
      <c r="BE139" s="40"/>
      <c r="BF139" s="36" t="str">
        <f aca="false">IF(BE139="","",EDATE(BE139,SG_Criteria!$B$54*12))</f>
        <v/>
      </c>
      <c r="BG139" s="33" t="str">
        <f aca="true">IF(A139="","",IF(BE139="","NOTE: not reviewed yet",IF(TODAY()&gt;BF139,"NOTE: review overdue","OK")))</f>
        <v/>
      </c>
      <c r="BH139" s="37" t="str">
        <f aca="false">IF(A139="","",ROUND((IF(LEN(D139)&gt;0,1,0)+IF(LEN(E139)&gt;0,1,0)+IF(LEN(I139)&gt;0,1,0)+IF(LEN(K139)&gt;0,1,0)+IF(LEN(Q139)&gt;0,1,0)+IF(LEN(S139)&gt;0,1,0)+IF(LEN(T139)&gt;0,1,0)+IF(LEN(U139)&gt;0,1,0)+IF(LEN(V139)&gt;0,1,0)+IF(LEN(AE139)&gt;0,1,0)+IF(LEN(AP139)&gt;0,1,0)+IF(LEN(BC139)&gt;0,1,0))/12,2))</f>
        <v/>
      </c>
      <c r="BI139" s="10" t="str">
        <f aca="false">IF(D139="","",IF(AND(T139="Approved",ISERROR(SEARCH("FAIL",AM139))),"Y","N"))</f>
        <v/>
      </c>
    </row>
    <row r="140" customFormat="false" ht="15" hidden="false" customHeight="false" outlineLevel="0" collapsed="false">
      <c r="A140" s="10" t="str">
        <f aca="false">IF(D140="","",IFERROR(VLOOKUP(D140,Lists!$BI$4:$BJ$20,2,0),"??")&amp;"-"&amp;UPPER(SUBSTITUTE(E140," ",""))&amp;IF(F140&lt;&gt;"","-SP"&amp;TEXT(F140*1000,"0"),"")&amp;IF(G140&lt;&gt;"","-H"&amp;TEXT(G140*1000,"0"),"")&amp;"-"&amp;S140)</f>
        <v/>
      </c>
      <c r="B140" s="10" t="str">
        <f aca="false">IF(D140="","",D140&amp;" - "&amp;E140&amp;IF(F140&lt;&gt;"",", span "&amp;F140&amp;" m","")&amp;IF(G140&lt;&gt;"",", H "&amp;G140&amp;" m","")&amp;IF(H140&lt;&gt;"",", W "&amp;H140&amp;" m",""))</f>
        <v/>
      </c>
      <c r="C140" s="9"/>
      <c r="D140" s="9"/>
      <c r="E140" s="9"/>
      <c r="F140" s="42"/>
      <c r="G140" s="42"/>
      <c r="H140" s="42"/>
      <c r="I140" s="9"/>
      <c r="J140" s="9"/>
      <c r="K140" s="9"/>
      <c r="L140" s="9"/>
      <c r="M140" s="9"/>
      <c r="N140" s="38"/>
      <c r="O140" s="9"/>
      <c r="P140" s="39"/>
      <c r="Q140" s="9"/>
      <c r="R140" s="9"/>
      <c r="S140" s="9"/>
      <c r="T140" s="9"/>
      <c r="U140" s="9"/>
      <c r="V140" s="9"/>
      <c r="W140" s="9"/>
      <c r="X140" s="10" t="str">
        <f aca="false">IF(A140="","",SG_Criteria!$B$6&amp;SG_Criteria!$B$13&amp;"\"&amp;A140&amp;"\")</f>
        <v/>
      </c>
      <c r="Y140" s="10" t="str">
        <f aca="false">IF(A140="","",A140&amp;"_CAD.dwg")</f>
        <v/>
      </c>
      <c r="Z140" s="10" t="str">
        <f aca="false">IF(A140="","",A140&amp;"_DWG.pdf")</f>
        <v/>
      </c>
      <c r="AA140" s="10" t="str">
        <f aca="false">IF(A140="","",IF(W140="Y",A140&amp;"_STAAD.std","n/a"))</f>
        <v/>
      </c>
      <c r="AB140" s="10" t="str">
        <f aca="false">IF(A140="","",A140&amp;"_CALC.xlsx")</f>
        <v/>
      </c>
      <c r="AC140" s="10" t="str">
        <f aca="false">IF(A140="","",A140&amp;"_CALC.pdf")</f>
        <v/>
      </c>
      <c r="AD140" s="9"/>
      <c r="AE140" s="9"/>
      <c r="AF140" s="39"/>
      <c r="AG140" s="39"/>
      <c r="AH140" s="39"/>
      <c r="AI140" s="39"/>
      <c r="AJ140" s="39"/>
      <c r="AK140" s="12" t="str">
        <f aca="false">IF(A140="","",IF(COUNTIF(Rebar_Schedule!$A$5:$A$2004,A140)=0,"",ROUND(SUMIF(Rebar_Schedule!$A$5:$A$2004,A140,Rebar_Schedule!$K$5:$K$2004),1)))</f>
        <v/>
      </c>
      <c r="AL140" s="33" t="str">
        <f aca="false">IF(A140="","",IF(AK140="","No rebar schedule yet",IF(ABS(AK140-N(AG140))/MAX(N(AG140),1)&gt;SG_Criteria!$B$55,"NOTE: register rebar differs from schedule by "&amp;TEXT(ABS(AK140-N(AG140))/MAX(N(AG140),1),"0%"),"OK")))</f>
        <v/>
      </c>
      <c r="AM140" s="33" t="str">
        <f aca="false">IF(D140="","","OK")</f>
        <v/>
      </c>
      <c r="AN140" s="9"/>
      <c r="AO140" s="9"/>
      <c r="AP140" s="9"/>
      <c r="AQ140" s="10" t="str">
        <f aca="false">IF(AP140="","",IFERROR(VLOOKUP(AP140,Projects!$A$5:$D$504,2,0),"Ref not in Projects"))</f>
        <v/>
      </c>
      <c r="AR140" s="10" t="str">
        <f aca="false">IF(AP140="","",IFERROR(VLOOKUP(AP140,Projects!$A$5:$D$504,4,0),"Ref not in Projects"))</f>
        <v/>
      </c>
      <c r="AS140" s="9"/>
      <c r="AT140" s="9"/>
      <c r="AU140" s="9"/>
      <c r="AV140" s="40"/>
      <c r="AW140" s="9"/>
      <c r="AX140" s="40"/>
      <c r="AY140" s="9"/>
      <c r="AZ140" s="40"/>
      <c r="BA140" s="9"/>
      <c r="BB140" s="9"/>
      <c r="BC140" s="9"/>
      <c r="BD140" s="40"/>
      <c r="BE140" s="40"/>
      <c r="BF140" s="36" t="str">
        <f aca="false">IF(BE140="","",EDATE(BE140,SG_Criteria!$B$54*12))</f>
        <v/>
      </c>
      <c r="BG140" s="33" t="str">
        <f aca="true">IF(A140="","",IF(BE140="","NOTE: not reviewed yet",IF(TODAY()&gt;BF140,"NOTE: review overdue","OK")))</f>
        <v/>
      </c>
      <c r="BH140" s="37" t="str">
        <f aca="false">IF(A140="","",ROUND((IF(LEN(D140)&gt;0,1,0)+IF(LEN(E140)&gt;0,1,0)+IF(LEN(I140)&gt;0,1,0)+IF(LEN(K140)&gt;0,1,0)+IF(LEN(Q140)&gt;0,1,0)+IF(LEN(S140)&gt;0,1,0)+IF(LEN(T140)&gt;0,1,0)+IF(LEN(U140)&gt;0,1,0)+IF(LEN(V140)&gt;0,1,0)+IF(LEN(AE140)&gt;0,1,0)+IF(LEN(AP140)&gt;0,1,0)+IF(LEN(BC140)&gt;0,1,0))/12,2))</f>
        <v/>
      </c>
      <c r="BI140" s="10" t="str">
        <f aca="false">IF(D140="","",IF(AND(T140="Approved",ISERROR(SEARCH("FAIL",AM140))),"Y","N"))</f>
        <v/>
      </c>
    </row>
    <row r="141" customFormat="false" ht="15" hidden="false" customHeight="false" outlineLevel="0" collapsed="false">
      <c r="A141" s="10" t="str">
        <f aca="false">IF(D141="","",IFERROR(VLOOKUP(D141,Lists!$BI$4:$BJ$20,2,0),"??")&amp;"-"&amp;UPPER(SUBSTITUTE(E141," ",""))&amp;IF(F141&lt;&gt;"","-SP"&amp;TEXT(F141*1000,"0"),"")&amp;IF(G141&lt;&gt;"","-H"&amp;TEXT(G141*1000,"0"),"")&amp;"-"&amp;S141)</f>
        <v/>
      </c>
      <c r="B141" s="10" t="str">
        <f aca="false">IF(D141="","",D141&amp;" - "&amp;E141&amp;IF(F141&lt;&gt;"",", span "&amp;F141&amp;" m","")&amp;IF(G141&lt;&gt;"",", H "&amp;G141&amp;" m","")&amp;IF(H141&lt;&gt;"",", W "&amp;H141&amp;" m",""))</f>
        <v/>
      </c>
      <c r="C141" s="9"/>
      <c r="D141" s="9"/>
      <c r="E141" s="9"/>
      <c r="F141" s="42"/>
      <c r="G141" s="42"/>
      <c r="H141" s="42"/>
      <c r="I141" s="9"/>
      <c r="J141" s="9"/>
      <c r="K141" s="9"/>
      <c r="L141" s="9"/>
      <c r="M141" s="9"/>
      <c r="N141" s="38"/>
      <c r="O141" s="9"/>
      <c r="P141" s="39"/>
      <c r="Q141" s="9"/>
      <c r="R141" s="9"/>
      <c r="S141" s="9"/>
      <c r="T141" s="9"/>
      <c r="U141" s="9"/>
      <c r="V141" s="9"/>
      <c r="W141" s="9"/>
      <c r="X141" s="10" t="str">
        <f aca="false">IF(A141="","",SG_Criteria!$B$6&amp;SG_Criteria!$B$13&amp;"\"&amp;A141&amp;"\")</f>
        <v/>
      </c>
      <c r="Y141" s="10" t="str">
        <f aca="false">IF(A141="","",A141&amp;"_CAD.dwg")</f>
        <v/>
      </c>
      <c r="Z141" s="10" t="str">
        <f aca="false">IF(A141="","",A141&amp;"_DWG.pdf")</f>
        <v/>
      </c>
      <c r="AA141" s="10" t="str">
        <f aca="false">IF(A141="","",IF(W141="Y",A141&amp;"_STAAD.std","n/a"))</f>
        <v/>
      </c>
      <c r="AB141" s="10" t="str">
        <f aca="false">IF(A141="","",A141&amp;"_CALC.xlsx")</f>
        <v/>
      </c>
      <c r="AC141" s="10" t="str">
        <f aca="false">IF(A141="","",A141&amp;"_CALC.pdf")</f>
        <v/>
      </c>
      <c r="AD141" s="9"/>
      <c r="AE141" s="9"/>
      <c r="AF141" s="39"/>
      <c r="AG141" s="39"/>
      <c r="AH141" s="39"/>
      <c r="AI141" s="39"/>
      <c r="AJ141" s="39"/>
      <c r="AK141" s="12" t="str">
        <f aca="false">IF(A141="","",IF(COUNTIF(Rebar_Schedule!$A$5:$A$2004,A141)=0,"",ROUND(SUMIF(Rebar_Schedule!$A$5:$A$2004,A141,Rebar_Schedule!$K$5:$K$2004),1)))</f>
        <v/>
      </c>
      <c r="AL141" s="33" t="str">
        <f aca="false">IF(A141="","",IF(AK141="","No rebar schedule yet",IF(ABS(AK141-N(AG141))/MAX(N(AG141),1)&gt;SG_Criteria!$B$55,"NOTE: register rebar differs from schedule by "&amp;TEXT(ABS(AK141-N(AG141))/MAX(N(AG141),1),"0%"),"OK")))</f>
        <v/>
      </c>
      <c r="AM141" s="33" t="str">
        <f aca="false">IF(D141="","","OK")</f>
        <v/>
      </c>
      <c r="AN141" s="9"/>
      <c r="AO141" s="9"/>
      <c r="AP141" s="9"/>
      <c r="AQ141" s="10" t="str">
        <f aca="false">IF(AP141="","",IFERROR(VLOOKUP(AP141,Projects!$A$5:$D$504,2,0),"Ref not in Projects"))</f>
        <v/>
      </c>
      <c r="AR141" s="10" t="str">
        <f aca="false">IF(AP141="","",IFERROR(VLOOKUP(AP141,Projects!$A$5:$D$504,4,0),"Ref not in Projects"))</f>
        <v/>
      </c>
      <c r="AS141" s="9"/>
      <c r="AT141" s="9"/>
      <c r="AU141" s="9"/>
      <c r="AV141" s="40"/>
      <c r="AW141" s="9"/>
      <c r="AX141" s="40"/>
      <c r="AY141" s="9"/>
      <c r="AZ141" s="40"/>
      <c r="BA141" s="9"/>
      <c r="BB141" s="9"/>
      <c r="BC141" s="9"/>
      <c r="BD141" s="40"/>
      <c r="BE141" s="40"/>
      <c r="BF141" s="36" t="str">
        <f aca="false">IF(BE141="","",EDATE(BE141,SG_Criteria!$B$54*12))</f>
        <v/>
      </c>
      <c r="BG141" s="33" t="str">
        <f aca="true">IF(A141="","",IF(BE141="","NOTE: not reviewed yet",IF(TODAY()&gt;BF141,"NOTE: review overdue","OK")))</f>
        <v/>
      </c>
      <c r="BH141" s="37" t="str">
        <f aca="false">IF(A141="","",ROUND((IF(LEN(D141)&gt;0,1,0)+IF(LEN(E141)&gt;0,1,0)+IF(LEN(I141)&gt;0,1,0)+IF(LEN(K141)&gt;0,1,0)+IF(LEN(Q141)&gt;0,1,0)+IF(LEN(S141)&gt;0,1,0)+IF(LEN(T141)&gt;0,1,0)+IF(LEN(U141)&gt;0,1,0)+IF(LEN(V141)&gt;0,1,0)+IF(LEN(AE141)&gt;0,1,0)+IF(LEN(AP141)&gt;0,1,0)+IF(LEN(BC141)&gt;0,1,0))/12,2))</f>
        <v/>
      </c>
      <c r="BI141" s="10" t="str">
        <f aca="false">IF(D141="","",IF(AND(T141="Approved",ISERROR(SEARCH("FAIL",AM141))),"Y","N"))</f>
        <v/>
      </c>
    </row>
    <row r="142" customFormat="false" ht="15" hidden="false" customHeight="false" outlineLevel="0" collapsed="false">
      <c r="A142" s="10" t="str">
        <f aca="false">IF(D142="","",IFERROR(VLOOKUP(D142,Lists!$BI$4:$BJ$20,2,0),"??")&amp;"-"&amp;UPPER(SUBSTITUTE(E142," ",""))&amp;IF(F142&lt;&gt;"","-SP"&amp;TEXT(F142*1000,"0"),"")&amp;IF(G142&lt;&gt;"","-H"&amp;TEXT(G142*1000,"0"),"")&amp;"-"&amp;S142)</f>
        <v/>
      </c>
      <c r="B142" s="10" t="str">
        <f aca="false">IF(D142="","",D142&amp;" - "&amp;E142&amp;IF(F142&lt;&gt;"",", span "&amp;F142&amp;" m","")&amp;IF(G142&lt;&gt;"",", H "&amp;G142&amp;" m","")&amp;IF(H142&lt;&gt;"",", W "&amp;H142&amp;" m",""))</f>
        <v/>
      </c>
      <c r="C142" s="9"/>
      <c r="D142" s="9"/>
      <c r="E142" s="9"/>
      <c r="F142" s="42"/>
      <c r="G142" s="42"/>
      <c r="H142" s="42"/>
      <c r="I142" s="9"/>
      <c r="J142" s="9"/>
      <c r="K142" s="9"/>
      <c r="L142" s="9"/>
      <c r="M142" s="9"/>
      <c r="N142" s="38"/>
      <c r="O142" s="9"/>
      <c r="P142" s="39"/>
      <c r="Q142" s="9"/>
      <c r="R142" s="9"/>
      <c r="S142" s="9"/>
      <c r="T142" s="9"/>
      <c r="U142" s="9"/>
      <c r="V142" s="9"/>
      <c r="W142" s="9"/>
      <c r="X142" s="10" t="str">
        <f aca="false">IF(A142="","",SG_Criteria!$B$6&amp;SG_Criteria!$B$13&amp;"\"&amp;A142&amp;"\")</f>
        <v/>
      </c>
      <c r="Y142" s="10" t="str">
        <f aca="false">IF(A142="","",A142&amp;"_CAD.dwg")</f>
        <v/>
      </c>
      <c r="Z142" s="10" t="str">
        <f aca="false">IF(A142="","",A142&amp;"_DWG.pdf")</f>
        <v/>
      </c>
      <c r="AA142" s="10" t="str">
        <f aca="false">IF(A142="","",IF(W142="Y",A142&amp;"_STAAD.std","n/a"))</f>
        <v/>
      </c>
      <c r="AB142" s="10" t="str">
        <f aca="false">IF(A142="","",A142&amp;"_CALC.xlsx")</f>
        <v/>
      </c>
      <c r="AC142" s="10" t="str">
        <f aca="false">IF(A142="","",A142&amp;"_CALC.pdf")</f>
        <v/>
      </c>
      <c r="AD142" s="9"/>
      <c r="AE142" s="9"/>
      <c r="AF142" s="39"/>
      <c r="AG142" s="39"/>
      <c r="AH142" s="39"/>
      <c r="AI142" s="39"/>
      <c r="AJ142" s="39"/>
      <c r="AK142" s="12" t="str">
        <f aca="false">IF(A142="","",IF(COUNTIF(Rebar_Schedule!$A$5:$A$2004,A142)=0,"",ROUND(SUMIF(Rebar_Schedule!$A$5:$A$2004,A142,Rebar_Schedule!$K$5:$K$2004),1)))</f>
        <v/>
      </c>
      <c r="AL142" s="33" t="str">
        <f aca="false">IF(A142="","",IF(AK142="","No rebar schedule yet",IF(ABS(AK142-N(AG142))/MAX(N(AG142),1)&gt;SG_Criteria!$B$55,"NOTE: register rebar differs from schedule by "&amp;TEXT(ABS(AK142-N(AG142))/MAX(N(AG142),1),"0%"),"OK")))</f>
        <v/>
      </c>
      <c r="AM142" s="33" t="str">
        <f aca="false">IF(D142="","","OK")</f>
        <v/>
      </c>
      <c r="AN142" s="9"/>
      <c r="AO142" s="9"/>
      <c r="AP142" s="9"/>
      <c r="AQ142" s="10" t="str">
        <f aca="false">IF(AP142="","",IFERROR(VLOOKUP(AP142,Projects!$A$5:$D$504,2,0),"Ref not in Projects"))</f>
        <v/>
      </c>
      <c r="AR142" s="10" t="str">
        <f aca="false">IF(AP142="","",IFERROR(VLOOKUP(AP142,Projects!$A$5:$D$504,4,0),"Ref not in Projects"))</f>
        <v/>
      </c>
      <c r="AS142" s="9"/>
      <c r="AT142" s="9"/>
      <c r="AU142" s="9"/>
      <c r="AV142" s="40"/>
      <c r="AW142" s="9"/>
      <c r="AX142" s="40"/>
      <c r="AY142" s="9"/>
      <c r="AZ142" s="40"/>
      <c r="BA142" s="9"/>
      <c r="BB142" s="9"/>
      <c r="BC142" s="9"/>
      <c r="BD142" s="40"/>
      <c r="BE142" s="40"/>
      <c r="BF142" s="36" t="str">
        <f aca="false">IF(BE142="","",EDATE(BE142,SG_Criteria!$B$54*12))</f>
        <v/>
      </c>
      <c r="BG142" s="33" t="str">
        <f aca="true">IF(A142="","",IF(BE142="","NOTE: not reviewed yet",IF(TODAY()&gt;BF142,"NOTE: review overdue","OK")))</f>
        <v/>
      </c>
      <c r="BH142" s="37" t="str">
        <f aca="false">IF(A142="","",ROUND((IF(LEN(D142)&gt;0,1,0)+IF(LEN(E142)&gt;0,1,0)+IF(LEN(I142)&gt;0,1,0)+IF(LEN(K142)&gt;0,1,0)+IF(LEN(Q142)&gt;0,1,0)+IF(LEN(S142)&gt;0,1,0)+IF(LEN(T142)&gt;0,1,0)+IF(LEN(U142)&gt;0,1,0)+IF(LEN(V142)&gt;0,1,0)+IF(LEN(AE142)&gt;0,1,0)+IF(LEN(AP142)&gt;0,1,0)+IF(LEN(BC142)&gt;0,1,0))/12,2))</f>
        <v/>
      </c>
      <c r="BI142" s="10" t="str">
        <f aca="false">IF(D142="","",IF(AND(T142="Approved",ISERROR(SEARCH("FAIL",AM142))),"Y","N"))</f>
        <v/>
      </c>
    </row>
    <row r="143" customFormat="false" ht="15" hidden="false" customHeight="false" outlineLevel="0" collapsed="false">
      <c r="A143" s="10" t="str">
        <f aca="false">IF(D143="","",IFERROR(VLOOKUP(D143,Lists!$BI$4:$BJ$20,2,0),"??")&amp;"-"&amp;UPPER(SUBSTITUTE(E143," ",""))&amp;IF(F143&lt;&gt;"","-SP"&amp;TEXT(F143*1000,"0"),"")&amp;IF(G143&lt;&gt;"","-H"&amp;TEXT(G143*1000,"0"),"")&amp;"-"&amp;S143)</f>
        <v/>
      </c>
      <c r="B143" s="10" t="str">
        <f aca="false">IF(D143="","",D143&amp;" - "&amp;E143&amp;IF(F143&lt;&gt;"",", span "&amp;F143&amp;" m","")&amp;IF(G143&lt;&gt;"",", H "&amp;G143&amp;" m","")&amp;IF(H143&lt;&gt;"",", W "&amp;H143&amp;" m",""))</f>
        <v/>
      </c>
      <c r="C143" s="9"/>
      <c r="D143" s="9"/>
      <c r="E143" s="9"/>
      <c r="F143" s="42"/>
      <c r="G143" s="42"/>
      <c r="H143" s="42"/>
      <c r="I143" s="9"/>
      <c r="J143" s="9"/>
      <c r="K143" s="9"/>
      <c r="L143" s="9"/>
      <c r="M143" s="9"/>
      <c r="N143" s="38"/>
      <c r="O143" s="9"/>
      <c r="P143" s="39"/>
      <c r="Q143" s="9"/>
      <c r="R143" s="9"/>
      <c r="S143" s="9"/>
      <c r="T143" s="9"/>
      <c r="U143" s="9"/>
      <c r="V143" s="9"/>
      <c r="W143" s="9"/>
      <c r="X143" s="10" t="str">
        <f aca="false">IF(A143="","",SG_Criteria!$B$6&amp;SG_Criteria!$B$13&amp;"\"&amp;A143&amp;"\")</f>
        <v/>
      </c>
      <c r="Y143" s="10" t="str">
        <f aca="false">IF(A143="","",A143&amp;"_CAD.dwg")</f>
        <v/>
      </c>
      <c r="Z143" s="10" t="str">
        <f aca="false">IF(A143="","",A143&amp;"_DWG.pdf")</f>
        <v/>
      </c>
      <c r="AA143" s="10" t="str">
        <f aca="false">IF(A143="","",IF(W143="Y",A143&amp;"_STAAD.std","n/a"))</f>
        <v/>
      </c>
      <c r="AB143" s="10" t="str">
        <f aca="false">IF(A143="","",A143&amp;"_CALC.xlsx")</f>
        <v/>
      </c>
      <c r="AC143" s="10" t="str">
        <f aca="false">IF(A143="","",A143&amp;"_CALC.pdf")</f>
        <v/>
      </c>
      <c r="AD143" s="9"/>
      <c r="AE143" s="9"/>
      <c r="AF143" s="39"/>
      <c r="AG143" s="39"/>
      <c r="AH143" s="39"/>
      <c r="AI143" s="39"/>
      <c r="AJ143" s="39"/>
      <c r="AK143" s="12" t="str">
        <f aca="false">IF(A143="","",IF(COUNTIF(Rebar_Schedule!$A$5:$A$2004,A143)=0,"",ROUND(SUMIF(Rebar_Schedule!$A$5:$A$2004,A143,Rebar_Schedule!$K$5:$K$2004),1)))</f>
        <v/>
      </c>
      <c r="AL143" s="33" t="str">
        <f aca="false">IF(A143="","",IF(AK143="","No rebar schedule yet",IF(ABS(AK143-N(AG143))/MAX(N(AG143),1)&gt;SG_Criteria!$B$55,"NOTE: register rebar differs from schedule by "&amp;TEXT(ABS(AK143-N(AG143))/MAX(N(AG143),1),"0%"),"OK")))</f>
        <v/>
      </c>
      <c r="AM143" s="33" t="str">
        <f aca="false">IF(D143="","","OK")</f>
        <v/>
      </c>
      <c r="AN143" s="9"/>
      <c r="AO143" s="9"/>
      <c r="AP143" s="9"/>
      <c r="AQ143" s="10" t="str">
        <f aca="false">IF(AP143="","",IFERROR(VLOOKUP(AP143,Projects!$A$5:$D$504,2,0),"Ref not in Projects"))</f>
        <v/>
      </c>
      <c r="AR143" s="10" t="str">
        <f aca="false">IF(AP143="","",IFERROR(VLOOKUP(AP143,Projects!$A$5:$D$504,4,0),"Ref not in Projects"))</f>
        <v/>
      </c>
      <c r="AS143" s="9"/>
      <c r="AT143" s="9"/>
      <c r="AU143" s="9"/>
      <c r="AV143" s="40"/>
      <c r="AW143" s="9"/>
      <c r="AX143" s="40"/>
      <c r="AY143" s="9"/>
      <c r="AZ143" s="40"/>
      <c r="BA143" s="9"/>
      <c r="BB143" s="9"/>
      <c r="BC143" s="9"/>
      <c r="BD143" s="40"/>
      <c r="BE143" s="40"/>
      <c r="BF143" s="36" t="str">
        <f aca="false">IF(BE143="","",EDATE(BE143,SG_Criteria!$B$54*12))</f>
        <v/>
      </c>
      <c r="BG143" s="33" t="str">
        <f aca="true">IF(A143="","",IF(BE143="","NOTE: not reviewed yet",IF(TODAY()&gt;BF143,"NOTE: review overdue","OK")))</f>
        <v/>
      </c>
      <c r="BH143" s="37" t="str">
        <f aca="false">IF(A143="","",ROUND((IF(LEN(D143)&gt;0,1,0)+IF(LEN(E143)&gt;0,1,0)+IF(LEN(I143)&gt;0,1,0)+IF(LEN(K143)&gt;0,1,0)+IF(LEN(Q143)&gt;0,1,0)+IF(LEN(S143)&gt;0,1,0)+IF(LEN(T143)&gt;0,1,0)+IF(LEN(U143)&gt;0,1,0)+IF(LEN(V143)&gt;0,1,0)+IF(LEN(AE143)&gt;0,1,0)+IF(LEN(AP143)&gt;0,1,0)+IF(LEN(BC143)&gt;0,1,0))/12,2))</f>
        <v/>
      </c>
      <c r="BI143" s="10" t="str">
        <f aca="false">IF(D143="","",IF(AND(T143="Approved",ISERROR(SEARCH("FAIL",AM143))),"Y","N"))</f>
        <v/>
      </c>
    </row>
    <row r="144" customFormat="false" ht="15" hidden="false" customHeight="false" outlineLevel="0" collapsed="false">
      <c r="A144" s="10" t="str">
        <f aca="false">IF(D144="","",IFERROR(VLOOKUP(D144,Lists!$BI$4:$BJ$20,2,0),"??")&amp;"-"&amp;UPPER(SUBSTITUTE(E144," ",""))&amp;IF(F144&lt;&gt;"","-SP"&amp;TEXT(F144*1000,"0"),"")&amp;IF(G144&lt;&gt;"","-H"&amp;TEXT(G144*1000,"0"),"")&amp;"-"&amp;S144)</f>
        <v/>
      </c>
      <c r="B144" s="10" t="str">
        <f aca="false">IF(D144="","",D144&amp;" - "&amp;E144&amp;IF(F144&lt;&gt;"",", span "&amp;F144&amp;" m","")&amp;IF(G144&lt;&gt;"",", H "&amp;G144&amp;" m","")&amp;IF(H144&lt;&gt;"",", W "&amp;H144&amp;" m",""))</f>
        <v/>
      </c>
      <c r="C144" s="9"/>
      <c r="D144" s="9"/>
      <c r="E144" s="9"/>
      <c r="F144" s="42"/>
      <c r="G144" s="42"/>
      <c r="H144" s="42"/>
      <c r="I144" s="9"/>
      <c r="J144" s="9"/>
      <c r="K144" s="9"/>
      <c r="L144" s="9"/>
      <c r="M144" s="9"/>
      <c r="N144" s="38"/>
      <c r="O144" s="9"/>
      <c r="P144" s="39"/>
      <c r="Q144" s="9"/>
      <c r="R144" s="9"/>
      <c r="S144" s="9"/>
      <c r="T144" s="9"/>
      <c r="U144" s="9"/>
      <c r="V144" s="9"/>
      <c r="W144" s="9"/>
      <c r="X144" s="10" t="str">
        <f aca="false">IF(A144="","",SG_Criteria!$B$6&amp;SG_Criteria!$B$13&amp;"\"&amp;A144&amp;"\")</f>
        <v/>
      </c>
      <c r="Y144" s="10" t="str">
        <f aca="false">IF(A144="","",A144&amp;"_CAD.dwg")</f>
        <v/>
      </c>
      <c r="Z144" s="10" t="str">
        <f aca="false">IF(A144="","",A144&amp;"_DWG.pdf")</f>
        <v/>
      </c>
      <c r="AA144" s="10" t="str">
        <f aca="false">IF(A144="","",IF(W144="Y",A144&amp;"_STAAD.std","n/a"))</f>
        <v/>
      </c>
      <c r="AB144" s="10" t="str">
        <f aca="false">IF(A144="","",A144&amp;"_CALC.xlsx")</f>
        <v/>
      </c>
      <c r="AC144" s="10" t="str">
        <f aca="false">IF(A144="","",A144&amp;"_CALC.pdf")</f>
        <v/>
      </c>
      <c r="AD144" s="9"/>
      <c r="AE144" s="9"/>
      <c r="AF144" s="39"/>
      <c r="AG144" s="39"/>
      <c r="AH144" s="39"/>
      <c r="AI144" s="39"/>
      <c r="AJ144" s="39"/>
      <c r="AK144" s="12" t="str">
        <f aca="false">IF(A144="","",IF(COUNTIF(Rebar_Schedule!$A$5:$A$2004,A144)=0,"",ROUND(SUMIF(Rebar_Schedule!$A$5:$A$2004,A144,Rebar_Schedule!$K$5:$K$2004),1)))</f>
        <v/>
      </c>
      <c r="AL144" s="33" t="str">
        <f aca="false">IF(A144="","",IF(AK144="","No rebar schedule yet",IF(ABS(AK144-N(AG144))/MAX(N(AG144),1)&gt;SG_Criteria!$B$55,"NOTE: register rebar differs from schedule by "&amp;TEXT(ABS(AK144-N(AG144))/MAX(N(AG144),1),"0%"),"OK")))</f>
        <v/>
      </c>
      <c r="AM144" s="33" t="str">
        <f aca="false">IF(D144="","","OK")</f>
        <v/>
      </c>
      <c r="AN144" s="9"/>
      <c r="AO144" s="9"/>
      <c r="AP144" s="9"/>
      <c r="AQ144" s="10" t="str">
        <f aca="false">IF(AP144="","",IFERROR(VLOOKUP(AP144,Projects!$A$5:$D$504,2,0),"Ref not in Projects"))</f>
        <v/>
      </c>
      <c r="AR144" s="10" t="str">
        <f aca="false">IF(AP144="","",IFERROR(VLOOKUP(AP144,Projects!$A$5:$D$504,4,0),"Ref not in Projects"))</f>
        <v/>
      </c>
      <c r="AS144" s="9"/>
      <c r="AT144" s="9"/>
      <c r="AU144" s="9"/>
      <c r="AV144" s="40"/>
      <c r="AW144" s="9"/>
      <c r="AX144" s="40"/>
      <c r="AY144" s="9"/>
      <c r="AZ144" s="40"/>
      <c r="BA144" s="9"/>
      <c r="BB144" s="9"/>
      <c r="BC144" s="9"/>
      <c r="BD144" s="40"/>
      <c r="BE144" s="40"/>
      <c r="BF144" s="36" t="str">
        <f aca="false">IF(BE144="","",EDATE(BE144,SG_Criteria!$B$54*12))</f>
        <v/>
      </c>
      <c r="BG144" s="33" t="str">
        <f aca="true">IF(A144="","",IF(BE144="","NOTE: not reviewed yet",IF(TODAY()&gt;BF144,"NOTE: review overdue","OK")))</f>
        <v/>
      </c>
      <c r="BH144" s="37" t="str">
        <f aca="false">IF(A144="","",ROUND((IF(LEN(D144)&gt;0,1,0)+IF(LEN(E144)&gt;0,1,0)+IF(LEN(I144)&gt;0,1,0)+IF(LEN(K144)&gt;0,1,0)+IF(LEN(Q144)&gt;0,1,0)+IF(LEN(S144)&gt;0,1,0)+IF(LEN(T144)&gt;0,1,0)+IF(LEN(U144)&gt;0,1,0)+IF(LEN(V144)&gt;0,1,0)+IF(LEN(AE144)&gt;0,1,0)+IF(LEN(AP144)&gt;0,1,0)+IF(LEN(BC144)&gt;0,1,0))/12,2))</f>
        <v/>
      </c>
      <c r="BI144" s="10" t="str">
        <f aca="false">IF(D144="","",IF(AND(T144="Approved",ISERROR(SEARCH("FAIL",AM144))),"Y","N"))</f>
        <v/>
      </c>
    </row>
    <row r="145" customFormat="false" ht="15" hidden="false" customHeight="false" outlineLevel="0" collapsed="false">
      <c r="A145" s="10" t="str">
        <f aca="false">IF(D145="","",IFERROR(VLOOKUP(D145,Lists!$BI$4:$BJ$20,2,0),"??")&amp;"-"&amp;UPPER(SUBSTITUTE(E145," ",""))&amp;IF(F145&lt;&gt;"","-SP"&amp;TEXT(F145*1000,"0"),"")&amp;IF(G145&lt;&gt;"","-H"&amp;TEXT(G145*1000,"0"),"")&amp;"-"&amp;S145)</f>
        <v/>
      </c>
      <c r="B145" s="10" t="str">
        <f aca="false">IF(D145="","",D145&amp;" - "&amp;E145&amp;IF(F145&lt;&gt;"",", span "&amp;F145&amp;" m","")&amp;IF(G145&lt;&gt;"",", H "&amp;G145&amp;" m","")&amp;IF(H145&lt;&gt;"",", W "&amp;H145&amp;" m",""))</f>
        <v/>
      </c>
      <c r="C145" s="9"/>
      <c r="D145" s="9"/>
      <c r="E145" s="9"/>
      <c r="F145" s="42"/>
      <c r="G145" s="42"/>
      <c r="H145" s="42"/>
      <c r="I145" s="9"/>
      <c r="J145" s="9"/>
      <c r="K145" s="9"/>
      <c r="L145" s="9"/>
      <c r="M145" s="9"/>
      <c r="N145" s="38"/>
      <c r="O145" s="9"/>
      <c r="P145" s="39"/>
      <c r="Q145" s="9"/>
      <c r="R145" s="9"/>
      <c r="S145" s="9"/>
      <c r="T145" s="9"/>
      <c r="U145" s="9"/>
      <c r="V145" s="9"/>
      <c r="W145" s="9"/>
      <c r="X145" s="10" t="str">
        <f aca="false">IF(A145="","",SG_Criteria!$B$6&amp;SG_Criteria!$B$13&amp;"\"&amp;A145&amp;"\")</f>
        <v/>
      </c>
      <c r="Y145" s="10" t="str">
        <f aca="false">IF(A145="","",A145&amp;"_CAD.dwg")</f>
        <v/>
      </c>
      <c r="Z145" s="10" t="str">
        <f aca="false">IF(A145="","",A145&amp;"_DWG.pdf")</f>
        <v/>
      </c>
      <c r="AA145" s="10" t="str">
        <f aca="false">IF(A145="","",IF(W145="Y",A145&amp;"_STAAD.std","n/a"))</f>
        <v/>
      </c>
      <c r="AB145" s="10" t="str">
        <f aca="false">IF(A145="","",A145&amp;"_CALC.xlsx")</f>
        <v/>
      </c>
      <c r="AC145" s="10" t="str">
        <f aca="false">IF(A145="","",A145&amp;"_CALC.pdf")</f>
        <v/>
      </c>
      <c r="AD145" s="9"/>
      <c r="AE145" s="9"/>
      <c r="AF145" s="39"/>
      <c r="AG145" s="39"/>
      <c r="AH145" s="39"/>
      <c r="AI145" s="39"/>
      <c r="AJ145" s="39"/>
      <c r="AK145" s="12" t="str">
        <f aca="false">IF(A145="","",IF(COUNTIF(Rebar_Schedule!$A$5:$A$2004,A145)=0,"",ROUND(SUMIF(Rebar_Schedule!$A$5:$A$2004,A145,Rebar_Schedule!$K$5:$K$2004),1)))</f>
        <v/>
      </c>
      <c r="AL145" s="33" t="str">
        <f aca="false">IF(A145="","",IF(AK145="","No rebar schedule yet",IF(ABS(AK145-N(AG145))/MAX(N(AG145),1)&gt;SG_Criteria!$B$55,"NOTE: register rebar differs from schedule by "&amp;TEXT(ABS(AK145-N(AG145))/MAX(N(AG145),1),"0%"),"OK")))</f>
        <v/>
      </c>
      <c r="AM145" s="33" t="str">
        <f aca="false">IF(D145="","","OK")</f>
        <v/>
      </c>
      <c r="AN145" s="9"/>
      <c r="AO145" s="9"/>
      <c r="AP145" s="9"/>
      <c r="AQ145" s="10" t="str">
        <f aca="false">IF(AP145="","",IFERROR(VLOOKUP(AP145,Projects!$A$5:$D$504,2,0),"Ref not in Projects"))</f>
        <v/>
      </c>
      <c r="AR145" s="10" t="str">
        <f aca="false">IF(AP145="","",IFERROR(VLOOKUP(AP145,Projects!$A$5:$D$504,4,0),"Ref not in Projects"))</f>
        <v/>
      </c>
      <c r="AS145" s="9"/>
      <c r="AT145" s="9"/>
      <c r="AU145" s="9"/>
      <c r="AV145" s="40"/>
      <c r="AW145" s="9"/>
      <c r="AX145" s="40"/>
      <c r="AY145" s="9"/>
      <c r="AZ145" s="40"/>
      <c r="BA145" s="9"/>
      <c r="BB145" s="9"/>
      <c r="BC145" s="9"/>
      <c r="BD145" s="40"/>
      <c r="BE145" s="40"/>
      <c r="BF145" s="36" t="str">
        <f aca="false">IF(BE145="","",EDATE(BE145,SG_Criteria!$B$54*12))</f>
        <v/>
      </c>
      <c r="BG145" s="33" t="str">
        <f aca="true">IF(A145="","",IF(BE145="","NOTE: not reviewed yet",IF(TODAY()&gt;BF145,"NOTE: review overdue","OK")))</f>
        <v/>
      </c>
      <c r="BH145" s="37" t="str">
        <f aca="false">IF(A145="","",ROUND((IF(LEN(D145)&gt;0,1,0)+IF(LEN(E145)&gt;0,1,0)+IF(LEN(I145)&gt;0,1,0)+IF(LEN(K145)&gt;0,1,0)+IF(LEN(Q145)&gt;0,1,0)+IF(LEN(S145)&gt;0,1,0)+IF(LEN(T145)&gt;0,1,0)+IF(LEN(U145)&gt;0,1,0)+IF(LEN(V145)&gt;0,1,0)+IF(LEN(AE145)&gt;0,1,0)+IF(LEN(AP145)&gt;0,1,0)+IF(LEN(BC145)&gt;0,1,0))/12,2))</f>
        <v/>
      </c>
      <c r="BI145" s="10" t="str">
        <f aca="false">IF(D145="","",IF(AND(T145="Approved",ISERROR(SEARCH("FAIL",AM145))),"Y","N"))</f>
        <v/>
      </c>
    </row>
    <row r="146" customFormat="false" ht="15" hidden="false" customHeight="false" outlineLevel="0" collapsed="false">
      <c r="A146" s="10" t="str">
        <f aca="false">IF(D146="","",IFERROR(VLOOKUP(D146,Lists!$BI$4:$BJ$20,2,0),"??")&amp;"-"&amp;UPPER(SUBSTITUTE(E146," ",""))&amp;IF(F146&lt;&gt;"","-SP"&amp;TEXT(F146*1000,"0"),"")&amp;IF(G146&lt;&gt;"","-H"&amp;TEXT(G146*1000,"0"),"")&amp;"-"&amp;S146)</f>
        <v/>
      </c>
      <c r="B146" s="10" t="str">
        <f aca="false">IF(D146="","",D146&amp;" - "&amp;E146&amp;IF(F146&lt;&gt;"",", span "&amp;F146&amp;" m","")&amp;IF(G146&lt;&gt;"",", H "&amp;G146&amp;" m","")&amp;IF(H146&lt;&gt;"",", W "&amp;H146&amp;" m",""))</f>
        <v/>
      </c>
      <c r="C146" s="9"/>
      <c r="D146" s="9"/>
      <c r="E146" s="9"/>
      <c r="F146" s="42"/>
      <c r="G146" s="42"/>
      <c r="H146" s="42"/>
      <c r="I146" s="9"/>
      <c r="J146" s="9"/>
      <c r="K146" s="9"/>
      <c r="L146" s="9"/>
      <c r="M146" s="9"/>
      <c r="N146" s="38"/>
      <c r="O146" s="9"/>
      <c r="P146" s="39"/>
      <c r="Q146" s="9"/>
      <c r="R146" s="9"/>
      <c r="S146" s="9"/>
      <c r="T146" s="9"/>
      <c r="U146" s="9"/>
      <c r="V146" s="9"/>
      <c r="W146" s="9"/>
      <c r="X146" s="10" t="str">
        <f aca="false">IF(A146="","",SG_Criteria!$B$6&amp;SG_Criteria!$B$13&amp;"\"&amp;A146&amp;"\")</f>
        <v/>
      </c>
      <c r="Y146" s="10" t="str">
        <f aca="false">IF(A146="","",A146&amp;"_CAD.dwg")</f>
        <v/>
      </c>
      <c r="Z146" s="10" t="str">
        <f aca="false">IF(A146="","",A146&amp;"_DWG.pdf")</f>
        <v/>
      </c>
      <c r="AA146" s="10" t="str">
        <f aca="false">IF(A146="","",IF(W146="Y",A146&amp;"_STAAD.std","n/a"))</f>
        <v/>
      </c>
      <c r="AB146" s="10" t="str">
        <f aca="false">IF(A146="","",A146&amp;"_CALC.xlsx")</f>
        <v/>
      </c>
      <c r="AC146" s="10" t="str">
        <f aca="false">IF(A146="","",A146&amp;"_CALC.pdf")</f>
        <v/>
      </c>
      <c r="AD146" s="9"/>
      <c r="AE146" s="9"/>
      <c r="AF146" s="39"/>
      <c r="AG146" s="39"/>
      <c r="AH146" s="39"/>
      <c r="AI146" s="39"/>
      <c r="AJ146" s="39"/>
      <c r="AK146" s="12" t="str">
        <f aca="false">IF(A146="","",IF(COUNTIF(Rebar_Schedule!$A$5:$A$2004,A146)=0,"",ROUND(SUMIF(Rebar_Schedule!$A$5:$A$2004,A146,Rebar_Schedule!$K$5:$K$2004),1)))</f>
        <v/>
      </c>
      <c r="AL146" s="33" t="str">
        <f aca="false">IF(A146="","",IF(AK146="","No rebar schedule yet",IF(ABS(AK146-N(AG146))/MAX(N(AG146),1)&gt;SG_Criteria!$B$55,"NOTE: register rebar differs from schedule by "&amp;TEXT(ABS(AK146-N(AG146))/MAX(N(AG146),1),"0%"),"OK")))</f>
        <v/>
      </c>
      <c r="AM146" s="33" t="str">
        <f aca="false">IF(D146="","","OK")</f>
        <v/>
      </c>
      <c r="AN146" s="9"/>
      <c r="AO146" s="9"/>
      <c r="AP146" s="9"/>
      <c r="AQ146" s="10" t="str">
        <f aca="false">IF(AP146="","",IFERROR(VLOOKUP(AP146,Projects!$A$5:$D$504,2,0),"Ref not in Projects"))</f>
        <v/>
      </c>
      <c r="AR146" s="10" t="str">
        <f aca="false">IF(AP146="","",IFERROR(VLOOKUP(AP146,Projects!$A$5:$D$504,4,0),"Ref not in Projects"))</f>
        <v/>
      </c>
      <c r="AS146" s="9"/>
      <c r="AT146" s="9"/>
      <c r="AU146" s="9"/>
      <c r="AV146" s="40"/>
      <c r="AW146" s="9"/>
      <c r="AX146" s="40"/>
      <c r="AY146" s="9"/>
      <c r="AZ146" s="40"/>
      <c r="BA146" s="9"/>
      <c r="BB146" s="9"/>
      <c r="BC146" s="9"/>
      <c r="BD146" s="40"/>
      <c r="BE146" s="40"/>
      <c r="BF146" s="36" t="str">
        <f aca="false">IF(BE146="","",EDATE(BE146,SG_Criteria!$B$54*12))</f>
        <v/>
      </c>
      <c r="BG146" s="33" t="str">
        <f aca="true">IF(A146="","",IF(BE146="","NOTE: not reviewed yet",IF(TODAY()&gt;BF146,"NOTE: review overdue","OK")))</f>
        <v/>
      </c>
      <c r="BH146" s="37" t="str">
        <f aca="false">IF(A146="","",ROUND((IF(LEN(D146)&gt;0,1,0)+IF(LEN(E146)&gt;0,1,0)+IF(LEN(I146)&gt;0,1,0)+IF(LEN(K146)&gt;0,1,0)+IF(LEN(Q146)&gt;0,1,0)+IF(LEN(S146)&gt;0,1,0)+IF(LEN(T146)&gt;0,1,0)+IF(LEN(U146)&gt;0,1,0)+IF(LEN(V146)&gt;0,1,0)+IF(LEN(AE146)&gt;0,1,0)+IF(LEN(AP146)&gt;0,1,0)+IF(LEN(BC146)&gt;0,1,0))/12,2))</f>
        <v/>
      </c>
      <c r="BI146" s="10" t="str">
        <f aca="false">IF(D146="","",IF(AND(T146="Approved",ISERROR(SEARCH("FAIL",AM146))),"Y","N"))</f>
        <v/>
      </c>
    </row>
    <row r="147" customFormat="false" ht="15" hidden="false" customHeight="false" outlineLevel="0" collapsed="false">
      <c r="A147" s="10" t="str">
        <f aca="false">IF(D147="","",IFERROR(VLOOKUP(D147,Lists!$BI$4:$BJ$20,2,0),"??")&amp;"-"&amp;UPPER(SUBSTITUTE(E147," ",""))&amp;IF(F147&lt;&gt;"","-SP"&amp;TEXT(F147*1000,"0"),"")&amp;IF(G147&lt;&gt;"","-H"&amp;TEXT(G147*1000,"0"),"")&amp;"-"&amp;S147)</f>
        <v/>
      </c>
      <c r="B147" s="10" t="str">
        <f aca="false">IF(D147="","",D147&amp;" - "&amp;E147&amp;IF(F147&lt;&gt;"",", span "&amp;F147&amp;" m","")&amp;IF(G147&lt;&gt;"",", H "&amp;G147&amp;" m","")&amp;IF(H147&lt;&gt;"",", W "&amp;H147&amp;" m",""))</f>
        <v/>
      </c>
      <c r="C147" s="9"/>
      <c r="D147" s="9"/>
      <c r="E147" s="9"/>
      <c r="F147" s="42"/>
      <c r="G147" s="42"/>
      <c r="H147" s="42"/>
      <c r="I147" s="9"/>
      <c r="J147" s="9"/>
      <c r="K147" s="9"/>
      <c r="L147" s="9"/>
      <c r="M147" s="9"/>
      <c r="N147" s="38"/>
      <c r="O147" s="9"/>
      <c r="P147" s="39"/>
      <c r="Q147" s="9"/>
      <c r="R147" s="9"/>
      <c r="S147" s="9"/>
      <c r="T147" s="9"/>
      <c r="U147" s="9"/>
      <c r="V147" s="9"/>
      <c r="W147" s="9"/>
      <c r="X147" s="10" t="str">
        <f aca="false">IF(A147="","",SG_Criteria!$B$6&amp;SG_Criteria!$B$13&amp;"\"&amp;A147&amp;"\")</f>
        <v/>
      </c>
      <c r="Y147" s="10" t="str">
        <f aca="false">IF(A147="","",A147&amp;"_CAD.dwg")</f>
        <v/>
      </c>
      <c r="Z147" s="10" t="str">
        <f aca="false">IF(A147="","",A147&amp;"_DWG.pdf")</f>
        <v/>
      </c>
      <c r="AA147" s="10" t="str">
        <f aca="false">IF(A147="","",IF(W147="Y",A147&amp;"_STAAD.std","n/a"))</f>
        <v/>
      </c>
      <c r="AB147" s="10" t="str">
        <f aca="false">IF(A147="","",A147&amp;"_CALC.xlsx")</f>
        <v/>
      </c>
      <c r="AC147" s="10" t="str">
        <f aca="false">IF(A147="","",A147&amp;"_CALC.pdf")</f>
        <v/>
      </c>
      <c r="AD147" s="9"/>
      <c r="AE147" s="9"/>
      <c r="AF147" s="39"/>
      <c r="AG147" s="39"/>
      <c r="AH147" s="39"/>
      <c r="AI147" s="39"/>
      <c r="AJ147" s="39"/>
      <c r="AK147" s="12" t="str">
        <f aca="false">IF(A147="","",IF(COUNTIF(Rebar_Schedule!$A$5:$A$2004,A147)=0,"",ROUND(SUMIF(Rebar_Schedule!$A$5:$A$2004,A147,Rebar_Schedule!$K$5:$K$2004),1)))</f>
        <v/>
      </c>
      <c r="AL147" s="33" t="str">
        <f aca="false">IF(A147="","",IF(AK147="","No rebar schedule yet",IF(ABS(AK147-N(AG147))/MAX(N(AG147),1)&gt;SG_Criteria!$B$55,"NOTE: register rebar differs from schedule by "&amp;TEXT(ABS(AK147-N(AG147))/MAX(N(AG147),1),"0%"),"OK")))</f>
        <v/>
      </c>
      <c r="AM147" s="33" t="str">
        <f aca="false">IF(D147="","","OK")</f>
        <v/>
      </c>
      <c r="AN147" s="9"/>
      <c r="AO147" s="9"/>
      <c r="AP147" s="9"/>
      <c r="AQ147" s="10" t="str">
        <f aca="false">IF(AP147="","",IFERROR(VLOOKUP(AP147,Projects!$A$5:$D$504,2,0),"Ref not in Projects"))</f>
        <v/>
      </c>
      <c r="AR147" s="10" t="str">
        <f aca="false">IF(AP147="","",IFERROR(VLOOKUP(AP147,Projects!$A$5:$D$504,4,0),"Ref not in Projects"))</f>
        <v/>
      </c>
      <c r="AS147" s="9"/>
      <c r="AT147" s="9"/>
      <c r="AU147" s="9"/>
      <c r="AV147" s="40"/>
      <c r="AW147" s="9"/>
      <c r="AX147" s="40"/>
      <c r="AY147" s="9"/>
      <c r="AZ147" s="40"/>
      <c r="BA147" s="9"/>
      <c r="BB147" s="9"/>
      <c r="BC147" s="9"/>
      <c r="BD147" s="40"/>
      <c r="BE147" s="40"/>
      <c r="BF147" s="36" t="str">
        <f aca="false">IF(BE147="","",EDATE(BE147,SG_Criteria!$B$54*12))</f>
        <v/>
      </c>
      <c r="BG147" s="33" t="str">
        <f aca="true">IF(A147="","",IF(BE147="","NOTE: not reviewed yet",IF(TODAY()&gt;BF147,"NOTE: review overdue","OK")))</f>
        <v/>
      </c>
      <c r="BH147" s="37" t="str">
        <f aca="false">IF(A147="","",ROUND((IF(LEN(D147)&gt;0,1,0)+IF(LEN(E147)&gt;0,1,0)+IF(LEN(I147)&gt;0,1,0)+IF(LEN(K147)&gt;0,1,0)+IF(LEN(Q147)&gt;0,1,0)+IF(LEN(S147)&gt;0,1,0)+IF(LEN(T147)&gt;0,1,0)+IF(LEN(U147)&gt;0,1,0)+IF(LEN(V147)&gt;0,1,0)+IF(LEN(AE147)&gt;0,1,0)+IF(LEN(AP147)&gt;0,1,0)+IF(LEN(BC147)&gt;0,1,0))/12,2))</f>
        <v/>
      </c>
      <c r="BI147" s="10" t="str">
        <f aca="false">IF(D147="","",IF(AND(T147="Approved",ISERROR(SEARCH("FAIL",AM147))),"Y","N"))</f>
        <v/>
      </c>
    </row>
    <row r="148" customFormat="false" ht="15" hidden="false" customHeight="false" outlineLevel="0" collapsed="false">
      <c r="A148" s="10" t="str">
        <f aca="false">IF(D148="","",IFERROR(VLOOKUP(D148,Lists!$BI$4:$BJ$20,2,0),"??")&amp;"-"&amp;UPPER(SUBSTITUTE(E148," ",""))&amp;IF(F148&lt;&gt;"","-SP"&amp;TEXT(F148*1000,"0"),"")&amp;IF(G148&lt;&gt;"","-H"&amp;TEXT(G148*1000,"0"),"")&amp;"-"&amp;S148)</f>
        <v/>
      </c>
      <c r="B148" s="10" t="str">
        <f aca="false">IF(D148="","",D148&amp;" - "&amp;E148&amp;IF(F148&lt;&gt;"",", span "&amp;F148&amp;" m","")&amp;IF(G148&lt;&gt;"",", H "&amp;G148&amp;" m","")&amp;IF(H148&lt;&gt;"",", W "&amp;H148&amp;" m",""))</f>
        <v/>
      </c>
      <c r="C148" s="9"/>
      <c r="D148" s="9"/>
      <c r="E148" s="9"/>
      <c r="F148" s="42"/>
      <c r="G148" s="42"/>
      <c r="H148" s="42"/>
      <c r="I148" s="9"/>
      <c r="J148" s="9"/>
      <c r="K148" s="9"/>
      <c r="L148" s="9"/>
      <c r="M148" s="9"/>
      <c r="N148" s="38"/>
      <c r="O148" s="9"/>
      <c r="P148" s="39"/>
      <c r="Q148" s="9"/>
      <c r="R148" s="9"/>
      <c r="S148" s="9"/>
      <c r="T148" s="9"/>
      <c r="U148" s="9"/>
      <c r="V148" s="9"/>
      <c r="W148" s="9"/>
      <c r="X148" s="10" t="str">
        <f aca="false">IF(A148="","",SG_Criteria!$B$6&amp;SG_Criteria!$B$13&amp;"\"&amp;A148&amp;"\")</f>
        <v/>
      </c>
      <c r="Y148" s="10" t="str">
        <f aca="false">IF(A148="","",A148&amp;"_CAD.dwg")</f>
        <v/>
      </c>
      <c r="Z148" s="10" t="str">
        <f aca="false">IF(A148="","",A148&amp;"_DWG.pdf")</f>
        <v/>
      </c>
      <c r="AA148" s="10" t="str">
        <f aca="false">IF(A148="","",IF(W148="Y",A148&amp;"_STAAD.std","n/a"))</f>
        <v/>
      </c>
      <c r="AB148" s="10" t="str">
        <f aca="false">IF(A148="","",A148&amp;"_CALC.xlsx")</f>
        <v/>
      </c>
      <c r="AC148" s="10" t="str">
        <f aca="false">IF(A148="","",A148&amp;"_CALC.pdf")</f>
        <v/>
      </c>
      <c r="AD148" s="9"/>
      <c r="AE148" s="9"/>
      <c r="AF148" s="39"/>
      <c r="AG148" s="39"/>
      <c r="AH148" s="39"/>
      <c r="AI148" s="39"/>
      <c r="AJ148" s="39"/>
      <c r="AK148" s="12" t="str">
        <f aca="false">IF(A148="","",IF(COUNTIF(Rebar_Schedule!$A$5:$A$2004,A148)=0,"",ROUND(SUMIF(Rebar_Schedule!$A$5:$A$2004,A148,Rebar_Schedule!$K$5:$K$2004),1)))</f>
        <v/>
      </c>
      <c r="AL148" s="33" t="str">
        <f aca="false">IF(A148="","",IF(AK148="","No rebar schedule yet",IF(ABS(AK148-N(AG148))/MAX(N(AG148),1)&gt;SG_Criteria!$B$55,"NOTE: register rebar differs from schedule by "&amp;TEXT(ABS(AK148-N(AG148))/MAX(N(AG148),1),"0%"),"OK")))</f>
        <v/>
      </c>
      <c r="AM148" s="33" t="str">
        <f aca="false">IF(D148="","","OK")</f>
        <v/>
      </c>
      <c r="AN148" s="9"/>
      <c r="AO148" s="9"/>
      <c r="AP148" s="9"/>
      <c r="AQ148" s="10" t="str">
        <f aca="false">IF(AP148="","",IFERROR(VLOOKUP(AP148,Projects!$A$5:$D$504,2,0),"Ref not in Projects"))</f>
        <v/>
      </c>
      <c r="AR148" s="10" t="str">
        <f aca="false">IF(AP148="","",IFERROR(VLOOKUP(AP148,Projects!$A$5:$D$504,4,0),"Ref not in Projects"))</f>
        <v/>
      </c>
      <c r="AS148" s="9"/>
      <c r="AT148" s="9"/>
      <c r="AU148" s="9"/>
      <c r="AV148" s="40"/>
      <c r="AW148" s="9"/>
      <c r="AX148" s="40"/>
      <c r="AY148" s="9"/>
      <c r="AZ148" s="40"/>
      <c r="BA148" s="9"/>
      <c r="BB148" s="9"/>
      <c r="BC148" s="9"/>
      <c r="BD148" s="40"/>
      <c r="BE148" s="40"/>
      <c r="BF148" s="36" t="str">
        <f aca="false">IF(BE148="","",EDATE(BE148,SG_Criteria!$B$54*12))</f>
        <v/>
      </c>
      <c r="BG148" s="33" t="str">
        <f aca="true">IF(A148="","",IF(BE148="","NOTE: not reviewed yet",IF(TODAY()&gt;BF148,"NOTE: review overdue","OK")))</f>
        <v/>
      </c>
      <c r="BH148" s="37" t="str">
        <f aca="false">IF(A148="","",ROUND((IF(LEN(D148)&gt;0,1,0)+IF(LEN(E148)&gt;0,1,0)+IF(LEN(I148)&gt;0,1,0)+IF(LEN(K148)&gt;0,1,0)+IF(LEN(Q148)&gt;0,1,0)+IF(LEN(S148)&gt;0,1,0)+IF(LEN(T148)&gt;0,1,0)+IF(LEN(U148)&gt;0,1,0)+IF(LEN(V148)&gt;0,1,0)+IF(LEN(AE148)&gt;0,1,0)+IF(LEN(AP148)&gt;0,1,0)+IF(LEN(BC148)&gt;0,1,0))/12,2))</f>
        <v/>
      </c>
      <c r="BI148" s="10" t="str">
        <f aca="false">IF(D148="","",IF(AND(T148="Approved",ISERROR(SEARCH("FAIL",AM148))),"Y","N"))</f>
        <v/>
      </c>
    </row>
    <row r="149" customFormat="false" ht="15" hidden="false" customHeight="false" outlineLevel="0" collapsed="false">
      <c r="A149" s="10" t="str">
        <f aca="false">IF(D149="","",IFERROR(VLOOKUP(D149,Lists!$BI$4:$BJ$20,2,0),"??")&amp;"-"&amp;UPPER(SUBSTITUTE(E149," ",""))&amp;IF(F149&lt;&gt;"","-SP"&amp;TEXT(F149*1000,"0"),"")&amp;IF(G149&lt;&gt;"","-H"&amp;TEXT(G149*1000,"0"),"")&amp;"-"&amp;S149)</f>
        <v/>
      </c>
      <c r="B149" s="10" t="str">
        <f aca="false">IF(D149="","",D149&amp;" - "&amp;E149&amp;IF(F149&lt;&gt;"",", span "&amp;F149&amp;" m","")&amp;IF(G149&lt;&gt;"",", H "&amp;G149&amp;" m","")&amp;IF(H149&lt;&gt;"",", W "&amp;H149&amp;" m",""))</f>
        <v/>
      </c>
      <c r="C149" s="9"/>
      <c r="D149" s="9"/>
      <c r="E149" s="9"/>
      <c r="F149" s="42"/>
      <c r="G149" s="42"/>
      <c r="H149" s="42"/>
      <c r="I149" s="9"/>
      <c r="J149" s="9"/>
      <c r="K149" s="9"/>
      <c r="L149" s="9"/>
      <c r="M149" s="9"/>
      <c r="N149" s="38"/>
      <c r="O149" s="9"/>
      <c r="P149" s="39"/>
      <c r="Q149" s="9"/>
      <c r="R149" s="9"/>
      <c r="S149" s="9"/>
      <c r="T149" s="9"/>
      <c r="U149" s="9"/>
      <c r="V149" s="9"/>
      <c r="W149" s="9"/>
      <c r="X149" s="10" t="str">
        <f aca="false">IF(A149="","",SG_Criteria!$B$6&amp;SG_Criteria!$B$13&amp;"\"&amp;A149&amp;"\")</f>
        <v/>
      </c>
      <c r="Y149" s="10" t="str">
        <f aca="false">IF(A149="","",A149&amp;"_CAD.dwg")</f>
        <v/>
      </c>
      <c r="Z149" s="10" t="str">
        <f aca="false">IF(A149="","",A149&amp;"_DWG.pdf")</f>
        <v/>
      </c>
      <c r="AA149" s="10" t="str">
        <f aca="false">IF(A149="","",IF(W149="Y",A149&amp;"_STAAD.std","n/a"))</f>
        <v/>
      </c>
      <c r="AB149" s="10" t="str">
        <f aca="false">IF(A149="","",A149&amp;"_CALC.xlsx")</f>
        <v/>
      </c>
      <c r="AC149" s="10" t="str">
        <f aca="false">IF(A149="","",A149&amp;"_CALC.pdf")</f>
        <v/>
      </c>
      <c r="AD149" s="9"/>
      <c r="AE149" s="9"/>
      <c r="AF149" s="39"/>
      <c r="AG149" s="39"/>
      <c r="AH149" s="39"/>
      <c r="AI149" s="39"/>
      <c r="AJ149" s="39"/>
      <c r="AK149" s="12" t="str">
        <f aca="false">IF(A149="","",IF(COUNTIF(Rebar_Schedule!$A$5:$A$2004,A149)=0,"",ROUND(SUMIF(Rebar_Schedule!$A$5:$A$2004,A149,Rebar_Schedule!$K$5:$K$2004),1)))</f>
        <v/>
      </c>
      <c r="AL149" s="33" t="str">
        <f aca="false">IF(A149="","",IF(AK149="","No rebar schedule yet",IF(ABS(AK149-N(AG149))/MAX(N(AG149),1)&gt;SG_Criteria!$B$55,"NOTE: register rebar differs from schedule by "&amp;TEXT(ABS(AK149-N(AG149))/MAX(N(AG149),1),"0%"),"OK")))</f>
        <v/>
      </c>
      <c r="AM149" s="33" t="str">
        <f aca="false">IF(D149="","","OK")</f>
        <v/>
      </c>
      <c r="AN149" s="9"/>
      <c r="AO149" s="9"/>
      <c r="AP149" s="9"/>
      <c r="AQ149" s="10" t="str">
        <f aca="false">IF(AP149="","",IFERROR(VLOOKUP(AP149,Projects!$A$5:$D$504,2,0),"Ref not in Projects"))</f>
        <v/>
      </c>
      <c r="AR149" s="10" t="str">
        <f aca="false">IF(AP149="","",IFERROR(VLOOKUP(AP149,Projects!$A$5:$D$504,4,0),"Ref not in Projects"))</f>
        <v/>
      </c>
      <c r="AS149" s="9"/>
      <c r="AT149" s="9"/>
      <c r="AU149" s="9"/>
      <c r="AV149" s="40"/>
      <c r="AW149" s="9"/>
      <c r="AX149" s="40"/>
      <c r="AY149" s="9"/>
      <c r="AZ149" s="40"/>
      <c r="BA149" s="9"/>
      <c r="BB149" s="9"/>
      <c r="BC149" s="9"/>
      <c r="BD149" s="40"/>
      <c r="BE149" s="40"/>
      <c r="BF149" s="36" t="str">
        <f aca="false">IF(BE149="","",EDATE(BE149,SG_Criteria!$B$54*12))</f>
        <v/>
      </c>
      <c r="BG149" s="33" t="str">
        <f aca="true">IF(A149="","",IF(BE149="","NOTE: not reviewed yet",IF(TODAY()&gt;BF149,"NOTE: review overdue","OK")))</f>
        <v/>
      </c>
      <c r="BH149" s="37" t="str">
        <f aca="false">IF(A149="","",ROUND((IF(LEN(D149)&gt;0,1,0)+IF(LEN(E149)&gt;0,1,0)+IF(LEN(I149)&gt;0,1,0)+IF(LEN(K149)&gt;0,1,0)+IF(LEN(Q149)&gt;0,1,0)+IF(LEN(S149)&gt;0,1,0)+IF(LEN(T149)&gt;0,1,0)+IF(LEN(U149)&gt;0,1,0)+IF(LEN(V149)&gt;0,1,0)+IF(LEN(AE149)&gt;0,1,0)+IF(LEN(AP149)&gt;0,1,0)+IF(LEN(BC149)&gt;0,1,0))/12,2))</f>
        <v/>
      </c>
      <c r="BI149" s="10" t="str">
        <f aca="false">IF(D149="","",IF(AND(T149="Approved",ISERROR(SEARCH("FAIL",AM149))),"Y","N"))</f>
        <v/>
      </c>
    </row>
    <row r="150" customFormat="false" ht="15" hidden="false" customHeight="false" outlineLevel="0" collapsed="false">
      <c r="A150" s="10" t="str">
        <f aca="false">IF(D150="","",IFERROR(VLOOKUP(D150,Lists!$BI$4:$BJ$20,2,0),"??")&amp;"-"&amp;UPPER(SUBSTITUTE(E150," ",""))&amp;IF(F150&lt;&gt;"","-SP"&amp;TEXT(F150*1000,"0"),"")&amp;IF(G150&lt;&gt;"","-H"&amp;TEXT(G150*1000,"0"),"")&amp;"-"&amp;S150)</f>
        <v/>
      </c>
      <c r="B150" s="10" t="str">
        <f aca="false">IF(D150="","",D150&amp;" - "&amp;E150&amp;IF(F150&lt;&gt;"",", span "&amp;F150&amp;" m","")&amp;IF(G150&lt;&gt;"",", H "&amp;G150&amp;" m","")&amp;IF(H150&lt;&gt;"",", W "&amp;H150&amp;" m",""))</f>
        <v/>
      </c>
      <c r="C150" s="9"/>
      <c r="D150" s="9"/>
      <c r="E150" s="9"/>
      <c r="F150" s="42"/>
      <c r="G150" s="42"/>
      <c r="H150" s="42"/>
      <c r="I150" s="9"/>
      <c r="J150" s="9"/>
      <c r="K150" s="9"/>
      <c r="L150" s="9"/>
      <c r="M150" s="9"/>
      <c r="N150" s="38"/>
      <c r="O150" s="9"/>
      <c r="P150" s="39"/>
      <c r="Q150" s="9"/>
      <c r="R150" s="9"/>
      <c r="S150" s="9"/>
      <c r="T150" s="9"/>
      <c r="U150" s="9"/>
      <c r="V150" s="9"/>
      <c r="W150" s="9"/>
      <c r="X150" s="10" t="str">
        <f aca="false">IF(A150="","",SG_Criteria!$B$6&amp;SG_Criteria!$B$13&amp;"\"&amp;A150&amp;"\")</f>
        <v/>
      </c>
      <c r="Y150" s="10" t="str">
        <f aca="false">IF(A150="","",A150&amp;"_CAD.dwg")</f>
        <v/>
      </c>
      <c r="Z150" s="10" t="str">
        <f aca="false">IF(A150="","",A150&amp;"_DWG.pdf")</f>
        <v/>
      </c>
      <c r="AA150" s="10" t="str">
        <f aca="false">IF(A150="","",IF(W150="Y",A150&amp;"_STAAD.std","n/a"))</f>
        <v/>
      </c>
      <c r="AB150" s="10" t="str">
        <f aca="false">IF(A150="","",A150&amp;"_CALC.xlsx")</f>
        <v/>
      </c>
      <c r="AC150" s="10" t="str">
        <f aca="false">IF(A150="","",A150&amp;"_CALC.pdf")</f>
        <v/>
      </c>
      <c r="AD150" s="9"/>
      <c r="AE150" s="9"/>
      <c r="AF150" s="39"/>
      <c r="AG150" s="39"/>
      <c r="AH150" s="39"/>
      <c r="AI150" s="39"/>
      <c r="AJ150" s="39"/>
      <c r="AK150" s="12" t="str">
        <f aca="false">IF(A150="","",IF(COUNTIF(Rebar_Schedule!$A$5:$A$2004,A150)=0,"",ROUND(SUMIF(Rebar_Schedule!$A$5:$A$2004,A150,Rebar_Schedule!$K$5:$K$2004),1)))</f>
        <v/>
      </c>
      <c r="AL150" s="33" t="str">
        <f aca="false">IF(A150="","",IF(AK150="","No rebar schedule yet",IF(ABS(AK150-N(AG150))/MAX(N(AG150),1)&gt;SG_Criteria!$B$55,"NOTE: register rebar differs from schedule by "&amp;TEXT(ABS(AK150-N(AG150))/MAX(N(AG150),1),"0%"),"OK")))</f>
        <v/>
      </c>
      <c r="AM150" s="33" t="str">
        <f aca="false">IF(D150="","","OK")</f>
        <v/>
      </c>
      <c r="AN150" s="9"/>
      <c r="AO150" s="9"/>
      <c r="AP150" s="9"/>
      <c r="AQ150" s="10" t="str">
        <f aca="false">IF(AP150="","",IFERROR(VLOOKUP(AP150,Projects!$A$5:$D$504,2,0),"Ref not in Projects"))</f>
        <v/>
      </c>
      <c r="AR150" s="10" t="str">
        <f aca="false">IF(AP150="","",IFERROR(VLOOKUP(AP150,Projects!$A$5:$D$504,4,0),"Ref not in Projects"))</f>
        <v/>
      </c>
      <c r="AS150" s="9"/>
      <c r="AT150" s="9"/>
      <c r="AU150" s="9"/>
      <c r="AV150" s="40"/>
      <c r="AW150" s="9"/>
      <c r="AX150" s="40"/>
      <c r="AY150" s="9"/>
      <c r="AZ150" s="40"/>
      <c r="BA150" s="9"/>
      <c r="BB150" s="9"/>
      <c r="BC150" s="9"/>
      <c r="BD150" s="40"/>
      <c r="BE150" s="40"/>
      <c r="BF150" s="36" t="str">
        <f aca="false">IF(BE150="","",EDATE(BE150,SG_Criteria!$B$54*12))</f>
        <v/>
      </c>
      <c r="BG150" s="33" t="str">
        <f aca="true">IF(A150="","",IF(BE150="","NOTE: not reviewed yet",IF(TODAY()&gt;BF150,"NOTE: review overdue","OK")))</f>
        <v/>
      </c>
      <c r="BH150" s="37" t="str">
        <f aca="false">IF(A150="","",ROUND((IF(LEN(D150)&gt;0,1,0)+IF(LEN(E150)&gt;0,1,0)+IF(LEN(I150)&gt;0,1,0)+IF(LEN(K150)&gt;0,1,0)+IF(LEN(Q150)&gt;0,1,0)+IF(LEN(S150)&gt;0,1,0)+IF(LEN(T150)&gt;0,1,0)+IF(LEN(U150)&gt;0,1,0)+IF(LEN(V150)&gt;0,1,0)+IF(LEN(AE150)&gt;0,1,0)+IF(LEN(AP150)&gt;0,1,0)+IF(LEN(BC150)&gt;0,1,0))/12,2))</f>
        <v/>
      </c>
      <c r="BI150" s="10" t="str">
        <f aca="false">IF(D150="","",IF(AND(T150="Approved",ISERROR(SEARCH("FAIL",AM150))),"Y","N"))</f>
        <v/>
      </c>
    </row>
    <row r="151" customFormat="false" ht="15" hidden="false" customHeight="false" outlineLevel="0" collapsed="false">
      <c r="A151" s="10" t="str">
        <f aca="false">IF(D151="","",IFERROR(VLOOKUP(D151,Lists!$BI$4:$BJ$20,2,0),"??")&amp;"-"&amp;UPPER(SUBSTITUTE(E151," ",""))&amp;IF(F151&lt;&gt;"","-SP"&amp;TEXT(F151*1000,"0"),"")&amp;IF(G151&lt;&gt;"","-H"&amp;TEXT(G151*1000,"0"),"")&amp;"-"&amp;S151)</f>
        <v/>
      </c>
      <c r="B151" s="10" t="str">
        <f aca="false">IF(D151="","",D151&amp;" - "&amp;E151&amp;IF(F151&lt;&gt;"",", span "&amp;F151&amp;" m","")&amp;IF(G151&lt;&gt;"",", H "&amp;G151&amp;" m","")&amp;IF(H151&lt;&gt;"",", W "&amp;H151&amp;" m",""))</f>
        <v/>
      </c>
      <c r="C151" s="9"/>
      <c r="D151" s="9"/>
      <c r="E151" s="9"/>
      <c r="F151" s="42"/>
      <c r="G151" s="42"/>
      <c r="H151" s="42"/>
      <c r="I151" s="9"/>
      <c r="J151" s="9"/>
      <c r="K151" s="9"/>
      <c r="L151" s="9"/>
      <c r="M151" s="9"/>
      <c r="N151" s="38"/>
      <c r="O151" s="9"/>
      <c r="P151" s="39"/>
      <c r="Q151" s="9"/>
      <c r="R151" s="9"/>
      <c r="S151" s="9"/>
      <c r="T151" s="9"/>
      <c r="U151" s="9"/>
      <c r="V151" s="9"/>
      <c r="W151" s="9"/>
      <c r="X151" s="10" t="str">
        <f aca="false">IF(A151="","",SG_Criteria!$B$6&amp;SG_Criteria!$B$13&amp;"\"&amp;A151&amp;"\")</f>
        <v/>
      </c>
      <c r="Y151" s="10" t="str">
        <f aca="false">IF(A151="","",A151&amp;"_CAD.dwg")</f>
        <v/>
      </c>
      <c r="Z151" s="10" t="str">
        <f aca="false">IF(A151="","",A151&amp;"_DWG.pdf")</f>
        <v/>
      </c>
      <c r="AA151" s="10" t="str">
        <f aca="false">IF(A151="","",IF(W151="Y",A151&amp;"_STAAD.std","n/a"))</f>
        <v/>
      </c>
      <c r="AB151" s="10" t="str">
        <f aca="false">IF(A151="","",A151&amp;"_CALC.xlsx")</f>
        <v/>
      </c>
      <c r="AC151" s="10" t="str">
        <f aca="false">IF(A151="","",A151&amp;"_CALC.pdf")</f>
        <v/>
      </c>
      <c r="AD151" s="9"/>
      <c r="AE151" s="9"/>
      <c r="AF151" s="39"/>
      <c r="AG151" s="39"/>
      <c r="AH151" s="39"/>
      <c r="AI151" s="39"/>
      <c r="AJ151" s="39"/>
      <c r="AK151" s="12" t="str">
        <f aca="false">IF(A151="","",IF(COUNTIF(Rebar_Schedule!$A$5:$A$2004,A151)=0,"",ROUND(SUMIF(Rebar_Schedule!$A$5:$A$2004,A151,Rebar_Schedule!$K$5:$K$2004),1)))</f>
        <v/>
      </c>
      <c r="AL151" s="33" t="str">
        <f aca="false">IF(A151="","",IF(AK151="","No rebar schedule yet",IF(ABS(AK151-N(AG151))/MAX(N(AG151),1)&gt;SG_Criteria!$B$55,"NOTE: register rebar differs from schedule by "&amp;TEXT(ABS(AK151-N(AG151))/MAX(N(AG151),1),"0%"),"OK")))</f>
        <v/>
      </c>
      <c r="AM151" s="33" t="str">
        <f aca="false">IF(D151="","","OK")</f>
        <v/>
      </c>
      <c r="AN151" s="9"/>
      <c r="AO151" s="9"/>
      <c r="AP151" s="9"/>
      <c r="AQ151" s="10" t="str">
        <f aca="false">IF(AP151="","",IFERROR(VLOOKUP(AP151,Projects!$A$5:$D$504,2,0),"Ref not in Projects"))</f>
        <v/>
      </c>
      <c r="AR151" s="10" t="str">
        <f aca="false">IF(AP151="","",IFERROR(VLOOKUP(AP151,Projects!$A$5:$D$504,4,0),"Ref not in Projects"))</f>
        <v/>
      </c>
      <c r="AS151" s="9"/>
      <c r="AT151" s="9"/>
      <c r="AU151" s="9"/>
      <c r="AV151" s="40"/>
      <c r="AW151" s="9"/>
      <c r="AX151" s="40"/>
      <c r="AY151" s="9"/>
      <c r="AZ151" s="40"/>
      <c r="BA151" s="9"/>
      <c r="BB151" s="9"/>
      <c r="BC151" s="9"/>
      <c r="BD151" s="40"/>
      <c r="BE151" s="40"/>
      <c r="BF151" s="36" t="str">
        <f aca="false">IF(BE151="","",EDATE(BE151,SG_Criteria!$B$54*12))</f>
        <v/>
      </c>
      <c r="BG151" s="33" t="str">
        <f aca="true">IF(A151="","",IF(BE151="","NOTE: not reviewed yet",IF(TODAY()&gt;BF151,"NOTE: review overdue","OK")))</f>
        <v/>
      </c>
      <c r="BH151" s="37" t="str">
        <f aca="false">IF(A151="","",ROUND((IF(LEN(D151)&gt;0,1,0)+IF(LEN(E151)&gt;0,1,0)+IF(LEN(I151)&gt;0,1,0)+IF(LEN(K151)&gt;0,1,0)+IF(LEN(Q151)&gt;0,1,0)+IF(LEN(S151)&gt;0,1,0)+IF(LEN(T151)&gt;0,1,0)+IF(LEN(U151)&gt;0,1,0)+IF(LEN(V151)&gt;0,1,0)+IF(LEN(AE151)&gt;0,1,0)+IF(LEN(AP151)&gt;0,1,0)+IF(LEN(BC151)&gt;0,1,0))/12,2))</f>
        <v/>
      </c>
      <c r="BI151" s="10" t="str">
        <f aca="false">IF(D151="","",IF(AND(T151="Approved",ISERROR(SEARCH("FAIL",AM151))),"Y","N"))</f>
        <v/>
      </c>
    </row>
    <row r="152" customFormat="false" ht="15" hidden="false" customHeight="false" outlineLevel="0" collapsed="false">
      <c r="A152" s="10" t="str">
        <f aca="false">IF(D152="","",IFERROR(VLOOKUP(D152,Lists!$BI$4:$BJ$20,2,0),"??")&amp;"-"&amp;UPPER(SUBSTITUTE(E152," ",""))&amp;IF(F152&lt;&gt;"","-SP"&amp;TEXT(F152*1000,"0"),"")&amp;IF(G152&lt;&gt;"","-H"&amp;TEXT(G152*1000,"0"),"")&amp;"-"&amp;S152)</f>
        <v/>
      </c>
      <c r="B152" s="10" t="str">
        <f aca="false">IF(D152="","",D152&amp;" - "&amp;E152&amp;IF(F152&lt;&gt;"",", span "&amp;F152&amp;" m","")&amp;IF(G152&lt;&gt;"",", H "&amp;G152&amp;" m","")&amp;IF(H152&lt;&gt;"",", W "&amp;H152&amp;" m",""))</f>
        <v/>
      </c>
      <c r="C152" s="9"/>
      <c r="D152" s="9"/>
      <c r="E152" s="9"/>
      <c r="F152" s="42"/>
      <c r="G152" s="42"/>
      <c r="H152" s="42"/>
      <c r="I152" s="9"/>
      <c r="J152" s="9"/>
      <c r="K152" s="9"/>
      <c r="L152" s="9"/>
      <c r="M152" s="9"/>
      <c r="N152" s="38"/>
      <c r="O152" s="9"/>
      <c r="P152" s="39"/>
      <c r="Q152" s="9"/>
      <c r="R152" s="9"/>
      <c r="S152" s="9"/>
      <c r="T152" s="9"/>
      <c r="U152" s="9"/>
      <c r="V152" s="9"/>
      <c r="W152" s="9"/>
      <c r="X152" s="10" t="str">
        <f aca="false">IF(A152="","",SG_Criteria!$B$6&amp;SG_Criteria!$B$13&amp;"\"&amp;A152&amp;"\")</f>
        <v/>
      </c>
      <c r="Y152" s="10" t="str">
        <f aca="false">IF(A152="","",A152&amp;"_CAD.dwg")</f>
        <v/>
      </c>
      <c r="Z152" s="10" t="str">
        <f aca="false">IF(A152="","",A152&amp;"_DWG.pdf")</f>
        <v/>
      </c>
      <c r="AA152" s="10" t="str">
        <f aca="false">IF(A152="","",IF(W152="Y",A152&amp;"_STAAD.std","n/a"))</f>
        <v/>
      </c>
      <c r="AB152" s="10" t="str">
        <f aca="false">IF(A152="","",A152&amp;"_CALC.xlsx")</f>
        <v/>
      </c>
      <c r="AC152" s="10" t="str">
        <f aca="false">IF(A152="","",A152&amp;"_CALC.pdf")</f>
        <v/>
      </c>
      <c r="AD152" s="9"/>
      <c r="AE152" s="9"/>
      <c r="AF152" s="39"/>
      <c r="AG152" s="39"/>
      <c r="AH152" s="39"/>
      <c r="AI152" s="39"/>
      <c r="AJ152" s="39"/>
      <c r="AK152" s="12" t="str">
        <f aca="false">IF(A152="","",IF(COUNTIF(Rebar_Schedule!$A$5:$A$2004,A152)=0,"",ROUND(SUMIF(Rebar_Schedule!$A$5:$A$2004,A152,Rebar_Schedule!$K$5:$K$2004),1)))</f>
        <v/>
      </c>
      <c r="AL152" s="33" t="str">
        <f aca="false">IF(A152="","",IF(AK152="","No rebar schedule yet",IF(ABS(AK152-N(AG152))/MAX(N(AG152),1)&gt;SG_Criteria!$B$55,"NOTE: register rebar differs from schedule by "&amp;TEXT(ABS(AK152-N(AG152))/MAX(N(AG152),1),"0%"),"OK")))</f>
        <v/>
      </c>
      <c r="AM152" s="33" t="str">
        <f aca="false">IF(D152="","","OK")</f>
        <v/>
      </c>
      <c r="AN152" s="9"/>
      <c r="AO152" s="9"/>
      <c r="AP152" s="9"/>
      <c r="AQ152" s="10" t="str">
        <f aca="false">IF(AP152="","",IFERROR(VLOOKUP(AP152,Projects!$A$5:$D$504,2,0),"Ref not in Projects"))</f>
        <v/>
      </c>
      <c r="AR152" s="10" t="str">
        <f aca="false">IF(AP152="","",IFERROR(VLOOKUP(AP152,Projects!$A$5:$D$504,4,0),"Ref not in Projects"))</f>
        <v/>
      </c>
      <c r="AS152" s="9"/>
      <c r="AT152" s="9"/>
      <c r="AU152" s="9"/>
      <c r="AV152" s="40"/>
      <c r="AW152" s="9"/>
      <c r="AX152" s="40"/>
      <c r="AY152" s="9"/>
      <c r="AZ152" s="40"/>
      <c r="BA152" s="9"/>
      <c r="BB152" s="9"/>
      <c r="BC152" s="9"/>
      <c r="BD152" s="40"/>
      <c r="BE152" s="40"/>
      <c r="BF152" s="36" t="str">
        <f aca="false">IF(BE152="","",EDATE(BE152,SG_Criteria!$B$54*12))</f>
        <v/>
      </c>
      <c r="BG152" s="33" t="str">
        <f aca="true">IF(A152="","",IF(BE152="","NOTE: not reviewed yet",IF(TODAY()&gt;BF152,"NOTE: review overdue","OK")))</f>
        <v/>
      </c>
      <c r="BH152" s="37" t="str">
        <f aca="false">IF(A152="","",ROUND((IF(LEN(D152)&gt;0,1,0)+IF(LEN(E152)&gt;0,1,0)+IF(LEN(I152)&gt;0,1,0)+IF(LEN(K152)&gt;0,1,0)+IF(LEN(Q152)&gt;0,1,0)+IF(LEN(S152)&gt;0,1,0)+IF(LEN(T152)&gt;0,1,0)+IF(LEN(U152)&gt;0,1,0)+IF(LEN(V152)&gt;0,1,0)+IF(LEN(AE152)&gt;0,1,0)+IF(LEN(AP152)&gt;0,1,0)+IF(LEN(BC152)&gt;0,1,0))/12,2))</f>
        <v/>
      </c>
      <c r="BI152" s="10" t="str">
        <f aca="false">IF(D152="","",IF(AND(T152="Approved",ISERROR(SEARCH("FAIL",AM152))),"Y","N"))</f>
        <v/>
      </c>
    </row>
    <row r="153" customFormat="false" ht="15" hidden="false" customHeight="false" outlineLevel="0" collapsed="false">
      <c r="A153" s="10" t="str">
        <f aca="false">IF(D153="","",IFERROR(VLOOKUP(D153,Lists!$BI$4:$BJ$20,2,0),"??")&amp;"-"&amp;UPPER(SUBSTITUTE(E153," ",""))&amp;IF(F153&lt;&gt;"","-SP"&amp;TEXT(F153*1000,"0"),"")&amp;IF(G153&lt;&gt;"","-H"&amp;TEXT(G153*1000,"0"),"")&amp;"-"&amp;S153)</f>
        <v/>
      </c>
      <c r="B153" s="10" t="str">
        <f aca="false">IF(D153="","",D153&amp;" - "&amp;E153&amp;IF(F153&lt;&gt;"",", span "&amp;F153&amp;" m","")&amp;IF(G153&lt;&gt;"",", H "&amp;G153&amp;" m","")&amp;IF(H153&lt;&gt;"",", W "&amp;H153&amp;" m",""))</f>
        <v/>
      </c>
      <c r="C153" s="9"/>
      <c r="D153" s="9"/>
      <c r="E153" s="9"/>
      <c r="F153" s="42"/>
      <c r="G153" s="42"/>
      <c r="H153" s="42"/>
      <c r="I153" s="9"/>
      <c r="J153" s="9"/>
      <c r="K153" s="9"/>
      <c r="L153" s="9"/>
      <c r="M153" s="9"/>
      <c r="N153" s="38"/>
      <c r="O153" s="9"/>
      <c r="P153" s="39"/>
      <c r="Q153" s="9"/>
      <c r="R153" s="9"/>
      <c r="S153" s="9"/>
      <c r="T153" s="9"/>
      <c r="U153" s="9"/>
      <c r="V153" s="9"/>
      <c r="W153" s="9"/>
      <c r="X153" s="10" t="str">
        <f aca="false">IF(A153="","",SG_Criteria!$B$6&amp;SG_Criteria!$B$13&amp;"\"&amp;A153&amp;"\")</f>
        <v/>
      </c>
      <c r="Y153" s="10" t="str">
        <f aca="false">IF(A153="","",A153&amp;"_CAD.dwg")</f>
        <v/>
      </c>
      <c r="Z153" s="10" t="str">
        <f aca="false">IF(A153="","",A153&amp;"_DWG.pdf")</f>
        <v/>
      </c>
      <c r="AA153" s="10" t="str">
        <f aca="false">IF(A153="","",IF(W153="Y",A153&amp;"_STAAD.std","n/a"))</f>
        <v/>
      </c>
      <c r="AB153" s="10" t="str">
        <f aca="false">IF(A153="","",A153&amp;"_CALC.xlsx")</f>
        <v/>
      </c>
      <c r="AC153" s="10" t="str">
        <f aca="false">IF(A153="","",A153&amp;"_CALC.pdf")</f>
        <v/>
      </c>
      <c r="AD153" s="9"/>
      <c r="AE153" s="9"/>
      <c r="AF153" s="39"/>
      <c r="AG153" s="39"/>
      <c r="AH153" s="39"/>
      <c r="AI153" s="39"/>
      <c r="AJ153" s="39"/>
      <c r="AK153" s="12" t="str">
        <f aca="false">IF(A153="","",IF(COUNTIF(Rebar_Schedule!$A$5:$A$2004,A153)=0,"",ROUND(SUMIF(Rebar_Schedule!$A$5:$A$2004,A153,Rebar_Schedule!$K$5:$K$2004),1)))</f>
        <v/>
      </c>
      <c r="AL153" s="33" t="str">
        <f aca="false">IF(A153="","",IF(AK153="","No rebar schedule yet",IF(ABS(AK153-N(AG153))/MAX(N(AG153),1)&gt;SG_Criteria!$B$55,"NOTE: register rebar differs from schedule by "&amp;TEXT(ABS(AK153-N(AG153))/MAX(N(AG153),1),"0%"),"OK")))</f>
        <v/>
      </c>
      <c r="AM153" s="33" t="str">
        <f aca="false">IF(D153="","","OK")</f>
        <v/>
      </c>
      <c r="AN153" s="9"/>
      <c r="AO153" s="9"/>
      <c r="AP153" s="9"/>
      <c r="AQ153" s="10" t="str">
        <f aca="false">IF(AP153="","",IFERROR(VLOOKUP(AP153,Projects!$A$5:$D$504,2,0),"Ref not in Projects"))</f>
        <v/>
      </c>
      <c r="AR153" s="10" t="str">
        <f aca="false">IF(AP153="","",IFERROR(VLOOKUP(AP153,Projects!$A$5:$D$504,4,0),"Ref not in Projects"))</f>
        <v/>
      </c>
      <c r="AS153" s="9"/>
      <c r="AT153" s="9"/>
      <c r="AU153" s="9"/>
      <c r="AV153" s="40"/>
      <c r="AW153" s="9"/>
      <c r="AX153" s="40"/>
      <c r="AY153" s="9"/>
      <c r="AZ153" s="40"/>
      <c r="BA153" s="9"/>
      <c r="BB153" s="9"/>
      <c r="BC153" s="9"/>
      <c r="BD153" s="40"/>
      <c r="BE153" s="40"/>
      <c r="BF153" s="36" t="str">
        <f aca="false">IF(BE153="","",EDATE(BE153,SG_Criteria!$B$54*12))</f>
        <v/>
      </c>
      <c r="BG153" s="33" t="str">
        <f aca="true">IF(A153="","",IF(BE153="","NOTE: not reviewed yet",IF(TODAY()&gt;BF153,"NOTE: review overdue","OK")))</f>
        <v/>
      </c>
      <c r="BH153" s="37" t="str">
        <f aca="false">IF(A153="","",ROUND((IF(LEN(D153)&gt;0,1,0)+IF(LEN(E153)&gt;0,1,0)+IF(LEN(I153)&gt;0,1,0)+IF(LEN(K153)&gt;0,1,0)+IF(LEN(Q153)&gt;0,1,0)+IF(LEN(S153)&gt;0,1,0)+IF(LEN(T153)&gt;0,1,0)+IF(LEN(U153)&gt;0,1,0)+IF(LEN(V153)&gt;0,1,0)+IF(LEN(AE153)&gt;0,1,0)+IF(LEN(AP153)&gt;0,1,0)+IF(LEN(BC153)&gt;0,1,0))/12,2))</f>
        <v/>
      </c>
      <c r="BI153" s="10" t="str">
        <f aca="false">IF(D153="","",IF(AND(T153="Approved",ISERROR(SEARCH("FAIL",AM153))),"Y","N"))</f>
        <v/>
      </c>
    </row>
    <row r="154" customFormat="false" ht="15" hidden="false" customHeight="false" outlineLevel="0" collapsed="false">
      <c r="A154" s="10" t="str">
        <f aca="false">IF(D154="","",IFERROR(VLOOKUP(D154,Lists!$BI$4:$BJ$20,2,0),"??")&amp;"-"&amp;UPPER(SUBSTITUTE(E154," ",""))&amp;IF(F154&lt;&gt;"","-SP"&amp;TEXT(F154*1000,"0"),"")&amp;IF(G154&lt;&gt;"","-H"&amp;TEXT(G154*1000,"0"),"")&amp;"-"&amp;S154)</f>
        <v/>
      </c>
      <c r="B154" s="10" t="str">
        <f aca="false">IF(D154="","",D154&amp;" - "&amp;E154&amp;IF(F154&lt;&gt;"",", span "&amp;F154&amp;" m","")&amp;IF(G154&lt;&gt;"",", H "&amp;G154&amp;" m","")&amp;IF(H154&lt;&gt;"",", W "&amp;H154&amp;" m",""))</f>
        <v/>
      </c>
      <c r="C154" s="9"/>
      <c r="D154" s="9"/>
      <c r="E154" s="9"/>
      <c r="F154" s="42"/>
      <c r="G154" s="42"/>
      <c r="H154" s="42"/>
      <c r="I154" s="9"/>
      <c r="J154" s="9"/>
      <c r="K154" s="9"/>
      <c r="L154" s="9"/>
      <c r="M154" s="9"/>
      <c r="N154" s="38"/>
      <c r="O154" s="9"/>
      <c r="P154" s="39"/>
      <c r="Q154" s="9"/>
      <c r="R154" s="9"/>
      <c r="S154" s="9"/>
      <c r="T154" s="9"/>
      <c r="U154" s="9"/>
      <c r="V154" s="9"/>
      <c r="W154" s="9"/>
      <c r="X154" s="10" t="str">
        <f aca="false">IF(A154="","",SG_Criteria!$B$6&amp;SG_Criteria!$B$13&amp;"\"&amp;A154&amp;"\")</f>
        <v/>
      </c>
      <c r="Y154" s="10" t="str">
        <f aca="false">IF(A154="","",A154&amp;"_CAD.dwg")</f>
        <v/>
      </c>
      <c r="Z154" s="10" t="str">
        <f aca="false">IF(A154="","",A154&amp;"_DWG.pdf")</f>
        <v/>
      </c>
      <c r="AA154" s="10" t="str">
        <f aca="false">IF(A154="","",IF(W154="Y",A154&amp;"_STAAD.std","n/a"))</f>
        <v/>
      </c>
      <c r="AB154" s="10" t="str">
        <f aca="false">IF(A154="","",A154&amp;"_CALC.xlsx")</f>
        <v/>
      </c>
      <c r="AC154" s="10" t="str">
        <f aca="false">IF(A154="","",A154&amp;"_CALC.pdf")</f>
        <v/>
      </c>
      <c r="AD154" s="9"/>
      <c r="AE154" s="9"/>
      <c r="AF154" s="39"/>
      <c r="AG154" s="39"/>
      <c r="AH154" s="39"/>
      <c r="AI154" s="39"/>
      <c r="AJ154" s="39"/>
      <c r="AK154" s="12" t="str">
        <f aca="false">IF(A154="","",IF(COUNTIF(Rebar_Schedule!$A$5:$A$2004,A154)=0,"",ROUND(SUMIF(Rebar_Schedule!$A$5:$A$2004,A154,Rebar_Schedule!$K$5:$K$2004),1)))</f>
        <v/>
      </c>
      <c r="AL154" s="33" t="str">
        <f aca="false">IF(A154="","",IF(AK154="","No rebar schedule yet",IF(ABS(AK154-N(AG154))/MAX(N(AG154),1)&gt;SG_Criteria!$B$55,"NOTE: register rebar differs from schedule by "&amp;TEXT(ABS(AK154-N(AG154))/MAX(N(AG154),1),"0%"),"OK")))</f>
        <v/>
      </c>
      <c r="AM154" s="33" t="str">
        <f aca="false">IF(D154="","","OK")</f>
        <v/>
      </c>
      <c r="AN154" s="9"/>
      <c r="AO154" s="9"/>
      <c r="AP154" s="9"/>
      <c r="AQ154" s="10" t="str">
        <f aca="false">IF(AP154="","",IFERROR(VLOOKUP(AP154,Projects!$A$5:$D$504,2,0),"Ref not in Projects"))</f>
        <v/>
      </c>
      <c r="AR154" s="10" t="str">
        <f aca="false">IF(AP154="","",IFERROR(VLOOKUP(AP154,Projects!$A$5:$D$504,4,0),"Ref not in Projects"))</f>
        <v/>
      </c>
      <c r="AS154" s="9"/>
      <c r="AT154" s="9"/>
      <c r="AU154" s="9"/>
      <c r="AV154" s="40"/>
      <c r="AW154" s="9"/>
      <c r="AX154" s="40"/>
      <c r="AY154" s="9"/>
      <c r="AZ154" s="40"/>
      <c r="BA154" s="9"/>
      <c r="BB154" s="9"/>
      <c r="BC154" s="9"/>
      <c r="BD154" s="40"/>
      <c r="BE154" s="40"/>
      <c r="BF154" s="36" t="str">
        <f aca="false">IF(BE154="","",EDATE(BE154,SG_Criteria!$B$54*12))</f>
        <v/>
      </c>
      <c r="BG154" s="33" t="str">
        <f aca="true">IF(A154="","",IF(BE154="","NOTE: not reviewed yet",IF(TODAY()&gt;BF154,"NOTE: review overdue","OK")))</f>
        <v/>
      </c>
      <c r="BH154" s="37" t="str">
        <f aca="false">IF(A154="","",ROUND((IF(LEN(D154)&gt;0,1,0)+IF(LEN(E154)&gt;0,1,0)+IF(LEN(I154)&gt;0,1,0)+IF(LEN(K154)&gt;0,1,0)+IF(LEN(Q154)&gt;0,1,0)+IF(LEN(S154)&gt;0,1,0)+IF(LEN(T154)&gt;0,1,0)+IF(LEN(U154)&gt;0,1,0)+IF(LEN(V154)&gt;0,1,0)+IF(LEN(AE154)&gt;0,1,0)+IF(LEN(AP154)&gt;0,1,0)+IF(LEN(BC154)&gt;0,1,0))/12,2))</f>
        <v/>
      </c>
      <c r="BI154" s="10" t="str">
        <f aca="false">IF(D154="","",IF(AND(T154="Approved",ISERROR(SEARCH("FAIL",AM154))),"Y","N"))</f>
        <v/>
      </c>
    </row>
    <row r="155" customFormat="false" ht="15" hidden="false" customHeight="false" outlineLevel="0" collapsed="false">
      <c r="A155" s="10" t="str">
        <f aca="false">IF(D155="","",IFERROR(VLOOKUP(D155,Lists!$BI$4:$BJ$20,2,0),"??")&amp;"-"&amp;UPPER(SUBSTITUTE(E155," ",""))&amp;IF(F155&lt;&gt;"","-SP"&amp;TEXT(F155*1000,"0"),"")&amp;IF(G155&lt;&gt;"","-H"&amp;TEXT(G155*1000,"0"),"")&amp;"-"&amp;S155)</f>
        <v/>
      </c>
      <c r="B155" s="10" t="str">
        <f aca="false">IF(D155="","",D155&amp;" - "&amp;E155&amp;IF(F155&lt;&gt;"",", span "&amp;F155&amp;" m","")&amp;IF(G155&lt;&gt;"",", H "&amp;G155&amp;" m","")&amp;IF(H155&lt;&gt;"",", W "&amp;H155&amp;" m",""))</f>
        <v/>
      </c>
      <c r="C155" s="9"/>
      <c r="D155" s="9"/>
      <c r="E155" s="9"/>
      <c r="F155" s="42"/>
      <c r="G155" s="42"/>
      <c r="H155" s="42"/>
      <c r="I155" s="9"/>
      <c r="J155" s="9"/>
      <c r="K155" s="9"/>
      <c r="L155" s="9"/>
      <c r="M155" s="9"/>
      <c r="N155" s="38"/>
      <c r="O155" s="9"/>
      <c r="P155" s="39"/>
      <c r="Q155" s="9"/>
      <c r="R155" s="9"/>
      <c r="S155" s="9"/>
      <c r="T155" s="9"/>
      <c r="U155" s="9"/>
      <c r="V155" s="9"/>
      <c r="W155" s="9"/>
      <c r="X155" s="10" t="str">
        <f aca="false">IF(A155="","",SG_Criteria!$B$6&amp;SG_Criteria!$B$13&amp;"\"&amp;A155&amp;"\")</f>
        <v/>
      </c>
      <c r="Y155" s="10" t="str">
        <f aca="false">IF(A155="","",A155&amp;"_CAD.dwg")</f>
        <v/>
      </c>
      <c r="Z155" s="10" t="str">
        <f aca="false">IF(A155="","",A155&amp;"_DWG.pdf")</f>
        <v/>
      </c>
      <c r="AA155" s="10" t="str">
        <f aca="false">IF(A155="","",IF(W155="Y",A155&amp;"_STAAD.std","n/a"))</f>
        <v/>
      </c>
      <c r="AB155" s="10" t="str">
        <f aca="false">IF(A155="","",A155&amp;"_CALC.xlsx")</f>
        <v/>
      </c>
      <c r="AC155" s="10" t="str">
        <f aca="false">IF(A155="","",A155&amp;"_CALC.pdf")</f>
        <v/>
      </c>
      <c r="AD155" s="9"/>
      <c r="AE155" s="9"/>
      <c r="AF155" s="39"/>
      <c r="AG155" s="39"/>
      <c r="AH155" s="39"/>
      <c r="AI155" s="39"/>
      <c r="AJ155" s="39"/>
      <c r="AK155" s="12" t="str">
        <f aca="false">IF(A155="","",IF(COUNTIF(Rebar_Schedule!$A$5:$A$2004,A155)=0,"",ROUND(SUMIF(Rebar_Schedule!$A$5:$A$2004,A155,Rebar_Schedule!$K$5:$K$2004),1)))</f>
        <v/>
      </c>
      <c r="AL155" s="33" t="str">
        <f aca="false">IF(A155="","",IF(AK155="","No rebar schedule yet",IF(ABS(AK155-N(AG155))/MAX(N(AG155),1)&gt;SG_Criteria!$B$55,"NOTE: register rebar differs from schedule by "&amp;TEXT(ABS(AK155-N(AG155))/MAX(N(AG155),1),"0%"),"OK")))</f>
        <v/>
      </c>
      <c r="AM155" s="33" t="str">
        <f aca="false">IF(D155="","","OK")</f>
        <v/>
      </c>
      <c r="AN155" s="9"/>
      <c r="AO155" s="9"/>
      <c r="AP155" s="9"/>
      <c r="AQ155" s="10" t="str">
        <f aca="false">IF(AP155="","",IFERROR(VLOOKUP(AP155,Projects!$A$5:$D$504,2,0),"Ref not in Projects"))</f>
        <v/>
      </c>
      <c r="AR155" s="10" t="str">
        <f aca="false">IF(AP155="","",IFERROR(VLOOKUP(AP155,Projects!$A$5:$D$504,4,0),"Ref not in Projects"))</f>
        <v/>
      </c>
      <c r="AS155" s="9"/>
      <c r="AT155" s="9"/>
      <c r="AU155" s="9"/>
      <c r="AV155" s="40"/>
      <c r="AW155" s="9"/>
      <c r="AX155" s="40"/>
      <c r="AY155" s="9"/>
      <c r="AZ155" s="40"/>
      <c r="BA155" s="9"/>
      <c r="BB155" s="9"/>
      <c r="BC155" s="9"/>
      <c r="BD155" s="40"/>
      <c r="BE155" s="40"/>
      <c r="BF155" s="36" t="str">
        <f aca="false">IF(BE155="","",EDATE(BE155,SG_Criteria!$B$54*12))</f>
        <v/>
      </c>
      <c r="BG155" s="33" t="str">
        <f aca="true">IF(A155="","",IF(BE155="","NOTE: not reviewed yet",IF(TODAY()&gt;BF155,"NOTE: review overdue","OK")))</f>
        <v/>
      </c>
      <c r="BH155" s="37" t="str">
        <f aca="false">IF(A155="","",ROUND((IF(LEN(D155)&gt;0,1,0)+IF(LEN(E155)&gt;0,1,0)+IF(LEN(I155)&gt;0,1,0)+IF(LEN(K155)&gt;0,1,0)+IF(LEN(Q155)&gt;0,1,0)+IF(LEN(S155)&gt;0,1,0)+IF(LEN(T155)&gt;0,1,0)+IF(LEN(U155)&gt;0,1,0)+IF(LEN(V155)&gt;0,1,0)+IF(LEN(AE155)&gt;0,1,0)+IF(LEN(AP155)&gt;0,1,0)+IF(LEN(BC155)&gt;0,1,0))/12,2))</f>
        <v/>
      </c>
      <c r="BI155" s="10" t="str">
        <f aca="false">IF(D155="","",IF(AND(T155="Approved",ISERROR(SEARCH("FAIL",AM155))),"Y","N"))</f>
        <v/>
      </c>
    </row>
    <row r="156" customFormat="false" ht="15" hidden="false" customHeight="false" outlineLevel="0" collapsed="false">
      <c r="A156" s="10" t="str">
        <f aca="false">IF(D156="","",IFERROR(VLOOKUP(D156,Lists!$BI$4:$BJ$20,2,0),"??")&amp;"-"&amp;UPPER(SUBSTITUTE(E156," ",""))&amp;IF(F156&lt;&gt;"","-SP"&amp;TEXT(F156*1000,"0"),"")&amp;IF(G156&lt;&gt;"","-H"&amp;TEXT(G156*1000,"0"),"")&amp;"-"&amp;S156)</f>
        <v/>
      </c>
      <c r="B156" s="10" t="str">
        <f aca="false">IF(D156="","",D156&amp;" - "&amp;E156&amp;IF(F156&lt;&gt;"",", span "&amp;F156&amp;" m","")&amp;IF(G156&lt;&gt;"",", H "&amp;G156&amp;" m","")&amp;IF(H156&lt;&gt;"",", W "&amp;H156&amp;" m",""))</f>
        <v/>
      </c>
      <c r="C156" s="9"/>
      <c r="D156" s="9"/>
      <c r="E156" s="9"/>
      <c r="F156" s="42"/>
      <c r="G156" s="42"/>
      <c r="H156" s="42"/>
      <c r="I156" s="9"/>
      <c r="J156" s="9"/>
      <c r="K156" s="9"/>
      <c r="L156" s="9"/>
      <c r="M156" s="9"/>
      <c r="N156" s="38"/>
      <c r="O156" s="9"/>
      <c r="P156" s="39"/>
      <c r="Q156" s="9"/>
      <c r="R156" s="9"/>
      <c r="S156" s="9"/>
      <c r="T156" s="9"/>
      <c r="U156" s="9"/>
      <c r="V156" s="9"/>
      <c r="W156" s="9"/>
      <c r="X156" s="10" t="str">
        <f aca="false">IF(A156="","",SG_Criteria!$B$6&amp;SG_Criteria!$B$13&amp;"\"&amp;A156&amp;"\")</f>
        <v/>
      </c>
      <c r="Y156" s="10" t="str">
        <f aca="false">IF(A156="","",A156&amp;"_CAD.dwg")</f>
        <v/>
      </c>
      <c r="Z156" s="10" t="str">
        <f aca="false">IF(A156="","",A156&amp;"_DWG.pdf")</f>
        <v/>
      </c>
      <c r="AA156" s="10" t="str">
        <f aca="false">IF(A156="","",IF(W156="Y",A156&amp;"_STAAD.std","n/a"))</f>
        <v/>
      </c>
      <c r="AB156" s="10" t="str">
        <f aca="false">IF(A156="","",A156&amp;"_CALC.xlsx")</f>
        <v/>
      </c>
      <c r="AC156" s="10" t="str">
        <f aca="false">IF(A156="","",A156&amp;"_CALC.pdf")</f>
        <v/>
      </c>
      <c r="AD156" s="9"/>
      <c r="AE156" s="9"/>
      <c r="AF156" s="39"/>
      <c r="AG156" s="39"/>
      <c r="AH156" s="39"/>
      <c r="AI156" s="39"/>
      <c r="AJ156" s="39"/>
      <c r="AK156" s="12" t="str">
        <f aca="false">IF(A156="","",IF(COUNTIF(Rebar_Schedule!$A$5:$A$2004,A156)=0,"",ROUND(SUMIF(Rebar_Schedule!$A$5:$A$2004,A156,Rebar_Schedule!$K$5:$K$2004),1)))</f>
        <v/>
      </c>
      <c r="AL156" s="33" t="str">
        <f aca="false">IF(A156="","",IF(AK156="","No rebar schedule yet",IF(ABS(AK156-N(AG156))/MAX(N(AG156),1)&gt;SG_Criteria!$B$55,"NOTE: register rebar differs from schedule by "&amp;TEXT(ABS(AK156-N(AG156))/MAX(N(AG156),1),"0%"),"OK")))</f>
        <v/>
      </c>
      <c r="AM156" s="33" t="str">
        <f aca="false">IF(D156="","","OK")</f>
        <v/>
      </c>
      <c r="AN156" s="9"/>
      <c r="AO156" s="9"/>
      <c r="AP156" s="9"/>
      <c r="AQ156" s="10" t="str">
        <f aca="false">IF(AP156="","",IFERROR(VLOOKUP(AP156,Projects!$A$5:$D$504,2,0),"Ref not in Projects"))</f>
        <v/>
      </c>
      <c r="AR156" s="10" t="str">
        <f aca="false">IF(AP156="","",IFERROR(VLOOKUP(AP156,Projects!$A$5:$D$504,4,0),"Ref not in Projects"))</f>
        <v/>
      </c>
      <c r="AS156" s="9"/>
      <c r="AT156" s="9"/>
      <c r="AU156" s="9"/>
      <c r="AV156" s="40"/>
      <c r="AW156" s="9"/>
      <c r="AX156" s="40"/>
      <c r="AY156" s="9"/>
      <c r="AZ156" s="40"/>
      <c r="BA156" s="9"/>
      <c r="BB156" s="9"/>
      <c r="BC156" s="9"/>
      <c r="BD156" s="40"/>
      <c r="BE156" s="40"/>
      <c r="BF156" s="36" t="str">
        <f aca="false">IF(BE156="","",EDATE(BE156,SG_Criteria!$B$54*12))</f>
        <v/>
      </c>
      <c r="BG156" s="33" t="str">
        <f aca="true">IF(A156="","",IF(BE156="","NOTE: not reviewed yet",IF(TODAY()&gt;BF156,"NOTE: review overdue","OK")))</f>
        <v/>
      </c>
      <c r="BH156" s="37" t="str">
        <f aca="false">IF(A156="","",ROUND((IF(LEN(D156)&gt;0,1,0)+IF(LEN(E156)&gt;0,1,0)+IF(LEN(I156)&gt;0,1,0)+IF(LEN(K156)&gt;0,1,0)+IF(LEN(Q156)&gt;0,1,0)+IF(LEN(S156)&gt;0,1,0)+IF(LEN(T156)&gt;0,1,0)+IF(LEN(U156)&gt;0,1,0)+IF(LEN(V156)&gt;0,1,0)+IF(LEN(AE156)&gt;0,1,0)+IF(LEN(AP156)&gt;0,1,0)+IF(LEN(BC156)&gt;0,1,0))/12,2))</f>
        <v/>
      </c>
      <c r="BI156" s="10" t="str">
        <f aca="false">IF(D156="","",IF(AND(T156="Approved",ISERROR(SEARCH("FAIL",AM156))),"Y","N"))</f>
        <v/>
      </c>
    </row>
    <row r="157" customFormat="false" ht="15" hidden="false" customHeight="false" outlineLevel="0" collapsed="false">
      <c r="A157" s="10" t="str">
        <f aca="false">IF(D157="","",IFERROR(VLOOKUP(D157,Lists!$BI$4:$BJ$20,2,0),"??")&amp;"-"&amp;UPPER(SUBSTITUTE(E157," ",""))&amp;IF(F157&lt;&gt;"","-SP"&amp;TEXT(F157*1000,"0"),"")&amp;IF(G157&lt;&gt;"","-H"&amp;TEXT(G157*1000,"0"),"")&amp;"-"&amp;S157)</f>
        <v/>
      </c>
      <c r="B157" s="10" t="str">
        <f aca="false">IF(D157="","",D157&amp;" - "&amp;E157&amp;IF(F157&lt;&gt;"",", span "&amp;F157&amp;" m","")&amp;IF(G157&lt;&gt;"",", H "&amp;G157&amp;" m","")&amp;IF(H157&lt;&gt;"",", W "&amp;H157&amp;" m",""))</f>
        <v/>
      </c>
      <c r="C157" s="9"/>
      <c r="D157" s="9"/>
      <c r="E157" s="9"/>
      <c r="F157" s="42"/>
      <c r="G157" s="42"/>
      <c r="H157" s="42"/>
      <c r="I157" s="9"/>
      <c r="J157" s="9"/>
      <c r="K157" s="9"/>
      <c r="L157" s="9"/>
      <c r="M157" s="9"/>
      <c r="N157" s="38"/>
      <c r="O157" s="9"/>
      <c r="P157" s="39"/>
      <c r="Q157" s="9"/>
      <c r="R157" s="9"/>
      <c r="S157" s="9"/>
      <c r="T157" s="9"/>
      <c r="U157" s="9"/>
      <c r="V157" s="9"/>
      <c r="W157" s="9"/>
      <c r="X157" s="10" t="str">
        <f aca="false">IF(A157="","",SG_Criteria!$B$6&amp;SG_Criteria!$B$13&amp;"\"&amp;A157&amp;"\")</f>
        <v/>
      </c>
      <c r="Y157" s="10" t="str">
        <f aca="false">IF(A157="","",A157&amp;"_CAD.dwg")</f>
        <v/>
      </c>
      <c r="Z157" s="10" t="str">
        <f aca="false">IF(A157="","",A157&amp;"_DWG.pdf")</f>
        <v/>
      </c>
      <c r="AA157" s="10" t="str">
        <f aca="false">IF(A157="","",IF(W157="Y",A157&amp;"_STAAD.std","n/a"))</f>
        <v/>
      </c>
      <c r="AB157" s="10" t="str">
        <f aca="false">IF(A157="","",A157&amp;"_CALC.xlsx")</f>
        <v/>
      </c>
      <c r="AC157" s="10" t="str">
        <f aca="false">IF(A157="","",A157&amp;"_CALC.pdf")</f>
        <v/>
      </c>
      <c r="AD157" s="9"/>
      <c r="AE157" s="9"/>
      <c r="AF157" s="39"/>
      <c r="AG157" s="39"/>
      <c r="AH157" s="39"/>
      <c r="AI157" s="39"/>
      <c r="AJ157" s="39"/>
      <c r="AK157" s="12" t="str">
        <f aca="false">IF(A157="","",IF(COUNTIF(Rebar_Schedule!$A$5:$A$2004,A157)=0,"",ROUND(SUMIF(Rebar_Schedule!$A$5:$A$2004,A157,Rebar_Schedule!$K$5:$K$2004),1)))</f>
        <v/>
      </c>
      <c r="AL157" s="33" t="str">
        <f aca="false">IF(A157="","",IF(AK157="","No rebar schedule yet",IF(ABS(AK157-N(AG157))/MAX(N(AG157),1)&gt;SG_Criteria!$B$55,"NOTE: register rebar differs from schedule by "&amp;TEXT(ABS(AK157-N(AG157))/MAX(N(AG157),1),"0%"),"OK")))</f>
        <v/>
      </c>
      <c r="AM157" s="33" t="str">
        <f aca="false">IF(D157="","","OK")</f>
        <v/>
      </c>
      <c r="AN157" s="9"/>
      <c r="AO157" s="9"/>
      <c r="AP157" s="9"/>
      <c r="AQ157" s="10" t="str">
        <f aca="false">IF(AP157="","",IFERROR(VLOOKUP(AP157,Projects!$A$5:$D$504,2,0),"Ref not in Projects"))</f>
        <v/>
      </c>
      <c r="AR157" s="10" t="str">
        <f aca="false">IF(AP157="","",IFERROR(VLOOKUP(AP157,Projects!$A$5:$D$504,4,0),"Ref not in Projects"))</f>
        <v/>
      </c>
      <c r="AS157" s="9"/>
      <c r="AT157" s="9"/>
      <c r="AU157" s="9"/>
      <c r="AV157" s="40"/>
      <c r="AW157" s="9"/>
      <c r="AX157" s="40"/>
      <c r="AY157" s="9"/>
      <c r="AZ157" s="40"/>
      <c r="BA157" s="9"/>
      <c r="BB157" s="9"/>
      <c r="BC157" s="9"/>
      <c r="BD157" s="40"/>
      <c r="BE157" s="40"/>
      <c r="BF157" s="36" t="str">
        <f aca="false">IF(BE157="","",EDATE(BE157,SG_Criteria!$B$54*12))</f>
        <v/>
      </c>
      <c r="BG157" s="33" t="str">
        <f aca="true">IF(A157="","",IF(BE157="","NOTE: not reviewed yet",IF(TODAY()&gt;BF157,"NOTE: review overdue","OK")))</f>
        <v/>
      </c>
      <c r="BH157" s="37" t="str">
        <f aca="false">IF(A157="","",ROUND((IF(LEN(D157)&gt;0,1,0)+IF(LEN(E157)&gt;0,1,0)+IF(LEN(I157)&gt;0,1,0)+IF(LEN(K157)&gt;0,1,0)+IF(LEN(Q157)&gt;0,1,0)+IF(LEN(S157)&gt;0,1,0)+IF(LEN(T157)&gt;0,1,0)+IF(LEN(U157)&gt;0,1,0)+IF(LEN(V157)&gt;0,1,0)+IF(LEN(AE157)&gt;0,1,0)+IF(LEN(AP157)&gt;0,1,0)+IF(LEN(BC157)&gt;0,1,0))/12,2))</f>
        <v/>
      </c>
      <c r="BI157" s="10" t="str">
        <f aca="false">IF(D157="","",IF(AND(T157="Approved",ISERROR(SEARCH("FAIL",AM157))),"Y","N"))</f>
        <v/>
      </c>
    </row>
    <row r="158" customFormat="false" ht="15" hidden="false" customHeight="false" outlineLevel="0" collapsed="false">
      <c r="A158" s="10" t="str">
        <f aca="false">IF(D158="","",IFERROR(VLOOKUP(D158,Lists!$BI$4:$BJ$20,2,0),"??")&amp;"-"&amp;UPPER(SUBSTITUTE(E158," ",""))&amp;IF(F158&lt;&gt;"","-SP"&amp;TEXT(F158*1000,"0"),"")&amp;IF(G158&lt;&gt;"","-H"&amp;TEXT(G158*1000,"0"),"")&amp;"-"&amp;S158)</f>
        <v/>
      </c>
      <c r="B158" s="10" t="str">
        <f aca="false">IF(D158="","",D158&amp;" - "&amp;E158&amp;IF(F158&lt;&gt;"",", span "&amp;F158&amp;" m","")&amp;IF(G158&lt;&gt;"",", H "&amp;G158&amp;" m","")&amp;IF(H158&lt;&gt;"",", W "&amp;H158&amp;" m",""))</f>
        <v/>
      </c>
      <c r="C158" s="9"/>
      <c r="D158" s="9"/>
      <c r="E158" s="9"/>
      <c r="F158" s="42"/>
      <c r="G158" s="42"/>
      <c r="H158" s="42"/>
      <c r="I158" s="9"/>
      <c r="J158" s="9"/>
      <c r="K158" s="9"/>
      <c r="L158" s="9"/>
      <c r="M158" s="9"/>
      <c r="N158" s="38"/>
      <c r="O158" s="9"/>
      <c r="P158" s="39"/>
      <c r="Q158" s="9"/>
      <c r="R158" s="9"/>
      <c r="S158" s="9"/>
      <c r="T158" s="9"/>
      <c r="U158" s="9"/>
      <c r="V158" s="9"/>
      <c r="W158" s="9"/>
      <c r="X158" s="10" t="str">
        <f aca="false">IF(A158="","",SG_Criteria!$B$6&amp;SG_Criteria!$B$13&amp;"\"&amp;A158&amp;"\")</f>
        <v/>
      </c>
      <c r="Y158" s="10" t="str">
        <f aca="false">IF(A158="","",A158&amp;"_CAD.dwg")</f>
        <v/>
      </c>
      <c r="Z158" s="10" t="str">
        <f aca="false">IF(A158="","",A158&amp;"_DWG.pdf")</f>
        <v/>
      </c>
      <c r="AA158" s="10" t="str">
        <f aca="false">IF(A158="","",IF(W158="Y",A158&amp;"_STAAD.std","n/a"))</f>
        <v/>
      </c>
      <c r="AB158" s="10" t="str">
        <f aca="false">IF(A158="","",A158&amp;"_CALC.xlsx")</f>
        <v/>
      </c>
      <c r="AC158" s="10" t="str">
        <f aca="false">IF(A158="","",A158&amp;"_CALC.pdf")</f>
        <v/>
      </c>
      <c r="AD158" s="9"/>
      <c r="AE158" s="9"/>
      <c r="AF158" s="39"/>
      <c r="AG158" s="39"/>
      <c r="AH158" s="39"/>
      <c r="AI158" s="39"/>
      <c r="AJ158" s="39"/>
      <c r="AK158" s="12" t="str">
        <f aca="false">IF(A158="","",IF(COUNTIF(Rebar_Schedule!$A$5:$A$2004,A158)=0,"",ROUND(SUMIF(Rebar_Schedule!$A$5:$A$2004,A158,Rebar_Schedule!$K$5:$K$2004),1)))</f>
        <v/>
      </c>
      <c r="AL158" s="33" t="str">
        <f aca="false">IF(A158="","",IF(AK158="","No rebar schedule yet",IF(ABS(AK158-N(AG158))/MAX(N(AG158),1)&gt;SG_Criteria!$B$55,"NOTE: register rebar differs from schedule by "&amp;TEXT(ABS(AK158-N(AG158))/MAX(N(AG158),1),"0%"),"OK")))</f>
        <v/>
      </c>
      <c r="AM158" s="33" t="str">
        <f aca="false">IF(D158="","","OK")</f>
        <v/>
      </c>
      <c r="AN158" s="9"/>
      <c r="AO158" s="9"/>
      <c r="AP158" s="9"/>
      <c r="AQ158" s="10" t="str">
        <f aca="false">IF(AP158="","",IFERROR(VLOOKUP(AP158,Projects!$A$5:$D$504,2,0),"Ref not in Projects"))</f>
        <v/>
      </c>
      <c r="AR158" s="10" t="str">
        <f aca="false">IF(AP158="","",IFERROR(VLOOKUP(AP158,Projects!$A$5:$D$504,4,0),"Ref not in Projects"))</f>
        <v/>
      </c>
      <c r="AS158" s="9"/>
      <c r="AT158" s="9"/>
      <c r="AU158" s="9"/>
      <c r="AV158" s="40"/>
      <c r="AW158" s="9"/>
      <c r="AX158" s="40"/>
      <c r="AY158" s="9"/>
      <c r="AZ158" s="40"/>
      <c r="BA158" s="9"/>
      <c r="BB158" s="9"/>
      <c r="BC158" s="9"/>
      <c r="BD158" s="40"/>
      <c r="BE158" s="40"/>
      <c r="BF158" s="36" t="str">
        <f aca="false">IF(BE158="","",EDATE(BE158,SG_Criteria!$B$54*12))</f>
        <v/>
      </c>
      <c r="BG158" s="33" t="str">
        <f aca="true">IF(A158="","",IF(BE158="","NOTE: not reviewed yet",IF(TODAY()&gt;BF158,"NOTE: review overdue","OK")))</f>
        <v/>
      </c>
      <c r="BH158" s="37" t="str">
        <f aca="false">IF(A158="","",ROUND((IF(LEN(D158)&gt;0,1,0)+IF(LEN(E158)&gt;0,1,0)+IF(LEN(I158)&gt;0,1,0)+IF(LEN(K158)&gt;0,1,0)+IF(LEN(Q158)&gt;0,1,0)+IF(LEN(S158)&gt;0,1,0)+IF(LEN(T158)&gt;0,1,0)+IF(LEN(U158)&gt;0,1,0)+IF(LEN(V158)&gt;0,1,0)+IF(LEN(AE158)&gt;0,1,0)+IF(LEN(AP158)&gt;0,1,0)+IF(LEN(BC158)&gt;0,1,0))/12,2))</f>
        <v/>
      </c>
      <c r="BI158" s="10" t="str">
        <f aca="false">IF(D158="","",IF(AND(T158="Approved",ISERROR(SEARCH("FAIL",AM158))),"Y","N"))</f>
        <v/>
      </c>
    </row>
    <row r="159" customFormat="false" ht="15" hidden="false" customHeight="false" outlineLevel="0" collapsed="false">
      <c r="A159" s="10" t="str">
        <f aca="false">IF(D159="","",IFERROR(VLOOKUP(D159,Lists!$BI$4:$BJ$20,2,0),"??")&amp;"-"&amp;UPPER(SUBSTITUTE(E159," ",""))&amp;IF(F159&lt;&gt;"","-SP"&amp;TEXT(F159*1000,"0"),"")&amp;IF(G159&lt;&gt;"","-H"&amp;TEXT(G159*1000,"0"),"")&amp;"-"&amp;S159)</f>
        <v/>
      </c>
      <c r="B159" s="10" t="str">
        <f aca="false">IF(D159="","",D159&amp;" - "&amp;E159&amp;IF(F159&lt;&gt;"",", span "&amp;F159&amp;" m","")&amp;IF(G159&lt;&gt;"",", H "&amp;G159&amp;" m","")&amp;IF(H159&lt;&gt;"",", W "&amp;H159&amp;" m",""))</f>
        <v/>
      </c>
      <c r="C159" s="9"/>
      <c r="D159" s="9"/>
      <c r="E159" s="9"/>
      <c r="F159" s="42"/>
      <c r="G159" s="42"/>
      <c r="H159" s="42"/>
      <c r="I159" s="9"/>
      <c r="J159" s="9"/>
      <c r="K159" s="9"/>
      <c r="L159" s="9"/>
      <c r="M159" s="9"/>
      <c r="N159" s="38"/>
      <c r="O159" s="9"/>
      <c r="P159" s="39"/>
      <c r="Q159" s="9"/>
      <c r="R159" s="9"/>
      <c r="S159" s="9"/>
      <c r="T159" s="9"/>
      <c r="U159" s="9"/>
      <c r="V159" s="9"/>
      <c r="W159" s="9"/>
      <c r="X159" s="10" t="str">
        <f aca="false">IF(A159="","",SG_Criteria!$B$6&amp;SG_Criteria!$B$13&amp;"\"&amp;A159&amp;"\")</f>
        <v/>
      </c>
      <c r="Y159" s="10" t="str">
        <f aca="false">IF(A159="","",A159&amp;"_CAD.dwg")</f>
        <v/>
      </c>
      <c r="Z159" s="10" t="str">
        <f aca="false">IF(A159="","",A159&amp;"_DWG.pdf")</f>
        <v/>
      </c>
      <c r="AA159" s="10" t="str">
        <f aca="false">IF(A159="","",IF(W159="Y",A159&amp;"_STAAD.std","n/a"))</f>
        <v/>
      </c>
      <c r="AB159" s="10" t="str">
        <f aca="false">IF(A159="","",A159&amp;"_CALC.xlsx")</f>
        <v/>
      </c>
      <c r="AC159" s="10" t="str">
        <f aca="false">IF(A159="","",A159&amp;"_CALC.pdf")</f>
        <v/>
      </c>
      <c r="AD159" s="9"/>
      <c r="AE159" s="9"/>
      <c r="AF159" s="39"/>
      <c r="AG159" s="39"/>
      <c r="AH159" s="39"/>
      <c r="AI159" s="39"/>
      <c r="AJ159" s="39"/>
      <c r="AK159" s="12" t="str">
        <f aca="false">IF(A159="","",IF(COUNTIF(Rebar_Schedule!$A$5:$A$2004,A159)=0,"",ROUND(SUMIF(Rebar_Schedule!$A$5:$A$2004,A159,Rebar_Schedule!$K$5:$K$2004),1)))</f>
        <v/>
      </c>
      <c r="AL159" s="33" t="str">
        <f aca="false">IF(A159="","",IF(AK159="","No rebar schedule yet",IF(ABS(AK159-N(AG159))/MAX(N(AG159),1)&gt;SG_Criteria!$B$55,"NOTE: register rebar differs from schedule by "&amp;TEXT(ABS(AK159-N(AG159))/MAX(N(AG159),1),"0%"),"OK")))</f>
        <v/>
      </c>
      <c r="AM159" s="33" t="str">
        <f aca="false">IF(D159="","","OK")</f>
        <v/>
      </c>
      <c r="AN159" s="9"/>
      <c r="AO159" s="9"/>
      <c r="AP159" s="9"/>
      <c r="AQ159" s="10" t="str">
        <f aca="false">IF(AP159="","",IFERROR(VLOOKUP(AP159,Projects!$A$5:$D$504,2,0),"Ref not in Projects"))</f>
        <v/>
      </c>
      <c r="AR159" s="10" t="str">
        <f aca="false">IF(AP159="","",IFERROR(VLOOKUP(AP159,Projects!$A$5:$D$504,4,0),"Ref not in Projects"))</f>
        <v/>
      </c>
      <c r="AS159" s="9"/>
      <c r="AT159" s="9"/>
      <c r="AU159" s="9"/>
      <c r="AV159" s="40"/>
      <c r="AW159" s="9"/>
      <c r="AX159" s="40"/>
      <c r="AY159" s="9"/>
      <c r="AZ159" s="40"/>
      <c r="BA159" s="9"/>
      <c r="BB159" s="9"/>
      <c r="BC159" s="9"/>
      <c r="BD159" s="40"/>
      <c r="BE159" s="40"/>
      <c r="BF159" s="36" t="str">
        <f aca="false">IF(BE159="","",EDATE(BE159,SG_Criteria!$B$54*12))</f>
        <v/>
      </c>
      <c r="BG159" s="33" t="str">
        <f aca="true">IF(A159="","",IF(BE159="","NOTE: not reviewed yet",IF(TODAY()&gt;BF159,"NOTE: review overdue","OK")))</f>
        <v/>
      </c>
      <c r="BH159" s="37" t="str">
        <f aca="false">IF(A159="","",ROUND((IF(LEN(D159)&gt;0,1,0)+IF(LEN(E159)&gt;0,1,0)+IF(LEN(I159)&gt;0,1,0)+IF(LEN(K159)&gt;0,1,0)+IF(LEN(Q159)&gt;0,1,0)+IF(LEN(S159)&gt;0,1,0)+IF(LEN(T159)&gt;0,1,0)+IF(LEN(U159)&gt;0,1,0)+IF(LEN(V159)&gt;0,1,0)+IF(LEN(AE159)&gt;0,1,0)+IF(LEN(AP159)&gt;0,1,0)+IF(LEN(BC159)&gt;0,1,0))/12,2))</f>
        <v/>
      </c>
      <c r="BI159" s="10" t="str">
        <f aca="false">IF(D159="","",IF(AND(T159="Approved",ISERROR(SEARCH("FAIL",AM159))),"Y","N"))</f>
        <v/>
      </c>
    </row>
    <row r="160" customFormat="false" ht="15" hidden="false" customHeight="false" outlineLevel="0" collapsed="false">
      <c r="A160" s="10" t="str">
        <f aca="false">IF(D160="","",IFERROR(VLOOKUP(D160,Lists!$BI$4:$BJ$20,2,0),"??")&amp;"-"&amp;UPPER(SUBSTITUTE(E160," ",""))&amp;IF(F160&lt;&gt;"","-SP"&amp;TEXT(F160*1000,"0"),"")&amp;IF(G160&lt;&gt;"","-H"&amp;TEXT(G160*1000,"0"),"")&amp;"-"&amp;S160)</f>
        <v/>
      </c>
      <c r="B160" s="10" t="str">
        <f aca="false">IF(D160="","",D160&amp;" - "&amp;E160&amp;IF(F160&lt;&gt;"",", span "&amp;F160&amp;" m","")&amp;IF(G160&lt;&gt;"",", H "&amp;G160&amp;" m","")&amp;IF(H160&lt;&gt;"",", W "&amp;H160&amp;" m",""))</f>
        <v/>
      </c>
      <c r="C160" s="9"/>
      <c r="D160" s="9"/>
      <c r="E160" s="9"/>
      <c r="F160" s="42"/>
      <c r="G160" s="42"/>
      <c r="H160" s="42"/>
      <c r="I160" s="9"/>
      <c r="J160" s="9"/>
      <c r="K160" s="9"/>
      <c r="L160" s="9"/>
      <c r="M160" s="9"/>
      <c r="N160" s="38"/>
      <c r="O160" s="9"/>
      <c r="P160" s="39"/>
      <c r="Q160" s="9"/>
      <c r="R160" s="9"/>
      <c r="S160" s="9"/>
      <c r="T160" s="9"/>
      <c r="U160" s="9"/>
      <c r="V160" s="9"/>
      <c r="W160" s="9"/>
      <c r="X160" s="10" t="str">
        <f aca="false">IF(A160="","",SG_Criteria!$B$6&amp;SG_Criteria!$B$13&amp;"\"&amp;A160&amp;"\")</f>
        <v/>
      </c>
      <c r="Y160" s="10" t="str">
        <f aca="false">IF(A160="","",A160&amp;"_CAD.dwg")</f>
        <v/>
      </c>
      <c r="Z160" s="10" t="str">
        <f aca="false">IF(A160="","",A160&amp;"_DWG.pdf")</f>
        <v/>
      </c>
      <c r="AA160" s="10" t="str">
        <f aca="false">IF(A160="","",IF(W160="Y",A160&amp;"_STAAD.std","n/a"))</f>
        <v/>
      </c>
      <c r="AB160" s="10" t="str">
        <f aca="false">IF(A160="","",A160&amp;"_CALC.xlsx")</f>
        <v/>
      </c>
      <c r="AC160" s="10" t="str">
        <f aca="false">IF(A160="","",A160&amp;"_CALC.pdf")</f>
        <v/>
      </c>
      <c r="AD160" s="9"/>
      <c r="AE160" s="9"/>
      <c r="AF160" s="39"/>
      <c r="AG160" s="39"/>
      <c r="AH160" s="39"/>
      <c r="AI160" s="39"/>
      <c r="AJ160" s="39"/>
      <c r="AK160" s="12" t="str">
        <f aca="false">IF(A160="","",IF(COUNTIF(Rebar_Schedule!$A$5:$A$2004,A160)=0,"",ROUND(SUMIF(Rebar_Schedule!$A$5:$A$2004,A160,Rebar_Schedule!$K$5:$K$2004),1)))</f>
        <v/>
      </c>
      <c r="AL160" s="33" t="str">
        <f aca="false">IF(A160="","",IF(AK160="","No rebar schedule yet",IF(ABS(AK160-N(AG160))/MAX(N(AG160),1)&gt;SG_Criteria!$B$55,"NOTE: register rebar differs from schedule by "&amp;TEXT(ABS(AK160-N(AG160))/MAX(N(AG160),1),"0%"),"OK")))</f>
        <v/>
      </c>
      <c r="AM160" s="33" t="str">
        <f aca="false">IF(D160="","","OK")</f>
        <v/>
      </c>
      <c r="AN160" s="9"/>
      <c r="AO160" s="9"/>
      <c r="AP160" s="9"/>
      <c r="AQ160" s="10" t="str">
        <f aca="false">IF(AP160="","",IFERROR(VLOOKUP(AP160,Projects!$A$5:$D$504,2,0),"Ref not in Projects"))</f>
        <v/>
      </c>
      <c r="AR160" s="10" t="str">
        <f aca="false">IF(AP160="","",IFERROR(VLOOKUP(AP160,Projects!$A$5:$D$504,4,0),"Ref not in Projects"))</f>
        <v/>
      </c>
      <c r="AS160" s="9"/>
      <c r="AT160" s="9"/>
      <c r="AU160" s="9"/>
      <c r="AV160" s="40"/>
      <c r="AW160" s="9"/>
      <c r="AX160" s="40"/>
      <c r="AY160" s="9"/>
      <c r="AZ160" s="40"/>
      <c r="BA160" s="9"/>
      <c r="BB160" s="9"/>
      <c r="BC160" s="9"/>
      <c r="BD160" s="40"/>
      <c r="BE160" s="40"/>
      <c r="BF160" s="36" t="str">
        <f aca="false">IF(BE160="","",EDATE(BE160,SG_Criteria!$B$54*12))</f>
        <v/>
      </c>
      <c r="BG160" s="33" t="str">
        <f aca="true">IF(A160="","",IF(BE160="","NOTE: not reviewed yet",IF(TODAY()&gt;BF160,"NOTE: review overdue","OK")))</f>
        <v/>
      </c>
      <c r="BH160" s="37" t="str">
        <f aca="false">IF(A160="","",ROUND((IF(LEN(D160)&gt;0,1,0)+IF(LEN(E160)&gt;0,1,0)+IF(LEN(I160)&gt;0,1,0)+IF(LEN(K160)&gt;0,1,0)+IF(LEN(Q160)&gt;0,1,0)+IF(LEN(S160)&gt;0,1,0)+IF(LEN(T160)&gt;0,1,0)+IF(LEN(U160)&gt;0,1,0)+IF(LEN(V160)&gt;0,1,0)+IF(LEN(AE160)&gt;0,1,0)+IF(LEN(AP160)&gt;0,1,0)+IF(LEN(BC160)&gt;0,1,0))/12,2))</f>
        <v/>
      </c>
      <c r="BI160" s="10" t="str">
        <f aca="false">IF(D160="","",IF(AND(T160="Approved",ISERROR(SEARCH("FAIL",AM160))),"Y","N"))</f>
        <v/>
      </c>
    </row>
    <row r="161" customFormat="false" ht="15" hidden="false" customHeight="false" outlineLevel="0" collapsed="false">
      <c r="A161" s="10" t="str">
        <f aca="false">IF(D161="","",IFERROR(VLOOKUP(D161,Lists!$BI$4:$BJ$20,2,0),"??")&amp;"-"&amp;UPPER(SUBSTITUTE(E161," ",""))&amp;IF(F161&lt;&gt;"","-SP"&amp;TEXT(F161*1000,"0"),"")&amp;IF(G161&lt;&gt;"","-H"&amp;TEXT(G161*1000,"0"),"")&amp;"-"&amp;S161)</f>
        <v/>
      </c>
      <c r="B161" s="10" t="str">
        <f aca="false">IF(D161="","",D161&amp;" - "&amp;E161&amp;IF(F161&lt;&gt;"",", span "&amp;F161&amp;" m","")&amp;IF(G161&lt;&gt;"",", H "&amp;G161&amp;" m","")&amp;IF(H161&lt;&gt;"",", W "&amp;H161&amp;" m",""))</f>
        <v/>
      </c>
      <c r="C161" s="9"/>
      <c r="D161" s="9"/>
      <c r="E161" s="9"/>
      <c r="F161" s="42"/>
      <c r="G161" s="42"/>
      <c r="H161" s="42"/>
      <c r="I161" s="9"/>
      <c r="J161" s="9"/>
      <c r="K161" s="9"/>
      <c r="L161" s="9"/>
      <c r="M161" s="9"/>
      <c r="N161" s="38"/>
      <c r="O161" s="9"/>
      <c r="P161" s="39"/>
      <c r="Q161" s="9"/>
      <c r="R161" s="9"/>
      <c r="S161" s="9"/>
      <c r="T161" s="9"/>
      <c r="U161" s="9"/>
      <c r="V161" s="9"/>
      <c r="W161" s="9"/>
      <c r="X161" s="10" t="str">
        <f aca="false">IF(A161="","",SG_Criteria!$B$6&amp;SG_Criteria!$B$13&amp;"\"&amp;A161&amp;"\")</f>
        <v/>
      </c>
      <c r="Y161" s="10" t="str">
        <f aca="false">IF(A161="","",A161&amp;"_CAD.dwg")</f>
        <v/>
      </c>
      <c r="Z161" s="10" t="str">
        <f aca="false">IF(A161="","",A161&amp;"_DWG.pdf")</f>
        <v/>
      </c>
      <c r="AA161" s="10" t="str">
        <f aca="false">IF(A161="","",IF(W161="Y",A161&amp;"_STAAD.std","n/a"))</f>
        <v/>
      </c>
      <c r="AB161" s="10" t="str">
        <f aca="false">IF(A161="","",A161&amp;"_CALC.xlsx")</f>
        <v/>
      </c>
      <c r="AC161" s="10" t="str">
        <f aca="false">IF(A161="","",A161&amp;"_CALC.pdf")</f>
        <v/>
      </c>
      <c r="AD161" s="9"/>
      <c r="AE161" s="9"/>
      <c r="AF161" s="39"/>
      <c r="AG161" s="39"/>
      <c r="AH161" s="39"/>
      <c r="AI161" s="39"/>
      <c r="AJ161" s="39"/>
      <c r="AK161" s="12" t="str">
        <f aca="false">IF(A161="","",IF(COUNTIF(Rebar_Schedule!$A$5:$A$2004,A161)=0,"",ROUND(SUMIF(Rebar_Schedule!$A$5:$A$2004,A161,Rebar_Schedule!$K$5:$K$2004),1)))</f>
        <v/>
      </c>
      <c r="AL161" s="33" t="str">
        <f aca="false">IF(A161="","",IF(AK161="","No rebar schedule yet",IF(ABS(AK161-N(AG161))/MAX(N(AG161),1)&gt;SG_Criteria!$B$55,"NOTE: register rebar differs from schedule by "&amp;TEXT(ABS(AK161-N(AG161))/MAX(N(AG161),1),"0%"),"OK")))</f>
        <v/>
      </c>
      <c r="AM161" s="33" t="str">
        <f aca="false">IF(D161="","","OK")</f>
        <v/>
      </c>
      <c r="AN161" s="9"/>
      <c r="AO161" s="9"/>
      <c r="AP161" s="9"/>
      <c r="AQ161" s="10" t="str">
        <f aca="false">IF(AP161="","",IFERROR(VLOOKUP(AP161,Projects!$A$5:$D$504,2,0),"Ref not in Projects"))</f>
        <v/>
      </c>
      <c r="AR161" s="10" t="str">
        <f aca="false">IF(AP161="","",IFERROR(VLOOKUP(AP161,Projects!$A$5:$D$504,4,0),"Ref not in Projects"))</f>
        <v/>
      </c>
      <c r="AS161" s="9"/>
      <c r="AT161" s="9"/>
      <c r="AU161" s="9"/>
      <c r="AV161" s="40"/>
      <c r="AW161" s="9"/>
      <c r="AX161" s="40"/>
      <c r="AY161" s="9"/>
      <c r="AZ161" s="40"/>
      <c r="BA161" s="9"/>
      <c r="BB161" s="9"/>
      <c r="BC161" s="9"/>
      <c r="BD161" s="40"/>
      <c r="BE161" s="40"/>
      <c r="BF161" s="36" t="str">
        <f aca="false">IF(BE161="","",EDATE(BE161,SG_Criteria!$B$54*12))</f>
        <v/>
      </c>
      <c r="BG161" s="33" t="str">
        <f aca="true">IF(A161="","",IF(BE161="","NOTE: not reviewed yet",IF(TODAY()&gt;BF161,"NOTE: review overdue","OK")))</f>
        <v/>
      </c>
      <c r="BH161" s="37" t="str">
        <f aca="false">IF(A161="","",ROUND((IF(LEN(D161)&gt;0,1,0)+IF(LEN(E161)&gt;0,1,0)+IF(LEN(I161)&gt;0,1,0)+IF(LEN(K161)&gt;0,1,0)+IF(LEN(Q161)&gt;0,1,0)+IF(LEN(S161)&gt;0,1,0)+IF(LEN(T161)&gt;0,1,0)+IF(LEN(U161)&gt;0,1,0)+IF(LEN(V161)&gt;0,1,0)+IF(LEN(AE161)&gt;0,1,0)+IF(LEN(AP161)&gt;0,1,0)+IF(LEN(BC161)&gt;0,1,0))/12,2))</f>
        <v/>
      </c>
      <c r="BI161" s="10" t="str">
        <f aca="false">IF(D161="","",IF(AND(T161="Approved",ISERROR(SEARCH("FAIL",AM161))),"Y","N"))</f>
        <v/>
      </c>
    </row>
    <row r="162" customFormat="false" ht="15" hidden="false" customHeight="false" outlineLevel="0" collapsed="false">
      <c r="A162" s="10" t="str">
        <f aca="false">IF(D162="","",IFERROR(VLOOKUP(D162,Lists!$BI$4:$BJ$20,2,0),"??")&amp;"-"&amp;UPPER(SUBSTITUTE(E162," ",""))&amp;IF(F162&lt;&gt;"","-SP"&amp;TEXT(F162*1000,"0"),"")&amp;IF(G162&lt;&gt;"","-H"&amp;TEXT(G162*1000,"0"),"")&amp;"-"&amp;S162)</f>
        <v/>
      </c>
      <c r="B162" s="10" t="str">
        <f aca="false">IF(D162="","",D162&amp;" - "&amp;E162&amp;IF(F162&lt;&gt;"",", span "&amp;F162&amp;" m","")&amp;IF(G162&lt;&gt;"",", H "&amp;G162&amp;" m","")&amp;IF(H162&lt;&gt;"",", W "&amp;H162&amp;" m",""))</f>
        <v/>
      </c>
      <c r="C162" s="9"/>
      <c r="D162" s="9"/>
      <c r="E162" s="9"/>
      <c r="F162" s="42"/>
      <c r="G162" s="42"/>
      <c r="H162" s="42"/>
      <c r="I162" s="9"/>
      <c r="J162" s="9"/>
      <c r="K162" s="9"/>
      <c r="L162" s="9"/>
      <c r="M162" s="9"/>
      <c r="N162" s="38"/>
      <c r="O162" s="9"/>
      <c r="P162" s="39"/>
      <c r="Q162" s="9"/>
      <c r="R162" s="9"/>
      <c r="S162" s="9"/>
      <c r="T162" s="9"/>
      <c r="U162" s="9"/>
      <c r="V162" s="9"/>
      <c r="W162" s="9"/>
      <c r="X162" s="10" t="str">
        <f aca="false">IF(A162="","",SG_Criteria!$B$6&amp;SG_Criteria!$B$13&amp;"\"&amp;A162&amp;"\")</f>
        <v/>
      </c>
      <c r="Y162" s="10" t="str">
        <f aca="false">IF(A162="","",A162&amp;"_CAD.dwg")</f>
        <v/>
      </c>
      <c r="Z162" s="10" t="str">
        <f aca="false">IF(A162="","",A162&amp;"_DWG.pdf")</f>
        <v/>
      </c>
      <c r="AA162" s="10" t="str">
        <f aca="false">IF(A162="","",IF(W162="Y",A162&amp;"_STAAD.std","n/a"))</f>
        <v/>
      </c>
      <c r="AB162" s="10" t="str">
        <f aca="false">IF(A162="","",A162&amp;"_CALC.xlsx")</f>
        <v/>
      </c>
      <c r="AC162" s="10" t="str">
        <f aca="false">IF(A162="","",A162&amp;"_CALC.pdf")</f>
        <v/>
      </c>
      <c r="AD162" s="9"/>
      <c r="AE162" s="9"/>
      <c r="AF162" s="39"/>
      <c r="AG162" s="39"/>
      <c r="AH162" s="39"/>
      <c r="AI162" s="39"/>
      <c r="AJ162" s="39"/>
      <c r="AK162" s="12" t="str">
        <f aca="false">IF(A162="","",IF(COUNTIF(Rebar_Schedule!$A$5:$A$2004,A162)=0,"",ROUND(SUMIF(Rebar_Schedule!$A$5:$A$2004,A162,Rebar_Schedule!$K$5:$K$2004),1)))</f>
        <v/>
      </c>
      <c r="AL162" s="33" t="str">
        <f aca="false">IF(A162="","",IF(AK162="","No rebar schedule yet",IF(ABS(AK162-N(AG162))/MAX(N(AG162),1)&gt;SG_Criteria!$B$55,"NOTE: register rebar differs from schedule by "&amp;TEXT(ABS(AK162-N(AG162))/MAX(N(AG162),1),"0%"),"OK")))</f>
        <v/>
      </c>
      <c r="AM162" s="33" t="str">
        <f aca="false">IF(D162="","","OK")</f>
        <v/>
      </c>
      <c r="AN162" s="9"/>
      <c r="AO162" s="9"/>
      <c r="AP162" s="9"/>
      <c r="AQ162" s="10" t="str">
        <f aca="false">IF(AP162="","",IFERROR(VLOOKUP(AP162,Projects!$A$5:$D$504,2,0),"Ref not in Projects"))</f>
        <v/>
      </c>
      <c r="AR162" s="10" t="str">
        <f aca="false">IF(AP162="","",IFERROR(VLOOKUP(AP162,Projects!$A$5:$D$504,4,0),"Ref not in Projects"))</f>
        <v/>
      </c>
      <c r="AS162" s="9"/>
      <c r="AT162" s="9"/>
      <c r="AU162" s="9"/>
      <c r="AV162" s="40"/>
      <c r="AW162" s="9"/>
      <c r="AX162" s="40"/>
      <c r="AY162" s="9"/>
      <c r="AZ162" s="40"/>
      <c r="BA162" s="9"/>
      <c r="BB162" s="9"/>
      <c r="BC162" s="9"/>
      <c r="BD162" s="40"/>
      <c r="BE162" s="40"/>
      <c r="BF162" s="36" t="str">
        <f aca="false">IF(BE162="","",EDATE(BE162,SG_Criteria!$B$54*12))</f>
        <v/>
      </c>
      <c r="BG162" s="33" t="str">
        <f aca="true">IF(A162="","",IF(BE162="","NOTE: not reviewed yet",IF(TODAY()&gt;BF162,"NOTE: review overdue","OK")))</f>
        <v/>
      </c>
      <c r="BH162" s="37" t="str">
        <f aca="false">IF(A162="","",ROUND((IF(LEN(D162)&gt;0,1,0)+IF(LEN(E162)&gt;0,1,0)+IF(LEN(I162)&gt;0,1,0)+IF(LEN(K162)&gt;0,1,0)+IF(LEN(Q162)&gt;0,1,0)+IF(LEN(S162)&gt;0,1,0)+IF(LEN(T162)&gt;0,1,0)+IF(LEN(U162)&gt;0,1,0)+IF(LEN(V162)&gt;0,1,0)+IF(LEN(AE162)&gt;0,1,0)+IF(LEN(AP162)&gt;0,1,0)+IF(LEN(BC162)&gt;0,1,0))/12,2))</f>
        <v/>
      </c>
      <c r="BI162" s="10" t="str">
        <f aca="false">IF(D162="","",IF(AND(T162="Approved",ISERROR(SEARCH("FAIL",AM162))),"Y","N"))</f>
        <v/>
      </c>
    </row>
    <row r="163" customFormat="false" ht="15" hidden="false" customHeight="false" outlineLevel="0" collapsed="false">
      <c r="A163" s="10" t="str">
        <f aca="false">IF(D163="","",IFERROR(VLOOKUP(D163,Lists!$BI$4:$BJ$20,2,0),"??")&amp;"-"&amp;UPPER(SUBSTITUTE(E163," ",""))&amp;IF(F163&lt;&gt;"","-SP"&amp;TEXT(F163*1000,"0"),"")&amp;IF(G163&lt;&gt;"","-H"&amp;TEXT(G163*1000,"0"),"")&amp;"-"&amp;S163)</f>
        <v/>
      </c>
      <c r="B163" s="10" t="str">
        <f aca="false">IF(D163="","",D163&amp;" - "&amp;E163&amp;IF(F163&lt;&gt;"",", span "&amp;F163&amp;" m","")&amp;IF(G163&lt;&gt;"",", H "&amp;G163&amp;" m","")&amp;IF(H163&lt;&gt;"",", W "&amp;H163&amp;" m",""))</f>
        <v/>
      </c>
      <c r="C163" s="9"/>
      <c r="D163" s="9"/>
      <c r="E163" s="9"/>
      <c r="F163" s="42"/>
      <c r="G163" s="42"/>
      <c r="H163" s="42"/>
      <c r="I163" s="9"/>
      <c r="J163" s="9"/>
      <c r="K163" s="9"/>
      <c r="L163" s="9"/>
      <c r="M163" s="9"/>
      <c r="N163" s="38"/>
      <c r="O163" s="9"/>
      <c r="P163" s="39"/>
      <c r="Q163" s="9"/>
      <c r="R163" s="9"/>
      <c r="S163" s="9"/>
      <c r="T163" s="9"/>
      <c r="U163" s="9"/>
      <c r="V163" s="9"/>
      <c r="W163" s="9"/>
      <c r="X163" s="10" t="str">
        <f aca="false">IF(A163="","",SG_Criteria!$B$6&amp;SG_Criteria!$B$13&amp;"\"&amp;A163&amp;"\")</f>
        <v/>
      </c>
      <c r="Y163" s="10" t="str">
        <f aca="false">IF(A163="","",A163&amp;"_CAD.dwg")</f>
        <v/>
      </c>
      <c r="Z163" s="10" t="str">
        <f aca="false">IF(A163="","",A163&amp;"_DWG.pdf")</f>
        <v/>
      </c>
      <c r="AA163" s="10" t="str">
        <f aca="false">IF(A163="","",IF(W163="Y",A163&amp;"_STAAD.std","n/a"))</f>
        <v/>
      </c>
      <c r="AB163" s="10" t="str">
        <f aca="false">IF(A163="","",A163&amp;"_CALC.xlsx")</f>
        <v/>
      </c>
      <c r="AC163" s="10" t="str">
        <f aca="false">IF(A163="","",A163&amp;"_CALC.pdf")</f>
        <v/>
      </c>
      <c r="AD163" s="9"/>
      <c r="AE163" s="9"/>
      <c r="AF163" s="39"/>
      <c r="AG163" s="39"/>
      <c r="AH163" s="39"/>
      <c r="AI163" s="39"/>
      <c r="AJ163" s="39"/>
      <c r="AK163" s="12" t="str">
        <f aca="false">IF(A163="","",IF(COUNTIF(Rebar_Schedule!$A$5:$A$2004,A163)=0,"",ROUND(SUMIF(Rebar_Schedule!$A$5:$A$2004,A163,Rebar_Schedule!$K$5:$K$2004),1)))</f>
        <v/>
      </c>
      <c r="AL163" s="33" t="str">
        <f aca="false">IF(A163="","",IF(AK163="","No rebar schedule yet",IF(ABS(AK163-N(AG163))/MAX(N(AG163),1)&gt;SG_Criteria!$B$55,"NOTE: register rebar differs from schedule by "&amp;TEXT(ABS(AK163-N(AG163))/MAX(N(AG163),1),"0%"),"OK")))</f>
        <v/>
      </c>
      <c r="AM163" s="33" t="str">
        <f aca="false">IF(D163="","","OK")</f>
        <v/>
      </c>
      <c r="AN163" s="9"/>
      <c r="AO163" s="9"/>
      <c r="AP163" s="9"/>
      <c r="AQ163" s="10" t="str">
        <f aca="false">IF(AP163="","",IFERROR(VLOOKUP(AP163,Projects!$A$5:$D$504,2,0),"Ref not in Projects"))</f>
        <v/>
      </c>
      <c r="AR163" s="10" t="str">
        <f aca="false">IF(AP163="","",IFERROR(VLOOKUP(AP163,Projects!$A$5:$D$504,4,0),"Ref not in Projects"))</f>
        <v/>
      </c>
      <c r="AS163" s="9"/>
      <c r="AT163" s="9"/>
      <c r="AU163" s="9"/>
      <c r="AV163" s="40"/>
      <c r="AW163" s="9"/>
      <c r="AX163" s="40"/>
      <c r="AY163" s="9"/>
      <c r="AZ163" s="40"/>
      <c r="BA163" s="9"/>
      <c r="BB163" s="9"/>
      <c r="BC163" s="9"/>
      <c r="BD163" s="40"/>
      <c r="BE163" s="40"/>
      <c r="BF163" s="36" t="str">
        <f aca="false">IF(BE163="","",EDATE(BE163,SG_Criteria!$B$54*12))</f>
        <v/>
      </c>
      <c r="BG163" s="33" t="str">
        <f aca="true">IF(A163="","",IF(BE163="","NOTE: not reviewed yet",IF(TODAY()&gt;BF163,"NOTE: review overdue","OK")))</f>
        <v/>
      </c>
      <c r="BH163" s="37" t="str">
        <f aca="false">IF(A163="","",ROUND((IF(LEN(D163)&gt;0,1,0)+IF(LEN(E163)&gt;0,1,0)+IF(LEN(I163)&gt;0,1,0)+IF(LEN(K163)&gt;0,1,0)+IF(LEN(Q163)&gt;0,1,0)+IF(LEN(S163)&gt;0,1,0)+IF(LEN(T163)&gt;0,1,0)+IF(LEN(U163)&gt;0,1,0)+IF(LEN(V163)&gt;0,1,0)+IF(LEN(AE163)&gt;0,1,0)+IF(LEN(AP163)&gt;0,1,0)+IF(LEN(BC163)&gt;0,1,0))/12,2))</f>
        <v/>
      </c>
      <c r="BI163" s="10" t="str">
        <f aca="false">IF(D163="","",IF(AND(T163="Approved",ISERROR(SEARCH("FAIL",AM163))),"Y","N"))</f>
        <v/>
      </c>
    </row>
    <row r="164" customFormat="false" ht="15" hidden="false" customHeight="false" outlineLevel="0" collapsed="false">
      <c r="A164" s="10" t="str">
        <f aca="false">IF(D164="","",IFERROR(VLOOKUP(D164,Lists!$BI$4:$BJ$20,2,0),"??")&amp;"-"&amp;UPPER(SUBSTITUTE(E164," ",""))&amp;IF(F164&lt;&gt;"","-SP"&amp;TEXT(F164*1000,"0"),"")&amp;IF(G164&lt;&gt;"","-H"&amp;TEXT(G164*1000,"0"),"")&amp;"-"&amp;S164)</f>
        <v/>
      </c>
      <c r="B164" s="10" t="str">
        <f aca="false">IF(D164="","",D164&amp;" - "&amp;E164&amp;IF(F164&lt;&gt;"",", span "&amp;F164&amp;" m","")&amp;IF(G164&lt;&gt;"",", H "&amp;G164&amp;" m","")&amp;IF(H164&lt;&gt;"",", W "&amp;H164&amp;" m",""))</f>
        <v/>
      </c>
      <c r="C164" s="9"/>
      <c r="D164" s="9"/>
      <c r="E164" s="9"/>
      <c r="F164" s="42"/>
      <c r="G164" s="42"/>
      <c r="H164" s="42"/>
      <c r="I164" s="9"/>
      <c r="J164" s="9"/>
      <c r="K164" s="9"/>
      <c r="L164" s="9"/>
      <c r="M164" s="9"/>
      <c r="N164" s="38"/>
      <c r="O164" s="9"/>
      <c r="P164" s="39"/>
      <c r="Q164" s="9"/>
      <c r="R164" s="9"/>
      <c r="S164" s="9"/>
      <c r="T164" s="9"/>
      <c r="U164" s="9"/>
      <c r="V164" s="9"/>
      <c r="W164" s="9"/>
      <c r="X164" s="10" t="str">
        <f aca="false">IF(A164="","",SG_Criteria!$B$6&amp;SG_Criteria!$B$13&amp;"\"&amp;A164&amp;"\")</f>
        <v/>
      </c>
      <c r="Y164" s="10" t="str">
        <f aca="false">IF(A164="","",A164&amp;"_CAD.dwg")</f>
        <v/>
      </c>
      <c r="Z164" s="10" t="str">
        <f aca="false">IF(A164="","",A164&amp;"_DWG.pdf")</f>
        <v/>
      </c>
      <c r="AA164" s="10" t="str">
        <f aca="false">IF(A164="","",IF(W164="Y",A164&amp;"_STAAD.std","n/a"))</f>
        <v/>
      </c>
      <c r="AB164" s="10" t="str">
        <f aca="false">IF(A164="","",A164&amp;"_CALC.xlsx")</f>
        <v/>
      </c>
      <c r="AC164" s="10" t="str">
        <f aca="false">IF(A164="","",A164&amp;"_CALC.pdf")</f>
        <v/>
      </c>
      <c r="AD164" s="9"/>
      <c r="AE164" s="9"/>
      <c r="AF164" s="39"/>
      <c r="AG164" s="39"/>
      <c r="AH164" s="39"/>
      <c r="AI164" s="39"/>
      <c r="AJ164" s="39"/>
      <c r="AK164" s="12" t="str">
        <f aca="false">IF(A164="","",IF(COUNTIF(Rebar_Schedule!$A$5:$A$2004,A164)=0,"",ROUND(SUMIF(Rebar_Schedule!$A$5:$A$2004,A164,Rebar_Schedule!$K$5:$K$2004),1)))</f>
        <v/>
      </c>
      <c r="AL164" s="33" t="str">
        <f aca="false">IF(A164="","",IF(AK164="","No rebar schedule yet",IF(ABS(AK164-N(AG164))/MAX(N(AG164),1)&gt;SG_Criteria!$B$55,"NOTE: register rebar differs from schedule by "&amp;TEXT(ABS(AK164-N(AG164))/MAX(N(AG164),1),"0%"),"OK")))</f>
        <v/>
      </c>
      <c r="AM164" s="33" t="str">
        <f aca="false">IF(D164="","","OK")</f>
        <v/>
      </c>
      <c r="AN164" s="9"/>
      <c r="AO164" s="9"/>
      <c r="AP164" s="9"/>
      <c r="AQ164" s="10" t="str">
        <f aca="false">IF(AP164="","",IFERROR(VLOOKUP(AP164,Projects!$A$5:$D$504,2,0),"Ref not in Projects"))</f>
        <v/>
      </c>
      <c r="AR164" s="10" t="str">
        <f aca="false">IF(AP164="","",IFERROR(VLOOKUP(AP164,Projects!$A$5:$D$504,4,0),"Ref not in Projects"))</f>
        <v/>
      </c>
      <c r="AS164" s="9"/>
      <c r="AT164" s="9"/>
      <c r="AU164" s="9"/>
      <c r="AV164" s="40"/>
      <c r="AW164" s="9"/>
      <c r="AX164" s="40"/>
      <c r="AY164" s="9"/>
      <c r="AZ164" s="40"/>
      <c r="BA164" s="9"/>
      <c r="BB164" s="9"/>
      <c r="BC164" s="9"/>
      <c r="BD164" s="40"/>
      <c r="BE164" s="40"/>
      <c r="BF164" s="36" t="str">
        <f aca="false">IF(BE164="","",EDATE(BE164,SG_Criteria!$B$54*12))</f>
        <v/>
      </c>
      <c r="BG164" s="33" t="str">
        <f aca="true">IF(A164="","",IF(BE164="","NOTE: not reviewed yet",IF(TODAY()&gt;BF164,"NOTE: review overdue","OK")))</f>
        <v/>
      </c>
      <c r="BH164" s="37" t="str">
        <f aca="false">IF(A164="","",ROUND((IF(LEN(D164)&gt;0,1,0)+IF(LEN(E164)&gt;0,1,0)+IF(LEN(I164)&gt;0,1,0)+IF(LEN(K164)&gt;0,1,0)+IF(LEN(Q164)&gt;0,1,0)+IF(LEN(S164)&gt;0,1,0)+IF(LEN(T164)&gt;0,1,0)+IF(LEN(U164)&gt;0,1,0)+IF(LEN(V164)&gt;0,1,0)+IF(LEN(AE164)&gt;0,1,0)+IF(LEN(AP164)&gt;0,1,0)+IF(LEN(BC164)&gt;0,1,0))/12,2))</f>
        <v/>
      </c>
      <c r="BI164" s="10" t="str">
        <f aca="false">IF(D164="","",IF(AND(T164="Approved",ISERROR(SEARCH("FAIL",AM164))),"Y","N"))</f>
        <v/>
      </c>
    </row>
    <row r="165" customFormat="false" ht="15" hidden="false" customHeight="false" outlineLevel="0" collapsed="false">
      <c r="A165" s="10" t="str">
        <f aca="false">IF(D165="","",IFERROR(VLOOKUP(D165,Lists!$BI$4:$BJ$20,2,0),"??")&amp;"-"&amp;UPPER(SUBSTITUTE(E165," ",""))&amp;IF(F165&lt;&gt;"","-SP"&amp;TEXT(F165*1000,"0"),"")&amp;IF(G165&lt;&gt;"","-H"&amp;TEXT(G165*1000,"0"),"")&amp;"-"&amp;S165)</f>
        <v/>
      </c>
      <c r="B165" s="10" t="str">
        <f aca="false">IF(D165="","",D165&amp;" - "&amp;E165&amp;IF(F165&lt;&gt;"",", span "&amp;F165&amp;" m","")&amp;IF(G165&lt;&gt;"",", H "&amp;G165&amp;" m","")&amp;IF(H165&lt;&gt;"",", W "&amp;H165&amp;" m",""))</f>
        <v/>
      </c>
      <c r="C165" s="9"/>
      <c r="D165" s="9"/>
      <c r="E165" s="9"/>
      <c r="F165" s="42"/>
      <c r="G165" s="42"/>
      <c r="H165" s="42"/>
      <c r="I165" s="9"/>
      <c r="J165" s="9"/>
      <c r="K165" s="9"/>
      <c r="L165" s="9"/>
      <c r="M165" s="9"/>
      <c r="N165" s="38"/>
      <c r="O165" s="9"/>
      <c r="P165" s="39"/>
      <c r="Q165" s="9"/>
      <c r="R165" s="9"/>
      <c r="S165" s="9"/>
      <c r="T165" s="9"/>
      <c r="U165" s="9"/>
      <c r="V165" s="9"/>
      <c r="W165" s="9"/>
      <c r="X165" s="10" t="str">
        <f aca="false">IF(A165="","",SG_Criteria!$B$6&amp;SG_Criteria!$B$13&amp;"\"&amp;A165&amp;"\")</f>
        <v/>
      </c>
      <c r="Y165" s="10" t="str">
        <f aca="false">IF(A165="","",A165&amp;"_CAD.dwg")</f>
        <v/>
      </c>
      <c r="Z165" s="10" t="str">
        <f aca="false">IF(A165="","",A165&amp;"_DWG.pdf")</f>
        <v/>
      </c>
      <c r="AA165" s="10" t="str">
        <f aca="false">IF(A165="","",IF(W165="Y",A165&amp;"_STAAD.std","n/a"))</f>
        <v/>
      </c>
      <c r="AB165" s="10" t="str">
        <f aca="false">IF(A165="","",A165&amp;"_CALC.xlsx")</f>
        <v/>
      </c>
      <c r="AC165" s="10" t="str">
        <f aca="false">IF(A165="","",A165&amp;"_CALC.pdf")</f>
        <v/>
      </c>
      <c r="AD165" s="9"/>
      <c r="AE165" s="9"/>
      <c r="AF165" s="39"/>
      <c r="AG165" s="39"/>
      <c r="AH165" s="39"/>
      <c r="AI165" s="39"/>
      <c r="AJ165" s="39"/>
      <c r="AK165" s="12" t="str">
        <f aca="false">IF(A165="","",IF(COUNTIF(Rebar_Schedule!$A$5:$A$2004,A165)=0,"",ROUND(SUMIF(Rebar_Schedule!$A$5:$A$2004,A165,Rebar_Schedule!$K$5:$K$2004),1)))</f>
        <v/>
      </c>
      <c r="AL165" s="33" t="str">
        <f aca="false">IF(A165="","",IF(AK165="","No rebar schedule yet",IF(ABS(AK165-N(AG165))/MAX(N(AG165),1)&gt;SG_Criteria!$B$55,"NOTE: register rebar differs from schedule by "&amp;TEXT(ABS(AK165-N(AG165))/MAX(N(AG165),1),"0%"),"OK")))</f>
        <v/>
      </c>
      <c r="AM165" s="33" t="str">
        <f aca="false">IF(D165="","","OK")</f>
        <v/>
      </c>
      <c r="AN165" s="9"/>
      <c r="AO165" s="9"/>
      <c r="AP165" s="9"/>
      <c r="AQ165" s="10" t="str">
        <f aca="false">IF(AP165="","",IFERROR(VLOOKUP(AP165,Projects!$A$5:$D$504,2,0),"Ref not in Projects"))</f>
        <v/>
      </c>
      <c r="AR165" s="10" t="str">
        <f aca="false">IF(AP165="","",IFERROR(VLOOKUP(AP165,Projects!$A$5:$D$504,4,0),"Ref not in Projects"))</f>
        <v/>
      </c>
      <c r="AS165" s="9"/>
      <c r="AT165" s="9"/>
      <c r="AU165" s="9"/>
      <c r="AV165" s="40"/>
      <c r="AW165" s="9"/>
      <c r="AX165" s="40"/>
      <c r="AY165" s="9"/>
      <c r="AZ165" s="40"/>
      <c r="BA165" s="9"/>
      <c r="BB165" s="9"/>
      <c r="BC165" s="9"/>
      <c r="BD165" s="40"/>
      <c r="BE165" s="40"/>
      <c r="BF165" s="36" t="str">
        <f aca="false">IF(BE165="","",EDATE(BE165,SG_Criteria!$B$54*12))</f>
        <v/>
      </c>
      <c r="BG165" s="33" t="str">
        <f aca="true">IF(A165="","",IF(BE165="","NOTE: not reviewed yet",IF(TODAY()&gt;BF165,"NOTE: review overdue","OK")))</f>
        <v/>
      </c>
      <c r="BH165" s="37" t="str">
        <f aca="false">IF(A165="","",ROUND((IF(LEN(D165)&gt;0,1,0)+IF(LEN(E165)&gt;0,1,0)+IF(LEN(I165)&gt;0,1,0)+IF(LEN(K165)&gt;0,1,0)+IF(LEN(Q165)&gt;0,1,0)+IF(LEN(S165)&gt;0,1,0)+IF(LEN(T165)&gt;0,1,0)+IF(LEN(U165)&gt;0,1,0)+IF(LEN(V165)&gt;0,1,0)+IF(LEN(AE165)&gt;0,1,0)+IF(LEN(AP165)&gt;0,1,0)+IF(LEN(BC165)&gt;0,1,0))/12,2))</f>
        <v/>
      </c>
      <c r="BI165" s="10" t="str">
        <f aca="false">IF(D165="","",IF(AND(T165="Approved",ISERROR(SEARCH("FAIL",AM165))),"Y","N"))</f>
        <v/>
      </c>
    </row>
    <row r="166" customFormat="false" ht="15" hidden="false" customHeight="false" outlineLevel="0" collapsed="false">
      <c r="A166" s="10" t="str">
        <f aca="false">IF(D166="","",IFERROR(VLOOKUP(D166,Lists!$BI$4:$BJ$20,2,0),"??")&amp;"-"&amp;UPPER(SUBSTITUTE(E166," ",""))&amp;IF(F166&lt;&gt;"","-SP"&amp;TEXT(F166*1000,"0"),"")&amp;IF(G166&lt;&gt;"","-H"&amp;TEXT(G166*1000,"0"),"")&amp;"-"&amp;S166)</f>
        <v/>
      </c>
      <c r="B166" s="10" t="str">
        <f aca="false">IF(D166="","",D166&amp;" - "&amp;E166&amp;IF(F166&lt;&gt;"",", span "&amp;F166&amp;" m","")&amp;IF(G166&lt;&gt;"",", H "&amp;G166&amp;" m","")&amp;IF(H166&lt;&gt;"",", W "&amp;H166&amp;" m",""))</f>
        <v/>
      </c>
      <c r="C166" s="9"/>
      <c r="D166" s="9"/>
      <c r="E166" s="9"/>
      <c r="F166" s="42"/>
      <c r="G166" s="42"/>
      <c r="H166" s="42"/>
      <c r="I166" s="9"/>
      <c r="J166" s="9"/>
      <c r="K166" s="9"/>
      <c r="L166" s="9"/>
      <c r="M166" s="9"/>
      <c r="N166" s="38"/>
      <c r="O166" s="9"/>
      <c r="P166" s="39"/>
      <c r="Q166" s="9"/>
      <c r="R166" s="9"/>
      <c r="S166" s="9"/>
      <c r="T166" s="9"/>
      <c r="U166" s="9"/>
      <c r="V166" s="9"/>
      <c r="W166" s="9"/>
      <c r="X166" s="10" t="str">
        <f aca="false">IF(A166="","",SG_Criteria!$B$6&amp;SG_Criteria!$B$13&amp;"\"&amp;A166&amp;"\")</f>
        <v/>
      </c>
      <c r="Y166" s="10" t="str">
        <f aca="false">IF(A166="","",A166&amp;"_CAD.dwg")</f>
        <v/>
      </c>
      <c r="Z166" s="10" t="str">
        <f aca="false">IF(A166="","",A166&amp;"_DWG.pdf")</f>
        <v/>
      </c>
      <c r="AA166" s="10" t="str">
        <f aca="false">IF(A166="","",IF(W166="Y",A166&amp;"_STAAD.std","n/a"))</f>
        <v/>
      </c>
      <c r="AB166" s="10" t="str">
        <f aca="false">IF(A166="","",A166&amp;"_CALC.xlsx")</f>
        <v/>
      </c>
      <c r="AC166" s="10" t="str">
        <f aca="false">IF(A166="","",A166&amp;"_CALC.pdf")</f>
        <v/>
      </c>
      <c r="AD166" s="9"/>
      <c r="AE166" s="9"/>
      <c r="AF166" s="39"/>
      <c r="AG166" s="39"/>
      <c r="AH166" s="39"/>
      <c r="AI166" s="39"/>
      <c r="AJ166" s="39"/>
      <c r="AK166" s="12" t="str">
        <f aca="false">IF(A166="","",IF(COUNTIF(Rebar_Schedule!$A$5:$A$2004,A166)=0,"",ROUND(SUMIF(Rebar_Schedule!$A$5:$A$2004,A166,Rebar_Schedule!$K$5:$K$2004),1)))</f>
        <v/>
      </c>
      <c r="AL166" s="33" t="str">
        <f aca="false">IF(A166="","",IF(AK166="","No rebar schedule yet",IF(ABS(AK166-N(AG166))/MAX(N(AG166),1)&gt;SG_Criteria!$B$55,"NOTE: register rebar differs from schedule by "&amp;TEXT(ABS(AK166-N(AG166))/MAX(N(AG166),1),"0%"),"OK")))</f>
        <v/>
      </c>
      <c r="AM166" s="33" t="str">
        <f aca="false">IF(D166="","","OK")</f>
        <v/>
      </c>
      <c r="AN166" s="9"/>
      <c r="AO166" s="9"/>
      <c r="AP166" s="9"/>
      <c r="AQ166" s="10" t="str">
        <f aca="false">IF(AP166="","",IFERROR(VLOOKUP(AP166,Projects!$A$5:$D$504,2,0),"Ref not in Projects"))</f>
        <v/>
      </c>
      <c r="AR166" s="10" t="str">
        <f aca="false">IF(AP166="","",IFERROR(VLOOKUP(AP166,Projects!$A$5:$D$504,4,0),"Ref not in Projects"))</f>
        <v/>
      </c>
      <c r="AS166" s="9"/>
      <c r="AT166" s="9"/>
      <c r="AU166" s="9"/>
      <c r="AV166" s="40"/>
      <c r="AW166" s="9"/>
      <c r="AX166" s="40"/>
      <c r="AY166" s="9"/>
      <c r="AZ166" s="40"/>
      <c r="BA166" s="9"/>
      <c r="BB166" s="9"/>
      <c r="BC166" s="9"/>
      <c r="BD166" s="40"/>
      <c r="BE166" s="40"/>
      <c r="BF166" s="36" t="str">
        <f aca="false">IF(BE166="","",EDATE(BE166,SG_Criteria!$B$54*12))</f>
        <v/>
      </c>
      <c r="BG166" s="33" t="str">
        <f aca="true">IF(A166="","",IF(BE166="","NOTE: not reviewed yet",IF(TODAY()&gt;BF166,"NOTE: review overdue","OK")))</f>
        <v/>
      </c>
      <c r="BH166" s="37" t="str">
        <f aca="false">IF(A166="","",ROUND((IF(LEN(D166)&gt;0,1,0)+IF(LEN(E166)&gt;0,1,0)+IF(LEN(I166)&gt;0,1,0)+IF(LEN(K166)&gt;0,1,0)+IF(LEN(Q166)&gt;0,1,0)+IF(LEN(S166)&gt;0,1,0)+IF(LEN(T166)&gt;0,1,0)+IF(LEN(U166)&gt;0,1,0)+IF(LEN(V166)&gt;0,1,0)+IF(LEN(AE166)&gt;0,1,0)+IF(LEN(AP166)&gt;0,1,0)+IF(LEN(BC166)&gt;0,1,0))/12,2))</f>
        <v/>
      </c>
      <c r="BI166" s="10" t="str">
        <f aca="false">IF(D166="","",IF(AND(T166="Approved",ISERROR(SEARCH("FAIL",AM166))),"Y","N"))</f>
        <v/>
      </c>
    </row>
    <row r="167" customFormat="false" ht="15" hidden="false" customHeight="false" outlineLevel="0" collapsed="false">
      <c r="A167" s="10" t="str">
        <f aca="false">IF(D167="","",IFERROR(VLOOKUP(D167,Lists!$BI$4:$BJ$20,2,0),"??")&amp;"-"&amp;UPPER(SUBSTITUTE(E167," ",""))&amp;IF(F167&lt;&gt;"","-SP"&amp;TEXT(F167*1000,"0"),"")&amp;IF(G167&lt;&gt;"","-H"&amp;TEXT(G167*1000,"0"),"")&amp;"-"&amp;S167)</f>
        <v/>
      </c>
      <c r="B167" s="10" t="str">
        <f aca="false">IF(D167="","",D167&amp;" - "&amp;E167&amp;IF(F167&lt;&gt;"",", span "&amp;F167&amp;" m","")&amp;IF(G167&lt;&gt;"",", H "&amp;G167&amp;" m","")&amp;IF(H167&lt;&gt;"",", W "&amp;H167&amp;" m",""))</f>
        <v/>
      </c>
      <c r="C167" s="9"/>
      <c r="D167" s="9"/>
      <c r="E167" s="9"/>
      <c r="F167" s="42"/>
      <c r="G167" s="42"/>
      <c r="H167" s="42"/>
      <c r="I167" s="9"/>
      <c r="J167" s="9"/>
      <c r="K167" s="9"/>
      <c r="L167" s="9"/>
      <c r="M167" s="9"/>
      <c r="N167" s="38"/>
      <c r="O167" s="9"/>
      <c r="P167" s="39"/>
      <c r="Q167" s="9"/>
      <c r="R167" s="9"/>
      <c r="S167" s="9"/>
      <c r="T167" s="9"/>
      <c r="U167" s="9"/>
      <c r="V167" s="9"/>
      <c r="W167" s="9"/>
      <c r="X167" s="10" t="str">
        <f aca="false">IF(A167="","",SG_Criteria!$B$6&amp;SG_Criteria!$B$13&amp;"\"&amp;A167&amp;"\")</f>
        <v/>
      </c>
      <c r="Y167" s="10" t="str">
        <f aca="false">IF(A167="","",A167&amp;"_CAD.dwg")</f>
        <v/>
      </c>
      <c r="Z167" s="10" t="str">
        <f aca="false">IF(A167="","",A167&amp;"_DWG.pdf")</f>
        <v/>
      </c>
      <c r="AA167" s="10" t="str">
        <f aca="false">IF(A167="","",IF(W167="Y",A167&amp;"_STAAD.std","n/a"))</f>
        <v/>
      </c>
      <c r="AB167" s="10" t="str">
        <f aca="false">IF(A167="","",A167&amp;"_CALC.xlsx")</f>
        <v/>
      </c>
      <c r="AC167" s="10" t="str">
        <f aca="false">IF(A167="","",A167&amp;"_CALC.pdf")</f>
        <v/>
      </c>
      <c r="AD167" s="9"/>
      <c r="AE167" s="9"/>
      <c r="AF167" s="39"/>
      <c r="AG167" s="39"/>
      <c r="AH167" s="39"/>
      <c r="AI167" s="39"/>
      <c r="AJ167" s="39"/>
      <c r="AK167" s="12" t="str">
        <f aca="false">IF(A167="","",IF(COUNTIF(Rebar_Schedule!$A$5:$A$2004,A167)=0,"",ROUND(SUMIF(Rebar_Schedule!$A$5:$A$2004,A167,Rebar_Schedule!$K$5:$K$2004),1)))</f>
        <v/>
      </c>
      <c r="AL167" s="33" t="str">
        <f aca="false">IF(A167="","",IF(AK167="","No rebar schedule yet",IF(ABS(AK167-N(AG167))/MAX(N(AG167),1)&gt;SG_Criteria!$B$55,"NOTE: register rebar differs from schedule by "&amp;TEXT(ABS(AK167-N(AG167))/MAX(N(AG167),1),"0%"),"OK")))</f>
        <v/>
      </c>
      <c r="AM167" s="33" t="str">
        <f aca="false">IF(D167="","","OK")</f>
        <v/>
      </c>
      <c r="AN167" s="9"/>
      <c r="AO167" s="9"/>
      <c r="AP167" s="9"/>
      <c r="AQ167" s="10" t="str">
        <f aca="false">IF(AP167="","",IFERROR(VLOOKUP(AP167,Projects!$A$5:$D$504,2,0),"Ref not in Projects"))</f>
        <v/>
      </c>
      <c r="AR167" s="10" t="str">
        <f aca="false">IF(AP167="","",IFERROR(VLOOKUP(AP167,Projects!$A$5:$D$504,4,0),"Ref not in Projects"))</f>
        <v/>
      </c>
      <c r="AS167" s="9"/>
      <c r="AT167" s="9"/>
      <c r="AU167" s="9"/>
      <c r="AV167" s="40"/>
      <c r="AW167" s="9"/>
      <c r="AX167" s="40"/>
      <c r="AY167" s="9"/>
      <c r="AZ167" s="40"/>
      <c r="BA167" s="9"/>
      <c r="BB167" s="9"/>
      <c r="BC167" s="9"/>
      <c r="BD167" s="40"/>
      <c r="BE167" s="40"/>
      <c r="BF167" s="36" t="str">
        <f aca="false">IF(BE167="","",EDATE(BE167,SG_Criteria!$B$54*12))</f>
        <v/>
      </c>
      <c r="BG167" s="33" t="str">
        <f aca="true">IF(A167="","",IF(BE167="","NOTE: not reviewed yet",IF(TODAY()&gt;BF167,"NOTE: review overdue","OK")))</f>
        <v/>
      </c>
      <c r="BH167" s="37" t="str">
        <f aca="false">IF(A167="","",ROUND((IF(LEN(D167)&gt;0,1,0)+IF(LEN(E167)&gt;0,1,0)+IF(LEN(I167)&gt;0,1,0)+IF(LEN(K167)&gt;0,1,0)+IF(LEN(Q167)&gt;0,1,0)+IF(LEN(S167)&gt;0,1,0)+IF(LEN(T167)&gt;0,1,0)+IF(LEN(U167)&gt;0,1,0)+IF(LEN(V167)&gt;0,1,0)+IF(LEN(AE167)&gt;0,1,0)+IF(LEN(AP167)&gt;0,1,0)+IF(LEN(BC167)&gt;0,1,0))/12,2))</f>
        <v/>
      </c>
      <c r="BI167" s="10" t="str">
        <f aca="false">IF(D167="","",IF(AND(T167="Approved",ISERROR(SEARCH("FAIL",AM167))),"Y","N"))</f>
        <v/>
      </c>
    </row>
    <row r="168" customFormat="false" ht="15" hidden="false" customHeight="false" outlineLevel="0" collapsed="false">
      <c r="A168" s="10" t="str">
        <f aca="false">IF(D168="","",IFERROR(VLOOKUP(D168,Lists!$BI$4:$BJ$20,2,0),"??")&amp;"-"&amp;UPPER(SUBSTITUTE(E168," ",""))&amp;IF(F168&lt;&gt;"","-SP"&amp;TEXT(F168*1000,"0"),"")&amp;IF(G168&lt;&gt;"","-H"&amp;TEXT(G168*1000,"0"),"")&amp;"-"&amp;S168)</f>
        <v/>
      </c>
      <c r="B168" s="10" t="str">
        <f aca="false">IF(D168="","",D168&amp;" - "&amp;E168&amp;IF(F168&lt;&gt;"",", span "&amp;F168&amp;" m","")&amp;IF(G168&lt;&gt;"",", H "&amp;G168&amp;" m","")&amp;IF(H168&lt;&gt;"",", W "&amp;H168&amp;" m",""))</f>
        <v/>
      </c>
      <c r="C168" s="9"/>
      <c r="D168" s="9"/>
      <c r="E168" s="9"/>
      <c r="F168" s="42"/>
      <c r="G168" s="42"/>
      <c r="H168" s="42"/>
      <c r="I168" s="9"/>
      <c r="J168" s="9"/>
      <c r="K168" s="9"/>
      <c r="L168" s="9"/>
      <c r="M168" s="9"/>
      <c r="N168" s="38"/>
      <c r="O168" s="9"/>
      <c r="P168" s="39"/>
      <c r="Q168" s="9"/>
      <c r="R168" s="9"/>
      <c r="S168" s="9"/>
      <c r="T168" s="9"/>
      <c r="U168" s="9"/>
      <c r="V168" s="9"/>
      <c r="W168" s="9"/>
      <c r="X168" s="10" t="str">
        <f aca="false">IF(A168="","",SG_Criteria!$B$6&amp;SG_Criteria!$B$13&amp;"\"&amp;A168&amp;"\")</f>
        <v/>
      </c>
      <c r="Y168" s="10" t="str">
        <f aca="false">IF(A168="","",A168&amp;"_CAD.dwg")</f>
        <v/>
      </c>
      <c r="Z168" s="10" t="str">
        <f aca="false">IF(A168="","",A168&amp;"_DWG.pdf")</f>
        <v/>
      </c>
      <c r="AA168" s="10" t="str">
        <f aca="false">IF(A168="","",IF(W168="Y",A168&amp;"_STAAD.std","n/a"))</f>
        <v/>
      </c>
      <c r="AB168" s="10" t="str">
        <f aca="false">IF(A168="","",A168&amp;"_CALC.xlsx")</f>
        <v/>
      </c>
      <c r="AC168" s="10" t="str">
        <f aca="false">IF(A168="","",A168&amp;"_CALC.pdf")</f>
        <v/>
      </c>
      <c r="AD168" s="9"/>
      <c r="AE168" s="9"/>
      <c r="AF168" s="39"/>
      <c r="AG168" s="39"/>
      <c r="AH168" s="39"/>
      <c r="AI168" s="39"/>
      <c r="AJ168" s="39"/>
      <c r="AK168" s="12" t="str">
        <f aca="false">IF(A168="","",IF(COUNTIF(Rebar_Schedule!$A$5:$A$2004,A168)=0,"",ROUND(SUMIF(Rebar_Schedule!$A$5:$A$2004,A168,Rebar_Schedule!$K$5:$K$2004),1)))</f>
        <v/>
      </c>
      <c r="AL168" s="33" t="str">
        <f aca="false">IF(A168="","",IF(AK168="","No rebar schedule yet",IF(ABS(AK168-N(AG168))/MAX(N(AG168),1)&gt;SG_Criteria!$B$55,"NOTE: register rebar differs from schedule by "&amp;TEXT(ABS(AK168-N(AG168))/MAX(N(AG168),1),"0%"),"OK")))</f>
        <v/>
      </c>
      <c r="AM168" s="33" t="str">
        <f aca="false">IF(D168="","","OK")</f>
        <v/>
      </c>
      <c r="AN168" s="9"/>
      <c r="AO168" s="9"/>
      <c r="AP168" s="9"/>
      <c r="AQ168" s="10" t="str">
        <f aca="false">IF(AP168="","",IFERROR(VLOOKUP(AP168,Projects!$A$5:$D$504,2,0),"Ref not in Projects"))</f>
        <v/>
      </c>
      <c r="AR168" s="10" t="str">
        <f aca="false">IF(AP168="","",IFERROR(VLOOKUP(AP168,Projects!$A$5:$D$504,4,0),"Ref not in Projects"))</f>
        <v/>
      </c>
      <c r="AS168" s="9"/>
      <c r="AT168" s="9"/>
      <c r="AU168" s="9"/>
      <c r="AV168" s="40"/>
      <c r="AW168" s="9"/>
      <c r="AX168" s="40"/>
      <c r="AY168" s="9"/>
      <c r="AZ168" s="40"/>
      <c r="BA168" s="9"/>
      <c r="BB168" s="9"/>
      <c r="BC168" s="9"/>
      <c r="BD168" s="40"/>
      <c r="BE168" s="40"/>
      <c r="BF168" s="36" t="str">
        <f aca="false">IF(BE168="","",EDATE(BE168,SG_Criteria!$B$54*12))</f>
        <v/>
      </c>
      <c r="BG168" s="33" t="str">
        <f aca="true">IF(A168="","",IF(BE168="","NOTE: not reviewed yet",IF(TODAY()&gt;BF168,"NOTE: review overdue","OK")))</f>
        <v/>
      </c>
      <c r="BH168" s="37" t="str">
        <f aca="false">IF(A168="","",ROUND((IF(LEN(D168)&gt;0,1,0)+IF(LEN(E168)&gt;0,1,0)+IF(LEN(I168)&gt;0,1,0)+IF(LEN(K168)&gt;0,1,0)+IF(LEN(Q168)&gt;0,1,0)+IF(LEN(S168)&gt;0,1,0)+IF(LEN(T168)&gt;0,1,0)+IF(LEN(U168)&gt;0,1,0)+IF(LEN(V168)&gt;0,1,0)+IF(LEN(AE168)&gt;0,1,0)+IF(LEN(AP168)&gt;0,1,0)+IF(LEN(BC168)&gt;0,1,0))/12,2))</f>
        <v/>
      </c>
      <c r="BI168" s="10" t="str">
        <f aca="false">IF(D168="","",IF(AND(T168="Approved",ISERROR(SEARCH("FAIL",AM168))),"Y","N"))</f>
        <v/>
      </c>
    </row>
    <row r="169" customFormat="false" ht="15" hidden="false" customHeight="false" outlineLevel="0" collapsed="false">
      <c r="A169" s="10" t="str">
        <f aca="false">IF(D169="","",IFERROR(VLOOKUP(D169,Lists!$BI$4:$BJ$20,2,0),"??")&amp;"-"&amp;UPPER(SUBSTITUTE(E169," ",""))&amp;IF(F169&lt;&gt;"","-SP"&amp;TEXT(F169*1000,"0"),"")&amp;IF(G169&lt;&gt;"","-H"&amp;TEXT(G169*1000,"0"),"")&amp;"-"&amp;S169)</f>
        <v/>
      </c>
      <c r="B169" s="10" t="str">
        <f aca="false">IF(D169="","",D169&amp;" - "&amp;E169&amp;IF(F169&lt;&gt;"",", span "&amp;F169&amp;" m","")&amp;IF(G169&lt;&gt;"",", H "&amp;G169&amp;" m","")&amp;IF(H169&lt;&gt;"",", W "&amp;H169&amp;" m",""))</f>
        <v/>
      </c>
      <c r="C169" s="9"/>
      <c r="D169" s="9"/>
      <c r="E169" s="9"/>
      <c r="F169" s="42"/>
      <c r="G169" s="42"/>
      <c r="H169" s="42"/>
      <c r="I169" s="9"/>
      <c r="J169" s="9"/>
      <c r="K169" s="9"/>
      <c r="L169" s="9"/>
      <c r="M169" s="9"/>
      <c r="N169" s="38"/>
      <c r="O169" s="9"/>
      <c r="P169" s="39"/>
      <c r="Q169" s="9"/>
      <c r="R169" s="9"/>
      <c r="S169" s="9"/>
      <c r="T169" s="9"/>
      <c r="U169" s="9"/>
      <c r="V169" s="9"/>
      <c r="W169" s="9"/>
      <c r="X169" s="10" t="str">
        <f aca="false">IF(A169="","",SG_Criteria!$B$6&amp;SG_Criteria!$B$13&amp;"\"&amp;A169&amp;"\")</f>
        <v/>
      </c>
      <c r="Y169" s="10" t="str">
        <f aca="false">IF(A169="","",A169&amp;"_CAD.dwg")</f>
        <v/>
      </c>
      <c r="Z169" s="10" t="str">
        <f aca="false">IF(A169="","",A169&amp;"_DWG.pdf")</f>
        <v/>
      </c>
      <c r="AA169" s="10" t="str">
        <f aca="false">IF(A169="","",IF(W169="Y",A169&amp;"_STAAD.std","n/a"))</f>
        <v/>
      </c>
      <c r="AB169" s="10" t="str">
        <f aca="false">IF(A169="","",A169&amp;"_CALC.xlsx")</f>
        <v/>
      </c>
      <c r="AC169" s="10" t="str">
        <f aca="false">IF(A169="","",A169&amp;"_CALC.pdf")</f>
        <v/>
      </c>
      <c r="AD169" s="9"/>
      <c r="AE169" s="9"/>
      <c r="AF169" s="39"/>
      <c r="AG169" s="39"/>
      <c r="AH169" s="39"/>
      <c r="AI169" s="39"/>
      <c r="AJ169" s="39"/>
      <c r="AK169" s="12" t="str">
        <f aca="false">IF(A169="","",IF(COUNTIF(Rebar_Schedule!$A$5:$A$2004,A169)=0,"",ROUND(SUMIF(Rebar_Schedule!$A$5:$A$2004,A169,Rebar_Schedule!$K$5:$K$2004),1)))</f>
        <v/>
      </c>
      <c r="AL169" s="33" t="str">
        <f aca="false">IF(A169="","",IF(AK169="","No rebar schedule yet",IF(ABS(AK169-N(AG169))/MAX(N(AG169),1)&gt;SG_Criteria!$B$55,"NOTE: register rebar differs from schedule by "&amp;TEXT(ABS(AK169-N(AG169))/MAX(N(AG169),1),"0%"),"OK")))</f>
        <v/>
      </c>
      <c r="AM169" s="33" t="str">
        <f aca="false">IF(D169="","","OK")</f>
        <v/>
      </c>
      <c r="AN169" s="9"/>
      <c r="AO169" s="9"/>
      <c r="AP169" s="9"/>
      <c r="AQ169" s="10" t="str">
        <f aca="false">IF(AP169="","",IFERROR(VLOOKUP(AP169,Projects!$A$5:$D$504,2,0),"Ref not in Projects"))</f>
        <v/>
      </c>
      <c r="AR169" s="10" t="str">
        <f aca="false">IF(AP169="","",IFERROR(VLOOKUP(AP169,Projects!$A$5:$D$504,4,0),"Ref not in Projects"))</f>
        <v/>
      </c>
      <c r="AS169" s="9"/>
      <c r="AT169" s="9"/>
      <c r="AU169" s="9"/>
      <c r="AV169" s="40"/>
      <c r="AW169" s="9"/>
      <c r="AX169" s="40"/>
      <c r="AY169" s="9"/>
      <c r="AZ169" s="40"/>
      <c r="BA169" s="9"/>
      <c r="BB169" s="9"/>
      <c r="BC169" s="9"/>
      <c r="BD169" s="40"/>
      <c r="BE169" s="40"/>
      <c r="BF169" s="36" t="str">
        <f aca="false">IF(BE169="","",EDATE(BE169,SG_Criteria!$B$54*12))</f>
        <v/>
      </c>
      <c r="BG169" s="33" t="str">
        <f aca="true">IF(A169="","",IF(BE169="","NOTE: not reviewed yet",IF(TODAY()&gt;BF169,"NOTE: review overdue","OK")))</f>
        <v/>
      </c>
      <c r="BH169" s="37" t="str">
        <f aca="false">IF(A169="","",ROUND((IF(LEN(D169)&gt;0,1,0)+IF(LEN(E169)&gt;0,1,0)+IF(LEN(I169)&gt;0,1,0)+IF(LEN(K169)&gt;0,1,0)+IF(LEN(Q169)&gt;0,1,0)+IF(LEN(S169)&gt;0,1,0)+IF(LEN(T169)&gt;0,1,0)+IF(LEN(U169)&gt;0,1,0)+IF(LEN(V169)&gt;0,1,0)+IF(LEN(AE169)&gt;0,1,0)+IF(LEN(AP169)&gt;0,1,0)+IF(LEN(BC169)&gt;0,1,0))/12,2))</f>
        <v/>
      </c>
      <c r="BI169" s="10" t="str">
        <f aca="false">IF(D169="","",IF(AND(T169="Approved",ISERROR(SEARCH("FAIL",AM169))),"Y","N"))</f>
        <v/>
      </c>
    </row>
    <row r="170" customFormat="false" ht="15" hidden="false" customHeight="false" outlineLevel="0" collapsed="false">
      <c r="A170" s="10" t="str">
        <f aca="false">IF(D170="","",IFERROR(VLOOKUP(D170,Lists!$BI$4:$BJ$20,2,0),"??")&amp;"-"&amp;UPPER(SUBSTITUTE(E170," ",""))&amp;IF(F170&lt;&gt;"","-SP"&amp;TEXT(F170*1000,"0"),"")&amp;IF(G170&lt;&gt;"","-H"&amp;TEXT(G170*1000,"0"),"")&amp;"-"&amp;S170)</f>
        <v/>
      </c>
      <c r="B170" s="10" t="str">
        <f aca="false">IF(D170="","",D170&amp;" - "&amp;E170&amp;IF(F170&lt;&gt;"",", span "&amp;F170&amp;" m","")&amp;IF(G170&lt;&gt;"",", H "&amp;G170&amp;" m","")&amp;IF(H170&lt;&gt;"",", W "&amp;H170&amp;" m",""))</f>
        <v/>
      </c>
      <c r="C170" s="9"/>
      <c r="D170" s="9"/>
      <c r="E170" s="9"/>
      <c r="F170" s="42"/>
      <c r="G170" s="42"/>
      <c r="H170" s="42"/>
      <c r="I170" s="9"/>
      <c r="J170" s="9"/>
      <c r="K170" s="9"/>
      <c r="L170" s="9"/>
      <c r="M170" s="9"/>
      <c r="N170" s="38"/>
      <c r="O170" s="9"/>
      <c r="P170" s="39"/>
      <c r="Q170" s="9"/>
      <c r="R170" s="9"/>
      <c r="S170" s="9"/>
      <c r="T170" s="9"/>
      <c r="U170" s="9"/>
      <c r="V170" s="9"/>
      <c r="W170" s="9"/>
      <c r="X170" s="10" t="str">
        <f aca="false">IF(A170="","",SG_Criteria!$B$6&amp;SG_Criteria!$B$13&amp;"\"&amp;A170&amp;"\")</f>
        <v/>
      </c>
      <c r="Y170" s="10" t="str">
        <f aca="false">IF(A170="","",A170&amp;"_CAD.dwg")</f>
        <v/>
      </c>
      <c r="Z170" s="10" t="str">
        <f aca="false">IF(A170="","",A170&amp;"_DWG.pdf")</f>
        <v/>
      </c>
      <c r="AA170" s="10" t="str">
        <f aca="false">IF(A170="","",IF(W170="Y",A170&amp;"_STAAD.std","n/a"))</f>
        <v/>
      </c>
      <c r="AB170" s="10" t="str">
        <f aca="false">IF(A170="","",A170&amp;"_CALC.xlsx")</f>
        <v/>
      </c>
      <c r="AC170" s="10" t="str">
        <f aca="false">IF(A170="","",A170&amp;"_CALC.pdf")</f>
        <v/>
      </c>
      <c r="AD170" s="9"/>
      <c r="AE170" s="9"/>
      <c r="AF170" s="39"/>
      <c r="AG170" s="39"/>
      <c r="AH170" s="39"/>
      <c r="AI170" s="39"/>
      <c r="AJ170" s="39"/>
      <c r="AK170" s="12" t="str">
        <f aca="false">IF(A170="","",IF(COUNTIF(Rebar_Schedule!$A$5:$A$2004,A170)=0,"",ROUND(SUMIF(Rebar_Schedule!$A$5:$A$2004,A170,Rebar_Schedule!$K$5:$K$2004),1)))</f>
        <v/>
      </c>
      <c r="AL170" s="33" t="str">
        <f aca="false">IF(A170="","",IF(AK170="","No rebar schedule yet",IF(ABS(AK170-N(AG170))/MAX(N(AG170),1)&gt;SG_Criteria!$B$55,"NOTE: register rebar differs from schedule by "&amp;TEXT(ABS(AK170-N(AG170))/MAX(N(AG170),1),"0%"),"OK")))</f>
        <v/>
      </c>
      <c r="AM170" s="33" t="str">
        <f aca="false">IF(D170="","","OK")</f>
        <v/>
      </c>
      <c r="AN170" s="9"/>
      <c r="AO170" s="9"/>
      <c r="AP170" s="9"/>
      <c r="AQ170" s="10" t="str">
        <f aca="false">IF(AP170="","",IFERROR(VLOOKUP(AP170,Projects!$A$5:$D$504,2,0),"Ref not in Projects"))</f>
        <v/>
      </c>
      <c r="AR170" s="10" t="str">
        <f aca="false">IF(AP170="","",IFERROR(VLOOKUP(AP170,Projects!$A$5:$D$504,4,0),"Ref not in Projects"))</f>
        <v/>
      </c>
      <c r="AS170" s="9"/>
      <c r="AT170" s="9"/>
      <c r="AU170" s="9"/>
      <c r="AV170" s="40"/>
      <c r="AW170" s="9"/>
      <c r="AX170" s="40"/>
      <c r="AY170" s="9"/>
      <c r="AZ170" s="40"/>
      <c r="BA170" s="9"/>
      <c r="BB170" s="9"/>
      <c r="BC170" s="9"/>
      <c r="BD170" s="40"/>
      <c r="BE170" s="40"/>
      <c r="BF170" s="36" t="str">
        <f aca="false">IF(BE170="","",EDATE(BE170,SG_Criteria!$B$54*12))</f>
        <v/>
      </c>
      <c r="BG170" s="33" t="str">
        <f aca="true">IF(A170="","",IF(BE170="","NOTE: not reviewed yet",IF(TODAY()&gt;BF170,"NOTE: review overdue","OK")))</f>
        <v/>
      </c>
      <c r="BH170" s="37" t="str">
        <f aca="false">IF(A170="","",ROUND((IF(LEN(D170)&gt;0,1,0)+IF(LEN(E170)&gt;0,1,0)+IF(LEN(I170)&gt;0,1,0)+IF(LEN(K170)&gt;0,1,0)+IF(LEN(Q170)&gt;0,1,0)+IF(LEN(S170)&gt;0,1,0)+IF(LEN(T170)&gt;0,1,0)+IF(LEN(U170)&gt;0,1,0)+IF(LEN(V170)&gt;0,1,0)+IF(LEN(AE170)&gt;0,1,0)+IF(LEN(AP170)&gt;0,1,0)+IF(LEN(BC170)&gt;0,1,0))/12,2))</f>
        <v/>
      </c>
      <c r="BI170" s="10" t="str">
        <f aca="false">IF(D170="","",IF(AND(T170="Approved",ISERROR(SEARCH("FAIL",AM170))),"Y","N"))</f>
        <v/>
      </c>
    </row>
    <row r="171" customFormat="false" ht="15" hidden="false" customHeight="false" outlineLevel="0" collapsed="false">
      <c r="A171" s="10" t="str">
        <f aca="false">IF(D171="","",IFERROR(VLOOKUP(D171,Lists!$BI$4:$BJ$20,2,0),"??")&amp;"-"&amp;UPPER(SUBSTITUTE(E171," ",""))&amp;IF(F171&lt;&gt;"","-SP"&amp;TEXT(F171*1000,"0"),"")&amp;IF(G171&lt;&gt;"","-H"&amp;TEXT(G171*1000,"0"),"")&amp;"-"&amp;S171)</f>
        <v/>
      </c>
      <c r="B171" s="10" t="str">
        <f aca="false">IF(D171="","",D171&amp;" - "&amp;E171&amp;IF(F171&lt;&gt;"",", span "&amp;F171&amp;" m","")&amp;IF(G171&lt;&gt;"",", H "&amp;G171&amp;" m","")&amp;IF(H171&lt;&gt;"",", W "&amp;H171&amp;" m",""))</f>
        <v/>
      </c>
      <c r="C171" s="9"/>
      <c r="D171" s="9"/>
      <c r="E171" s="9"/>
      <c r="F171" s="42"/>
      <c r="G171" s="42"/>
      <c r="H171" s="42"/>
      <c r="I171" s="9"/>
      <c r="J171" s="9"/>
      <c r="K171" s="9"/>
      <c r="L171" s="9"/>
      <c r="M171" s="9"/>
      <c r="N171" s="38"/>
      <c r="O171" s="9"/>
      <c r="P171" s="39"/>
      <c r="Q171" s="9"/>
      <c r="R171" s="9"/>
      <c r="S171" s="9"/>
      <c r="T171" s="9"/>
      <c r="U171" s="9"/>
      <c r="V171" s="9"/>
      <c r="W171" s="9"/>
      <c r="X171" s="10" t="str">
        <f aca="false">IF(A171="","",SG_Criteria!$B$6&amp;SG_Criteria!$B$13&amp;"\"&amp;A171&amp;"\")</f>
        <v/>
      </c>
      <c r="Y171" s="10" t="str">
        <f aca="false">IF(A171="","",A171&amp;"_CAD.dwg")</f>
        <v/>
      </c>
      <c r="Z171" s="10" t="str">
        <f aca="false">IF(A171="","",A171&amp;"_DWG.pdf")</f>
        <v/>
      </c>
      <c r="AA171" s="10" t="str">
        <f aca="false">IF(A171="","",IF(W171="Y",A171&amp;"_STAAD.std","n/a"))</f>
        <v/>
      </c>
      <c r="AB171" s="10" t="str">
        <f aca="false">IF(A171="","",A171&amp;"_CALC.xlsx")</f>
        <v/>
      </c>
      <c r="AC171" s="10" t="str">
        <f aca="false">IF(A171="","",A171&amp;"_CALC.pdf")</f>
        <v/>
      </c>
      <c r="AD171" s="9"/>
      <c r="AE171" s="9"/>
      <c r="AF171" s="39"/>
      <c r="AG171" s="39"/>
      <c r="AH171" s="39"/>
      <c r="AI171" s="39"/>
      <c r="AJ171" s="39"/>
      <c r="AK171" s="12" t="str">
        <f aca="false">IF(A171="","",IF(COUNTIF(Rebar_Schedule!$A$5:$A$2004,A171)=0,"",ROUND(SUMIF(Rebar_Schedule!$A$5:$A$2004,A171,Rebar_Schedule!$K$5:$K$2004),1)))</f>
        <v/>
      </c>
      <c r="AL171" s="33" t="str">
        <f aca="false">IF(A171="","",IF(AK171="","No rebar schedule yet",IF(ABS(AK171-N(AG171))/MAX(N(AG171),1)&gt;SG_Criteria!$B$55,"NOTE: register rebar differs from schedule by "&amp;TEXT(ABS(AK171-N(AG171))/MAX(N(AG171),1),"0%"),"OK")))</f>
        <v/>
      </c>
      <c r="AM171" s="33" t="str">
        <f aca="false">IF(D171="","","OK")</f>
        <v/>
      </c>
      <c r="AN171" s="9"/>
      <c r="AO171" s="9"/>
      <c r="AP171" s="9"/>
      <c r="AQ171" s="10" t="str">
        <f aca="false">IF(AP171="","",IFERROR(VLOOKUP(AP171,Projects!$A$5:$D$504,2,0),"Ref not in Projects"))</f>
        <v/>
      </c>
      <c r="AR171" s="10" t="str">
        <f aca="false">IF(AP171="","",IFERROR(VLOOKUP(AP171,Projects!$A$5:$D$504,4,0),"Ref not in Projects"))</f>
        <v/>
      </c>
      <c r="AS171" s="9"/>
      <c r="AT171" s="9"/>
      <c r="AU171" s="9"/>
      <c r="AV171" s="40"/>
      <c r="AW171" s="9"/>
      <c r="AX171" s="40"/>
      <c r="AY171" s="9"/>
      <c r="AZ171" s="40"/>
      <c r="BA171" s="9"/>
      <c r="BB171" s="9"/>
      <c r="BC171" s="9"/>
      <c r="BD171" s="40"/>
      <c r="BE171" s="40"/>
      <c r="BF171" s="36" t="str">
        <f aca="false">IF(BE171="","",EDATE(BE171,SG_Criteria!$B$54*12))</f>
        <v/>
      </c>
      <c r="BG171" s="33" t="str">
        <f aca="true">IF(A171="","",IF(BE171="","NOTE: not reviewed yet",IF(TODAY()&gt;BF171,"NOTE: review overdue","OK")))</f>
        <v/>
      </c>
      <c r="BH171" s="37" t="str">
        <f aca="false">IF(A171="","",ROUND((IF(LEN(D171)&gt;0,1,0)+IF(LEN(E171)&gt;0,1,0)+IF(LEN(I171)&gt;0,1,0)+IF(LEN(K171)&gt;0,1,0)+IF(LEN(Q171)&gt;0,1,0)+IF(LEN(S171)&gt;0,1,0)+IF(LEN(T171)&gt;0,1,0)+IF(LEN(U171)&gt;0,1,0)+IF(LEN(V171)&gt;0,1,0)+IF(LEN(AE171)&gt;0,1,0)+IF(LEN(AP171)&gt;0,1,0)+IF(LEN(BC171)&gt;0,1,0))/12,2))</f>
        <v/>
      </c>
      <c r="BI171" s="10" t="str">
        <f aca="false">IF(D171="","",IF(AND(T171="Approved",ISERROR(SEARCH("FAIL",AM171))),"Y","N"))</f>
        <v/>
      </c>
    </row>
    <row r="172" customFormat="false" ht="15" hidden="false" customHeight="false" outlineLevel="0" collapsed="false">
      <c r="A172" s="10" t="str">
        <f aca="false">IF(D172="","",IFERROR(VLOOKUP(D172,Lists!$BI$4:$BJ$20,2,0),"??")&amp;"-"&amp;UPPER(SUBSTITUTE(E172," ",""))&amp;IF(F172&lt;&gt;"","-SP"&amp;TEXT(F172*1000,"0"),"")&amp;IF(G172&lt;&gt;"","-H"&amp;TEXT(G172*1000,"0"),"")&amp;"-"&amp;S172)</f>
        <v/>
      </c>
      <c r="B172" s="10" t="str">
        <f aca="false">IF(D172="","",D172&amp;" - "&amp;E172&amp;IF(F172&lt;&gt;"",", span "&amp;F172&amp;" m","")&amp;IF(G172&lt;&gt;"",", H "&amp;G172&amp;" m","")&amp;IF(H172&lt;&gt;"",", W "&amp;H172&amp;" m",""))</f>
        <v/>
      </c>
      <c r="C172" s="9"/>
      <c r="D172" s="9"/>
      <c r="E172" s="9"/>
      <c r="F172" s="42"/>
      <c r="G172" s="42"/>
      <c r="H172" s="42"/>
      <c r="I172" s="9"/>
      <c r="J172" s="9"/>
      <c r="K172" s="9"/>
      <c r="L172" s="9"/>
      <c r="M172" s="9"/>
      <c r="N172" s="38"/>
      <c r="O172" s="9"/>
      <c r="P172" s="39"/>
      <c r="Q172" s="9"/>
      <c r="R172" s="9"/>
      <c r="S172" s="9"/>
      <c r="T172" s="9"/>
      <c r="U172" s="9"/>
      <c r="V172" s="9"/>
      <c r="W172" s="9"/>
      <c r="X172" s="10" t="str">
        <f aca="false">IF(A172="","",SG_Criteria!$B$6&amp;SG_Criteria!$B$13&amp;"\"&amp;A172&amp;"\")</f>
        <v/>
      </c>
      <c r="Y172" s="10" t="str">
        <f aca="false">IF(A172="","",A172&amp;"_CAD.dwg")</f>
        <v/>
      </c>
      <c r="Z172" s="10" t="str">
        <f aca="false">IF(A172="","",A172&amp;"_DWG.pdf")</f>
        <v/>
      </c>
      <c r="AA172" s="10" t="str">
        <f aca="false">IF(A172="","",IF(W172="Y",A172&amp;"_STAAD.std","n/a"))</f>
        <v/>
      </c>
      <c r="AB172" s="10" t="str">
        <f aca="false">IF(A172="","",A172&amp;"_CALC.xlsx")</f>
        <v/>
      </c>
      <c r="AC172" s="10" t="str">
        <f aca="false">IF(A172="","",A172&amp;"_CALC.pdf")</f>
        <v/>
      </c>
      <c r="AD172" s="9"/>
      <c r="AE172" s="9"/>
      <c r="AF172" s="39"/>
      <c r="AG172" s="39"/>
      <c r="AH172" s="39"/>
      <c r="AI172" s="39"/>
      <c r="AJ172" s="39"/>
      <c r="AK172" s="12" t="str">
        <f aca="false">IF(A172="","",IF(COUNTIF(Rebar_Schedule!$A$5:$A$2004,A172)=0,"",ROUND(SUMIF(Rebar_Schedule!$A$5:$A$2004,A172,Rebar_Schedule!$K$5:$K$2004),1)))</f>
        <v/>
      </c>
      <c r="AL172" s="33" t="str">
        <f aca="false">IF(A172="","",IF(AK172="","No rebar schedule yet",IF(ABS(AK172-N(AG172))/MAX(N(AG172),1)&gt;SG_Criteria!$B$55,"NOTE: register rebar differs from schedule by "&amp;TEXT(ABS(AK172-N(AG172))/MAX(N(AG172),1),"0%"),"OK")))</f>
        <v/>
      </c>
      <c r="AM172" s="33" t="str">
        <f aca="false">IF(D172="","","OK")</f>
        <v/>
      </c>
      <c r="AN172" s="9"/>
      <c r="AO172" s="9"/>
      <c r="AP172" s="9"/>
      <c r="AQ172" s="10" t="str">
        <f aca="false">IF(AP172="","",IFERROR(VLOOKUP(AP172,Projects!$A$5:$D$504,2,0),"Ref not in Projects"))</f>
        <v/>
      </c>
      <c r="AR172" s="10" t="str">
        <f aca="false">IF(AP172="","",IFERROR(VLOOKUP(AP172,Projects!$A$5:$D$504,4,0),"Ref not in Projects"))</f>
        <v/>
      </c>
      <c r="AS172" s="9"/>
      <c r="AT172" s="9"/>
      <c r="AU172" s="9"/>
      <c r="AV172" s="40"/>
      <c r="AW172" s="9"/>
      <c r="AX172" s="40"/>
      <c r="AY172" s="9"/>
      <c r="AZ172" s="40"/>
      <c r="BA172" s="9"/>
      <c r="BB172" s="9"/>
      <c r="BC172" s="9"/>
      <c r="BD172" s="40"/>
      <c r="BE172" s="40"/>
      <c r="BF172" s="36" t="str">
        <f aca="false">IF(BE172="","",EDATE(BE172,SG_Criteria!$B$54*12))</f>
        <v/>
      </c>
      <c r="BG172" s="33" t="str">
        <f aca="true">IF(A172="","",IF(BE172="","NOTE: not reviewed yet",IF(TODAY()&gt;BF172,"NOTE: review overdue","OK")))</f>
        <v/>
      </c>
      <c r="BH172" s="37" t="str">
        <f aca="false">IF(A172="","",ROUND((IF(LEN(D172)&gt;0,1,0)+IF(LEN(E172)&gt;0,1,0)+IF(LEN(I172)&gt;0,1,0)+IF(LEN(K172)&gt;0,1,0)+IF(LEN(Q172)&gt;0,1,0)+IF(LEN(S172)&gt;0,1,0)+IF(LEN(T172)&gt;0,1,0)+IF(LEN(U172)&gt;0,1,0)+IF(LEN(V172)&gt;0,1,0)+IF(LEN(AE172)&gt;0,1,0)+IF(LEN(AP172)&gt;0,1,0)+IF(LEN(BC172)&gt;0,1,0))/12,2))</f>
        <v/>
      </c>
      <c r="BI172" s="10" t="str">
        <f aca="false">IF(D172="","",IF(AND(T172="Approved",ISERROR(SEARCH("FAIL",AM172))),"Y","N"))</f>
        <v/>
      </c>
    </row>
    <row r="173" customFormat="false" ht="15" hidden="false" customHeight="false" outlineLevel="0" collapsed="false">
      <c r="A173" s="10" t="str">
        <f aca="false">IF(D173="","",IFERROR(VLOOKUP(D173,Lists!$BI$4:$BJ$20,2,0),"??")&amp;"-"&amp;UPPER(SUBSTITUTE(E173," ",""))&amp;IF(F173&lt;&gt;"","-SP"&amp;TEXT(F173*1000,"0"),"")&amp;IF(G173&lt;&gt;"","-H"&amp;TEXT(G173*1000,"0"),"")&amp;"-"&amp;S173)</f>
        <v/>
      </c>
      <c r="B173" s="10" t="str">
        <f aca="false">IF(D173="","",D173&amp;" - "&amp;E173&amp;IF(F173&lt;&gt;"",", span "&amp;F173&amp;" m","")&amp;IF(G173&lt;&gt;"",", H "&amp;G173&amp;" m","")&amp;IF(H173&lt;&gt;"",", W "&amp;H173&amp;" m",""))</f>
        <v/>
      </c>
      <c r="C173" s="9"/>
      <c r="D173" s="9"/>
      <c r="E173" s="9"/>
      <c r="F173" s="42"/>
      <c r="G173" s="42"/>
      <c r="H173" s="42"/>
      <c r="I173" s="9"/>
      <c r="J173" s="9"/>
      <c r="K173" s="9"/>
      <c r="L173" s="9"/>
      <c r="M173" s="9"/>
      <c r="N173" s="38"/>
      <c r="O173" s="9"/>
      <c r="P173" s="39"/>
      <c r="Q173" s="9"/>
      <c r="R173" s="9"/>
      <c r="S173" s="9"/>
      <c r="T173" s="9"/>
      <c r="U173" s="9"/>
      <c r="V173" s="9"/>
      <c r="W173" s="9"/>
      <c r="X173" s="10" t="str">
        <f aca="false">IF(A173="","",SG_Criteria!$B$6&amp;SG_Criteria!$B$13&amp;"\"&amp;A173&amp;"\")</f>
        <v/>
      </c>
      <c r="Y173" s="10" t="str">
        <f aca="false">IF(A173="","",A173&amp;"_CAD.dwg")</f>
        <v/>
      </c>
      <c r="Z173" s="10" t="str">
        <f aca="false">IF(A173="","",A173&amp;"_DWG.pdf")</f>
        <v/>
      </c>
      <c r="AA173" s="10" t="str">
        <f aca="false">IF(A173="","",IF(W173="Y",A173&amp;"_STAAD.std","n/a"))</f>
        <v/>
      </c>
      <c r="AB173" s="10" t="str">
        <f aca="false">IF(A173="","",A173&amp;"_CALC.xlsx")</f>
        <v/>
      </c>
      <c r="AC173" s="10" t="str">
        <f aca="false">IF(A173="","",A173&amp;"_CALC.pdf")</f>
        <v/>
      </c>
      <c r="AD173" s="9"/>
      <c r="AE173" s="9"/>
      <c r="AF173" s="39"/>
      <c r="AG173" s="39"/>
      <c r="AH173" s="39"/>
      <c r="AI173" s="39"/>
      <c r="AJ173" s="39"/>
      <c r="AK173" s="12" t="str">
        <f aca="false">IF(A173="","",IF(COUNTIF(Rebar_Schedule!$A$5:$A$2004,A173)=0,"",ROUND(SUMIF(Rebar_Schedule!$A$5:$A$2004,A173,Rebar_Schedule!$K$5:$K$2004),1)))</f>
        <v/>
      </c>
      <c r="AL173" s="33" t="str">
        <f aca="false">IF(A173="","",IF(AK173="","No rebar schedule yet",IF(ABS(AK173-N(AG173))/MAX(N(AG173),1)&gt;SG_Criteria!$B$55,"NOTE: register rebar differs from schedule by "&amp;TEXT(ABS(AK173-N(AG173))/MAX(N(AG173),1),"0%"),"OK")))</f>
        <v/>
      </c>
      <c r="AM173" s="33" t="str">
        <f aca="false">IF(D173="","","OK")</f>
        <v/>
      </c>
      <c r="AN173" s="9"/>
      <c r="AO173" s="9"/>
      <c r="AP173" s="9"/>
      <c r="AQ173" s="10" t="str">
        <f aca="false">IF(AP173="","",IFERROR(VLOOKUP(AP173,Projects!$A$5:$D$504,2,0),"Ref not in Projects"))</f>
        <v/>
      </c>
      <c r="AR173" s="10" t="str">
        <f aca="false">IF(AP173="","",IFERROR(VLOOKUP(AP173,Projects!$A$5:$D$504,4,0),"Ref not in Projects"))</f>
        <v/>
      </c>
      <c r="AS173" s="9"/>
      <c r="AT173" s="9"/>
      <c r="AU173" s="9"/>
      <c r="AV173" s="40"/>
      <c r="AW173" s="9"/>
      <c r="AX173" s="40"/>
      <c r="AY173" s="9"/>
      <c r="AZ173" s="40"/>
      <c r="BA173" s="9"/>
      <c r="BB173" s="9"/>
      <c r="BC173" s="9"/>
      <c r="BD173" s="40"/>
      <c r="BE173" s="40"/>
      <c r="BF173" s="36" t="str">
        <f aca="false">IF(BE173="","",EDATE(BE173,SG_Criteria!$B$54*12))</f>
        <v/>
      </c>
      <c r="BG173" s="33" t="str">
        <f aca="true">IF(A173="","",IF(BE173="","NOTE: not reviewed yet",IF(TODAY()&gt;BF173,"NOTE: review overdue","OK")))</f>
        <v/>
      </c>
      <c r="BH173" s="37" t="str">
        <f aca="false">IF(A173="","",ROUND((IF(LEN(D173)&gt;0,1,0)+IF(LEN(E173)&gt;0,1,0)+IF(LEN(I173)&gt;0,1,0)+IF(LEN(K173)&gt;0,1,0)+IF(LEN(Q173)&gt;0,1,0)+IF(LEN(S173)&gt;0,1,0)+IF(LEN(T173)&gt;0,1,0)+IF(LEN(U173)&gt;0,1,0)+IF(LEN(V173)&gt;0,1,0)+IF(LEN(AE173)&gt;0,1,0)+IF(LEN(AP173)&gt;0,1,0)+IF(LEN(BC173)&gt;0,1,0))/12,2))</f>
        <v/>
      </c>
      <c r="BI173" s="10" t="str">
        <f aca="false">IF(D173="","",IF(AND(T173="Approved",ISERROR(SEARCH("FAIL",AM173))),"Y","N"))</f>
        <v/>
      </c>
    </row>
    <row r="174" customFormat="false" ht="15" hidden="false" customHeight="false" outlineLevel="0" collapsed="false">
      <c r="A174" s="10" t="str">
        <f aca="false">IF(D174="","",IFERROR(VLOOKUP(D174,Lists!$BI$4:$BJ$20,2,0),"??")&amp;"-"&amp;UPPER(SUBSTITUTE(E174," ",""))&amp;IF(F174&lt;&gt;"","-SP"&amp;TEXT(F174*1000,"0"),"")&amp;IF(G174&lt;&gt;"","-H"&amp;TEXT(G174*1000,"0"),"")&amp;"-"&amp;S174)</f>
        <v/>
      </c>
      <c r="B174" s="10" t="str">
        <f aca="false">IF(D174="","",D174&amp;" - "&amp;E174&amp;IF(F174&lt;&gt;"",", span "&amp;F174&amp;" m","")&amp;IF(G174&lt;&gt;"",", H "&amp;G174&amp;" m","")&amp;IF(H174&lt;&gt;"",", W "&amp;H174&amp;" m",""))</f>
        <v/>
      </c>
      <c r="C174" s="9"/>
      <c r="D174" s="9"/>
      <c r="E174" s="9"/>
      <c r="F174" s="42"/>
      <c r="G174" s="42"/>
      <c r="H174" s="42"/>
      <c r="I174" s="9"/>
      <c r="J174" s="9"/>
      <c r="K174" s="9"/>
      <c r="L174" s="9"/>
      <c r="M174" s="9"/>
      <c r="N174" s="38"/>
      <c r="O174" s="9"/>
      <c r="P174" s="39"/>
      <c r="Q174" s="9"/>
      <c r="R174" s="9"/>
      <c r="S174" s="9"/>
      <c r="T174" s="9"/>
      <c r="U174" s="9"/>
      <c r="V174" s="9"/>
      <c r="W174" s="9"/>
      <c r="X174" s="10" t="str">
        <f aca="false">IF(A174="","",SG_Criteria!$B$6&amp;SG_Criteria!$B$13&amp;"\"&amp;A174&amp;"\")</f>
        <v/>
      </c>
      <c r="Y174" s="10" t="str">
        <f aca="false">IF(A174="","",A174&amp;"_CAD.dwg")</f>
        <v/>
      </c>
      <c r="Z174" s="10" t="str">
        <f aca="false">IF(A174="","",A174&amp;"_DWG.pdf")</f>
        <v/>
      </c>
      <c r="AA174" s="10" t="str">
        <f aca="false">IF(A174="","",IF(W174="Y",A174&amp;"_STAAD.std","n/a"))</f>
        <v/>
      </c>
      <c r="AB174" s="10" t="str">
        <f aca="false">IF(A174="","",A174&amp;"_CALC.xlsx")</f>
        <v/>
      </c>
      <c r="AC174" s="10" t="str">
        <f aca="false">IF(A174="","",A174&amp;"_CALC.pdf")</f>
        <v/>
      </c>
      <c r="AD174" s="9"/>
      <c r="AE174" s="9"/>
      <c r="AF174" s="39"/>
      <c r="AG174" s="39"/>
      <c r="AH174" s="39"/>
      <c r="AI174" s="39"/>
      <c r="AJ174" s="39"/>
      <c r="AK174" s="12" t="str">
        <f aca="false">IF(A174="","",IF(COUNTIF(Rebar_Schedule!$A$5:$A$2004,A174)=0,"",ROUND(SUMIF(Rebar_Schedule!$A$5:$A$2004,A174,Rebar_Schedule!$K$5:$K$2004),1)))</f>
        <v/>
      </c>
      <c r="AL174" s="33" t="str">
        <f aca="false">IF(A174="","",IF(AK174="","No rebar schedule yet",IF(ABS(AK174-N(AG174))/MAX(N(AG174),1)&gt;SG_Criteria!$B$55,"NOTE: register rebar differs from schedule by "&amp;TEXT(ABS(AK174-N(AG174))/MAX(N(AG174),1),"0%"),"OK")))</f>
        <v/>
      </c>
      <c r="AM174" s="33" t="str">
        <f aca="false">IF(D174="","","OK")</f>
        <v/>
      </c>
      <c r="AN174" s="9"/>
      <c r="AO174" s="9"/>
      <c r="AP174" s="9"/>
      <c r="AQ174" s="10" t="str">
        <f aca="false">IF(AP174="","",IFERROR(VLOOKUP(AP174,Projects!$A$5:$D$504,2,0),"Ref not in Projects"))</f>
        <v/>
      </c>
      <c r="AR174" s="10" t="str">
        <f aca="false">IF(AP174="","",IFERROR(VLOOKUP(AP174,Projects!$A$5:$D$504,4,0),"Ref not in Projects"))</f>
        <v/>
      </c>
      <c r="AS174" s="9"/>
      <c r="AT174" s="9"/>
      <c r="AU174" s="9"/>
      <c r="AV174" s="40"/>
      <c r="AW174" s="9"/>
      <c r="AX174" s="40"/>
      <c r="AY174" s="9"/>
      <c r="AZ174" s="40"/>
      <c r="BA174" s="9"/>
      <c r="BB174" s="9"/>
      <c r="BC174" s="9"/>
      <c r="BD174" s="40"/>
      <c r="BE174" s="40"/>
      <c r="BF174" s="36" t="str">
        <f aca="false">IF(BE174="","",EDATE(BE174,SG_Criteria!$B$54*12))</f>
        <v/>
      </c>
      <c r="BG174" s="33" t="str">
        <f aca="true">IF(A174="","",IF(BE174="","NOTE: not reviewed yet",IF(TODAY()&gt;BF174,"NOTE: review overdue","OK")))</f>
        <v/>
      </c>
      <c r="BH174" s="37" t="str">
        <f aca="false">IF(A174="","",ROUND((IF(LEN(D174)&gt;0,1,0)+IF(LEN(E174)&gt;0,1,0)+IF(LEN(I174)&gt;0,1,0)+IF(LEN(K174)&gt;0,1,0)+IF(LEN(Q174)&gt;0,1,0)+IF(LEN(S174)&gt;0,1,0)+IF(LEN(T174)&gt;0,1,0)+IF(LEN(U174)&gt;0,1,0)+IF(LEN(V174)&gt;0,1,0)+IF(LEN(AE174)&gt;0,1,0)+IF(LEN(AP174)&gt;0,1,0)+IF(LEN(BC174)&gt;0,1,0))/12,2))</f>
        <v/>
      </c>
      <c r="BI174" s="10" t="str">
        <f aca="false">IF(D174="","",IF(AND(T174="Approved",ISERROR(SEARCH("FAIL",AM174))),"Y","N"))</f>
        <v/>
      </c>
    </row>
    <row r="175" customFormat="false" ht="15" hidden="false" customHeight="false" outlineLevel="0" collapsed="false">
      <c r="A175" s="10" t="str">
        <f aca="false">IF(D175="","",IFERROR(VLOOKUP(D175,Lists!$BI$4:$BJ$20,2,0),"??")&amp;"-"&amp;UPPER(SUBSTITUTE(E175," ",""))&amp;IF(F175&lt;&gt;"","-SP"&amp;TEXT(F175*1000,"0"),"")&amp;IF(G175&lt;&gt;"","-H"&amp;TEXT(G175*1000,"0"),"")&amp;"-"&amp;S175)</f>
        <v/>
      </c>
      <c r="B175" s="10" t="str">
        <f aca="false">IF(D175="","",D175&amp;" - "&amp;E175&amp;IF(F175&lt;&gt;"",", span "&amp;F175&amp;" m","")&amp;IF(G175&lt;&gt;"",", H "&amp;G175&amp;" m","")&amp;IF(H175&lt;&gt;"",", W "&amp;H175&amp;" m",""))</f>
        <v/>
      </c>
      <c r="C175" s="9"/>
      <c r="D175" s="9"/>
      <c r="E175" s="9"/>
      <c r="F175" s="42"/>
      <c r="G175" s="42"/>
      <c r="H175" s="42"/>
      <c r="I175" s="9"/>
      <c r="J175" s="9"/>
      <c r="K175" s="9"/>
      <c r="L175" s="9"/>
      <c r="M175" s="9"/>
      <c r="N175" s="38"/>
      <c r="O175" s="9"/>
      <c r="P175" s="39"/>
      <c r="Q175" s="9"/>
      <c r="R175" s="9"/>
      <c r="S175" s="9"/>
      <c r="T175" s="9"/>
      <c r="U175" s="9"/>
      <c r="V175" s="9"/>
      <c r="W175" s="9"/>
      <c r="X175" s="10" t="str">
        <f aca="false">IF(A175="","",SG_Criteria!$B$6&amp;SG_Criteria!$B$13&amp;"\"&amp;A175&amp;"\")</f>
        <v/>
      </c>
      <c r="Y175" s="10" t="str">
        <f aca="false">IF(A175="","",A175&amp;"_CAD.dwg")</f>
        <v/>
      </c>
      <c r="Z175" s="10" t="str">
        <f aca="false">IF(A175="","",A175&amp;"_DWG.pdf")</f>
        <v/>
      </c>
      <c r="AA175" s="10" t="str">
        <f aca="false">IF(A175="","",IF(W175="Y",A175&amp;"_STAAD.std","n/a"))</f>
        <v/>
      </c>
      <c r="AB175" s="10" t="str">
        <f aca="false">IF(A175="","",A175&amp;"_CALC.xlsx")</f>
        <v/>
      </c>
      <c r="AC175" s="10" t="str">
        <f aca="false">IF(A175="","",A175&amp;"_CALC.pdf")</f>
        <v/>
      </c>
      <c r="AD175" s="9"/>
      <c r="AE175" s="9"/>
      <c r="AF175" s="39"/>
      <c r="AG175" s="39"/>
      <c r="AH175" s="39"/>
      <c r="AI175" s="39"/>
      <c r="AJ175" s="39"/>
      <c r="AK175" s="12" t="str">
        <f aca="false">IF(A175="","",IF(COUNTIF(Rebar_Schedule!$A$5:$A$2004,A175)=0,"",ROUND(SUMIF(Rebar_Schedule!$A$5:$A$2004,A175,Rebar_Schedule!$K$5:$K$2004),1)))</f>
        <v/>
      </c>
      <c r="AL175" s="33" t="str">
        <f aca="false">IF(A175="","",IF(AK175="","No rebar schedule yet",IF(ABS(AK175-N(AG175))/MAX(N(AG175),1)&gt;SG_Criteria!$B$55,"NOTE: register rebar differs from schedule by "&amp;TEXT(ABS(AK175-N(AG175))/MAX(N(AG175),1),"0%"),"OK")))</f>
        <v/>
      </c>
      <c r="AM175" s="33" t="str">
        <f aca="false">IF(D175="","","OK")</f>
        <v/>
      </c>
      <c r="AN175" s="9"/>
      <c r="AO175" s="9"/>
      <c r="AP175" s="9"/>
      <c r="AQ175" s="10" t="str">
        <f aca="false">IF(AP175="","",IFERROR(VLOOKUP(AP175,Projects!$A$5:$D$504,2,0),"Ref not in Projects"))</f>
        <v/>
      </c>
      <c r="AR175" s="10" t="str">
        <f aca="false">IF(AP175="","",IFERROR(VLOOKUP(AP175,Projects!$A$5:$D$504,4,0),"Ref not in Projects"))</f>
        <v/>
      </c>
      <c r="AS175" s="9"/>
      <c r="AT175" s="9"/>
      <c r="AU175" s="9"/>
      <c r="AV175" s="40"/>
      <c r="AW175" s="9"/>
      <c r="AX175" s="40"/>
      <c r="AY175" s="9"/>
      <c r="AZ175" s="40"/>
      <c r="BA175" s="9"/>
      <c r="BB175" s="9"/>
      <c r="BC175" s="9"/>
      <c r="BD175" s="40"/>
      <c r="BE175" s="40"/>
      <c r="BF175" s="36" t="str">
        <f aca="false">IF(BE175="","",EDATE(BE175,SG_Criteria!$B$54*12))</f>
        <v/>
      </c>
      <c r="BG175" s="33" t="str">
        <f aca="true">IF(A175="","",IF(BE175="","NOTE: not reviewed yet",IF(TODAY()&gt;BF175,"NOTE: review overdue","OK")))</f>
        <v/>
      </c>
      <c r="BH175" s="37" t="str">
        <f aca="false">IF(A175="","",ROUND((IF(LEN(D175)&gt;0,1,0)+IF(LEN(E175)&gt;0,1,0)+IF(LEN(I175)&gt;0,1,0)+IF(LEN(K175)&gt;0,1,0)+IF(LEN(Q175)&gt;0,1,0)+IF(LEN(S175)&gt;0,1,0)+IF(LEN(T175)&gt;0,1,0)+IF(LEN(U175)&gt;0,1,0)+IF(LEN(V175)&gt;0,1,0)+IF(LEN(AE175)&gt;0,1,0)+IF(LEN(AP175)&gt;0,1,0)+IF(LEN(BC175)&gt;0,1,0))/12,2))</f>
        <v/>
      </c>
      <c r="BI175" s="10" t="str">
        <f aca="false">IF(D175="","",IF(AND(T175="Approved",ISERROR(SEARCH("FAIL",AM175))),"Y","N"))</f>
        <v/>
      </c>
    </row>
    <row r="176" customFormat="false" ht="15" hidden="false" customHeight="false" outlineLevel="0" collapsed="false">
      <c r="A176" s="10" t="str">
        <f aca="false">IF(D176="","",IFERROR(VLOOKUP(D176,Lists!$BI$4:$BJ$20,2,0),"??")&amp;"-"&amp;UPPER(SUBSTITUTE(E176," ",""))&amp;IF(F176&lt;&gt;"","-SP"&amp;TEXT(F176*1000,"0"),"")&amp;IF(G176&lt;&gt;"","-H"&amp;TEXT(G176*1000,"0"),"")&amp;"-"&amp;S176)</f>
        <v/>
      </c>
      <c r="B176" s="10" t="str">
        <f aca="false">IF(D176="","",D176&amp;" - "&amp;E176&amp;IF(F176&lt;&gt;"",", span "&amp;F176&amp;" m","")&amp;IF(G176&lt;&gt;"",", H "&amp;G176&amp;" m","")&amp;IF(H176&lt;&gt;"",", W "&amp;H176&amp;" m",""))</f>
        <v/>
      </c>
      <c r="C176" s="9"/>
      <c r="D176" s="9"/>
      <c r="E176" s="9"/>
      <c r="F176" s="42"/>
      <c r="G176" s="42"/>
      <c r="H176" s="42"/>
      <c r="I176" s="9"/>
      <c r="J176" s="9"/>
      <c r="K176" s="9"/>
      <c r="L176" s="9"/>
      <c r="M176" s="9"/>
      <c r="N176" s="38"/>
      <c r="O176" s="9"/>
      <c r="P176" s="39"/>
      <c r="Q176" s="9"/>
      <c r="R176" s="9"/>
      <c r="S176" s="9"/>
      <c r="T176" s="9"/>
      <c r="U176" s="9"/>
      <c r="V176" s="9"/>
      <c r="W176" s="9"/>
      <c r="X176" s="10" t="str">
        <f aca="false">IF(A176="","",SG_Criteria!$B$6&amp;SG_Criteria!$B$13&amp;"\"&amp;A176&amp;"\")</f>
        <v/>
      </c>
      <c r="Y176" s="10" t="str">
        <f aca="false">IF(A176="","",A176&amp;"_CAD.dwg")</f>
        <v/>
      </c>
      <c r="Z176" s="10" t="str">
        <f aca="false">IF(A176="","",A176&amp;"_DWG.pdf")</f>
        <v/>
      </c>
      <c r="AA176" s="10" t="str">
        <f aca="false">IF(A176="","",IF(W176="Y",A176&amp;"_STAAD.std","n/a"))</f>
        <v/>
      </c>
      <c r="AB176" s="10" t="str">
        <f aca="false">IF(A176="","",A176&amp;"_CALC.xlsx")</f>
        <v/>
      </c>
      <c r="AC176" s="10" t="str">
        <f aca="false">IF(A176="","",A176&amp;"_CALC.pdf")</f>
        <v/>
      </c>
      <c r="AD176" s="9"/>
      <c r="AE176" s="9"/>
      <c r="AF176" s="39"/>
      <c r="AG176" s="39"/>
      <c r="AH176" s="39"/>
      <c r="AI176" s="39"/>
      <c r="AJ176" s="39"/>
      <c r="AK176" s="12" t="str">
        <f aca="false">IF(A176="","",IF(COUNTIF(Rebar_Schedule!$A$5:$A$2004,A176)=0,"",ROUND(SUMIF(Rebar_Schedule!$A$5:$A$2004,A176,Rebar_Schedule!$K$5:$K$2004),1)))</f>
        <v/>
      </c>
      <c r="AL176" s="33" t="str">
        <f aca="false">IF(A176="","",IF(AK176="","No rebar schedule yet",IF(ABS(AK176-N(AG176))/MAX(N(AG176),1)&gt;SG_Criteria!$B$55,"NOTE: register rebar differs from schedule by "&amp;TEXT(ABS(AK176-N(AG176))/MAX(N(AG176),1),"0%"),"OK")))</f>
        <v/>
      </c>
      <c r="AM176" s="33" t="str">
        <f aca="false">IF(D176="","","OK")</f>
        <v/>
      </c>
      <c r="AN176" s="9"/>
      <c r="AO176" s="9"/>
      <c r="AP176" s="9"/>
      <c r="AQ176" s="10" t="str">
        <f aca="false">IF(AP176="","",IFERROR(VLOOKUP(AP176,Projects!$A$5:$D$504,2,0),"Ref not in Projects"))</f>
        <v/>
      </c>
      <c r="AR176" s="10" t="str">
        <f aca="false">IF(AP176="","",IFERROR(VLOOKUP(AP176,Projects!$A$5:$D$504,4,0),"Ref not in Projects"))</f>
        <v/>
      </c>
      <c r="AS176" s="9"/>
      <c r="AT176" s="9"/>
      <c r="AU176" s="9"/>
      <c r="AV176" s="40"/>
      <c r="AW176" s="9"/>
      <c r="AX176" s="40"/>
      <c r="AY176" s="9"/>
      <c r="AZ176" s="40"/>
      <c r="BA176" s="9"/>
      <c r="BB176" s="9"/>
      <c r="BC176" s="9"/>
      <c r="BD176" s="40"/>
      <c r="BE176" s="40"/>
      <c r="BF176" s="36" t="str">
        <f aca="false">IF(BE176="","",EDATE(BE176,SG_Criteria!$B$54*12))</f>
        <v/>
      </c>
      <c r="BG176" s="33" t="str">
        <f aca="true">IF(A176="","",IF(BE176="","NOTE: not reviewed yet",IF(TODAY()&gt;BF176,"NOTE: review overdue","OK")))</f>
        <v/>
      </c>
      <c r="BH176" s="37" t="str">
        <f aca="false">IF(A176="","",ROUND((IF(LEN(D176)&gt;0,1,0)+IF(LEN(E176)&gt;0,1,0)+IF(LEN(I176)&gt;0,1,0)+IF(LEN(K176)&gt;0,1,0)+IF(LEN(Q176)&gt;0,1,0)+IF(LEN(S176)&gt;0,1,0)+IF(LEN(T176)&gt;0,1,0)+IF(LEN(U176)&gt;0,1,0)+IF(LEN(V176)&gt;0,1,0)+IF(LEN(AE176)&gt;0,1,0)+IF(LEN(AP176)&gt;0,1,0)+IF(LEN(BC176)&gt;0,1,0))/12,2))</f>
        <v/>
      </c>
      <c r="BI176" s="10" t="str">
        <f aca="false">IF(D176="","",IF(AND(T176="Approved",ISERROR(SEARCH("FAIL",AM176))),"Y","N"))</f>
        <v/>
      </c>
    </row>
    <row r="177" customFormat="false" ht="15" hidden="false" customHeight="false" outlineLevel="0" collapsed="false">
      <c r="A177" s="10" t="str">
        <f aca="false">IF(D177="","",IFERROR(VLOOKUP(D177,Lists!$BI$4:$BJ$20,2,0),"??")&amp;"-"&amp;UPPER(SUBSTITUTE(E177," ",""))&amp;IF(F177&lt;&gt;"","-SP"&amp;TEXT(F177*1000,"0"),"")&amp;IF(G177&lt;&gt;"","-H"&amp;TEXT(G177*1000,"0"),"")&amp;"-"&amp;S177)</f>
        <v/>
      </c>
      <c r="B177" s="10" t="str">
        <f aca="false">IF(D177="","",D177&amp;" - "&amp;E177&amp;IF(F177&lt;&gt;"",", span "&amp;F177&amp;" m","")&amp;IF(G177&lt;&gt;"",", H "&amp;G177&amp;" m","")&amp;IF(H177&lt;&gt;"",", W "&amp;H177&amp;" m",""))</f>
        <v/>
      </c>
      <c r="C177" s="9"/>
      <c r="D177" s="9"/>
      <c r="E177" s="9"/>
      <c r="F177" s="42"/>
      <c r="G177" s="42"/>
      <c r="H177" s="42"/>
      <c r="I177" s="9"/>
      <c r="J177" s="9"/>
      <c r="K177" s="9"/>
      <c r="L177" s="9"/>
      <c r="M177" s="9"/>
      <c r="N177" s="38"/>
      <c r="O177" s="9"/>
      <c r="P177" s="39"/>
      <c r="Q177" s="9"/>
      <c r="R177" s="9"/>
      <c r="S177" s="9"/>
      <c r="T177" s="9"/>
      <c r="U177" s="9"/>
      <c r="V177" s="9"/>
      <c r="W177" s="9"/>
      <c r="X177" s="10" t="str">
        <f aca="false">IF(A177="","",SG_Criteria!$B$6&amp;SG_Criteria!$B$13&amp;"\"&amp;A177&amp;"\")</f>
        <v/>
      </c>
      <c r="Y177" s="10" t="str">
        <f aca="false">IF(A177="","",A177&amp;"_CAD.dwg")</f>
        <v/>
      </c>
      <c r="Z177" s="10" t="str">
        <f aca="false">IF(A177="","",A177&amp;"_DWG.pdf")</f>
        <v/>
      </c>
      <c r="AA177" s="10" t="str">
        <f aca="false">IF(A177="","",IF(W177="Y",A177&amp;"_STAAD.std","n/a"))</f>
        <v/>
      </c>
      <c r="AB177" s="10" t="str">
        <f aca="false">IF(A177="","",A177&amp;"_CALC.xlsx")</f>
        <v/>
      </c>
      <c r="AC177" s="10" t="str">
        <f aca="false">IF(A177="","",A177&amp;"_CALC.pdf")</f>
        <v/>
      </c>
      <c r="AD177" s="9"/>
      <c r="AE177" s="9"/>
      <c r="AF177" s="39"/>
      <c r="AG177" s="39"/>
      <c r="AH177" s="39"/>
      <c r="AI177" s="39"/>
      <c r="AJ177" s="39"/>
      <c r="AK177" s="12" t="str">
        <f aca="false">IF(A177="","",IF(COUNTIF(Rebar_Schedule!$A$5:$A$2004,A177)=0,"",ROUND(SUMIF(Rebar_Schedule!$A$5:$A$2004,A177,Rebar_Schedule!$K$5:$K$2004),1)))</f>
        <v/>
      </c>
      <c r="AL177" s="33" t="str">
        <f aca="false">IF(A177="","",IF(AK177="","No rebar schedule yet",IF(ABS(AK177-N(AG177))/MAX(N(AG177),1)&gt;SG_Criteria!$B$55,"NOTE: register rebar differs from schedule by "&amp;TEXT(ABS(AK177-N(AG177))/MAX(N(AG177),1),"0%"),"OK")))</f>
        <v/>
      </c>
      <c r="AM177" s="33" t="str">
        <f aca="false">IF(D177="","","OK")</f>
        <v/>
      </c>
      <c r="AN177" s="9"/>
      <c r="AO177" s="9"/>
      <c r="AP177" s="9"/>
      <c r="AQ177" s="10" t="str">
        <f aca="false">IF(AP177="","",IFERROR(VLOOKUP(AP177,Projects!$A$5:$D$504,2,0),"Ref not in Projects"))</f>
        <v/>
      </c>
      <c r="AR177" s="10" t="str">
        <f aca="false">IF(AP177="","",IFERROR(VLOOKUP(AP177,Projects!$A$5:$D$504,4,0),"Ref not in Projects"))</f>
        <v/>
      </c>
      <c r="AS177" s="9"/>
      <c r="AT177" s="9"/>
      <c r="AU177" s="9"/>
      <c r="AV177" s="40"/>
      <c r="AW177" s="9"/>
      <c r="AX177" s="40"/>
      <c r="AY177" s="9"/>
      <c r="AZ177" s="40"/>
      <c r="BA177" s="9"/>
      <c r="BB177" s="9"/>
      <c r="BC177" s="9"/>
      <c r="BD177" s="40"/>
      <c r="BE177" s="40"/>
      <c r="BF177" s="36" t="str">
        <f aca="false">IF(BE177="","",EDATE(BE177,SG_Criteria!$B$54*12))</f>
        <v/>
      </c>
      <c r="BG177" s="33" t="str">
        <f aca="true">IF(A177="","",IF(BE177="","NOTE: not reviewed yet",IF(TODAY()&gt;BF177,"NOTE: review overdue","OK")))</f>
        <v/>
      </c>
      <c r="BH177" s="37" t="str">
        <f aca="false">IF(A177="","",ROUND((IF(LEN(D177)&gt;0,1,0)+IF(LEN(E177)&gt;0,1,0)+IF(LEN(I177)&gt;0,1,0)+IF(LEN(K177)&gt;0,1,0)+IF(LEN(Q177)&gt;0,1,0)+IF(LEN(S177)&gt;0,1,0)+IF(LEN(T177)&gt;0,1,0)+IF(LEN(U177)&gt;0,1,0)+IF(LEN(V177)&gt;0,1,0)+IF(LEN(AE177)&gt;0,1,0)+IF(LEN(AP177)&gt;0,1,0)+IF(LEN(BC177)&gt;0,1,0))/12,2))</f>
        <v/>
      </c>
      <c r="BI177" s="10" t="str">
        <f aca="false">IF(D177="","",IF(AND(T177="Approved",ISERROR(SEARCH("FAIL",AM177))),"Y","N"))</f>
        <v/>
      </c>
    </row>
    <row r="178" customFormat="false" ht="15" hidden="false" customHeight="false" outlineLevel="0" collapsed="false">
      <c r="A178" s="10" t="str">
        <f aca="false">IF(D178="","",IFERROR(VLOOKUP(D178,Lists!$BI$4:$BJ$20,2,0),"??")&amp;"-"&amp;UPPER(SUBSTITUTE(E178," ",""))&amp;IF(F178&lt;&gt;"","-SP"&amp;TEXT(F178*1000,"0"),"")&amp;IF(G178&lt;&gt;"","-H"&amp;TEXT(G178*1000,"0"),"")&amp;"-"&amp;S178)</f>
        <v/>
      </c>
      <c r="B178" s="10" t="str">
        <f aca="false">IF(D178="","",D178&amp;" - "&amp;E178&amp;IF(F178&lt;&gt;"",", span "&amp;F178&amp;" m","")&amp;IF(G178&lt;&gt;"",", H "&amp;G178&amp;" m","")&amp;IF(H178&lt;&gt;"",", W "&amp;H178&amp;" m",""))</f>
        <v/>
      </c>
      <c r="C178" s="9"/>
      <c r="D178" s="9"/>
      <c r="E178" s="9"/>
      <c r="F178" s="42"/>
      <c r="G178" s="42"/>
      <c r="H178" s="42"/>
      <c r="I178" s="9"/>
      <c r="J178" s="9"/>
      <c r="K178" s="9"/>
      <c r="L178" s="9"/>
      <c r="M178" s="9"/>
      <c r="N178" s="38"/>
      <c r="O178" s="9"/>
      <c r="P178" s="39"/>
      <c r="Q178" s="9"/>
      <c r="R178" s="9"/>
      <c r="S178" s="9"/>
      <c r="T178" s="9"/>
      <c r="U178" s="9"/>
      <c r="V178" s="9"/>
      <c r="W178" s="9"/>
      <c r="X178" s="10" t="str">
        <f aca="false">IF(A178="","",SG_Criteria!$B$6&amp;SG_Criteria!$B$13&amp;"\"&amp;A178&amp;"\")</f>
        <v/>
      </c>
      <c r="Y178" s="10" t="str">
        <f aca="false">IF(A178="","",A178&amp;"_CAD.dwg")</f>
        <v/>
      </c>
      <c r="Z178" s="10" t="str">
        <f aca="false">IF(A178="","",A178&amp;"_DWG.pdf")</f>
        <v/>
      </c>
      <c r="AA178" s="10" t="str">
        <f aca="false">IF(A178="","",IF(W178="Y",A178&amp;"_STAAD.std","n/a"))</f>
        <v/>
      </c>
      <c r="AB178" s="10" t="str">
        <f aca="false">IF(A178="","",A178&amp;"_CALC.xlsx")</f>
        <v/>
      </c>
      <c r="AC178" s="10" t="str">
        <f aca="false">IF(A178="","",A178&amp;"_CALC.pdf")</f>
        <v/>
      </c>
      <c r="AD178" s="9"/>
      <c r="AE178" s="9"/>
      <c r="AF178" s="39"/>
      <c r="AG178" s="39"/>
      <c r="AH178" s="39"/>
      <c r="AI178" s="39"/>
      <c r="AJ178" s="39"/>
      <c r="AK178" s="12" t="str">
        <f aca="false">IF(A178="","",IF(COUNTIF(Rebar_Schedule!$A$5:$A$2004,A178)=0,"",ROUND(SUMIF(Rebar_Schedule!$A$5:$A$2004,A178,Rebar_Schedule!$K$5:$K$2004),1)))</f>
        <v/>
      </c>
      <c r="AL178" s="33" t="str">
        <f aca="false">IF(A178="","",IF(AK178="","No rebar schedule yet",IF(ABS(AK178-N(AG178))/MAX(N(AG178),1)&gt;SG_Criteria!$B$55,"NOTE: register rebar differs from schedule by "&amp;TEXT(ABS(AK178-N(AG178))/MAX(N(AG178),1),"0%"),"OK")))</f>
        <v/>
      </c>
      <c r="AM178" s="33" t="str">
        <f aca="false">IF(D178="","","OK")</f>
        <v/>
      </c>
      <c r="AN178" s="9"/>
      <c r="AO178" s="9"/>
      <c r="AP178" s="9"/>
      <c r="AQ178" s="10" t="str">
        <f aca="false">IF(AP178="","",IFERROR(VLOOKUP(AP178,Projects!$A$5:$D$504,2,0),"Ref not in Projects"))</f>
        <v/>
      </c>
      <c r="AR178" s="10" t="str">
        <f aca="false">IF(AP178="","",IFERROR(VLOOKUP(AP178,Projects!$A$5:$D$504,4,0),"Ref not in Projects"))</f>
        <v/>
      </c>
      <c r="AS178" s="9"/>
      <c r="AT178" s="9"/>
      <c r="AU178" s="9"/>
      <c r="AV178" s="40"/>
      <c r="AW178" s="9"/>
      <c r="AX178" s="40"/>
      <c r="AY178" s="9"/>
      <c r="AZ178" s="40"/>
      <c r="BA178" s="9"/>
      <c r="BB178" s="9"/>
      <c r="BC178" s="9"/>
      <c r="BD178" s="40"/>
      <c r="BE178" s="40"/>
      <c r="BF178" s="36" t="str">
        <f aca="false">IF(BE178="","",EDATE(BE178,SG_Criteria!$B$54*12))</f>
        <v/>
      </c>
      <c r="BG178" s="33" t="str">
        <f aca="true">IF(A178="","",IF(BE178="","NOTE: not reviewed yet",IF(TODAY()&gt;BF178,"NOTE: review overdue","OK")))</f>
        <v/>
      </c>
      <c r="BH178" s="37" t="str">
        <f aca="false">IF(A178="","",ROUND((IF(LEN(D178)&gt;0,1,0)+IF(LEN(E178)&gt;0,1,0)+IF(LEN(I178)&gt;0,1,0)+IF(LEN(K178)&gt;0,1,0)+IF(LEN(Q178)&gt;0,1,0)+IF(LEN(S178)&gt;0,1,0)+IF(LEN(T178)&gt;0,1,0)+IF(LEN(U178)&gt;0,1,0)+IF(LEN(V178)&gt;0,1,0)+IF(LEN(AE178)&gt;0,1,0)+IF(LEN(AP178)&gt;0,1,0)+IF(LEN(BC178)&gt;0,1,0))/12,2))</f>
        <v/>
      </c>
      <c r="BI178" s="10" t="str">
        <f aca="false">IF(D178="","",IF(AND(T178="Approved",ISERROR(SEARCH("FAIL",AM178))),"Y","N"))</f>
        <v/>
      </c>
    </row>
    <row r="179" customFormat="false" ht="15" hidden="false" customHeight="false" outlineLevel="0" collapsed="false">
      <c r="A179" s="10" t="str">
        <f aca="false">IF(D179="","",IFERROR(VLOOKUP(D179,Lists!$BI$4:$BJ$20,2,0),"??")&amp;"-"&amp;UPPER(SUBSTITUTE(E179," ",""))&amp;IF(F179&lt;&gt;"","-SP"&amp;TEXT(F179*1000,"0"),"")&amp;IF(G179&lt;&gt;"","-H"&amp;TEXT(G179*1000,"0"),"")&amp;"-"&amp;S179)</f>
        <v/>
      </c>
      <c r="B179" s="10" t="str">
        <f aca="false">IF(D179="","",D179&amp;" - "&amp;E179&amp;IF(F179&lt;&gt;"",", span "&amp;F179&amp;" m","")&amp;IF(G179&lt;&gt;"",", H "&amp;G179&amp;" m","")&amp;IF(H179&lt;&gt;"",", W "&amp;H179&amp;" m",""))</f>
        <v/>
      </c>
      <c r="C179" s="9"/>
      <c r="D179" s="9"/>
      <c r="E179" s="9"/>
      <c r="F179" s="42"/>
      <c r="G179" s="42"/>
      <c r="H179" s="42"/>
      <c r="I179" s="9"/>
      <c r="J179" s="9"/>
      <c r="K179" s="9"/>
      <c r="L179" s="9"/>
      <c r="M179" s="9"/>
      <c r="N179" s="38"/>
      <c r="O179" s="9"/>
      <c r="P179" s="39"/>
      <c r="Q179" s="9"/>
      <c r="R179" s="9"/>
      <c r="S179" s="9"/>
      <c r="T179" s="9"/>
      <c r="U179" s="9"/>
      <c r="V179" s="9"/>
      <c r="W179" s="9"/>
      <c r="X179" s="10" t="str">
        <f aca="false">IF(A179="","",SG_Criteria!$B$6&amp;SG_Criteria!$B$13&amp;"\"&amp;A179&amp;"\")</f>
        <v/>
      </c>
      <c r="Y179" s="10" t="str">
        <f aca="false">IF(A179="","",A179&amp;"_CAD.dwg")</f>
        <v/>
      </c>
      <c r="Z179" s="10" t="str">
        <f aca="false">IF(A179="","",A179&amp;"_DWG.pdf")</f>
        <v/>
      </c>
      <c r="AA179" s="10" t="str">
        <f aca="false">IF(A179="","",IF(W179="Y",A179&amp;"_STAAD.std","n/a"))</f>
        <v/>
      </c>
      <c r="AB179" s="10" t="str">
        <f aca="false">IF(A179="","",A179&amp;"_CALC.xlsx")</f>
        <v/>
      </c>
      <c r="AC179" s="10" t="str">
        <f aca="false">IF(A179="","",A179&amp;"_CALC.pdf")</f>
        <v/>
      </c>
      <c r="AD179" s="9"/>
      <c r="AE179" s="9"/>
      <c r="AF179" s="39"/>
      <c r="AG179" s="39"/>
      <c r="AH179" s="39"/>
      <c r="AI179" s="39"/>
      <c r="AJ179" s="39"/>
      <c r="AK179" s="12" t="str">
        <f aca="false">IF(A179="","",IF(COUNTIF(Rebar_Schedule!$A$5:$A$2004,A179)=0,"",ROUND(SUMIF(Rebar_Schedule!$A$5:$A$2004,A179,Rebar_Schedule!$K$5:$K$2004),1)))</f>
        <v/>
      </c>
      <c r="AL179" s="33" t="str">
        <f aca="false">IF(A179="","",IF(AK179="","No rebar schedule yet",IF(ABS(AK179-N(AG179))/MAX(N(AG179),1)&gt;SG_Criteria!$B$55,"NOTE: register rebar differs from schedule by "&amp;TEXT(ABS(AK179-N(AG179))/MAX(N(AG179),1),"0%"),"OK")))</f>
        <v/>
      </c>
      <c r="AM179" s="33" t="str">
        <f aca="false">IF(D179="","","OK")</f>
        <v/>
      </c>
      <c r="AN179" s="9"/>
      <c r="AO179" s="9"/>
      <c r="AP179" s="9"/>
      <c r="AQ179" s="10" t="str">
        <f aca="false">IF(AP179="","",IFERROR(VLOOKUP(AP179,Projects!$A$5:$D$504,2,0),"Ref not in Projects"))</f>
        <v/>
      </c>
      <c r="AR179" s="10" t="str">
        <f aca="false">IF(AP179="","",IFERROR(VLOOKUP(AP179,Projects!$A$5:$D$504,4,0),"Ref not in Projects"))</f>
        <v/>
      </c>
      <c r="AS179" s="9"/>
      <c r="AT179" s="9"/>
      <c r="AU179" s="9"/>
      <c r="AV179" s="40"/>
      <c r="AW179" s="9"/>
      <c r="AX179" s="40"/>
      <c r="AY179" s="9"/>
      <c r="AZ179" s="40"/>
      <c r="BA179" s="9"/>
      <c r="BB179" s="9"/>
      <c r="BC179" s="9"/>
      <c r="BD179" s="40"/>
      <c r="BE179" s="40"/>
      <c r="BF179" s="36" t="str">
        <f aca="false">IF(BE179="","",EDATE(BE179,SG_Criteria!$B$54*12))</f>
        <v/>
      </c>
      <c r="BG179" s="33" t="str">
        <f aca="true">IF(A179="","",IF(BE179="","NOTE: not reviewed yet",IF(TODAY()&gt;BF179,"NOTE: review overdue","OK")))</f>
        <v/>
      </c>
      <c r="BH179" s="37" t="str">
        <f aca="false">IF(A179="","",ROUND((IF(LEN(D179)&gt;0,1,0)+IF(LEN(E179)&gt;0,1,0)+IF(LEN(I179)&gt;0,1,0)+IF(LEN(K179)&gt;0,1,0)+IF(LEN(Q179)&gt;0,1,0)+IF(LEN(S179)&gt;0,1,0)+IF(LEN(T179)&gt;0,1,0)+IF(LEN(U179)&gt;0,1,0)+IF(LEN(V179)&gt;0,1,0)+IF(LEN(AE179)&gt;0,1,0)+IF(LEN(AP179)&gt;0,1,0)+IF(LEN(BC179)&gt;0,1,0))/12,2))</f>
        <v/>
      </c>
      <c r="BI179" s="10" t="str">
        <f aca="false">IF(D179="","",IF(AND(T179="Approved",ISERROR(SEARCH("FAIL",AM179))),"Y","N"))</f>
        <v/>
      </c>
    </row>
    <row r="180" customFormat="false" ht="15" hidden="false" customHeight="false" outlineLevel="0" collapsed="false">
      <c r="A180" s="10" t="str">
        <f aca="false">IF(D180="","",IFERROR(VLOOKUP(D180,Lists!$BI$4:$BJ$20,2,0),"??")&amp;"-"&amp;UPPER(SUBSTITUTE(E180," ",""))&amp;IF(F180&lt;&gt;"","-SP"&amp;TEXT(F180*1000,"0"),"")&amp;IF(G180&lt;&gt;"","-H"&amp;TEXT(G180*1000,"0"),"")&amp;"-"&amp;S180)</f>
        <v/>
      </c>
      <c r="B180" s="10" t="str">
        <f aca="false">IF(D180="","",D180&amp;" - "&amp;E180&amp;IF(F180&lt;&gt;"",", span "&amp;F180&amp;" m","")&amp;IF(G180&lt;&gt;"",", H "&amp;G180&amp;" m","")&amp;IF(H180&lt;&gt;"",", W "&amp;H180&amp;" m",""))</f>
        <v/>
      </c>
      <c r="C180" s="9"/>
      <c r="D180" s="9"/>
      <c r="E180" s="9"/>
      <c r="F180" s="42"/>
      <c r="G180" s="42"/>
      <c r="H180" s="42"/>
      <c r="I180" s="9"/>
      <c r="J180" s="9"/>
      <c r="K180" s="9"/>
      <c r="L180" s="9"/>
      <c r="M180" s="9"/>
      <c r="N180" s="38"/>
      <c r="O180" s="9"/>
      <c r="P180" s="39"/>
      <c r="Q180" s="9"/>
      <c r="R180" s="9"/>
      <c r="S180" s="9"/>
      <c r="T180" s="9"/>
      <c r="U180" s="9"/>
      <c r="V180" s="9"/>
      <c r="W180" s="9"/>
      <c r="X180" s="10" t="str">
        <f aca="false">IF(A180="","",SG_Criteria!$B$6&amp;SG_Criteria!$B$13&amp;"\"&amp;A180&amp;"\")</f>
        <v/>
      </c>
      <c r="Y180" s="10" t="str">
        <f aca="false">IF(A180="","",A180&amp;"_CAD.dwg")</f>
        <v/>
      </c>
      <c r="Z180" s="10" t="str">
        <f aca="false">IF(A180="","",A180&amp;"_DWG.pdf")</f>
        <v/>
      </c>
      <c r="AA180" s="10" t="str">
        <f aca="false">IF(A180="","",IF(W180="Y",A180&amp;"_STAAD.std","n/a"))</f>
        <v/>
      </c>
      <c r="AB180" s="10" t="str">
        <f aca="false">IF(A180="","",A180&amp;"_CALC.xlsx")</f>
        <v/>
      </c>
      <c r="AC180" s="10" t="str">
        <f aca="false">IF(A180="","",A180&amp;"_CALC.pdf")</f>
        <v/>
      </c>
      <c r="AD180" s="9"/>
      <c r="AE180" s="9"/>
      <c r="AF180" s="39"/>
      <c r="AG180" s="39"/>
      <c r="AH180" s="39"/>
      <c r="AI180" s="39"/>
      <c r="AJ180" s="39"/>
      <c r="AK180" s="12" t="str">
        <f aca="false">IF(A180="","",IF(COUNTIF(Rebar_Schedule!$A$5:$A$2004,A180)=0,"",ROUND(SUMIF(Rebar_Schedule!$A$5:$A$2004,A180,Rebar_Schedule!$K$5:$K$2004),1)))</f>
        <v/>
      </c>
      <c r="AL180" s="33" t="str">
        <f aca="false">IF(A180="","",IF(AK180="","No rebar schedule yet",IF(ABS(AK180-N(AG180))/MAX(N(AG180),1)&gt;SG_Criteria!$B$55,"NOTE: register rebar differs from schedule by "&amp;TEXT(ABS(AK180-N(AG180))/MAX(N(AG180),1),"0%"),"OK")))</f>
        <v/>
      </c>
      <c r="AM180" s="33" t="str">
        <f aca="false">IF(D180="","","OK")</f>
        <v/>
      </c>
      <c r="AN180" s="9"/>
      <c r="AO180" s="9"/>
      <c r="AP180" s="9"/>
      <c r="AQ180" s="10" t="str">
        <f aca="false">IF(AP180="","",IFERROR(VLOOKUP(AP180,Projects!$A$5:$D$504,2,0),"Ref not in Projects"))</f>
        <v/>
      </c>
      <c r="AR180" s="10" t="str">
        <f aca="false">IF(AP180="","",IFERROR(VLOOKUP(AP180,Projects!$A$5:$D$504,4,0),"Ref not in Projects"))</f>
        <v/>
      </c>
      <c r="AS180" s="9"/>
      <c r="AT180" s="9"/>
      <c r="AU180" s="9"/>
      <c r="AV180" s="40"/>
      <c r="AW180" s="9"/>
      <c r="AX180" s="40"/>
      <c r="AY180" s="9"/>
      <c r="AZ180" s="40"/>
      <c r="BA180" s="9"/>
      <c r="BB180" s="9"/>
      <c r="BC180" s="9"/>
      <c r="BD180" s="40"/>
      <c r="BE180" s="40"/>
      <c r="BF180" s="36" t="str">
        <f aca="false">IF(BE180="","",EDATE(BE180,SG_Criteria!$B$54*12))</f>
        <v/>
      </c>
      <c r="BG180" s="33" t="str">
        <f aca="true">IF(A180="","",IF(BE180="","NOTE: not reviewed yet",IF(TODAY()&gt;BF180,"NOTE: review overdue","OK")))</f>
        <v/>
      </c>
      <c r="BH180" s="37" t="str">
        <f aca="false">IF(A180="","",ROUND((IF(LEN(D180)&gt;0,1,0)+IF(LEN(E180)&gt;0,1,0)+IF(LEN(I180)&gt;0,1,0)+IF(LEN(K180)&gt;0,1,0)+IF(LEN(Q180)&gt;0,1,0)+IF(LEN(S180)&gt;0,1,0)+IF(LEN(T180)&gt;0,1,0)+IF(LEN(U180)&gt;0,1,0)+IF(LEN(V180)&gt;0,1,0)+IF(LEN(AE180)&gt;0,1,0)+IF(LEN(AP180)&gt;0,1,0)+IF(LEN(BC180)&gt;0,1,0))/12,2))</f>
        <v/>
      </c>
      <c r="BI180" s="10" t="str">
        <f aca="false">IF(D180="","",IF(AND(T180="Approved",ISERROR(SEARCH("FAIL",AM180))),"Y","N"))</f>
        <v/>
      </c>
    </row>
    <row r="181" customFormat="false" ht="15" hidden="false" customHeight="false" outlineLevel="0" collapsed="false">
      <c r="A181" s="10" t="str">
        <f aca="false">IF(D181="","",IFERROR(VLOOKUP(D181,Lists!$BI$4:$BJ$20,2,0),"??")&amp;"-"&amp;UPPER(SUBSTITUTE(E181," ",""))&amp;IF(F181&lt;&gt;"","-SP"&amp;TEXT(F181*1000,"0"),"")&amp;IF(G181&lt;&gt;"","-H"&amp;TEXT(G181*1000,"0"),"")&amp;"-"&amp;S181)</f>
        <v/>
      </c>
      <c r="B181" s="10" t="str">
        <f aca="false">IF(D181="","",D181&amp;" - "&amp;E181&amp;IF(F181&lt;&gt;"",", span "&amp;F181&amp;" m","")&amp;IF(G181&lt;&gt;"",", H "&amp;G181&amp;" m","")&amp;IF(H181&lt;&gt;"",", W "&amp;H181&amp;" m",""))</f>
        <v/>
      </c>
      <c r="C181" s="9"/>
      <c r="D181" s="9"/>
      <c r="E181" s="9"/>
      <c r="F181" s="42"/>
      <c r="G181" s="42"/>
      <c r="H181" s="42"/>
      <c r="I181" s="9"/>
      <c r="J181" s="9"/>
      <c r="K181" s="9"/>
      <c r="L181" s="9"/>
      <c r="M181" s="9"/>
      <c r="N181" s="38"/>
      <c r="O181" s="9"/>
      <c r="P181" s="39"/>
      <c r="Q181" s="9"/>
      <c r="R181" s="9"/>
      <c r="S181" s="9"/>
      <c r="T181" s="9"/>
      <c r="U181" s="9"/>
      <c r="V181" s="9"/>
      <c r="W181" s="9"/>
      <c r="X181" s="10" t="str">
        <f aca="false">IF(A181="","",SG_Criteria!$B$6&amp;SG_Criteria!$B$13&amp;"\"&amp;A181&amp;"\")</f>
        <v/>
      </c>
      <c r="Y181" s="10" t="str">
        <f aca="false">IF(A181="","",A181&amp;"_CAD.dwg")</f>
        <v/>
      </c>
      <c r="Z181" s="10" t="str">
        <f aca="false">IF(A181="","",A181&amp;"_DWG.pdf")</f>
        <v/>
      </c>
      <c r="AA181" s="10" t="str">
        <f aca="false">IF(A181="","",IF(W181="Y",A181&amp;"_STAAD.std","n/a"))</f>
        <v/>
      </c>
      <c r="AB181" s="10" t="str">
        <f aca="false">IF(A181="","",A181&amp;"_CALC.xlsx")</f>
        <v/>
      </c>
      <c r="AC181" s="10" t="str">
        <f aca="false">IF(A181="","",A181&amp;"_CALC.pdf")</f>
        <v/>
      </c>
      <c r="AD181" s="9"/>
      <c r="AE181" s="9"/>
      <c r="AF181" s="39"/>
      <c r="AG181" s="39"/>
      <c r="AH181" s="39"/>
      <c r="AI181" s="39"/>
      <c r="AJ181" s="39"/>
      <c r="AK181" s="12" t="str">
        <f aca="false">IF(A181="","",IF(COUNTIF(Rebar_Schedule!$A$5:$A$2004,A181)=0,"",ROUND(SUMIF(Rebar_Schedule!$A$5:$A$2004,A181,Rebar_Schedule!$K$5:$K$2004),1)))</f>
        <v/>
      </c>
      <c r="AL181" s="33" t="str">
        <f aca="false">IF(A181="","",IF(AK181="","No rebar schedule yet",IF(ABS(AK181-N(AG181))/MAX(N(AG181),1)&gt;SG_Criteria!$B$55,"NOTE: register rebar differs from schedule by "&amp;TEXT(ABS(AK181-N(AG181))/MAX(N(AG181),1),"0%"),"OK")))</f>
        <v/>
      </c>
      <c r="AM181" s="33" t="str">
        <f aca="false">IF(D181="","","OK")</f>
        <v/>
      </c>
      <c r="AN181" s="9"/>
      <c r="AO181" s="9"/>
      <c r="AP181" s="9"/>
      <c r="AQ181" s="10" t="str">
        <f aca="false">IF(AP181="","",IFERROR(VLOOKUP(AP181,Projects!$A$5:$D$504,2,0),"Ref not in Projects"))</f>
        <v/>
      </c>
      <c r="AR181" s="10" t="str">
        <f aca="false">IF(AP181="","",IFERROR(VLOOKUP(AP181,Projects!$A$5:$D$504,4,0),"Ref not in Projects"))</f>
        <v/>
      </c>
      <c r="AS181" s="9"/>
      <c r="AT181" s="9"/>
      <c r="AU181" s="9"/>
      <c r="AV181" s="40"/>
      <c r="AW181" s="9"/>
      <c r="AX181" s="40"/>
      <c r="AY181" s="9"/>
      <c r="AZ181" s="40"/>
      <c r="BA181" s="9"/>
      <c r="BB181" s="9"/>
      <c r="BC181" s="9"/>
      <c r="BD181" s="40"/>
      <c r="BE181" s="40"/>
      <c r="BF181" s="36" t="str">
        <f aca="false">IF(BE181="","",EDATE(BE181,SG_Criteria!$B$54*12))</f>
        <v/>
      </c>
      <c r="BG181" s="33" t="str">
        <f aca="true">IF(A181="","",IF(BE181="","NOTE: not reviewed yet",IF(TODAY()&gt;BF181,"NOTE: review overdue","OK")))</f>
        <v/>
      </c>
      <c r="BH181" s="37" t="str">
        <f aca="false">IF(A181="","",ROUND((IF(LEN(D181)&gt;0,1,0)+IF(LEN(E181)&gt;0,1,0)+IF(LEN(I181)&gt;0,1,0)+IF(LEN(K181)&gt;0,1,0)+IF(LEN(Q181)&gt;0,1,0)+IF(LEN(S181)&gt;0,1,0)+IF(LEN(T181)&gt;0,1,0)+IF(LEN(U181)&gt;0,1,0)+IF(LEN(V181)&gt;0,1,0)+IF(LEN(AE181)&gt;0,1,0)+IF(LEN(AP181)&gt;0,1,0)+IF(LEN(BC181)&gt;0,1,0))/12,2))</f>
        <v/>
      </c>
      <c r="BI181" s="10" t="str">
        <f aca="false">IF(D181="","",IF(AND(T181="Approved",ISERROR(SEARCH("FAIL",AM181))),"Y","N"))</f>
        <v/>
      </c>
    </row>
    <row r="182" customFormat="false" ht="15" hidden="false" customHeight="false" outlineLevel="0" collapsed="false">
      <c r="A182" s="10" t="str">
        <f aca="false">IF(D182="","",IFERROR(VLOOKUP(D182,Lists!$BI$4:$BJ$20,2,0),"??")&amp;"-"&amp;UPPER(SUBSTITUTE(E182," ",""))&amp;IF(F182&lt;&gt;"","-SP"&amp;TEXT(F182*1000,"0"),"")&amp;IF(G182&lt;&gt;"","-H"&amp;TEXT(G182*1000,"0"),"")&amp;"-"&amp;S182)</f>
        <v/>
      </c>
      <c r="B182" s="10" t="str">
        <f aca="false">IF(D182="","",D182&amp;" - "&amp;E182&amp;IF(F182&lt;&gt;"",", span "&amp;F182&amp;" m","")&amp;IF(G182&lt;&gt;"",", H "&amp;G182&amp;" m","")&amp;IF(H182&lt;&gt;"",", W "&amp;H182&amp;" m",""))</f>
        <v/>
      </c>
      <c r="C182" s="9"/>
      <c r="D182" s="9"/>
      <c r="E182" s="9"/>
      <c r="F182" s="42"/>
      <c r="G182" s="42"/>
      <c r="H182" s="42"/>
      <c r="I182" s="9"/>
      <c r="J182" s="9"/>
      <c r="K182" s="9"/>
      <c r="L182" s="9"/>
      <c r="M182" s="9"/>
      <c r="N182" s="38"/>
      <c r="O182" s="9"/>
      <c r="P182" s="39"/>
      <c r="Q182" s="9"/>
      <c r="R182" s="9"/>
      <c r="S182" s="9"/>
      <c r="T182" s="9"/>
      <c r="U182" s="9"/>
      <c r="V182" s="9"/>
      <c r="W182" s="9"/>
      <c r="X182" s="10" t="str">
        <f aca="false">IF(A182="","",SG_Criteria!$B$6&amp;SG_Criteria!$B$13&amp;"\"&amp;A182&amp;"\")</f>
        <v/>
      </c>
      <c r="Y182" s="10" t="str">
        <f aca="false">IF(A182="","",A182&amp;"_CAD.dwg")</f>
        <v/>
      </c>
      <c r="Z182" s="10" t="str">
        <f aca="false">IF(A182="","",A182&amp;"_DWG.pdf")</f>
        <v/>
      </c>
      <c r="AA182" s="10" t="str">
        <f aca="false">IF(A182="","",IF(W182="Y",A182&amp;"_STAAD.std","n/a"))</f>
        <v/>
      </c>
      <c r="AB182" s="10" t="str">
        <f aca="false">IF(A182="","",A182&amp;"_CALC.xlsx")</f>
        <v/>
      </c>
      <c r="AC182" s="10" t="str">
        <f aca="false">IF(A182="","",A182&amp;"_CALC.pdf")</f>
        <v/>
      </c>
      <c r="AD182" s="9"/>
      <c r="AE182" s="9"/>
      <c r="AF182" s="39"/>
      <c r="AG182" s="39"/>
      <c r="AH182" s="39"/>
      <c r="AI182" s="39"/>
      <c r="AJ182" s="39"/>
      <c r="AK182" s="12" t="str">
        <f aca="false">IF(A182="","",IF(COUNTIF(Rebar_Schedule!$A$5:$A$2004,A182)=0,"",ROUND(SUMIF(Rebar_Schedule!$A$5:$A$2004,A182,Rebar_Schedule!$K$5:$K$2004),1)))</f>
        <v/>
      </c>
      <c r="AL182" s="33" t="str">
        <f aca="false">IF(A182="","",IF(AK182="","No rebar schedule yet",IF(ABS(AK182-N(AG182))/MAX(N(AG182),1)&gt;SG_Criteria!$B$55,"NOTE: register rebar differs from schedule by "&amp;TEXT(ABS(AK182-N(AG182))/MAX(N(AG182),1),"0%"),"OK")))</f>
        <v/>
      </c>
      <c r="AM182" s="33" t="str">
        <f aca="false">IF(D182="","","OK")</f>
        <v/>
      </c>
      <c r="AN182" s="9"/>
      <c r="AO182" s="9"/>
      <c r="AP182" s="9"/>
      <c r="AQ182" s="10" t="str">
        <f aca="false">IF(AP182="","",IFERROR(VLOOKUP(AP182,Projects!$A$5:$D$504,2,0),"Ref not in Projects"))</f>
        <v/>
      </c>
      <c r="AR182" s="10" t="str">
        <f aca="false">IF(AP182="","",IFERROR(VLOOKUP(AP182,Projects!$A$5:$D$504,4,0),"Ref not in Projects"))</f>
        <v/>
      </c>
      <c r="AS182" s="9"/>
      <c r="AT182" s="9"/>
      <c r="AU182" s="9"/>
      <c r="AV182" s="40"/>
      <c r="AW182" s="9"/>
      <c r="AX182" s="40"/>
      <c r="AY182" s="9"/>
      <c r="AZ182" s="40"/>
      <c r="BA182" s="9"/>
      <c r="BB182" s="9"/>
      <c r="BC182" s="9"/>
      <c r="BD182" s="40"/>
      <c r="BE182" s="40"/>
      <c r="BF182" s="36" t="str">
        <f aca="false">IF(BE182="","",EDATE(BE182,SG_Criteria!$B$54*12))</f>
        <v/>
      </c>
      <c r="BG182" s="33" t="str">
        <f aca="true">IF(A182="","",IF(BE182="","NOTE: not reviewed yet",IF(TODAY()&gt;BF182,"NOTE: review overdue","OK")))</f>
        <v/>
      </c>
      <c r="BH182" s="37" t="str">
        <f aca="false">IF(A182="","",ROUND((IF(LEN(D182)&gt;0,1,0)+IF(LEN(E182)&gt;0,1,0)+IF(LEN(I182)&gt;0,1,0)+IF(LEN(K182)&gt;0,1,0)+IF(LEN(Q182)&gt;0,1,0)+IF(LEN(S182)&gt;0,1,0)+IF(LEN(T182)&gt;0,1,0)+IF(LEN(U182)&gt;0,1,0)+IF(LEN(V182)&gt;0,1,0)+IF(LEN(AE182)&gt;0,1,0)+IF(LEN(AP182)&gt;0,1,0)+IF(LEN(BC182)&gt;0,1,0))/12,2))</f>
        <v/>
      </c>
      <c r="BI182" s="10" t="str">
        <f aca="false">IF(D182="","",IF(AND(T182="Approved",ISERROR(SEARCH("FAIL",AM182))),"Y","N"))</f>
        <v/>
      </c>
    </row>
    <row r="183" customFormat="false" ht="15" hidden="false" customHeight="false" outlineLevel="0" collapsed="false">
      <c r="A183" s="10" t="str">
        <f aca="false">IF(D183="","",IFERROR(VLOOKUP(D183,Lists!$BI$4:$BJ$20,2,0),"??")&amp;"-"&amp;UPPER(SUBSTITUTE(E183," ",""))&amp;IF(F183&lt;&gt;"","-SP"&amp;TEXT(F183*1000,"0"),"")&amp;IF(G183&lt;&gt;"","-H"&amp;TEXT(G183*1000,"0"),"")&amp;"-"&amp;S183)</f>
        <v/>
      </c>
      <c r="B183" s="10" t="str">
        <f aca="false">IF(D183="","",D183&amp;" - "&amp;E183&amp;IF(F183&lt;&gt;"",", span "&amp;F183&amp;" m","")&amp;IF(G183&lt;&gt;"",", H "&amp;G183&amp;" m","")&amp;IF(H183&lt;&gt;"",", W "&amp;H183&amp;" m",""))</f>
        <v/>
      </c>
      <c r="C183" s="9"/>
      <c r="D183" s="9"/>
      <c r="E183" s="9"/>
      <c r="F183" s="42"/>
      <c r="G183" s="42"/>
      <c r="H183" s="42"/>
      <c r="I183" s="9"/>
      <c r="J183" s="9"/>
      <c r="K183" s="9"/>
      <c r="L183" s="9"/>
      <c r="M183" s="9"/>
      <c r="N183" s="38"/>
      <c r="O183" s="9"/>
      <c r="P183" s="39"/>
      <c r="Q183" s="9"/>
      <c r="R183" s="9"/>
      <c r="S183" s="9"/>
      <c r="T183" s="9"/>
      <c r="U183" s="9"/>
      <c r="V183" s="9"/>
      <c r="W183" s="9"/>
      <c r="X183" s="10" t="str">
        <f aca="false">IF(A183="","",SG_Criteria!$B$6&amp;SG_Criteria!$B$13&amp;"\"&amp;A183&amp;"\")</f>
        <v/>
      </c>
      <c r="Y183" s="10" t="str">
        <f aca="false">IF(A183="","",A183&amp;"_CAD.dwg")</f>
        <v/>
      </c>
      <c r="Z183" s="10" t="str">
        <f aca="false">IF(A183="","",A183&amp;"_DWG.pdf")</f>
        <v/>
      </c>
      <c r="AA183" s="10" t="str">
        <f aca="false">IF(A183="","",IF(W183="Y",A183&amp;"_STAAD.std","n/a"))</f>
        <v/>
      </c>
      <c r="AB183" s="10" t="str">
        <f aca="false">IF(A183="","",A183&amp;"_CALC.xlsx")</f>
        <v/>
      </c>
      <c r="AC183" s="10" t="str">
        <f aca="false">IF(A183="","",A183&amp;"_CALC.pdf")</f>
        <v/>
      </c>
      <c r="AD183" s="9"/>
      <c r="AE183" s="9"/>
      <c r="AF183" s="39"/>
      <c r="AG183" s="39"/>
      <c r="AH183" s="39"/>
      <c r="AI183" s="39"/>
      <c r="AJ183" s="39"/>
      <c r="AK183" s="12" t="str">
        <f aca="false">IF(A183="","",IF(COUNTIF(Rebar_Schedule!$A$5:$A$2004,A183)=0,"",ROUND(SUMIF(Rebar_Schedule!$A$5:$A$2004,A183,Rebar_Schedule!$K$5:$K$2004),1)))</f>
        <v/>
      </c>
      <c r="AL183" s="33" t="str">
        <f aca="false">IF(A183="","",IF(AK183="","No rebar schedule yet",IF(ABS(AK183-N(AG183))/MAX(N(AG183),1)&gt;SG_Criteria!$B$55,"NOTE: register rebar differs from schedule by "&amp;TEXT(ABS(AK183-N(AG183))/MAX(N(AG183),1),"0%"),"OK")))</f>
        <v/>
      </c>
      <c r="AM183" s="33" t="str">
        <f aca="false">IF(D183="","","OK")</f>
        <v/>
      </c>
      <c r="AN183" s="9"/>
      <c r="AO183" s="9"/>
      <c r="AP183" s="9"/>
      <c r="AQ183" s="10" t="str">
        <f aca="false">IF(AP183="","",IFERROR(VLOOKUP(AP183,Projects!$A$5:$D$504,2,0),"Ref not in Projects"))</f>
        <v/>
      </c>
      <c r="AR183" s="10" t="str">
        <f aca="false">IF(AP183="","",IFERROR(VLOOKUP(AP183,Projects!$A$5:$D$504,4,0),"Ref not in Projects"))</f>
        <v/>
      </c>
      <c r="AS183" s="9"/>
      <c r="AT183" s="9"/>
      <c r="AU183" s="9"/>
      <c r="AV183" s="40"/>
      <c r="AW183" s="9"/>
      <c r="AX183" s="40"/>
      <c r="AY183" s="9"/>
      <c r="AZ183" s="40"/>
      <c r="BA183" s="9"/>
      <c r="BB183" s="9"/>
      <c r="BC183" s="9"/>
      <c r="BD183" s="40"/>
      <c r="BE183" s="40"/>
      <c r="BF183" s="36" t="str">
        <f aca="false">IF(BE183="","",EDATE(BE183,SG_Criteria!$B$54*12))</f>
        <v/>
      </c>
      <c r="BG183" s="33" t="str">
        <f aca="true">IF(A183="","",IF(BE183="","NOTE: not reviewed yet",IF(TODAY()&gt;BF183,"NOTE: review overdue","OK")))</f>
        <v/>
      </c>
      <c r="BH183" s="37" t="str">
        <f aca="false">IF(A183="","",ROUND((IF(LEN(D183)&gt;0,1,0)+IF(LEN(E183)&gt;0,1,0)+IF(LEN(I183)&gt;0,1,0)+IF(LEN(K183)&gt;0,1,0)+IF(LEN(Q183)&gt;0,1,0)+IF(LEN(S183)&gt;0,1,0)+IF(LEN(T183)&gt;0,1,0)+IF(LEN(U183)&gt;0,1,0)+IF(LEN(V183)&gt;0,1,0)+IF(LEN(AE183)&gt;0,1,0)+IF(LEN(AP183)&gt;0,1,0)+IF(LEN(BC183)&gt;0,1,0))/12,2))</f>
        <v/>
      </c>
      <c r="BI183" s="10" t="str">
        <f aca="false">IF(D183="","",IF(AND(T183="Approved",ISERROR(SEARCH("FAIL",AM183))),"Y","N"))</f>
        <v/>
      </c>
    </row>
    <row r="184" customFormat="false" ht="15" hidden="false" customHeight="false" outlineLevel="0" collapsed="false">
      <c r="A184" s="10" t="str">
        <f aca="false">IF(D184="","",IFERROR(VLOOKUP(D184,Lists!$BI$4:$BJ$20,2,0),"??")&amp;"-"&amp;UPPER(SUBSTITUTE(E184," ",""))&amp;IF(F184&lt;&gt;"","-SP"&amp;TEXT(F184*1000,"0"),"")&amp;IF(G184&lt;&gt;"","-H"&amp;TEXT(G184*1000,"0"),"")&amp;"-"&amp;S184)</f>
        <v/>
      </c>
      <c r="B184" s="10" t="str">
        <f aca="false">IF(D184="","",D184&amp;" - "&amp;E184&amp;IF(F184&lt;&gt;"",", span "&amp;F184&amp;" m","")&amp;IF(G184&lt;&gt;"",", H "&amp;G184&amp;" m","")&amp;IF(H184&lt;&gt;"",", W "&amp;H184&amp;" m",""))</f>
        <v/>
      </c>
      <c r="C184" s="9"/>
      <c r="D184" s="9"/>
      <c r="E184" s="9"/>
      <c r="F184" s="42"/>
      <c r="G184" s="42"/>
      <c r="H184" s="42"/>
      <c r="I184" s="9"/>
      <c r="J184" s="9"/>
      <c r="K184" s="9"/>
      <c r="L184" s="9"/>
      <c r="M184" s="9"/>
      <c r="N184" s="38"/>
      <c r="O184" s="9"/>
      <c r="P184" s="39"/>
      <c r="Q184" s="9"/>
      <c r="R184" s="9"/>
      <c r="S184" s="9"/>
      <c r="T184" s="9"/>
      <c r="U184" s="9"/>
      <c r="V184" s="9"/>
      <c r="W184" s="9"/>
      <c r="X184" s="10" t="str">
        <f aca="false">IF(A184="","",SG_Criteria!$B$6&amp;SG_Criteria!$B$13&amp;"\"&amp;A184&amp;"\")</f>
        <v/>
      </c>
      <c r="Y184" s="10" t="str">
        <f aca="false">IF(A184="","",A184&amp;"_CAD.dwg")</f>
        <v/>
      </c>
      <c r="Z184" s="10" t="str">
        <f aca="false">IF(A184="","",A184&amp;"_DWG.pdf")</f>
        <v/>
      </c>
      <c r="AA184" s="10" t="str">
        <f aca="false">IF(A184="","",IF(W184="Y",A184&amp;"_STAAD.std","n/a"))</f>
        <v/>
      </c>
      <c r="AB184" s="10" t="str">
        <f aca="false">IF(A184="","",A184&amp;"_CALC.xlsx")</f>
        <v/>
      </c>
      <c r="AC184" s="10" t="str">
        <f aca="false">IF(A184="","",A184&amp;"_CALC.pdf")</f>
        <v/>
      </c>
      <c r="AD184" s="9"/>
      <c r="AE184" s="9"/>
      <c r="AF184" s="39"/>
      <c r="AG184" s="39"/>
      <c r="AH184" s="39"/>
      <c r="AI184" s="39"/>
      <c r="AJ184" s="39"/>
      <c r="AK184" s="12" t="str">
        <f aca="false">IF(A184="","",IF(COUNTIF(Rebar_Schedule!$A$5:$A$2004,A184)=0,"",ROUND(SUMIF(Rebar_Schedule!$A$5:$A$2004,A184,Rebar_Schedule!$K$5:$K$2004),1)))</f>
        <v/>
      </c>
      <c r="AL184" s="33" t="str">
        <f aca="false">IF(A184="","",IF(AK184="","No rebar schedule yet",IF(ABS(AK184-N(AG184))/MAX(N(AG184),1)&gt;SG_Criteria!$B$55,"NOTE: register rebar differs from schedule by "&amp;TEXT(ABS(AK184-N(AG184))/MAX(N(AG184),1),"0%"),"OK")))</f>
        <v/>
      </c>
      <c r="AM184" s="33" t="str">
        <f aca="false">IF(D184="","","OK")</f>
        <v/>
      </c>
      <c r="AN184" s="9"/>
      <c r="AO184" s="9"/>
      <c r="AP184" s="9"/>
      <c r="AQ184" s="10" t="str">
        <f aca="false">IF(AP184="","",IFERROR(VLOOKUP(AP184,Projects!$A$5:$D$504,2,0),"Ref not in Projects"))</f>
        <v/>
      </c>
      <c r="AR184" s="10" t="str">
        <f aca="false">IF(AP184="","",IFERROR(VLOOKUP(AP184,Projects!$A$5:$D$504,4,0),"Ref not in Projects"))</f>
        <v/>
      </c>
      <c r="AS184" s="9"/>
      <c r="AT184" s="9"/>
      <c r="AU184" s="9"/>
      <c r="AV184" s="40"/>
      <c r="AW184" s="9"/>
      <c r="AX184" s="40"/>
      <c r="AY184" s="9"/>
      <c r="AZ184" s="40"/>
      <c r="BA184" s="9"/>
      <c r="BB184" s="9"/>
      <c r="BC184" s="9"/>
      <c r="BD184" s="40"/>
      <c r="BE184" s="40"/>
      <c r="BF184" s="36" t="str">
        <f aca="false">IF(BE184="","",EDATE(BE184,SG_Criteria!$B$54*12))</f>
        <v/>
      </c>
      <c r="BG184" s="33" t="str">
        <f aca="true">IF(A184="","",IF(BE184="","NOTE: not reviewed yet",IF(TODAY()&gt;BF184,"NOTE: review overdue","OK")))</f>
        <v/>
      </c>
      <c r="BH184" s="37" t="str">
        <f aca="false">IF(A184="","",ROUND((IF(LEN(D184)&gt;0,1,0)+IF(LEN(E184)&gt;0,1,0)+IF(LEN(I184)&gt;0,1,0)+IF(LEN(K184)&gt;0,1,0)+IF(LEN(Q184)&gt;0,1,0)+IF(LEN(S184)&gt;0,1,0)+IF(LEN(T184)&gt;0,1,0)+IF(LEN(U184)&gt;0,1,0)+IF(LEN(V184)&gt;0,1,0)+IF(LEN(AE184)&gt;0,1,0)+IF(LEN(AP184)&gt;0,1,0)+IF(LEN(BC184)&gt;0,1,0))/12,2))</f>
        <v/>
      </c>
      <c r="BI184" s="10" t="str">
        <f aca="false">IF(D184="","",IF(AND(T184="Approved",ISERROR(SEARCH("FAIL",AM184))),"Y","N"))</f>
        <v/>
      </c>
    </row>
    <row r="185" customFormat="false" ht="15" hidden="false" customHeight="false" outlineLevel="0" collapsed="false">
      <c r="A185" s="10" t="str">
        <f aca="false">IF(D185="","",IFERROR(VLOOKUP(D185,Lists!$BI$4:$BJ$20,2,0),"??")&amp;"-"&amp;UPPER(SUBSTITUTE(E185," ",""))&amp;IF(F185&lt;&gt;"","-SP"&amp;TEXT(F185*1000,"0"),"")&amp;IF(G185&lt;&gt;"","-H"&amp;TEXT(G185*1000,"0"),"")&amp;"-"&amp;S185)</f>
        <v/>
      </c>
      <c r="B185" s="10" t="str">
        <f aca="false">IF(D185="","",D185&amp;" - "&amp;E185&amp;IF(F185&lt;&gt;"",", span "&amp;F185&amp;" m","")&amp;IF(G185&lt;&gt;"",", H "&amp;G185&amp;" m","")&amp;IF(H185&lt;&gt;"",", W "&amp;H185&amp;" m",""))</f>
        <v/>
      </c>
      <c r="C185" s="9"/>
      <c r="D185" s="9"/>
      <c r="E185" s="9"/>
      <c r="F185" s="42"/>
      <c r="G185" s="42"/>
      <c r="H185" s="42"/>
      <c r="I185" s="9"/>
      <c r="J185" s="9"/>
      <c r="K185" s="9"/>
      <c r="L185" s="9"/>
      <c r="M185" s="9"/>
      <c r="N185" s="38"/>
      <c r="O185" s="9"/>
      <c r="P185" s="39"/>
      <c r="Q185" s="9"/>
      <c r="R185" s="9"/>
      <c r="S185" s="9"/>
      <c r="T185" s="9"/>
      <c r="U185" s="9"/>
      <c r="V185" s="9"/>
      <c r="W185" s="9"/>
      <c r="X185" s="10" t="str">
        <f aca="false">IF(A185="","",SG_Criteria!$B$6&amp;SG_Criteria!$B$13&amp;"\"&amp;A185&amp;"\")</f>
        <v/>
      </c>
      <c r="Y185" s="10" t="str">
        <f aca="false">IF(A185="","",A185&amp;"_CAD.dwg")</f>
        <v/>
      </c>
      <c r="Z185" s="10" t="str">
        <f aca="false">IF(A185="","",A185&amp;"_DWG.pdf")</f>
        <v/>
      </c>
      <c r="AA185" s="10" t="str">
        <f aca="false">IF(A185="","",IF(W185="Y",A185&amp;"_STAAD.std","n/a"))</f>
        <v/>
      </c>
      <c r="AB185" s="10" t="str">
        <f aca="false">IF(A185="","",A185&amp;"_CALC.xlsx")</f>
        <v/>
      </c>
      <c r="AC185" s="10" t="str">
        <f aca="false">IF(A185="","",A185&amp;"_CALC.pdf")</f>
        <v/>
      </c>
      <c r="AD185" s="9"/>
      <c r="AE185" s="9"/>
      <c r="AF185" s="39"/>
      <c r="AG185" s="39"/>
      <c r="AH185" s="39"/>
      <c r="AI185" s="39"/>
      <c r="AJ185" s="39"/>
      <c r="AK185" s="12" t="str">
        <f aca="false">IF(A185="","",IF(COUNTIF(Rebar_Schedule!$A$5:$A$2004,A185)=0,"",ROUND(SUMIF(Rebar_Schedule!$A$5:$A$2004,A185,Rebar_Schedule!$K$5:$K$2004),1)))</f>
        <v/>
      </c>
      <c r="AL185" s="33" t="str">
        <f aca="false">IF(A185="","",IF(AK185="","No rebar schedule yet",IF(ABS(AK185-N(AG185))/MAX(N(AG185),1)&gt;SG_Criteria!$B$55,"NOTE: register rebar differs from schedule by "&amp;TEXT(ABS(AK185-N(AG185))/MAX(N(AG185),1),"0%"),"OK")))</f>
        <v/>
      </c>
      <c r="AM185" s="33" t="str">
        <f aca="false">IF(D185="","","OK")</f>
        <v/>
      </c>
      <c r="AN185" s="9"/>
      <c r="AO185" s="9"/>
      <c r="AP185" s="9"/>
      <c r="AQ185" s="10" t="str">
        <f aca="false">IF(AP185="","",IFERROR(VLOOKUP(AP185,Projects!$A$5:$D$504,2,0),"Ref not in Projects"))</f>
        <v/>
      </c>
      <c r="AR185" s="10" t="str">
        <f aca="false">IF(AP185="","",IFERROR(VLOOKUP(AP185,Projects!$A$5:$D$504,4,0),"Ref not in Projects"))</f>
        <v/>
      </c>
      <c r="AS185" s="9"/>
      <c r="AT185" s="9"/>
      <c r="AU185" s="9"/>
      <c r="AV185" s="40"/>
      <c r="AW185" s="9"/>
      <c r="AX185" s="40"/>
      <c r="AY185" s="9"/>
      <c r="AZ185" s="40"/>
      <c r="BA185" s="9"/>
      <c r="BB185" s="9"/>
      <c r="BC185" s="9"/>
      <c r="BD185" s="40"/>
      <c r="BE185" s="40"/>
      <c r="BF185" s="36" t="str">
        <f aca="false">IF(BE185="","",EDATE(BE185,SG_Criteria!$B$54*12))</f>
        <v/>
      </c>
      <c r="BG185" s="33" t="str">
        <f aca="true">IF(A185="","",IF(BE185="","NOTE: not reviewed yet",IF(TODAY()&gt;BF185,"NOTE: review overdue","OK")))</f>
        <v/>
      </c>
      <c r="BH185" s="37" t="str">
        <f aca="false">IF(A185="","",ROUND((IF(LEN(D185)&gt;0,1,0)+IF(LEN(E185)&gt;0,1,0)+IF(LEN(I185)&gt;0,1,0)+IF(LEN(K185)&gt;0,1,0)+IF(LEN(Q185)&gt;0,1,0)+IF(LEN(S185)&gt;0,1,0)+IF(LEN(T185)&gt;0,1,0)+IF(LEN(U185)&gt;0,1,0)+IF(LEN(V185)&gt;0,1,0)+IF(LEN(AE185)&gt;0,1,0)+IF(LEN(AP185)&gt;0,1,0)+IF(LEN(BC185)&gt;0,1,0))/12,2))</f>
        <v/>
      </c>
      <c r="BI185" s="10" t="str">
        <f aca="false">IF(D185="","",IF(AND(T185="Approved",ISERROR(SEARCH("FAIL",AM185))),"Y","N"))</f>
        <v/>
      </c>
    </row>
    <row r="186" customFormat="false" ht="15" hidden="false" customHeight="false" outlineLevel="0" collapsed="false">
      <c r="A186" s="10" t="str">
        <f aca="false">IF(D186="","",IFERROR(VLOOKUP(D186,Lists!$BI$4:$BJ$20,2,0),"??")&amp;"-"&amp;UPPER(SUBSTITUTE(E186," ",""))&amp;IF(F186&lt;&gt;"","-SP"&amp;TEXT(F186*1000,"0"),"")&amp;IF(G186&lt;&gt;"","-H"&amp;TEXT(G186*1000,"0"),"")&amp;"-"&amp;S186)</f>
        <v/>
      </c>
      <c r="B186" s="10" t="str">
        <f aca="false">IF(D186="","",D186&amp;" - "&amp;E186&amp;IF(F186&lt;&gt;"",", span "&amp;F186&amp;" m","")&amp;IF(G186&lt;&gt;"",", H "&amp;G186&amp;" m","")&amp;IF(H186&lt;&gt;"",", W "&amp;H186&amp;" m",""))</f>
        <v/>
      </c>
      <c r="C186" s="9"/>
      <c r="D186" s="9"/>
      <c r="E186" s="9"/>
      <c r="F186" s="42"/>
      <c r="G186" s="42"/>
      <c r="H186" s="42"/>
      <c r="I186" s="9"/>
      <c r="J186" s="9"/>
      <c r="K186" s="9"/>
      <c r="L186" s="9"/>
      <c r="M186" s="9"/>
      <c r="N186" s="38"/>
      <c r="O186" s="9"/>
      <c r="P186" s="39"/>
      <c r="Q186" s="9"/>
      <c r="R186" s="9"/>
      <c r="S186" s="9"/>
      <c r="T186" s="9"/>
      <c r="U186" s="9"/>
      <c r="V186" s="9"/>
      <c r="W186" s="9"/>
      <c r="X186" s="10" t="str">
        <f aca="false">IF(A186="","",SG_Criteria!$B$6&amp;SG_Criteria!$B$13&amp;"\"&amp;A186&amp;"\")</f>
        <v/>
      </c>
      <c r="Y186" s="10" t="str">
        <f aca="false">IF(A186="","",A186&amp;"_CAD.dwg")</f>
        <v/>
      </c>
      <c r="Z186" s="10" t="str">
        <f aca="false">IF(A186="","",A186&amp;"_DWG.pdf")</f>
        <v/>
      </c>
      <c r="AA186" s="10" t="str">
        <f aca="false">IF(A186="","",IF(W186="Y",A186&amp;"_STAAD.std","n/a"))</f>
        <v/>
      </c>
      <c r="AB186" s="10" t="str">
        <f aca="false">IF(A186="","",A186&amp;"_CALC.xlsx")</f>
        <v/>
      </c>
      <c r="AC186" s="10" t="str">
        <f aca="false">IF(A186="","",A186&amp;"_CALC.pdf")</f>
        <v/>
      </c>
      <c r="AD186" s="9"/>
      <c r="AE186" s="9"/>
      <c r="AF186" s="39"/>
      <c r="AG186" s="39"/>
      <c r="AH186" s="39"/>
      <c r="AI186" s="39"/>
      <c r="AJ186" s="39"/>
      <c r="AK186" s="12" t="str">
        <f aca="false">IF(A186="","",IF(COUNTIF(Rebar_Schedule!$A$5:$A$2004,A186)=0,"",ROUND(SUMIF(Rebar_Schedule!$A$5:$A$2004,A186,Rebar_Schedule!$K$5:$K$2004),1)))</f>
        <v/>
      </c>
      <c r="AL186" s="33" t="str">
        <f aca="false">IF(A186="","",IF(AK186="","No rebar schedule yet",IF(ABS(AK186-N(AG186))/MAX(N(AG186),1)&gt;SG_Criteria!$B$55,"NOTE: register rebar differs from schedule by "&amp;TEXT(ABS(AK186-N(AG186))/MAX(N(AG186),1),"0%"),"OK")))</f>
        <v/>
      </c>
      <c r="AM186" s="33" t="str">
        <f aca="false">IF(D186="","","OK")</f>
        <v/>
      </c>
      <c r="AN186" s="9"/>
      <c r="AO186" s="9"/>
      <c r="AP186" s="9"/>
      <c r="AQ186" s="10" t="str">
        <f aca="false">IF(AP186="","",IFERROR(VLOOKUP(AP186,Projects!$A$5:$D$504,2,0),"Ref not in Projects"))</f>
        <v/>
      </c>
      <c r="AR186" s="10" t="str">
        <f aca="false">IF(AP186="","",IFERROR(VLOOKUP(AP186,Projects!$A$5:$D$504,4,0),"Ref not in Projects"))</f>
        <v/>
      </c>
      <c r="AS186" s="9"/>
      <c r="AT186" s="9"/>
      <c r="AU186" s="9"/>
      <c r="AV186" s="40"/>
      <c r="AW186" s="9"/>
      <c r="AX186" s="40"/>
      <c r="AY186" s="9"/>
      <c r="AZ186" s="40"/>
      <c r="BA186" s="9"/>
      <c r="BB186" s="9"/>
      <c r="BC186" s="9"/>
      <c r="BD186" s="40"/>
      <c r="BE186" s="40"/>
      <c r="BF186" s="36" t="str">
        <f aca="false">IF(BE186="","",EDATE(BE186,SG_Criteria!$B$54*12))</f>
        <v/>
      </c>
      <c r="BG186" s="33" t="str">
        <f aca="true">IF(A186="","",IF(BE186="","NOTE: not reviewed yet",IF(TODAY()&gt;BF186,"NOTE: review overdue","OK")))</f>
        <v/>
      </c>
      <c r="BH186" s="37" t="str">
        <f aca="false">IF(A186="","",ROUND((IF(LEN(D186)&gt;0,1,0)+IF(LEN(E186)&gt;0,1,0)+IF(LEN(I186)&gt;0,1,0)+IF(LEN(K186)&gt;0,1,0)+IF(LEN(Q186)&gt;0,1,0)+IF(LEN(S186)&gt;0,1,0)+IF(LEN(T186)&gt;0,1,0)+IF(LEN(U186)&gt;0,1,0)+IF(LEN(V186)&gt;0,1,0)+IF(LEN(AE186)&gt;0,1,0)+IF(LEN(AP186)&gt;0,1,0)+IF(LEN(BC186)&gt;0,1,0))/12,2))</f>
        <v/>
      </c>
      <c r="BI186" s="10" t="str">
        <f aca="false">IF(D186="","",IF(AND(T186="Approved",ISERROR(SEARCH("FAIL",AM186))),"Y","N"))</f>
        <v/>
      </c>
    </row>
    <row r="187" customFormat="false" ht="15" hidden="false" customHeight="false" outlineLevel="0" collapsed="false">
      <c r="A187" s="10" t="str">
        <f aca="false">IF(D187="","",IFERROR(VLOOKUP(D187,Lists!$BI$4:$BJ$20,2,0),"??")&amp;"-"&amp;UPPER(SUBSTITUTE(E187," ",""))&amp;IF(F187&lt;&gt;"","-SP"&amp;TEXT(F187*1000,"0"),"")&amp;IF(G187&lt;&gt;"","-H"&amp;TEXT(G187*1000,"0"),"")&amp;"-"&amp;S187)</f>
        <v/>
      </c>
      <c r="B187" s="10" t="str">
        <f aca="false">IF(D187="","",D187&amp;" - "&amp;E187&amp;IF(F187&lt;&gt;"",", span "&amp;F187&amp;" m","")&amp;IF(G187&lt;&gt;"",", H "&amp;G187&amp;" m","")&amp;IF(H187&lt;&gt;"",", W "&amp;H187&amp;" m",""))</f>
        <v/>
      </c>
      <c r="C187" s="9"/>
      <c r="D187" s="9"/>
      <c r="E187" s="9"/>
      <c r="F187" s="42"/>
      <c r="G187" s="42"/>
      <c r="H187" s="42"/>
      <c r="I187" s="9"/>
      <c r="J187" s="9"/>
      <c r="K187" s="9"/>
      <c r="L187" s="9"/>
      <c r="M187" s="9"/>
      <c r="N187" s="38"/>
      <c r="O187" s="9"/>
      <c r="P187" s="39"/>
      <c r="Q187" s="9"/>
      <c r="R187" s="9"/>
      <c r="S187" s="9"/>
      <c r="T187" s="9"/>
      <c r="U187" s="9"/>
      <c r="V187" s="9"/>
      <c r="W187" s="9"/>
      <c r="X187" s="10" t="str">
        <f aca="false">IF(A187="","",SG_Criteria!$B$6&amp;SG_Criteria!$B$13&amp;"\"&amp;A187&amp;"\")</f>
        <v/>
      </c>
      <c r="Y187" s="10" t="str">
        <f aca="false">IF(A187="","",A187&amp;"_CAD.dwg")</f>
        <v/>
      </c>
      <c r="Z187" s="10" t="str">
        <f aca="false">IF(A187="","",A187&amp;"_DWG.pdf")</f>
        <v/>
      </c>
      <c r="AA187" s="10" t="str">
        <f aca="false">IF(A187="","",IF(W187="Y",A187&amp;"_STAAD.std","n/a"))</f>
        <v/>
      </c>
      <c r="AB187" s="10" t="str">
        <f aca="false">IF(A187="","",A187&amp;"_CALC.xlsx")</f>
        <v/>
      </c>
      <c r="AC187" s="10" t="str">
        <f aca="false">IF(A187="","",A187&amp;"_CALC.pdf")</f>
        <v/>
      </c>
      <c r="AD187" s="9"/>
      <c r="AE187" s="9"/>
      <c r="AF187" s="39"/>
      <c r="AG187" s="39"/>
      <c r="AH187" s="39"/>
      <c r="AI187" s="39"/>
      <c r="AJ187" s="39"/>
      <c r="AK187" s="12" t="str">
        <f aca="false">IF(A187="","",IF(COUNTIF(Rebar_Schedule!$A$5:$A$2004,A187)=0,"",ROUND(SUMIF(Rebar_Schedule!$A$5:$A$2004,A187,Rebar_Schedule!$K$5:$K$2004),1)))</f>
        <v/>
      </c>
      <c r="AL187" s="33" t="str">
        <f aca="false">IF(A187="","",IF(AK187="","No rebar schedule yet",IF(ABS(AK187-N(AG187))/MAX(N(AG187),1)&gt;SG_Criteria!$B$55,"NOTE: register rebar differs from schedule by "&amp;TEXT(ABS(AK187-N(AG187))/MAX(N(AG187),1),"0%"),"OK")))</f>
        <v/>
      </c>
      <c r="AM187" s="33" t="str">
        <f aca="false">IF(D187="","","OK")</f>
        <v/>
      </c>
      <c r="AN187" s="9"/>
      <c r="AO187" s="9"/>
      <c r="AP187" s="9"/>
      <c r="AQ187" s="10" t="str">
        <f aca="false">IF(AP187="","",IFERROR(VLOOKUP(AP187,Projects!$A$5:$D$504,2,0),"Ref not in Projects"))</f>
        <v/>
      </c>
      <c r="AR187" s="10" t="str">
        <f aca="false">IF(AP187="","",IFERROR(VLOOKUP(AP187,Projects!$A$5:$D$504,4,0),"Ref not in Projects"))</f>
        <v/>
      </c>
      <c r="AS187" s="9"/>
      <c r="AT187" s="9"/>
      <c r="AU187" s="9"/>
      <c r="AV187" s="40"/>
      <c r="AW187" s="9"/>
      <c r="AX187" s="40"/>
      <c r="AY187" s="9"/>
      <c r="AZ187" s="40"/>
      <c r="BA187" s="9"/>
      <c r="BB187" s="9"/>
      <c r="BC187" s="9"/>
      <c r="BD187" s="40"/>
      <c r="BE187" s="40"/>
      <c r="BF187" s="36" t="str">
        <f aca="false">IF(BE187="","",EDATE(BE187,SG_Criteria!$B$54*12))</f>
        <v/>
      </c>
      <c r="BG187" s="33" t="str">
        <f aca="true">IF(A187="","",IF(BE187="","NOTE: not reviewed yet",IF(TODAY()&gt;BF187,"NOTE: review overdue","OK")))</f>
        <v/>
      </c>
      <c r="BH187" s="37" t="str">
        <f aca="false">IF(A187="","",ROUND((IF(LEN(D187)&gt;0,1,0)+IF(LEN(E187)&gt;0,1,0)+IF(LEN(I187)&gt;0,1,0)+IF(LEN(K187)&gt;0,1,0)+IF(LEN(Q187)&gt;0,1,0)+IF(LEN(S187)&gt;0,1,0)+IF(LEN(T187)&gt;0,1,0)+IF(LEN(U187)&gt;0,1,0)+IF(LEN(V187)&gt;0,1,0)+IF(LEN(AE187)&gt;0,1,0)+IF(LEN(AP187)&gt;0,1,0)+IF(LEN(BC187)&gt;0,1,0))/12,2))</f>
        <v/>
      </c>
      <c r="BI187" s="10" t="str">
        <f aca="false">IF(D187="","",IF(AND(T187="Approved",ISERROR(SEARCH("FAIL",AM187))),"Y","N"))</f>
        <v/>
      </c>
    </row>
    <row r="188" customFormat="false" ht="15" hidden="false" customHeight="false" outlineLevel="0" collapsed="false">
      <c r="A188" s="10" t="str">
        <f aca="false">IF(D188="","",IFERROR(VLOOKUP(D188,Lists!$BI$4:$BJ$20,2,0),"??")&amp;"-"&amp;UPPER(SUBSTITUTE(E188," ",""))&amp;IF(F188&lt;&gt;"","-SP"&amp;TEXT(F188*1000,"0"),"")&amp;IF(G188&lt;&gt;"","-H"&amp;TEXT(G188*1000,"0"),"")&amp;"-"&amp;S188)</f>
        <v/>
      </c>
      <c r="B188" s="10" t="str">
        <f aca="false">IF(D188="","",D188&amp;" - "&amp;E188&amp;IF(F188&lt;&gt;"",", span "&amp;F188&amp;" m","")&amp;IF(G188&lt;&gt;"",", H "&amp;G188&amp;" m","")&amp;IF(H188&lt;&gt;"",", W "&amp;H188&amp;" m",""))</f>
        <v/>
      </c>
      <c r="C188" s="9"/>
      <c r="D188" s="9"/>
      <c r="E188" s="9"/>
      <c r="F188" s="42"/>
      <c r="G188" s="42"/>
      <c r="H188" s="42"/>
      <c r="I188" s="9"/>
      <c r="J188" s="9"/>
      <c r="K188" s="9"/>
      <c r="L188" s="9"/>
      <c r="M188" s="9"/>
      <c r="N188" s="38"/>
      <c r="O188" s="9"/>
      <c r="P188" s="39"/>
      <c r="Q188" s="9"/>
      <c r="R188" s="9"/>
      <c r="S188" s="9"/>
      <c r="T188" s="9"/>
      <c r="U188" s="9"/>
      <c r="V188" s="9"/>
      <c r="W188" s="9"/>
      <c r="X188" s="10" t="str">
        <f aca="false">IF(A188="","",SG_Criteria!$B$6&amp;SG_Criteria!$B$13&amp;"\"&amp;A188&amp;"\")</f>
        <v/>
      </c>
      <c r="Y188" s="10" t="str">
        <f aca="false">IF(A188="","",A188&amp;"_CAD.dwg")</f>
        <v/>
      </c>
      <c r="Z188" s="10" t="str">
        <f aca="false">IF(A188="","",A188&amp;"_DWG.pdf")</f>
        <v/>
      </c>
      <c r="AA188" s="10" t="str">
        <f aca="false">IF(A188="","",IF(W188="Y",A188&amp;"_STAAD.std","n/a"))</f>
        <v/>
      </c>
      <c r="AB188" s="10" t="str">
        <f aca="false">IF(A188="","",A188&amp;"_CALC.xlsx")</f>
        <v/>
      </c>
      <c r="AC188" s="10" t="str">
        <f aca="false">IF(A188="","",A188&amp;"_CALC.pdf")</f>
        <v/>
      </c>
      <c r="AD188" s="9"/>
      <c r="AE188" s="9"/>
      <c r="AF188" s="39"/>
      <c r="AG188" s="39"/>
      <c r="AH188" s="39"/>
      <c r="AI188" s="39"/>
      <c r="AJ188" s="39"/>
      <c r="AK188" s="12" t="str">
        <f aca="false">IF(A188="","",IF(COUNTIF(Rebar_Schedule!$A$5:$A$2004,A188)=0,"",ROUND(SUMIF(Rebar_Schedule!$A$5:$A$2004,A188,Rebar_Schedule!$K$5:$K$2004),1)))</f>
        <v/>
      </c>
      <c r="AL188" s="33" t="str">
        <f aca="false">IF(A188="","",IF(AK188="","No rebar schedule yet",IF(ABS(AK188-N(AG188))/MAX(N(AG188),1)&gt;SG_Criteria!$B$55,"NOTE: register rebar differs from schedule by "&amp;TEXT(ABS(AK188-N(AG188))/MAX(N(AG188),1),"0%"),"OK")))</f>
        <v/>
      </c>
      <c r="AM188" s="33" t="str">
        <f aca="false">IF(D188="","","OK")</f>
        <v/>
      </c>
      <c r="AN188" s="9"/>
      <c r="AO188" s="9"/>
      <c r="AP188" s="9"/>
      <c r="AQ188" s="10" t="str">
        <f aca="false">IF(AP188="","",IFERROR(VLOOKUP(AP188,Projects!$A$5:$D$504,2,0),"Ref not in Projects"))</f>
        <v/>
      </c>
      <c r="AR188" s="10" t="str">
        <f aca="false">IF(AP188="","",IFERROR(VLOOKUP(AP188,Projects!$A$5:$D$504,4,0),"Ref not in Projects"))</f>
        <v/>
      </c>
      <c r="AS188" s="9"/>
      <c r="AT188" s="9"/>
      <c r="AU188" s="9"/>
      <c r="AV188" s="40"/>
      <c r="AW188" s="9"/>
      <c r="AX188" s="40"/>
      <c r="AY188" s="9"/>
      <c r="AZ188" s="40"/>
      <c r="BA188" s="9"/>
      <c r="BB188" s="9"/>
      <c r="BC188" s="9"/>
      <c r="BD188" s="40"/>
      <c r="BE188" s="40"/>
      <c r="BF188" s="36" t="str">
        <f aca="false">IF(BE188="","",EDATE(BE188,SG_Criteria!$B$54*12))</f>
        <v/>
      </c>
      <c r="BG188" s="33" t="str">
        <f aca="true">IF(A188="","",IF(BE188="","NOTE: not reviewed yet",IF(TODAY()&gt;BF188,"NOTE: review overdue","OK")))</f>
        <v/>
      </c>
      <c r="BH188" s="37" t="str">
        <f aca="false">IF(A188="","",ROUND((IF(LEN(D188)&gt;0,1,0)+IF(LEN(E188)&gt;0,1,0)+IF(LEN(I188)&gt;0,1,0)+IF(LEN(K188)&gt;0,1,0)+IF(LEN(Q188)&gt;0,1,0)+IF(LEN(S188)&gt;0,1,0)+IF(LEN(T188)&gt;0,1,0)+IF(LEN(U188)&gt;0,1,0)+IF(LEN(V188)&gt;0,1,0)+IF(LEN(AE188)&gt;0,1,0)+IF(LEN(AP188)&gt;0,1,0)+IF(LEN(BC188)&gt;0,1,0))/12,2))</f>
        <v/>
      </c>
      <c r="BI188" s="10" t="str">
        <f aca="false">IF(D188="","",IF(AND(T188="Approved",ISERROR(SEARCH("FAIL",AM188))),"Y","N"))</f>
        <v/>
      </c>
    </row>
    <row r="189" customFormat="false" ht="15" hidden="false" customHeight="false" outlineLevel="0" collapsed="false">
      <c r="A189" s="10" t="str">
        <f aca="false">IF(D189="","",IFERROR(VLOOKUP(D189,Lists!$BI$4:$BJ$20,2,0),"??")&amp;"-"&amp;UPPER(SUBSTITUTE(E189," ",""))&amp;IF(F189&lt;&gt;"","-SP"&amp;TEXT(F189*1000,"0"),"")&amp;IF(G189&lt;&gt;"","-H"&amp;TEXT(G189*1000,"0"),"")&amp;"-"&amp;S189)</f>
        <v/>
      </c>
      <c r="B189" s="10" t="str">
        <f aca="false">IF(D189="","",D189&amp;" - "&amp;E189&amp;IF(F189&lt;&gt;"",", span "&amp;F189&amp;" m","")&amp;IF(G189&lt;&gt;"",", H "&amp;G189&amp;" m","")&amp;IF(H189&lt;&gt;"",", W "&amp;H189&amp;" m",""))</f>
        <v/>
      </c>
      <c r="C189" s="9"/>
      <c r="D189" s="9"/>
      <c r="E189" s="9"/>
      <c r="F189" s="42"/>
      <c r="G189" s="42"/>
      <c r="H189" s="42"/>
      <c r="I189" s="9"/>
      <c r="J189" s="9"/>
      <c r="K189" s="9"/>
      <c r="L189" s="9"/>
      <c r="M189" s="9"/>
      <c r="N189" s="38"/>
      <c r="O189" s="9"/>
      <c r="P189" s="39"/>
      <c r="Q189" s="9"/>
      <c r="R189" s="9"/>
      <c r="S189" s="9"/>
      <c r="T189" s="9"/>
      <c r="U189" s="9"/>
      <c r="V189" s="9"/>
      <c r="W189" s="9"/>
      <c r="X189" s="10" t="str">
        <f aca="false">IF(A189="","",SG_Criteria!$B$6&amp;SG_Criteria!$B$13&amp;"\"&amp;A189&amp;"\")</f>
        <v/>
      </c>
      <c r="Y189" s="10" t="str">
        <f aca="false">IF(A189="","",A189&amp;"_CAD.dwg")</f>
        <v/>
      </c>
      <c r="Z189" s="10" t="str">
        <f aca="false">IF(A189="","",A189&amp;"_DWG.pdf")</f>
        <v/>
      </c>
      <c r="AA189" s="10" t="str">
        <f aca="false">IF(A189="","",IF(W189="Y",A189&amp;"_STAAD.std","n/a"))</f>
        <v/>
      </c>
      <c r="AB189" s="10" t="str">
        <f aca="false">IF(A189="","",A189&amp;"_CALC.xlsx")</f>
        <v/>
      </c>
      <c r="AC189" s="10" t="str">
        <f aca="false">IF(A189="","",A189&amp;"_CALC.pdf")</f>
        <v/>
      </c>
      <c r="AD189" s="9"/>
      <c r="AE189" s="9"/>
      <c r="AF189" s="39"/>
      <c r="AG189" s="39"/>
      <c r="AH189" s="39"/>
      <c r="AI189" s="39"/>
      <c r="AJ189" s="39"/>
      <c r="AK189" s="12" t="str">
        <f aca="false">IF(A189="","",IF(COUNTIF(Rebar_Schedule!$A$5:$A$2004,A189)=0,"",ROUND(SUMIF(Rebar_Schedule!$A$5:$A$2004,A189,Rebar_Schedule!$K$5:$K$2004),1)))</f>
        <v/>
      </c>
      <c r="AL189" s="33" t="str">
        <f aca="false">IF(A189="","",IF(AK189="","No rebar schedule yet",IF(ABS(AK189-N(AG189))/MAX(N(AG189),1)&gt;SG_Criteria!$B$55,"NOTE: register rebar differs from schedule by "&amp;TEXT(ABS(AK189-N(AG189))/MAX(N(AG189),1),"0%"),"OK")))</f>
        <v/>
      </c>
      <c r="AM189" s="33" t="str">
        <f aca="false">IF(D189="","","OK")</f>
        <v/>
      </c>
      <c r="AN189" s="9"/>
      <c r="AO189" s="9"/>
      <c r="AP189" s="9"/>
      <c r="AQ189" s="10" t="str">
        <f aca="false">IF(AP189="","",IFERROR(VLOOKUP(AP189,Projects!$A$5:$D$504,2,0),"Ref not in Projects"))</f>
        <v/>
      </c>
      <c r="AR189" s="10" t="str">
        <f aca="false">IF(AP189="","",IFERROR(VLOOKUP(AP189,Projects!$A$5:$D$504,4,0),"Ref not in Projects"))</f>
        <v/>
      </c>
      <c r="AS189" s="9"/>
      <c r="AT189" s="9"/>
      <c r="AU189" s="9"/>
      <c r="AV189" s="40"/>
      <c r="AW189" s="9"/>
      <c r="AX189" s="40"/>
      <c r="AY189" s="9"/>
      <c r="AZ189" s="40"/>
      <c r="BA189" s="9"/>
      <c r="BB189" s="9"/>
      <c r="BC189" s="9"/>
      <c r="BD189" s="40"/>
      <c r="BE189" s="40"/>
      <c r="BF189" s="36" t="str">
        <f aca="false">IF(BE189="","",EDATE(BE189,SG_Criteria!$B$54*12))</f>
        <v/>
      </c>
      <c r="BG189" s="33" t="str">
        <f aca="true">IF(A189="","",IF(BE189="","NOTE: not reviewed yet",IF(TODAY()&gt;BF189,"NOTE: review overdue","OK")))</f>
        <v/>
      </c>
      <c r="BH189" s="37" t="str">
        <f aca="false">IF(A189="","",ROUND((IF(LEN(D189)&gt;0,1,0)+IF(LEN(E189)&gt;0,1,0)+IF(LEN(I189)&gt;0,1,0)+IF(LEN(K189)&gt;0,1,0)+IF(LEN(Q189)&gt;0,1,0)+IF(LEN(S189)&gt;0,1,0)+IF(LEN(T189)&gt;0,1,0)+IF(LEN(U189)&gt;0,1,0)+IF(LEN(V189)&gt;0,1,0)+IF(LEN(AE189)&gt;0,1,0)+IF(LEN(AP189)&gt;0,1,0)+IF(LEN(BC189)&gt;0,1,0))/12,2))</f>
        <v/>
      </c>
      <c r="BI189" s="10" t="str">
        <f aca="false">IF(D189="","",IF(AND(T189="Approved",ISERROR(SEARCH("FAIL",AM189))),"Y","N"))</f>
        <v/>
      </c>
    </row>
    <row r="190" customFormat="false" ht="15" hidden="false" customHeight="false" outlineLevel="0" collapsed="false">
      <c r="A190" s="10" t="str">
        <f aca="false">IF(D190="","",IFERROR(VLOOKUP(D190,Lists!$BI$4:$BJ$20,2,0),"??")&amp;"-"&amp;UPPER(SUBSTITUTE(E190," ",""))&amp;IF(F190&lt;&gt;"","-SP"&amp;TEXT(F190*1000,"0"),"")&amp;IF(G190&lt;&gt;"","-H"&amp;TEXT(G190*1000,"0"),"")&amp;"-"&amp;S190)</f>
        <v/>
      </c>
      <c r="B190" s="10" t="str">
        <f aca="false">IF(D190="","",D190&amp;" - "&amp;E190&amp;IF(F190&lt;&gt;"",", span "&amp;F190&amp;" m","")&amp;IF(G190&lt;&gt;"",", H "&amp;G190&amp;" m","")&amp;IF(H190&lt;&gt;"",", W "&amp;H190&amp;" m",""))</f>
        <v/>
      </c>
      <c r="C190" s="9"/>
      <c r="D190" s="9"/>
      <c r="E190" s="9"/>
      <c r="F190" s="42"/>
      <c r="G190" s="42"/>
      <c r="H190" s="42"/>
      <c r="I190" s="9"/>
      <c r="J190" s="9"/>
      <c r="K190" s="9"/>
      <c r="L190" s="9"/>
      <c r="M190" s="9"/>
      <c r="N190" s="38"/>
      <c r="O190" s="9"/>
      <c r="P190" s="39"/>
      <c r="Q190" s="9"/>
      <c r="R190" s="9"/>
      <c r="S190" s="9"/>
      <c r="T190" s="9"/>
      <c r="U190" s="9"/>
      <c r="V190" s="9"/>
      <c r="W190" s="9"/>
      <c r="X190" s="10" t="str">
        <f aca="false">IF(A190="","",SG_Criteria!$B$6&amp;SG_Criteria!$B$13&amp;"\"&amp;A190&amp;"\")</f>
        <v/>
      </c>
      <c r="Y190" s="10" t="str">
        <f aca="false">IF(A190="","",A190&amp;"_CAD.dwg")</f>
        <v/>
      </c>
      <c r="Z190" s="10" t="str">
        <f aca="false">IF(A190="","",A190&amp;"_DWG.pdf")</f>
        <v/>
      </c>
      <c r="AA190" s="10" t="str">
        <f aca="false">IF(A190="","",IF(W190="Y",A190&amp;"_STAAD.std","n/a"))</f>
        <v/>
      </c>
      <c r="AB190" s="10" t="str">
        <f aca="false">IF(A190="","",A190&amp;"_CALC.xlsx")</f>
        <v/>
      </c>
      <c r="AC190" s="10" t="str">
        <f aca="false">IF(A190="","",A190&amp;"_CALC.pdf")</f>
        <v/>
      </c>
      <c r="AD190" s="9"/>
      <c r="AE190" s="9"/>
      <c r="AF190" s="39"/>
      <c r="AG190" s="39"/>
      <c r="AH190" s="39"/>
      <c r="AI190" s="39"/>
      <c r="AJ190" s="39"/>
      <c r="AK190" s="12" t="str">
        <f aca="false">IF(A190="","",IF(COUNTIF(Rebar_Schedule!$A$5:$A$2004,A190)=0,"",ROUND(SUMIF(Rebar_Schedule!$A$5:$A$2004,A190,Rebar_Schedule!$K$5:$K$2004),1)))</f>
        <v/>
      </c>
      <c r="AL190" s="33" t="str">
        <f aca="false">IF(A190="","",IF(AK190="","No rebar schedule yet",IF(ABS(AK190-N(AG190))/MAX(N(AG190),1)&gt;SG_Criteria!$B$55,"NOTE: register rebar differs from schedule by "&amp;TEXT(ABS(AK190-N(AG190))/MAX(N(AG190),1),"0%"),"OK")))</f>
        <v/>
      </c>
      <c r="AM190" s="33" t="str">
        <f aca="false">IF(D190="","","OK")</f>
        <v/>
      </c>
      <c r="AN190" s="9"/>
      <c r="AO190" s="9"/>
      <c r="AP190" s="9"/>
      <c r="AQ190" s="10" t="str">
        <f aca="false">IF(AP190="","",IFERROR(VLOOKUP(AP190,Projects!$A$5:$D$504,2,0),"Ref not in Projects"))</f>
        <v/>
      </c>
      <c r="AR190" s="10" t="str">
        <f aca="false">IF(AP190="","",IFERROR(VLOOKUP(AP190,Projects!$A$5:$D$504,4,0),"Ref not in Projects"))</f>
        <v/>
      </c>
      <c r="AS190" s="9"/>
      <c r="AT190" s="9"/>
      <c r="AU190" s="9"/>
      <c r="AV190" s="40"/>
      <c r="AW190" s="9"/>
      <c r="AX190" s="40"/>
      <c r="AY190" s="9"/>
      <c r="AZ190" s="40"/>
      <c r="BA190" s="9"/>
      <c r="BB190" s="9"/>
      <c r="BC190" s="9"/>
      <c r="BD190" s="40"/>
      <c r="BE190" s="40"/>
      <c r="BF190" s="36" t="str">
        <f aca="false">IF(BE190="","",EDATE(BE190,SG_Criteria!$B$54*12))</f>
        <v/>
      </c>
      <c r="BG190" s="33" t="str">
        <f aca="true">IF(A190="","",IF(BE190="","NOTE: not reviewed yet",IF(TODAY()&gt;BF190,"NOTE: review overdue","OK")))</f>
        <v/>
      </c>
      <c r="BH190" s="37" t="str">
        <f aca="false">IF(A190="","",ROUND((IF(LEN(D190)&gt;0,1,0)+IF(LEN(E190)&gt;0,1,0)+IF(LEN(I190)&gt;0,1,0)+IF(LEN(K190)&gt;0,1,0)+IF(LEN(Q190)&gt;0,1,0)+IF(LEN(S190)&gt;0,1,0)+IF(LEN(T190)&gt;0,1,0)+IF(LEN(U190)&gt;0,1,0)+IF(LEN(V190)&gt;0,1,0)+IF(LEN(AE190)&gt;0,1,0)+IF(LEN(AP190)&gt;0,1,0)+IF(LEN(BC190)&gt;0,1,0))/12,2))</f>
        <v/>
      </c>
      <c r="BI190" s="10" t="str">
        <f aca="false">IF(D190="","",IF(AND(T190="Approved",ISERROR(SEARCH("FAIL",AM190))),"Y","N"))</f>
        <v/>
      </c>
    </row>
    <row r="191" customFormat="false" ht="15" hidden="false" customHeight="false" outlineLevel="0" collapsed="false">
      <c r="A191" s="10" t="str">
        <f aca="false">IF(D191="","",IFERROR(VLOOKUP(D191,Lists!$BI$4:$BJ$20,2,0),"??")&amp;"-"&amp;UPPER(SUBSTITUTE(E191," ",""))&amp;IF(F191&lt;&gt;"","-SP"&amp;TEXT(F191*1000,"0"),"")&amp;IF(G191&lt;&gt;"","-H"&amp;TEXT(G191*1000,"0"),"")&amp;"-"&amp;S191)</f>
        <v/>
      </c>
      <c r="B191" s="10" t="str">
        <f aca="false">IF(D191="","",D191&amp;" - "&amp;E191&amp;IF(F191&lt;&gt;"",", span "&amp;F191&amp;" m","")&amp;IF(G191&lt;&gt;"",", H "&amp;G191&amp;" m","")&amp;IF(H191&lt;&gt;"",", W "&amp;H191&amp;" m",""))</f>
        <v/>
      </c>
      <c r="C191" s="9"/>
      <c r="D191" s="9"/>
      <c r="E191" s="9"/>
      <c r="F191" s="42"/>
      <c r="G191" s="42"/>
      <c r="H191" s="42"/>
      <c r="I191" s="9"/>
      <c r="J191" s="9"/>
      <c r="K191" s="9"/>
      <c r="L191" s="9"/>
      <c r="M191" s="9"/>
      <c r="N191" s="38"/>
      <c r="O191" s="9"/>
      <c r="P191" s="39"/>
      <c r="Q191" s="9"/>
      <c r="R191" s="9"/>
      <c r="S191" s="9"/>
      <c r="T191" s="9"/>
      <c r="U191" s="9"/>
      <c r="V191" s="9"/>
      <c r="W191" s="9"/>
      <c r="X191" s="10" t="str">
        <f aca="false">IF(A191="","",SG_Criteria!$B$6&amp;SG_Criteria!$B$13&amp;"\"&amp;A191&amp;"\")</f>
        <v/>
      </c>
      <c r="Y191" s="10" t="str">
        <f aca="false">IF(A191="","",A191&amp;"_CAD.dwg")</f>
        <v/>
      </c>
      <c r="Z191" s="10" t="str">
        <f aca="false">IF(A191="","",A191&amp;"_DWG.pdf")</f>
        <v/>
      </c>
      <c r="AA191" s="10" t="str">
        <f aca="false">IF(A191="","",IF(W191="Y",A191&amp;"_STAAD.std","n/a"))</f>
        <v/>
      </c>
      <c r="AB191" s="10" t="str">
        <f aca="false">IF(A191="","",A191&amp;"_CALC.xlsx")</f>
        <v/>
      </c>
      <c r="AC191" s="10" t="str">
        <f aca="false">IF(A191="","",A191&amp;"_CALC.pdf")</f>
        <v/>
      </c>
      <c r="AD191" s="9"/>
      <c r="AE191" s="9"/>
      <c r="AF191" s="39"/>
      <c r="AG191" s="39"/>
      <c r="AH191" s="39"/>
      <c r="AI191" s="39"/>
      <c r="AJ191" s="39"/>
      <c r="AK191" s="12" t="str">
        <f aca="false">IF(A191="","",IF(COUNTIF(Rebar_Schedule!$A$5:$A$2004,A191)=0,"",ROUND(SUMIF(Rebar_Schedule!$A$5:$A$2004,A191,Rebar_Schedule!$K$5:$K$2004),1)))</f>
        <v/>
      </c>
      <c r="AL191" s="33" t="str">
        <f aca="false">IF(A191="","",IF(AK191="","No rebar schedule yet",IF(ABS(AK191-N(AG191))/MAX(N(AG191),1)&gt;SG_Criteria!$B$55,"NOTE: register rebar differs from schedule by "&amp;TEXT(ABS(AK191-N(AG191))/MAX(N(AG191),1),"0%"),"OK")))</f>
        <v/>
      </c>
      <c r="AM191" s="33" t="str">
        <f aca="false">IF(D191="","","OK")</f>
        <v/>
      </c>
      <c r="AN191" s="9"/>
      <c r="AO191" s="9"/>
      <c r="AP191" s="9"/>
      <c r="AQ191" s="10" t="str">
        <f aca="false">IF(AP191="","",IFERROR(VLOOKUP(AP191,Projects!$A$5:$D$504,2,0),"Ref not in Projects"))</f>
        <v/>
      </c>
      <c r="AR191" s="10" t="str">
        <f aca="false">IF(AP191="","",IFERROR(VLOOKUP(AP191,Projects!$A$5:$D$504,4,0),"Ref not in Projects"))</f>
        <v/>
      </c>
      <c r="AS191" s="9"/>
      <c r="AT191" s="9"/>
      <c r="AU191" s="9"/>
      <c r="AV191" s="40"/>
      <c r="AW191" s="9"/>
      <c r="AX191" s="40"/>
      <c r="AY191" s="9"/>
      <c r="AZ191" s="40"/>
      <c r="BA191" s="9"/>
      <c r="BB191" s="9"/>
      <c r="BC191" s="9"/>
      <c r="BD191" s="40"/>
      <c r="BE191" s="40"/>
      <c r="BF191" s="36" t="str">
        <f aca="false">IF(BE191="","",EDATE(BE191,SG_Criteria!$B$54*12))</f>
        <v/>
      </c>
      <c r="BG191" s="33" t="str">
        <f aca="true">IF(A191="","",IF(BE191="","NOTE: not reviewed yet",IF(TODAY()&gt;BF191,"NOTE: review overdue","OK")))</f>
        <v/>
      </c>
      <c r="BH191" s="37" t="str">
        <f aca="false">IF(A191="","",ROUND((IF(LEN(D191)&gt;0,1,0)+IF(LEN(E191)&gt;0,1,0)+IF(LEN(I191)&gt;0,1,0)+IF(LEN(K191)&gt;0,1,0)+IF(LEN(Q191)&gt;0,1,0)+IF(LEN(S191)&gt;0,1,0)+IF(LEN(T191)&gt;0,1,0)+IF(LEN(U191)&gt;0,1,0)+IF(LEN(V191)&gt;0,1,0)+IF(LEN(AE191)&gt;0,1,0)+IF(LEN(AP191)&gt;0,1,0)+IF(LEN(BC191)&gt;0,1,0))/12,2))</f>
        <v/>
      </c>
      <c r="BI191" s="10" t="str">
        <f aca="false">IF(D191="","",IF(AND(T191="Approved",ISERROR(SEARCH("FAIL",AM191))),"Y","N"))</f>
        <v/>
      </c>
    </row>
    <row r="192" customFormat="false" ht="15" hidden="false" customHeight="false" outlineLevel="0" collapsed="false">
      <c r="A192" s="10" t="str">
        <f aca="false">IF(D192="","",IFERROR(VLOOKUP(D192,Lists!$BI$4:$BJ$20,2,0),"??")&amp;"-"&amp;UPPER(SUBSTITUTE(E192," ",""))&amp;IF(F192&lt;&gt;"","-SP"&amp;TEXT(F192*1000,"0"),"")&amp;IF(G192&lt;&gt;"","-H"&amp;TEXT(G192*1000,"0"),"")&amp;"-"&amp;S192)</f>
        <v/>
      </c>
      <c r="B192" s="10" t="str">
        <f aca="false">IF(D192="","",D192&amp;" - "&amp;E192&amp;IF(F192&lt;&gt;"",", span "&amp;F192&amp;" m","")&amp;IF(G192&lt;&gt;"",", H "&amp;G192&amp;" m","")&amp;IF(H192&lt;&gt;"",", W "&amp;H192&amp;" m",""))</f>
        <v/>
      </c>
      <c r="C192" s="9"/>
      <c r="D192" s="9"/>
      <c r="E192" s="9"/>
      <c r="F192" s="42"/>
      <c r="G192" s="42"/>
      <c r="H192" s="42"/>
      <c r="I192" s="9"/>
      <c r="J192" s="9"/>
      <c r="K192" s="9"/>
      <c r="L192" s="9"/>
      <c r="M192" s="9"/>
      <c r="N192" s="38"/>
      <c r="O192" s="9"/>
      <c r="P192" s="39"/>
      <c r="Q192" s="9"/>
      <c r="R192" s="9"/>
      <c r="S192" s="9"/>
      <c r="T192" s="9"/>
      <c r="U192" s="9"/>
      <c r="V192" s="9"/>
      <c r="W192" s="9"/>
      <c r="X192" s="10" t="str">
        <f aca="false">IF(A192="","",SG_Criteria!$B$6&amp;SG_Criteria!$B$13&amp;"\"&amp;A192&amp;"\")</f>
        <v/>
      </c>
      <c r="Y192" s="10" t="str">
        <f aca="false">IF(A192="","",A192&amp;"_CAD.dwg")</f>
        <v/>
      </c>
      <c r="Z192" s="10" t="str">
        <f aca="false">IF(A192="","",A192&amp;"_DWG.pdf")</f>
        <v/>
      </c>
      <c r="AA192" s="10" t="str">
        <f aca="false">IF(A192="","",IF(W192="Y",A192&amp;"_STAAD.std","n/a"))</f>
        <v/>
      </c>
      <c r="AB192" s="10" t="str">
        <f aca="false">IF(A192="","",A192&amp;"_CALC.xlsx")</f>
        <v/>
      </c>
      <c r="AC192" s="10" t="str">
        <f aca="false">IF(A192="","",A192&amp;"_CALC.pdf")</f>
        <v/>
      </c>
      <c r="AD192" s="9"/>
      <c r="AE192" s="9"/>
      <c r="AF192" s="39"/>
      <c r="AG192" s="39"/>
      <c r="AH192" s="39"/>
      <c r="AI192" s="39"/>
      <c r="AJ192" s="39"/>
      <c r="AK192" s="12" t="str">
        <f aca="false">IF(A192="","",IF(COUNTIF(Rebar_Schedule!$A$5:$A$2004,A192)=0,"",ROUND(SUMIF(Rebar_Schedule!$A$5:$A$2004,A192,Rebar_Schedule!$K$5:$K$2004),1)))</f>
        <v/>
      </c>
      <c r="AL192" s="33" t="str">
        <f aca="false">IF(A192="","",IF(AK192="","No rebar schedule yet",IF(ABS(AK192-N(AG192))/MAX(N(AG192),1)&gt;SG_Criteria!$B$55,"NOTE: register rebar differs from schedule by "&amp;TEXT(ABS(AK192-N(AG192))/MAX(N(AG192),1),"0%"),"OK")))</f>
        <v/>
      </c>
      <c r="AM192" s="33" t="str">
        <f aca="false">IF(D192="","","OK")</f>
        <v/>
      </c>
      <c r="AN192" s="9"/>
      <c r="AO192" s="9"/>
      <c r="AP192" s="9"/>
      <c r="AQ192" s="10" t="str">
        <f aca="false">IF(AP192="","",IFERROR(VLOOKUP(AP192,Projects!$A$5:$D$504,2,0),"Ref not in Projects"))</f>
        <v/>
      </c>
      <c r="AR192" s="10" t="str">
        <f aca="false">IF(AP192="","",IFERROR(VLOOKUP(AP192,Projects!$A$5:$D$504,4,0),"Ref not in Projects"))</f>
        <v/>
      </c>
      <c r="AS192" s="9"/>
      <c r="AT192" s="9"/>
      <c r="AU192" s="9"/>
      <c r="AV192" s="40"/>
      <c r="AW192" s="9"/>
      <c r="AX192" s="40"/>
      <c r="AY192" s="9"/>
      <c r="AZ192" s="40"/>
      <c r="BA192" s="9"/>
      <c r="BB192" s="9"/>
      <c r="BC192" s="9"/>
      <c r="BD192" s="40"/>
      <c r="BE192" s="40"/>
      <c r="BF192" s="36" t="str">
        <f aca="false">IF(BE192="","",EDATE(BE192,SG_Criteria!$B$54*12))</f>
        <v/>
      </c>
      <c r="BG192" s="33" t="str">
        <f aca="true">IF(A192="","",IF(BE192="","NOTE: not reviewed yet",IF(TODAY()&gt;BF192,"NOTE: review overdue","OK")))</f>
        <v/>
      </c>
      <c r="BH192" s="37" t="str">
        <f aca="false">IF(A192="","",ROUND((IF(LEN(D192)&gt;0,1,0)+IF(LEN(E192)&gt;0,1,0)+IF(LEN(I192)&gt;0,1,0)+IF(LEN(K192)&gt;0,1,0)+IF(LEN(Q192)&gt;0,1,0)+IF(LEN(S192)&gt;0,1,0)+IF(LEN(T192)&gt;0,1,0)+IF(LEN(U192)&gt;0,1,0)+IF(LEN(V192)&gt;0,1,0)+IF(LEN(AE192)&gt;0,1,0)+IF(LEN(AP192)&gt;0,1,0)+IF(LEN(BC192)&gt;0,1,0))/12,2))</f>
        <v/>
      </c>
      <c r="BI192" s="10" t="str">
        <f aca="false">IF(D192="","",IF(AND(T192="Approved",ISERROR(SEARCH("FAIL",AM192))),"Y","N"))</f>
        <v/>
      </c>
    </row>
    <row r="193" customFormat="false" ht="15" hidden="false" customHeight="false" outlineLevel="0" collapsed="false">
      <c r="A193" s="10" t="str">
        <f aca="false">IF(D193="","",IFERROR(VLOOKUP(D193,Lists!$BI$4:$BJ$20,2,0),"??")&amp;"-"&amp;UPPER(SUBSTITUTE(E193," ",""))&amp;IF(F193&lt;&gt;"","-SP"&amp;TEXT(F193*1000,"0"),"")&amp;IF(G193&lt;&gt;"","-H"&amp;TEXT(G193*1000,"0"),"")&amp;"-"&amp;S193)</f>
        <v/>
      </c>
      <c r="B193" s="10" t="str">
        <f aca="false">IF(D193="","",D193&amp;" - "&amp;E193&amp;IF(F193&lt;&gt;"",", span "&amp;F193&amp;" m","")&amp;IF(G193&lt;&gt;"",", H "&amp;G193&amp;" m","")&amp;IF(H193&lt;&gt;"",", W "&amp;H193&amp;" m",""))</f>
        <v/>
      </c>
      <c r="C193" s="9"/>
      <c r="D193" s="9"/>
      <c r="E193" s="9"/>
      <c r="F193" s="42"/>
      <c r="G193" s="42"/>
      <c r="H193" s="42"/>
      <c r="I193" s="9"/>
      <c r="J193" s="9"/>
      <c r="K193" s="9"/>
      <c r="L193" s="9"/>
      <c r="M193" s="9"/>
      <c r="N193" s="38"/>
      <c r="O193" s="9"/>
      <c r="P193" s="39"/>
      <c r="Q193" s="9"/>
      <c r="R193" s="9"/>
      <c r="S193" s="9"/>
      <c r="T193" s="9"/>
      <c r="U193" s="9"/>
      <c r="V193" s="9"/>
      <c r="W193" s="9"/>
      <c r="X193" s="10" t="str">
        <f aca="false">IF(A193="","",SG_Criteria!$B$6&amp;SG_Criteria!$B$13&amp;"\"&amp;A193&amp;"\")</f>
        <v/>
      </c>
      <c r="Y193" s="10" t="str">
        <f aca="false">IF(A193="","",A193&amp;"_CAD.dwg")</f>
        <v/>
      </c>
      <c r="Z193" s="10" t="str">
        <f aca="false">IF(A193="","",A193&amp;"_DWG.pdf")</f>
        <v/>
      </c>
      <c r="AA193" s="10" t="str">
        <f aca="false">IF(A193="","",IF(W193="Y",A193&amp;"_STAAD.std","n/a"))</f>
        <v/>
      </c>
      <c r="AB193" s="10" t="str">
        <f aca="false">IF(A193="","",A193&amp;"_CALC.xlsx")</f>
        <v/>
      </c>
      <c r="AC193" s="10" t="str">
        <f aca="false">IF(A193="","",A193&amp;"_CALC.pdf")</f>
        <v/>
      </c>
      <c r="AD193" s="9"/>
      <c r="AE193" s="9"/>
      <c r="AF193" s="39"/>
      <c r="AG193" s="39"/>
      <c r="AH193" s="39"/>
      <c r="AI193" s="39"/>
      <c r="AJ193" s="39"/>
      <c r="AK193" s="12" t="str">
        <f aca="false">IF(A193="","",IF(COUNTIF(Rebar_Schedule!$A$5:$A$2004,A193)=0,"",ROUND(SUMIF(Rebar_Schedule!$A$5:$A$2004,A193,Rebar_Schedule!$K$5:$K$2004),1)))</f>
        <v/>
      </c>
      <c r="AL193" s="33" t="str">
        <f aca="false">IF(A193="","",IF(AK193="","No rebar schedule yet",IF(ABS(AK193-N(AG193))/MAX(N(AG193),1)&gt;SG_Criteria!$B$55,"NOTE: register rebar differs from schedule by "&amp;TEXT(ABS(AK193-N(AG193))/MAX(N(AG193),1),"0%"),"OK")))</f>
        <v/>
      </c>
      <c r="AM193" s="33" t="str">
        <f aca="false">IF(D193="","","OK")</f>
        <v/>
      </c>
      <c r="AN193" s="9"/>
      <c r="AO193" s="9"/>
      <c r="AP193" s="9"/>
      <c r="AQ193" s="10" t="str">
        <f aca="false">IF(AP193="","",IFERROR(VLOOKUP(AP193,Projects!$A$5:$D$504,2,0),"Ref not in Projects"))</f>
        <v/>
      </c>
      <c r="AR193" s="10" t="str">
        <f aca="false">IF(AP193="","",IFERROR(VLOOKUP(AP193,Projects!$A$5:$D$504,4,0),"Ref not in Projects"))</f>
        <v/>
      </c>
      <c r="AS193" s="9"/>
      <c r="AT193" s="9"/>
      <c r="AU193" s="9"/>
      <c r="AV193" s="40"/>
      <c r="AW193" s="9"/>
      <c r="AX193" s="40"/>
      <c r="AY193" s="9"/>
      <c r="AZ193" s="40"/>
      <c r="BA193" s="9"/>
      <c r="BB193" s="9"/>
      <c r="BC193" s="9"/>
      <c r="BD193" s="40"/>
      <c r="BE193" s="40"/>
      <c r="BF193" s="36" t="str">
        <f aca="false">IF(BE193="","",EDATE(BE193,SG_Criteria!$B$54*12))</f>
        <v/>
      </c>
      <c r="BG193" s="33" t="str">
        <f aca="true">IF(A193="","",IF(BE193="","NOTE: not reviewed yet",IF(TODAY()&gt;BF193,"NOTE: review overdue","OK")))</f>
        <v/>
      </c>
      <c r="BH193" s="37" t="str">
        <f aca="false">IF(A193="","",ROUND((IF(LEN(D193)&gt;0,1,0)+IF(LEN(E193)&gt;0,1,0)+IF(LEN(I193)&gt;0,1,0)+IF(LEN(K193)&gt;0,1,0)+IF(LEN(Q193)&gt;0,1,0)+IF(LEN(S193)&gt;0,1,0)+IF(LEN(T193)&gt;0,1,0)+IF(LEN(U193)&gt;0,1,0)+IF(LEN(V193)&gt;0,1,0)+IF(LEN(AE193)&gt;0,1,0)+IF(LEN(AP193)&gt;0,1,0)+IF(LEN(BC193)&gt;0,1,0))/12,2))</f>
        <v/>
      </c>
      <c r="BI193" s="10" t="str">
        <f aca="false">IF(D193="","",IF(AND(T193="Approved",ISERROR(SEARCH("FAIL",AM193))),"Y","N"))</f>
        <v/>
      </c>
    </row>
    <row r="194" customFormat="false" ht="15" hidden="false" customHeight="false" outlineLevel="0" collapsed="false">
      <c r="A194" s="10" t="str">
        <f aca="false">IF(D194="","",IFERROR(VLOOKUP(D194,Lists!$BI$4:$BJ$20,2,0),"??")&amp;"-"&amp;UPPER(SUBSTITUTE(E194," ",""))&amp;IF(F194&lt;&gt;"","-SP"&amp;TEXT(F194*1000,"0"),"")&amp;IF(G194&lt;&gt;"","-H"&amp;TEXT(G194*1000,"0"),"")&amp;"-"&amp;S194)</f>
        <v/>
      </c>
      <c r="B194" s="10" t="str">
        <f aca="false">IF(D194="","",D194&amp;" - "&amp;E194&amp;IF(F194&lt;&gt;"",", span "&amp;F194&amp;" m","")&amp;IF(G194&lt;&gt;"",", H "&amp;G194&amp;" m","")&amp;IF(H194&lt;&gt;"",", W "&amp;H194&amp;" m",""))</f>
        <v/>
      </c>
      <c r="C194" s="9"/>
      <c r="D194" s="9"/>
      <c r="E194" s="9"/>
      <c r="F194" s="42"/>
      <c r="G194" s="42"/>
      <c r="H194" s="42"/>
      <c r="I194" s="9"/>
      <c r="J194" s="9"/>
      <c r="K194" s="9"/>
      <c r="L194" s="9"/>
      <c r="M194" s="9"/>
      <c r="N194" s="38"/>
      <c r="O194" s="9"/>
      <c r="P194" s="39"/>
      <c r="Q194" s="9"/>
      <c r="R194" s="9"/>
      <c r="S194" s="9"/>
      <c r="T194" s="9"/>
      <c r="U194" s="9"/>
      <c r="V194" s="9"/>
      <c r="W194" s="9"/>
      <c r="X194" s="10" t="str">
        <f aca="false">IF(A194="","",SG_Criteria!$B$6&amp;SG_Criteria!$B$13&amp;"\"&amp;A194&amp;"\")</f>
        <v/>
      </c>
      <c r="Y194" s="10" t="str">
        <f aca="false">IF(A194="","",A194&amp;"_CAD.dwg")</f>
        <v/>
      </c>
      <c r="Z194" s="10" t="str">
        <f aca="false">IF(A194="","",A194&amp;"_DWG.pdf")</f>
        <v/>
      </c>
      <c r="AA194" s="10" t="str">
        <f aca="false">IF(A194="","",IF(W194="Y",A194&amp;"_STAAD.std","n/a"))</f>
        <v/>
      </c>
      <c r="AB194" s="10" t="str">
        <f aca="false">IF(A194="","",A194&amp;"_CALC.xlsx")</f>
        <v/>
      </c>
      <c r="AC194" s="10" t="str">
        <f aca="false">IF(A194="","",A194&amp;"_CALC.pdf")</f>
        <v/>
      </c>
      <c r="AD194" s="9"/>
      <c r="AE194" s="9"/>
      <c r="AF194" s="39"/>
      <c r="AG194" s="39"/>
      <c r="AH194" s="39"/>
      <c r="AI194" s="39"/>
      <c r="AJ194" s="39"/>
      <c r="AK194" s="12" t="str">
        <f aca="false">IF(A194="","",IF(COUNTIF(Rebar_Schedule!$A$5:$A$2004,A194)=0,"",ROUND(SUMIF(Rebar_Schedule!$A$5:$A$2004,A194,Rebar_Schedule!$K$5:$K$2004),1)))</f>
        <v/>
      </c>
      <c r="AL194" s="33" t="str">
        <f aca="false">IF(A194="","",IF(AK194="","No rebar schedule yet",IF(ABS(AK194-N(AG194))/MAX(N(AG194),1)&gt;SG_Criteria!$B$55,"NOTE: register rebar differs from schedule by "&amp;TEXT(ABS(AK194-N(AG194))/MAX(N(AG194),1),"0%"),"OK")))</f>
        <v/>
      </c>
      <c r="AM194" s="33" t="str">
        <f aca="false">IF(D194="","","OK")</f>
        <v/>
      </c>
      <c r="AN194" s="9"/>
      <c r="AO194" s="9"/>
      <c r="AP194" s="9"/>
      <c r="AQ194" s="10" t="str">
        <f aca="false">IF(AP194="","",IFERROR(VLOOKUP(AP194,Projects!$A$5:$D$504,2,0),"Ref not in Projects"))</f>
        <v/>
      </c>
      <c r="AR194" s="10" t="str">
        <f aca="false">IF(AP194="","",IFERROR(VLOOKUP(AP194,Projects!$A$5:$D$504,4,0),"Ref not in Projects"))</f>
        <v/>
      </c>
      <c r="AS194" s="9"/>
      <c r="AT194" s="9"/>
      <c r="AU194" s="9"/>
      <c r="AV194" s="40"/>
      <c r="AW194" s="9"/>
      <c r="AX194" s="40"/>
      <c r="AY194" s="9"/>
      <c r="AZ194" s="40"/>
      <c r="BA194" s="9"/>
      <c r="BB194" s="9"/>
      <c r="BC194" s="9"/>
      <c r="BD194" s="40"/>
      <c r="BE194" s="40"/>
      <c r="BF194" s="36" t="str">
        <f aca="false">IF(BE194="","",EDATE(BE194,SG_Criteria!$B$54*12))</f>
        <v/>
      </c>
      <c r="BG194" s="33" t="str">
        <f aca="true">IF(A194="","",IF(BE194="","NOTE: not reviewed yet",IF(TODAY()&gt;BF194,"NOTE: review overdue","OK")))</f>
        <v/>
      </c>
      <c r="BH194" s="37" t="str">
        <f aca="false">IF(A194="","",ROUND((IF(LEN(D194)&gt;0,1,0)+IF(LEN(E194)&gt;0,1,0)+IF(LEN(I194)&gt;0,1,0)+IF(LEN(K194)&gt;0,1,0)+IF(LEN(Q194)&gt;0,1,0)+IF(LEN(S194)&gt;0,1,0)+IF(LEN(T194)&gt;0,1,0)+IF(LEN(U194)&gt;0,1,0)+IF(LEN(V194)&gt;0,1,0)+IF(LEN(AE194)&gt;0,1,0)+IF(LEN(AP194)&gt;0,1,0)+IF(LEN(BC194)&gt;0,1,0))/12,2))</f>
        <v/>
      </c>
      <c r="BI194" s="10" t="str">
        <f aca="false">IF(D194="","",IF(AND(T194="Approved",ISERROR(SEARCH("FAIL",AM194))),"Y","N"))</f>
        <v/>
      </c>
    </row>
    <row r="195" customFormat="false" ht="15" hidden="false" customHeight="false" outlineLevel="0" collapsed="false">
      <c r="A195" s="10" t="str">
        <f aca="false">IF(D195="","",IFERROR(VLOOKUP(D195,Lists!$BI$4:$BJ$20,2,0),"??")&amp;"-"&amp;UPPER(SUBSTITUTE(E195," ",""))&amp;IF(F195&lt;&gt;"","-SP"&amp;TEXT(F195*1000,"0"),"")&amp;IF(G195&lt;&gt;"","-H"&amp;TEXT(G195*1000,"0"),"")&amp;"-"&amp;S195)</f>
        <v/>
      </c>
      <c r="B195" s="10" t="str">
        <f aca="false">IF(D195="","",D195&amp;" - "&amp;E195&amp;IF(F195&lt;&gt;"",", span "&amp;F195&amp;" m","")&amp;IF(G195&lt;&gt;"",", H "&amp;G195&amp;" m","")&amp;IF(H195&lt;&gt;"",", W "&amp;H195&amp;" m",""))</f>
        <v/>
      </c>
      <c r="C195" s="9"/>
      <c r="D195" s="9"/>
      <c r="E195" s="9"/>
      <c r="F195" s="42"/>
      <c r="G195" s="42"/>
      <c r="H195" s="42"/>
      <c r="I195" s="9"/>
      <c r="J195" s="9"/>
      <c r="K195" s="9"/>
      <c r="L195" s="9"/>
      <c r="M195" s="9"/>
      <c r="N195" s="38"/>
      <c r="O195" s="9"/>
      <c r="P195" s="39"/>
      <c r="Q195" s="9"/>
      <c r="R195" s="9"/>
      <c r="S195" s="9"/>
      <c r="T195" s="9"/>
      <c r="U195" s="9"/>
      <c r="V195" s="9"/>
      <c r="W195" s="9"/>
      <c r="X195" s="10" t="str">
        <f aca="false">IF(A195="","",SG_Criteria!$B$6&amp;SG_Criteria!$B$13&amp;"\"&amp;A195&amp;"\")</f>
        <v/>
      </c>
      <c r="Y195" s="10" t="str">
        <f aca="false">IF(A195="","",A195&amp;"_CAD.dwg")</f>
        <v/>
      </c>
      <c r="Z195" s="10" t="str">
        <f aca="false">IF(A195="","",A195&amp;"_DWG.pdf")</f>
        <v/>
      </c>
      <c r="AA195" s="10" t="str">
        <f aca="false">IF(A195="","",IF(W195="Y",A195&amp;"_STAAD.std","n/a"))</f>
        <v/>
      </c>
      <c r="AB195" s="10" t="str">
        <f aca="false">IF(A195="","",A195&amp;"_CALC.xlsx")</f>
        <v/>
      </c>
      <c r="AC195" s="10" t="str">
        <f aca="false">IF(A195="","",A195&amp;"_CALC.pdf")</f>
        <v/>
      </c>
      <c r="AD195" s="9"/>
      <c r="AE195" s="9"/>
      <c r="AF195" s="39"/>
      <c r="AG195" s="39"/>
      <c r="AH195" s="39"/>
      <c r="AI195" s="39"/>
      <c r="AJ195" s="39"/>
      <c r="AK195" s="12" t="str">
        <f aca="false">IF(A195="","",IF(COUNTIF(Rebar_Schedule!$A$5:$A$2004,A195)=0,"",ROUND(SUMIF(Rebar_Schedule!$A$5:$A$2004,A195,Rebar_Schedule!$K$5:$K$2004),1)))</f>
        <v/>
      </c>
      <c r="AL195" s="33" t="str">
        <f aca="false">IF(A195="","",IF(AK195="","No rebar schedule yet",IF(ABS(AK195-N(AG195))/MAX(N(AG195),1)&gt;SG_Criteria!$B$55,"NOTE: register rebar differs from schedule by "&amp;TEXT(ABS(AK195-N(AG195))/MAX(N(AG195),1),"0%"),"OK")))</f>
        <v/>
      </c>
      <c r="AM195" s="33" t="str">
        <f aca="false">IF(D195="","","OK")</f>
        <v/>
      </c>
      <c r="AN195" s="9"/>
      <c r="AO195" s="9"/>
      <c r="AP195" s="9"/>
      <c r="AQ195" s="10" t="str">
        <f aca="false">IF(AP195="","",IFERROR(VLOOKUP(AP195,Projects!$A$5:$D$504,2,0),"Ref not in Projects"))</f>
        <v/>
      </c>
      <c r="AR195" s="10" t="str">
        <f aca="false">IF(AP195="","",IFERROR(VLOOKUP(AP195,Projects!$A$5:$D$504,4,0),"Ref not in Projects"))</f>
        <v/>
      </c>
      <c r="AS195" s="9"/>
      <c r="AT195" s="9"/>
      <c r="AU195" s="9"/>
      <c r="AV195" s="40"/>
      <c r="AW195" s="9"/>
      <c r="AX195" s="40"/>
      <c r="AY195" s="9"/>
      <c r="AZ195" s="40"/>
      <c r="BA195" s="9"/>
      <c r="BB195" s="9"/>
      <c r="BC195" s="9"/>
      <c r="BD195" s="40"/>
      <c r="BE195" s="40"/>
      <c r="BF195" s="36" t="str">
        <f aca="false">IF(BE195="","",EDATE(BE195,SG_Criteria!$B$54*12))</f>
        <v/>
      </c>
      <c r="BG195" s="33" t="str">
        <f aca="true">IF(A195="","",IF(BE195="","NOTE: not reviewed yet",IF(TODAY()&gt;BF195,"NOTE: review overdue","OK")))</f>
        <v/>
      </c>
      <c r="BH195" s="37" t="str">
        <f aca="false">IF(A195="","",ROUND((IF(LEN(D195)&gt;0,1,0)+IF(LEN(E195)&gt;0,1,0)+IF(LEN(I195)&gt;0,1,0)+IF(LEN(K195)&gt;0,1,0)+IF(LEN(Q195)&gt;0,1,0)+IF(LEN(S195)&gt;0,1,0)+IF(LEN(T195)&gt;0,1,0)+IF(LEN(U195)&gt;0,1,0)+IF(LEN(V195)&gt;0,1,0)+IF(LEN(AE195)&gt;0,1,0)+IF(LEN(AP195)&gt;0,1,0)+IF(LEN(BC195)&gt;0,1,0))/12,2))</f>
        <v/>
      </c>
      <c r="BI195" s="10" t="str">
        <f aca="false">IF(D195="","",IF(AND(T195="Approved",ISERROR(SEARCH("FAIL",AM195))),"Y","N"))</f>
        <v/>
      </c>
    </row>
    <row r="196" customFormat="false" ht="15" hidden="false" customHeight="false" outlineLevel="0" collapsed="false">
      <c r="A196" s="10" t="str">
        <f aca="false">IF(D196="","",IFERROR(VLOOKUP(D196,Lists!$BI$4:$BJ$20,2,0),"??")&amp;"-"&amp;UPPER(SUBSTITUTE(E196," ",""))&amp;IF(F196&lt;&gt;"","-SP"&amp;TEXT(F196*1000,"0"),"")&amp;IF(G196&lt;&gt;"","-H"&amp;TEXT(G196*1000,"0"),"")&amp;"-"&amp;S196)</f>
        <v/>
      </c>
      <c r="B196" s="10" t="str">
        <f aca="false">IF(D196="","",D196&amp;" - "&amp;E196&amp;IF(F196&lt;&gt;"",", span "&amp;F196&amp;" m","")&amp;IF(G196&lt;&gt;"",", H "&amp;G196&amp;" m","")&amp;IF(H196&lt;&gt;"",", W "&amp;H196&amp;" m",""))</f>
        <v/>
      </c>
      <c r="C196" s="9"/>
      <c r="D196" s="9"/>
      <c r="E196" s="9"/>
      <c r="F196" s="42"/>
      <c r="G196" s="42"/>
      <c r="H196" s="42"/>
      <c r="I196" s="9"/>
      <c r="J196" s="9"/>
      <c r="K196" s="9"/>
      <c r="L196" s="9"/>
      <c r="M196" s="9"/>
      <c r="N196" s="38"/>
      <c r="O196" s="9"/>
      <c r="P196" s="39"/>
      <c r="Q196" s="9"/>
      <c r="R196" s="9"/>
      <c r="S196" s="9"/>
      <c r="T196" s="9"/>
      <c r="U196" s="9"/>
      <c r="V196" s="9"/>
      <c r="W196" s="9"/>
      <c r="X196" s="10" t="str">
        <f aca="false">IF(A196="","",SG_Criteria!$B$6&amp;SG_Criteria!$B$13&amp;"\"&amp;A196&amp;"\")</f>
        <v/>
      </c>
      <c r="Y196" s="10" t="str">
        <f aca="false">IF(A196="","",A196&amp;"_CAD.dwg")</f>
        <v/>
      </c>
      <c r="Z196" s="10" t="str">
        <f aca="false">IF(A196="","",A196&amp;"_DWG.pdf")</f>
        <v/>
      </c>
      <c r="AA196" s="10" t="str">
        <f aca="false">IF(A196="","",IF(W196="Y",A196&amp;"_STAAD.std","n/a"))</f>
        <v/>
      </c>
      <c r="AB196" s="10" t="str">
        <f aca="false">IF(A196="","",A196&amp;"_CALC.xlsx")</f>
        <v/>
      </c>
      <c r="AC196" s="10" t="str">
        <f aca="false">IF(A196="","",A196&amp;"_CALC.pdf")</f>
        <v/>
      </c>
      <c r="AD196" s="9"/>
      <c r="AE196" s="9"/>
      <c r="AF196" s="39"/>
      <c r="AG196" s="39"/>
      <c r="AH196" s="39"/>
      <c r="AI196" s="39"/>
      <c r="AJ196" s="39"/>
      <c r="AK196" s="12" t="str">
        <f aca="false">IF(A196="","",IF(COUNTIF(Rebar_Schedule!$A$5:$A$2004,A196)=0,"",ROUND(SUMIF(Rebar_Schedule!$A$5:$A$2004,A196,Rebar_Schedule!$K$5:$K$2004),1)))</f>
        <v/>
      </c>
      <c r="AL196" s="33" t="str">
        <f aca="false">IF(A196="","",IF(AK196="","No rebar schedule yet",IF(ABS(AK196-N(AG196))/MAX(N(AG196),1)&gt;SG_Criteria!$B$55,"NOTE: register rebar differs from schedule by "&amp;TEXT(ABS(AK196-N(AG196))/MAX(N(AG196),1),"0%"),"OK")))</f>
        <v/>
      </c>
      <c r="AM196" s="33" t="str">
        <f aca="false">IF(D196="","","OK")</f>
        <v/>
      </c>
      <c r="AN196" s="9"/>
      <c r="AO196" s="9"/>
      <c r="AP196" s="9"/>
      <c r="AQ196" s="10" t="str">
        <f aca="false">IF(AP196="","",IFERROR(VLOOKUP(AP196,Projects!$A$5:$D$504,2,0),"Ref not in Projects"))</f>
        <v/>
      </c>
      <c r="AR196" s="10" t="str">
        <f aca="false">IF(AP196="","",IFERROR(VLOOKUP(AP196,Projects!$A$5:$D$504,4,0),"Ref not in Projects"))</f>
        <v/>
      </c>
      <c r="AS196" s="9"/>
      <c r="AT196" s="9"/>
      <c r="AU196" s="9"/>
      <c r="AV196" s="40"/>
      <c r="AW196" s="9"/>
      <c r="AX196" s="40"/>
      <c r="AY196" s="9"/>
      <c r="AZ196" s="40"/>
      <c r="BA196" s="9"/>
      <c r="BB196" s="9"/>
      <c r="BC196" s="9"/>
      <c r="BD196" s="40"/>
      <c r="BE196" s="40"/>
      <c r="BF196" s="36" t="str">
        <f aca="false">IF(BE196="","",EDATE(BE196,SG_Criteria!$B$54*12))</f>
        <v/>
      </c>
      <c r="BG196" s="33" t="str">
        <f aca="true">IF(A196="","",IF(BE196="","NOTE: not reviewed yet",IF(TODAY()&gt;BF196,"NOTE: review overdue","OK")))</f>
        <v/>
      </c>
      <c r="BH196" s="37" t="str">
        <f aca="false">IF(A196="","",ROUND((IF(LEN(D196)&gt;0,1,0)+IF(LEN(E196)&gt;0,1,0)+IF(LEN(I196)&gt;0,1,0)+IF(LEN(K196)&gt;0,1,0)+IF(LEN(Q196)&gt;0,1,0)+IF(LEN(S196)&gt;0,1,0)+IF(LEN(T196)&gt;0,1,0)+IF(LEN(U196)&gt;0,1,0)+IF(LEN(V196)&gt;0,1,0)+IF(LEN(AE196)&gt;0,1,0)+IF(LEN(AP196)&gt;0,1,0)+IF(LEN(BC196)&gt;0,1,0))/12,2))</f>
        <v/>
      </c>
      <c r="BI196" s="10" t="str">
        <f aca="false">IF(D196="","",IF(AND(T196="Approved",ISERROR(SEARCH("FAIL",AM196))),"Y","N"))</f>
        <v/>
      </c>
    </row>
    <row r="197" customFormat="false" ht="15" hidden="false" customHeight="false" outlineLevel="0" collapsed="false">
      <c r="A197" s="10" t="str">
        <f aca="false">IF(D197="","",IFERROR(VLOOKUP(D197,Lists!$BI$4:$BJ$20,2,0),"??")&amp;"-"&amp;UPPER(SUBSTITUTE(E197," ",""))&amp;IF(F197&lt;&gt;"","-SP"&amp;TEXT(F197*1000,"0"),"")&amp;IF(G197&lt;&gt;"","-H"&amp;TEXT(G197*1000,"0"),"")&amp;"-"&amp;S197)</f>
        <v/>
      </c>
      <c r="B197" s="10" t="str">
        <f aca="false">IF(D197="","",D197&amp;" - "&amp;E197&amp;IF(F197&lt;&gt;"",", span "&amp;F197&amp;" m","")&amp;IF(G197&lt;&gt;"",", H "&amp;G197&amp;" m","")&amp;IF(H197&lt;&gt;"",", W "&amp;H197&amp;" m",""))</f>
        <v/>
      </c>
      <c r="C197" s="9"/>
      <c r="D197" s="9"/>
      <c r="E197" s="9"/>
      <c r="F197" s="42"/>
      <c r="G197" s="42"/>
      <c r="H197" s="42"/>
      <c r="I197" s="9"/>
      <c r="J197" s="9"/>
      <c r="K197" s="9"/>
      <c r="L197" s="9"/>
      <c r="M197" s="9"/>
      <c r="N197" s="38"/>
      <c r="O197" s="9"/>
      <c r="P197" s="39"/>
      <c r="Q197" s="9"/>
      <c r="R197" s="9"/>
      <c r="S197" s="9"/>
      <c r="T197" s="9"/>
      <c r="U197" s="9"/>
      <c r="V197" s="9"/>
      <c r="W197" s="9"/>
      <c r="X197" s="10" t="str">
        <f aca="false">IF(A197="","",SG_Criteria!$B$6&amp;SG_Criteria!$B$13&amp;"\"&amp;A197&amp;"\")</f>
        <v/>
      </c>
      <c r="Y197" s="10" t="str">
        <f aca="false">IF(A197="","",A197&amp;"_CAD.dwg")</f>
        <v/>
      </c>
      <c r="Z197" s="10" t="str">
        <f aca="false">IF(A197="","",A197&amp;"_DWG.pdf")</f>
        <v/>
      </c>
      <c r="AA197" s="10" t="str">
        <f aca="false">IF(A197="","",IF(W197="Y",A197&amp;"_STAAD.std","n/a"))</f>
        <v/>
      </c>
      <c r="AB197" s="10" t="str">
        <f aca="false">IF(A197="","",A197&amp;"_CALC.xlsx")</f>
        <v/>
      </c>
      <c r="AC197" s="10" t="str">
        <f aca="false">IF(A197="","",A197&amp;"_CALC.pdf")</f>
        <v/>
      </c>
      <c r="AD197" s="9"/>
      <c r="AE197" s="9"/>
      <c r="AF197" s="39"/>
      <c r="AG197" s="39"/>
      <c r="AH197" s="39"/>
      <c r="AI197" s="39"/>
      <c r="AJ197" s="39"/>
      <c r="AK197" s="12" t="str">
        <f aca="false">IF(A197="","",IF(COUNTIF(Rebar_Schedule!$A$5:$A$2004,A197)=0,"",ROUND(SUMIF(Rebar_Schedule!$A$5:$A$2004,A197,Rebar_Schedule!$K$5:$K$2004),1)))</f>
        <v/>
      </c>
      <c r="AL197" s="33" t="str">
        <f aca="false">IF(A197="","",IF(AK197="","No rebar schedule yet",IF(ABS(AK197-N(AG197))/MAX(N(AG197),1)&gt;SG_Criteria!$B$55,"NOTE: register rebar differs from schedule by "&amp;TEXT(ABS(AK197-N(AG197))/MAX(N(AG197),1),"0%"),"OK")))</f>
        <v/>
      </c>
      <c r="AM197" s="33" t="str">
        <f aca="false">IF(D197="","","OK")</f>
        <v/>
      </c>
      <c r="AN197" s="9"/>
      <c r="AO197" s="9"/>
      <c r="AP197" s="9"/>
      <c r="AQ197" s="10" t="str">
        <f aca="false">IF(AP197="","",IFERROR(VLOOKUP(AP197,Projects!$A$5:$D$504,2,0),"Ref not in Projects"))</f>
        <v/>
      </c>
      <c r="AR197" s="10" t="str">
        <f aca="false">IF(AP197="","",IFERROR(VLOOKUP(AP197,Projects!$A$5:$D$504,4,0),"Ref not in Projects"))</f>
        <v/>
      </c>
      <c r="AS197" s="9"/>
      <c r="AT197" s="9"/>
      <c r="AU197" s="9"/>
      <c r="AV197" s="40"/>
      <c r="AW197" s="9"/>
      <c r="AX197" s="40"/>
      <c r="AY197" s="9"/>
      <c r="AZ197" s="40"/>
      <c r="BA197" s="9"/>
      <c r="BB197" s="9"/>
      <c r="BC197" s="9"/>
      <c r="BD197" s="40"/>
      <c r="BE197" s="40"/>
      <c r="BF197" s="36" t="str">
        <f aca="false">IF(BE197="","",EDATE(BE197,SG_Criteria!$B$54*12))</f>
        <v/>
      </c>
      <c r="BG197" s="33" t="str">
        <f aca="true">IF(A197="","",IF(BE197="","NOTE: not reviewed yet",IF(TODAY()&gt;BF197,"NOTE: review overdue","OK")))</f>
        <v/>
      </c>
      <c r="BH197" s="37" t="str">
        <f aca="false">IF(A197="","",ROUND((IF(LEN(D197)&gt;0,1,0)+IF(LEN(E197)&gt;0,1,0)+IF(LEN(I197)&gt;0,1,0)+IF(LEN(K197)&gt;0,1,0)+IF(LEN(Q197)&gt;0,1,0)+IF(LEN(S197)&gt;0,1,0)+IF(LEN(T197)&gt;0,1,0)+IF(LEN(U197)&gt;0,1,0)+IF(LEN(V197)&gt;0,1,0)+IF(LEN(AE197)&gt;0,1,0)+IF(LEN(AP197)&gt;0,1,0)+IF(LEN(BC197)&gt;0,1,0))/12,2))</f>
        <v/>
      </c>
      <c r="BI197" s="10" t="str">
        <f aca="false">IF(D197="","",IF(AND(T197="Approved",ISERROR(SEARCH("FAIL",AM197))),"Y","N"))</f>
        <v/>
      </c>
    </row>
    <row r="198" customFormat="false" ht="15" hidden="false" customHeight="false" outlineLevel="0" collapsed="false">
      <c r="A198" s="10" t="str">
        <f aca="false">IF(D198="","",IFERROR(VLOOKUP(D198,Lists!$BI$4:$BJ$20,2,0),"??")&amp;"-"&amp;UPPER(SUBSTITUTE(E198," ",""))&amp;IF(F198&lt;&gt;"","-SP"&amp;TEXT(F198*1000,"0"),"")&amp;IF(G198&lt;&gt;"","-H"&amp;TEXT(G198*1000,"0"),"")&amp;"-"&amp;S198)</f>
        <v/>
      </c>
      <c r="B198" s="10" t="str">
        <f aca="false">IF(D198="","",D198&amp;" - "&amp;E198&amp;IF(F198&lt;&gt;"",", span "&amp;F198&amp;" m","")&amp;IF(G198&lt;&gt;"",", H "&amp;G198&amp;" m","")&amp;IF(H198&lt;&gt;"",", W "&amp;H198&amp;" m",""))</f>
        <v/>
      </c>
      <c r="C198" s="9"/>
      <c r="D198" s="9"/>
      <c r="E198" s="9"/>
      <c r="F198" s="42"/>
      <c r="G198" s="42"/>
      <c r="H198" s="42"/>
      <c r="I198" s="9"/>
      <c r="J198" s="9"/>
      <c r="K198" s="9"/>
      <c r="L198" s="9"/>
      <c r="M198" s="9"/>
      <c r="N198" s="38"/>
      <c r="O198" s="9"/>
      <c r="P198" s="39"/>
      <c r="Q198" s="9"/>
      <c r="R198" s="9"/>
      <c r="S198" s="9"/>
      <c r="T198" s="9"/>
      <c r="U198" s="9"/>
      <c r="V198" s="9"/>
      <c r="W198" s="9"/>
      <c r="X198" s="10" t="str">
        <f aca="false">IF(A198="","",SG_Criteria!$B$6&amp;SG_Criteria!$B$13&amp;"\"&amp;A198&amp;"\")</f>
        <v/>
      </c>
      <c r="Y198" s="10" t="str">
        <f aca="false">IF(A198="","",A198&amp;"_CAD.dwg")</f>
        <v/>
      </c>
      <c r="Z198" s="10" t="str">
        <f aca="false">IF(A198="","",A198&amp;"_DWG.pdf")</f>
        <v/>
      </c>
      <c r="AA198" s="10" t="str">
        <f aca="false">IF(A198="","",IF(W198="Y",A198&amp;"_STAAD.std","n/a"))</f>
        <v/>
      </c>
      <c r="AB198" s="10" t="str">
        <f aca="false">IF(A198="","",A198&amp;"_CALC.xlsx")</f>
        <v/>
      </c>
      <c r="AC198" s="10" t="str">
        <f aca="false">IF(A198="","",A198&amp;"_CALC.pdf")</f>
        <v/>
      </c>
      <c r="AD198" s="9"/>
      <c r="AE198" s="9"/>
      <c r="AF198" s="39"/>
      <c r="AG198" s="39"/>
      <c r="AH198" s="39"/>
      <c r="AI198" s="39"/>
      <c r="AJ198" s="39"/>
      <c r="AK198" s="12" t="str">
        <f aca="false">IF(A198="","",IF(COUNTIF(Rebar_Schedule!$A$5:$A$2004,A198)=0,"",ROUND(SUMIF(Rebar_Schedule!$A$5:$A$2004,A198,Rebar_Schedule!$K$5:$K$2004),1)))</f>
        <v/>
      </c>
      <c r="AL198" s="33" t="str">
        <f aca="false">IF(A198="","",IF(AK198="","No rebar schedule yet",IF(ABS(AK198-N(AG198))/MAX(N(AG198),1)&gt;SG_Criteria!$B$55,"NOTE: register rebar differs from schedule by "&amp;TEXT(ABS(AK198-N(AG198))/MAX(N(AG198),1),"0%"),"OK")))</f>
        <v/>
      </c>
      <c r="AM198" s="33" t="str">
        <f aca="false">IF(D198="","","OK")</f>
        <v/>
      </c>
      <c r="AN198" s="9"/>
      <c r="AO198" s="9"/>
      <c r="AP198" s="9"/>
      <c r="AQ198" s="10" t="str">
        <f aca="false">IF(AP198="","",IFERROR(VLOOKUP(AP198,Projects!$A$5:$D$504,2,0),"Ref not in Projects"))</f>
        <v/>
      </c>
      <c r="AR198" s="10" t="str">
        <f aca="false">IF(AP198="","",IFERROR(VLOOKUP(AP198,Projects!$A$5:$D$504,4,0),"Ref not in Projects"))</f>
        <v/>
      </c>
      <c r="AS198" s="9"/>
      <c r="AT198" s="9"/>
      <c r="AU198" s="9"/>
      <c r="AV198" s="40"/>
      <c r="AW198" s="9"/>
      <c r="AX198" s="40"/>
      <c r="AY198" s="9"/>
      <c r="AZ198" s="40"/>
      <c r="BA198" s="9"/>
      <c r="BB198" s="9"/>
      <c r="BC198" s="9"/>
      <c r="BD198" s="40"/>
      <c r="BE198" s="40"/>
      <c r="BF198" s="36" t="str">
        <f aca="false">IF(BE198="","",EDATE(BE198,SG_Criteria!$B$54*12))</f>
        <v/>
      </c>
      <c r="BG198" s="33" t="str">
        <f aca="true">IF(A198="","",IF(BE198="","NOTE: not reviewed yet",IF(TODAY()&gt;BF198,"NOTE: review overdue","OK")))</f>
        <v/>
      </c>
      <c r="BH198" s="37" t="str">
        <f aca="false">IF(A198="","",ROUND((IF(LEN(D198)&gt;0,1,0)+IF(LEN(E198)&gt;0,1,0)+IF(LEN(I198)&gt;0,1,0)+IF(LEN(K198)&gt;0,1,0)+IF(LEN(Q198)&gt;0,1,0)+IF(LEN(S198)&gt;0,1,0)+IF(LEN(T198)&gt;0,1,0)+IF(LEN(U198)&gt;0,1,0)+IF(LEN(V198)&gt;0,1,0)+IF(LEN(AE198)&gt;0,1,0)+IF(LEN(AP198)&gt;0,1,0)+IF(LEN(BC198)&gt;0,1,0))/12,2))</f>
        <v/>
      </c>
      <c r="BI198" s="10" t="str">
        <f aca="false">IF(D198="","",IF(AND(T198="Approved",ISERROR(SEARCH("FAIL",AM198))),"Y","N"))</f>
        <v/>
      </c>
    </row>
    <row r="199" customFormat="false" ht="15" hidden="false" customHeight="false" outlineLevel="0" collapsed="false">
      <c r="A199" s="10" t="str">
        <f aca="false">IF(D199="","",IFERROR(VLOOKUP(D199,Lists!$BI$4:$BJ$20,2,0),"??")&amp;"-"&amp;UPPER(SUBSTITUTE(E199," ",""))&amp;IF(F199&lt;&gt;"","-SP"&amp;TEXT(F199*1000,"0"),"")&amp;IF(G199&lt;&gt;"","-H"&amp;TEXT(G199*1000,"0"),"")&amp;"-"&amp;S199)</f>
        <v/>
      </c>
      <c r="B199" s="10" t="str">
        <f aca="false">IF(D199="","",D199&amp;" - "&amp;E199&amp;IF(F199&lt;&gt;"",", span "&amp;F199&amp;" m","")&amp;IF(G199&lt;&gt;"",", H "&amp;G199&amp;" m","")&amp;IF(H199&lt;&gt;"",", W "&amp;H199&amp;" m",""))</f>
        <v/>
      </c>
      <c r="C199" s="9"/>
      <c r="D199" s="9"/>
      <c r="E199" s="9"/>
      <c r="F199" s="42"/>
      <c r="G199" s="42"/>
      <c r="H199" s="42"/>
      <c r="I199" s="9"/>
      <c r="J199" s="9"/>
      <c r="K199" s="9"/>
      <c r="L199" s="9"/>
      <c r="M199" s="9"/>
      <c r="N199" s="38"/>
      <c r="O199" s="9"/>
      <c r="P199" s="39"/>
      <c r="Q199" s="9"/>
      <c r="R199" s="9"/>
      <c r="S199" s="9"/>
      <c r="T199" s="9"/>
      <c r="U199" s="9"/>
      <c r="V199" s="9"/>
      <c r="W199" s="9"/>
      <c r="X199" s="10" t="str">
        <f aca="false">IF(A199="","",SG_Criteria!$B$6&amp;SG_Criteria!$B$13&amp;"\"&amp;A199&amp;"\")</f>
        <v/>
      </c>
      <c r="Y199" s="10" t="str">
        <f aca="false">IF(A199="","",A199&amp;"_CAD.dwg")</f>
        <v/>
      </c>
      <c r="Z199" s="10" t="str">
        <f aca="false">IF(A199="","",A199&amp;"_DWG.pdf")</f>
        <v/>
      </c>
      <c r="AA199" s="10" t="str">
        <f aca="false">IF(A199="","",IF(W199="Y",A199&amp;"_STAAD.std","n/a"))</f>
        <v/>
      </c>
      <c r="AB199" s="10" t="str">
        <f aca="false">IF(A199="","",A199&amp;"_CALC.xlsx")</f>
        <v/>
      </c>
      <c r="AC199" s="10" t="str">
        <f aca="false">IF(A199="","",A199&amp;"_CALC.pdf")</f>
        <v/>
      </c>
      <c r="AD199" s="9"/>
      <c r="AE199" s="9"/>
      <c r="AF199" s="39"/>
      <c r="AG199" s="39"/>
      <c r="AH199" s="39"/>
      <c r="AI199" s="39"/>
      <c r="AJ199" s="39"/>
      <c r="AK199" s="12" t="str">
        <f aca="false">IF(A199="","",IF(COUNTIF(Rebar_Schedule!$A$5:$A$2004,A199)=0,"",ROUND(SUMIF(Rebar_Schedule!$A$5:$A$2004,A199,Rebar_Schedule!$K$5:$K$2004),1)))</f>
        <v/>
      </c>
      <c r="AL199" s="33" t="str">
        <f aca="false">IF(A199="","",IF(AK199="","No rebar schedule yet",IF(ABS(AK199-N(AG199))/MAX(N(AG199),1)&gt;SG_Criteria!$B$55,"NOTE: register rebar differs from schedule by "&amp;TEXT(ABS(AK199-N(AG199))/MAX(N(AG199),1),"0%"),"OK")))</f>
        <v/>
      </c>
      <c r="AM199" s="33" t="str">
        <f aca="false">IF(D199="","","OK")</f>
        <v/>
      </c>
      <c r="AN199" s="9"/>
      <c r="AO199" s="9"/>
      <c r="AP199" s="9"/>
      <c r="AQ199" s="10" t="str">
        <f aca="false">IF(AP199="","",IFERROR(VLOOKUP(AP199,Projects!$A$5:$D$504,2,0),"Ref not in Projects"))</f>
        <v/>
      </c>
      <c r="AR199" s="10" t="str">
        <f aca="false">IF(AP199="","",IFERROR(VLOOKUP(AP199,Projects!$A$5:$D$504,4,0),"Ref not in Projects"))</f>
        <v/>
      </c>
      <c r="AS199" s="9"/>
      <c r="AT199" s="9"/>
      <c r="AU199" s="9"/>
      <c r="AV199" s="40"/>
      <c r="AW199" s="9"/>
      <c r="AX199" s="40"/>
      <c r="AY199" s="9"/>
      <c r="AZ199" s="40"/>
      <c r="BA199" s="9"/>
      <c r="BB199" s="9"/>
      <c r="BC199" s="9"/>
      <c r="BD199" s="40"/>
      <c r="BE199" s="40"/>
      <c r="BF199" s="36" t="str">
        <f aca="false">IF(BE199="","",EDATE(BE199,SG_Criteria!$B$54*12))</f>
        <v/>
      </c>
      <c r="BG199" s="33" t="str">
        <f aca="true">IF(A199="","",IF(BE199="","NOTE: not reviewed yet",IF(TODAY()&gt;BF199,"NOTE: review overdue","OK")))</f>
        <v/>
      </c>
      <c r="BH199" s="37" t="str">
        <f aca="false">IF(A199="","",ROUND((IF(LEN(D199)&gt;0,1,0)+IF(LEN(E199)&gt;0,1,0)+IF(LEN(I199)&gt;0,1,0)+IF(LEN(K199)&gt;0,1,0)+IF(LEN(Q199)&gt;0,1,0)+IF(LEN(S199)&gt;0,1,0)+IF(LEN(T199)&gt;0,1,0)+IF(LEN(U199)&gt;0,1,0)+IF(LEN(V199)&gt;0,1,0)+IF(LEN(AE199)&gt;0,1,0)+IF(LEN(AP199)&gt;0,1,0)+IF(LEN(BC199)&gt;0,1,0))/12,2))</f>
        <v/>
      </c>
      <c r="BI199" s="10" t="str">
        <f aca="false">IF(D199="","",IF(AND(T199="Approved",ISERROR(SEARCH("FAIL",AM199))),"Y","N"))</f>
        <v/>
      </c>
    </row>
    <row r="200" customFormat="false" ht="15" hidden="false" customHeight="false" outlineLevel="0" collapsed="false">
      <c r="A200" s="10" t="str">
        <f aca="false">IF(D200="","",IFERROR(VLOOKUP(D200,Lists!$BI$4:$BJ$20,2,0),"??")&amp;"-"&amp;UPPER(SUBSTITUTE(E200," ",""))&amp;IF(F200&lt;&gt;"","-SP"&amp;TEXT(F200*1000,"0"),"")&amp;IF(G200&lt;&gt;"","-H"&amp;TEXT(G200*1000,"0"),"")&amp;"-"&amp;S200)</f>
        <v/>
      </c>
      <c r="B200" s="10" t="str">
        <f aca="false">IF(D200="","",D200&amp;" - "&amp;E200&amp;IF(F200&lt;&gt;"",", span "&amp;F200&amp;" m","")&amp;IF(G200&lt;&gt;"",", H "&amp;G200&amp;" m","")&amp;IF(H200&lt;&gt;"",", W "&amp;H200&amp;" m",""))</f>
        <v/>
      </c>
      <c r="C200" s="9"/>
      <c r="D200" s="9"/>
      <c r="E200" s="9"/>
      <c r="F200" s="42"/>
      <c r="G200" s="42"/>
      <c r="H200" s="42"/>
      <c r="I200" s="9"/>
      <c r="J200" s="9"/>
      <c r="K200" s="9"/>
      <c r="L200" s="9"/>
      <c r="M200" s="9"/>
      <c r="N200" s="38"/>
      <c r="O200" s="9"/>
      <c r="P200" s="39"/>
      <c r="Q200" s="9"/>
      <c r="R200" s="9"/>
      <c r="S200" s="9"/>
      <c r="T200" s="9"/>
      <c r="U200" s="9"/>
      <c r="V200" s="9"/>
      <c r="W200" s="9"/>
      <c r="X200" s="10" t="str">
        <f aca="false">IF(A200="","",SG_Criteria!$B$6&amp;SG_Criteria!$B$13&amp;"\"&amp;A200&amp;"\")</f>
        <v/>
      </c>
      <c r="Y200" s="10" t="str">
        <f aca="false">IF(A200="","",A200&amp;"_CAD.dwg")</f>
        <v/>
      </c>
      <c r="Z200" s="10" t="str">
        <f aca="false">IF(A200="","",A200&amp;"_DWG.pdf")</f>
        <v/>
      </c>
      <c r="AA200" s="10" t="str">
        <f aca="false">IF(A200="","",IF(W200="Y",A200&amp;"_STAAD.std","n/a"))</f>
        <v/>
      </c>
      <c r="AB200" s="10" t="str">
        <f aca="false">IF(A200="","",A200&amp;"_CALC.xlsx")</f>
        <v/>
      </c>
      <c r="AC200" s="10" t="str">
        <f aca="false">IF(A200="","",A200&amp;"_CALC.pdf")</f>
        <v/>
      </c>
      <c r="AD200" s="9"/>
      <c r="AE200" s="9"/>
      <c r="AF200" s="39"/>
      <c r="AG200" s="39"/>
      <c r="AH200" s="39"/>
      <c r="AI200" s="39"/>
      <c r="AJ200" s="39"/>
      <c r="AK200" s="12" t="str">
        <f aca="false">IF(A200="","",IF(COUNTIF(Rebar_Schedule!$A$5:$A$2004,A200)=0,"",ROUND(SUMIF(Rebar_Schedule!$A$5:$A$2004,A200,Rebar_Schedule!$K$5:$K$2004),1)))</f>
        <v/>
      </c>
      <c r="AL200" s="33" t="str">
        <f aca="false">IF(A200="","",IF(AK200="","No rebar schedule yet",IF(ABS(AK200-N(AG200))/MAX(N(AG200),1)&gt;SG_Criteria!$B$55,"NOTE: register rebar differs from schedule by "&amp;TEXT(ABS(AK200-N(AG200))/MAX(N(AG200),1),"0%"),"OK")))</f>
        <v/>
      </c>
      <c r="AM200" s="33" t="str">
        <f aca="false">IF(D200="","","OK")</f>
        <v/>
      </c>
      <c r="AN200" s="9"/>
      <c r="AO200" s="9"/>
      <c r="AP200" s="9"/>
      <c r="AQ200" s="10" t="str">
        <f aca="false">IF(AP200="","",IFERROR(VLOOKUP(AP200,Projects!$A$5:$D$504,2,0),"Ref not in Projects"))</f>
        <v/>
      </c>
      <c r="AR200" s="10" t="str">
        <f aca="false">IF(AP200="","",IFERROR(VLOOKUP(AP200,Projects!$A$5:$D$504,4,0),"Ref not in Projects"))</f>
        <v/>
      </c>
      <c r="AS200" s="9"/>
      <c r="AT200" s="9"/>
      <c r="AU200" s="9"/>
      <c r="AV200" s="40"/>
      <c r="AW200" s="9"/>
      <c r="AX200" s="40"/>
      <c r="AY200" s="9"/>
      <c r="AZ200" s="40"/>
      <c r="BA200" s="9"/>
      <c r="BB200" s="9"/>
      <c r="BC200" s="9"/>
      <c r="BD200" s="40"/>
      <c r="BE200" s="40"/>
      <c r="BF200" s="36" t="str">
        <f aca="false">IF(BE200="","",EDATE(BE200,SG_Criteria!$B$54*12))</f>
        <v/>
      </c>
      <c r="BG200" s="33" t="str">
        <f aca="true">IF(A200="","",IF(BE200="","NOTE: not reviewed yet",IF(TODAY()&gt;BF200,"NOTE: review overdue","OK")))</f>
        <v/>
      </c>
      <c r="BH200" s="37" t="str">
        <f aca="false">IF(A200="","",ROUND((IF(LEN(D200)&gt;0,1,0)+IF(LEN(E200)&gt;0,1,0)+IF(LEN(I200)&gt;0,1,0)+IF(LEN(K200)&gt;0,1,0)+IF(LEN(Q200)&gt;0,1,0)+IF(LEN(S200)&gt;0,1,0)+IF(LEN(T200)&gt;0,1,0)+IF(LEN(U200)&gt;0,1,0)+IF(LEN(V200)&gt;0,1,0)+IF(LEN(AE200)&gt;0,1,0)+IF(LEN(AP200)&gt;0,1,0)+IF(LEN(BC200)&gt;0,1,0))/12,2))</f>
        <v/>
      </c>
      <c r="BI200" s="10" t="str">
        <f aca="false">IF(D200="","",IF(AND(T200="Approved",ISERROR(SEARCH("FAIL",AM200))),"Y","N"))</f>
        <v/>
      </c>
    </row>
    <row r="201" customFormat="false" ht="15" hidden="false" customHeight="false" outlineLevel="0" collapsed="false">
      <c r="A201" s="10" t="str">
        <f aca="false">IF(D201="","",IFERROR(VLOOKUP(D201,Lists!$BI$4:$BJ$20,2,0),"??")&amp;"-"&amp;UPPER(SUBSTITUTE(E201," ",""))&amp;IF(F201&lt;&gt;"","-SP"&amp;TEXT(F201*1000,"0"),"")&amp;IF(G201&lt;&gt;"","-H"&amp;TEXT(G201*1000,"0"),"")&amp;"-"&amp;S201)</f>
        <v/>
      </c>
      <c r="B201" s="10" t="str">
        <f aca="false">IF(D201="","",D201&amp;" - "&amp;E201&amp;IF(F201&lt;&gt;"",", span "&amp;F201&amp;" m","")&amp;IF(G201&lt;&gt;"",", H "&amp;G201&amp;" m","")&amp;IF(H201&lt;&gt;"",", W "&amp;H201&amp;" m",""))</f>
        <v/>
      </c>
      <c r="C201" s="9"/>
      <c r="D201" s="9"/>
      <c r="E201" s="9"/>
      <c r="F201" s="42"/>
      <c r="G201" s="42"/>
      <c r="H201" s="42"/>
      <c r="I201" s="9"/>
      <c r="J201" s="9"/>
      <c r="K201" s="9"/>
      <c r="L201" s="9"/>
      <c r="M201" s="9"/>
      <c r="N201" s="38"/>
      <c r="O201" s="9"/>
      <c r="P201" s="39"/>
      <c r="Q201" s="9"/>
      <c r="R201" s="9"/>
      <c r="S201" s="9"/>
      <c r="T201" s="9"/>
      <c r="U201" s="9"/>
      <c r="V201" s="9"/>
      <c r="W201" s="9"/>
      <c r="X201" s="10" t="str">
        <f aca="false">IF(A201="","",SG_Criteria!$B$6&amp;SG_Criteria!$B$13&amp;"\"&amp;A201&amp;"\")</f>
        <v/>
      </c>
      <c r="Y201" s="10" t="str">
        <f aca="false">IF(A201="","",A201&amp;"_CAD.dwg")</f>
        <v/>
      </c>
      <c r="Z201" s="10" t="str">
        <f aca="false">IF(A201="","",A201&amp;"_DWG.pdf")</f>
        <v/>
      </c>
      <c r="AA201" s="10" t="str">
        <f aca="false">IF(A201="","",IF(W201="Y",A201&amp;"_STAAD.std","n/a"))</f>
        <v/>
      </c>
      <c r="AB201" s="10" t="str">
        <f aca="false">IF(A201="","",A201&amp;"_CALC.xlsx")</f>
        <v/>
      </c>
      <c r="AC201" s="10" t="str">
        <f aca="false">IF(A201="","",A201&amp;"_CALC.pdf")</f>
        <v/>
      </c>
      <c r="AD201" s="9"/>
      <c r="AE201" s="9"/>
      <c r="AF201" s="39"/>
      <c r="AG201" s="39"/>
      <c r="AH201" s="39"/>
      <c r="AI201" s="39"/>
      <c r="AJ201" s="39"/>
      <c r="AK201" s="12" t="str">
        <f aca="false">IF(A201="","",IF(COUNTIF(Rebar_Schedule!$A$5:$A$2004,A201)=0,"",ROUND(SUMIF(Rebar_Schedule!$A$5:$A$2004,A201,Rebar_Schedule!$K$5:$K$2004),1)))</f>
        <v/>
      </c>
      <c r="AL201" s="33" t="str">
        <f aca="false">IF(A201="","",IF(AK201="","No rebar schedule yet",IF(ABS(AK201-N(AG201))/MAX(N(AG201),1)&gt;SG_Criteria!$B$55,"NOTE: register rebar differs from schedule by "&amp;TEXT(ABS(AK201-N(AG201))/MAX(N(AG201),1),"0%"),"OK")))</f>
        <v/>
      </c>
      <c r="AM201" s="33" t="str">
        <f aca="false">IF(D201="","","OK")</f>
        <v/>
      </c>
      <c r="AN201" s="9"/>
      <c r="AO201" s="9"/>
      <c r="AP201" s="9"/>
      <c r="AQ201" s="10" t="str">
        <f aca="false">IF(AP201="","",IFERROR(VLOOKUP(AP201,Projects!$A$5:$D$504,2,0),"Ref not in Projects"))</f>
        <v/>
      </c>
      <c r="AR201" s="10" t="str">
        <f aca="false">IF(AP201="","",IFERROR(VLOOKUP(AP201,Projects!$A$5:$D$504,4,0),"Ref not in Projects"))</f>
        <v/>
      </c>
      <c r="AS201" s="9"/>
      <c r="AT201" s="9"/>
      <c r="AU201" s="9"/>
      <c r="AV201" s="40"/>
      <c r="AW201" s="9"/>
      <c r="AX201" s="40"/>
      <c r="AY201" s="9"/>
      <c r="AZ201" s="40"/>
      <c r="BA201" s="9"/>
      <c r="BB201" s="9"/>
      <c r="BC201" s="9"/>
      <c r="BD201" s="40"/>
      <c r="BE201" s="40"/>
      <c r="BF201" s="36" t="str">
        <f aca="false">IF(BE201="","",EDATE(BE201,SG_Criteria!$B$54*12))</f>
        <v/>
      </c>
      <c r="BG201" s="33" t="str">
        <f aca="true">IF(A201="","",IF(BE201="","NOTE: not reviewed yet",IF(TODAY()&gt;BF201,"NOTE: review overdue","OK")))</f>
        <v/>
      </c>
      <c r="BH201" s="37" t="str">
        <f aca="false">IF(A201="","",ROUND((IF(LEN(D201)&gt;0,1,0)+IF(LEN(E201)&gt;0,1,0)+IF(LEN(I201)&gt;0,1,0)+IF(LEN(K201)&gt;0,1,0)+IF(LEN(Q201)&gt;0,1,0)+IF(LEN(S201)&gt;0,1,0)+IF(LEN(T201)&gt;0,1,0)+IF(LEN(U201)&gt;0,1,0)+IF(LEN(V201)&gt;0,1,0)+IF(LEN(AE201)&gt;0,1,0)+IF(LEN(AP201)&gt;0,1,0)+IF(LEN(BC201)&gt;0,1,0))/12,2))</f>
        <v/>
      </c>
      <c r="BI201" s="10" t="str">
        <f aca="false">IF(D201="","",IF(AND(T201="Approved",ISERROR(SEARCH("FAIL",AM201))),"Y","N"))</f>
        <v/>
      </c>
    </row>
    <row r="202" customFormat="false" ht="15" hidden="false" customHeight="false" outlineLevel="0" collapsed="false">
      <c r="A202" s="10" t="str">
        <f aca="false">IF(D202="","",IFERROR(VLOOKUP(D202,Lists!$BI$4:$BJ$20,2,0),"??")&amp;"-"&amp;UPPER(SUBSTITUTE(E202," ",""))&amp;IF(F202&lt;&gt;"","-SP"&amp;TEXT(F202*1000,"0"),"")&amp;IF(G202&lt;&gt;"","-H"&amp;TEXT(G202*1000,"0"),"")&amp;"-"&amp;S202)</f>
        <v/>
      </c>
      <c r="B202" s="10" t="str">
        <f aca="false">IF(D202="","",D202&amp;" - "&amp;E202&amp;IF(F202&lt;&gt;"",", span "&amp;F202&amp;" m","")&amp;IF(G202&lt;&gt;"",", H "&amp;G202&amp;" m","")&amp;IF(H202&lt;&gt;"",", W "&amp;H202&amp;" m",""))</f>
        <v/>
      </c>
      <c r="C202" s="9"/>
      <c r="D202" s="9"/>
      <c r="E202" s="9"/>
      <c r="F202" s="42"/>
      <c r="G202" s="42"/>
      <c r="H202" s="42"/>
      <c r="I202" s="9"/>
      <c r="J202" s="9"/>
      <c r="K202" s="9"/>
      <c r="L202" s="9"/>
      <c r="M202" s="9"/>
      <c r="N202" s="38"/>
      <c r="O202" s="9"/>
      <c r="P202" s="39"/>
      <c r="Q202" s="9"/>
      <c r="R202" s="9"/>
      <c r="S202" s="9"/>
      <c r="T202" s="9"/>
      <c r="U202" s="9"/>
      <c r="V202" s="9"/>
      <c r="W202" s="9"/>
      <c r="X202" s="10" t="str">
        <f aca="false">IF(A202="","",SG_Criteria!$B$6&amp;SG_Criteria!$B$13&amp;"\"&amp;A202&amp;"\")</f>
        <v/>
      </c>
      <c r="Y202" s="10" t="str">
        <f aca="false">IF(A202="","",A202&amp;"_CAD.dwg")</f>
        <v/>
      </c>
      <c r="Z202" s="10" t="str">
        <f aca="false">IF(A202="","",A202&amp;"_DWG.pdf")</f>
        <v/>
      </c>
      <c r="AA202" s="10" t="str">
        <f aca="false">IF(A202="","",IF(W202="Y",A202&amp;"_STAAD.std","n/a"))</f>
        <v/>
      </c>
      <c r="AB202" s="10" t="str">
        <f aca="false">IF(A202="","",A202&amp;"_CALC.xlsx")</f>
        <v/>
      </c>
      <c r="AC202" s="10" t="str">
        <f aca="false">IF(A202="","",A202&amp;"_CALC.pdf")</f>
        <v/>
      </c>
      <c r="AD202" s="9"/>
      <c r="AE202" s="9"/>
      <c r="AF202" s="39"/>
      <c r="AG202" s="39"/>
      <c r="AH202" s="39"/>
      <c r="AI202" s="39"/>
      <c r="AJ202" s="39"/>
      <c r="AK202" s="12" t="str">
        <f aca="false">IF(A202="","",IF(COUNTIF(Rebar_Schedule!$A$5:$A$2004,A202)=0,"",ROUND(SUMIF(Rebar_Schedule!$A$5:$A$2004,A202,Rebar_Schedule!$K$5:$K$2004),1)))</f>
        <v/>
      </c>
      <c r="AL202" s="33" t="str">
        <f aca="false">IF(A202="","",IF(AK202="","No rebar schedule yet",IF(ABS(AK202-N(AG202))/MAX(N(AG202),1)&gt;SG_Criteria!$B$55,"NOTE: register rebar differs from schedule by "&amp;TEXT(ABS(AK202-N(AG202))/MAX(N(AG202),1),"0%"),"OK")))</f>
        <v/>
      </c>
      <c r="AM202" s="33" t="str">
        <f aca="false">IF(D202="","","OK")</f>
        <v/>
      </c>
      <c r="AN202" s="9"/>
      <c r="AO202" s="9"/>
      <c r="AP202" s="9"/>
      <c r="AQ202" s="10" t="str">
        <f aca="false">IF(AP202="","",IFERROR(VLOOKUP(AP202,Projects!$A$5:$D$504,2,0),"Ref not in Projects"))</f>
        <v/>
      </c>
      <c r="AR202" s="10" t="str">
        <f aca="false">IF(AP202="","",IFERROR(VLOOKUP(AP202,Projects!$A$5:$D$504,4,0),"Ref not in Projects"))</f>
        <v/>
      </c>
      <c r="AS202" s="9"/>
      <c r="AT202" s="9"/>
      <c r="AU202" s="9"/>
      <c r="AV202" s="40"/>
      <c r="AW202" s="9"/>
      <c r="AX202" s="40"/>
      <c r="AY202" s="9"/>
      <c r="AZ202" s="40"/>
      <c r="BA202" s="9"/>
      <c r="BB202" s="9"/>
      <c r="BC202" s="9"/>
      <c r="BD202" s="40"/>
      <c r="BE202" s="40"/>
      <c r="BF202" s="36" t="str">
        <f aca="false">IF(BE202="","",EDATE(BE202,SG_Criteria!$B$54*12))</f>
        <v/>
      </c>
      <c r="BG202" s="33" t="str">
        <f aca="true">IF(A202="","",IF(BE202="","NOTE: not reviewed yet",IF(TODAY()&gt;BF202,"NOTE: review overdue","OK")))</f>
        <v/>
      </c>
      <c r="BH202" s="37" t="str">
        <f aca="false">IF(A202="","",ROUND((IF(LEN(D202)&gt;0,1,0)+IF(LEN(E202)&gt;0,1,0)+IF(LEN(I202)&gt;0,1,0)+IF(LEN(K202)&gt;0,1,0)+IF(LEN(Q202)&gt;0,1,0)+IF(LEN(S202)&gt;0,1,0)+IF(LEN(T202)&gt;0,1,0)+IF(LEN(U202)&gt;0,1,0)+IF(LEN(V202)&gt;0,1,0)+IF(LEN(AE202)&gt;0,1,0)+IF(LEN(AP202)&gt;0,1,0)+IF(LEN(BC202)&gt;0,1,0))/12,2))</f>
        <v/>
      </c>
      <c r="BI202" s="10" t="str">
        <f aca="false">IF(D202="","",IF(AND(T202="Approved",ISERROR(SEARCH("FAIL",AM202))),"Y","N"))</f>
        <v/>
      </c>
    </row>
    <row r="203" customFormat="false" ht="15" hidden="false" customHeight="false" outlineLevel="0" collapsed="false">
      <c r="A203" s="10" t="str">
        <f aca="false">IF(D203="","",IFERROR(VLOOKUP(D203,Lists!$BI$4:$BJ$20,2,0),"??")&amp;"-"&amp;UPPER(SUBSTITUTE(E203," ",""))&amp;IF(F203&lt;&gt;"","-SP"&amp;TEXT(F203*1000,"0"),"")&amp;IF(G203&lt;&gt;"","-H"&amp;TEXT(G203*1000,"0"),"")&amp;"-"&amp;S203)</f>
        <v/>
      </c>
      <c r="B203" s="10" t="str">
        <f aca="false">IF(D203="","",D203&amp;" - "&amp;E203&amp;IF(F203&lt;&gt;"",", span "&amp;F203&amp;" m","")&amp;IF(G203&lt;&gt;"",", H "&amp;G203&amp;" m","")&amp;IF(H203&lt;&gt;"",", W "&amp;H203&amp;" m",""))</f>
        <v/>
      </c>
      <c r="C203" s="9"/>
      <c r="D203" s="9"/>
      <c r="E203" s="9"/>
      <c r="F203" s="42"/>
      <c r="G203" s="42"/>
      <c r="H203" s="42"/>
      <c r="I203" s="9"/>
      <c r="J203" s="9"/>
      <c r="K203" s="9"/>
      <c r="L203" s="9"/>
      <c r="M203" s="9"/>
      <c r="N203" s="38"/>
      <c r="O203" s="9"/>
      <c r="P203" s="39"/>
      <c r="Q203" s="9"/>
      <c r="R203" s="9"/>
      <c r="S203" s="9"/>
      <c r="T203" s="9"/>
      <c r="U203" s="9"/>
      <c r="V203" s="9"/>
      <c r="W203" s="9"/>
      <c r="X203" s="10" t="str">
        <f aca="false">IF(A203="","",SG_Criteria!$B$6&amp;SG_Criteria!$B$13&amp;"\"&amp;A203&amp;"\")</f>
        <v/>
      </c>
      <c r="Y203" s="10" t="str">
        <f aca="false">IF(A203="","",A203&amp;"_CAD.dwg")</f>
        <v/>
      </c>
      <c r="Z203" s="10" t="str">
        <f aca="false">IF(A203="","",A203&amp;"_DWG.pdf")</f>
        <v/>
      </c>
      <c r="AA203" s="10" t="str">
        <f aca="false">IF(A203="","",IF(W203="Y",A203&amp;"_STAAD.std","n/a"))</f>
        <v/>
      </c>
      <c r="AB203" s="10" t="str">
        <f aca="false">IF(A203="","",A203&amp;"_CALC.xlsx")</f>
        <v/>
      </c>
      <c r="AC203" s="10" t="str">
        <f aca="false">IF(A203="","",A203&amp;"_CALC.pdf")</f>
        <v/>
      </c>
      <c r="AD203" s="9"/>
      <c r="AE203" s="9"/>
      <c r="AF203" s="39"/>
      <c r="AG203" s="39"/>
      <c r="AH203" s="39"/>
      <c r="AI203" s="39"/>
      <c r="AJ203" s="39"/>
      <c r="AK203" s="12" t="str">
        <f aca="false">IF(A203="","",IF(COUNTIF(Rebar_Schedule!$A$5:$A$2004,A203)=0,"",ROUND(SUMIF(Rebar_Schedule!$A$5:$A$2004,A203,Rebar_Schedule!$K$5:$K$2004),1)))</f>
        <v/>
      </c>
      <c r="AL203" s="33" t="str">
        <f aca="false">IF(A203="","",IF(AK203="","No rebar schedule yet",IF(ABS(AK203-N(AG203))/MAX(N(AG203),1)&gt;SG_Criteria!$B$55,"NOTE: register rebar differs from schedule by "&amp;TEXT(ABS(AK203-N(AG203))/MAX(N(AG203),1),"0%"),"OK")))</f>
        <v/>
      </c>
      <c r="AM203" s="33" t="str">
        <f aca="false">IF(D203="","","OK")</f>
        <v/>
      </c>
      <c r="AN203" s="9"/>
      <c r="AO203" s="9"/>
      <c r="AP203" s="9"/>
      <c r="AQ203" s="10" t="str">
        <f aca="false">IF(AP203="","",IFERROR(VLOOKUP(AP203,Projects!$A$5:$D$504,2,0),"Ref not in Projects"))</f>
        <v/>
      </c>
      <c r="AR203" s="10" t="str">
        <f aca="false">IF(AP203="","",IFERROR(VLOOKUP(AP203,Projects!$A$5:$D$504,4,0),"Ref not in Projects"))</f>
        <v/>
      </c>
      <c r="AS203" s="9"/>
      <c r="AT203" s="9"/>
      <c r="AU203" s="9"/>
      <c r="AV203" s="40"/>
      <c r="AW203" s="9"/>
      <c r="AX203" s="40"/>
      <c r="AY203" s="9"/>
      <c r="AZ203" s="40"/>
      <c r="BA203" s="9"/>
      <c r="BB203" s="9"/>
      <c r="BC203" s="9"/>
      <c r="BD203" s="40"/>
      <c r="BE203" s="40"/>
      <c r="BF203" s="36" t="str">
        <f aca="false">IF(BE203="","",EDATE(BE203,SG_Criteria!$B$54*12))</f>
        <v/>
      </c>
      <c r="BG203" s="33" t="str">
        <f aca="true">IF(A203="","",IF(BE203="","NOTE: not reviewed yet",IF(TODAY()&gt;BF203,"NOTE: review overdue","OK")))</f>
        <v/>
      </c>
      <c r="BH203" s="37" t="str">
        <f aca="false">IF(A203="","",ROUND((IF(LEN(D203)&gt;0,1,0)+IF(LEN(E203)&gt;0,1,0)+IF(LEN(I203)&gt;0,1,0)+IF(LEN(K203)&gt;0,1,0)+IF(LEN(Q203)&gt;0,1,0)+IF(LEN(S203)&gt;0,1,0)+IF(LEN(T203)&gt;0,1,0)+IF(LEN(U203)&gt;0,1,0)+IF(LEN(V203)&gt;0,1,0)+IF(LEN(AE203)&gt;0,1,0)+IF(LEN(AP203)&gt;0,1,0)+IF(LEN(BC203)&gt;0,1,0))/12,2))</f>
        <v/>
      </c>
      <c r="BI203" s="10" t="str">
        <f aca="false">IF(D203="","",IF(AND(T203="Approved",ISERROR(SEARCH("FAIL",AM203))),"Y","N"))</f>
        <v/>
      </c>
    </row>
    <row r="204" customFormat="false" ht="15" hidden="false" customHeight="false" outlineLevel="0" collapsed="false">
      <c r="A204" s="10" t="str">
        <f aca="false">IF(D204="","",IFERROR(VLOOKUP(D204,Lists!$BI$4:$BJ$20,2,0),"??")&amp;"-"&amp;UPPER(SUBSTITUTE(E204," ",""))&amp;IF(F204&lt;&gt;"","-SP"&amp;TEXT(F204*1000,"0"),"")&amp;IF(G204&lt;&gt;"","-H"&amp;TEXT(G204*1000,"0"),"")&amp;"-"&amp;S204)</f>
        <v/>
      </c>
      <c r="B204" s="10" t="str">
        <f aca="false">IF(D204="","",D204&amp;" - "&amp;E204&amp;IF(F204&lt;&gt;"",", span "&amp;F204&amp;" m","")&amp;IF(G204&lt;&gt;"",", H "&amp;G204&amp;" m","")&amp;IF(H204&lt;&gt;"",", W "&amp;H204&amp;" m",""))</f>
        <v/>
      </c>
      <c r="C204" s="9"/>
      <c r="D204" s="9"/>
      <c r="E204" s="9"/>
      <c r="F204" s="42"/>
      <c r="G204" s="42"/>
      <c r="H204" s="42"/>
      <c r="I204" s="9"/>
      <c r="J204" s="9"/>
      <c r="K204" s="9"/>
      <c r="L204" s="9"/>
      <c r="M204" s="9"/>
      <c r="N204" s="38"/>
      <c r="O204" s="9"/>
      <c r="P204" s="39"/>
      <c r="Q204" s="9"/>
      <c r="R204" s="9"/>
      <c r="S204" s="9"/>
      <c r="T204" s="9"/>
      <c r="U204" s="9"/>
      <c r="V204" s="9"/>
      <c r="W204" s="9"/>
      <c r="X204" s="10" t="str">
        <f aca="false">IF(A204="","",SG_Criteria!$B$6&amp;SG_Criteria!$B$13&amp;"\"&amp;A204&amp;"\")</f>
        <v/>
      </c>
      <c r="Y204" s="10" t="str">
        <f aca="false">IF(A204="","",A204&amp;"_CAD.dwg")</f>
        <v/>
      </c>
      <c r="Z204" s="10" t="str">
        <f aca="false">IF(A204="","",A204&amp;"_DWG.pdf")</f>
        <v/>
      </c>
      <c r="AA204" s="10" t="str">
        <f aca="false">IF(A204="","",IF(W204="Y",A204&amp;"_STAAD.std","n/a"))</f>
        <v/>
      </c>
      <c r="AB204" s="10" t="str">
        <f aca="false">IF(A204="","",A204&amp;"_CALC.xlsx")</f>
        <v/>
      </c>
      <c r="AC204" s="10" t="str">
        <f aca="false">IF(A204="","",A204&amp;"_CALC.pdf")</f>
        <v/>
      </c>
      <c r="AD204" s="9"/>
      <c r="AE204" s="9"/>
      <c r="AF204" s="39"/>
      <c r="AG204" s="39"/>
      <c r="AH204" s="39"/>
      <c r="AI204" s="39"/>
      <c r="AJ204" s="39"/>
      <c r="AK204" s="12" t="str">
        <f aca="false">IF(A204="","",IF(COUNTIF(Rebar_Schedule!$A$5:$A$2004,A204)=0,"",ROUND(SUMIF(Rebar_Schedule!$A$5:$A$2004,A204,Rebar_Schedule!$K$5:$K$2004),1)))</f>
        <v/>
      </c>
      <c r="AL204" s="33" t="str">
        <f aca="false">IF(A204="","",IF(AK204="","No rebar schedule yet",IF(ABS(AK204-N(AG204))/MAX(N(AG204),1)&gt;SG_Criteria!$B$55,"NOTE: register rebar differs from schedule by "&amp;TEXT(ABS(AK204-N(AG204))/MAX(N(AG204),1),"0%"),"OK")))</f>
        <v/>
      </c>
      <c r="AM204" s="33" t="str">
        <f aca="false">IF(D204="","","OK")</f>
        <v/>
      </c>
      <c r="AN204" s="9"/>
      <c r="AO204" s="9"/>
      <c r="AP204" s="9"/>
      <c r="AQ204" s="10" t="str">
        <f aca="false">IF(AP204="","",IFERROR(VLOOKUP(AP204,Projects!$A$5:$D$504,2,0),"Ref not in Projects"))</f>
        <v/>
      </c>
      <c r="AR204" s="10" t="str">
        <f aca="false">IF(AP204="","",IFERROR(VLOOKUP(AP204,Projects!$A$5:$D$504,4,0),"Ref not in Projects"))</f>
        <v/>
      </c>
      <c r="AS204" s="9"/>
      <c r="AT204" s="9"/>
      <c r="AU204" s="9"/>
      <c r="AV204" s="40"/>
      <c r="AW204" s="9"/>
      <c r="AX204" s="40"/>
      <c r="AY204" s="9"/>
      <c r="AZ204" s="40"/>
      <c r="BA204" s="9"/>
      <c r="BB204" s="9"/>
      <c r="BC204" s="9"/>
      <c r="BD204" s="40"/>
      <c r="BE204" s="40"/>
      <c r="BF204" s="36" t="str">
        <f aca="false">IF(BE204="","",EDATE(BE204,SG_Criteria!$B$54*12))</f>
        <v/>
      </c>
      <c r="BG204" s="33" t="str">
        <f aca="true">IF(A204="","",IF(BE204="","NOTE: not reviewed yet",IF(TODAY()&gt;BF204,"NOTE: review overdue","OK")))</f>
        <v/>
      </c>
      <c r="BH204" s="37" t="str">
        <f aca="false">IF(A204="","",ROUND((IF(LEN(D204)&gt;0,1,0)+IF(LEN(E204)&gt;0,1,0)+IF(LEN(I204)&gt;0,1,0)+IF(LEN(K204)&gt;0,1,0)+IF(LEN(Q204)&gt;0,1,0)+IF(LEN(S204)&gt;0,1,0)+IF(LEN(T204)&gt;0,1,0)+IF(LEN(U204)&gt;0,1,0)+IF(LEN(V204)&gt;0,1,0)+IF(LEN(AE204)&gt;0,1,0)+IF(LEN(AP204)&gt;0,1,0)+IF(LEN(BC204)&gt;0,1,0))/12,2))</f>
        <v/>
      </c>
      <c r="BI204" s="10" t="str">
        <f aca="false">IF(D204="","",IF(AND(T204="Approved",ISERROR(SEARCH("FAIL",AM204))),"Y","N"))</f>
        <v/>
      </c>
    </row>
    <row r="205" customFormat="false" ht="15" hidden="false" customHeight="false" outlineLevel="0" collapsed="false">
      <c r="A205" s="10" t="str">
        <f aca="false">IF(D205="","",IFERROR(VLOOKUP(D205,Lists!$BI$4:$BJ$20,2,0),"??")&amp;"-"&amp;UPPER(SUBSTITUTE(E205," ",""))&amp;IF(F205&lt;&gt;"","-SP"&amp;TEXT(F205*1000,"0"),"")&amp;IF(G205&lt;&gt;"","-H"&amp;TEXT(G205*1000,"0"),"")&amp;"-"&amp;S205)</f>
        <v/>
      </c>
      <c r="B205" s="10" t="str">
        <f aca="false">IF(D205="","",D205&amp;" - "&amp;E205&amp;IF(F205&lt;&gt;"",", span "&amp;F205&amp;" m","")&amp;IF(G205&lt;&gt;"",", H "&amp;G205&amp;" m","")&amp;IF(H205&lt;&gt;"",", W "&amp;H205&amp;" m",""))</f>
        <v/>
      </c>
      <c r="C205" s="9"/>
      <c r="D205" s="9"/>
      <c r="E205" s="9"/>
      <c r="F205" s="42"/>
      <c r="G205" s="42"/>
      <c r="H205" s="42"/>
      <c r="I205" s="9"/>
      <c r="J205" s="9"/>
      <c r="K205" s="9"/>
      <c r="L205" s="9"/>
      <c r="M205" s="9"/>
      <c r="N205" s="38"/>
      <c r="O205" s="9"/>
      <c r="P205" s="39"/>
      <c r="Q205" s="9"/>
      <c r="R205" s="9"/>
      <c r="S205" s="9"/>
      <c r="T205" s="9"/>
      <c r="U205" s="9"/>
      <c r="V205" s="9"/>
      <c r="W205" s="9"/>
      <c r="X205" s="10" t="str">
        <f aca="false">IF(A205="","",SG_Criteria!$B$6&amp;SG_Criteria!$B$13&amp;"\"&amp;A205&amp;"\")</f>
        <v/>
      </c>
      <c r="Y205" s="10" t="str">
        <f aca="false">IF(A205="","",A205&amp;"_CAD.dwg")</f>
        <v/>
      </c>
      <c r="Z205" s="10" t="str">
        <f aca="false">IF(A205="","",A205&amp;"_DWG.pdf")</f>
        <v/>
      </c>
      <c r="AA205" s="10" t="str">
        <f aca="false">IF(A205="","",IF(W205="Y",A205&amp;"_STAAD.std","n/a"))</f>
        <v/>
      </c>
      <c r="AB205" s="10" t="str">
        <f aca="false">IF(A205="","",A205&amp;"_CALC.xlsx")</f>
        <v/>
      </c>
      <c r="AC205" s="10" t="str">
        <f aca="false">IF(A205="","",A205&amp;"_CALC.pdf")</f>
        <v/>
      </c>
      <c r="AD205" s="9"/>
      <c r="AE205" s="9"/>
      <c r="AF205" s="39"/>
      <c r="AG205" s="39"/>
      <c r="AH205" s="39"/>
      <c r="AI205" s="39"/>
      <c r="AJ205" s="39"/>
      <c r="AK205" s="12" t="str">
        <f aca="false">IF(A205="","",IF(COUNTIF(Rebar_Schedule!$A$5:$A$2004,A205)=0,"",ROUND(SUMIF(Rebar_Schedule!$A$5:$A$2004,A205,Rebar_Schedule!$K$5:$K$2004),1)))</f>
        <v/>
      </c>
      <c r="AL205" s="33" t="str">
        <f aca="false">IF(A205="","",IF(AK205="","No rebar schedule yet",IF(ABS(AK205-N(AG205))/MAX(N(AG205),1)&gt;SG_Criteria!$B$55,"NOTE: register rebar differs from schedule by "&amp;TEXT(ABS(AK205-N(AG205))/MAX(N(AG205),1),"0%"),"OK")))</f>
        <v/>
      </c>
      <c r="AM205" s="33" t="str">
        <f aca="false">IF(D205="","","OK")</f>
        <v/>
      </c>
      <c r="AN205" s="9"/>
      <c r="AO205" s="9"/>
      <c r="AP205" s="9"/>
      <c r="AQ205" s="10" t="str">
        <f aca="false">IF(AP205="","",IFERROR(VLOOKUP(AP205,Projects!$A$5:$D$504,2,0),"Ref not in Projects"))</f>
        <v/>
      </c>
      <c r="AR205" s="10" t="str">
        <f aca="false">IF(AP205="","",IFERROR(VLOOKUP(AP205,Projects!$A$5:$D$504,4,0),"Ref not in Projects"))</f>
        <v/>
      </c>
      <c r="AS205" s="9"/>
      <c r="AT205" s="9"/>
      <c r="AU205" s="9"/>
      <c r="AV205" s="40"/>
      <c r="AW205" s="9"/>
      <c r="AX205" s="40"/>
      <c r="AY205" s="9"/>
      <c r="AZ205" s="40"/>
      <c r="BA205" s="9"/>
      <c r="BB205" s="9"/>
      <c r="BC205" s="9"/>
      <c r="BD205" s="40"/>
      <c r="BE205" s="40"/>
      <c r="BF205" s="36" t="str">
        <f aca="false">IF(BE205="","",EDATE(BE205,SG_Criteria!$B$54*12))</f>
        <v/>
      </c>
      <c r="BG205" s="33" t="str">
        <f aca="true">IF(A205="","",IF(BE205="","NOTE: not reviewed yet",IF(TODAY()&gt;BF205,"NOTE: review overdue","OK")))</f>
        <v/>
      </c>
      <c r="BH205" s="37" t="str">
        <f aca="false">IF(A205="","",ROUND((IF(LEN(D205)&gt;0,1,0)+IF(LEN(E205)&gt;0,1,0)+IF(LEN(I205)&gt;0,1,0)+IF(LEN(K205)&gt;0,1,0)+IF(LEN(Q205)&gt;0,1,0)+IF(LEN(S205)&gt;0,1,0)+IF(LEN(T205)&gt;0,1,0)+IF(LEN(U205)&gt;0,1,0)+IF(LEN(V205)&gt;0,1,0)+IF(LEN(AE205)&gt;0,1,0)+IF(LEN(AP205)&gt;0,1,0)+IF(LEN(BC205)&gt;0,1,0))/12,2))</f>
        <v/>
      </c>
      <c r="BI205" s="10" t="str">
        <f aca="false">IF(D205="","",IF(AND(T205="Approved",ISERROR(SEARCH("FAIL",AM205))),"Y","N"))</f>
        <v/>
      </c>
    </row>
    <row r="206" customFormat="false" ht="15" hidden="false" customHeight="false" outlineLevel="0" collapsed="false">
      <c r="A206" s="10" t="str">
        <f aca="false">IF(D206="","",IFERROR(VLOOKUP(D206,Lists!$BI$4:$BJ$20,2,0),"??")&amp;"-"&amp;UPPER(SUBSTITUTE(E206," ",""))&amp;IF(F206&lt;&gt;"","-SP"&amp;TEXT(F206*1000,"0"),"")&amp;IF(G206&lt;&gt;"","-H"&amp;TEXT(G206*1000,"0"),"")&amp;"-"&amp;S206)</f>
        <v/>
      </c>
      <c r="B206" s="10" t="str">
        <f aca="false">IF(D206="","",D206&amp;" - "&amp;E206&amp;IF(F206&lt;&gt;"",", span "&amp;F206&amp;" m","")&amp;IF(G206&lt;&gt;"",", H "&amp;G206&amp;" m","")&amp;IF(H206&lt;&gt;"",", W "&amp;H206&amp;" m",""))</f>
        <v/>
      </c>
      <c r="C206" s="9"/>
      <c r="D206" s="9"/>
      <c r="E206" s="9"/>
      <c r="F206" s="42"/>
      <c r="G206" s="42"/>
      <c r="H206" s="42"/>
      <c r="I206" s="9"/>
      <c r="J206" s="9"/>
      <c r="K206" s="9"/>
      <c r="L206" s="9"/>
      <c r="M206" s="9"/>
      <c r="N206" s="38"/>
      <c r="O206" s="9"/>
      <c r="P206" s="39"/>
      <c r="Q206" s="9"/>
      <c r="R206" s="9"/>
      <c r="S206" s="9"/>
      <c r="T206" s="9"/>
      <c r="U206" s="9"/>
      <c r="V206" s="9"/>
      <c r="W206" s="9"/>
      <c r="X206" s="10" t="str">
        <f aca="false">IF(A206="","",SG_Criteria!$B$6&amp;SG_Criteria!$B$13&amp;"\"&amp;A206&amp;"\")</f>
        <v/>
      </c>
      <c r="Y206" s="10" t="str">
        <f aca="false">IF(A206="","",A206&amp;"_CAD.dwg")</f>
        <v/>
      </c>
      <c r="Z206" s="10" t="str">
        <f aca="false">IF(A206="","",A206&amp;"_DWG.pdf")</f>
        <v/>
      </c>
      <c r="AA206" s="10" t="str">
        <f aca="false">IF(A206="","",IF(W206="Y",A206&amp;"_STAAD.std","n/a"))</f>
        <v/>
      </c>
      <c r="AB206" s="10" t="str">
        <f aca="false">IF(A206="","",A206&amp;"_CALC.xlsx")</f>
        <v/>
      </c>
      <c r="AC206" s="10" t="str">
        <f aca="false">IF(A206="","",A206&amp;"_CALC.pdf")</f>
        <v/>
      </c>
      <c r="AD206" s="9"/>
      <c r="AE206" s="9"/>
      <c r="AF206" s="39"/>
      <c r="AG206" s="39"/>
      <c r="AH206" s="39"/>
      <c r="AI206" s="39"/>
      <c r="AJ206" s="39"/>
      <c r="AK206" s="12" t="str">
        <f aca="false">IF(A206="","",IF(COUNTIF(Rebar_Schedule!$A$5:$A$2004,A206)=0,"",ROUND(SUMIF(Rebar_Schedule!$A$5:$A$2004,A206,Rebar_Schedule!$K$5:$K$2004),1)))</f>
        <v/>
      </c>
      <c r="AL206" s="33" t="str">
        <f aca="false">IF(A206="","",IF(AK206="","No rebar schedule yet",IF(ABS(AK206-N(AG206))/MAX(N(AG206),1)&gt;SG_Criteria!$B$55,"NOTE: register rebar differs from schedule by "&amp;TEXT(ABS(AK206-N(AG206))/MAX(N(AG206),1),"0%"),"OK")))</f>
        <v/>
      </c>
      <c r="AM206" s="33" t="str">
        <f aca="false">IF(D206="","","OK")</f>
        <v/>
      </c>
      <c r="AN206" s="9"/>
      <c r="AO206" s="9"/>
      <c r="AP206" s="9"/>
      <c r="AQ206" s="10" t="str">
        <f aca="false">IF(AP206="","",IFERROR(VLOOKUP(AP206,Projects!$A$5:$D$504,2,0),"Ref not in Projects"))</f>
        <v/>
      </c>
      <c r="AR206" s="10" t="str">
        <f aca="false">IF(AP206="","",IFERROR(VLOOKUP(AP206,Projects!$A$5:$D$504,4,0),"Ref not in Projects"))</f>
        <v/>
      </c>
      <c r="AS206" s="9"/>
      <c r="AT206" s="9"/>
      <c r="AU206" s="9"/>
      <c r="AV206" s="40"/>
      <c r="AW206" s="9"/>
      <c r="AX206" s="40"/>
      <c r="AY206" s="9"/>
      <c r="AZ206" s="40"/>
      <c r="BA206" s="9"/>
      <c r="BB206" s="9"/>
      <c r="BC206" s="9"/>
      <c r="BD206" s="40"/>
      <c r="BE206" s="40"/>
      <c r="BF206" s="36" t="str">
        <f aca="false">IF(BE206="","",EDATE(BE206,SG_Criteria!$B$54*12))</f>
        <v/>
      </c>
      <c r="BG206" s="33" t="str">
        <f aca="true">IF(A206="","",IF(BE206="","NOTE: not reviewed yet",IF(TODAY()&gt;BF206,"NOTE: review overdue","OK")))</f>
        <v/>
      </c>
      <c r="BH206" s="37" t="str">
        <f aca="false">IF(A206="","",ROUND((IF(LEN(D206)&gt;0,1,0)+IF(LEN(E206)&gt;0,1,0)+IF(LEN(I206)&gt;0,1,0)+IF(LEN(K206)&gt;0,1,0)+IF(LEN(Q206)&gt;0,1,0)+IF(LEN(S206)&gt;0,1,0)+IF(LEN(T206)&gt;0,1,0)+IF(LEN(U206)&gt;0,1,0)+IF(LEN(V206)&gt;0,1,0)+IF(LEN(AE206)&gt;0,1,0)+IF(LEN(AP206)&gt;0,1,0)+IF(LEN(BC206)&gt;0,1,0))/12,2))</f>
        <v/>
      </c>
      <c r="BI206" s="10" t="str">
        <f aca="false">IF(D206="","",IF(AND(T206="Approved",ISERROR(SEARCH("FAIL",AM206))),"Y","N"))</f>
        <v/>
      </c>
    </row>
    <row r="207" customFormat="false" ht="15" hidden="false" customHeight="false" outlineLevel="0" collapsed="false">
      <c r="A207" s="10" t="str">
        <f aca="false">IF(D207="","",IFERROR(VLOOKUP(D207,Lists!$BI$4:$BJ$20,2,0),"??")&amp;"-"&amp;UPPER(SUBSTITUTE(E207," ",""))&amp;IF(F207&lt;&gt;"","-SP"&amp;TEXT(F207*1000,"0"),"")&amp;IF(G207&lt;&gt;"","-H"&amp;TEXT(G207*1000,"0"),"")&amp;"-"&amp;S207)</f>
        <v/>
      </c>
      <c r="B207" s="10" t="str">
        <f aca="false">IF(D207="","",D207&amp;" - "&amp;E207&amp;IF(F207&lt;&gt;"",", span "&amp;F207&amp;" m","")&amp;IF(G207&lt;&gt;"",", H "&amp;G207&amp;" m","")&amp;IF(H207&lt;&gt;"",", W "&amp;H207&amp;" m",""))</f>
        <v/>
      </c>
      <c r="C207" s="9"/>
      <c r="D207" s="9"/>
      <c r="E207" s="9"/>
      <c r="F207" s="42"/>
      <c r="G207" s="42"/>
      <c r="H207" s="42"/>
      <c r="I207" s="9"/>
      <c r="J207" s="9"/>
      <c r="K207" s="9"/>
      <c r="L207" s="9"/>
      <c r="M207" s="9"/>
      <c r="N207" s="38"/>
      <c r="O207" s="9"/>
      <c r="P207" s="39"/>
      <c r="Q207" s="9"/>
      <c r="R207" s="9"/>
      <c r="S207" s="9"/>
      <c r="T207" s="9"/>
      <c r="U207" s="9"/>
      <c r="V207" s="9"/>
      <c r="W207" s="9"/>
      <c r="X207" s="10" t="str">
        <f aca="false">IF(A207="","",SG_Criteria!$B$6&amp;SG_Criteria!$B$13&amp;"\"&amp;A207&amp;"\")</f>
        <v/>
      </c>
      <c r="Y207" s="10" t="str">
        <f aca="false">IF(A207="","",A207&amp;"_CAD.dwg")</f>
        <v/>
      </c>
      <c r="Z207" s="10" t="str">
        <f aca="false">IF(A207="","",A207&amp;"_DWG.pdf")</f>
        <v/>
      </c>
      <c r="AA207" s="10" t="str">
        <f aca="false">IF(A207="","",IF(W207="Y",A207&amp;"_STAAD.std","n/a"))</f>
        <v/>
      </c>
      <c r="AB207" s="10" t="str">
        <f aca="false">IF(A207="","",A207&amp;"_CALC.xlsx")</f>
        <v/>
      </c>
      <c r="AC207" s="10" t="str">
        <f aca="false">IF(A207="","",A207&amp;"_CALC.pdf")</f>
        <v/>
      </c>
      <c r="AD207" s="9"/>
      <c r="AE207" s="9"/>
      <c r="AF207" s="39"/>
      <c r="AG207" s="39"/>
      <c r="AH207" s="39"/>
      <c r="AI207" s="39"/>
      <c r="AJ207" s="39"/>
      <c r="AK207" s="12" t="str">
        <f aca="false">IF(A207="","",IF(COUNTIF(Rebar_Schedule!$A$5:$A$2004,A207)=0,"",ROUND(SUMIF(Rebar_Schedule!$A$5:$A$2004,A207,Rebar_Schedule!$K$5:$K$2004),1)))</f>
        <v/>
      </c>
      <c r="AL207" s="33" t="str">
        <f aca="false">IF(A207="","",IF(AK207="","No rebar schedule yet",IF(ABS(AK207-N(AG207))/MAX(N(AG207),1)&gt;SG_Criteria!$B$55,"NOTE: register rebar differs from schedule by "&amp;TEXT(ABS(AK207-N(AG207))/MAX(N(AG207),1),"0%"),"OK")))</f>
        <v/>
      </c>
      <c r="AM207" s="33" t="str">
        <f aca="false">IF(D207="","","OK")</f>
        <v/>
      </c>
      <c r="AN207" s="9"/>
      <c r="AO207" s="9"/>
      <c r="AP207" s="9"/>
      <c r="AQ207" s="10" t="str">
        <f aca="false">IF(AP207="","",IFERROR(VLOOKUP(AP207,Projects!$A$5:$D$504,2,0),"Ref not in Projects"))</f>
        <v/>
      </c>
      <c r="AR207" s="10" t="str">
        <f aca="false">IF(AP207="","",IFERROR(VLOOKUP(AP207,Projects!$A$5:$D$504,4,0),"Ref not in Projects"))</f>
        <v/>
      </c>
      <c r="AS207" s="9"/>
      <c r="AT207" s="9"/>
      <c r="AU207" s="9"/>
      <c r="AV207" s="40"/>
      <c r="AW207" s="9"/>
      <c r="AX207" s="40"/>
      <c r="AY207" s="9"/>
      <c r="AZ207" s="40"/>
      <c r="BA207" s="9"/>
      <c r="BB207" s="9"/>
      <c r="BC207" s="9"/>
      <c r="BD207" s="40"/>
      <c r="BE207" s="40"/>
      <c r="BF207" s="36" t="str">
        <f aca="false">IF(BE207="","",EDATE(BE207,SG_Criteria!$B$54*12))</f>
        <v/>
      </c>
      <c r="BG207" s="33" t="str">
        <f aca="true">IF(A207="","",IF(BE207="","NOTE: not reviewed yet",IF(TODAY()&gt;BF207,"NOTE: review overdue","OK")))</f>
        <v/>
      </c>
      <c r="BH207" s="37" t="str">
        <f aca="false">IF(A207="","",ROUND((IF(LEN(D207)&gt;0,1,0)+IF(LEN(E207)&gt;0,1,0)+IF(LEN(I207)&gt;0,1,0)+IF(LEN(K207)&gt;0,1,0)+IF(LEN(Q207)&gt;0,1,0)+IF(LEN(S207)&gt;0,1,0)+IF(LEN(T207)&gt;0,1,0)+IF(LEN(U207)&gt;0,1,0)+IF(LEN(V207)&gt;0,1,0)+IF(LEN(AE207)&gt;0,1,0)+IF(LEN(AP207)&gt;0,1,0)+IF(LEN(BC207)&gt;0,1,0))/12,2))</f>
        <v/>
      </c>
      <c r="BI207" s="10" t="str">
        <f aca="false">IF(D207="","",IF(AND(T207="Approved",ISERROR(SEARCH("FAIL",AM207))),"Y","N"))</f>
        <v/>
      </c>
    </row>
    <row r="208" customFormat="false" ht="15" hidden="false" customHeight="false" outlineLevel="0" collapsed="false">
      <c r="A208" s="10" t="str">
        <f aca="false">IF(D208="","",IFERROR(VLOOKUP(D208,Lists!$BI$4:$BJ$20,2,0),"??")&amp;"-"&amp;UPPER(SUBSTITUTE(E208," ",""))&amp;IF(F208&lt;&gt;"","-SP"&amp;TEXT(F208*1000,"0"),"")&amp;IF(G208&lt;&gt;"","-H"&amp;TEXT(G208*1000,"0"),"")&amp;"-"&amp;S208)</f>
        <v/>
      </c>
      <c r="B208" s="10" t="str">
        <f aca="false">IF(D208="","",D208&amp;" - "&amp;E208&amp;IF(F208&lt;&gt;"",", span "&amp;F208&amp;" m","")&amp;IF(G208&lt;&gt;"",", H "&amp;G208&amp;" m","")&amp;IF(H208&lt;&gt;"",", W "&amp;H208&amp;" m",""))</f>
        <v/>
      </c>
      <c r="C208" s="9"/>
      <c r="D208" s="9"/>
      <c r="E208" s="9"/>
      <c r="F208" s="42"/>
      <c r="G208" s="42"/>
      <c r="H208" s="42"/>
      <c r="I208" s="9"/>
      <c r="J208" s="9"/>
      <c r="K208" s="9"/>
      <c r="L208" s="9"/>
      <c r="M208" s="9"/>
      <c r="N208" s="38"/>
      <c r="O208" s="9"/>
      <c r="P208" s="39"/>
      <c r="Q208" s="9"/>
      <c r="R208" s="9"/>
      <c r="S208" s="9"/>
      <c r="T208" s="9"/>
      <c r="U208" s="9"/>
      <c r="V208" s="9"/>
      <c r="W208" s="9"/>
      <c r="X208" s="10" t="str">
        <f aca="false">IF(A208="","",SG_Criteria!$B$6&amp;SG_Criteria!$B$13&amp;"\"&amp;A208&amp;"\")</f>
        <v/>
      </c>
      <c r="Y208" s="10" t="str">
        <f aca="false">IF(A208="","",A208&amp;"_CAD.dwg")</f>
        <v/>
      </c>
      <c r="Z208" s="10" t="str">
        <f aca="false">IF(A208="","",A208&amp;"_DWG.pdf")</f>
        <v/>
      </c>
      <c r="AA208" s="10" t="str">
        <f aca="false">IF(A208="","",IF(W208="Y",A208&amp;"_STAAD.std","n/a"))</f>
        <v/>
      </c>
      <c r="AB208" s="10" t="str">
        <f aca="false">IF(A208="","",A208&amp;"_CALC.xlsx")</f>
        <v/>
      </c>
      <c r="AC208" s="10" t="str">
        <f aca="false">IF(A208="","",A208&amp;"_CALC.pdf")</f>
        <v/>
      </c>
      <c r="AD208" s="9"/>
      <c r="AE208" s="9"/>
      <c r="AF208" s="39"/>
      <c r="AG208" s="39"/>
      <c r="AH208" s="39"/>
      <c r="AI208" s="39"/>
      <c r="AJ208" s="39"/>
      <c r="AK208" s="12" t="str">
        <f aca="false">IF(A208="","",IF(COUNTIF(Rebar_Schedule!$A$5:$A$2004,A208)=0,"",ROUND(SUMIF(Rebar_Schedule!$A$5:$A$2004,A208,Rebar_Schedule!$K$5:$K$2004),1)))</f>
        <v/>
      </c>
      <c r="AL208" s="33" t="str">
        <f aca="false">IF(A208="","",IF(AK208="","No rebar schedule yet",IF(ABS(AK208-N(AG208))/MAX(N(AG208),1)&gt;SG_Criteria!$B$55,"NOTE: register rebar differs from schedule by "&amp;TEXT(ABS(AK208-N(AG208))/MAX(N(AG208),1),"0%"),"OK")))</f>
        <v/>
      </c>
      <c r="AM208" s="33" t="str">
        <f aca="false">IF(D208="","","OK")</f>
        <v/>
      </c>
      <c r="AN208" s="9"/>
      <c r="AO208" s="9"/>
      <c r="AP208" s="9"/>
      <c r="AQ208" s="10" t="str">
        <f aca="false">IF(AP208="","",IFERROR(VLOOKUP(AP208,Projects!$A$5:$D$504,2,0),"Ref not in Projects"))</f>
        <v/>
      </c>
      <c r="AR208" s="10" t="str">
        <f aca="false">IF(AP208="","",IFERROR(VLOOKUP(AP208,Projects!$A$5:$D$504,4,0),"Ref not in Projects"))</f>
        <v/>
      </c>
      <c r="AS208" s="9"/>
      <c r="AT208" s="9"/>
      <c r="AU208" s="9"/>
      <c r="AV208" s="40"/>
      <c r="AW208" s="9"/>
      <c r="AX208" s="40"/>
      <c r="AY208" s="9"/>
      <c r="AZ208" s="40"/>
      <c r="BA208" s="9"/>
      <c r="BB208" s="9"/>
      <c r="BC208" s="9"/>
      <c r="BD208" s="40"/>
      <c r="BE208" s="40"/>
      <c r="BF208" s="36" t="str">
        <f aca="false">IF(BE208="","",EDATE(BE208,SG_Criteria!$B$54*12))</f>
        <v/>
      </c>
      <c r="BG208" s="33" t="str">
        <f aca="true">IF(A208="","",IF(BE208="","NOTE: not reviewed yet",IF(TODAY()&gt;BF208,"NOTE: review overdue","OK")))</f>
        <v/>
      </c>
      <c r="BH208" s="37" t="str">
        <f aca="false">IF(A208="","",ROUND((IF(LEN(D208)&gt;0,1,0)+IF(LEN(E208)&gt;0,1,0)+IF(LEN(I208)&gt;0,1,0)+IF(LEN(K208)&gt;0,1,0)+IF(LEN(Q208)&gt;0,1,0)+IF(LEN(S208)&gt;0,1,0)+IF(LEN(T208)&gt;0,1,0)+IF(LEN(U208)&gt;0,1,0)+IF(LEN(V208)&gt;0,1,0)+IF(LEN(AE208)&gt;0,1,0)+IF(LEN(AP208)&gt;0,1,0)+IF(LEN(BC208)&gt;0,1,0))/12,2))</f>
        <v/>
      </c>
      <c r="BI208" s="10" t="str">
        <f aca="false">IF(D208="","",IF(AND(T208="Approved",ISERROR(SEARCH("FAIL",AM208))),"Y","N"))</f>
        <v/>
      </c>
    </row>
    <row r="209" customFormat="false" ht="15" hidden="false" customHeight="false" outlineLevel="0" collapsed="false">
      <c r="A209" s="10" t="str">
        <f aca="false">IF(D209="","",IFERROR(VLOOKUP(D209,Lists!$BI$4:$BJ$20,2,0),"??")&amp;"-"&amp;UPPER(SUBSTITUTE(E209," ",""))&amp;IF(F209&lt;&gt;"","-SP"&amp;TEXT(F209*1000,"0"),"")&amp;IF(G209&lt;&gt;"","-H"&amp;TEXT(G209*1000,"0"),"")&amp;"-"&amp;S209)</f>
        <v/>
      </c>
      <c r="B209" s="10" t="str">
        <f aca="false">IF(D209="","",D209&amp;" - "&amp;E209&amp;IF(F209&lt;&gt;"",", span "&amp;F209&amp;" m","")&amp;IF(G209&lt;&gt;"",", H "&amp;G209&amp;" m","")&amp;IF(H209&lt;&gt;"",", W "&amp;H209&amp;" m",""))</f>
        <v/>
      </c>
      <c r="C209" s="9"/>
      <c r="D209" s="9"/>
      <c r="E209" s="9"/>
      <c r="F209" s="42"/>
      <c r="G209" s="42"/>
      <c r="H209" s="42"/>
      <c r="I209" s="9"/>
      <c r="J209" s="9"/>
      <c r="K209" s="9"/>
      <c r="L209" s="9"/>
      <c r="M209" s="9"/>
      <c r="N209" s="38"/>
      <c r="O209" s="9"/>
      <c r="P209" s="39"/>
      <c r="Q209" s="9"/>
      <c r="R209" s="9"/>
      <c r="S209" s="9"/>
      <c r="T209" s="9"/>
      <c r="U209" s="9"/>
      <c r="V209" s="9"/>
      <c r="W209" s="9"/>
      <c r="X209" s="10" t="str">
        <f aca="false">IF(A209="","",SG_Criteria!$B$6&amp;SG_Criteria!$B$13&amp;"\"&amp;A209&amp;"\")</f>
        <v/>
      </c>
      <c r="Y209" s="10" t="str">
        <f aca="false">IF(A209="","",A209&amp;"_CAD.dwg")</f>
        <v/>
      </c>
      <c r="Z209" s="10" t="str">
        <f aca="false">IF(A209="","",A209&amp;"_DWG.pdf")</f>
        <v/>
      </c>
      <c r="AA209" s="10" t="str">
        <f aca="false">IF(A209="","",IF(W209="Y",A209&amp;"_STAAD.std","n/a"))</f>
        <v/>
      </c>
      <c r="AB209" s="10" t="str">
        <f aca="false">IF(A209="","",A209&amp;"_CALC.xlsx")</f>
        <v/>
      </c>
      <c r="AC209" s="10" t="str">
        <f aca="false">IF(A209="","",A209&amp;"_CALC.pdf")</f>
        <v/>
      </c>
      <c r="AD209" s="9"/>
      <c r="AE209" s="9"/>
      <c r="AF209" s="39"/>
      <c r="AG209" s="39"/>
      <c r="AH209" s="39"/>
      <c r="AI209" s="39"/>
      <c r="AJ209" s="39"/>
      <c r="AK209" s="12" t="str">
        <f aca="false">IF(A209="","",IF(COUNTIF(Rebar_Schedule!$A$5:$A$2004,A209)=0,"",ROUND(SUMIF(Rebar_Schedule!$A$5:$A$2004,A209,Rebar_Schedule!$K$5:$K$2004),1)))</f>
        <v/>
      </c>
      <c r="AL209" s="33" t="str">
        <f aca="false">IF(A209="","",IF(AK209="","No rebar schedule yet",IF(ABS(AK209-N(AG209))/MAX(N(AG209),1)&gt;SG_Criteria!$B$55,"NOTE: register rebar differs from schedule by "&amp;TEXT(ABS(AK209-N(AG209))/MAX(N(AG209),1),"0%"),"OK")))</f>
        <v/>
      </c>
      <c r="AM209" s="33" t="str">
        <f aca="false">IF(D209="","","OK")</f>
        <v/>
      </c>
      <c r="AN209" s="9"/>
      <c r="AO209" s="9"/>
      <c r="AP209" s="9"/>
      <c r="AQ209" s="10" t="str">
        <f aca="false">IF(AP209="","",IFERROR(VLOOKUP(AP209,Projects!$A$5:$D$504,2,0),"Ref not in Projects"))</f>
        <v/>
      </c>
      <c r="AR209" s="10" t="str">
        <f aca="false">IF(AP209="","",IFERROR(VLOOKUP(AP209,Projects!$A$5:$D$504,4,0),"Ref not in Projects"))</f>
        <v/>
      </c>
      <c r="AS209" s="9"/>
      <c r="AT209" s="9"/>
      <c r="AU209" s="9"/>
      <c r="AV209" s="40"/>
      <c r="AW209" s="9"/>
      <c r="AX209" s="40"/>
      <c r="AY209" s="9"/>
      <c r="AZ209" s="40"/>
      <c r="BA209" s="9"/>
      <c r="BB209" s="9"/>
      <c r="BC209" s="9"/>
      <c r="BD209" s="40"/>
      <c r="BE209" s="40"/>
      <c r="BF209" s="36" t="str">
        <f aca="false">IF(BE209="","",EDATE(BE209,SG_Criteria!$B$54*12))</f>
        <v/>
      </c>
      <c r="BG209" s="33" t="str">
        <f aca="true">IF(A209="","",IF(BE209="","NOTE: not reviewed yet",IF(TODAY()&gt;BF209,"NOTE: review overdue","OK")))</f>
        <v/>
      </c>
      <c r="BH209" s="37" t="str">
        <f aca="false">IF(A209="","",ROUND((IF(LEN(D209)&gt;0,1,0)+IF(LEN(E209)&gt;0,1,0)+IF(LEN(I209)&gt;0,1,0)+IF(LEN(K209)&gt;0,1,0)+IF(LEN(Q209)&gt;0,1,0)+IF(LEN(S209)&gt;0,1,0)+IF(LEN(T209)&gt;0,1,0)+IF(LEN(U209)&gt;0,1,0)+IF(LEN(V209)&gt;0,1,0)+IF(LEN(AE209)&gt;0,1,0)+IF(LEN(AP209)&gt;0,1,0)+IF(LEN(BC209)&gt;0,1,0))/12,2))</f>
        <v/>
      </c>
      <c r="BI209" s="10" t="str">
        <f aca="false">IF(D209="","",IF(AND(T209="Approved",ISERROR(SEARCH("FAIL",AM209))),"Y","N"))</f>
        <v/>
      </c>
    </row>
    <row r="210" customFormat="false" ht="15" hidden="false" customHeight="false" outlineLevel="0" collapsed="false">
      <c r="A210" s="10" t="str">
        <f aca="false">IF(D210="","",IFERROR(VLOOKUP(D210,Lists!$BI$4:$BJ$20,2,0),"??")&amp;"-"&amp;UPPER(SUBSTITUTE(E210," ",""))&amp;IF(F210&lt;&gt;"","-SP"&amp;TEXT(F210*1000,"0"),"")&amp;IF(G210&lt;&gt;"","-H"&amp;TEXT(G210*1000,"0"),"")&amp;"-"&amp;S210)</f>
        <v/>
      </c>
      <c r="B210" s="10" t="str">
        <f aca="false">IF(D210="","",D210&amp;" - "&amp;E210&amp;IF(F210&lt;&gt;"",", span "&amp;F210&amp;" m","")&amp;IF(G210&lt;&gt;"",", H "&amp;G210&amp;" m","")&amp;IF(H210&lt;&gt;"",", W "&amp;H210&amp;" m",""))</f>
        <v/>
      </c>
      <c r="C210" s="9"/>
      <c r="D210" s="9"/>
      <c r="E210" s="9"/>
      <c r="F210" s="42"/>
      <c r="G210" s="42"/>
      <c r="H210" s="42"/>
      <c r="I210" s="9"/>
      <c r="J210" s="9"/>
      <c r="K210" s="9"/>
      <c r="L210" s="9"/>
      <c r="M210" s="9"/>
      <c r="N210" s="38"/>
      <c r="O210" s="9"/>
      <c r="P210" s="39"/>
      <c r="Q210" s="9"/>
      <c r="R210" s="9"/>
      <c r="S210" s="9"/>
      <c r="T210" s="9"/>
      <c r="U210" s="9"/>
      <c r="V210" s="9"/>
      <c r="W210" s="9"/>
      <c r="X210" s="10" t="str">
        <f aca="false">IF(A210="","",SG_Criteria!$B$6&amp;SG_Criteria!$B$13&amp;"\"&amp;A210&amp;"\")</f>
        <v/>
      </c>
      <c r="Y210" s="10" t="str">
        <f aca="false">IF(A210="","",A210&amp;"_CAD.dwg")</f>
        <v/>
      </c>
      <c r="Z210" s="10" t="str">
        <f aca="false">IF(A210="","",A210&amp;"_DWG.pdf")</f>
        <v/>
      </c>
      <c r="AA210" s="10" t="str">
        <f aca="false">IF(A210="","",IF(W210="Y",A210&amp;"_STAAD.std","n/a"))</f>
        <v/>
      </c>
      <c r="AB210" s="10" t="str">
        <f aca="false">IF(A210="","",A210&amp;"_CALC.xlsx")</f>
        <v/>
      </c>
      <c r="AC210" s="10" t="str">
        <f aca="false">IF(A210="","",A210&amp;"_CALC.pdf")</f>
        <v/>
      </c>
      <c r="AD210" s="9"/>
      <c r="AE210" s="9"/>
      <c r="AF210" s="39"/>
      <c r="AG210" s="39"/>
      <c r="AH210" s="39"/>
      <c r="AI210" s="39"/>
      <c r="AJ210" s="39"/>
      <c r="AK210" s="12" t="str">
        <f aca="false">IF(A210="","",IF(COUNTIF(Rebar_Schedule!$A$5:$A$2004,A210)=0,"",ROUND(SUMIF(Rebar_Schedule!$A$5:$A$2004,A210,Rebar_Schedule!$K$5:$K$2004),1)))</f>
        <v/>
      </c>
      <c r="AL210" s="33" t="str">
        <f aca="false">IF(A210="","",IF(AK210="","No rebar schedule yet",IF(ABS(AK210-N(AG210))/MAX(N(AG210),1)&gt;SG_Criteria!$B$55,"NOTE: register rebar differs from schedule by "&amp;TEXT(ABS(AK210-N(AG210))/MAX(N(AG210),1),"0%"),"OK")))</f>
        <v/>
      </c>
      <c r="AM210" s="33" t="str">
        <f aca="false">IF(D210="","","OK")</f>
        <v/>
      </c>
      <c r="AN210" s="9"/>
      <c r="AO210" s="9"/>
      <c r="AP210" s="9"/>
      <c r="AQ210" s="10" t="str">
        <f aca="false">IF(AP210="","",IFERROR(VLOOKUP(AP210,Projects!$A$5:$D$504,2,0),"Ref not in Projects"))</f>
        <v/>
      </c>
      <c r="AR210" s="10" t="str">
        <f aca="false">IF(AP210="","",IFERROR(VLOOKUP(AP210,Projects!$A$5:$D$504,4,0),"Ref not in Projects"))</f>
        <v/>
      </c>
      <c r="AS210" s="9"/>
      <c r="AT210" s="9"/>
      <c r="AU210" s="9"/>
      <c r="AV210" s="40"/>
      <c r="AW210" s="9"/>
      <c r="AX210" s="40"/>
      <c r="AY210" s="9"/>
      <c r="AZ210" s="40"/>
      <c r="BA210" s="9"/>
      <c r="BB210" s="9"/>
      <c r="BC210" s="9"/>
      <c r="BD210" s="40"/>
      <c r="BE210" s="40"/>
      <c r="BF210" s="36" t="str">
        <f aca="false">IF(BE210="","",EDATE(BE210,SG_Criteria!$B$54*12))</f>
        <v/>
      </c>
      <c r="BG210" s="33" t="str">
        <f aca="true">IF(A210="","",IF(BE210="","NOTE: not reviewed yet",IF(TODAY()&gt;BF210,"NOTE: review overdue","OK")))</f>
        <v/>
      </c>
      <c r="BH210" s="37" t="str">
        <f aca="false">IF(A210="","",ROUND((IF(LEN(D210)&gt;0,1,0)+IF(LEN(E210)&gt;0,1,0)+IF(LEN(I210)&gt;0,1,0)+IF(LEN(K210)&gt;0,1,0)+IF(LEN(Q210)&gt;0,1,0)+IF(LEN(S210)&gt;0,1,0)+IF(LEN(T210)&gt;0,1,0)+IF(LEN(U210)&gt;0,1,0)+IF(LEN(V210)&gt;0,1,0)+IF(LEN(AE210)&gt;0,1,0)+IF(LEN(AP210)&gt;0,1,0)+IF(LEN(BC210)&gt;0,1,0))/12,2))</f>
        <v/>
      </c>
      <c r="BI210" s="10" t="str">
        <f aca="false">IF(D210="","",IF(AND(T210="Approved",ISERROR(SEARCH("FAIL",AM210))),"Y","N"))</f>
        <v/>
      </c>
    </row>
    <row r="211" customFormat="false" ht="15" hidden="false" customHeight="false" outlineLevel="0" collapsed="false">
      <c r="A211" s="10" t="str">
        <f aca="false">IF(D211="","",IFERROR(VLOOKUP(D211,Lists!$BI$4:$BJ$20,2,0),"??")&amp;"-"&amp;UPPER(SUBSTITUTE(E211," ",""))&amp;IF(F211&lt;&gt;"","-SP"&amp;TEXT(F211*1000,"0"),"")&amp;IF(G211&lt;&gt;"","-H"&amp;TEXT(G211*1000,"0"),"")&amp;"-"&amp;S211)</f>
        <v/>
      </c>
      <c r="B211" s="10" t="str">
        <f aca="false">IF(D211="","",D211&amp;" - "&amp;E211&amp;IF(F211&lt;&gt;"",", span "&amp;F211&amp;" m","")&amp;IF(G211&lt;&gt;"",", H "&amp;G211&amp;" m","")&amp;IF(H211&lt;&gt;"",", W "&amp;H211&amp;" m",""))</f>
        <v/>
      </c>
      <c r="C211" s="9"/>
      <c r="D211" s="9"/>
      <c r="E211" s="9"/>
      <c r="F211" s="42"/>
      <c r="G211" s="42"/>
      <c r="H211" s="42"/>
      <c r="I211" s="9"/>
      <c r="J211" s="9"/>
      <c r="K211" s="9"/>
      <c r="L211" s="9"/>
      <c r="M211" s="9"/>
      <c r="N211" s="38"/>
      <c r="O211" s="9"/>
      <c r="P211" s="39"/>
      <c r="Q211" s="9"/>
      <c r="R211" s="9"/>
      <c r="S211" s="9"/>
      <c r="T211" s="9"/>
      <c r="U211" s="9"/>
      <c r="V211" s="9"/>
      <c r="W211" s="9"/>
      <c r="X211" s="10" t="str">
        <f aca="false">IF(A211="","",SG_Criteria!$B$6&amp;SG_Criteria!$B$13&amp;"\"&amp;A211&amp;"\")</f>
        <v/>
      </c>
      <c r="Y211" s="10" t="str">
        <f aca="false">IF(A211="","",A211&amp;"_CAD.dwg")</f>
        <v/>
      </c>
      <c r="Z211" s="10" t="str">
        <f aca="false">IF(A211="","",A211&amp;"_DWG.pdf")</f>
        <v/>
      </c>
      <c r="AA211" s="10" t="str">
        <f aca="false">IF(A211="","",IF(W211="Y",A211&amp;"_STAAD.std","n/a"))</f>
        <v/>
      </c>
      <c r="AB211" s="10" t="str">
        <f aca="false">IF(A211="","",A211&amp;"_CALC.xlsx")</f>
        <v/>
      </c>
      <c r="AC211" s="10" t="str">
        <f aca="false">IF(A211="","",A211&amp;"_CALC.pdf")</f>
        <v/>
      </c>
      <c r="AD211" s="9"/>
      <c r="AE211" s="9"/>
      <c r="AF211" s="39"/>
      <c r="AG211" s="39"/>
      <c r="AH211" s="39"/>
      <c r="AI211" s="39"/>
      <c r="AJ211" s="39"/>
      <c r="AK211" s="12" t="str">
        <f aca="false">IF(A211="","",IF(COUNTIF(Rebar_Schedule!$A$5:$A$2004,A211)=0,"",ROUND(SUMIF(Rebar_Schedule!$A$5:$A$2004,A211,Rebar_Schedule!$K$5:$K$2004),1)))</f>
        <v/>
      </c>
      <c r="AL211" s="33" t="str">
        <f aca="false">IF(A211="","",IF(AK211="","No rebar schedule yet",IF(ABS(AK211-N(AG211))/MAX(N(AG211),1)&gt;SG_Criteria!$B$55,"NOTE: register rebar differs from schedule by "&amp;TEXT(ABS(AK211-N(AG211))/MAX(N(AG211),1),"0%"),"OK")))</f>
        <v/>
      </c>
      <c r="AM211" s="33" t="str">
        <f aca="false">IF(D211="","","OK")</f>
        <v/>
      </c>
      <c r="AN211" s="9"/>
      <c r="AO211" s="9"/>
      <c r="AP211" s="9"/>
      <c r="AQ211" s="10" t="str">
        <f aca="false">IF(AP211="","",IFERROR(VLOOKUP(AP211,Projects!$A$5:$D$504,2,0),"Ref not in Projects"))</f>
        <v/>
      </c>
      <c r="AR211" s="10" t="str">
        <f aca="false">IF(AP211="","",IFERROR(VLOOKUP(AP211,Projects!$A$5:$D$504,4,0),"Ref not in Projects"))</f>
        <v/>
      </c>
      <c r="AS211" s="9"/>
      <c r="AT211" s="9"/>
      <c r="AU211" s="9"/>
      <c r="AV211" s="40"/>
      <c r="AW211" s="9"/>
      <c r="AX211" s="40"/>
      <c r="AY211" s="9"/>
      <c r="AZ211" s="40"/>
      <c r="BA211" s="9"/>
      <c r="BB211" s="9"/>
      <c r="BC211" s="9"/>
      <c r="BD211" s="40"/>
      <c r="BE211" s="40"/>
      <c r="BF211" s="36" t="str">
        <f aca="false">IF(BE211="","",EDATE(BE211,SG_Criteria!$B$54*12))</f>
        <v/>
      </c>
      <c r="BG211" s="33" t="str">
        <f aca="true">IF(A211="","",IF(BE211="","NOTE: not reviewed yet",IF(TODAY()&gt;BF211,"NOTE: review overdue","OK")))</f>
        <v/>
      </c>
      <c r="BH211" s="37" t="str">
        <f aca="false">IF(A211="","",ROUND((IF(LEN(D211)&gt;0,1,0)+IF(LEN(E211)&gt;0,1,0)+IF(LEN(I211)&gt;0,1,0)+IF(LEN(K211)&gt;0,1,0)+IF(LEN(Q211)&gt;0,1,0)+IF(LEN(S211)&gt;0,1,0)+IF(LEN(T211)&gt;0,1,0)+IF(LEN(U211)&gt;0,1,0)+IF(LEN(V211)&gt;0,1,0)+IF(LEN(AE211)&gt;0,1,0)+IF(LEN(AP211)&gt;0,1,0)+IF(LEN(BC211)&gt;0,1,0))/12,2))</f>
        <v/>
      </c>
      <c r="BI211" s="10" t="str">
        <f aca="false">IF(D211="","",IF(AND(T211="Approved",ISERROR(SEARCH("FAIL",AM211))),"Y","N"))</f>
        <v/>
      </c>
    </row>
    <row r="212" customFormat="false" ht="15" hidden="false" customHeight="false" outlineLevel="0" collapsed="false">
      <c r="A212" s="10" t="str">
        <f aca="false">IF(D212="","",IFERROR(VLOOKUP(D212,Lists!$BI$4:$BJ$20,2,0),"??")&amp;"-"&amp;UPPER(SUBSTITUTE(E212," ",""))&amp;IF(F212&lt;&gt;"","-SP"&amp;TEXT(F212*1000,"0"),"")&amp;IF(G212&lt;&gt;"","-H"&amp;TEXT(G212*1000,"0"),"")&amp;"-"&amp;S212)</f>
        <v/>
      </c>
      <c r="B212" s="10" t="str">
        <f aca="false">IF(D212="","",D212&amp;" - "&amp;E212&amp;IF(F212&lt;&gt;"",", span "&amp;F212&amp;" m","")&amp;IF(G212&lt;&gt;"",", H "&amp;G212&amp;" m","")&amp;IF(H212&lt;&gt;"",", W "&amp;H212&amp;" m",""))</f>
        <v/>
      </c>
      <c r="C212" s="9"/>
      <c r="D212" s="9"/>
      <c r="E212" s="9"/>
      <c r="F212" s="42"/>
      <c r="G212" s="42"/>
      <c r="H212" s="42"/>
      <c r="I212" s="9"/>
      <c r="J212" s="9"/>
      <c r="K212" s="9"/>
      <c r="L212" s="9"/>
      <c r="M212" s="9"/>
      <c r="N212" s="38"/>
      <c r="O212" s="9"/>
      <c r="P212" s="39"/>
      <c r="Q212" s="9"/>
      <c r="R212" s="9"/>
      <c r="S212" s="9"/>
      <c r="T212" s="9"/>
      <c r="U212" s="9"/>
      <c r="V212" s="9"/>
      <c r="W212" s="9"/>
      <c r="X212" s="10" t="str">
        <f aca="false">IF(A212="","",SG_Criteria!$B$6&amp;SG_Criteria!$B$13&amp;"\"&amp;A212&amp;"\")</f>
        <v/>
      </c>
      <c r="Y212" s="10" t="str">
        <f aca="false">IF(A212="","",A212&amp;"_CAD.dwg")</f>
        <v/>
      </c>
      <c r="Z212" s="10" t="str">
        <f aca="false">IF(A212="","",A212&amp;"_DWG.pdf")</f>
        <v/>
      </c>
      <c r="AA212" s="10" t="str">
        <f aca="false">IF(A212="","",IF(W212="Y",A212&amp;"_STAAD.std","n/a"))</f>
        <v/>
      </c>
      <c r="AB212" s="10" t="str">
        <f aca="false">IF(A212="","",A212&amp;"_CALC.xlsx")</f>
        <v/>
      </c>
      <c r="AC212" s="10" t="str">
        <f aca="false">IF(A212="","",A212&amp;"_CALC.pdf")</f>
        <v/>
      </c>
      <c r="AD212" s="9"/>
      <c r="AE212" s="9"/>
      <c r="AF212" s="39"/>
      <c r="AG212" s="39"/>
      <c r="AH212" s="39"/>
      <c r="AI212" s="39"/>
      <c r="AJ212" s="39"/>
      <c r="AK212" s="12" t="str">
        <f aca="false">IF(A212="","",IF(COUNTIF(Rebar_Schedule!$A$5:$A$2004,A212)=0,"",ROUND(SUMIF(Rebar_Schedule!$A$5:$A$2004,A212,Rebar_Schedule!$K$5:$K$2004),1)))</f>
        <v/>
      </c>
      <c r="AL212" s="33" t="str">
        <f aca="false">IF(A212="","",IF(AK212="","No rebar schedule yet",IF(ABS(AK212-N(AG212))/MAX(N(AG212),1)&gt;SG_Criteria!$B$55,"NOTE: register rebar differs from schedule by "&amp;TEXT(ABS(AK212-N(AG212))/MAX(N(AG212),1),"0%"),"OK")))</f>
        <v/>
      </c>
      <c r="AM212" s="33" t="str">
        <f aca="false">IF(D212="","","OK")</f>
        <v/>
      </c>
      <c r="AN212" s="9"/>
      <c r="AO212" s="9"/>
      <c r="AP212" s="9"/>
      <c r="AQ212" s="10" t="str">
        <f aca="false">IF(AP212="","",IFERROR(VLOOKUP(AP212,Projects!$A$5:$D$504,2,0),"Ref not in Projects"))</f>
        <v/>
      </c>
      <c r="AR212" s="10" t="str">
        <f aca="false">IF(AP212="","",IFERROR(VLOOKUP(AP212,Projects!$A$5:$D$504,4,0),"Ref not in Projects"))</f>
        <v/>
      </c>
      <c r="AS212" s="9"/>
      <c r="AT212" s="9"/>
      <c r="AU212" s="9"/>
      <c r="AV212" s="40"/>
      <c r="AW212" s="9"/>
      <c r="AX212" s="40"/>
      <c r="AY212" s="9"/>
      <c r="AZ212" s="40"/>
      <c r="BA212" s="9"/>
      <c r="BB212" s="9"/>
      <c r="BC212" s="9"/>
      <c r="BD212" s="40"/>
      <c r="BE212" s="40"/>
      <c r="BF212" s="36" t="str">
        <f aca="false">IF(BE212="","",EDATE(BE212,SG_Criteria!$B$54*12))</f>
        <v/>
      </c>
      <c r="BG212" s="33" t="str">
        <f aca="true">IF(A212="","",IF(BE212="","NOTE: not reviewed yet",IF(TODAY()&gt;BF212,"NOTE: review overdue","OK")))</f>
        <v/>
      </c>
      <c r="BH212" s="37" t="str">
        <f aca="false">IF(A212="","",ROUND((IF(LEN(D212)&gt;0,1,0)+IF(LEN(E212)&gt;0,1,0)+IF(LEN(I212)&gt;0,1,0)+IF(LEN(K212)&gt;0,1,0)+IF(LEN(Q212)&gt;0,1,0)+IF(LEN(S212)&gt;0,1,0)+IF(LEN(T212)&gt;0,1,0)+IF(LEN(U212)&gt;0,1,0)+IF(LEN(V212)&gt;0,1,0)+IF(LEN(AE212)&gt;0,1,0)+IF(LEN(AP212)&gt;0,1,0)+IF(LEN(BC212)&gt;0,1,0))/12,2))</f>
        <v/>
      </c>
      <c r="BI212" s="10" t="str">
        <f aca="false">IF(D212="","",IF(AND(T212="Approved",ISERROR(SEARCH("FAIL",AM212))),"Y","N"))</f>
        <v/>
      </c>
    </row>
    <row r="213" customFormat="false" ht="15" hidden="false" customHeight="false" outlineLevel="0" collapsed="false">
      <c r="A213" s="10" t="str">
        <f aca="false">IF(D213="","",IFERROR(VLOOKUP(D213,Lists!$BI$4:$BJ$20,2,0),"??")&amp;"-"&amp;UPPER(SUBSTITUTE(E213," ",""))&amp;IF(F213&lt;&gt;"","-SP"&amp;TEXT(F213*1000,"0"),"")&amp;IF(G213&lt;&gt;"","-H"&amp;TEXT(G213*1000,"0"),"")&amp;"-"&amp;S213)</f>
        <v/>
      </c>
      <c r="B213" s="10" t="str">
        <f aca="false">IF(D213="","",D213&amp;" - "&amp;E213&amp;IF(F213&lt;&gt;"",", span "&amp;F213&amp;" m","")&amp;IF(G213&lt;&gt;"",", H "&amp;G213&amp;" m","")&amp;IF(H213&lt;&gt;"",", W "&amp;H213&amp;" m",""))</f>
        <v/>
      </c>
      <c r="C213" s="9"/>
      <c r="D213" s="9"/>
      <c r="E213" s="9"/>
      <c r="F213" s="42"/>
      <c r="G213" s="42"/>
      <c r="H213" s="42"/>
      <c r="I213" s="9"/>
      <c r="J213" s="9"/>
      <c r="K213" s="9"/>
      <c r="L213" s="9"/>
      <c r="M213" s="9"/>
      <c r="N213" s="38"/>
      <c r="O213" s="9"/>
      <c r="P213" s="39"/>
      <c r="Q213" s="9"/>
      <c r="R213" s="9"/>
      <c r="S213" s="9"/>
      <c r="T213" s="9"/>
      <c r="U213" s="9"/>
      <c r="V213" s="9"/>
      <c r="W213" s="9"/>
      <c r="X213" s="10" t="str">
        <f aca="false">IF(A213="","",SG_Criteria!$B$6&amp;SG_Criteria!$B$13&amp;"\"&amp;A213&amp;"\")</f>
        <v/>
      </c>
      <c r="Y213" s="10" t="str">
        <f aca="false">IF(A213="","",A213&amp;"_CAD.dwg")</f>
        <v/>
      </c>
      <c r="Z213" s="10" t="str">
        <f aca="false">IF(A213="","",A213&amp;"_DWG.pdf")</f>
        <v/>
      </c>
      <c r="AA213" s="10" t="str">
        <f aca="false">IF(A213="","",IF(W213="Y",A213&amp;"_STAAD.std","n/a"))</f>
        <v/>
      </c>
      <c r="AB213" s="10" t="str">
        <f aca="false">IF(A213="","",A213&amp;"_CALC.xlsx")</f>
        <v/>
      </c>
      <c r="AC213" s="10" t="str">
        <f aca="false">IF(A213="","",A213&amp;"_CALC.pdf")</f>
        <v/>
      </c>
      <c r="AD213" s="9"/>
      <c r="AE213" s="9"/>
      <c r="AF213" s="39"/>
      <c r="AG213" s="39"/>
      <c r="AH213" s="39"/>
      <c r="AI213" s="39"/>
      <c r="AJ213" s="39"/>
      <c r="AK213" s="12" t="str">
        <f aca="false">IF(A213="","",IF(COUNTIF(Rebar_Schedule!$A$5:$A$2004,A213)=0,"",ROUND(SUMIF(Rebar_Schedule!$A$5:$A$2004,A213,Rebar_Schedule!$K$5:$K$2004),1)))</f>
        <v/>
      </c>
      <c r="AL213" s="33" t="str">
        <f aca="false">IF(A213="","",IF(AK213="","No rebar schedule yet",IF(ABS(AK213-N(AG213))/MAX(N(AG213),1)&gt;SG_Criteria!$B$55,"NOTE: register rebar differs from schedule by "&amp;TEXT(ABS(AK213-N(AG213))/MAX(N(AG213),1),"0%"),"OK")))</f>
        <v/>
      </c>
      <c r="AM213" s="33" t="str">
        <f aca="false">IF(D213="","","OK")</f>
        <v/>
      </c>
      <c r="AN213" s="9"/>
      <c r="AO213" s="9"/>
      <c r="AP213" s="9"/>
      <c r="AQ213" s="10" t="str">
        <f aca="false">IF(AP213="","",IFERROR(VLOOKUP(AP213,Projects!$A$5:$D$504,2,0),"Ref not in Projects"))</f>
        <v/>
      </c>
      <c r="AR213" s="10" t="str">
        <f aca="false">IF(AP213="","",IFERROR(VLOOKUP(AP213,Projects!$A$5:$D$504,4,0),"Ref not in Projects"))</f>
        <v/>
      </c>
      <c r="AS213" s="9"/>
      <c r="AT213" s="9"/>
      <c r="AU213" s="9"/>
      <c r="AV213" s="40"/>
      <c r="AW213" s="9"/>
      <c r="AX213" s="40"/>
      <c r="AY213" s="9"/>
      <c r="AZ213" s="40"/>
      <c r="BA213" s="9"/>
      <c r="BB213" s="9"/>
      <c r="BC213" s="9"/>
      <c r="BD213" s="40"/>
      <c r="BE213" s="40"/>
      <c r="BF213" s="36" t="str">
        <f aca="false">IF(BE213="","",EDATE(BE213,SG_Criteria!$B$54*12))</f>
        <v/>
      </c>
      <c r="BG213" s="33" t="str">
        <f aca="true">IF(A213="","",IF(BE213="","NOTE: not reviewed yet",IF(TODAY()&gt;BF213,"NOTE: review overdue","OK")))</f>
        <v/>
      </c>
      <c r="BH213" s="37" t="str">
        <f aca="false">IF(A213="","",ROUND((IF(LEN(D213)&gt;0,1,0)+IF(LEN(E213)&gt;0,1,0)+IF(LEN(I213)&gt;0,1,0)+IF(LEN(K213)&gt;0,1,0)+IF(LEN(Q213)&gt;0,1,0)+IF(LEN(S213)&gt;0,1,0)+IF(LEN(T213)&gt;0,1,0)+IF(LEN(U213)&gt;0,1,0)+IF(LEN(V213)&gt;0,1,0)+IF(LEN(AE213)&gt;0,1,0)+IF(LEN(AP213)&gt;0,1,0)+IF(LEN(BC213)&gt;0,1,0))/12,2))</f>
        <v/>
      </c>
      <c r="BI213" s="10" t="str">
        <f aca="false">IF(D213="","",IF(AND(T213="Approved",ISERROR(SEARCH("FAIL",AM213))),"Y","N"))</f>
        <v/>
      </c>
    </row>
    <row r="214" customFormat="false" ht="15" hidden="false" customHeight="false" outlineLevel="0" collapsed="false">
      <c r="A214" s="10" t="str">
        <f aca="false">IF(D214="","",IFERROR(VLOOKUP(D214,Lists!$BI$4:$BJ$20,2,0),"??")&amp;"-"&amp;UPPER(SUBSTITUTE(E214," ",""))&amp;IF(F214&lt;&gt;"","-SP"&amp;TEXT(F214*1000,"0"),"")&amp;IF(G214&lt;&gt;"","-H"&amp;TEXT(G214*1000,"0"),"")&amp;"-"&amp;S214)</f>
        <v/>
      </c>
      <c r="B214" s="10" t="str">
        <f aca="false">IF(D214="","",D214&amp;" - "&amp;E214&amp;IF(F214&lt;&gt;"",", span "&amp;F214&amp;" m","")&amp;IF(G214&lt;&gt;"",", H "&amp;G214&amp;" m","")&amp;IF(H214&lt;&gt;"",", W "&amp;H214&amp;" m",""))</f>
        <v/>
      </c>
      <c r="C214" s="9"/>
      <c r="D214" s="9"/>
      <c r="E214" s="9"/>
      <c r="F214" s="42"/>
      <c r="G214" s="42"/>
      <c r="H214" s="42"/>
      <c r="I214" s="9"/>
      <c r="J214" s="9"/>
      <c r="K214" s="9"/>
      <c r="L214" s="9"/>
      <c r="M214" s="9"/>
      <c r="N214" s="38"/>
      <c r="O214" s="9"/>
      <c r="P214" s="39"/>
      <c r="Q214" s="9"/>
      <c r="R214" s="9"/>
      <c r="S214" s="9"/>
      <c r="T214" s="9"/>
      <c r="U214" s="9"/>
      <c r="V214" s="9"/>
      <c r="W214" s="9"/>
      <c r="X214" s="10" t="str">
        <f aca="false">IF(A214="","",SG_Criteria!$B$6&amp;SG_Criteria!$B$13&amp;"\"&amp;A214&amp;"\")</f>
        <v/>
      </c>
      <c r="Y214" s="10" t="str">
        <f aca="false">IF(A214="","",A214&amp;"_CAD.dwg")</f>
        <v/>
      </c>
      <c r="Z214" s="10" t="str">
        <f aca="false">IF(A214="","",A214&amp;"_DWG.pdf")</f>
        <v/>
      </c>
      <c r="AA214" s="10" t="str">
        <f aca="false">IF(A214="","",IF(W214="Y",A214&amp;"_STAAD.std","n/a"))</f>
        <v/>
      </c>
      <c r="AB214" s="10" t="str">
        <f aca="false">IF(A214="","",A214&amp;"_CALC.xlsx")</f>
        <v/>
      </c>
      <c r="AC214" s="10" t="str">
        <f aca="false">IF(A214="","",A214&amp;"_CALC.pdf")</f>
        <v/>
      </c>
      <c r="AD214" s="9"/>
      <c r="AE214" s="9"/>
      <c r="AF214" s="39"/>
      <c r="AG214" s="39"/>
      <c r="AH214" s="39"/>
      <c r="AI214" s="39"/>
      <c r="AJ214" s="39"/>
      <c r="AK214" s="12" t="str">
        <f aca="false">IF(A214="","",IF(COUNTIF(Rebar_Schedule!$A$5:$A$2004,A214)=0,"",ROUND(SUMIF(Rebar_Schedule!$A$5:$A$2004,A214,Rebar_Schedule!$K$5:$K$2004),1)))</f>
        <v/>
      </c>
      <c r="AL214" s="33" t="str">
        <f aca="false">IF(A214="","",IF(AK214="","No rebar schedule yet",IF(ABS(AK214-N(AG214))/MAX(N(AG214),1)&gt;SG_Criteria!$B$55,"NOTE: register rebar differs from schedule by "&amp;TEXT(ABS(AK214-N(AG214))/MAX(N(AG214),1),"0%"),"OK")))</f>
        <v/>
      </c>
      <c r="AM214" s="33" t="str">
        <f aca="false">IF(D214="","","OK")</f>
        <v/>
      </c>
      <c r="AN214" s="9"/>
      <c r="AO214" s="9"/>
      <c r="AP214" s="9"/>
      <c r="AQ214" s="10" t="str">
        <f aca="false">IF(AP214="","",IFERROR(VLOOKUP(AP214,Projects!$A$5:$D$504,2,0),"Ref not in Projects"))</f>
        <v/>
      </c>
      <c r="AR214" s="10" t="str">
        <f aca="false">IF(AP214="","",IFERROR(VLOOKUP(AP214,Projects!$A$5:$D$504,4,0),"Ref not in Projects"))</f>
        <v/>
      </c>
      <c r="AS214" s="9"/>
      <c r="AT214" s="9"/>
      <c r="AU214" s="9"/>
      <c r="AV214" s="40"/>
      <c r="AW214" s="9"/>
      <c r="AX214" s="40"/>
      <c r="AY214" s="9"/>
      <c r="AZ214" s="40"/>
      <c r="BA214" s="9"/>
      <c r="BB214" s="9"/>
      <c r="BC214" s="9"/>
      <c r="BD214" s="40"/>
      <c r="BE214" s="40"/>
      <c r="BF214" s="36" t="str">
        <f aca="false">IF(BE214="","",EDATE(BE214,SG_Criteria!$B$54*12))</f>
        <v/>
      </c>
      <c r="BG214" s="33" t="str">
        <f aca="true">IF(A214="","",IF(BE214="","NOTE: not reviewed yet",IF(TODAY()&gt;BF214,"NOTE: review overdue","OK")))</f>
        <v/>
      </c>
      <c r="BH214" s="37" t="str">
        <f aca="false">IF(A214="","",ROUND((IF(LEN(D214)&gt;0,1,0)+IF(LEN(E214)&gt;0,1,0)+IF(LEN(I214)&gt;0,1,0)+IF(LEN(K214)&gt;0,1,0)+IF(LEN(Q214)&gt;0,1,0)+IF(LEN(S214)&gt;0,1,0)+IF(LEN(T214)&gt;0,1,0)+IF(LEN(U214)&gt;0,1,0)+IF(LEN(V214)&gt;0,1,0)+IF(LEN(AE214)&gt;0,1,0)+IF(LEN(AP214)&gt;0,1,0)+IF(LEN(BC214)&gt;0,1,0))/12,2))</f>
        <v/>
      </c>
      <c r="BI214" s="10" t="str">
        <f aca="false">IF(D214="","",IF(AND(T214="Approved",ISERROR(SEARCH("FAIL",AM214))),"Y","N"))</f>
        <v/>
      </c>
    </row>
    <row r="215" customFormat="false" ht="15" hidden="false" customHeight="false" outlineLevel="0" collapsed="false">
      <c r="A215" s="10" t="str">
        <f aca="false">IF(D215="","",IFERROR(VLOOKUP(D215,Lists!$BI$4:$BJ$20,2,0),"??")&amp;"-"&amp;UPPER(SUBSTITUTE(E215," ",""))&amp;IF(F215&lt;&gt;"","-SP"&amp;TEXT(F215*1000,"0"),"")&amp;IF(G215&lt;&gt;"","-H"&amp;TEXT(G215*1000,"0"),"")&amp;"-"&amp;S215)</f>
        <v/>
      </c>
      <c r="B215" s="10" t="str">
        <f aca="false">IF(D215="","",D215&amp;" - "&amp;E215&amp;IF(F215&lt;&gt;"",", span "&amp;F215&amp;" m","")&amp;IF(G215&lt;&gt;"",", H "&amp;G215&amp;" m","")&amp;IF(H215&lt;&gt;"",", W "&amp;H215&amp;" m",""))</f>
        <v/>
      </c>
      <c r="C215" s="9"/>
      <c r="D215" s="9"/>
      <c r="E215" s="9"/>
      <c r="F215" s="42"/>
      <c r="G215" s="42"/>
      <c r="H215" s="42"/>
      <c r="I215" s="9"/>
      <c r="J215" s="9"/>
      <c r="K215" s="9"/>
      <c r="L215" s="9"/>
      <c r="M215" s="9"/>
      <c r="N215" s="38"/>
      <c r="O215" s="9"/>
      <c r="P215" s="39"/>
      <c r="Q215" s="9"/>
      <c r="R215" s="9"/>
      <c r="S215" s="9"/>
      <c r="T215" s="9"/>
      <c r="U215" s="9"/>
      <c r="V215" s="9"/>
      <c r="W215" s="9"/>
      <c r="X215" s="10" t="str">
        <f aca="false">IF(A215="","",SG_Criteria!$B$6&amp;SG_Criteria!$B$13&amp;"\"&amp;A215&amp;"\")</f>
        <v/>
      </c>
      <c r="Y215" s="10" t="str">
        <f aca="false">IF(A215="","",A215&amp;"_CAD.dwg")</f>
        <v/>
      </c>
      <c r="Z215" s="10" t="str">
        <f aca="false">IF(A215="","",A215&amp;"_DWG.pdf")</f>
        <v/>
      </c>
      <c r="AA215" s="10" t="str">
        <f aca="false">IF(A215="","",IF(W215="Y",A215&amp;"_STAAD.std","n/a"))</f>
        <v/>
      </c>
      <c r="AB215" s="10" t="str">
        <f aca="false">IF(A215="","",A215&amp;"_CALC.xlsx")</f>
        <v/>
      </c>
      <c r="AC215" s="10" t="str">
        <f aca="false">IF(A215="","",A215&amp;"_CALC.pdf")</f>
        <v/>
      </c>
      <c r="AD215" s="9"/>
      <c r="AE215" s="9"/>
      <c r="AF215" s="39"/>
      <c r="AG215" s="39"/>
      <c r="AH215" s="39"/>
      <c r="AI215" s="39"/>
      <c r="AJ215" s="39"/>
      <c r="AK215" s="12" t="str">
        <f aca="false">IF(A215="","",IF(COUNTIF(Rebar_Schedule!$A$5:$A$2004,A215)=0,"",ROUND(SUMIF(Rebar_Schedule!$A$5:$A$2004,A215,Rebar_Schedule!$K$5:$K$2004),1)))</f>
        <v/>
      </c>
      <c r="AL215" s="33" t="str">
        <f aca="false">IF(A215="","",IF(AK215="","No rebar schedule yet",IF(ABS(AK215-N(AG215))/MAX(N(AG215),1)&gt;SG_Criteria!$B$55,"NOTE: register rebar differs from schedule by "&amp;TEXT(ABS(AK215-N(AG215))/MAX(N(AG215),1),"0%"),"OK")))</f>
        <v/>
      </c>
      <c r="AM215" s="33" t="str">
        <f aca="false">IF(D215="","","OK")</f>
        <v/>
      </c>
      <c r="AN215" s="9"/>
      <c r="AO215" s="9"/>
      <c r="AP215" s="9"/>
      <c r="AQ215" s="10" t="str">
        <f aca="false">IF(AP215="","",IFERROR(VLOOKUP(AP215,Projects!$A$5:$D$504,2,0),"Ref not in Projects"))</f>
        <v/>
      </c>
      <c r="AR215" s="10" t="str">
        <f aca="false">IF(AP215="","",IFERROR(VLOOKUP(AP215,Projects!$A$5:$D$504,4,0),"Ref not in Projects"))</f>
        <v/>
      </c>
      <c r="AS215" s="9"/>
      <c r="AT215" s="9"/>
      <c r="AU215" s="9"/>
      <c r="AV215" s="40"/>
      <c r="AW215" s="9"/>
      <c r="AX215" s="40"/>
      <c r="AY215" s="9"/>
      <c r="AZ215" s="40"/>
      <c r="BA215" s="9"/>
      <c r="BB215" s="9"/>
      <c r="BC215" s="9"/>
      <c r="BD215" s="40"/>
      <c r="BE215" s="40"/>
      <c r="BF215" s="36" t="str">
        <f aca="false">IF(BE215="","",EDATE(BE215,SG_Criteria!$B$54*12))</f>
        <v/>
      </c>
      <c r="BG215" s="33" t="str">
        <f aca="true">IF(A215="","",IF(BE215="","NOTE: not reviewed yet",IF(TODAY()&gt;BF215,"NOTE: review overdue","OK")))</f>
        <v/>
      </c>
      <c r="BH215" s="37" t="str">
        <f aca="false">IF(A215="","",ROUND((IF(LEN(D215)&gt;0,1,0)+IF(LEN(E215)&gt;0,1,0)+IF(LEN(I215)&gt;0,1,0)+IF(LEN(K215)&gt;0,1,0)+IF(LEN(Q215)&gt;0,1,0)+IF(LEN(S215)&gt;0,1,0)+IF(LEN(T215)&gt;0,1,0)+IF(LEN(U215)&gt;0,1,0)+IF(LEN(V215)&gt;0,1,0)+IF(LEN(AE215)&gt;0,1,0)+IF(LEN(AP215)&gt;0,1,0)+IF(LEN(BC215)&gt;0,1,0))/12,2))</f>
        <v/>
      </c>
      <c r="BI215" s="10" t="str">
        <f aca="false">IF(D215="","",IF(AND(T215="Approved",ISERROR(SEARCH("FAIL",AM215))),"Y","N"))</f>
        <v/>
      </c>
    </row>
    <row r="216" customFormat="false" ht="15" hidden="false" customHeight="false" outlineLevel="0" collapsed="false">
      <c r="A216" s="10" t="str">
        <f aca="false">IF(D216="","",IFERROR(VLOOKUP(D216,Lists!$BI$4:$BJ$20,2,0),"??")&amp;"-"&amp;UPPER(SUBSTITUTE(E216," ",""))&amp;IF(F216&lt;&gt;"","-SP"&amp;TEXT(F216*1000,"0"),"")&amp;IF(G216&lt;&gt;"","-H"&amp;TEXT(G216*1000,"0"),"")&amp;"-"&amp;S216)</f>
        <v/>
      </c>
      <c r="B216" s="10" t="str">
        <f aca="false">IF(D216="","",D216&amp;" - "&amp;E216&amp;IF(F216&lt;&gt;"",", span "&amp;F216&amp;" m","")&amp;IF(G216&lt;&gt;"",", H "&amp;G216&amp;" m","")&amp;IF(H216&lt;&gt;"",", W "&amp;H216&amp;" m",""))</f>
        <v/>
      </c>
      <c r="C216" s="9"/>
      <c r="D216" s="9"/>
      <c r="E216" s="9"/>
      <c r="F216" s="42"/>
      <c r="G216" s="42"/>
      <c r="H216" s="42"/>
      <c r="I216" s="9"/>
      <c r="J216" s="9"/>
      <c r="K216" s="9"/>
      <c r="L216" s="9"/>
      <c r="M216" s="9"/>
      <c r="N216" s="38"/>
      <c r="O216" s="9"/>
      <c r="P216" s="39"/>
      <c r="Q216" s="9"/>
      <c r="R216" s="9"/>
      <c r="S216" s="9"/>
      <c r="T216" s="9"/>
      <c r="U216" s="9"/>
      <c r="V216" s="9"/>
      <c r="W216" s="9"/>
      <c r="X216" s="10" t="str">
        <f aca="false">IF(A216="","",SG_Criteria!$B$6&amp;SG_Criteria!$B$13&amp;"\"&amp;A216&amp;"\")</f>
        <v/>
      </c>
      <c r="Y216" s="10" t="str">
        <f aca="false">IF(A216="","",A216&amp;"_CAD.dwg")</f>
        <v/>
      </c>
      <c r="Z216" s="10" t="str">
        <f aca="false">IF(A216="","",A216&amp;"_DWG.pdf")</f>
        <v/>
      </c>
      <c r="AA216" s="10" t="str">
        <f aca="false">IF(A216="","",IF(W216="Y",A216&amp;"_STAAD.std","n/a"))</f>
        <v/>
      </c>
      <c r="AB216" s="10" t="str">
        <f aca="false">IF(A216="","",A216&amp;"_CALC.xlsx")</f>
        <v/>
      </c>
      <c r="AC216" s="10" t="str">
        <f aca="false">IF(A216="","",A216&amp;"_CALC.pdf")</f>
        <v/>
      </c>
      <c r="AD216" s="9"/>
      <c r="AE216" s="9"/>
      <c r="AF216" s="39"/>
      <c r="AG216" s="39"/>
      <c r="AH216" s="39"/>
      <c r="AI216" s="39"/>
      <c r="AJ216" s="39"/>
      <c r="AK216" s="12" t="str">
        <f aca="false">IF(A216="","",IF(COUNTIF(Rebar_Schedule!$A$5:$A$2004,A216)=0,"",ROUND(SUMIF(Rebar_Schedule!$A$5:$A$2004,A216,Rebar_Schedule!$K$5:$K$2004),1)))</f>
        <v/>
      </c>
      <c r="AL216" s="33" t="str">
        <f aca="false">IF(A216="","",IF(AK216="","No rebar schedule yet",IF(ABS(AK216-N(AG216))/MAX(N(AG216),1)&gt;SG_Criteria!$B$55,"NOTE: register rebar differs from schedule by "&amp;TEXT(ABS(AK216-N(AG216))/MAX(N(AG216),1),"0%"),"OK")))</f>
        <v/>
      </c>
      <c r="AM216" s="33" t="str">
        <f aca="false">IF(D216="","","OK")</f>
        <v/>
      </c>
      <c r="AN216" s="9"/>
      <c r="AO216" s="9"/>
      <c r="AP216" s="9"/>
      <c r="AQ216" s="10" t="str">
        <f aca="false">IF(AP216="","",IFERROR(VLOOKUP(AP216,Projects!$A$5:$D$504,2,0),"Ref not in Projects"))</f>
        <v/>
      </c>
      <c r="AR216" s="10" t="str">
        <f aca="false">IF(AP216="","",IFERROR(VLOOKUP(AP216,Projects!$A$5:$D$504,4,0),"Ref not in Projects"))</f>
        <v/>
      </c>
      <c r="AS216" s="9"/>
      <c r="AT216" s="9"/>
      <c r="AU216" s="9"/>
      <c r="AV216" s="40"/>
      <c r="AW216" s="9"/>
      <c r="AX216" s="40"/>
      <c r="AY216" s="9"/>
      <c r="AZ216" s="40"/>
      <c r="BA216" s="9"/>
      <c r="BB216" s="9"/>
      <c r="BC216" s="9"/>
      <c r="BD216" s="40"/>
      <c r="BE216" s="40"/>
      <c r="BF216" s="36" t="str">
        <f aca="false">IF(BE216="","",EDATE(BE216,SG_Criteria!$B$54*12))</f>
        <v/>
      </c>
      <c r="BG216" s="33" t="str">
        <f aca="true">IF(A216="","",IF(BE216="","NOTE: not reviewed yet",IF(TODAY()&gt;BF216,"NOTE: review overdue","OK")))</f>
        <v/>
      </c>
      <c r="BH216" s="37" t="str">
        <f aca="false">IF(A216="","",ROUND((IF(LEN(D216)&gt;0,1,0)+IF(LEN(E216)&gt;0,1,0)+IF(LEN(I216)&gt;0,1,0)+IF(LEN(K216)&gt;0,1,0)+IF(LEN(Q216)&gt;0,1,0)+IF(LEN(S216)&gt;0,1,0)+IF(LEN(T216)&gt;0,1,0)+IF(LEN(U216)&gt;0,1,0)+IF(LEN(V216)&gt;0,1,0)+IF(LEN(AE216)&gt;0,1,0)+IF(LEN(AP216)&gt;0,1,0)+IF(LEN(BC216)&gt;0,1,0))/12,2))</f>
        <v/>
      </c>
      <c r="BI216" s="10" t="str">
        <f aca="false">IF(D216="","",IF(AND(T216="Approved",ISERROR(SEARCH("FAIL",AM216))),"Y","N"))</f>
        <v/>
      </c>
    </row>
    <row r="217" customFormat="false" ht="15" hidden="false" customHeight="false" outlineLevel="0" collapsed="false">
      <c r="A217" s="10" t="str">
        <f aca="false">IF(D217="","",IFERROR(VLOOKUP(D217,Lists!$BI$4:$BJ$20,2,0),"??")&amp;"-"&amp;UPPER(SUBSTITUTE(E217," ",""))&amp;IF(F217&lt;&gt;"","-SP"&amp;TEXT(F217*1000,"0"),"")&amp;IF(G217&lt;&gt;"","-H"&amp;TEXT(G217*1000,"0"),"")&amp;"-"&amp;S217)</f>
        <v/>
      </c>
      <c r="B217" s="10" t="str">
        <f aca="false">IF(D217="","",D217&amp;" - "&amp;E217&amp;IF(F217&lt;&gt;"",", span "&amp;F217&amp;" m","")&amp;IF(G217&lt;&gt;"",", H "&amp;G217&amp;" m","")&amp;IF(H217&lt;&gt;"",", W "&amp;H217&amp;" m",""))</f>
        <v/>
      </c>
      <c r="C217" s="9"/>
      <c r="D217" s="9"/>
      <c r="E217" s="9"/>
      <c r="F217" s="42"/>
      <c r="G217" s="42"/>
      <c r="H217" s="42"/>
      <c r="I217" s="9"/>
      <c r="J217" s="9"/>
      <c r="K217" s="9"/>
      <c r="L217" s="9"/>
      <c r="M217" s="9"/>
      <c r="N217" s="38"/>
      <c r="O217" s="9"/>
      <c r="P217" s="39"/>
      <c r="Q217" s="9"/>
      <c r="R217" s="9"/>
      <c r="S217" s="9"/>
      <c r="T217" s="9"/>
      <c r="U217" s="9"/>
      <c r="V217" s="9"/>
      <c r="W217" s="9"/>
      <c r="X217" s="10" t="str">
        <f aca="false">IF(A217="","",SG_Criteria!$B$6&amp;SG_Criteria!$B$13&amp;"\"&amp;A217&amp;"\")</f>
        <v/>
      </c>
      <c r="Y217" s="10" t="str">
        <f aca="false">IF(A217="","",A217&amp;"_CAD.dwg")</f>
        <v/>
      </c>
      <c r="Z217" s="10" t="str">
        <f aca="false">IF(A217="","",A217&amp;"_DWG.pdf")</f>
        <v/>
      </c>
      <c r="AA217" s="10" t="str">
        <f aca="false">IF(A217="","",IF(W217="Y",A217&amp;"_STAAD.std","n/a"))</f>
        <v/>
      </c>
      <c r="AB217" s="10" t="str">
        <f aca="false">IF(A217="","",A217&amp;"_CALC.xlsx")</f>
        <v/>
      </c>
      <c r="AC217" s="10" t="str">
        <f aca="false">IF(A217="","",A217&amp;"_CALC.pdf")</f>
        <v/>
      </c>
      <c r="AD217" s="9"/>
      <c r="AE217" s="9"/>
      <c r="AF217" s="39"/>
      <c r="AG217" s="39"/>
      <c r="AH217" s="39"/>
      <c r="AI217" s="39"/>
      <c r="AJ217" s="39"/>
      <c r="AK217" s="12" t="str">
        <f aca="false">IF(A217="","",IF(COUNTIF(Rebar_Schedule!$A$5:$A$2004,A217)=0,"",ROUND(SUMIF(Rebar_Schedule!$A$5:$A$2004,A217,Rebar_Schedule!$K$5:$K$2004),1)))</f>
        <v/>
      </c>
      <c r="AL217" s="33" t="str">
        <f aca="false">IF(A217="","",IF(AK217="","No rebar schedule yet",IF(ABS(AK217-N(AG217))/MAX(N(AG217),1)&gt;SG_Criteria!$B$55,"NOTE: register rebar differs from schedule by "&amp;TEXT(ABS(AK217-N(AG217))/MAX(N(AG217),1),"0%"),"OK")))</f>
        <v/>
      </c>
      <c r="AM217" s="33" t="str">
        <f aca="false">IF(D217="","","OK")</f>
        <v/>
      </c>
      <c r="AN217" s="9"/>
      <c r="AO217" s="9"/>
      <c r="AP217" s="9"/>
      <c r="AQ217" s="10" t="str">
        <f aca="false">IF(AP217="","",IFERROR(VLOOKUP(AP217,Projects!$A$5:$D$504,2,0),"Ref not in Projects"))</f>
        <v/>
      </c>
      <c r="AR217" s="10" t="str">
        <f aca="false">IF(AP217="","",IFERROR(VLOOKUP(AP217,Projects!$A$5:$D$504,4,0),"Ref not in Projects"))</f>
        <v/>
      </c>
      <c r="AS217" s="9"/>
      <c r="AT217" s="9"/>
      <c r="AU217" s="9"/>
      <c r="AV217" s="40"/>
      <c r="AW217" s="9"/>
      <c r="AX217" s="40"/>
      <c r="AY217" s="9"/>
      <c r="AZ217" s="40"/>
      <c r="BA217" s="9"/>
      <c r="BB217" s="9"/>
      <c r="BC217" s="9"/>
      <c r="BD217" s="40"/>
      <c r="BE217" s="40"/>
      <c r="BF217" s="36" t="str">
        <f aca="false">IF(BE217="","",EDATE(BE217,SG_Criteria!$B$54*12))</f>
        <v/>
      </c>
      <c r="BG217" s="33" t="str">
        <f aca="true">IF(A217="","",IF(BE217="","NOTE: not reviewed yet",IF(TODAY()&gt;BF217,"NOTE: review overdue","OK")))</f>
        <v/>
      </c>
      <c r="BH217" s="37" t="str">
        <f aca="false">IF(A217="","",ROUND((IF(LEN(D217)&gt;0,1,0)+IF(LEN(E217)&gt;0,1,0)+IF(LEN(I217)&gt;0,1,0)+IF(LEN(K217)&gt;0,1,0)+IF(LEN(Q217)&gt;0,1,0)+IF(LEN(S217)&gt;0,1,0)+IF(LEN(T217)&gt;0,1,0)+IF(LEN(U217)&gt;0,1,0)+IF(LEN(V217)&gt;0,1,0)+IF(LEN(AE217)&gt;0,1,0)+IF(LEN(AP217)&gt;0,1,0)+IF(LEN(BC217)&gt;0,1,0))/12,2))</f>
        <v/>
      </c>
      <c r="BI217" s="10" t="str">
        <f aca="false">IF(D217="","",IF(AND(T217="Approved",ISERROR(SEARCH("FAIL",AM217))),"Y","N"))</f>
        <v/>
      </c>
    </row>
    <row r="218" customFormat="false" ht="15" hidden="false" customHeight="false" outlineLevel="0" collapsed="false">
      <c r="A218" s="10" t="str">
        <f aca="false">IF(D218="","",IFERROR(VLOOKUP(D218,Lists!$BI$4:$BJ$20,2,0),"??")&amp;"-"&amp;UPPER(SUBSTITUTE(E218," ",""))&amp;IF(F218&lt;&gt;"","-SP"&amp;TEXT(F218*1000,"0"),"")&amp;IF(G218&lt;&gt;"","-H"&amp;TEXT(G218*1000,"0"),"")&amp;"-"&amp;S218)</f>
        <v/>
      </c>
      <c r="B218" s="10" t="str">
        <f aca="false">IF(D218="","",D218&amp;" - "&amp;E218&amp;IF(F218&lt;&gt;"",", span "&amp;F218&amp;" m","")&amp;IF(G218&lt;&gt;"",", H "&amp;G218&amp;" m","")&amp;IF(H218&lt;&gt;"",", W "&amp;H218&amp;" m",""))</f>
        <v/>
      </c>
      <c r="C218" s="9"/>
      <c r="D218" s="9"/>
      <c r="E218" s="9"/>
      <c r="F218" s="42"/>
      <c r="G218" s="42"/>
      <c r="H218" s="42"/>
      <c r="I218" s="9"/>
      <c r="J218" s="9"/>
      <c r="K218" s="9"/>
      <c r="L218" s="9"/>
      <c r="M218" s="9"/>
      <c r="N218" s="38"/>
      <c r="O218" s="9"/>
      <c r="P218" s="39"/>
      <c r="Q218" s="9"/>
      <c r="R218" s="9"/>
      <c r="S218" s="9"/>
      <c r="T218" s="9"/>
      <c r="U218" s="9"/>
      <c r="V218" s="9"/>
      <c r="W218" s="9"/>
      <c r="X218" s="10" t="str">
        <f aca="false">IF(A218="","",SG_Criteria!$B$6&amp;SG_Criteria!$B$13&amp;"\"&amp;A218&amp;"\")</f>
        <v/>
      </c>
      <c r="Y218" s="10" t="str">
        <f aca="false">IF(A218="","",A218&amp;"_CAD.dwg")</f>
        <v/>
      </c>
      <c r="Z218" s="10" t="str">
        <f aca="false">IF(A218="","",A218&amp;"_DWG.pdf")</f>
        <v/>
      </c>
      <c r="AA218" s="10" t="str">
        <f aca="false">IF(A218="","",IF(W218="Y",A218&amp;"_STAAD.std","n/a"))</f>
        <v/>
      </c>
      <c r="AB218" s="10" t="str">
        <f aca="false">IF(A218="","",A218&amp;"_CALC.xlsx")</f>
        <v/>
      </c>
      <c r="AC218" s="10" t="str">
        <f aca="false">IF(A218="","",A218&amp;"_CALC.pdf")</f>
        <v/>
      </c>
      <c r="AD218" s="9"/>
      <c r="AE218" s="9"/>
      <c r="AF218" s="39"/>
      <c r="AG218" s="39"/>
      <c r="AH218" s="39"/>
      <c r="AI218" s="39"/>
      <c r="AJ218" s="39"/>
      <c r="AK218" s="12" t="str">
        <f aca="false">IF(A218="","",IF(COUNTIF(Rebar_Schedule!$A$5:$A$2004,A218)=0,"",ROUND(SUMIF(Rebar_Schedule!$A$5:$A$2004,A218,Rebar_Schedule!$K$5:$K$2004),1)))</f>
        <v/>
      </c>
      <c r="AL218" s="33" t="str">
        <f aca="false">IF(A218="","",IF(AK218="","No rebar schedule yet",IF(ABS(AK218-N(AG218))/MAX(N(AG218),1)&gt;SG_Criteria!$B$55,"NOTE: register rebar differs from schedule by "&amp;TEXT(ABS(AK218-N(AG218))/MAX(N(AG218),1),"0%"),"OK")))</f>
        <v/>
      </c>
      <c r="AM218" s="33" t="str">
        <f aca="false">IF(D218="","","OK")</f>
        <v/>
      </c>
      <c r="AN218" s="9"/>
      <c r="AO218" s="9"/>
      <c r="AP218" s="9"/>
      <c r="AQ218" s="10" t="str">
        <f aca="false">IF(AP218="","",IFERROR(VLOOKUP(AP218,Projects!$A$5:$D$504,2,0),"Ref not in Projects"))</f>
        <v/>
      </c>
      <c r="AR218" s="10" t="str">
        <f aca="false">IF(AP218="","",IFERROR(VLOOKUP(AP218,Projects!$A$5:$D$504,4,0),"Ref not in Projects"))</f>
        <v/>
      </c>
      <c r="AS218" s="9"/>
      <c r="AT218" s="9"/>
      <c r="AU218" s="9"/>
      <c r="AV218" s="40"/>
      <c r="AW218" s="9"/>
      <c r="AX218" s="40"/>
      <c r="AY218" s="9"/>
      <c r="AZ218" s="40"/>
      <c r="BA218" s="9"/>
      <c r="BB218" s="9"/>
      <c r="BC218" s="9"/>
      <c r="BD218" s="40"/>
      <c r="BE218" s="40"/>
      <c r="BF218" s="36" t="str">
        <f aca="false">IF(BE218="","",EDATE(BE218,SG_Criteria!$B$54*12))</f>
        <v/>
      </c>
      <c r="BG218" s="33" t="str">
        <f aca="true">IF(A218="","",IF(BE218="","NOTE: not reviewed yet",IF(TODAY()&gt;BF218,"NOTE: review overdue","OK")))</f>
        <v/>
      </c>
      <c r="BH218" s="37" t="str">
        <f aca="false">IF(A218="","",ROUND((IF(LEN(D218)&gt;0,1,0)+IF(LEN(E218)&gt;0,1,0)+IF(LEN(I218)&gt;0,1,0)+IF(LEN(K218)&gt;0,1,0)+IF(LEN(Q218)&gt;0,1,0)+IF(LEN(S218)&gt;0,1,0)+IF(LEN(T218)&gt;0,1,0)+IF(LEN(U218)&gt;0,1,0)+IF(LEN(V218)&gt;0,1,0)+IF(LEN(AE218)&gt;0,1,0)+IF(LEN(AP218)&gt;0,1,0)+IF(LEN(BC218)&gt;0,1,0))/12,2))</f>
        <v/>
      </c>
      <c r="BI218" s="10" t="str">
        <f aca="false">IF(D218="","",IF(AND(T218="Approved",ISERROR(SEARCH("FAIL",AM218))),"Y","N"))</f>
        <v/>
      </c>
    </row>
    <row r="219" customFormat="false" ht="15" hidden="false" customHeight="false" outlineLevel="0" collapsed="false">
      <c r="A219" s="10" t="str">
        <f aca="false">IF(D219="","",IFERROR(VLOOKUP(D219,Lists!$BI$4:$BJ$20,2,0),"??")&amp;"-"&amp;UPPER(SUBSTITUTE(E219," ",""))&amp;IF(F219&lt;&gt;"","-SP"&amp;TEXT(F219*1000,"0"),"")&amp;IF(G219&lt;&gt;"","-H"&amp;TEXT(G219*1000,"0"),"")&amp;"-"&amp;S219)</f>
        <v/>
      </c>
      <c r="B219" s="10" t="str">
        <f aca="false">IF(D219="","",D219&amp;" - "&amp;E219&amp;IF(F219&lt;&gt;"",", span "&amp;F219&amp;" m","")&amp;IF(G219&lt;&gt;"",", H "&amp;G219&amp;" m","")&amp;IF(H219&lt;&gt;"",", W "&amp;H219&amp;" m",""))</f>
        <v/>
      </c>
      <c r="C219" s="9"/>
      <c r="D219" s="9"/>
      <c r="E219" s="9"/>
      <c r="F219" s="42"/>
      <c r="G219" s="42"/>
      <c r="H219" s="42"/>
      <c r="I219" s="9"/>
      <c r="J219" s="9"/>
      <c r="K219" s="9"/>
      <c r="L219" s="9"/>
      <c r="M219" s="9"/>
      <c r="N219" s="38"/>
      <c r="O219" s="9"/>
      <c r="P219" s="39"/>
      <c r="Q219" s="9"/>
      <c r="R219" s="9"/>
      <c r="S219" s="9"/>
      <c r="T219" s="9"/>
      <c r="U219" s="9"/>
      <c r="V219" s="9"/>
      <c r="W219" s="9"/>
      <c r="X219" s="10" t="str">
        <f aca="false">IF(A219="","",SG_Criteria!$B$6&amp;SG_Criteria!$B$13&amp;"\"&amp;A219&amp;"\")</f>
        <v/>
      </c>
      <c r="Y219" s="10" t="str">
        <f aca="false">IF(A219="","",A219&amp;"_CAD.dwg")</f>
        <v/>
      </c>
      <c r="Z219" s="10" t="str">
        <f aca="false">IF(A219="","",A219&amp;"_DWG.pdf")</f>
        <v/>
      </c>
      <c r="AA219" s="10" t="str">
        <f aca="false">IF(A219="","",IF(W219="Y",A219&amp;"_STAAD.std","n/a"))</f>
        <v/>
      </c>
      <c r="AB219" s="10" t="str">
        <f aca="false">IF(A219="","",A219&amp;"_CALC.xlsx")</f>
        <v/>
      </c>
      <c r="AC219" s="10" t="str">
        <f aca="false">IF(A219="","",A219&amp;"_CALC.pdf")</f>
        <v/>
      </c>
      <c r="AD219" s="9"/>
      <c r="AE219" s="9"/>
      <c r="AF219" s="39"/>
      <c r="AG219" s="39"/>
      <c r="AH219" s="39"/>
      <c r="AI219" s="39"/>
      <c r="AJ219" s="39"/>
      <c r="AK219" s="12" t="str">
        <f aca="false">IF(A219="","",IF(COUNTIF(Rebar_Schedule!$A$5:$A$2004,A219)=0,"",ROUND(SUMIF(Rebar_Schedule!$A$5:$A$2004,A219,Rebar_Schedule!$K$5:$K$2004),1)))</f>
        <v/>
      </c>
      <c r="AL219" s="33" t="str">
        <f aca="false">IF(A219="","",IF(AK219="","No rebar schedule yet",IF(ABS(AK219-N(AG219))/MAX(N(AG219),1)&gt;SG_Criteria!$B$55,"NOTE: register rebar differs from schedule by "&amp;TEXT(ABS(AK219-N(AG219))/MAX(N(AG219),1),"0%"),"OK")))</f>
        <v/>
      </c>
      <c r="AM219" s="33" t="str">
        <f aca="false">IF(D219="","","OK")</f>
        <v/>
      </c>
      <c r="AN219" s="9"/>
      <c r="AO219" s="9"/>
      <c r="AP219" s="9"/>
      <c r="AQ219" s="10" t="str">
        <f aca="false">IF(AP219="","",IFERROR(VLOOKUP(AP219,Projects!$A$5:$D$504,2,0),"Ref not in Projects"))</f>
        <v/>
      </c>
      <c r="AR219" s="10" t="str">
        <f aca="false">IF(AP219="","",IFERROR(VLOOKUP(AP219,Projects!$A$5:$D$504,4,0),"Ref not in Projects"))</f>
        <v/>
      </c>
      <c r="AS219" s="9"/>
      <c r="AT219" s="9"/>
      <c r="AU219" s="9"/>
      <c r="AV219" s="40"/>
      <c r="AW219" s="9"/>
      <c r="AX219" s="40"/>
      <c r="AY219" s="9"/>
      <c r="AZ219" s="40"/>
      <c r="BA219" s="9"/>
      <c r="BB219" s="9"/>
      <c r="BC219" s="9"/>
      <c r="BD219" s="40"/>
      <c r="BE219" s="40"/>
      <c r="BF219" s="36" t="str">
        <f aca="false">IF(BE219="","",EDATE(BE219,SG_Criteria!$B$54*12))</f>
        <v/>
      </c>
      <c r="BG219" s="33" t="str">
        <f aca="true">IF(A219="","",IF(BE219="","NOTE: not reviewed yet",IF(TODAY()&gt;BF219,"NOTE: review overdue","OK")))</f>
        <v/>
      </c>
      <c r="BH219" s="37" t="str">
        <f aca="false">IF(A219="","",ROUND((IF(LEN(D219)&gt;0,1,0)+IF(LEN(E219)&gt;0,1,0)+IF(LEN(I219)&gt;0,1,0)+IF(LEN(K219)&gt;0,1,0)+IF(LEN(Q219)&gt;0,1,0)+IF(LEN(S219)&gt;0,1,0)+IF(LEN(T219)&gt;0,1,0)+IF(LEN(U219)&gt;0,1,0)+IF(LEN(V219)&gt;0,1,0)+IF(LEN(AE219)&gt;0,1,0)+IF(LEN(AP219)&gt;0,1,0)+IF(LEN(BC219)&gt;0,1,0))/12,2))</f>
        <v/>
      </c>
      <c r="BI219" s="10" t="str">
        <f aca="false">IF(D219="","",IF(AND(T219="Approved",ISERROR(SEARCH("FAIL",AM219))),"Y","N"))</f>
        <v/>
      </c>
    </row>
    <row r="220" customFormat="false" ht="15" hidden="false" customHeight="false" outlineLevel="0" collapsed="false">
      <c r="A220" s="10" t="str">
        <f aca="false">IF(D220="","",IFERROR(VLOOKUP(D220,Lists!$BI$4:$BJ$20,2,0),"??")&amp;"-"&amp;UPPER(SUBSTITUTE(E220," ",""))&amp;IF(F220&lt;&gt;"","-SP"&amp;TEXT(F220*1000,"0"),"")&amp;IF(G220&lt;&gt;"","-H"&amp;TEXT(G220*1000,"0"),"")&amp;"-"&amp;S220)</f>
        <v/>
      </c>
      <c r="B220" s="10" t="str">
        <f aca="false">IF(D220="","",D220&amp;" - "&amp;E220&amp;IF(F220&lt;&gt;"",", span "&amp;F220&amp;" m","")&amp;IF(G220&lt;&gt;"",", H "&amp;G220&amp;" m","")&amp;IF(H220&lt;&gt;"",", W "&amp;H220&amp;" m",""))</f>
        <v/>
      </c>
      <c r="C220" s="9"/>
      <c r="D220" s="9"/>
      <c r="E220" s="9"/>
      <c r="F220" s="42"/>
      <c r="G220" s="42"/>
      <c r="H220" s="42"/>
      <c r="I220" s="9"/>
      <c r="J220" s="9"/>
      <c r="K220" s="9"/>
      <c r="L220" s="9"/>
      <c r="M220" s="9"/>
      <c r="N220" s="38"/>
      <c r="O220" s="9"/>
      <c r="P220" s="39"/>
      <c r="Q220" s="9"/>
      <c r="R220" s="9"/>
      <c r="S220" s="9"/>
      <c r="T220" s="9"/>
      <c r="U220" s="9"/>
      <c r="V220" s="9"/>
      <c r="W220" s="9"/>
      <c r="X220" s="10" t="str">
        <f aca="false">IF(A220="","",SG_Criteria!$B$6&amp;SG_Criteria!$B$13&amp;"\"&amp;A220&amp;"\")</f>
        <v/>
      </c>
      <c r="Y220" s="10" t="str">
        <f aca="false">IF(A220="","",A220&amp;"_CAD.dwg")</f>
        <v/>
      </c>
      <c r="Z220" s="10" t="str">
        <f aca="false">IF(A220="","",A220&amp;"_DWG.pdf")</f>
        <v/>
      </c>
      <c r="AA220" s="10" t="str">
        <f aca="false">IF(A220="","",IF(W220="Y",A220&amp;"_STAAD.std","n/a"))</f>
        <v/>
      </c>
      <c r="AB220" s="10" t="str">
        <f aca="false">IF(A220="","",A220&amp;"_CALC.xlsx")</f>
        <v/>
      </c>
      <c r="AC220" s="10" t="str">
        <f aca="false">IF(A220="","",A220&amp;"_CALC.pdf")</f>
        <v/>
      </c>
      <c r="AD220" s="9"/>
      <c r="AE220" s="9"/>
      <c r="AF220" s="39"/>
      <c r="AG220" s="39"/>
      <c r="AH220" s="39"/>
      <c r="AI220" s="39"/>
      <c r="AJ220" s="39"/>
      <c r="AK220" s="12" t="str">
        <f aca="false">IF(A220="","",IF(COUNTIF(Rebar_Schedule!$A$5:$A$2004,A220)=0,"",ROUND(SUMIF(Rebar_Schedule!$A$5:$A$2004,A220,Rebar_Schedule!$K$5:$K$2004),1)))</f>
        <v/>
      </c>
      <c r="AL220" s="33" t="str">
        <f aca="false">IF(A220="","",IF(AK220="","No rebar schedule yet",IF(ABS(AK220-N(AG220))/MAX(N(AG220),1)&gt;SG_Criteria!$B$55,"NOTE: register rebar differs from schedule by "&amp;TEXT(ABS(AK220-N(AG220))/MAX(N(AG220),1),"0%"),"OK")))</f>
        <v/>
      </c>
      <c r="AM220" s="33" t="str">
        <f aca="false">IF(D220="","","OK")</f>
        <v/>
      </c>
      <c r="AN220" s="9"/>
      <c r="AO220" s="9"/>
      <c r="AP220" s="9"/>
      <c r="AQ220" s="10" t="str">
        <f aca="false">IF(AP220="","",IFERROR(VLOOKUP(AP220,Projects!$A$5:$D$504,2,0),"Ref not in Projects"))</f>
        <v/>
      </c>
      <c r="AR220" s="10" t="str">
        <f aca="false">IF(AP220="","",IFERROR(VLOOKUP(AP220,Projects!$A$5:$D$504,4,0),"Ref not in Projects"))</f>
        <v/>
      </c>
      <c r="AS220" s="9"/>
      <c r="AT220" s="9"/>
      <c r="AU220" s="9"/>
      <c r="AV220" s="40"/>
      <c r="AW220" s="9"/>
      <c r="AX220" s="40"/>
      <c r="AY220" s="9"/>
      <c r="AZ220" s="40"/>
      <c r="BA220" s="9"/>
      <c r="BB220" s="9"/>
      <c r="BC220" s="9"/>
      <c r="BD220" s="40"/>
      <c r="BE220" s="40"/>
      <c r="BF220" s="36" t="str">
        <f aca="false">IF(BE220="","",EDATE(BE220,SG_Criteria!$B$54*12))</f>
        <v/>
      </c>
      <c r="BG220" s="33" t="str">
        <f aca="true">IF(A220="","",IF(BE220="","NOTE: not reviewed yet",IF(TODAY()&gt;BF220,"NOTE: review overdue","OK")))</f>
        <v/>
      </c>
      <c r="BH220" s="37" t="str">
        <f aca="false">IF(A220="","",ROUND((IF(LEN(D220)&gt;0,1,0)+IF(LEN(E220)&gt;0,1,0)+IF(LEN(I220)&gt;0,1,0)+IF(LEN(K220)&gt;0,1,0)+IF(LEN(Q220)&gt;0,1,0)+IF(LEN(S220)&gt;0,1,0)+IF(LEN(T220)&gt;0,1,0)+IF(LEN(U220)&gt;0,1,0)+IF(LEN(V220)&gt;0,1,0)+IF(LEN(AE220)&gt;0,1,0)+IF(LEN(AP220)&gt;0,1,0)+IF(LEN(BC220)&gt;0,1,0))/12,2))</f>
        <v/>
      </c>
      <c r="BI220" s="10" t="str">
        <f aca="false">IF(D220="","",IF(AND(T220="Approved",ISERROR(SEARCH("FAIL",AM220))),"Y","N"))</f>
        <v/>
      </c>
    </row>
    <row r="221" customFormat="false" ht="15" hidden="false" customHeight="false" outlineLevel="0" collapsed="false">
      <c r="A221" s="10" t="str">
        <f aca="false">IF(D221="","",IFERROR(VLOOKUP(D221,Lists!$BI$4:$BJ$20,2,0),"??")&amp;"-"&amp;UPPER(SUBSTITUTE(E221," ",""))&amp;IF(F221&lt;&gt;"","-SP"&amp;TEXT(F221*1000,"0"),"")&amp;IF(G221&lt;&gt;"","-H"&amp;TEXT(G221*1000,"0"),"")&amp;"-"&amp;S221)</f>
        <v/>
      </c>
      <c r="B221" s="10" t="str">
        <f aca="false">IF(D221="","",D221&amp;" - "&amp;E221&amp;IF(F221&lt;&gt;"",", span "&amp;F221&amp;" m","")&amp;IF(G221&lt;&gt;"",", H "&amp;G221&amp;" m","")&amp;IF(H221&lt;&gt;"",", W "&amp;H221&amp;" m",""))</f>
        <v/>
      </c>
      <c r="C221" s="9"/>
      <c r="D221" s="9"/>
      <c r="E221" s="9"/>
      <c r="F221" s="42"/>
      <c r="G221" s="42"/>
      <c r="H221" s="42"/>
      <c r="I221" s="9"/>
      <c r="J221" s="9"/>
      <c r="K221" s="9"/>
      <c r="L221" s="9"/>
      <c r="M221" s="9"/>
      <c r="N221" s="38"/>
      <c r="O221" s="9"/>
      <c r="P221" s="39"/>
      <c r="Q221" s="9"/>
      <c r="R221" s="9"/>
      <c r="S221" s="9"/>
      <c r="T221" s="9"/>
      <c r="U221" s="9"/>
      <c r="V221" s="9"/>
      <c r="W221" s="9"/>
      <c r="X221" s="10" t="str">
        <f aca="false">IF(A221="","",SG_Criteria!$B$6&amp;SG_Criteria!$B$13&amp;"\"&amp;A221&amp;"\")</f>
        <v/>
      </c>
      <c r="Y221" s="10" t="str">
        <f aca="false">IF(A221="","",A221&amp;"_CAD.dwg")</f>
        <v/>
      </c>
      <c r="Z221" s="10" t="str">
        <f aca="false">IF(A221="","",A221&amp;"_DWG.pdf")</f>
        <v/>
      </c>
      <c r="AA221" s="10" t="str">
        <f aca="false">IF(A221="","",IF(W221="Y",A221&amp;"_STAAD.std","n/a"))</f>
        <v/>
      </c>
      <c r="AB221" s="10" t="str">
        <f aca="false">IF(A221="","",A221&amp;"_CALC.xlsx")</f>
        <v/>
      </c>
      <c r="AC221" s="10" t="str">
        <f aca="false">IF(A221="","",A221&amp;"_CALC.pdf")</f>
        <v/>
      </c>
      <c r="AD221" s="9"/>
      <c r="AE221" s="9"/>
      <c r="AF221" s="39"/>
      <c r="AG221" s="39"/>
      <c r="AH221" s="39"/>
      <c r="AI221" s="39"/>
      <c r="AJ221" s="39"/>
      <c r="AK221" s="12" t="str">
        <f aca="false">IF(A221="","",IF(COUNTIF(Rebar_Schedule!$A$5:$A$2004,A221)=0,"",ROUND(SUMIF(Rebar_Schedule!$A$5:$A$2004,A221,Rebar_Schedule!$K$5:$K$2004),1)))</f>
        <v/>
      </c>
      <c r="AL221" s="33" t="str">
        <f aca="false">IF(A221="","",IF(AK221="","No rebar schedule yet",IF(ABS(AK221-N(AG221))/MAX(N(AG221),1)&gt;SG_Criteria!$B$55,"NOTE: register rebar differs from schedule by "&amp;TEXT(ABS(AK221-N(AG221))/MAX(N(AG221),1),"0%"),"OK")))</f>
        <v/>
      </c>
      <c r="AM221" s="33" t="str">
        <f aca="false">IF(D221="","","OK")</f>
        <v/>
      </c>
      <c r="AN221" s="9"/>
      <c r="AO221" s="9"/>
      <c r="AP221" s="9"/>
      <c r="AQ221" s="10" t="str">
        <f aca="false">IF(AP221="","",IFERROR(VLOOKUP(AP221,Projects!$A$5:$D$504,2,0),"Ref not in Projects"))</f>
        <v/>
      </c>
      <c r="AR221" s="10" t="str">
        <f aca="false">IF(AP221="","",IFERROR(VLOOKUP(AP221,Projects!$A$5:$D$504,4,0),"Ref not in Projects"))</f>
        <v/>
      </c>
      <c r="AS221" s="9"/>
      <c r="AT221" s="9"/>
      <c r="AU221" s="9"/>
      <c r="AV221" s="40"/>
      <c r="AW221" s="9"/>
      <c r="AX221" s="40"/>
      <c r="AY221" s="9"/>
      <c r="AZ221" s="40"/>
      <c r="BA221" s="9"/>
      <c r="BB221" s="9"/>
      <c r="BC221" s="9"/>
      <c r="BD221" s="40"/>
      <c r="BE221" s="40"/>
      <c r="BF221" s="36" t="str">
        <f aca="false">IF(BE221="","",EDATE(BE221,SG_Criteria!$B$54*12))</f>
        <v/>
      </c>
      <c r="BG221" s="33" t="str">
        <f aca="true">IF(A221="","",IF(BE221="","NOTE: not reviewed yet",IF(TODAY()&gt;BF221,"NOTE: review overdue","OK")))</f>
        <v/>
      </c>
      <c r="BH221" s="37" t="str">
        <f aca="false">IF(A221="","",ROUND((IF(LEN(D221)&gt;0,1,0)+IF(LEN(E221)&gt;0,1,0)+IF(LEN(I221)&gt;0,1,0)+IF(LEN(K221)&gt;0,1,0)+IF(LEN(Q221)&gt;0,1,0)+IF(LEN(S221)&gt;0,1,0)+IF(LEN(T221)&gt;0,1,0)+IF(LEN(U221)&gt;0,1,0)+IF(LEN(V221)&gt;0,1,0)+IF(LEN(AE221)&gt;0,1,0)+IF(LEN(AP221)&gt;0,1,0)+IF(LEN(BC221)&gt;0,1,0))/12,2))</f>
        <v/>
      </c>
      <c r="BI221" s="10" t="str">
        <f aca="false">IF(D221="","",IF(AND(T221="Approved",ISERROR(SEARCH("FAIL",AM221))),"Y","N"))</f>
        <v/>
      </c>
    </row>
    <row r="222" customFormat="false" ht="15" hidden="false" customHeight="false" outlineLevel="0" collapsed="false">
      <c r="A222" s="10" t="str">
        <f aca="false">IF(D222="","",IFERROR(VLOOKUP(D222,Lists!$BI$4:$BJ$20,2,0),"??")&amp;"-"&amp;UPPER(SUBSTITUTE(E222," ",""))&amp;IF(F222&lt;&gt;"","-SP"&amp;TEXT(F222*1000,"0"),"")&amp;IF(G222&lt;&gt;"","-H"&amp;TEXT(G222*1000,"0"),"")&amp;"-"&amp;S222)</f>
        <v/>
      </c>
      <c r="B222" s="10" t="str">
        <f aca="false">IF(D222="","",D222&amp;" - "&amp;E222&amp;IF(F222&lt;&gt;"",", span "&amp;F222&amp;" m","")&amp;IF(G222&lt;&gt;"",", H "&amp;G222&amp;" m","")&amp;IF(H222&lt;&gt;"",", W "&amp;H222&amp;" m",""))</f>
        <v/>
      </c>
      <c r="C222" s="9"/>
      <c r="D222" s="9"/>
      <c r="E222" s="9"/>
      <c r="F222" s="42"/>
      <c r="G222" s="42"/>
      <c r="H222" s="42"/>
      <c r="I222" s="9"/>
      <c r="J222" s="9"/>
      <c r="K222" s="9"/>
      <c r="L222" s="9"/>
      <c r="M222" s="9"/>
      <c r="N222" s="38"/>
      <c r="O222" s="9"/>
      <c r="P222" s="39"/>
      <c r="Q222" s="9"/>
      <c r="R222" s="9"/>
      <c r="S222" s="9"/>
      <c r="T222" s="9"/>
      <c r="U222" s="9"/>
      <c r="V222" s="9"/>
      <c r="W222" s="9"/>
      <c r="X222" s="10" t="str">
        <f aca="false">IF(A222="","",SG_Criteria!$B$6&amp;SG_Criteria!$B$13&amp;"\"&amp;A222&amp;"\")</f>
        <v/>
      </c>
      <c r="Y222" s="10" t="str">
        <f aca="false">IF(A222="","",A222&amp;"_CAD.dwg")</f>
        <v/>
      </c>
      <c r="Z222" s="10" t="str">
        <f aca="false">IF(A222="","",A222&amp;"_DWG.pdf")</f>
        <v/>
      </c>
      <c r="AA222" s="10" t="str">
        <f aca="false">IF(A222="","",IF(W222="Y",A222&amp;"_STAAD.std","n/a"))</f>
        <v/>
      </c>
      <c r="AB222" s="10" t="str">
        <f aca="false">IF(A222="","",A222&amp;"_CALC.xlsx")</f>
        <v/>
      </c>
      <c r="AC222" s="10" t="str">
        <f aca="false">IF(A222="","",A222&amp;"_CALC.pdf")</f>
        <v/>
      </c>
      <c r="AD222" s="9"/>
      <c r="AE222" s="9"/>
      <c r="AF222" s="39"/>
      <c r="AG222" s="39"/>
      <c r="AH222" s="39"/>
      <c r="AI222" s="39"/>
      <c r="AJ222" s="39"/>
      <c r="AK222" s="12" t="str">
        <f aca="false">IF(A222="","",IF(COUNTIF(Rebar_Schedule!$A$5:$A$2004,A222)=0,"",ROUND(SUMIF(Rebar_Schedule!$A$5:$A$2004,A222,Rebar_Schedule!$K$5:$K$2004),1)))</f>
        <v/>
      </c>
      <c r="AL222" s="33" t="str">
        <f aca="false">IF(A222="","",IF(AK222="","No rebar schedule yet",IF(ABS(AK222-N(AG222))/MAX(N(AG222),1)&gt;SG_Criteria!$B$55,"NOTE: register rebar differs from schedule by "&amp;TEXT(ABS(AK222-N(AG222))/MAX(N(AG222),1),"0%"),"OK")))</f>
        <v/>
      </c>
      <c r="AM222" s="33" t="str">
        <f aca="false">IF(D222="","","OK")</f>
        <v/>
      </c>
      <c r="AN222" s="9"/>
      <c r="AO222" s="9"/>
      <c r="AP222" s="9"/>
      <c r="AQ222" s="10" t="str">
        <f aca="false">IF(AP222="","",IFERROR(VLOOKUP(AP222,Projects!$A$5:$D$504,2,0),"Ref not in Projects"))</f>
        <v/>
      </c>
      <c r="AR222" s="10" t="str">
        <f aca="false">IF(AP222="","",IFERROR(VLOOKUP(AP222,Projects!$A$5:$D$504,4,0),"Ref not in Projects"))</f>
        <v/>
      </c>
      <c r="AS222" s="9"/>
      <c r="AT222" s="9"/>
      <c r="AU222" s="9"/>
      <c r="AV222" s="40"/>
      <c r="AW222" s="9"/>
      <c r="AX222" s="40"/>
      <c r="AY222" s="9"/>
      <c r="AZ222" s="40"/>
      <c r="BA222" s="9"/>
      <c r="BB222" s="9"/>
      <c r="BC222" s="9"/>
      <c r="BD222" s="40"/>
      <c r="BE222" s="40"/>
      <c r="BF222" s="36" t="str">
        <f aca="false">IF(BE222="","",EDATE(BE222,SG_Criteria!$B$54*12))</f>
        <v/>
      </c>
      <c r="BG222" s="33" t="str">
        <f aca="true">IF(A222="","",IF(BE222="","NOTE: not reviewed yet",IF(TODAY()&gt;BF222,"NOTE: review overdue","OK")))</f>
        <v/>
      </c>
      <c r="BH222" s="37" t="str">
        <f aca="false">IF(A222="","",ROUND((IF(LEN(D222)&gt;0,1,0)+IF(LEN(E222)&gt;0,1,0)+IF(LEN(I222)&gt;0,1,0)+IF(LEN(K222)&gt;0,1,0)+IF(LEN(Q222)&gt;0,1,0)+IF(LEN(S222)&gt;0,1,0)+IF(LEN(T222)&gt;0,1,0)+IF(LEN(U222)&gt;0,1,0)+IF(LEN(V222)&gt;0,1,0)+IF(LEN(AE222)&gt;0,1,0)+IF(LEN(AP222)&gt;0,1,0)+IF(LEN(BC222)&gt;0,1,0))/12,2))</f>
        <v/>
      </c>
      <c r="BI222" s="10" t="str">
        <f aca="false">IF(D222="","",IF(AND(T222="Approved",ISERROR(SEARCH("FAIL",AM222))),"Y","N"))</f>
        <v/>
      </c>
    </row>
    <row r="223" customFormat="false" ht="15" hidden="false" customHeight="false" outlineLevel="0" collapsed="false">
      <c r="A223" s="10" t="str">
        <f aca="false">IF(D223="","",IFERROR(VLOOKUP(D223,Lists!$BI$4:$BJ$20,2,0),"??")&amp;"-"&amp;UPPER(SUBSTITUTE(E223," ",""))&amp;IF(F223&lt;&gt;"","-SP"&amp;TEXT(F223*1000,"0"),"")&amp;IF(G223&lt;&gt;"","-H"&amp;TEXT(G223*1000,"0"),"")&amp;"-"&amp;S223)</f>
        <v/>
      </c>
      <c r="B223" s="10" t="str">
        <f aca="false">IF(D223="","",D223&amp;" - "&amp;E223&amp;IF(F223&lt;&gt;"",", span "&amp;F223&amp;" m","")&amp;IF(G223&lt;&gt;"",", H "&amp;G223&amp;" m","")&amp;IF(H223&lt;&gt;"",", W "&amp;H223&amp;" m",""))</f>
        <v/>
      </c>
      <c r="C223" s="9"/>
      <c r="D223" s="9"/>
      <c r="E223" s="9"/>
      <c r="F223" s="42"/>
      <c r="G223" s="42"/>
      <c r="H223" s="42"/>
      <c r="I223" s="9"/>
      <c r="J223" s="9"/>
      <c r="K223" s="9"/>
      <c r="L223" s="9"/>
      <c r="M223" s="9"/>
      <c r="N223" s="38"/>
      <c r="O223" s="9"/>
      <c r="P223" s="39"/>
      <c r="Q223" s="9"/>
      <c r="R223" s="9"/>
      <c r="S223" s="9"/>
      <c r="T223" s="9"/>
      <c r="U223" s="9"/>
      <c r="V223" s="9"/>
      <c r="W223" s="9"/>
      <c r="X223" s="10" t="str">
        <f aca="false">IF(A223="","",SG_Criteria!$B$6&amp;SG_Criteria!$B$13&amp;"\"&amp;A223&amp;"\")</f>
        <v/>
      </c>
      <c r="Y223" s="10" t="str">
        <f aca="false">IF(A223="","",A223&amp;"_CAD.dwg")</f>
        <v/>
      </c>
      <c r="Z223" s="10" t="str">
        <f aca="false">IF(A223="","",A223&amp;"_DWG.pdf")</f>
        <v/>
      </c>
      <c r="AA223" s="10" t="str">
        <f aca="false">IF(A223="","",IF(W223="Y",A223&amp;"_STAAD.std","n/a"))</f>
        <v/>
      </c>
      <c r="AB223" s="10" t="str">
        <f aca="false">IF(A223="","",A223&amp;"_CALC.xlsx")</f>
        <v/>
      </c>
      <c r="AC223" s="10" t="str">
        <f aca="false">IF(A223="","",A223&amp;"_CALC.pdf")</f>
        <v/>
      </c>
      <c r="AD223" s="9"/>
      <c r="AE223" s="9"/>
      <c r="AF223" s="39"/>
      <c r="AG223" s="39"/>
      <c r="AH223" s="39"/>
      <c r="AI223" s="39"/>
      <c r="AJ223" s="39"/>
      <c r="AK223" s="12" t="str">
        <f aca="false">IF(A223="","",IF(COUNTIF(Rebar_Schedule!$A$5:$A$2004,A223)=0,"",ROUND(SUMIF(Rebar_Schedule!$A$5:$A$2004,A223,Rebar_Schedule!$K$5:$K$2004),1)))</f>
        <v/>
      </c>
      <c r="AL223" s="33" t="str">
        <f aca="false">IF(A223="","",IF(AK223="","No rebar schedule yet",IF(ABS(AK223-N(AG223))/MAX(N(AG223),1)&gt;SG_Criteria!$B$55,"NOTE: register rebar differs from schedule by "&amp;TEXT(ABS(AK223-N(AG223))/MAX(N(AG223),1),"0%"),"OK")))</f>
        <v/>
      </c>
      <c r="AM223" s="33" t="str">
        <f aca="false">IF(D223="","","OK")</f>
        <v/>
      </c>
      <c r="AN223" s="9"/>
      <c r="AO223" s="9"/>
      <c r="AP223" s="9"/>
      <c r="AQ223" s="10" t="str">
        <f aca="false">IF(AP223="","",IFERROR(VLOOKUP(AP223,Projects!$A$5:$D$504,2,0),"Ref not in Projects"))</f>
        <v/>
      </c>
      <c r="AR223" s="10" t="str">
        <f aca="false">IF(AP223="","",IFERROR(VLOOKUP(AP223,Projects!$A$5:$D$504,4,0),"Ref not in Projects"))</f>
        <v/>
      </c>
      <c r="AS223" s="9"/>
      <c r="AT223" s="9"/>
      <c r="AU223" s="9"/>
      <c r="AV223" s="40"/>
      <c r="AW223" s="9"/>
      <c r="AX223" s="40"/>
      <c r="AY223" s="9"/>
      <c r="AZ223" s="40"/>
      <c r="BA223" s="9"/>
      <c r="BB223" s="9"/>
      <c r="BC223" s="9"/>
      <c r="BD223" s="40"/>
      <c r="BE223" s="40"/>
      <c r="BF223" s="36" t="str">
        <f aca="false">IF(BE223="","",EDATE(BE223,SG_Criteria!$B$54*12))</f>
        <v/>
      </c>
      <c r="BG223" s="33" t="str">
        <f aca="true">IF(A223="","",IF(BE223="","NOTE: not reviewed yet",IF(TODAY()&gt;BF223,"NOTE: review overdue","OK")))</f>
        <v/>
      </c>
      <c r="BH223" s="37" t="str">
        <f aca="false">IF(A223="","",ROUND((IF(LEN(D223)&gt;0,1,0)+IF(LEN(E223)&gt;0,1,0)+IF(LEN(I223)&gt;0,1,0)+IF(LEN(K223)&gt;0,1,0)+IF(LEN(Q223)&gt;0,1,0)+IF(LEN(S223)&gt;0,1,0)+IF(LEN(T223)&gt;0,1,0)+IF(LEN(U223)&gt;0,1,0)+IF(LEN(V223)&gt;0,1,0)+IF(LEN(AE223)&gt;0,1,0)+IF(LEN(AP223)&gt;0,1,0)+IF(LEN(BC223)&gt;0,1,0))/12,2))</f>
        <v/>
      </c>
      <c r="BI223" s="10" t="str">
        <f aca="false">IF(D223="","",IF(AND(T223="Approved",ISERROR(SEARCH("FAIL",AM223))),"Y","N"))</f>
        <v/>
      </c>
    </row>
    <row r="224" customFormat="false" ht="15" hidden="false" customHeight="false" outlineLevel="0" collapsed="false">
      <c r="A224" s="10" t="str">
        <f aca="false">IF(D224="","",IFERROR(VLOOKUP(D224,Lists!$BI$4:$BJ$20,2,0),"??")&amp;"-"&amp;UPPER(SUBSTITUTE(E224," ",""))&amp;IF(F224&lt;&gt;"","-SP"&amp;TEXT(F224*1000,"0"),"")&amp;IF(G224&lt;&gt;"","-H"&amp;TEXT(G224*1000,"0"),"")&amp;"-"&amp;S224)</f>
        <v/>
      </c>
      <c r="B224" s="10" t="str">
        <f aca="false">IF(D224="","",D224&amp;" - "&amp;E224&amp;IF(F224&lt;&gt;"",", span "&amp;F224&amp;" m","")&amp;IF(G224&lt;&gt;"",", H "&amp;G224&amp;" m","")&amp;IF(H224&lt;&gt;"",", W "&amp;H224&amp;" m",""))</f>
        <v/>
      </c>
      <c r="C224" s="9"/>
      <c r="D224" s="9"/>
      <c r="E224" s="9"/>
      <c r="F224" s="42"/>
      <c r="G224" s="42"/>
      <c r="H224" s="42"/>
      <c r="I224" s="9"/>
      <c r="J224" s="9"/>
      <c r="K224" s="9"/>
      <c r="L224" s="9"/>
      <c r="M224" s="9"/>
      <c r="N224" s="38"/>
      <c r="O224" s="9"/>
      <c r="P224" s="39"/>
      <c r="Q224" s="9"/>
      <c r="R224" s="9"/>
      <c r="S224" s="9"/>
      <c r="T224" s="9"/>
      <c r="U224" s="9"/>
      <c r="V224" s="9"/>
      <c r="W224" s="9"/>
      <c r="X224" s="10" t="str">
        <f aca="false">IF(A224="","",SG_Criteria!$B$6&amp;SG_Criteria!$B$13&amp;"\"&amp;A224&amp;"\")</f>
        <v/>
      </c>
      <c r="Y224" s="10" t="str">
        <f aca="false">IF(A224="","",A224&amp;"_CAD.dwg")</f>
        <v/>
      </c>
      <c r="Z224" s="10" t="str">
        <f aca="false">IF(A224="","",A224&amp;"_DWG.pdf")</f>
        <v/>
      </c>
      <c r="AA224" s="10" t="str">
        <f aca="false">IF(A224="","",IF(W224="Y",A224&amp;"_STAAD.std","n/a"))</f>
        <v/>
      </c>
      <c r="AB224" s="10" t="str">
        <f aca="false">IF(A224="","",A224&amp;"_CALC.xlsx")</f>
        <v/>
      </c>
      <c r="AC224" s="10" t="str">
        <f aca="false">IF(A224="","",A224&amp;"_CALC.pdf")</f>
        <v/>
      </c>
      <c r="AD224" s="9"/>
      <c r="AE224" s="9"/>
      <c r="AF224" s="39"/>
      <c r="AG224" s="39"/>
      <c r="AH224" s="39"/>
      <c r="AI224" s="39"/>
      <c r="AJ224" s="39"/>
      <c r="AK224" s="12" t="str">
        <f aca="false">IF(A224="","",IF(COUNTIF(Rebar_Schedule!$A$5:$A$2004,A224)=0,"",ROUND(SUMIF(Rebar_Schedule!$A$5:$A$2004,A224,Rebar_Schedule!$K$5:$K$2004),1)))</f>
        <v/>
      </c>
      <c r="AL224" s="33" t="str">
        <f aca="false">IF(A224="","",IF(AK224="","No rebar schedule yet",IF(ABS(AK224-N(AG224))/MAX(N(AG224),1)&gt;SG_Criteria!$B$55,"NOTE: register rebar differs from schedule by "&amp;TEXT(ABS(AK224-N(AG224))/MAX(N(AG224),1),"0%"),"OK")))</f>
        <v/>
      </c>
      <c r="AM224" s="33" t="str">
        <f aca="false">IF(D224="","","OK")</f>
        <v/>
      </c>
      <c r="AN224" s="9"/>
      <c r="AO224" s="9"/>
      <c r="AP224" s="9"/>
      <c r="AQ224" s="10" t="str">
        <f aca="false">IF(AP224="","",IFERROR(VLOOKUP(AP224,Projects!$A$5:$D$504,2,0),"Ref not in Projects"))</f>
        <v/>
      </c>
      <c r="AR224" s="10" t="str">
        <f aca="false">IF(AP224="","",IFERROR(VLOOKUP(AP224,Projects!$A$5:$D$504,4,0),"Ref not in Projects"))</f>
        <v/>
      </c>
      <c r="AS224" s="9"/>
      <c r="AT224" s="9"/>
      <c r="AU224" s="9"/>
      <c r="AV224" s="40"/>
      <c r="AW224" s="9"/>
      <c r="AX224" s="40"/>
      <c r="AY224" s="9"/>
      <c r="AZ224" s="40"/>
      <c r="BA224" s="9"/>
      <c r="BB224" s="9"/>
      <c r="BC224" s="9"/>
      <c r="BD224" s="40"/>
      <c r="BE224" s="40"/>
      <c r="BF224" s="36" t="str">
        <f aca="false">IF(BE224="","",EDATE(BE224,SG_Criteria!$B$54*12))</f>
        <v/>
      </c>
      <c r="BG224" s="33" t="str">
        <f aca="true">IF(A224="","",IF(BE224="","NOTE: not reviewed yet",IF(TODAY()&gt;BF224,"NOTE: review overdue","OK")))</f>
        <v/>
      </c>
      <c r="BH224" s="37" t="str">
        <f aca="false">IF(A224="","",ROUND((IF(LEN(D224)&gt;0,1,0)+IF(LEN(E224)&gt;0,1,0)+IF(LEN(I224)&gt;0,1,0)+IF(LEN(K224)&gt;0,1,0)+IF(LEN(Q224)&gt;0,1,0)+IF(LEN(S224)&gt;0,1,0)+IF(LEN(T224)&gt;0,1,0)+IF(LEN(U224)&gt;0,1,0)+IF(LEN(V224)&gt;0,1,0)+IF(LEN(AE224)&gt;0,1,0)+IF(LEN(AP224)&gt;0,1,0)+IF(LEN(BC224)&gt;0,1,0))/12,2))</f>
        <v/>
      </c>
      <c r="BI224" s="10" t="str">
        <f aca="false">IF(D224="","",IF(AND(T224="Approved",ISERROR(SEARCH("FAIL",AM224))),"Y","N"))</f>
        <v/>
      </c>
    </row>
    <row r="225" customFormat="false" ht="15" hidden="false" customHeight="false" outlineLevel="0" collapsed="false">
      <c r="A225" s="10" t="str">
        <f aca="false">IF(D225="","",IFERROR(VLOOKUP(D225,Lists!$BI$4:$BJ$20,2,0),"??")&amp;"-"&amp;UPPER(SUBSTITUTE(E225," ",""))&amp;IF(F225&lt;&gt;"","-SP"&amp;TEXT(F225*1000,"0"),"")&amp;IF(G225&lt;&gt;"","-H"&amp;TEXT(G225*1000,"0"),"")&amp;"-"&amp;S225)</f>
        <v/>
      </c>
      <c r="B225" s="10" t="str">
        <f aca="false">IF(D225="","",D225&amp;" - "&amp;E225&amp;IF(F225&lt;&gt;"",", span "&amp;F225&amp;" m","")&amp;IF(G225&lt;&gt;"",", H "&amp;G225&amp;" m","")&amp;IF(H225&lt;&gt;"",", W "&amp;H225&amp;" m",""))</f>
        <v/>
      </c>
      <c r="C225" s="9"/>
      <c r="D225" s="9"/>
      <c r="E225" s="9"/>
      <c r="F225" s="42"/>
      <c r="G225" s="42"/>
      <c r="H225" s="42"/>
      <c r="I225" s="9"/>
      <c r="J225" s="9"/>
      <c r="K225" s="9"/>
      <c r="L225" s="9"/>
      <c r="M225" s="9"/>
      <c r="N225" s="38"/>
      <c r="O225" s="9"/>
      <c r="P225" s="39"/>
      <c r="Q225" s="9"/>
      <c r="R225" s="9"/>
      <c r="S225" s="9"/>
      <c r="T225" s="9"/>
      <c r="U225" s="9"/>
      <c r="V225" s="9"/>
      <c r="W225" s="9"/>
      <c r="X225" s="10" t="str">
        <f aca="false">IF(A225="","",SG_Criteria!$B$6&amp;SG_Criteria!$B$13&amp;"\"&amp;A225&amp;"\")</f>
        <v/>
      </c>
      <c r="Y225" s="10" t="str">
        <f aca="false">IF(A225="","",A225&amp;"_CAD.dwg")</f>
        <v/>
      </c>
      <c r="Z225" s="10" t="str">
        <f aca="false">IF(A225="","",A225&amp;"_DWG.pdf")</f>
        <v/>
      </c>
      <c r="AA225" s="10" t="str">
        <f aca="false">IF(A225="","",IF(W225="Y",A225&amp;"_STAAD.std","n/a"))</f>
        <v/>
      </c>
      <c r="AB225" s="10" t="str">
        <f aca="false">IF(A225="","",A225&amp;"_CALC.xlsx")</f>
        <v/>
      </c>
      <c r="AC225" s="10" t="str">
        <f aca="false">IF(A225="","",A225&amp;"_CALC.pdf")</f>
        <v/>
      </c>
      <c r="AD225" s="9"/>
      <c r="AE225" s="9"/>
      <c r="AF225" s="39"/>
      <c r="AG225" s="39"/>
      <c r="AH225" s="39"/>
      <c r="AI225" s="39"/>
      <c r="AJ225" s="39"/>
      <c r="AK225" s="12" t="str">
        <f aca="false">IF(A225="","",IF(COUNTIF(Rebar_Schedule!$A$5:$A$2004,A225)=0,"",ROUND(SUMIF(Rebar_Schedule!$A$5:$A$2004,A225,Rebar_Schedule!$K$5:$K$2004),1)))</f>
        <v/>
      </c>
      <c r="AL225" s="33" t="str">
        <f aca="false">IF(A225="","",IF(AK225="","No rebar schedule yet",IF(ABS(AK225-N(AG225))/MAX(N(AG225),1)&gt;SG_Criteria!$B$55,"NOTE: register rebar differs from schedule by "&amp;TEXT(ABS(AK225-N(AG225))/MAX(N(AG225),1),"0%"),"OK")))</f>
        <v/>
      </c>
      <c r="AM225" s="33" t="str">
        <f aca="false">IF(D225="","","OK")</f>
        <v/>
      </c>
      <c r="AN225" s="9"/>
      <c r="AO225" s="9"/>
      <c r="AP225" s="9"/>
      <c r="AQ225" s="10" t="str">
        <f aca="false">IF(AP225="","",IFERROR(VLOOKUP(AP225,Projects!$A$5:$D$504,2,0),"Ref not in Projects"))</f>
        <v/>
      </c>
      <c r="AR225" s="10" t="str">
        <f aca="false">IF(AP225="","",IFERROR(VLOOKUP(AP225,Projects!$A$5:$D$504,4,0),"Ref not in Projects"))</f>
        <v/>
      </c>
      <c r="AS225" s="9"/>
      <c r="AT225" s="9"/>
      <c r="AU225" s="9"/>
      <c r="AV225" s="40"/>
      <c r="AW225" s="9"/>
      <c r="AX225" s="40"/>
      <c r="AY225" s="9"/>
      <c r="AZ225" s="40"/>
      <c r="BA225" s="9"/>
      <c r="BB225" s="9"/>
      <c r="BC225" s="9"/>
      <c r="BD225" s="40"/>
      <c r="BE225" s="40"/>
      <c r="BF225" s="36" t="str">
        <f aca="false">IF(BE225="","",EDATE(BE225,SG_Criteria!$B$54*12))</f>
        <v/>
      </c>
      <c r="BG225" s="33" t="str">
        <f aca="true">IF(A225="","",IF(BE225="","NOTE: not reviewed yet",IF(TODAY()&gt;BF225,"NOTE: review overdue","OK")))</f>
        <v/>
      </c>
      <c r="BH225" s="37" t="str">
        <f aca="false">IF(A225="","",ROUND((IF(LEN(D225)&gt;0,1,0)+IF(LEN(E225)&gt;0,1,0)+IF(LEN(I225)&gt;0,1,0)+IF(LEN(K225)&gt;0,1,0)+IF(LEN(Q225)&gt;0,1,0)+IF(LEN(S225)&gt;0,1,0)+IF(LEN(T225)&gt;0,1,0)+IF(LEN(U225)&gt;0,1,0)+IF(LEN(V225)&gt;0,1,0)+IF(LEN(AE225)&gt;0,1,0)+IF(LEN(AP225)&gt;0,1,0)+IF(LEN(BC225)&gt;0,1,0))/12,2))</f>
        <v/>
      </c>
      <c r="BI225" s="10" t="str">
        <f aca="false">IF(D225="","",IF(AND(T225="Approved",ISERROR(SEARCH("FAIL",AM225))),"Y","N"))</f>
        <v/>
      </c>
    </row>
    <row r="226" customFormat="false" ht="15" hidden="false" customHeight="false" outlineLevel="0" collapsed="false">
      <c r="A226" s="10" t="str">
        <f aca="false">IF(D226="","",IFERROR(VLOOKUP(D226,Lists!$BI$4:$BJ$20,2,0),"??")&amp;"-"&amp;UPPER(SUBSTITUTE(E226," ",""))&amp;IF(F226&lt;&gt;"","-SP"&amp;TEXT(F226*1000,"0"),"")&amp;IF(G226&lt;&gt;"","-H"&amp;TEXT(G226*1000,"0"),"")&amp;"-"&amp;S226)</f>
        <v/>
      </c>
      <c r="B226" s="10" t="str">
        <f aca="false">IF(D226="","",D226&amp;" - "&amp;E226&amp;IF(F226&lt;&gt;"",", span "&amp;F226&amp;" m","")&amp;IF(G226&lt;&gt;"",", H "&amp;G226&amp;" m","")&amp;IF(H226&lt;&gt;"",", W "&amp;H226&amp;" m",""))</f>
        <v/>
      </c>
      <c r="C226" s="9"/>
      <c r="D226" s="9"/>
      <c r="E226" s="9"/>
      <c r="F226" s="42"/>
      <c r="G226" s="42"/>
      <c r="H226" s="42"/>
      <c r="I226" s="9"/>
      <c r="J226" s="9"/>
      <c r="K226" s="9"/>
      <c r="L226" s="9"/>
      <c r="M226" s="9"/>
      <c r="N226" s="38"/>
      <c r="O226" s="9"/>
      <c r="P226" s="39"/>
      <c r="Q226" s="9"/>
      <c r="R226" s="9"/>
      <c r="S226" s="9"/>
      <c r="T226" s="9"/>
      <c r="U226" s="9"/>
      <c r="V226" s="9"/>
      <c r="W226" s="9"/>
      <c r="X226" s="10" t="str">
        <f aca="false">IF(A226="","",SG_Criteria!$B$6&amp;SG_Criteria!$B$13&amp;"\"&amp;A226&amp;"\")</f>
        <v/>
      </c>
      <c r="Y226" s="10" t="str">
        <f aca="false">IF(A226="","",A226&amp;"_CAD.dwg")</f>
        <v/>
      </c>
      <c r="Z226" s="10" t="str">
        <f aca="false">IF(A226="","",A226&amp;"_DWG.pdf")</f>
        <v/>
      </c>
      <c r="AA226" s="10" t="str">
        <f aca="false">IF(A226="","",IF(W226="Y",A226&amp;"_STAAD.std","n/a"))</f>
        <v/>
      </c>
      <c r="AB226" s="10" t="str">
        <f aca="false">IF(A226="","",A226&amp;"_CALC.xlsx")</f>
        <v/>
      </c>
      <c r="AC226" s="10" t="str">
        <f aca="false">IF(A226="","",A226&amp;"_CALC.pdf")</f>
        <v/>
      </c>
      <c r="AD226" s="9"/>
      <c r="AE226" s="9"/>
      <c r="AF226" s="39"/>
      <c r="AG226" s="39"/>
      <c r="AH226" s="39"/>
      <c r="AI226" s="39"/>
      <c r="AJ226" s="39"/>
      <c r="AK226" s="12" t="str">
        <f aca="false">IF(A226="","",IF(COUNTIF(Rebar_Schedule!$A$5:$A$2004,A226)=0,"",ROUND(SUMIF(Rebar_Schedule!$A$5:$A$2004,A226,Rebar_Schedule!$K$5:$K$2004),1)))</f>
        <v/>
      </c>
      <c r="AL226" s="33" t="str">
        <f aca="false">IF(A226="","",IF(AK226="","No rebar schedule yet",IF(ABS(AK226-N(AG226))/MAX(N(AG226),1)&gt;SG_Criteria!$B$55,"NOTE: register rebar differs from schedule by "&amp;TEXT(ABS(AK226-N(AG226))/MAX(N(AG226),1),"0%"),"OK")))</f>
        <v/>
      </c>
      <c r="AM226" s="33" t="str">
        <f aca="false">IF(D226="","","OK")</f>
        <v/>
      </c>
      <c r="AN226" s="9"/>
      <c r="AO226" s="9"/>
      <c r="AP226" s="9"/>
      <c r="AQ226" s="10" t="str">
        <f aca="false">IF(AP226="","",IFERROR(VLOOKUP(AP226,Projects!$A$5:$D$504,2,0),"Ref not in Projects"))</f>
        <v/>
      </c>
      <c r="AR226" s="10" t="str">
        <f aca="false">IF(AP226="","",IFERROR(VLOOKUP(AP226,Projects!$A$5:$D$504,4,0),"Ref not in Projects"))</f>
        <v/>
      </c>
      <c r="AS226" s="9"/>
      <c r="AT226" s="9"/>
      <c r="AU226" s="9"/>
      <c r="AV226" s="40"/>
      <c r="AW226" s="9"/>
      <c r="AX226" s="40"/>
      <c r="AY226" s="9"/>
      <c r="AZ226" s="40"/>
      <c r="BA226" s="9"/>
      <c r="BB226" s="9"/>
      <c r="BC226" s="9"/>
      <c r="BD226" s="40"/>
      <c r="BE226" s="40"/>
      <c r="BF226" s="36" t="str">
        <f aca="false">IF(BE226="","",EDATE(BE226,SG_Criteria!$B$54*12))</f>
        <v/>
      </c>
      <c r="BG226" s="33" t="str">
        <f aca="true">IF(A226="","",IF(BE226="","NOTE: not reviewed yet",IF(TODAY()&gt;BF226,"NOTE: review overdue","OK")))</f>
        <v/>
      </c>
      <c r="BH226" s="37" t="str">
        <f aca="false">IF(A226="","",ROUND((IF(LEN(D226)&gt;0,1,0)+IF(LEN(E226)&gt;0,1,0)+IF(LEN(I226)&gt;0,1,0)+IF(LEN(K226)&gt;0,1,0)+IF(LEN(Q226)&gt;0,1,0)+IF(LEN(S226)&gt;0,1,0)+IF(LEN(T226)&gt;0,1,0)+IF(LEN(U226)&gt;0,1,0)+IF(LEN(V226)&gt;0,1,0)+IF(LEN(AE226)&gt;0,1,0)+IF(LEN(AP226)&gt;0,1,0)+IF(LEN(BC226)&gt;0,1,0))/12,2))</f>
        <v/>
      </c>
      <c r="BI226" s="10" t="str">
        <f aca="false">IF(D226="","",IF(AND(T226="Approved",ISERROR(SEARCH("FAIL",AM226))),"Y","N"))</f>
        <v/>
      </c>
    </row>
    <row r="227" customFormat="false" ht="15" hidden="false" customHeight="false" outlineLevel="0" collapsed="false">
      <c r="A227" s="10" t="str">
        <f aca="false">IF(D227="","",IFERROR(VLOOKUP(D227,Lists!$BI$4:$BJ$20,2,0),"??")&amp;"-"&amp;UPPER(SUBSTITUTE(E227," ",""))&amp;IF(F227&lt;&gt;"","-SP"&amp;TEXT(F227*1000,"0"),"")&amp;IF(G227&lt;&gt;"","-H"&amp;TEXT(G227*1000,"0"),"")&amp;"-"&amp;S227)</f>
        <v/>
      </c>
      <c r="B227" s="10" t="str">
        <f aca="false">IF(D227="","",D227&amp;" - "&amp;E227&amp;IF(F227&lt;&gt;"",", span "&amp;F227&amp;" m","")&amp;IF(G227&lt;&gt;"",", H "&amp;G227&amp;" m","")&amp;IF(H227&lt;&gt;"",", W "&amp;H227&amp;" m",""))</f>
        <v/>
      </c>
      <c r="C227" s="9"/>
      <c r="D227" s="9"/>
      <c r="E227" s="9"/>
      <c r="F227" s="42"/>
      <c r="G227" s="42"/>
      <c r="H227" s="42"/>
      <c r="I227" s="9"/>
      <c r="J227" s="9"/>
      <c r="K227" s="9"/>
      <c r="L227" s="9"/>
      <c r="M227" s="9"/>
      <c r="N227" s="38"/>
      <c r="O227" s="9"/>
      <c r="P227" s="39"/>
      <c r="Q227" s="9"/>
      <c r="R227" s="9"/>
      <c r="S227" s="9"/>
      <c r="T227" s="9"/>
      <c r="U227" s="9"/>
      <c r="V227" s="9"/>
      <c r="W227" s="9"/>
      <c r="X227" s="10" t="str">
        <f aca="false">IF(A227="","",SG_Criteria!$B$6&amp;SG_Criteria!$B$13&amp;"\"&amp;A227&amp;"\")</f>
        <v/>
      </c>
      <c r="Y227" s="10" t="str">
        <f aca="false">IF(A227="","",A227&amp;"_CAD.dwg")</f>
        <v/>
      </c>
      <c r="Z227" s="10" t="str">
        <f aca="false">IF(A227="","",A227&amp;"_DWG.pdf")</f>
        <v/>
      </c>
      <c r="AA227" s="10" t="str">
        <f aca="false">IF(A227="","",IF(W227="Y",A227&amp;"_STAAD.std","n/a"))</f>
        <v/>
      </c>
      <c r="AB227" s="10" t="str">
        <f aca="false">IF(A227="","",A227&amp;"_CALC.xlsx")</f>
        <v/>
      </c>
      <c r="AC227" s="10" t="str">
        <f aca="false">IF(A227="","",A227&amp;"_CALC.pdf")</f>
        <v/>
      </c>
      <c r="AD227" s="9"/>
      <c r="AE227" s="9"/>
      <c r="AF227" s="39"/>
      <c r="AG227" s="39"/>
      <c r="AH227" s="39"/>
      <c r="AI227" s="39"/>
      <c r="AJ227" s="39"/>
      <c r="AK227" s="12" t="str">
        <f aca="false">IF(A227="","",IF(COUNTIF(Rebar_Schedule!$A$5:$A$2004,A227)=0,"",ROUND(SUMIF(Rebar_Schedule!$A$5:$A$2004,A227,Rebar_Schedule!$K$5:$K$2004),1)))</f>
        <v/>
      </c>
      <c r="AL227" s="33" t="str">
        <f aca="false">IF(A227="","",IF(AK227="","No rebar schedule yet",IF(ABS(AK227-N(AG227))/MAX(N(AG227),1)&gt;SG_Criteria!$B$55,"NOTE: register rebar differs from schedule by "&amp;TEXT(ABS(AK227-N(AG227))/MAX(N(AG227),1),"0%"),"OK")))</f>
        <v/>
      </c>
      <c r="AM227" s="33" t="str">
        <f aca="false">IF(D227="","","OK")</f>
        <v/>
      </c>
      <c r="AN227" s="9"/>
      <c r="AO227" s="9"/>
      <c r="AP227" s="9"/>
      <c r="AQ227" s="10" t="str">
        <f aca="false">IF(AP227="","",IFERROR(VLOOKUP(AP227,Projects!$A$5:$D$504,2,0),"Ref not in Projects"))</f>
        <v/>
      </c>
      <c r="AR227" s="10" t="str">
        <f aca="false">IF(AP227="","",IFERROR(VLOOKUP(AP227,Projects!$A$5:$D$504,4,0),"Ref not in Projects"))</f>
        <v/>
      </c>
      <c r="AS227" s="9"/>
      <c r="AT227" s="9"/>
      <c r="AU227" s="9"/>
      <c r="AV227" s="40"/>
      <c r="AW227" s="9"/>
      <c r="AX227" s="40"/>
      <c r="AY227" s="9"/>
      <c r="AZ227" s="40"/>
      <c r="BA227" s="9"/>
      <c r="BB227" s="9"/>
      <c r="BC227" s="9"/>
      <c r="BD227" s="40"/>
      <c r="BE227" s="40"/>
      <c r="BF227" s="36" t="str">
        <f aca="false">IF(BE227="","",EDATE(BE227,SG_Criteria!$B$54*12))</f>
        <v/>
      </c>
      <c r="BG227" s="33" t="str">
        <f aca="true">IF(A227="","",IF(BE227="","NOTE: not reviewed yet",IF(TODAY()&gt;BF227,"NOTE: review overdue","OK")))</f>
        <v/>
      </c>
      <c r="BH227" s="37" t="str">
        <f aca="false">IF(A227="","",ROUND((IF(LEN(D227)&gt;0,1,0)+IF(LEN(E227)&gt;0,1,0)+IF(LEN(I227)&gt;0,1,0)+IF(LEN(K227)&gt;0,1,0)+IF(LEN(Q227)&gt;0,1,0)+IF(LEN(S227)&gt;0,1,0)+IF(LEN(T227)&gt;0,1,0)+IF(LEN(U227)&gt;0,1,0)+IF(LEN(V227)&gt;0,1,0)+IF(LEN(AE227)&gt;0,1,0)+IF(LEN(AP227)&gt;0,1,0)+IF(LEN(BC227)&gt;0,1,0))/12,2))</f>
        <v/>
      </c>
      <c r="BI227" s="10" t="str">
        <f aca="false">IF(D227="","",IF(AND(T227="Approved",ISERROR(SEARCH("FAIL",AM227))),"Y","N"))</f>
        <v/>
      </c>
    </row>
    <row r="228" customFormat="false" ht="15" hidden="false" customHeight="false" outlineLevel="0" collapsed="false">
      <c r="A228" s="10" t="str">
        <f aca="false">IF(D228="","",IFERROR(VLOOKUP(D228,Lists!$BI$4:$BJ$20,2,0),"??")&amp;"-"&amp;UPPER(SUBSTITUTE(E228," ",""))&amp;IF(F228&lt;&gt;"","-SP"&amp;TEXT(F228*1000,"0"),"")&amp;IF(G228&lt;&gt;"","-H"&amp;TEXT(G228*1000,"0"),"")&amp;"-"&amp;S228)</f>
        <v/>
      </c>
      <c r="B228" s="10" t="str">
        <f aca="false">IF(D228="","",D228&amp;" - "&amp;E228&amp;IF(F228&lt;&gt;"",", span "&amp;F228&amp;" m","")&amp;IF(G228&lt;&gt;"",", H "&amp;G228&amp;" m","")&amp;IF(H228&lt;&gt;"",", W "&amp;H228&amp;" m",""))</f>
        <v/>
      </c>
      <c r="C228" s="9"/>
      <c r="D228" s="9"/>
      <c r="E228" s="9"/>
      <c r="F228" s="42"/>
      <c r="G228" s="42"/>
      <c r="H228" s="42"/>
      <c r="I228" s="9"/>
      <c r="J228" s="9"/>
      <c r="K228" s="9"/>
      <c r="L228" s="9"/>
      <c r="M228" s="9"/>
      <c r="N228" s="38"/>
      <c r="O228" s="9"/>
      <c r="P228" s="39"/>
      <c r="Q228" s="9"/>
      <c r="R228" s="9"/>
      <c r="S228" s="9"/>
      <c r="T228" s="9"/>
      <c r="U228" s="9"/>
      <c r="V228" s="9"/>
      <c r="W228" s="9"/>
      <c r="X228" s="10" t="str">
        <f aca="false">IF(A228="","",SG_Criteria!$B$6&amp;SG_Criteria!$B$13&amp;"\"&amp;A228&amp;"\")</f>
        <v/>
      </c>
      <c r="Y228" s="10" t="str">
        <f aca="false">IF(A228="","",A228&amp;"_CAD.dwg")</f>
        <v/>
      </c>
      <c r="Z228" s="10" t="str">
        <f aca="false">IF(A228="","",A228&amp;"_DWG.pdf")</f>
        <v/>
      </c>
      <c r="AA228" s="10" t="str">
        <f aca="false">IF(A228="","",IF(W228="Y",A228&amp;"_STAAD.std","n/a"))</f>
        <v/>
      </c>
      <c r="AB228" s="10" t="str">
        <f aca="false">IF(A228="","",A228&amp;"_CALC.xlsx")</f>
        <v/>
      </c>
      <c r="AC228" s="10" t="str">
        <f aca="false">IF(A228="","",A228&amp;"_CALC.pdf")</f>
        <v/>
      </c>
      <c r="AD228" s="9"/>
      <c r="AE228" s="9"/>
      <c r="AF228" s="39"/>
      <c r="AG228" s="39"/>
      <c r="AH228" s="39"/>
      <c r="AI228" s="39"/>
      <c r="AJ228" s="39"/>
      <c r="AK228" s="12" t="str">
        <f aca="false">IF(A228="","",IF(COUNTIF(Rebar_Schedule!$A$5:$A$2004,A228)=0,"",ROUND(SUMIF(Rebar_Schedule!$A$5:$A$2004,A228,Rebar_Schedule!$K$5:$K$2004),1)))</f>
        <v/>
      </c>
      <c r="AL228" s="33" t="str">
        <f aca="false">IF(A228="","",IF(AK228="","No rebar schedule yet",IF(ABS(AK228-N(AG228))/MAX(N(AG228),1)&gt;SG_Criteria!$B$55,"NOTE: register rebar differs from schedule by "&amp;TEXT(ABS(AK228-N(AG228))/MAX(N(AG228),1),"0%"),"OK")))</f>
        <v/>
      </c>
      <c r="AM228" s="33" t="str">
        <f aca="false">IF(D228="","","OK")</f>
        <v/>
      </c>
      <c r="AN228" s="9"/>
      <c r="AO228" s="9"/>
      <c r="AP228" s="9"/>
      <c r="AQ228" s="10" t="str">
        <f aca="false">IF(AP228="","",IFERROR(VLOOKUP(AP228,Projects!$A$5:$D$504,2,0),"Ref not in Projects"))</f>
        <v/>
      </c>
      <c r="AR228" s="10" t="str">
        <f aca="false">IF(AP228="","",IFERROR(VLOOKUP(AP228,Projects!$A$5:$D$504,4,0),"Ref not in Projects"))</f>
        <v/>
      </c>
      <c r="AS228" s="9"/>
      <c r="AT228" s="9"/>
      <c r="AU228" s="9"/>
      <c r="AV228" s="40"/>
      <c r="AW228" s="9"/>
      <c r="AX228" s="40"/>
      <c r="AY228" s="9"/>
      <c r="AZ228" s="40"/>
      <c r="BA228" s="9"/>
      <c r="BB228" s="9"/>
      <c r="BC228" s="9"/>
      <c r="BD228" s="40"/>
      <c r="BE228" s="40"/>
      <c r="BF228" s="36" t="str">
        <f aca="false">IF(BE228="","",EDATE(BE228,SG_Criteria!$B$54*12))</f>
        <v/>
      </c>
      <c r="BG228" s="33" t="str">
        <f aca="true">IF(A228="","",IF(BE228="","NOTE: not reviewed yet",IF(TODAY()&gt;BF228,"NOTE: review overdue","OK")))</f>
        <v/>
      </c>
      <c r="BH228" s="37" t="str">
        <f aca="false">IF(A228="","",ROUND((IF(LEN(D228)&gt;0,1,0)+IF(LEN(E228)&gt;0,1,0)+IF(LEN(I228)&gt;0,1,0)+IF(LEN(K228)&gt;0,1,0)+IF(LEN(Q228)&gt;0,1,0)+IF(LEN(S228)&gt;0,1,0)+IF(LEN(T228)&gt;0,1,0)+IF(LEN(U228)&gt;0,1,0)+IF(LEN(V228)&gt;0,1,0)+IF(LEN(AE228)&gt;0,1,0)+IF(LEN(AP228)&gt;0,1,0)+IF(LEN(BC228)&gt;0,1,0))/12,2))</f>
        <v/>
      </c>
      <c r="BI228" s="10" t="str">
        <f aca="false">IF(D228="","",IF(AND(T228="Approved",ISERROR(SEARCH("FAIL",AM228))),"Y","N"))</f>
        <v/>
      </c>
    </row>
    <row r="229" customFormat="false" ht="15" hidden="false" customHeight="false" outlineLevel="0" collapsed="false">
      <c r="A229" s="10" t="str">
        <f aca="false">IF(D229="","",IFERROR(VLOOKUP(D229,Lists!$BI$4:$BJ$20,2,0),"??")&amp;"-"&amp;UPPER(SUBSTITUTE(E229," ",""))&amp;IF(F229&lt;&gt;"","-SP"&amp;TEXT(F229*1000,"0"),"")&amp;IF(G229&lt;&gt;"","-H"&amp;TEXT(G229*1000,"0"),"")&amp;"-"&amp;S229)</f>
        <v/>
      </c>
      <c r="B229" s="10" t="str">
        <f aca="false">IF(D229="","",D229&amp;" - "&amp;E229&amp;IF(F229&lt;&gt;"",", span "&amp;F229&amp;" m","")&amp;IF(G229&lt;&gt;"",", H "&amp;G229&amp;" m","")&amp;IF(H229&lt;&gt;"",", W "&amp;H229&amp;" m",""))</f>
        <v/>
      </c>
      <c r="C229" s="9"/>
      <c r="D229" s="9"/>
      <c r="E229" s="9"/>
      <c r="F229" s="42"/>
      <c r="G229" s="42"/>
      <c r="H229" s="42"/>
      <c r="I229" s="9"/>
      <c r="J229" s="9"/>
      <c r="K229" s="9"/>
      <c r="L229" s="9"/>
      <c r="M229" s="9"/>
      <c r="N229" s="38"/>
      <c r="O229" s="9"/>
      <c r="P229" s="39"/>
      <c r="Q229" s="9"/>
      <c r="R229" s="9"/>
      <c r="S229" s="9"/>
      <c r="T229" s="9"/>
      <c r="U229" s="9"/>
      <c r="V229" s="9"/>
      <c r="W229" s="9"/>
      <c r="X229" s="10" t="str">
        <f aca="false">IF(A229="","",SG_Criteria!$B$6&amp;SG_Criteria!$B$13&amp;"\"&amp;A229&amp;"\")</f>
        <v/>
      </c>
      <c r="Y229" s="10" t="str">
        <f aca="false">IF(A229="","",A229&amp;"_CAD.dwg")</f>
        <v/>
      </c>
      <c r="Z229" s="10" t="str">
        <f aca="false">IF(A229="","",A229&amp;"_DWG.pdf")</f>
        <v/>
      </c>
      <c r="AA229" s="10" t="str">
        <f aca="false">IF(A229="","",IF(W229="Y",A229&amp;"_STAAD.std","n/a"))</f>
        <v/>
      </c>
      <c r="AB229" s="10" t="str">
        <f aca="false">IF(A229="","",A229&amp;"_CALC.xlsx")</f>
        <v/>
      </c>
      <c r="AC229" s="10" t="str">
        <f aca="false">IF(A229="","",A229&amp;"_CALC.pdf")</f>
        <v/>
      </c>
      <c r="AD229" s="9"/>
      <c r="AE229" s="9"/>
      <c r="AF229" s="39"/>
      <c r="AG229" s="39"/>
      <c r="AH229" s="39"/>
      <c r="AI229" s="39"/>
      <c r="AJ229" s="39"/>
      <c r="AK229" s="12" t="str">
        <f aca="false">IF(A229="","",IF(COUNTIF(Rebar_Schedule!$A$5:$A$2004,A229)=0,"",ROUND(SUMIF(Rebar_Schedule!$A$5:$A$2004,A229,Rebar_Schedule!$K$5:$K$2004),1)))</f>
        <v/>
      </c>
      <c r="AL229" s="33" t="str">
        <f aca="false">IF(A229="","",IF(AK229="","No rebar schedule yet",IF(ABS(AK229-N(AG229))/MAX(N(AG229),1)&gt;SG_Criteria!$B$55,"NOTE: register rebar differs from schedule by "&amp;TEXT(ABS(AK229-N(AG229))/MAX(N(AG229),1),"0%"),"OK")))</f>
        <v/>
      </c>
      <c r="AM229" s="33" t="str">
        <f aca="false">IF(D229="","","OK")</f>
        <v/>
      </c>
      <c r="AN229" s="9"/>
      <c r="AO229" s="9"/>
      <c r="AP229" s="9"/>
      <c r="AQ229" s="10" t="str">
        <f aca="false">IF(AP229="","",IFERROR(VLOOKUP(AP229,Projects!$A$5:$D$504,2,0),"Ref not in Projects"))</f>
        <v/>
      </c>
      <c r="AR229" s="10" t="str">
        <f aca="false">IF(AP229="","",IFERROR(VLOOKUP(AP229,Projects!$A$5:$D$504,4,0),"Ref not in Projects"))</f>
        <v/>
      </c>
      <c r="AS229" s="9"/>
      <c r="AT229" s="9"/>
      <c r="AU229" s="9"/>
      <c r="AV229" s="40"/>
      <c r="AW229" s="9"/>
      <c r="AX229" s="40"/>
      <c r="AY229" s="9"/>
      <c r="AZ229" s="40"/>
      <c r="BA229" s="9"/>
      <c r="BB229" s="9"/>
      <c r="BC229" s="9"/>
      <c r="BD229" s="40"/>
      <c r="BE229" s="40"/>
      <c r="BF229" s="36" t="str">
        <f aca="false">IF(BE229="","",EDATE(BE229,SG_Criteria!$B$54*12))</f>
        <v/>
      </c>
      <c r="BG229" s="33" t="str">
        <f aca="true">IF(A229="","",IF(BE229="","NOTE: not reviewed yet",IF(TODAY()&gt;BF229,"NOTE: review overdue","OK")))</f>
        <v/>
      </c>
      <c r="BH229" s="37" t="str">
        <f aca="false">IF(A229="","",ROUND((IF(LEN(D229)&gt;0,1,0)+IF(LEN(E229)&gt;0,1,0)+IF(LEN(I229)&gt;0,1,0)+IF(LEN(K229)&gt;0,1,0)+IF(LEN(Q229)&gt;0,1,0)+IF(LEN(S229)&gt;0,1,0)+IF(LEN(T229)&gt;0,1,0)+IF(LEN(U229)&gt;0,1,0)+IF(LEN(V229)&gt;0,1,0)+IF(LEN(AE229)&gt;0,1,0)+IF(LEN(AP229)&gt;0,1,0)+IF(LEN(BC229)&gt;0,1,0))/12,2))</f>
        <v/>
      </c>
      <c r="BI229" s="10" t="str">
        <f aca="false">IF(D229="","",IF(AND(T229="Approved",ISERROR(SEARCH("FAIL",AM229))),"Y","N"))</f>
        <v/>
      </c>
    </row>
    <row r="230" customFormat="false" ht="15" hidden="false" customHeight="false" outlineLevel="0" collapsed="false">
      <c r="A230" s="10" t="str">
        <f aca="false">IF(D230="","",IFERROR(VLOOKUP(D230,Lists!$BI$4:$BJ$20,2,0),"??")&amp;"-"&amp;UPPER(SUBSTITUTE(E230," ",""))&amp;IF(F230&lt;&gt;"","-SP"&amp;TEXT(F230*1000,"0"),"")&amp;IF(G230&lt;&gt;"","-H"&amp;TEXT(G230*1000,"0"),"")&amp;"-"&amp;S230)</f>
        <v/>
      </c>
      <c r="B230" s="10" t="str">
        <f aca="false">IF(D230="","",D230&amp;" - "&amp;E230&amp;IF(F230&lt;&gt;"",", span "&amp;F230&amp;" m","")&amp;IF(G230&lt;&gt;"",", H "&amp;G230&amp;" m","")&amp;IF(H230&lt;&gt;"",", W "&amp;H230&amp;" m",""))</f>
        <v/>
      </c>
      <c r="C230" s="9"/>
      <c r="D230" s="9"/>
      <c r="E230" s="9"/>
      <c r="F230" s="42"/>
      <c r="G230" s="42"/>
      <c r="H230" s="42"/>
      <c r="I230" s="9"/>
      <c r="J230" s="9"/>
      <c r="K230" s="9"/>
      <c r="L230" s="9"/>
      <c r="M230" s="9"/>
      <c r="N230" s="38"/>
      <c r="O230" s="9"/>
      <c r="P230" s="39"/>
      <c r="Q230" s="9"/>
      <c r="R230" s="9"/>
      <c r="S230" s="9"/>
      <c r="T230" s="9"/>
      <c r="U230" s="9"/>
      <c r="V230" s="9"/>
      <c r="W230" s="9"/>
      <c r="X230" s="10" t="str">
        <f aca="false">IF(A230="","",SG_Criteria!$B$6&amp;SG_Criteria!$B$13&amp;"\"&amp;A230&amp;"\")</f>
        <v/>
      </c>
      <c r="Y230" s="10" t="str">
        <f aca="false">IF(A230="","",A230&amp;"_CAD.dwg")</f>
        <v/>
      </c>
      <c r="Z230" s="10" t="str">
        <f aca="false">IF(A230="","",A230&amp;"_DWG.pdf")</f>
        <v/>
      </c>
      <c r="AA230" s="10" t="str">
        <f aca="false">IF(A230="","",IF(W230="Y",A230&amp;"_STAAD.std","n/a"))</f>
        <v/>
      </c>
      <c r="AB230" s="10" t="str">
        <f aca="false">IF(A230="","",A230&amp;"_CALC.xlsx")</f>
        <v/>
      </c>
      <c r="AC230" s="10" t="str">
        <f aca="false">IF(A230="","",A230&amp;"_CALC.pdf")</f>
        <v/>
      </c>
      <c r="AD230" s="9"/>
      <c r="AE230" s="9"/>
      <c r="AF230" s="39"/>
      <c r="AG230" s="39"/>
      <c r="AH230" s="39"/>
      <c r="AI230" s="39"/>
      <c r="AJ230" s="39"/>
      <c r="AK230" s="12" t="str">
        <f aca="false">IF(A230="","",IF(COUNTIF(Rebar_Schedule!$A$5:$A$2004,A230)=0,"",ROUND(SUMIF(Rebar_Schedule!$A$5:$A$2004,A230,Rebar_Schedule!$K$5:$K$2004),1)))</f>
        <v/>
      </c>
      <c r="AL230" s="33" t="str">
        <f aca="false">IF(A230="","",IF(AK230="","No rebar schedule yet",IF(ABS(AK230-N(AG230))/MAX(N(AG230),1)&gt;SG_Criteria!$B$55,"NOTE: register rebar differs from schedule by "&amp;TEXT(ABS(AK230-N(AG230))/MAX(N(AG230),1),"0%"),"OK")))</f>
        <v/>
      </c>
      <c r="AM230" s="33" t="str">
        <f aca="false">IF(D230="","","OK")</f>
        <v/>
      </c>
      <c r="AN230" s="9"/>
      <c r="AO230" s="9"/>
      <c r="AP230" s="9"/>
      <c r="AQ230" s="10" t="str">
        <f aca="false">IF(AP230="","",IFERROR(VLOOKUP(AP230,Projects!$A$5:$D$504,2,0),"Ref not in Projects"))</f>
        <v/>
      </c>
      <c r="AR230" s="10" t="str">
        <f aca="false">IF(AP230="","",IFERROR(VLOOKUP(AP230,Projects!$A$5:$D$504,4,0),"Ref not in Projects"))</f>
        <v/>
      </c>
      <c r="AS230" s="9"/>
      <c r="AT230" s="9"/>
      <c r="AU230" s="9"/>
      <c r="AV230" s="40"/>
      <c r="AW230" s="9"/>
      <c r="AX230" s="40"/>
      <c r="AY230" s="9"/>
      <c r="AZ230" s="40"/>
      <c r="BA230" s="9"/>
      <c r="BB230" s="9"/>
      <c r="BC230" s="9"/>
      <c r="BD230" s="40"/>
      <c r="BE230" s="40"/>
      <c r="BF230" s="36" t="str">
        <f aca="false">IF(BE230="","",EDATE(BE230,SG_Criteria!$B$54*12))</f>
        <v/>
      </c>
      <c r="BG230" s="33" t="str">
        <f aca="true">IF(A230="","",IF(BE230="","NOTE: not reviewed yet",IF(TODAY()&gt;BF230,"NOTE: review overdue","OK")))</f>
        <v/>
      </c>
      <c r="BH230" s="37" t="str">
        <f aca="false">IF(A230="","",ROUND((IF(LEN(D230)&gt;0,1,0)+IF(LEN(E230)&gt;0,1,0)+IF(LEN(I230)&gt;0,1,0)+IF(LEN(K230)&gt;0,1,0)+IF(LEN(Q230)&gt;0,1,0)+IF(LEN(S230)&gt;0,1,0)+IF(LEN(T230)&gt;0,1,0)+IF(LEN(U230)&gt;0,1,0)+IF(LEN(V230)&gt;0,1,0)+IF(LEN(AE230)&gt;0,1,0)+IF(LEN(AP230)&gt;0,1,0)+IF(LEN(BC230)&gt;0,1,0))/12,2))</f>
        <v/>
      </c>
      <c r="BI230" s="10" t="str">
        <f aca="false">IF(D230="","",IF(AND(T230="Approved",ISERROR(SEARCH("FAIL",AM230))),"Y","N"))</f>
        <v/>
      </c>
    </row>
    <row r="231" customFormat="false" ht="15" hidden="false" customHeight="false" outlineLevel="0" collapsed="false">
      <c r="A231" s="10" t="str">
        <f aca="false">IF(D231="","",IFERROR(VLOOKUP(D231,Lists!$BI$4:$BJ$20,2,0),"??")&amp;"-"&amp;UPPER(SUBSTITUTE(E231," ",""))&amp;IF(F231&lt;&gt;"","-SP"&amp;TEXT(F231*1000,"0"),"")&amp;IF(G231&lt;&gt;"","-H"&amp;TEXT(G231*1000,"0"),"")&amp;"-"&amp;S231)</f>
        <v/>
      </c>
      <c r="B231" s="10" t="str">
        <f aca="false">IF(D231="","",D231&amp;" - "&amp;E231&amp;IF(F231&lt;&gt;"",", span "&amp;F231&amp;" m","")&amp;IF(G231&lt;&gt;"",", H "&amp;G231&amp;" m","")&amp;IF(H231&lt;&gt;"",", W "&amp;H231&amp;" m",""))</f>
        <v/>
      </c>
      <c r="C231" s="9"/>
      <c r="D231" s="9"/>
      <c r="E231" s="9"/>
      <c r="F231" s="42"/>
      <c r="G231" s="42"/>
      <c r="H231" s="42"/>
      <c r="I231" s="9"/>
      <c r="J231" s="9"/>
      <c r="K231" s="9"/>
      <c r="L231" s="9"/>
      <c r="M231" s="9"/>
      <c r="N231" s="38"/>
      <c r="O231" s="9"/>
      <c r="P231" s="39"/>
      <c r="Q231" s="9"/>
      <c r="R231" s="9"/>
      <c r="S231" s="9"/>
      <c r="T231" s="9"/>
      <c r="U231" s="9"/>
      <c r="V231" s="9"/>
      <c r="W231" s="9"/>
      <c r="X231" s="10" t="str">
        <f aca="false">IF(A231="","",SG_Criteria!$B$6&amp;SG_Criteria!$B$13&amp;"\"&amp;A231&amp;"\")</f>
        <v/>
      </c>
      <c r="Y231" s="10" t="str">
        <f aca="false">IF(A231="","",A231&amp;"_CAD.dwg")</f>
        <v/>
      </c>
      <c r="Z231" s="10" t="str">
        <f aca="false">IF(A231="","",A231&amp;"_DWG.pdf")</f>
        <v/>
      </c>
      <c r="AA231" s="10" t="str">
        <f aca="false">IF(A231="","",IF(W231="Y",A231&amp;"_STAAD.std","n/a"))</f>
        <v/>
      </c>
      <c r="AB231" s="10" t="str">
        <f aca="false">IF(A231="","",A231&amp;"_CALC.xlsx")</f>
        <v/>
      </c>
      <c r="AC231" s="10" t="str">
        <f aca="false">IF(A231="","",A231&amp;"_CALC.pdf")</f>
        <v/>
      </c>
      <c r="AD231" s="9"/>
      <c r="AE231" s="9"/>
      <c r="AF231" s="39"/>
      <c r="AG231" s="39"/>
      <c r="AH231" s="39"/>
      <c r="AI231" s="39"/>
      <c r="AJ231" s="39"/>
      <c r="AK231" s="12" t="str">
        <f aca="false">IF(A231="","",IF(COUNTIF(Rebar_Schedule!$A$5:$A$2004,A231)=0,"",ROUND(SUMIF(Rebar_Schedule!$A$5:$A$2004,A231,Rebar_Schedule!$K$5:$K$2004),1)))</f>
        <v/>
      </c>
      <c r="AL231" s="33" t="str">
        <f aca="false">IF(A231="","",IF(AK231="","No rebar schedule yet",IF(ABS(AK231-N(AG231))/MAX(N(AG231),1)&gt;SG_Criteria!$B$55,"NOTE: register rebar differs from schedule by "&amp;TEXT(ABS(AK231-N(AG231))/MAX(N(AG231),1),"0%"),"OK")))</f>
        <v/>
      </c>
      <c r="AM231" s="33" t="str">
        <f aca="false">IF(D231="","","OK")</f>
        <v/>
      </c>
      <c r="AN231" s="9"/>
      <c r="AO231" s="9"/>
      <c r="AP231" s="9"/>
      <c r="AQ231" s="10" t="str">
        <f aca="false">IF(AP231="","",IFERROR(VLOOKUP(AP231,Projects!$A$5:$D$504,2,0),"Ref not in Projects"))</f>
        <v/>
      </c>
      <c r="AR231" s="10" t="str">
        <f aca="false">IF(AP231="","",IFERROR(VLOOKUP(AP231,Projects!$A$5:$D$504,4,0),"Ref not in Projects"))</f>
        <v/>
      </c>
      <c r="AS231" s="9"/>
      <c r="AT231" s="9"/>
      <c r="AU231" s="9"/>
      <c r="AV231" s="40"/>
      <c r="AW231" s="9"/>
      <c r="AX231" s="40"/>
      <c r="AY231" s="9"/>
      <c r="AZ231" s="40"/>
      <c r="BA231" s="9"/>
      <c r="BB231" s="9"/>
      <c r="BC231" s="9"/>
      <c r="BD231" s="40"/>
      <c r="BE231" s="40"/>
      <c r="BF231" s="36" t="str">
        <f aca="false">IF(BE231="","",EDATE(BE231,SG_Criteria!$B$54*12))</f>
        <v/>
      </c>
      <c r="BG231" s="33" t="str">
        <f aca="true">IF(A231="","",IF(BE231="","NOTE: not reviewed yet",IF(TODAY()&gt;BF231,"NOTE: review overdue","OK")))</f>
        <v/>
      </c>
      <c r="BH231" s="37" t="str">
        <f aca="false">IF(A231="","",ROUND((IF(LEN(D231)&gt;0,1,0)+IF(LEN(E231)&gt;0,1,0)+IF(LEN(I231)&gt;0,1,0)+IF(LEN(K231)&gt;0,1,0)+IF(LEN(Q231)&gt;0,1,0)+IF(LEN(S231)&gt;0,1,0)+IF(LEN(T231)&gt;0,1,0)+IF(LEN(U231)&gt;0,1,0)+IF(LEN(V231)&gt;0,1,0)+IF(LEN(AE231)&gt;0,1,0)+IF(LEN(AP231)&gt;0,1,0)+IF(LEN(BC231)&gt;0,1,0))/12,2))</f>
        <v/>
      </c>
      <c r="BI231" s="10" t="str">
        <f aca="false">IF(D231="","",IF(AND(T231="Approved",ISERROR(SEARCH("FAIL",AM231))),"Y","N"))</f>
        <v/>
      </c>
    </row>
    <row r="232" customFormat="false" ht="15" hidden="false" customHeight="false" outlineLevel="0" collapsed="false">
      <c r="A232" s="10" t="str">
        <f aca="false">IF(D232="","",IFERROR(VLOOKUP(D232,Lists!$BI$4:$BJ$20,2,0),"??")&amp;"-"&amp;UPPER(SUBSTITUTE(E232," ",""))&amp;IF(F232&lt;&gt;"","-SP"&amp;TEXT(F232*1000,"0"),"")&amp;IF(G232&lt;&gt;"","-H"&amp;TEXT(G232*1000,"0"),"")&amp;"-"&amp;S232)</f>
        <v/>
      </c>
      <c r="B232" s="10" t="str">
        <f aca="false">IF(D232="","",D232&amp;" - "&amp;E232&amp;IF(F232&lt;&gt;"",", span "&amp;F232&amp;" m","")&amp;IF(G232&lt;&gt;"",", H "&amp;G232&amp;" m","")&amp;IF(H232&lt;&gt;"",", W "&amp;H232&amp;" m",""))</f>
        <v/>
      </c>
      <c r="C232" s="9"/>
      <c r="D232" s="9"/>
      <c r="E232" s="9"/>
      <c r="F232" s="42"/>
      <c r="G232" s="42"/>
      <c r="H232" s="42"/>
      <c r="I232" s="9"/>
      <c r="J232" s="9"/>
      <c r="K232" s="9"/>
      <c r="L232" s="9"/>
      <c r="M232" s="9"/>
      <c r="N232" s="38"/>
      <c r="O232" s="9"/>
      <c r="P232" s="39"/>
      <c r="Q232" s="9"/>
      <c r="R232" s="9"/>
      <c r="S232" s="9"/>
      <c r="T232" s="9"/>
      <c r="U232" s="9"/>
      <c r="V232" s="9"/>
      <c r="W232" s="9"/>
      <c r="X232" s="10" t="str">
        <f aca="false">IF(A232="","",SG_Criteria!$B$6&amp;SG_Criteria!$B$13&amp;"\"&amp;A232&amp;"\")</f>
        <v/>
      </c>
      <c r="Y232" s="10" t="str">
        <f aca="false">IF(A232="","",A232&amp;"_CAD.dwg")</f>
        <v/>
      </c>
      <c r="Z232" s="10" t="str">
        <f aca="false">IF(A232="","",A232&amp;"_DWG.pdf")</f>
        <v/>
      </c>
      <c r="AA232" s="10" t="str">
        <f aca="false">IF(A232="","",IF(W232="Y",A232&amp;"_STAAD.std","n/a"))</f>
        <v/>
      </c>
      <c r="AB232" s="10" t="str">
        <f aca="false">IF(A232="","",A232&amp;"_CALC.xlsx")</f>
        <v/>
      </c>
      <c r="AC232" s="10" t="str">
        <f aca="false">IF(A232="","",A232&amp;"_CALC.pdf")</f>
        <v/>
      </c>
      <c r="AD232" s="9"/>
      <c r="AE232" s="9"/>
      <c r="AF232" s="39"/>
      <c r="AG232" s="39"/>
      <c r="AH232" s="39"/>
      <c r="AI232" s="39"/>
      <c r="AJ232" s="39"/>
      <c r="AK232" s="12" t="str">
        <f aca="false">IF(A232="","",IF(COUNTIF(Rebar_Schedule!$A$5:$A$2004,A232)=0,"",ROUND(SUMIF(Rebar_Schedule!$A$5:$A$2004,A232,Rebar_Schedule!$K$5:$K$2004),1)))</f>
        <v/>
      </c>
      <c r="AL232" s="33" t="str">
        <f aca="false">IF(A232="","",IF(AK232="","No rebar schedule yet",IF(ABS(AK232-N(AG232))/MAX(N(AG232),1)&gt;SG_Criteria!$B$55,"NOTE: register rebar differs from schedule by "&amp;TEXT(ABS(AK232-N(AG232))/MAX(N(AG232),1),"0%"),"OK")))</f>
        <v/>
      </c>
      <c r="AM232" s="33" t="str">
        <f aca="false">IF(D232="","","OK")</f>
        <v/>
      </c>
      <c r="AN232" s="9"/>
      <c r="AO232" s="9"/>
      <c r="AP232" s="9"/>
      <c r="AQ232" s="10" t="str">
        <f aca="false">IF(AP232="","",IFERROR(VLOOKUP(AP232,Projects!$A$5:$D$504,2,0),"Ref not in Projects"))</f>
        <v/>
      </c>
      <c r="AR232" s="10" t="str">
        <f aca="false">IF(AP232="","",IFERROR(VLOOKUP(AP232,Projects!$A$5:$D$504,4,0),"Ref not in Projects"))</f>
        <v/>
      </c>
      <c r="AS232" s="9"/>
      <c r="AT232" s="9"/>
      <c r="AU232" s="9"/>
      <c r="AV232" s="40"/>
      <c r="AW232" s="9"/>
      <c r="AX232" s="40"/>
      <c r="AY232" s="9"/>
      <c r="AZ232" s="40"/>
      <c r="BA232" s="9"/>
      <c r="BB232" s="9"/>
      <c r="BC232" s="9"/>
      <c r="BD232" s="40"/>
      <c r="BE232" s="40"/>
      <c r="BF232" s="36" t="str">
        <f aca="false">IF(BE232="","",EDATE(BE232,SG_Criteria!$B$54*12))</f>
        <v/>
      </c>
      <c r="BG232" s="33" t="str">
        <f aca="true">IF(A232="","",IF(BE232="","NOTE: not reviewed yet",IF(TODAY()&gt;BF232,"NOTE: review overdue","OK")))</f>
        <v/>
      </c>
      <c r="BH232" s="37" t="str">
        <f aca="false">IF(A232="","",ROUND((IF(LEN(D232)&gt;0,1,0)+IF(LEN(E232)&gt;0,1,0)+IF(LEN(I232)&gt;0,1,0)+IF(LEN(K232)&gt;0,1,0)+IF(LEN(Q232)&gt;0,1,0)+IF(LEN(S232)&gt;0,1,0)+IF(LEN(T232)&gt;0,1,0)+IF(LEN(U232)&gt;0,1,0)+IF(LEN(V232)&gt;0,1,0)+IF(LEN(AE232)&gt;0,1,0)+IF(LEN(AP232)&gt;0,1,0)+IF(LEN(BC232)&gt;0,1,0))/12,2))</f>
        <v/>
      </c>
      <c r="BI232" s="10" t="str">
        <f aca="false">IF(D232="","",IF(AND(T232="Approved",ISERROR(SEARCH("FAIL",AM232))),"Y","N"))</f>
        <v/>
      </c>
    </row>
    <row r="233" customFormat="false" ht="15" hidden="false" customHeight="false" outlineLevel="0" collapsed="false">
      <c r="A233" s="10" t="str">
        <f aca="false">IF(D233="","",IFERROR(VLOOKUP(D233,Lists!$BI$4:$BJ$20,2,0),"??")&amp;"-"&amp;UPPER(SUBSTITUTE(E233," ",""))&amp;IF(F233&lt;&gt;"","-SP"&amp;TEXT(F233*1000,"0"),"")&amp;IF(G233&lt;&gt;"","-H"&amp;TEXT(G233*1000,"0"),"")&amp;"-"&amp;S233)</f>
        <v/>
      </c>
      <c r="B233" s="10" t="str">
        <f aca="false">IF(D233="","",D233&amp;" - "&amp;E233&amp;IF(F233&lt;&gt;"",", span "&amp;F233&amp;" m","")&amp;IF(G233&lt;&gt;"",", H "&amp;G233&amp;" m","")&amp;IF(H233&lt;&gt;"",", W "&amp;H233&amp;" m",""))</f>
        <v/>
      </c>
      <c r="C233" s="9"/>
      <c r="D233" s="9"/>
      <c r="E233" s="9"/>
      <c r="F233" s="42"/>
      <c r="G233" s="42"/>
      <c r="H233" s="42"/>
      <c r="I233" s="9"/>
      <c r="J233" s="9"/>
      <c r="K233" s="9"/>
      <c r="L233" s="9"/>
      <c r="M233" s="9"/>
      <c r="N233" s="38"/>
      <c r="O233" s="9"/>
      <c r="P233" s="39"/>
      <c r="Q233" s="9"/>
      <c r="R233" s="9"/>
      <c r="S233" s="9"/>
      <c r="T233" s="9"/>
      <c r="U233" s="9"/>
      <c r="V233" s="9"/>
      <c r="W233" s="9"/>
      <c r="X233" s="10" t="str">
        <f aca="false">IF(A233="","",SG_Criteria!$B$6&amp;SG_Criteria!$B$13&amp;"\"&amp;A233&amp;"\")</f>
        <v/>
      </c>
      <c r="Y233" s="10" t="str">
        <f aca="false">IF(A233="","",A233&amp;"_CAD.dwg")</f>
        <v/>
      </c>
      <c r="Z233" s="10" t="str">
        <f aca="false">IF(A233="","",A233&amp;"_DWG.pdf")</f>
        <v/>
      </c>
      <c r="AA233" s="10" t="str">
        <f aca="false">IF(A233="","",IF(W233="Y",A233&amp;"_STAAD.std","n/a"))</f>
        <v/>
      </c>
      <c r="AB233" s="10" t="str">
        <f aca="false">IF(A233="","",A233&amp;"_CALC.xlsx")</f>
        <v/>
      </c>
      <c r="AC233" s="10" t="str">
        <f aca="false">IF(A233="","",A233&amp;"_CALC.pdf")</f>
        <v/>
      </c>
      <c r="AD233" s="9"/>
      <c r="AE233" s="9"/>
      <c r="AF233" s="39"/>
      <c r="AG233" s="39"/>
      <c r="AH233" s="39"/>
      <c r="AI233" s="39"/>
      <c r="AJ233" s="39"/>
      <c r="AK233" s="12" t="str">
        <f aca="false">IF(A233="","",IF(COUNTIF(Rebar_Schedule!$A$5:$A$2004,A233)=0,"",ROUND(SUMIF(Rebar_Schedule!$A$5:$A$2004,A233,Rebar_Schedule!$K$5:$K$2004),1)))</f>
        <v/>
      </c>
      <c r="AL233" s="33" t="str">
        <f aca="false">IF(A233="","",IF(AK233="","No rebar schedule yet",IF(ABS(AK233-N(AG233))/MAX(N(AG233),1)&gt;SG_Criteria!$B$55,"NOTE: register rebar differs from schedule by "&amp;TEXT(ABS(AK233-N(AG233))/MAX(N(AG233),1),"0%"),"OK")))</f>
        <v/>
      </c>
      <c r="AM233" s="33" t="str">
        <f aca="false">IF(D233="","","OK")</f>
        <v/>
      </c>
      <c r="AN233" s="9"/>
      <c r="AO233" s="9"/>
      <c r="AP233" s="9"/>
      <c r="AQ233" s="10" t="str">
        <f aca="false">IF(AP233="","",IFERROR(VLOOKUP(AP233,Projects!$A$5:$D$504,2,0),"Ref not in Projects"))</f>
        <v/>
      </c>
      <c r="AR233" s="10" t="str">
        <f aca="false">IF(AP233="","",IFERROR(VLOOKUP(AP233,Projects!$A$5:$D$504,4,0),"Ref not in Projects"))</f>
        <v/>
      </c>
      <c r="AS233" s="9"/>
      <c r="AT233" s="9"/>
      <c r="AU233" s="9"/>
      <c r="AV233" s="40"/>
      <c r="AW233" s="9"/>
      <c r="AX233" s="40"/>
      <c r="AY233" s="9"/>
      <c r="AZ233" s="40"/>
      <c r="BA233" s="9"/>
      <c r="BB233" s="9"/>
      <c r="BC233" s="9"/>
      <c r="BD233" s="40"/>
      <c r="BE233" s="40"/>
      <c r="BF233" s="36" t="str">
        <f aca="false">IF(BE233="","",EDATE(BE233,SG_Criteria!$B$54*12))</f>
        <v/>
      </c>
      <c r="BG233" s="33" t="str">
        <f aca="true">IF(A233="","",IF(BE233="","NOTE: not reviewed yet",IF(TODAY()&gt;BF233,"NOTE: review overdue","OK")))</f>
        <v/>
      </c>
      <c r="BH233" s="37" t="str">
        <f aca="false">IF(A233="","",ROUND((IF(LEN(D233)&gt;0,1,0)+IF(LEN(E233)&gt;0,1,0)+IF(LEN(I233)&gt;0,1,0)+IF(LEN(K233)&gt;0,1,0)+IF(LEN(Q233)&gt;0,1,0)+IF(LEN(S233)&gt;0,1,0)+IF(LEN(T233)&gt;0,1,0)+IF(LEN(U233)&gt;0,1,0)+IF(LEN(V233)&gt;0,1,0)+IF(LEN(AE233)&gt;0,1,0)+IF(LEN(AP233)&gt;0,1,0)+IF(LEN(BC233)&gt;0,1,0))/12,2))</f>
        <v/>
      </c>
      <c r="BI233" s="10" t="str">
        <f aca="false">IF(D233="","",IF(AND(T233="Approved",ISERROR(SEARCH("FAIL",AM233))),"Y","N"))</f>
        <v/>
      </c>
    </row>
    <row r="234" customFormat="false" ht="15" hidden="false" customHeight="false" outlineLevel="0" collapsed="false">
      <c r="A234" s="10" t="str">
        <f aca="false">IF(D234="","",IFERROR(VLOOKUP(D234,Lists!$BI$4:$BJ$20,2,0),"??")&amp;"-"&amp;UPPER(SUBSTITUTE(E234," ",""))&amp;IF(F234&lt;&gt;"","-SP"&amp;TEXT(F234*1000,"0"),"")&amp;IF(G234&lt;&gt;"","-H"&amp;TEXT(G234*1000,"0"),"")&amp;"-"&amp;S234)</f>
        <v/>
      </c>
      <c r="B234" s="10" t="str">
        <f aca="false">IF(D234="","",D234&amp;" - "&amp;E234&amp;IF(F234&lt;&gt;"",", span "&amp;F234&amp;" m","")&amp;IF(G234&lt;&gt;"",", H "&amp;G234&amp;" m","")&amp;IF(H234&lt;&gt;"",", W "&amp;H234&amp;" m",""))</f>
        <v/>
      </c>
      <c r="C234" s="9"/>
      <c r="D234" s="9"/>
      <c r="E234" s="9"/>
      <c r="F234" s="42"/>
      <c r="G234" s="42"/>
      <c r="H234" s="42"/>
      <c r="I234" s="9"/>
      <c r="J234" s="9"/>
      <c r="K234" s="9"/>
      <c r="L234" s="9"/>
      <c r="M234" s="9"/>
      <c r="N234" s="38"/>
      <c r="O234" s="9"/>
      <c r="P234" s="39"/>
      <c r="Q234" s="9"/>
      <c r="R234" s="9"/>
      <c r="S234" s="9"/>
      <c r="T234" s="9"/>
      <c r="U234" s="9"/>
      <c r="V234" s="9"/>
      <c r="W234" s="9"/>
      <c r="X234" s="10" t="str">
        <f aca="false">IF(A234="","",SG_Criteria!$B$6&amp;SG_Criteria!$B$13&amp;"\"&amp;A234&amp;"\")</f>
        <v/>
      </c>
      <c r="Y234" s="10" t="str">
        <f aca="false">IF(A234="","",A234&amp;"_CAD.dwg")</f>
        <v/>
      </c>
      <c r="Z234" s="10" t="str">
        <f aca="false">IF(A234="","",A234&amp;"_DWG.pdf")</f>
        <v/>
      </c>
      <c r="AA234" s="10" t="str">
        <f aca="false">IF(A234="","",IF(W234="Y",A234&amp;"_STAAD.std","n/a"))</f>
        <v/>
      </c>
      <c r="AB234" s="10" t="str">
        <f aca="false">IF(A234="","",A234&amp;"_CALC.xlsx")</f>
        <v/>
      </c>
      <c r="AC234" s="10" t="str">
        <f aca="false">IF(A234="","",A234&amp;"_CALC.pdf")</f>
        <v/>
      </c>
      <c r="AD234" s="9"/>
      <c r="AE234" s="9"/>
      <c r="AF234" s="39"/>
      <c r="AG234" s="39"/>
      <c r="AH234" s="39"/>
      <c r="AI234" s="39"/>
      <c r="AJ234" s="39"/>
      <c r="AK234" s="12" t="str">
        <f aca="false">IF(A234="","",IF(COUNTIF(Rebar_Schedule!$A$5:$A$2004,A234)=0,"",ROUND(SUMIF(Rebar_Schedule!$A$5:$A$2004,A234,Rebar_Schedule!$K$5:$K$2004),1)))</f>
        <v/>
      </c>
      <c r="AL234" s="33" t="str">
        <f aca="false">IF(A234="","",IF(AK234="","No rebar schedule yet",IF(ABS(AK234-N(AG234))/MAX(N(AG234),1)&gt;SG_Criteria!$B$55,"NOTE: register rebar differs from schedule by "&amp;TEXT(ABS(AK234-N(AG234))/MAX(N(AG234),1),"0%"),"OK")))</f>
        <v/>
      </c>
      <c r="AM234" s="33" t="str">
        <f aca="false">IF(D234="","","OK")</f>
        <v/>
      </c>
      <c r="AN234" s="9"/>
      <c r="AO234" s="9"/>
      <c r="AP234" s="9"/>
      <c r="AQ234" s="10" t="str">
        <f aca="false">IF(AP234="","",IFERROR(VLOOKUP(AP234,Projects!$A$5:$D$504,2,0),"Ref not in Projects"))</f>
        <v/>
      </c>
      <c r="AR234" s="10" t="str">
        <f aca="false">IF(AP234="","",IFERROR(VLOOKUP(AP234,Projects!$A$5:$D$504,4,0),"Ref not in Projects"))</f>
        <v/>
      </c>
      <c r="AS234" s="9"/>
      <c r="AT234" s="9"/>
      <c r="AU234" s="9"/>
      <c r="AV234" s="40"/>
      <c r="AW234" s="9"/>
      <c r="AX234" s="40"/>
      <c r="AY234" s="9"/>
      <c r="AZ234" s="40"/>
      <c r="BA234" s="9"/>
      <c r="BB234" s="9"/>
      <c r="BC234" s="9"/>
      <c r="BD234" s="40"/>
      <c r="BE234" s="40"/>
      <c r="BF234" s="36" t="str">
        <f aca="false">IF(BE234="","",EDATE(BE234,SG_Criteria!$B$54*12))</f>
        <v/>
      </c>
      <c r="BG234" s="33" t="str">
        <f aca="true">IF(A234="","",IF(BE234="","NOTE: not reviewed yet",IF(TODAY()&gt;BF234,"NOTE: review overdue","OK")))</f>
        <v/>
      </c>
      <c r="BH234" s="37" t="str">
        <f aca="false">IF(A234="","",ROUND((IF(LEN(D234)&gt;0,1,0)+IF(LEN(E234)&gt;0,1,0)+IF(LEN(I234)&gt;0,1,0)+IF(LEN(K234)&gt;0,1,0)+IF(LEN(Q234)&gt;0,1,0)+IF(LEN(S234)&gt;0,1,0)+IF(LEN(T234)&gt;0,1,0)+IF(LEN(U234)&gt;0,1,0)+IF(LEN(V234)&gt;0,1,0)+IF(LEN(AE234)&gt;0,1,0)+IF(LEN(AP234)&gt;0,1,0)+IF(LEN(BC234)&gt;0,1,0))/12,2))</f>
        <v/>
      </c>
      <c r="BI234" s="10" t="str">
        <f aca="false">IF(D234="","",IF(AND(T234="Approved",ISERROR(SEARCH("FAIL",AM234))),"Y","N"))</f>
        <v/>
      </c>
    </row>
    <row r="235" customFormat="false" ht="15" hidden="false" customHeight="false" outlineLevel="0" collapsed="false">
      <c r="A235" s="10" t="str">
        <f aca="false">IF(D235="","",IFERROR(VLOOKUP(D235,Lists!$BI$4:$BJ$20,2,0),"??")&amp;"-"&amp;UPPER(SUBSTITUTE(E235," ",""))&amp;IF(F235&lt;&gt;"","-SP"&amp;TEXT(F235*1000,"0"),"")&amp;IF(G235&lt;&gt;"","-H"&amp;TEXT(G235*1000,"0"),"")&amp;"-"&amp;S235)</f>
        <v/>
      </c>
      <c r="B235" s="10" t="str">
        <f aca="false">IF(D235="","",D235&amp;" - "&amp;E235&amp;IF(F235&lt;&gt;"",", span "&amp;F235&amp;" m","")&amp;IF(G235&lt;&gt;"",", H "&amp;G235&amp;" m","")&amp;IF(H235&lt;&gt;"",", W "&amp;H235&amp;" m",""))</f>
        <v/>
      </c>
      <c r="C235" s="9"/>
      <c r="D235" s="9"/>
      <c r="E235" s="9"/>
      <c r="F235" s="42"/>
      <c r="G235" s="42"/>
      <c r="H235" s="42"/>
      <c r="I235" s="9"/>
      <c r="J235" s="9"/>
      <c r="K235" s="9"/>
      <c r="L235" s="9"/>
      <c r="M235" s="9"/>
      <c r="N235" s="38"/>
      <c r="O235" s="9"/>
      <c r="P235" s="39"/>
      <c r="Q235" s="9"/>
      <c r="R235" s="9"/>
      <c r="S235" s="9"/>
      <c r="T235" s="9"/>
      <c r="U235" s="9"/>
      <c r="V235" s="9"/>
      <c r="W235" s="9"/>
      <c r="X235" s="10" t="str">
        <f aca="false">IF(A235="","",SG_Criteria!$B$6&amp;SG_Criteria!$B$13&amp;"\"&amp;A235&amp;"\")</f>
        <v/>
      </c>
      <c r="Y235" s="10" t="str">
        <f aca="false">IF(A235="","",A235&amp;"_CAD.dwg")</f>
        <v/>
      </c>
      <c r="Z235" s="10" t="str">
        <f aca="false">IF(A235="","",A235&amp;"_DWG.pdf")</f>
        <v/>
      </c>
      <c r="AA235" s="10" t="str">
        <f aca="false">IF(A235="","",IF(W235="Y",A235&amp;"_STAAD.std","n/a"))</f>
        <v/>
      </c>
      <c r="AB235" s="10" t="str">
        <f aca="false">IF(A235="","",A235&amp;"_CALC.xlsx")</f>
        <v/>
      </c>
      <c r="AC235" s="10" t="str">
        <f aca="false">IF(A235="","",A235&amp;"_CALC.pdf")</f>
        <v/>
      </c>
      <c r="AD235" s="9"/>
      <c r="AE235" s="9"/>
      <c r="AF235" s="39"/>
      <c r="AG235" s="39"/>
      <c r="AH235" s="39"/>
      <c r="AI235" s="39"/>
      <c r="AJ235" s="39"/>
      <c r="AK235" s="12" t="str">
        <f aca="false">IF(A235="","",IF(COUNTIF(Rebar_Schedule!$A$5:$A$2004,A235)=0,"",ROUND(SUMIF(Rebar_Schedule!$A$5:$A$2004,A235,Rebar_Schedule!$K$5:$K$2004),1)))</f>
        <v/>
      </c>
      <c r="AL235" s="33" t="str">
        <f aca="false">IF(A235="","",IF(AK235="","No rebar schedule yet",IF(ABS(AK235-N(AG235))/MAX(N(AG235),1)&gt;SG_Criteria!$B$55,"NOTE: register rebar differs from schedule by "&amp;TEXT(ABS(AK235-N(AG235))/MAX(N(AG235),1),"0%"),"OK")))</f>
        <v/>
      </c>
      <c r="AM235" s="33" t="str">
        <f aca="false">IF(D235="","","OK")</f>
        <v/>
      </c>
      <c r="AN235" s="9"/>
      <c r="AO235" s="9"/>
      <c r="AP235" s="9"/>
      <c r="AQ235" s="10" t="str">
        <f aca="false">IF(AP235="","",IFERROR(VLOOKUP(AP235,Projects!$A$5:$D$504,2,0),"Ref not in Projects"))</f>
        <v/>
      </c>
      <c r="AR235" s="10" t="str">
        <f aca="false">IF(AP235="","",IFERROR(VLOOKUP(AP235,Projects!$A$5:$D$504,4,0),"Ref not in Projects"))</f>
        <v/>
      </c>
      <c r="AS235" s="9"/>
      <c r="AT235" s="9"/>
      <c r="AU235" s="9"/>
      <c r="AV235" s="40"/>
      <c r="AW235" s="9"/>
      <c r="AX235" s="40"/>
      <c r="AY235" s="9"/>
      <c r="AZ235" s="40"/>
      <c r="BA235" s="9"/>
      <c r="BB235" s="9"/>
      <c r="BC235" s="9"/>
      <c r="BD235" s="40"/>
      <c r="BE235" s="40"/>
      <c r="BF235" s="36" t="str">
        <f aca="false">IF(BE235="","",EDATE(BE235,SG_Criteria!$B$54*12))</f>
        <v/>
      </c>
      <c r="BG235" s="33" t="str">
        <f aca="true">IF(A235="","",IF(BE235="","NOTE: not reviewed yet",IF(TODAY()&gt;BF235,"NOTE: review overdue","OK")))</f>
        <v/>
      </c>
      <c r="BH235" s="37" t="str">
        <f aca="false">IF(A235="","",ROUND((IF(LEN(D235)&gt;0,1,0)+IF(LEN(E235)&gt;0,1,0)+IF(LEN(I235)&gt;0,1,0)+IF(LEN(K235)&gt;0,1,0)+IF(LEN(Q235)&gt;0,1,0)+IF(LEN(S235)&gt;0,1,0)+IF(LEN(T235)&gt;0,1,0)+IF(LEN(U235)&gt;0,1,0)+IF(LEN(V235)&gt;0,1,0)+IF(LEN(AE235)&gt;0,1,0)+IF(LEN(AP235)&gt;0,1,0)+IF(LEN(BC235)&gt;0,1,0))/12,2))</f>
        <v/>
      </c>
      <c r="BI235" s="10" t="str">
        <f aca="false">IF(D235="","",IF(AND(T235="Approved",ISERROR(SEARCH("FAIL",AM235))),"Y","N"))</f>
        <v/>
      </c>
    </row>
    <row r="236" customFormat="false" ht="15" hidden="false" customHeight="false" outlineLevel="0" collapsed="false">
      <c r="A236" s="10" t="str">
        <f aca="false">IF(D236="","",IFERROR(VLOOKUP(D236,Lists!$BI$4:$BJ$20,2,0),"??")&amp;"-"&amp;UPPER(SUBSTITUTE(E236," ",""))&amp;IF(F236&lt;&gt;"","-SP"&amp;TEXT(F236*1000,"0"),"")&amp;IF(G236&lt;&gt;"","-H"&amp;TEXT(G236*1000,"0"),"")&amp;"-"&amp;S236)</f>
        <v/>
      </c>
      <c r="B236" s="10" t="str">
        <f aca="false">IF(D236="","",D236&amp;" - "&amp;E236&amp;IF(F236&lt;&gt;"",", span "&amp;F236&amp;" m","")&amp;IF(G236&lt;&gt;"",", H "&amp;G236&amp;" m","")&amp;IF(H236&lt;&gt;"",", W "&amp;H236&amp;" m",""))</f>
        <v/>
      </c>
      <c r="C236" s="9"/>
      <c r="D236" s="9"/>
      <c r="E236" s="9"/>
      <c r="F236" s="42"/>
      <c r="G236" s="42"/>
      <c r="H236" s="42"/>
      <c r="I236" s="9"/>
      <c r="J236" s="9"/>
      <c r="K236" s="9"/>
      <c r="L236" s="9"/>
      <c r="M236" s="9"/>
      <c r="N236" s="38"/>
      <c r="O236" s="9"/>
      <c r="P236" s="39"/>
      <c r="Q236" s="9"/>
      <c r="R236" s="9"/>
      <c r="S236" s="9"/>
      <c r="T236" s="9"/>
      <c r="U236" s="9"/>
      <c r="V236" s="9"/>
      <c r="W236" s="9"/>
      <c r="X236" s="10" t="str">
        <f aca="false">IF(A236="","",SG_Criteria!$B$6&amp;SG_Criteria!$B$13&amp;"\"&amp;A236&amp;"\")</f>
        <v/>
      </c>
      <c r="Y236" s="10" t="str">
        <f aca="false">IF(A236="","",A236&amp;"_CAD.dwg")</f>
        <v/>
      </c>
      <c r="Z236" s="10" t="str">
        <f aca="false">IF(A236="","",A236&amp;"_DWG.pdf")</f>
        <v/>
      </c>
      <c r="AA236" s="10" t="str">
        <f aca="false">IF(A236="","",IF(W236="Y",A236&amp;"_STAAD.std","n/a"))</f>
        <v/>
      </c>
      <c r="AB236" s="10" t="str">
        <f aca="false">IF(A236="","",A236&amp;"_CALC.xlsx")</f>
        <v/>
      </c>
      <c r="AC236" s="10" t="str">
        <f aca="false">IF(A236="","",A236&amp;"_CALC.pdf")</f>
        <v/>
      </c>
      <c r="AD236" s="9"/>
      <c r="AE236" s="9"/>
      <c r="AF236" s="39"/>
      <c r="AG236" s="39"/>
      <c r="AH236" s="39"/>
      <c r="AI236" s="39"/>
      <c r="AJ236" s="39"/>
      <c r="AK236" s="12" t="str">
        <f aca="false">IF(A236="","",IF(COUNTIF(Rebar_Schedule!$A$5:$A$2004,A236)=0,"",ROUND(SUMIF(Rebar_Schedule!$A$5:$A$2004,A236,Rebar_Schedule!$K$5:$K$2004),1)))</f>
        <v/>
      </c>
      <c r="AL236" s="33" t="str">
        <f aca="false">IF(A236="","",IF(AK236="","No rebar schedule yet",IF(ABS(AK236-N(AG236))/MAX(N(AG236),1)&gt;SG_Criteria!$B$55,"NOTE: register rebar differs from schedule by "&amp;TEXT(ABS(AK236-N(AG236))/MAX(N(AG236),1),"0%"),"OK")))</f>
        <v/>
      </c>
      <c r="AM236" s="33" t="str">
        <f aca="false">IF(D236="","","OK")</f>
        <v/>
      </c>
      <c r="AN236" s="9"/>
      <c r="AO236" s="9"/>
      <c r="AP236" s="9"/>
      <c r="AQ236" s="10" t="str">
        <f aca="false">IF(AP236="","",IFERROR(VLOOKUP(AP236,Projects!$A$5:$D$504,2,0),"Ref not in Projects"))</f>
        <v/>
      </c>
      <c r="AR236" s="10" t="str">
        <f aca="false">IF(AP236="","",IFERROR(VLOOKUP(AP236,Projects!$A$5:$D$504,4,0),"Ref not in Projects"))</f>
        <v/>
      </c>
      <c r="AS236" s="9"/>
      <c r="AT236" s="9"/>
      <c r="AU236" s="9"/>
      <c r="AV236" s="40"/>
      <c r="AW236" s="9"/>
      <c r="AX236" s="40"/>
      <c r="AY236" s="9"/>
      <c r="AZ236" s="40"/>
      <c r="BA236" s="9"/>
      <c r="BB236" s="9"/>
      <c r="BC236" s="9"/>
      <c r="BD236" s="40"/>
      <c r="BE236" s="40"/>
      <c r="BF236" s="36" t="str">
        <f aca="false">IF(BE236="","",EDATE(BE236,SG_Criteria!$B$54*12))</f>
        <v/>
      </c>
      <c r="BG236" s="33" t="str">
        <f aca="true">IF(A236="","",IF(BE236="","NOTE: not reviewed yet",IF(TODAY()&gt;BF236,"NOTE: review overdue","OK")))</f>
        <v/>
      </c>
      <c r="BH236" s="37" t="str">
        <f aca="false">IF(A236="","",ROUND((IF(LEN(D236)&gt;0,1,0)+IF(LEN(E236)&gt;0,1,0)+IF(LEN(I236)&gt;0,1,0)+IF(LEN(K236)&gt;0,1,0)+IF(LEN(Q236)&gt;0,1,0)+IF(LEN(S236)&gt;0,1,0)+IF(LEN(T236)&gt;0,1,0)+IF(LEN(U236)&gt;0,1,0)+IF(LEN(V236)&gt;0,1,0)+IF(LEN(AE236)&gt;0,1,0)+IF(LEN(AP236)&gt;0,1,0)+IF(LEN(BC236)&gt;0,1,0))/12,2))</f>
        <v/>
      </c>
      <c r="BI236" s="10" t="str">
        <f aca="false">IF(D236="","",IF(AND(T236="Approved",ISERROR(SEARCH("FAIL",AM236))),"Y","N"))</f>
        <v/>
      </c>
    </row>
    <row r="237" customFormat="false" ht="15" hidden="false" customHeight="false" outlineLevel="0" collapsed="false">
      <c r="A237" s="10" t="str">
        <f aca="false">IF(D237="","",IFERROR(VLOOKUP(D237,Lists!$BI$4:$BJ$20,2,0),"??")&amp;"-"&amp;UPPER(SUBSTITUTE(E237," ",""))&amp;IF(F237&lt;&gt;"","-SP"&amp;TEXT(F237*1000,"0"),"")&amp;IF(G237&lt;&gt;"","-H"&amp;TEXT(G237*1000,"0"),"")&amp;"-"&amp;S237)</f>
        <v/>
      </c>
      <c r="B237" s="10" t="str">
        <f aca="false">IF(D237="","",D237&amp;" - "&amp;E237&amp;IF(F237&lt;&gt;"",", span "&amp;F237&amp;" m","")&amp;IF(G237&lt;&gt;"",", H "&amp;G237&amp;" m","")&amp;IF(H237&lt;&gt;"",", W "&amp;H237&amp;" m",""))</f>
        <v/>
      </c>
      <c r="C237" s="9"/>
      <c r="D237" s="9"/>
      <c r="E237" s="9"/>
      <c r="F237" s="42"/>
      <c r="G237" s="42"/>
      <c r="H237" s="42"/>
      <c r="I237" s="9"/>
      <c r="J237" s="9"/>
      <c r="K237" s="9"/>
      <c r="L237" s="9"/>
      <c r="M237" s="9"/>
      <c r="N237" s="38"/>
      <c r="O237" s="9"/>
      <c r="P237" s="39"/>
      <c r="Q237" s="9"/>
      <c r="R237" s="9"/>
      <c r="S237" s="9"/>
      <c r="T237" s="9"/>
      <c r="U237" s="9"/>
      <c r="V237" s="9"/>
      <c r="W237" s="9"/>
      <c r="X237" s="10" t="str">
        <f aca="false">IF(A237="","",SG_Criteria!$B$6&amp;SG_Criteria!$B$13&amp;"\"&amp;A237&amp;"\")</f>
        <v/>
      </c>
      <c r="Y237" s="10" t="str">
        <f aca="false">IF(A237="","",A237&amp;"_CAD.dwg")</f>
        <v/>
      </c>
      <c r="Z237" s="10" t="str">
        <f aca="false">IF(A237="","",A237&amp;"_DWG.pdf")</f>
        <v/>
      </c>
      <c r="AA237" s="10" t="str">
        <f aca="false">IF(A237="","",IF(W237="Y",A237&amp;"_STAAD.std","n/a"))</f>
        <v/>
      </c>
      <c r="AB237" s="10" t="str">
        <f aca="false">IF(A237="","",A237&amp;"_CALC.xlsx")</f>
        <v/>
      </c>
      <c r="AC237" s="10" t="str">
        <f aca="false">IF(A237="","",A237&amp;"_CALC.pdf")</f>
        <v/>
      </c>
      <c r="AD237" s="9"/>
      <c r="AE237" s="9"/>
      <c r="AF237" s="39"/>
      <c r="AG237" s="39"/>
      <c r="AH237" s="39"/>
      <c r="AI237" s="39"/>
      <c r="AJ237" s="39"/>
      <c r="AK237" s="12" t="str">
        <f aca="false">IF(A237="","",IF(COUNTIF(Rebar_Schedule!$A$5:$A$2004,A237)=0,"",ROUND(SUMIF(Rebar_Schedule!$A$5:$A$2004,A237,Rebar_Schedule!$K$5:$K$2004),1)))</f>
        <v/>
      </c>
      <c r="AL237" s="33" t="str">
        <f aca="false">IF(A237="","",IF(AK237="","No rebar schedule yet",IF(ABS(AK237-N(AG237))/MAX(N(AG237),1)&gt;SG_Criteria!$B$55,"NOTE: register rebar differs from schedule by "&amp;TEXT(ABS(AK237-N(AG237))/MAX(N(AG237),1),"0%"),"OK")))</f>
        <v/>
      </c>
      <c r="AM237" s="33" t="str">
        <f aca="false">IF(D237="","","OK")</f>
        <v/>
      </c>
      <c r="AN237" s="9"/>
      <c r="AO237" s="9"/>
      <c r="AP237" s="9"/>
      <c r="AQ237" s="10" t="str">
        <f aca="false">IF(AP237="","",IFERROR(VLOOKUP(AP237,Projects!$A$5:$D$504,2,0),"Ref not in Projects"))</f>
        <v/>
      </c>
      <c r="AR237" s="10" t="str">
        <f aca="false">IF(AP237="","",IFERROR(VLOOKUP(AP237,Projects!$A$5:$D$504,4,0),"Ref not in Projects"))</f>
        <v/>
      </c>
      <c r="AS237" s="9"/>
      <c r="AT237" s="9"/>
      <c r="AU237" s="9"/>
      <c r="AV237" s="40"/>
      <c r="AW237" s="9"/>
      <c r="AX237" s="40"/>
      <c r="AY237" s="9"/>
      <c r="AZ237" s="40"/>
      <c r="BA237" s="9"/>
      <c r="BB237" s="9"/>
      <c r="BC237" s="9"/>
      <c r="BD237" s="40"/>
      <c r="BE237" s="40"/>
      <c r="BF237" s="36" t="str">
        <f aca="false">IF(BE237="","",EDATE(BE237,SG_Criteria!$B$54*12))</f>
        <v/>
      </c>
      <c r="BG237" s="33" t="str">
        <f aca="true">IF(A237="","",IF(BE237="","NOTE: not reviewed yet",IF(TODAY()&gt;BF237,"NOTE: review overdue","OK")))</f>
        <v/>
      </c>
      <c r="BH237" s="37" t="str">
        <f aca="false">IF(A237="","",ROUND((IF(LEN(D237)&gt;0,1,0)+IF(LEN(E237)&gt;0,1,0)+IF(LEN(I237)&gt;0,1,0)+IF(LEN(K237)&gt;0,1,0)+IF(LEN(Q237)&gt;0,1,0)+IF(LEN(S237)&gt;0,1,0)+IF(LEN(T237)&gt;0,1,0)+IF(LEN(U237)&gt;0,1,0)+IF(LEN(V237)&gt;0,1,0)+IF(LEN(AE237)&gt;0,1,0)+IF(LEN(AP237)&gt;0,1,0)+IF(LEN(BC237)&gt;0,1,0))/12,2))</f>
        <v/>
      </c>
      <c r="BI237" s="10" t="str">
        <f aca="false">IF(D237="","",IF(AND(T237="Approved",ISERROR(SEARCH("FAIL",AM237))),"Y","N"))</f>
        <v/>
      </c>
    </row>
    <row r="238" customFormat="false" ht="15" hidden="false" customHeight="false" outlineLevel="0" collapsed="false">
      <c r="A238" s="10" t="str">
        <f aca="false">IF(D238="","",IFERROR(VLOOKUP(D238,Lists!$BI$4:$BJ$20,2,0),"??")&amp;"-"&amp;UPPER(SUBSTITUTE(E238," ",""))&amp;IF(F238&lt;&gt;"","-SP"&amp;TEXT(F238*1000,"0"),"")&amp;IF(G238&lt;&gt;"","-H"&amp;TEXT(G238*1000,"0"),"")&amp;"-"&amp;S238)</f>
        <v/>
      </c>
      <c r="B238" s="10" t="str">
        <f aca="false">IF(D238="","",D238&amp;" - "&amp;E238&amp;IF(F238&lt;&gt;"",", span "&amp;F238&amp;" m","")&amp;IF(G238&lt;&gt;"",", H "&amp;G238&amp;" m","")&amp;IF(H238&lt;&gt;"",", W "&amp;H238&amp;" m",""))</f>
        <v/>
      </c>
      <c r="C238" s="9"/>
      <c r="D238" s="9"/>
      <c r="E238" s="9"/>
      <c r="F238" s="42"/>
      <c r="G238" s="42"/>
      <c r="H238" s="42"/>
      <c r="I238" s="9"/>
      <c r="J238" s="9"/>
      <c r="K238" s="9"/>
      <c r="L238" s="9"/>
      <c r="M238" s="9"/>
      <c r="N238" s="38"/>
      <c r="O238" s="9"/>
      <c r="P238" s="39"/>
      <c r="Q238" s="9"/>
      <c r="R238" s="9"/>
      <c r="S238" s="9"/>
      <c r="T238" s="9"/>
      <c r="U238" s="9"/>
      <c r="V238" s="9"/>
      <c r="W238" s="9"/>
      <c r="X238" s="10" t="str">
        <f aca="false">IF(A238="","",SG_Criteria!$B$6&amp;SG_Criteria!$B$13&amp;"\"&amp;A238&amp;"\")</f>
        <v/>
      </c>
      <c r="Y238" s="10" t="str">
        <f aca="false">IF(A238="","",A238&amp;"_CAD.dwg")</f>
        <v/>
      </c>
      <c r="Z238" s="10" t="str">
        <f aca="false">IF(A238="","",A238&amp;"_DWG.pdf")</f>
        <v/>
      </c>
      <c r="AA238" s="10" t="str">
        <f aca="false">IF(A238="","",IF(W238="Y",A238&amp;"_STAAD.std","n/a"))</f>
        <v/>
      </c>
      <c r="AB238" s="10" t="str">
        <f aca="false">IF(A238="","",A238&amp;"_CALC.xlsx")</f>
        <v/>
      </c>
      <c r="AC238" s="10" t="str">
        <f aca="false">IF(A238="","",A238&amp;"_CALC.pdf")</f>
        <v/>
      </c>
      <c r="AD238" s="9"/>
      <c r="AE238" s="9"/>
      <c r="AF238" s="39"/>
      <c r="AG238" s="39"/>
      <c r="AH238" s="39"/>
      <c r="AI238" s="39"/>
      <c r="AJ238" s="39"/>
      <c r="AK238" s="12" t="str">
        <f aca="false">IF(A238="","",IF(COUNTIF(Rebar_Schedule!$A$5:$A$2004,A238)=0,"",ROUND(SUMIF(Rebar_Schedule!$A$5:$A$2004,A238,Rebar_Schedule!$K$5:$K$2004),1)))</f>
        <v/>
      </c>
      <c r="AL238" s="33" t="str">
        <f aca="false">IF(A238="","",IF(AK238="","No rebar schedule yet",IF(ABS(AK238-N(AG238))/MAX(N(AG238),1)&gt;SG_Criteria!$B$55,"NOTE: register rebar differs from schedule by "&amp;TEXT(ABS(AK238-N(AG238))/MAX(N(AG238),1),"0%"),"OK")))</f>
        <v/>
      </c>
      <c r="AM238" s="33" t="str">
        <f aca="false">IF(D238="","","OK")</f>
        <v/>
      </c>
      <c r="AN238" s="9"/>
      <c r="AO238" s="9"/>
      <c r="AP238" s="9"/>
      <c r="AQ238" s="10" t="str">
        <f aca="false">IF(AP238="","",IFERROR(VLOOKUP(AP238,Projects!$A$5:$D$504,2,0),"Ref not in Projects"))</f>
        <v/>
      </c>
      <c r="AR238" s="10" t="str">
        <f aca="false">IF(AP238="","",IFERROR(VLOOKUP(AP238,Projects!$A$5:$D$504,4,0),"Ref not in Projects"))</f>
        <v/>
      </c>
      <c r="AS238" s="9"/>
      <c r="AT238" s="9"/>
      <c r="AU238" s="9"/>
      <c r="AV238" s="40"/>
      <c r="AW238" s="9"/>
      <c r="AX238" s="40"/>
      <c r="AY238" s="9"/>
      <c r="AZ238" s="40"/>
      <c r="BA238" s="9"/>
      <c r="BB238" s="9"/>
      <c r="BC238" s="9"/>
      <c r="BD238" s="40"/>
      <c r="BE238" s="40"/>
      <c r="BF238" s="36" t="str">
        <f aca="false">IF(BE238="","",EDATE(BE238,SG_Criteria!$B$54*12))</f>
        <v/>
      </c>
      <c r="BG238" s="33" t="str">
        <f aca="true">IF(A238="","",IF(BE238="","NOTE: not reviewed yet",IF(TODAY()&gt;BF238,"NOTE: review overdue","OK")))</f>
        <v/>
      </c>
      <c r="BH238" s="37" t="str">
        <f aca="false">IF(A238="","",ROUND((IF(LEN(D238)&gt;0,1,0)+IF(LEN(E238)&gt;0,1,0)+IF(LEN(I238)&gt;0,1,0)+IF(LEN(K238)&gt;0,1,0)+IF(LEN(Q238)&gt;0,1,0)+IF(LEN(S238)&gt;0,1,0)+IF(LEN(T238)&gt;0,1,0)+IF(LEN(U238)&gt;0,1,0)+IF(LEN(V238)&gt;0,1,0)+IF(LEN(AE238)&gt;0,1,0)+IF(LEN(AP238)&gt;0,1,0)+IF(LEN(BC238)&gt;0,1,0))/12,2))</f>
        <v/>
      </c>
      <c r="BI238" s="10" t="str">
        <f aca="false">IF(D238="","",IF(AND(T238="Approved",ISERROR(SEARCH("FAIL",AM238))),"Y","N"))</f>
        <v/>
      </c>
    </row>
    <row r="239" customFormat="false" ht="15" hidden="false" customHeight="false" outlineLevel="0" collapsed="false">
      <c r="A239" s="10" t="str">
        <f aca="false">IF(D239="","",IFERROR(VLOOKUP(D239,Lists!$BI$4:$BJ$20,2,0),"??")&amp;"-"&amp;UPPER(SUBSTITUTE(E239," ",""))&amp;IF(F239&lt;&gt;"","-SP"&amp;TEXT(F239*1000,"0"),"")&amp;IF(G239&lt;&gt;"","-H"&amp;TEXT(G239*1000,"0"),"")&amp;"-"&amp;S239)</f>
        <v/>
      </c>
      <c r="B239" s="10" t="str">
        <f aca="false">IF(D239="","",D239&amp;" - "&amp;E239&amp;IF(F239&lt;&gt;"",", span "&amp;F239&amp;" m","")&amp;IF(G239&lt;&gt;"",", H "&amp;G239&amp;" m","")&amp;IF(H239&lt;&gt;"",", W "&amp;H239&amp;" m",""))</f>
        <v/>
      </c>
      <c r="C239" s="9"/>
      <c r="D239" s="9"/>
      <c r="E239" s="9"/>
      <c r="F239" s="42"/>
      <c r="G239" s="42"/>
      <c r="H239" s="42"/>
      <c r="I239" s="9"/>
      <c r="J239" s="9"/>
      <c r="K239" s="9"/>
      <c r="L239" s="9"/>
      <c r="M239" s="9"/>
      <c r="N239" s="38"/>
      <c r="O239" s="9"/>
      <c r="P239" s="39"/>
      <c r="Q239" s="9"/>
      <c r="R239" s="9"/>
      <c r="S239" s="9"/>
      <c r="T239" s="9"/>
      <c r="U239" s="9"/>
      <c r="V239" s="9"/>
      <c r="W239" s="9"/>
      <c r="X239" s="10" t="str">
        <f aca="false">IF(A239="","",SG_Criteria!$B$6&amp;SG_Criteria!$B$13&amp;"\"&amp;A239&amp;"\")</f>
        <v/>
      </c>
      <c r="Y239" s="10" t="str">
        <f aca="false">IF(A239="","",A239&amp;"_CAD.dwg")</f>
        <v/>
      </c>
      <c r="Z239" s="10" t="str">
        <f aca="false">IF(A239="","",A239&amp;"_DWG.pdf")</f>
        <v/>
      </c>
      <c r="AA239" s="10" t="str">
        <f aca="false">IF(A239="","",IF(W239="Y",A239&amp;"_STAAD.std","n/a"))</f>
        <v/>
      </c>
      <c r="AB239" s="10" t="str">
        <f aca="false">IF(A239="","",A239&amp;"_CALC.xlsx")</f>
        <v/>
      </c>
      <c r="AC239" s="10" t="str">
        <f aca="false">IF(A239="","",A239&amp;"_CALC.pdf")</f>
        <v/>
      </c>
      <c r="AD239" s="9"/>
      <c r="AE239" s="9"/>
      <c r="AF239" s="39"/>
      <c r="AG239" s="39"/>
      <c r="AH239" s="39"/>
      <c r="AI239" s="39"/>
      <c r="AJ239" s="39"/>
      <c r="AK239" s="12" t="str">
        <f aca="false">IF(A239="","",IF(COUNTIF(Rebar_Schedule!$A$5:$A$2004,A239)=0,"",ROUND(SUMIF(Rebar_Schedule!$A$5:$A$2004,A239,Rebar_Schedule!$K$5:$K$2004),1)))</f>
        <v/>
      </c>
      <c r="AL239" s="33" t="str">
        <f aca="false">IF(A239="","",IF(AK239="","No rebar schedule yet",IF(ABS(AK239-N(AG239))/MAX(N(AG239),1)&gt;SG_Criteria!$B$55,"NOTE: register rebar differs from schedule by "&amp;TEXT(ABS(AK239-N(AG239))/MAX(N(AG239),1),"0%"),"OK")))</f>
        <v/>
      </c>
      <c r="AM239" s="33" t="str">
        <f aca="false">IF(D239="","","OK")</f>
        <v/>
      </c>
      <c r="AN239" s="9"/>
      <c r="AO239" s="9"/>
      <c r="AP239" s="9"/>
      <c r="AQ239" s="10" t="str">
        <f aca="false">IF(AP239="","",IFERROR(VLOOKUP(AP239,Projects!$A$5:$D$504,2,0),"Ref not in Projects"))</f>
        <v/>
      </c>
      <c r="AR239" s="10" t="str">
        <f aca="false">IF(AP239="","",IFERROR(VLOOKUP(AP239,Projects!$A$5:$D$504,4,0),"Ref not in Projects"))</f>
        <v/>
      </c>
      <c r="AS239" s="9"/>
      <c r="AT239" s="9"/>
      <c r="AU239" s="9"/>
      <c r="AV239" s="40"/>
      <c r="AW239" s="9"/>
      <c r="AX239" s="40"/>
      <c r="AY239" s="9"/>
      <c r="AZ239" s="40"/>
      <c r="BA239" s="9"/>
      <c r="BB239" s="9"/>
      <c r="BC239" s="9"/>
      <c r="BD239" s="40"/>
      <c r="BE239" s="40"/>
      <c r="BF239" s="36" t="str">
        <f aca="false">IF(BE239="","",EDATE(BE239,SG_Criteria!$B$54*12))</f>
        <v/>
      </c>
      <c r="BG239" s="33" t="str">
        <f aca="true">IF(A239="","",IF(BE239="","NOTE: not reviewed yet",IF(TODAY()&gt;BF239,"NOTE: review overdue","OK")))</f>
        <v/>
      </c>
      <c r="BH239" s="37" t="str">
        <f aca="false">IF(A239="","",ROUND((IF(LEN(D239)&gt;0,1,0)+IF(LEN(E239)&gt;0,1,0)+IF(LEN(I239)&gt;0,1,0)+IF(LEN(K239)&gt;0,1,0)+IF(LEN(Q239)&gt;0,1,0)+IF(LEN(S239)&gt;0,1,0)+IF(LEN(T239)&gt;0,1,0)+IF(LEN(U239)&gt;0,1,0)+IF(LEN(V239)&gt;0,1,0)+IF(LEN(AE239)&gt;0,1,0)+IF(LEN(AP239)&gt;0,1,0)+IF(LEN(BC239)&gt;0,1,0))/12,2))</f>
        <v/>
      </c>
      <c r="BI239" s="10" t="str">
        <f aca="false">IF(D239="","",IF(AND(T239="Approved",ISERROR(SEARCH("FAIL",AM239))),"Y","N"))</f>
        <v/>
      </c>
    </row>
    <row r="240" customFormat="false" ht="15" hidden="false" customHeight="false" outlineLevel="0" collapsed="false">
      <c r="A240" s="10" t="str">
        <f aca="false">IF(D240="","",IFERROR(VLOOKUP(D240,Lists!$BI$4:$BJ$20,2,0),"??")&amp;"-"&amp;UPPER(SUBSTITUTE(E240," ",""))&amp;IF(F240&lt;&gt;"","-SP"&amp;TEXT(F240*1000,"0"),"")&amp;IF(G240&lt;&gt;"","-H"&amp;TEXT(G240*1000,"0"),"")&amp;"-"&amp;S240)</f>
        <v/>
      </c>
      <c r="B240" s="10" t="str">
        <f aca="false">IF(D240="","",D240&amp;" - "&amp;E240&amp;IF(F240&lt;&gt;"",", span "&amp;F240&amp;" m","")&amp;IF(G240&lt;&gt;"",", H "&amp;G240&amp;" m","")&amp;IF(H240&lt;&gt;"",", W "&amp;H240&amp;" m",""))</f>
        <v/>
      </c>
      <c r="C240" s="9"/>
      <c r="D240" s="9"/>
      <c r="E240" s="9"/>
      <c r="F240" s="42"/>
      <c r="G240" s="42"/>
      <c r="H240" s="42"/>
      <c r="I240" s="9"/>
      <c r="J240" s="9"/>
      <c r="K240" s="9"/>
      <c r="L240" s="9"/>
      <c r="M240" s="9"/>
      <c r="N240" s="38"/>
      <c r="O240" s="9"/>
      <c r="P240" s="39"/>
      <c r="Q240" s="9"/>
      <c r="R240" s="9"/>
      <c r="S240" s="9"/>
      <c r="T240" s="9"/>
      <c r="U240" s="9"/>
      <c r="V240" s="9"/>
      <c r="W240" s="9"/>
      <c r="X240" s="10" t="str">
        <f aca="false">IF(A240="","",SG_Criteria!$B$6&amp;SG_Criteria!$B$13&amp;"\"&amp;A240&amp;"\")</f>
        <v/>
      </c>
      <c r="Y240" s="10" t="str">
        <f aca="false">IF(A240="","",A240&amp;"_CAD.dwg")</f>
        <v/>
      </c>
      <c r="Z240" s="10" t="str">
        <f aca="false">IF(A240="","",A240&amp;"_DWG.pdf")</f>
        <v/>
      </c>
      <c r="AA240" s="10" t="str">
        <f aca="false">IF(A240="","",IF(W240="Y",A240&amp;"_STAAD.std","n/a"))</f>
        <v/>
      </c>
      <c r="AB240" s="10" t="str">
        <f aca="false">IF(A240="","",A240&amp;"_CALC.xlsx")</f>
        <v/>
      </c>
      <c r="AC240" s="10" t="str">
        <f aca="false">IF(A240="","",A240&amp;"_CALC.pdf")</f>
        <v/>
      </c>
      <c r="AD240" s="9"/>
      <c r="AE240" s="9"/>
      <c r="AF240" s="39"/>
      <c r="AG240" s="39"/>
      <c r="AH240" s="39"/>
      <c r="AI240" s="39"/>
      <c r="AJ240" s="39"/>
      <c r="AK240" s="12" t="str">
        <f aca="false">IF(A240="","",IF(COUNTIF(Rebar_Schedule!$A$5:$A$2004,A240)=0,"",ROUND(SUMIF(Rebar_Schedule!$A$5:$A$2004,A240,Rebar_Schedule!$K$5:$K$2004),1)))</f>
        <v/>
      </c>
      <c r="AL240" s="33" t="str">
        <f aca="false">IF(A240="","",IF(AK240="","No rebar schedule yet",IF(ABS(AK240-N(AG240))/MAX(N(AG240),1)&gt;SG_Criteria!$B$55,"NOTE: register rebar differs from schedule by "&amp;TEXT(ABS(AK240-N(AG240))/MAX(N(AG240),1),"0%"),"OK")))</f>
        <v/>
      </c>
      <c r="AM240" s="33" t="str">
        <f aca="false">IF(D240="","","OK")</f>
        <v/>
      </c>
      <c r="AN240" s="9"/>
      <c r="AO240" s="9"/>
      <c r="AP240" s="9"/>
      <c r="AQ240" s="10" t="str">
        <f aca="false">IF(AP240="","",IFERROR(VLOOKUP(AP240,Projects!$A$5:$D$504,2,0),"Ref not in Projects"))</f>
        <v/>
      </c>
      <c r="AR240" s="10" t="str">
        <f aca="false">IF(AP240="","",IFERROR(VLOOKUP(AP240,Projects!$A$5:$D$504,4,0),"Ref not in Projects"))</f>
        <v/>
      </c>
      <c r="AS240" s="9"/>
      <c r="AT240" s="9"/>
      <c r="AU240" s="9"/>
      <c r="AV240" s="40"/>
      <c r="AW240" s="9"/>
      <c r="AX240" s="40"/>
      <c r="AY240" s="9"/>
      <c r="AZ240" s="40"/>
      <c r="BA240" s="9"/>
      <c r="BB240" s="9"/>
      <c r="BC240" s="9"/>
      <c r="BD240" s="40"/>
      <c r="BE240" s="40"/>
      <c r="BF240" s="36" t="str">
        <f aca="false">IF(BE240="","",EDATE(BE240,SG_Criteria!$B$54*12))</f>
        <v/>
      </c>
      <c r="BG240" s="33" t="str">
        <f aca="true">IF(A240="","",IF(BE240="","NOTE: not reviewed yet",IF(TODAY()&gt;BF240,"NOTE: review overdue","OK")))</f>
        <v/>
      </c>
      <c r="BH240" s="37" t="str">
        <f aca="false">IF(A240="","",ROUND((IF(LEN(D240)&gt;0,1,0)+IF(LEN(E240)&gt;0,1,0)+IF(LEN(I240)&gt;0,1,0)+IF(LEN(K240)&gt;0,1,0)+IF(LEN(Q240)&gt;0,1,0)+IF(LEN(S240)&gt;0,1,0)+IF(LEN(T240)&gt;0,1,0)+IF(LEN(U240)&gt;0,1,0)+IF(LEN(V240)&gt;0,1,0)+IF(LEN(AE240)&gt;0,1,0)+IF(LEN(AP240)&gt;0,1,0)+IF(LEN(BC240)&gt;0,1,0))/12,2))</f>
        <v/>
      </c>
      <c r="BI240" s="10" t="str">
        <f aca="false">IF(D240="","",IF(AND(T240="Approved",ISERROR(SEARCH("FAIL",AM240))),"Y","N"))</f>
        <v/>
      </c>
    </row>
    <row r="241" customFormat="false" ht="15" hidden="false" customHeight="false" outlineLevel="0" collapsed="false">
      <c r="A241" s="10" t="str">
        <f aca="false">IF(D241="","",IFERROR(VLOOKUP(D241,Lists!$BI$4:$BJ$20,2,0),"??")&amp;"-"&amp;UPPER(SUBSTITUTE(E241," ",""))&amp;IF(F241&lt;&gt;"","-SP"&amp;TEXT(F241*1000,"0"),"")&amp;IF(G241&lt;&gt;"","-H"&amp;TEXT(G241*1000,"0"),"")&amp;"-"&amp;S241)</f>
        <v/>
      </c>
      <c r="B241" s="10" t="str">
        <f aca="false">IF(D241="","",D241&amp;" - "&amp;E241&amp;IF(F241&lt;&gt;"",", span "&amp;F241&amp;" m","")&amp;IF(G241&lt;&gt;"",", H "&amp;G241&amp;" m","")&amp;IF(H241&lt;&gt;"",", W "&amp;H241&amp;" m",""))</f>
        <v/>
      </c>
      <c r="C241" s="9"/>
      <c r="D241" s="9"/>
      <c r="E241" s="9"/>
      <c r="F241" s="42"/>
      <c r="G241" s="42"/>
      <c r="H241" s="42"/>
      <c r="I241" s="9"/>
      <c r="J241" s="9"/>
      <c r="K241" s="9"/>
      <c r="L241" s="9"/>
      <c r="M241" s="9"/>
      <c r="N241" s="38"/>
      <c r="O241" s="9"/>
      <c r="P241" s="39"/>
      <c r="Q241" s="9"/>
      <c r="R241" s="9"/>
      <c r="S241" s="9"/>
      <c r="T241" s="9"/>
      <c r="U241" s="9"/>
      <c r="V241" s="9"/>
      <c r="W241" s="9"/>
      <c r="X241" s="10" t="str">
        <f aca="false">IF(A241="","",SG_Criteria!$B$6&amp;SG_Criteria!$B$13&amp;"\"&amp;A241&amp;"\")</f>
        <v/>
      </c>
      <c r="Y241" s="10" t="str">
        <f aca="false">IF(A241="","",A241&amp;"_CAD.dwg")</f>
        <v/>
      </c>
      <c r="Z241" s="10" t="str">
        <f aca="false">IF(A241="","",A241&amp;"_DWG.pdf")</f>
        <v/>
      </c>
      <c r="AA241" s="10" t="str">
        <f aca="false">IF(A241="","",IF(W241="Y",A241&amp;"_STAAD.std","n/a"))</f>
        <v/>
      </c>
      <c r="AB241" s="10" t="str">
        <f aca="false">IF(A241="","",A241&amp;"_CALC.xlsx")</f>
        <v/>
      </c>
      <c r="AC241" s="10" t="str">
        <f aca="false">IF(A241="","",A241&amp;"_CALC.pdf")</f>
        <v/>
      </c>
      <c r="AD241" s="9"/>
      <c r="AE241" s="9"/>
      <c r="AF241" s="39"/>
      <c r="AG241" s="39"/>
      <c r="AH241" s="39"/>
      <c r="AI241" s="39"/>
      <c r="AJ241" s="39"/>
      <c r="AK241" s="12" t="str">
        <f aca="false">IF(A241="","",IF(COUNTIF(Rebar_Schedule!$A$5:$A$2004,A241)=0,"",ROUND(SUMIF(Rebar_Schedule!$A$5:$A$2004,A241,Rebar_Schedule!$K$5:$K$2004),1)))</f>
        <v/>
      </c>
      <c r="AL241" s="33" t="str">
        <f aca="false">IF(A241="","",IF(AK241="","No rebar schedule yet",IF(ABS(AK241-N(AG241))/MAX(N(AG241),1)&gt;SG_Criteria!$B$55,"NOTE: register rebar differs from schedule by "&amp;TEXT(ABS(AK241-N(AG241))/MAX(N(AG241),1),"0%"),"OK")))</f>
        <v/>
      </c>
      <c r="AM241" s="33" t="str">
        <f aca="false">IF(D241="","","OK")</f>
        <v/>
      </c>
      <c r="AN241" s="9"/>
      <c r="AO241" s="9"/>
      <c r="AP241" s="9"/>
      <c r="AQ241" s="10" t="str">
        <f aca="false">IF(AP241="","",IFERROR(VLOOKUP(AP241,Projects!$A$5:$D$504,2,0),"Ref not in Projects"))</f>
        <v/>
      </c>
      <c r="AR241" s="10" t="str">
        <f aca="false">IF(AP241="","",IFERROR(VLOOKUP(AP241,Projects!$A$5:$D$504,4,0),"Ref not in Projects"))</f>
        <v/>
      </c>
      <c r="AS241" s="9"/>
      <c r="AT241" s="9"/>
      <c r="AU241" s="9"/>
      <c r="AV241" s="40"/>
      <c r="AW241" s="9"/>
      <c r="AX241" s="40"/>
      <c r="AY241" s="9"/>
      <c r="AZ241" s="40"/>
      <c r="BA241" s="9"/>
      <c r="BB241" s="9"/>
      <c r="BC241" s="9"/>
      <c r="BD241" s="40"/>
      <c r="BE241" s="40"/>
      <c r="BF241" s="36" t="str">
        <f aca="false">IF(BE241="","",EDATE(BE241,SG_Criteria!$B$54*12))</f>
        <v/>
      </c>
      <c r="BG241" s="33" t="str">
        <f aca="true">IF(A241="","",IF(BE241="","NOTE: not reviewed yet",IF(TODAY()&gt;BF241,"NOTE: review overdue","OK")))</f>
        <v/>
      </c>
      <c r="BH241" s="37" t="str">
        <f aca="false">IF(A241="","",ROUND((IF(LEN(D241)&gt;0,1,0)+IF(LEN(E241)&gt;0,1,0)+IF(LEN(I241)&gt;0,1,0)+IF(LEN(K241)&gt;0,1,0)+IF(LEN(Q241)&gt;0,1,0)+IF(LEN(S241)&gt;0,1,0)+IF(LEN(T241)&gt;0,1,0)+IF(LEN(U241)&gt;0,1,0)+IF(LEN(V241)&gt;0,1,0)+IF(LEN(AE241)&gt;0,1,0)+IF(LEN(AP241)&gt;0,1,0)+IF(LEN(BC241)&gt;0,1,0))/12,2))</f>
        <v/>
      </c>
      <c r="BI241" s="10" t="str">
        <f aca="false">IF(D241="","",IF(AND(T241="Approved",ISERROR(SEARCH("FAIL",AM241))),"Y","N"))</f>
        <v/>
      </c>
    </row>
    <row r="242" customFormat="false" ht="15" hidden="false" customHeight="false" outlineLevel="0" collapsed="false">
      <c r="A242" s="10" t="str">
        <f aca="false">IF(D242="","",IFERROR(VLOOKUP(D242,Lists!$BI$4:$BJ$20,2,0),"??")&amp;"-"&amp;UPPER(SUBSTITUTE(E242," ",""))&amp;IF(F242&lt;&gt;"","-SP"&amp;TEXT(F242*1000,"0"),"")&amp;IF(G242&lt;&gt;"","-H"&amp;TEXT(G242*1000,"0"),"")&amp;"-"&amp;S242)</f>
        <v/>
      </c>
      <c r="B242" s="10" t="str">
        <f aca="false">IF(D242="","",D242&amp;" - "&amp;E242&amp;IF(F242&lt;&gt;"",", span "&amp;F242&amp;" m","")&amp;IF(G242&lt;&gt;"",", H "&amp;G242&amp;" m","")&amp;IF(H242&lt;&gt;"",", W "&amp;H242&amp;" m",""))</f>
        <v/>
      </c>
      <c r="C242" s="9"/>
      <c r="D242" s="9"/>
      <c r="E242" s="9"/>
      <c r="F242" s="42"/>
      <c r="G242" s="42"/>
      <c r="H242" s="42"/>
      <c r="I242" s="9"/>
      <c r="J242" s="9"/>
      <c r="K242" s="9"/>
      <c r="L242" s="9"/>
      <c r="M242" s="9"/>
      <c r="N242" s="38"/>
      <c r="O242" s="9"/>
      <c r="P242" s="39"/>
      <c r="Q242" s="9"/>
      <c r="R242" s="9"/>
      <c r="S242" s="9"/>
      <c r="T242" s="9"/>
      <c r="U242" s="9"/>
      <c r="V242" s="9"/>
      <c r="W242" s="9"/>
      <c r="X242" s="10" t="str">
        <f aca="false">IF(A242="","",SG_Criteria!$B$6&amp;SG_Criteria!$B$13&amp;"\"&amp;A242&amp;"\")</f>
        <v/>
      </c>
      <c r="Y242" s="10" t="str">
        <f aca="false">IF(A242="","",A242&amp;"_CAD.dwg")</f>
        <v/>
      </c>
      <c r="Z242" s="10" t="str">
        <f aca="false">IF(A242="","",A242&amp;"_DWG.pdf")</f>
        <v/>
      </c>
      <c r="AA242" s="10" t="str">
        <f aca="false">IF(A242="","",IF(W242="Y",A242&amp;"_STAAD.std","n/a"))</f>
        <v/>
      </c>
      <c r="AB242" s="10" t="str">
        <f aca="false">IF(A242="","",A242&amp;"_CALC.xlsx")</f>
        <v/>
      </c>
      <c r="AC242" s="10" t="str">
        <f aca="false">IF(A242="","",A242&amp;"_CALC.pdf")</f>
        <v/>
      </c>
      <c r="AD242" s="9"/>
      <c r="AE242" s="9"/>
      <c r="AF242" s="39"/>
      <c r="AG242" s="39"/>
      <c r="AH242" s="39"/>
      <c r="AI242" s="39"/>
      <c r="AJ242" s="39"/>
      <c r="AK242" s="12" t="str">
        <f aca="false">IF(A242="","",IF(COUNTIF(Rebar_Schedule!$A$5:$A$2004,A242)=0,"",ROUND(SUMIF(Rebar_Schedule!$A$5:$A$2004,A242,Rebar_Schedule!$K$5:$K$2004),1)))</f>
        <v/>
      </c>
      <c r="AL242" s="33" t="str">
        <f aca="false">IF(A242="","",IF(AK242="","No rebar schedule yet",IF(ABS(AK242-N(AG242))/MAX(N(AG242),1)&gt;SG_Criteria!$B$55,"NOTE: register rebar differs from schedule by "&amp;TEXT(ABS(AK242-N(AG242))/MAX(N(AG242),1),"0%"),"OK")))</f>
        <v/>
      </c>
      <c r="AM242" s="33" t="str">
        <f aca="false">IF(D242="","","OK")</f>
        <v/>
      </c>
      <c r="AN242" s="9"/>
      <c r="AO242" s="9"/>
      <c r="AP242" s="9"/>
      <c r="AQ242" s="10" t="str">
        <f aca="false">IF(AP242="","",IFERROR(VLOOKUP(AP242,Projects!$A$5:$D$504,2,0),"Ref not in Projects"))</f>
        <v/>
      </c>
      <c r="AR242" s="10" t="str">
        <f aca="false">IF(AP242="","",IFERROR(VLOOKUP(AP242,Projects!$A$5:$D$504,4,0),"Ref not in Projects"))</f>
        <v/>
      </c>
      <c r="AS242" s="9"/>
      <c r="AT242" s="9"/>
      <c r="AU242" s="9"/>
      <c r="AV242" s="40"/>
      <c r="AW242" s="9"/>
      <c r="AX242" s="40"/>
      <c r="AY242" s="9"/>
      <c r="AZ242" s="40"/>
      <c r="BA242" s="9"/>
      <c r="BB242" s="9"/>
      <c r="BC242" s="9"/>
      <c r="BD242" s="40"/>
      <c r="BE242" s="40"/>
      <c r="BF242" s="36" t="str">
        <f aca="false">IF(BE242="","",EDATE(BE242,SG_Criteria!$B$54*12))</f>
        <v/>
      </c>
      <c r="BG242" s="33" t="str">
        <f aca="true">IF(A242="","",IF(BE242="","NOTE: not reviewed yet",IF(TODAY()&gt;BF242,"NOTE: review overdue","OK")))</f>
        <v/>
      </c>
      <c r="BH242" s="37" t="str">
        <f aca="false">IF(A242="","",ROUND((IF(LEN(D242)&gt;0,1,0)+IF(LEN(E242)&gt;0,1,0)+IF(LEN(I242)&gt;0,1,0)+IF(LEN(K242)&gt;0,1,0)+IF(LEN(Q242)&gt;0,1,0)+IF(LEN(S242)&gt;0,1,0)+IF(LEN(T242)&gt;0,1,0)+IF(LEN(U242)&gt;0,1,0)+IF(LEN(V242)&gt;0,1,0)+IF(LEN(AE242)&gt;0,1,0)+IF(LEN(AP242)&gt;0,1,0)+IF(LEN(BC242)&gt;0,1,0))/12,2))</f>
        <v/>
      </c>
      <c r="BI242" s="10" t="str">
        <f aca="false">IF(D242="","",IF(AND(T242="Approved",ISERROR(SEARCH("FAIL",AM242))),"Y","N"))</f>
        <v/>
      </c>
    </row>
    <row r="243" customFormat="false" ht="15" hidden="false" customHeight="false" outlineLevel="0" collapsed="false">
      <c r="A243" s="10" t="str">
        <f aca="false">IF(D243="","",IFERROR(VLOOKUP(D243,Lists!$BI$4:$BJ$20,2,0),"??")&amp;"-"&amp;UPPER(SUBSTITUTE(E243," ",""))&amp;IF(F243&lt;&gt;"","-SP"&amp;TEXT(F243*1000,"0"),"")&amp;IF(G243&lt;&gt;"","-H"&amp;TEXT(G243*1000,"0"),"")&amp;"-"&amp;S243)</f>
        <v/>
      </c>
      <c r="B243" s="10" t="str">
        <f aca="false">IF(D243="","",D243&amp;" - "&amp;E243&amp;IF(F243&lt;&gt;"",", span "&amp;F243&amp;" m","")&amp;IF(G243&lt;&gt;"",", H "&amp;G243&amp;" m","")&amp;IF(H243&lt;&gt;"",", W "&amp;H243&amp;" m",""))</f>
        <v/>
      </c>
      <c r="C243" s="9"/>
      <c r="D243" s="9"/>
      <c r="E243" s="9"/>
      <c r="F243" s="42"/>
      <c r="G243" s="42"/>
      <c r="H243" s="42"/>
      <c r="I243" s="9"/>
      <c r="J243" s="9"/>
      <c r="K243" s="9"/>
      <c r="L243" s="9"/>
      <c r="M243" s="9"/>
      <c r="N243" s="38"/>
      <c r="O243" s="9"/>
      <c r="P243" s="39"/>
      <c r="Q243" s="9"/>
      <c r="R243" s="9"/>
      <c r="S243" s="9"/>
      <c r="T243" s="9"/>
      <c r="U243" s="9"/>
      <c r="V243" s="9"/>
      <c r="W243" s="9"/>
      <c r="X243" s="10" t="str">
        <f aca="false">IF(A243="","",SG_Criteria!$B$6&amp;SG_Criteria!$B$13&amp;"\"&amp;A243&amp;"\")</f>
        <v/>
      </c>
      <c r="Y243" s="10" t="str">
        <f aca="false">IF(A243="","",A243&amp;"_CAD.dwg")</f>
        <v/>
      </c>
      <c r="Z243" s="10" t="str">
        <f aca="false">IF(A243="","",A243&amp;"_DWG.pdf")</f>
        <v/>
      </c>
      <c r="AA243" s="10" t="str">
        <f aca="false">IF(A243="","",IF(W243="Y",A243&amp;"_STAAD.std","n/a"))</f>
        <v/>
      </c>
      <c r="AB243" s="10" t="str">
        <f aca="false">IF(A243="","",A243&amp;"_CALC.xlsx")</f>
        <v/>
      </c>
      <c r="AC243" s="10" t="str">
        <f aca="false">IF(A243="","",A243&amp;"_CALC.pdf")</f>
        <v/>
      </c>
      <c r="AD243" s="9"/>
      <c r="AE243" s="9"/>
      <c r="AF243" s="39"/>
      <c r="AG243" s="39"/>
      <c r="AH243" s="39"/>
      <c r="AI243" s="39"/>
      <c r="AJ243" s="39"/>
      <c r="AK243" s="12" t="str">
        <f aca="false">IF(A243="","",IF(COUNTIF(Rebar_Schedule!$A$5:$A$2004,A243)=0,"",ROUND(SUMIF(Rebar_Schedule!$A$5:$A$2004,A243,Rebar_Schedule!$K$5:$K$2004),1)))</f>
        <v/>
      </c>
      <c r="AL243" s="33" t="str">
        <f aca="false">IF(A243="","",IF(AK243="","No rebar schedule yet",IF(ABS(AK243-N(AG243))/MAX(N(AG243),1)&gt;SG_Criteria!$B$55,"NOTE: register rebar differs from schedule by "&amp;TEXT(ABS(AK243-N(AG243))/MAX(N(AG243),1),"0%"),"OK")))</f>
        <v/>
      </c>
      <c r="AM243" s="33" t="str">
        <f aca="false">IF(D243="","","OK")</f>
        <v/>
      </c>
      <c r="AN243" s="9"/>
      <c r="AO243" s="9"/>
      <c r="AP243" s="9"/>
      <c r="AQ243" s="10" t="str">
        <f aca="false">IF(AP243="","",IFERROR(VLOOKUP(AP243,Projects!$A$5:$D$504,2,0),"Ref not in Projects"))</f>
        <v/>
      </c>
      <c r="AR243" s="10" t="str">
        <f aca="false">IF(AP243="","",IFERROR(VLOOKUP(AP243,Projects!$A$5:$D$504,4,0),"Ref not in Projects"))</f>
        <v/>
      </c>
      <c r="AS243" s="9"/>
      <c r="AT243" s="9"/>
      <c r="AU243" s="9"/>
      <c r="AV243" s="40"/>
      <c r="AW243" s="9"/>
      <c r="AX243" s="40"/>
      <c r="AY243" s="9"/>
      <c r="AZ243" s="40"/>
      <c r="BA243" s="9"/>
      <c r="BB243" s="9"/>
      <c r="BC243" s="9"/>
      <c r="BD243" s="40"/>
      <c r="BE243" s="40"/>
      <c r="BF243" s="36" t="str">
        <f aca="false">IF(BE243="","",EDATE(BE243,SG_Criteria!$B$54*12))</f>
        <v/>
      </c>
      <c r="BG243" s="33" t="str">
        <f aca="true">IF(A243="","",IF(BE243="","NOTE: not reviewed yet",IF(TODAY()&gt;BF243,"NOTE: review overdue","OK")))</f>
        <v/>
      </c>
      <c r="BH243" s="37" t="str">
        <f aca="false">IF(A243="","",ROUND((IF(LEN(D243)&gt;0,1,0)+IF(LEN(E243)&gt;0,1,0)+IF(LEN(I243)&gt;0,1,0)+IF(LEN(K243)&gt;0,1,0)+IF(LEN(Q243)&gt;0,1,0)+IF(LEN(S243)&gt;0,1,0)+IF(LEN(T243)&gt;0,1,0)+IF(LEN(U243)&gt;0,1,0)+IF(LEN(V243)&gt;0,1,0)+IF(LEN(AE243)&gt;0,1,0)+IF(LEN(AP243)&gt;0,1,0)+IF(LEN(BC243)&gt;0,1,0))/12,2))</f>
        <v/>
      </c>
      <c r="BI243" s="10" t="str">
        <f aca="false">IF(D243="","",IF(AND(T243="Approved",ISERROR(SEARCH("FAIL",AM243))),"Y","N"))</f>
        <v/>
      </c>
    </row>
    <row r="244" customFormat="false" ht="15" hidden="false" customHeight="false" outlineLevel="0" collapsed="false">
      <c r="A244" s="10" t="str">
        <f aca="false">IF(D244="","",IFERROR(VLOOKUP(D244,Lists!$BI$4:$BJ$20,2,0),"??")&amp;"-"&amp;UPPER(SUBSTITUTE(E244," ",""))&amp;IF(F244&lt;&gt;"","-SP"&amp;TEXT(F244*1000,"0"),"")&amp;IF(G244&lt;&gt;"","-H"&amp;TEXT(G244*1000,"0"),"")&amp;"-"&amp;S244)</f>
        <v/>
      </c>
      <c r="B244" s="10" t="str">
        <f aca="false">IF(D244="","",D244&amp;" - "&amp;E244&amp;IF(F244&lt;&gt;"",", span "&amp;F244&amp;" m","")&amp;IF(G244&lt;&gt;"",", H "&amp;G244&amp;" m","")&amp;IF(H244&lt;&gt;"",", W "&amp;H244&amp;" m",""))</f>
        <v/>
      </c>
      <c r="C244" s="9"/>
      <c r="D244" s="9"/>
      <c r="E244" s="9"/>
      <c r="F244" s="42"/>
      <c r="G244" s="42"/>
      <c r="H244" s="42"/>
      <c r="I244" s="9"/>
      <c r="J244" s="9"/>
      <c r="K244" s="9"/>
      <c r="L244" s="9"/>
      <c r="M244" s="9"/>
      <c r="N244" s="38"/>
      <c r="O244" s="9"/>
      <c r="P244" s="39"/>
      <c r="Q244" s="9"/>
      <c r="R244" s="9"/>
      <c r="S244" s="9"/>
      <c r="T244" s="9"/>
      <c r="U244" s="9"/>
      <c r="V244" s="9"/>
      <c r="W244" s="9"/>
      <c r="X244" s="10" t="str">
        <f aca="false">IF(A244="","",SG_Criteria!$B$6&amp;SG_Criteria!$B$13&amp;"\"&amp;A244&amp;"\")</f>
        <v/>
      </c>
      <c r="Y244" s="10" t="str">
        <f aca="false">IF(A244="","",A244&amp;"_CAD.dwg")</f>
        <v/>
      </c>
      <c r="Z244" s="10" t="str">
        <f aca="false">IF(A244="","",A244&amp;"_DWG.pdf")</f>
        <v/>
      </c>
      <c r="AA244" s="10" t="str">
        <f aca="false">IF(A244="","",IF(W244="Y",A244&amp;"_STAAD.std","n/a"))</f>
        <v/>
      </c>
      <c r="AB244" s="10" t="str">
        <f aca="false">IF(A244="","",A244&amp;"_CALC.xlsx")</f>
        <v/>
      </c>
      <c r="AC244" s="10" t="str">
        <f aca="false">IF(A244="","",A244&amp;"_CALC.pdf")</f>
        <v/>
      </c>
      <c r="AD244" s="9"/>
      <c r="AE244" s="9"/>
      <c r="AF244" s="39"/>
      <c r="AG244" s="39"/>
      <c r="AH244" s="39"/>
      <c r="AI244" s="39"/>
      <c r="AJ244" s="39"/>
      <c r="AK244" s="12" t="str">
        <f aca="false">IF(A244="","",IF(COUNTIF(Rebar_Schedule!$A$5:$A$2004,A244)=0,"",ROUND(SUMIF(Rebar_Schedule!$A$5:$A$2004,A244,Rebar_Schedule!$K$5:$K$2004),1)))</f>
        <v/>
      </c>
      <c r="AL244" s="33" t="str">
        <f aca="false">IF(A244="","",IF(AK244="","No rebar schedule yet",IF(ABS(AK244-N(AG244))/MAX(N(AG244),1)&gt;SG_Criteria!$B$55,"NOTE: register rebar differs from schedule by "&amp;TEXT(ABS(AK244-N(AG244))/MAX(N(AG244),1),"0%"),"OK")))</f>
        <v/>
      </c>
      <c r="AM244" s="33" t="str">
        <f aca="false">IF(D244="","","OK")</f>
        <v/>
      </c>
      <c r="AN244" s="9"/>
      <c r="AO244" s="9"/>
      <c r="AP244" s="9"/>
      <c r="AQ244" s="10" t="str">
        <f aca="false">IF(AP244="","",IFERROR(VLOOKUP(AP244,Projects!$A$5:$D$504,2,0),"Ref not in Projects"))</f>
        <v/>
      </c>
      <c r="AR244" s="10" t="str">
        <f aca="false">IF(AP244="","",IFERROR(VLOOKUP(AP244,Projects!$A$5:$D$504,4,0),"Ref not in Projects"))</f>
        <v/>
      </c>
      <c r="AS244" s="9"/>
      <c r="AT244" s="9"/>
      <c r="AU244" s="9"/>
      <c r="AV244" s="40"/>
      <c r="AW244" s="9"/>
      <c r="AX244" s="40"/>
      <c r="AY244" s="9"/>
      <c r="AZ244" s="40"/>
      <c r="BA244" s="9"/>
      <c r="BB244" s="9"/>
      <c r="BC244" s="9"/>
      <c r="BD244" s="40"/>
      <c r="BE244" s="40"/>
      <c r="BF244" s="36" t="str">
        <f aca="false">IF(BE244="","",EDATE(BE244,SG_Criteria!$B$54*12))</f>
        <v/>
      </c>
      <c r="BG244" s="33" t="str">
        <f aca="true">IF(A244="","",IF(BE244="","NOTE: not reviewed yet",IF(TODAY()&gt;BF244,"NOTE: review overdue","OK")))</f>
        <v/>
      </c>
      <c r="BH244" s="37" t="str">
        <f aca="false">IF(A244="","",ROUND((IF(LEN(D244)&gt;0,1,0)+IF(LEN(E244)&gt;0,1,0)+IF(LEN(I244)&gt;0,1,0)+IF(LEN(K244)&gt;0,1,0)+IF(LEN(Q244)&gt;0,1,0)+IF(LEN(S244)&gt;0,1,0)+IF(LEN(T244)&gt;0,1,0)+IF(LEN(U244)&gt;0,1,0)+IF(LEN(V244)&gt;0,1,0)+IF(LEN(AE244)&gt;0,1,0)+IF(LEN(AP244)&gt;0,1,0)+IF(LEN(BC244)&gt;0,1,0))/12,2))</f>
        <v/>
      </c>
      <c r="BI244" s="10" t="str">
        <f aca="false">IF(D244="","",IF(AND(T244="Approved",ISERROR(SEARCH("FAIL",AM244))),"Y","N"))</f>
        <v/>
      </c>
    </row>
    <row r="245" customFormat="false" ht="15" hidden="false" customHeight="false" outlineLevel="0" collapsed="false">
      <c r="A245" s="10" t="str">
        <f aca="false">IF(D245="","",IFERROR(VLOOKUP(D245,Lists!$BI$4:$BJ$20,2,0),"??")&amp;"-"&amp;UPPER(SUBSTITUTE(E245," ",""))&amp;IF(F245&lt;&gt;"","-SP"&amp;TEXT(F245*1000,"0"),"")&amp;IF(G245&lt;&gt;"","-H"&amp;TEXT(G245*1000,"0"),"")&amp;"-"&amp;S245)</f>
        <v/>
      </c>
      <c r="B245" s="10" t="str">
        <f aca="false">IF(D245="","",D245&amp;" - "&amp;E245&amp;IF(F245&lt;&gt;"",", span "&amp;F245&amp;" m","")&amp;IF(G245&lt;&gt;"",", H "&amp;G245&amp;" m","")&amp;IF(H245&lt;&gt;"",", W "&amp;H245&amp;" m",""))</f>
        <v/>
      </c>
      <c r="C245" s="9"/>
      <c r="D245" s="9"/>
      <c r="E245" s="9"/>
      <c r="F245" s="42"/>
      <c r="G245" s="42"/>
      <c r="H245" s="42"/>
      <c r="I245" s="9"/>
      <c r="J245" s="9"/>
      <c r="K245" s="9"/>
      <c r="L245" s="9"/>
      <c r="M245" s="9"/>
      <c r="N245" s="38"/>
      <c r="O245" s="9"/>
      <c r="P245" s="39"/>
      <c r="Q245" s="9"/>
      <c r="R245" s="9"/>
      <c r="S245" s="9"/>
      <c r="T245" s="9"/>
      <c r="U245" s="9"/>
      <c r="V245" s="9"/>
      <c r="W245" s="9"/>
      <c r="X245" s="10" t="str">
        <f aca="false">IF(A245="","",SG_Criteria!$B$6&amp;SG_Criteria!$B$13&amp;"\"&amp;A245&amp;"\")</f>
        <v/>
      </c>
      <c r="Y245" s="10" t="str">
        <f aca="false">IF(A245="","",A245&amp;"_CAD.dwg")</f>
        <v/>
      </c>
      <c r="Z245" s="10" t="str">
        <f aca="false">IF(A245="","",A245&amp;"_DWG.pdf")</f>
        <v/>
      </c>
      <c r="AA245" s="10" t="str">
        <f aca="false">IF(A245="","",IF(W245="Y",A245&amp;"_STAAD.std","n/a"))</f>
        <v/>
      </c>
      <c r="AB245" s="10" t="str">
        <f aca="false">IF(A245="","",A245&amp;"_CALC.xlsx")</f>
        <v/>
      </c>
      <c r="AC245" s="10" t="str">
        <f aca="false">IF(A245="","",A245&amp;"_CALC.pdf")</f>
        <v/>
      </c>
      <c r="AD245" s="9"/>
      <c r="AE245" s="9"/>
      <c r="AF245" s="39"/>
      <c r="AG245" s="39"/>
      <c r="AH245" s="39"/>
      <c r="AI245" s="39"/>
      <c r="AJ245" s="39"/>
      <c r="AK245" s="12" t="str">
        <f aca="false">IF(A245="","",IF(COUNTIF(Rebar_Schedule!$A$5:$A$2004,A245)=0,"",ROUND(SUMIF(Rebar_Schedule!$A$5:$A$2004,A245,Rebar_Schedule!$K$5:$K$2004),1)))</f>
        <v/>
      </c>
      <c r="AL245" s="33" t="str">
        <f aca="false">IF(A245="","",IF(AK245="","No rebar schedule yet",IF(ABS(AK245-N(AG245))/MAX(N(AG245),1)&gt;SG_Criteria!$B$55,"NOTE: register rebar differs from schedule by "&amp;TEXT(ABS(AK245-N(AG245))/MAX(N(AG245),1),"0%"),"OK")))</f>
        <v/>
      </c>
      <c r="AM245" s="33" t="str">
        <f aca="false">IF(D245="","","OK")</f>
        <v/>
      </c>
      <c r="AN245" s="9"/>
      <c r="AO245" s="9"/>
      <c r="AP245" s="9"/>
      <c r="AQ245" s="10" t="str">
        <f aca="false">IF(AP245="","",IFERROR(VLOOKUP(AP245,Projects!$A$5:$D$504,2,0),"Ref not in Projects"))</f>
        <v/>
      </c>
      <c r="AR245" s="10" t="str">
        <f aca="false">IF(AP245="","",IFERROR(VLOOKUP(AP245,Projects!$A$5:$D$504,4,0),"Ref not in Projects"))</f>
        <v/>
      </c>
      <c r="AS245" s="9"/>
      <c r="AT245" s="9"/>
      <c r="AU245" s="9"/>
      <c r="AV245" s="40"/>
      <c r="AW245" s="9"/>
      <c r="AX245" s="40"/>
      <c r="AY245" s="9"/>
      <c r="AZ245" s="40"/>
      <c r="BA245" s="9"/>
      <c r="BB245" s="9"/>
      <c r="BC245" s="9"/>
      <c r="BD245" s="40"/>
      <c r="BE245" s="40"/>
      <c r="BF245" s="36" t="str">
        <f aca="false">IF(BE245="","",EDATE(BE245,SG_Criteria!$B$54*12))</f>
        <v/>
      </c>
      <c r="BG245" s="33" t="str">
        <f aca="true">IF(A245="","",IF(BE245="","NOTE: not reviewed yet",IF(TODAY()&gt;BF245,"NOTE: review overdue","OK")))</f>
        <v/>
      </c>
      <c r="BH245" s="37" t="str">
        <f aca="false">IF(A245="","",ROUND((IF(LEN(D245)&gt;0,1,0)+IF(LEN(E245)&gt;0,1,0)+IF(LEN(I245)&gt;0,1,0)+IF(LEN(K245)&gt;0,1,0)+IF(LEN(Q245)&gt;0,1,0)+IF(LEN(S245)&gt;0,1,0)+IF(LEN(T245)&gt;0,1,0)+IF(LEN(U245)&gt;0,1,0)+IF(LEN(V245)&gt;0,1,0)+IF(LEN(AE245)&gt;0,1,0)+IF(LEN(AP245)&gt;0,1,0)+IF(LEN(BC245)&gt;0,1,0))/12,2))</f>
        <v/>
      </c>
      <c r="BI245" s="10" t="str">
        <f aca="false">IF(D245="","",IF(AND(T245="Approved",ISERROR(SEARCH("FAIL",AM245))),"Y","N"))</f>
        <v/>
      </c>
    </row>
    <row r="246" customFormat="false" ht="15" hidden="false" customHeight="false" outlineLevel="0" collapsed="false">
      <c r="A246" s="10" t="str">
        <f aca="false">IF(D246="","",IFERROR(VLOOKUP(D246,Lists!$BI$4:$BJ$20,2,0),"??")&amp;"-"&amp;UPPER(SUBSTITUTE(E246," ",""))&amp;IF(F246&lt;&gt;"","-SP"&amp;TEXT(F246*1000,"0"),"")&amp;IF(G246&lt;&gt;"","-H"&amp;TEXT(G246*1000,"0"),"")&amp;"-"&amp;S246)</f>
        <v/>
      </c>
      <c r="B246" s="10" t="str">
        <f aca="false">IF(D246="","",D246&amp;" - "&amp;E246&amp;IF(F246&lt;&gt;"",", span "&amp;F246&amp;" m","")&amp;IF(G246&lt;&gt;"",", H "&amp;G246&amp;" m","")&amp;IF(H246&lt;&gt;"",", W "&amp;H246&amp;" m",""))</f>
        <v/>
      </c>
      <c r="C246" s="9"/>
      <c r="D246" s="9"/>
      <c r="E246" s="9"/>
      <c r="F246" s="42"/>
      <c r="G246" s="42"/>
      <c r="H246" s="42"/>
      <c r="I246" s="9"/>
      <c r="J246" s="9"/>
      <c r="K246" s="9"/>
      <c r="L246" s="9"/>
      <c r="M246" s="9"/>
      <c r="N246" s="38"/>
      <c r="O246" s="9"/>
      <c r="P246" s="39"/>
      <c r="Q246" s="9"/>
      <c r="R246" s="9"/>
      <c r="S246" s="9"/>
      <c r="T246" s="9"/>
      <c r="U246" s="9"/>
      <c r="V246" s="9"/>
      <c r="W246" s="9"/>
      <c r="X246" s="10" t="str">
        <f aca="false">IF(A246="","",SG_Criteria!$B$6&amp;SG_Criteria!$B$13&amp;"\"&amp;A246&amp;"\")</f>
        <v/>
      </c>
      <c r="Y246" s="10" t="str">
        <f aca="false">IF(A246="","",A246&amp;"_CAD.dwg")</f>
        <v/>
      </c>
      <c r="Z246" s="10" t="str">
        <f aca="false">IF(A246="","",A246&amp;"_DWG.pdf")</f>
        <v/>
      </c>
      <c r="AA246" s="10" t="str">
        <f aca="false">IF(A246="","",IF(W246="Y",A246&amp;"_STAAD.std","n/a"))</f>
        <v/>
      </c>
      <c r="AB246" s="10" t="str">
        <f aca="false">IF(A246="","",A246&amp;"_CALC.xlsx")</f>
        <v/>
      </c>
      <c r="AC246" s="10" t="str">
        <f aca="false">IF(A246="","",A246&amp;"_CALC.pdf")</f>
        <v/>
      </c>
      <c r="AD246" s="9"/>
      <c r="AE246" s="9"/>
      <c r="AF246" s="39"/>
      <c r="AG246" s="39"/>
      <c r="AH246" s="39"/>
      <c r="AI246" s="39"/>
      <c r="AJ246" s="39"/>
      <c r="AK246" s="12" t="str">
        <f aca="false">IF(A246="","",IF(COUNTIF(Rebar_Schedule!$A$5:$A$2004,A246)=0,"",ROUND(SUMIF(Rebar_Schedule!$A$5:$A$2004,A246,Rebar_Schedule!$K$5:$K$2004),1)))</f>
        <v/>
      </c>
      <c r="AL246" s="33" t="str">
        <f aca="false">IF(A246="","",IF(AK246="","No rebar schedule yet",IF(ABS(AK246-N(AG246))/MAX(N(AG246),1)&gt;SG_Criteria!$B$55,"NOTE: register rebar differs from schedule by "&amp;TEXT(ABS(AK246-N(AG246))/MAX(N(AG246),1),"0%"),"OK")))</f>
        <v/>
      </c>
      <c r="AM246" s="33" t="str">
        <f aca="false">IF(D246="","","OK")</f>
        <v/>
      </c>
      <c r="AN246" s="9"/>
      <c r="AO246" s="9"/>
      <c r="AP246" s="9"/>
      <c r="AQ246" s="10" t="str">
        <f aca="false">IF(AP246="","",IFERROR(VLOOKUP(AP246,Projects!$A$5:$D$504,2,0),"Ref not in Projects"))</f>
        <v/>
      </c>
      <c r="AR246" s="10" t="str">
        <f aca="false">IF(AP246="","",IFERROR(VLOOKUP(AP246,Projects!$A$5:$D$504,4,0),"Ref not in Projects"))</f>
        <v/>
      </c>
      <c r="AS246" s="9"/>
      <c r="AT246" s="9"/>
      <c r="AU246" s="9"/>
      <c r="AV246" s="40"/>
      <c r="AW246" s="9"/>
      <c r="AX246" s="40"/>
      <c r="AY246" s="9"/>
      <c r="AZ246" s="40"/>
      <c r="BA246" s="9"/>
      <c r="BB246" s="9"/>
      <c r="BC246" s="9"/>
      <c r="BD246" s="40"/>
      <c r="BE246" s="40"/>
      <c r="BF246" s="36" t="str">
        <f aca="false">IF(BE246="","",EDATE(BE246,SG_Criteria!$B$54*12))</f>
        <v/>
      </c>
      <c r="BG246" s="33" t="str">
        <f aca="true">IF(A246="","",IF(BE246="","NOTE: not reviewed yet",IF(TODAY()&gt;BF246,"NOTE: review overdue","OK")))</f>
        <v/>
      </c>
      <c r="BH246" s="37" t="str">
        <f aca="false">IF(A246="","",ROUND((IF(LEN(D246)&gt;0,1,0)+IF(LEN(E246)&gt;0,1,0)+IF(LEN(I246)&gt;0,1,0)+IF(LEN(K246)&gt;0,1,0)+IF(LEN(Q246)&gt;0,1,0)+IF(LEN(S246)&gt;0,1,0)+IF(LEN(T246)&gt;0,1,0)+IF(LEN(U246)&gt;0,1,0)+IF(LEN(V246)&gt;0,1,0)+IF(LEN(AE246)&gt;0,1,0)+IF(LEN(AP246)&gt;0,1,0)+IF(LEN(BC246)&gt;0,1,0))/12,2))</f>
        <v/>
      </c>
      <c r="BI246" s="10" t="str">
        <f aca="false">IF(D246="","",IF(AND(T246="Approved",ISERROR(SEARCH("FAIL",AM246))),"Y","N"))</f>
        <v/>
      </c>
    </row>
    <row r="247" customFormat="false" ht="15" hidden="false" customHeight="false" outlineLevel="0" collapsed="false">
      <c r="A247" s="10" t="str">
        <f aca="false">IF(D247="","",IFERROR(VLOOKUP(D247,Lists!$BI$4:$BJ$20,2,0),"??")&amp;"-"&amp;UPPER(SUBSTITUTE(E247," ",""))&amp;IF(F247&lt;&gt;"","-SP"&amp;TEXT(F247*1000,"0"),"")&amp;IF(G247&lt;&gt;"","-H"&amp;TEXT(G247*1000,"0"),"")&amp;"-"&amp;S247)</f>
        <v/>
      </c>
      <c r="B247" s="10" t="str">
        <f aca="false">IF(D247="","",D247&amp;" - "&amp;E247&amp;IF(F247&lt;&gt;"",", span "&amp;F247&amp;" m","")&amp;IF(G247&lt;&gt;"",", H "&amp;G247&amp;" m","")&amp;IF(H247&lt;&gt;"",", W "&amp;H247&amp;" m",""))</f>
        <v/>
      </c>
      <c r="C247" s="9"/>
      <c r="D247" s="9"/>
      <c r="E247" s="9"/>
      <c r="F247" s="42"/>
      <c r="G247" s="42"/>
      <c r="H247" s="42"/>
      <c r="I247" s="9"/>
      <c r="J247" s="9"/>
      <c r="K247" s="9"/>
      <c r="L247" s="9"/>
      <c r="M247" s="9"/>
      <c r="N247" s="38"/>
      <c r="O247" s="9"/>
      <c r="P247" s="39"/>
      <c r="Q247" s="9"/>
      <c r="R247" s="9"/>
      <c r="S247" s="9"/>
      <c r="T247" s="9"/>
      <c r="U247" s="9"/>
      <c r="V247" s="9"/>
      <c r="W247" s="9"/>
      <c r="X247" s="10" t="str">
        <f aca="false">IF(A247="","",SG_Criteria!$B$6&amp;SG_Criteria!$B$13&amp;"\"&amp;A247&amp;"\")</f>
        <v/>
      </c>
      <c r="Y247" s="10" t="str">
        <f aca="false">IF(A247="","",A247&amp;"_CAD.dwg")</f>
        <v/>
      </c>
      <c r="Z247" s="10" t="str">
        <f aca="false">IF(A247="","",A247&amp;"_DWG.pdf")</f>
        <v/>
      </c>
      <c r="AA247" s="10" t="str">
        <f aca="false">IF(A247="","",IF(W247="Y",A247&amp;"_STAAD.std","n/a"))</f>
        <v/>
      </c>
      <c r="AB247" s="10" t="str">
        <f aca="false">IF(A247="","",A247&amp;"_CALC.xlsx")</f>
        <v/>
      </c>
      <c r="AC247" s="10" t="str">
        <f aca="false">IF(A247="","",A247&amp;"_CALC.pdf")</f>
        <v/>
      </c>
      <c r="AD247" s="9"/>
      <c r="AE247" s="9"/>
      <c r="AF247" s="39"/>
      <c r="AG247" s="39"/>
      <c r="AH247" s="39"/>
      <c r="AI247" s="39"/>
      <c r="AJ247" s="39"/>
      <c r="AK247" s="12" t="str">
        <f aca="false">IF(A247="","",IF(COUNTIF(Rebar_Schedule!$A$5:$A$2004,A247)=0,"",ROUND(SUMIF(Rebar_Schedule!$A$5:$A$2004,A247,Rebar_Schedule!$K$5:$K$2004),1)))</f>
        <v/>
      </c>
      <c r="AL247" s="33" t="str">
        <f aca="false">IF(A247="","",IF(AK247="","No rebar schedule yet",IF(ABS(AK247-N(AG247))/MAX(N(AG247),1)&gt;SG_Criteria!$B$55,"NOTE: register rebar differs from schedule by "&amp;TEXT(ABS(AK247-N(AG247))/MAX(N(AG247),1),"0%"),"OK")))</f>
        <v/>
      </c>
      <c r="AM247" s="33" t="str">
        <f aca="false">IF(D247="","","OK")</f>
        <v/>
      </c>
      <c r="AN247" s="9"/>
      <c r="AO247" s="9"/>
      <c r="AP247" s="9"/>
      <c r="AQ247" s="10" t="str">
        <f aca="false">IF(AP247="","",IFERROR(VLOOKUP(AP247,Projects!$A$5:$D$504,2,0),"Ref not in Projects"))</f>
        <v/>
      </c>
      <c r="AR247" s="10" t="str">
        <f aca="false">IF(AP247="","",IFERROR(VLOOKUP(AP247,Projects!$A$5:$D$504,4,0),"Ref not in Projects"))</f>
        <v/>
      </c>
      <c r="AS247" s="9"/>
      <c r="AT247" s="9"/>
      <c r="AU247" s="9"/>
      <c r="AV247" s="40"/>
      <c r="AW247" s="9"/>
      <c r="AX247" s="40"/>
      <c r="AY247" s="9"/>
      <c r="AZ247" s="40"/>
      <c r="BA247" s="9"/>
      <c r="BB247" s="9"/>
      <c r="BC247" s="9"/>
      <c r="BD247" s="40"/>
      <c r="BE247" s="40"/>
      <c r="BF247" s="36" t="str">
        <f aca="false">IF(BE247="","",EDATE(BE247,SG_Criteria!$B$54*12))</f>
        <v/>
      </c>
      <c r="BG247" s="33" t="str">
        <f aca="true">IF(A247="","",IF(BE247="","NOTE: not reviewed yet",IF(TODAY()&gt;BF247,"NOTE: review overdue","OK")))</f>
        <v/>
      </c>
      <c r="BH247" s="37" t="str">
        <f aca="false">IF(A247="","",ROUND((IF(LEN(D247)&gt;0,1,0)+IF(LEN(E247)&gt;0,1,0)+IF(LEN(I247)&gt;0,1,0)+IF(LEN(K247)&gt;0,1,0)+IF(LEN(Q247)&gt;0,1,0)+IF(LEN(S247)&gt;0,1,0)+IF(LEN(T247)&gt;0,1,0)+IF(LEN(U247)&gt;0,1,0)+IF(LEN(V247)&gt;0,1,0)+IF(LEN(AE247)&gt;0,1,0)+IF(LEN(AP247)&gt;0,1,0)+IF(LEN(BC247)&gt;0,1,0))/12,2))</f>
        <v/>
      </c>
      <c r="BI247" s="10" t="str">
        <f aca="false">IF(D247="","",IF(AND(T247="Approved",ISERROR(SEARCH("FAIL",AM247))),"Y","N"))</f>
        <v/>
      </c>
    </row>
    <row r="248" customFormat="false" ht="15" hidden="false" customHeight="false" outlineLevel="0" collapsed="false">
      <c r="A248" s="10" t="str">
        <f aca="false">IF(D248="","",IFERROR(VLOOKUP(D248,Lists!$BI$4:$BJ$20,2,0),"??")&amp;"-"&amp;UPPER(SUBSTITUTE(E248," ",""))&amp;IF(F248&lt;&gt;"","-SP"&amp;TEXT(F248*1000,"0"),"")&amp;IF(G248&lt;&gt;"","-H"&amp;TEXT(G248*1000,"0"),"")&amp;"-"&amp;S248)</f>
        <v/>
      </c>
      <c r="B248" s="10" t="str">
        <f aca="false">IF(D248="","",D248&amp;" - "&amp;E248&amp;IF(F248&lt;&gt;"",", span "&amp;F248&amp;" m","")&amp;IF(G248&lt;&gt;"",", H "&amp;G248&amp;" m","")&amp;IF(H248&lt;&gt;"",", W "&amp;H248&amp;" m",""))</f>
        <v/>
      </c>
      <c r="C248" s="9"/>
      <c r="D248" s="9"/>
      <c r="E248" s="9"/>
      <c r="F248" s="42"/>
      <c r="G248" s="42"/>
      <c r="H248" s="42"/>
      <c r="I248" s="9"/>
      <c r="J248" s="9"/>
      <c r="K248" s="9"/>
      <c r="L248" s="9"/>
      <c r="M248" s="9"/>
      <c r="N248" s="38"/>
      <c r="O248" s="9"/>
      <c r="P248" s="39"/>
      <c r="Q248" s="9"/>
      <c r="R248" s="9"/>
      <c r="S248" s="9"/>
      <c r="T248" s="9"/>
      <c r="U248" s="9"/>
      <c r="V248" s="9"/>
      <c r="W248" s="9"/>
      <c r="X248" s="10" t="str">
        <f aca="false">IF(A248="","",SG_Criteria!$B$6&amp;SG_Criteria!$B$13&amp;"\"&amp;A248&amp;"\")</f>
        <v/>
      </c>
      <c r="Y248" s="10" t="str">
        <f aca="false">IF(A248="","",A248&amp;"_CAD.dwg")</f>
        <v/>
      </c>
      <c r="Z248" s="10" t="str">
        <f aca="false">IF(A248="","",A248&amp;"_DWG.pdf")</f>
        <v/>
      </c>
      <c r="AA248" s="10" t="str">
        <f aca="false">IF(A248="","",IF(W248="Y",A248&amp;"_STAAD.std","n/a"))</f>
        <v/>
      </c>
      <c r="AB248" s="10" t="str">
        <f aca="false">IF(A248="","",A248&amp;"_CALC.xlsx")</f>
        <v/>
      </c>
      <c r="AC248" s="10" t="str">
        <f aca="false">IF(A248="","",A248&amp;"_CALC.pdf")</f>
        <v/>
      </c>
      <c r="AD248" s="9"/>
      <c r="AE248" s="9"/>
      <c r="AF248" s="39"/>
      <c r="AG248" s="39"/>
      <c r="AH248" s="39"/>
      <c r="AI248" s="39"/>
      <c r="AJ248" s="39"/>
      <c r="AK248" s="12" t="str">
        <f aca="false">IF(A248="","",IF(COUNTIF(Rebar_Schedule!$A$5:$A$2004,A248)=0,"",ROUND(SUMIF(Rebar_Schedule!$A$5:$A$2004,A248,Rebar_Schedule!$K$5:$K$2004),1)))</f>
        <v/>
      </c>
      <c r="AL248" s="33" t="str">
        <f aca="false">IF(A248="","",IF(AK248="","No rebar schedule yet",IF(ABS(AK248-N(AG248))/MAX(N(AG248),1)&gt;SG_Criteria!$B$55,"NOTE: register rebar differs from schedule by "&amp;TEXT(ABS(AK248-N(AG248))/MAX(N(AG248),1),"0%"),"OK")))</f>
        <v/>
      </c>
      <c r="AM248" s="33" t="str">
        <f aca="false">IF(D248="","","OK")</f>
        <v/>
      </c>
      <c r="AN248" s="9"/>
      <c r="AO248" s="9"/>
      <c r="AP248" s="9"/>
      <c r="AQ248" s="10" t="str">
        <f aca="false">IF(AP248="","",IFERROR(VLOOKUP(AP248,Projects!$A$5:$D$504,2,0),"Ref not in Projects"))</f>
        <v/>
      </c>
      <c r="AR248" s="10" t="str">
        <f aca="false">IF(AP248="","",IFERROR(VLOOKUP(AP248,Projects!$A$5:$D$504,4,0),"Ref not in Projects"))</f>
        <v/>
      </c>
      <c r="AS248" s="9"/>
      <c r="AT248" s="9"/>
      <c r="AU248" s="9"/>
      <c r="AV248" s="40"/>
      <c r="AW248" s="9"/>
      <c r="AX248" s="40"/>
      <c r="AY248" s="9"/>
      <c r="AZ248" s="40"/>
      <c r="BA248" s="9"/>
      <c r="BB248" s="9"/>
      <c r="BC248" s="9"/>
      <c r="BD248" s="40"/>
      <c r="BE248" s="40"/>
      <c r="BF248" s="36" t="str">
        <f aca="false">IF(BE248="","",EDATE(BE248,SG_Criteria!$B$54*12))</f>
        <v/>
      </c>
      <c r="BG248" s="33" t="str">
        <f aca="true">IF(A248="","",IF(BE248="","NOTE: not reviewed yet",IF(TODAY()&gt;BF248,"NOTE: review overdue","OK")))</f>
        <v/>
      </c>
      <c r="BH248" s="37" t="str">
        <f aca="false">IF(A248="","",ROUND((IF(LEN(D248)&gt;0,1,0)+IF(LEN(E248)&gt;0,1,0)+IF(LEN(I248)&gt;0,1,0)+IF(LEN(K248)&gt;0,1,0)+IF(LEN(Q248)&gt;0,1,0)+IF(LEN(S248)&gt;0,1,0)+IF(LEN(T248)&gt;0,1,0)+IF(LEN(U248)&gt;0,1,0)+IF(LEN(V248)&gt;0,1,0)+IF(LEN(AE248)&gt;0,1,0)+IF(LEN(AP248)&gt;0,1,0)+IF(LEN(BC248)&gt;0,1,0))/12,2))</f>
        <v/>
      </c>
      <c r="BI248" s="10" t="str">
        <f aca="false">IF(D248="","",IF(AND(T248="Approved",ISERROR(SEARCH("FAIL",AM248))),"Y","N"))</f>
        <v/>
      </c>
    </row>
    <row r="249" customFormat="false" ht="15" hidden="false" customHeight="false" outlineLevel="0" collapsed="false">
      <c r="A249" s="10" t="str">
        <f aca="false">IF(D249="","",IFERROR(VLOOKUP(D249,Lists!$BI$4:$BJ$20,2,0),"??")&amp;"-"&amp;UPPER(SUBSTITUTE(E249," ",""))&amp;IF(F249&lt;&gt;"","-SP"&amp;TEXT(F249*1000,"0"),"")&amp;IF(G249&lt;&gt;"","-H"&amp;TEXT(G249*1000,"0"),"")&amp;"-"&amp;S249)</f>
        <v/>
      </c>
      <c r="B249" s="10" t="str">
        <f aca="false">IF(D249="","",D249&amp;" - "&amp;E249&amp;IF(F249&lt;&gt;"",", span "&amp;F249&amp;" m","")&amp;IF(G249&lt;&gt;"",", H "&amp;G249&amp;" m","")&amp;IF(H249&lt;&gt;"",", W "&amp;H249&amp;" m",""))</f>
        <v/>
      </c>
      <c r="C249" s="9"/>
      <c r="D249" s="9"/>
      <c r="E249" s="9"/>
      <c r="F249" s="42"/>
      <c r="G249" s="42"/>
      <c r="H249" s="42"/>
      <c r="I249" s="9"/>
      <c r="J249" s="9"/>
      <c r="K249" s="9"/>
      <c r="L249" s="9"/>
      <c r="M249" s="9"/>
      <c r="N249" s="38"/>
      <c r="O249" s="9"/>
      <c r="P249" s="39"/>
      <c r="Q249" s="9"/>
      <c r="R249" s="9"/>
      <c r="S249" s="9"/>
      <c r="T249" s="9"/>
      <c r="U249" s="9"/>
      <c r="V249" s="9"/>
      <c r="W249" s="9"/>
      <c r="X249" s="10" t="str">
        <f aca="false">IF(A249="","",SG_Criteria!$B$6&amp;SG_Criteria!$B$13&amp;"\"&amp;A249&amp;"\")</f>
        <v/>
      </c>
      <c r="Y249" s="10" t="str">
        <f aca="false">IF(A249="","",A249&amp;"_CAD.dwg")</f>
        <v/>
      </c>
      <c r="Z249" s="10" t="str">
        <f aca="false">IF(A249="","",A249&amp;"_DWG.pdf")</f>
        <v/>
      </c>
      <c r="AA249" s="10" t="str">
        <f aca="false">IF(A249="","",IF(W249="Y",A249&amp;"_STAAD.std","n/a"))</f>
        <v/>
      </c>
      <c r="AB249" s="10" t="str">
        <f aca="false">IF(A249="","",A249&amp;"_CALC.xlsx")</f>
        <v/>
      </c>
      <c r="AC249" s="10" t="str">
        <f aca="false">IF(A249="","",A249&amp;"_CALC.pdf")</f>
        <v/>
      </c>
      <c r="AD249" s="9"/>
      <c r="AE249" s="9"/>
      <c r="AF249" s="39"/>
      <c r="AG249" s="39"/>
      <c r="AH249" s="39"/>
      <c r="AI249" s="39"/>
      <c r="AJ249" s="39"/>
      <c r="AK249" s="12" t="str">
        <f aca="false">IF(A249="","",IF(COUNTIF(Rebar_Schedule!$A$5:$A$2004,A249)=0,"",ROUND(SUMIF(Rebar_Schedule!$A$5:$A$2004,A249,Rebar_Schedule!$K$5:$K$2004),1)))</f>
        <v/>
      </c>
      <c r="AL249" s="33" t="str">
        <f aca="false">IF(A249="","",IF(AK249="","No rebar schedule yet",IF(ABS(AK249-N(AG249))/MAX(N(AG249),1)&gt;SG_Criteria!$B$55,"NOTE: register rebar differs from schedule by "&amp;TEXT(ABS(AK249-N(AG249))/MAX(N(AG249),1),"0%"),"OK")))</f>
        <v/>
      </c>
      <c r="AM249" s="33" t="str">
        <f aca="false">IF(D249="","","OK")</f>
        <v/>
      </c>
      <c r="AN249" s="9"/>
      <c r="AO249" s="9"/>
      <c r="AP249" s="9"/>
      <c r="AQ249" s="10" t="str">
        <f aca="false">IF(AP249="","",IFERROR(VLOOKUP(AP249,Projects!$A$5:$D$504,2,0),"Ref not in Projects"))</f>
        <v/>
      </c>
      <c r="AR249" s="10" t="str">
        <f aca="false">IF(AP249="","",IFERROR(VLOOKUP(AP249,Projects!$A$5:$D$504,4,0),"Ref not in Projects"))</f>
        <v/>
      </c>
      <c r="AS249" s="9"/>
      <c r="AT249" s="9"/>
      <c r="AU249" s="9"/>
      <c r="AV249" s="40"/>
      <c r="AW249" s="9"/>
      <c r="AX249" s="40"/>
      <c r="AY249" s="9"/>
      <c r="AZ249" s="40"/>
      <c r="BA249" s="9"/>
      <c r="BB249" s="9"/>
      <c r="BC249" s="9"/>
      <c r="BD249" s="40"/>
      <c r="BE249" s="40"/>
      <c r="BF249" s="36" t="str">
        <f aca="false">IF(BE249="","",EDATE(BE249,SG_Criteria!$B$54*12))</f>
        <v/>
      </c>
      <c r="BG249" s="33" t="str">
        <f aca="true">IF(A249="","",IF(BE249="","NOTE: not reviewed yet",IF(TODAY()&gt;BF249,"NOTE: review overdue","OK")))</f>
        <v/>
      </c>
      <c r="BH249" s="37" t="str">
        <f aca="false">IF(A249="","",ROUND((IF(LEN(D249)&gt;0,1,0)+IF(LEN(E249)&gt;0,1,0)+IF(LEN(I249)&gt;0,1,0)+IF(LEN(K249)&gt;0,1,0)+IF(LEN(Q249)&gt;0,1,0)+IF(LEN(S249)&gt;0,1,0)+IF(LEN(T249)&gt;0,1,0)+IF(LEN(U249)&gt;0,1,0)+IF(LEN(V249)&gt;0,1,0)+IF(LEN(AE249)&gt;0,1,0)+IF(LEN(AP249)&gt;0,1,0)+IF(LEN(BC249)&gt;0,1,0))/12,2))</f>
        <v/>
      </c>
      <c r="BI249" s="10" t="str">
        <f aca="false">IF(D249="","",IF(AND(T249="Approved",ISERROR(SEARCH("FAIL",AM249))),"Y","N"))</f>
        <v/>
      </c>
    </row>
    <row r="250" customFormat="false" ht="15" hidden="false" customHeight="false" outlineLevel="0" collapsed="false">
      <c r="A250" s="10" t="str">
        <f aca="false">IF(D250="","",IFERROR(VLOOKUP(D250,Lists!$BI$4:$BJ$20,2,0),"??")&amp;"-"&amp;UPPER(SUBSTITUTE(E250," ",""))&amp;IF(F250&lt;&gt;"","-SP"&amp;TEXT(F250*1000,"0"),"")&amp;IF(G250&lt;&gt;"","-H"&amp;TEXT(G250*1000,"0"),"")&amp;"-"&amp;S250)</f>
        <v/>
      </c>
      <c r="B250" s="10" t="str">
        <f aca="false">IF(D250="","",D250&amp;" - "&amp;E250&amp;IF(F250&lt;&gt;"",", span "&amp;F250&amp;" m","")&amp;IF(G250&lt;&gt;"",", H "&amp;G250&amp;" m","")&amp;IF(H250&lt;&gt;"",", W "&amp;H250&amp;" m",""))</f>
        <v/>
      </c>
      <c r="C250" s="9"/>
      <c r="D250" s="9"/>
      <c r="E250" s="9"/>
      <c r="F250" s="42"/>
      <c r="G250" s="42"/>
      <c r="H250" s="42"/>
      <c r="I250" s="9"/>
      <c r="J250" s="9"/>
      <c r="K250" s="9"/>
      <c r="L250" s="9"/>
      <c r="M250" s="9"/>
      <c r="N250" s="38"/>
      <c r="O250" s="9"/>
      <c r="P250" s="39"/>
      <c r="Q250" s="9"/>
      <c r="R250" s="9"/>
      <c r="S250" s="9"/>
      <c r="T250" s="9"/>
      <c r="U250" s="9"/>
      <c r="V250" s="9"/>
      <c r="W250" s="9"/>
      <c r="X250" s="10" t="str">
        <f aca="false">IF(A250="","",SG_Criteria!$B$6&amp;SG_Criteria!$B$13&amp;"\"&amp;A250&amp;"\")</f>
        <v/>
      </c>
      <c r="Y250" s="10" t="str">
        <f aca="false">IF(A250="","",A250&amp;"_CAD.dwg")</f>
        <v/>
      </c>
      <c r="Z250" s="10" t="str">
        <f aca="false">IF(A250="","",A250&amp;"_DWG.pdf")</f>
        <v/>
      </c>
      <c r="AA250" s="10" t="str">
        <f aca="false">IF(A250="","",IF(W250="Y",A250&amp;"_STAAD.std","n/a"))</f>
        <v/>
      </c>
      <c r="AB250" s="10" t="str">
        <f aca="false">IF(A250="","",A250&amp;"_CALC.xlsx")</f>
        <v/>
      </c>
      <c r="AC250" s="10" t="str">
        <f aca="false">IF(A250="","",A250&amp;"_CALC.pdf")</f>
        <v/>
      </c>
      <c r="AD250" s="9"/>
      <c r="AE250" s="9"/>
      <c r="AF250" s="39"/>
      <c r="AG250" s="39"/>
      <c r="AH250" s="39"/>
      <c r="AI250" s="39"/>
      <c r="AJ250" s="39"/>
      <c r="AK250" s="12" t="str">
        <f aca="false">IF(A250="","",IF(COUNTIF(Rebar_Schedule!$A$5:$A$2004,A250)=0,"",ROUND(SUMIF(Rebar_Schedule!$A$5:$A$2004,A250,Rebar_Schedule!$K$5:$K$2004),1)))</f>
        <v/>
      </c>
      <c r="AL250" s="33" t="str">
        <f aca="false">IF(A250="","",IF(AK250="","No rebar schedule yet",IF(ABS(AK250-N(AG250))/MAX(N(AG250),1)&gt;SG_Criteria!$B$55,"NOTE: register rebar differs from schedule by "&amp;TEXT(ABS(AK250-N(AG250))/MAX(N(AG250),1),"0%"),"OK")))</f>
        <v/>
      </c>
      <c r="AM250" s="33" t="str">
        <f aca="false">IF(D250="","","OK")</f>
        <v/>
      </c>
      <c r="AN250" s="9"/>
      <c r="AO250" s="9"/>
      <c r="AP250" s="9"/>
      <c r="AQ250" s="10" t="str">
        <f aca="false">IF(AP250="","",IFERROR(VLOOKUP(AP250,Projects!$A$5:$D$504,2,0),"Ref not in Projects"))</f>
        <v/>
      </c>
      <c r="AR250" s="10" t="str">
        <f aca="false">IF(AP250="","",IFERROR(VLOOKUP(AP250,Projects!$A$5:$D$504,4,0),"Ref not in Projects"))</f>
        <v/>
      </c>
      <c r="AS250" s="9"/>
      <c r="AT250" s="9"/>
      <c r="AU250" s="9"/>
      <c r="AV250" s="40"/>
      <c r="AW250" s="9"/>
      <c r="AX250" s="40"/>
      <c r="AY250" s="9"/>
      <c r="AZ250" s="40"/>
      <c r="BA250" s="9"/>
      <c r="BB250" s="9"/>
      <c r="BC250" s="9"/>
      <c r="BD250" s="40"/>
      <c r="BE250" s="40"/>
      <c r="BF250" s="36" t="str">
        <f aca="false">IF(BE250="","",EDATE(BE250,SG_Criteria!$B$54*12))</f>
        <v/>
      </c>
      <c r="BG250" s="33" t="str">
        <f aca="true">IF(A250="","",IF(BE250="","NOTE: not reviewed yet",IF(TODAY()&gt;BF250,"NOTE: review overdue","OK")))</f>
        <v/>
      </c>
      <c r="BH250" s="37" t="str">
        <f aca="false">IF(A250="","",ROUND((IF(LEN(D250)&gt;0,1,0)+IF(LEN(E250)&gt;0,1,0)+IF(LEN(I250)&gt;0,1,0)+IF(LEN(K250)&gt;0,1,0)+IF(LEN(Q250)&gt;0,1,0)+IF(LEN(S250)&gt;0,1,0)+IF(LEN(T250)&gt;0,1,0)+IF(LEN(U250)&gt;0,1,0)+IF(LEN(V250)&gt;0,1,0)+IF(LEN(AE250)&gt;0,1,0)+IF(LEN(AP250)&gt;0,1,0)+IF(LEN(BC250)&gt;0,1,0))/12,2))</f>
        <v/>
      </c>
      <c r="BI250" s="10" t="str">
        <f aca="false">IF(D250="","",IF(AND(T250="Approved",ISERROR(SEARCH("FAIL",AM250))),"Y","N"))</f>
        <v/>
      </c>
    </row>
    <row r="251" customFormat="false" ht="15" hidden="false" customHeight="false" outlineLevel="0" collapsed="false">
      <c r="A251" s="10" t="str">
        <f aca="false">IF(D251="","",IFERROR(VLOOKUP(D251,Lists!$BI$4:$BJ$20,2,0),"??")&amp;"-"&amp;UPPER(SUBSTITUTE(E251," ",""))&amp;IF(F251&lt;&gt;"","-SP"&amp;TEXT(F251*1000,"0"),"")&amp;IF(G251&lt;&gt;"","-H"&amp;TEXT(G251*1000,"0"),"")&amp;"-"&amp;S251)</f>
        <v/>
      </c>
      <c r="B251" s="10" t="str">
        <f aca="false">IF(D251="","",D251&amp;" - "&amp;E251&amp;IF(F251&lt;&gt;"",", span "&amp;F251&amp;" m","")&amp;IF(G251&lt;&gt;"",", H "&amp;G251&amp;" m","")&amp;IF(H251&lt;&gt;"",", W "&amp;H251&amp;" m",""))</f>
        <v/>
      </c>
      <c r="C251" s="9"/>
      <c r="D251" s="9"/>
      <c r="E251" s="9"/>
      <c r="F251" s="42"/>
      <c r="G251" s="42"/>
      <c r="H251" s="42"/>
      <c r="I251" s="9"/>
      <c r="J251" s="9"/>
      <c r="K251" s="9"/>
      <c r="L251" s="9"/>
      <c r="M251" s="9"/>
      <c r="N251" s="38"/>
      <c r="O251" s="9"/>
      <c r="P251" s="39"/>
      <c r="Q251" s="9"/>
      <c r="R251" s="9"/>
      <c r="S251" s="9"/>
      <c r="T251" s="9"/>
      <c r="U251" s="9"/>
      <c r="V251" s="9"/>
      <c r="W251" s="9"/>
      <c r="X251" s="10" t="str">
        <f aca="false">IF(A251="","",SG_Criteria!$B$6&amp;SG_Criteria!$B$13&amp;"\"&amp;A251&amp;"\")</f>
        <v/>
      </c>
      <c r="Y251" s="10" t="str">
        <f aca="false">IF(A251="","",A251&amp;"_CAD.dwg")</f>
        <v/>
      </c>
      <c r="Z251" s="10" t="str">
        <f aca="false">IF(A251="","",A251&amp;"_DWG.pdf")</f>
        <v/>
      </c>
      <c r="AA251" s="10" t="str">
        <f aca="false">IF(A251="","",IF(W251="Y",A251&amp;"_STAAD.std","n/a"))</f>
        <v/>
      </c>
      <c r="AB251" s="10" t="str">
        <f aca="false">IF(A251="","",A251&amp;"_CALC.xlsx")</f>
        <v/>
      </c>
      <c r="AC251" s="10" t="str">
        <f aca="false">IF(A251="","",A251&amp;"_CALC.pdf")</f>
        <v/>
      </c>
      <c r="AD251" s="9"/>
      <c r="AE251" s="9"/>
      <c r="AF251" s="39"/>
      <c r="AG251" s="39"/>
      <c r="AH251" s="39"/>
      <c r="AI251" s="39"/>
      <c r="AJ251" s="39"/>
      <c r="AK251" s="12" t="str">
        <f aca="false">IF(A251="","",IF(COUNTIF(Rebar_Schedule!$A$5:$A$2004,A251)=0,"",ROUND(SUMIF(Rebar_Schedule!$A$5:$A$2004,A251,Rebar_Schedule!$K$5:$K$2004),1)))</f>
        <v/>
      </c>
      <c r="AL251" s="33" t="str">
        <f aca="false">IF(A251="","",IF(AK251="","No rebar schedule yet",IF(ABS(AK251-N(AG251))/MAX(N(AG251),1)&gt;SG_Criteria!$B$55,"NOTE: register rebar differs from schedule by "&amp;TEXT(ABS(AK251-N(AG251))/MAX(N(AG251),1),"0%"),"OK")))</f>
        <v/>
      </c>
      <c r="AM251" s="33" t="str">
        <f aca="false">IF(D251="","","OK")</f>
        <v/>
      </c>
      <c r="AN251" s="9"/>
      <c r="AO251" s="9"/>
      <c r="AP251" s="9"/>
      <c r="AQ251" s="10" t="str">
        <f aca="false">IF(AP251="","",IFERROR(VLOOKUP(AP251,Projects!$A$5:$D$504,2,0),"Ref not in Projects"))</f>
        <v/>
      </c>
      <c r="AR251" s="10" t="str">
        <f aca="false">IF(AP251="","",IFERROR(VLOOKUP(AP251,Projects!$A$5:$D$504,4,0),"Ref not in Projects"))</f>
        <v/>
      </c>
      <c r="AS251" s="9"/>
      <c r="AT251" s="9"/>
      <c r="AU251" s="9"/>
      <c r="AV251" s="40"/>
      <c r="AW251" s="9"/>
      <c r="AX251" s="40"/>
      <c r="AY251" s="9"/>
      <c r="AZ251" s="40"/>
      <c r="BA251" s="9"/>
      <c r="BB251" s="9"/>
      <c r="BC251" s="9"/>
      <c r="BD251" s="40"/>
      <c r="BE251" s="40"/>
      <c r="BF251" s="36" t="str">
        <f aca="false">IF(BE251="","",EDATE(BE251,SG_Criteria!$B$54*12))</f>
        <v/>
      </c>
      <c r="BG251" s="33" t="str">
        <f aca="true">IF(A251="","",IF(BE251="","NOTE: not reviewed yet",IF(TODAY()&gt;BF251,"NOTE: review overdue","OK")))</f>
        <v/>
      </c>
      <c r="BH251" s="37" t="str">
        <f aca="false">IF(A251="","",ROUND((IF(LEN(D251)&gt;0,1,0)+IF(LEN(E251)&gt;0,1,0)+IF(LEN(I251)&gt;0,1,0)+IF(LEN(K251)&gt;0,1,0)+IF(LEN(Q251)&gt;0,1,0)+IF(LEN(S251)&gt;0,1,0)+IF(LEN(T251)&gt;0,1,0)+IF(LEN(U251)&gt;0,1,0)+IF(LEN(V251)&gt;0,1,0)+IF(LEN(AE251)&gt;0,1,0)+IF(LEN(AP251)&gt;0,1,0)+IF(LEN(BC251)&gt;0,1,0))/12,2))</f>
        <v/>
      </c>
      <c r="BI251" s="10" t="str">
        <f aca="false">IF(D251="","",IF(AND(T251="Approved",ISERROR(SEARCH("FAIL",AM251))),"Y","N"))</f>
        <v/>
      </c>
    </row>
    <row r="252" customFormat="false" ht="15" hidden="false" customHeight="false" outlineLevel="0" collapsed="false">
      <c r="A252" s="10" t="str">
        <f aca="false">IF(D252="","",IFERROR(VLOOKUP(D252,Lists!$BI$4:$BJ$20,2,0),"??")&amp;"-"&amp;UPPER(SUBSTITUTE(E252," ",""))&amp;IF(F252&lt;&gt;"","-SP"&amp;TEXT(F252*1000,"0"),"")&amp;IF(G252&lt;&gt;"","-H"&amp;TEXT(G252*1000,"0"),"")&amp;"-"&amp;S252)</f>
        <v/>
      </c>
      <c r="B252" s="10" t="str">
        <f aca="false">IF(D252="","",D252&amp;" - "&amp;E252&amp;IF(F252&lt;&gt;"",", span "&amp;F252&amp;" m","")&amp;IF(G252&lt;&gt;"",", H "&amp;G252&amp;" m","")&amp;IF(H252&lt;&gt;"",", W "&amp;H252&amp;" m",""))</f>
        <v/>
      </c>
      <c r="C252" s="9"/>
      <c r="D252" s="9"/>
      <c r="E252" s="9"/>
      <c r="F252" s="42"/>
      <c r="G252" s="42"/>
      <c r="H252" s="42"/>
      <c r="I252" s="9"/>
      <c r="J252" s="9"/>
      <c r="K252" s="9"/>
      <c r="L252" s="9"/>
      <c r="M252" s="9"/>
      <c r="N252" s="38"/>
      <c r="O252" s="9"/>
      <c r="P252" s="39"/>
      <c r="Q252" s="9"/>
      <c r="R252" s="9"/>
      <c r="S252" s="9"/>
      <c r="T252" s="9"/>
      <c r="U252" s="9"/>
      <c r="V252" s="9"/>
      <c r="W252" s="9"/>
      <c r="X252" s="10" t="str">
        <f aca="false">IF(A252="","",SG_Criteria!$B$6&amp;SG_Criteria!$B$13&amp;"\"&amp;A252&amp;"\")</f>
        <v/>
      </c>
      <c r="Y252" s="10" t="str">
        <f aca="false">IF(A252="","",A252&amp;"_CAD.dwg")</f>
        <v/>
      </c>
      <c r="Z252" s="10" t="str">
        <f aca="false">IF(A252="","",A252&amp;"_DWG.pdf")</f>
        <v/>
      </c>
      <c r="AA252" s="10" t="str">
        <f aca="false">IF(A252="","",IF(W252="Y",A252&amp;"_STAAD.std","n/a"))</f>
        <v/>
      </c>
      <c r="AB252" s="10" t="str">
        <f aca="false">IF(A252="","",A252&amp;"_CALC.xlsx")</f>
        <v/>
      </c>
      <c r="AC252" s="10" t="str">
        <f aca="false">IF(A252="","",A252&amp;"_CALC.pdf")</f>
        <v/>
      </c>
      <c r="AD252" s="9"/>
      <c r="AE252" s="9"/>
      <c r="AF252" s="39"/>
      <c r="AG252" s="39"/>
      <c r="AH252" s="39"/>
      <c r="AI252" s="39"/>
      <c r="AJ252" s="39"/>
      <c r="AK252" s="12" t="str">
        <f aca="false">IF(A252="","",IF(COUNTIF(Rebar_Schedule!$A$5:$A$2004,A252)=0,"",ROUND(SUMIF(Rebar_Schedule!$A$5:$A$2004,A252,Rebar_Schedule!$K$5:$K$2004),1)))</f>
        <v/>
      </c>
      <c r="AL252" s="33" t="str">
        <f aca="false">IF(A252="","",IF(AK252="","No rebar schedule yet",IF(ABS(AK252-N(AG252))/MAX(N(AG252),1)&gt;SG_Criteria!$B$55,"NOTE: register rebar differs from schedule by "&amp;TEXT(ABS(AK252-N(AG252))/MAX(N(AG252),1),"0%"),"OK")))</f>
        <v/>
      </c>
      <c r="AM252" s="33" t="str">
        <f aca="false">IF(D252="","","OK")</f>
        <v/>
      </c>
      <c r="AN252" s="9"/>
      <c r="AO252" s="9"/>
      <c r="AP252" s="9"/>
      <c r="AQ252" s="10" t="str">
        <f aca="false">IF(AP252="","",IFERROR(VLOOKUP(AP252,Projects!$A$5:$D$504,2,0),"Ref not in Projects"))</f>
        <v/>
      </c>
      <c r="AR252" s="10" t="str">
        <f aca="false">IF(AP252="","",IFERROR(VLOOKUP(AP252,Projects!$A$5:$D$504,4,0),"Ref not in Projects"))</f>
        <v/>
      </c>
      <c r="AS252" s="9"/>
      <c r="AT252" s="9"/>
      <c r="AU252" s="9"/>
      <c r="AV252" s="40"/>
      <c r="AW252" s="9"/>
      <c r="AX252" s="40"/>
      <c r="AY252" s="9"/>
      <c r="AZ252" s="40"/>
      <c r="BA252" s="9"/>
      <c r="BB252" s="9"/>
      <c r="BC252" s="9"/>
      <c r="BD252" s="40"/>
      <c r="BE252" s="40"/>
      <c r="BF252" s="36" t="str">
        <f aca="false">IF(BE252="","",EDATE(BE252,SG_Criteria!$B$54*12))</f>
        <v/>
      </c>
      <c r="BG252" s="33" t="str">
        <f aca="true">IF(A252="","",IF(BE252="","NOTE: not reviewed yet",IF(TODAY()&gt;BF252,"NOTE: review overdue","OK")))</f>
        <v/>
      </c>
      <c r="BH252" s="37" t="str">
        <f aca="false">IF(A252="","",ROUND((IF(LEN(D252)&gt;0,1,0)+IF(LEN(E252)&gt;0,1,0)+IF(LEN(I252)&gt;0,1,0)+IF(LEN(K252)&gt;0,1,0)+IF(LEN(Q252)&gt;0,1,0)+IF(LEN(S252)&gt;0,1,0)+IF(LEN(T252)&gt;0,1,0)+IF(LEN(U252)&gt;0,1,0)+IF(LEN(V252)&gt;0,1,0)+IF(LEN(AE252)&gt;0,1,0)+IF(LEN(AP252)&gt;0,1,0)+IF(LEN(BC252)&gt;0,1,0))/12,2))</f>
        <v/>
      </c>
      <c r="BI252" s="10" t="str">
        <f aca="false">IF(D252="","",IF(AND(T252="Approved",ISERROR(SEARCH("FAIL",AM252))),"Y","N"))</f>
        <v/>
      </c>
    </row>
    <row r="253" customFormat="false" ht="15" hidden="false" customHeight="false" outlineLevel="0" collapsed="false">
      <c r="A253" s="10" t="str">
        <f aca="false">IF(D253="","",IFERROR(VLOOKUP(D253,Lists!$BI$4:$BJ$20,2,0),"??")&amp;"-"&amp;UPPER(SUBSTITUTE(E253," ",""))&amp;IF(F253&lt;&gt;"","-SP"&amp;TEXT(F253*1000,"0"),"")&amp;IF(G253&lt;&gt;"","-H"&amp;TEXT(G253*1000,"0"),"")&amp;"-"&amp;S253)</f>
        <v/>
      </c>
      <c r="B253" s="10" t="str">
        <f aca="false">IF(D253="","",D253&amp;" - "&amp;E253&amp;IF(F253&lt;&gt;"",", span "&amp;F253&amp;" m","")&amp;IF(G253&lt;&gt;"",", H "&amp;G253&amp;" m","")&amp;IF(H253&lt;&gt;"",", W "&amp;H253&amp;" m",""))</f>
        <v/>
      </c>
      <c r="C253" s="9"/>
      <c r="D253" s="9"/>
      <c r="E253" s="9"/>
      <c r="F253" s="42"/>
      <c r="G253" s="42"/>
      <c r="H253" s="42"/>
      <c r="I253" s="9"/>
      <c r="J253" s="9"/>
      <c r="K253" s="9"/>
      <c r="L253" s="9"/>
      <c r="M253" s="9"/>
      <c r="N253" s="38"/>
      <c r="O253" s="9"/>
      <c r="P253" s="39"/>
      <c r="Q253" s="9"/>
      <c r="R253" s="9"/>
      <c r="S253" s="9"/>
      <c r="T253" s="9"/>
      <c r="U253" s="9"/>
      <c r="V253" s="9"/>
      <c r="W253" s="9"/>
      <c r="X253" s="10" t="str">
        <f aca="false">IF(A253="","",SG_Criteria!$B$6&amp;SG_Criteria!$B$13&amp;"\"&amp;A253&amp;"\")</f>
        <v/>
      </c>
      <c r="Y253" s="10" t="str">
        <f aca="false">IF(A253="","",A253&amp;"_CAD.dwg")</f>
        <v/>
      </c>
      <c r="Z253" s="10" t="str">
        <f aca="false">IF(A253="","",A253&amp;"_DWG.pdf")</f>
        <v/>
      </c>
      <c r="AA253" s="10" t="str">
        <f aca="false">IF(A253="","",IF(W253="Y",A253&amp;"_STAAD.std","n/a"))</f>
        <v/>
      </c>
      <c r="AB253" s="10" t="str">
        <f aca="false">IF(A253="","",A253&amp;"_CALC.xlsx")</f>
        <v/>
      </c>
      <c r="AC253" s="10" t="str">
        <f aca="false">IF(A253="","",A253&amp;"_CALC.pdf")</f>
        <v/>
      </c>
      <c r="AD253" s="9"/>
      <c r="AE253" s="9"/>
      <c r="AF253" s="39"/>
      <c r="AG253" s="39"/>
      <c r="AH253" s="39"/>
      <c r="AI253" s="39"/>
      <c r="AJ253" s="39"/>
      <c r="AK253" s="12" t="str">
        <f aca="false">IF(A253="","",IF(COUNTIF(Rebar_Schedule!$A$5:$A$2004,A253)=0,"",ROUND(SUMIF(Rebar_Schedule!$A$5:$A$2004,A253,Rebar_Schedule!$K$5:$K$2004),1)))</f>
        <v/>
      </c>
      <c r="AL253" s="33" t="str">
        <f aca="false">IF(A253="","",IF(AK253="","No rebar schedule yet",IF(ABS(AK253-N(AG253))/MAX(N(AG253),1)&gt;SG_Criteria!$B$55,"NOTE: register rebar differs from schedule by "&amp;TEXT(ABS(AK253-N(AG253))/MAX(N(AG253),1),"0%"),"OK")))</f>
        <v/>
      </c>
      <c r="AM253" s="33" t="str">
        <f aca="false">IF(D253="","","OK")</f>
        <v/>
      </c>
      <c r="AN253" s="9"/>
      <c r="AO253" s="9"/>
      <c r="AP253" s="9"/>
      <c r="AQ253" s="10" t="str">
        <f aca="false">IF(AP253="","",IFERROR(VLOOKUP(AP253,Projects!$A$5:$D$504,2,0),"Ref not in Projects"))</f>
        <v/>
      </c>
      <c r="AR253" s="10" t="str">
        <f aca="false">IF(AP253="","",IFERROR(VLOOKUP(AP253,Projects!$A$5:$D$504,4,0),"Ref not in Projects"))</f>
        <v/>
      </c>
      <c r="AS253" s="9"/>
      <c r="AT253" s="9"/>
      <c r="AU253" s="9"/>
      <c r="AV253" s="40"/>
      <c r="AW253" s="9"/>
      <c r="AX253" s="40"/>
      <c r="AY253" s="9"/>
      <c r="AZ253" s="40"/>
      <c r="BA253" s="9"/>
      <c r="BB253" s="9"/>
      <c r="BC253" s="9"/>
      <c r="BD253" s="40"/>
      <c r="BE253" s="40"/>
      <c r="BF253" s="36" t="str">
        <f aca="false">IF(BE253="","",EDATE(BE253,SG_Criteria!$B$54*12))</f>
        <v/>
      </c>
      <c r="BG253" s="33" t="str">
        <f aca="true">IF(A253="","",IF(BE253="","NOTE: not reviewed yet",IF(TODAY()&gt;BF253,"NOTE: review overdue","OK")))</f>
        <v/>
      </c>
      <c r="BH253" s="37" t="str">
        <f aca="false">IF(A253="","",ROUND((IF(LEN(D253)&gt;0,1,0)+IF(LEN(E253)&gt;0,1,0)+IF(LEN(I253)&gt;0,1,0)+IF(LEN(K253)&gt;0,1,0)+IF(LEN(Q253)&gt;0,1,0)+IF(LEN(S253)&gt;0,1,0)+IF(LEN(T253)&gt;0,1,0)+IF(LEN(U253)&gt;0,1,0)+IF(LEN(V253)&gt;0,1,0)+IF(LEN(AE253)&gt;0,1,0)+IF(LEN(AP253)&gt;0,1,0)+IF(LEN(BC253)&gt;0,1,0))/12,2))</f>
        <v/>
      </c>
      <c r="BI253" s="10" t="str">
        <f aca="false">IF(D253="","",IF(AND(T253="Approved",ISERROR(SEARCH("FAIL",AM253))),"Y","N"))</f>
        <v/>
      </c>
    </row>
    <row r="254" customFormat="false" ht="15" hidden="false" customHeight="false" outlineLevel="0" collapsed="false">
      <c r="A254" s="10" t="str">
        <f aca="false">IF(D254="","",IFERROR(VLOOKUP(D254,Lists!$BI$4:$BJ$20,2,0),"??")&amp;"-"&amp;UPPER(SUBSTITUTE(E254," ",""))&amp;IF(F254&lt;&gt;"","-SP"&amp;TEXT(F254*1000,"0"),"")&amp;IF(G254&lt;&gt;"","-H"&amp;TEXT(G254*1000,"0"),"")&amp;"-"&amp;S254)</f>
        <v/>
      </c>
      <c r="B254" s="10" t="str">
        <f aca="false">IF(D254="","",D254&amp;" - "&amp;E254&amp;IF(F254&lt;&gt;"",", span "&amp;F254&amp;" m","")&amp;IF(G254&lt;&gt;"",", H "&amp;G254&amp;" m","")&amp;IF(H254&lt;&gt;"",", W "&amp;H254&amp;" m",""))</f>
        <v/>
      </c>
      <c r="C254" s="9"/>
      <c r="D254" s="9"/>
      <c r="E254" s="9"/>
      <c r="F254" s="42"/>
      <c r="G254" s="42"/>
      <c r="H254" s="42"/>
      <c r="I254" s="9"/>
      <c r="J254" s="9"/>
      <c r="K254" s="9"/>
      <c r="L254" s="9"/>
      <c r="M254" s="9"/>
      <c r="N254" s="38"/>
      <c r="O254" s="9"/>
      <c r="P254" s="39"/>
      <c r="Q254" s="9"/>
      <c r="R254" s="9"/>
      <c r="S254" s="9"/>
      <c r="T254" s="9"/>
      <c r="U254" s="9"/>
      <c r="V254" s="9"/>
      <c r="W254" s="9"/>
      <c r="X254" s="10" t="str">
        <f aca="false">IF(A254="","",SG_Criteria!$B$6&amp;SG_Criteria!$B$13&amp;"\"&amp;A254&amp;"\")</f>
        <v/>
      </c>
      <c r="Y254" s="10" t="str">
        <f aca="false">IF(A254="","",A254&amp;"_CAD.dwg")</f>
        <v/>
      </c>
      <c r="Z254" s="10" t="str">
        <f aca="false">IF(A254="","",A254&amp;"_DWG.pdf")</f>
        <v/>
      </c>
      <c r="AA254" s="10" t="str">
        <f aca="false">IF(A254="","",IF(W254="Y",A254&amp;"_STAAD.std","n/a"))</f>
        <v/>
      </c>
      <c r="AB254" s="10" t="str">
        <f aca="false">IF(A254="","",A254&amp;"_CALC.xlsx")</f>
        <v/>
      </c>
      <c r="AC254" s="10" t="str">
        <f aca="false">IF(A254="","",A254&amp;"_CALC.pdf")</f>
        <v/>
      </c>
      <c r="AD254" s="9"/>
      <c r="AE254" s="9"/>
      <c r="AF254" s="39"/>
      <c r="AG254" s="39"/>
      <c r="AH254" s="39"/>
      <c r="AI254" s="39"/>
      <c r="AJ254" s="39"/>
      <c r="AK254" s="12" t="str">
        <f aca="false">IF(A254="","",IF(COUNTIF(Rebar_Schedule!$A$5:$A$2004,A254)=0,"",ROUND(SUMIF(Rebar_Schedule!$A$5:$A$2004,A254,Rebar_Schedule!$K$5:$K$2004),1)))</f>
        <v/>
      </c>
      <c r="AL254" s="33" t="str">
        <f aca="false">IF(A254="","",IF(AK254="","No rebar schedule yet",IF(ABS(AK254-N(AG254))/MAX(N(AG254),1)&gt;SG_Criteria!$B$55,"NOTE: register rebar differs from schedule by "&amp;TEXT(ABS(AK254-N(AG254))/MAX(N(AG254),1),"0%"),"OK")))</f>
        <v/>
      </c>
      <c r="AM254" s="33" t="str">
        <f aca="false">IF(D254="","","OK")</f>
        <v/>
      </c>
      <c r="AN254" s="9"/>
      <c r="AO254" s="9"/>
      <c r="AP254" s="9"/>
      <c r="AQ254" s="10" t="str">
        <f aca="false">IF(AP254="","",IFERROR(VLOOKUP(AP254,Projects!$A$5:$D$504,2,0),"Ref not in Projects"))</f>
        <v/>
      </c>
      <c r="AR254" s="10" t="str">
        <f aca="false">IF(AP254="","",IFERROR(VLOOKUP(AP254,Projects!$A$5:$D$504,4,0),"Ref not in Projects"))</f>
        <v/>
      </c>
      <c r="AS254" s="9"/>
      <c r="AT254" s="9"/>
      <c r="AU254" s="9"/>
      <c r="AV254" s="40"/>
      <c r="AW254" s="9"/>
      <c r="AX254" s="40"/>
      <c r="AY254" s="9"/>
      <c r="AZ254" s="40"/>
      <c r="BA254" s="9"/>
      <c r="BB254" s="9"/>
      <c r="BC254" s="9"/>
      <c r="BD254" s="40"/>
      <c r="BE254" s="40"/>
      <c r="BF254" s="36" t="str">
        <f aca="false">IF(BE254="","",EDATE(BE254,SG_Criteria!$B$54*12))</f>
        <v/>
      </c>
      <c r="BG254" s="33" t="str">
        <f aca="true">IF(A254="","",IF(BE254="","NOTE: not reviewed yet",IF(TODAY()&gt;BF254,"NOTE: review overdue","OK")))</f>
        <v/>
      </c>
      <c r="BH254" s="37" t="str">
        <f aca="false">IF(A254="","",ROUND((IF(LEN(D254)&gt;0,1,0)+IF(LEN(E254)&gt;0,1,0)+IF(LEN(I254)&gt;0,1,0)+IF(LEN(K254)&gt;0,1,0)+IF(LEN(Q254)&gt;0,1,0)+IF(LEN(S254)&gt;0,1,0)+IF(LEN(T254)&gt;0,1,0)+IF(LEN(U254)&gt;0,1,0)+IF(LEN(V254)&gt;0,1,0)+IF(LEN(AE254)&gt;0,1,0)+IF(LEN(AP254)&gt;0,1,0)+IF(LEN(BC254)&gt;0,1,0))/12,2))</f>
        <v/>
      </c>
      <c r="BI254" s="10" t="str">
        <f aca="false">IF(D254="","",IF(AND(T254="Approved",ISERROR(SEARCH("FAIL",AM254))),"Y","N"))</f>
        <v/>
      </c>
    </row>
    <row r="255" customFormat="false" ht="15" hidden="false" customHeight="false" outlineLevel="0" collapsed="false">
      <c r="A255" s="10" t="str">
        <f aca="false">IF(D255="","",IFERROR(VLOOKUP(D255,Lists!$BI$4:$BJ$20,2,0),"??")&amp;"-"&amp;UPPER(SUBSTITUTE(E255," ",""))&amp;IF(F255&lt;&gt;"","-SP"&amp;TEXT(F255*1000,"0"),"")&amp;IF(G255&lt;&gt;"","-H"&amp;TEXT(G255*1000,"0"),"")&amp;"-"&amp;S255)</f>
        <v/>
      </c>
      <c r="B255" s="10" t="str">
        <f aca="false">IF(D255="","",D255&amp;" - "&amp;E255&amp;IF(F255&lt;&gt;"",", span "&amp;F255&amp;" m","")&amp;IF(G255&lt;&gt;"",", H "&amp;G255&amp;" m","")&amp;IF(H255&lt;&gt;"",", W "&amp;H255&amp;" m",""))</f>
        <v/>
      </c>
      <c r="C255" s="9"/>
      <c r="D255" s="9"/>
      <c r="E255" s="9"/>
      <c r="F255" s="42"/>
      <c r="G255" s="42"/>
      <c r="H255" s="42"/>
      <c r="I255" s="9"/>
      <c r="J255" s="9"/>
      <c r="K255" s="9"/>
      <c r="L255" s="9"/>
      <c r="M255" s="9"/>
      <c r="N255" s="38"/>
      <c r="O255" s="9"/>
      <c r="P255" s="39"/>
      <c r="Q255" s="9"/>
      <c r="R255" s="9"/>
      <c r="S255" s="9"/>
      <c r="T255" s="9"/>
      <c r="U255" s="9"/>
      <c r="V255" s="9"/>
      <c r="W255" s="9"/>
      <c r="X255" s="10" t="str">
        <f aca="false">IF(A255="","",SG_Criteria!$B$6&amp;SG_Criteria!$B$13&amp;"\"&amp;A255&amp;"\")</f>
        <v/>
      </c>
      <c r="Y255" s="10" t="str">
        <f aca="false">IF(A255="","",A255&amp;"_CAD.dwg")</f>
        <v/>
      </c>
      <c r="Z255" s="10" t="str">
        <f aca="false">IF(A255="","",A255&amp;"_DWG.pdf")</f>
        <v/>
      </c>
      <c r="AA255" s="10" t="str">
        <f aca="false">IF(A255="","",IF(W255="Y",A255&amp;"_STAAD.std","n/a"))</f>
        <v/>
      </c>
      <c r="AB255" s="10" t="str">
        <f aca="false">IF(A255="","",A255&amp;"_CALC.xlsx")</f>
        <v/>
      </c>
      <c r="AC255" s="10" t="str">
        <f aca="false">IF(A255="","",A255&amp;"_CALC.pdf")</f>
        <v/>
      </c>
      <c r="AD255" s="9"/>
      <c r="AE255" s="9"/>
      <c r="AF255" s="39"/>
      <c r="AG255" s="39"/>
      <c r="AH255" s="39"/>
      <c r="AI255" s="39"/>
      <c r="AJ255" s="39"/>
      <c r="AK255" s="12" t="str">
        <f aca="false">IF(A255="","",IF(COUNTIF(Rebar_Schedule!$A$5:$A$2004,A255)=0,"",ROUND(SUMIF(Rebar_Schedule!$A$5:$A$2004,A255,Rebar_Schedule!$K$5:$K$2004),1)))</f>
        <v/>
      </c>
      <c r="AL255" s="33" t="str">
        <f aca="false">IF(A255="","",IF(AK255="","No rebar schedule yet",IF(ABS(AK255-N(AG255))/MAX(N(AG255),1)&gt;SG_Criteria!$B$55,"NOTE: register rebar differs from schedule by "&amp;TEXT(ABS(AK255-N(AG255))/MAX(N(AG255),1),"0%"),"OK")))</f>
        <v/>
      </c>
      <c r="AM255" s="33" t="str">
        <f aca="false">IF(D255="","","OK")</f>
        <v/>
      </c>
      <c r="AN255" s="9"/>
      <c r="AO255" s="9"/>
      <c r="AP255" s="9"/>
      <c r="AQ255" s="10" t="str">
        <f aca="false">IF(AP255="","",IFERROR(VLOOKUP(AP255,Projects!$A$5:$D$504,2,0),"Ref not in Projects"))</f>
        <v/>
      </c>
      <c r="AR255" s="10" t="str">
        <f aca="false">IF(AP255="","",IFERROR(VLOOKUP(AP255,Projects!$A$5:$D$504,4,0),"Ref not in Projects"))</f>
        <v/>
      </c>
      <c r="AS255" s="9"/>
      <c r="AT255" s="9"/>
      <c r="AU255" s="9"/>
      <c r="AV255" s="40"/>
      <c r="AW255" s="9"/>
      <c r="AX255" s="40"/>
      <c r="AY255" s="9"/>
      <c r="AZ255" s="40"/>
      <c r="BA255" s="9"/>
      <c r="BB255" s="9"/>
      <c r="BC255" s="9"/>
      <c r="BD255" s="40"/>
      <c r="BE255" s="40"/>
      <c r="BF255" s="36" t="str">
        <f aca="false">IF(BE255="","",EDATE(BE255,SG_Criteria!$B$54*12))</f>
        <v/>
      </c>
      <c r="BG255" s="33" t="str">
        <f aca="true">IF(A255="","",IF(BE255="","NOTE: not reviewed yet",IF(TODAY()&gt;BF255,"NOTE: review overdue","OK")))</f>
        <v/>
      </c>
      <c r="BH255" s="37" t="str">
        <f aca="false">IF(A255="","",ROUND((IF(LEN(D255)&gt;0,1,0)+IF(LEN(E255)&gt;0,1,0)+IF(LEN(I255)&gt;0,1,0)+IF(LEN(K255)&gt;0,1,0)+IF(LEN(Q255)&gt;0,1,0)+IF(LEN(S255)&gt;0,1,0)+IF(LEN(T255)&gt;0,1,0)+IF(LEN(U255)&gt;0,1,0)+IF(LEN(V255)&gt;0,1,0)+IF(LEN(AE255)&gt;0,1,0)+IF(LEN(AP255)&gt;0,1,0)+IF(LEN(BC255)&gt;0,1,0))/12,2))</f>
        <v/>
      </c>
      <c r="BI255" s="10" t="str">
        <f aca="false">IF(D255="","",IF(AND(T255="Approved",ISERROR(SEARCH("FAIL",AM255))),"Y","N"))</f>
        <v/>
      </c>
    </row>
    <row r="256" customFormat="false" ht="15" hidden="false" customHeight="false" outlineLevel="0" collapsed="false">
      <c r="A256" s="10" t="str">
        <f aca="false">IF(D256="","",IFERROR(VLOOKUP(D256,Lists!$BI$4:$BJ$20,2,0),"??")&amp;"-"&amp;UPPER(SUBSTITUTE(E256," ",""))&amp;IF(F256&lt;&gt;"","-SP"&amp;TEXT(F256*1000,"0"),"")&amp;IF(G256&lt;&gt;"","-H"&amp;TEXT(G256*1000,"0"),"")&amp;"-"&amp;S256)</f>
        <v/>
      </c>
      <c r="B256" s="10" t="str">
        <f aca="false">IF(D256="","",D256&amp;" - "&amp;E256&amp;IF(F256&lt;&gt;"",", span "&amp;F256&amp;" m","")&amp;IF(G256&lt;&gt;"",", H "&amp;G256&amp;" m","")&amp;IF(H256&lt;&gt;"",", W "&amp;H256&amp;" m",""))</f>
        <v/>
      </c>
      <c r="C256" s="9"/>
      <c r="D256" s="9"/>
      <c r="E256" s="9"/>
      <c r="F256" s="42"/>
      <c r="G256" s="42"/>
      <c r="H256" s="42"/>
      <c r="I256" s="9"/>
      <c r="J256" s="9"/>
      <c r="K256" s="9"/>
      <c r="L256" s="9"/>
      <c r="M256" s="9"/>
      <c r="N256" s="38"/>
      <c r="O256" s="9"/>
      <c r="P256" s="39"/>
      <c r="Q256" s="9"/>
      <c r="R256" s="9"/>
      <c r="S256" s="9"/>
      <c r="T256" s="9"/>
      <c r="U256" s="9"/>
      <c r="V256" s="9"/>
      <c r="W256" s="9"/>
      <c r="X256" s="10" t="str">
        <f aca="false">IF(A256="","",SG_Criteria!$B$6&amp;SG_Criteria!$B$13&amp;"\"&amp;A256&amp;"\")</f>
        <v/>
      </c>
      <c r="Y256" s="10" t="str">
        <f aca="false">IF(A256="","",A256&amp;"_CAD.dwg")</f>
        <v/>
      </c>
      <c r="Z256" s="10" t="str">
        <f aca="false">IF(A256="","",A256&amp;"_DWG.pdf")</f>
        <v/>
      </c>
      <c r="AA256" s="10" t="str">
        <f aca="false">IF(A256="","",IF(W256="Y",A256&amp;"_STAAD.std","n/a"))</f>
        <v/>
      </c>
      <c r="AB256" s="10" t="str">
        <f aca="false">IF(A256="","",A256&amp;"_CALC.xlsx")</f>
        <v/>
      </c>
      <c r="AC256" s="10" t="str">
        <f aca="false">IF(A256="","",A256&amp;"_CALC.pdf")</f>
        <v/>
      </c>
      <c r="AD256" s="9"/>
      <c r="AE256" s="9"/>
      <c r="AF256" s="39"/>
      <c r="AG256" s="39"/>
      <c r="AH256" s="39"/>
      <c r="AI256" s="39"/>
      <c r="AJ256" s="39"/>
      <c r="AK256" s="12" t="str">
        <f aca="false">IF(A256="","",IF(COUNTIF(Rebar_Schedule!$A$5:$A$2004,A256)=0,"",ROUND(SUMIF(Rebar_Schedule!$A$5:$A$2004,A256,Rebar_Schedule!$K$5:$K$2004),1)))</f>
        <v/>
      </c>
      <c r="AL256" s="33" t="str">
        <f aca="false">IF(A256="","",IF(AK256="","No rebar schedule yet",IF(ABS(AK256-N(AG256))/MAX(N(AG256),1)&gt;SG_Criteria!$B$55,"NOTE: register rebar differs from schedule by "&amp;TEXT(ABS(AK256-N(AG256))/MAX(N(AG256),1),"0%"),"OK")))</f>
        <v/>
      </c>
      <c r="AM256" s="33" t="str">
        <f aca="false">IF(D256="","","OK")</f>
        <v/>
      </c>
      <c r="AN256" s="9"/>
      <c r="AO256" s="9"/>
      <c r="AP256" s="9"/>
      <c r="AQ256" s="10" t="str">
        <f aca="false">IF(AP256="","",IFERROR(VLOOKUP(AP256,Projects!$A$5:$D$504,2,0),"Ref not in Projects"))</f>
        <v/>
      </c>
      <c r="AR256" s="10" t="str">
        <f aca="false">IF(AP256="","",IFERROR(VLOOKUP(AP256,Projects!$A$5:$D$504,4,0),"Ref not in Projects"))</f>
        <v/>
      </c>
      <c r="AS256" s="9"/>
      <c r="AT256" s="9"/>
      <c r="AU256" s="9"/>
      <c r="AV256" s="40"/>
      <c r="AW256" s="9"/>
      <c r="AX256" s="40"/>
      <c r="AY256" s="9"/>
      <c r="AZ256" s="40"/>
      <c r="BA256" s="9"/>
      <c r="BB256" s="9"/>
      <c r="BC256" s="9"/>
      <c r="BD256" s="40"/>
      <c r="BE256" s="40"/>
      <c r="BF256" s="36" t="str">
        <f aca="false">IF(BE256="","",EDATE(BE256,SG_Criteria!$B$54*12))</f>
        <v/>
      </c>
      <c r="BG256" s="33" t="str">
        <f aca="true">IF(A256="","",IF(BE256="","NOTE: not reviewed yet",IF(TODAY()&gt;BF256,"NOTE: review overdue","OK")))</f>
        <v/>
      </c>
      <c r="BH256" s="37" t="str">
        <f aca="false">IF(A256="","",ROUND((IF(LEN(D256)&gt;0,1,0)+IF(LEN(E256)&gt;0,1,0)+IF(LEN(I256)&gt;0,1,0)+IF(LEN(K256)&gt;0,1,0)+IF(LEN(Q256)&gt;0,1,0)+IF(LEN(S256)&gt;0,1,0)+IF(LEN(T256)&gt;0,1,0)+IF(LEN(U256)&gt;0,1,0)+IF(LEN(V256)&gt;0,1,0)+IF(LEN(AE256)&gt;0,1,0)+IF(LEN(AP256)&gt;0,1,0)+IF(LEN(BC256)&gt;0,1,0))/12,2))</f>
        <v/>
      </c>
      <c r="BI256" s="10" t="str">
        <f aca="false">IF(D256="","",IF(AND(T256="Approved",ISERROR(SEARCH("FAIL",AM256))),"Y","N"))</f>
        <v/>
      </c>
    </row>
    <row r="257" customFormat="false" ht="15" hidden="false" customHeight="false" outlineLevel="0" collapsed="false">
      <c r="A257" s="10" t="str">
        <f aca="false">IF(D257="","",IFERROR(VLOOKUP(D257,Lists!$BI$4:$BJ$20,2,0),"??")&amp;"-"&amp;UPPER(SUBSTITUTE(E257," ",""))&amp;IF(F257&lt;&gt;"","-SP"&amp;TEXT(F257*1000,"0"),"")&amp;IF(G257&lt;&gt;"","-H"&amp;TEXT(G257*1000,"0"),"")&amp;"-"&amp;S257)</f>
        <v/>
      </c>
      <c r="B257" s="10" t="str">
        <f aca="false">IF(D257="","",D257&amp;" - "&amp;E257&amp;IF(F257&lt;&gt;"",", span "&amp;F257&amp;" m","")&amp;IF(G257&lt;&gt;"",", H "&amp;G257&amp;" m","")&amp;IF(H257&lt;&gt;"",", W "&amp;H257&amp;" m",""))</f>
        <v/>
      </c>
      <c r="C257" s="9"/>
      <c r="D257" s="9"/>
      <c r="E257" s="9"/>
      <c r="F257" s="42"/>
      <c r="G257" s="42"/>
      <c r="H257" s="42"/>
      <c r="I257" s="9"/>
      <c r="J257" s="9"/>
      <c r="K257" s="9"/>
      <c r="L257" s="9"/>
      <c r="M257" s="9"/>
      <c r="N257" s="38"/>
      <c r="O257" s="9"/>
      <c r="P257" s="39"/>
      <c r="Q257" s="9"/>
      <c r="R257" s="9"/>
      <c r="S257" s="9"/>
      <c r="T257" s="9"/>
      <c r="U257" s="9"/>
      <c r="V257" s="9"/>
      <c r="W257" s="9"/>
      <c r="X257" s="10" t="str">
        <f aca="false">IF(A257="","",SG_Criteria!$B$6&amp;SG_Criteria!$B$13&amp;"\"&amp;A257&amp;"\")</f>
        <v/>
      </c>
      <c r="Y257" s="10" t="str">
        <f aca="false">IF(A257="","",A257&amp;"_CAD.dwg")</f>
        <v/>
      </c>
      <c r="Z257" s="10" t="str">
        <f aca="false">IF(A257="","",A257&amp;"_DWG.pdf")</f>
        <v/>
      </c>
      <c r="AA257" s="10" t="str">
        <f aca="false">IF(A257="","",IF(W257="Y",A257&amp;"_STAAD.std","n/a"))</f>
        <v/>
      </c>
      <c r="AB257" s="10" t="str">
        <f aca="false">IF(A257="","",A257&amp;"_CALC.xlsx")</f>
        <v/>
      </c>
      <c r="AC257" s="10" t="str">
        <f aca="false">IF(A257="","",A257&amp;"_CALC.pdf")</f>
        <v/>
      </c>
      <c r="AD257" s="9"/>
      <c r="AE257" s="9"/>
      <c r="AF257" s="39"/>
      <c r="AG257" s="39"/>
      <c r="AH257" s="39"/>
      <c r="AI257" s="39"/>
      <c r="AJ257" s="39"/>
      <c r="AK257" s="12" t="str">
        <f aca="false">IF(A257="","",IF(COUNTIF(Rebar_Schedule!$A$5:$A$2004,A257)=0,"",ROUND(SUMIF(Rebar_Schedule!$A$5:$A$2004,A257,Rebar_Schedule!$K$5:$K$2004),1)))</f>
        <v/>
      </c>
      <c r="AL257" s="33" t="str">
        <f aca="false">IF(A257="","",IF(AK257="","No rebar schedule yet",IF(ABS(AK257-N(AG257))/MAX(N(AG257),1)&gt;SG_Criteria!$B$55,"NOTE: register rebar differs from schedule by "&amp;TEXT(ABS(AK257-N(AG257))/MAX(N(AG257),1),"0%"),"OK")))</f>
        <v/>
      </c>
      <c r="AM257" s="33" t="str">
        <f aca="false">IF(D257="","","OK")</f>
        <v/>
      </c>
      <c r="AN257" s="9"/>
      <c r="AO257" s="9"/>
      <c r="AP257" s="9"/>
      <c r="AQ257" s="10" t="str">
        <f aca="false">IF(AP257="","",IFERROR(VLOOKUP(AP257,Projects!$A$5:$D$504,2,0),"Ref not in Projects"))</f>
        <v/>
      </c>
      <c r="AR257" s="10" t="str">
        <f aca="false">IF(AP257="","",IFERROR(VLOOKUP(AP257,Projects!$A$5:$D$504,4,0),"Ref not in Projects"))</f>
        <v/>
      </c>
      <c r="AS257" s="9"/>
      <c r="AT257" s="9"/>
      <c r="AU257" s="9"/>
      <c r="AV257" s="40"/>
      <c r="AW257" s="9"/>
      <c r="AX257" s="40"/>
      <c r="AY257" s="9"/>
      <c r="AZ257" s="40"/>
      <c r="BA257" s="9"/>
      <c r="BB257" s="9"/>
      <c r="BC257" s="9"/>
      <c r="BD257" s="40"/>
      <c r="BE257" s="40"/>
      <c r="BF257" s="36" t="str">
        <f aca="false">IF(BE257="","",EDATE(BE257,SG_Criteria!$B$54*12))</f>
        <v/>
      </c>
      <c r="BG257" s="33" t="str">
        <f aca="true">IF(A257="","",IF(BE257="","NOTE: not reviewed yet",IF(TODAY()&gt;BF257,"NOTE: review overdue","OK")))</f>
        <v/>
      </c>
      <c r="BH257" s="37" t="str">
        <f aca="false">IF(A257="","",ROUND((IF(LEN(D257)&gt;0,1,0)+IF(LEN(E257)&gt;0,1,0)+IF(LEN(I257)&gt;0,1,0)+IF(LEN(K257)&gt;0,1,0)+IF(LEN(Q257)&gt;0,1,0)+IF(LEN(S257)&gt;0,1,0)+IF(LEN(T257)&gt;0,1,0)+IF(LEN(U257)&gt;0,1,0)+IF(LEN(V257)&gt;0,1,0)+IF(LEN(AE257)&gt;0,1,0)+IF(LEN(AP257)&gt;0,1,0)+IF(LEN(BC257)&gt;0,1,0))/12,2))</f>
        <v/>
      </c>
      <c r="BI257" s="10" t="str">
        <f aca="false">IF(D257="","",IF(AND(T257="Approved",ISERROR(SEARCH("FAIL",AM257))),"Y","N"))</f>
        <v/>
      </c>
    </row>
    <row r="258" customFormat="false" ht="15" hidden="false" customHeight="false" outlineLevel="0" collapsed="false">
      <c r="A258" s="10" t="str">
        <f aca="false">IF(D258="","",IFERROR(VLOOKUP(D258,Lists!$BI$4:$BJ$20,2,0),"??")&amp;"-"&amp;UPPER(SUBSTITUTE(E258," ",""))&amp;IF(F258&lt;&gt;"","-SP"&amp;TEXT(F258*1000,"0"),"")&amp;IF(G258&lt;&gt;"","-H"&amp;TEXT(G258*1000,"0"),"")&amp;"-"&amp;S258)</f>
        <v/>
      </c>
      <c r="B258" s="10" t="str">
        <f aca="false">IF(D258="","",D258&amp;" - "&amp;E258&amp;IF(F258&lt;&gt;"",", span "&amp;F258&amp;" m","")&amp;IF(G258&lt;&gt;"",", H "&amp;G258&amp;" m","")&amp;IF(H258&lt;&gt;"",", W "&amp;H258&amp;" m",""))</f>
        <v/>
      </c>
      <c r="C258" s="9"/>
      <c r="D258" s="9"/>
      <c r="E258" s="9"/>
      <c r="F258" s="42"/>
      <c r="G258" s="42"/>
      <c r="H258" s="42"/>
      <c r="I258" s="9"/>
      <c r="J258" s="9"/>
      <c r="K258" s="9"/>
      <c r="L258" s="9"/>
      <c r="M258" s="9"/>
      <c r="N258" s="38"/>
      <c r="O258" s="9"/>
      <c r="P258" s="39"/>
      <c r="Q258" s="9"/>
      <c r="R258" s="9"/>
      <c r="S258" s="9"/>
      <c r="T258" s="9"/>
      <c r="U258" s="9"/>
      <c r="V258" s="9"/>
      <c r="W258" s="9"/>
      <c r="X258" s="10" t="str">
        <f aca="false">IF(A258="","",SG_Criteria!$B$6&amp;SG_Criteria!$B$13&amp;"\"&amp;A258&amp;"\")</f>
        <v/>
      </c>
      <c r="Y258" s="10" t="str">
        <f aca="false">IF(A258="","",A258&amp;"_CAD.dwg")</f>
        <v/>
      </c>
      <c r="Z258" s="10" t="str">
        <f aca="false">IF(A258="","",A258&amp;"_DWG.pdf")</f>
        <v/>
      </c>
      <c r="AA258" s="10" t="str">
        <f aca="false">IF(A258="","",IF(W258="Y",A258&amp;"_STAAD.std","n/a"))</f>
        <v/>
      </c>
      <c r="AB258" s="10" t="str">
        <f aca="false">IF(A258="","",A258&amp;"_CALC.xlsx")</f>
        <v/>
      </c>
      <c r="AC258" s="10" t="str">
        <f aca="false">IF(A258="","",A258&amp;"_CALC.pdf")</f>
        <v/>
      </c>
      <c r="AD258" s="9"/>
      <c r="AE258" s="9"/>
      <c r="AF258" s="39"/>
      <c r="AG258" s="39"/>
      <c r="AH258" s="39"/>
      <c r="AI258" s="39"/>
      <c r="AJ258" s="39"/>
      <c r="AK258" s="12" t="str">
        <f aca="false">IF(A258="","",IF(COUNTIF(Rebar_Schedule!$A$5:$A$2004,A258)=0,"",ROUND(SUMIF(Rebar_Schedule!$A$5:$A$2004,A258,Rebar_Schedule!$K$5:$K$2004),1)))</f>
        <v/>
      </c>
      <c r="AL258" s="33" t="str">
        <f aca="false">IF(A258="","",IF(AK258="","No rebar schedule yet",IF(ABS(AK258-N(AG258))/MAX(N(AG258),1)&gt;SG_Criteria!$B$55,"NOTE: register rebar differs from schedule by "&amp;TEXT(ABS(AK258-N(AG258))/MAX(N(AG258),1),"0%"),"OK")))</f>
        <v/>
      </c>
      <c r="AM258" s="33" t="str">
        <f aca="false">IF(D258="","","OK")</f>
        <v/>
      </c>
      <c r="AN258" s="9"/>
      <c r="AO258" s="9"/>
      <c r="AP258" s="9"/>
      <c r="AQ258" s="10" t="str">
        <f aca="false">IF(AP258="","",IFERROR(VLOOKUP(AP258,Projects!$A$5:$D$504,2,0),"Ref not in Projects"))</f>
        <v/>
      </c>
      <c r="AR258" s="10" t="str">
        <f aca="false">IF(AP258="","",IFERROR(VLOOKUP(AP258,Projects!$A$5:$D$504,4,0),"Ref not in Projects"))</f>
        <v/>
      </c>
      <c r="AS258" s="9"/>
      <c r="AT258" s="9"/>
      <c r="AU258" s="9"/>
      <c r="AV258" s="40"/>
      <c r="AW258" s="9"/>
      <c r="AX258" s="40"/>
      <c r="AY258" s="9"/>
      <c r="AZ258" s="40"/>
      <c r="BA258" s="9"/>
      <c r="BB258" s="9"/>
      <c r="BC258" s="9"/>
      <c r="BD258" s="40"/>
      <c r="BE258" s="40"/>
      <c r="BF258" s="36" t="str">
        <f aca="false">IF(BE258="","",EDATE(BE258,SG_Criteria!$B$54*12))</f>
        <v/>
      </c>
      <c r="BG258" s="33" t="str">
        <f aca="true">IF(A258="","",IF(BE258="","NOTE: not reviewed yet",IF(TODAY()&gt;BF258,"NOTE: review overdue","OK")))</f>
        <v/>
      </c>
      <c r="BH258" s="37" t="str">
        <f aca="false">IF(A258="","",ROUND((IF(LEN(D258)&gt;0,1,0)+IF(LEN(E258)&gt;0,1,0)+IF(LEN(I258)&gt;0,1,0)+IF(LEN(K258)&gt;0,1,0)+IF(LEN(Q258)&gt;0,1,0)+IF(LEN(S258)&gt;0,1,0)+IF(LEN(T258)&gt;0,1,0)+IF(LEN(U258)&gt;0,1,0)+IF(LEN(V258)&gt;0,1,0)+IF(LEN(AE258)&gt;0,1,0)+IF(LEN(AP258)&gt;0,1,0)+IF(LEN(BC258)&gt;0,1,0))/12,2))</f>
        <v/>
      </c>
      <c r="BI258" s="10" t="str">
        <f aca="false">IF(D258="","",IF(AND(T258="Approved",ISERROR(SEARCH("FAIL",AM258))),"Y","N"))</f>
        <v/>
      </c>
    </row>
    <row r="259" customFormat="false" ht="15" hidden="false" customHeight="false" outlineLevel="0" collapsed="false">
      <c r="A259" s="10" t="str">
        <f aca="false">IF(D259="","",IFERROR(VLOOKUP(D259,Lists!$BI$4:$BJ$20,2,0),"??")&amp;"-"&amp;UPPER(SUBSTITUTE(E259," ",""))&amp;IF(F259&lt;&gt;"","-SP"&amp;TEXT(F259*1000,"0"),"")&amp;IF(G259&lt;&gt;"","-H"&amp;TEXT(G259*1000,"0"),"")&amp;"-"&amp;S259)</f>
        <v/>
      </c>
      <c r="B259" s="10" t="str">
        <f aca="false">IF(D259="","",D259&amp;" - "&amp;E259&amp;IF(F259&lt;&gt;"",", span "&amp;F259&amp;" m","")&amp;IF(G259&lt;&gt;"",", H "&amp;G259&amp;" m","")&amp;IF(H259&lt;&gt;"",", W "&amp;H259&amp;" m",""))</f>
        <v/>
      </c>
      <c r="C259" s="9"/>
      <c r="D259" s="9"/>
      <c r="E259" s="9"/>
      <c r="F259" s="42"/>
      <c r="G259" s="42"/>
      <c r="H259" s="42"/>
      <c r="I259" s="9"/>
      <c r="J259" s="9"/>
      <c r="K259" s="9"/>
      <c r="L259" s="9"/>
      <c r="M259" s="9"/>
      <c r="N259" s="38"/>
      <c r="O259" s="9"/>
      <c r="P259" s="39"/>
      <c r="Q259" s="9"/>
      <c r="R259" s="9"/>
      <c r="S259" s="9"/>
      <c r="T259" s="9"/>
      <c r="U259" s="9"/>
      <c r="V259" s="9"/>
      <c r="W259" s="9"/>
      <c r="X259" s="10" t="str">
        <f aca="false">IF(A259="","",SG_Criteria!$B$6&amp;SG_Criteria!$B$13&amp;"\"&amp;A259&amp;"\")</f>
        <v/>
      </c>
      <c r="Y259" s="10" t="str">
        <f aca="false">IF(A259="","",A259&amp;"_CAD.dwg")</f>
        <v/>
      </c>
      <c r="Z259" s="10" t="str">
        <f aca="false">IF(A259="","",A259&amp;"_DWG.pdf")</f>
        <v/>
      </c>
      <c r="AA259" s="10" t="str">
        <f aca="false">IF(A259="","",IF(W259="Y",A259&amp;"_STAAD.std","n/a"))</f>
        <v/>
      </c>
      <c r="AB259" s="10" t="str">
        <f aca="false">IF(A259="","",A259&amp;"_CALC.xlsx")</f>
        <v/>
      </c>
      <c r="AC259" s="10" t="str">
        <f aca="false">IF(A259="","",A259&amp;"_CALC.pdf")</f>
        <v/>
      </c>
      <c r="AD259" s="9"/>
      <c r="AE259" s="9"/>
      <c r="AF259" s="39"/>
      <c r="AG259" s="39"/>
      <c r="AH259" s="39"/>
      <c r="AI259" s="39"/>
      <c r="AJ259" s="39"/>
      <c r="AK259" s="12" t="str">
        <f aca="false">IF(A259="","",IF(COUNTIF(Rebar_Schedule!$A$5:$A$2004,A259)=0,"",ROUND(SUMIF(Rebar_Schedule!$A$5:$A$2004,A259,Rebar_Schedule!$K$5:$K$2004),1)))</f>
        <v/>
      </c>
      <c r="AL259" s="33" t="str">
        <f aca="false">IF(A259="","",IF(AK259="","No rebar schedule yet",IF(ABS(AK259-N(AG259))/MAX(N(AG259),1)&gt;SG_Criteria!$B$55,"NOTE: register rebar differs from schedule by "&amp;TEXT(ABS(AK259-N(AG259))/MAX(N(AG259),1),"0%"),"OK")))</f>
        <v/>
      </c>
      <c r="AM259" s="33" t="str">
        <f aca="false">IF(D259="","","OK")</f>
        <v/>
      </c>
      <c r="AN259" s="9"/>
      <c r="AO259" s="9"/>
      <c r="AP259" s="9"/>
      <c r="AQ259" s="10" t="str">
        <f aca="false">IF(AP259="","",IFERROR(VLOOKUP(AP259,Projects!$A$5:$D$504,2,0),"Ref not in Projects"))</f>
        <v/>
      </c>
      <c r="AR259" s="10" t="str">
        <f aca="false">IF(AP259="","",IFERROR(VLOOKUP(AP259,Projects!$A$5:$D$504,4,0),"Ref not in Projects"))</f>
        <v/>
      </c>
      <c r="AS259" s="9"/>
      <c r="AT259" s="9"/>
      <c r="AU259" s="9"/>
      <c r="AV259" s="40"/>
      <c r="AW259" s="9"/>
      <c r="AX259" s="40"/>
      <c r="AY259" s="9"/>
      <c r="AZ259" s="40"/>
      <c r="BA259" s="9"/>
      <c r="BB259" s="9"/>
      <c r="BC259" s="9"/>
      <c r="BD259" s="40"/>
      <c r="BE259" s="40"/>
      <c r="BF259" s="36" t="str">
        <f aca="false">IF(BE259="","",EDATE(BE259,SG_Criteria!$B$54*12))</f>
        <v/>
      </c>
      <c r="BG259" s="33" t="str">
        <f aca="true">IF(A259="","",IF(BE259="","NOTE: not reviewed yet",IF(TODAY()&gt;BF259,"NOTE: review overdue","OK")))</f>
        <v/>
      </c>
      <c r="BH259" s="37" t="str">
        <f aca="false">IF(A259="","",ROUND((IF(LEN(D259)&gt;0,1,0)+IF(LEN(E259)&gt;0,1,0)+IF(LEN(I259)&gt;0,1,0)+IF(LEN(K259)&gt;0,1,0)+IF(LEN(Q259)&gt;0,1,0)+IF(LEN(S259)&gt;0,1,0)+IF(LEN(T259)&gt;0,1,0)+IF(LEN(U259)&gt;0,1,0)+IF(LEN(V259)&gt;0,1,0)+IF(LEN(AE259)&gt;0,1,0)+IF(LEN(AP259)&gt;0,1,0)+IF(LEN(BC259)&gt;0,1,0))/12,2))</f>
        <v/>
      </c>
      <c r="BI259" s="10" t="str">
        <f aca="false">IF(D259="","",IF(AND(T259="Approved",ISERROR(SEARCH("FAIL",AM259))),"Y","N"))</f>
        <v/>
      </c>
    </row>
    <row r="260" customFormat="false" ht="15" hidden="false" customHeight="false" outlineLevel="0" collapsed="false">
      <c r="A260" s="10" t="str">
        <f aca="false">IF(D260="","",IFERROR(VLOOKUP(D260,Lists!$BI$4:$BJ$20,2,0),"??")&amp;"-"&amp;UPPER(SUBSTITUTE(E260," ",""))&amp;IF(F260&lt;&gt;"","-SP"&amp;TEXT(F260*1000,"0"),"")&amp;IF(G260&lt;&gt;"","-H"&amp;TEXT(G260*1000,"0"),"")&amp;"-"&amp;S260)</f>
        <v/>
      </c>
      <c r="B260" s="10" t="str">
        <f aca="false">IF(D260="","",D260&amp;" - "&amp;E260&amp;IF(F260&lt;&gt;"",", span "&amp;F260&amp;" m","")&amp;IF(G260&lt;&gt;"",", H "&amp;G260&amp;" m","")&amp;IF(H260&lt;&gt;"",", W "&amp;H260&amp;" m",""))</f>
        <v/>
      </c>
      <c r="C260" s="9"/>
      <c r="D260" s="9"/>
      <c r="E260" s="9"/>
      <c r="F260" s="42"/>
      <c r="G260" s="42"/>
      <c r="H260" s="42"/>
      <c r="I260" s="9"/>
      <c r="J260" s="9"/>
      <c r="K260" s="9"/>
      <c r="L260" s="9"/>
      <c r="M260" s="9"/>
      <c r="N260" s="38"/>
      <c r="O260" s="9"/>
      <c r="P260" s="39"/>
      <c r="Q260" s="9"/>
      <c r="R260" s="9"/>
      <c r="S260" s="9"/>
      <c r="T260" s="9"/>
      <c r="U260" s="9"/>
      <c r="V260" s="9"/>
      <c r="W260" s="9"/>
      <c r="X260" s="10" t="str">
        <f aca="false">IF(A260="","",SG_Criteria!$B$6&amp;SG_Criteria!$B$13&amp;"\"&amp;A260&amp;"\")</f>
        <v/>
      </c>
      <c r="Y260" s="10" t="str">
        <f aca="false">IF(A260="","",A260&amp;"_CAD.dwg")</f>
        <v/>
      </c>
      <c r="Z260" s="10" t="str">
        <f aca="false">IF(A260="","",A260&amp;"_DWG.pdf")</f>
        <v/>
      </c>
      <c r="AA260" s="10" t="str">
        <f aca="false">IF(A260="","",IF(W260="Y",A260&amp;"_STAAD.std","n/a"))</f>
        <v/>
      </c>
      <c r="AB260" s="10" t="str">
        <f aca="false">IF(A260="","",A260&amp;"_CALC.xlsx")</f>
        <v/>
      </c>
      <c r="AC260" s="10" t="str">
        <f aca="false">IF(A260="","",A260&amp;"_CALC.pdf")</f>
        <v/>
      </c>
      <c r="AD260" s="9"/>
      <c r="AE260" s="9"/>
      <c r="AF260" s="39"/>
      <c r="AG260" s="39"/>
      <c r="AH260" s="39"/>
      <c r="AI260" s="39"/>
      <c r="AJ260" s="39"/>
      <c r="AK260" s="12" t="str">
        <f aca="false">IF(A260="","",IF(COUNTIF(Rebar_Schedule!$A$5:$A$2004,A260)=0,"",ROUND(SUMIF(Rebar_Schedule!$A$5:$A$2004,A260,Rebar_Schedule!$K$5:$K$2004),1)))</f>
        <v/>
      </c>
      <c r="AL260" s="33" t="str">
        <f aca="false">IF(A260="","",IF(AK260="","No rebar schedule yet",IF(ABS(AK260-N(AG260))/MAX(N(AG260),1)&gt;SG_Criteria!$B$55,"NOTE: register rebar differs from schedule by "&amp;TEXT(ABS(AK260-N(AG260))/MAX(N(AG260),1),"0%"),"OK")))</f>
        <v/>
      </c>
      <c r="AM260" s="33" t="str">
        <f aca="false">IF(D260="","","OK")</f>
        <v/>
      </c>
      <c r="AN260" s="9"/>
      <c r="AO260" s="9"/>
      <c r="AP260" s="9"/>
      <c r="AQ260" s="10" t="str">
        <f aca="false">IF(AP260="","",IFERROR(VLOOKUP(AP260,Projects!$A$5:$D$504,2,0),"Ref not in Projects"))</f>
        <v/>
      </c>
      <c r="AR260" s="10" t="str">
        <f aca="false">IF(AP260="","",IFERROR(VLOOKUP(AP260,Projects!$A$5:$D$504,4,0),"Ref not in Projects"))</f>
        <v/>
      </c>
      <c r="AS260" s="9"/>
      <c r="AT260" s="9"/>
      <c r="AU260" s="9"/>
      <c r="AV260" s="40"/>
      <c r="AW260" s="9"/>
      <c r="AX260" s="40"/>
      <c r="AY260" s="9"/>
      <c r="AZ260" s="40"/>
      <c r="BA260" s="9"/>
      <c r="BB260" s="9"/>
      <c r="BC260" s="9"/>
      <c r="BD260" s="40"/>
      <c r="BE260" s="40"/>
      <c r="BF260" s="36" t="str">
        <f aca="false">IF(BE260="","",EDATE(BE260,SG_Criteria!$B$54*12))</f>
        <v/>
      </c>
      <c r="BG260" s="33" t="str">
        <f aca="true">IF(A260="","",IF(BE260="","NOTE: not reviewed yet",IF(TODAY()&gt;BF260,"NOTE: review overdue","OK")))</f>
        <v/>
      </c>
      <c r="BH260" s="37" t="str">
        <f aca="false">IF(A260="","",ROUND((IF(LEN(D260)&gt;0,1,0)+IF(LEN(E260)&gt;0,1,0)+IF(LEN(I260)&gt;0,1,0)+IF(LEN(K260)&gt;0,1,0)+IF(LEN(Q260)&gt;0,1,0)+IF(LEN(S260)&gt;0,1,0)+IF(LEN(T260)&gt;0,1,0)+IF(LEN(U260)&gt;0,1,0)+IF(LEN(V260)&gt;0,1,0)+IF(LEN(AE260)&gt;0,1,0)+IF(LEN(AP260)&gt;0,1,0)+IF(LEN(BC260)&gt;0,1,0))/12,2))</f>
        <v/>
      </c>
      <c r="BI260" s="10" t="str">
        <f aca="false">IF(D260="","",IF(AND(T260="Approved",ISERROR(SEARCH("FAIL",AM260))),"Y","N"))</f>
        <v/>
      </c>
    </row>
    <row r="261" customFormat="false" ht="15" hidden="false" customHeight="false" outlineLevel="0" collapsed="false">
      <c r="A261" s="10" t="str">
        <f aca="false">IF(D261="","",IFERROR(VLOOKUP(D261,Lists!$BI$4:$BJ$20,2,0),"??")&amp;"-"&amp;UPPER(SUBSTITUTE(E261," ",""))&amp;IF(F261&lt;&gt;"","-SP"&amp;TEXT(F261*1000,"0"),"")&amp;IF(G261&lt;&gt;"","-H"&amp;TEXT(G261*1000,"0"),"")&amp;"-"&amp;S261)</f>
        <v/>
      </c>
      <c r="B261" s="10" t="str">
        <f aca="false">IF(D261="","",D261&amp;" - "&amp;E261&amp;IF(F261&lt;&gt;"",", span "&amp;F261&amp;" m","")&amp;IF(G261&lt;&gt;"",", H "&amp;G261&amp;" m","")&amp;IF(H261&lt;&gt;"",", W "&amp;H261&amp;" m",""))</f>
        <v/>
      </c>
      <c r="C261" s="9"/>
      <c r="D261" s="9"/>
      <c r="E261" s="9"/>
      <c r="F261" s="42"/>
      <c r="G261" s="42"/>
      <c r="H261" s="42"/>
      <c r="I261" s="9"/>
      <c r="J261" s="9"/>
      <c r="K261" s="9"/>
      <c r="L261" s="9"/>
      <c r="M261" s="9"/>
      <c r="N261" s="38"/>
      <c r="O261" s="9"/>
      <c r="P261" s="39"/>
      <c r="Q261" s="9"/>
      <c r="R261" s="9"/>
      <c r="S261" s="9"/>
      <c r="T261" s="9"/>
      <c r="U261" s="9"/>
      <c r="V261" s="9"/>
      <c r="W261" s="9"/>
      <c r="X261" s="10" t="str">
        <f aca="false">IF(A261="","",SG_Criteria!$B$6&amp;SG_Criteria!$B$13&amp;"\"&amp;A261&amp;"\")</f>
        <v/>
      </c>
      <c r="Y261" s="10" t="str">
        <f aca="false">IF(A261="","",A261&amp;"_CAD.dwg")</f>
        <v/>
      </c>
      <c r="Z261" s="10" t="str">
        <f aca="false">IF(A261="","",A261&amp;"_DWG.pdf")</f>
        <v/>
      </c>
      <c r="AA261" s="10" t="str">
        <f aca="false">IF(A261="","",IF(W261="Y",A261&amp;"_STAAD.std","n/a"))</f>
        <v/>
      </c>
      <c r="AB261" s="10" t="str">
        <f aca="false">IF(A261="","",A261&amp;"_CALC.xlsx")</f>
        <v/>
      </c>
      <c r="AC261" s="10" t="str">
        <f aca="false">IF(A261="","",A261&amp;"_CALC.pdf")</f>
        <v/>
      </c>
      <c r="AD261" s="9"/>
      <c r="AE261" s="9"/>
      <c r="AF261" s="39"/>
      <c r="AG261" s="39"/>
      <c r="AH261" s="39"/>
      <c r="AI261" s="39"/>
      <c r="AJ261" s="39"/>
      <c r="AK261" s="12" t="str">
        <f aca="false">IF(A261="","",IF(COUNTIF(Rebar_Schedule!$A$5:$A$2004,A261)=0,"",ROUND(SUMIF(Rebar_Schedule!$A$5:$A$2004,A261,Rebar_Schedule!$K$5:$K$2004),1)))</f>
        <v/>
      </c>
      <c r="AL261" s="33" t="str">
        <f aca="false">IF(A261="","",IF(AK261="","No rebar schedule yet",IF(ABS(AK261-N(AG261))/MAX(N(AG261),1)&gt;SG_Criteria!$B$55,"NOTE: register rebar differs from schedule by "&amp;TEXT(ABS(AK261-N(AG261))/MAX(N(AG261),1),"0%"),"OK")))</f>
        <v/>
      </c>
      <c r="AM261" s="33" t="str">
        <f aca="false">IF(D261="","","OK")</f>
        <v/>
      </c>
      <c r="AN261" s="9"/>
      <c r="AO261" s="9"/>
      <c r="AP261" s="9"/>
      <c r="AQ261" s="10" t="str">
        <f aca="false">IF(AP261="","",IFERROR(VLOOKUP(AP261,Projects!$A$5:$D$504,2,0),"Ref not in Projects"))</f>
        <v/>
      </c>
      <c r="AR261" s="10" t="str">
        <f aca="false">IF(AP261="","",IFERROR(VLOOKUP(AP261,Projects!$A$5:$D$504,4,0),"Ref not in Projects"))</f>
        <v/>
      </c>
      <c r="AS261" s="9"/>
      <c r="AT261" s="9"/>
      <c r="AU261" s="9"/>
      <c r="AV261" s="40"/>
      <c r="AW261" s="9"/>
      <c r="AX261" s="40"/>
      <c r="AY261" s="9"/>
      <c r="AZ261" s="40"/>
      <c r="BA261" s="9"/>
      <c r="BB261" s="9"/>
      <c r="BC261" s="9"/>
      <c r="BD261" s="40"/>
      <c r="BE261" s="40"/>
      <c r="BF261" s="36" t="str">
        <f aca="false">IF(BE261="","",EDATE(BE261,SG_Criteria!$B$54*12))</f>
        <v/>
      </c>
      <c r="BG261" s="33" t="str">
        <f aca="true">IF(A261="","",IF(BE261="","NOTE: not reviewed yet",IF(TODAY()&gt;BF261,"NOTE: review overdue","OK")))</f>
        <v/>
      </c>
      <c r="BH261" s="37" t="str">
        <f aca="false">IF(A261="","",ROUND((IF(LEN(D261)&gt;0,1,0)+IF(LEN(E261)&gt;0,1,0)+IF(LEN(I261)&gt;0,1,0)+IF(LEN(K261)&gt;0,1,0)+IF(LEN(Q261)&gt;0,1,0)+IF(LEN(S261)&gt;0,1,0)+IF(LEN(T261)&gt;0,1,0)+IF(LEN(U261)&gt;0,1,0)+IF(LEN(V261)&gt;0,1,0)+IF(LEN(AE261)&gt;0,1,0)+IF(LEN(AP261)&gt;0,1,0)+IF(LEN(BC261)&gt;0,1,0))/12,2))</f>
        <v/>
      </c>
      <c r="BI261" s="10" t="str">
        <f aca="false">IF(D261="","",IF(AND(T261="Approved",ISERROR(SEARCH("FAIL",AM261))),"Y","N"))</f>
        <v/>
      </c>
    </row>
    <row r="262" customFormat="false" ht="15" hidden="false" customHeight="false" outlineLevel="0" collapsed="false">
      <c r="A262" s="10" t="str">
        <f aca="false">IF(D262="","",IFERROR(VLOOKUP(D262,Lists!$BI$4:$BJ$20,2,0),"??")&amp;"-"&amp;UPPER(SUBSTITUTE(E262," ",""))&amp;IF(F262&lt;&gt;"","-SP"&amp;TEXT(F262*1000,"0"),"")&amp;IF(G262&lt;&gt;"","-H"&amp;TEXT(G262*1000,"0"),"")&amp;"-"&amp;S262)</f>
        <v/>
      </c>
      <c r="B262" s="10" t="str">
        <f aca="false">IF(D262="","",D262&amp;" - "&amp;E262&amp;IF(F262&lt;&gt;"",", span "&amp;F262&amp;" m","")&amp;IF(G262&lt;&gt;"",", H "&amp;G262&amp;" m","")&amp;IF(H262&lt;&gt;"",", W "&amp;H262&amp;" m",""))</f>
        <v/>
      </c>
      <c r="C262" s="9"/>
      <c r="D262" s="9"/>
      <c r="E262" s="9"/>
      <c r="F262" s="42"/>
      <c r="G262" s="42"/>
      <c r="H262" s="42"/>
      <c r="I262" s="9"/>
      <c r="J262" s="9"/>
      <c r="K262" s="9"/>
      <c r="L262" s="9"/>
      <c r="M262" s="9"/>
      <c r="N262" s="38"/>
      <c r="O262" s="9"/>
      <c r="P262" s="39"/>
      <c r="Q262" s="9"/>
      <c r="R262" s="9"/>
      <c r="S262" s="9"/>
      <c r="T262" s="9"/>
      <c r="U262" s="9"/>
      <c r="V262" s="9"/>
      <c r="W262" s="9"/>
      <c r="X262" s="10" t="str">
        <f aca="false">IF(A262="","",SG_Criteria!$B$6&amp;SG_Criteria!$B$13&amp;"\"&amp;A262&amp;"\")</f>
        <v/>
      </c>
      <c r="Y262" s="10" t="str">
        <f aca="false">IF(A262="","",A262&amp;"_CAD.dwg")</f>
        <v/>
      </c>
      <c r="Z262" s="10" t="str">
        <f aca="false">IF(A262="","",A262&amp;"_DWG.pdf")</f>
        <v/>
      </c>
      <c r="AA262" s="10" t="str">
        <f aca="false">IF(A262="","",IF(W262="Y",A262&amp;"_STAAD.std","n/a"))</f>
        <v/>
      </c>
      <c r="AB262" s="10" t="str">
        <f aca="false">IF(A262="","",A262&amp;"_CALC.xlsx")</f>
        <v/>
      </c>
      <c r="AC262" s="10" t="str">
        <f aca="false">IF(A262="","",A262&amp;"_CALC.pdf")</f>
        <v/>
      </c>
      <c r="AD262" s="9"/>
      <c r="AE262" s="9"/>
      <c r="AF262" s="39"/>
      <c r="AG262" s="39"/>
      <c r="AH262" s="39"/>
      <c r="AI262" s="39"/>
      <c r="AJ262" s="39"/>
      <c r="AK262" s="12" t="str">
        <f aca="false">IF(A262="","",IF(COUNTIF(Rebar_Schedule!$A$5:$A$2004,A262)=0,"",ROUND(SUMIF(Rebar_Schedule!$A$5:$A$2004,A262,Rebar_Schedule!$K$5:$K$2004),1)))</f>
        <v/>
      </c>
      <c r="AL262" s="33" t="str">
        <f aca="false">IF(A262="","",IF(AK262="","No rebar schedule yet",IF(ABS(AK262-N(AG262))/MAX(N(AG262),1)&gt;SG_Criteria!$B$55,"NOTE: register rebar differs from schedule by "&amp;TEXT(ABS(AK262-N(AG262))/MAX(N(AG262),1),"0%"),"OK")))</f>
        <v/>
      </c>
      <c r="AM262" s="33" t="str">
        <f aca="false">IF(D262="","","OK")</f>
        <v/>
      </c>
      <c r="AN262" s="9"/>
      <c r="AO262" s="9"/>
      <c r="AP262" s="9"/>
      <c r="AQ262" s="10" t="str">
        <f aca="false">IF(AP262="","",IFERROR(VLOOKUP(AP262,Projects!$A$5:$D$504,2,0),"Ref not in Projects"))</f>
        <v/>
      </c>
      <c r="AR262" s="10" t="str">
        <f aca="false">IF(AP262="","",IFERROR(VLOOKUP(AP262,Projects!$A$5:$D$504,4,0),"Ref not in Projects"))</f>
        <v/>
      </c>
      <c r="AS262" s="9"/>
      <c r="AT262" s="9"/>
      <c r="AU262" s="9"/>
      <c r="AV262" s="40"/>
      <c r="AW262" s="9"/>
      <c r="AX262" s="40"/>
      <c r="AY262" s="9"/>
      <c r="AZ262" s="40"/>
      <c r="BA262" s="9"/>
      <c r="BB262" s="9"/>
      <c r="BC262" s="9"/>
      <c r="BD262" s="40"/>
      <c r="BE262" s="40"/>
      <c r="BF262" s="36" t="str">
        <f aca="false">IF(BE262="","",EDATE(BE262,SG_Criteria!$B$54*12))</f>
        <v/>
      </c>
      <c r="BG262" s="33" t="str">
        <f aca="true">IF(A262="","",IF(BE262="","NOTE: not reviewed yet",IF(TODAY()&gt;BF262,"NOTE: review overdue","OK")))</f>
        <v/>
      </c>
      <c r="BH262" s="37" t="str">
        <f aca="false">IF(A262="","",ROUND((IF(LEN(D262)&gt;0,1,0)+IF(LEN(E262)&gt;0,1,0)+IF(LEN(I262)&gt;0,1,0)+IF(LEN(K262)&gt;0,1,0)+IF(LEN(Q262)&gt;0,1,0)+IF(LEN(S262)&gt;0,1,0)+IF(LEN(T262)&gt;0,1,0)+IF(LEN(U262)&gt;0,1,0)+IF(LEN(V262)&gt;0,1,0)+IF(LEN(AE262)&gt;0,1,0)+IF(LEN(AP262)&gt;0,1,0)+IF(LEN(BC262)&gt;0,1,0))/12,2))</f>
        <v/>
      </c>
      <c r="BI262" s="10" t="str">
        <f aca="false">IF(D262="","",IF(AND(T262="Approved",ISERROR(SEARCH("FAIL",AM262))),"Y","N"))</f>
        <v/>
      </c>
    </row>
    <row r="263" customFormat="false" ht="15" hidden="false" customHeight="false" outlineLevel="0" collapsed="false">
      <c r="A263" s="10" t="str">
        <f aca="false">IF(D263="","",IFERROR(VLOOKUP(D263,Lists!$BI$4:$BJ$20,2,0),"??")&amp;"-"&amp;UPPER(SUBSTITUTE(E263," ",""))&amp;IF(F263&lt;&gt;"","-SP"&amp;TEXT(F263*1000,"0"),"")&amp;IF(G263&lt;&gt;"","-H"&amp;TEXT(G263*1000,"0"),"")&amp;"-"&amp;S263)</f>
        <v/>
      </c>
      <c r="B263" s="10" t="str">
        <f aca="false">IF(D263="","",D263&amp;" - "&amp;E263&amp;IF(F263&lt;&gt;"",", span "&amp;F263&amp;" m","")&amp;IF(G263&lt;&gt;"",", H "&amp;G263&amp;" m","")&amp;IF(H263&lt;&gt;"",", W "&amp;H263&amp;" m",""))</f>
        <v/>
      </c>
      <c r="C263" s="9"/>
      <c r="D263" s="9"/>
      <c r="E263" s="9"/>
      <c r="F263" s="42"/>
      <c r="G263" s="42"/>
      <c r="H263" s="42"/>
      <c r="I263" s="9"/>
      <c r="J263" s="9"/>
      <c r="K263" s="9"/>
      <c r="L263" s="9"/>
      <c r="M263" s="9"/>
      <c r="N263" s="38"/>
      <c r="O263" s="9"/>
      <c r="P263" s="39"/>
      <c r="Q263" s="9"/>
      <c r="R263" s="9"/>
      <c r="S263" s="9"/>
      <c r="T263" s="9"/>
      <c r="U263" s="9"/>
      <c r="V263" s="9"/>
      <c r="W263" s="9"/>
      <c r="X263" s="10" t="str">
        <f aca="false">IF(A263="","",SG_Criteria!$B$6&amp;SG_Criteria!$B$13&amp;"\"&amp;A263&amp;"\")</f>
        <v/>
      </c>
      <c r="Y263" s="10" t="str">
        <f aca="false">IF(A263="","",A263&amp;"_CAD.dwg")</f>
        <v/>
      </c>
      <c r="Z263" s="10" t="str">
        <f aca="false">IF(A263="","",A263&amp;"_DWG.pdf")</f>
        <v/>
      </c>
      <c r="AA263" s="10" t="str">
        <f aca="false">IF(A263="","",IF(W263="Y",A263&amp;"_STAAD.std","n/a"))</f>
        <v/>
      </c>
      <c r="AB263" s="10" t="str">
        <f aca="false">IF(A263="","",A263&amp;"_CALC.xlsx")</f>
        <v/>
      </c>
      <c r="AC263" s="10" t="str">
        <f aca="false">IF(A263="","",A263&amp;"_CALC.pdf")</f>
        <v/>
      </c>
      <c r="AD263" s="9"/>
      <c r="AE263" s="9"/>
      <c r="AF263" s="39"/>
      <c r="AG263" s="39"/>
      <c r="AH263" s="39"/>
      <c r="AI263" s="39"/>
      <c r="AJ263" s="39"/>
      <c r="AK263" s="12" t="str">
        <f aca="false">IF(A263="","",IF(COUNTIF(Rebar_Schedule!$A$5:$A$2004,A263)=0,"",ROUND(SUMIF(Rebar_Schedule!$A$5:$A$2004,A263,Rebar_Schedule!$K$5:$K$2004),1)))</f>
        <v/>
      </c>
      <c r="AL263" s="33" t="str">
        <f aca="false">IF(A263="","",IF(AK263="","No rebar schedule yet",IF(ABS(AK263-N(AG263))/MAX(N(AG263),1)&gt;SG_Criteria!$B$55,"NOTE: register rebar differs from schedule by "&amp;TEXT(ABS(AK263-N(AG263))/MAX(N(AG263),1),"0%"),"OK")))</f>
        <v/>
      </c>
      <c r="AM263" s="33" t="str">
        <f aca="false">IF(D263="","","OK")</f>
        <v/>
      </c>
      <c r="AN263" s="9"/>
      <c r="AO263" s="9"/>
      <c r="AP263" s="9"/>
      <c r="AQ263" s="10" t="str">
        <f aca="false">IF(AP263="","",IFERROR(VLOOKUP(AP263,Projects!$A$5:$D$504,2,0),"Ref not in Projects"))</f>
        <v/>
      </c>
      <c r="AR263" s="10" t="str">
        <f aca="false">IF(AP263="","",IFERROR(VLOOKUP(AP263,Projects!$A$5:$D$504,4,0),"Ref not in Projects"))</f>
        <v/>
      </c>
      <c r="AS263" s="9"/>
      <c r="AT263" s="9"/>
      <c r="AU263" s="9"/>
      <c r="AV263" s="40"/>
      <c r="AW263" s="9"/>
      <c r="AX263" s="40"/>
      <c r="AY263" s="9"/>
      <c r="AZ263" s="40"/>
      <c r="BA263" s="9"/>
      <c r="BB263" s="9"/>
      <c r="BC263" s="9"/>
      <c r="BD263" s="40"/>
      <c r="BE263" s="40"/>
      <c r="BF263" s="36" t="str">
        <f aca="false">IF(BE263="","",EDATE(BE263,SG_Criteria!$B$54*12))</f>
        <v/>
      </c>
      <c r="BG263" s="33" t="str">
        <f aca="true">IF(A263="","",IF(BE263="","NOTE: not reviewed yet",IF(TODAY()&gt;BF263,"NOTE: review overdue","OK")))</f>
        <v/>
      </c>
      <c r="BH263" s="37" t="str">
        <f aca="false">IF(A263="","",ROUND((IF(LEN(D263)&gt;0,1,0)+IF(LEN(E263)&gt;0,1,0)+IF(LEN(I263)&gt;0,1,0)+IF(LEN(K263)&gt;0,1,0)+IF(LEN(Q263)&gt;0,1,0)+IF(LEN(S263)&gt;0,1,0)+IF(LEN(T263)&gt;0,1,0)+IF(LEN(U263)&gt;0,1,0)+IF(LEN(V263)&gt;0,1,0)+IF(LEN(AE263)&gt;0,1,0)+IF(LEN(AP263)&gt;0,1,0)+IF(LEN(BC263)&gt;0,1,0))/12,2))</f>
        <v/>
      </c>
      <c r="BI263" s="10" t="str">
        <f aca="false">IF(D263="","",IF(AND(T263="Approved",ISERROR(SEARCH("FAIL",AM263))),"Y","N"))</f>
        <v/>
      </c>
    </row>
    <row r="264" customFormat="false" ht="15" hidden="false" customHeight="false" outlineLevel="0" collapsed="false">
      <c r="A264" s="10" t="str">
        <f aca="false">IF(D264="","",IFERROR(VLOOKUP(D264,Lists!$BI$4:$BJ$20,2,0),"??")&amp;"-"&amp;UPPER(SUBSTITUTE(E264," ",""))&amp;IF(F264&lt;&gt;"","-SP"&amp;TEXT(F264*1000,"0"),"")&amp;IF(G264&lt;&gt;"","-H"&amp;TEXT(G264*1000,"0"),"")&amp;"-"&amp;S264)</f>
        <v/>
      </c>
      <c r="B264" s="10" t="str">
        <f aca="false">IF(D264="","",D264&amp;" - "&amp;E264&amp;IF(F264&lt;&gt;"",", span "&amp;F264&amp;" m","")&amp;IF(G264&lt;&gt;"",", H "&amp;G264&amp;" m","")&amp;IF(H264&lt;&gt;"",", W "&amp;H264&amp;" m",""))</f>
        <v/>
      </c>
      <c r="C264" s="9"/>
      <c r="D264" s="9"/>
      <c r="E264" s="9"/>
      <c r="F264" s="42"/>
      <c r="G264" s="42"/>
      <c r="H264" s="42"/>
      <c r="I264" s="9"/>
      <c r="J264" s="9"/>
      <c r="K264" s="9"/>
      <c r="L264" s="9"/>
      <c r="M264" s="9"/>
      <c r="N264" s="38"/>
      <c r="O264" s="9"/>
      <c r="P264" s="39"/>
      <c r="Q264" s="9"/>
      <c r="R264" s="9"/>
      <c r="S264" s="9"/>
      <c r="T264" s="9"/>
      <c r="U264" s="9"/>
      <c r="V264" s="9"/>
      <c r="W264" s="9"/>
      <c r="X264" s="10" t="str">
        <f aca="false">IF(A264="","",SG_Criteria!$B$6&amp;SG_Criteria!$B$13&amp;"\"&amp;A264&amp;"\")</f>
        <v/>
      </c>
      <c r="Y264" s="10" t="str">
        <f aca="false">IF(A264="","",A264&amp;"_CAD.dwg")</f>
        <v/>
      </c>
      <c r="Z264" s="10" t="str">
        <f aca="false">IF(A264="","",A264&amp;"_DWG.pdf")</f>
        <v/>
      </c>
      <c r="AA264" s="10" t="str">
        <f aca="false">IF(A264="","",IF(W264="Y",A264&amp;"_STAAD.std","n/a"))</f>
        <v/>
      </c>
      <c r="AB264" s="10" t="str">
        <f aca="false">IF(A264="","",A264&amp;"_CALC.xlsx")</f>
        <v/>
      </c>
      <c r="AC264" s="10" t="str">
        <f aca="false">IF(A264="","",A264&amp;"_CALC.pdf")</f>
        <v/>
      </c>
      <c r="AD264" s="9"/>
      <c r="AE264" s="9"/>
      <c r="AF264" s="39"/>
      <c r="AG264" s="39"/>
      <c r="AH264" s="39"/>
      <c r="AI264" s="39"/>
      <c r="AJ264" s="39"/>
      <c r="AK264" s="12" t="str">
        <f aca="false">IF(A264="","",IF(COUNTIF(Rebar_Schedule!$A$5:$A$2004,A264)=0,"",ROUND(SUMIF(Rebar_Schedule!$A$5:$A$2004,A264,Rebar_Schedule!$K$5:$K$2004),1)))</f>
        <v/>
      </c>
      <c r="AL264" s="33" t="str">
        <f aca="false">IF(A264="","",IF(AK264="","No rebar schedule yet",IF(ABS(AK264-N(AG264))/MAX(N(AG264),1)&gt;SG_Criteria!$B$55,"NOTE: register rebar differs from schedule by "&amp;TEXT(ABS(AK264-N(AG264))/MAX(N(AG264),1),"0%"),"OK")))</f>
        <v/>
      </c>
      <c r="AM264" s="33" t="str">
        <f aca="false">IF(D264="","","OK")</f>
        <v/>
      </c>
      <c r="AN264" s="9"/>
      <c r="AO264" s="9"/>
      <c r="AP264" s="9"/>
      <c r="AQ264" s="10" t="str">
        <f aca="false">IF(AP264="","",IFERROR(VLOOKUP(AP264,Projects!$A$5:$D$504,2,0),"Ref not in Projects"))</f>
        <v/>
      </c>
      <c r="AR264" s="10" t="str">
        <f aca="false">IF(AP264="","",IFERROR(VLOOKUP(AP264,Projects!$A$5:$D$504,4,0),"Ref not in Projects"))</f>
        <v/>
      </c>
      <c r="AS264" s="9"/>
      <c r="AT264" s="9"/>
      <c r="AU264" s="9"/>
      <c r="AV264" s="40"/>
      <c r="AW264" s="9"/>
      <c r="AX264" s="40"/>
      <c r="AY264" s="9"/>
      <c r="AZ264" s="40"/>
      <c r="BA264" s="9"/>
      <c r="BB264" s="9"/>
      <c r="BC264" s="9"/>
      <c r="BD264" s="40"/>
      <c r="BE264" s="40"/>
      <c r="BF264" s="36" t="str">
        <f aca="false">IF(BE264="","",EDATE(BE264,SG_Criteria!$B$54*12))</f>
        <v/>
      </c>
      <c r="BG264" s="33" t="str">
        <f aca="true">IF(A264="","",IF(BE264="","NOTE: not reviewed yet",IF(TODAY()&gt;BF264,"NOTE: review overdue","OK")))</f>
        <v/>
      </c>
      <c r="BH264" s="37" t="str">
        <f aca="false">IF(A264="","",ROUND((IF(LEN(D264)&gt;0,1,0)+IF(LEN(E264)&gt;0,1,0)+IF(LEN(I264)&gt;0,1,0)+IF(LEN(K264)&gt;0,1,0)+IF(LEN(Q264)&gt;0,1,0)+IF(LEN(S264)&gt;0,1,0)+IF(LEN(T264)&gt;0,1,0)+IF(LEN(U264)&gt;0,1,0)+IF(LEN(V264)&gt;0,1,0)+IF(LEN(AE264)&gt;0,1,0)+IF(LEN(AP264)&gt;0,1,0)+IF(LEN(BC264)&gt;0,1,0))/12,2))</f>
        <v/>
      </c>
      <c r="BI264" s="10" t="str">
        <f aca="false">IF(D264="","",IF(AND(T264="Approved",ISERROR(SEARCH("FAIL",AM264))),"Y","N"))</f>
        <v/>
      </c>
    </row>
    <row r="265" customFormat="false" ht="15" hidden="false" customHeight="false" outlineLevel="0" collapsed="false">
      <c r="A265" s="10" t="str">
        <f aca="false">IF(D265="","",IFERROR(VLOOKUP(D265,Lists!$BI$4:$BJ$20,2,0),"??")&amp;"-"&amp;UPPER(SUBSTITUTE(E265," ",""))&amp;IF(F265&lt;&gt;"","-SP"&amp;TEXT(F265*1000,"0"),"")&amp;IF(G265&lt;&gt;"","-H"&amp;TEXT(G265*1000,"0"),"")&amp;"-"&amp;S265)</f>
        <v/>
      </c>
      <c r="B265" s="10" t="str">
        <f aca="false">IF(D265="","",D265&amp;" - "&amp;E265&amp;IF(F265&lt;&gt;"",", span "&amp;F265&amp;" m","")&amp;IF(G265&lt;&gt;"",", H "&amp;G265&amp;" m","")&amp;IF(H265&lt;&gt;"",", W "&amp;H265&amp;" m",""))</f>
        <v/>
      </c>
      <c r="C265" s="9"/>
      <c r="D265" s="9"/>
      <c r="E265" s="9"/>
      <c r="F265" s="42"/>
      <c r="G265" s="42"/>
      <c r="H265" s="42"/>
      <c r="I265" s="9"/>
      <c r="J265" s="9"/>
      <c r="K265" s="9"/>
      <c r="L265" s="9"/>
      <c r="M265" s="9"/>
      <c r="N265" s="38"/>
      <c r="O265" s="9"/>
      <c r="P265" s="39"/>
      <c r="Q265" s="9"/>
      <c r="R265" s="9"/>
      <c r="S265" s="9"/>
      <c r="T265" s="9"/>
      <c r="U265" s="9"/>
      <c r="V265" s="9"/>
      <c r="W265" s="9"/>
      <c r="X265" s="10" t="str">
        <f aca="false">IF(A265="","",SG_Criteria!$B$6&amp;SG_Criteria!$B$13&amp;"\"&amp;A265&amp;"\")</f>
        <v/>
      </c>
      <c r="Y265" s="10" t="str">
        <f aca="false">IF(A265="","",A265&amp;"_CAD.dwg")</f>
        <v/>
      </c>
      <c r="Z265" s="10" t="str">
        <f aca="false">IF(A265="","",A265&amp;"_DWG.pdf")</f>
        <v/>
      </c>
      <c r="AA265" s="10" t="str">
        <f aca="false">IF(A265="","",IF(W265="Y",A265&amp;"_STAAD.std","n/a"))</f>
        <v/>
      </c>
      <c r="AB265" s="10" t="str">
        <f aca="false">IF(A265="","",A265&amp;"_CALC.xlsx")</f>
        <v/>
      </c>
      <c r="AC265" s="10" t="str">
        <f aca="false">IF(A265="","",A265&amp;"_CALC.pdf")</f>
        <v/>
      </c>
      <c r="AD265" s="9"/>
      <c r="AE265" s="9"/>
      <c r="AF265" s="39"/>
      <c r="AG265" s="39"/>
      <c r="AH265" s="39"/>
      <c r="AI265" s="39"/>
      <c r="AJ265" s="39"/>
      <c r="AK265" s="12" t="str">
        <f aca="false">IF(A265="","",IF(COUNTIF(Rebar_Schedule!$A$5:$A$2004,A265)=0,"",ROUND(SUMIF(Rebar_Schedule!$A$5:$A$2004,A265,Rebar_Schedule!$K$5:$K$2004),1)))</f>
        <v/>
      </c>
      <c r="AL265" s="33" t="str">
        <f aca="false">IF(A265="","",IF(AK265="","No rebar schedule yet",IF(ABS(AK265-N(AG265))/MAX(N(AG265),1)&gt;SG_Criteria!$B$55,"NOTE: register rebar differs from schedule by "&amp;TEXT(ABS(AK265-N(AG265))/MAX(N(AG265),1),"0%"),"OK")))</f>
        <v/>
      </c>
      <c r="AM265" s="33" t="str">
        <f aca="false">IF(D265="","","OK")</f>
        <v/>
      </c>
      <c r="AN265" s="9"/>
      <c r="AO265" s="9"/>
      <c r="AP265" s="9"/>
      <c r="AQ265" s="10" t="str">
        <f aca="false">IF(AP265="","",IFERROR(VLOOKUP(AP265,Projects!$A$5:$D$504,2,0),"Ref not in Projects"))</f>
        <v/>
      </c>
      <c r="AR265" s="10" t="str">
        <f aca="false">IF(AP265="","",IFERROR(VLOOKUP(AP265,Projects!$A$5:$D$504,4,0),"Ref not in Projects"))</f>
        <v/>
      </c>
      <c r="AS265" s="9"/>
      <c r="AT265" s="9"/>
      <c r="AU265" s="9"/>
      <c r="AV265" s="40"/>
      <c r="AW265" s="9"/>
      <c r="AX265" s="40"/>
      <c r="AY265" s="9"/>
      <c r="AZ265" s="40"/>
      <c r="BA265" s="9"/>
      <c r="BB265" s="9"/>
      <c r="BC265" s="9"/>
      <c r="BD265" s="40"/>
      <c r="BE265" s="40"/>
      <c r="BF265" s="36" t="str">
        <f aca="false">IF(BE265="","",EDATE(BE265,SG_Criteria!$B$54*12))</f>
        <v/>
      </c>
      <c r="BG265" s="33" t="str">
        <f aca="true">IF(A265="","",IF(BE265="","NOTE: not reviewed yet",IF(TODAY()&gt;BF265,"NOTE: review overdue","OK")))</f>
        <v/>
      </c>
      <c r="BH265" s="37" t="str">
        <f aca="false">IF(A265="","",ROUND((IF(LEN(D265)&gt;0,1,0)+IF(LEN(E265)&gt;0,1,0)+IF(LEN(I265)&gt;0,1,0)+IF(LEN(K265)&gt;0,1,0)+IF(LEN(Q265)&gt;0,1,0)+IF(LEN(S265)&gt;0,1,0)+IF(LEN(T265)&gt;0,1,0)+IF(LEN(U265)&gt;0,1,0)+IF(LEN(V265)&gt;0,1,0)+IF(LEN(AE265)&gt;0,1,0)+IF(LEN(AP265)&gt;0,1,0)+IF(LEN(BC265)&gt;0,1,0))/12,2))</f>
        <v/>
      </c>
      <c r="BI265" s="10" t="str">
        <f aca="false">IF(D265="","",IF(AND(T265="Approved",ISERROR(SEARCH("FAIL",AM265))),"Y","N"))</f>
        <v/>
      </c>
    </row>
    <row r="266" customFormat="false" ht="15" hidden="false" customHeight="false" outlineLevel="0" collapsed="false">
      <c r="A266" s="10" t="str">
        <f aca="false">IF(D266="","",IFERROR(VLOOKUP(D266,Lists!$BI$4:$BJ$20,2,0),"??")&amp;"-"&amp;UPPER(SUBSTITUTE(E266," ",""))&amp;IF(F266&lt;&gt;"","-SP"&amp;TEXT(F266*1000,"0"),"")&amp;IF(G266&lt;&gt;"","-H"&amp;TEXT(G266*1000,"0"),"")&amp;"-"&amp;S266)</f>
        <v/>
      </c>
      <c r="B266" s="10" t="str">
        <f aca="false">IF(D266="","",D266&amp;" - "&amp;E266&amp;IF(F266&lt;&gt;"",", span "&amp;F266&amp;" m","")&amp;IF(G266&lt;&gt;"",", H "&amp;G266&amp;" m","")&amp;IF(H266&lt;&gt;"",", W "&amp;H266&amp;" m",""))</f>
        <v/>
      </c>
      <c r="C266" s="9"/>
      <c r="D266" s="9"/>
      <c r="E266" s="9"/>
      <c r="F266" s="42"/>
      <c r="G266" s="42"/>
      <c r="H266" s="42"/>
      <c r="I266" s="9"/>
      <c r="J266" s="9"/>
      <c r="K266" s="9"/>
      <c r="L266" s="9"/>
      <c r="M266" s="9"/>
      <c r="N266" s="38"/>
      <c r="O266" s="9"/>
      <c r="P266" s="39"/>
      <c r="Q266" s="9"/>
      <c r="R266" s="9"/>
      <c r="S266" s="9"/>
      <c r="T266" s="9"/>
      <c r="U266" s="9"/>
      <c r="V266" s="9"/>
      <c r="W266" s="9"/>
      <c r="X266" s="10" t="str">
        <f aca="false">IF(A266="","",SG_Criteria!$B$6&amp;SG_Criteria!$B$13&amp;"\"&amp;A266&amp;"\")</f>
        <v/>
      </c>
      <c r="Y266" s="10" t="str">
        <f aca="false">IF(A266="","",A266&amp;"_CAD.dwg")</f>
        <v/>
      </c>
      <c r="Z266" s="10" t="str">
        <f aca="false">IF(A266="","",A266&amp;"_DWG.pdf")</f>
        <v/>
      </c>
      <c r="AA266" s="10" t="str">
        <f aca="false">IF(A266="","",IF(W266="Y",A266&amp;"_STAAD.std","n/a"))</f>
        <v/>
      </c>
      <c r="AB266" s="10" t="str">
        <f aca="false">IF(A266="","",A266&amp;"_CALC.xlsx")</f>
        <v/>
      </c>
      <c r="AC266" s="10" t="str">
        <f aca="false">IF(A266="","",A266&amp;"_CALC.pdf")</f>
        <v/>
      </c>
      <c r="AD266" s="9"/>
      <c r="AE266" s="9"/>
      <c r="AF266" s="39"/>
      <c r="AG266" s="39"/>
      <c r="AH266" s="39"/>
      <c r="AI266" s="39"/>
      <c r="AJ266" s="39"/>
      <c r="AK266" s="12" t="str">
        <f aca="false">IF(A266="","",IF(COUNTIF(Rebar_Schedule!$A$5:$A$2004,A266)=0,"",ROUND(SUMIF(Rebar_Schedule!$A$5:$A$2004,A266,Rebar_Schedule!$K$5:$K$2004),1)))</f>
        <v/>
      </c>
      <c r="AL266" s="33" t="str">
        <f aca="false">IF(A266="","",IF(AK266="","No rebar schedule yet",IF(ABS(AK266-N(AG266))/MAX(N(AG266),1)&gt;SG_Criteria!$B$55,"NOTE: register rebar differs from schedule by "&amp;TEXT(ABS(AK266-N(AG266))/MAX(N(AG266),1),"0%"),"OK")))</f>
        <v/>
      </c>
      <c r="AM266" s="33" t="str">
        <f aca="false">IF(D266="","","OK")</f>
        <v/>
      </c>
      <c r="AN266" s="9"/>
      <c r="AO266" s="9"/>
      <c r="AP266" s="9"/>
      <c r="AQ266" s="10" t="str">
        <f aca="false">IF(AP266="","",IFERROR(VLOOKUP(AP266,Projects!$A$5:$D$504,2,0),"Ref not in Projects"))</f>
        <v/>
      </c>
      <c r="AR266" s="10" t="str">
        <f aca="false">IF(AP266="","",IFERROR(VLOOKUP(AP266,Projects!$A$5:$D$504,4,0),"Ref not in Projects"))</f>
        <v/>
      </c>
      <c r="AS266" s="9"/>
      <c r="AT266" s="9"/>
      <c r="AU266" s="9"/>
      <c r="AV266" s="40"/>
      <c r="AW266" s="9"/>
      <c r="AX266" s="40"/>
      <c r="AY266" s="9"/>
      <c r="AZ266" s="40"/>
      <c r="BA266" s="9"/>
      <c r="BB266" s="9"/>
      <c r="BC266" s="9"/>
      <c r="BD266" s="40"/>
      <c r="BE266" s="40"/>
      <c r="BF266" s="36" t="str">
        <f aca="false">IF(BE266="","",EDATE(BE266,SG_Criteria!$B$54*12))</f>
        <v/>
      </c>
      <c r="BG266" s="33" t="str">
        <f aca="true">IF(A266="","",IF(BE266="","NOTE: not reviewed yet",IF(TODAY()&gt;BF266,"NOTE: review overdue","OK")))</f>
        <v/>
      </c>
      <c r="BH266" s="37" t="str">
        <f aca="false">IF(A266="","",ROUND((IF(LEN(D266)&gt;0,1,0)+IF(LEN(E266)&gt;0,1,0)+IF(LEN(I266)&gt;0,1,0)+IF(LEN(K266)&gt;0,1,0)+IF(LEN(Q266)&gt;0,1,0)+IF(LEN(S266)&gt;0,1,0)+IF(LEN(T266)&gt;0,1,0)+IF(LEN(U266)&gt;0,1,0)+IF(LEN(V266)&gt;0,1,0)+IF(LEN(AE266)&gt;0,1,0)+IF(LEN(AP266)&gt;0,1,0)+IF(LEN(BC266)&gt;0,1,0))/12,2))</f>
        <v/>
      </c>
      <c r="BI266" s="10" t="str">
        <f aca="false">IF(D266="","",IF(AND(T266="Approved",ISERROR(SEARCH("FAIL",AM266))),"Y","N"))</f>
        <v/>
      </c>
    </row>
    <row r="267" customFormat="false" ht="15" hidden="false" customHeight="false" outlineLevel="0" collapsed="false">
      <c r="A267" s="10" t="str">
        <f aca="false">IF(D267="","",IFERROR(VLOOKUP(D267,Lists!$BI$4:$BJ$20,2,0),"??")&amp;"-"&amp;UPPER(SUBSTITUTE(E267," ",""))&amp;IF(F267&lt;&gt;"","-SP"&amp;TEXT(F267*1000,"0"),"")&amp;IF(G267&lt;&gt;"","-H"&amp;TEXT(G267*1000,"0"),"")&amp;"-"&amp;S267)</f>
        <v/>
      </c>
      <c r="B267" s="10" t="str">
        <f aca="false">IF(D267="","",D267&amp;" - "&amp;E267&amp;IF(F267&lt;&gt;"",", span "&amp;F267&amp;" m","")&amp;IF(G267&lt;&gt;"",", H "&amp;G267&amp;" m","")&amp;IF(H267&lt;&gt;"",", W "&amp;H267&amp;" m",""))</f>
        <v/>
      </c>
      <c r="C267" s="9"/>
      <c r="D267" s="9"/>
      <c r="E267" s="9"/>
      <c r="F267" s="42"/>
      <c r="G267" s="42"/>
      <c r="H267" s="42"/>
      <c r="I267" s="9"/>
      <c r="J267" s="9"/>
      <c r="K267" s="9"/>
      <c r="L267" s="9"/>
      <c r="M267" s="9"/>
      <c r="N267" s="38"/>
      <c r="O267" s="9"/>
      <c r="P267" s="39"/>
      <c r="Q267" s="9"/>
      <c r="R267" s="9"/>
      <c r="S267" s="9"/>
      <c r="T267" s="9"/>
      <c r="U267" s="9"/>
      <c r="V267" s="9"/>
      <c r="W267" s="9"/>
      <c r="X267" s="10" t="str">
        <f aca="false">IF(A267="","",SG_Criteria!$B$6&amp;SG_Criteria!$B$13&amp;"\"&amp;A267&amp;"\")</f>
        <v/>
      </c>
      <c r="Y267" s="10" t="str">
        <f aca="false">IF(A267="","",A267&amp;"_CAD.dwg")</f>
        <v/>
      </c>
      <c r="Z267" s="10" t="str">
        <f aca="false">IF(A267="","",A267&amp;"_DWG.pdf")</f>
        <v/>
      </c>
      <c r="AA267" s="10" t="str">
        <f aca="false">IF(A267="","",IF(W267="Y",A267&amp;"_STAAD.std","n/a"))</f>
        <v/>
      </c>
      <c r="AB267" s="10" t="str">
        <f aca="false">IF(A267="","",A267&amp;"_CALC.xlsx")</f>
        <v/>
      </c>
      <c r="AC267" s="10" t="str">
        <f aca="false">IF(A267="","",A267&amp;"_CALC.pdf")</f>
        <v/>
      </c>
      <c r="AD267" s="9"/>
      <c r="AE267" s="9"/>
      <c r="AF267" s="39"/>
      <c r="AG267" s="39"/>
      <c r="AH267" s="39"/>
      <c r="AI267" s="39"/>
      <c r="AJ267" s="39"/>
      <c r="AK267" s="12" t="str">
        <f aca="false">IF(A267="","",IF(COUNTIF(Rebar_Schedule!$A$5:$A$2004,A267)=0,"",ROUND(SUMIF(Rebar_Schedule!$A$5:$A$2004,A267,Rebar_Schedule!$K$5:$K$2004),1)))</f>
        <v/>
      </c>
      <c r="AL267" s="33" t="str">
        <f aca="false">IF(A267="","",IF(AK267="","No rebar schedule yet",IF(ABS(AK267-N(AG267))/MAX(N(AG267),1)&gt;SG_Criteria!$B$55,"NOTE: register rebar differs from schedule by "&amp;TEXT(ABS(AK267-N(AG267))/MAX(N(AG267),1),"0%"),"OK")))</f>
        <v/>
      </c>
      <c r="AM267" s="33" t="str">
        <f aca="false">IF(D267="","","OK")</f>
        <v/>
      </c>
      <c r="AN267" s="9"/>
      <c r="AO267" s="9"/>
      <c r="AP267" s="9"/>
      <c r="AQ267" s="10" t="str">
        <f aca="false">IF(AP267="","",IFERROR(VLOOKUP(AP267,Projects!$A$5:$D$504,2,0),"Ref not in Projects"))</f>
        <v/>
      </c>
      <c r="AR267" s="10" t="str">
        <f aca="false">IF(AP267="","",IFERROR(VLOOKUP(AP267,Projects!$A$5:$D$504,4,0),"Ref not in Projects"))</f>
        <v/>
      </c>
      <c r="AS267" s="9"/>
      <c r="AT267" s="9"/>
      <c r="AU267" s="9"/>
      <c r="AV267" s="40"/>
      <c r="AW267" s="9"/>
      <c r="AX267" s="40"/>
      <c r="AY267" s="9"/>
      <c r="AZ267" s="40"/>
      <c r="BA267" s="9"/>
      <c r="BB267" s="9"/>
      <c r="BC267" s="9"/>
      <c r="BD267" s="40"/>
      <c r="BE267" s="40"/>
      <c r="BF267" s="36" t="str">
        <f aca="false">IF(BE267="","",EDATE(BE267,SG_Criteria!$B$54*12))</f>
        <v/>
      </c>
      <c r="BG267" s="33" t="str">
        <f aca="true">IF(A267="","",IF(BE267="","NOTE: not reviewed yet",IF(TODAY()&gt;BF267,"NOTE: review overdue","OK")))</f>
        <v/>
      </c>
      <c r="BH267" s="37" t="str">
        <f aca="false">IF(A267="","",ROUND((IF(LEN(D267)&gt;0,1,0)+IF(LEN(E267)&gt;0,1,0)+IF(LEN(I267)&gt;0,1,0)+IF(LEN(K267)&gt;0,1,0)+IF(LEN(Q267)&gt;0,1,0)+IF(LEN(S267)&gt;0,1,0)+IF(LEN(T267)&gt;0,1,0)+IF(LEN(U267)&gt;0,1,0)+IF(LEN(V267)&gt;0,1,0)+IF(LEN(AE267)&gt;0,1,0)+IF(LEN(AP267)&gt;0,1,0)+IF(LEN(BC267)&gt;0,1,0))/12,2))</f>
        <v/>
      </c>
      <c r="BI267" s="10" t="str">
        <f aca="false">IF(D267="","",IF(AND(T267="Approved",ISERROR(SEARCH("FAIL",AM267))),"Y","N"))</f>
        <v/>
      </c>
    </row>
    <row r="268" customFormat="false" ht="15" hidden="false" customHeight="false" outlineLevel="0" collapsed="false">
      <c r="A268" s="10" t="str">
        <f aca="false">IF(D268="","",IFERROR(VLOOKUP(D268,Lists!$BI$4:$BJ$20,2,0),"??")&amp;"-"&amp;UPPER(SUBSTITUTE(E268," ",""))&amp;IF(F268&lt;&gt;"","-SP"&amp;TEXT(F268*1000,"0"),"")&amp;IF(G268&lt;&gt;"","-H"&amp;TEXT(G268*1000,"0"),"")&amp;"-"&amp;S268)</f>
        <v/>
      </c>
      <c r="B268" s="10" t="str">
        <f aca="false">IF(D268="","",D268&amp;" - "&amp;E268&amp;IF(F268&lt;&gt;"",", span "&amp;F268&amp;" m","")&amp;IF(G268&lt;&gt;"",", H "&amp;G268&amp;" m","")&amp;IF(H268&lt;&gt;"",", W "&amp;H268&amp;" m",""))</f>
        <v/>
      </c>
      <c r="C268" s="9"/>
      <c r="D268" s="9"/>
      <c r="E268" s="9"/>
      <c r="F268" s="42"/>
      <c r="G268" s="42"/>
      <c r="H268" s="42"/>
      <c r="I268" s="9"/>
      <c r="J268" s="9"/>
      <c r="K268" s="9"/>
      <c r="L268" s="9"/>
      <c r="M268" s="9"/>
      <c r="N268" s="38"/>
      <c r="O268" s="9"/>
      <c r="P268" s="39"/>
      <c r="Q268" s="9"/>
      <c r="R268" s="9"/>
      <c r="S268" s="9"/>
      <c r="T268" s="9"/>
      <c r="U268" s="9"/>
      <c r="V268" s="9"/>
      <c r="W268" s="9"/>
      <c r="X268" s="10" t="str">
        <f aca="false">IF(A268="","",SG_Criteria!$B$6&amp;SG_Criteria!$B$13&amp;"\"&amp;A268&amp;"\")</f>
        <v/>
      </c>
      <c r="Y268" s="10" t="str">
        <f aca="false">IF(A268="","",A268&amp;"_CAD.dwg")</f>
        <v/>
      </c>
      <c r="Z268" s="10" t="str">
        <f aca="false">IF(A268="","",A268&amp;"_DWG.pdf")</f>
        <v/>
      </c>
      <c r="AA268" s="10" t="str">
        <f aca="false">IF(A268="","",IF(W268="Y",A268&amp;"_STAAD.std","n/a"))</f>
        <v/>
      </c>
      <c r="AB268" s="10" t="str">
        <f aca="false">IF(A268="","",A268&amp;"_CALC.xlsx")</f>
        <v/>
      </c>
      <c r="AC268" s="10" t="str">
        <f aca="false">IF(A268="","",A268&amp;"_CALC.pdf")</f>
        <v/>
      </c>
      <c r="AD268" s="9"/>
      <c r="AE268" s="9"/>
      <c r="AF268" s="39"/>
      <c r="AG268" s="39"/>
      <c r="AH268" s="39"/>
      <c r="AI268" s="39"/>
      <c r="AJ268" s="39"/>
      <c r="AK268" s="12" t="str">
        <f aca="false">IF(A268="","",IF(COUNTIF(Rebar_Schedule!$A$5:$A$2004,A268)=0,"",ROUND(SUMIF(Rebar_Schedule!$A$5:$A$2004,A268,Rebar_Schedule!$K$5:$K$2004),1)))</f>
        <v/>
      </c>
      <c r="AL268" s="33" t="str">
        <f aca="false">IF(A268="","",IF(AK268="","No rebar schedule yet",IF(ABS(AK268-N(AG268))/MAX(N(AG268),1)&gt;SG_Criteria!$B$55,"NOTE: register rebar differs from schedule by "&amp;TEXT(ABS(AK268-N(AG268))/MAX(N(AG268),1),"0%"),"OK")))</f>
        <v/>
      </c>
      <c r="AM268" s="33" t="str">
        <f aca="false">IF(D268="","","OK")</f>
        <v/>
      </c>
      <c r="AN268" s="9"/>
      <c r="AO268" s="9"/>
      <c r="AP268" s="9"/>
      <c r="AQ268" s="10" t="str">
        <f aca="false">IF(AP268="","",IFERROR(VLOOKUP(AP268,Projects!$A$5:$D$504,2,0),"Ref not in Projects"))</f>
        <v/>
      </c>
      <c r="AR268" s="10" t="str">
        <f aca="false">IF(AP268="","",IFERROR(VLOOKUP(AP268,Projects!$A$5:$D$504,4,0),"Ref not in Projects"))</f>
        <v/>
      </c>
      <c r="AS268" s="9"/>
      <c r="AT268" s="9"/>
      <c r="AU268" s="9"/>
      <c r="AV268" s="40"/>
      <c r="AW268" s="9"/>
      <c r="AX268" s="40"/>
      <c r="AY268" s="9"/>
      <c r="AZ268" s="40"/>
      <c r="BA268" s="9"/>
      <c r="BB268" s="9"/>
      <c r="BC268" s="9"/>
      <c r="BD268" s="40"/>
      <c r="BE268" s="40"/>
      <c r="BF268" s="36" t="str">
        <f aca="false">IF(BE268="","",EDATE(BE268,SG_Criteria!$B$54*12))</f>
        <v/>
      </c>
      <c r="BG268" s="33" t="str">
        <f aca="true">IF(A268="","",IF(BE268="","NOTE: not reviewed yet",IF(TODAY()&gt;BF268,"NOTE: review overdue","OK")))</f>
        <v/>
      </c>
      <c r="BH268" s="37" t="str">
        <f aca="false">IF(A268="","",ROUND((IF(LEN(D268)&gt;0,1,0)+IF(LEN(E268)&gt;0,1,0)+IF(LEN(I268)&gt;0,1,0)+IF(LEN(K268)&gt;0,1,0)+IF(LEN(Q268)&gt;0,1,0)+IF(LEN(S268)&gt;0,1,0)+IF(LEN(T268)&gt;0,1,0)+IF(LEN(U268)&gt;0,1,0)+IF(LEN(V268)&gt;0,1,0)+IF(LEN(AE268)&gt;0,1,0)+IF(LEN(AP268)&gt;0,1,0)+IF(LEN(BC268)&gt;0,1,0))/12,2))</f>
        <v/>
      </c>
      <c r="BI268" s="10" t="str">
        <f aca="false">IF(D268="","",IF(AND(T268="Approved",ISERROR(SEARCH("FAIL",AM268))),"Y","N"))</f>
        <v/>
      </c>
    </row>
    <row r="269" customFormat="false" ht="15" hidden="false" customHeight="false" outlineLevel="0" collapsed="false">
      <c r="A269" s="10" t="str">
        <f aca="false">IF(D269="","",IFERROR(VLOOKUP(D269,Lists!$BI$4:$BJ$20,2,0),"??")&amp;"-"&amp;UPPER(SUBSTITUTE(E269," ",""))&amp;IF(F269&lt;&gt;"","-SP"&amp;TEXT(F269*1000,"0"),"")&amp;IF(G269&lt;&gt;"","-H"&amp;TEXT(G269*1000,"0"),"")&amp;"-"&amp;S269)</f>
        <v/>
      </c>
      <c r="B269" s="10" t="str">
        <f aca="false">IF(D269="","",D269&amp;" - "&amp;E269&amp;IF(F269&lt;&gt;"",", span "&amp;F269&amp;" m","")&amp;IF(G269&lt;&gt;"",", H "&amp;G269&amp;" m","")&amp;IF(H269&lt;&gt;"",", W "&amp;H269&amp;" m",""))</f>
        <v/>
      </c>
      <c r="C269" s="9"/>
      <c r="D269" s="9"/>
      <c r="E269" s="9"/>
      <c r="F269" s="42"/>
      <c r="G269" s="42"/>
      <c r="H269" s="42"/>
      <c r="I269" s="9"/>
      <c r="J269" s="9"/>
      <c r="K269" s="9"/>
      <c r="L269" s="9"/>
      <c r="M269" s="9"/>
      <c r="N269" s="38"/>
      <c r="O269" s="9"/>
      <c r="P269" s="39"/>
      <c r="Q269" s="9"/>
      <c r="R269" s="9"/>
      <c r="S269" s="9"/>
      <c r="T269" s="9"/>
      <c r="U269" s="9"/>
      <c r="V269" s="9"/>
      <c r="W269" s="9"/>
      <c r="X269" s="10" t="str">
        <f aca="false">IF(A269="","",SG_Criteria!$B$6&amp;SG_Criteria!$B$13&amp;"\"&amp;A269&amp;"\")</f>
        <v/>
      </c>
      <c r="Y269" s="10" t="str">
        <f aca="false">IF(A269="","",A269&amp;"_CAD.dwg")</f>
        <v/>
      </c>
      <c r="Z269" s="10" t="str">
        <f aca="false">IF(A269="","",A269&amp;"_DWG.pdf")</f>
        <v/>
      </c>
      <c r="AA269" s="10" t="str">
        <f aca="false">IF(A269="","",IF(W269="Y",A269&amp;"_STAAD.std","n/a"))</f>
        <v/>
      </c>
      <c r="AB269" s="10" t="str">
        <f aca="false">IF(A269="","",A269&amp;"_CALC.xlsx")</f>
        <v/>
      </c>
      <c r="AC269" s="10" t="str">
        <f aca="false">IF(A269="","",A269&amp;"_CALC.pdf")</f>
        <v/>
      </c>
      <c r="AD269" s="9"/>
      <c r="AE269" s="9"/>
      <c r="AF269" s="39"/>
      <c r="AG269" s="39"/>
      <c r="AH269" s="39"/>
      <c r="AI269" s="39"/>
      <c r="AJ269" s="39"/>
      <c r="AK269" s="12" t="str">
        <f aca="false">IF(A269="","",IF(COUNTIF(Rebar_Schedule!$A$5:$A$2004,A269)=0,"",ROUND(SUMIF(Rebar_Schedule!$A$5:$A$2004,A269,Rebar_Schedule!$K$5:$K$2004),1)))</f>
        <v/>
      </c>
      <c r="AL269" s="33" t="str">
        <f aca="false">IF(A269="","",IF(AK269="","No rebar schedule yet",IF(ABS(AK269-N(AG269))/MAX(N(AG269),1)&gt;SG_Criteria!$B$55,"NOTE: register rebar differs from schedule by "&amp;TEXT(ABS(AK269-N(AG269))/MAX(N(AG269),1),"0%"),"OK")))</f>
        <v/>
      </c>
      <c r="AM269" s="33" t="str">
        <f aca="false">IF(D269="","","OK")</f>
        <v/>
      </c>
      <c r="AN269" s="9"/>
      <c r="AO269" s="9"/>
      <c r="AP269" s="9"/>
      <c r="AQ269" s="10" t="str">
        <f aca="false">IF(AP269="","",IFERROR(VLOOKUP(AP269,Projects!$A$5:$D$504,2,0),"Ref not in Projects"))</f>
        <v/>
      </c>
      <c r="AR269" s="10" t="str">
        <f aca="false">IF(AP269="","",IFERROR(VLOOKUP(AP269,Projects!$A$5:$D$504,4,0),"Ref not in Projects"))</f>
        <v/>
      </c>
      <c r="AS269" s="9"/>
      <c r="AT269" s="9"/>
      <c r="AU269" s="9"/>
      <c r="AV269" s="40"/>
      <c r="AW269" s="9"/>
      <c r="AX269" s="40"/>
      <c r="AY269" s="9"/>
      <c r="AZ269" s="40"/>
      <c r="BA269" s="9"/>
      <c r="BB269" s="9"/>
      <c r="BC269" s="9"/>
      <c r="BD269" s="40"/>
      <c r="BE269" s="40"/>
      <c r="BF269" s="36" t="str">
        <f aca="false">IF(BE269="","",EDATE(BE269,SG_Criteria!$B$54*12))</f>
        <v/>
      </c>
      <c r="BG269" s="33" t="str">
        <f aca="true">IF(A269="","",IF(BE269="","NOTE: not reviewed yet",IF(TODAY()&gt;BF269,"NOTE: review overdue","OK")))</f>
        <v/>
      </c>
      <c r="BH269" s="37" t="str">
        <f aca="false">IF(A269="","",ROUND((IF(LEN(D269)&gt;0,1,0)+IF(LEN(E269)&gt;0,1,0)+IF(LEN(I269)&gt;0,1,0)+IF(LEN(K269)&gt;0,1,0)+IF(LEN(Q269)&gt;0,1,0)+IF(LEN(S269)&gt;0,1,0)+IF(LEN(T269)&gt;0,1,0)+IF(LEN(U269)&gt;0,1,0)+IF(LEN(V269)&gt;0,1,0)+IF(LEN(AE269)&gt;0,1,0)+IF(LEN(AP269)&gt;0,1,0)+IF(LEN(BC269)&gt;0,1,0))/12,2))</f>
        <v/>
      </c>
      <c r="BI269" s="10" t="str">
        <f aca="false">IF(D269="","",IF(AND(T269="Approved",ISERROR(SEARCH("FAIL",AM269))),"Y","N"))</f>
        <v/>
      </c>
    </row>
    <row r="270" customFormat="false" ht="15" hidden="false" customHeight="false" outlineLevel="0" collapsed="false">
      <c r="A270" s="10" t="str">
        <f aca="false">IF(D270="","",IFERROR(VLOOKUP(D270,Lists!$BI$4:$BJ$20,2,0),"??")&amp;"-"&amp;UPPER(SUBSTITUTE(E270," ",""))&amp;IF(F270&lt;&gt;"","-SP"&amp;TEXT(F270*1000,"0"),"")&amp;IF(G270&lt;&gt;"","-H"&amp;TEXT(G270*1000,"0"),"")&amp;"-"&amp;S270)</f>
        <v/>
      </c>
      <c r="B270" s="10" t="str">
        <f aca="false">IF(D270="","",D270&amp;" - "&amp;E270&amp;IF(F270&lt;&gt;"",", span "&amp;F270&amp;" m","")&amp;IF(G270&lt;&gt;"",", H "&amp;G270&amp;" m","")&amp;IF(H270&lt;&gt;"",", W "&amp;H270&amp;" m",""))</f>
        <v/>
      </c>
      <c r="C270" s="9"/>
      <c r="D270" s="9"/>
      <c r="E270" s="9"/>
      <c r="F270" s="42"/>
      <c r="G270" s="42"/>
      <c r="H270" s="42"/>
      <c r="I270" s="9"/>
      <c r="J270" s="9"/>
      <c r="K270" s="9"/>
      <c r="L270" s="9"/>
      <c r="M270" s="9"/>
      <c r="N270" s="38"/>
      <c r="O270" s="9"/>
      <c r="P270" s="39"/>
      <c r="Q270" s="9"/>
      <c r="R270" s="9"/>
      <c r="S270" s="9"/>
      <c r="T270" s="9"/>
      <c r="U270" s="9"/>
      <c r="V270" s="9"/>
      <c r="W270" s="9"/>
      <c r="X270" s="10" t="str">
        <f aca="false">IF(A270="","",SG_Criteria!$B$6&amp;SG_Criteria!$B$13&amp;"\"&amp;A270&amp;"\")</f>
        <v/>
      </c>
      <c r="Y270" s="10" t="str">
        <f aca="false">IF(A270="","",A270&amp;"_CAD.dwg")</f>
        <v/>
      </c>
      <c r="Z270" s="10" t="str">
        <f aca="false">IF(A270="","",A270&amp;"_DWG.pdf")</f>
        <v/>
      </c>
      <c r="AA270" s="10" t="str">
        <f aca="false">IF(A270="","",IF(W270="Y",A270&amp;"_STAAD.std","n/a"))</f>
        <v/>
      </c>
      <c r="AB270" s="10" t="str">
        <f aca="false">IF(A270="","",A270&amp;"_CALC.xlsx")</f>
        <v/>
      </c>
      <c r="AC270" s="10" t="str">
        <f aca="false">IF(A270="","",A270&amp;"_CALC.pdf")</f>
        <v/>
      </c>
      <c r="AD270" s="9"/>
      <c r="AE270" s="9"/>
      <c r="AF270" s="39"/>
      <c r="AG270" s="39"/>
      <c r="AH270" s="39"/>
      <c r="AI270" s="39"/>
      <c r="AJ270" s="39"/>
      <c r="AK270" s="12" t="str">
        <f aca="false">IF(A270="","",IF(COUNTIF(Rebar_Schedule!$A$5:$A$2004,A270)=0,"",ROUND(SUMIF(Rebar_Schedule!$A$5:$A$2004,A270,Rebar_Schedule!$K$5:$K$2004),1)))</f>
        <v/>
      </c>
      <c r="AL270" s="33" t="str">
        <f aca="false">IF(A270="","",IF(AK270="","No rebar schedule yet",IF(ABS(AK270-N(AG270))/MAX(N(AG270),1)&gt;SG_Criteria!$B$55,"NOTE: register rebar differs from schedule by "&amp;TEXT(ABS(AK270-N(AG270))/MAX(N(AG270),1),"0%"),"OK")))</f>
        <v/>
      </c>
      <c r="AM270" s="33" t="str">
        <f aca="false">IF(D270="","","OK")</f>
        <v/>
      </c>
      <c r="AN270" s="9"/>
      <c r="AO270" s="9"/>
      <c r="AP270" s="9"/>
      <c r="AQ270" s="10" t="str">
        <f aca="false">IF(AP270="","",IFERROR(VLOOKUP(AP270,Projects!$A$5:$D$504,2,0),"Ref not in Projects"))</f>
        <v/>
      </c>
      <c r="AR270" s="10" t="str">
        <f aca="false">IF(AP270="","",IFERROR(VLOOKUP(AP270,Projects!$A$5:$D$504,4,0),"Ref not in Projects"))</f>
        <v/>
      </c>
      <c r="AS270" s="9"/>
      <c r="AT270" s="9"/>
      <c r="AU270" s="9"/>
      <c r="AV270" s="40"/>
      <c r="AW270" s="9"/>
      <c r="AX270" s="40"/>
      <c r="AY270" s="9"/>
      <c r="AZ270" s="40"/>
      <c r="BA270" s="9"/>
      <c r="BB270" s="9"/>
      <c r="BC270" s="9"/>
      <c r="BD270" s="40"/>
      <c r="BE270" s="40"/>
      <c r="BF270" s="36" t="str">
        <f aca="false">IF(BE270="","",EDATE(BE270,SG_Criteria!$B$54*12))</f>
        <v/>
      </c>
      <c r="BG270" s="33" t="str">
        <f aca="true">IF(A270="","",IF(BE270="","NOTE: not reviewed yet",IF(TODAY()&gt;BF270,"NOTE: review overdue","OK")))</f>
        <v/>
      </c>
      <c r="BH270" s="37" t="str">
        <f aca="false">IF(A270="","",ROUND((IF(LEN(D270)&gt;0,1,0)+IF(LEN(E270)&gt;0,1,0)+IF(LEN(I270)&gt;0,1,0)+IF(LEN(K270)&gt;0,1,0)+IF(LEN(Q270)&gt;0,1,0)+IF(LEN(S270)&gt;0,1,0)+IF(LEN(T270)&gt;0,1,0)+IF(LEN(U270)&gt;0,1,0)+IF(LEN(V270)&gt;0,1,0)+IF(LEN(AE270)&gt;0,1,0)+IF(LEN(AP270)&gt;0,1,0)+IF(LEN(BC270)&gt;0,1,0))/12,2))</f>
        <v/>
      </c>
      <c r="BI270" s="10" t="str">
        <f aca="false">IF(D270="","",IF(AND(T270="Approved",ISERROR(SEARCH("FAIL",AM270))),"Y","N"))</f>
        <v/>
      </c>
    </row>
    <row r="271" customFormat="false" ht="15" hidden="false" customHeight="false" outlineLevel="0" collapsed="false">
      <c r="A271" s="10" t="str">
        <f aca="false">IF(D271="","",IFERROR(VLOOKUP(D271,Lists!$BI$4:$BJ$20,2,0),"??")&amp;"-"&amp;UPPER(SUBSTITUTE(E271," ",""))&amp;IF(F271&lt;&gt;"","-SP"&amp;TEXT(F271*1000,"0"),"")&amp;IF(G271&lt;&gt;"","-H"&amp;TEXT(G271*1000,"0"),"")&amp;"-"&amp;S271)</f>
        <v/>
      </c>
      <c r="B271" s="10" t="str">
        <f aca="false">IF(D271="","",D271&amp;" - "&amp;E271&amp;IF(F271&lt;&gt;"",", span "&amp;F271&amp;" m","")&amp;IF(G271&lt;&gt;"",", H "&amp;G271&amp;" m","")&amp;IF(H271&lt;&gt;"",", W "&amp;H271&amp;" m",""))</f>
        <v/>
      </c>
      <c r="C271" s="9"/>
      <c r="D271" s="9"/>
      <c r="E271" s="9"/>
      <c r="F271" s="42"/>
      <c r="G271" s="42"/>
      <c r="H271" s="42"/>
      <c r="I271" s="9"/>
      <c r="J271" s="9"/>
      <c r="K271" s="9"/>
      <c r="L271" s="9"/>
      <c r="M271" s="9"/>
      <c r="N271" s="38"/>
      <c r="O271" s="9"/>
      <c r="P271" s="39"/>
      <c r="Q271" s="9"/>
      <c r="R271" s="9"/>
      <c r="S271" s="9"/>
      <c r="T271" s="9"/>
      <c r="U271" s="9"/>
      <c r="V271" s="9"/>
      <c r="W271" s="9"/>
      <c r="X271" s="10" t="str">
        <f aca="false">IF(A271="","",SG_Criteria!$B$6&amp;SG_Criteria!$B$13&amp;"\"&amp;A271&amp;"\")</f>
        <v/>
      </c>
      <c r="Y271" s="10" t="str">
        <f aca="false">IF(A271="","",A271&amp;"_CAD.dwg")</f>
        <v/>
      </c>
      <c r="Z271" s="10" t="str">
        <f aca="false">IF(A271="","",A271&amp;"_DWG.pdf")</f>
        <v/>
      </c>
      <c r="AA271" s="10" t="str">
        <f aca="false">IF(A271="","",IF(W271="Y",A271&amp;"_STAAD.std","n/a"))</f>
        <v/>
      </c>
      <c r="AB271" s="10" t="str">
        <f aca="false">IF(A271="","",A271&amp;"_CALC.xlsx")</f>
        <v/>
      </c>
      <c r="AC271" s="10" t="str">
        <f aca="false">IF(A271="","",A271&amp;"_CALC.pdf")</f>
        <v/>
      </c>
      <c r="AD271" s="9"/>
      <c r="AE271" s="9"/>
      <c r="AF271" s="39"/>
      <c r="AG271" s="39"/>
      <c r="AH271" s="39"/>
      <c r="AI271" s="39"/>
      <c r="AJ271" s="39"/>
      <c r="AK271" s="12" t="str">
        <f aca="false">IF(A271="","",IF(COUNTIF(Rebar_Schedule!$A$5:$A$2004,A271)=0,"",ROUND(SUMIF(Rebar_Schedule!$A$5:$A$2004,A271,Rebar_Schedule!$K$5:$K$2004),1)))</f>
        <v/>
      </c>
      <c r="AL271" s="33" t="str">
        <f aca="false">IF(A271="","",IF(AK271="","No rebar schedule yet",IF(ABS(AK271-N(AG271))/MAX(N(AG271),1)&gt;SG_Criteria!$B$55,"NOTE: register rebar differs from schedule by "&amp;TEXT(ABS(AK271-N(AG271))/MAX(N(AG271),1),"0%"),"OK")))</f>
        <v/>
      </c>
      <c r="AM271" s="33" t="str">
        <f aca="false">IF(D271="","","OK")</f>
        <v/>
      </c>
      <c r="AN271" s="9"/>
      <c r="AO271" s="9"/>
      <c r="AP271" s="9"/>
      <c r="AQ271" s="10" t="str">
        <f aca="false">IF(AP271="","",IFERROR(VLOOKUP(AP271,Projects!$A$5:$D$504,2,0),"Ref not in Projects"))</f>
        <v/>
      </c>
      <c r="AR271" s="10" t="str">
        <f aca="false">IF(AP271="","",IFERROR(VLOOKUP(AP271,Projects!$A$5:$D$504,4,0),"Ref not in Projects"))</f>
        <v/>
      </c>
      <c r="AS271" s="9"/>
      <c r="AT271" s="9"/>
      <c r="AU271" s="9"/>
      <c r="AV271" s="40"/>
      <c r="AW271" s="9"/>
      <c r="AX271" s="40"/>
      <c r="AY271" s="9"/>
      <c r="AZ271" s="40"/>
      <c r="BA271" s="9"/>
      <c r="BB271" s="9"/>
      <c r="BC271" s="9"/>
      <c r="BD271" s="40"/>
      <c r="BE271" s="40"/>
      <c r="BF271" s="36" t="str">
        <f aca="false">IF(BE271="","",EDATE(BE271,SG_Criteria!$B$54*12))</f>
        <v/>
      </c>
      <c r="BG271" s="33" t="str">
        <f aca="true">IF(A271="","",IF(BE271="","NOTE: not reviewed yet",IF(TODAY()&gt;BF271,"NOTE: review overdue","OK")))</f>
        <v/>
      </c>
      <c r="BH271" s="37" t="str">
        <f aca="false">IF(A271="","",ROUND((IF(LEN(D271)&gt;0,1,0)+IF(LEN(E271)&gt;0,1,0)+IF(LEN(I271)&gt;0,1,0)+IF(LEN(K271)&gt;0,1,0)+IF(LEN(Q271)&gt;0,1,0)+IF(LEN(S271)&gt;0,1,0)+IF(LEN(T271)&gt;0,1,0)+IF(LEN(U271)&gt;0,1,0)+IF(LEN(V271)&gt;0,1,0)+IF(LEN(AE271)&gt;0,1,0)+IF(LEN(AP271)&gt;0,1,0)+IF(LEN(BC271)&gt;0,1,0))/12,2))</f>
        <v/>
      </c>
      <c r="BI271" s="10" t="str">
        <f aca="false">IF(D271="","",IF(AND(T271="Approved",ISERROR(SEARCH("FAIL",AM271))),"Y","N"))</f>
        <v/>
      </c>
    </row>
    <row r="272" customFormat="false" ht="15" hidden="false" customHeight="false" outlineLevel="0" collapsed="false">
      <c r="A272" s="10" t="str">
        <f aca="false">IF(D272="","",IFERROR(VLOOKUP(D272,Lists!$BI$4:$BJ$20,2,0),"??")&amp;"-"&amp;UPPER(SUBSTITUTE(E272," ",""))&amp;IF(F272&lt;&gt;"","-SP"&amp;TEXT(F272*1000,"0"),"")&amp;IF(G272&lt;&gt;"","-H"&amp;TEXT(G272*1000,"0"),"")&amp;"-"&amp;S272)</f>
        <v/>
      </c>
      <c r="B272" s="10" t="str">
        <f aca="false">IF(D272="","",D272&amp;" - "&amp;E272&amp;IF(F272&lt;&gt;"",", span "&amp;F272&amp;" m","")&amp;IF(G272&lt;&gt;"",", H "&amp;G272&amp;" m","")&amp;IF(H272&lt;&gt;"",", W "&amp;H272&amp;" m",""))</f>
        <v/>
      </c>
      <c r="C272" s="9"/>
      <c r="D272" s="9"/>
      <c r="E272" s="9"/>
      <c r="F272" s="42"/>
      <c r="G272" s="42"/>
      <c r="H272" s="42"/>
      <c r="I272" s="9"/>
      <c r="J272" s="9"/>
      <c r="K272" s="9"/>
      <c r="L272" s="9"/>
      <c r="M272" s="9"/>
      <c r="N272" s="38"/>
      <c r="O272" s="9"/>
      <c r="P272" s="39"/>
      <c r="Q272" s="9"/>
      <c r="R272" s="9"/>
      <c r="S272" s="9"/>
      <c r="T272" s="9"/>
      <c r="U272" s="9"/>
      <c r="V272" s="9"/>
      <c r="W272" s="9"/>
      <c r="X272" s="10" t="str">
        <f aca="false">IF(A272="","",SG_Criteria!$B$6&amp;SG_Criteria!$B$13&amp;"\"&amp;A272&amp;"\")</f>
        <v/>
      </c>
      <c r="Y272" s="10" t="str">
        <f aca="false">IF(A272="","",A272&amp;"_CAD.dwg")</f>
        <v/>
      </c>
      <c r="Z272" s="10" t="str">
        <f aca="false">IF(A272="","",A272&amp;"_DWG.pdf")</f>
        <v/>
      </c>
      <c r="AA272" s="10" t="str">
        <f aca="false">IF(A272="","",IF(W272="Y",A272&amp;"_STAAD.std","n/a"))</f>
        <v/>
      </c>
      <c r="AB272" s="10" t="str">
        <f aca="false">IF(A272="","",A272&amp;"_CALC.xlsx")</f>
        <v/>
      </c>
      <c r="AC272" s="10" t="str">
        <f aca="false">IF(A272="","",A272&amp;"_CALC.pdf")</f>
        <v/>
      </c>
      <c r="AD272" s="9"/>
      <c r="AE272" s="9"/>
      <c r="AF272" s="39"/>
      <c r="AG272" s="39"/>
      <c r="AH272" s="39"/>
      <c r="AI272" s="39"/>
      <c r="AJ272" s="39"/>
      <c r="AK272" s="12" t="str">
        <f aca="false">IF(A272="","",IF(COUNTIF(Rebar_Schedule!$A$5:$A$2004,A272)=0,"",ROUND(SUMIF(Rebar_Schedule!$A$5:$A$2004,A272,Rebar_Schedule!$K$5:$K$2004),1)))</f>
        <v/>
      </c>
      <c r="AL272" s="33" t="str">
        <f aca="false">IF(A272="","",IF(AK272="","No rebar schedule yet",IF(ABS(AK272-N(AG272))/MAX(N(AG272),1)&gt;SG_Criteria!$B$55,"NOTE: register rebar differs from schedule by "&amp;TEXT(ABS(AK272-N(AG272))/MAX(N(AG272),1),"0%"),"OK")))</f>
        <v/>
      </c>
      <c r="AM272" s="33" t="str">
        <f aca="false">IF(D272="","","OK")</f>
        <v/>
      </c>
      <c r="AN272" s="9"/>
      <c r="AO272" s="9"/>
      <c r="AP272" s="9"/>
      <c r="AQ272" s="10" t="str">
        <f aca="false">IF(AP272="","",IFERROR(VLOOKUP(AP272,Projects!$A$5:$D$504,2,0),"Ref not in Projects"))</f>
        <v/>
      </c>
      <c r="AR272" s="10" t="str">
        <f aca="false">IF(AP272="","",IFERROR(VLOOKUP(AP272,Projects!$A$5:$D$504,4,0),"Ref not in Projects"))</f>
        <v/>
      </c>
      <c r="AS272" s="9"/>
      <c r="AT272" s="9"/>
      <c r="AU272" s="9"/>
      <c r="AV272" s="40"/>
      <c r="AW272" s="9"/>
      <c r="AX272" s="40"/>
      <c r="AY272" s="9"/>
      <c r="AZ272" s="40"/>
      <c r="BA272" s="9"/>
      <c r="BB272" s="9"/>
      <c r="BC272" s="9"/>
      <c r="BD272" s="40"/>
      <c r="BE272" s="40"/>
      <c r="BF272" s="36" t="str">
        <f aca="false">IF(BE272="","",EDATE(BE272,SG_Criteria!$B$54*12))</f>
        <v/>
      </c>
      <c r="BG272" s="33" t="str">
        <f aca="true">IF(A272="","",IF(BE272="","NOTE: not reviewed yet",IF(TODAY()&gt;BF272,"NOTE: review overdue","OK")))</f>
        <v/>
      </c>
      <c r="BH272" s="37" t="str">
        <f aca="false">IF(A272="","",ROUND((IF(LEN(D272)&gt;0,1,0)+IF(LEN(E272)&gt;0,1,0)+IF(LEN(I272)&gt;0,1,0)+IF(LEN(K272)&gt;0,1,0)+IF(LEN(Q272)&gt;0,1,0)+IF(LEN(S272)&gt;0,1,0)+IF(LEN(T272)&gt;0,1,0)+IF(LEN(U272)&gt;0,1,0)+IF(LEN(V272)&gt;0,1,0)+IF(LEN(AE272)&gt;0,1,0)+IF(LEN(AP272)&gt;0,1,0)+IF(LEN(BC272)&gt;0,1,0))/12,2))</f>
        <v/>
      </c>
      <c r="BI272" s="10" t="str">
        <f aca="false">IF(D272="","",IF(AND(T272="Approved",ISERROR(SEARCH("FAIL",AM272))),"Y","N"))</f>
        <v/>
      </c>
    </row>
    <row r="273" customFormat="false" ht="15" hidden="false" customHeight="false" outlineLevel="0" collapsed="false">
      <c r="A273" s="10" t="str">
        <f aca="false">IF(D273="","",IFERROR(VLOOKUP(D273,Lists!$BI$4:$BJ$20,2,0),"??")&amp;"-"&amp;UPPER(SUBSTITUTE(E273," ",""))&amp;IF(F273&lt;&gt;"","-SP"&amp;TEXT(F273*1000,"0"),"")&amp;IF(G273&lt;&gt;"","-H"&amp;TEXT(G273*1000,"0"),"")&amp;"-"&amp;S273)</f>
        <v/>
      </c>
      <c r="B273" s="10" t="str">
        <f aca="false">IF(D273="","",D273&amp;" - "&amp;E273&amp;IF(F273&lt;&gt;"",", span "&amp;F273&amp;" m","")&amp;IF(G273&lt;&gt;"",", H "&amp;G273&amp;" m","")&amp;IF(H273&lt;&gt;"",", W "&amp;H273&amp;" m",""))</f>
        <v/>
      </c>
      <c r="C273" s="9"/>
      <c r="D273" s="9"/>
      <c r="E273" s="9"/>
      <c r="F273" s="42"/>
      <c r="G273" s="42"/>
      <c r="H273" s="42"/>
      <c r="I273" s="9"/>
      <c r="J273" s="9"/>
      <c r="K273" s="9"/>
      <c r="L273" s="9"/>
      <c r="M273" s="9"/>
      <c r="N273" s="38"/>
      <c r="O273" s="9"/>
      <c r="P273" s="39"/>
      <c r="Q273" s="9"/>
      <c r="R273" s="9"/>
      <c r="S273" s="9"/>
      <c r="T273" s="9"/>
      <c r="U273" s="9"/>
      <c r="V273" s="9"/>
      <c r="W273" s="9"/>
      <c r="X273" s="10" t="str">
        <f aca="false">IF(A273="","",SG_Criteria!$B$6&amp;SG_Criteria!$B$13&amp;"\"&amp;A273&amp;"\")</f>
        <v/>
      </c>
      <c r="Y273" s="10" t="str">
        <f aca="false">IF(A273="","",A273&amp;"_CAD.dwg")</f>
        <v/>
      </c>
      <c r="Z273" s="10" t="str">
        <f aca="false">IF(A273="","",A273&amp;"_DWG.pdf")</f>
        <v/>
      </c>
      <c r="AA273" s="10" t="str">
        <f aca="false">IF(A273="","",IF(W273="Y",A273&amp;"_STAAD.std","n/a"))</f>
        <v/>
      </c>
      <c r="AB273" s="10" t="str">
        <f aca="false">IF(A273="","",A273&amp;"_CALC.xlsx")</f>
        <v/>
      </c>
      <c r="AC273" s="10" t="str">
        <f aca="false">IF(A273="","",A273&amp;"_CALC.pdf")</f>
        <v/>
      </c>
      <c r="AD273" s="9"/>
      <c r="AE273" s="9"/>
      <c r="AF273" s="39"/>
      <c r="AG273" s="39"/>
      <c r="AH273" s="39"/>
      <c r="AI273" s="39"/>
      <c r="AJ273" s="39"/>
      <c r="AK273" s="12" t="str">
        <f aca="false">IF(A273="","",IF(COUNTIF(Rebar_Schedule!$A$5:$A$2004,A273)=0,"",ROUND(SUMIF(Rebar_Schedule!$A$5:$A$2004,A273,Rebar_Schedule!$K$5:$K$2004),1)))</f>
        <v/>
      </c>
      <c r="AL273" s="33" t="str">
        <f aca="false">IF(A273="","",IF(AK273="","No rebar schedule yet",IF(ABS(AK273-N(AG273))/MAX(N(AG273),1)&gt;SG_Criteria!$B$55,"NOTE: register rebar differs from schedule by "&amp;TEXT(ABS(AK273-N(AG273))/MAX(N(AG273),1),"0%"),"OK")))</f>
        <v/>
      </c>
      <c r="AM273" s="33" t="str">
        <f aca="false">IF(D273="","","OK")</f>
        <v/>
      </c>
      <c r="AN273" s="9"/>
      <c r="AO273" s="9"/>
      <c r="AP273" s="9"/>
      <c r="AQ273" s="10" t="str">
        <f aca="false">IF(AP273="","",IFERROR(VLOOKUP(AP273,Projects!$A$5:$D$504,2,0),"Ref not in Projects"))</f>
        <v/>
      </c>
      <c r="AR273" s="10" t="str">
        <f aca="false">IF(AP273="","",IFERROR(VLOOKUP(AP273,Projects!$A$5:$D$504,4,0),"Ref not in Projects"))</f>
        <v/>
      </c>
      <c r="AS273" s="9"/>
      <c r="AT273" s="9"/>
      <c r="AU273" s="9"/>
      <c r="AV273" s="40"/>
      <c r="AW273" s="9"/>
      <c r="AX273" s="40"/>
      <c r="AY273" s="9"/>
      <c r="AZ273" s="40"/>
      <c r="BA273" s="9"/>
      <c r="BB273" s="9"/>
      <c r="BC273" s="9"/>
      <c r="BD273" s="40"/>
      <c r="BE273" s="40"/>
      <c r="BF273" s="36" t="str">
        <f aca="false">IF(BE273="","",EDATE(BE273,SG_Criteria!$B$54*12))</f>
        <v/>
      </c>
      <c r="BG273" s="33" t="str">
        <f aca="true">IF(A273="","",IF(BE273="","NOTE: not reviewed yet",IF(TODAY()&gt;BF273,"NOTE: review overdue","OK")))</f>
        <v/>
      </c>
      <c r="BH273" s="37" t="str">
        <f aca="false">IF(A273="","",ROUND((IF(LEN(D273)&gt;0,1,0)+IF(LEN(E273)&gt;0,1,0)+IF(LEN(I273)&gt;0,1,0)+IF(LEN(K273)&gt;0,1,0)+IF(LEN(Q273)&gt;0,1,0)+IF(LEN(S273)&gt;0,1,0)+IF(LEN(T273)&gt;0,1,0)+IF(LEN(U273)&gt;0,1,0)+IF(LEN(V273)&gt;0,1,0)+IF(LEN(AE273)&gt;0,1,0)+IF(LEN(AP273)&gt;0,1,0)+IF(LEN(BC273)&gt;0,1,0))/12,2))</f>
        <v/>
      </c>
      <c r="BI273" s="10" t="str">
        <f aca="false">IF(D273="","",IF(AND(T273="Approved",ISERROR(SEARCH("FAIL",AM273))),"Y","N"))</f>
        <v/>
      </c>
    </row>
    <row r="274" customFormat="false" ht="15" hidden="false" customHeight="false" outlineLevel="0" collapsed="false">
      <c r="A274" s="10" t="str">
        <f aca="false">IF(D274="","",IFERROR(VLOOKUP(D274,Lists!$BI$4:$BJ$20,2,0),"??")&amp;"-"&amp;UPPER(SUBSTITUTE(E274," ",""))&amp;IF(F274&lt;&gt;"","-SP"&amp;TEXT(F274*1000,"0"),"")&amp;IF(G274&lt;&gt;"","-H"&amp;TEXT(G274*1000,"0"),"")&amp;"-"&amp;S274)</f>
        <v/>
      </c>
      <c r="B274" s="10" t="str">
        <f aca="false">IF(D274="","",D274&amp;" - "&amp;E274&amp;IF(F274&lt;&gt;"",", span "&amp;F274&amp;" m","")&amp;IF(G274&lt;&gt;"",", H "&amp;G274&amp;" m","")&amp;IF(H274&lt;&gt;"",", W "&amp;H274&amp;" m",""))</f>
        <v/>
      </c>
      <c r="C274" s="9"/>
      <c r="D274" s="9"/>
      <c r="E274" s="9"/>
      <c r="F274" s="42"/>
      <c r="G274" s="42"/>
      <c r="H274" s="42"/>
      <c r="I274" s="9"/>
      <c r="J274" s="9"/>
      <c r="K274" s="9"/>
      <c r="L274" s="9"/>
      <c r="M274" s="9"/>
      <c r="N274" s="38"/>
      <c r="O274" s="9"/>
      <c r="P274" s="39"/>
      <c r="Q274" s="9"/>
      <c r="R274" s="9"/>
      <c r="S274" s="9"/>
      <c r="T274" s="9"/>
      <c r="U274" s="9"/>
      <c r="V274" s="9"/>
      <c r="W274" s="9"/>
      <c r="X274" s="10" t="str">
        <f aca="false">IF(A274="","",SG_Criteria!$B$6&amp;SG_Criteria!$B$13&amp;"\"&amp;A274&amp;"\")</f>
        <v/>
      </c>
      <c r="Y274" s="10" t="str">
        <f aca="false">IF(A274="","",A274&amp;"_CAD.dwg")</f>
        <v/>
      </c>
      <c r="Z274" s="10" t="str">
        <f aca="false">IF(A274="","",A274&amp;"_DWG.pdf")</f>
        <v/>
      </c>
      <c r="AA274" s="10" t="str">
        <f aca="false">IF(A274="","",IF(W274="Y",A274&amp;"_STAAD.std","n/a"))</f>
        <v/>
      </c>
      <c r="AB274" s="10" t="str">
        <f aca="false">IF(A274="","",A274&amp;"_CALC.xlsx")</f>
        <v/>
      </c>
      <c r="AC274" s="10" t="str">
        <f aca="false">IF(A274="","",A274&amp;"_CALC.pdf")</f>
        <v/>
      </c>
      <c r="AD274" s="9"/>
      <c r="AE274" s="9"/>
      <c r="AF274" s="39"/>
      <c r="AG274" s="39"/>
      <c r="AH274" s="39"/>
      <c r="AI274" s="39"/>
      <c r="AJ274" s="39"/>
      <c r="AK274" s="12" t="str">
        <f aca="false">IF(A274="","",IF(COUNTIF(Rebar_Schedule!$A$5:$A$2004,A274)=0,"",ROUND(SUMIF(Rebar_Schedule!$A$5:$A$2004,A274,Rebar_Schedule!$K$5:$K$2004),1)))</f>
        <v/>
      </c>
      <c r="AL274" s="33" t="str">
        <f aca="false">IF(A274="","",IF(AK274="","No rebar schedule yet",IF(ABS(AK274-N(AG274))/MAX(N(AG274),1)&gt;SG_Criteria!$B$55,"NOTE: register rebar differs from schedule by "&amp;TEXT(ABS(AK274-N(AG274))/MAX(N(AG274),1),"0%"),"OK")))</f>
        <v/>
      </c>
      <c r="AM274" s="33" t="str">
        <f aca="false">IF(D274="","","OK")</f>
        <v/>
      </c>
      <c r="AN274" s="9"/>
      <c r="AO274" s="9"/>
      <c r="AP274" s="9"/>
      <c r="AQ274" s="10" t="str">
        <f aca="false">IF(AP274="","",IFERROR(VLOOKUP(AP274,Projects!$A$5:$D$504,2,0),"Ref not in Projects"))</f>
        <v/>
      </c>
      <c r="AR274" s="10" t="str">
        <f aca="false">IF(AP274="","",IFERROR(VLOOKUP(AP274,Projects!$A$5:$D$504,4,0),"Ref not in Projects"))</f>
        <v/>
      </c>
      <c r="AS274" s="9"/>
      <c r="AT274" s="9"/>
      <c r="AU274" s="9"/>
      <c r="AV274" s="40"/>
      <c r="AW274" s="9"/>
      <c r="AX274" s="40"/>
      <c r="AY274" s="9"/>
      <c r="AZ274" s="40"/>
      <c r="BA274" s="9"/>
      <c r="BB274" s="9"/>
      <c r="BC274" s="9"/>
      <c r="BD274" s="40"/>
      <c r="BE274" s="40"/>
      <c r="BF274" s="36" t="str">
        <f aca="false">IF(BE274="","",EDATE(BE274,SG_Criteria!$B$54*12))</f>
        <v/>
      </c>
      <c r="BG274" s="33" t="str">
        <f aca="true">IF(A274="","",IF(BE274="","NOTE: not reviewed yet",IF(TODAY()&gt;BF274,"NOTE: review overdue","OK")))</f>
        <v/>
      </c>
      <c r="BH274" s="37" t="str">
        <f aca="false">IF(A274="","",ROUND((IF(LEN(D274)&gt;0,1,0)+IF(LEN(E274)&gt;0,1,0)+IF(LEN(I274)&gt;0,1,0)+IF(LEN(K274)&gt;0,1,0)+IF(LEN(Q274)&gt;0,1,0)+IF(LEN(S274)&gt;0,1,0)+IF(LEN(T274)&gt;0,1,0)+IF(LEN(U274)&gt;0,1,0)+IF(LEN(V274)&gt;0,1,0)+IF(LEN(AE274)&gt;0,1,0)+IF(LEN(AP274)&gt;0,1,0)+IF(LEN(BC274)&gt;0,1,0))/12,2))</f>
        <v/>
      </c>
      <c r="BI274" s="10" t="str">
        <f aca="false">IF(D274="","",IF(AND(T274="Approved",ISERROR(SEARCH("FAIL",AM274))),"Y","N"))</f>
        <v/>
      </c>
    </row>
    <row r="275" customFormat="false" ht="15" hidden="false" customHeight="false" outlineLevel="0" collapsed="false">
      <c r="A275" s="10" t="str">
        <f aca="false">IF(D275="","",IFERROR(VLOOKUP(D275,Lists!$BI$4:$BJ$20,2,0),"??")&amp;"-"&amp;UPPER(SUBSTITUTE(E275," ",""))&amp;IF(F275&lt;&gt;"","-SP"&amp;TEXT(F275*1000,"0"),"")&amp;IF(G275&lt;&gt;"","-H"&amp;TEXT(G275*1000,"0"),"")&amp;"-"&amp;S275)</f>
        <v/>
      </c>
      <c r="B275" s="10" t="str">
        <f aca="false">IF(D275="","",D275&amp;" - "&amp;E275&amp;IF(F275&lt;&gt;"",", span "&amp;F275&amp;" m","")&amp;IF(G275&lt;&gt;"",", H "&amp;G275&amp;" m","")&amp;IF(H275&lt;&gt;"",", W "&amp;H275&amp;" m",""))</f>
        <v/>
      </c>
      <c r="C275" s="9"/>
      <c r="D275" s="9"/>
      <c r="E275" s="9"/>
      <c r="F275" s="42"/>
      <c r="G275" s="42"/>
      <c r="H275" s="42"/>
      <c r="I275" s="9"/>
      <c r="J275" s="9"/>
      <c r="K275" s="9"/>
      <c r="L275" s="9"/>
      <c r="M275" s="9"/>
      <c r="N275" s="38"/>
      <c r="O275" s="9"/>
      <c r="P275" s="39"/>
      <c r="Q275" s="9"/>
      <c r="R275" s="9"/>
      <c r="S275" s="9"/>
      <c r="T275" s="9"/>
      <c r="U275" s="9"/>
      <c r="V275" s="9"/>
      <c r="W275" s="9"/>
      <c r="X275" s="10" t="str">
        <f aca="false">IF(A275="","",SG_Criteria!$B$6&amp;SG_Criteria!$B$13&amp;"\"&amp;A275&amp;"\")</f>
        <v/>
      </c>
      <c r="Y275" s="10" t="str">
        <f aca="false">IF(A275="","",A275&amp;"_CAD.dwg")</f>
        <v/>
      </c>
      <c r="Z275" s="10" t="str">
        <f aca="false">IF(A275="","",A275&amp;"_DWG.pdf")</f>
        <v/>
      </c>
      <c r="AA275" s="10" t="str">
        <f aca="false">IF(A275="","",IF(W275="Y",A275&amp;"_STAAD.std","n/a"))</f>
        <v/>
      </c>
      <c r="AB275" s="10" t="str">
        <f aca="false">IF(A275="","",A275&amp;"_CALC.xlsx")</f>
        <v/>
      </c>
      <c r="AC275" s="10" t="str">
        <f aca="false">IF(A275="","",A275&amp;"_CALC.pdf")</f>
        <v/>
      </c>
      <c r="AD275" s="9"/>
      <c r="AE275" s="9"/>
      <c r="AF275" s="39"/>
      <c r="AG275" s="39"/>
      <c r="AH275" s="39"/>
      <c r="AI275" s="39"/>
      <c r="AJ275" s="39"/>
      <c r="AK275" s="12" t="str">
        <f aca="false">IF(A275="","",IF(COUNTIF(Rebar_Schedule!$A$5:$A$2004,A275)=0,"",ROUND(SUMIF(Rebar_Schedule!$A$5:$A$2004,A275,Rebar_Schedule!$K$5:$K$2004),1)))</f>
        <v/>
      </c>
      <c r="AL275" s="33" t="str">
        <f aca="false">IF(A275="","",IF(AK275="","No rebar schedule yet",IF(ABS(AK275-N(AG275))/MAX(N(AG275),1)&gt;SG_Criteria!$B$55,"NOTE: register rebar differs from schedule by "&amp;TEXT(ABS(AK275-N(AG275))/MAX(N(AG275),1),"0%"),"OK")))</f>
        <v/>
      </c>
      <c r="AM275" s="33" t="str">
        <f aca="false">IF(D275="","","OK")</f>
        <v/>
      </c>
      <c r="AN275" s="9"/>
      <c r="AO275" s="9"/>
      <c r="AP275" s="9"/>
      <c r="AQ275" s="10" t="str">
        <f aca="false">IF(AP275="","",IFERROR(VLOOKUP(AP275,Projects!$A$5:$D$504,2,0),"Ref not in Projects"))</f>
        <v/>
      </c>
      <c r="AR275" s="10" t="str">
        <f aca="false">IF(AP275="","",IFERROR(VLOOKUP(AP275,Projects!$A$5:$D$504,4,0),"Ref not in Projects"))</f>
        <v/>
      </c>
      <c r="AS275" s="9"/>
      <c r="AT275" s="9"/>
      <c r="AU275" s="9"/>
      <c r="AV275" s="40"/>
      <c r="AW275" s="9"/>
      <c r="AX275" s="40"/>
      <c r="AY275" s="9"/>
      <c r="AZ275" s="40"/>
      <c r="BA275" s="9"/>
      <c r="BB275" s="9"/>
      <c r="BC275" s="9"/>
      <c r="BD275" s="40"/>
      <c r="BE275" s="40"/>
      <c r="BF275" s="36" t="str">
        <f aca="false">IF(BE275="","",EDATE(BE275,SG_Criteria!$B$54*12))</f>
        <v/>
      </c>
      <c r="BG275" s="33" t="str">
        <f aca="true">IF(A275="","",IF(BE275="","NOTE: not reviewed yet",IF(TODAY()&gt;BF275,"NOTE: review overdue","OK")))</f>
        <v/>
      </c>
      <c r="BH275" s="37" t="str">
        <f aca="false">IF(A275="","",ROUND((IF(LEN(D275)&gt;0,1,0)+IF(LEN(E275)&gt;0,1,0)+IF(LEN(I275)&gt;0,1,0)+IF(LEN(K275)&gt;0,1,0)+IF(LEN(Q275)&gt;0,1,0)+IF(LEN(S275)&gt;0,1,0)+IF(LEN(T275)&gt;0,1,0)+IF(LEN(U275)&gt;0,1,0)+IF(LEN(V275)&gt;0,1,0)+IF(LEN(AE275)&gt;0,1,0)+IF(LEN(AP275)&gt;0,1,0)+IF(LEN(BC275)&gt;0,1,0))/12,2))</f>
        <v/>
      </c>
      <c r="BI275" s="10" t="str">
        <f aca="false">IF(D275="","",IF(AND(T275="Approved",ISERROR(SEARCH("FAIL",AM275))),"Y","N"))</f>
        <v/>
      </c>
    </row>
    <row r="276" customFormat="false" ht="15" hidden="false" customHeight="false" outlineLevel="0" collapsed="false">
      <c r="A276" s="10" t="str">
        <f aca="false">IF(D276="","",IFERROR(VLOOKUP(D276,Lists!$BI$4:$BJ$20,2,0),"??")&amp;"-"&amp;UPPER(SUBSTITUTE(E276," ",""))&amp;IF(F276&lt;&gt;"","-SP"&amp;TEXT(F276*1000,"0"),"")&amp;IF(G276&lt;&gt;"","-H"&amp;TEXT(G276*1000,"0"),"")&amp;"-"&amp;S276)</f>
        <v/>
      </c>
      <c r="B276" s="10" t="str">
        <f aca="false">IF(D276="","",D276&amp;" - "&amp;E276&amp;IF(F276&lt;&gt;"",", span "&amp;F276&amp;" m","")&amp;IF(G276&lt;&gt;"",", H "&amp;G276&amp;" m","")&amp;IF(H276&lt;&gt;"",", W "&amp;H276&amp;" m",""))</f>
        <v/>
      </c>
      <c r="C276" s="9"/>
      <c r="D276" s="9"/>
      <c r="E276" s="9"/>
      <c r="F276" s="42"/>
      <c r="G276" s="42"/>
      <c r="H276" s="42"/>
      <c r="I276" s="9"/>
      <c r="J276" s="9"/>
      <c r="K276" s="9"/>
      <c r="L276" s="9"/>
      <c r="M276" s="9"/>
      <c r="N276" s="38"/>
      <c r="O276" s="9"/>
      <c r="P276" s="39"/>
      <c r="Q276" s="9"/>
      <c r="R276" s="9"/>
      <c r="S276" s="9"/>
      <c r="T276" s="9"/>
      <c r="U276" s="9"/>
      <c r="V276" s="9"/>
      <c r="W276" s="9"/>
      <c r="X276" s="10" t="str">
        <f aca="false">IF(A276="","",SG_Criteria!$B$6&amp;SG_Criteria!$B$13&amp;"\"&amp;A276&amp;"\")</f>
        <v/>
      </c>
      <c r="Y276" s="10" t="str">
        <f aca="false">IF(A276="","",A276&amp;"_CAD.dwg")</f>
        <v/>
      </c>
      <c r="Z276" s="10" t="str">
        <f aca="false">IF(A276="","",A276&amp;"_DWG.pdf")</f>
        <v/>
      </c>
      <c r="AA276" s="10" t="str">
        <f aca="false">IF(A276="","",IF(W276="Y",A276&amp;"_STAAD.std","n/a"))</f>
        <v/>
      </c>
      <c r="AB276" s="10" t="str">
        <f aca="false">IF(A276="","",A276&amp;"_CALC.xlsx")</f>
        <v/>
      </c>
      <c r="AC276" s="10" t="str">
        <f aca="false">IF(A276="","",A276&amp;"_CALC.pdf")</f>
        <v/>
      </c>
      <c r="AD276" s="9"/>
      <c r="AE276" s="9"/>
      <c r="AF276" s="39"/>
      <c r="AG276" s="39"/>
      <c r="AH276" s="39"/>
      <c r="AI276" s="39"/>
      <c r="AJ276" s="39"/>
      <c r="AK276" s="12" t="str">
        <f aca="false">IF(A276="","",IF(COUNTIF(Rebar_Schedule!$A$5:$A$2004,A276)=0,"",ROUND(SUMIF(Rebar_Schedule!$A$5:$A$2004,A276,Rebar_Schedule!$K$5:$K$2004),1)))</f>
        <v/>
      </c>
      <c r="AL276" s="33" t="str">
        <f aca="false">IF(A276="","",IF(AK276="","No rebar schedule yet",IF(ABS(AK276-N(AG276))/MAX(N(AG276),1)&gt;SG_Criteria!$B$55,"NOTE: register rebar differs from schedule by "&amp;TEXT(ABS(AK276-N(AG276))/MAX(N(AG276),1),"0%"),"OK")))</f>
        <v/>
      </c>
      <c r="AM276" s="33" t="str">
        <f aca="false">IF(D276="","","OK")</f>
        <v/>
      </c>
      <c r="AN276" s="9"/>
      <c r="AO276" s="9"/>
      <c r="AP276" s="9"/>
      <c r="AQ276" s="10" t="str">
        <f aca="false">IF(AP276="","",IFERROR(VLOOKUP(AP276,Projects!$A$5:$D$504,2,0),"Ref not in Projects"))</f>
        <v/>
      </c>
      <c r="AR276" s="10" t="str">
        <f aca="false">IF(AP276="","",IFERROR(VLOOKUP(AP276,Projects!$A$5:$D$504,4,0),"Ref not in Projects"))</f>
        <v/>
      </c>
      <c r="AS276" s="9"/>
      <c r="AT276" s="9"/>
      <c r="AU276" s="9"/>
      <c r="AV276" s="40"/>
      <c r="AW276" s="9"/>
      <c r="AX276" s="40"/>
      <c r="AY276" s="9"/>
      <c r="AZ276" s="40"/>
      <c r="BA276" s="9"/>
      <c r="BB276" s="9"/>
      <c r="BC276" s="9"/>
      <c r="BD276" s="40"/>
      <c r="BE276" s="40"/>
      <c r="BF276" s="36" t="str">
        <f aca="false">IF(BE276="","",EDATE(BE276,SG_Criteria!$B$54*12))</f>
        <v/>
      </c>
      <c r="BG276" s="33" t="str">
        <f aca="true">IF(A276="","",IF(BE276="","NOTE: not reviewed yet",IF(TODAY()&gt;BF276,"NOTE: review overdue","OK")))</f>
        <v/>
      </c>
      <c r="BH276" s="37" t="str">
        <f aca="false">IF(A276="","",ROUND((IF(LEN(D276)&gt;0,1,0)+IF(LEN(E276)&gt;0,1,0)+IF(LEN(I276)&gt;0,1,0)+IF(LEN(K276)&gt;0,1,0)+IF(LEN(Q276)&gt;0,1,0)+IF(LEN(S276)&gt;0,1,0)+IF(LEN(T276)&gt;0,1,0)+IF(LEN(U276)&gt;0,1,0)+IF(LEN(V276)&gt;0,1,0)+IF(LEN(AE276)&gt;0,1,0)+IF(LEN(AP276)&gt;0,1,0)+IF(LEN(BC276)&gt;0,1,0))/12,2))</f>
        <v/>
      </c>
      <c r="BI276" s="10" t="str">
        <f aca="false">IF(D276="","",IF(AND(T276="Approved",ISERROR(SEARCH("FAIL",AM276))),"Y","N"))</f>
        <v/>
      </c>
    </row>
    <row r="277" customFormat="false" ht="15" hidden="false" customHeight="false" outlineLevel="0" collapsed="false">
      <c r="A277" s="10" t="str">
        <f aca="false">IF(D277="","",IFERROR(VLOOKUP(D277,Lists!$BI$4:$BJ$20,2,0),"??")&amp;"-"&amp;UPPER(SUBSTITUTE(E277," ",""))&amp;IF(F277&lt;&gt;"","-SP"&amp;TEXT(F277*1000,"0"),"")&amp;IF(G277&lt;&gt;"","-H"&amp;TEXT(G277*1000,"0"),"")&amp;"-"&amp;S277)</f>
        <v/>
      </c>
      <c r="B277" s="10" t="str">
        <f aca="false">IF(D277="","",D277&amp;" - "&amp;E277&amp;IF(F277&lt;&gt;"",", span "&amp;F277&amp;" m","")&amp;IF(G277&lt;&gt;"",", H "&amp;G277&amp;" m","")&amp;IF(H277&lt;&gt;"",", W "&amp;H277&amp;" m",""))</f>
        <v/>
      </c>
      <c r="C277" s="9"/>
      <c r="D277" s="9"/>
      <c r="E277" s="9"/>
      <c r="F277" s="42"/>
      <c r="G277" s="42"/>
      <c r="H277" s="42"/>
      <c r="I277" s="9"/>
      <c r="J277" s="9"/>
      <c r="K277" s="9"/>
      <c r="L277" s="9"/>
      <c r="M277" s="9"/>
      <c r="N277" s="38"/>
      <c r="O277" s="9"/>
      <c r="P277" s="39"/>
      <c r="Q277" s="9"/>
      <c r="R277" s="9"/>
      <c r="S277" s="9"/>
      <c r="T277" s="9"/>
      <c r="U277" s="9"/>
      <c r="V277" s="9"/>
      <c r="W277" s="9"/>
      <c r="X277" s="10" t="str">
        <f aca="false">IF(A277="","",SG_Criteria!$B$6&amp;SG_Criteria!$B$13&amp;"\"&amp;A277&amp;"\")</f>
        <v/>
      </c>
      <c r="Y277" s="10" t="str">
        <f aca="false">IF(A277="","",A277&amp;"_CAD.dwg")</f>
        <v/>
      </c>
      <c r="Z277" s="10" t="str">
        <f aca="false">IF(A277="","",A277&amp;"_DWG.pdf")</f>
        <v/>
      </c>
      <c r="AA277" s="10" t="str">
        <f aca="false">IF(A277="","",IF(W277="Y",A277&amp;"_STAAD.std","n/a"))</f>
        <v/>
      </c>
      <c r="AB277" s="10" t="str">
        <f aca="false">IF(A277="","",A277&amp;"_CALC.xlsx")</f>
        <v/>
      </c>
      <c r="AC277" s="10" t="str">
        <f aca="false">IF(A277="","",A277&amp;"_CALC.pdf")</f>
        <v/>
      </c>
      <c r="AD277" s="9"/>
      <c r="AE277" s="9"/>
      <c r="AF277" s="39"/>
      <c r="AG277" s="39"/>
      <c r="AH277" s="39"/>
      <c r="AI277" s="39"/>
      <c r="AJ277" s="39"/>
      <c r="AK277" s="12" t="str">
        <f aca="false">IF(A277="","",IF(COUNTIF(Rebar_Schedule!$A$5:$A$2004,A277)=0,"",ROUND(SUMIF(Rebar_Schedule!$A$5:$A$2004,A277,Rebar_Schedule!$K$5:$K$2004),1)))</f>
        <v/>
      </c>
      <c r="AL277" s="33" t="str">
        <f aca="false">IF(A277="","",IF(AK277="","No rebar schedule yet",IF(ABS(AK277-N(AG277))/MAX(N(AG277),1)&gt;SG_Criteria!$B$55,"NOTE: register rebar differs from schedule by "&amp;TEXT(ABS(AK277-N(AG277))/MAX(N(AG277),1),"0%"),"OK")))</f>
        <v/>
      </c>
      <c r="AM277" s="33" t="str">
        <f aca="false">IF(D277="","","OK")</f>
        <v/>
      </c>
      <c r="AN277" s="9"/>
      <c r="AO277" s="9"/>
      <c r="AP277" s="9"/>
      <c r="AQ277" s="10" t="str">
        <f aca="false">IF(AP277="","",IFERROR(VLOOKUP(AP277,Projects!$A$5:$D$504,2,0),"Ref not in Projects"))</f>
        <v/>
      </c>
      <c r="AR277" s="10" t="str">
        <f aca="false">IF(AP277="","",IFERROR(VLOOKUP(AP277,Projects!$A$5:$D$504,4,0),"Ref not in Projects"))</f>
        <v/>
      </c>
      <c r="AS277" s="9"/>
      <c r="AT277" s="9"/>
      <c r="AU277" s="9"/>
      <c r="AV277" s="40"/>
      <c r="AW277" s="9"/>
      <c r="AX277" s="40"/>
      <c r="AY277" s="9"/>
      <c r="AZ277" s="40"/>
      <c r="BA277" s="9"/>
      <c r="BB277" s="9"/>
      <c r="BC277" s="9"/>
      <c r="BD277" s="40"/>
      <c r="BE277" s="40"/>
      <c r="BF277" s="36" t="str">
        <f aca="false">IF(BE277="","",EDATE(BE277,SG_Criteria!$B$54*12))</f>
        <v/>
      </c>
      <c r="BG277" s="33" t="str">
        <f aca="true">IF(A277="","",IF(BE277="","NOTE: not reviewed yet",IF(TODAY()&gt;BF277,"NOTE: review overdue","OK")))</f>
        <v/>
      </c>
      <c r="BH277" s="37" t="str">
        <f aca="false">IF(A277="","",ROUND((IF(LEN(D277)&gt;0,1,0)+IF(LEN(E277)&gt;0,1,0)+IF(LEN(I277)&gt;0,1,0)+IF(LEN(K277)&gt;0,1,0)+IF(LEN(Q277)&gt;0,1,0)+IF(LEN(S277)&gt;0,1,0)+IF(LEN(T277)&gt;0,1,0)+IF(LEN(U277)&gt;0,1,0)+IF(LEN(V277)&gt;0,1,0)+IF(LEN(AE277)&gt;0,1,0)+IF(LEN(AP277)&gt;0,1,0)+IF(LEN(BC277)&gt;0,1,0))/12,2))</f>
        <v/>
      </c>
      <c r="BI277" s="10" t="str">
        <f aca="false">IF(D277="","",IF(AND(T277="Approved",ISERROR(SEARCH("FAIL",AM277))),"Y","N"))</f>
        <v/>
      </c>
    </row>
    <row r="278" customFormat="false" ht="15" hidden="false" customHeight="false" outlineLevel="0" collapsed="false">
      <c r="A278" s="10" t="str">
        <f aca="false">IF(D278="","",IFERROR(VLOOKUP(D278,Lists!$BI$4:$BJ$20,2,0),"??")&amp;"-"&amp;UPPER(SUBSTITUTE(E278," ",""))&amp;IF(F278&lt;&gt;"","-SP"&amp;TEXT(F278*1000,"0"),"")&amp;IF(G278&lt;&gt;"","-H"&amp;TEXT(G278*1000,"0"),"")&amp;"-"&amp;S278)</f>
        <v/>
      </c>
      <c r="B278" s="10" t="str">
        <f aca="false">IF(D278="","",D278&amp;" - "&amp;E278&amp;IF(F278&lt;&gt;"",", span "&amp;F278&amp;" m","")&amp;IF(G278&lt;&gt;"",", H "&amp;G278&amp;" m","")&amp;IF(H278&lt;&gt;"",", W "&amp;H278&amp;" m",""))</f>
        <v/>
      </c>
      <c r="C278" s="9"/>
      <c r="D278" s="9"/>
      <c r="E278" s="9"/>
      <c r="F278" s="42"/>
      <c r="G278" s="42"/>
      <c r="H278" s="42"/>
      <c r="I278" s="9"/>
      <c r="J278" s="9"/>
      <c r="K278" s="9"/>
      <c r="L278" s="9"/>
      <c r="M278" s="9"/>
      <c r="N278" s="38"/>
      <c r="O278" s="9"/>
      <c r="P278" s="39"/>
      <c r="Q278" s="9"/>
      <c r="R278" s="9"/>
      <c r="S278" s="9"/>
      <c r="T278" s="9"/>
      <c r="U278" s="9"/>
      <c r="V278" s="9"/>
      <c r="W278" s="9"/>
      <c r="X278" s="10" t="str">
        <f aca="false">IF(A278="","",SG_Criteria!$B$6&amp;SG_Criteria!$B$13&amp;"\"&amp;A278&amp;"\")</f>
        <v/>
      </c>
      <c r="Y278" s="10" t="str">
        <f aca="false">IF(A278="","",A278&amp;"_CAD.dwg")</f>
        <v/>
      </c>
      <c r="Z278" s="10" t="str">
        <f aca="false">IF(A278="","",A278&amp;"_DWG.pdf")</f>
        <v/>
      </c>
      <c r="AA278" s="10" t="str">
        <f aca="false">IF(A278="","",IF(W278="Y",A278&amp;"_STAAD.std","n/a"))</f>
        <v/>
      </c>
      <c r="AB278" s="10" t="str">
        <f aca="false">IF(A278="","",A278&amp;"_CALC.xlsx")</f>
        <v/>
      </c>
      <c r="AC278" s="10" t="str">
        <f aca="false">IF(A278="","",A278&amp;"_CALC.pdf")</f>
        <v/>
      </c>
      <c r="AD278" s="9"/>
      <c r="AE278" s="9"/>
      <c r="AF278" s="39"/>
      <c r="AG278" s="39"/>
      <c r="AH278" s="39"/>
      <c r="AI278" s="39"/>
      <c r="AJ278" s="39"/>
      <c r="AK278" s="12" t="str">
        <f aca="false">IF(A278="","",IF(COUNTIF(Rebar_Schedule!$A$5:$A$2004,A278)=0,"",ROUND(SUMIF(Rebar_Schedule!$A$5:$A$2004,A278,Rebar_Schedule!$K$5:$K$2004),1)))</f>
        <v/>
      </c>
      <c r="AL278" s="33" t="str">
        <f aca="false">IF(A278="","",IF(AK278="","No rebar schedule yet",IF(ABS(AK278-N(AG278))/MAX(N(AG278),1)&gt;SG_Criteria!$B$55,"NOTE: register rebar differs from schedule by "&amp;TEXT(ABS(AK278-N(AG278))/MAX(N(AG278),1),"0%"),"OK")))</f>
        <v/>
      </c>
      <c r="AM278" s="33" t="str">
        <f aca="false">IF(D278="","","OK")</f>
        <v/>
      </c>
      <c r="AN278" s="9"/>
      <c r="AO278" s="9"/>
      <c r="AP278" s="9"/>
      <c r="AQ278" s="10" t="str">
        <f aca="false">IF(AP278="","",IFERROR(VLOOKUP(AP278,Projects!$A$5:$D$504,2,0),"Ref not in Projects"))</f>
        <v/>
      </c>
      <c r="AR278" s="10" t="str">
        <f aca="false">IF(AP278="","",IFERROR(VLOOKUP(AP278,Projects!$A$5:$D$504,4,0),"Ref not in Projects"))</f>
        <v/>
      </c>
      <c r="AS278" s="9"/>
      <c r="AT278" s="9"/>
      <c r="AU278" s="9"/>
      <c r="AV278" s="40"/>
      <c r="AW278" s="9"/>
      <c r="AX278" s="40"/>
      <c r="AY278" s="9"/>
      <c r="AZ278" s="40"/>
      <c r="BA278" s="9"/>
      <c r="BB278" s="9"/>
      <c r="BC278" s="9"/>
      <c r="BD278" s="40"/>
      <c r="BE278" s="40"/>
      <c r="BF278" s="36" t="str">
        <f aca="false">IF(BE278="","",EDATE(BE278,SG_Criteria!$B$54*12))</f>
        <v/>
      </c>
      <c r="BG278" s="33" t="str">
        <f aca="true">IF(A278="","",IF(BE278="","NOTE: not reviewed yet",IF(TODAY()&gt;BF278,"NOTE: review overdue","OK")))</f>
        <v/>
      </c>
      <c r="BH278" s="37" t="str">
        <f aca="false">IF(A278="","",ROUND((IF(LEN(D278)&gt;0,1,0)+IF(LEN(E278)&gt;0,1,0)+IF(LEN(I278)&gt;0,1,0)+IF(LEN(K278)&gt;0,1,0)+IF(LEN(Q278)&gt;0,1,0)+IF(LEN(S278)&gt;0,1,0)+IF(LEN(T278)&gt;0,1,0)+IF(LEN(U278)&gt;0,1,0)+IF(LEN(V278)&gt;0,1,0)+IF(LEN(AE278)&gt;0,1,0)+IF(LEN(AP278)&gt;0,1,0)+IF(LEN(BC278)&gt;0,1,0))/12,2))</f>
        <v/>
      </c>
      <c r="BI278" s="10" t="str">
        <f aca="false">IF(D278="","",IF(AND(T278="Approved",ISERROR(SEARCH("FAIL",AM278))),"Y","N"))</f>
        <v/>
      </c>
    </row>
    <row r="279" customFormat="false" ht="15" hidden="false" customHeight="false" outlineLevel="0" collapsed="false">
      <c r="A279" s="10" t="str">
        <f aca="false">IF(D279="","",IFERROR(VLOOKUP(D279,Lists!$BI$4:$BJ$20,2,0),"??")&amp;"-"&amp;UPPER(SUBSTITUTE(E279," ",""))&amp;IF(F279&lt;&gt;"","-SP"&amp;TEXT(F279*1000,"0"),"")&amp;IF(G279&lt;&gt;"","-H"&amp;TEXT(G279*1000,"0"),"")&amp;"-"&amp;S279)</f>
        <v/>
      </c>
      <c r="B279" s="10" t="str">
        <f aca="false">IF(D279="","",D279&amp;" - "&amp;E279&amp;IF(F279&lt;&gt;"",", span "&amp;F279&amp;" m","")&amp;IF(G279&lt;&gt;"",", H "&amp;G279&amp;" m","")&amp;IF(H279&lt;&gt;"",", W "&amp;H279&amp;" m",""))</f>
        <v/>
      </c>
      <c r="C279" s="9"/>
      <c r="D279" s="9"/>
      <c r="E279" s="9"/>
      <c r="F279" s="42"/>
      <c r="G279" s="42"/>
      <c r="H279" s="42"/>
      <c r="I279" s="9"/>
      <c r="J279" s="9"/>
      <c r="K279" s="9"/>
      <c r="L279" s="9"/>
      <c r="M279" s="9"/>
      <c r="N279" s="38"/>
      <c r="O279" s="9"/>
      <c r="P279" s="39"/>
      <c r="Q279" s="9"/>
      <c r="R279" s="9"/>
      <c r="S279" s="9"/>
      <c r="T279" s="9"/>
      <c r="U279" s="9"/>
      <c r="V279" s="9"/>
      <c r="W279" s="9"/>
      <c r="X279" s="10" t="str">
        <f aca="false">IF(A279="","",SG_Criteria!$B$6&amp;SG_Criteria!$B$13&amp;"\"&amp;A279&amp;"\")</f>
        <v/>
      </c>
      <c r="Y279" s="10" t="str">
        <f aca="false">IF(A279="","",A279&amp;"_CAD.dwg")</f>
        <v/>
      </c>
      <c r="Z279" s="10" t="str">
        <f aca="false">IF(A279="","",A279&amp;"_DWG.pdf")</f>
        <v/>
      </c>
      <c r="AA279" s="10" t="str">
        <f aca="false">IF(A279="","",IF(W279="Y",A279&amp;"_STAAD.std","n/a"))</f>
        <v/>
      </c>
      <c r="AB279" s="10" t="str">
        <f aca="false">IF(A279="","",A279&amp;"_CALC.xlsx")</f>
        <v/>
      </c>
      <c r="AC279" s="10" t="str">
        <f aca="false">IF(A279="","",A279&amp;"_CALC.pdf")</f>
        <v/>
      </c>
      <c r="AD279" s="9"/>
      <c r="AE279" s="9"/>
      <c r="AF279" s="39"/>
      <c r="AG279" s="39"/>
      <c r="AH279" s="39"/>
      <c r="AI279" s="39"/>
      <c r="AJ279" s="39"/>
      <c r="AK279" s="12" t="str">
        <f aca="false">IF(A279="","",IF(COUNTIF(Rebar_Schedule!$A$5:$A$2004,A279)=0,"",ROUND(SUMIF(Rebar_Schedule!$A$5:$A$2004,A279,Rebar_Schedule!$K$5:$K$2004),1)))</f>
        <v/>
      </c>
      <c r="AL279" s="33" t="str">
        <f aca="false">IF(A279="","",IF(AK279="","No rebar schedule yet",IF(ABS(AK279-N(AG279))/MAX(N(AG279),1)&gt;SG_Criteria!$B$55,"NOTE: register rebar differs from schedule by "&amp;TEXT(ABS(AK279-N(AG279))/MAX(N(AG279),1),"0%"),"OK")))</f>
        <v/>
      </c>
      <c r="AM279" s="33" t="str">
        <f aca="false">IF(D279="","","OK")</f>
        <v/>
      </c>
      <c r="AN279" s="9"/>
      <c r="AO279" s="9"/>
      <c r="AP279" s="9"/>
      <c r="AQ279" s="10" t="str">
        <f aca="false">IF(AP279="","",IFERROR(VLOOKUP(AP279,Projects!$A$5:$D$504,2,0),"Ref not in Projects"))</f>
        <v/>
      </c>
      <c r="AR279" s="10" t="str">
        <f aca="false">IF(AP279="","",IFERROR(VLOOKUP(AP279,Projects!$A$5:$D$504,4,0),"Ref not in Projects"))</f>
        <v/>
      </c>
      <c r="AS279" s="9"/>
      <c r="AT279" s="9"/>
      <c r="AU279" s="9"/>
      <c r="AV279" s="40"/>
      <c r="AW279" s="9"/>
      <c r="AX279" s="40"/>
      <c r="AY279" s="9"/>
      <c r="AZ279" s="40"/>
      <c r="BA279" s="9"/>
      <c r="BB279" s="9"/>
      <c r="BC279" s="9"/>
      <c r="BD279" s="40"/>
      <c r="BE279" s="40"/>
      <c r="BF279" s="36" t="str">
        <f aca="false">IF(BE279="","",EDATE(BE279,SG_Criteria!$B$54*12))</f>
        <v/>
      </c>
      <c r="BG279" s="33" t="str">
        <f aca="true">IF(A279="","",IF(BE279="","NOTE: not reviewed yet",IF(TODAY()&gt;BF279,"NOTE: review overdue","OK")))</f>
        <v/>
      </c>
      <c r="BH279" s="37" t="str">
        <f aca="false">IF(A279="","",ROUND((IF(LEN(D279)&gt;0,1,0)+IF(LEN(E279)&gt;0,1,0)+IF(LEN(I279)&gt;0,1,0)+IF(LEN(K279)&gt;0,1,0)+IF(LEN(Q279)&gt;0,1,0)+IF(LEN(S279)&gt;0,1,0)+IF(LEN(T279)&gt;0,1,0)+IF(LEN(U279)&gt;0,1,0)+IF(LEN(V279)&gt;0,1,0)+IF(LEN(AE279)&gt;0,1,0)+IF(LEN(AP279)&gt;0,1,0)+IF(LEN(BC279)&gt;0,1,0))/12,2))</f>
        <v/>
      </c>
      <c r="BI279" s="10" t="str">
        <f aca="false">IF(D279="","",IF(AND(T279="Approved",ISERROR(SEARCH("FAIL",AM279))),"Y","N"))</f>
        <v/>
      </c>
    </row>
    <row r="280" customFormat="false" ht="15" hidden="false" customHeight="false" outlineLevel="0" collapsed="false">
      <c r="A280" s="10" t="str">
        <f aca="false">IF(D280="","",IFERROR(VLOOKUP(D280,Lists!$BI$4:$BJ$20,2,0),"??")&amp;"-"&amp;UPPER(SUBSTITUTE(E280," ",""))&amp;IF(F280&lt;&gt;"","-SP"&amp;TEXT(F280*1000,"0"),"")&amp;IF(G280&lt;&gt;"","-H"&amp;TEXT(G280*1000,"0"),"")&amp;"-"&amp;S280)</f>
        <v/>
      </c>
      <c r="B280" s="10" t="str">
        <f aca="false">IF(D280="","",D280&amp;" - "&amp;E280&amp;IF(F280&lt;&gt;"",", span "&amp;F280&amp;" m","")&amp;IF(G280&lt;&gt;"",", H "&amp;G280&amp;" m","")&amp;IF(H280&lt;&gt;"",", W "&amp;H280&amp;" m",""))</f>
        <v/>
      </c>
      <c r="C280" s="9"/>
      <c r="D280" s="9"/>
      <c r="E280" s="9"/>
      <c r="F280" s="42"/>
      <c r="G280" s="42"/>
      <c r="H280" s="42"/>
      <c r="I280" s="9"/>
      <c r="J280" s="9"/>
      <c r="K280" s="9"/>
      <c r="L280" s="9"/>
      <c r="M280" s="9"/>
      <c r="N280" s="38"/>
      <c r="O280" s="9"/>
      <c r="P280" s="39"/>
      <c r="Q280" s="9"/>
      <c r="R280" s="9"/>
      <c r="S280" s="9"/>
      <c r="T280" s="9"/>
      <c r="U280" s="9"/>
      <c r="V280" s="9"/>
      <c r="W280" s="9"/>
      <c r="X280" s="10" t="str">
        <f aca="false">IF(A280="","",SG_Criteria!$B$6&amp;SG_Criteria!$B$13&amp;"\"&amp;A280&amp;"\")</f>
        <v/>
      </c>
      <c r="Y280" s="10" t="str">
        <f aca="false">IF(A280="","",A280&amp;"_CAD.dwg")</f>
        <v/>
      </c>
      <c r="Z280" s="10" t="str">
        <f aca="false">IF(A280="","",A280&amp;"_DWG.pdf")</f>
        <v/>
      </c>
      <c r="AA280" s="10" t="str">
        <f aca="false">IF(A280="","",IF(W280="Y",A280&amp;"_STAAD.std","n/a"))</f>
        <v/>
      </c>
      <c r="AB280" s="10" t="str">
        <f aca="false">IF(A280="","",A280&amp;"_CALC.xlsx")</f>
        <v/>
      </c>
      <c r="AC280" s="10" t="str">
        <f aca="false">IF(A280="","",A280&amp;"_CALC.pdf")</f>
        <v/>
      </c>
      <c r="AD280" s="9"/>
      <c r="AE280" s="9"/>
      <c r="AF280" s="39"/>
      <c r="AG280" s="39"/>
      <c r="AH280" s="39"/>
      <c r="AI280" s="39"/>
      <c r="AJ280" s="39"/>
      <c r="AK280" s="12" t="str">
        <f aca="false">IF(A280="","",IF(COUNTIF(Rebar_Schedule!$A$5:$A$2004,A280)=0,"",ROUND(SUMIF(Rebar_Schedule!$A$5:$A$2004,A280,Rebar_Schedule!$K$5:$K$2004),1)))</f>
        <v/>
      </c>
      <c r="AL280" s="33" t="str">
        <f aca="false">IF(A280="","",IF(AK280="","No rebar schedule yet",IF(ABS(AK280-N(AG280))/MAX(N(AG280),1)&gt;SG_Criteria!$B$55,"NOTE: register rebar differs from schedule by "&amp;TEXT(ABS(AK280-N(AG280))/MAX(N(AG280),1),"0%"),"OK")))</f>
        <v/>
      </c>
      <c r="AM280" s="33" t="str">
        <f aca="false">IF(D280="","","OK")</f>
        <v/>
      </c>
      <c r="AN280" s="9"/>
      <c r="AO280" s="9"/>
      <c r="AP280" s="9"/>
      <c r="AQ280" s="10" t="str">
        <f aca="false">IF(AP280="","",IFERROR(VLOOKUP(AP280,Projects!$A$5:$D$504,2,0),"Ref not in Projects"))</f>
        <v/>
      </c>
      <c r="AR280" s="10" t="str">
        <f aca="false">IF(AP280="","",IFERROR(VLOOKUP(AP280,Projects!$A$5:$D$504,4,0),"Ref not in Projects"))</f>
        <v/>
      </c>
      <c r="AS280" s="9"/>
      <c r="AT280" s="9"/>
      <c r="AU280" s="9"/>
      <c r="AV280" s="40"/>
      <c r="AW280" s="9"/>
      <c r="AX280" s="40"/>
      <c r="AY280" s="9"/>
      <c r="AZ280" s="40"/>
      <c r="BA280" s="9"/>
      <c r="BB280" s="9"/>
      <c r="BC280" s="9"/>
      <c r="BD280" s="40"/>
      <c r="BE280" s="40"/>
      <c r="BF280" s="36" t="str">
        <f aca="false">IF(BE280="","",EDATE(BE280,SG_Criteria!$B$54*12))</f>
        <v/>
      </c>
      <c r="BG280" s="33" t="str">
        <f aca="true">IF(A280="","",IF(BE280="","NOTE: not reviewed yet",IF(TODAY()&gt;BF280,"NOTE: review overdue","OK")))</f>
        <v/>
      </c>
      <c r="BH280" s="37" t="str">
        <f aca="false">IF(A280="","",ROUND((IF(LEN(D280)&gt;0,1,0)+IF(LEN(E280)&gt;0,1,0)+IF(LEN(I280)&gt;0,1,0)+IF(LEN(K280)&gt;0,1,0)+IF(LEN(Q280)&gt;0,1,0)+IF(LEN(S280)&gt;0,1,0)+IF(LEN(T280)&gt;0,1,0)+IF(LEN(U280)&gt;0,1,0)+IF(LEN(V280)&gt;0,1,0)+IF(LEN(AE280)&gt;0,1,0)+IF(LEN(AP280)&gt;0,1,0)+IF(LEN(BC280)&gt;0,1,0))/12,2))</f>
        <v/>
      </c>
      <c r="BI280" s="10" t="str">
        <f aca="false">IF(D280="","",IF(AND(T280="Approved",ISERROR(SEARCH("FAIL",AM280))),"Y","N"))</f>
        <v/>
      </c>
    </row>
    <row r="281" customFormat="false" ht="15" hidden="false" customHeight="false" outlineLevel="0" collapsed="false">
      <c r="A281" s="10" t="str">
        <f aca="false">IF(D281="","",IFERROR(VLOOKUP(D281,Lists!$BI$4:$BJ$20,2,0),"??")&amp;"-"&amp;UPPER(SUBSTITUTE(E281," ",""))&amp;IF(F281&lt;&gt;"","-SP"&amp;TEXT(F281*1000,"0"),"")&amp;IF(G281&lt;&gt;"","-H"&amp;TEXT(G281*1000,"0"),"")&amp;"-"&amp;S281)</f>
        <v/>
      </c>
      <c r="B281" s="10" t="str">
        <f aca="false">IF(D281="","",D281&amp;" - "&amp;E281&amp;IF(F281&lt;&gt;"",", span "&amp;F281&amp;" m","")&amp;IF(G281&lt;&gt;"",", H "&amp;G281&amp;" m","")&amp;IF(H281&lt;&gt;"",", W "&amp;H281&amp;" m",""))</f>
        <v/>
      </c>
      <c r="C281" s="9"/>
      <c r="D281" s="9"/>
      <c r="E281" s="9"/>
      <c r="F281" s="42"/>
      <c r="G281" s="42"/>
      <c r="H281" s="42"/>
      <c r="I281" s="9"/>
      <c r="J281" s="9"/>
      <c r="K281" s="9"/>
      <c r="L281" s="9"/>
      <c r="M281" s="9"/>
      <c r="N281" s="38"/>
      <c r="O281" s="9"/>
      <c r="P281" s="39"/>
      <c r="Q281" s="9"/>
      <c r="R281" s="9"/>
      <c r="S281" s="9"/>
      <c r="T281" s="9"/>
      <c r="U281" s="9"/>
      <c r="V281" s="9"/>
      <c r="W281" s="9"/>
      <c r="X281" s="10" t="str">
        <f aca="false">IF(A281="","",SG_Criteria!$B$6&amp;SG_Criteria!$B$13&amp;"\"&amp;A281&amp;"\")</f>
        <v/>
      </c>
      <c r="Y281" s="10" t="str">
        <f aca="false">IF(A281="","",A281&amp;"_CAD.dwg")</f>
        <v/>
      </c>
      <c r="Z281" s="10" t="str">
        <f aca="false">IF(A281="","",A281&amp;"_DWG.pdf")</f>
        <v/>
      </c>
      <c r="AA281" s="10" t="str">
        <f aca="false">IF(A281="","",IF(W281="Y",A281&amp;"_STAAD.std","n/a"))</f>
        <v/>
      </c>
      <c r="AB281" s="10" t="str">
        <f aca="false">IF(A281="","",A281&amp;"_CALC.xlsx")</f>
        <v/>
      </c>
      <c r="AC281" s="10" t="str">
        <f aca="false">IF(A281="","",A281&amp;"_CALC.pdf")</f>
        <v/>
      </c>
      <c r="AD281" s="9"/>
      <c r="AE281" s="9"/>
      <c r="AF281" s="39"/>
      <c r="AG281" s="39"/>
      <c r="AH281" s="39"/>
      <c r="AI281" s="39"/>
      <c r="AJ281" s="39"/>
      <c r="AK281" s="12" t="str">
        <f aca="false">IF(A281="","",IF(COUNTIF(Rebar_Schedule!$A$5:$A$2004,A281)=0,"",ROUND(SUMIF(Rebar_Schedule!$A$5:$A$2004,A281,Rebar_Schedule!$K$5:$K$2004),1)))</f>
        <v/>
      </c>
      <c r="AL281" s="33" t="str">
        <f aca="false">IF(A281="","",IF(AK281="","No rebar schedule yet",IF(ABS(AK281-N(AG281))/MAX(N(AG281),1)&gt;SG_Criteria!$B$55,"NOTE: register rebar differs from schedule by "&amp;TEXT(ABS(AK281-N(AG281))/MAX(N(AG281),1),"0%"),"OK")))</f>
        <v/>
      </c>
      <c r="AM281" s="33" t="str">
        <f aca="false">IF(D281="","","OK")</f>
        <v/>
      </c>
      <c r="AN281" s="9"/>
      <c r="AO281" s="9"/>
      <c r="AP281" s="9"/>
      <c r="AQ281" s="10" t="str">
        <f aca="false">IF(AP281="","",IFERROR(VLOOKUP(AP281,Projects!$A$5:$D$504,2,0),"Ref not in Projects"))</f>
        <v/>
      </c>
      <c r="AR281" s="10" t="str">
        <f aca="false">IF(AP281="","",IFERROR(VLOOKUP(AP281,Projects!$A$5:$D$504,4,0),"Ref not in Projects"))</f>
        <v/>
      </c>
      <c r="AS281" s="9"/>
      <c r="AT281" s="9"/>
      <c r="AU281" s="9"/>
      <c r="AV281" s="40"/>
      <c r="AW281" s="9"/>
      <c r="AX281" s="40"/>
      <c r="AY281" s="9"/>
      <c r="AZ281" s="40"/>
      <c r="BA281" s="9"/>
      <c r="BB281" s="9"/>
      <c r="BC281" s="9"/>
      <c r="BD281" s="40"/>
      <c r="BE281" s="40"/>
      <c r="BF281" s="36" t="str">
        <f aca="false">IF(BE281="","",EDATE(BE281,SG_Criteria!$B$54*12))</f>
        <v/>
      </c>
      <c r="BG281" s="33" t="str">
        <f aca="true">IF(A281="","",IF(BE281="","NOTE: not reviewed yet",IF(TODAY()&gt;BF281,"NOTE: review overdue","OK")))</f>
        <v/>
      </c>
      <c r="BH281" s="37" t="str">
        <f aca="false">IF(A281="","",ROUND((IF(LEN(D281)&gt;0,1,0)+IF(LEN(E281)&gt;0,1,0)+IF(LEN(I281)&gt;0,1,0)+IF(LEN(K281)&gt;0,1,0)+IF(LEN(Q281)&gt;0,1,0)+IF(LEN(S281)&gt;0,1,0)+IF(LEN(T281)&gt;0,1,0)+IF(LEN(U281)&gt;0,1,0)+IF(LEN(V281)&gt;0,1,0)+IF(LEN(AE281)&gt;0,1,0)+IF(LEN(AP281)&gt;0,1,0)+IF(LEN(BC281)&gt;0,1,0))/12,2))</f>
        <v/>
      </c>
      <c r="BI281" s="10" t="str">
        <f aca="false">IF(D281="","",IF(AND(T281="Approved",ISERROR(SEARCH("FAIL",AM281))),"Y","N"))</f>
        <v/>
      </c>
    </row>
    <row r="282" customFormat="false" ht="15" hidden="false" customHeight="false" outlineLevel="0" collapsed="false">
      <c r="A282" s="10" t="str">
        <f aca="false">IF(D282="","",IFERROR(VLOOKUP(D282,Lists!$BI$4:$BJ$20,2,0),"??")&amp;"-"&amp;UPPER(SUBSTITUTE(E282," ",""))&amp;IF(F282&lt;&gt;"","-SP"&amp;TEXT(F282*1000,"0"),"")&amp;IF(G282&lt;&gt;"","-H"&amp;TEXT(G282*1000,"0"),"")&amp;"-"&amp;S282)</f>
        <v/>
      </c>
      <c r="B282" s="10" t="str">
        <f aca="false">IF(D282="","",D282&amp;" - "&amp;E282&amp;IF(F282&lt;&gt;"",", span "&amp;F282&amp;" m","")&amp;IF(G282&lt;&gt;"",", H "&amp;G282&amp;" m","")&amp;IF(H282&lt;&gt;"",", W "&amp;H282&amp;" m",""))</f>
        <v/>
      </c>
      <c r="C282" s="9"/>
      <c r="D282" s="9"/>
      <c r="E282" s="9"/>
      <c r="F282" s="42"/>
      <c r="G282" s="42"/>
      <c r="H282" s="42"/>
      <c r="I282" s="9"/>
      <c r="J282" s="9"/>
      <c r="K282" s="9"/>
      <c r="L282" s="9"/>
      <c r="M282" s="9"/>
      <c r="N282" s="38"/>
      <c r="O282" s="9"/>
      <c r="P282" s="39"/>
      <c r="Q282" s="9"/>
      <c r="R282" s="9"/>
      <c r="S282" s="9"/>
      <c r="T282" s="9"/>
      <c r="U282" s="9"/>
      <c r="V282" s="9"/>
      <c r="W282" s="9"/>
      <c r="X282" s="10" t="str">
        <f aca="false">IF(A282="","",SG_Criteria!$B$6&amp;SG_Criteria!$B$13&amp;"\"&amp;A282&amp;"\")</f>
        <v/>
      </c>
      <c r="Y282" s="10" t="str">
        <f aca="false">IF(A282="","",A282&amp;"_CAD.dwg")</f>
        <v/>
      </c>
      <c r="Z282" s="10" t="str">
        <f aca="false">IF(A282="","",A282&amp;"_DWG.pdf")</f>
        <v/>
      </c>
      <c r="AA282" s="10" t="str">
        <f aca="false">IF(A282="","",IF(W282="Y",A282&amp;"_STAAD.std","n/a"))</f>
        <v/>
      </c>
      <c r="AB282" s="10" t="str">
        <f aca="false">IF(A282="","",A282&amp;"_CALC.xlsx")</f>
        <v/>
      </c>
      <c r="AC282" s="10" t="str">
        <f aca="false">IF(A282="","",A282&amp;"_CALC.pdf")</f>
        <v/>
      </c>
      <c r="AD282" s="9"/>
      <c r="AE282" s="9"/>
      <c r="AF282" s="39"/>
      <c r="AG282" s="39"/>
      <c r="AH282" s="39"/>
      <c r="AI282" s="39"/>
      <c r="AJ282" s="39"/>
      <c r="AK282" s="12" t="str">
        <f aca="false">IF(A282="","",IF(COUNTIF(Rebar_Schedule!$A$5:$A$2004,A282)=0,"",ROUND(SUMIF(Rebar_Schedule!$A$5:$A$2004,A282,Rebar_Schedule!$K$5:$K$2004),1)))</f>
        <v/>
      </c>
      <c r="AL282" s="33" t="str">
        <f aca="false">IF(A282="","",IF(AK282="","No rebar schedule yet",IF(ABS(AK282-N(AG282))/MAX(N(AG282),1)&gt;SG_Criteria!$B$55,"NOTE: register rebar differs from schedule by "&amp;TEXT(ABS(AK282-N(AG282))/MAX(N(AG282),1),"0%"),"OK")))</f>
        <v/>
      </c>
      <c r="AM282" s="33" t="str">
        <f aca="false">IF(D282="","","OK")</f>
        <v/>
      </c>
      <c r="AN282" s="9"/>
      <c r="AO282" s="9"/>
      <c r="AP282" s="9"/>
      <c r="AQ282" s="10" t="str">
        <f aca="false">IF(AP282="","",IFERROR(VLOOKUP(AP282,Projects!$A$5:$D$504,2,0),"Ref not in Projects"))</f>
        <v/>
      </c>
      <c r="AR282" s="10" t="str">
        <f aca="false">IF(AP282="","",IFERROR(VLOOKUP(AP282,Projects!$A$5:$D$504,4,0),"Ref not in Projects"))</f>
        <v/>
      </c>
      <c r="AS282" s="9"/>
      <c r="AT282" s="9"/>
      <c r="AU282" s="9"/>
      <c r="AV282" s="40"/>
      <c r="AW282" s="9"/>
      <c r="AX282" s="40"/>
      <c r="AY282" s="9"/>
      <c r="AZ282" s="40"/>
      <c r="BA282" s="9"/>
      <c r="BB282" s="9"/>
      <c r="BC282" s="9"/>
      <c r="BD282" s="40"/>
      <c r="BE282" s="40"/>
      <c r="BF282" s="36" t="str">
        <f aca="false">IF(BE282="","",EDATE(BE282,SG_Criteria!$B$54*12))</f>
        <v/>
      </c>
      <c r="BG282" s="33" t="str">
        <f aca="true">IF(A282="","",IF(BE282="","NOTE: not reviewed yet",IF(TODAY()&gt;BF282,"NOTE: review overdue","OK")))</f>
        <v/>
      </c>
      <c r="BH282" s="37" t="str">
        <f aca="false">IF(A282="","",ROUND((IF(LEN(D282)&gt;0,1,0)+IF(LEN(E282)&gt;0,1,0)+IF(LEN(I282)&gt;0,1,0)+IF(LEN(K282)&gt;0,1,0)+IF(LEN(Q282)&gt;0,1,0)+IF(LEN(S282)&gt;0,1,0)+IF(LEN(T282)&gt;0,1,0)+IF(LEN(U282)&gt;0,1,0)+IF(LEN(V282)&gt;0,1,0)+IF(LEN(AE282)&gt;0,1,0)+IF(LEN(AP282)&gt;0,1,0)+IF(LEN(BC282)&gt;0,1,0))/12,2))</f>
        <v/>
      </c>
      <c r="BI282" s="10" t="str">
        <f aca="false">IF(D282="","",IF(AND(T282="Approved",ISERROR(SEARCH("FAIL",AM282))),"Y","N"))</f>
        <v/>
      </c>
    </row>
    <row r="283" customFormat="false" ht="15" hidden="false" customHeight="false" outlineLevel="0" collapsed="false">
      <c r="A283" s="10" t="str">
        <f aca="false">IF(D283="","",IFERROR(VLOOKUP(D283,Lists!$BI$4:$BJ$20,2,0),"??")&amp;"-"&amp;UPPER(SUBSTITUTE(E283," ",""))&amp;IF(F283&lt;&gt;"","-SP"&amp;TEXT(F283*1000,"0"),"")&amp;IF(G283&lt;&gt;"","-H"&amp;TEXT(G283*1000,"0"),"")&amp;"-"&amp;S283)</f>
        <v/>
      </c>
      <c r="B283" s="10" t="str">
        <f aca="false">IF(D283="","",D283&amp;" - "&amp;E283&amp;IF(F283&lt;&gt;"",", span "&amp;F283&amp;" m","")&amp;IF(G283&lt;&gt;"",", H "&amp;G283&amp;" m","")&amp;IF(H283&lt;&gt;"",", W "&amp;H283&amp;" m",""))</f>
        <v/>
      </c>
      <c r="C283" s="9"/>
      <c r="D283" s="9"/>
      <c r="E283" s="9"/>
      <c r="F283" s="42"/>
      <c r="G283" s="42"/>
      <c r="H283" s="42"/>
      <c r="I283" s="9"/>
      <c r="J283" s="9"/>
      <c r="K283" s="9"/>
      <c r="L283" s="9"/>
      <c r="M283" s="9"/>
      <c r="N283" s="38"/>
      <c r="O283" s="9"/>
      <c r="P283" s="39"/>
      <c r="Q283" s="9"/>
      <c r="R283" s="9"/>
      <c r="S283" s="9"/>
      <c r="T283" s="9"/>
      <c r="U283" s="9"/>
      <c r="V283" s="9"/>
      <c r="W283" s="9"/>
      <c r="X283" s="10" t="str">
        <f aca="false">IF(A283="","",SG_Criteria!$B$6&amp;SG_Criteria!$B$13&amp;"\"&amp;A283&amp;"\")</f>
        <v/>
      </c>
      <c r="Y283" s="10" t="str">
        <f aca="false">IF(A283="","",A283&amp;"_CAD.dwg")</f>
        <v/>
      </c>
      <c r="Z283" s="10" t="str">
        <f aca="false">IF(A283="","",A283&amp;"_DWG.pdf")</f>
        <v/>
      </c>
      <c r="AA283" s="10" t="str">
        <f aca="false">IF(A283="","",IF(W283="Y",A283&amp;"_STAAD.std","n/a"))</f>
        <v/>
      </c>
      <c r="AB283" s="10" t="str">
        <f aca="false">IF(A283="","",A283&amp;"_CALC.xlsx")</f>
        <v/>
      </c>
      <c r="AC283" s="10" t="str">
        <f aca="false">IF(A283="","",A283&amp;"_CALC.pdf")</f>
        <v/>
      </c>
      <c r="AD283" s="9"/>
      <c r="AE283" s="9"/>
      <c r="AF283" s="39"/>
      <c r="AG283" s="39"/>
      <c r="AH283" s="39"/>
      <c r="AI283" s="39"/>
      <c r="AJ283" s="39"/>
      <c r="AK283" s="12" t="str">
        <f aca="false">IF(A283="","",IF(COUNTIF(Rebar_Schedule!$A$5:$A$2004,A283)=0,"",ROUND(SUMIF(Rebar_Schedule!$A$5:$A$2004,A283,Rebar_Schedule!$K$5:$K$2004),1)))</f>
        <v/>
      </c>
      <c r="AL283" s="33" t="str">
        <f aca="false">IF(A283="","",IF(AK283="","No rebar schedule yet",IF(ABS(AK283-N(AG283))/MAX(N(AG283),1)&gt;SG_Criteria!$B$55,"NOTE: register rebar differs from schedule by "&amp;TEXT(ABS(AK283-N(AG283))/MAX(N(AG283),1),"0%"),"OK")))</f>
        <v/>
      </c>
      <c r="AM283" s="33" t="str">
        <f aca="false">IF(D283="","","OK")</f>
        <v/>
      </c>
      <c r="AN283" s="9"/>
      <c r="AO283" s="9"/>
      <c r="AP283" s="9"/>
      <c r="AQ283" s="10" t="str">
        <f aca="false">IF(AP283="","",IFERROR(VLOOKUP(AP283,Projects!$A$5:$D$504,2,0),"Ref not in Projects"))</f>
        <v/>
      </c>
      <c r="AR283" s="10" t="str">
        <f aca="false">IF(AP283="","",IFERROR(VLOOKUP(AP283,Projects!$A$5:$D$504,4,0),"Ref not in Projects"))</f>
        <v/>
      </c>
      <c r="AS283" s="9"/>
      <c r="AT283" s="9"/>
      <c r="AU283" s="9"/>
      <c r="AV283" s="40"/>
      <c r="AW283" s="9"/>
      <c r="AX283" s="40"/>
      <c r="AY283" s="9"/>
      <c r="AZ283" s="40"/>
      <c r="BA283" s="9"/>
      <c r="BB283" s="9"/>
      <c r="BC283" s="9"/>
      <c r="BD283" s="40"/>
      <c r="BE283" s="40"/>
      <c r="BF283" s="36" t="str">
        <f aca="false">IF(BE283="","",EDATE(BE283,SG_Criteria!$B$54*12))</f>
        <v/>
      </c>
      <c r="BG283" s="33" t="str">
        <f aca="true">IF(A283="","",IF(BE283="","NOTE: not reviewed yet",IF(TODAY()&gt;BF283,"NOTE: review overdue","OK")))</f>
        <v/>
      </c>
      <c r="BH283" s="37" t="str">
        <f aca="false">IF(A283="","",ROUND((IF(LEN(D283)&gt;0,1,0)+IF(LEN(E283)&gt;0,1,0)+IF(LEN(I283)&gt;0,1,0)+IF(LEN(K283)&gt;0,1,0)+IF(LEN(Q283)&gt;0,1,0)+IF(LEN(S283)&gt;0,1,0)+IF(LEN(T283)&gt;0,1,0)+IF(LEN(U283)&gt;0,1,0)+IF(LEN(V283)&gt;0,1,0)+IF(LEN(AE283)&gt;0,1,0)+IF(LEN(AP283)&gt;0,1,0)+IF(LEN(BC283)&gt;0,1,0))/12,2))</f>
        <v/>
      </c>
      <c r="BI283" s="10" t="str">
        <f aca="false">IF(D283="","",IF(AND(T283="Approved",ISERROR(SEARCH("FAIL",AM283))),"Y","N"))</f>
        <v/>
      </c>
    </row>
    <row r="284" customFormat="false" ht="15" hidden="false" customHeight="false" outlineLevel="0" collapsed="false">
      <c r="A284" s="10" t="str">
        <f aca="false">IF(D284="","",IFERROR(VLOOKUP(D284,Lists!$BI$4:$BJ$20,2,0),"??")&amp;"-"&amp;UPPER(SUBSTITUTE(E284," ",""))&amp;IF(F284&lt;&gt;"","-SP"&amp;TEXT(F284*1000,"0"),"")&amp;IF(G284&lt;&gt;"","-H"&amp;TEXT(G284*1000,"0"),"")&amp;"-"&amp;S284)</f>
        <v/>
      </c>
      <c r="B284" s="10" t="str">
        <f aca="false">IF(D284="","",D284&amp;" - "&amp;E284&amp;IF(F284&lt;&gt;"",", span "&amp;F284&amp;" m","")&amp;IF(G284&lt;&gt;"",", H "&amp;G284&amp;" m","")&amp;IF(H284&lt;&gt;"",", W "&amp;H284&amp;" m",""))</f>
        <v/>
      </c>
      <c r="C284" s="9"/>
      <c r="D284" s="9"/>
      <c r="E284" s="9"/>
      <c r="F284" s="42"/>
      <c r="G284" s="42"/>
      <c r="H284" s="42"/>
      <c r="I284" s="9"/>
      <c r="J284" s="9"/>
      <c r="K284" s="9"/>
      <c r="L284" s="9"/>
      <c r="M284" s="9"/>
      <c r="N284" s="38"/>
      <c r="O284" s="9"/>
      <c r="P284" s="39"/>
      <c r="Q284" s="9"/>
      <c r="R284" s="9"/>
      <c r="S284" s="9"/>
      <c r="T284" s="9"/>
      <c r="U284" s="9"/>
      <c r="V284" s="9"/>
      <c r="W284" s="9"/>
      <c r="X284" s="10" t="str">
        <f aca="false">IF(A284="","",SG_Criteria!$B$6&amp;SG_Criteria!$B$13&amp;"\"&amp;A284&amp;"\")</f>
        <v/>
      </c>
      <c r="Y284" s="10" t="str">
        <f aca="false">IF(A284="","",A284&amp;"_CAD.dwg")</f>
        <v/>
      </c>
      <c r="Z284" s="10" t="str">
        <f aca="false">IF(A284="","",A284&amp;"_DWG.pdf")</f>
        <v/>
      </c>
      <c r="AA284" s="10" t="str">
        <f aca="false">IF(A284="","",IF(W284="Y",A284&amp;"_STAAD.std","n/a"))</f>
        <v/>
      </c>
      <c r="AB284" s="10" t="str">
        <f aca="false">IF(A284="","",A284&amp;"_CALC.xlsx")</f>
        <v/>
      </c>
      <c r="AC284" s="10" t="str">
        <f aca="false">IF(A284="","",A284&amp;"_CALC.pdf")</f>
        <v/>
      </c>
      <c r="AD284" s="9"/>
      <c r="AE284" s="9"/>
      <c r="AF284" s="39"/>
      <c r="AG284" s="39"/>
      <c r="AH284" s="39"/>
      <c r="AI284" s="39"/>
      <c r="AJ284" s="39"/>
      <c r="AK284" s="12" t="str">
        <f aca="false">IF(A284="","",IF(COUNTIF(Rebar_Schedule!$A$5:$A$2004,A284)=0,"",ROUND(SUMIF(Rebar_Schedule!$A$5:$A$2004,A284,Rebar_Schedule!$K$5:$K$2004),1)))</f>
        <v/>
      </c>
      <c r="AL284" s="33" t="str">
        <f aca="false">IF(A284="","",IF(AK284="","No rebar schedule yet",IF(ABS(AK284-N(AG284))/MAX(N(AG284),1)&gt;SG_Criteria!$B$55,"NOTE: register rebar differs from schedule by "&amp;TEXT(ABS(AK284-N(AG284))/MAX(N(AG284),1),"0%"),"OK")))</f>
        <v/>
      </c>
      <c r="AM284" s="33" t="str">
        <f aca="false">IF(D284="","","OK")</f>
        <v/>
      </c>
      <c r="AN284" s="9"/>
      <c r="AO284" s="9"/>
      <c r="AP284" s="9"/>
      <c r="AQ284" s="10" t="str">
        <f aca="false">IF(AP284="","",IFERROR(VLOOKUP(AP284,Projects!$A$5:$D$504,2,0),"Ref not in Projects"))</f>
        <v/>
      </c>
      <c r="AR284" s="10" t="str">
        <f aca="false">IF(AP284="","",IFERROR(VLOOKUP(AP284,Projects!$A$5:$D$504,4,0),"Ref not in Projects"))</f>
        <v/>
      </c>
      <c r="AS284" s="9"/>
      <c r="AT284" s="9"/>
      <c r="AU284" s="9"/>
      <c r="AV284" s="40"/>
      <c r="AW284" s="9"/>
      <c r="AX284" s="40"/>
      <c r="AY284" s="9"/>
      <c r="AZ284" s="40"/>
      <c r="BA284" s="9"/>
      <c r="BB284" s="9"/>
      <c r="BC284" s="9"/>
      <c r="BD284" s="40"/>
      <c r="BE284" s="40"/>
      <c r="BF284" s="36" t="str">
        <f aca="false">IF(BE284="","",EDATE(BE284,SG_Criteria!$B$54*12))</f>
        <v/>
      </c>
      <c r="BG284" s="33" t="str">
        <f aca="true">IF(A284="","",IF(BE284="","NOTE: not reviewed yet",IF(TODAY()&gt;BF284,"NOTE: review overdue","OK")))</f>
        <v/>
      </c>
      <c r="BH284" s="37" t="str">
        <f aca="false">IF(A284="","",ROUND((IF(LEN(D284)&gt;0,1,0)+IF(LEN(E284)&gt;0,1,0)+IF(LEN(I284)&gt;0,1,0)+IF(LEN(K284)&gt;0,1,0)+IF(LEN(Q284)&gt;0,1,0)+IF(LEN(S284)&gt;0,1,0)+IF(LEN(T284)&gt;0,1,0)+IF(LEN(U284)&gt;0,1,0)+IF(LEN(V284)&gt;0,1,0)+IF(LEN(AE284)&gt;0,1,0)+IF(LEN(AP284)&gt;0,1,0)+IF(LEN(BC284)&gt;0,1,0))/12,2))</f>
        <v/>
      </c>
      <c r="BI284" s="10" t="str">
        <f aca="false">IF(D284="","",IF(AND(T284="Approved",ISERROR(SEARCH("FAIL",AM284))),"Y","N"))</f>
        <v/>
      </c>
    </row>
    <row r="285" customFormat="false" ht="15" hidden="false" customHeight="false" outlineLevel="0" collapsed="false">
      <c r="A285" s="10" t="str">
        <f aca="false">IF(D285="","",IFERROR(VLOOKUP(D285,Lists!$BI$4:$BJ$20,2,0),"??")&amp;"-"&amp;UPPER(SUBSTITUTE(E285," ",""))&amp;IF(F285&lt;&gt;"","-SP"&amp;TEXT(F285*1000,"0"),"")&amp;IF(G285&lt;&gt;"","-H"&amp;TEXT(G285*1000,"0"),"")&amp;"-"&amp;S285)</f>
        <v/>
      </c>
      <c r="B285" s="10" t="str">
        <f aca="false">IF(D285="","",D285&amp;" - "&amp;E285&amp;IF(F285&lt;&gt;"",", span "&amp;F285&amp;" m","")&amp;IF(G285&lt;&gt;"",", H "&amp;G285&amp;" m","")&amp;IF(H285&lt;&gt;"",", W "&amp;H285&amp;" m",""))</f>
        <v/>
      </c>
      <c r="C285" s="9"/>
      <c r="D285" s="9"/>
      <c r="E285" s="9"/>
      <c r="F285" s="42"/>
      <c r="G285" s="42"/>
      <c r="H285" s="42"/>
      <c r="I285" s="9"/>
      <c r="J285" s="9"/>
      <c r="K285" s="9"/>
      <c r="L285" s="9"/>
      <c r="M285" s="9"/>
      <c r="N285" s="38"/>
      <c r="O285" s="9"/>
      <c r="P285" s="39"/>
      <c r="Q285" s="9"/>
      <c r="R285" s="9"/>
      <c r="S285" s="9"/>
      <c r="T285" s="9"/>
      <c r="U285" s="9"/>
      <c r="V285" s="9"/>
      <c r="W285" s="9"/>
      <c r="X285" s="10" t="str">
        <f aca="false">IF(A285="","",SG_Criteria!$B$6&amp;SG_Criteria!$B$13&amp;"\"&amp;A285&amp;"\")</f>
        <v/>
      </c>
      <c r="Y285" s="10" t="str">
        <f aca="false">IF(A285="","",A285&amp;"_CAD.dwg")</f>
        <v/>
      </c>
      <c r="Z285" s="10" t="str">
        <f aca="false">IF(A285="","",A285&amp;"_DWG.pdf")</f>
        <v/>
      </c>
      <c r="AA285" s="10" t="str">
        <f aca="false">IF(A285="","",IF(W285="Y",A285&amp;"_STAAD.std","n/a"))</f>
        <v/>
      </c>
      <c r="AB285" s="10" t="str">
        <f aca="false">IF(A285="","",A285&amp;"_CALC.xlsx")</f>
        <v/>
      </c>
      <c r="AC285" s="10" t="str">
        <f aca="false">IF(A285="","",A285&amp;"_CALC.pdf")</f>
        <v/>
      </c>
      <c r="AD285" s="9"/>
      <c r="AE285" s="9"/>
      <c r="AF285" s="39"/>
      <c r="AG285" s="39"/>
      <c r="AH285" s="39"/>
      <c r="AI285" s="39"/>
      <c r="AJ285" s="39"/>
      <c r="AK285" s="12" t="str">
        <f aca="false">IF(A285="","",IF(COUNTIF(Rebar_Schedule!$A$5:$A$2004,A285)=0,"",ROUND(SUMIF(Rebar_Schedule!$A$5:$A$2004,A285,Rebar_Schedule!$K$5:$K$2004),1)))</f>
        <v/>
      </c>
      <c r="AL285" s="33" t="str">
        <f aca="false">IF(A285="","",IF(AK285="","No rebar schedule yet",IF(ABS(AK285-N(AG285))/MAX(N(AG285),1)&gt;SG_Criteria!$B$55,"NOTE: register rebar differs from schedule by "&amp;TEXT(ABS(AK285-N(AG285))/MAX(N(AG285),1),"0%"),"OK")))</f>
        <v/>
      </c>
      <c r="AM285" s="33" t="str">
        <f aca="false">IF(D285="","","OK")</f>
        <v/>
      </c>
      <c r="AN285" s="9"/>
      <c r="AO285" s="9"/>
      <c r="AP285" s="9"/>
      <c r="AQ285" s="10" t="str">
        <f aca="false">IF(AP285="","",IFERROR(VLOOKUP(AP285,Projects!$A$5:$D$504,2,0),"Ref not in Projects"))</f>
        <v/>
      </c>
      <c r="AR285" s="10" t="str">
        <f aca="false">IF(AP285="","",IFERROR(VLOOKUP(AP285,Projects!$A$5:$D$504,4,0),"Ref not in Projects"))</f>
        <v/>
      </c>
      <c r="AS285" s="9"/>
      <c r="AT285" s="9"/>
      <c r="AU285" s="9"/>
      <c r="AV285" s="40"/>
      <c r="AW285" s="9"/>
      <c r="AX285" s="40"/>
      <c r="AY285" s="9"/>
      <c r="AZ285" s="40"/>
      <c r="BA285" s="9"/>
      <c r="BB285" s="9"/>
      <c r="BC285" s="9"/>
      <c r="BD285" s="40"/>
      <c r="BE285" s="40"/>
      <c r="BF285" s="36" t="str">
        <f aca="false">IF(BE285="","",EDATE(BE285,SG_Criteria!$B$54*12))</f>
        <v/>
      </c>
      <c r="BG285" s="33" t="str">
        <f aca="true">IF(A285="","",IF(BE285="","NOTE: not reviewed yet",IF(TODAY()&gt;BF285,"NOTE: review overdue","OK")))</f>
        <v/>
      </c>
      <c r="BH285" s="37" t="str">
        <f aca="false">IF(A285="","",ROUND((IF(LEN(D285)&gt;0,1,0)+IF(LEN(E285)&gt;0,1,0)+IF(LEN(I285)&gt;0,1,0)+IF(LEN(K285)&gt;0,1,0)+IF(LEN(Q285)&gt;0,1,0)+IF(LEN(S285)&gt;0,1,0)+IF(LEN(T285)&gt;0,1,0)+IF(LEN(U285)&gt;0,1,0)+IF(LEN(V285)&gt;0,1,0)+IF(LEN(AE285)&gt;0,1,0)+IF(LEN(AP285)&gt;0,1,0)+IF(LEN(BC285)&gt;0,1,0))/12,2))</f>
        <v/>
      </c>
      <c r="BI285" s="10" t="str">
        <f aca="false">IF(D285="","",IF(AND(T285="Approved",ISERROR(SEARCH("FAIL",AM285))),"Y","N"))</f>
        <v/>
      </c>
    </row>
    <row r="286" customFormat="false" ht="15" hidden="false" customHeight="false" outlineLevel="0" collapsed="false">
      <c r="A286" s="10" t="str">
        <f aca="false">IF(D286="","",IFERROR(VLOOKUP(D286,Lists!$BI$4:$BJ$20,2,0),"??")&amp;"-"&amp;UPPER(SUBSTITUTE(E286," ",""))&amp;IF(F286&lt;&gt;"","-SP"&amp;TEXT(F286*1000,"0"),"")&amp;IF(G286&lt;&gt;"","-H"&amp;TEXT(G286*1000,"0"),"")&amp;"-"&amp;S286)</f>
        <v/>
      </c>
      <c r="B286" s="10" t="str">
        <f aca="false">IF(D286="","",D286&amp;" - "&amp;E286&amp;IF(F286&lt;&gt;"",", span "&amp;F286&amp;" m","")&amp;IF(G286&lt;&gt;"",", H "&amp;G286&amp;" m","")&amp;IF(H286&lt;&gt;"",", W "&amp;H286&amp;" m",""))</f>
        <v/>
      </c>
      <c r="C286" s="9"/>
      <c r="D286" s="9"/>
      <c r="E286" s="9"/>
      <c r="F286" s="42"/>
      <c r="G286" s="42"/>
      <c r="H286" s="42"/>
      <c r="I286" s="9"/>
      <c r="J286" s="9"/>
      <c r="K286" s="9"/>
      <c r="L286" s="9"/>
      <c r="M286" s="9"/>
      <c r="N286" s="38"/>
      <c r="O286" s="9"/>
      <c r="P286" s="39"/>
      <c r="Q286" s="9"/>
      <c r="R286" s="9"/>
      <c r="S286" s="9"/>
      <c r="T286" s="9"/>
      <c r="U286" s="9"/>
      <c r="V286" s="9"/>
      <c r="W286" s="9"/>
      <c r="X286" s="10" t="str">
        <f aca="false">IF(A286="","",SG_Criteria!$B$6&amp;SG_Criteria!$B$13&amp;"\"&amp;A286&amp;"\")</f>
        <v/>
      </c>
      <c r="Y286" s="10" t="str">
        <f aca="false">IF(A286="","",A286&amp;"_CAD.dwg")</f>
        <v/>
      </c>
      <c r="Z286" s="10" t="str">
        <f aca="false">IF(A286="","",A286&amp;"_DWG.pdf")</f>
        <v/>
      </c>
      <c r="AA286" s="10" t="str">
        <f aca="false">IF(A286="","",IF(W286="Y",A286&amp;"_STAAD.std","n/a"))</f>
        <v/>
      </c>
      <c r="AB286" s="10" t="str">
        <f aca="false">IF(A286="","",A286&amp;"_CALC.xlsx")</f>
        <v/>
      </c>
      <c r="AC286" s="10" t="str">
        <f aca="false">IF(A286="","",A286&amp;"_CALC.pdf")</f>
        <v/>
      </c>
      <c r="AD286" s="9"/>
      <c r="AE286" s="9"/>
      <c r="AF286" s="39"/>
      <c r="AG286" s="39"/>
      <c r="AH286" s="39"/>
      <c r="AI286" s="39"/>
      <c r="AJ286" s="39"/>
      <c r="AK286" s="12" t="str">
        <f aca="false">IF(A286="","",IF(COUNTIF(Rebar_Schedule!$A$5:$A$2004,A286)=0,"",ROUND(SUMIF(Rebar_Schedule!$A$5:$A$2004,A286,Rebar_Schedule!$K$5:$K$2004),1)))</f>
        <v/>
      </c>
      <c r="AL286" s="33" t="str">
        <f aca="false">IF(A286="","",IF(AK286="","No rebar schedule yet",IF(ABS(AK286-N(AG286))/MAX(N(AG286),1)&gt;SG_Criteria!$B$55,"NOTE: register rebar differs from schedule by "&amp;TEXT(ABS(AK286-N(AG286))/MAX(N(AG286),1),"0%"),"OK")))</f>
        <v/>
      </c>
      <c r="AM286" s="33" t="str">
        <f aca="false">IF(D286="","","OK")</f>
        <v/>
      </c>
      <c r="AN286" s="9"/>
      <c r="AO286" s="9"/>
      <c r="AP286" s="9"/>
      <c r="AQ286" s="10" t="str">
        <f aca="false">IF(AP286="","",IFERROR(VLOOKUP(AP286,Projects!$A$5:$D$504,2,0),"Ref not in Projects"))</f>
        <v/>
      </c>
      <c r="AR286" s="10" t="str">
        <f aca="false">IF(AP286="","",IFERROR(VLOOKUP(AP286,Projects!$A$5:$D$504,4,0),"Ref not in Projects"))</f>
        <v/>
      </c>
      <c r="AS286" s="9"/>
      <c r="AT286" s="9"/>
      <c r="AU286" s="9"/>
      <c r="AV286" s="40"/>
      <c r="AW286" s="9"/>
      <c r="AX286" s="40"/>
      <c r="AY286" s="9"/>
      <c r="AZ286" s="40"/>
      <c r="BA286" s="9"/>
      <c r="BB286" s="9"/>
      <c r="BC286" s="9"/>
      <c r="BD286" s="40"/>
      <c r="BE286" s="40"/>
      <c r="BF286" s="36" t="str">
        <f aca="false">IF(BE286="","",EDATE(BE286,SG_Criteria!$B$54*12))</f>
        <v/>
      </c>
      <c r="BG286" s="33" t="str">
        <f aca="true">IF(A286="","",IF(BE286="","NOTE: not reviewed yet",IF(TODAY()&gt;BF286,"NOTE: review overdue","OK")))</f>
        <v/>
      </c>
      <c r="BH286" s="37" t="str">
        <f aca="false">IF(A286="","",ROUND((IF(LEN(D286)&gt;0,1,0)+IF(LEN(E286)&gt;0,1,0)+IF(LEN(I286)&gt;0,1,0)+IF(LEN(K286)&gt;0,1,0)+IF(LEN(Q286)&gt;0,1,0)+IF(LEN(S286)&gt;0,1,0)+IF(LEN(T286)&gt;0,1,0)+IF(LEN(U286)&gt;0,1,0)+IF(LEN(V286)&gt;0,1,0)+IF(LEN(AE286)&gt;0,1,0)+IF(LEN(AP286)&gt;0,1,0)+IF(LEN(BC286)&gt;0,1,0))/12,2))</f>
        <v/>
      </c>
      <c r="BI286" s="10" t="str">
        <f aca="false">IF(D286="","",IF(AND(T286="Approved",ISERROR(SEARCH("FAIL",AM286))),"Y","N"))</f>
        <v/>
      </c>
    </row>
    <row r="287" customFormat="false" ht="15" hidden="false" customHeight="false" outlineLevel="0" collapsed="false">
      <c r="A287" s="10" t="str">
        <f aca="false">IF(D287="","",IFERROR(VLOOKUP(D287,Lists!$BI$4:$BJ$20,2,0),"??")&amp;"-"&amp;UPPER(SUBSTITUTE(E287," ",""))&amp;IF(F287&lt;&gt;"","-SP"&amp;TEXT(F287*1000,"0"),"")&amp;IF(G287&lt;&gt;"","-H"&amp;TEXT(G287*1000,"0"),"")&amp;"-"&amp;S287)</f>
        <v/>
      </c>
      <c r="B287" s="10" t="str">
        <f aca="false">IF(D287="","",D287&amp;" - "&amp;E287&amp;IF(F287&lt;&gt;"",", span "&amp;F287&amp;" m","")&amp;IF(G287&lt;&gt;"",", H "&amp;G287&amp;" m","")&amp;IF(H287&lt;&gt;"",", W "&amp;H287&amp;" m",""))</f>
        <v/>
      </c>
      <c r="C287" s="9"/>
      <c r="D287" s="9"/>
      <c r="E287" s="9"/>
      <c r="F287" s="42"/>
      <c r="G287" s="42"/>
      <c r="H287" s="42"/>
      <c r="I287" s="9"/>
      <c r="J287" s="9"/>
      <c r="K287" s="9"/>
      <c r="L287" s="9"/>
      <c r="M287" s="9"/>
      <c r="N287" s="38"/>
      <c r="O287" s="9"/>
      <c r="P287" s="39"/>
      <c r="Q287" s="9"/>
      <c r="R287" s="9"/>
      <c r="S287" s="9"/>
      <c r="T287" s="9"/>
      <c r="U287" s="9"/>
      <c r="V287" s="9"/>
      <c r="W287" s="9"/>
      <c r="X287" s="10" t="str">
        <f aca="false">IF(A287="","",SG_Criteria!$B$6&amp;SG_Criteria!$B$13&amp;"\"&amp;A287&amp;"\")</f>
        <v/>
      </c>
      <c r="Y287" s="10" t="str">
        <f aca="false">IF(A287="","",A287&amp;"_CAD.dwg")</f>
        <v/>
      </c>
      <c r="Z287" s="10" t="str">
        <f aca="false">IF(A287="","",A287&amp;"_DWG.pdf")</f>
        <v/>
      </c>
      <c r="AA287" s="10" t="str">
        <f aca="false">IF(A287="","",IF(W287="Y",A287&amp;"_STAAD.std","n/a"))</f>
        <v/>
      </c>
      <c r="AB287" s="10" t="str">
        <f aca="false">IF(A287="","",A287&amp;"_CALC.xlsx")</f>
        <v/>
      </c>
      <c r="AC287" s="10" t="str">
        <f aca="false">IF(A287="","",A287&amp;"_CALC.pdf")</f>
        <v/>
      </c>
      <c r="AD287" s="9"/>
      <c r="AE287" s="9"/>
      <c r="AF287" s="39"/>
      <c r="AG287" s="39"/>
      <c r="AH287" s="39"/>
      <c r="AI287" s="39"/>
      <c r="AJ287" s="39"/>
      <c r="AK287" s="12" t="str">
        <f aca="false">IF(A287="","",IF(COUNTIF(Rebar_Schedule!$A$5:$A$2004,A287)=0,"",ROUND(SUMIF(Rebar_Schedule!$A$5:$A$2004,A287,Rebar_Schedule!$K$5:$K$2004),1)))</f>
        <v/>
      </c>
      <c r="AL287" s="33" t="str">
        <f aca="false">IF(A287="","",IF(AK287="","No rebar schedule yet",IF(ABS(AK287-N(AG287))/MAX(N(AG287),1)&gt;SG_Criteria!$B$55,"NOTE: register rebar differs from schedule by "&amp;TEXT(ABS(AK287-N(AG287))/MAX(N(AG287),1),"0%"),"OK")))</f>
        <v/>
      </c>
      <c r="AM287" s="33" t="str">
        <f aca="false">IF(D287="","","OK")</f>
        <v/>
      </c>
      <c r="AN287" s="9"/>
      <c r="AO287" s="9"/>
      <c r="AP287" s="9"/>
      <c r="AQ287" s="10" t="str">
        <f aca="false">IF(AP287="","",IFERROR(VLOOKUP(AP287,Projects!$A$5:$D$504,2,0),"Ref not in Projects"))</f>
        <v/>
      </c>
      <c r="AR287" s="10" t="str">
        <f aca="false">IF(AP287="","",IFERROR(VLOOKUP(AP287,Projects!$A$5:$D$504,4,0),"Ref not in Projects"))</f>
        <v/>
      </c>
      <c r="AS287" s="9"/>
      <c r="AT287" s="9"/>
      <c r="AU287" s="9"/>
      <c r="AV287" s="40"/>
      <c r="AW287" s="9"/>
      <c r="AX287" s="40"/>
      <c r="AY287" s="9"/>
      <c r="AZ287" s="40"/>
      <c r="BA287" s="9"/>
      <c r="BB287" s="9"/>
      <c r="BC287" s="9"/>
      <c r="BD287" s="40"/>
      <c r="BE287" s="40"/>
      <c r="BF287" s="36" t="str">
        <f aca="false">IF(BE287="","",EDATE(BE287,SG_Criteria!$B$54*12))</f>
        <v/>
      </c>
      <c r="BG287" s="33" t="str">
        <f aca="true">IF(A287="","",IF(BE287="","NOTE: not reviewed yet",IF(TODAY()&gt;BF287,"NOTE: review overdue","OK")))</f>
        <v/>
      </c>
      <c r="BH287" s="37" t="str">
        <f aca="false">IF(A287="","",ROUND((IF(LEN(D287)&gt;0,1,0)+IF(LEN(E287)&gt;0,1,0)+IF(LEN(I287)&gt;0,1,0)+IF(LEN(K287)&gt;0,1,0)+IF(LEN(Q287)&gt;0,1,0)+IF(LEN(S287)&gt;0,1,0)+IF(LEN(T287)&gt;0,1,0)+IF(LEN(U287)&gt;0,1,0)+IF(LEN(V287)&gt;0,1,0)+IF(LEN(AE287)&gt;0,1,0)+IF(LEN(AP287)&gt;0,1,0)+IF(LEN(BC287)&gt;0,1,0))/12,2))</f>
        <v/>
      </c>
      <c r="BI287" s="10" t="str">
        <f aca="false">IF(D287="","",IF(AND(T287="Approved",ISERROR(SEARCH("FAIL",AM287))),"Y","N"))</f>
        <v/>
      </c>
    </row>
    <row r="288" customFormat="false" ht="15" hidden="false" customHeight="false" outlineLevel="0" collapsed="false">
      <c r="A288" s="10" t="str">
        <f aca="false">IF(D288="","",IFERROR(VLOOKUP(D288,Lists!$BI$4:$BJ$20,2,0),"??")&amp;"-"&amp;UPPER(SUBSTITUTE(E288," ",""))&amp;IF(F288&lt;&gt;"","-SP"&amp;TEXT(F288*1000,"0"),"")&amp;IF(G288&lt;&gt;"","-H"&amp;TEXT(G288*1000,"0"),"")&amp;"-"&amp;S288)</f>
        <v/>
      </c>
      <c r="B288" s="10" t="str">
        <f aca="false">IF(D288="","",D288&amp;" - "&amp;E288&amp;IF(F288&lt;&gt;"",", span "&amp;F288&amp;" m","")&amp;IF(G288&lt;&gt;"",", H "&amp;G288&amp;" m","")&amp;IF(H288&lt;&gt;"",", W "&amp;H288&amp;" m",""))</f>
        <v/>
      </c>
      <c r="C288" s="9"/>
      <c r="D288" s="9"/>
      <c r="E288" s="9"/>
      <c r="F288" s="42"/>
      <c r="G288" s="42"/>
      <c r="H288" s="42"/>
      <c r="I288" s="9"/>
      <c r="J288" s="9"/>
      <c r="K288" s="9"/>
      <c r="L288" s="9"/>
      <c r="M288" s="9"/>
      <c r="N288" s="38"/>
      <c r="O288" s="9"/>
      <c r="P288" s="39"/>
      <c r="Q288" s="9"/>
      <c r="R288" s="9"/>
      <c r="S288" s="9"/>
      <c r="T288" s="9"/>
      <c r="U288" s="9"/>
      <c r="V288" s="9"/>
      <c r="W288" s="9"/>
      <c r="X288" s="10" t="str">
        <f aca="false">IF(A288="","",SG_Criteria!$B$6&amp;SG_Criteria!$B$13&amp;"\"&amp;A288&amp;"\")</f>
        <v/>
      </c>
      <c r="Y288" s="10" t="str">
        <f aca="false">IF(A288="","",A288&amp;"_CAD.dwg")</f>
        <v/>
      </c>
      <c r="Z288" s="10" t="str">
        <f aca="false">IF(A288="","",A288&amp;"_DWG.pdf")</f>
        <v/>
      </c>
      <c r="AA288" s="10" t="str">
        <f aca="false">IF(A288="","",IF(W288="Y",A288&amp;"_STAAD.std","n/a"))</f>
        <v/>
      </c>
      <c r="AB288" s="10" t="str">
        <f aca="false">IF(A288="","",A288&amp;"_CALC.xlsx")</f>
        <v/>
      </c>
      <c r="AC288" s="10" t="str">
        <f aca="false">IF(A288="","",A288&amp;"_CALC.pdf")</f>
        <v/>
      </c>
      <c r="AD288" s="9"/>
      <c r="AE288" s="9"/>
      <c r="AF288" s="39"/>
      <c r="AG288" s="39"/>
      <c r="AH288" s="39"/>
      <c r="AI288" s="39"/>
      <c r="AJ288" s="39"/>
      <c r="AK288" s="12" t="str">
        <f aca="false">IF(A288="","",IF(COUNTIF(Rebar_Schedule!$A$5:$A$2004,A288)=0,"",ROUND(SUMIF(Rebar_Schedule!$A$5:$A$2004,A288,Rebar_Schedule!$K$5:$K$2004),1)))</f>
        <v/>
      </c>
      <c r="AL288" s="33" t="str">
        <f aca="false">IF(A288="","",IF(AK288="","No rebar schedule yet",IF(ABS(AK288-N(AG288))/MAX(N(AG288),1)&gt;SG_Criteria!$B$55,"NOTE: register rebar differs from schedule by "&amp;TEXT(ABS(AK288-N(AG288))/MAX(N(AG288),1),"0%"),"OK")))</f>
        <v/>
      </c>
      <c r="AM288" s="33" t="str">
        <f aca="false">IF(D288="","","OK")</f>
        <v/>
      </c>
      <c r="AN288" s="9"/>
      <c r="AO288" s="9"/>
      <c r="AP288" s="9"/>
      <c r="AQ288" s="10" t="str">
        <f aca="false">IF(AP288="","",IFERROR(VLOOKUP(AP288,Projects!$A$5:$D$504,2,0),"Ref not in Projects"))</f>
        <v/>
      </c>
      <c r="AR288" s="10" t="str">
        <f aca="false">IF(AP288="","",IFERROR(VLOOKUP(AP288,Projects!$A$5:$D$504,4,0),"Ref not in Projects"))</f>
        <v/>
      </c>
      <c r="AS288" s="9"/>
      <c r="AT288" s="9"/>
      <c r="AU288" s="9"/>
      <c r="AV288" s="40"/>
      <c r="AW288" s="9"/>
      <c r="AX288" s="40"/>
      <c r="AY288" s="9"/>
      <c r="AZ288" s="40"/>
      <c r="BA288" s="9"/>
      <c r="BB288" s="9"/>
      <c r="BC288" s="9"/>
      <c r="BD288" s="40"/>
      <c r="BE288" s="40"/>
      <c r="BF288" s="36" t="str">
        <f aca="false">IF(BE288="","",EDATE(BE288,SG_Criteria!$B$54*12))</f>
        <v/>
      </c>
      <c r="BG288" s="33" t="str">
        <f aca="true">IF(A288="","",IF(BE288="","NOTE: not reviewed yet",IF(TODAY()&gt;BF288,"NOTE: review overdue","OK")))</f>
        <v/>
      </c>
      <c r="BH288" s="37" t="str">
        <f aca="false">IF(A288="","",ROUND((IF(LEN(D288)&gt;0,1,0)+IF(LEN(E288)&gt;0,1,0)+IF(LEN(I288)&gt;0,1,0)+IF(LEN(K288)&gt;0,1,0)+IF(LEN(Q288)&gt;0,1,0)+IF(LEN(S288)&gt;0,1,0)+IF(LEN(T288)&gt;0,1,0)+IF(LEN(U288)&gt;0,1,0)+IF(LEN(V288)&gt;0,1,0)+IF(LEN(AE288)&gt;0,1,0)+IF(LEN(AP288)&gt;0,1,0)+IF(LEN(BC288)&gt;0,1,0))/12,2))</f>
        <v/>
      </c>
      <c r="BI288" s="10" t="str">
        <f aca="false">IF(D288="","",IF(AND(T288="Approved",ISERROR(SEARCH("FAIL",AM288))),"Y","N"))</f>
        <v/>
      </c>
    </row>
    <row r="289" customFormat="false" ht="15" hidden="false" customHeight="false" outlineLevel="0" collapsed="false">
      <c r="A289" s="10" t="str">
        <f aca="false">IF(D289="","",IFERROR(VLOOKUP(D289,Lists!$BI$4:$BJ$20,2,0),"??")&amp;"-"&amp;UPPER(SUBSTITUTE(E289," ",""))&amp;IF(F289&lt;&gt;"","-SP"&amp;TEXT(F289*1000,"0"),"")&amp;IF(G289&lt;&gt;"","-H"&amp;TEXT(G289*1000,"0"),"")&amp;"-"&amp;S289)</f>
        <v/>
      </c>
      <c r="B289" s="10" t="str">
        <f aca="false">IF(D289="","",D289&amp;" - "&amp;E289&amp;IF(F289&lt;&gt;"",", span "&amp;F289&amp;" m","")&amp;IF(G289&lt;&gt;"",", H "&amp;G289&amp;" m","")&amp;IF(H289&lt;&gt;"",", W "&amp;H289&amp;" m",""))</f>
        <v/>
      </c>
      <c r="C289" s="9"/>
      <c r="D289" s="9"/>
      <c r="E289" s="9"/>
      <c r="F289" s="42"/>
      <c r="G289" s="42"/>
      <c r="H289" s="42"/>
      <c r="I289" s="9"/>
      <c r="J289" s="9"/>
      <c r="K289" s="9"/>
      <c r="L289" s="9"/>
      <c r="M289" s="9"/>
      <c r="N289" s="38"/>
      <c r="O289" s="9"/>
      <c r="P289" s="39"/>
      <c r="Q289" s="9"/>
      <c r="R289" s="9"/>
      <c r="S289" s="9"/>
      <c r="T289" s="9"/>
      <c r="U289" s="9"/>
      <c r="V289" s="9"/>
      <c r="W289" s="9"/>
      <c r="X289" s="10" t="str">
        <f aca="false">IF(A289="","",SG_Criteria!$B$6&amp;SG_Criteria!$B$13&amp;"\"&amp;A289&amp;"\")</f>
        <v/>
      </c>
      <c r="Y289" s="10" t="str">
        <f aca="false">IF(A289="","",A289&amp;"_CAD.dwg")</f>
        <v/>
      </c>
      <c r="Z289" s="10" t="str">
        <f aca="false">IF(A289="","",A289&amp;"_DWG.pdf")</f>
        <v/>
      </c>
      <c r="AA289" s="10" t="str">
        <f aca="false">IF(A289="","",IF(W289="Y",A289&amp;"_STAAD.std","n/a"))</f>
        <v/>
      </c>
      <c r="AB289" s="10" t="str">
        <f aca="false">IF(A289="","",A289&amp;"_CALC.xlsx")</f>
        <v/>
      </c>
      <c r="AC289" s="10" t="str">
        <f aca="false">IF(A289="","",A289&amp;"_CALC.pdf")</f>
        <v/>
      </c>
      <c r="AD289" s="9"/>
      <c r="AE289" s="9"/>
      <c r="AF289" s="39"/>
      <c r="AG289" s="39"/>
      <c r="AH289" s="39"/>
      <c r="AI289" s="39"/>
      <c r="AJ289" s="39"/>
      <c r="AK289" s="12" t="str">
        <f aca="false">IF(A289="","",IF(COUNTIF(Rebar_Schedule!$A$5:$A$2004,A289)=0,"",ROUND(SUMIF(Rebar_Schedule!$A$5:$A$2004,A289,Rebar_Schedule!$K$5:$K$2004),1)))</f>
        <v/>
      </c>
      <c r="AL289" s="33" t="str">
        <f aca="false">IF(A289="","",IF(AK289="","No rebar schedule yet",IF(ABS(AK289-N(AG289))/MAX(N(AG289),1)&gt;SG_Criteria!$B$55,"NOTE: register rebar differs from schedule by "&amp;TEXT(ABS(AK289-N(AG289))/MAX(N(AG289),1),"0%"),"OK")))</f>
        <v/>
      </c>
      <c r="AM289" s="33" t="str">
        <f aca="false">IF(D289="","","OK")</f>
        <v/>
      </c>
      <c r="AN289" s="9"/>
      <c r="AO289" s="9"/>
      <c r="AP289" s="9"/>
      <c r="AQ289" s="10" t="str">
        <f aca="false">IF(AP289="","",IFERROR(VLOOKUP(AP289,Projects!$A$5:$D$504,2,0),"Ref not in Projects"))</f>
        <v/>
      </c>
      <c r="AR289" s="10" t="str">
        <f aca="false">IF(AP289="","",IFERROR(VLOOKUP(AP289,Projects!$A$5:$D$504,4,0),"Ref not in Projects"))</f>
        <v/>
      </c>
      <c r="AS289" s="9"/>
      <c r="AT289" s="9"/>
      <c r="AU289" s="9"/>
      <c r="AV289" s="40"/>
      <c r="AW289" s="9"/>
      <c r="AX289" s="40"/>
      <c r="AY289" s="9"/>
      <c r="AZ289" s="40"/>
      <c r="BA289" s="9"/>
      <c r="BB289" s="9"/>
      <c r="BC289" s="9"/>
      <c r="BD289" s="40"/>
      <c r="BE289" s="40"/>
      <c r="BF289" s="36" t="str">
        <f aca="false">IF(BE289="","",EDATE(BE289,SG_Criteria!$B$54*12))</f>
        <v/>
      </c>
      <c r="BG289" s="33" t="str">
        <f aca="true">IF(A289="","",IF(BE289="","NOTE: not reviewed yet",IF(TODAY()&gt;BF289,"NOTE: review overdue","OK")))</f>
        <v/>
      </c>
      <c r="BH289" s="37" t="str">
        <f aca="false">IF(A289="","",ROUND((IF(LEN(D289)&gt;0,1,0)+IF(LEN(E289)&gt;0,1,0)+IF(LEN(I289)&gt;0,1,0)+IF(LEN(K289)&gt;0,1,0)+IF(LEN(Q289)&gt;0,1,0)+IF(LEN(S289)&gt;0,1,0)+IF(LEN(T289)&gt;0,1,0)+IF(LEN(U289)&gt;0,1,0)+IF(LEN(V289)&gt;0,1,0)+IF(LEN(AE289)&gt;0,1,0)+IF(LEN(AP289)&gt;0,1,0)+IF(LEN(BC289)&gt;0,1,0))/12,2))</f>
        <v/>
      </c>
      <c r="BI289" s="10" t="str">
        <f aca="false">IF(D289="","",IF(AND(T289="Approved",ISERROR(SEARCH("FAIL",AM289))),"Y","N"))</f>
        <v/>
      </c>
    </row>
    <row r="290" customFormat="false" ht="15" hidden="false" customHeight="false" outlineLevel="0" collapsed="false">
      <c r="A290" s="10" t="str">
        <f aca="false">IF(D290="","",IFERROR(VLOOKUP(D290,Lists!$BI$4:$BJ$20,2,0),"??")&amp;"-"&amp;UPPER(SUBSTITUTE(E290," ",""))&amp;IF(F290&lt;&gt;"","-SP"&amp;TEXT(F290*1000,"0"),"")&amp;IF(G290&lt;&gt;"","-H"&amp;TEXT(G290*1000,"0"),"")&amp;"-"&amp;S290)</f>
        <v/>
      </c>
      <c r="B290" s="10" t="str">
        <f aca="false">IF(D290="","",D290&amp;" - "&amp;E290&amp;IF(F290&lt;&gt;"",", span "&amp;F290&amp;" m","")&amp;IF(G290&lt;&gt;"",", H "&amp;G290&amp;" m","")&amp;IF(H290&lt;&gt;"",", W "&amp;H290&amp;" m",""))</f>
        <v/>
      </c>
      <c r="C290" s="9"/>
      <c r="D290" s="9"/>
      <c r="E290" s="9"/>
      <c r="F290" s="42"/>
      <c r="G290" s="42"/>
      <c r="H290" s="42"/>
      <c r="I290" s="9"/>
      <c r="J290" s="9"/>
      <c r="K290" s="9"/>
      <c r="L290" s="9"/>
      <c r="M290" s="9"/>
      <c r="N290" s="38"/>
      <c r="O290" s="9"/>
      <c r="P290" s="39"/>
      <c r="Q290" s="9"/>
      <c r="R290" s="9"/>
      <c r="S290" s="9"/>
      <c r="T290" s="9"/>
      <c r="U290" s="9"/>
      <c r="V290" s="9"/>
      <c r="W290" s="9"/>
      <c r="X290" s="10" t="str">
        <f aca="false">IF(A290="","",SG_Criteria!$B$6&amp;SG_Criteria!$B$13&amp;"\"&amp;A290&amp;"\")</f>
        <v/>
      </c>
      <c r="Y290" s="10" t="str">
        <f aca="false">IF(A290="","",A290&amp;"_CAD.dwg")</f>
        <v/>
      </c>
      <c r="Z290" s="10" t="str">
        <f aca="false">IF(A290="","",A290&amp;"_DWG.pdf")</f>
        <v/>
      </c>
      <c r="AA290" s="10" t="str">
        <f aca="false">IF(A290="","",IF(W290="Y",A290&amp;"_STAAD.std","n/a"))</f>
        <v/>
      </c>
      <c r="AB290" s="10" t="str">
        <f aca="false">IF(A290="","",A290&amp;"_CALC.xlsx")</f>
        <v/>
      </c>
      <c r="AC290" s="10" t="str">
        <f aca="false">IF(A290="","",A290&amp;"_CALC.pdf")</f>
        <v/>
      </c>
      <c r="AD290" s="9"/>
      <c r="AE290" s="9"/>
      <c r="AF290" s="39"/>
      <c r="AG290" s="39"/>
      <c r="AH290" s="39"/>
      <c r="AI290" s="39"/>
      <c r="AJ290" s="39"/>
      <c r="AK290" s="12" t="str">
        <f aca="false">IF(A290="","",IF(COUNTIF(Rebar_Schedule!$A$5:$A$2004,A290)=0,"",ROUND(SUMIF(Rebar_Schedule!$A$5:$A$2004,A290,Rebar_Schedule!$K$5:$K$2004),1)))</f>
        <v/>
      </c>
      <c r="AL290" s="33" t="str">
        <f aca="false">IF(A290="","",IF(AK290="","No rebar schedule yet",IF(ABS(AK290-N(AG290))/MAX(N(AG290),1)&gt;SG_Criteria!$B$55,"NOTE: register rebar differs from schedule by "&amp;TEXT(ABS(AK290-N(AG290))/MAX(N(AG290),1),"0%"),"OK")))</f>
        <v/>
      </c>
      <c r="AM290" s="33" t="str">
        <f aca="false">IF(D290="","","OK")</f>
        <v/>
      </c>
      <c r="AN290" s="9"/>
      <c r="AO290" s="9"/>
      <c r="AP290" s="9"/>
      <c r="AQ290" s="10" t="str">
        <f aca="false">IF(AP290="","",IFERROR(VLOOKUP(AP290,Projects!$A$5:$D$504,2,0),"Ref not in Projects"))</f>
        <v/>
      </c>
      <c r="AR290" s="10" t="str">
        <f aca="false">IF(AP290="","",IFERROR(VLOOKUP(AP290,Projects!$A$5:$D$504,4,0),"Ref not in Projects"))</f>
        <v/>
      </c>
      <c r="AS290" s="9"/>
      <c r="AT290" s="9"/>
      <c r="AU290" s="9"/>
      <c r="AV290" s="40"/>
      <c r="AW290" s="9"/>
      <c r="AX290" s="40"/>
      <c r="AY290" s="9"/>
      <c r="AZ290" s="40"/>
      <c r="BA290" s="9"/>
      <c r="BB290" s="9"/>
      <c r="BC290" s="9"/>
      <c r="BD290" s="40"/>
      <c r="BE290" s="40"/>
      <c r="BF290" s="36" t="str">
        <f aca="false">IF(BE290="","",EDATE(BE290,SG_Criteria!$B$54*12))</f>
        <v/>
      </c>
      <c r="BG290" s="33" t="str">
        <f aca="true">IF(A290="","",IF(BE290="","NOTE: not reviewed yet",IF(TODAY()&gt;BF290,"NOTE: review overdue","OK")))</f>
        <v/>
      </c>
      <c r="BH290" s="37" t="str">
        <f aca="false">IF(A290="","",ROUND((IF(LEN(D290)&gt;0,1,0)+IF(LEN(E290)&gt;0,1,0)+IF(LEN(I290)&gt;0,1,0)+IF(LEN(K290)&gt;0,1,0)+IF(LEN(Q290)&gt;0,1,0)+IF(LEN(S290)&gt;0,1,0)+IF(LEN(T290)&gt;0,1,0)+IF(LEN(U290)&gt;0,1,0)+IF(LEN(V290)&gt;0,1,0)+IF(LEN(AE290)&gt;0,1,0)+IF(LEN(AP290)&gt;0,1,0)+IF(LEN(BC290)&gt;0,1,0))/12,2))</f>
        <v/>
      </c>
      <c r="BI290" s="10" t="str">
        <f aca="false">IF(D290="","",IF(AND(T290="Approved",ISERROR(SEARCH("FAIL",AM290))),"Y","N"))</f>
        <v/>
      </c>
    </row>
    <row r="291" customFormat="false" ht="15" hidden="false" customHeight="false" outlineLevel="0" collapsed="false">
      <c r="A291" s="10" t="str">
        <f aca="false">IF(D291="","",IFERROR(VLOOKUP(D291,Lists!$BI$4:$BJ$20,2,0),"??")&amp;"-"&amp;UPPER(SUBSTITUTE(E291," ",""))&amp;IF(F291&lt;&gt;"","-SP"&amp;TEXT(F291*1000,"0"),"")&amp;IF(G291&lt;&gt;"","-H"&amp;TEXT(G291*1000,"0"),"")&amp;"-"&amp;S291)</f>
        <v/>
      </c>
      <c r="B291" s="10" t="str">
        <f aca="false">IF(D291="","",D291&amp;" - "&amp;E291&amp;IF(F291&lt;&gt;"",", span "&amp;F291&amp;" m","")&amp;IF(G291&lt;&gt;"",", H "&amp;G291&amp;" m","")&amp;IF(H291&lt;&gt;"",", W "&amp;H291&amp;" m",""))</f>
        <v/>
      </c>
      <c r="C291" s="9"/>
      <c r="D291" s="9"/>
      <c r="E291" s="9"/>
      <c r="F291" s="42"/>
      <c r="G291" s="42"/>
      <c r="H291" s="42"/>
      <c r="I291" s="9"/>
      <c r="J291" s="9"/>
      <c r="K291" s="9"/>
      <c r="L291" s="9"/>
      <c r="M291" s="9"/>
      <c r="N291" s="38"/>
      <c r="O291" s="9"/>
      <c r="P291" s="39"/>
      <c r="Q291" s="9"/>
      <c r="R291" s="9"/>
      <c r="S291" s="9"/>
      <c r="T291" s="9"/>
      <c r="U291" s="9"/>
      <c r="V291" s="9"/>
      <c r="W291" s="9"/>
      <c r="X291" s="10" t="str">
        <f aca="false">IF(A291="","",SG_Criteria!$B$6&amp;SG_Criteria!$B$13&amp;"\"&amp;A291&amp;"\")</f>
        <v/>
      </c>
      <c r="Y291" s="10" t="str">
        <f aca="false">IF(A291="","",A291&amp;"_CAD.dwg")</f>
        <v/>
      </c>
      <c r="Z291" s="10" t="str">
        <f aca="false">IF(A291="","",A291&amp;"_DWG.pdf")</f>
        <v/>
      </c>
      <c r="AA291" s="10" t="str">
        <f aca="false">IF(A291="","",IF(W291="Y",A291&amp;"_STAAD.std","n/a"))</f>
        <v/>
      </c>
      <c r="AB291" s="10" t="str">
        <f aca="false">IF(A291="","",A291&amp;"_CALC.xlsx")</f>
        <v/>
      </c>
      <c r="AC291" s="10" t="str">
        <f aca="false">IF(A291="","",A291&amp;"_CALC.pdf")</f>
        <v/>
      </c>
      <c r="AD291" s="9"/>
      <c r="AE291" s="9"/>
      <c r="AF291" s="39"/>
      <c r="AG291" s="39"/>
      <c r="AH291" s="39"/>
      <c r="AI291" s="39"/>
      <c r="AJ291" s="39"/>
      <c r="AK291" s="12" t="str">
        <f aca="false">IF(A291="","",IF(COUNTIF(Rebar_Schedule!$A$5:$A$2004,A291)=0,"",ROUND(SUMIF(Rebar_Schedule!$A$5:$A$2004,A291,Rebar_Schedule!$K$5:$K$2004),1)))</f>
        <v/>
      </c>
      <c r="AL291" s="33" t="str">
        <f aca="false">IF(A291="","",IF(AK291="","No rebar schedule yet",IF(ABS(AK291-N(AG291))/MAX(N(AG291),1)&gt;SG_Criteria!$B$55,"NOTE: register rebar differs from schedule by "&amp;TEXT(ABS(AK291-N(AG291))/MAX(N(AG291),1),"0%"),"OK")))</f>
        <v/>
      </c>
      <c r="AM291" s="33" t="str">
        <f aca="false">IF(D291="","","OK")</f>
        <v/>
      </c>
      <c r="AN291" s="9"/>
      <c r="AO291" s="9"/>
      <c r="AP291" s="9"/>
      <c r="AQ291" s="10" t="str">
        <f aca="false">IF(AP291="","",IFERROR(VLOOKUP(AP291,Projects!$A$5:$D$504,2,0),"Ref not in Projects"))</f>
        <v/>
      </c>
      <c r="AR291" s="10" t="str">
        <f aca="false">IF(AP291="","",IFERROR(VLOOKUP(AP291,Projects!$A$5:$D$504,4,0),"Ref not in Projects"))</f>
        <v/>
      </c>
      <c r="AS291" s="9"/>
      <c r="AT291" s="9"/>
      <c r="AU291" s="9"/>
      <c r="AV291" s="40"/>
      <c r="AW291" s="9"/>
      <c r="AX291" s="40"/>
      <c r="AY291" s="9"/>
      <c r="AZ291" s="40"/>
      <c r="BA291" s="9"/>
      <c r="BB291" s="9"/>
      <c r="BC291" s="9"/>
      <c r="BD291" s="40"/>
      <c r="BE291" s="40"/>
      <c r="BF291" s="36" t="str">
        <f aca="false">IF(BE291="","",EDATE(BE291,SG_Criteria!$B$54*12))</f>
        <v/>
      </c>
      <c r="BG291" s="33" t="str">
        <f aca="true">IF(A291="","",IF(BE291="","NOTE: not reviewed yet",IF(TODAY()&gt;BF291,"NOTE: review overdue","OK")))</f>
        <v/>
      </c>
      <c r="BH291" s="37" t="str">
        <f aca="false">IF(A291="","",ROUND((IF(LEN(D291)&gt;0,1,0)+IF(LEN(E291)&gt;0,1,0)+IF(LEN(I291)&gt;0,1,0)+IF(LEN(K291)&gt;0,1,0)+IF(LEN(Q291)&gt;0,1,0)+IF(LEN(S291)&gt;0,1,0)+IF(LEN(T291)&gt;0,1,0)+IF(LEN(U291)&gt;0,1,0)+IF(LEN(V291)&gt;0,1,0)+IF(LEN(AE291)&gt;0,1,0)+IF(LEN(AP291)&gt;0,1,0)+IF(LEN(BC291)&gt;0,1,0))/12,2))</f>
        <v/>
      </c>
      <c r="BI291" s="10" t="str">
        <f aca="false">IF(D291="","",IF(AND(T291="Approved",ISERROR(SEARCH("FAIL",AM291))),"Y","N"))</f>
        <v/>
      </c>
    </row>
    <row r="292" customFormat="false" ht="15" hidden="false" customHeight="false" outlineLevel="0" collapsed="false">
      <c r="A292" s="10" t="str">
        <f aca="false">IF(D292="","",IFERROR(VLOOKUP(D292,Lists!$BI$4:$BJ$20,2,0),"??")&amp;"-"&amp;UPPER(SUBSTITUTE(E292," ",""))&amp;IF(F292&lt;&gt;"","-SP"&amp;TEXT(F292*1000,"0"),"")&amp;IF(G292&lt;&gt;"","-H"&amp;TEXT(G292*1000,"0"),"")&amp;"-"&amp;S292)</f>
        <v/>
      </c>
      <c r="B292" s="10" t="str">
        <f aca="false">IF(D292="","",D292&amp;" - "&amp;E292&amp;IF(F292&lt;&gt;"",", span "&amp;F292&amp;" m","")&amp;IF(G292&lt;&gt;"",", H "&amp;G292&amp;" m","")&amp;IF(H292&lt;&gt;"",", W "&amp;H292&amp;" m",""))</f>
        <v/>
      </c>
      <c r="C292" s="9"/>
      <c r="D292" s="9"/>
      <c r="E292" s="9"/>
      <c r="F292" s="42"/>
      <c r="G292" s="42"/>
      <c r="H292" s="42"/>
      <c r="I292" s="9"/>
      <c r="J292" s="9"/>
      <c r="K292" s="9"/>
      <c r="L292" s="9"/>
      <c r="M292" s="9"/>
      <c r="N292" s="38"/>
      <c r="O292" s="9"/>
      <c r="P292" s="39"/>
      <c r="Q292" s="9"/>
      <c r="R292" s="9"/>
      <c r="S292" s="9"/>
      <c r="T292" s="9"/>
      <c r="U292" s="9"/>
      <c r="V292" s="9"/>
      <c r="W292" s="9"/>
      <c r="X292" s="10" t="str">
        <f aca="false">IF(A292="","",SG_Criteria!$B$6&amp;SG_Criteria!$B$13&amp;"\"&amp;A292&amp;"\")</f>
        <v/>
      </c>
      <c r="Y292" s="10" t="str">
        <f aca="false">IF(A292="","",A292&amp;"_CAD.dwg")</f>
        <v/>
      </c>
      <c r="Z292" s="10" t="str">
        <f aca="false">IF(A292="","",A292&amp;"_DWG.pdf")</f>
        <v/>
      </c>
      <c r="AA292" s="10" t="str">
        <f aca="false">IF(A292="","",IF(W292="Y",A292&amp;"_STAAD.std","n/a"))</f>
        <v/>
      </c>
      <c r="AB292" s="10" t="str">
        <f aca="false">IF(A292="","",A292&amp;"_CALC.xlsx")</f>
        <v/>
      </c>
      <c r="AC292" s="10" t="str">
        <f aca="false">IF(A292="","",A292&amp;"_CALC.pdf")</f>
        <v/>
      </c>
      <c r="AD292" s="9"/>
      <c r="AE292" s="9"/>
      <c r="AF292" s="39"/>
      <c r="AG292" s="39"/>
      <c r="AH292" s="39"/>
      <c r="AI292" s="39"/>
      <c r="AJ292" s="39"/>
      <c r="AK292" s="12" t="str">
        <f aca="false">IF(A292="","",IF(COUNTIF(Rebar_Schedule!$A$5:$A$2004,A292)=0,"",ROUND(SUMIF(Rebar_Schedule!$A$5:$A$2004,A292,Rebar_Schedule!$K$5:$K$2004),1)))</f>
        <v/>
      </c>
      <c r="AL292" s="33" t="str">
        <f aca="false">IF(A292="","",IF(AK292="","No rebar schedule yet",IF(ABS(AK292-N(AG292))/MAX(N(AG292),1)&gt;SG_Criteria!$B$55,"NOTE: register rebar differs from schedule by "&amp;TEXT(ABS(AK292-N(AG292))/MAX(N(AG292),1),"0%"),"OK")))</f>
        <v/>
      </c>
      <c r="AM292" s="33" t="str">
        <f aca="false">IF(D292="","","OK")</f>
        <v/>
      </c>
      <c r="AN292" s="9"/>
      <c r="AO292" s="9"/>
      <c r="AP292" s="9"/>
      <c r="AQ292" s="10" t="str">
        <f aca="false">IF(AP292="","",IFERROR(VLOOKUP(AP292,Projects!$A$5:$D$504,2,0),"Ref not in Projects"))</f>
        <v/>
      </c>
      <c r="AR292" s="10" t="str">
        <f aca="false">IF(AP292="","",IFERROR(VLOOKUP(AP292,Projects!$A$5:$D$504,4,0),"Ref not in Projects"))</f>
        <v/>
      </c>
      <c r="AS292" s="9"/>
      <c r="AT292" s="9"/>
      <c r="AU292" s="9"/>
      <c r="AV292" s="40"/>
      <c r="AW292" s="9"/>
      <c r="AX292" s="40"/>
      <c r="AY292" s="9"/>
      <c r="AZ292" s="40"/>
      <c r="BA292" s="9"/>
      <c r="BB292" s="9"/>
      <c r="BC292" s="9"/>
      <c r="BD292" s="40"/>
      <c r="BE292" s="40"/>
      <c r="BF292" s="36" t="str">
        <f aca="false">IF(BE292="","",EDATE(BE292,SG_Criteria!$B$54*12))</f>
        <v/>
      </c>
      <c r="BG292" s="33" t="str">
        <f aca="true">IF(A292="","",IF(BE292="","NOTE: not reviewed yet",IF(TODAY()&gt;BF292,"NOTE: review overdue","OK")))</f>
        <v/>
      </c>
      <c r="BH292" s="37" t="str">
        <f aca="false">IF(A292="","",ROUND((IF(LEN(D292)&gt;0,1,0)+IF(LEN(E292)&gt;0,1,0)+IF(LEN(I292)&gt;0,1,0)+IF(LEN(K292)&gt;0,1,0)+IF(LEN(Q292)&gt;0,1,0)+IF(LEN(S292)&gt;0,1,0)+IF(LEN(T292)&gt;0,1,0)+IF(LEN(U292)&gt;0,1,0)+IF(LEN(V292)&gt;0,1,0)+IF(LEN(AE292)&gt;0,1,0)+IF(LEN(AP292)&gt;0,1,0)+IF(LEN(BC292)&gt;0,1,0))/12,2))</f>
        <v/>
      </c>
      <c r="BI292" s="10" t="str">
        <f aca="false">IF(D292="","",IF(AND(T292="Approved",ISERROR(SEARCH("FAIL",AM292))),"Y","N"))</f>
        <v/>
      </c>
    </row>
    <row r="293" customFormat="false" ht="15" hidden="false" customHeight="false" outlineLevel="0" collapsed="false">
      <c r="A293" s="10" t="str">
        <f aca="false">IF(D293="","",IFERROR(VLOOKUP(D293,Lists!$BI$4:$BJ$20,2,0),"??")&amp;"-"&amp;UPPER(SUBSTITUTE(E293," ",""))&amp;IF(F293&lt;&gt;"","-SP"&amp;TEXT(F293*1000,"0"),"")&amp;IF(G293&lt;&gt;"","-H"&amp;TEXT(G293*1000,"0"),"")&amp;"-"&amp;S293)</f>
        <v/>
      </c>
      <c r="B293" s="10" t="str">
        <f aca="false">IF(D293="","",D293&amp;" - "&amp;E293&amp;IF(F293&lt;&gt;"",", span "&amp;F293&amp;" m","")&amp;IF(G293&lt;&gt;"",", H "&amp;G293&amp;" m","")&amp;IF(H293&lt;&gt;"",", W "&amp;H293&amp;" m",""))</f>
        <v/>
      </c>
      <c r="C293" s="9"/>
      <c r="D293" s="9"/>
      <c r="E293" s="9"/>
      <c r="F293" s="42"/>
      <c r="G293" s="42"/>
      <c r="H293" s="42"/>
      <c r="I293" s="9"/>
      <c r="J293" s="9"/>
      <c r="K293" s="9"/>
      <c r="L293" s="9"/>
      <c r="M293" s="9"/>
      <c r="N293" s="38"/>
      <c r="O293" s="9"/>
      <c r="P293" s="39"/>
      <c r="Q293" s="9"/>
      <c r="R293" s="9"/>
      <c r="S293" s="9"/>
      <c r="T293" s="9"/>
      <c r="U293" s="9"/>
      <c r="V293" s="9"/>
      <c r="W293" s="9"/>
      <c r="X293" s="10" t="str">
        <f aca="false">IF(A293="","",SG_Criteria!$B$6&amp;SG_Criteria!$B$13&amp;"\"&amp;A293&amp;"\")</f>
        <v/>
      </c>
      <c r="Y293" s="10" t="str">
        <f aca="false">IF(A293="","",A293&amp;"_CAD.dwg")</f>
        <v/>
      </c>
      <c r="Z293" s="10" t="str">
        <f aca="false">IF(A293="","",A293&amp;"_DWG.pdf")</f>
        <v/>
      </c>
      <c r="AA293" s="10" t="str">
        <f aca="false">IF(A293="","",IF(W293="Y",A293&amp;"_STAAD.std","n/a"))</f>
        <v/>
      </c>
      <c r="AB293" s="10" t="str">
        <f aca="false">IF(A293="","",A293&amp;"_CALC.xlsx")</f>
        <v/>
      </c>
      <c r="AC293" s="10" t="str">
        <f aca="false">IF(A293="","",A293&amp;"_CALC.pdf")</f>
        <v/>
      </c>
      <c r="AD293" s="9"/>
      <c r="AE293" s="9"/>
      <c r="AF293" s="39"/>
      <c r="AG293" s="39"/>
      <c r="AH293" s="39"/>
      <c r="AI293" s="39"/>
      <c r="AJ293" s="39"/>
      <c r="AK293" s="12" t="str">
        <f aca="false">IF(A293="","",IF(COUNTIF(Rebar_Schedule!$A$5:$A$2004,A293)=0,"",ROUND(SUMIF(Rebar_Schedule!$A$5:$A$2004,A293,Rebar_Schedule!$K$5:$K$2004),1)))</f>
        <v/>
      </c>
      <c r="AL293" s="33" t="str">
        <f aca="false">IF(A293="","",IF(AK293="","No rebar schedule yet",IF(ABS(AK293-N(AG293))/MAX(N(AG293),1)&gt;SG_Criteria!$B$55,"NOTE: register rebar differs from schedule by "&amp;TEXT(ABS(AK293-N(AG293))/MAX(N(AG293),1),"0%"),"OK")))</f>
        <v/>
      </c>
      <c r="AM293" s="33" t="str">
        <f aca="false">IF(D293="","","OK")</f>
        <v/>
      </c>
      <c r="AN293" s="9"/>
      <c r="AO293" s="9"/>
      <c r="AP293" s="9"/>
      <c r="AQ293" s="10" t="str">
        <f aca="false">IF(AP293="","",IFERROR(VLOOKUP(AP293,Projects!$A$5:$D$504,2,0),"Ref not in Projects"))</f>
        <v/>
      </c>
      <c r="AR293" s="10" t="str">
        <f aca="false">IF(AP293="","",IFERROR(VLOOKUP(AP293,Projects!$A$5:$D$504,4,0),"Ref not in Projects"))</f>
        <v/>
      </c>
      <c r="AS293" s="9"/>
      <c r="AT293" s="9"/>
      <c r="AU293" s="9"/>
      <c r="AV293" s="40"/>
      <c r="AW293" s="9"/>
      <c r="AX293" s="40"/>
      <c r="AY293" s="9"/>
      <c r="AZ293" s="40"/>
      <c r="BA293" s="9"/>
      <c r="BB293" s="9"/>
      <c r="BC293" s="9"/>
      <c r="BD293" s="40"/>
      <c r="BE293" s="40"/>
      <c r="BF293" s="36" t="str">
        <f aca="false">IF(BE293="","",EDATE(BE293,SG_Criteria!$B$54*12))</f>
        <v/>
      </c>
      <c r="BG293" s="33" t="str">
        <f aca="true">IF(A293="","",IF(BE293="","NOTE: not reviewed yet",IF(TODAY()&gt;BF293,"NOTE: review overdue","OK")))</f>
        <v/>
      </c>
      <c r="BH293" s="37" t="str">
        <f aca="false">IF(A293="","",ROUND((IF(LEN(D293)&gt;0,1,0)+IF(LEN(E293)&gt;0,1,0)+IF(LEN(I293)&gt;0,1,0)+IF(LEN(K293)&gt;0,1,0)+IF(LEN(Q293)&gt;0,1,0)+IF(LEN(S293)&gt;0,1,0)+IF(LEN(T293)&gt;0,1,0)+IF(LEN(U293)&gt;0,1,0)+IF(LEN(V293)&gt;0,1,0)+IF(LEN(AE293)&gt;0,1,0)+IF(LEN(AP293)&gt;0,1,0)+IF(LEN(BC293)&gt;0,1,0))/12,2))</f>
        <v/>
      </c>
      <c r="BI293" s="10" t="str">
        <f aca="false">IF(D293="","",IF(AND(T293="Approved",ISERROR(SEARCH("FAIL",AM293))),"Y","N"))</f>
        <v/>
      </c>
    </row>
    <row r="294" customFormat="false" ht="15" hidden="false" customHeight="false" outlineLevel="0" collapsed="false">
      <c r="A294" s="10" t="str">
        <f aca="false">IF(D294="","",IFERROR(VLOOKUP(D294,Lists!$BI$4:$BJ$20,2,0),"??")&amp;"-"&amp;UPPER(SUBSTITUTE(E294," ",""))&amp;IF(F294&lt;&gt;"","-SP"&amp;TEXT(F294*1000,"0"),"")&amp;IF(G294&lt;&gt;"","-H"&amp;TEXT(G294*1000,"0"),"")&amp;"-"&amp;S294)</f>
        <v/>
      </c>
      <c r="B294" s="10" t="str">
        <f aca="false">IF(D294="","",D294&amp;" - "&amp;E294&amp;IF(F294&lt;&gt;"",", span "&amp;F294&amp;" m","")&amp;IF(G294&lt;&gt;"",", H "&amp;G294&amp;" m","")&amp;IF(H294&lt;&gt;"",", W "&amp;H294&amp;" m",""))</f>
        <v/>
      </c>
      <c r="C294" s="9"/>
      <c r="D294" s="9"/>
      <c r="E294" s="9"/>
      <c r="F294" s="42"/>
      <c r="G294" s="42"/>
      <c r="H294" s="42"/>
      <c r="I294" s="9"/>
      <c r="J294" s="9"/>
      <c r="K294" s="9"/>
      <c r="L294" s="9"/>
      <c r="M294" s="9"/>
      <c r="N294" s="38"/>
      <c r="O294" s="9"/>
      <c r="P294" s="39"/>
      <c r="Q294" s="9"/>
      <c r="R294" s="9"/>
      <c r="S294" s="9"/>
      <c r="T294" s="9"/>
      <c r="U294" s="9"/>
      <c r="V294" s="9"/>
      <c r="W294" s="9"/>
      <c r="X294" s="10" t="str">
        <f aca="false">IF(A294="","",SG_Criteria!$B$6&amp;SG_Criteria!$B$13&amp;"\"&amp;A294&amp;"\")</f>
        <v/>
      </c>
      <c r="Y294" s="10" t="str">
        <f aca="false">IF(A294="","",A294&amp;"_CAD.dwg")</f>
        <v/>
      </c>
      <c r="Z294" s="10" t="str">
        <f aca="false">IF(A294="","",A294&amp;"_DWG.pdf")</f>
        <v/>
      </c>
      <c r="AA294" s="10" t="str">
        <f aca="false">IF(A294="","",IF(W294="Y",A294&amp;"_STAAD.std","n/a"))</f>
        <v/>
      </c>
      <c r="AB294" s="10" t="str">
        <f aca="false">IF(A294="","",A294&amp;"_CALC.xlsx")</f>
        <v/>
      </c>
      <c r="AC294" s="10" t="str">
        <f aca="false">IF(A294="","",A294&amp;"_CALC.pdf")</f>
        <v/>
      </c>
      <c r="AD294" s="9"/>
      <c r="AE294" s="9"/>
      <c r="AF294" s="39"/>
      <c r="AG294" s="39"/>
      <c r="AH294" s="39"/>
      <c r="AI294" s="39"/>
      <c r="AJ294" s="39"/>
      <c r="AK294" s="12" t="str">
        <f aca="false">IF(A294="","",IF(COUNTIF(Rebar_Schedule!$A$5:$A$2004,A294)=0,"",ROUND(SUMIF(Rebar_Schedule!$A$5:$A$2004,A294,Rebar_Schedule!$K$5:$K$2004),1)))</f>
        <v/>
      </c>
      <c r="AL294" s="33" t="str">
        <f aca="false">IF(A294="","",IF(AK294="","No rebar schedule yet",IF(ABS(AK294-N(AG294))/MAX(N(AG294),1)&gt;SG_Criteria!$B$55,"NOTE: register rebar differs from schedule by "&amp;TEXT(ABS(AK294-N(AG294))/MAX(N(AG294),1),"0%"),"OK")))</f>
        <v/>
      </c>
      <c r="AM294" s="33" t="str">
        <f aca="false">IF(D294="","","OK")</f>
        <v/>
      </c>
      <c r="AN294" s="9"/>
      <c r="AO294" s="9"/>
      <c r="AP294" s="9"/>
      <c r="AQ294" s="10" t="str">
        <f aca="false">IF(AP294="","",IFERROR(VLOOKUP(AP294,Projects!$A$5:$D$504,2,0),"Ref not in Projects"))</f>
        <v/>
      </c>
      <c r="AR294" s="10" t="str">
        <f aca="false">IF(AP294="","",IFERROR(VLOOKUP(AP294,Projects!$A$5:$D$504,4,0),"Ref not in Projects"))</f>
        <v/>
      </c>
      <c r="AS294" s="9"/>
      <c r="AT294" s="9"/>
      <c r="AU294" s="9"/>
      <c r="AV294" s="40"/>
      <c r="AW294" s="9"/>
      <c r="AX294" s="40"/>
      <c r="AY294" s="9"/>
      <c r="AZ294" s="40"/>
      <c r="BA294" s="9"/>
      <c r="BB294" s="9"/>
      <c r="BC294" s="9"/>
      <c r="BD294" s="40"/>
      <c r="BE294" s="40"/>
      <c r="BF294" s="36" t="str">
        <f aca="false">IF(BE294="","",EDATE(BE294,SG_Criteria!$B$54*12))</f>
        <v/>
      </c>
      <c r="BG294" s="33" t="str">
        <f aca="true">IF(A294="","",IF(BE294="","NOTE: not reviewed yet",IF(TODAY()&gt;BF294,"NOTE: review overdue","OK")))</f>
        <v/>
      </c>
      <c r="BH294" s="37" t="str">
        <f aca="false">IF(A294="","",ROUND((IF(LEN(D294)&gt;0,1,0)+IF(LEN(E294)&gt;0,1,0)+IF(LEN(I294)&gt;0,1,0)+IF(LEN(K294)&gt;0,1,0)+IF(LEN(Q294)&gt;0,1,0)+IF(LEN(S294)&gt;0,1,0)+IF(LEN(T294)&gt;0,1,0)+IF(LEN(U294)&gt;0,1,0)+IF(LEN(V294)&gt;0,1,0)+IF(LEN(AE294)&gt;0,1,0)+IF(LEN(AP294)&gt;0,1,0)+IF(LEN(BC294)&gt;0,1,0))/12,2))</f>
        <v/>
      </c>
      <c r="BI294" s="10" t="str">
        <f aca="false">IF(D294="","",IF(AND(T294="Approved",ISERROR(SEARCH("FAIL",AM294))),"Y","N"))</f>
        <v/>
      </c>
    </row>
    <row r="295" customFormat="false" ht="15" hidden="false" customHeight="false" outlineLevel="0" collapsed="false">
      <c r="A295" s="10" t="str">
        <f aca="false">IF(D295="","",IFERROR(VLOOKUP(D295,Lists!$BI$4:$BJ$20,2,0),"??")&amp;"-"&amp;UPPER(SUBSTITUTE(E295," ",""))&amp;IF(F295&lt;&gt;"","-SP"&amp;TEXT(F295*1000,"0"),"")&amp;IF(G295&lt;&gt;"","-H"&amp;TEXT(G295*1000,"0"),"")&amp;"-"&amp;S295)</f>
        <v/>
      </c>
      <c r="B295" s="10" t="str">
        <f aca="false">IF(D295="","",D295&amp;" - "&amp;E295&amp;IF(F295&lt;&gt;"",", span "&amp;F295&amp;" m","")&amp;IF(G295&lt;&gt;"",", H "&amp;G295&amp;" m","")&amp;IF(H295&lt;&gt;"",", W "&amp;H295&amp;" m",""))</f>
        <v/>
      </c>
      <c r="C295" s="9"/>
      <c r="D295" s="9"/>
      <c r="E295" s="9"/>
      <c r="F295" s="42"/>
      <c r="G295" s="42"/>
      <c r="H295" s="42"/>
      <c r="I295" s="9"/>
      <c r="J295" s="9"/>
      <c r="K295" s="9"/>
      <c r="L295" s="9"/>
      <c r="M295" s="9"/>
      <c r="N295" s="38"/>
      <c r="O295" s="9"/>
      <c r="P295" s="39"/>
      <c r="Q295" s="9"/>
      <c r="R295" s="9"/>
      <c r="S295" s="9"/>
      <c r="T295" s="9"/>
      <c r="U295" s="9"/>
      <c r="V295" s="9"/>
      <c r="W295" s="9"/>
      <c r="X295" s="10" t="str">
        <f aca="false">IF(A295="","",SG_Criteria!$B$6&amp;SG_Criteria!$B$13&amp;"\"&amp;A295&amp;"\")</f>
        <v/>
      </c>
      <c r="Y295" s="10" t="str">
        <f aca="false">IF(A295="","",A295&amp;"_CAD.dwg")</f>
        <v/>
      </c>
      <c r="Z295" s="10" t="str">
        <f aca="false">IF(A295="","",A295&amp;"_DWG.pdf")</f>
        <v/>
      </c>
      <c r="AA295" s="10" t="str">
        <f aca="false">IF(A295="","",IF(W295="Y",A295&amp;"_STAAD.std","n/a"))</f>
        <v/>
      </c>
      <c r="AB295" s="10" t="str">
        <f aca="false">IF(A295="","",A295&amp;"_CALC.xlsx")</f>
        <v/>
      </c>
      <c r="AC295" s="10" t="str">
        <f aca="false">IF(A295="","",A295&amp;"_CALC.pdf")</f>
        <v/>
      </c>
      <c r="AD295" s="9"/>
      <c r="AE295" s="9"/>
      <c r="AF295" s="39"/>
      <c r="AG295" s="39"/>
      <c r="AH295" s="39"/>
      <c r="AI295" s="39"/>
      <c r="AJ295" s="39"/>
      <c r="AK295" s="12" t="str">
        <f aca="false">IF(A295="","",IF(COUNTIF(Rebar_Schedule!$A$5:$A$2004,A295)=0,"",ROUND(SUMIF(Rebar_Schedule!$A$5:$A$2004,A295,Rebar_Schedule!$K$5:$K$2004),1)))</f>
        <v/>
      </c>
      <c r="AL295" s="33" t="str">
        <f aca="false">IF(A295="","",IF(AK295="","No rebar schedule yet",IF(ABS(AK295-N(AG295))/MAX(N(AG295),1)&gt;SG_Criteria!$B$55,"NOTE: register rebar differs from schedule by "&amp;TEXT(ABS(AK295-N(AG295))/MAX(N(AG295),1),"0%"),"OK")))</f>
        <v/>
      </c>
      <c r="AM295" s="33" t="str">
        <f aca="false">IF(D295="","","OK")</f>
        <v/>
      </c>
      <c r="AN295" s="9"/>
      <c r="AO295" s="9"/>
      <c r="AP295" s="9"/>
      <c r="AQ295" s="10" t="str">
        <f aca="false">IF(AP295="","",IFERROR(VLOOKUP(AP295,Projects!$A$5:$D$504,2,0),"Ref not in Projects"))</f>
        <v/>
      </c>
      <c r="AR295" s="10" t="str">
        <f aca="false">IF(AP295="","",IFERROR(VLOOKUP(AP295,Projects!$A$5:$D$504,4,0),"Ref not in Projects"))</f>
        <v/>
      </c>
      <c r="AS295" s="9"/>
      <c r="AT295" s="9"/>
      <c r="AU295" s="9"/>
      <c r="AV295" s="40"/>
      <c r="AW295" s="9"/>
      <c r="AX295" s="40"/>
      <c r="AY295" s="9"/>
      <c r="AZ295" s="40"/>
      <c r="BA295" s="9"/>
      <c r="BB295" s="9"/>
      <c r="BC295" s="9"/>
      <c r="BD295" s="40"/>
      <c r="BE295" s="40"/>
      <c r="BF295" s="36" t="str">
        <f aca="false">IF(BE295="","",EDATE(BE295,SG_Criteria!$B$54*12))</f>
        <v/>
      </c>
      <c r="BG295" s="33" t="str">
        <f aca="true">IF(A295="","",IF(BE295="","NOTE: not reviewed yet",IF(TODAY()&gt;BF295,"NOTE: review overdue","OK")))</f>
        <v/>
      </c>
      <c r="BH295" s="37" t="str">
        <f aca="false">IF(A295="","",ROUND((IF(LEN(D295)&gt;0,1,0)+IF(LEN(E295)&gt;0,1,0)+IF(LEN(I295)&gt;0,1,0)+IF(LEN(K295)&gt;0,1,0)+IF(LEN(Q295)&gt;0,1,0)+IF(LEN(S295)&gt;0,1,0)+IF(LEN(T295)&gt;0,1,0)+IF(LEN(U295)&gt;0,1,0)+IF(LEN(V295)&gt;0,1,0)+IF(LEN(AE295)&gt;0,1,0)+IF(LEN(AP295)&gt;0,1,0)+IF(LEN(BC295)&gt;0,1,0))/12,2))</f>
        <v/>
      </c>
      <c r="BI295" s="10" t="str">
        <f aca="false">IF(D295="","",IF(AND(T295="Approved",ISERROR(SEARCH("FAIL",AM295))),"Y","N"))</f>
        <v/>
      </c>
    </row>
    <row r="296" customFormat="false" ht="15" hidden="false" customHeight="false" outlineLevel="0" collapsed="false">
      <c r="A296" s="10" t="str">
        <f aca="false">IF(D296="","",IFERROR(VLOOKUP(D296,Lists!$BI$4:$BJ$20,2,0),"??")&amp;"-"&amp;UPPER(SUBSTITUTE(E296," ",""))&amp;IF(F296&lt;&gt;"","-SP"&amp;TEXT(F296*1000,"0"),"")&amp;IF(G296&lt;&gt;"","-H"&amp;TEXT(G296*1000,"0"),"")&amp;"-"&amp;S296)</f>
        <v/>
      </c>
      <c r="B296" s="10" t="str">
        <f aca="false">IF(D296="","",D296&amp;" - "&amp;E296&amp;IF(F296&lt;&gt;"",", span "&amp;F296&amp;" m","")&amp;IF(G296&lt;&gt;"",", H "&amp;G296&amp;" m","")&amp;IF(H296&lt;&gt;"",", W "&amp;H296&amp;" m",""))</f>
        <v/>
      </c>
      <c r="C296" s="9"/>
      <c r="D296" s="9"/>
      <c r="E296" s="9"/>
      <c r="F296" s="42"/>
      <c r="G296" s="42"/>
      <c r="H296" s="42"/>
      <c r="I296" s="9"/>
      <c r="J296" s="9"/>
      <c r="K296" s="9"/>
      <c r="L296" s="9"/>
      <c r="M296" s="9"/>
      <c r="N296" s="38"/>
      <c r="O296" s="9"/>
      <c r="P296" s="39"/>
      <c r="Q296" s="9"/>
      <c r="R296" s="9"/>
      <c r="S296" s="9"/>
      <c r="T296" s="9"/>
      <c r="U296" s="9"/>
      <c r="V296" s="9"/>
      <c r="W296" s="9"/>
      <c r="X296" s="10" t="str">
        <f aca="false">IF(A296="","",SG_Criteria!$B$6&amp;SG_Criteria!$B$13&amp;"\"&amp;A296&amp;"\")</f>
        <v/>
      </c>
      <c r="Y296" s="10" t="str">
        <f aca="false">IF(A296="","",A296&amp;"_CAD.dwg")</f>
        <v/>
      </c>
      <c r="Z296" s="10" t="str">
        <f aca="false">IF(A296="","",A296&amp;"_DWG.pdf")</f>
        <v/>
      </c>
      <c r="AA296" s="10" t="str">
        <f aca="false">IF(A296="","",IF(W296="Y",A296&amp;"_STAAD.std","n/a"))</f>
        <v/>
      </c>
      <c r="AB296" s="10" t="str">
        <f aca="false">IF(A296="","",A296&amp;"_CALC.xlsx")</f>
        <v/>
      </c>
      <c r="AC296" s="10" t="str">
        <f aca="false">IF(A296="","",A296&amp;"_CALC.pdf")</f>
        <v/>
      </c>
      <c r="AD296" s="9"/>
      <c r="AE296" s="9"/>
      <c r="AF296" s="39"/>
      <c r="AG296" s="39"/>
      <c r="AH296" s="39"/>
      <c r="AI296" s="39"/>
      <c r="AJ296" s="39"/>
      <c r="AK296" s="12" t="str">
        <f aca="false">IF(A296="","",IF(COUNTIF(Rebar_Schedule!$A$5:$A$2004,A296)=0,"",ROUND(SUMIF(Rebar_Schedule!$A$5:$A$2004,A296,Rebar_Schedule!$K$5:$K$2004),1)))</f>
        <v/>
      </c>
      <c r="AL296" s="33" t="str">
        <f aca="false">IF(A296="","",IF(AK296="","No rebar schedule yet",IF(ABS(AK296-N(AG296))/MAX(N(AG296),1)&gt;SG_Criteria!$B$55,"NOTE: register rebar differs from schedule by "&amp;TEXT(ABS(AK296-N(AG296))/MAX(N(AG296),1),"0%"),"OK")))</f>
        <v/>
      </c>
      <c r="AM296" s="33" t="str">
        <f aca="false">IF(D296="","","OK")</f>
        <v/>
      </c>
      <c r="AN296" s="9"/>
      <c r="AO296" s="9"/>
      <c r="AP296" s="9"/>
      <c r="AQ296" s="10" t="str">
        <f aca="false">IF(AP296="","",IFERROR(VLOOKUP(AP296,Projects!$A$5:$D$504,2,0),"Ref not in Projects"))</f>
        <v/>
      </c>
      <c r="AR296" s="10" t="str">
        <f aca="false">IF(AP296="","",IFERROR(VLOOKUP(AP296,Projects!$A$5:$D$504,4,0),"Ref not in Projects"))</f>
        <v/>
      </c>
      <c r="AS296" s="9"/>
      <c r="AT296" s="9"/>
      <c r="AU296" s="9"/>
      <c r="AV296" s="40"/>
      <c r="AW296" s="9"/>
      <c r="AX296" s="40"/>
      <c r="AY296" s="9"/>
      <c r="AZ296" s="40"/>
      <c r="BA296" s="9"/>
      <c r="BB296" s="9"/>
      <c r="BC296" s="9"/>
      <c r="BD296" s="40"/>
      <c r="BE296" s="40"/>
      <c r="BF296" s="36" t="str">
        <f aca="false">IF(BE296="","",EDATE(BE296,SG_Criteria!$B$54*12))</f>
        <v/>
      </c>
      <c r="BG296" s="33" t="str">
        <f aca="true">IF(A296="","",IF(BE296="","NOTE: not reviewed yet",IF(TODAY()&gt;BF296,"NOTE: review overdue","OK")))</f>
        <v/>
      </c>
      <c r="BH296" s="37" t="str">
        <f aca="false">IF(A296="","",ROUND((IF(LEN(D296)&gt;0,1,0)+IF(LEN(E296)&gt;0,1,0)+IF(LEN(I296)&gt;0,1,0)+IF(LEN(K296)&gt;0,1,0)+IF(LEN(Q296)&gt;0,1,0)+IF(LEN(S296)&gt;0,1,0)+IF(LEN(T296)&gt;0,1,0)+IF(LEN(U296)&gt;0,1,0)+IF(LEN(V296)&gt;0,1,0)+IF(LEN(AE296)&gt;0,1,0)+IF(LEN(AP296)&gt;0,1,0)+IF(LEN(BC296)&gt;0,1,0))/12,2))</f>
        <v/>
      </c>
      <c r="BI296" s="10" t="str">
        <f aca="false">IF(D296="","",IF(AND(T296="Approved",ISERROR(SEARCH("FAIL",AM296))),"Y","N"))</f>
        <v/>
      </c>
    </row>
    <row r="297" customFormat="false" ht="15" hidden="false" customHeight="false" outlineLevel="0" collapsed="false">
      <c r="A297" s="10" t="str">
        <f aca="false">IF(D297="","",IFERROR(VLOOKUP(D297,Lists!$BI$4:$BJ$20,2,0),"??")&amp;"-"&amp;UPPER(SUBSTITUTE(E297," ",""))&amp;IF(F297&lt;&gt;"","-SP"&amp;TEXT(F297*1000,"0"),"")&amp;IF(G297&lt;&gt;"","-H"&amp;TEXT(G297*1000,"0"),"")&amp;"-"&amp;S297)</f>
        <v/>
      </c>
      <c r="B297" s="10" t="str">
        <f aca="false">IF(D297="","",D297&amp;" - "&amp;E297&amp;IF(F297&lt;&gt;"",", span "&amp;F297&amp;" m","")&amp;IF(G297&lt;&gt;"",", H "&amp;G297&amp;" m","")&amp;IF(H297&lt;&gt;"",", W "&amp;H297&amp;" m",""))</f>
        <v/>
      </c>
      <c r="C297" s="9"/>
      <c r="D297" s="9"/>
      <c r="E297" s="9"/>
      <c r="F297" s="42"/>
      <c r="G297" s="42"/>
      <c r="H297" s="42"/>
      <c r="I297" s="9"/>
      <c r="J297" s="9"/>
      <c r="K297" s="9"/>
      <c r="L297" s="9"/>
      <c r="M297" s="9"/>
      <c r="N297" s="38"/>
      <c r="O297" s="9"/>
      <c r="P297" s="39"/>
      <c r="Q297" s="9"/>
      <c r="R297" s="9"/>
      <c r="S297" s="9"/>
      <c r="T297" s="9"/>
      <c r="U297" s="9"/>
      <c r="V297" s="9"/>
      <c r="W297" s="9"/>
      <c r="X297" s="10" t="str">
        <f aca="false">IF(A297="","",SG_Criteria!$B$6&amp;SG_Criteria!$B$13&amp;"\"&amp;A297&amp;"\")</f>
        <v/>
      </c>
      <c r="Y297" s="10" t="str">
        <f aca="false">IF(A297="","",A297&amp;"_CAD.dwg")</f>
        <v/>
      </c>
      <c r="Z297" s="10" t="str">
        <f aca="false">IF(A297="","",A297&amp;"_DWG.pdf")</f>
        <v/>
      </c>
      <c r="AA297" s="10" t="str">
        <f aca="false">IF(A297="","",IF(W297="Y",A297&amp;"_STAAD.std","n/a"))</f>
        <v/>
      </c>
      <c r="AB297" s="10" t="str">
        <f aca="false">IF(A297="","",A297&amp;"_CALC.xlsx")</f>
        <v/>
      </c>
      <c r="AC297" s="10" t="str">
        <f aca="false">IF(A297="","",A297&amp;"_CALC.pdf")</f>
        <v/>
      </c>
      <c r="AD297" s="9"/>
      <c r="AE297" s="9"/>
      <c r="AF297" s="39"/>
      <c r="AG297" s="39"/>
      <c r="AH297" s="39"/>
      <c r="AI297" s="39"/>
      <c r="AJ297" s="39"/>
      <c r="AK297" s="12" t="str">
        <f aca="false">IF(A297="","",IF(COUNTIF(Rebar_Schedule!$A$5:$A$2004,A297)=0,"",ROUND(SUMIF(Rebar_Schedule!$A$5:$A$2004,A297,Rebar_Schedule!$K$5:$K$2004),1)))</f>
        <v/>
      </c>
      <c r="AL297" s="33" t="str">
        <f aca="false">IF(A297="","",IF(AK297="","No rebar schedule yet",IF(ABS(AK297-N(AG297))/MAX(N(AG297),1)&gt;SG_Criteria!$B$55,"NOTE: register rebar differs from schedule by "&amp;TEXT(ABS(AK297-N(AG297))/MAX(N(AG297),1),"0%"),"OK")))</f>
        <v/>
      </c>
      <c r="AM297" s="33" t="str">
        <f aca="false">IF(D297="","","OK")</f>
        <v/>
      </c>
      <c r="AN297" s="9"/>
      <c r="AO297" s="9"/>
      <c r="AP297" s="9"/>
      <c r="AQ297" s="10" t="str">
        <f aca="false">IF(AP297="","",IFERROR(VLOOKUP(AP297,Projects!$A$5:$D$504,2,0),"Ref not in Projects"))</f>
        <v/>
      </c>
      <c r="AR297" s="10" t="str">
        <f aca="false">IF(AP297="","",IFERROR(VLOOKUP(AP297,Projects!$A$5:$D$504,4,0),"Ref not in Projects"))</f>
        <v/>
      </c>
      <c r="AS297" s="9"/>
      <c r="AT297" s="9"/>
      <c r="AU297" s="9"/>
      <c r="AV297" s="40"/>
      <c r="AW297" s="9"/>
      <c r="AX297" s="40"/>
      <c r="AY297" s="9"/>
      <c r="AZ297" s="40"/>
      <c r="BA297" s="9"/>
      <c r="BB297" s="9"/>
      <c r="BC297" s="9"/>
      <c r="BD297" s="40"/>
      <c r="BE297" s="40"/>
      <c r="BF297" s="36" t="str">
        <f aca="false">IF(BE297="","",EDATE(BE297,SG_Criteria!$B$54*12))</f>
        <v/>
      </c>
      <c r="BG297" s="33" t="str">
        <f aca="true">IF(A297="","",IF(BE297="","NOTE: not reviewed yet",IF(TODAY()&gt;BF297,"NOTE: review overdue","OK")))</f>
        <v/>
      </c>
      <c r="BH297" s="37" t="str">
        <f aca="false">IF(A297="","",ROUND((IF(LEN(D297)&gt;0,1,0)+IF(LEN(E297)&gt;0,1,0)+IF(LEN(I297)&gt;0,1,0)+IF(LEN(K297)&gt;0,1,0)+IF(LEN(Q297)&gt;0,1,0)+IF(LEN(S297)&gt;0,1,0)+IF(LEN(T297)&gt;0,1,0)+IF(LEN(U297)&gt;0,1,0)+IF(LEN(V297)&gt;0,1,0)+IF(LEN(AE297)&gt;0,1,0)+IF(LEN(AP297)&gt;0,1,0)+IF(LEN(BC297)&gt;0,1,0))/12,2))</f>
        <v/>
      </c>
      <c r="BI297" s="10" t="str">
        <f aca="false">IF(D297="","",IF(AND(T297="Approved",ISERROR(SEARCH("FAIL",AM297))),"Y","N"))</f>
        <v/>
      </c>
    </row>
    <row r="298" customFormat="false" ht="15" hidden="false" customHeight="false" outlineLevel="0" collapsed="false">
      <c r="A298" s="10" t="str">
        <f aca="false">IF(D298="","",IFERROR(VLOOKUP(D298,Lists!$BI$4:$BJ$20,2,0),"??")&amp;"-"&amp;UPPER(SUBSTITUTE(E298," ",""))&amp;IF(F298&lt;&gt;"","-SP"&amp;TEXT(F298*1000,"0"),"")&amp;IF(G298&lt;&gt;"","-H"&amp;TEXT(G298*1000,"0"),"")&amp;"-"&amp;S298)</f>
        <v/>
      </c>
      <c r="B298" s="10" t="str">
        <f aca="false">IF(D298="","",D298&amp;" - "&amp;E298&amp;IF(F298&lt;&gt;"",", span "&amp;F298&amp;" m","")&amp;IF(G298&lt;&gt;"",", H "&amp;G298&amp;" m","")&amp;IF(H298&lt;&gt;"",", W "&amp;H298&amp;" m",""))</f>
        <v/>
      </c>
      <c r="C298" s="9"/>
      <c r="D298" s="9"/>
      <c r="E298" s="9"/>
      <c r="F298" s="42"/>
      <c r="G298" s="42"/>
      <c r="H298" s="42"/>
      <c r="I298" s="9"/>
      <c r="J298" s="9"/>
      <c r="K298" s="9"/>
      <c r="L298" s="9"/>
      <c r="M298" s="9"/>
      <c r="N298" s="38"/>
      <c r="O298" s="9"/>
      <c r="P298" s="39"/>
      <c r="Q298" s="9"/>
      <c r="R298" s="9"/>
      <c r="S298" s="9"/>
      <c r="T298" s="9"/>
      <c r="U298" s="9"/>
      <c r="V298" s="9"/>
      <c r="W298" s="9"/>
      <c r="X298" s="10" t="str">
        <f aca="false">IF(A298="","",SG_Criteria!$B$6&amp;SG_Criteria!$B$13&amp;"\"&amp;A298&amp;"\")</f>
        <v/>
      </c>
      <c r="Y298" s="10" t="str">
        <f aca="false">IF(A298="","",A298&amp;"_CAD.dwg")</f>
        <v/>
      </c>
      <c r="Z298" s="10" t="str">
        <f aca="false">IF(A298="","",A298&amp;"_DWG.pdf")</f>
        <v/>
      </c>
      <c r="AA298" s="10" t="str">
        <f aca="false">IF(A298="","",IF(W298="Y",A298&amp;"_STAAD.std","n/a"))</f>
        <v/>
      </c>
      <c r="AB298" s="10" t="str">
        <f aca="false">IF(A298="","",A298&amp;"_CALC.xlsx")</f>
        <v/>
      </c>
      <c r="AC298" s="10" t="str">
        <f aca="false">IF(A298="","",A298&amp;"_CALC.pdf")</f>
        <v/>
      </c>
      <c r="AD298" s="9"/>
      <c r="AE298" s="9"/>
      <c r="AF298" s="39"/>
      <c r="AG298" s="39"/>
      <c r="AH298" s="39"/>
      <c r="AI298" s="39"/>
      <c r="AJ298" s="39"/>
      <c r="AK298" s="12" t="str">
        <f aca="false">IF(A298="","",IF(COUNTIF(Rebar_Schedule!$A$5:$A$2004,A298)=0,"",ROUND(SUMIF(Rebar_Schedule!$A$5:$A$2004,A298,Rebar_Schedule!$K$5:$K$2004),1)))</f>
        <v/>
      </c>
      <c r="AL298" s="33" t="str">
        <f aca="false">IF(A298="","",IF(AK298="","No rebar schedule yet",IF(ABS(AK298-N(AG298))/MAX(N(AG298),1)&gt;SG_Criteria!$B$55,"NOTE: register rebar differs from schedule by "&amp;TEXT(ABS(AK298-N(AG298))/MAX(N(AG298),1),"0%"),"OK")))</f>
        <v/>
      </c>
      <c r="AM298" s="33" t="str">
        <f aca="false">IF(D298="","","OK")</f>
        <v/>
      </c>
      <c r="AN298" s="9"/>
      <c r="AO298" s="9"/>
      <c r="AP298" s="9"/>
      <c r="AQ298" s="10" t="str">
        <f aca="false">IF(AP298="","",IFERROR(VLOOKUP(AP298,Projects!$A$5:$D$504,2,0),"Ref not in Projects"))</f>
        <v/>
      </c>
      <c r="AR298" s="10" t="str">
        <f aca="false">IF(AP298="","",IFERROR(VLOOKUP(AP298,Projects!$A$5:$D$504,4,0),"Ref not in Projects"))</f>
        <v/>
      </c>
      <c r="AS298" s="9"/>
      <c r="AT298" s="9"/>
      <c r="AU298" s="9"/>
      <c r="AV298" s="40"/>
      <c r="AW298" s="9"/>
      <c r="AX298" s="40"/>
      <c r="AY298" s="9"/>
      <c r="AZ298" s="40"/>
      <c r="BA298" s="9"/>
      <c r="BB298" s="9"/>
      <c r="BC298" s="9"/>
      <c r="BD298" s="40"/>
      <c r="BE298" s="40"/>
      <c r="BF298" s="36" t="str">
        <f aca="false">IF(BE298="","",EDATE(BE298,SG_Criteria!$B$54*12))</f>
        <v/>
      </c>
      <c r="BG298" s="33" t="str">
        <f aca="true">IF(A298="","",IF(BE298="","NOTE: not reviewed yet",IF(TODAY()&gt;BF298,"NOTE: review overdue","OK")))</f>
        <v/>
      </c>
      <c r="BH298" s="37" t="str">
        <f aca="false">IF(A298="","",ROUND((IF(LEN(D298)&gt;0,1,0)+IF(LEN(E298)&gt;0,1,0)+IF(LEN(I298)&gt;0,1,0)+IF(LEN(K298)&gt;0,1,0)+IF(LEN(Q298)&gt;0,1,0)+IF(LEN(S298)&gt;0,1,0)+IF(LEN(T298)&gt;0,1,0)+IF(LEN(U298)&gt;0,1,0)+IF(LEN(V298)&gt;0,1,0)+IF(LEN(AE298)&gt;0,1,0)+IF(LEN(AP298)&gt;0,1,0)+IF(LEN(BC298)&gt;0,1,0))/12,2))</f>
        <v/>
      </c>
      <c r="BI298" s="10" t="str">
        <f aca="false">IF(D298="","",IF(AND(T298="Approved",ISERROR(SEARCH("FAIL",AM298))),"Y","N"))</f>
        <v/>
      </c>
    </row>
    <row r="299" customFormat="false" ht="15" hidden="false" customHeight="false" outlineLevel="0" collapsed="false">
      <c r="A299" s="10" t="str">
        <f aca="false">IF(D299="","",IFERROR(VLOOKUP(D299,Lists!$BI$4:$BJ$20,2,0),"??")&amp;"-"&amp;UPPER(SUBSTITUTE(E299," ",""))&amp;IF(F299&lt;&gt;"","-SP"&amp;TEXT(F299*1000,"0"),"")&amp;IF(G299&lt;&gt;"","-H"&amp;TEXT(G299*1000,"0"),"")&amp;"-"&amp;S299)</f>
        <v/>
      </c>
      <c r="B299" s="10" t="str">
        <f aca="false">IF(D299="","",D299&amp;" - "&amp;E299&amp;IF(F299&lt;&gt;"",", span "&amp;F299&amp;" m","")&amp;IF(G299&lt;&gt;"",", H "&amp;G299&amp;" m","")&amp;IF(H299&lt;&gt;"",", W "&amp;H299&amp;" m",""))</f>
        <v/>
      </c>
      <c r="C299" s="9"/>
      <c r="D299" s="9"/>
      <c r="E299" s="9"/>
      <c r="F299" s="42"/>
      <c r="G299" s="42"/>
      <c r="H299" s="42"/>
      <c r="I299" s="9"/>
      <c r="J299" s="9"/>
      <c r="K299" s="9"/>
      <c r="L299" s="9"/>
      <c r="M299" s="9"/>
      <c r="N299" s="38"/>
      <c r="O299" s="9"/>
      <c r="P299" s="39"/>
      <c r="Q299" s="9"/>
      <c r="R299" s="9"/>
      <c r="S299" s="9"/>
      <c r="T299" s="9"/>
      <c r="U299" s="9"/>
      <c r="V299" s="9"/>
      <c r="W299" s="9"/>
      <c r="X299" s="10" t="str">
        <f aca="false">IF(A299="","",SG_Criteria!$B$6&amp;SG_Criteria!$B$13&amp;"\"&amp;A299&amp;"\")</f>
        <v/>
      </c>
      <c r="Y299" s="10" t="str">
        <f aca="false">IF(A299="","",A299&amp;"_CAD.dwg")</f>
        <v/>
      </c>
      <c r="Z299" s="10" t="str">
        <f aca="false">IF(A299="","",A299&amp;"_DWG.pdf")</f>
        <v/>
      </c>
      <c r="AA299" s="10" t="str">
        <f aca="false">IF(A299="","",IF(W299="Y",A299&amp;"_STAAD.std","n/a"))</f>
        <v/>
      </c>
      <c r="AB299" s="10" t="str">
        <f aca="false">IF(A299="","",A299&amp;"_CALC.xlsx")</f>
        <v/>
      </c>
      <c r="AC299" s="10" t="str">
        <f aca="false">IF(A299="","",A299&amp;"_CALC.pdf")</f>
        <v/>
      </c>
      <c r="AD299" s="9"/>
      <c r="AE299" s="9"/>
      <c r="AF299" s="39"/>
      <c r="AG299" s="39"/>
      <c r="AH299" s="39"/>
      <c r="AI299" s="39"/>
      <c r="AJ299" s="39"/>
      <c r="AK299" s="12" t="str">
        <f aca="false">IF(A299="","",IF(COUNTIF(Rebar_Schedule!$A$5:$A$2004,A299)=0,"",ROUND(SUMIF(Rebar_Schedule!$A$5:$A$2004,A299,Rebar_Schedule!$K$5:$K$2004),1)))</f>
        <v/>
      </c>
      <c r="AL299" s="33" t="str">
        <f aca="false">IF(A299="","",IF(AK299="","No rebar schedule yet",IF(ABS(AK299-N(AG299))/MAX(N(AG299),1)&gt;SG_Criteria!$B$55,"NOTE: register rebar differs from schedule by "&amp;TEXT(ABS(AK299-N(AG299))/MAX(N(AG299),1),"0%"),"OK")))</f>
        <v/>
      </c>
      <c r="AM299" s="33" t="str">
        <f aca="false">IF(D299="","","OK")</f>
        <v/>
      </c>
      <c r="AN299" s="9"/>
      <c r="AO299" s="9"/>
      <c r="AP299" s="9"/>
      <c r="AQ299" s="10" t="str">
        <f aca="false">IF(AP299="","",IFERROR(VLOOKUP(AP299,Projects!$A$5:$D$504,2,0),"Ref not in Projects"))</f>
        <v/>
      </c>
      <c r="AR299" s="10" t="str">
        <f aca="false">IF(AP299="","",IFERROR(VLOOKUP(AP299,Projects!$A$5:$D$504,4,0),"Ref not in Projects"))</f>
        <v/>
      </c>
      <c r="AS299" s="9"/>
      <c r="AT299" s="9"/>
      <c r="AU299" s="9"/>
      <c r="AV299" s="40"/>
      <c r="AW299" s="9"/>
      <c r="AX299" s="40"/>
      <c r="AY299" s="9"/>
      <c r="AZ299" s="40"/>
      <c r="BA299" s="9"/>
      <c r="BB299" s="9"/>
      <c r="BC299" s="9"/>
      <c r="BD299" s="40"/>
      <c r="BE299" s="40"/>
      <c r="BF299" s="36" t="str">
        <f aca="false">IF(BE299="","",EDATE(BE299,SG_Criteria!$B$54*12))</f>
        <v/>
      </c>
      <c r="BG299" s="33" t="str">
        <f aca="true">IF(A299="","",IF(BE299="","NOTE: not reviewed yet",IF(TODAY()&gt;BF299,"NOTE: review overdue","OK")))</f>
        <v/>
      </c>
      <c r="BH299" s="37" t="str">
        <f aca="false">IF(A299="","",ROUND((IF(LEN(D299)&gt;0,1,0)+IF(LEN(E299)&gt;0,1,0)+IF(LEN(I299)&gt;0,1,0)+IF(LEN(K299)&gt;0,1,0)+IF(LEN(Q299)&gt;0,1,0)+IF(LEN(S299)&gt;0,1,0)+IF(LEN(T299)&gt;0,1,0)+IF(LEN(U299)&gt;0,1,0)+IF(LEN(V299)&gt;0,1,0)+IF(LEN(AE299)&gt;0,1,0)+IF(LEN(AP299)&gt;0,1,0)+IF(LEN(BC299)&gt;0,1,0))/12,2))</f>
        <v/>
      </c>
      <c r="BI299" s="10" t="str">
        <f aca="false">IF(D299="","",IF(AND(T299="Approved",ISERROR(SEARCH("FAIL",AM299))),"Y","N"))</f>
        <v/>
      </c>
    </row>
    <row r="300" customFormat="false" ht="15" hidden="false" customHeight="false" outlineLevel="0" collapsed="false">
      <c r="A300" s="10" t="str">
        <f aca="false">IF(D300="","",IFERROR(VLOOKUP(D300,Lists!$BI$4:$BJ$20,2,0),"??")&amp;"-"&amp;UPPER(SUBSTITUTE(E300," ",""))&amp;IF(F300&lt;&gt;"","-SP"&amp;TEXT(F300*1000,"0"),"")&amp;IF(G300&lt;&gt;"","-H"&amp;TEXT(G300*1000,"0"),"")&amp;"-"&amp;S300)</f>
        <v/>
      </c>
      <c r="B300" s="10" t="str">
        <f aca="false">IF(D300="","",D300&amp;" - "&amp;E300&amp;IF(F300&lt;&gt;"",", span "&amp;F300&amp;" m","")&amp;IF(G300&lt;&gt;"",", H "&amp;G300&amp;" m","")&amp;IF(H300&lt;&gt;"",", W "&amp;H300&amp;" m",""))</f>
        <v/>
      </c>
      <c r="C300" s="9"/>
      <c r="D300" s="9"/>
      <c r="E300" s="9"/>
      <c r="F300" s="42"/>
      <c r="G300" s="42"/>
      <c r="H300" s="42"/>
      <c r="I300" s="9"/>
      <c r="J300" s="9"/>
      <c r="K300" s="9"/>
      <c r="L300" s="9"/>
      <c r="M300" s="9"/>
      <c r="N300" s="38"/>
      <c r="O300" s="9"/>
      <c r="P300" s="39"/>
      <c r="Q300" s="9"/>
      <c r="R300" s="9"/>
      <c r="S300" s="9"/>
      <c r="T300" s="9"/>
      <c r="U300" s="9"/>
      <c r="V300" s="9"/>
      <c r="W300" s="9"/>
      <c r="X300" s="10" t="str">
        <f aca="false">IF(A300="","",SG_Criteria!$B$6&amp;SG_Criteria!$B$13&amp;"\"&amp;A300&amp;"\")</f>
        <v/>
      </c>
      <c r="Y300" s="10" t="str">
        <f aca="false">IF(A300="","",A300&amp;"_CAD.dwg")</f>
        <v/>
      </c>
      <c r="Z300" s="10" t="str">
        <f aca="false">IF(A300="","",A300&amp;"_DWG.pdf")</f>
        <v/>
      </c>
      <c r="AA300" s="10" t="str">
        <f aca="false">IF(A300="","",IF(W300="Y",A300&amp;"_STAAD.std","n/a"))</f>
        <v/>
      </c>
      <c r="AB300" s="10" t="str">
        <f aca="false">IF(A300="","",A300&amp;"_CALC.xlsx")</f>
        <v/>
      </c>
      <c r="AC300" s="10" t="str">
        <f aca="false">IF(A300="","",A300&amp;"_CALC.pdf")</f>
        <v/>
      </c>
      <c r="AD300" s="9"/>
      <c r="AE300" s="9"/>
      <c r="AF300" s="39"/>
      <c r="AG300" s="39"/>
      <c r="AH300" s="39"/>
      <c r="AI300" s="39"/>
      <c r="AJ300" s="39"/>
      <c r="AK300" s="12" t="str">
        <f aca="false">IF(A300="","",IF(COUNTIF(Rebar_Schedule!$A$5:$A$2004,A300)=0,"",ROUND(SUMIF(Rebar_Schedule!$A$5:$A$2004,A300,Rebar_Schedule!$K$5:$K$2004),1)))</f>
        <v/>
      </c>
      <c r="AL300" s="33" t="str">
        <f aca="false">IF(A300="","",IF(AK300="","No rebar schedule yet",IF(ABS(AK300-N(AG300))/MAX(N(AG300),1)&gt;SG_Criteria!$B$55,"NOTE: register rebar differs from schedule by "&amp;TEXT(ABS(AK300-N(AG300))/MAX(N(AG300),1),"0%"),"OK")))</f>
        <v/>
      </c>
      <c r="AM300" s="33" t="str">
        <f aca="false">IF(D300="","","OK")</f>
        <v/>
      </c>
      <c r="AN300" s="9"/>
      <c r="AO300" s="9"/>
      <c r="AP300" s="9"/>
      <c r="AQ300" s="10" t="str">
        <f aca="false">IF(AP300="","",IFERROR(VLOOKUP(AP300,Projects!$A$5:$D$504,2,0),"Ref not in Projects"))</f>
        <v/>
      </c>
      <c r="AR300" s="10" t="str">
        <f aca="false">IF(AP300="","",IFERROR(VLOOKUP(AP300,Projects!$A$5:$D$504,4,0),"Ref not in Projects"))</f>
        <v/>
      </c>
      <c r="AS300" s="9"/>
      <c r="AT300" s="9"/>
      <c r="AU300" s="9"/>
      <c r="AV300" s="40"/>
      <c r="AW300" s="9"/>
      <c r="AX300" s="40"/>
      <c r="AY300" s="9"/>
      <c r="AZ300" s="40"/>
      <c r="BA300" s="9"/>
      <c r="BB300" s="9"/>
      <c r="BC300" s="9"/>
      <c r="BD300" s="40"/>
      <c r="BE300" s="40"/>
      <c r="BF300" s="36" t="str">
        <f aca="false">IF(BE300="","",EDATE(BE300,SG_Criteria!$B$54*12))</f>
        <v/>
      </c>
      <c r="BG300" s="33" t="str">
        <f aca="true">IF(A300="","",IF(BE300="","NOTE: not reviewed yet",IF(TODAY()&gt;BF300,"NOTE: review overdue","OK")))</f>
        <v/>
      </c>
      <c r="BH300" s="37" t="str">
        <f aca="false">IF(A300="","",ROUND((IF(LEN(D300)&gt;0,1,0)+IF(LEN(E300)&gt;0,1,0)+IF(LEN(I300)&gt;0,1,0)+IF(LEN(K300)&gt;0,1,0)+IF(LEN(Q300)&gt;0,1,0)+IF(LEN(S300)&gt;0,1,0)+IF(LEN(T300)&gt;0,1,0)+IF(LEN(U300)&gt;0,1,0)+IF(LEN(V300)&gt;0,1,0)+IF(LEN(AE300)&gt;0,1,0)+IF(LEN(AP300)&gt;0,1,0)+IF(LEN(BC300)&gt;0,1,0))/12,2))</f>
        <v/>
      </c>
      <c r="BI300" s="10" t="str">
        <f aca="false">IF(D300="","",IF(AND(T300="Approved",ISERROR(SEARCH("FAIL",AM300))),"Y","N"))</f>
        <v/>
      </c>
    </row>
    <row r="301" customFormat="false" ht="15" hidden="false" customHeight="false" outlineLevel="0" collapsed="false">
      <c r="A301" s="10" t="str">
        <f aca="false">IF(D301="","",IFERROR(VLOOKUP(D301,Lists!$BI$4:$BJ$20,2,0),"??")&amp;"-"&amp;UPPER(SUBSTITUTE(E301," ",""))&amp;IF(F301&lt;&gt;"","-SP"&amp;TEXT(F301*1000,"0"),"")&amp;IF(G301&lt;&gt;"","-H"&amp;TEXT(G301*1000,"0"),"")&amp;"-"&amp;S301)</f>
        <v/>
      </c>
      <c r="B301" s="10" t="str">
        <f aca="false">IF(D301="","",D301&amp;" - "&amp;E301&amp;IF(F301&lt;&gt;"",", span "&amp;F301&amp;" m","")&amp;IF(G301&lt;&gt;"",", H "&amp;G301&amp;" m","")&amp;IF(H301&lt;&gt;"",", W "&amp;H301&amp;" m",""))</f>
        <v/>
      </c>
      <c r="C301" s="9"/>
      <c r="D301" s="9"/>
      <c r="E301" s="9"/>
      <c r="F301" s="42"/>
      <c r="G301" s="42"/>
      <c r="H301" s="42"/>
      <c r="I301" s="9"/>
      <c r="J301" s="9"/>
      <c r="K301" s="9"/>
      <c r="L301" s="9"/>
      <c r="M301" s="9"/>
      <c r="N301" s="38"/>
      <c r="O301" s="9"/>
      <c r="P301" s="39"/>
      <c r="Q301" s="9"/>
      <c r="R301" s="9"/>
      <c r="S301" s="9"/>
      <c r="T301" s="9"/>
      <c r="U301" s="9"/>
      <c r="V301" s="9"/>
      <c r="W301" s="9"/>
      <c r="X301" s="10" t="str">
        <f aca="false">IF(A301="","",SG_Criteria!$B$6&amp;SG_Criteria!$B$13&amp;"\"&amp;A301&amp;"\")</f>
        <v/>
      </c>
      <c r="Y301" s="10" t="str">
        <f aca="false">IF(A301="","",A301&amp;"_CAD.dwg")</f>
        <v/>
      </c>
      <c r="Z301" s="10" t="str">
        <f aca="false">IF(A301="","",A301&amp;"_DWG.pdf")</f>
        <v/>
      </c>
      <c r="AA301" s="10" t="str">
        <f aca="false">IF(A301="","",IF(W301="Y",A301&amp;"_STAAD.std","n/a"))</f>
        <v/>
      </c>
      <c r="AB301" s="10" t="str">
        <f aca="false">IF(A301="","",A301&amp;"_CALC.xlsx")</f>
        <v/>
      </c>
      <c r="AC301" s="10" t="str">
        <f aca="false">IF(A301="","",A301&amp;"_CALC.pdf")</f>
        <v/>
      </c>
      <c r="AD301" s="9"/>
      <c r="AE301" s="9"/>
      <c r="AF301" s="39"/>
      <c r="AG301" s="39"/>
      <c r="AH301" s="39"/>
      <c r="AI301" s="39"/>
      <c r="AJ301" s="39"/>
      <c r="AK301" s="12" t="str">
        <f aca="false">IF(A301="","",IF(COUNTIF(Rebar_Schedule!$A$5:$A$2004,A301)=0,"",ROUND(SUMIF(Rebar_Schedule!$A$5:$A$2004,A301,Rebar_Schedule!$K$5:$K$2004),1)))</f>
        <v/>
      </c>
      <c r="AL301" s="33" t="str">
        <f aca="false">IF(A301="","",IF(AK301="","No rebar schedule yet",IF(ABS(AK301-N(AG301))/MAX(N(AG301),1)&gt;SG_Criteria!$B$55,"NOTE: register rebar differs from schedule by "&amp;TEXT(ABS(AK301-N(AG301))/MAX(N(AG301),1),"0%"),"OK")))</f>
        <v/>
      </c>
      <c r="AM301" s="33" t="str">
        <f aca="false">IF(D301="","","OK")</f>
        <v/>
      </c>
      <c r="AN301" s="9"/>
      <c r="AO301" s="9"/>
      <c r="AP301" s="9"/>
      <c r="AQ301" s="10" t="str">
        <f aca="false">IF(AP301="","",IFERROR(VLOOKUP(AP301,Projects!$A$5:$D$504,2,0),"Ref not in Projects"))</f>
        <v/>
      </c>
      <c r="AR301" s="10" t="str">
        <f aca="false">IF(AP301="","",IFERROR(VLOOKUP(AP301,Projects!$A$5:$D$504,4,0),"Ref not in Projects"))</f>
        <v/>
      </c>
      <c r="AS301" s="9"/>
      <c r="AT301" s="9"/>
      <c r="AU301" s="9"/>
      <c r="AV301" s="40"/>
      <c r="AW301" s="9"/>
      <c r="AX301" s="40"/>
      <c r="AY301" s="9"/>
      <c r="AZ301" s="40"/>
      <c r="BA301" s="9"/>
      <c r="BB301" s="9"/>
      <c r="BC301" s="9"/>
      <c r="BD301" s="40"/>
      <c r="BE301" s="40"/>
      <c r="BF301" s="36" t="str">
        <f aca="false">IF(BE301="","",EDATE(BE301,SG_Criteria!$B$54*12))</f>
        <v/>
      </c>
      <c r="BG301" s="33" t="str">
        <f aca="true">IF(A301="","",IF(BE301="","NOTE: not reviewed yet",IF(TODAY()&gt;BF301,"NOTE: review overdue","OK")))</f>
        <v/>
      </c>
      <c r="BH301" s="37" t="str">
        <f aca="false">IF(A301="","",ROUND((IF(LEN(D301)&gt;0,1,0)+IF(LEN(E301)&gt;0,1,0)+IF(LEN(I301)&gt;0,1,0)+IF(LEN(K301)&gt;0,1,0)+IF(LEN(Q301)&gt;0,1,0)+IF(LEN(S301)&gt;0,1,0)+IF(LEN(T301)&gt;0,1,0)+IF(LEN(U301)&gt;0,1,0)+IF(LEN(V301)&gt;0,1,0)+IF(LEN(AE301)&gt;0,1,0)+IF(LEN(AP301)&gt;0,1,0)+IF(LEN(BC301)&gt;0,1,0))/12,2))</f>
        <v/>
      </c>
      <c r="BI301" s="10" t="str">
        <f aca="false">IF(D301="","",IF(AND(T301="Approved",ISERROR(SEARCH("FAIL",AM301))),"Y","N"))</f>
        <v/>
      </c>
    </row>
    <row r="302" customFormat="false" ht="15" hidden="false" customHeight="false" outlineLevel="0" collapsed="false">
      <c r="A302" s="10" t="str">
        <f aca="false">IF(D302="","",IFERROR(VLOOKUP(D302,Lists!$BI$4:$BJ$20,2,0),"??")&amp;"-"&amp;UPPER(SUBSTITUTE(E302," ",""))&amp;IF(F302&lt;&gt;"","-SP"&amp;TEXT(F302*1000,"0"),"")&amp;IF(G302&lt;&gt;"","-H"&amp;TEXT(G302*1000,"0"),"")&amp;"-"&amp;S302)</f>
        <v/>
      </c>
      <c r="B302" s="10" t="str">
        <f aca="false">IF(D302="","",D302&amp;" - "&amp;E302&amp;IF(F302&lt;&gt;"",", span "&amp;F302&amp;" m","")&amp;IF(G302&lt;&gt;"",", H "&amp;G302&amp;" m","")&amp;IF(H302&lt;&gt;"",", W "&amp;H302&amp;" m",""))</f>
        <v/>
      </c>
      <c r="C302" s="9"/>
      <c r="D302" s="9"/>
      <c r="E302" s="9"/>
      <c r="F302" s="42"/>
      <c r="G302" s="42"/>
      <c r="H302" s="42"/>
      <c r="I302" s="9"/>
      <c r="J302" s="9"/>
      <c r="K302" s="9"/>
      <c r="L302" s="9"/>
      <c r="M302" s="9"/>
      <c r="N302" s="38"/>
      <c r="O302" s="9"/>
      <c r="P302" s="39"/>
      <c r="Q302" s="9"/>
      <c r="R302" s="9"/>
      <c r="S302" s="9"/>
      <c r="T302" s="9"/>
      <c r="U302" s="9"/>
      <c r="V302" s="9"/>
      <c r="W302" s="9"/>
      <c r="X302" s="10" t="str">
        <f aca="false">IF(A302="","",SG_Criteria!$B$6&amp;SG_Criteria!$B$13&amp;"\"&amp;A302&amp;"\")</f>
        <v/>
      </c>
      <c r="Y302" s="10" t="str">
        <f aca="false">IF(A302="","",A302&amp;"_CAD.dwg")</f>
        <v/>
      </c>
      <c r="Z302" s="10" t="str">
        <f aca="false">IF(A302="","",A302&amp;"_DWG.pdf")</f>
        <v/>
      </c>
      <c r="AA302" s="10" t="str">
        <f aca="false">IF(A302="","",IF(W302="Y",A302&amp;"_STAAD.std","n/a"))</f>
        <v/>
      </c>
      <c r="AB302" s="10" t="str">
        <f aca="false">IF(A302="","",A302&amp;"_CALC.xlsx")</f>
        <v/>
      </c>
      <c r="AC302" s="10" t="str">
        <f aca="false">IF(A302="","",A302&amp;"_CALC.pdf")</f>
        <v/>
      </c>
      <c r="AD302" s="9"/>
      <c r="AE302" s="9"/>
      <c r="AF302" s="39"/>
      <c r="AG302" s="39"/>
      <c r="AH302" s="39"/>
      <c r="AI302" s="39"/>
      <c r="AJ302" s="39"/>
      <c r="AK302" s="12" t="str">
        <f aca="false">IF(A302="","",IF(COUNTIF(Rebar_Schedule!$A$5:$A$2004,A302)=0,"",ROUND(SUMIF(Rebar_Schedule!$A$5:$A$2004,A302,Rebar_Schedule!$K$5:$K$2004),1)))</f>
        <v/>
      </c>
      <c r="AL302" s="33" t="str">
        <f aca="false">IF(A302="","",IF(AK302="","No rebar schedule yet",IF(ABS(AK302-N(AG302))/MAX(N(AG302),1)&gt;SG_Criteria!$B$55,"NOTE: register rebar differs from schedule by "&amp;TEXT(ABS(AK302-N(AG302))/MAX(N(AG302),1),"0%"),"OK")))</f>
        <v/>
      </c>
      <c r="AM302" s="33" t="str">
        <f aca="false">IF(D302="","","OK")</f>
        <v/>
      </c>
      <c r="AN302" s="9"/>
      <c r="AO302" s="9"/>
      <c r="AP302" s="9"/>
      <c r="AQ302" s="10" t="str">
        <f aca="false">IF(AP302="","",IFERROR(VLOOKUP(AP302,Projects!$A$5:$D$504,2,0),"Ref not in Projects"))</f>
        <v/>
      </c>
      <c r="AR302" s="10" t="str">
        <f aca="false">IF(AP302="","",IFERROR(VLOOKUP(AP302,Projects!$A$5:$D$504,4,0),"Ref not in Projects"))</f>
        <v/>
      </c>
      <c r="AS302" s="9"/>
      <c r="AT302" s="9"/>
      <c r="AU302" s="9"/>
      <c r="AV302" s="40"/>
      <c r="AW302" s="9"/>
      <c r="AX302" s="40"/>
      <c r="AY302" s="9"/>
      <c r="AZ302" s="40"/>
      <c r="BA302" s="9"/>
      <c r="BB302" s="9"/>
      <c r="BC302" s="9"/>
      <c r="BD302" s="40"/>
      <c r="BE302" s="40"/>
      <c r="BF302" s="36" t="str">
        <f aca="false">IF(BE302="","",EDATE(BE302,SG_Criteria!$B$54*12))</f>
        <v/>
      </c>
      <c r="BG302" s="33" t="str">
        <f aca="true">IF(A302="","",IF(BE302="","NOTE: not reviewed yet",IF(TODAY()&gt;BF302,"NOTE: review overdue","OK")))</f>
        <v/>
      </c>
      <c r="BH302" s="37" t="str">
        <f aca="false">IF(A302="","",ROUND((IF(LEN(D302)&gt;0,1,0)+IF(LEN(E302)&gt;0,1,0)+IF(LEN(I302)&gt;0,1,0)+IF(LEN(K302)&gt;0,1,0)+IF(LEN(Q302)&gt;0,1,0)+IF(LEN(S302)&gt;0,1,0)+IF(LEN(T302)&gt;0,1,0)+IF(LEN(U302)&gt;0,1,0)+IF(LEN(V302)&gt;0,1,0)+IF(LEN(AE302)&gt;0,1,0)+IF(LEN(AP302)&gt;0,1,0)+IF(LEN(BC302)&gt;0,1,0))/12,2))</f>
        <v/>
      </c>
      <c r="BI302" s="10" t="str">
        <f aca="false">IF(D302="","",IF(AND(T302="Approved",ISERROR(SEARCH("FAIL",AM302))),"Y","N"))</f>
        <v/>
      </c>
    </row>
    <row r="303" customFormat="false" ht="15" hidden="false" customHeight="false" outlineLevel="0" collapsed="false">
      <c r="A303" s="10" t="str">
        <f aca="false">IF(D303="","",IFERROR(VLOOKUP(D303,Lists!$BI$4:$BJ$20,2,0),"??")&amp;"-"&amp;UPPER(SUBSTITUTE(E303," ",""))&amp;IF(F303&lt;&gt;"","-SP"&amp;TEXT(F303*1000,"0"),"")&amp;IF(G303&lt;&gt;"","-H"&amp;TEXT(G303*1000,"0"),"")&amp;"-"&amp;S303)</f>
        <v/>
      </c>
      <c r="B303" s="10" t="str">
        <f aca="false">IF(D303="","",D303&amp;" - "&amp;E303&amp;IF(F303&lt;&gt;"",", span "&amp;F303&amp;" m","")&amp;IF(G303&lt;&gt;"",", H "&amp;G303&amp;" m","")&amp;IF(H303&lt;&gt;"",", W "&amp;H303&amp;" m",""))</f>
        <v/>
      </c>
      <c r="C303" s="9"/>
      <c r="D303" s="9"/>
      <c r="E303" s="9"/>
      <c r="F303" s="42"/>
      <c r="G303" s="42"/>
      <c r="H303" s="42"/>
      <c r="I303" s="9"/>
      <c r="J303" s="9"/>
      <c r="K303" s="9"/>
      <c r="L303" s="9"/>
      <c r="M303" s="9"/>
      <c r="N303" s="38"/>
      <c r="O303" s="9"/>
      <c r="P303" s="39"/>
      <c r="Q303" s="9"/>
      <c r="R303" s="9"/>
      <c r="S303" s="9"/>
      <c r="T303" s="9"/>
      <c r="U303" s="9"/>
      <c r="V303" s="9"/>
      <c r="W303" s="9"/>
      <c r="X303" s="10" t="str">
        <f aca="false">IF(A303="","",SG_Criteria!$B$6&amp;SG_Criteria!$B$13&amp;"\"&amp;A303&amp;"\")</f>
        <v/>
      </c>
      <c r="Y303" s="10" t="str">
        <f aca="false">IF(A303="","",A303&amp;"_CAD.dwg")</f>
        <v/>
      </c>
      <c r="Z303" s="10" t="str">
        <f aca="false">IF(A303="","",A303&amp;"_DWG.pdf")</f>
        <v/>
      </c>
      <c r="AA303" s="10" t="str">
        <f aca="false">IF(A303="","",IF(W303="Y",A303&amp;"_STAAD.std","n/a"))</f>
        <v/>
      </c>
      <c r="AB303" s="10" t="str">
        <f aca="false">IF(A303="","",A303&amp;"_CALC.xlsx")</f>
        <v/>
      </c>
      <c r="AC303" s="10" t="str">
        <f aca="false">IF(A303="","",A303&amp;"_CALC.pdf")</f>
        <v/>
      </c>
      <c r="AD303" s="9"/>
      <c r="AE303" s="9"/>
      <c r="AF303" s="39"/>
      <c r="AG303" s="39"/>
      <c r="AH303" s="39"/>
      <c r="AI303" s="39"/>
      <c r="AJ303" s="39"/>
      <c r="AK303" s="12" t="str">
        <f aca="false">IF(A303="","",IF(COUNTIF(Rebar_Schedule!$A$5:$A$2004,A303)=0,"",ROUND(SUMIF(Rebar_Schedule!$A$5:$A$2004,A303,Rebar_Schedule!$K$5:$K$2004),1)))</f>
        <v/>
      </c>
      <c r="AL303" s="33" t="str">
        <f aca="false">IF(A303="","",IF(AK303="","No rebar schedule yet",IF(ABS(AK303-N(AG303))/MAX(N(AG303),1)&gt;SG_Criteria!$B$55,"NOTE: register rebar differs from schedule by "&amp;TEXT(ABS(AK303-N(AG303))/MAX(N(AG303),1),"0%"),"OK")))</f>
        <v/>
      </c>
      <c r="AM303" s="33" t="str">
        <f aca="false">IF(D303="","","OK")</f>
        <v/>
      </c>
      <c r="AN303" s="9"/>
      <c r="AO303" s="9"/>
      <c r="AP303" s="9"/>
      <c r="AQ303" s="10" t="str">
        <f aca="false">IF(AP303="","",IFERROR(VLOOKUP(AP303,Projects!$A$5:$D$504,2,0),"Ref not in Projects"))</f>
        <v/>
      </c>
      <c r="AR303" s="10" t="str">
        <f aca="false">IF(AP303="","",IFERROR(VLOOKUP(AP303,Projects!$A$5:$D$504,4,0),"Ref not in Projects"))</f>
        <v/>
      </c>
      <c r="AS303" s="9"/>
      <c r="AT303" s="9"/>
      <c r="AU303" s="9"/>
      <c r="AV303" s="40"/>
      <c r="AW303" s="9"/>
      <c r="AX303" s="40"/>
      <c r="AY303" s="9"/>
      <c r="AZ303" s="40"/>
      <c r="BA303" s="9"/>
      <c r="BB303" s="9"/>
      <c r="BC303" s="9"/>
      <c r="BD303" s="40"/>
      <c r="BE303" s="40"/>
      <c r="BF303" s="36" t="str">
        <f aca="false">IF(BE303="","",EDATE(BE303,SG_Criteria!$B$54*12))</f>
        <v/>
      </c>
      <c r="BG303" s="33" t="str">
        <f aca="true">IF(A303="","",IF(BE303="","NOTE: not reviewed yet",IF(TODAY()&gt;BF303,"NOTE: review overdue","OK")))</f>
        <v/>
      </c>
      <c r="BH303" s="37" t="str">
        <f aca="false">IF(A303="","",ROUND((IF(LEN(D303)&gt;0,1,0)+IF(LEN(E303)&gt;0,1,0)+IF(LEN(I303)&gt;0,1,0)+IF(LEN(K303)&gt;0,1,0)+IF(LEN(Q303)&gt;0,1,0)+IF(LEN(S303)&gt;0,1,0)+IF(LEN(T303)&gt;0,1,0)+IF(LEN(U303)&gt;0,1,0)+IF(LEN(V303)&gt;0,1,0)+IF(LEN(AE303)&gt;0,1,0)+IF(LEN(AP303)&gt;0,1,0)+IF(LEN(BC303)&gt;0,1,0))/12,2))</f>
        <v/>
      </c>
      <c r="BI303" s="10" t="str">
        <f aca="false">IF(D303="","",IF(AND(T303="Approved",ISERROR(SEARCH("FAIL",AM303))),"Y","N"))</f>
        <v/>
      </c>
    </row>
    <row r="304" customFormat="false" ht="15" hidden="false" customHeight="false" outlineLevel="0" collapsed="false">
      <c r="A304" s="10" t="str">
        <f aca="false">IF(D304="","",IFERROR(VLOOKUP(D304,Lists!$BI$4:$BJ$20,2,0),"??")&amp;"-"&amp;UPPER(SUBSTITUTE(E304," ",""))&amp;IF(F304&lt;&gt;"","-SP"&amp;TEXT(F304*1000,"0"),"")&amp;IF(G304&lt;&gt;"","-H"&amp;TEXT(G304*1000,"0"),"")&amp;"-"&amp;S304)</f>
        <v/>
      </c>
      <c r="B304" s="10" t="str">
        <f aca="false">IF(D304="","",D304&amp;" - "&amp;E304&amp;IF(F304&lt;&gt;"",", span "&amp;F304&amp;" m","")&amp;IF(G304&lt;&gt;"",", H "&amp;G304&amp;" m","")&amp;IF(H304&lt;&gt;"",", W "&amp;H304&amp;" m",""))</f>
        <v/>
      </c>
      <c r="C304" s="9"/>
      <c r="D304" s="9"/>
      <c r="E304" s="9"/>
      <c r="F304" s="42"/>
      <c r="G304" s="42"/>
      <c r="H304" s="42"/>
      <c r="I304" s="9"/>
      <c r="J304" s="9"/>
      <c r="K304" s="9"/>
      <c r="L304" s="9"/>
      <c r="M304" s="9"/>
      <c r="N304" s="38"/>
      <c r="O304" s="9"/>
      <c r="P304" s="39"/>
      <c r="Q304" s="9"/>
      <c r="R304" s="9"/>
      <c r="S304" s="9"/>
      <c r="T304" s="9"/>
      <c r="U304" s="9"/>
      <c r="V304" s="9"/>
      <c r="W304" s="9"/>
      <c r="X304" s="10" t="str">
        <f aca="false">IF(A304="","",SG_Criteria!$B$6&amp;SG_Criteria!$B$13&amp;"\"&amp;A304&amp;"\")</f>
        <v/>
      </c>
      <c r="Y304" s="10" t="str">
        <f aca="false">IF(A304="","",A304&amp;"_CAD.dwg")</f>
        <v/>
      </c>
      <c r="Z304" s="10" t="str">
        <f aca="false">IF(A304="","",A304&amp;"_DWG.pdf")</f>
        <v/>
      </c>
      <c r="AA304" s="10" t="str">
        <f aca="false">IF(A304="","",IF(W304="Y",A304&amp;"_STAAD.std","n/a"))</f>
        <v/>
      </c>
      <c r="AB304" s="10" t="str">
        <f aca="false">IF(A304="","",A304&amp;"_CALC.xlsx")</f>
        <v/>
      </c>
      <c r="AC304" s="10" t="str">
        <f aca="false">IF(A304="","",A304&amp;"_CALC.pdf")</f>
        <v/>
      </c>
      <c r="AD304" s="9"/>
      <c r="AE304" s="9"/>
      <c r="AF304" s="39"/>
      <c r="AG304" s="39"/>
      <c r="AH304" s="39"/>
      <c r="AI304" s="39"/>
      <c r="AJ304" s="39"/>
      <c r="AK304" s="12" t="str">
        <f aca="false">IF(A304="","",IF(COUNTIF(Rebar_Schedule!$A$5:$A$2004,A304)=0,"",ROUND(SUMIF(Rebar_Schedule!$A$5:$A$2004,A304,Rebar_Schedule!$K$5:$K$2004),1)))</f>
        <v/>
      </c>
      <c r="AL304" s="33" t="str">
        <f aca="false">IF(A304="","",IF(AK304="","No rebar schedule yet",IF(ABS(AK304-N(AG304))/MAX(N(AG304),1)&gt;SG_Criteria!$B$55,"NOTE: register rebar differs from schedule by "&amp;TEXT(ABS(AK304-N(AG304))/MAX(N(AG304),1),"0%"),"OK")))</f>
        <v/>
      </c>
      <c r="AM304" s="33" t="str">
        <f aca="false">IF(D304="","","OK")</f>
        <v/>
      </c>
      <c r="AN304" s="9"/>
      <c r="AO304" s="9"/>
      <c r="AP304" s="9"/>
      <c r="AQ304" s="10" t="str">
        <f aca="false">IF(AP304="","",IFERROR(VLOOKUP(AP304,Projects!$A$5:$D$504,2,0),"Ref not in Projects"))</f>
        <v/>
      </c>
      <c r="AR304" s="10" t="str">
        <f aca="false">IF(AP304="","",IFERROR(VLOOKUP(AP304,Projects!$A$5:$D$504,4,0),"Ref not in Projects"))</f>
        <v/>
      </c>
      <c r="AS304" s="9"/>
      <c r="AT304" s="9"/>
      <c r="AU304" s="9"/>
      <c r="AV304" s="40"/>
      <c r="AW304" s="9"/>
      <c r="AX304" s="40"/>
      <c r="AY304" s="9"/>
      <c r="AZ304" s="40"/>
      <c r="BA304" s="9"/>
      <c r="BB304" s="9"/>
      <c r="BC304" s="9"/>
      <c r="BD304" s="40"/>
      <c r="BE304" s="40"/>
      <c r="BF304" s="36" t="str">
        <f aca="false">IF(BE304="","",EDATE(BE304,SG_Criteria!$B$54*12))</f>
        <v/>
      </c>
      <c r="BG304" s="33" t="str">
        <f aca="true">IF(A304="","",IF(BE304="","NOTE: not reviewed yet",IF(TODAY()&gt;BF304,"NOTE: review overdue","OK")))</f>
        <v/>
      </c>
      <c r="BH304" s="37" t="str">
        <f aca="false">IF(A304="","",ROUND((IF(LEN(D304)&gt;0,1,0)+IF(LEN(E304)&gt;0,1,0)+IF(LEN(I304)&gt;0,1,0)+IF(LEN(K304)&gt;0,1,0)+IF(LEN(Q304)&gt;0,1,0)+IF(LEN(S304)&gt;0,1,0)+IF(LEN(T304)&gt;0,1,0)+IF(LEN(U304)&gt;0,1,0)+IF(LEN(V304)&gt;0,1,0)+IF(LEN(AE304)&gt;0,1,0)+IF(LEN(AP304)&gt;0,1,0)+IF(LEN(BC304)&gt;0,1,0))/12,2))</f>
        <v/>
      </c>
      <c r="BI304" s="10" t="str">
        <f aca="false">IF(D304="","",IF(AND(T304="Approved",ISERROR(SEARCH("FAIL",AM304))),"Y","N"))</f>
        <v/>
      </c>
    </row>
  </sheetData>
  <conditionalFormatting sqref="AM5:AM304">
    <cfRule type="expression" priority="2" aboveAverage="0" equalAverage="0" bottom="0" percent="0" rank="0" text="" dxfId="0">
      <formula>ISNUMBER(SEARCH("FAIL",AM5))</formula>
    </cfRule>
    <cfRule type="expression" priority="3" aboveAverage="0" equalAverage="0" bottom="0" percent="0" rank="0" text="" dxfId="16">
      <formula>ISNUMBER(SEARCH("NOTE",AM5))</formula>
    </cfRule>
    <cfRule type="expression" priority="4" aboveAverage="0" equalAverage="0" bottom="0" percent="0" rank="0" text="" dxfId="1">
      <formula>AM5="OK"</formula>
    </cfRule>
  </conditionalFormatting>
  <conditionalFormatting sqref="AL5:AL304">
    <cfRule type="expression" priority="5" aboveAverage="0" equalAverage="0" bottom="0" percent="0" rank="0" text="" dxfId="0">
      <formula>ISNUMBER(SEARCH("FAIL",AL5))</formula>
    </cfRule>
    <cfRule type="expression" priority="6" aboveAverage="0" equalAverage="0" bottom="0" percent="0" rank="0" text="" dxfId="16">
      <formula>ISNUMBER(SEARCH("NOTE",AL5))</formula>
    </cfRule>
    <cfRule type="expression" priority="7" aboveAverage="0" equalAverage="0" bottom="0" percent="0" rank="0" text="" dxfId="1">
      <formula>AL5="OK"</formula>
    </cfRule>
  </conditionalFormatting>
  <conditionalFormatting sqref="BG5:BG304">
    <cfRule type="expression" priority="8" aboveAverage="0" equalAverage="0" bottom="0" percent="0" rank="0" text="" dxfId="0">
      <formula>ISNUMBER(SEARCH("FAIL",BG5))</formula>
    </cfRule>
    <cfRule type="expression" priority="9" aboveAverage="0" equalAverage="0" bottom="0" percent="0" rank="0" text="" dxfId="16">
      <formula>ISNUMBER(SEARCH("NOTE",BG5))</formula>
    </cfRule>
    <cfRule type="expression" priority="10" aboveAverage="0" equalAverage="0" bottom="0" percent="0" rank="0" text="" dxfId="1">
      <formula>BG5="OK"</formula>
    </cfRule>
  </conditionalFormatting>
  <conditionalFormatting sqref="BH5:BH304">
    <cfRule type="expression" priority="11" aboveAverage="0" equalAverage="0" bottom="0" percent="0" rank="0" text="" dxfId="16">
      <formula>AND(BH5&lt;&gt;"",BH5&lt;SG_Criteria!$B$56)</formula>
    </cfRule>
    <cfRule type="expression" priority="12" aboveAverage="0" equalAverage="0" bottom="0" percent="0" rank="0" text="" dxfId="1">
      <formula>AND(BH5&lt;&gt;"",BH5&gt;=SG_Criteria!$B$56)</formula>
    </cfRule>
  </conditionalFormatting>
  <dataValidations count="9">
    <dataValidation allowBlank="true" error="Pick a value from the list (add new values on the Lists sheet)." errorStyle="stop" errorTitle="Not in list" operator="between" showDropDown="false" showErrorMessage="false" showInputMessage="false" sqref="D5:D304" type="list">
      <formula1>Lists!$BI$4:$BI$20</formula1>
      <formula2>0</formula2>
    </dataValidation>
    <dataValidation allowBlank="true" error="Pick a value from the list (add new values on the Lists sheet)." errorStyle="stop" errorTitle="Not in list" operator="between" showDropDown="false" showErrorMessage="false" showInputMessage="false" sqref="M5:M304" type="list">
      <formula1>Lists!$BU$4:$BU$27</formula1>
      <formula2>0</formula2>
    </dataValidation>
    <dataValidation allowBlank="true" error="Pick a value from the list (add new values on the Lists sheet)." errorStyle="stop" errorTitle="Not in list" operator="between" showDropDown="false" showErrorMessage="false" showInputMessage="false" sqref="O5:O304" type="list">
      <formula1>Lists!$BX$4:$BX$18</formula1>
      <formula2>0</formula2>
    </dataValidation>
    <dataValidation allowBlank="true" error="Pick a value from the list (add new values on the Lists sheet)." errorStyle="stop" errorTitle="Not in list" operator="between" showDropDown="false" showErrorMessage="false" showInputMessage="false" sqref="T5:T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V5:V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W5:W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D5:AD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E5:AE304" type="list">
      <formula1>Lists!$BL$4:$BL$19</formula1>
      <formula2>0</formula2>
    </dataValidation>
    <dataValidation allowBlank="true" error="Pick a Project Ref from the Projects sheet (add the project there first)." errorStyle="stop" errorTitle="Not in list" operator="between" showDropDown="false" showErrorMessage="false" showInputMessage="false" sqref="AP5:AP304" type="list">
      <formula1>Projects!$A$5:$A$504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M2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7"/>
    <col collapsed="false" customWidth="true" hidden="false" outlineLevel="0" max="3" min="3" style="0" width="18"/>
    <col collapsed="false" customWidth="true" hidden="false" outlineLevel="0" max="5" min="4" style="0" width="6"/>
    <col collapsed="false" customWidth="true" hidden="false" outlineLevel="0" max="7" min="6" style="0" width="8"/>
    <col collapsed="false" customWidth="true" hidden="false" outlineLevel="0" max="9" min="8" style="0" width="9"/>
    <col collapsed="false" customWidth="true" hidden="false" outlineLevel="0" max="10" min="10" style="0" width="8"/>
    <col collapsed="false" customWidth="true" hidden="false" outlineLevel="0" max="11" min="11" style="0" width="9"/>
    <col collapsed="false" customWidth="true" hidden="false" outlineLevel="0" max="12" min="12" style="0" width="24"/>
    <col collapsed="false" customWidth="true" hidden="false" outlineLevel="0" max="13" min="13" style="0" width="18"/>
  </cols>
  <sheetData>
    <row r="1" customFormat="false" ht="17.35" hidden="false" customHeight="false" outlineLevel="0" collapsed="false">
      <c r="A1" s="5" t="s">
        <v>923</v>
      </c>
    </row>
    <row r="2" customFormat="false" ht="15" hidden="false" customHeight="false" outlineLevel="0" collapsed="false">
      <c r="A2" s="6" t="s">
        <v>924</v>
      </c>
    </row>
    <row r="3" customFormat="false" ht="15" hidden="false" customHeight="false" outlineLevel="0" collapsed="false">
      <c r="A3" s="6" t="s">
        <v>573</v>
      </c>
    </row>
    <row r="4" customFormat="false" ht="39.75" hidden="false" customHeight="true" outlineLevel="0" collapsed="false">
      <c r="A4" s="15" t="s">
        <v>102</v>
      </c>
      <c r="B4" s="15" t="s">
        <v>553</v>
      </c>
      <c r="C4" s="15" t="s">
        <v>547</v>
      </c>
      <c r="D4" s="15" t="s">
        <v>554</v>
      </c>
      <c r="E4" s="15" t="s">
        <v>555</v>
      </c>
      <c r="F4" s="15" t="s">
        <v>556</v>
      </c>
      <c r="G4" s="15" t="s">
        <v>557</v>
      </c>
      <c r="H4" s="15" t="s">
        <v>558</v>
      </c>
      <c r="I4" s="15" t="s">
        <v>559</v>
      </c>
      <c r="J4" s="16" t="s">
        <v>560</v>
      </c>
      <c r="K4" s="16" t="s">
        <v>561</v>
      </c>
      <c r="L4" s="15" t="s">
        <v>552</v>
      </c>
      <c r="M4" s="16" t="s">
        <v>562</v>
      </c>
    </row>
    <row r="5" customFormat="false" ht="15" hidden="false" customHeight="false" outlineLevel="0" collapsed="false">
      <c r="A5" s="18" t="s">
        <v>146</v>
      </c>
      <c r="B5" s="18" t="s">
        <v>925</v>
      </c>
      <c r="C5" s="18" t="s">
        <v>926</v>
      </c>
      <c r="D5" s="18" t="s">
        <v>927</v>
      </c>
      <c r="E5" s="18" t="n">
        <v>16</v>
      </c>
      <c r="F5" s="18" t="n">
        <v>150</v>
      </c>
      <c r="G5" s="18"/>
      <c r="H5" s="18" t="n">
        <v>7.6</v>
      </c>
      <c r="I5" s="18" t="s">
        <v>928</v>
      </c>
      <c r="J5" s="10" t="n">
        <f aca="false">IF(A5="","",IF(G5&lt;&gt;"",G5,IF(N(F5)&gt;0,ROUND(1000/F5,3),0)))</f>
        <v>6.667</v>
      </c>
      <c r="K5" s="10" t="n">
        <f aca="false">IF(OR(A5="",E5="",H5=""),"",ROUND(0.00617*E5^2*H5*J5,2))</f>
        <v>80.03</v>
      </c>
      <c r="L5" s="18" t="s">
        <v>929</v>
      </c>
      <c r="M5" s="10" t="str">
        <f aca="false">IF(A5="","",IF((COUNTIF(Drain_Register!$A$5:$A$304,A5)+COUNTIF(RW_Register!$A$5:$A$304,A5)+COUNTIF(Embedded_Wall_Register!$A$5:$A$304,A5)+COUNTIF(Manhole_Register!$A$5:$A$304,A5)+COUNTIF(ERSS_Pit_Register!$A$5:$A$304,A5)+COUNTIF(Linkway_Register!$A$5:$A$304,A5)+COUNTIF(Other_Register!$A$5:$A$304,A5))&gt;0,"OK","ID not in any register"))</f>
        <v>OK</v>
      </c>
    </row>
    <row r="6" customFormat="false" ht="15" hidden="false" customHeight="false" outlineLevel="0" collapsed="false">
      <c r="A6" s="18" t="s">
        <v>146</v>
      </c>
      <c r="B6" s="18" t="s">
        <v>930</v>
      </c>
      <c r="C6" s="18" t="s">
        <v>931</v>
      </c>
      <c r="D6" s="18" t="s">
        <v>927</v>
      </c>
      <c r="E6" s="18" t="n">
        <v>16</v>
      </c>
      <c r="F6" s="18" t="n">
        <v>150</v>
      </c>
      <c r="G6" s="18"/>
      <c r="H6" s="18" t="n">
        <v>6</v>
      </c>
      <c r="I6" s="18" t="s">
        <v>928</v>
      </c>
      <c r="J6" s="10" t="n">
        <f aca="false">IF(A6="","",IF(G6&lt;&gt;"",G6,IF(N(F6)&gt;0,ROUND(1000/F6,3),0)))</f>
        <v>6.667</v>
      </c>
      <c r="K6" s="10" t="n">
        <f aca="false">IF(OR(A6="",E6="",H6=""),"",ROUND(0.00617*E6^2*H6*J6,2))</f>
        <v>63.18</v>
      </c>
      <c r="L6" s="18" t="s">
        <v>932</v>
      </c>
      <c r="M6" s="10" t="str">
        <f aca="false">IF(A6="","",IF((COUNTIF(Drain_Register!$A$5:$A$304,A6)+COUNTIF(RW_Register!$A$5:$A$304,A6)+COUNTIF(Embedded_Wall_Register!$A$5:$A$304,A6)+COUNTIF(Manhole_Register!$A$5:$A$304,A6)+COUNTIF(ERSS_Pit_Register!$A$5:$A$304,A6)+COUNTIF(Linkway_Register!$A$5:$A$304,A6)+COUNTIF(Other_Register!$A$5:$A$304,A6))&gt;0,"OK","ID not in any register"))</f>
        <v>OK</v>
      </c>
    </row>
    <row r="7" customFormat="false" ht="15" hidden="false" customHeight="false" outlineLevel="0" collapsed="false">
      <c r="A7" s="18" t="s">
        <v>146</v>
      </c>
      <c r="B7" s="18" t="s">
        <v>933</v>
      </c>
      <c r="C7" s="18" t="s">
        <v>934</v>
      </c>
      <c r="D7" s="18" t="s">
        <v>927</v>
      </c>
      <c r="E7" s="18" t="n">
        <v>13</v>
      </c>
      <c r="F7" s="18"/>
      <c r="G7" s="18" t="n">
        <v>64</v>
      </c>
      <c r="H7" s="18" t="n">
        <v>1.05</v>
      </c>
      <c r="I7" s="18" t="s">
        <v>935</v>
      </c>
      <c r="J7" s="10" t="n">
        <f aca="false">IF(A7="","",IF(G7&lt;&gt;"",G7,IF(N(F7)&gt;0,ROUND(1000/F7,3),0)))</f>
        <v>64</v>
      </c>
      <c r="K7" s="10" t="n">
        <f aca="false">IF(OR(A7="",E7="",H7=""),"",ROUND(0.00617*E7^2*H7*J7,2))</f>
        <v>70.07</v>
      </c>
      <c r="L7" s="18" t="s">
        <v>936</v>
      </c>
      <c r="M7" s="10" t="str">
        <f aca="false">IF(A7="","",IF((COUNTIF(Drain_Register!$A$5:$A$304,A7)+COUNTIF(RW_Register!$A$5:$A$304,A7)+COUNTIF(Embedded_Wall_Register!$A$5:$A$304,A7)+COUNTIF(Manhole_Register!$A$5:$A$304,A7)+COUNTIF(ERSS_Pit_Register!$A$5:$A$304,A7)+COUNTIF(Linkway_Register!$A$5:$A$304,A7)+COUNTIF(Other_Register!$A$5:$A$304,A7))&gt;0,"OK","ID not in any register"))</f>
        <v>OK</v>
      </c>
    </row>
    <row r="8" customFormat="false" ht="15" hidden="false" customHeight="false" outlineLevel="0" collapsed="false">
      <c r="A8" s="18" t="s">
        <v>150</v>
      </c>
      <c r="B8" s="18" t="s">
        <v>937</v>
      </c>
      <c r="C8" s="18" t="s">
        <v>938</v>
      </c>
      <c r="D8" s="18" t="s">
        <v>927</v>
      </c>
      <c r="E8" s="18" t="n">
        <v>16</v>
      </c>
      <c r="F8" s="18" t="n">
        <v>125</v>
      </c>
      <c r="G8" s="18"/>
      <c r="H8" s="18" t="n">
        <v>4.2</v>
      </c>
      <c r="I8" s="18" t="s">
        <v>939</v>
      </c>
      <c r="J8" s="10" t="n">
        <f aca="false">IF(A8="","",IF(G8&lt;&gt;"",G8,IF(N(F8)&gt;0,ROUND(1000/F8,3),0)))</f>
        <v>8</v>
      </c>
      <c r="K8" s="10" t="n">
        <f aca="false">IF(OR(A8="",E8="",H8=""),"",ROUND(0.00617*E8^2*H8*J8,2))</f>
        <v>53.07</v>
      </c>
      <c r="L8" s="18" t="s">
        <v>940</v>
      </c>
      <c r="M8" s="10" t="str">
        <f aca="false">IF(A8="","",IF((COUNTIF(Drain_Register!$A$5:$A$304,A8)+COUNTIF(RW_Register!$A$5:$A$304,A8)+COUNTIF(Embedded_Wall_Register!$A$5:$A$304,A8)+COUNTIF(Manhole_Register!$A$5:$A$304,A8)+COUNTIF(ERSS_Pit_Register!$A$5:$A$304,A8)+COUNTIF(Linkway_Register!$A$5:$A$304,A8)+COUNTIF(Other_Register!$A$5:$A$304,A8))&gt;0,"OK","ID not in any register"))</f>
        <v>OK</v>
      </c>
    </row>
    <row r="9" customFormat="false" ht="15" hidden="false" customHeight="false" outlineLevel="0" collapsed="false">
      <c r="A9" s="18" t="s">
        <v>150</v>
      </c>
      <c r="B9" s="18" t="s">
        <v>941</v>
      </c>
      <c r="C9" s="18" t="s">
        <v>942</v>
      </c>
      <c r="D9" s="18" t="s">
        <v>927</v>
      </c>
      <c r="E9" s="18" t="n">
        <v>13</v>
      </c>
      <c r="F9" s="18" t="n">
        <v>250</v>
      </c>
      <c r="G9" s="18"/>
      <c r="H9" s="18" t="n">
        <v>3.6</v>
      </c>
      <c r="I9" s="18" t="s">
        <v>939</v>
      </c>
      <c r="J9" s="10" t="n">
        <f aca="false">IF(A9="","",IF(G9&lt;&gt;"",G9,IF(N(F9)&gt;0,ROUND(1000/F9,3),0)))</f>
        <v>4</v>
      </c>
      <c r="K9" s="10" t="n">
        <f aca="false">IF(OR(A9="",E9="",H9=""),"",ROUND(0.00617*E9^2*H9*J9,2))</f>
        <v>15.02</v>
      </c>
      <c r="L9" s="18"/>
      <c r="M9" s="10" t="str">
        <f aca="false">IF(A9="","",IF((COUNTIF(Drain_Register!$A$5:$A$304,A9)+COUNTIF(RW_Register!$A$5:$A$304,A9)+COUNTIF(Embedded_Wall_Register!$A$5:$A$304,A9)+COUNTIF(Manhole_Register!$A$5:$A$304,A9)+COUNTIF(ERSS_Pit_Register!$A$5:$A$304,A9)+COUNTIF(Linkway_Register!$A$5:$A$304,A9)+COUNTIF(Other_Register!$A$5:$A$304,A9))&gt;0,"OK","ID not in any register"))</f>
        <v>OK</v>
      </c>
    </row>
    <row r="10" customFormat="false" ht="15" hidden="false" customHeight="false" outlineLevel="0" collapsed="false">
      <c r="A10" s="18" t="s">
        <v>150</v>
      </c>
      <c r="B10" s="18" t="s">
        <v>943</v>
      </c>
      <c r="C10" s="18" t="s">
        <v>944</v>
      </c>
      <c r="D10" s="18" t="s">
        <v>927</v>
      </c>
      <c r="E10" s="18" t="n">
        <v>16</v>
      </c>
      <c r="F10" s="18" t="n">
        <v>150</v>
      </c>
      <c r="G10" s="18"/>
      <c r="H10" s="18" t="n">
        <v>3.1</v>
      </c>
      <c r="I10" s="18" t="s">
        <v>945</v>
      </c>
      <c r="J10" s="10" t="n">
        <f aca="false">IF(A10="","",IF(G10&lt;&gt;"",G10,IF(N(F10)&gt;0,ROUND(1000/F10,3),0)))</f>
        <v>6.667</v>
      </c>
      <c r="K10" s="10" t="n">
        <f aca="false">IF(OR(A10="",E10="",H10=""),"",ROUND(0.00617*E10^2*H10*J10,2))</f>
        <v>32.65</v>
      </c>
      <c r="L10" s="18"/>
      <c r="M10" s="10" t="str">
        <f aca="false">IF(A10="","",IF((COUNTIF(Drain_Register!$A$5:$A$304,A10)+COUNTIF(RW_Register!$A$5:$A$304,A10)+COUNTIF(Embedded_Wall_Register!$A$5:$A$304,A10)+COUNTIF(Manhole_Register!$A$5:$A$304,A10)+COUNTIF(ERSS_Pit_Register!$A$5:$A$304,A10)+COUNTIF(Linkway_Register!$A$5:$A$304,A10)+COUNTIF(Other_Register!$A$5:$A$304,A10))&gt;0,"OK","ID not in any register"))</f>
        <v>OK</v>
      </c>
    </row>
    <row r="11" customFormat="false" ht="15" hidden="false" customHeight="false" outlineLevel="0" collapsed="false">
      <c r="A11" s="18" t="s">
        <v>150</v>
      </c>
      <c r="B11" s="18" t="s">
        <v>946</v>
      </c>
      <c r="C11" s="18" t="s">
        <v>947</v>
      </c>
      <c r="D11" s="18" t="s">
        <v>927</v>
      </c>
      <c r="E11" s="18" t="n">
        <v>16</v>
      </c>
      <c r="F11" s="18" t="n">
        <v>150</v>
      </c>
      <c r="G11" s="18"/>
      <c r="H11" s="18" t="n">
        <v>3.1</v>
      </c>
      <c r="I11" s="18" t="s">
        <v>945</v>
      </c>
      <c r="J11" s="10" t="n">
        <f aca="false">IF(A11="","",IF(G11&lt;&gt;"",G11,IF(N(F11)&gt;0,ROUND(1000/F11,3),0)))</f>
        <v>6.667</v>
      </c>
      <c r="K11" s="10" t="n">
        <f aca="false">IF(OR(A11="",E11="",H11=""),"",ROUND(0.00617*E11^2*H11*J11,2))</f>
        <v>32.65</v>
      </c>
      <c r="L11" s="18"/>
      <c r="M11" s="10" t="str">
        <f aca="false">IF(A11="","",IF((COUNTIF(Drain_Register!$A$5:$A$304,A11)+COUNTIF(RW_Register!$A$5:$A$304,A11)+COUNTIF(Embedded_Wall_Register!$A$5:$A$304,A11)+COUNTIF(Manhole_Register!$A$5:$A$304,A11)+COUNTIF(ERSS_Pit_Register!$A$5:$A$304,A11)+COUNTIF(Linkway_Register!$A$5:$A$304,A11)+COUNTIF(Other_Register!$A$5:$A$304,A11))&gt;0,"OK","ID not in any register"))</f>
        <v>OK</v>
      </c>
    </row>
    <row r="12" customFormat="false" ht="15" hidden="false" customHeight="false" outlineLevel="0" collapsed="false">
      <c r="A12" s="18" t="s">
        <v>150</v>
      </c>
      <c r="B12" s="18" t="s">
        <v>948</v>
      </c>
      <c r="C12" s="18" t="s">
        <v>934</v>
      </c>
      <c r="D12" s="18" t="s">
        <v>927</v>
      </c>
      <c r="E12" s="18" t="n">
        <v>13</v>
      </c>
      <c r="F12" s="18"/>
      <c r="G12" s="18" t="n">
        <v>30</v>
      </c>
      <c r="H12" s="18" t="n">
        <v>1.05</v>
      </c>
      <c r="I12" s="18" t="s">
        <v>935</v>
      </c>
      <c r="J12" s="10" t="n">
        <f aca="false">IF(A12="","",IF(G12&lt;&gt;"",G12,IF(N(F12)&gt;0,ROUND(1000/F12,3),0)))</f>
        <v>30</v>
      </c>
      <c r="K12" s="10" t="n">
        <f aca="false">IF(OR(A12="",E12="",H12=""),"",ROUND(0.00617*E12^2*H12*J12,2))</f>
        <v>32.85</v>
      </c>
      <c r="L12" s="18" t="s">
        <v>949</v>
      </c>
      <c r="M12" s="10" t="str">
        <f aca="false">IF(A12="","",IF((COUNTIF(Drain_Register!$A$5:$A$304,A12)+COUNTIF(RW_Register!$A$5:$A$304,A12)+COUNTIF(Embedded_Wall_Register!$A$5:$A$304,A12)+COUNTIF(Manhole_Register!$A$5:$A$304,A12)+COUNTIF(ERSS_Pit_Register!$A$5:$A$304,A12)+COUNTIF(Linkway_Register!$A$5:$A$304,A12)+COUNTIF(Other_Register!$A$5:$A$304,A12))&gt;0,"OK","ID not in any register"))</f>
        <v>OK</v>
      </c>
    </row>
    <row r="13" customFormat="false" ht="15" hidden="false" customHeight="false" outlineLevel="0" collapsed="false">
      <c r="A13" s="18" t="s">
        <v>150</v>
      </c>
      <c r="B13" s="18" t="s">
        <v>950</v>
      </c>
      <c r="C13" s="18" t="s">
        <v>934</v>
      </c>
      <c r="D13" s="18" t="s">
        <v>927</v>
      </c>
      <c r="E13" s="18" t="n">
        <v>13</v>
      </c>
      <c r="F13" s="18"/>
      <c r="G13" s="18" t="n">
        <v>30</v>
      </c>
      <c r="H13" s="18" t="n">
        <v>1.05</v>
      </c>
      <c r="I13" s="18" t="s">
        <v>935</v>
      </c>
      <c r="J13" s="10" t="n">
        <f aca="false">IF(A13="","",IF(G13&lt;&gt;"",G13,IF(N(F13)&gt;0,ROUND(1000/F13,3),0)))</f>
        <v>30</v>
      </c>
      <c r="K13" s="10" t="n">
        <f aca="false">IF(OR(A13="",E13="",H13=""),"",ROUND(0.00617*E13^2*H13*J13,2))</f>
        <v>32.85</v>
      </c>
      <c r="L13" s="18" t="s">
        <v>951</v>
      </c>
      <c r="M13" s="10" t="str">
        <f aca="false">IF(A13="","",IF((COUNTIF(Drain_Register!$A$5:$A$304,A13)+COUNTIF(RW_Register!$A$5:$A$304,A13)+COUNTIF(Embedded_Wall_Register!$A$5:$A$304,A13)+COUNTIF(Manhole_Register!$A$5:$A$304,A13)+COUNTIF(ERSS_Pit_Register!$A$5:$A$304,A13)+COUNTIF(Linkway_Register!$A$5:$A$304,A13)+COUNTIF(Other_Register!$A$5:$A$304,A13))&gt;0,"OK","ID not in any register"))</f>
        <v>OK</v>
      </c>
    </row>
    <row r="14" customFormat="false" ht="15" hidden="false" customHeight="false" outlineLevel="0" collapsed="false">
      <c r="A14" s="9"/>
      <c r="B14" s="9"/>
      <c r="C14" s="9"/>
      <c r="D14" s="9"/>
      <c r="E14" s="9"/>
      <c r="F14" s="9"/>
      <c r="G14" s="9"/>
      <c r="H14" s="9"/>
      <c r="I14" s="9"/>
      <c r="J14" s="10" t="str">
        <f aca="false">IF(A14="","",IF(G14&lt;&gt;"",G14,IF(N(F14)&gt;0,ROUND(1000/F14,3),0)))</f>
        <v/>
      </c>
      <c r="K14" s="10" t="str">
        <f aca="false">IF(OR(A14="",E14="",H14=""),"",ROUND(0.00617*E14^2*H14*J14,2))</f>
        <v/>
      </c>
      <c r="L14" s="9"/>
      <c r="M14" s="10" t="str">
        <f aca="false">IF(A14="","",IF((COUNTIF(Drain_Register!$A$5:$A$304,A14)+COUNTIF(RW_Register!$A$5:$A$304,A14)+COUNTIF(Embedded_Wall_Register!$A$5:$A$304,A14)+COUNTIF(Manhole_Register!$A$5:$A$304,A14)+COUNTIF(ERSS_Pit_Register!$A$5:$A$304,A14)+COUNTIF(Linkway_Register!$A$5:$A$304,A14)+COUNTIF(Other_Register!$A$5:$A$304,A14))&gt;0,"OK","ID not in any register"))</f>
        <v/>
      </c>
    </row>
    <row r="15" customFormat="false" ht="15" hidden="false" customHeight="false" outlineLevel="0" collapsed="false">
      <c r="A15" s="9"/>
      <c r="B15" s="9"/>
      <c r="C15" s="9"/>
      <c r="D15" s="9"/>
      <c r="E15" s="9"/>
      <c r="F15" s="9"/>
      <c r="G15" s="9"/>
      <c r="H15" s="9"/>
      <c r="I15" s="9"/>
      <c r="J15" s="10" t="str">
        <f aca="false">IF(A15="","",IF(G15&lt;&gt;"",G15,IF(N(F15)&gt;0,ROUND(1000/F15,3),0)))</f>
        <v/>
      </c>
      <c r="K15" s="10" t="str">
        <f aca="false">IF(OR(A15="",E15="",H15=""),"",ROUND(0.00617*E15^2*H15*J15,2))</f>
        <v/>
      </c>
      <c r="L15" s="9"/>
      <c r="M15" s="10" t="str">
        <f aca="false">IF(A15="","",IF((COUNTIF(Drain_Register!$A$5:$A$304,A15)+COUNTIF(RW_Register!$A$5:$A$304,A15)+COUNTIF(Embedded_Wall_Register!$A$5:$A$304,A15)+COUNTIF(Manhole_Register!$A$5:$A$304,A15)+COUNTIF(ERSS_Pit_Register!$A$5:$A$304,A15)+COUNTIF(Linkway_Register!$A$5:$A$304,A15)+COUNTIF(Other_Register!$A$5:$A$304,A15))&gt;0,"OK","ID not in any register"))</f>
        <v/>
      </c>
    </row>
    <row r="16" customFormat="false" ht="15" hidden="false" customHeight="false" outlineLevel="0" collapsed="false">
      <c r="A16" s="9"/>
      <c r="B16" s="9"/>
      <c r="C16" s="9"/>
      <c r="D16" s="9"/>
      <c r="E16" s="9"/>
      <c r="F16" s="9"/>
      <c r="G16" s="9"/>
      <c r="H16" s="9"/>
      <c r="I16" s="9"/>
      <c r="J16" s="10" t="str">
        <f aca="false">IF(A16="","",IF(G16&lt;&gt;"",G16,IF(N(F16)&gt;0,ROUND(1000/F16,3),0)))</f>
        <v/>
      </c>
      <c r="K16" s="10" t="str">
        <f aca="false">IF(OR(A16="",E16="",H16=""),"",ROUND(0.00617*E16^2*H16*J16,2))</f>
        <v/>
      </c>
      <c r="L16" s="9"/>
      <c r="M16" s="10" t="str">
        <f aca="false">IF(A16="","",IF((COUNTIF(Drain_Register!$A$5:$A$304,A16)+COUNTIF(RW_Register!$A$5:$A$304,A16)+COUNTIF(Embedded_Wall_Register!$A$5:$A$304,A16)+COUNTIF(Manhole_Register!$A$5:$A$304,A16)+COUNTIF(ERSS_Pit_Register!$A$5:$A$304,A16)+COUNTIF(Linkway_Register!$A$5:$A$304,A16)+COUNTIF(Other_Register!$A$5:$A$304,A16))&gt;0,"OK","ID not in any register"))</f>
        <v/>
      </c>
    </row>
    <row r="17" customFormat="false" ht="15" hidden="false" customHeight="false" outlineLevel="0" collapsed="false">
      <c r="A17" s="9"/>
      <c r="B17" s="9"/>
      <c r="C17" s="9"/>
      <c r="D17" s="9"/>
      <c r="E17" s="9"/>
      <c r="F17" s="9"/>
      <c r="G17" s="9"/>
      <c r="H17" s="9"/>
      <c r="I17" s="9"/>
      <c r="J17" s="10" t="str">
        <f aca="false">IF(A17="","",IF(G17&lt;&gt;"",G17,IF(N(F17)&gt;0,ROUND(1000/F17,3),0)))</f>
        <v/>
      </c>
      <c r="K17" s="10" t="str">
        <f aca="false">IF(OR(A17="",E17="",H17=""),"",ROUND(0.00617*E17^2*H17*J17,2))</f>
        <v/>
      </c>
      <c r="L17" s="9"/>
      <c r="M17" s="10" t="str">
        <f aca="false">IF(A17="","",IF((COUNTIF(Drain_Register!$A$5:$A$304,A17)+COUNTIF(RW_Register!$A$5:$A$304,A17)+COUNTIF(Embedded_Wall_Register!$A$5:$A$304,A17)+COUNTIF(Manhole_Register!$A$5:$A$304,A17)+COUNTIF(ERSS_Pit_Register!$A$5:$A$304,A17)+COUNTIF(Linkway_Register!$A$5:$A$304,A17)+COUNTIF(Other_Register!$A$5:$A$304,A17))&gt;0,"OK","ID not in any register"))</f>
        <v/>
      </c>
    </row>
    <row r="18" customFormat="false" ht="15" hidden="false" customHeight="false" outlineLevel="0" collapsed="false">
      <c r="A18" s="9"/>
      <c r="B18" s="9"/>
      <c r="C18" s="9"/>
      <c r="D18" s="9"/>
      <c r="E18" s="9"/>
      <c r="F18" s="9"/>
      <c r="G18" s="9"/>
      <c r="H18" s="9"/>
      <c r="I18" s="9"/>
      <c r="J18" s="10" t="str">
        <f aca="false">IF(A18="","",IF(G18&lt;&gt;"",G18,IF(N(F18)&gt;0,ROUND(1000/F18,3),0)))</f>
        <v/>
      </c>
      <c r="K18" s="10" t="str">
        <f aca="false">IF(OR(A18="",E18="",H18=""),"",ROUND(0.00617*E18^2*H18*J18,2))</f>
        <v/>
      </c>
      <c r="L18" s="9"/>
      <c r="M18" s="10" t="str">
        <f aca="false">IF(A18="","",IF((COUNTIF(Drain_Register!$A$5:$A$304,A18)+COUNTIF(RW_Register!$A$5:$A$304,A18)+COUNTIF(Embedded_Wall_Register!$A$5:$A$304,A18)+COUNTIF(Manhole_Register!$A$5:$A$304,A18)+COUNTIF(ERSS_Pit_Register!$A$5:$A$304,A18)+COUNTIF(Linkway_Register!$A$5:$A$304,A18)+COUNTIF(Other_Register!$A$5:$A$304,A18))&gt;0,"OK","ID not in any register"))</f>
        <v/>
      </c>
    </row>
    <row r="19" customFormat="false" ht="15" hidden="false" customHeight="false" outlineLevel="0" collapsed="false">
      <c r="A19" s="9"/>
      <c r="B19" s="9"/>
      <c r="C19" s="9"/>
      <c r="D19" s="9"/>
      <c r="E19" s="9"/>
      <c r="F19" s="9"/>
      <c r="G19" s="9"/>
      <c r="H19" s="9"/>
      <c r="I19" s="9"/>
      <c r="J19" s="10" t="str">
        <f aca="false">IF(A19="","",IF(G19&lt;&gt;"",G19,IF(N(F19)&gt;0,ROUND(1000/F19,3),0)))</f>
        <v/>
      </c>
      <c r="K19" s="10" t="str">
        <f aca="false">IF(OR(A19="",E19="",H19=""),"",ROUND(0.00617*E19^2*H19*J19,2))</f>
        <v/>
      </c>
      <c r="L19" s="9"/>
      <c r="M19" s="10" t="str">
        <f aca="false">IF(A19="","",IF((COUNTIF(Drain_Register!$A$5:$A$304,A19)+COUNTIF(RW_Register!$A$5:$A$304,A19)+COUNTIF(Embedded_Wall_Register!$A$5:$A$304,A19)+COUNTIF(Manhole_Register!$A$5:$A$304,A19)+COUNTIF(ERSS_Pit_Register!$A$5:$A$304,A19)+COUNTIF(Linkway_Register!$A$5:$A$304,A19)+COUNTIF(Other_Register!$A$5:$A$304,A19))&gt;0,"OK","ID not in any register"))</f>
        <v/>
      </c>
    </row>
    <row r="20" customFormat="false" ht="15" hidden="false" customHeight="false" outlineLevel="0" collapsed="false">
      <c r="A20" s="9"/>
      <c r="B20" s="9"/>
      <c r="C20" s="9"/>
      <c r="D20" s="9"/>
      <c r="E20" s="9"/>
      <c r="F20" s="9"/>
      <c r="G20" s="9"/>
      <c r="H20" s="9"/>
      <c r="I20" s="9"/>
      <c r="J20" s="10" t="str">
        <f aca="false">IF(A20="","",IF(G20&lt;&gt;"",G20,IF(N(F20)&gt;0,ROUND(1000/F20,3),0)))</f>
        <v/>
      </c>
      <c r="K20" s="10" t="str">
        <f aca="false">IF(OR(A20="",E20="",H20=""),"",ROUND(0.00617*E20^2*H20*J20,2))</f>
        <v/>
      </c>
      <c r="L20" s="9"/>
      <c r="M20" s="10" t="str">
        <f aca="false">IF(A20="","",IF((COUNTIF(Drain_Register!$A$5:$A$304,A20)+COUNTIF(RW_Register!$A$5:$A$304,A20)+COUNTIF(Embedded_Wall_Register!$A$5:$A$304,A20)+COUNTIF(Manhole_Register!$A$5:$A$304,A20)+COUNTIF(ERSS_Pit_Register!$A$5:$A$304,A20)+COUNTIF(Linkway_Register!$A$5:$A$304,A20)+COUNTIF(Other_Register!$A$5:$A$304,A20))&gt;0,"OK","ID not in any register"))</f>
        <v/>
      </c>
    </row>
    <row r="21" customFormat="false" ht="15" hidden="false" customHeight="false" outlineLevel="0" collapsed="false">
      <c r="A21" s="9"/>
      <c r="B21" s="9"/>
      <c r="C21" s="9"/>
      <c r="D21" s="9"/>
      <c r="E21" s="9"/>
      <c r="F21" s="9"/>
      <c r="G21" s="9"/>
      <c r="H21" s="9"/>
      <c r="I21" s="9"/>
      <c r="J21" s="10" t="str">
        <f aca="false">IF(A21="","",IF(G21&lt;&gt;"",G21,IF(N(F21)&gt;0,ROUND(1000/F21,3),0)))</f>
        <v/>
      </c>
      <c r="K21" s="10" t="str">
        <f aca="false">IF(OR(A21="",E21="",H21=""),"",ROUND(0.00617*E21^2*H21*J21,2))</f>
        <v/>
      </c>
      <c r="L21" s="9"/>
      <c r="M21" s="10" t="str">
        <f aca="false">IF(A21="","",IF((COUNTIF(Drain_Register!$A$5:$A$304,A21)+COUNTIF(RW_Register!$A$5:$A$304,A21)+COUNTIF(Embedded_Wall_Register!$A$5:$A$304,A21)+COUNTIF(Manhole_Register!$A$5:$A$304,A21)+COUNTIF(ERSS_Pit_Register!$A$5:$A$304,A21)+COUNTIF(Linkway_Register!$A$5:$A$304,A21)+COUNTIF(Other_Register!$A$5:$A$304,A21))&gt;0,"OK","ID not in any register"))</f>
        <v/>
      </c>
    </row>
    <row r="22" customFormat="false" ht="15" hidden="false" customHeight="false" outlineLevel="0" collapsed="false">
      <c r="A22" s="9"/>
      <c r="B22" s="9"/>
      <c r="C22" s="9"/>
      <c r="D22" s="9"/>
      <c r="E22" s="9"/>
      <c r="F22" s="9"/>
      <c r="G22" s="9"/>
      <c r="H22" s="9"/>
      <c r="I22" s="9"/>
      <c r="J22" s="10" t="str">
        <f aca="false">IF(A22="","",IF(G22&lt;&gt;"",G22,IF(N(F22)&gt;0,ROUND(1000/F22,3),0)))</f>
        <v/>
      </c>
      <c r="K22" s="10" t="str">
        <f aca="false">IF(OR(A22="",E22="",H22=""),"",ROUND(0.00617*E22^2*H22*J22,2))</f>
        <v/>
      </c>
      <c r="L22" s="9"/>
      <c r="M22" s="10" t="str">
        <f aca="false">IF(A22="","",IF((COUNTIF(Drain_Register!$A$5:$A$304,A22)+COUNTIF(RW_Register!$A$5:$A$304,A22)+COUNTIF(Embedded_Wall_Register!$A$5:$A$304,A22)+COUNTIF(Manhole_Register!$A$5:$A$304,A22)+COUNTIF(ERSS_Pit_Register!$A$5:$A$304,A22)+COUNTIF(Linkway_Register!$A$5:$A$304,A22)+COUNTIF(Other_Register!$A$5:$A$304,A22))&gt;0,"OK","ID not in any register"))</f>
        <v/>
      </c>
    </row>
    <row r="23" customFormat="false" ht="15" hidden="false" customHeight="false" outlineLevel="0" collapsed="false">
      <c r="A23" s="9"/>
      <c r="B23" s="9"/>
      <c r="C23" s="9"/>
      <c r="D23" s="9"/>
      <c r="E23" s="9"/>
      <c r="F23" s="9"/>
      <c r="G23" s="9"/>
      <c r="H23" s="9"/>
      <c r="I23" s="9"/>
      <c r="J23" s="10" t="str">
        <f aca="false">IF(A23="","",IF(G23&lt;&gt;"",G23,IF(N(F23)&gt;0,ROUND(1000/F23,3),0)))</f>
        <v/>
      </c>
      <c r="K23" s="10" t="str">
        <f aca="false">IF(OR(A23="",E23="",H23=""),"",ROUND(0.00617*E23^2*H23*J23,2))</f>
        <v/>
      </c>
      <c r="L23" s="9"/>
      <c r="M23" s="10" t="str">
        <f aca="false">IF(A23="","",IF((COUNTIF(Drain_Register!$A$5:$A$304,A23)+COUNTIF(RW_Register!$A$5:$A$304,A23)+COUNTIF(Embedded_Wall_Register!$A$5:$A$304,A23)+COUNTIF(Manhole_Register!$A$5:$A$304,A23)+COUNTIF(ERSS_Pit_Register!$A$5:$A$304,A23)+COUNTIF(Linkway_Register!$A$5:$A$304,A23)+COUNTIF(Other_Register!$A$5:$A$304,A23))&gt;0,"OK","ID not in any register"))</f>
        <v/>
      </c>
    </row>
    <row r="24" customFormat="false" ht="15" hidden="false" customHeight="false" outlineLevel="0" collapsed="false">
      <c r="A24" s="9"/>
      <c r="B24" s="9"/>
      <c r="C24" s="9"/>
      <c r="D24" s="9"/>
      <c r="E24" s="9"/>
      <c r="F24" s="9"/>
      <c r="G24" s="9"/>
      <c r="H24" s="9"/>
      <c r="I24" s="9"/>
      <c r="J24" s="10" t="str">
        <f aca="false">IF(A24="","",IF(G24&lt;&gt;"",G24,IF(N(F24)&gt;0,ROUND(1000/F24,3),0)))</f>
        <v/>
      </c>
      <c r="K24" s="10" t="str">
        <f aca="false">IF(OR(A24="",E24="",H24=""),"",ROUND(0.00617*E24^2*H24*J24,2))</f>
        <v/>
      </c>
      <c r="L24" s="9"/>
      <c r="M24" s="10" t="str">
        <f aca="false">IF(A24="","",IF((COUNTIF(Drain_Register!$A$5:$A$304,A24)+COUNTIF(RW_Register!$A$5:$A$304,A24)+COUNTIF(Embedded_Wall_Register!$A$5:$A$304,A24)+COUNTIF(Manhole_Register!$A$5:$A$304,A24)+COUNTIF(ERSS_Pit_Register!$A$5:$A$304,A24)+COUNTIF(Linkway_Register!$A$5:$A$304,A24)+COUNTIF(Other_Register!$A$5:$A$304,A24))&gt;0,"OK","ID not in any register"))</f>
        <v/>
      </c>
    </row>
    <row r="25" customFormat="false" ht="15" hidden="false" customHeight="false" outlineLevel="0" collapsed="false">
      <c r="A25" s="9"/>
      <c r="B25" s="9"/>
      <c r="C25" s="9"/>
      <c r="D25" s="9"/>
      <c r="E25" s="9"/>
      <c r="F25" s="9"/>
      <c r="G25" s="9"/>
      <c r="H25" s="9"/>
      <c r="I25" s="9"/>
      <c r="J25" s="10" t="str">
        <f aca="false">IF(A25="","",IF(G25&lt;&gt;"",G25,IF(N(F25)&gt;0,ROUND(1000/F25,3),0)))</f>
        <v/>
      </c>
      <c r="K25" s="10" t="str">
        <f aca="false">IF(OR(A25="",E25="",H25=""),"",ROUND(0.00617*E25^2*H25*J25,2))</f>
        <v/>
      </c>
      <c r="L25" s="9"/>
      <c r="M25" s="10" t="str">
        <f aca="false">IF(A25="","",IF((COUNTIF(Drain_Register!$A$5:$A$304,A25)+COUNTIF(RW_Register!$A$5:$A$304,A25)+COUNTIF(Embedded_Wall_Register!$A$5:$A$304,A25)+COUNTIF(Manhole_Register!$A$5:$A$304,A25)+COUNTIF(ERSS_Pit_Register!$A$5:$A$304,A25)+COUNTIF(Linkway_Register!$A$5:$A$304,A25)+COUNTIF(Other_Register!$A$5:$A$304,A25))&gt;0,"OK","ID not in any register"))</f>
        <v/>
      </c>
    </row>
    <row r="26" customFormat="false" ht="15" hidden="false" customHeight="false" outlineLevel="0" collapsed="false">
      <c r="A26" s="9"/>
      <c r="B26" s="9"/>
      <c r="C26" s="9"/>
      <c r="D26" s="9"/>
      <c r="E26" s="9"/>
      <c r="F26" s="9"/>
      <c r="G26" s="9"/>
      <c r="H26" s="9"/>
      <c r="I26" s="9"/>
      <c r="J26" s="10" t="str">
        <f aca="false">IF(A26="","",IF(G26&lt;&gt;"",G26,IF(N(F26)&gt;0,ROUND(1000/F26,3),0)))</f>
        <v/>
      </c>
      <c r="K26" s="10" t="str">
        <f aca="false">IF(OR(A26="",E26="",H26=""),"",ROUND(0.00617*E26^2*H26*J26,2))</f>
        <v/>
      </c>
      <c r="L26" s="9"/>
      <c r="M26" s="10" t="str">
        <f aca="false">IF(A26="","",IF((COUNTIF(Drain_Register!$A$5:$A$304,A26)+COUNTIF(RW_Register!$A$5:$A$304,A26)+COUNTIF(Embedded_Wall_Register!$A$5:$A$304,A26)+COUNTIF(Manhole_Register!$A$5:$A$304,A26)+COUNTIF(ERSS_Pit_Register!$A$5:$A$304,A26)+COUNTIF(Linkway_Register!$A$5:$A$304,A26)+COUNTIF(Other_Register!$A$5:$A$304,A26))&gt;0,"OK","ID not in any register"))</f>
        <v/>
      </c>
    </row>
    <row r="27" customFormat="false" ht="15" hidden="false" customHeight="false" outlineLevel="0" collapsed="false">
      <c r="A27" s="9"/>
      <c r="B27" s="9"/>
      <c r="C27" s="9"/>
      <c r="D27" s="9"/>
      <c r="E27" s="9"/>
      <c r="F27" s="9"/>
      <c r="G27" s="9"/>
      <c r="H27" s="9"/>
      <c r="I27" s="9"/>
      <c r="J27" s="10" t="str">
        <f aca="false">IF(A27="","",IF(G27&lt;&gt;"",G27,IF(N(F27)&gt;0,ROUND(1000/F27,3),0)))</f>
        <v/>
      </c>
      <c r="K27" s="10" t="str">
        <f aca="false">IF(OR(A27="",E27="",H27=""),"",ROUND(0.00617*E27^2*H27*J27,2))</f>
        <v/>
      </c>
      <c r="L27" s="9"/>
      <c r="M27" s="10" t="str">
        <f aca="false">IF(A27="","",IF((COUNTIF(Drain_Register!$A$5:$A$304,A27)+COUNTIF(RW_Register!$A$5:$A$304,A27)+COUNTIF(Embedded_Wall_Register!$A$5:$A$304,A27)+COUNTIF(Manhole_Register!$A$5:$A$304,A27)+COUNTIF(ERSS_Pit_Register!$A$5:$A$304,A27)+COUNTIF(Linkway_Register!$A$5:$A$304,A27)+COUNTIF(Other_Register!$A$5:$A$304,A27))&gt;0,"OK","ID not in any register"))</f>
        <v/>
      </c>
    </row>
    <row r="28" customFormat="false" ht="15" hidden="false" customHeight="false" outlineLevel="0" collapsed="false">
      <c r="A28" s="9"/>
      <c r="B28" s="9"/>
      <c r="C28" s="9"/>
      <c r="D28" s="9"/>
      <c r="E28" s="9"/>
      <c r="F28" s="9"/>
      <c r="G28" s="9"/>
      <c r="H28" s="9"/>
      <c r="I28" s="9"/>
      <c r="J28" s="10" t="str">
        <f aca="false">IF(A28="","",IF(G28&lt;&gt;"",G28,IF(N(F28)&gt;0,ROUND(1000/F28,3),0)))</f>
        <v/>
      </c>
      <c r="K28" s="10" t="str">
        <f aca="false">IF(OR(A28="",E28="",H28=""),"",ROUND(0.00617*E28^2*H28*J28,2))</f>
        <v/>
      </c>
      <c r="L28" s="9"/>
      <c r="M28" s="10" t="str">
        <f aca="false">IF(A28="","",IF((COUNTIF(Drain_Register!$A$5:$A$304,A28)+COUNTIF(RW_Register!$A$5:$A$304,A28)+COUNTIF(Embedded_Wall_Register!$A$5:$A$304,A28)+COUNTIF(Manhole_Register!$A$5:$A$304,A28)+COUNTIF(ERSS_Pit_Register!$A$5:$A$304,A28)+COUNTIF(Linkway_Register!$A$5:$A$304,A28)+COUNTIF(Other_Register!$A$5:$A$304,A28))&gt;0,"OK","ID not in any register"))</f>
        <v/>
      </c>
    </row>
    <row r="29" customFormat="false" ht="15" hidden="false" customHeight="false" outlineLevel="0" collapsed="false">
      <c r="A29" s="9"/>
      <c r="B29" s="9"/>
      <c r="C29" s="9"/>
      <c r="D29" s="9"/>
      <c r="E29" s="9"/>
      <c r="F29" s="9"/>
      <c r="G29" s="9"/>
      <c r="H29" s="9"/>
      <c r="I29" s="9"/>
      <c r="J29" s="10" t="str">
        <f aca="false">IF(A29="","",IF(G29&lt;&gt;"",G29,IF(N(F29)&gt;0,ROUND(1000/F29,3),0)))</f>
        <v/>
      </c>
      <c r="K29" s="10" t="str">
        <f aca="false">IF(OR(A29="",E29="",H29=""),"",ROUND(0.00617*E29^2*H29*J29,2))</f>
        <v/>
      </c>
      <c r="L29" s="9"/>
      <c r="M29" s="10" t="str">
        <f aca="false">IF(A29="","",IF((COUNTIF(Drain_Register!$A$5:$A$304,A29)+COUNTIF(RW_Register!$A$5:$A$304,A29)+COUNTIF(Embedded_Wall_Register!$A$5:$A$304,A29)+COUNTIF(Manhole_Register!$A$5:$A$304,A29)+COUNTIF(ERSS_Pit_Register!$A$5:$A$304,A29)+COUNTIF(Linkway_Register!$A$5:$A$304,A29)+COUNTIF(Other_Register!$A$5:$A$304,A29))&gt;0,"OK","ID not in any register"))</f>
        <v/>
      </c>
    </row>
    <row r="30" customFormat="false" ht="15" hidden="false" customHeight="false" outlineLevel="0" collapsed="false">
      <c r="A30" s="9"/>
      <c r="B30" s="9"/>
      <c r="C30" s="9"/>
      <c r="D30" s="9"/>
      <c r="E30" s="9"/>
      <c r="F30" s="9"/>
      <c r="G30" s="9"/>
      <c r="H30" s="9"/>
      <c r="I30" s="9"/>
      <c r="J30" s="10" t="str">
        <f aca="false">IF(A30="","",IF(G30&lt;&gt;"",G30,IF(N(F30)&gt;0,ROUND(1000/F30,3),0)))</f>
        <v/>
      </c>
      <c r="K30" s="10" t="str">
        <f aca="false">IF(OR(A30="",E30="",H30=""),"",ROUND(0.00617*E30^2*H30*J30,2))</f>
        <v/>
      </c>
      <c r="L30" s="9"/>
      <c r="M30" s="10" t="str">
        <f aca="false">IF(A30="","",IF((COUNTIF(Drain_Register!$A$5:$A$304,A30)+COUNTIF(RW_Register!$A$5:$A$304,A30)+COUNTIF(Embedded_Wall_Register!$A$5:$A$304,A30)+COUNTIF(Manhole_Register!$A$5:$A$304,A30)+COUNTIF(ERSS_Pit_Register!$A$5:$A$304,A30)+COUNTIF(Linkway_Register!$A$5:$A$304,A30)+COUNTIF(Other_Register!$A$5:$A$304,A30))&gt;0,"OK","ID not in any register"))</f>
        <v/>
      </c>
    </row>
    <row r="31" customFormat="false" ht="15" hidden="false" customHeight="false" outlineLevel="0" collapsed="false">
      <c r="A31" s="9"/>
      <c r="B31" s="9"/>
      <c r="C31" s="9"/>
      <c r="D31" s="9"/>
      <c r="E31" s="9"/>
      <c r="F31" s="9"/>
      <c r="G31" s="9"/>
      <c r="H31" s="9"/>
      <c r="I31" s="9"/>
      <c r="J31" s="10" t="str">
        <f aca="false">IF(A31="","",IF(G31&lt;&gt;"",G31,IF(N(F31)&gt;0,ROUND(1000/F31,3),0)))</f>
        <v/>
      </c>
      <c r="K31" s="10" t="str">
        <f aca="false">IF(OR(A31="",E31="",H31=""),"",ROUND(0.00617*E31^2*H31*J31,2))</f>
        <v/>
      </c>
      <c r="L31" s="9"/>
      <c r="M31" s="10" t="str">
        <f aca="false">IF(A31="","",IF((COUNTIF(Drain_Register!$A$5:$A$304,A31)+COUNTIF(RW_Register!$A$5:$A$304,A31)+COUNTIF(Embedded_Wall_Register!$A$5:$A$304,A31)+COUNTIF(Manhole_Register!$A$5:$A$304,A31)+COUNTIF(ERSS_Pit_Register!$A$5:$A$304,A31)+COUNTIF(Linkway_Register!$A$5:$A$304,A31)+COUNTIF(Other_Register!$A$5:$A$304,A31))&gt;0,"OK","ID not in any register"))</f>
        <v/>
      </c>
    </row>
    <row r="32" customFormat="false" ht="15" hidden="false" customHeight="false" outlineLevel="0" collapsed="false">
      <c r="A32" s="9"/>
      <c r="B32" s="9"/>
      <c r="C32" s="9"/>
      <c r="D32" s="9"/>
      <c r="E32" s="9"/>
      <c r="F32" s="9"/>
      <c r="G32" s="9"/>
      <c r="H32" s="9"/>
      <c r="I32" s="9"/>
      <c r="J32" s="10" t="str">
        <f aca="false">IF(A32="","",IF(G32&lt;&gt;"",G32,IF(N(F32)&gt;0,ROUND(1000/F32,3),0)))</f>
        <v/>
      </c>
      <c r="K32" s="10" t="str">
        <f aca="false">IF(OR(A32="",E32="",H32=""),"",ROUND(0.00617*E32^2*H32*J32,2))</f>
        <v/>
      </c>
      <c r="L32" s="9"/>
      <c r="M32" s="10" t="str">
        <f aca="false">IF(A32="","",IF((COUNTIF(Drain_Register!$A$5:$A$304,A32)+COUNTIF(RW_Register!$A$5:$A$304,A32)+COUNTIF(Embedded_Wall_Register!$A$5:$A$304,A32)+COUNTIF(Manhole_Register!$A$5:$A$304,A32)+COUNTIF(ERSS_Pit_Register!$A$5:$A$304,A32)+COUNTIF(Linkway_Register!$A$5:$A$304,A32)+COUNTIF(Other_Register!$A$5:$A$304,A32))&gt;0,"OK","ID not in any register"))</f>
        <v/>
      </c>
    </row>
    <row r="33" customFormat="false" ht="15" hidden="false" customHeight="false" outlineLevel="0" collapsed="false">
      <c r="A33" s="9"/>
      <c r="B33" s="9"/>
      <c r="C33" s="9"/>
      <c r="D33" s="9"/>
      <c r="E33" s="9"/>
      <c r="F33" s="9"/>
      <c r="G33" s="9"/>
      <c r="H33" s="9"/>
      <c r="I33" s="9"/>
      <c r="J33" s="10" t="str">
        <f aca="false">IF(A33="","",IF(G33&lt;&gt;"",G33,IF(N(F33)&gt;0,ROUND(1000/F33,3),0)))</f>
        <v/>
      </c>
      <c r="K33" s="10" t="str">
        <f aca="false">IF(OR(A33="",E33="",H33=""),"",ROUND(0.00617*E33^2*H33*J33,2))</f>
        <v/>
      </c>
      <c r="L33" s="9"/>
      <c r="M33" s="10" t="str">
        <f aca="false">IF(A33="","",IF((COUNTIF(Drain_Register!$A$5:$A$304,A33)+COUNTIF(RW_Register!$A$5:$A$304,A33)+COUNTIF(Embedded_Wall_Register!$A$5:$A$304,A33)+COUNTIF(Manhole_Register!$A$5:$A$304,A33)+COUNTIF(ERSS_Pit_Register!$A$5:$A$304,A33)+COUNTIF(Linkway_Register!$A$5:$A$304,A33)+COUNTIF(Other_Register!$A$5:$A$304,A33))&gt;0,"OK","ID not in any register"))</f>
        <v/>
      </c>
    </row>
    <row r="34" customFormat="false" ht="15" hidden="false" customHeight="false" outlineLevel="0" collapsed="false">
      <c r="A34" s="9"/>
      <c r="B34" s="9"/>
      <c r="C34" s="9"/>
      <c r="D34" s="9"/>
      <c r="E34" s="9"/>
      <c r="F34" s="9"/>
      <c r="G34" s="9"/>
      <c r="H34" s="9"/>
      <c r="I34" s="9"/>
      <c r="J34" s="10" t="str">
        <f aca="false">IF(A34="","",IF(G34&lt;&gt;"",G34,IF(N(F34)&gt;0,ROUND(1000/F34,3),0)))</f>
        <v/>
      </c>
      <c r="K34" s="10" t="str">
        <f aca="false">IF(OR(A34="",E34="",H34=""),"",ROUND(0.00617*E34^2*H34*J34,2))</f>
        <v/>
      </c>
      <c r="L34" s="9"/>
      <c r="M34" s="10" t="str">
        <f aca="false">IF(A34="","",IF((COUNTIF(Drain_Register!$A$5:$A$304,A34)+COUNTIF(RW_Register!$A$5:$A$304,A34)+COUNTIF(Embedded_Wall_Register!$A$5:$A$304,A34)+COUNTIF(Manhole_Register!$A$5:$A$304,A34)+COUNTIF(ERSS_Pit_Register!$A$5:$A$304,A34)+COUNTIF(Linkway_Register!$A$5:$A$304,A34)+COUNTIF(Other_Register!$A$5:$A$304,A34))&gt;0,"OK","ID not in any register"))</f>
        <v/>
      </c>
    </row>
    <row r="35" customFormat="false" ht="15" hidden="false" customHeight="false" outlineLevel="0" collapsed="false">
      <c r="A35" s="9"/>
      <c r="B35" s="9"/>
      <c r="C35" s="9"/>
      <c r="D35" s="9"/>
      <c r="E35" s="9"/>
      <c r="F35" s="9"/>
      <c r="G35" s="9"/>
      <c r="H35" s="9"/>
      <c r="I35" s="9"/>
      <c r="J35" s="10" t="str">
        <f aca="false">IF(A35="","",IF(G35&lt;&gt;"",G35,IF(N(F35)&gt;0,ROUND(1000/F35,3),0)))</f>
        <v/>
      </c>
      <c r="K35" s="10" t="str">
        <f aca="false">IF(OR(A35="",E35="",H35=""),"",ROUND(0.00617*E35^2*H35*J35,2))</f>
        <v/>
      </c>
      <c r="L35" s="9"/>
      <c r="M35" s="10" t="str">
        <f aca="false">IF(A35="","",IF((COUNTIF(Drain_Register!$A$5:$A$304,A35)+COUNTIF(RW_Register!$A$5:$A$304,A35)+COUNTIF(Embedded_Wall_Register!$A$5:$A$304,A35)+COUNTIF(Manhole_Register!$A$5:$A$304,A35)+COUNTIF(ERSS_Pit_Register!$A$5:$A$304,A35)+COUNTIF(Linkway_Register!$A$5:$A$304,A35)+COUNTIF(Other_Register!$A$5:$A$304,A35))&gt;0,"OK","ID not in any register"))</f>
        <v/>
      </c>
    </row>
    <row r="36" customFormat="false" ht="15" hidden="false" customHeight="false" outlineLevel="0" collapsed="false">
      <c r="A36" s="9"/>
      <c r="B36" s="9"/>
      <c r="C36" s="9"/>
      <c r="D36" s="9"/>
      <c r="E36" s="9"/>
      <c r="F36" s="9"/>
      <c r="G36" s="9"/>
      <c r="H36" s="9"/>
      <c r="I36" s="9"/>
      <c r="J36" s="10" t="str">
        <f aca="false">IF(A36="","",IF(G36&lt;&gt;"",G36,IF(N(F36)&gt;0,ROUND(1000/F36,3),0)))</f>
        <v/>
      </c>
      <c r="K36" s="10" t="str">
        <f aca="false">IF(OR(A36="",E36="",H36=""),"",ROUND(0.00617*E36^2*H36*J36,2))</f>
        <v/>
      </c>
      <c r="L36" s="9"/>
      <c r="M36" s="10" t="str">
        <f aca="false">IF(A36="","",IF((COUNTIF(Drain_Register!$A$5:$A$304,A36)+COUNTIF(RW_Register!$A$5:$A$304,A36)+COUNTIF(Embedded_Wall_Register!$A$5:$A$304,A36)+COUNTIF(Manhole_Register!$A$5:$A$304,A36)+COUNTIF(ERSS_Pit_Register!$A$5:$A$304,A36)+COUNTIF(Linkway_Register!$A$5:$A$304,A36)+COUNTIF(Other_Register!$A$5:$A$304,A36))&gt;0,"OK","ID not in any register"))</f>
        <v/>
      </c>
    </row>
    <row r="37" customFormat="false" ht="15" hidden="false" customHeight="false" outlineLevel="0" collapsed="false">
      <c r="A37" s="9"/>
      <c r="B37" s="9"/>
      <c r="C37" s="9"/>
      <c r="D37" s="9"/>
      <c r="E37" s="9"/>
      <c r="F37" s="9"/>
      <c r="G37" s="9"/>
      <c r="H37" s="9"/>
      <c r="I37" s="9"/>
      <c r="J37" s="10" t="str">
        <f aca="false">IF(A37="","",IF(G37&lt;&gt;"",G37,IF(N(F37)&gt;0,ROUND(1000/F37,3),0)))</f>
        <v/>
      </c>
      <c r="K37" s="10" t="str">
        <f aca="false">IF(OR(A37="",E37="",H37=""),"",ROUND(0.00617*E37^2*H37*J37,2))</f>
        <v/>
      </c>
      <c r="L37" s="9"/>
      <c r="M37" s="10" t="str">
        <f aca="false">IF(A37="","",IF((COUNTIF(Drain_Register!$A$5:$A$304,A37)+COUNTIF(RW_Register!$A$5:$A$304,A37)+COUNTIF(Embedded_Wall_Register!$A$5:$A$304,A37)+COUNTIF(Manhole_Register!$A$5:$A$304,A37)+COUNTIF(ERSS_Pit_Register!$A$5:$A$304,A37)+COUNTIF(Linkway_Register!$A$5:$A$304,A37)+COUNTIF(Other_Register!$A$5:$A$304,A37))&gt;0,"OK","ID not in any register"))</f>
        <v/>
      </c>
    </row>
    <row r="38" customFormat="false" ht="15" hidden="false" customHeight="false" outlineLevel="0" collapsed="false">
      <c r="A38" s="9"/>
      <c r="B38" s="9"/>
      <c r="C38" s="9"/>
      <c r="D38" s="9"/>
      <c r="E38" s="9"/>
      <c r="F38" s="9"/>
      <c r="G38" s="9"/>
      <c r="H38" s="9"/>
      <c r="I38" s="9"/>
      <c r="J38" s="10" t="str">
        <f aca="false">IF(A38="","",IF(G38&lt;&gt;"",G38,IF(N(F38)&gt;0,ROUND(1000/F38,3),0)))</f>
        <v/>
      </c>
      <c r="K38" s="10" t="str">
        <f aca="false">IF(OR(A38="",E38="",H38=""),"",ROUND(0.00617*E38^2*H38*J38,2))</f>
        <v/>
      </c>
      <c r="L38" s="9"/>
      <c r="M38" s="10" t="str">
        <f aca="false">IF(A38="","",IF((COUNTIF(Drain_Register!$A$5:$A$304,A38)+COUNTIF(RW_Register!$A$5:$A$304,A38)+COUNTIF(Embedded_Wall_Register!$A$5:$A$304,A38)+COUNTIF(Manhole_Register!$A$5:$A$304,A38)+COUNTIF(ERSS_Pit_Register!$A$5:$A$304,A38)+COUNTIF(Linkway_Register!$A$5:$A$304,A38)+COUNTIF(Other_Register!$A$5:$A$304,A38))&gt;0,"OK","ID not in any register"))</f>
        <v/>
      </c>
    </row>
    <row r="39" customFormat="false" ht="15" hidden="false" customHeight="false" outlineLevel="0" collapsed="false">
      <c r="A39" s="9"/>
      <c r="B39" s="9"/>
      <c r="C39" s="9"/>
      <c r="D39" s="9"/>
      <c r="E39" s="9"/>
      <c r="F39" s="9"/>
      <c r="G39" s="9"/>
      <c r="H39" s="9"/>
      <c r="I39" s="9"/>
      <c r="J39" s="10" t="str">
        <f aca="false">IF(A39="","",IF(G39&lt;&gt;"",G39,IF(N(F39)&gt;0,ROUND(1000/F39,3),0)))</f>
        <v/>
      </c>
      <c r="K39" s="10" t="str">
        <f aca="false">IF(OR(A39="",E39="",H39=""),"",ROUND(0.00617*E39^2*H39*J39,2))</f>
        <v/>
      </c>
      <c r="L39" s="9"/>
      <c r="M39" s="10" t="str">
        <f aca="false">IF(A39="","",IF((COUNTIF(Drain_Register!$A$5:$A$304,A39)+COUNTIF(RW_Register!$A$5:$A$304,A39)+COUNTIF(Embedded_Wall_Register!$A$5:$A$304,A39)+COUNTIF(Manhole_Register!$A$5:$A$304,A39)+COUNTIF(ERSS_Pit_Register!$A$5:$A$304,A39)+COUNTIF(Linkway_Register!$A$5:$A$304,A39)+COUNTIF(Other_Register!$A$5:$A$304,A39))&gt;0,"OK","ID not in any register"))</f>
        <v/>
      </c>
    </row>
    <row r="40" customFormat="false" ht="15" hidden="false" customHeight="false" outlineLevel="0" collapsed="false">
      <c r="A40" s="9"/>
      <c r="B40" s="9"/>
      <c r="C40" s="9"/>
      <c r="D40" s="9"/>
      <c r="E40" s="9"/>
      <c r="F40" s="9"/>
      <c r="G40" s="9"/>
      <c r="H40" s="9"/>
      <c r="I40" s="9"/>
      <c r="J40" s="10" t="str">
        <f aca="false">IF(A40="","",IF(G40&lt;&gt;"",G40,IF(N(F40)&gt;0,ROUND(1000/F40,3),0)))</f>
        <v/>
      </c>
      <c r="K40" s="10" t="str">
        <f aca="false">IF(OR(A40="",E40="",H40=""),"",ROUND(0.00617*E40^2*H40*J40,2))</f>
        <v/>
      </c>
      <c r="L40" s="9"/>
      <c r="M40" s="10" t="str">
        <f aca="false">IF(A40="","",IF((COUNTIF(Drain_Register!$A$5:$A$304,A40)+COUNTIF(RW_Register!$A$5:$A$304,A40)+COUNTIF(Embedded_Wall_Register!$A$5:$A$304,A40)+COUNTIF(Manhole_Register!$A$5:$A$304,A40)+COUNTIF(ERSS_Pit_Register!$A$5:$A$304,A40)+COUNTIF(Linkway_Register!$A$5:$A$304,A40)+COUNTIF(Other_Register!$A$5:$A$304,A40))&gt;0,"OK","ID not in any register"))</f>
        <v/>
      </c>
    </row>
    <row r="41" customFormat="false" ht="15" hidden="false" customHeight="false" outlineLevel="0" collapsed="false">
      <c r="A41" s="9"/>
      <c r="B41" s="9"/>
      <c r="C41" s="9"/>
      <c r="D41" s="9"/>
      <c r="E41" s="9"/>
      <c r="F41" s="9"/>
      <c r="G41" s="9"/>
      <c r="H41" s="9"/>
      <c r="I41" s="9"/>
      <c r="J41" s="10" t="str">
        <f aca="false">IF(A41="","",IF(G41&lt;&gt;"",G41,IF(N(F41)&gt;0,ROUND(1000/F41,3),0)))</f>
        <v/>
      </c>
      <c r="K41" s="10" t="str">
        <f aca="false">IF(OR(A41="",E41="",H41=""),"",ROUND(0.00617*E41^2*H41*J41,2))</f>
        <v/>
      </c>
      <c r="L41" s="9"/>
      <c r="M41" s="10" t="str">
        <f aca="false">IF(A41="","",IF((COUNTIF(Drain_Register!$A$5:$A$304,A41)+COUNTIF(RW_Register!$A$5:$A$304,A41)+COUNTIF(Embedded_Wall_Register!$A$5:$A$304,A41)+COUNTIF(Manhole_Register!$A$5:$A$304,A41)+COUNTIF(ERSS_Pit_Register!$A$5:$A$304,A41)+COUNTIF(Linkway_Register!$A$5:$A$304,A41)+COUNTIF(Other_Register!$A$5:$A$304,A41))&gt;0,"OK","ID not in any register"))</f>
        <v/>
      </c>
    </row>
    <row r="42" customFormat="false" ht="15" hidden="false" customHeight="false" outlineLevel="0" collapsed="false">
      <c r="A42" s="9"/>
      <c r="B42" s="9"/>
      <c r="C42" s="9"/>
      <c r="D42" s="9"/>
      <c r="E42" s="9"/>
      <c r="F42" s="9"/>
      <c r="G42" s="9"/>
      <c r="H42" s="9"/>
      <c r="I42" s="9"/>
      <c r="J42" s="10" t="str">
        <f aca="false">IF(A42="","",IF(G42&lt;&gt;"",G42,IF(N(F42)&gt;0,ROUND(1000/F42,3),0)))</f>
        <v/>
      </c>
      <c r="K42" s="10" t="str">
        <f aca="false">IF(OR(A42="",E42="",H42=""),"",ROUND(0.00617*E42^2*H42*J42,2))</f>
        <v/>
      </c>
      <c r="L42" s="9"/>
      <c r="M42" s="10" t="str">
        <f aca="false">IF(A42="","",IF((COUNTIF(Drain_Register!$A$5:$A$304,A42)+COUNTIF(RW_Register!$A$5:$A$304,A42)+COUNTIF(Embedded_Wall_Register!$A$5:$A$304,A42)+COUNTIF(Manhole_Register!$A$5:$A$304,A42)+COUNTIF(ERSS_Pit_Register!$A$5:$A$304,A42)+COUNTIF(Linkway_Register!$A$5:$A$304,A42)+COUNTIF(Other_Register!$A$5:$A$304,A42))&gt;0,"OK","ID not in any register"))</f>
        <v/>
      </c>
    </row>
    <row r="43" customFormat="false" ht="15" hidden="false" customHeight="false" outlineLevel="0" collapsed="false">
      <c r="A43" s="9"/>
      <c r="B43" s="9"/>
      <c r="C43" s="9"/>
      <c r="D43" s="9"/>
      <c r="E43" s="9"/>
      <c r="F43" s="9"/>
      <c r="G43" s="9"/>
      <c r="H43" s="9"/>
      <c r="I43" s="9"/>
      <c r="J43" s="10" t="str">
        <f aca="false">IF(A43="","",IF(G43&lt;&gt;"",G43,IF(N(F43)&gt;0,ROUND(1000/F43,3),0)))</f>
        <v/>
      </c>
      <c r="K43" s="10" t="str">
        <f aca="false">IF(OR(A43="",E43="",H43=""),"",ROUND(0.00617*E43^2*H43*J43,2))</f>
        <v/>
      </c>
      <c r="L43" s="9"/>
      <c r="M43" s="10" t="str">
        <f aca="false">IF(A43="","",IF((COUNTIF(Drain_Register!$A$5:$A$304,A43)+COUNTIF(RW_Register!$A$5:$A$304,A43)+COUNTIF(Embedded_Wall_Register!$A$5:$A$304,A43)+COUNTIF(Manhole_Register!$A$5:$A$304,A43)+COUNTIF(ERSS_Pit_Register!$A$5:$A$304,A43)+COUNTIF(Linkway_Register!$A$5:$A$304,A43)+COUNTIF(Other_Register!$A$5:$A$304,A43))&gt;0,"OK","ID not in any register"))</f>
        <v/>
      </c>
    </row>
    <row r="44" customFormat="false" ht="15" hidden="false" customHeight="false" outlineLevel="0" collapsed="false">
      <c r="A44" s="9"/>
      <c r="B44" s="9"/>
      <c r="C44" s="9"/>
      <c r="D44" s="9"/>
      <c r="E44" s="9"/>
      <c r="F44" s="9"/>
      <c r="G44" s="9"/>
      <c r="H44" s="9"/>
      <c r="I44" s="9"/>
      <c r="J44" s="10" t="str">
        <f aca="false">IF(A44="","",IF(G44&lt;&gt;"",G44,IF(N(F44)&gt;0,ROUND(1000/F44,3),0)))</f>
        <v/>
      </c>
      <c r="K44" s="10" t="str">
        <f aca="false">IF(OR(A44="",E44="",H44=""),"",ROUND(0.00617*E44^2*H44*J44,2))</f>
        <v/>
      </c>
      <c r="L44" s="9"/>
      <c r="M44" s="10" t="str">
        <f aca="false">IF(A44="","",IF((COUNTIF(Drain_Register!$A$5:$A$304,A44)+COUNTIF(RW_Register!$A$5:$A$304,A44)+COUNTIF(Embedded_Wall_Register!$A$5:$A$304,A44)+COUNTIF(Manhole_Register!$A$5:$A$304,A44)+COUNTIF(ERSS_Pit_Register!$A$5:$A$304,A44)+COUNTIF(Linkway_Register!$A$5:$A$304,A44)+COUNTIF(Other_Register!$A$5:$A$304,A44))&gt;0,"OK","ID not in any register"))</f>
        <v/>
      </c>
    </row>
    <row r="45" customFormat="false" ht="15" hidden="false" customHeight="false" outlineLevel="0" collapsed="false">
      <c r="A45" s="9"/>
      <c r="B45" s="9"/>
      <c r="C45" s="9"/>
      <c r="D45" s="9"/>
      <c r="E45" s="9"/>
      <c r="F45" s="9"/>
      <c r="G45" s="9"/>
      <c r="H45" s="9"/>
      <c r="I45" s="9"/>
      <c r="J45" s="10" t="str">
        <f aca="false">IF(A45="","",IF(G45&lt;&gt;"",G45,IF(N(F45)&gt;0,ROUND(1000/F45,3),0)))</f>
        <v/>
      </c>
      <c r="K45" s="10" t="str">
        <f aca="false">IF(OR(A45="",E45="",H45=""),"",ROUND(0.00617*E45^2*H45*J45,2))</f>
        <v/>
      </c>
      <c r="L45" s="9"/>
      <c r="M45" s="10" t="str">
        <f aca="false">IF(A45="","",IF((COUNTIF(Drain_Register!$A$5:$A$304,A45)+COUNTIF(RW_Register!$A$5:$A$304,A45)+COUNTIF(Embedded_Wall_Register!$A$5:$A$304,A45)+COUNTIF(Manhole_Register!$A$5:$A$304,A45)+COUNTIF(ERSS_Pit_Register!$A$5:$A$304,A45)+COUNTIF(Linkway_Register!$A$5:$A$304,A45)+COUNTIF(Other_Register!$A$5:$A$304,A45))&gt;0,"OK","ID not in any register"))</f>
        <v/>
      </c>
    </row>
    <row r="46" customFormat="false" ht="15" hidden="false" customHeight="false" outlineLevel="0" collapsed="false">
      <c r="A46" s="9"/>
      <c r="B46" s="9"/>
      <c r="C46" s="9"/>
      <c r="D46" s="9"/>
      <c r="E46" s="9"/>
      <c r="F46" s="9"/>
      <c r="G46" s="9"/>
      <c r="H46" s="9"/>
      <c r="I46" s="9"/>
      <c r="J46" s="10" t="str">
        <f aca="false">IF(A46="","",IF(G46&lt;&gt;"",G46,IF(N(F46)&gt;0,ROUND(1000/F46,3),0)))</f>
        <v/>
      </c>
      <c r="K46" s="10" t="str">
        <f aca="false">IF(OR(A46="",E46="",H46=""),"",ROUND(0.00617*E46^2*H46*J46,2))</f>
        <v/>
      </c>
      <c r="L46" s="9"/>
      <c r="M46" s="10" t="str">
        <f aca="false">IF(A46="","",IF((COUNTIF(Drain_Register!$A$5:$A$304,A46)+COUNTIF(RW_Register!$A$5:$A$304,A46)+COUNTIF(Embedded_Wall_Register!$A$5:$A$304,A46)+COUNTIF(Manhole_Register!$A$5:$A$304,A46)+COUNTIF(ERSS_Pit_Register!$A$5:$A$304,A46)+COUNTIF(Linkway_Register!$A$5:$A$304,A46)+COUNTIF(Other_Register!$A$5:$A$304,A46))&gt;0,"OK","ID not in any register"))</f>
        <v/>
      </c>
    </row>
    <row r="47" customFormat="false" ht="15" hidden="false" customHeight="false" outlineLevel="0" collapsed="false">
      <c r="A47" s="9"/>
      <c r="B47" s="9"/>
      <c r="C47" s="9"/>
      <c r="D47" s="9"/>
      <c r="E47" s="9"/>
      <c r="F47" s="9"/>
      <c r="G47" s="9"/>
      <c r="H47" s="9"/>
      <c r="I47" s="9"/>
      <c r="J47" s="10" t="str">
        <f aca="false">IF(A47="","",IF(G47&lt;&gt;"",G47,IF(N(F47)&gt;0,ROUND(1000/F47,3),0)))</f>
        <v/>
      </c>
      <c r="K47" s="10" t="str">
        <f aca="false">IF(OR(A47="",E47="",H47=""),"",ROUND(0.00617*E47^2*H47*J47,2))</f>
        <v/>
      </c>
      <c r="L47" s="9"/>
      <c r="M47" s="10" t="str">
        <f aca="false">IF(A47="","",IF((COUNTIF(Drain_Register!$A$5:$A$304,A47)+COUNTIF(RW_Register!$A$5:$A$304,A47)+COUNTIF(Embedded_Wall_Register!$A$5:$A$304,A47)+COUNTIF(Manhole_Register!$A$5:$A$304,A47)+COUNTIF(ERSS_Pit_Register!$A$5:$A$304,A47)+COUNTIF(Linkway_Register!$A$5:$A$304,A47)+COUNTIF(Other_Register!$A$5:$A$304,A47))&gt;0,"OK","ID not in any register"))</f>
        <v/>
      </c>
    </row>
    <row r="48" customFormat="false" ht="15" hidden="false" customHeight="false" outlineLevel="0" collapsed="false">
      <c r="A48" s="9"/>
      <c r="B48" s="9"/>
      <c r="C48" s="9"/>
      <c r="D48" s="9"/>
      <c r="E48" s="9"/>
      <c r="F48" s="9"/>
      <c r="G48" s="9"/>
      <c r="H48" s="9"/>
      <c r="I48" s="9"/>
      <c r="J48" s="10" t="str">
        <f aca="false">IF(A48="","",IF(G48&lt;&gt;"",G48,IF(N(F48)&gt;0,ROUND(1000/F48,3),0)))</f>
        <v/>
      </c>
      <c r="K48" s="10" t="str">
        <f aca="false">IF(OR(A48="",E48="",H48=""),"",ROUND(0.00617*E48^2*H48*J48,2))</f>
        <v/>
      </c>
      <c r="L48" s="9"/>
      <c r="M48" s="10" t="str">
        <f aca="false">IF(A48="","",IF((COUNTIF(Drain_Register!$A$5:$A$304,A48)+COUNTIF(RW_Register!$A$5:$A$304,A48)+COUNTIF(Embedded_Wall_Register!$A$5:$A$304,A48)+COUNTIF(Manhole_Register!$A$5:$A$304,A48)+COUNTIF(ERSS_Pit_Register!$A$5:$A$304,A48)+COUNTIF(Linkway_Register!$A$5:$A$304,A48)+COUNTIF(Other_Register!$A$5:$A$304,A48))&gt;0,"OK","ID not in any register"))</f>
        <v/>
      </c>
    </row>
    <row r="49" customFormat="false" ht="15" hidden="false" customHeight="false" outlineLevel="0" collapsed="false">
      <c r="A49" s="9"/>
      <c r="B49" s="9"/>
      <c r="C49" s="9"/>
      <c r="D49" s="9"/>
      <c r="E49" s="9"/>
      <c r="F49" s="9"/>
      <c r="G49" s="9"/>
      <c r="H49" s="9"/>
      <c r="I49" s="9"/>
      <c r="J49" s="10" t="str">
        <f aca="false">IF(A49="","",IF(G49&lt;&gt;"",G49,IF(N(F49)&gt;0,ROUND(1000/F49,3),0)))</f>
        <v/>
      </c>
      <c r="K49" s="10" t="str">
        <f aca="false">IF(OR(A49="",E49="",H49=""),"",ROUND(0.00617*E49^2*H49*J49,2))</f>
        <v/>
      </c>
      <c r="L49" s="9"/>
      <c r="M49" s="10" t="str">
        <f aca="false">IF(A49="","",IF((COUNTIF(Drain_Register!$A$5:$A$304,A49)+COUNTIF(RW_Register!$A$5:$A$304,A49)+COUNTIF(Embedded_Wall_Register!$A$5:$A$304,A49)+COUNTIF(Manhole_Register!$A$5:$A$304,A49)+COUNTIF(ERSS_Pit_Register!$A$5:$A$304,A49)+COUNTIF(Linkway_Register!$A$5:$A$304,A49)+COUNTIF(Other_Register!$A$5:$A$304,A49))&gt;0,"OK","ID not in any register"))</f>
        <v/>
      </c>
    </row>
    <row r="50" customFormat="false" ht="15" hidden="false" customHeight="false" outlineLevel="0" collapsed="false">
      <c r="A50" s="9"/>
      <c r="B50" s="9"/>
      <c r="C50" s="9"/>
      <c r="D50" s="9"/>
      <c r="E50" s="9"/>
      <c r="F50" s="9"/>
      <c r="G50" s="9"/>
      <c r="H50" s="9"/>
      <c r="I50" s="9"/>
      <c r="J50" s="10" t="str">
        <f aca="false">IF(A50="","",IF(G50&lt;&gt;"",G50,IF(N(F50)&gt;0,ROUND(1000/F50,3),0)))</f>
        <v/>
      </c>
      <c r="K50" s="10" t="str">
        <f aca="false">IF(OR(A50="",E50="",H50=""),"",ROUND(0.00617*E50^2*H50*J50,2))</f>
        <v/>
      </c>
      <c r="L50" s="9"/>
      <c r="M50" s="10" t="str">
        <f aca="false">IF(A50="","",IF((COUNTIF(Drain_Register!$A$5:$A$304,A50)+COUNTIF(RW_Register!$A$5:$A$304,A50)+COUNTIF(Embedded_Wall_Register!$A$5:$A$304,A50)+COUNTIF(Manhole_Register!$A$5:$A$304,A50)+COUNTIF(ERSS_Pit_Register!$A$5:$A$304,A50)+COUNTIF(Linkway_Register!$A$5:$A$304,A50)+COUNTIF(Other_Register!$A$5:$A$304,A50))&gt;0,"OK","ID not in any register"))</f>
        <v/>
      </c>
    </row>
    <row r="51" customFormat="false" ht="15" hidden="false" customHeight="false" outlineLevel="0" collapsed="false">
      <c r="A51" s="9"/>
      <c r="B51" s="9"/>
      <c r="C51" s="9"/>
      <c r="D51" s="9"/>
      <c r="E51" s="9"/>
      <c r="F51" s="9"/>
      <c r="G51" s="9"/>
      <c r="H51" s="9"/>
      <c r="I51" s="9"/>
      <c r="J51" s="10" t="str">
        <f aca="false">IF(A51="","",IF(G51&lt;&gt;"",G51,IF(N(F51)&gt;0,ROUND(1000/F51,3),0)))</f>
        <v/>
      </c>
      <c r="K51" s="10" t="str">
        <f aca="false">IF(OR(A51="",E51="",H51=""),"",ROUND(0.00617*E51^2*H51*J51,2))</f>
        <v/>
      </c>
      <c r="L51" s="9"/>
      <c r="M51" s="10" t="str">
        <f aca="false">IF(A51="","",IF((COUNTIF(Drain_Register!$A$5:$A$304,A51)+COUNTIF(RW_Register!$A$5:$A$304,A51)+COUNTIF(Embedded_Wall_Register!$A$5:$A$304,A51)+COUNTIF(Manhole_Register!$A$5:$A$304,A51)+COUNTIF(ERSS_Pit_Register!$A$5:$A$304,A51)+COUNTIF(Linkway_Register!$A$5:$A$304,A51)+COUNTIF(Other_Register!$A$5:$A$304,A51))&gt;0,"OK","ID not in any register"))</f>
        <v/>
      </c>
    </row>
    <row r="52" customFormat="false" ht="15" hidden="false" customHeight="false" outlineLevel="0" collapsed="false">
      <c r="A52" s="9"/>
      <c r="B52" s="9"/>
      <c r="C52" s="9"/>
      <c r="D52" s="9"/>
      <c r="E52" s="9"/>
      <c r="F52" s="9"/>
      <c r="G52" s="9"/>
      <c r="H52" s="9"/>
      <c r="I52" s="9"/>
      <c r="J52" s="10" t="str">
        <f aca="false">IF(A52="","",IF(G52&lt;&gt;"",G52,IF(N(F52)&gt;0,ROUND(1000/F52,3),0)))</f>
        <v/>
      </c>
      <c r="K52" s="10" t="str">
        <f aca="false">IF(OR(A52="",E52="",H52=""),"",ROUND(0.00617*E52^2*H52*J52,2))</f>
        <v/>
      </c>
      <c r="L52" s="9"/>
      <c r="M52" s="10" t="str">
        <f aca="false">IF(A52="","",IF((COUNTIF(Drain_Register!$A$5:$A$304,A52)+COUNTIF(RW_Register!$A$5:$A$304,A52)+COUNTIF(Embedded_Wall_Register!$A$5:$A$304,A52)+COUNTIF(Manhole_Register!$A$5:$A$304,A52)+COUNTIF(ERSS_Pit_Register!$A$5:$A$304,A52)+COUNTIF(Linkway_Register!$A$5:$A$304,A52)+COUNTIF(Other_Register!$A$5:$A$304,A52))&gt;0,"OK","ID not in any register"))</f>
        <v/>
      </c>
    </row>
    <row r="53" customFormat="false" ht="15" hidden="false" customHeight="false" outlineLevel="0" collapsed="false">
      <c r="A53" s="9"/>
      <c r="B53" s="9"/>
      <c r="C53" s="9"/>
      <c r="D53" s="9"/>
      <c r="E53" s="9"/>
      <c r="F53" s="9"/>
      <c r="G53" s="9"/>
      <c r="H53" s="9"/>
      <c r="I53" s="9"/>
      <c r="J53" s="10" t="str">
        <f aca="false">IF(A53="","",IF(G53&lt;&gt;"",G53,IF(N(F53)&gt;0,ROUND(1000/F53,3),0)))</f>
        <v/>
      </c>
      <c r="K53" s="10" t="str">
        <f aca="false">IF(OR(A53="",E53="",H53=""),"",ROUND(0.00617*E53^2*H53*J53,2))</f>
        <v/>
      </c>
      <c r="L53" s="9"/>
      <c r="M53" s="10" t="str">
        <f aca="false">IF(A53="","",IF((COUNTIF(Drain_Register!$A$5:$A$304,A53)+COUNTIF(RW_Register!$A$5:$A$304,A53)+COUNTIF(Embedded_Wall_Register!$A$5:$A$304,A53)+COUNTIF(Manhole_Register!$A$5:$A$304,A53)+COUNTIF(ERSS_Pit_Register!$A$5:$A$304,A53)+COUNTIF(Linkway_Register!$A$5:$A$304,A53)+COUNTIF(Other_Register!$A$5:$A$304,A53))&gt;0,"OK","ID not in any register"))</f>
        <v/>
      </c>
    </row>
    <row r="54" customFormat="false" ht="15" hidden="false" customHeight="false" outlineLevel="0" collapsed="false">
      <c r="A54" s="9"/>
      <c r="B54" s="9"/>
      <c r="C54" s="9"/>
      <c r="D54" s="9"/>
      <c r="E54" s="9"/>
      <c r="F54" s="9"/>
      <c r="G54" s="9"/>
      <c r="H54" s="9"/>
      <c r="I54" s="9"/>
      <c r="J54" s="10" t="str">
        <f aca="false">IF(A54="","",IF(G54&lt;&gt;"",G54,IF(N(F54)&gt;0,ROUND(1000/F54,3),0)))</f>
        <v/>
      </c>
      <c r="K54" s="10" t="str">
        <f aca="false">IF(OR(A54="",E54="",H54=""),"",ROUND(0.00617*E54^2*H54*J54,2))</f>
        <v/>
      </c>
      <c r="L54" s="9"/>
      <c r="M54" s="10" t="str">
        <f aca="false">IF(A54="","",IF((COUNTIF(Drain_Register!$A$5:$A$304,A54)+COUNTIF(RW_Register!$A$5:$A$304,A54)+COUNTIF(Embedded_Wall_Register!$A$5:$A$304,A54)+COUNTIF(Manhole_Register!$A$5:$A$304,A54)+COUNTIF(ERSS_Pit_Register!$A$5:$A$304,A54)+COUNTIF(Linkway_Register!$A$5:$A$304,A54)+COUNTIF(Other_Register!$A$5:$A$304,A54))&gt;0,"OK","ID not in any register"))</f>
        <v/>
      </c>
    </row>
    <row r="55" customFormat="false" ht="15" hidden="false" customHeight="false" outlineLevel="0" collapsed="false">
      <c r="A55" s="9"/>
      <c r="B55" s="9"/>
      <c r="C55" s="9"/>
      <c r="D55" s="9"/>
      <c r="E55" s="9"/>
      <c r="F55" s="9"/>
      <c r="G55" s="9"/>
      <c r="H55" s="9"/>
      <c r="I55" s="9"/>
      <c r="J55" s="10" t="str">
        <f aca="false">IF(A55="","",IF(G55&lt;&gt;"",G55,IF(N(F55)&gt;0,ROUND(1000/F55,3),0)))</f>
        <v/>
      </c>
      <c r="K55" s="10" t="str">
        <f aca="false">IF(OR(A55="",E55="",H55=""),"",ROUND(0.00617*E55^2*H55*J55,2))</f>
        <v/>
      </c>
      <c r="L55" s="9"/>
      <c r="M55" s="10" t="str">
        <f aca="false">IF(A55="","",IF((COUNTIF(Drain_Register!$A$5:$A$304,A55)+COUNTIF(RW_Register!$A$5:$A$304,A55)+COUNTIF(Embedded_Wall_Register!$A$5:$A$304,A55)+COUNTIF(Manhole_Register!$A$5:$A$304,A55)+COUNTIF(ERSS_Pit_Register!$A$5:$A$304,A55)+COUNTIF(Linkway_Register!$A$5:$A$304,A55)+COUNTIF(Other_Register!$A$5:$A$304,A55))&gt;0,"OK","ID not in any register"))</f>
        <v/>
      </c>
    </row>
    <row r="56" customFormat="false" ht="15" hidden="false" customHeight="false" outlineLevel="0" collapsed="false">
      <c r="A56" s="9"/>
      <c r="B56" s="9"/>
      <c r="C56" s="9"/>
      <c r="D56" s="9"/>
      <c r="E56" s="9"/>
      <c r="F56" s="9"/>
      <c r="G56" s="9"/>
      <c r="H56" s="9"/>
      <c r="I56" s="9"/>
      <c r="J56" s="10" t="str">
        <f aca="false">IF(A56="","",IF(G56&lt;&gt;"",G56,IF(N(F56)&gt;0,ROUND(1000/F56,3),0)))</f>
        <v/>
      </c>
      <c r="K56" s="10" t="str">
        <f aca="false">IF(OR(A56="",E56="",H56=""),"",ROUND(0.00617*E56^2*H56*J56,2))</f>
        <v/>
      </c>
      <c r="L56" s="9"/>
      <c r="M56" s="10" t="str">
        <f aca="false">IF(A56="","",IF((COUNTIF(Drain_Register!$A$5:$A$304,A56)+COUNTIF(RW_Register!$A$5:$A$304,A56)+COUNTIF(Embedded_Wall_Register!$A$5:$A$304,A56)+COUNTIF(Manhole_Register!$A$5:$A$304,A56)+COUNTIF(ERSS_Pit_Register!$A$5:$A$304,A56)+COUNTIF(Linkway_Register!$A$5:$A$304,A56)+COUNTIF(Other_Register!$A$5:$A$304,A56))&gt;0,"OK","ID not in any register"))</f>
        <v/>
      </c>
    </row>
    <row r="57" customFormat="false" ht="15" hidden="false" customHeight="false" outlineLevel="0" collapsed="false">
      <c r="A57" s="9"/>
      <c r="B57" s="9"/>
      <c r="C57" s="9"/>
      <c r="D57" s="9"/>
      <c r="E57" s="9"/>
      <c r="F57" s="9"/>
      <c r="G57" s="9"/>
      <c r="H57" s="9"/>
      <c r="I57" s="9"/>
      <c r="J57" s="10" t="str">
        <f aca="false">IF(A57="","",IF(G57&lt;&gt;"",G57,IF(N(F57)&gt;0,ROUND(1000/F57,3),0)))</f>
        <v/>
      </c>
      <c r="K57" s="10" t="str">
        <f aca="false">IF(OR(A57="",E57="",H57=""),"",ROUND(0.00617*E57^2*H57*J57,2))</f>
        <v/>
      </c>
      <c r="L57" s="9"/>
      <c r="M57" s="10" t="str">
        <f aca="false">IF(A57="","",IF((COUNTIF(Drain_Register!$A$5:$A$304,A57)+COUNTIF(RW_Register!$A$5:$A$304,A57)+COUNTIF(Embedded_Wall_Register!$A$5:$A$304,A57)+COUNTIF(Manhole_Register!$A$5:$A$304,A57)+COUNTIF(ERSS_Pit_Register!$A$5:$A$304,A57)+COUNTIF(Linkway_Register!$A$5:$A$304,A57)+COUNTIF(Other_Register!$A$5:$A$304,A57))&gt;0,"OK","ID not in any register"))</f>
        <v/>
      </c>
    </row>
    <row r="58" customFormat="false" ht="15" hidden="false" customHeight="false" outlineLevel="0" collapsed="false">
      <c r="A58" s="9"/>
      <c r="B58" s="9"/>
      <c r="C58" s="9"/>
      <c r="D58" s="9"/>
      <c r="E58" s="9"/>
      <c r="F58" s="9"/>
      <c r="G58" s="9"/>
      <c r="H58" s="9"/>
      <c r="I58" s="9"/>
      <c r="J58" s="10" t="str">
        <f aca="false">IF(A58="","",IF(G58&lt;&gt;"",G58,IF(N(F58)&gt;0,ROUND(1000/F58,3),0)))</f>
        <v/>
      </c>
      <c r="K58" s="10" t="str">
        <f aca="false">IF(OR(A58="",E58="",H58=""),"",ROUND(0.00617*E58^2*H58*J58,2))</f>
        <v/>
      </c>
      <c r="L58" s="9"/>
      <c r="M58" s="10" t="str">
        <f aca="false">IF(A58="","",IF((COUNTIF(Drain_Register!$A$5:$A$304,A58)+COUNTIF(RW_Register!$A$5:$A$304,A58)+COUNTIF(Embedded_Wall_Register!$A$5:$A$304,A58)+COUNTIF(Manhole_Register!$A$5:$A$304,A58)+COUNTIF(ERSS_Pit_Register!$A$5:$A$304,A58)+COUNTIF(Linkway_Register!$A$5:$A$304,A58)+COUNTIF(Other_Register!$A$5:$A$304,A58))&gt;0,"OK","ID not in any register"))</f>
        <v/>
      </c>
    </row>
    <row r="59" customFormat="false" ht="15" hidden="false" customHeight="false" outlineLevel="0" collapsed="false">
      <c r="A59" s="9"/>
      <c r="B59" s="9"/>
      <c r="C59" s="9"/>
      <c r="D59" s="9"/>
      <c r="E59" s="9"/>
      <c r="F59" s="9"/>
      <c r="G59" s="9"/>
      <c r="H59" s="9"/>
      <c r="I59" s="9"/>
      <c r="J59" s="10" t="str">
        <f aca="false">IF(A59="","",IF(G59&lt;&gt;"",G59,IF(N(F59)&gt;0,ROUND(1000/F59,3),0)))</f>
        <v/>
      </c>
      <c r="K59" s="10" t="str">
        <f aca="false">IF(OR(A59="",E59="",H59=""),"",ROUND(0.00617*E59^2*H59*J59,2))</f>
        <v/>
      </c>
      <c r="L59" s="9"/>
      <c r="M59" s="10" t="str">
        <f aca="false">IF(A59="","",IF((COUNTIF(Drain_Register!$A$5:$A$304,A59)+COUNTIF(RW_Register!$A$5:$A$304,A59)+COUNTIF(Embedded_Wall_Register!$A$5:$A$304,A59)+COUNTIF(Manhole_Register!$A$5:$A$304,A59)+COUNTIF(ERSS_Pit_Register!$A$5:$A$304,A59)+COUNTIF(Linkway_Register!$A$5:$A$304,A59)+COUNTIF(Other_Register!$A$5:$A$304,A59))&gt;0,"OK","ID not in any register"))</f>
        <v/>
      </c>
    </row>
    <row r="60" customFormat="false" ht="15" hidden="false" customHeight="false" outlineLevel="0" collapsed="false">
      <c r="A60" s="9"/>
      <c r="B60" s="9"/>
      <c r="C60" s="9"/>
      <c r="D60" s="9"/>
      <c r="E60" s="9"/>
      <c r="F60" s="9"/>
      <c r="G60" s="9"/>
      <c r="H60" s="9"/>
      <c r="I60" s="9"/>
      <c r="J60" s="10" t="str">
        <f aca="false">IF(A60="","",IF(G60&lt;&gt;"",G60,IF(N(F60)&gt;0,ROUND(1000/F60,3),0)))</f>
        <v/>
      </c>
      <c r="K60" s="10" t="str">
        <f aca="false">IF(OR(A60="",E60="",H60=""),"",ROUND(0.00617*E60^2*H60*J60,2))</f>
        <v/>
      </c>
      <c r="L60" s="9"/>
      <c r="M60" s="10" t="str">
        <f aca="false">IF(A60="","",IF((COUNTIF(Drain_Register!$A$5:$A$304,A60)+COUNTIF(RW_Register!$A$5:$A$304,A60)+COUNTIF(Embedded_Wall_Register!$A$5:$A$304,A60)+COUNTIF(Manhole_Register!$A$5:$A$304,A60)+COUNTIF(ERSS_Pit_Register!$A$5:$A$304,A60)+COUNTIF(Linkway_Register!$A$5:$A$304,A60)+COUNTIF(Other_Register!$A$5:$A$304,A60))&gt;0,"OK","ID not in any register"))</f>
        <v/>
      </c>
    </row>
    <row r="61" customFormat="false" ht="15" hidden="false" customHeight="false" outlineLevel="0" collapsed="false">
      <c r="A61" s="9"/>
      <c r="B61" s="9"/>
      <c r="C61" s="9"/>
      <c r="D61" s="9"/>
      <c r="E61" s="9"/>
      <c r="F61" s="9"/>
      <c r="G61" s="9"/>
      <c r="H61" s="9"/>
      <c r="I61" s="9"/>
      <c r="J61" s="10" t="str">
        <f aca="false">IF(A61="","",IF(G61&lt;&gt;"",G61,IF(N(F61)&gt;0,ROUND(1000/F61,3),0)))</f>
        <v/>
      </c>
      <c r="K61" s="10" t="str">
        <f aca="false">IF(OR(A61="",E61="",H61=""),"",ROUND(0.00617*E61^2*H61*J61,2))</f>
        <v/>
      </c>
      <c r="L61" s="9"/>
      <c r="M61" s="10" t="str">
        <f aca="false">IF(A61="","",IF((COUNTIF(Drain_Register!$A$5:$A$304,A61)+COUNTIF(RW_Register!$A$5:$A$304,A61)+COUNTIF(Embedded_Wall_Register!$A$5:$A$304,A61)+COUNTIF(Manhole_Register!$A$5:$A$304,A61)+COUNTIF(ERSS_Pit_Register!$A$5:$A$304,A61)+COUNTIF(Linkway_Register!$A$5:$A$304,A61)+COUNTIF(Other_Register!$A$5:$A$304,A61))&gt;0,"OK","ID not in any register"))</f>
        <v/>
      </c>
    </row>
    <row r="62" customFormat="false" ht="15" hidden="false" customHeight="false" outlineLevel="0" collapsed="false">
      <c r="A62" s="9"/>
      <c r="B62" s="9"/>
      <c r="C62" s="9"/>
      <c r="D62" s="9"/>
      <c r="E62" s="9"/>
      <c r="F62" s="9"/>
      <c r="G62" s="9"/>
      <c r="H62" s="9"/>
      <c r="I62" s="9"/>
      <c r="J62" s="10" t="str">
        <f aca="false">IF(A62="","",IF(G62&lt;&gt;"",G62,IF(N(F62)&gt;0,ROUND(1000/F62,3),0)))</f>
        <v/>
      </c>
      <c r="K62" s="10" t="str">
        <f aca="false">IF(OR(A62="",E62="",H62=""),"",ROUND(0.00617*E62^2*H62*J62,2))</f>
        <v/>
      </c>
      <c r="L62" s="9"/>
      <c r="M62" s="10" t="str">
        <f aca="false">IF(A62="","",IF((COUNTIF(Drain_Register!$A$5:$A$304,A62)+COUNTIF(RW_Register!$A$5:$A$304,A62)+COUNTIF(Embedded_Wall_Register!$A$5:$A$304,A62)+COUNTIF(Manhole_Register!$A$5:$A$304,A62)+COUNTIF(ERSS_Pit_Register!$A$5:$A$304,A62)+COUNTIF(Linkway_Register!$A$5:$A$304,A62)+COUNTIF(Other_Register!$A$5:$A$304,A62))&gt;0,"OK","ID not in any register"))</f>
        <v/>
      </c>
    </row>
    <row r="63" customFormat="false" ht="15" hidden="false" customHeight="false" outlineLevel="0" collapsed="false">
      <c r="A63" s="9"/>
      <c r="B63" s="9"/>
      <c r="C63" s="9"/>
      <c r="D63" s="9"/>
      <c r="E63" s="9"/>
      <c r="F63" s="9"/>
      <c r="G63" s="9"/>
      <c r="H63" s="9"/>
      <c r="I63" s="9"/>
      <c r="J63" s="10" t="str">
        <f aca="false">IF(A63="","",IF(G63&lt;&gt;"",G63,IF(N(F63)&gt;0,ROUND(1000/F63,3),0)))</f>
        <v/>
      </c>
      <c r="K63" s="10" t="str">
        <f aca="false">IF(OR(A63="",E63="",H63=""),"",ROUND(0.00617*E63^2*H63*J63,2))</f>
        <v/>
      </c>
      <c r="L63" s="9"/>
      <c r="M63" s="10" t="str">
        <f aca="false">IF(A63="","",IF((COUNTIF(Drain_Register!$A$5:$A$304,A63)+COUNTIF(RW_Register!$A$5:$A$304,A63)+COUNTIF(Embedded_Wall_Register!$A$5:$A$304,A63)+COUNTIF(Manhole_Register!$A$5:$A$304,A63)+COUNTIF(ERSS_Pit_Register!$A$5:$A$304,A63)+COUNTIF(Linkway_Register!$A$5:$A$304,A63)+COUNTIF(Other_Register!$A$5:$A$304,A63))&gt;0,"OK","ID not in any register"))</f>
        <v/>
      </c>
    </row>
    <row r="64" customFormat="false" ht="15" hidden="false" customHeight="false" outlineLevel="0" collapsed="false">
      <c r="A64" s="9"/>
      <c r="B64" s="9"/>
      <c r="C64" s="9"/>
      <c r="D64" s="9"/>
      <c r="E64" s="9"/>
      <c r="F64" s="9"/>
      <c r="G64" s="9"/>
      <c r="H64" s="9"/>
      <c r="I64" s="9"/>
      <c r="J64" s="10" t="str">
        <f aca="false">IF(A64="","",IF(G64&lt;&gt;"",G64,IF(N(F64)&gt;0,ROUND(1000/F64,3),0)))</f>
        <v/>
      </c>
      <c r="K64" s="10" t="str">
        <f aca="false">IF(OR(A64="",E64="",H64=""),"",ROUND(0.00617*E64^2*H64*J64,2))</f>
        <v/>
      </c>
      <c r="L64" s="9"/>
      <c r="M64" s="10" t="str">
        <f aca="false">IF(A64="","",IF((COUNTIF(Drain_Register!$A$5:$A$304,A64)+COUNTIF(RW_Register!$A$5:$A$304,A64)+COUNTIF(Embedded_Wall_Register!$A$5:$A$304,A64)+COUNTIF(Manhole_Register!$A$5:$A$304,A64)+COUNTIF(ERSS_Pit_Register!$A$5:$A$304,A64)+COUNTIF(Linkway_Register!$A$5:$A$304,A64)+COUNTIF(Other_Register!$A$5:$A$304,A64))&gt;0,"OK","ID not in any register"))</f>
        <v/>
      </c>
    </row>
    <row r="65" customFormat="false" ht="15" hidden="false" customHeight="false" outlineLevel="0" collapsed="false">
      <c r="A65" s="9"/>
      <c r="B65" s="9"/>
      <c r="C65" s="9"/>
      <c r="D65" s="9"/>
      <c r="E65" s="9"/>
      <c r="F65" s="9"/>
      <c r="G65" s="9"/>
      <c r="H65" s="9"/>
      <c r="I65" s="9"/>
      <c r="J65" s="10" t="str">
        <f aca="false">IF(A65="","",IF(G65&lt;&gt;"",G65,IF(N(F65)&gt;0,ROUND(1000/F65,3),0)))</f>
        <v/>
      </c>
      <c r="K65" s="10" t="str">
        <f aca="false">IF(OR(A65="",E65="",H65=""),"",ROUND(0.00617*E65^2*H65*J65,2))</f>
        <v/>
      </c>
      <c r="L65" s="9"/>
      <c r="M65" s="10" t="str">
        <f aca="false">IF(A65="","",IF((COUNTIF(Drain_Register!$A$5:$A$304,A65)+COUNTIF(RW_Register!$A$5:$A$304,A65)+COUNTIF(Embedded_Wall_Register!$A$5:$A$304,A65)+COUNTIF(Manhole_Register!$A$5:$A$304,A65)+COUNTIF(ERSS_Pit_Register!$A$5:$A$304,A65)+COUNTIF(Linkway_Register!$A$5:$A$304,A65)+COUNTIF(Other_Register!$A$5:$A$304,A65))&gt;0,"OK","ID not in any register"))</f>
        <v/>
      </c>
    </row>
    <row r="66" customFormat="false" ht="15" hidden="false" customHeight="false" outlineLevel="0" collapsed="false">
      <c r="A66" s="9"/>
      <c r="B66" s="9"/>
      <c r="C66" s="9"/>
      <c r="D66" s="9"/>
      <c r="E66" s="9"/>
      <c r="F66" s="9"/>
      <c r="G66" s="9"/>
      <c r="H66" s="9"/>
      <c r="I66" s="9"/>
      <c r="J66" s="10" t="str">
        <f aca="false">IF(A66="","",IF(G66&lt;&gt;"",G66,IF(N(F66)&gt;0,ROUND(1000/F66,3),0)))</f>
        <v/>
      </c>
      <c r="K66" s="10" t="str">
        <f aca="false">IF(OR(A66="",E66="",H66=""),"",ROUND(0.00617*E66^2*H66*J66,2))</f>
        <v/>
      </c>
      <c r="L66" s="9"/>
      <c r="M66" s="10" t="str">
        <f aca="false">IF(A66="","",IF((COUNTIF(Drain_Register!$A$5:$A$304,A66)+COUNTIF(RW_Register!$A$5:$A$304,A66)+COUNTIF(Embedded_Wall_Register!$A$5:$A$304,A66)+COUNTIF(Manhole_Register!$A$5:$A$304,A66)+COUNTIF(ERSS_Pit_Register!$A$5:$A$304,A66)+COUNTIF(Linkway_Register!$A$5:$A$304,A66)+COUNTIF(Other_Register!$A$5:$A$304,A66))&gt;0,"OK","ID not in any register"))</f>
        <v/>
      </c>
    </row>
    <row r="67" customFormat="false" ht="15" hidden="false" customHeight="false" outlineLevel="0" collapsed="false">
      <c r="A67" s="9"/>
      <c r="B67" s="9"/>
      <c r="C67" s="9"/>
      <c r="D67" s="9"/>
      <c r="E67" s="9"/>
      <c r="F67" s="9"/>
      <c r="G67" s="9"/>
      <c r="H67" s="9"/>
      <c r="I67" s="9"/>
      <c r="J67" s="10" t="str">
        <f aca="false">IF(A67="","",IF(G67&lt;&gt;"",G67,IF(N(F67)&gt;0,ROUND(1000/F67,3),0)))</f>
        <v/>
      </c>
      <c r="K67" s="10" t="str">
        <f aca="false">IF(OR(A67="",E67="",H67=""),"",ROUND(0.00617*E67^2*H67*J67,2))</f>
        <v/>
      </c>
      <c r="L67" s="9"/>
      <c r="M67" s="10" t="str">
        <f aca="false">IF(A67="","",IF((COUNTIF(Drain_Register!$A$5:$A$304,A67)+COUNTIF(RW_Register!$A$5:$A$304,A67)+COUNTIF(Embedded_Wall_Register!$A$5:$A$304,A67)+COUNTIF(Manhole_Register!$A$5:$A$304,A67)+COUNTIF(ERSS_Pit_Register!$A$5:$A$304,A67)+COUNTIF(Linkway_Register!$A$5:$A$304,A67)+COUNTIF(Other_Register!$A$5:$A$304,A67))&gt;0,"OK","ID not in any register"))</f>
        <v/>
      </c>
    </row>
    <row r="68" customFormat="false" ht="15" hidden="false" customHeight="false" outlineLevel="0" collapsed="false">
      <c r="A68" s="9"/>
      <c r="B68" s="9"/>
      <c r="C68" s="9"/>
      <c r="D68" s="9"/>
      <c r="E68" s="9"/>
      <c r="F68" s="9"/>
      <c r="G68" s="9"/>
      <c r="H68" s="9"/>
      <c r="I68" s="9"/>
      <c r="J68" s="10" t="str">
        <f aca="false">IF(A68="","",IF(G68&lt;&gt;"",G68,IF(N(F68)&gt;0,ROUND(1000/F68,3),0)))</f>
        <v/>
      </c>
      <c r="K68" s="10" t="str">
        <f aca="false">IF(OR(A68="",E68="",H68=""),"",ROUND(0.00617*E68^2*H68*J68,2))</f>
        <v/>
      </c>
      <c r="L68" s="9"/>
      <c r="M68" s="10" t="str">
        <f aca="false">IF(A68="","",IF((COUNTIF(Drain_Register!$A$5:$A$304,A68)+COUNTIF(RW_Register!$A$5:$A$304,A68)+COUNTIF(Embedded_Wall_Register!$A$5:$A$304,A68)+COUNTIF(Manhole_Register!$A$5:$A$304,A68)+COUNTIF(ERSS_Pit_Register!$A$5:$A$304,A68)+COUNTIF(Linkway_Register!$A$5:$A$304,A68)+COUNTIF(Other_Register!$A$5:$A$304,A68))&gt;0,"OK","ID not in any register"))</f>
        <v/>
      </c>
    </row>
    <row r="69" customFormat="false" ht="15" hidden="false" customHeight="false" outlineLevel="0" collapsed="false">
      <c r="A69" s="9"/>
      <c r="B69" s="9"/>
      <c r="C69" s="9"/>
      <c r="D69" s="9"/>
      <c r="E69" s="9"/>
      <c r="F69" s="9"/>
      <c r="G69" s="9"/>
      <c r="H69" s="9"/>
      <c r="I69" s="9"/>
      <c r="J69" s="10" t="str">
        <f aca="false">IF(A69="","",IF(G69&lt;&gt;"",G69,IF(N(F69)&gt;0,ROUND(1000/F69,3),0)))</f>
        <v/>
      </c>
      <c r="K69" s="10" t="str">
        <f aca="false">IF(OR(A69="",E69="",H69=""),"",ROUND(0.00617*E69^2*H69*J69,2))</f>
        <v/>
      </c>
      <c r="L69" s="9"/>
      <c r="M69" s="10" t="str">
        <f aca="false">IF(A69="","",IF((COUNTIF(Drain_Register!$A$5:$A$304,A69)+COUNTIF(RW_Register!$A$5:$A$304,A69)+COUNTIF(Embedded_Wall_Register!$A$5:$A$304,A69)+COUNTIF(Manhole_Register!$A$5:$A$304,A69)+COUNTIF(ERSS_Pit_Register!$A$5:$A$304,A69)+COUNTIF(Linkway_Register!$A$5:$A$304,A69)+COUNTIF(Other_Register!$A$5:$A$304,A69))&gt;0,"OK","ID not in any register"))</f>
        <v/>
      </c>
    </row>
    <row r="70" customFormat="false" ht="15" hidden="false" customHeight="false" outlineLevel="0" collapsed="false">
      <c r="A70" s="9"/>
      <c r="B70" s="9"/>
      <c r="C70" s="9"/>
      <c r="D70" s="9"/>
      <c r="E70" s="9"/>
      <c r="F70" s="9"/>
      <c r="G70" s="9"/>
      <c r="H70" s="9"/>
      <c r="I70" s="9"/>
      <c r="J70" s="10" t="str">
        <f aca="false">IF(A70="","",IF(G70&lt;&gt;"",G70,IF(N(F70)&gt;0,ROUND(1000/F70,3),0)))</f>
        <v/>
      </c>
      <c r="K70" s="10" t="str">
        <f aca="false">IF(OR(A70="",E70="",H70=""),"",ROUND(0.00617*E70^2*H70*J70,2))</f>
        <v/>
      </c>
      <c r="L70" s="9"/>
      <c r="M70" s="10" t="str">
        <f aca="false">IF(A70="","",IF((COUNTIF(Drain_Register!$A$5:$A$304,A70)+COUNTIF(RW_Register!$A$5:$A$304,A70)+COUNTIF(Embedded_Wall_Register!$A$5:$A$304,A70)+COUNTIF(Manhole_Register!$A$5:$A$304,A70)+COUNTIF(ERSS_Pit_Register!$A$5:$A$304,A70)+COUNTIF(Linkway_Register!$A$5:$A$304,A70)+COUNTIF(Other_Register!$A$5:$A$304,A70))&gt;0,"OK","ID not in any register"))</f>
        <v/>
      </c>
    </row>
    <row r="71" customFormat="false" ht="15" hidden="false" customHeight="false" outlineLevel="0" collapsed="false">
      <c r="A71" s="9"/>
      <c r="B71" s="9"/>
      <c r="C71" s="9"/>
      <c r="D71" s="9"/>
      <c r="E71" s="9"/>
      <c r="F71" s="9"/>
      <c r="G71" s="9"/>
      <c r="H71" s="9"/>
      <c r="I71" s="9"/>
      <c r="J71" s="10" t="str">
        <f aca="false">IF(A71="","",IF(G71&lt;&gt;"",G71,IF(N(F71)&gt;0,ROUND(1000/F71,3),0)))</f>
        <v/>
      </c>
      <c r="K71" s="10" t="str">
        <f aca="false">IF(OR(A71="",E71="",H71=""),"",ROUND(0.00617*E71^2*H71*J71,2))</f>
        <v/>
      </c>
      <c r="L71" s="9"/>
      <c r="M71" s="10" t="str">
        <f aca="false">IF(A71="","",IF((COUNTIF(Drain_Register!$A$5:$A$304,A71)+COUNTIF(RW_Register!$A$5:$A$304,A71)+COUNTIF(Embedded_Wall_Register!$A$5:$A$304,A71)+COUNTIF(Manhole_Register!$A$5:$A$304,A71)+COUNTIF(ERSS_Pit_Register!$A$5:$A$304,A71)+COUNTIF(Linkway_Register!$A$5:$A$304,A71)+COUNTIF(Other_Register!$A$5:$A$304,A71))&gt;0,"OK","ID not in any register"))</f>
        <v/>
      </c>
    </row>
    <row r="72" customFormat="false" ht="15" hidden="false" customHeight="false" outlineLevel="0" collapsed="false">
      <c r="A72" s="9"/>
      <c r="B72" s="9"/>
      <c r="C72" s="9"/>
      <c r="D72" s="9"/>
      <c r="E72" s="9"/>
      <c r="F72" s="9"/>
      <c r="G72" s="9"/>
      <c r="H72" s="9"/>
      <c r="I72" s="9"/>
      <c r="J72" s="10" t="str">
        <f aca="false">IF(A72="","",IF(G72&lt;&gt;"",G72,IF(N(F72)&gt;0,ROUND(1000/F72,3),0)))</f>
        <v/>
      </c>
      <c r="K72" s="10" t="str">
        <f aca="false">IF(OR(A72="",E72="",H72=""),"",ROUND(0.00617*E72^2*H72*J72,2))</f>
        <v/>
      </c>
      <c r="L72" s="9"/>
      <c r="M72" s="10" t="str">
        <f aca="false">IF(A72="","",IF((COUNTIF(Drain_Register!$A$5:$A$304,A72)+COUNTIF(RW_Register!$A$5:$A$304,A72)+COUNTIF(Embedded_Wall_Register!$A$5:$A$304,A72)+COUNTIF(Manhole_Register!$A$5:$A$304,A72)+COUNTIF(ERSS_Pit_Register!$A$5:$A$304,A72)+COUNTIF(Linkway_Register!$A$5:$A$304,A72)+COUNTIF(Other_Register!$A$5:$A$304,A72))&gt;0,"OK","ID not in any register"))</f>
        <v/>
      </c>
    </row>
    <row r="73" customFormat="false" ht="15" hidden="false" customHeight="false" outlineLevel="0" collapsed="false">
      <c r="A73" s="9"/>
      <c r="B73" s="9"/>
      <c r="C73" s="9"/>
      <c r="D73" s="9"/>
      <c r="E73" s="9"/>
      <c r="F73" s="9"/>
      <c r="G73" s="9"/>
      <c r="H73" s="9"/>
      <c r="I73" s="9"/>
      <c r="J73" s="10" t="str">
        <f aca="false">IF(A73="","",IF(G73&lt;&gt;"",G73,IF(N(F73)&gt;0,ROUND(1000/F73,3),0)))</f>
        <v/>
      </c>
      <c r="K73" s="10" t="str">
        <f aca="false">IF(OR(A73="",E73="",H73=""),"",ROUND(0.00617*E73^2*H73*J73,2))</f>
        <v/>
      </c>
      <c r="L73" s="9"/>
      <c r="M73" s="10" t="str">
        <f aca="false">IF(A73="","",IF((COUNTIF(Drain_Register!$A$5:$A$304,A73)+COUNTIF(RW_Register!$A$5:$A$304,A73)+COUNTIF(Embedded_Wall_Register!$A$5:$A$304,A73)+COUNTIF(Manhole_Register!$A$5:$A$304,A73)+COUNTIF(ERSS_Pit_Register!$A$5:$A$304,A73)+COUNTIF(Linkway_Register!$A$5:$A$304,A73)+COUNTIF(Other_Register!$A$5:$A$304,A73))&gt;0,"OK","ID not in any register"))</f>
        <v/>
      </c>
    </row>
    <row r="74" customFormat="false" ht="15" hidden="false" customHeight="false" outlineLevel="0" collapsed="false">
      <c r="A74" s="9"/>
      <c r="B74" s="9"/>
      <c r="C74" s="9"/>
      <c r="D74" s="9"/>
      <c r="E74" s="9"/>
      <c r="F74" s="9"/>
      <c r="G74" s="9"/>
      <c r="H74" s="9"/>
      <c r="I74" s="9"/>
      <c r="J74" s="10" t="str">
        <f aca="false">IF(A74="","",IF(G74&lt;&gt;"",G74,IF(N(F74)&gt;0,ROUND(1000/F74,3),0)))</f>
        <v/>
      </c>
      <c r="K74" s="10" t="str">
        <f aca="false">IF(OR(A74="",E74="",H74=""),"",ROUND(0.00617*E74^2*H74*J74,2))</f>
        <v/>
      </c>
      <c r="L74" s="9"/>
      <c r="M74" s="10" t="str">
        <f aca="false">IF(A74="","",IF((COUNTIF(Drain_Register!$A$5:$A$304,A74)+COUNTIF(RW_Register!$A$5:$A$304,A74)+COUNTIF(Embedded_Wall_Register!$A$5:$A$304,A74)+COUNTIF(Manhole_Register!$A$5:$A$304,A74)+COUNTIF(ERSS_Pit_Register!$A$5:$A$304,A74)+COUNTIF(Linkway_Register!$A$5:$A$304,A74)+COUNTIF(Other_Register!$A$5:$A$304,A74))&gt;0,"OK","ID not in any register"))</f>
        <v/>
      </c>
    </row>
    <row r="75" customFormat="false" ht="15" hidden="false" customHeight="false" outlineLevel="0" collapsed="false">
      <c r="A75" s="9"/>
      <c r="B75" s="9"/>
      <c r="C75" s="9"/>
      <c r="D75" s="9"/>
      <c r="E75" s="9"/>
      <c r="F75" s="9"/>
      <c r="G75" s="9"/>
      <c r="H75" s="9"/>
      <c r="I75" s="9"/>
      <c r="J75" s="10" t="str">
        <f aca="false">IF(A75="","",IF(G75&lt;&gt;"",G75,IF(N(F75)&gt;0,ROUND(1000/F75,3),0)))</f>
        <v/>
      </c>
      <c r="K75" s="10" t="str">
        <f aca="false">IF(OR(A75="",E75="",H75=""),"",ROUND(0.00617*E75^2*H75*J75,2))</f>
        <v/>
      </c>
      <c r="L75" s="9"/>
      <c r="M75" s="10" t="str">
        <f aca="false">IF(A75="","",IF((COUNTIF(Drain_Register!$A$5:$A$304,A75)+COUNTIF(RW_Register!$A$5:$A$304,A75)+COUNTIF(Embedded_Wall_Register!$A$5:$A$304,A75)+COUNTIF(Manhole_Register!$A$5:$A$304,A75)+COUNTIF(ERSS_Pit_Register!$A$5:$A$304,A75)+COUNTIF(Linkway_Register!$A$5:$A$304,A75)+COUNTIF(Other_Register!$A$5:$A$304,A75))&gt;0,"OK","ID not in any register"))</f>
        <v/>
      </c>
    </row>
    <row r="76" customFormat="false" ht="15" hidden="false" customHeight="false" outlineLevel="0" collapsed="false">
      <c r="A76" s="9"/>
      <c r="B76" s="9"/>
      <c r="C76" s="9"/>
      <c r="D76" s="9"/>
      <c r="E76" s="9"/>
      <c r="F76" s="9"/>
      <c r="G76" s="9"/>
      <c r="H76" s="9"/>
      <c r="I76" s="9"/>
      <c r="J76" s="10" t="str">
        <f aca="false">IF(A76="","",IF(G76&lt;&gt;"",G76,IF(N(F76)&gt;0,ROUND(1000/F76,3),0)))</f>
        <v/>
      </c>
      <c r="K76" s="10" t="str">
        <f aca="false">IF(OR(A76="",E76="",H76=""),"",ROUND(0.00617*E76^2*H76*J76,2))</f>
        <v/>
      </c>
      <c r="L76" s="9"/>
      <c r="M76" s="10" t="str">
        <f aca="false">IF(A76="","",IF((COUNTIF(Drain_Register!$A$5:$A$304,A76)+COUNTIF(RW_Register!$A$5:$A$304,A76)+COUNTIF(Embedded_Wall_Register!$A$5:$A$304,A76)+COUNTIF(Manhole_Register!$A$5:$A$304,A76)+COUNTIF(ERSS_Pit_Register!$A$5:$A$304,A76)+COUNTIF(Linkway_Register!$A$5:$A$304,A76)+COUNTIF(Other_Register!$A$5:$A$304,A76))&gt;0,"OK","ID not in any register"))</f>
        <v/>
      </c>
    </row>
    <row r="77" customFormat="false" ht="15" hidden="false" customHeight="false" outlineLevel="0" collapsed="false">
      <c r="A77" s="9"/>
      <c r="B77" s="9"/>
      <c r="C77" s="9"/>
      <c r="D77" s="9"/>
      <c r="E77" s="9"/>
      <c r="F77" s="9"/>
      <c r="G77" s="9"/>
      <c r="H77" s="9"/>
      <c r="I77" s="9"/>
      <c r="J77" s="10" t="str">
        <f aca="false">IF(A77="","",IF(G77&lt;&gt;"",G77,IF(N(F77)&gt;0,ROUND(1000/F77,3),0)))</f>
        <v/>
      </c>
      <c r="K77" s="10" t="str">
        <f aca="false">IF(OR(A77="",E77="",H77=""),"",ROUND(0.00617*E77^2*H77*J77,2))</f>
        <v/>
      </c>
      <c r="L77" s="9"/>
      <c r="M77" s="10" t="str">
        <f aca="false">IF(A77="","",IF((COUNTIF(Drain_Register!$A$5:$A$304,A77)+COUNTIF(RW_Register!$A$5:$A$304,A77)+COUNTIF(Embedded_Wall_Register!$A$5:$A$304,A77)+COUNTIF(Manhole_Register!$A$5:$A$304,A77)+COUNTIF(ERSS_Pit_Register!$A$5:$A$304,A77)+COUNTIF(Linkway_Register!$A$5:$A$304,A77)+COUNTIF(Other_Register!$A$5:$A$304,A77))&gt;0,"OK","ID not in any register"))</f>
        <v/>
      </c>
    </row>
    <row r="78" customFormat="false" ht="15" hidden="false" customHeight="false" outlineLevel="0" collapsed="false">
      <c r="A78" s="9"/>
      <c r="B78" s="9"/>
      <c r="C78" s="9"/>
      <c r="D78" s="9"/>
      <c r="E78" s="9"/>
      <c r="F78" s="9"/>
      <c r="G78" s="9"/>
      <c r="H78" s="9"/>
      <c r="I78" s="9"/>
      <c r="J78" s="10" t="str">
        <f aca="false">IF(A78="","",IF(G78&lt;&gt;"",G78,IF(N(F78)&gt;0,ROUND(1000/F78,3),0)))</f>
        <v/>
      </c>
      <c r="K78" s="10" t="str">
        <f aca="false">IF(OR(A78="",E78="",H78=""),"",ROUND(0.00617*E78^2*H78*J78,2))</f>
        <v/>
      </c>
      <c r="L78" s="9"/>
      <c r="M78" s="10" t="str">
        <f aca="false">IF(A78="","",IF((COUNTIF(Drain_Register!$A$5:$A$304,A78)+COUNTIF(RW_Register!$A$5:$A$304,A78)+COUNTIF(Embedded_Wall_Register!$A$5:$A$304,A78)+COUNTIF(Manhole_Register!$A$5:$A$304,A78)+COUNTIF(ERSS_Pit_Register!$A$5:$A$304,A78)+COUNTIF(Linkway_Register!$A$5:$A$304,A78)+COUNTIF(Other_Register!$A$5:$A$304,A78))&gt;0,"OK","ID not in any register"))</f>
        <v/>
      </c>
    </row>
    <row r="79" customFormat="false" ht="15" hidden="false" customHeight="false" outlineLevel="0" collapsed="false">
      <c r="A79" s="9"/>
      <c r="B79" s="9"/>
      <c r="C79" s="9"/>
      <c r="D79" s="9"/>
      <c r="E79" s="9"/>
      <c r="F79" s="9"/>
      <c r="G79" s="9"/>
      <c r="H79" s="9"/>
      <c r="I79" s="9"/>
      <c r="J79" s="10" t="str">
        <f aca="false">IF(A79="","",IF(G79&lt;&gt;"",G79,IF(N(F79)&gt;0,ROUND(1000/F79,3),0)))</f>
        <v/>
      </c>
      <c r="K79" s="10" t="str">
        <f aca="false">IF(OR(A79="",E79="",H79=""),"",ROUND(0.00617*E79^2*H79*J79,2))</f>
        <v/>
      </c>
      <c r="L79" s="9"/>
      <c r="M79" s="10" t="str">
        <f aca="false">IF(A79="","",IF((COUNTIF(Drain_Register!$A$5:$A$304,A79)+COUNTIF(RW_Register!$A$5:$A$304,A79)+COUNTIF(Embedded_Wall_Register!$A$5:$A$304,A79)+COUNTIF(Manhole_Register!$A$5:$A$304,A79)+COUNTIF(ERSS_Pit_Register!$A$5:$A$304,A79)+COUNTIF(Linkway_Register!$A$5:$A$304,A79)+COUNTIF(Other_Register!$A$5:$A$304,A79))&gt;0,"OK","ID not in any register"))</f>
        <v/>
      </c>
    </row>
    <row r="80" customFormat="false" ht="15" hidden="false" customHeight="false" outlineLevel="0" collapsed="false">
      <c r="A80" s="9"/>
      <c r="B80" s="9"/>
      <c r="C80" s="9"/>
      <c r="D80" s="9"/>
      <c r="E80" s="9"/>
      <c r="F80" s="9"/>
      <c r="G80" s="9"/>
      <c r="H80" s="9"/>
      <c r="I80" s="9"/>
      <c r="J80" s="10" t="str">
        <f aca="false">IF(A80="","",IF(G80&lt;&gt;"",G80,IF(N(F80)&gt;0,ROUND(1000/F80,3),0)))</f>
        <v/>
      </c>
      <c r="K80" s="10" t="str">
        <f aca="false">IF(OR(A80="",E80="",H80=""),"",ROUND(0.00617*E80^2*H80*J80,2))</f>
        <v/>
      </c>
      <c r="L80" s="9"/>
      <c r="M80" s="10" t="str">
        <f aca="false">IF(A80="","",IF((COUNTIF(Drain_Register!$A$5:$A$304,A80)+COUNTIF(RW_Register!$A$5:$A$304,A80)+COUNTIF(Embedded_Wall_Register!$A$5:$A$304,A80)+COUNTIF(Manhole_Register!$A$5:$A$304,A80)+COUNTIF(ERSS_Pit_Register!$A$5:$A$304,A80)+COUNTIF(Linkway_Register!$A$5:$A$304,A80)+COUNTIF(Other_Register!$A$5:$A$304,A80))&gt;0,"OK","ID not in any register"))</f>
        <v/>
      </c>
    </row>
    <row r="81" customFormat="false" ht="15" hidden="false" customHeight="false" outlineLevel="0" collapsed="false">
      <c r="A81" s="9"/>
      <c r="B81" s="9"/>
      <c r="C81" s="9"/>
      <c r="D81" s="9"/>
      <c r="E81" s="9"/>
      <c r="F81" s="9"/>
      <c r="G81" s="9"/>
      <c r="H81" s="9"/>
      <c r="I81" s="9"/>
      <c r="J81" s="10" t="str">
        <f aca="false">IF(A81="","",IF(G81&lt;&gt;"",G81,IF(N(F81)&gt;0,ROUND(1000/F81,3),0)))</f>
        <v/>
      </c>
      <c r="K81" s="10" t="str">
        <f aca="false">IF(OR(A81="",E81="",H81=""),"",ROUND(0.00617*E81^2*H81*J81,2))</f>
        <v/>
      </c>
      <c r="L81" s="9"/>
      <c r="M81" s="10" t="str">
        <f aca="false">IF(A81="","",IF((COUNTIF(Drain_Register!$A$5:$A$304,A81)+COUNTIF(RW_Register!$A$5:$A$304,A81)+COUNTIF(Embedded_Wall_Register!$A$5:$A$304,A81)+COUNTIF(Manhole_Register!$A$5:$A$304,A81)+COUNTIF(ERSS_Pit_Register!$A$5:$A$304,A81)+COUNTIF(Linkway_Register!$A$5:$A$304,A81)+COUNTIF(Other_Register!$A$5:$A$304,A81))&gt;0,"OK","ID not in any register"))</f>
        <v/>
      </c>
    </row>
    <row r="82" customFormat="false" ht="15" hidden="false" customHeight="false" outlineLevel="0" collapsed="false">
      <c r="A82" s="9"/>
      <c r="B82" s="9"/>
      <c r="C82" s="9"/>
      <c r="D82" s="9"/>
      <c r="E82" s="9"/>
      <c r="F82" s="9"/>
      <c r="G82" s="9"/>
      <c r="H82" s="9"/>
      <c r="I82" s="9"/>
      <c r="J82" s="10" t="str">
        <f aca="false">IF(A82="","",IF(G82&lt;&gt;"",G82,IF(N(F82)&gt;0,ROUND(1000/F82,3),0)))</f>
        <v/>
      </c>
      <c r="K82" s="10" t="str">
        <f aca="false">IF(OR(A82="",E82="",H82=""),"",ROUND(0.00617*E82^2*H82*J82,2))</f>
        <v/>
      </c>
      <c r="L82" s="9"/>
      <c r="M82" s="10" t="str">
        <f aca="false">IF(A82="","",IF((COUNTIF(Drain_Register!$A$5:$A$304,A82)+COUNTIF(RW_Register!$A$5:$A$304,A82)+COUNTIF(Embedded_Wall_Register!$A$5:$A$304,A82)+COUNTIF(Manhole_Register!$A$5:$A$304,A82)+COUNTIF(ERSS_Pit_Register!$A$5:$A$304,A82)+COUNTIF(Linkway_Register!$A$5:$A$304,A82)+COUNTIF(Other_Register!$A$5:$A$304,A82))&gt;0,"OK","ID not in any register"))</f>
        <v/>
      </c>
    </row>
    <row r="83" customFormat="false" ht="15" hidden="false" customHeight="false" outlineLevel="0" collapsed="false">
      <c r="A83" s="9"/>
      <c r="B83" s="9"/>
      <c r="C83" s="9"/>
      <c r="D83" s="9"/>
      <c r="E83" s="9"/>
      <c r="F83" s="9"/>
      <c r="G83" s="9"/>
      <c r="H83" s="9"/>
      <c r="I83" s="9"/>
      <c r="J83" s="10" t="str">
        <f aca="false">IF(A83="","",IF(G83&lt;&gt;"",G83,IF(N(F83)&gt;0,ROUND(1000/F83,3),0)))</f>
        <v/>
      </c>
      <c r="K83" s="10" t="str">
        <f aca="false">IF(OR(A83="",E83="",H83=""),"",ROUND(0.00617*E83^2*H83*J83,2))</f>
        <v/>
      </c>
      <c r="L83" s="9"/>
      <c r="M83" s="10" t="str">
        <f aca="false">IF(A83="","",IF((COUNTIF(Drain_Register!$A$5:$A$304,A83)+COUNTIF(RW_Register!$A$5:$A$304,A83)+COUNTIF(Embedded_Wall_Register!$A$5:$A$304,A83)+COUNTIF(Manhole_Register!$A$5:$A$304,A83)+COUNTIF(ERSS_Pit_Register!$A$5:$A$304,A83)+COUNTIF(Linkway_Register!$A$5:$A$304,A83)+COUNTIF(Other_Register!$A$5:$A$304,A83))&gt;0,"OK","ID not in any register"))</f>
        <v/>
      </c>
    </row>
    <row r="84" customFormat="false" ht="15" hidden="false" customHeight="false" outlineLevel="0" collapsed="false">
      <c r="A84" s="9"/>
      <c r="B84" s="9"/>
      <c r="C84" s="9"/>
      <c r="D84" s="9"/>
      <c r="E84" s="9"/>
      <c r="F84" s="9"/>
      <c r="G84" s="9"/>
      <c r="H84" s="9"/>
      <c r="I84" s="9"/>
      <c r="J84" s="10" t="str">
        <f aca="false">IF(A84="","",IF(G84&lt;&gt;"",G84,IF(N(F84)&gt;0,ROUND(1000/F84,3),0)))</f>
        <v/>
      </c>
      <c r="K84" s="10" t="str">
        <f aca="false">IF(OR(A84="",E84="",H84=""),"",ROUND(0.00617*E84^2*H84*J84,2))</f>
        <v/>
      </c>
      <c r="L84" s="9"/>
      <c r="M84" s="10" t="str">
        <f aca="false">IF(A84="","",IF((COUNTIF(Drain_Register!$A$5:$A$304,A84)+COUNTIF(RW_Register!$A$5:$A$304,A84)+COUNTIF(Embedded_Wall_Register!$A$5:$A$304,A84)+COUNTIF(Manhole_Register!$A$5:$A$304,A84)+COUNTIF(ERSS_Pit_Register!$A$5:$A$304,A84)+COUNTIF(Linkway_Register!$A$5:$A$304,A84)+COUNTIF(Other_Register!$A$5:$A$304,A84))&gt;0,"OK","ID not in any register"))</f>
        <v/>
      </c>
    </row>
    <row r="85" customFormat="false" ht="15" hidden="false" customHeight="false" outlineLevel="0" collapsed="false">
      <c r="A85" s="9"/>
      <c r="B85" s="9"/>
      <c r="C85" s="9"/>
      <c r="D85" s="9"/>
      <c r="E85" s="9"/>
      <c r="F85" s="9"/>
      <c r="G85" s="9"/>
      <c r="H85" s="9"/>
      <c r="I85" s="9"/>
      <c r="J85" s="10" t="str">
        <f aca="false">IF(A85="","",IF(G85&lt;&gt;"",G85,IF(N(F85)&gt;0,ROUND(1000/F85,3),0)))</f>
        <v/>
      </c>
      <c r="K85" s="10" t="str">
        <f aca="false">IF(OR(A85="",E85="",H85=""),"",ROUND(0.00617*E85^2*H85*J85,2))</f>
        <v/>
      </c>
      <c r="L85" s="9"/>
      <c r="M85" s="10" t="str">
        <f aca="false">IF(A85="","",IF((COUNTIF(Drain_Register!$A$5:$A$304,A85)+COUNTIF(RW_Register!$A$5:$A$304,A85)+COUNTIF(Embedded_Wall_Register!$A$5:$A$304,A85)+COUNTIF(Manhole_Register!$A$5:$A$304,A85)+COUNTIF(ERSS_Pit_Register!$A$5:$A$304,A85)+COUNTIF(Linkway_Register!$A$5:$A$304,A85)+COUNTIF(Other_Register!$A$5:$A$304,A85))&gt;0,"OK","ID not in any register"))</f>
        <v/>
      </c>
    </row>
    <row r="86" customFormat="false" ht="15" hidden="false" customHeight="false" outlineLevel="0" collapsed="false">
      <c r="A86" s="9"/>
      <c r="B86" s="9"/>
      <c r="C86" s="9"/>
      <c r="D86" s="9"/>
      <c r="E86" s="9"/>
      <c r="F86" s="9"/>
      <c r="G86" s="9"/>
      <c r="H86" s="9"/>
      <c r="I86" s="9"/>
      <c r="J86" s="10" t="str">
        <f aca="false">IF(A86="","",IF(G86&lt;&gt;"",G86,IF(N(F86)&gt;0,ROUND(1000/F86,3),0)))</f>
        <v/>
      </c>
      <c r="K86" s="10" t="str">
        <f aca="false">IF(OR(A86="",E86="",H86=""),"",ROUND(0.00617*E86^2*H86*J86,2))</f>
        <v/>
      </c>
      <c r="L86" s="9"/>
      <c r="M86" s="10" t="str">
        <f aca="false">IF(A86="","",IF((COUNTIF(Drain_Register!$A$5:$A$304,A86)+COUNTIF(RW_Register!$A$5:$A$304,A86)+COUNTIF(Embedded_Wall_Register!$A$5:$A$304,A86)+COUNTIF(Manhole_Register!$A$5:$A$304,A86)+COUNTIF(ERSS_Pit_Register!$A$5:$A$304,A86)+COUNTIF(Linkway_Register!$A$5:$A$304,A86)+COUNTIF(Other_Register!$A$5:$A$304,A86))&gt;0,"OK","ID not in any register"))</f>
        <v/>
      </c>
    </row>
    <row r="87" customFormat="false" ht="15" hidden="false" customHeight="false" outlineLevel="0" collapsed="false">
      <c r="A87" s="9"/>
      <c r="B87" s="9"/>
      <c r="C87" s="9"/>
      <c r="D87" s="9"/>
      <c r="E87" s="9"/>
      <c r="F87" s="9"/>
      <c r="G87" s="9"/>
      <c r="H87" s="9"/>
      <c r="I87" s="9"/>
      <c r="J87" s="10" t="str">
        <f aca="false">IF(A87="","",IF(G87&lt;&gt;"",G87,IF(N(F87)&gt;0,ROUND(1000/F87,3),0)))</f>
        <v/>
      </c>
      <c r="K87" s="10" t="str">
        <f aca="false">IF(OR(A87="",E87="",H87=""),"",ROUND(0.00617*E87^2*H87*J87,2))</f>
        <v/>
      </c>
      <c r="L87" s="9"/>
      <c r="M87" s="10" t="str">
        <f aca="false">IF(A87="","",IF((COUNTIF(Drain_Register!$A$5:$A$304,A87)+COUNTIF(RW_Register!$A$5:$A$304,A87)+COUNTIF(Embedded_Wall_Register!$A$5:$A$304,A87)+COUNTIF(Manhole_Register!$A$5:$A$304,A87)+COUNTIF(ERSS_Pit_Register!$A$5:$A$304,A87)+COUNTIF(Linkway_Register!$A$5:$A$304,A87)+COUNTIF(Other_Register!$A$5:$A$304,A87))&gt;0,"OK","ID not in any register"))</f>
        <v/>
      </c>
    </row>
    <row r="88" customFormat="false" ht="15" hidden="false" customHeight="false" outlineLevel="0" collapsed="false">
      <c r="A88" s="9"/>
      <c r="B88" s="9"/>
      <c r="C88" s="9"/>
      <c r="D88" s="9"/>
      <c r="E88" s="9"/>
      <c r="F88" s="9"/>
      <c r="G88" s="9"/>
      <c r="H88" s="9"/>
      <c r="I88" s="9"/>
      <c r="J88" s="10" t="str">
        <f aca="false">IF(A88="","",IF(G88&lt;&gt;"",G88,IF(N(F88)&gt;0,ROUND(1000/F88,3),0)))</f>
        <v/>
      </c>
      <c r="K88" s="10" t="str">
        <f aca="false">IF(OR(A88="",E88="",H88=""),"",ROUND(0.00617*E88^2*H88*J88,2))</f>
        <v/>
      </c>
      <c r="L88" s="9"/>
      <c r="M88" s="10" t="str">
        <f aca="false">IF(A88="","",IF((COUNTIF(Drain_Register!$A$5:$A$304,A88)+COUNTIF(RW_Register!$A$5:$A$304,A88)+COUNTIF(Embedded_Wall_Register!$A$5:$A$304,A88)+COUNTIF(Manhole_Register!$A$5:$A$304,A88)+COUNTIF(ERSS_Pit_Register!$A$5:$A$304,A88)+COUNTIF(Linkway_Register!$A$5:$A$304,A88)+COUNTIF(Other_Register!$A$5:$A$304,A88))&gt;0,"OK","ID not in any register"))</f>
        <v/>
      </c>
    </row>
    <row r="89" customFormat="false" ht="15" hidden="false" customHeight="false" outlineLevel="0" collapsed="false">
      <c r="A89" s="9"/>
      <c r="B89" s="9"/>
      <c r="C89" s="9"/>
      <c r="D89" s="9"/>
      <c r="E89" s="9"/>
      <c r="F89" s="9"/>
      <c r="G89" s="9"/>
      <c r="H89" s="9"/>
      <c r="I89" s="9"/>
      <c r="J89" s="10" t="str">
        <f aca="false">IF(A89="","",IF(G89&lt;&gt;"",G89,IF(N(F89)&gt;0,ROUND(1000/F89,3),0)))</f>
        <v/>
      </c>
      <c r="K89" s="10" t="str">
        <f aca="false">IF(OR(A89="",E89="",H89=""),"",ROUND(0.00617*E89^2*H89*J89,2))</f>
        <v/>
      </c>
      <c r="L89" s="9"/>
      <c r="M89" s="10" t="str">
        <f aca="false">IF(A89="","",IF((COUNTIF(Drain_Register!$A$5:$A$304,A89)+COUNTIF(RW_Register!$A$5:$A$304,A89)+COUNTIF(Embedded_Wall_Register!$A$5:$A$304,A89)+COUNTIF(Manhole_Register!$A$5:$A$304,A89)+COUNTIF(ERSS_Pit_Register!$A$5:$A$304,A89)+COUNTIF(Linkway_Register!$A$5:$A$304,A89)+COUNTIF(Other_Register!$A$5:$A$304,A89))&gt;0,"OK","ID not in any register"))</f>
        <v/>
      </c>
    </row>
    <row r="90" customFormat="false" ht="15" hidden="false" customHeight="false" outlineLevel="0" collapsed="false">
      <c r="A90" s="9"/>
      <c r="B90" s="9"/>
      <c r="C90" s="9"/>
      <c r="D90" s="9"/>
      <c r="E90" s="9"/>
      <c r="F90" s="9"/>
      <c r="G90" s="9"/>
      <c r="H90" s="9"/>
      <c r="I90" s="9"/>
      <c r="J90" s="10" t="str">
        <f aca="false">IF(A90="","",IF(G90&lt;&gt;"",G90,IF(N(F90)&gt;0,ROUND(1000/F90,3),0)))</f>
        <v/>
      </c>
      <c r="K90" s="10" t="str">
        <f aca="false">IF(OR(A90="",E90="",H90=""),"",ROUND(0.00617*E90^2*H90*J90,2))</f>
        <v/>
      </c>
      <c r="L90" s="9"/>
      <c r="M90" s="10" t="str">
        <f aca="false">IF(A90="","",IF((COUNTIF(Drain_Register!$A$5:$A$304,A90)+COUNTIF(RW_Register!$A$5:$A$304,A90)+COUNTIF(Embedded_Wall_Register!$A$5:$A$304,A90)+COUNTIF(Manhole_Register!$A$5:$A$304,A90)+COUNTIF(ERSS_Pit_Register!$A$5:$A$304,A90)+COUNTIF(Linkway_Register!$A$5:$A$304,A90)+COUNTIF(Other_Register!$A$5:$A$304,A90))&gt;0,"OK","ID not in any register"))</f>
        <v/>
      </c>
    </row>
    <row r="91" customFormat="false" ht="15" hidden="false" customHeight="false" outlineLevel="0" collapsed="false">
      <c r="A91" s="9"/>
      <c r="B91" s="9"/>
      <c r="C91" s="9"/>
      <c r="D91" s="9"/>
      <c r="E91" s="9"/>
      <c r="F91" s="9"/>
      <c r="G91" s="9"/>
      <c r="H91" s="9"/>
      <c r="I91" s="9"/>
      <c r="J91" s="10" t="str">
        <f aca="false">IF(A91="","",IF(G91&lt;&gt;"",G91,IF(N(F91)&gt;0,ROUND(1000/F91,3),0)))</f>
        <v/>
      </c>
      <c r="K91" s="10" t="str">
        <f aca="false">IF(OR(A91="",E91="",H91=""),"",ROUND(0.00617*E91^2*H91*J91,2))</f>
        <v/>
      </c>
      <c r="L91" s="9"/>
      <c r="M91" s="10" t="str">
        <f aca="false">IF(A91="","",IF((COUNTIF(Drain_Register!$A$5:$A$304,A91)+COUNTIF(RW_Register!$A$5:$A$304,A91)+COUNTIF(Embedded_Wall_Register!$A$5:$A$304,A91)+COUNTIF(Manhole_Register!$A$5:$A$304,A91)+COUNTIF(ERSS_Pit_Register!$A$5:$A$304,A91)+COUNTIF(Linkway_Register!$A$5:$A$304,A91)+COUNTIF(Other_Register!$A$5:$A$304,A91))&gt;0,"OK","ID not in any register"))</f>
        <v/>
      </c>
    </row>
    <row r="92" customFormat="false" ht="15" hidden="false" customHeight="false" outlineLevel="0" collapsed="false">
      <c r="A92" s="9"/>
      <c r="B92" s="9"/>
      <c r="C92" s="9"/>
      <c r="D92" s="9"/>
      <c r="E92" s="9"/>
      <c r="F92" s="9"/>
      <c r="G92" s="9"/>
      <c r="H92" s="9"/>
      <c r="I92" s="9"/>
      <c r="J92" s="10" t="str">
        <f aca="false">IF(A92="","",IF(G92&lt;&gt;"",G92,IF(N(F92)&gt;0,ROUND(1000/F92,3),0)))</f>
        <v/>
      </c>
      <c r="K92" s="10" t="str">
        <f aca="false">IF(OR(A92="",E92="",H92=""),"",ROUND(0.00617*E92^2*H92*J92,2))</f>
        <v/>
      </c>
      <c r="L92" s="9"/>
      <c r="M92" s="10" t="str">
        <f aca="false">IF(A92="","",IF((COUNTIF(Drain_Register!$A$5:$A$304,A92)+COUNTIF(RW_Register!$A$5:$A$304,A92)+COUNTIF(Embedded_Wall_Register!$A$5:$A$304,A92)+COUNTIF(Manhole_Register!$A$5:$A$304,A92)+COUNTIF(ERSS_Pit_Register!$A$5:$A$304,A92)+COUNTIF(Linkway_Register!$A$5:$A$304,A92)+COUNTIF(Other_Register!$A$5:$A$304,A92))&gt;0,"OK","ID not in any register"))</f>
        <v/>
      </c>
    </row>
    <row r="93" customFormat="false" ht="15" hidden="false" customHeight="false" outlineLevel="0" collapsed="false">
      <c r="A93" s="9"/>
      <c r="B93" s="9"/>
      <c r="C93" s="9"/>
      <c r="D93" s="9"/>
      <c r="E93" s="9"/>
      <c r="F93" s="9"/>
      <c r="G93" s="9"/>
      <c r="H93" s="9"/>
      <c r="I93" s="9"/>
      <c r="J93" s="10" t="str">
        <f aca="false">IF(A93="","",IF(G93&lt;&gt;"",G93,IF(N(F93)&gt;0,ROUND(1000/F93,3),0)))</f>
        <v/>
      </c>
      <c r="K93" s="10" t="str">
        <f aca="false">IF(OR(A93="",E93="",H93=""),"",ROUND(0.00617*E93^2*H93*J93,2))</f>
        <v/>
      </c>
      <c r="L93" s="9"/>
      <c r="M93" s="10" t="str">
        <f aca="false">IF(A93="","",IF((COUNTIF(Drain_Register!$A$5:$A$304,A93)+COUNTIF(RW_Register!$A$5:$A$304,A93)+COUNTIF(Embedded_Wall_Register!$A$5:$A$304,A93)+COUNTIF(Manhole_Register!$A$5:$A$304,A93)+COUNTIF(ERSS_Pit_Register!$A$5:$A$304,A93)+COUNTIF(Linkway_Register!$A$5:$A$304,A93)+COUNTIF(Other_Register!$A$5:$A$304,A93))&gt;0,"OK","ID not in any register"))</f>
        <v/>
      </c>
    </row>
    <row r="94" customFormat="false" ht="15" hidden="false" customHeight="false" outlineLevel="0" collapsed="false">
      <c r="A94" s="9"/>
      <c r="B94" s="9"/>
      <c r="C94" s="9"/>
      <c r="D94" s="9"/>
      <c r="E94" s="9"/>
      <c r="F94" s="9"/>
      <c r="G94" s="9"/>
      <c r="H94" s="9"/>
      <c r="I94" s="9"/>
      <c r="J94" s="10" t="str">
        <f aca="false">IF(A94="","",IF(G94&lt;&gt;"",G94,IF(N(F94)&gt;0,ROUND(1000/F94,3),0)))</f>
        <v/>
      </c>
      <c r="K94" s="10" t="str">
        <f aca="false">IF(OR(A94="",E94="",H94=""),"",ROUND(0.00617*E94^2*H94*J94,2))</f>
        <v/>
      </c>
      <c r="L94" s="9"/>
      <c r="M94" s="10" t="str">
        <f aca="false">IF(A94="","",IF((COUNTIF(Drain_Register!$A$5:$A$304,A94)+COUNTIF(RW_Register!$A$5:$A$304,A94)+COUNTIF(Embedded_Wall_Register!$A$5:$A$304,A94)+COUNTIF(Manhole_Register!$A$5:$A$304,A94)+COUNTIF(ERSS_Pit_Register!$A$5:$A$304,A94)+COUNTIF(Linkway_Register!$A$5:$A$304,A94)+COUNTIF(Other_Register!$A$5:$A$304,A94))&gt;0,"OK","ID not in any register"))</f>
        <v/>
      </c>
    </row>
    <row r="95" customFormat="false" ht="15" hidden="false" customHeight="false" outlineLevel="0" collapsed="false">
      <c r="A95" s="9"/>
      <c r="B95" s="9"/>
      <c r="C95" s="9"/>
      <c r="D95" s="9"/>
      <c r="E95" s="9"/>
      <c r="F95" s="9"/>
      <c r="G95" s="9"/>
      <c r="H95" s="9"/>
      <c r="I95" s="9"/>
      <c r="J95" s="10" t="str">
        <f aca="false">IF(A95="","",IF(G95&lt;&gt;"",G95,IF(N(F95)&gt;0,ROUND(1000/F95,3),0)))</f>
        <v/>
      </c>
      <c r="K95" s="10" t="str">
        <f aca="false">IF(OR(A95="",E95="",H95=""),"",ROUND(0.00617*E95^2*H95*J95,2))</f>
        <v/>
      </c>
      <c r="L95" s="9"/>
      <c r="M95" s="10" t="str">
        <f aca="false">IF(A95="","",IF((COUNTIF(Drain_Register!$A$5:$A$304,A95)+COUNTIF(RW_Register!$A$5:$A$304,A95)+COUNTIF(Embedded_Wall_Register!$A$5:$A$304,A95)+COUNTIF(Manhole_Register!$A$5:$A$304,A95)+COUNTIF(ERSS_Pit_Register!$A$5:$A$304,A95)+COUNTIF(Linkway_Register!$A$5:$A$304,A95)+COUNTIF(Other_Register!$A$5:$A$304,A95))&gt;0,"OK","ID not in any register"))</f>
        <v/>
      </c>
    </row>
    <row r="96" customFormat="false" ht="15" hidden="false" customHeight="false" outlineLevel="0" collapsed="false">
      <c r="A96" s="9"/>
      <c r="B96" s="9"/>
      <c r="C96" s="9"/>
      <c r="D96" s="9"/>
      <c r="E96" s="9"/>
      <c r="F96" s="9"/>
      <c r="G96" s="9"/>
      <c r="H96" s="9"/>
      <c r="I96" s="9"/>
      <c r="J96" s="10" t="str">
        <f aca="false">IF(A96="","",IF(G96&lt;&gt;"",G96,IF(N(F96)&gt;0,ROUND(1000/F96,3),0)))</f>
        <v/>
      </c>
      <c r="K96" s="10" t="str">
        <f aca="false">IF(OR(A96="",E96="",H96=""),"",ROUND(0.00617*E96^2*H96*J96,2))</f>
        <v/>
      </c>
      <c r="L96" s="9"/>
      <c r="M96" s="10" t="str">
        <f aca="false">IF(A96="","",IF((COUNTIF(Drain_Register!$A$5:$A$304,A96)+COUNTIF(RW_Register!$A$5:$A$304,A96)+COUNTIF(Embedded_Wall_Register!$A$5:$A$304,A96)+COUNTIF(Manhole_Register!$A$5:$A$304,A96)+COUNTIF(ERSS_Pit_Register!$A$5:$A$304,A96)+COUNTIF(Linkway_Register!$A$5:$A$304,A96)+COUNTIF(Other_Register!$A$5:$A$304,A96))&gt;0,"OK","ID not in any register"))</f>
        <v/>
      </c>
    </row>
    <row r="97" customFormat="false" ht="15" hidden="false" customHeight="false" outlineLevel="0" collapsed="false">
      <c r="A97" s="9"/>
      <c r="B97" s="9"/>
      <c r="C97" s="9"/>
      <c r="D97" s="9"/>
      <c r="E97" s="9"/>
      <c r="F97" s="9"/>
      <c r="G97" s="9"/>
      <c r="H97" s="9"/>
      <c r="I97" s="9"/>
      <c r="J97" s="10" t="str">
        <f aca="false">IF(A97="","",IF(G97&lt;&gt;"",G97,IF(N(F97)&gt;0,ROUND(1000/F97,3),0)))</f>
        <v/>
      </c>
      <c r="K97" s="10" t="str">
        <f aca="false">IF(OR(A97="",E97="",H97=""),"",ROUND(0.00617*E97^2*H97*J97,2))</f>
        <v/>
      </c>
      <c r="L97" s="9"/>
      <c r="M97" s="10" t="str">
        <f aca="false">IF(A97="","",IF((COUNTIF(Drain_Register!$A$5:$A$304,A97)+COUNTIF(RW_Register!$A$5:$A$304,A97)+COUNTIF(Embedded_Wall_Register!$A$5:$A$304,A97)+COUNTIF(Manhole_Register!$A$5:$A$304,A97)+COUNTIF(ERSS_Pit_Register!$A$5:$A$304,A97)+COUNTIF(Linkway_Register!$A$5:$A$304,A97)+COUNTIF(Other_Register!$A$5:$A$304,A97))&gt;0,"OK","ID not in any register"))</f>
        <v/>
      </c>
    </row>
    <row r="98" customFormat="false" ht="15" hidden="false" customHeight="false" outlineLevel="0" collapsed="false">
      <c r="A98" s="9"/>
      <c r="B98" s="9"/>
      <c r="C98" s="9"/>
      <c r="D98" s="9"/>
      <c r="E98" s="9"/>
      <c r="F98" s="9"/>
      <c r="G98" s="9"/>
      <c r="H98" s="9"/>
      <c r="I98" s="9"/>
      <c r="J98" s="10" t="str">
        <f aca="false">IF(A98="","",IF(G98&lt;&gt;"",G98,IF(N(F98)&gt;0,ROUND(1000/F98,3),0)))</f>
        <v/>
      </c>
      <c r="K98" s="10" t="str">
        <f aca="false">IF(OR(A98="",E98="",H98=""),"",ROUND(0.00617*E98^2*H98*J98,2))</f>
        <v/>
      </c>
      <c r="L98" s="9"/>
      <c r="M98" s="10" t="str">
        <f aca="false">IF(A98="","",IF((COUNTIF(Drain_Register!$A$5:$A$304,A98)+COUNTIF(RW_Register!$A$5:$A$304,A98)+COUNTIF(Embedded_Wall_Register!$A$5:$A$304,A98)+COUNTIF(Manhole_Register!$A$5:$A$304,A98)+COUNTIF(ERSS_Pit_Register!$A$5:$A$304,A98)+COUNTIF(Linkway_Register!$A$5:$A$304,A98)+COUNTIF(Other_Register!$A$5:$A$304,A98))&gt;0,"OK","ID not in any register"))</f>
        <v/>
      </c>
    </row>
    <row r="99" customFormat="false" ht="15" hidden="false" customHeight="false" outlineLevel="0" collapsed="false">
      <c r="A99" s="9"/>
      <c r="B99" s="9"/>
      <c r="C99" s="9"/>
      <c r="D99" s="9"/>
      <c r="E99" s="9"/>
      <c r="F99" s="9"/>
      <c r="G99" s="9"/>
      <c r="H99" s="9"/>
      <c r="I99" s="9"/>
      <c r="J99" s="10" t="str">
        <f aca="false">IF(A99="","",IF(G99&lt;&gt;"",G99,IF(N(F99)&gt;0,ROUND(1000/F99,3),0)))</f>
        <v/>
      </c>
      <c r="K99" s="10" t="str">
        <f aca="false">IF(OR(A99="",E99="",H99=""),"",ROUND(0.00617*E99^2*H99*J99,2))</f>
        <v/>
      </c>
      <c r="L99" s="9"/>
      <c r="M99" s="10" t="str">
        <f aca="false">IF(A99="","",IF((COUNTIF(Drain_Register!$A$5:$A$304,A99)+COUNTIF(RW_Register!$A$5:$A$304,A99)+COUNTIF(Embedded_Wall_Register!$A$5:$A$304,A99)+COUNTIF(Manhole_Register!$A$5:$A$304,A99)+COUNTIF(ERSS_Pit_Register!$A$5:$A$304,A99)+COUNTIF(Linkway_Register!$A$5:$A$304,A99)+COUNTIF(Other_Register!$A$5:$A$304,A99))&gt;0,"OK","ID not in any register"))</f>
        <v/>
      </c>
    </row>
    <row r="100" customFormat="false" ht="15" hidden="false" customHeight="false" outlineLevel="0" collapsed="false">
      <c r="A100" s="9"/>
      <c r="B100" s="9"/>
      <c r="C100" s="9"/>
      <c r="D100" s="9"/>
      <c r="E100" s="9"/>
      <c r="F100" s="9"/>
      <c r="G100" s="9"/>
      <c r="H100" s="9"/>
      <c r="I100" s="9"/>
      <c r="J100" s="10" t="str">
        <f aca="false">IF(A100="","",IF(G100&lt;&gt;"",G100,IF(N(F100)&gt;0,ROUND(1000/F100,3),0)))</f>
        <v/>
      </c>
      <c r="K100" s="10" t="str">
        <f aca="false">IF(OR(A100="",E100="",H100=""),"",ROUND(0.00617*E100^2*H100*J100,2))</f>
        <v/>
      </c>
      <c r="L100" s="9"/>
      <c r="M100" s="10" t="str">
        <f aca="false">IF(A100="","",IF((COUNTIF(Drain_Register!$A$5:$A$304,A100)+COUNTIF(RW_Register!$A$5:$A$304,A100)+COUNTIF(Embedded_Wall_Register!$A$5:$A$304,A100)+COUNTIF(Manhole_Register!$A$5:$A$304,A100)+COUNTIF(ERSS_Pit_Register!$A$5:$A$304,A100)+COUNTIF(Linkway_Register!$A$5:$A$304,A100)+COUNTIF(Other_Register!$A$5:$A$304,A100))&gt;0,"OK","ID not in any register"))</f>
        <v/>
      </c>
    </row>
    <row r="101" customFormat="false" ht="15" hidden="false" customHeight="false" outlineLevel="0" collapsed="false">
      <c r="A101" s="9"/>
      <c r="B101" s="9"/>
      <c r="C101" s="9"/>
      <c r="D101" s="9"/>
      <c r="E101" s="9"/>
      <c r="F101" s="9"/>
      <c r="G101" s="9"/>
      <c r="H101" s="9"/>
      <c r="I101" s="9"/>
      <c r="J101" s="10" t="str">
        <f aca="false">IF(A101="","",IF(G101&lt;&gt;"",G101,IF(N(F101)&gt;0,ROUND(1000/F101,3),0)))</f>
        <v/>
      </c>
      <c r="K101" s="10" t="str">
        <f aca="false">IF(OR(A101="",E101="",H101=""),"",ROUND(0.00617*E101^2*H101*J101,2))</f>
        <v/>
      </c>
      <c r="L101" s="9"/>
      <c r="M101" s="10" t="str">
        <f aca="false">IF(A101="","",IF((COUNTIF(Drain_Register!$A$5:$A$304,A101)+COUNTIF(RW_Register!$A$5:$A$304,A101)+COUNTIF(Embedded_Wall_Register!$A$5:$A$304,A101)+COUNTIF(Manhole_Register!$A$5:$A$304,A101)+COUNTIF(ERSS_Pit_Register!$A$5:$A$304,A101)+COUNTIF(Linkway_Register!$A$5:$A$304,A101)+COUNTIF(Other_Register!$A$5:$A$304,A101))&gt;0,"OK","ID not in any register"))</f>
        <v/>
      </c>
    </row>
    <row r="102" customFormat="false" ht="15" hidden="false" customHeight="false" outlineLevel="0" collapsed="false">
      <c r="A102" s="9"/>
      <c r="B102" s="9"/>
      <c r="C102" s="9"/>
      <c r="D102" s="9"/>
      <c r="E102" s="9"/>
      <c r="F102" s="9"/>
      <c r="G102" s="9"/>
      <c r="H102" s="9"/>
      <c r="I102" s="9"/>
      <c r="J102" s="10" t="str">
        <f aca="false">IF(A102="","",IF(G102&lt;&gt;"",G102,IF(N(F102)&gt;0,ROUND(1000/F102,3),0)))</f>
        <v/>
      </c>
      <c r="K102" s="10" t="str">
        <f aca="false">IF(OR(A102="",E102="",H102=""),"",ROUND(0.00617*E102^2*H102*J102,2))</f>
        <v/>
      </c>
      <c r="L102" s="9"/>
      <c r="M102" s="10" t="str">
        <f aca="false">IF(A102="","",IF((COUNTIF(Drain_Register!$A$5:$A$304,A102)+COUNTIF(RW_Register!$A$5:$A$304,A102)+COUNTIF(Embedded_Wall_Register!$A$5:$A$304,A102)+COUNTIF(Manhole_Register!$A$5:$A$304,A102)+COUNTIF(ERSS_Pit_Register!$A$5:$A$304,A102)+COUNTIF(Linkway_Register!$A$5:$A$304,A102)+COUNTIF(Other_Register!$A$5:$A$304,A102))&gt;0,"OK","ID not in any register"))</f>
        <v/>
      </c>
    </row>
    <row r="103" customFormat="false" ht="15" hidden="false" customHeight="false" outlineLevel="0" collapsed="false">
      <c r="A103" s="9"/>
      <c r="B103" s="9"/>
      <c r="C103" s="9"/>
      <c r="D103" s="9"/>
      <c r="E103" s="9"/>
      <c r="F103" s="9"/>
      <c r="G103" s="9"/>
      <c r="H103" s="9"/>
      <c r="I103" s="9"/>
      <c r="J103" s="10" t="str">
        <f aca="false">IF(A103="","",IF(G103&lt;&gt;"",G103,IF(N(F103)&gt;0,ROUND(1000/F103,3),0)))</f>
        <v/>
      </c>
      <c r="K103" s="10" t="str">
        <f aca="false">IF(OR(A103="",E103="",H103=""),"",ROUND(0.00617*E103^2*H103*J103,2))</f>
        <v/>
      </c>
      <c r="L103" s="9"/>
      <c r="M103" s="10" t="str">
        <f aca="false">IF(A103="","",IF((COUNTIF(Drain_Register!$A$5:$A$304,A103)+COUNTIF(RW_Register!$A$5:$A$304,A103)+COUNTIF(Embedded_Wall_Register!$A$5:$A$304,A103)+COUNTIF(Manhole_Register!$A$5:$A$304,A103)+COUNTIF(ERSS_Pit_Register!$A$5:$A$304,A103)+COUNTIF(Linkway_Register!$A$5:$A$304,A103)+COUNTIF(Other_Register!$A$5:$A$304,A103))&gt;0,"OK","ID not in any register"))</f>
        <v/>
      </c>
    </row>
    <row r="104" customFormat="false" ht="15" hidden="false" customHeight="false" outlineLevel="0" collapsed="false">
      <c r="A104" s="9"/>
      <c r="B104" s="9"/>
      <c r="C104" s="9"/>
      <c r="D104" s="9"/>
      <c r="E104" s="9"/>
      <c r="F104" s="9"/>
      <c r="G104" s="9"/>
      <c r="H104" s="9"/>
      <c r="I104" s="9"/>
      <c r="J104" s="10" t="str">
        <f aca="false">IF(A104="","",IF(G104&lt;&gt;"",G104,IF(N(F104)&gt;0,ROUND(1000/F104,3),0)))</f>
        <v/>
      </c>
      <c r="K104" s="10" t="str">
        <f aca="false">IF(OR(A104="",E104="",H104=""),"",ROUND(0.00617*E104^2*H104*J104,2))</f>
        <v/>
      </c>
      <c r="L104" s="9"/>
      <c r="M104" s="10" t="str">
        <f aca="false">IF(A104="","",IF((COUNTIF(Drain_Register!$A$5:$A$304,A104)+COUNTIF(RW_Register!$A$5:$A$304,A104)+COUNTIF(Embedded_Wall_Register!$A$5:$A$304,A104)+COUNTIF(Manhole_Register!$A$5:$A$304,A104)+COUNTIF(ERSS_Pit_Register!$A$5:$A$304,A104)+COUNTIF(Linkway_Register!$A$5:$A$304,A104)+COUNTIF(Other_Register!$A$5:$A$304,A104))&gt;0,"OK","ID not in any register"))</f>
        <v/>
      </c>
    </row>
    <row r="105" customFormat="false" ht="15" hidden="false" customHeight="false" outlineLevel="0" collapsed="false">
      <c r="A105" s="9"/>
      <c r="B105" s="9"/>
      <c r="C105" s="9"/>
      <c r="D105" s="9"/>
      <c r="E105" s="9"/>
      <c r="F105" s="9"/>
      <c r="G105" s="9"/>
      <c r="H105" s="9"/>
      <c r="I105" s="9"/>
      <c r="J105" s="10" t="str">
        <f aca="false">IF(A105="","",IF(G105&lt;&gt;"",G105,IF(N(F105)&gt;0,ROUND(1000/F105,3),0)))</f>
        <v/>
      </c>
      <c r="K105" s="10" t="str">
        <f aca="false">IF(OR(A105="",E105="",H105=""),"",ROUND(0.00617*E105^2*H105*J105,2))</f>
        <v/>
      </c>
      <c r="L105" s="9"/>
      <c r="M105" s="10" t="str">
        <f aca="false">IF(A105="","",IF((COUNTIF(Drain_Register!$A$5:$A$304,A105)+COUNTIF(RW_Register!$A$5:$A$304,A105)+COUNTIF(Embedded_Wall_Register!$A$5:$A$304,A105)+COUNTIF(Manhole_Register!$A$5:$A$304,A105)+COUNTIF(ERSS_Pit_Register!$A$5:$A$304,A105)+COUNTIF(Linkway_Register!$A$5:$A$304,A105)+COUNTIF(Other_Register!$A$5:$A$304,A105))&gt;0,"OK","ID not in any register"))</f>
        <v/>
      </c>
    </row>
    <row r="106" customFormat="false" ht="15" hidden="false" customHeight="false" outlineLevel="0" collapsed="false">
      <c r="A106" s="9"/>
      <c r="B106" s="9"/>
      <c r="C106" s="9"/>
      <c r="D106" s="9"/>
      <c r="E106" s="9"/>
      <c r="F106" s="9"/>
      <c r="G106" s="9"/>
      <c r="H106" s="9"/>
      <c r="I106" s="9"/>
      <c r="J106" s="10" t="str">
        <f aca="false">IF(A106="","",IF(G106&lt;&gt;"",G106,IF(N(F106)&gt;0,ROUND(1000/F106,3),0)))</f>
        <v/>
      </c>
      <c r="K106" s="10" t="str">
        <f aca="false">IF(OR(A106="",E106="",H106=""),"",ROUND(0.00617*E106^2*H106*J106,2))</f>
        <v/>
      </c>
      <c r="L106" s="9"/>
      <c r="M106" s="10" t="str">
        <f aca="false">IF(A106="","",IF((COUNTIF(Drain_Register!$A$5:$A$304,A106)+COUNTIF(RW_Register!$A$5:$A$304,A106)+COUNTIF(Embedded_Wall_Register!$A$5:$A$304,A106)+COUNTIF(Manhole_Register!$A$5:$A$304,A106)+COUNTIF(ERSS_Pit_Register!$A$5:$A$304,A106)+COUNTIF(Linkway_Register!$A$5:$A$304,A106)+COUNTIF(Other_Register!$A$5:$A$304,A106))&gt;0,"OK","ID not in any register"))</f>
        <v/>
      </c>
    </row>
    <row r="107" customFormat="false" ht="15" hidden="false" customHeight="false" outlineLevel="0" collapsed="false">
      <c r="A107" s="9"/>
      <c r="B107" s="9"/>
      <c r="C107" s="9"/>
      <c r="D107" s="9"/>
      <c r="E107" s="9"/>
      <c r="F107" s="9"/>
      <c r="G107" s="9"/>
      <c r="H107" s="9"/>
      <c r="I107" s="9"/>
      <c r="J107" s="10" t="str">
        <f aca="false">IF(A107="","",IF(G107&lt;&gt;"",G107,IF(N(F107)&gt;0,ROUND(1000/F107,3),0)))</f>
        <v/>
      </c>
      <c r="K107" s="10" t="str">
        <f aca="false">IF(OR(A107="",E107="",H107=""),"",ROUND(0.00617*E107^2*H107*J107,2))</f>
        <v/>
      </c>
      <c r="L107" s="9"/>
      <c r="M107" s="10" t="str">
        <f aca="false">IF(A107="","",IF((COUNTIF(Drain_Register!$A$5:$A$304,A107)+COUNTIF(RW_Register!$A$5:$A$304,A107)+COUNTIF(Embedded_Wall_Register!$A$5:$A$304,A107)+COUNTIF(Manhole_Register!$A$5:$A$304,A107)+COUNTIF(ERSS_Pit_Register!$A$5:$A$304,A107)+COUNTIF(Linkway_Register!$A$5:$A$304,A107)+COUNTIF(Other_Register!$A$5:$A$304,A107))&gt;0,"OK","ID not in any register"))</f>
        <v/>
      </c>
    </row>
    <row r="108" customFormat="false" ht="15" hidden="false" customHeight="false" outlineLevel="0" collapsed="false">
      <c r="A108" s="9"/>
      <c r="B108" s="9"/>
      <c r="C108" s="9"/>
      <c r="D108" s="9"/>
      <c r="E108" s="9"/>
      <c r="F108" s="9"/>
      <c r="G108" s="9"/>
      <c r="H108" s="9"/>
      <c r="I108" s="9"/>
      <c r="J108" s="10" t="str">
        <f aca="false">IF(A108="","",IF(G108&lt;&gt;"",G108,IF(N(F108)&gt;0,ROUND(1000/F108,3),0)))</f>
        <v/>
      </c>
      <c r="K108" s="10" t="str">
        <f aca="false">IF(OR(A108="",E108="",H108=""),"",ROUND(0.00617*E108^2*H108*J108,2))</f>
        <v/>
      </c>
      <c r="L108" s="9"/>
      <c r="M108" s="10" t="str">
        <f aca="false">IF(A108="","",IF((COUNTIF(Drain_Register!$A$5:$A$304,A108)+COUNTIF(RW_Register!$A$5:$A$304,A108)+COUNTIF(Embedded_Wall_Register!$A$5:$A$304,A108)+COUNTIF(Manhole_Register!$A$5:$A$304,A108)+COUNTIF(ERSS_Pit_Register!$A$5:$A$304,A108)+COUNTIF(Linkway_Register!$A$5:$A$304,A108)+COUNTIF(Other_Register!$A$5:$A$304,A108))&gt;0,"OK","ID not in any register"))</f>
        <v/>
      </c>
    </row>
    <row r="109" customFormat="false" ht="15" hidden="false" customHeight="false" outlineLevel="0" collapsed="false">
      <c r="A109" s="9"/>
      <c r="B109" s="9"/>
      <c r="C109" s="9"/>
      <c r="D109" s="9"/>
      <c r="E109" s="9"/>
      <c r="F109" s="9"/>
      <c r="G109" s="9"/>
      <c r="H109" s="9"/>
      <c r="I109" s="9"/>
      <c r="J109" s="10" t="str">
        <f aca="false">IF(A109="","",IF(G109&lt;&gt;"",G109,IF(N(F109)&gt;0,ROUND(1000/F109,3),0)))</f>
        <v/>
      </c>
      <c r="K109" s="10" t="str">
        <f aca="false">IF(OR(A109="",E109="",H109=""),"",ROUND(0.00617*E109^2*H109*J109,2))</f>
        <v/>
      </c>
      <c r="L109" s="9"/>
      <c r="M109" s="10" t="str">
        <f aca="false">IF(A109="","",IF((COUNTIF(Drain_Register!$A$5:$A$304,A109)+COUNTIF(RW_Register!$A$5:$A$304,A109)+COUNTIF(Embedded_Wall_Register!$A$5:$A$304,A109)+COUNTIF(Manhole_Register!$A$5:$A$304,A109)+COUNTIF(ERSS_Pit_Register!$A$5:$A$304,A109)+COUNTIF(Linkway_Register!$A$5:$A$304,A109)+COUNTIF(Other_Register!$A$5:$A$304,A109))&gt;0,"OK","ID not in any register"))</f>
        <v/>
      </c>
    </row>
    <row r="110" customFormat="false" ht="15" hidden="false" customHeight="false" outlineLevel="0" collapsed="false">
      <c r="A110" s="9"/>
      <c r="B110" s="9"/>
      <c r="C110" s="9"/>
      <c r="D110" s="9"/>
      <c r="E110" s="9"/>
      <c r="F110" s="9"/>
      <c r="G110" s="9"/>
      <c r="H110" s="9"/>
      <c r="I110" s="9"/>
      <c r="J110" s="10" t="str">
        <f aca="false">IF(A110="","",IF(G110&lt;&gt;"",G110,IF(N(F110)&gt;0,ROUND(1000/F110,3),0)))</f>
        <v/>
      </c>
      <c r="K110" s="10" t="str">
        <f aca="false">IF(OR(A110="",E110="",H110=""),"",ROUND(0.00617*E110^2*H110*J110,2))</f>
        <v/>
      </c>
      <c r="L110" s="9"/>
      <c r="M110" s="10" t="str">
        <f aca="false">IF(A110="","",IF((COUNTIF(Drain_Register!$A$5:$A$304,A110)+COUNTIF(RW_Register!$A$5:$A$304,A110)+COUNTIF(Embedded_Wall_Register!$A$5:$A$304,A110)+COUNTIF(Manhole_Register!$A$5:$A$304,A110)+COUNTIF(ERSS_Pit_Register!$A$5:$A$304,A110)+COUNTIF(Linkway_Register!$A$5:$A$304,A110)+COUNTIF(Other_Register!$A$5:$A$304,A110))&gt;0,"OK","ID not in any register"))</f>
        <v/>
      </c>
    </row>
    <row r="111" customFormat="false" ht="15" hidden="false" customHeight="false" outlineLevel="0" collapsed="false">
      <c r="A111" s="9"/>
      <c r="B111" s="9"/>
      <c r="C111" s="9"/>
      <c r="D111" s="9"/>
      <c r="E111" s="9"/>
      <c r="F111" s="9"/>
      <c r="G111" s="9"/>
      <c r="H111" s="9"/>
      <c r="I111" s="9"/>
      <c r="J111" s="10" t="str">
        <f aca="false">IF(A111="","",IF(G111&lt;&gt;"",G111,IF(N(F111)&gt;0,ROUND(1000/F111,3),0)))</f>
        <v/>
      </c>
      <c r="K111" s="10" t="str">
        <f aca="false">IF(OR(A111="",E111="",H111=""),"",ROUND(0.00617*E111^2*H111*J111,2))</f>
        <v/>
      </c>
      <c r="L111" s="9"/>
      <c r="M111" s="10" t="str">
        <f aca="false">IF(A111="","",IF((COUNTIF(Drain_Register!$A$5:$A$304,A111)+COUNTIF(RW_Register!$A$5:$A$304,A111)+COUNTIF(Embedded_Wall_Register!$A$5:$A$304,A111)+COUNTIF(Manhole_Register!$A$5:$A$304,A111)+COUNTIF(ERSS_Pit_Register!$A$5:$A$304,A111)+COUNTIF(Linkway_Register!$A$5:$A$304,A111)+COUNTIF(Other_Register!$A$5:$A$304,A111))&gt;0,"OK","ID not in any register"))</f>
        <v/>
      </c>
    </row>
    <row r="112" customFormat="false" ht="15" hidden="false" customHeight="false" outlineLevel="0" collapsed="false">
      <c r="A112" s="9"/>
      <c r="B112" s="9"/>
      <c r="C112" s="9"/>
      <c r="D112" s="9"/>
      <c r="E112" s="9"/>
      <c r="F112" s="9"/>
      <c r="G112" s="9"/>
      <c r="H112" s="9"/>
      <c r="I112" s="9"/>
      <c r="J112" s="10" t="str">
        <f aca="false">IF(A112="","",IF(G112&lt;&gt;"",G112,IF(N(F112)&gt;0,ROUND(1000/F112,3),0)))</f>
        <v/>
      </c>
      <c r="K112" s="10" t="str">
        <f aca="false">IF(OR(A112="",E112="",H112=""),"",ROUND(0.00617*E112^2*H112*J112,2))</f>
        <v/>
      </c>
      <c r="L112" s="9"/>
      <c r="M112" s="10" t="str">
        <f aca="false">IF(A112="","",IF((COUNTIF(Drain_Register!$A$5:$A$304,A112)+COUNTIF(RW_Register!$A$5:$A$304,A112)+COUNTIF(Embedded_Wall_Register!$A$5:$A$304,A112)+COUNTIF(Manhole_Register!$A$5:$A$304,A112)+COUNTIF(ERSS_Pit_Register!$A$5:$A$304,A112)+COUNTIF(Linkway_Register!$A$5:$A$304,A112)+COUNTIF(Other_Register!$A$5:$A$304,A112))&gt;0,"OK","ID not in any register"))</f>
        <v/>
      </c>
    </row>
    <row r="113" customFormat="false" ht="15" hidden="false" customHeight="false" outlineLevel="0" collapsed="false">
      <c r="A113" s="9"/>
      <c r="B113" s="9"/>
      <c r="C113" s="9"/>
      <c r="D113" s="9"/>
      <c r="E113" s="9"/>
      <c r="F113" s="9"/>
      <c r="G113" s="9"/>
      <c r="H113" s="9"/>
      <c r="I113" s="9"/>
      <c r="J113" s="10" t="str">
        <f aca="false">IF(A113="","",IF(G113&lt;&gt;"",G113,IF(N(F113)&gt;0,ROUND(1000/F113,3),0)))</f>
        <v/>
      </c>
      <c r="K113" s="10" t="str">
        <f aca="false">IF(OR(A113="",E113="",H113=""),"",ROUND(0.00617*E113^2*H113*J113,2))</f>
        <v/>
      </c>
      <c r="L113" s="9"/>
      <c r="M113" s="10" t="str">
        <f aca="false">IF(A113="","",IF((COUNTIF(Drain_Register!$A$5:$A$304,A113)+COUNTIF(RW_Register!$A$5:$A$304,A113)+COUNTIF(Embedded_Wall_Register!$A$5:$A$304,A113)+COUNTIF(Manhole_Register!$A$5:$A$304,A113)+COUNTIF(ERSS_Pit_Register!$A$5:$A$304,A113)+COUNTIF(Linkway_Register!$A$5:$A$304,A113)+COUNTIF(Other_Register!$A$5:$A$304,A113))&gt;0,"OK","ID not in any register"))</f>
        <v/>
      </c>
    </row>
    <row r="114" customFormat="false" ht="15" hidden="false" customHeight="false" outlineLevel="0" collapsed="false">
      <c r="A114" s="9"/>
      <c r="B114" s="9"/>
      <c r="C114" s="9"/>
      <c r="D114" s="9"/>
      <c r="E114" s="9"/>
      <c r="F114" s="9"/>
      <c r="G114" s="9"/>
      <c r="H114" s="9"/>
      <c r="I114" s="9"/>
      <c r="J114" s="10" t="str">
        <f aca="false">IF(A114="","",IF(G114&lt;&gt;"",G114,IF(N(F114)&gt;0,ROUND(1000/F114,3),0)))</f>
        <v/>
      </c>
      <c r="K114" s="10" t="str">
        <f aca="false">IF(OR(A114="",E114="",H114=""),"",ROUND(0.00617*E114^2*H114*J114,2))</f>
        <v/>
      </c>
      <c r="L114" s="9"/>
      <c r="M114" s="10" t="str">
        <f aca="false">IF(A114="","",IF((COUNTIF(Drain_Register!$A$5:$A$304,A114)+COUNTIF(RW_Register!$A$5:$A$304,A114)+COUNTIF(Embedded_Wall_Register!$A$5:$A$304,A114)+COUNTIF(Manhole_Register!$A$5:$A$304,A114)+COUNTIF(ERSS_Pit_Register!$A$5:$A$304,A114)+COUNTIF(Linkway_Register!$A$5:$A$304,A114)+COUNTIF(Other_Register!$A$5:$A$304,A114))&gt;0,"OK","ID not in any register"))</f>
        <v/>
      </c>
    </row>
    <row r="115" customFormat="false" ht="15" hidden="false" customHeight="false" outlineLevel="0" collapsed="false">
      <c r="A115" s="9"/>
      <c r="B115" s="9"/>
      <c r="C115" s="9"/>
      <c r="D115" s="9"/>
      <c r="E115" s="9"/>
      <c r="F115" s="9"/>
      <c r="G115" s="9"/>
      <c r="H115" s="9"/>
      <c r="I115" s="9"/>
      <c r="J115" s="10" t="str">
        <f aca="false">IF(A115="","",IF(G115&lt;&gt;"",G115,IF(N(F115)&gt;0,ROUND(1000/F115,3),0)))</f>
        <v/>
      </c>
      <c r="K115" s="10" t="str">
        <f aca="false">IF(OR(A115="",E115="",H115=""),"",ROUND(0.00617*E115^2*H115*J115,2))</f>
        <v/>
      </c>
      <c r="L115" s="9"/>
      <c r="M115" s="10" t="str">
        <f aca="false">IF(A115="","",IF((COUNTIF(Drain_Register!$A$5:$A$304,A115)+COUNTIF(RW_Register!$A$5:$A$304,A115)+COUNTIF(Embedded_Wall_Register!$A$5:$A$304,A115)+COUNTIF(Manhole_Register!$A$5:$A$304,A115)+COUNTIF(ERSS_Pit_Register!$A$5:$A$304,A115)+COUNTIF(Linkway_Register!$A$5:$A$304,A115)+COUNTIF(Other_Register!$A$5:$A$304,A115))&gt;0,"OK","ID not in any register"))</f>
        <v/>
      </c>
    </row>
    <row r="116" customFormat="false" ht="15" hidden="false" customHeight="false" outlineLevel="0" collapsed="false">
      <c r="A116" s="9"/>
      <c r="B116" s="9"/>
      <c r="C116" s="9"/>
      <c r="D116" s="9"/>
      <c r="E116" s="9"/>
      <c r="F116" s="9"/>
      <c r="G116" s="9"/>
      <c r="H116" s="9"/>
      <c r="I116" s="9"/>
      <c r="J116" s="10" t="str">
        <f aca="false">IF(A116="","",IF(G116&lt;&gt;"",G116,IF(N(F116)&gt;0,ROUND(1000/F116,3),0)))</f>
        <v/>
      </c>
      <c r="K116" s="10" t="str">
        <f aca="false">IF(OR(A116="",E116="",H116=""),"",ROUND(0.00617*E116^2*H116*J116,2))</f>
        <v/>
      </c>
      <c r="L116" s="9"/>
      <c r="M116" s="10" t="str">
        <f aca="false">IF(A116="","",IF((COUNTIF(Drain_Register!$A$5:$A$304,A116)+COUNTIF(RW_Register!$A$5:$A$304,A116)+COUNTIF(Embedded_Wall_Register!$A$5:$A$304,A116)+COUNTIF(Manhole_Register!$A$5:$A$304,A116)+COUNTIF(ERSS_Pit_Register!$A$5:$A$304,A116)+COUNTIF(Linkway_Register!$A$5:$A$304,A116)+COUNTIF(Other_Register!$A$5:$A$304,A116))&gt;0,"OK","ID not in any register"))</f>
        <v/>
      </c>
    </row>
    <row r="117" customFormat="false" ht="15" hidden="false" customHeight="false" outlineLevel="0" collapsed="false">
      <c r="A117" s="9"/>
      <c r="B117" s="9"/>
      <c r="C117" s="9"/>
      <c r="D117" s="9"/>
      <c r="E117" s="9"/>
      <c r="F117" s="9"/>
      <c r="G117" s="9"/>
      <c r="H117" s="9"/>
      <c r="I117" s="9"/>
      <c r="J117" s="10" t="str">
        <f aca="false">IF(A117="","",IF(G117&lt;&gt;"",G117,IF(N(F117)&gt;0,ROUND(1000/F117,3),0)))</f>
        <v/>
      </c>
      <c r="K117" s="10" t="str">
        <f aca="false">IF(OR(A117="",E117="",H117=""),"",ROUND(0.00617*E117^2*H117*J117,2))</f>
        <v/>
      </c>
      <c r="L117" s="9"/>
      <c r="M117" s="10" t="str">
        <f aca="false">IF(A117="","",IF((COUNTIF(Drain_Register!$A$5:$A$304,A117)+COUNTIF(RW_Register!$A$5:$A$304,A117)+COUNTIF(Embedded_Wall_Register!$A$5:$A$304,A117)+COUNTIF(Manhole_Register!$A$5:$A$304,A117)+COUNTIF(ERSS_Pit_Register!$A$5:$A$304,A117)+COUNTIF(Linkway_Register!$A$5:$A$304,A117)+COUNTIF(Other_Register!$A$5:$A$304,A117))&gt;0,"OK","ID not in any register"))</f>
        <v/>
      </c>
    </row>
    <row r="118" customFormat="false" ht="15" hidden="false" customHeight="false" outlineLevel="0" collapsed="false">
      <c r="A118" s="9"/>
      <c r="B118" s="9"/>
      <c r="C118" s="9"/>
      <c r="D118" s="9"/>
      <c r="E118" s="9"/>
      <c r="F118" s="9"/>
      <c r="G118" s="9"/>
      <c r="H118" s="9"/>
      <c r="I118" s="9"/>
      <c r="J118" s="10" t="str">
        <f aca="false">IF(A118="","",IF(G118&lt;&gt;"",G118,IF(N(F118)&gt;0,ROUND(1000/F118,3),0)))</f>
        <v/>
      </c>
      <c r="K118" s="10" t="str">
        <f aca="false">IF(OR(A118="",E118="",H118=""),"",ROUND(0.00617*E118^2*H118*J118,2))</f>
        <v/>
      </c>
      <c r="L118" s="9"/>
      <c r="M118" s="10" t="str">
        <f aca="false">IF(A118="","",IF((COUNTIF(Drain_Register!$A$5:$A$304,A118)+COUNTIF(RW_Register!$A$5:$A$304,A118)+COUNTIF(Embedded_Wall_Register!$A$5:$A$304,A118)+COUNTIF(Manhole_Register!$A$5:$A$304,A118)+COUNTIF(ERSS_Pit_Register!$A$5:$A$304,A118)+COUNTIF(Linkway_Register!$A$5:$A$304,A118)+COUNTIF(Other_Register!$A$5:$A$304,A118))&gt;0,"OK","ID not in any register"))</f>
        <v/>
      </c>
    </row>
    <row r="119" customFormat="false" ht="15" hidden="false" customHeight="false" outlineLevel="0" collapsed="false">
      <c r="A119" s="9"/>
      <c r="B119" s="9"/>
      <c r="C119" s="9"/>
      <c r="D119" s="9"/>
      <c r="E119" s="9"/>
      <c r="F119" s="9"/>
      <c r="G119" s="9"/>
      <c r="H119" s="9"/>
      <c r="I119" s="9"/>
      <c r="J119" s="10" t="str">
        <f aca="false">IF(A119="","",IF(G119&lt;&gt;"",G119,IF(N(F119)&gt;0,ROUND(1000/F119,3),0)))</f>
        <v/>
      </c>
      <c r="K119" s="10" t="str">
        <f aca="false">IF(OR(A119="",E119="",H119=""),"",ROUND(0.00617*E119^2*H119*J119,2))</f>
        <v/>
      </c>
      <c r="L119" s="9"/>
      <c r="M119" s="10" t="str">
        <f aca="false">IF(A119="","",IF((COUNTIF(Drain_Register!$A$5:$A$304,A119)+COUNTIF(RW_Register!$A$5:$A$304,A119)+COUNTIF(Embedded_Wall_Register!$A$5:$A$304,A119)+COUNTIF(Manhole_Register!$A$5:$A$304,A119)+COUNTIF(ERSS_Pit_Register!$A$5:$A$304,A119)+COUNTIF(Linkway_Register!$A$5:$A$304,A119)+COUNTIF(Other_Register!$A$5:$A$304,A119))&gt;0,"OK","ID not in any register"))</f>
        <v/>
      </c>
    </row>
    <row r="120" customFormat="false" ht="15" hidden="false" customHeight="false" outlineLevel="0" collapsed="false">
      <c r="A120" s="9"/>
      <c r="B120" s="9"/>
      <c r="C120" s="9"/>
      <c r="D120" s="9"/>
      <c r="E120" s="9"/>
      <c r="F120" s="9"/>
      <c r="G120" s="9"/>
      <c r="H120" s="9"/>
      <c r="I120" s="9"/>
      <c r="J120" s="10" t="str">
        <f aca="false">IF(A120="","",IF(G120&lt;&gt;"",G120,IF(N(F120)&gt;0,ROUND(1000/F120,3),0)))</f>
        <v/>
      </c>
      <c r="K120" s="10" t="str">
        <f aca="false">IF(OR(A120="",E120="",H120=""),"",ROUND(0.00617*E120^2*H120*J120,2))</f>
        <v/>
      </c>
      <c r="L120" s="9"/>
      <c r="M120" s="10" t="str">
        <f aca="false">IF(A120="","",IF((COUNTIF(Drain_Register!$A$5:$A$304,A120)+COUNTIF(RW_Register!$A$5:$A$304,A120)+COUNTIF(Embedded_Wall_Register!$A$5:$A$304,A120)+COUNTIF(Manhole_Register!$A$5:$A$304,A120)+COUNTIF(ERSS_Pit_Register!$A$5:$A$304,A120)+COUNTIF(Linkway_Register!$A$5:$A$304,A120)+COUNTIF(Other_Register!$A$5:$A$304,A120))&gt;0,"OK","ID not in any register"))</f>
        <v/>
      </c>
    </row>
    <row r="121" customFormat="false" ht="15" hidden="false" customHeight="false" outlineLevel="0" collapsed="false">
      <c r="A121" s="9"/>
      <c r="B121" s="9"/>
      <c r="C121" s="9"/>
      <c r="D121" s="9"/>
      <c r="E121" s="9"/>
      <c r="F121" s="9"/>
      <c r="G121" s="9"/>
      <c r="H121" s="9"/>
      <c r="I121" s="9"/>
      <c r="J121" s="10" t="str">
        <f aca="false">IF(A121="","",IF(G121&lt;&gt;"",G121,IF(N(F121)&gt;0,ROUND(1000/F121,3),0)))</f>
        <v/>
      </c>
      <c r="K121" s="10" t="str">
        <f aca="false">IF(OR(A121="",E121="",H121=""),"",ROUND(0.00617*E121^2*H121*J121,2))</f>
        <v/>
      </c>
      <c r="L121" s="9"/>
      <c r="M121" s="10" t="str">
        <f aca="false">IF(A121="","",IF((COUNTIF(Drain_Register!$A$5:$A$304,A121)+COUNTIF(RW_Register!$A$5:$A$304,A121)+COUNTIF(Embedded_Wall_Register!$A$5:$A$304,A121)+COUNTIF(Manhole_Register!$A$5:$A$304,A121)+COUNTIF(ERSS_Pit_Register!$A$5:$A$304,A121)+COUNTIF(Linkway_Register!$A$5:$A$304,A121)+COUNTIF(Other_Register!$A$5:$A$304,A121))&gt;0,"OK","ID not in any register"))</f>
        <v/>
      </c>
    </row>
    <row r="122" customFormat="false" ht="15" hidden="false" customHeight="false" outlineLevel="0" collapsed="false">
      <c r="A122" s="9"/>
      <c r="B122" s="9"/>
      <c r="C122" s="9"/>
      <c r="D122" s="9"/>
      <c r="E122" s="9"/>
      <c r="F122" s="9"/>
      <c r="G122" s="9"/>
      <c r="H122" s="9"/>
      <c r="I122" s="9"/>
      <c r="J122" s="10" t="str">
        <f aca="false">IF(A122="","",IF(G122&lt;&gt;"",G122,IF(N(F122)&gt;0,ROUND(1000/F122,3),0)))</f>
        <v/>
      </c>
      <c r="K122" s="10" t="str">
        <f aca="false">IF(OR(A122="",E122="",H122=""),"",ROUND(0.00617*E122^2*H122*J122,2))</f>
        <v/>
      </c>
      <c r="L122" s="9"/>
      <c r="M122" s="10" t="str">
        <f aca="false">IF(A122="","",IF((COUNTIF(Drain_Register!$A$5:$A$304,A122)+COUNTIF(RW_Register!$A$5:$A$304,A122)+COUNTIF(Embedded_Wall_Register!$A$5:$A$304,A122)+COUNTIF(Manhole_Register!$A$5:$A$304,A122)+COUNTIF(ERSS_Pit_Register!$A$5:$A$304,A122)+COUNTIF(Linkway_Register!$A$5:$A$304,A122)+COUNTIF(Other_Register!$A$5:$A$304,A122))&gt;0,"OK","ID not in any register"))</f>
        <v/>
      </c>
    </row>
    <row r="123" customFormat="false" ht="15" hidden="false" customHeight="false" outlineLevel="0" collapsed="false">
      <c r="A123" s="9"/>
      <c r="B123" s="9"/>
      <c r="C123" s="9"/>
      <c r="D123" s="9"/>
      <c r="E123" s="9"/>
      <c r="F123" s="9"/>
      <c r="G123" s="9"/>
      <c r="H123" s="9"/>
      <c r="I123" s="9"/>
      <c r="J123" s="10" t="str">
        <f aca="false">IF(A123="","",IF(G123&lt;&gt;"",G123,IF(N(F123)&gt;0,ROUND(1000/F123,3),0)))</f>
        <v/>
      </c>
      <c r="K123" s="10" t="str">
        <f aca="false">IF(OR(A123="",E123="",H123=""),"",ROUND(0.00617*E123^2*H123*J123,2))</f>
        <v/>
      </c>
      <c r="L123" s="9"/>
      <c r="M123" s="10" t="str">
        <f aca="false">IF(A123="","",IF((COUNTIF(Drain_Register!$A$5:$A$304,A123)+COUNTIF(RW_Register!$A$5:$A$304,A123)+COUNTIF(Embedded_Wall_Register!$A$5:$A$304,A123)+COUNTIF(Manhole_Register!$A$5:$A$304,A123)+COUNTIF(ERSS_Pit_Register!$A$5:$A$304,A123)+COUNTIF(Linkway_Register!$A$5:$A$304,A123)+COUNTIF(Other_Register!$A$5:$A$304,A123))&gt;0,"OK","ID not in any register"))</f>
        <v/>
      </c>
    </row>
    <row r="124" customFormat="false" ht="15" hidden="false" customHeight="false" outlineLevel="0" collapsed="false">
      <c r="A124" s="9"/>
      <c r="B124" s="9"/>
      <c r="C124" s="9"/>
      <c r="D124" s="9"/>
      <c r="E124" s="9"/>
      <c r="F124" s="9"/>
      <c r="G124" s="9"/>
      <c r="H124" s="9"/>
      <c r="I124" s="9"/>
      <c r="J124" s="10" t="str">
        <f aca="false">IF(A124="","",IF(G124&lt;&gt;"",G124,IF(N(F124)&gt;0,ROUND(1000/F124,3),0)))</f>
        <v/>
      </c>
      <c r="K124" s="10" t="str">
        <f aca="false">IF(OR(A124="",E124="",H124=""),"",ROUND(0.00617*E124^2*H124*J124,2))</f>
        <v/>
      </c>
      <c r="L124" s="9"/>
      <c r="M124" s="10" t="str">
        <f aca="false">IF(A124="","",IF((COUNTIF(Drain_Register!$A$5:$A$304,A124)+COUNTIF(RW_Register!$A$5:$A$304,A124)+COUNTIF(Embedded_Wall_Register!$A$5:$A$304,A124)+COUNTIF(Manhole_Register!$A$5:$A$304,A124)+COUNTIF(ERSS_Pit_Register!$A$5:$A$304,A124)+COUNTIF(Linkway_Register!$A$5:$A$304,A124)+COUNTIF(Other_Register!$A$5:$A$304,A124))&gt;0,"OK","ID not in any register"))</f>
        <v/>
      </c>
    </row>
    <row r="125" customFormat="false" ht="15" hidden="false" customHeight="false" outlineLevel="0" collapsed="false">
      <c r="A125" s="9"/>
      <c r="B125" s="9"/>
      <c r="C125" s="9"/>
      <c r="D125" s="9"/>
      <c r="E125" s="9"/>
      <c r="F125" s="9"/>
      <c r="G125" s="9"/>
      <c r="H125" s="9"/>
      <c r="I125" s="9"/>
      <c r="J125" s="10" t="str">
        <f aca="false">IF(A125="","",IF(G125&lt;&gt;"",G125,IF(N(F125)&gt;0,ROUND(1000/F125,3),0)))</f>
        <v/>
      </c>
      <c r="K125" s="10" t="str">
        <f aca="false">IF(OR(A125="",E125="",H125=""),"",ROUND(0.00617*E125^2*H125*J125,2))</f>
        <v/>
      </c>
      <c r="L125" s="9"/>
      <c r="M125" s="10" t="str">
        <f aca="false">IF(A125="","",IF((COUNTIF(Drain_Register!$A$5:$A$304,A125)+COUNTIF(RW_Register!$A$5:$A$304,A125)+COUNTIF(Embedded_Wall_Register!$A$5:$A$304,A125)+COUNTIF(Manhole_Register!$A$5:$A$304,A125)+COUNTIF(ERSS_Pit_Register!$A$5:$A$304,A125)+COUNTIF(Linkway_Register!$A$5:$A$304,A125)+COUNTIF(Other_Register!$A$5:$A$304,A125))&gt;0,"OK","ID not in any register"))</f>
        <v/>
      </c>
    </row>
    <row r="126" customFormat="false" ht="15" hidden="false" customHeight="false" outlineLevel="0" collapsed="false">
      <c r="A126" s="9"/>
      <c r="B126" s="9"/>
      <c r="C126" s="9"/>
      <c r="D126" s="9"/>
      <c r="E126" s="9"/>
      <c r="F126" s="9"/>
      <c r="G126" s="9"/>
      <c r="H126" s="9"/>
      <c r="I126" s="9"/>
      <c r="J126" s="10" t="str">
        <f aca="false">IF(A126="","",IF(G126&lt;&gt;"",G126,IF(N(F126)&gt;0,ROUND(1000/F126,3),0)))</f>
        <v/>
      </c>
      <c r="K126" s="10" t="str">
        <f aca="false">IF(OR(A126="",E126="",H126=""),"",ROUND(0.00617*E126^2*H126*J126,2))</f>
        <v/>
      </c>
      <c r="L126" s="9"/>
      <c r="M126" s="10" t="str">
        <f aca="false">IF(A126="","",IF((COUNTIF(Drain_Register!$A$5:$A$304,A126)+COUNTIF(RW_Register!$A$5:$A$304,A126)+COUNTIF(Embedded_Wall_Register!$A$5:$A$304,A126)+COUNTIF(Manhole_Register!$A$5:$A$304,A126)+COUNTIF(ERSS_Pit_Register!$A$5:$A$304,A126)+COUNTIF(Linkway_Register!$A$5:$A$304,A126)+COUNTIF(Other_Register!$A$5:$A$304,A126))&gt;0,"OK","ID not in any register"))</f>
        <v/>
      </c>
    </row>
    <row r="127" customFormat="false" ht="15" hidden="false" customHeight="false" outlineLevel="0" collapsed="false">
      <c r="A127" s="9"/>
      <c r="B127" s="9"/>
      <c r="C127" s="9"/>
      <c r="D127" s="9"/>
      <c r="E127" s="9"/>
      <c r="F127" s="9"/>
      <c r="G127" s="9"/>
      <c r="H127" s="9"/>
      <c r="I127" s="9"/>
      <c r="J127" s="10" t="str">
        <f aca="false">IF(A127="","",IF(G127&lt;&gt;"",G127,IF(N(F127)&gt;0,ROUND(1000/F127,3),0)))</f>
        <v/>
      </c>
      <c r="K127" s="10" t="str">
        <f aca="false">IF(OR(A127="",E127="",H127=""),"",ROUND(0.00617*E127^2*H127*J127,2))</f>
        <v/>
      </c>
      <c r="L127" s="9"/>
      <c r="M127" s="10" t="str">
        <f aca="false">IF(A127="","",IF((COUNTIF(Drain_Register!$A$5:$A$304,A127)+COUNTIF(RW_Register!$A$5:$A$304,A127)+COUNTIF(Embedded_Wall_Register!$A$5:$A$304,A127)+COUNTIF(Manhole_Register!$A$5:$A$304,A127)+COUNTIF(ERSS_Pit_Register!$A$5:$A$304,A127)+COUNTIF(Linkway_Register!$A$5:$A$304,A127)+COUNTIF(Other_Register!$A$5:$A$304,A127))&gt;0,"OK","ID not in any register"))</f>
        <v/>
      </c>
    </row>
    <row r="128" customFormat="false" ht="15" hidden="false" customHeight="false" outlineLevel="0" collapsed="false">
      <c r="A128" s="9"/>
      <c r="B128" s="9"/>
      <c r="C128" s="9"/>
      <c r="D128" s="9"/>
      <c r="E128" s="9"/>
      <c r="F128" s="9"/>
      <c r="G128" s="9"/>
      <c r="H128" s="9"/>
      <c r="I128" s="9"/>
      <c r="J128" s="10" t="str">
        <f aca="false">IF(A128="","",IF(G128&lt;&gt;"",G128,IF(N(F128)&gt;0,ROUND(1000/F128,3),0)))</f>
        <v/>
      </c>
      <c r="K128" s="10" t="str">
        <f aca="false">IF(OR(A128="",E128="",H128=""),"",ROUND(0.00617*E128^2*H128*J128,2))</f>
        <v/>
      </c>
      <c r="L128" s="9"/>
      <c r="M128" s="10" t="str">
        <f aca="false">IF(A128="","",IF((COUNTIF(Drain_Register!$A$5:$A$304,A128)+COUNTIF(RW_Register!$A$5:$A$304,A128)+COUNTIF(Embedded_Wall_Register!$A$5:$A$304,A128)+COUNTIF(Manhole_Register!$A$5:$A$304,A128)+COUNTIF(ERSS_Pit_Register!$A$5:$A$304,A128)+COUNTIF(Linkway_Register!$A$5:$A$304,A128)+COUNTIF(Other_Register!$A$5:$A$304,A128))&gt;0,"OK","ID not in any register"))</f>
        <v/>
      </c>
    </row>
    <row r="129" customFormat="false" ht="15" hidden="false" customHeight="false" outlineLevel="0" collapsed="false">
      <c r="A129" s="9"/>
      <c r="B129" s="9"/>
      <c r="C129" s="9"/>
      <c r="D129" s="9"/>
      <c r="E129" s="9"/>
      <c r="F129" s="9"/>
      <c r="G129" s="9"/>
      <c r="H129" s="9"/>
      <c r="I129" s="9"/>
      <c r="J129" s="10" t="str">
        <f aca="false">IF(A129="","",IF(G129&lt;&gt;"",G129,IF(N(F129)&gt;0,ROUND(1000/F129,3),0)))</f>
        <v/>
      </c>
      <c r="K129" s="10" t="str">
        <f aca="false">IF(OR(A129="",E129="",H129=""),"",ROUND(0.00617*E129^2*H129*J129,2))</f>
        <v/>
      </c>
      <c r="L129" s="9"/>
      <c r="M129" s="10" t="str">
        <f aca="false">IF(A129="","",IF((COUNTIF(Drain_Register!$A$5:$A$304,A129)+COUNTIF(RW_Register!$A$5:$A$304,A129)+COUNTIF(Embedded_Wall_Register!$A$5:$A$304,A129)+COUNTIF(Manhole_Register!$A$5:$A$304,A129)+COUNTIF(ERSS_Pit_Register!$A$5:$A$304,A129)+COUNTIF(Linkway_Register!$A$5:$A$304,A129)+COUNTIF(Other_Register!$A$5:$A$304,A129))&gt;0,"OK","ID not in any register"))</f>
        <v/>
      </c>
    </row>
    <row r="130" customFormat="false" ht="15" hidden="false" customHeight="false" outlineLevel="0" collapsed="false">
      <c r="A130" s="9"/>
      <c r="B130" s="9"/>
      <c r="C130" s="9"/>
      <c r="D130" s="9"/>
      <c r="E130" s="9"/>
      <c r="F130" s="9"/>
      <c r="G130" s="9"/>
      <c r="H130" s="9"/>
      <c r="I130" s="9"/>
      <c r="J130" s="10" t="str">
        <f aca="false">IF(A130="","",IF(G130&lt;&gt;"",G130,IF(N(F130)&gt;0,ROUND(1000/F130,3),0)))</f>
        <v/>
      </c>
      <c r="K130" s="10" t="str">
        <f aca="false">IF(OR(A130="",E130="",H130=""),"",ROUND(0.00617*E130^2*H130*J130,2))</f>
        <v/>
      </c>
      <c r="L130" s="9"/>
      <c r="M130" s="10" t="str">
        <f aca="false">IF(A130="","",IF((COUNTIF(Drain_Register!$A$5:$A$304,A130)+COUNTIF(RW_Register!$A$5:$A$304,A130)+COUNTIF(Embedded_Wall_Register!$A$5:$A$304,A130)+COUNTIF(Manhole_Register!$A$5:$A$304,A130)+COUNTIF(ERSS_Pit_Register!$A$5:$A$304,A130)+COUNTIF(Linkway_Register!$A$5:$A$304,A130)+COUNTIF(Other_Register!$A$5:$A$304,A130))&gt;0,"OK","ID not in any register"))</f>
        <v/>
      </c>
    </row>
    <row r="131" customFormat="false" ht="15" hidden="false" customHeight="false" outlineLevel="0" collapsed="false">
      <c r="A131" s="9"/>
      <c r="B131" s="9"/>
      <c r="C131" s="9"/>
      <c r="D131" s="9"/>
      <c r="E131" s="9"/>
      <c r="F131" s="9"/>
      <c r="G131" s="9"/>
      <c r="H131" s="9"/>
      <c r="I131" s="9"/>
      <c r="J131" s="10" t="str">
        <f aca="false">IF(A131="","",IF(G131&lt;&gt;"",G131,IF(N(F131)&gt;0,ROUND(1000/F131,3),0)))</f>
        <v/>
      </c>
      <c r="K131" s="10" t="str">
        <f aca="false">IF(OR(A131="",E131="",H131=""),"",ROUND(0.00617*E131^2*H131*J131,2))</f>
        <v/>
      </c>
      <c r="L131" s="9"/>
      <c r="M131" s="10" t="str">
        <f aca="false">IF(A131="","",IF((COUNTIF(Drain_Register!$A$5:$A$304,A131)+COUNTIF(RW_Register!$A$5:$A$304,A131)+COUNTIF(Embedded_Wall_Register!$A$5:$A$304,A131)+COUNTIF(Manhole_Register!$A$5:$A$304,A131)+COUNTIF(ERSS_Pit_Register!$A$5:$A$304,A131)+COUNTIF(Linkway_Register!$A$5:$A$304,A131)+COUNTIF(Other_Register!$A$5:$A$304,A131))&gt;0,"OK","ID not in any register"))</f>
        <v/>
      </c>
    </row>
    <row r="132" customFormat="false" ht="15" hidden="false" customHeight="false" outlineLevel="0" collapsed="false">
      <c r="A132" s="9"/>
      <c r="B132" s="9"/>
      <c r="C132" s="9"/>
      <c r="D132" s="9"/>
      <c r="E132" s="9"/>
      <c r="F132" s="9"/>
      <c r="G132" s="9"/>
      <c r="H132" s="9"/>
      <c r="I132" s="9"/>
      <c r="J132" s="10" t="str">
        <f aca="false">IF(A132="","",IF(G132&lt;&gt;"",G132,IF(N(F132)&gt;0,ROUND(1000/F132,3),0)))</f>
        <v/>
      </c>
      <c r="K132" s="10" t="str">
        <f aca="false">IF(OR(A132="",E132="",H132=""),"",ROUND(0.00617*E132^2*H132*J132,2))</f>
        <v/>
      </c>
      <c r="L132" s="9"/>
      <c r="M132" s="10" t="str">
        <f aca="false">IF(A132="","",IF((COUNTIF(Drain_Register!$A$5:$A$304,A132)+COUNTIF(RW_Register!$A$5:$A$304,A132)+COUNTIF(Embedded_Wall_Register!$A$5:$A$304,A132)+COUNTIF(Manhole_Register!$A$5:$A$304,A132)+COUNTIF(ERSS_Pit_Register!$A$5:$A$304,A132)+COUNTIF(Linkway_Register!$A$5:$A$304,A132)+COUNTIF(Other_Register!$A$5:$A$304,A132))&gt;0,"OK","ID not in any register"))</f>
        <v/>
      </c>
    </row>
    <row r="133" customFormat="false" ht="15" hidden="false" customHeight="false" outlineLevel="0" collapsed="false">
      <c r="A133" s="9"/>
      <c r="B133" s="9"/>
      <c r="C133" s="9"/>
      <c r="D133" s="9"/>
      <c r="E133" s="9"/>
      <c r="F133" s="9"/>
      <c r="G133" s="9"/>
      <c r="H133" s="9"/>
      <c r="I133" s="9"/>
      <c r="J133" s="10" t="str">
        <f aca="false">IF(A133="","",IF(G133&lt;&gt;"",G133,IF(N(F133)&gt;0,ROUND(1000/F133,3),0)))</f>
        <v/>
      </c>
      <c r="K133" s="10" t="str">
        <f aca="false">IF(OR(A133="",E133="",H133=""),"",ROUND(0.00617*E133^2*H133*J133,2))</f>
        <v/>
      </c>
      <c r="L133" s="9"/>
      <c r="M133" s="10" t="str">
        <f aca="false">IF(A133="","",IF((COUNTIF(Drain_Register!$A$5:$A$304,A133)+COUNTIF(RW_Register!$A$5:$A$304,A133)+COUNTIF(Embedded_Wall_Register!$A$5:$A$304,A133)+COUNTIF(Manhole_Register!$A$5:$A$304,A133)+COUNTIF(ERSS_Pit_Register!$A$5:$A$304,A133)+COUNTIF(Linkway_Register!$A$5:$A$304,A133)+COUNTIF(Other_Register!$A$5:$A$304,A133))&gt;0,"OK","ID not in any register"))</f>
        <v/>
      </c>
    </row>
    <row r="134" customFormat="false" ht="15" hidden="false" customHeight="false" outlineLevel="0" collapsed="false">
      <c r="A134" s="9"/>
      <c r="B134" s="9"/>
      <c r="C134" s="9"/>
      <c r="D134" s="9"/>
      <c r="E134" s="9"/>
      <c r="F134" s="9"/>
      <c r="G134" s="9"/>
      <c r="H134" s="9"/>
      <c r="I134" s="9"/>
      <c r="J134" s="10" t="str">
        <f aca="false">IF(A134="","",IF(G134&lt;&gt;"",G134,IF(N(F134)&gt;0,ROUND(1000/F134,3),0)))</f>
        <v/>
      </c>
      <c r="K134" s="10" t="str">
        <f aca="false">IF(OR(A134="",E134="",H134=""),"",ROUND(0.00617*E134^2*H134*J134,2))</f>
        <v/>
      </c>
      <c r="L134" s="9"/>
      <c r="M134" s="10" t="str">
        <f aca="false">IF(A134="","",IF((COUNTIF(Drain_Register!$A$5:$A$304,A134)+COUNTIF(RW_Register!$A$5:$A$304,A134)+COUNTIF(Embedded_Wall_Register!$A$5:$A$304,A134)+COUNTIF(Manhole_Register!$A$5:$A$304,A134)+COUNTIF(ERSS_Pit_Register!$A$5:$A$304,A134)+COUNTIF(Linkway_Register!$A$5:$A$304,A134)+COUNTIF(Other_Register!$A$5:$A$304,A134))&gt;0,"OK","ID not in any register"))</f>
        <v/>
      </c>
    </row>
    <row r="135" customFormat="false" ht="15" hidden="false" customHeight="false" outlineLevel="0" collapsed="false">
      <c r="A135" s="9"/>
      <c r="B135" s="9"/>
      <c r="C135" s="9"/>
      <c r="D135" s="9"/>
      <c r="E135" s="9"/>
      <c r="F135" s="9"/>
      <c r="G135" s="9"/>
      <c r="H135" s="9"/>
      <c r="I135" s="9"/>
      <c r="J135" s="10" t="str">
        <f aca="false">IF(A135="","",IF(G135&lt;&gt;"",G135,IF(N(F135)&gt;0,ROUND(1000/F135,3),0)))</f>
        <v/>
      </c>
      <c r="K135" s="10" t="str">
        <f aca="false">IF(OR(A135="",E135="",H135=""),"",ROUND(0.00617*E135^2*H135*J135,2))</f>
        <v/>
      </c>
      <c r="L135" s="9"/>
      <c r="M135" s="10" t="str">
        <f aca="false">IF(A135="","",IF((COUNTIF(Drain_Register!$A$5:$A$304,A135)+COUNTIF(RW_Register!$A$5:$A$304,A135)+COUNTIF(Embedded_Wall_Register!$A$5:$A$304,A135)+COUNTIF(Manhole_Register!$A$5:$A$304,A135)+COUNTIF(ERSS_Pit_Register!$A$5:$A$304,A135)+COUNTIF(Linkway_Register!$A$5:$A$304,A135)+COUNTIF(Other_Register!$A$5:$A$304,A135))&gt;0,"OK","ID not in any register"))</f>
        <v/>
      </c>
    </row>
    <row r="136" customFormat="false" ht="15" hidden="false" customHeight="false" outlineLevel="0" collapsed="false">
      <c r="A136" s="9"/>
      <c r="B136" s="9"/>
      <c r="C136" s="9"/>
      <c r="D136" s="9"/>
      <c r="E136" s="9"/>
      <c r="F136" s="9"/>
      <c r="G136" s="9"/>
      <c r="H136" s="9"/>
      <c r="I136" s="9"/>
      <c r="J136" s="10" t="str">
        <f aca="false">IF(A136="","",IF(G136&lt;&gt;"",G136,IF(N(F136)&gt;0,ROUND(1000/F136,3),0)))</f>
        <v/>
      </c>
      <c r="K136" s="10" t="str">
        <f aca="false">IF(OR(A136="",E136="",H136=""),"",ROUND(0.00617*E136^2*H136*J136,2))</f>
        <v/>
      </c>
      <c r="L136" s="9"/>
      <c r="M136" s="10" t="str">
        <f aca="false">IF(A136="","",IF((COUNTIF(Drain_Register!$A$5:$A$304,A136)+COUNTIF(RW_Register!$A$5:$A$304,A136)+COUNTIF(Embedded_Wall_Register!$A$5:$A$304,A136)+COUNTIF(Manhole_Register!$A$5:$A$304,A136)+COUNTIF(ERSS_Pit_Register!$A$5:$A$304,A136)+COUNTIF(Linkway_Register!$A$5:$A$304,A136)+COUNTIF(Other_Register!$A$5:$A$304,A136))&gt;0,"OK","ID not in any register"))</f>
        <v/>
      </c>
    </row>
    <row r="137" customFormat="false" ht="15" hidden="false" customHeight="false" outlineLevel="0" collapsed="false">
      <c r="A137" s="9"/>
      <c r="B137" s="9"/>
      <c r="C137" s="9"/>
      <c r="D137" s="9"/>
      <c r="E137" s="9"/>
      <c r="F137" s="9"/>
      <c r="G137" s="9"/>
      <c r="H137" s="9"/>
      <c r="I137" s="9"/>
      <c r="J137" s="10" t="str">
        <f aca="false">IF(A137="","",IF(G137&lt;&gt;"",G137,IF(N(F137)&gt;0,ROUND(1000/F137,3),0)))</f>
        <v/>
      </c>
      <c r="K137" s="10" t="str">
        <f aca="false">IF(OR(A137="",E137="",H137=""),"",ROUND(0.00617*E137^2*H137*J137,2))</f>
        <v/>
      </c>
      <c r="L137" s="9"/>
      <c r="M137" s="10" t="str">
        <f aca="false">IF(A137="","",IF((COUNTIF(Drain_Register!$A$5:$A$304,A137)+COUNTIF(RW_Register!$A$5:$A$304,A137)+COUNTIF(Embedded_Wall_Register!$A$5:$A$304,A137)+COUNTIF(Manhole_Register!$A$5:$A$304,A137)+COUNTIF(ERSS_Pit_Register!$A$5:$A$304,A137)+COUNTIF(Linkway_Register!$A$5:$A$304,A137)+COUNTIF(Other_Register!$A$5:$A$304,A137))&gt;0,"OK","ID not in any register"))</f>
        <v/>
      </c>
    </row>
    <row r="138" customFormat="false" ht="15" hidden="false" customHeight="false" outlineLevel="0" collapsed="false">
      <c r="A138" s="9"/>
      <c r="B138" s="9"/>
      <c r="C138" s="9"/>
      <c r="D138" s="9"/>
      <c r="E138" s="9"/>
      <c r="F138" s="9"/>
      <c r="G138" s="9"/>
      <c r="H138" s="9"/>
      <c r="I138" s="9"/>
      <c r="J138" s="10" t="str">
        <f aca="false">IF(A138="","",IF(G138&lt;&gt;"",G138,IF(N(F138)&gt;0,ROUND(1000/F138,3),0)))</f>
        <v/>
      </c>
      <c r="K138" s="10" t="str">
        <f aca="false">IF(OR(A138="",E138="",H138=""),"",ROUND(0.00617*E138^2*H138*J138,2))</f>
        <v/>
      </c>
      <c r="L138" s="9"/>
      <c r="M138" s="10" t="str">
        <f aca="false">IF(A138="","",IF((COUNTIF(Drain_Register!$A$5:$A$304,A138)+COUNTIF(RW_Register!$A$5:$A$304,A138)+COUNTIF(Embedded_Wall_Register!$A$5:$A$304,A138)+COUNTIF(Manhole_Register!$A$5:$A$304,A138)+COUNTIF(ERSS_Pit_Register!$A$5:$A$304,A138)+COUNTIF(Linkway_Register!$A$5:$A$304,A138)+COUNTIF(Other_Register!$A$5:$A$304,A138))&gt;0,"OK","ID not in any register"))</f>
        <v/>
      </c>
    </row>
    <row r="139" customFormat="false" ht="15" hidden="false" customHeight="false" outlineLevel="0" collapsed="false">
      <c r="A139" s="9"/>
      <c r="B139" s="9"/>
      <c r="C139" s="9"/>
      <c r="D139" s="9"/>
      <c r="E139" s="9"/>
      <c r="F139" s="9"/>
      <c r="G139" s="9"/>
      <c r="H139" s="9"/>
      <c r="I139" s="9"/>
      <c r="J139" s="10" t="str">
        <f aca="false">IF(A139="","",IF(G139&lt;&gt;"",G139,IF(N(F139)&gt;0,ROUND(1000/F139,3),0)))</f>
        <v/>
      </c>
      <c r="K139" s="10" t="str">
        <f aca="false">IF(OR(A139="",E139="",H139=""),"",ROUND(0.00617*E139^2*H139*J139,2))</f>
        <v/>
      </c>
      <c r="L139" s="9"/>
      <c r="M139" s="10" t="str">
        <f aca="false">IF(A139="","",IF((COUNTIF(Drain_Register!$A$5:$A$304,A139)+COUNTIF(RW_Register!$A$5:$A$304,A139)+COUNTIF(Embedded_Wall_Register!$A$5:$A$304,A139)+COUNTIF(Manhole_Register!$A$5:$A$304,A139)+COUNTIF(ERSS_Pit_Register!$A$5:$A$304,A139)+COUNTIF(Linkway_Register!$A$5:$A$304,A139)+COUNTIF(Other_Register!$A$5:$A$304,A139))&gt;0,"OK","ID not in any register"))</f>
        <v/>
      </c>
    </row>
    <row r="140" customFormat="false" ht="15" hidden="false" customHeight="false" outlineLevel="0" collapsed="false">
      <c r="A140" s="9"/>
      <c r="B140" s="9"/>
      <c r="C140" s="9"/>
      <c r="D140" s="9"/>
      <c r="E140" s="9"/>
      <c r="F140" s="9"/>
      <c r="G140" s="9"/>
      <c r="H140" s="9"/>
      <c r="I140" s="9"/>
      <c r="J140" s="10" t="str">
        <f aca="false">IF(A140="","",IF(G140&lt;&gt;"",G140,IF(N(F140)&gt;0,ROUND(1000/F140,3),0)))</f>
        <v/>
      </c>
      <c r="K140" s="10" t="str">
        <f aca="false">IF(OR(A140="",E140="",H140=""),"",ROUND(0.00617*E140^2*H140*J140,2))</f>
        <v/>
      </c>
      <c r="L140" s="9"/>
      <c r="M140" s="10" t="str">
        <f aca="false">IF(A140="","",IF((COUNTIF(Drain_Register!$A$5:$A$304,A140)+COUNTIF(RW_Register!$A$5:$A$304,A140)+COUNTIF(Embedded_Wall_Register!$A$5:$A$304,A140)+COUNTIF(Manhole_Register!$A$5:$A$304,A140)+COUNTIF(ERSS_Pit_Register!$A$5:$A$304,A140)+COUNTIF(Linkway_Register!$A$5:$A$304,A140)+COUNTIF(Other_Register!$A$5:$A$304,A140))&gt;0,"OK","ID not in any register"))</f>
        <v/>
      </c>
    </row>
    <row r="141" customFormat="false" ht="15" hidden="false" customHeight="false" outlineLevel="0" collapsed="false">
      <c r="A141" s="9"/>
      <c r="B141" s="9"/>
      <c r="C141" s="9"/>
      <c r="D141" s="9"/>
      <c r="E141" s="9"/>
      <c r="F141" s="9"/>
      <c r="G141" s="9"/>
      <c r="H141" s="9"/>
      <c r="I141" s="9"/>
      <c r="J141" s="10" t="str">
        <f aca="false">IF(A141="","",IF(G141&lt;&gt;"",G141,IF(N(F141)&gt;0,ROUND(1000/F141,3),0)))</f>
        <v/>
      </c>
      <c r="K141" s="10" t="str">
        <f aca="false">IF(OR(A141="",E141="",H141=""),"",ROUND(0.00617*E141^2*H141*J141,2))</f>
        <v/>
      </c>
      <c r="L141" s="9"/>
      <c r="M141" s="10" t="str">
        <f aca="false">IF(A141="","",IF((COUNTIF(Drain_Register!$A$5:$A$304,A141)+COUNTIF(RW_Register!$A$5:$A$304,A141)+COUNTIF(Embedded_Wall_Register!$A$5:$A$304,A141)+COUNTIF(Manhole_Register!$A$5:$A$304,A141)+COUNTIF(ERSS_Pit_Register!$A$5:$A$304,A141)+COUNTIF(Linkway_Register!$A$5:$A$304,A141)+COUNTIF(Other_Register!$A$5:$A$304,A141))&gt;0,"OK","ID not in any register"))</f>
        <v/>
      </c>
    </row>
    <row r="142" customFormat="false" ht="15" hidden="false" customHeight="false" outlineLevel="0" collapsed="false">
      <c r="A142" s="9"/>
      <c r="B142" s="9"/>
      <c r="C142" s="9"/>
      <c r="D142" s="9"/>
      <c r="E142" s="9"/>
      <c r="F142" s="9"/>
      <c r="G142" s="9"/>
      <c r="H142" s="9"/>
      <c r="I142" s="9"/>
      <c r="J142" s="10" t="str">
        <f aca="false">IF(A142="","",IF(G142&lt;&gt;"",G142,IF(N(F142)&gt;0,ROUND(1000/F142,3),0)))</f>
        <v/>
      </c>
      <c r="K142" s="10" t="str">
        <f aca="false">IF(OR(A142="",E142="",H142=""),"",ROUND(0.00617*E142^2*H142*J142,2))</f>
        <v/>
      </c>
      <c r="L142" s="9"/>
      <c r="M142" s="10" t="str">
        <f aca="false">IF(A142="","",IF((COUNTIF(Drain_Register!$A$5:$A$304,A142)+COUNTIF(RW_Register!$A$5:$A$304,A142)+COUNTIF(Embedded_Wall_Register!$A$5:$A$304,A142)+COUNTIF(Manhole_Register!$A$5:$A$304,A142)+COUNTIF(ERSS_Pit_Register!$A$5:$A$304,A142)+COUNTIF(Linkway_Register!$A$5:$A$304,A142)+COUNTIF(Other_Register!$A$5:$A$304,A142))&gt;0,"OK","ID not in any register"))</f>
        <v/>
      </c>
    </row>
    <row r="143" customFormat="false" ht="15" hidden="false" customHeight="false" outlineLevel="0" collapsed="false">
      <c r="A143" s="9"/>
      <c r="B143" s="9"/>
      <c r="C143" s="9"/>
      <c r="D143" s="9"/>
      <c r="E143" s="9"/>
      <c r="F143" s="9"/>
      <c r="G143" s="9"/>
      <c r="H143" s="9"/>
      <c r="I143" s="9"/>
      <c r="J143" s="10" t="str">
        <f aca="false">IF(A143="","",IF(G143&lt;&gt;"",G143,IF(N(F143)&gt;0,ROUND(1000/F143,3),0)))</f>
        <v/>
      </c>
      <c r="K143" s="10" t="str">
        <f aca="false">IF(OR(A143="",E143="",H143=""),"",ROUND(0.00617*E143^2*H143*J143,2))</f>
        <v/>
      </c>
      <c r="L143" s="9"/>
      <c r="M143" s="10" t="str">
        <f aca="false">IF(A143="","",IF((COUNTIF(Drain_Register!$A$5:$A$304,A143)+COUNTIF(RW_Register!$A$5:$A$304,A143)+COUNTIF(Embedded_Wall_Register!$A$5:$A$304,A143)+COUNTIF(Manhole_Register!$A$5:$A$304,A143)+COUNTIF(ERSS_Pit_Register!$A$5:$A$304,A143)+COUNTIF(Linkway_Register!$A$5:$A$304,A143)+COUNTIF(Other_Register!$A$5:$A$304,A143))&gt;0,"OK","ID not in any register"))</f>
        <v/>
      </c>
    </row>
    <row r="144" customFormat="false" ht="15" hidden="false" customHeight="false" outlineLevel="0" collapsed="false">
      <c r="A144" s="9"/>
      <c r="B144" s="9"/>
      <c r="C144" s="9"/>
      <c r="D144" s="9"/>
      <c r="E144" s="9"/>
      <c r="F144" s="9"/>
      <c r="G144" s="9"/>
      <c r="H144" s="9"/>
      <c r="I144" s="9"/>
      <c r="J144" s="10" t="str">
        <f aca="false">IF(A144="","",IF(G144&lt;&gt;"",G144,IF(N(F144)&gt;0,ROUND(1000/F144,3),0)))</f>
        <v/>
      </c>
      <c r="K144" s="10" t="str">
        <f aca="false">IF(OR(A144="",E144="",H144=""),"",ROUND(0.00617*E144^2*H144*J144,2))</f>
        <v/>
      </c>
      <c r="L144" s="9"/>
      <c r="M144" s="10" t="str">
        <f aca="false">IF(A144="","",IF((COUNTIF(Drain_Register!$A$5:$A$304,A144)+COUNTIF(RW_Register!$A$5:$A$304,A144)+COUNTIF(Embedded_Wall_Register!$A$5:$A$304,A144)+COUNTIF(Manhole_Register!$A$5:$A$304,A144)+COUNTIF(ERSS_Pit_Register!$A$5:$A$304,A144)+COUNTIF(Linkway_Register!$A$5:$A$304,A144)+COUNTIF(Other_Register!$A$5:$A$304,A144))&gt;0,"OK","ID not in any register"))</f>
        <v/>
      </c>
    </row>
    <row r="145" customFormat="false" ht="15" hidden="false" customHeight="false" outlineLevel="0" collapsed="false">
      <c r="A145" s="9"/>
      <c r="B145" s="9"/>
      <c r="C145" s="9"/>
      <c r="D145" s="9"/>
      <c r="E145" s="9"/>
      <c r="F145" s="9"/>
      <c r="G145" s="9"/>
      <c r="H145" s="9"/>
      <c r="I145" s="9"/>
      <c r="J145" s="10" t="str">
        <f aca="false">IF(A145="","",IF(G145&lt;&gt;"",G145,IF(N(F145)&gt;0,ROUND(1000/F145,3),0)))</f>
        <v/>
      </c>
      <c r="K145" s="10" t="str">
        <f aca="false">IF(OR(A145="",E145="",H145=""),"",ROUND(0.00617*E145^2*H145*J145,2))</f>
        <v/>
      </c>
      <c r="L145" s="9"/>
      <c r="M145" s="10" t="str">
        <f aca="false">IF(A145="","",IF((COUNTIF(Drain_Register!$A$5:$A$304,A145)+COUNTIF(RW_Register!$A$5:$A$304,A145)+COUNTIF(Embedded_Wall_Register!$A$5:$A$304,A145)+COUNTIF(Manhole_Register!$A$5:$A$304,A145)+COUNTIF(ERSS_Pit_Register!$A$5:$A$304,A145)+COUNTIF(Linkway_Register!$A$5:$A$304,A145)+COUNTIF(Other_Register!$A$5:$A$304,A145))&gt;0,"OK","ID not in any register"))</f>
        <v/>
      </c>
    </row>
    <row r="146" customFormat="false" ht="15" hidden="false" customHeight="false" outlineLevel="0" collapsed="false">
      <c r="A146" s="9"/>
      <c r="B146" s="9"/>
      <c r="C146" s="9"/>
      <c r="D146" s="9"/>
      <c r="E146" s="9"/>
      <c r="F146" s="9"/>
      <c r="G146" s="9"/>
      <c r="H146" s="9"/>
      <c r="I146" s="9"/>
      <c r="J146" s="10" t="str">
        <f aca="false">IF(A146="","",IF(G146&lt;&gt;"",G146,IF(N(F146)&gt;0,ROUND(1000/F146,3),0)))</f>
        <v/>
      </c>
      <c r="K146" s="10" t="str">
        <f aca="false">IF(OR(A146="",E146="",H146=""),"",ROUND(0.00617*E146^2*H146*J146,2))</f>
        <v/>
      </c>
      <c r="L146" s="9"/>
      <c r="M146" s="10" t="str">
        <f aca="false">IF(A146="","",IF((COUNTIF(Drain_Register!$A$5:$A$304,A146)+COUNTIF(RW_Register!$A$5:$A$304,A146)+COUNTIF(Embedded_Wall_Register!$A$5:$A$304,A146)+COUNTIF(Manhole_Register!$A$5:$A$304,A146)+COUNTIF(ERSS_Pit_Register!$A$5:$A$304,A146)+COUNTIF(Linkway_Register!$A$5:$A$304,A146)+COUNTIF(Other_Register!$A$5:$A$304,A146))&gt;0,"OK","ID not in any register"))</f>
        <v/>
      </c>
    </row>
    <row r="147" customFormat="false" ht="15" hidden="false" customHeight="false" outlineLevel="0" collapsed="false">
      <c r="A147" s="9"/>
      <c r="B147" s="9"/>
      <c r="C147" s="9"/>
      <c r="D147" s="9"/>
      <c r="E147" s="9"/>
      <c r="F147" s="9"/>
      <c r="G147" s="9"/>
      <c r="H147" s="9"/>
      <c r="I147" s="9"/>
      <c r="J147" s="10" t="str">
        <f aca="false">IF(A147="","",IF(G147&lt;&gt;"",G147,IF(N(F147)&gt;0,ROUND(1000/F147,3),0)))</f>
        <v/>
      </c>
      <c r="K147" s="10" t="str">
        <f aca="false">IF(OR(A147="",E147="",H147=""),"",ROUND(0.00617*E147^2*H147*J147,2))</f>
        <v/>
      </c>
      <c r="L147" s="9"/>
      <c r="M147" s="10" t="str">
        <f aca="false">IF(A147="","",IF((COUNTIF(Drain_Register!$A$5:$A$304,A147)+COUNTIF(RW_Register!$A$5:$A$304,A147)+COUNTIF(Embedded_Wall_Register!$A$5:$A$304,A147)+COUNTIF(Manhole_Register!$A$5:$A$304,A147)+COUNTIF(ERSS_Pit_Register!$A$5:$A$304,A147)+COUNTIF(Linkway_Register!$A$5:$A$304,A147)+COUNTIF(Other_Register!$A$5:$A$304,A147))&gt;0,"OK","ID not in any register"))</f>
        <v/>
      </c>
    </row>
    <row r="148" customFormat="false" ht="15" hidden="false" customHeight="false" outlineLevel="0" collapsed="false">
      <c r="A148" s="9"/>
      <c r="B148" s="9"/>
      <c r="C148" s="9"/>
      <c r="D148" s="9"/>
      <c r="E148" s="9"/>
      <c r="F148" s="9"/>
      <c r="G148" s="9"/>
      <c r="H148" s="9"/>
      <c r="I148" s="9"/>
      <c r="J148" s="10" t="str">
        <f aca="false">IF(A148="","",IF(G148&lt;&gt;"",G148,IF(N(F148)&gt;0,ROUND(1000/F148,3),0)))</f>
        <v/>
      </c>
      <c r="K148" s="10" t="str">
        <f aca="false">IF(OR(A148="",E148="",H148=""),"",ROUND(0.00617*E148^2*H148*J148,2))</f>
        <v/>
      </c>
      <c r="L148" s="9"/>
      <c r="M148" s="10" t="str">
        <f aca="false">IF(A148="","",IF((COUNTIF(Drain_Register!$A$5:$A$304,A148)+COUNTIF(RW_Register!$A$5:$A$304,A148)+COUNTIF(Embedded_Wall_Register!$A$5:$A$304,A148)+COUNTIF(Manhole_Register!$A$5:$A$304,A148)+COUNTIF(ERSS_Pit_Register!$A$5:$A$304,A148)+COUNTIF(Linkway_Register!$A$5:$A$304,A148)+COUNTIF(Other_Register!$A$5:$A$304,A148))&gt;0,"OK","ID not in any register"))</f>
        <v/>
      </c>
    </row>
    <row r="149" customFormat="false" ht="15" hidden="false" customHeight="false" outlineLevel="0" collapsed="false">
      <c r="A149" s="9"/>
      <c r="B149" s="9"/>
      <c r="C149" s="9"/>
      <c r="D149" s="9"/>
      <c r="E149" s="9"/>
      <c r="F149" s="9"/>
      <c r="G149" s="9"/>
      <c r="H149" s="9"/>
      <c r="I149" s="9"/>
      <c r="J149" s="10" t="str">
        <f aca="false">IF(A149="","",IF(G149&lt;&gt;"",G149,IF(N(F149)&gt;0,ROUND(1000/F149,3),0)))</f>
        <v/>
      </c>
      <c r="K149" s="10" t="str">
        <f aca="false">IF(OR(A149="",E149="",H149=""),"",ROUND(0.00617*E149^2*H149*J149,2))</f>
        <v/>
      </c>
      <c r="L149" s="9"/>
      <c r="M149" s="10" t="str">
        <f aca="false">IF(A149="","",IF((COUNTIF(Drain_Register!$A$5:$A$304,A149)+COUNTIF(RW_Register!$A$5:$A$304,A149)+COUNTIF(Embedded_Wall_Register!$A$5:$A$304,A149)+COUNTIF(Manhole_Register!$A$5:$A$304,A149)+COUNTIF(ERSS_Pit_Register!$A$5:$A$304,A149)+COUNTIF(Linkway_Register!$A$5:$A$304,A149)+COUNTIF(Other_Register!$A$5:$A$304,A149))&gt;0,"OK","ID not in any register"))</f>
        <v/>
      </c>
    </row>
    <row r="150" customFormat="false" ht="15" hidden="false" customHeight="false" outlineLevel="0" collapsed="false">
      <c r="A150" s="9"/>
      <c r="B150" s="9"/>
      <c r="C150" s="9"/>
      <c r="D150" s="9"/>
      <c r="E150" s="9"/>
      <c r="F150" s="9"/>
      <c r="G150" s="9"/>
      <c r="H150" s="9"/>
      <c r="I150" s="9"/>
      <c r="J150" s="10" t="str">
        <f aca="false">IF(A150="","",IF(G150&lt;&gt;"",G150,IF(N(F150)&gt;0,ROUND(1000/F150,3),0)))</f>
        <v/>
      </c>
      <c r="K150" s="10" t="str">
        <f aca="false">IF(OR(A150="",E150="",H150=""),"",ROUND(0.00617*E150^2*H150*J150,2))</f>
        <v/>
      </c>
      <c r="L150" s="9"/>
      <c r="M150" s="10" t="str">
        <f aca="false">IF(A150="","",IF((COUNTIF(Drain_Register!$A$5:$A$304,A150)+COUNTIF(RW_Register!$A$5:$A$304,A150)+COUNTIF(Embedded_Wall_Register!$A$5:$A$304,A150)+COUNTIF(Manhole_Register!$A$5:$A$304,A150)+COUNTIF(ERSS_Pit_Register!$A$5:$A$304,A150)+COUNTIF(Linkway_Register!$A$5:$A$304,A150)+COUNTIF(Other_Register!$A$5:$A$304,A150))&gt;0,"OK","ID not in any register"))</f>
        <v/>
      </c>
    </row>
    <row r="151" customFormat="false" ht="15" hidden="false" customHeight="false" outlineLevel="0" collapsed="false">
      <c r="A151" s="9"/>
      <c r="B151" s="9"/>
      <c r="C151" s="9"/>
      <c r="D151" s="9"/>
      <c r="E151" s="9"/>
      <c r="F151" s="9"/>
      <c r="G151" s="9"/>
      <c r="H151" s="9"/>
      <c r="I151" s="9"/>
      <c r="J151" s="10" t="str">
        <f aca="false">IF(A151="","",IF(G151&lt;&gt;"",G151,IF(N(F151)&gt;0,ROUND(1000/F151,3),0)))</f>
        <v/>
      </c>
      <c r="K151" s="10" t="str">
        <f aca="false">IF(OR(A151="",E151="",H151=""),"",ROUND(0.00617*E151^2*H151*J151,2))</f>
        <v/>
      </c>
      <c r="L151" s="9"/>
      <c r="M151" s="10" t="str">
        <f aca="false">IF(A151="","",IF((COUNTIF(Drain_Register!$A$5:$A$304,A151)+COUNTIF(RW_Register!$A$5:$A$304,A151)+COUNTIF(Embedded_Wall_Register!$A$5:$A$304,A151)+COUNTIF(Manhole_Register!$A$5:$A$304,A151)+COUNTIF(ERSS_Pit_Register!$A$5:$A$304,A151)+COUNTIF(Linkway_Register!$A$5:$A$304,A151)+COUNTIF(Other_Register!$A$5:$A$304,A151))&gt;0,"OK","ID not in any register"))</f>
        <v/>
      </c>
    </row>
    <row r="152" customFormat="false" ht="15" hidden="false" customHeight="false" outlineLevel="0" collapsed="false">
      <c r="A152" s="9"/>
      <c r="B152" s="9"/>
      <c r="C152" s="9"/>
      <c r="D152" s="9"/>
      <c r="E152" s="9"/>
      <c r="F152" s="9"/>
      <c r="G152" s="9"/>
      <c r="H152" s="9"/>
      <c r="I152" s="9"/>
      <c r="J152" s="10" t="str">
        <f aca="false">IF(A152="","",IF(G152&lt;&gt;"",G152,IF(N(F152)&gt;0,ROUND(1000/F152,3),0)))</f>
        <v/>
      </c>
      <c r="K152" s="10" t="str">
        <f aca="false">IF(OR(A152="",E152="",H152=""),"",ROUND(0.00617*E152^2*H152*J152,2))</f>
        <v/>
      </c>
      <c r="L152" s="9"/>
      <c r="M152" s="10" t="str">
        <f aca="false">IF(A152="","",IF((COUNTIF(Drain_Register!$A$5:$A$304,A152)+COUNTIF(RW_Register!$A$5:$A$304,A152)+COUNTIF(Embedded_Wall_Register!$A$5:$A$304,A152)+COUNTIF(Manhole_Register!$A$5:$A$304,A152)+COUNTIF(ERSS_Pit_Register!$A$5:$A$304,A152)+COUNTIF(Linkway_Register!$A$5:$A$304,A152)+COUNTIF(Other_Register!$A$5:$A$304,A152))&gt;0,"OK","ID not in any register"))</f>
        <v/>
      </c>
    </row>
    <row r="153" customFormat="false" ht="15" hidden="false" customHeight="false" outlineLevel="0" collapsed="false">
      <c r="A153" s="9"/>
      <c r="B153" s="9"/>
      <c r="C153" s="9"/>
      <c r="D153" s="9"/>
      <c r="E153" s="9"/>
      <c r="F153" s="9"/>
      <c r="G153" s="9"/>
      <c r="H153" s="9"/>
      <c r="I153" s="9"/>
      <c r="J153" s="10" t="str">
        <f aca="false">IF(A153="","",IF(G153&lt;&gt;"",G153,IF(N(F153)&gt;0,ROUND(1000/F153,3),0)))</f>
        <v/>
      </c>
      <c r="K153" s="10" t="str">
        <f aca="false">IF(OR(A153="",E153="",H153=""),"",ROUND(0.00617*E153^2*H153*J153,2))</f>
        <v/>
      </c>
      <c r="L153" s="9"/>
      <c r="M153" s="10" t="str">
        <f aca="false">IF(A153="","",IF((COUNTIF(Drain_Register!$A$5:$A$304,A153)+COUNTIF(RW_Register!$A$5:$A$304,A153)+COUNTIF(Embedded_Wall_Register!$A$5:$A$304,A153)+COUNTIF(Manhole_Register!$A$5:$A$304,A153)+COUNTIF(ERSS_Pit_Register!$A$5:$A$304,A153)+COUNTIF(Linkway_Register!$A$5:$A$304,A153)+COUNTIF(Other_Register!$A$5:$A$304,A153))&gt;0,"OK","ID not in any register"))</f>
        <v/>
      </c>
    </row>
    <row r="154" customFormat="false" ht="15" hidden="false" customHeight="false" outlineLevel="0" collapsed="false">
      <c r="A154" s="9"/>
      <c r="B154" s="9"/>
      <c r="C154" s="9"/>
      <c r="D154" s="9"/>
      <c r="E154" s="9"/>
      <c r="F154" s="9"/>
      <c r="G154" s="9"/>
      <c r="H154" s="9"/>
      <c r="I154" s="9"/>
      <c r="J154" s="10" t="str">
        <f aca="false">IF(A154="","",IF(G154&lt;&gt;"",G154,IF(N(F154)&gt;0,ROUND(1000/F154,3),0)))</f>
        <v/>
      </c>
      <c r="K154" s="10" t="str">
        <f aca="false">IF(OR(A154="",E154="",H154=""),"",ROUND(0.00617*E154^2*H154*J154,2))</f>
        <v/>
      </c>
      <c r="L154" s="9"/>
      <c r="M154" s="10" t="str">
        <f aca="false">IF(A154="","",IF((COUNTIF(Drain_Register!$A$5:$A$304,A154)+COUNTIF(RW_Register!$A$5:$A$304,A154)+COUNTIF(Embedded_Wall_Register!$A$5:$A$304,A154)+COUNTIF(Manhole_Register!$A$5:$A$304,A154)+COUNTIF(ERSS_Pit_Register!$A$5:$A$304,A154)+COUNTIF(Linkway_Register!$A$5:$A$304,A154)+COUNTIF(Other_Register!$A$5:$A$304,A154))&gt;0,"OK","ID not in any register"))</f>
        <v/>
      </c>
    </row>
    <row r="155" customFormat="false" ht="15" hidden="false" customHeight="false" outlineLevel="0" collapsed="false">
      <c r="A155" s="9"/>
      <c r="B155" s="9"/>
      <c r="C155" s="9"/>
      <c r="D155" s="9"/>
      <c r="E155" s="9"/>
      <c r="F155" s="9"/>
      <c r="G155" s="9"/>
      <c r="H155" s="9"/>
      <c r="I155" s="9"/>
      <c r="J155" s="10" t="str">
        <f aca="false">IF(A155="","",IF(G155&lt;&gt;"",G155,IF(N(F155)&gt;0,ROUND(1000/F155,3),0)))</f>
        <v/>
      </c>
      <c r="K155" s="10" t="str">
        <f aca="false">IF(OR(A155="",E155="",H155=""),"",ROUND(0.00617*E155^2*H155*J155,2))</f>
        <v/>
      </c>
      <c r="L155" s="9"/>
      <c r="M155" s="10" t="str">
        <f aca="false">IF(A155="","",IF((COUNTIF(Drain_Register!$A$5:$A$304,A155)+COUNTIF(RW_Register!$A$5:$A$304,A155)+COUNTIF(Embedded_Wall_Register!$A$5:$A$304,A155)+COUNTIF(Manhole_Register!$A$5:$A$304,A155)+COUNTIF(ERSS_Pit_Register!$A$5:$A$304,A155)+COUNTIF(Linkway_Register!$A$5:$A$304,A155)+COUNTIF(Other_Register!$A$5:$A$304,A155))&gt;0,"OK","ID not in any register"))</f>
        <v/>
      </c>
    </row>
    <row r="156" customFormat="false" ht="15" hidden="false" customHeight="false" outlineLevel="0" collapsed="false">
      <c r="A156" s="9"/>
      <c r="B156" s="9"/>
      <c r="C156" s="9"/>
      <c r="D156" s="9"/>
      <c r="E156" s="9"/>
      <c r="F156" s="9"/>
      <c r="G156" s="9"/>
      <c r="H156" s="9"/>
      <c r="I156" s="9"/>
      <c r="J156" s="10" t="str">
        <f aca="false">IF(A156="","",IF(G156&lt;&gt;"",G156,IF(N(F156)&gt;0,ROUND(1000/F156,3),0)))</f>
        <v/>
      </c>
      <c r="K156" s="10" t="str">
        <f aca="false">IF(OR(A156="",E156="",H156=""),"",ROUND(0.00617*E156^2*H156*J156,2))</f>
        <v/>
      </c>
      <c r="L156" s="9"/>
      <c r="M156" s="10" t="str">
        <f aca="false">IF(A156="","",IF((COUNTIF(Drain_Register!$A$5:$A$304,A156)+COUNTIF(RW_Register!$A$5:$A$304,A156)+COUNTIF(Embedded_Wall_Register!$A$5:$A$304,A156)+COUNTIF(Manhole_Register!$A$5:$A$304,A156)+COUNTIF(ERSS_Pit_Register!$A$5:$A$304,A156)+COUNTIF(Linkway_Register!$A$5:$A$304,A156)+COUNTIF(Other_Register!$A$5:$A$304,A156))&gt;0,"OK","ID not in any register"))</f>
        <v/>
      </c>
    </row>
    <row r="157" customFormat="false" ht="15" hidden="false" customHeight="false" outlineLevel="0" collapsed="false">
      <c r="A157" s="9"/>
      <c r="B157" s="9"/>
      <c r="C157" s="9"/>
      <c r="D157" s="9"/>
      <c r="E157" s="9"/>
      <c r="F157" s="9"/>
      <c r="G157" s="9"/>
      <c r="H157" s="9"/>
      <c r="I157" s="9"/>
      <c r="J157" s="10" t="str">
        <f aca="false">IF(A157="","",IF(G157&lt;&gt;"",G157,IF(N(F157)&gt;0,ROUND(1000/F157,3),0)))</f>
        <v/>
      </c>
      <c r="K157" s="10" t="str">
        <f aca="false">IF(OR(A157="",E157="",H157=""),"",ROUND(0.00617*E157^2*H157*J157,2))</f>
        <v/>
      </c>
      <c r="L157" s="9"/>
      <c r="M157" s="10" t="str">
        <f aca="false">IF(A157="","",IF((COUNTIF(Drain_Register!$A$5:$A$304,A157)+COUNTIF(RW_Register!$A$5:$A$304,A157)+COUNTIF(Embedded_Wall_Register!$A$5:$A$304,A157)+COUNTIF(Manhole_Register!$A$5:$A$304,A157)+COUNTIF(ERSS_Pit_Register!$A$5:$A$304,A157)+COUNTIF(Linkway_Register!$A$5:$A$304,A157)+COUNTIF(Other_Register!$A$5:$A$304,A157))&gt;0,"OK","ID not in any register"))</f>
        <v/>
      </c>
    </row>
    <row r="158" customFormat="false" ht="15" hidden="false" customHeight="false" outlineLevel="0" collapsed="false">
      <c r="A158" s="9"/>
      <c r="B158" s="9"/>
      <c r="C158" s="9"/>
      <c r="D158" s="9"/>
      <c r="E158" s="9"/>
      <c r="F158" s="9"/>
      <c r="G158" s="9"/>
      <c r="H158" s="9"/>
      <c r="I158" s="9"/>
      <c r="J158" s="10" t="str">
        <f aca="false">IF(A158="","",IF(G158&lt;&gt;"",G158,IF(N(F158)&gt;0,ROUND(1000/F158,3),0)))</f>
        <v/>
      </c>
      <c r="K158" s="10" t="str">
        <f aca="false">IF(OR(A158="",E158="",H158=""),"",ROUND(0.00617*E158^2*H158*J158,2))</f>
        <v/>
      </c>
      <c r="L158" s="9"/>
      <c r="M158" s="10" t="str">
        <f aca="false">IF(A158="","",IF((COUNTIF(Drain_Register!$A$5:$A$304,A158)+COUNTIF(RW_Register!$A$5:$A$304,A158)+COUNTIF(Embedded_Wall_Register!$A$5:$A$304,A158)+COUNTIF(Manhole_Register!$A$5:$A$304,A158)+COUNTIF(ERSS_Pit_Register!$A$5:$A$304,A158)+COUNTIF(Linkway_Register!$A$5:$A$304,A158)+COUNTIF(Other_Register!$A$5:$A$304,A158))&gt;0,"OK","ID not in any register"))</f>
        <v/>
      </c>
    </row>
    <row r="159" customFormat="false" ht="15" hidden="false" customHeight="false" outlineLevel="0" collapsed="false">
      <c r="A159" s="9"/>
      <c r="B159" s="9"/>
      <c r="C159" s="9"/>
      <c r="D159" s="9"/>
      <c r="E159" s="9"/>
      <c r="F159" s="9"/>
      <c r="G159" s="9"/>
      <c r="H159" s="9"/>
      <c r="I159" s="9"/>
      <c r="J159" s="10" t="str">
        <f aca="false">IF(A159="","",IF(G159&lt;&gt;"",G159,IF(N(F159)&gt;0,ROUND(1000/F159,3),0)))</f>
        <v/>
      </c>
      <c r="K159" s="10" t="str">
        <f aca="false">IF(OR(A159="",E159="",H159=""),"",ROUND(0.00617*E159^2*H159*J159,2))</f>
        <v/>
      </c>
      <c r="L159" s="9"/>
      <c r="M159" s="10" t="str">
        <f aca="false">IF(A159="","",IF((COUNTIF(Drain_Register!$A$5:$A$304,A159)+COUNTIF(RW_Register!$A$5:$A$304,A159)+COUNTIF(Embedded_Wall_Register!$A$5:$A$304,A159)+COUNTIF(Manhole_Register!$A$5:$A$304,A159)+COUNTIF(ERSS_Pit_Register!$A$5:$A$304,A159)+COUNTIF(Linkway_Register!$A$5:$A$304,A159)+COUNTIF(Other_Register!$A$5:$A$304,A159))&gt;0,"OK","ID not in any register"))</f>
        <v/>
      </c>
    </row>
    <row r="160" customFormat="false" ht="15" hidden="false" customHeight="false" outlineLevel="0" collapsed="false">
      <c r="A160" s="9"/>
      <c r="B160" s="9"/>
      <c r="C160" s="9"/>
      <c r="D160" s="9"/>
      <c r="E160" s="9"/>
      <c r="F160" s="9"/>
      <c r="G160" s="9"/>
      <c r="H160" s="9"/>
      <c r="I160" s="9"/>
      <c r="J160" s="10" t="str">
        <f aca="false">IF(A160="","",IF(G160&lt;&gt;"",G160,IF(N(F160)&gt;0,ROUND(1000/F160,3),0)))</f>
        <v/>
      </c>
      <c r="K160" s="10" t="str">
        <f aca="false">IF(OR(A160="",E160="",H160=""),"",ROUND(0.00617*E160^2*H160*J160,2))</f>
        <v/>
      </c>
      <c r="L160" s="9"/>
      <c r="M160" s="10" t="str">
        <f aca="false">IF(A160="","",IF((COUNTIF(Drain_Register!$A$5:$A$304,A160)+COUNTIF(RW_Register!$A$5:$A$304,A160)+COUNTIF(Embedded_Wall_Register!$A$5:$A$304,A160)+COUNTIF(Manhole_Register!$A$5:$A$304,A160)+COUNTIF(ERSS_Pit_Register!$A$5:$A$304,A160)+COUNTIF(Linkway_Register!$A$5:$A$304,A160)+COUNTIF(Other_Register!$A$5:$A$304,A160))&gt;0,"OK","ID not in any register"))</f>
        <v/>
      </c>
    </row>
    <row r="161" customFormat="false" ht="15" hidden="false" customHeight="false" outlineLevel="0" collapsed="false">
      <c r="A161" s="9"/>
      <c r="B161" s="9"/>
      <c r="C161" s="9"/>
      <c r="D161" s="9"/>
      <c r="E161" s="9"/>
      <c r="F161" s="9"/>
      <c r="G161" s="9"/>
      <c r="H161" s="9"/>
      <c r="I161" s="9"/>
      <c r="J161" s="10" t="str">
        <f aca="false">IF(A161="","",IF(G161&lt;&gt;"",G161,IF(N(F161)&gt;0,ROUND(1000/F161,3),0)))</f>
        <v/>
      </c>
      <c r="K161" s="10" t="str">
        <f aca="false">IF(OR(A161="",E161="",H161=""),"",ROUND(0.00617*E161^2*H161*J161,2))</f>
        <v/>
      </c>
      <c r="L161" s="9"/>
      <c r="M161" s="10" t="str">
        <f aca="false">IF(A161="","",IF((COUNTIF(Drain_Register!$A$5:$A$304,A161)+COUNTIF(RW_Register!$A$5:$A$304,A161)+COUNTIF(Embedded_Wall_Register!$A$5:$A$304,A161)+COUNTIF(Manhole_Register!$A$5:$A$304,A161)+COUNTIF(ERSS_Pit_Register!$A$5:$A$304,A161)+COUNTIF(Linkway_Register!$A$5:$A$304,A161)+COUNTIF(Other_Register!$A$5:$A$304,A161))&gt;0,"OK","ID not in any register"))</f>
        <v/>
      </c>
    </row>
    <row r="162" customFormat="false" ht="15" hidden="false" customHeight="false" outlineLevel="0" collapsed="false">
      <c r="A162" s="9"/>
      <c r="B162" s="9"/>
      <c r="C162" s="9"/>
      <c r="D162" s="9"/>
      <c r="E162" s="9"/>
      <c r="F162" s="9"/>
      <c r="G162" s="9"/>
      <c r="H162" s="9"/>
      <c r="I162" s="9"/>
      <c r="J162" s="10" t="str">
        <f aca="false">IF(A162="","",IF(G162&lt;&gt;"",G162,IF(N(F162)&gt;0,ROUND(1000/F162,3),0)))</f>
        <v/>
      </c>
      <c r="K162" s="10" t="str">
        <f aca="false">IF(OR(A162="",E162="",H162=""),"",ROUND(0.00617*E162^2*H162*J162,2))</f>
        <v/>
      </c>
      <c r="L162" s="9"/>
      <c r="M162" s="10" t="str">
        <f aca="false">IF(A162="","",IF((COUNTIF(Drain_Register!$A$5:$A$304,A162)+COUNTIF(RW_Register!$A$5:$A$304,A162)+COUNTIF(Embedded_Wall_Register!$A$5:$A$304,A162)+COUNTIF(Manhole_Register!$A$5:$A$304,A162)+COUNTIF(ERSS_Pit_Register!$A$5:$A$304,A162)+COUNTIF(Linkway_Register!$A$5:$A$304,A162)+COUNTIF(Other_Register!$A$5:$A$304,A162))&gt;0,"OK","ID not in any register"))</f>
        <v/>
      </c>
    </row>
    <row r="163" customFormat="false" ht="15" hidden="false" customHeight="false" outlineLevel="0" collapsed="false">
      <c r="A163" s="9"/>
      <c r="B163" s="9"/>
      <c r="C163" s="9"/>
      <c r="D163" s="9"/>
      <c r="E163" s="9"/>
      <c r="F163" s="9"/>
      <c r="G163" s="9"/>
      <c r="H163" s="9"/>
      <c r="I163" s="9"/>
      <c r="J163" s="10" t="str">
        <f aca="false">IF(A163="","",IF(G163&lt;&gt;"",G163,IF(N(F163)&gt;0,ROUND(1000/F163,3),0)))</f>
        <v/>
      </c>
      <c r="K163" s="10" t="str">
        <f aca="false">IF(OR(A163="",E163="",H163=""),"",ROUND(0.00617*E163^2*H163*J163,2))</f>
        <v/>
      </c>
      <c r="L163" s="9"/>
      <c r="M163" s="10" t="str">
        <f aca="false">IF(A163="","",IF((COUNTIF(Drain_Register!$A$5:$A$304,A163)+COUNTIF(RW_Register!$A$5:$A$304,A163)+COUNTIF(Embedded_Wall_Register!$A$5:$A$304,A163)+COUNTIF(Manhole_Register!$A$5:$A$304,A163)+COUNTIF(ERSS_Pit_Register!$A$5:$A$304,A163)+COUNTIF(Linkway_Register!$A$5:$A$304,A163)+COUNTIF(Other_Register!$A$5:$A$304,A163))&gt;0,"OK","ID not in any register"))</f>
        <v/>
      </c>
    </row>
    <row r="164" customFormat="false" ht="15" hidden="false" customHeight="false" outlineLevel="0" collapsed="false">
      <c r="A164" s="9"/>
      <c r="B164" s="9"/>
      <c r="C164" s="9"/>
      <c r="D164" s="9"/>
      <c r="E164" s="9"/>
      <c r="F164" s="9"/>
      <c r="G164" s="9"/>
      <c r="H164" s="9"/>
      <c r="I164" s="9"/>
      <c r="J164" s="10" t="str">
        <f aca="false">IF(A164="","",IF(G164&lt;&gt;"",G164,IF(N(F164)&gt;0,ROUND(1000/F164,3),0)))</f>
        <v/>
      </c>
      <c r="K164" s="10" t="str">
        <f aca="false">IF(OR(A164="",E164="",H164=""),"",ROUND(0.00617*E164^2*H164*J164,2))</f>
        <v/>
      </c>
      <c r="L164" s="9"/>
      <c r="M164" s="10" t="str">
        <f aca="false">IF(A164="","",IF((COUNTIF(Drain_Register!$A$5:$A$304,A164)+COUNTIF(RW_Register!$A$5:$A$304,A164)+COUNTIF(Embedded_Wall_Register!$A$5:$A$304,A164)+COUNTIF(Manhole_Register!$A$5:$A$304,A164)+COUNTIF(ERSS_Pit_Register!$A$5:$A$304,A164)+COUNTIF(Linkway_Register!$A$5:$A$304,A164)+COUNTIF(Other_Register!$A$5:$A$304,A164))&gt;0,"OK","ID not in any register"))</f>
        <v/>
      </c>
    </row>
    <row r="165" customFormat="false" ht="15" hidden="false" customHeight="false" outlineLevel="0" collapsed="false">
      <c r="A165" s="9"/>
      <c r="B165" s="9"/>
      <c r="C165" s="9"/>
      <c r="D165" s="9"/>
      <c r="E165" s="9"/>
      <c r="F165" s="9"/>
      <c r="G165" s="9"/>
      <c r="H165" s="9"/>
      <c r="I165" s="9"/>
      <c r="J165" s="10" t="str">
        <f aca="false">IF(A165="","",IF(G165&lt;&gt;"",G165,IF(N(F165)&gt;0,ROUND(1000/F165,3),0)))</f>
        <v/>
      </c>
      <c r="K165" s="10" t="str">
        <f aca="false">IF(OR(A165="",E165="",H165=""),"",ROUND(0.00617*E165^2*H165*J165,2))</f>
        <v/>
      </c>
      <c r="L165" s="9"/>
      <c r="M165" s="10" t="str">
        <f aca="false">IF(A165="","",IF((COUNTIF(Drain_Register!$A$5:$A$304,A165)+COUNTIF(RW_Register!$A$5:$A$304,A165)+COUNTIF(Embedded_Wall_Register!$A$5:$A$304,A165)+COUNTIF(Manhole_Register!$A$5:$A$304,A165)+COUNTIF(ERSS_Pit_Register!$A$5:$A$304,A165)+COUNTIF(Linkway_Register!$A$5:$A$304,A165)+COUNTIF(Other_Register!$A$5:$A$304,A165))&gt;0,"OK","ID not in any register"))</f>
        <v/>
      </c>
    </row>
    <row r="166" customFormat="false" ht="15" hidden="false" customHeight="false" outlineLevel="0" collapsed="false">
      <c r="A166" s="9"/>
      <c r="B166" s="9"/>
      <c r="C166" s="9"/>
      <c r="D166" s="9"/>
      <c r="E166" s="9"/>
      <c r="F166" s="9"/>
      <c r="G166" s="9"/>
      <c r="H166" s="9"/>
      <c r="I166" s="9"/>
      <c r="J166" s="10" t="str">
        <f aca="false">IF(A166="","",IF(G166&lt;&gt;"",G166,IF(N(F166)&gt;0,ROUND(1000/F166,3),0)))</f>
        <v/>
      </c>
      <c r="K166" s="10" t="str">
        <f aca="false">IF(OR(A166="",E166="",H166=""),"",ROUND(0.00617*E166^2*H166*J166,2))</f>
        <v/>
      </c>
      <c r="L166" s="9"/>
      <c r="M166" s="10" t="str">
        <f aca="false">IF(A166="","",IF((COUNTIF(Drain_Register!$A$5:$A$304,A166)+COUNTIF(RW_Register!$A$5:$A$304,A166)+COUNTIF(Embedded_Wall_Register!$A$5:$A$304,A166)+COUNTIF(Manhole_Register!$A$5:$A$304,A166)+COUNTIF(ERSS_Pit_Register!$A$5:$A$304,A166)+COUNTIF(Linkway_Register!$A$5:$A$304,A166)+COUNTIF(Other_Register!$A$5:$A$304,A166))&gt;0,"OK","ID not in any register"))</f>
        <v/>
      </c>
    </row>
    <row r="167" customFormat="false" ht="15" hidden="false" customHeight="false" outlineLevel="0" collapsed="false">
      <c r="A167" s="9"/>
      <c r="B167" s="9"/>
      <c r="C167" s="9"/>
      <c r="D167" s="9"/>
      <c r="E167" s="9"/>
      <c r="F167" s="9"/>
      <c r="G167" s="9"/>
      <c r="H167" s="9"/>
      <c r="I167" s="9"/>
      <c r="J167" s="10" t="str">
        <f aca="false">IF(A167="","",IF(G167&lt;&gt;"",G167,IF(N(F167)&gt;0,ROUND(1000/F167,3),0)))</f>
        <v/>
      </c>
      <c r="K167" s="10" t="str">
        <f aca="false">IF(OR(A167="",E167="",H167=""),"",ROUND(0.00617*E167^2*H167*J167,2))</f>
        <v/>
      </c>
      <c r="L167" s="9"/>
      <c r="M167" s="10" t="str">
        <f aca="false">IF(A167="","",IF((COUNTIF(Drain_Register!$A$5:$A$304,A167)+COUNTIF(RW_Register!$A$5:$A$304,A167)+COUNTIF(Embedded_Wall_Register!$A$5:$A$304,A167)+COUNTIF(Manhole_Register!$A$5:$A$304,A167)+COUNTIF(ERSS_Pit_Register!$A$5:$A$304,A167)+COUNTIF(Linkway_Register!$A$5:$A$304,A167)+COUNTIF(Other_Register!$A$5:$A$304,A167))&gt;0,"OK","ID not in any register"))</f>
        <v/>
      </c>
    </row>
    <row r="168" customFormat="false" ht="15" hidden="false" customHeight="false" outlineLevel="0" collapsed="false">
      <c r="A168" s="9"/>
      <c r="B168" s="9"/>
      <c r="C168" s="9"/>
      <c r="D168" s="9"/>
      <c r="E168" s="9"/>
      <c r="F168" s="9"/>
      <c r="G168" s="9"/>
      <c r="H168" s="9"/>
      <c r="I168" s="9"/>
      <c r="J168" s="10" t="str">
        <f aca="false">IF(A168="","",IF(G168&lt;&gt;"",G168,IF(N(F168)&gt;0,ROUND(1000/F168,3),0)))</f>
        <v/>
      </c>
      <c r="K168" s="10" t="str">
        <f aca="false">IF(OR(A168="",E168="",H168=""),"",ROUND(0.00617*E168^2*H168*J168,2))</f>
        <v/>
      </c>
      <c r="L168" s="9"/>
      <c r="M168" s="10" t="str">
        <f aca="false">IF(A168="","",IF((COUNTIF(Drain_Register!$A$5:$A$304,A168)+COUNTIF(RW_Register!$A$5:$A$304,A168)+COUNTIF(Embedded_Wall_Register!$A$5:$A$304,A168)+COUNTIF(Manhole_Register!$A$5:$A$304,A168)+COUNTIF(ERSS_Pit_Register!$A$5:$A$304,A168)+COUNTIF(Linkway_Register!$A$5:$A$304,A168)+COUNTIF(Other_Register!$A$5:$A$304,A168))&gt;0,"OK","ID not in any register"))</f>
        <v/>
      </c>
    </row>
    <row r="169" customFormat="false" ht="15" hidden="false" customHeight="false" outlineLevel="0" collapsed="false">
      <c r="A169" s="9"/>
      <c r="B169" s="9"/>
      <c r="C169" s="9"/>
      <c r="D169" s="9"/>
      <c r="E169" s="9"/>
      <c r="F169" s="9"/>
      <c r="G169" s="9"/>
      <c r="H169" s="9"/>
      <c r="I169" s="9"/>
      <c r="J169" s="10" t="str">
        <f aca="false">IF(A169="","",IF(G169&lt;&gt;"",G169,IF(N(F169)&gt;0,ROUND(1000/F169,3),0)))</f>
        <v/>
      </c>
      <c r="K169" s="10" t="str">
        <f aca="false">IF(OR(A169="",E169="",H169=""),"",ROUND(0.00617*E169^2*H169*J169,2))</f>
        <v/>
      </c>
      <c r="L169" s="9"/>
      <c r="M169" s="10" t="str">
        <f aca="false">IF(A169="","",IF((COUNTIF(Drain_Register!$A$5:$A$304,A169)+COUNTIF(RW_Register!$A$5:$A$304,A169)+COUNTIF(Embedded_Wall_Register!$A$5:$A$304,A169)+COUNTIF(Manhole_Register!$A$5:$A$304,A169)+COUNTIF(ERSS_Pit_Register!$A$5:$A$304,A169)+COUNTIF(Linkway_Register!$A$5:$A$304,A169)+COUNTIF(Other_Register!$A$5:$A$304,A169))&gt;0,"OK","ID not in any register"))</f>
        <v/>
      </c>
    </row>
    <row r="170" customFormat="false" ht="15" hidden="false" customHeight="false" outlineLevel="0" collapsed="false">
      <c r="A170" s="9"/>
      <c r="B170" s="9"/>
      <c r="C170" s="9"/>
      <c r="D170" s="9"/>
      <c r="E170" s="9"/>
      <c r="F170" s="9"/>
      <c r="G170" s="9"/>
      <c r="H170" s="9"/>
      <c r="I170" s="9"/>
      <c r="J170" s="10" t="str">
        <f aca="false">IF(A170="","",IF(G170&lt;&gt;"",G170,IF(N(F170)&gt;0,ROUND(1000/F170,3),0)))</f>
        <v/>
      </c>
      <c r="K170" s="10" t="str">
        <f aca="false">IF(OR(A170="",E170="",H170=""),"",ROUND(0.00617*E170^2*H170*J170,2))</f>
        <v/>
      </c>
      <c r="L170" s="9"/>
      <c r="M170" s="10" t="str">
        <f aca="false">IF(A170="","",IF((COUNTIF(Drain_Register!$A$5:$A$304,A170)+COUNTIF(RW_Register!$A$5:$A$304,A170)+COUNTIF(Embedded_Wall_Register!$A$5:$A$304,A170)+COUNTIF(Manhole_Register!$A$5:$A$304,A170)+COUNTIF(ERSS_Pit_Register!$A$5:$A$304,A170)+COUNTIF(Linkway_Register!$A$5:$A$304,A170)+COUNTIF(Other_Register!$A$5:$A$304,A170))&gt;0,"OK","ID not in any register"))</f>
        <v/>
      </c>
    </row>
    <row r="171" customFormat="false" ht="15" hidden="false" customHeight="false" outlineLevel="0" collapsed="false">
      <c r="A171" s="9"/>
      <c r="B171" s="9"/>
      <c r="C171" s="9"/>
      <c r="D171" s="9"/>
      <c r="E171" s="9"/>
      <c r="F171" s="9"/>
      <c r="G171" s="9"/>
      <c r="H171" s="9"/>
      <c r="I171" s="9"/>
      <c r="J171" s="10" t="str">
        <f aca="false">IF(A171="","",IF(G171&lt;&gt;"",G171,IF(N(F171)&gt;0,ROUND(1000/F171,3),0)))</f>
        <v/>
      </c>
      <c r="K171" s="10" t="str">
        <f aca="false">IF(OR(A171="",E171="",H171=""),"",ROUND(0.00617*E171^2*H171*J171,2))</f>
        <v/>
      </c>
      <c r="L171" s="9"/>
      <c r="M171" s="10" t="str">
        <f aca="false">IF(A171="","",IF((COUNTIF(Drain_Register!$A$5:$A$304,A171)+COUNTIF(RW_Register!$A$5:$A$304,A171)+COUNTIF(Embedded_Wall_Register!$A$5:$A$304,A171)+COUNTIF(Manhole_Register!$A$5:$A$304,A171)+COUNTIF(ERSS_Pit_Register!$A$5:$A$304,A171)+COUNTIF(Linkway_Register!$A$5:$A$304,A171)+COUNTIF(Other_Register!$A$5:$A$304,A171))&gt;0,"OK","ID not in any register"))</f>
        <v/>
      </c>
    </row>
    <row r="172" customFormat="false" ht="15" hidden="false" customHeight="false" outlineLevel="0" collapsed="false">
      <c r="A172" s="9"/>
      <c r="B172" s="9"/>
      <c r="C172" s="9"/>
      <c r="D172" s="9"/>
      <c r="E172" s="9"/>
      <c r="F172" s="9"/>
      <c r="G172" s="9"/>
      <c r="H172" s="9"/>
      <c r="I172" s="9"/>
      <c r="J172" s="10" t="str">
        <f aca="false">IF(A172="","",IF(G172&lt;&gt;"",G172,IF(N(F172)&gt;0,ROUND(1000/F172,3),0)))</f>
        <v/>
      </c>
      <c r="K172" s="10" t="str">
        <f aca="false">IF(OR(A172="",E172="",H172=""),"",ROUND(0.00617*E172^2*H172*J172,2))</f>
        <v/>
      </c>
      <c r="L172" s="9"/>
      <c r="M172" s="10" t="str">
        <f aca="false">IF(A172="","",IF((COUNTIF(Drain_Register!$A$5:$A$304,A172)+COUNTIF(RW_Register!$A$5:$A$304,A172)+COUNTIF(Embedded_Wall_Register!$A$5:$A$304,A172)+COUNTIF(Manhole_Register!$A$5:$A$304,A172)+COUNTIF(ERSS_Pit_Register!$A$5:$A$304,A172)+COUNTIF(Linkway_Register!$A$5:$A$304,A172)+COUNTIF(Other_Register!$A$5:$A$304,A172))&gt;0,"OK","ID not in any register"))</f>
        <v/>
      </c>
    </row>
    <row r="173" customFormat="false" ht="15" hidden="false" customHeight="false" outlineLevel="0" collapsed="false">
      <c r="A173" s="9"/>
      <c r="B173" s="9"/>
      <c r="C173" s="9"/>
      <c r="D173" s="9"/>
      <c r="E173" s="9"/>
      <c r="F173" s="9"/>
      <c r="G173" s="9"/>
      <c r="H173" s="9"/>
      <c r="I173" s="9"/>
      <c r="J173" s="10" t="str">
        <f aca="false">IF(A173="","",IF(G173&lt;&gt;"",G173,IF(N(F173)&gt;0,ROUND(1000/F173,3),0)))</f>
        <v/>
      </c>
      <c r="K173" s="10" t="str">
        <f aca="false">IF(OR(A173="",E173="",H173=""),"",ROUND(0.00617*E173^2*H173*J173,2))</f>
        <v/>
      </c>
      <c r="L173" s="9"/>
      <c r="M173" s="10" t="str">
        <f aca="false">IF(A173="","",IF((COUNTIF(Drain_Register!$A$5:$A$304,A173)+COUNTIF(RW_Register!$A$5:$A$304,A173)+COUNTIF(Embedded_Wall_Register!$A$5:$A$304,A173)+COUNTIF(Manhole_Register!$A$5:$A$304,A173)+COUNTIF(ERSS_Pit_Register!$A$5:$A$304,A173)+COUNTIF(Linkway_Register!$A$5:$A$304,A173)+COUNTIF(Other_Register!$A$5:$A$304,A173))&gt;0,"OK","ID not in any register"))</f>
        <v/>
      </c>
    </row>
    <row r="174" customFormat="false" ht="15" hidden="false" customHeight="false" outlineLevel="0" collapsed="false">
      <c r="A174" s="9"/>
      <c r="B174" s="9"/>
      <c r="C174" s="9"/>
      <c r="D174" s="9"/>
      <c r="E174" s="9"/>
      <c r="F174" s="9"/>
      <c r="G174" s="9"/>
      <c r="H174" s="9"/>
      <c r="I174" s="9"/>
      <c r="J174" s="10" t="str">
        <f aca="false">IF(A174="","",IF(G174&lt;&gt;"",G174,IF(N(F174)&gt;0,ROUND(1000/F174,3),0)))</f>
        <v/>
      </c>
      <c r="K174" s="10" t="str">
        <f aca="false">IF(OR(A174="",E174="",H174=""),"",ROUND(0.00617*E174^2*H174*J174,2))</f>
        <v/>
      </c>
      <c r="L174" s="9"/>
      <c r="M174" s="10" t="str">
        <f aca="false">IF(A174="","",IF((COUNTIF(Drain_Register!$A$5:$A$304,A174)+COUNTIF(RW_Register!$A$5:$A$304,A174)+COUNTIF(Embedded_Wall_Register!$A$5:$A$304,A174)+COUNTIF(Manhole_Register!$A$5:$A$304,A174)+COUNTIF(ERSS_Pit_Register!$A$5:$A$304,A174)+COUNTIF(Linkway_Register!$A$5:$A$304,A174)+COUNTIF(Other_Register!$A$5:$A$304,A174))&gt;0,"OK","ID not in any register"))</f>
        <v/>
      </c>
    </row>
    <row r="175" customFormat="false" ht="15" hidden="false" customHeight="false" outlineLevel="0" collapsed="false">
      <c r="A175" s="9"/>
      <c r="B175" s="9"/>
      <c r="C175" s="9"/>
      <c r="D175" s="9"/>
      <c r="E175" s="9"/>
      <c r="F175" s="9"/>
      <c r="G175" s="9"/>
      <c r="H175" s="9"/>
      <c r="I175" s="9"/>
      <c r="J175" s="10" t="str">
        <f aca="false">IF(A175="","",IF(G175&lt;&gt;"",G175,IF(N(F175)&gt;0,ROUND(1000/F175,3),0)))</f>
        <v/>
      </c>
      <c r="K175" s="10" t="str">
        <f aca="false">IF(OR(A175="",E175="",H175=""),"",ROUND(0.00617*E175^2*H175*J175,2))</f>
        <v/>
      </c>
      <c r="L175" s="9"/>
      <c r="M175" s="10" t="str">
        <f aca="false">IF(A175="","",IF((COUNTIF(Drain_Register!$A$5:$A$304,A175)+COUNTIF(RW_Register!$A$5:$A$304,A175)+COUNTIF(Embedded_Wall_Register!$A$5:$A$304,A175)+COUNTIF(Manhole_Register!$A$5:$A$304,A175)+COUNTIF(ERSS_Pit_Register!$A$5:$A$304,A175)+COUNTIF(Linkway_Register!$A$5:$A$304,A175)+COUNTIF(Other_Register!$A$5:$A$304,A175))&gt;0,"OK","ID not in any register"))</f>
        <v/>
      </c>
    </row>
    <row r="176" customFormat="false" ht="15" hidden="false" customHeight="false" outlineLevel="0" collapsed="false">
      <c r="A176" s="9"/>
      <c r="B176" s="9"/>
      <c r="C176" s="9"/>
      <c r="D176" s="9"/>
      <c r="E176" s="9"/>
      <c r="F176" s="9"/>
      <c r="G176" s="9"/>
      <c r="H176" s="9"/>
      <c r="I176" s="9"/>
      <c r="J176" s="10" t="str">
        <f aca="false">IF(A176="","",IF(G176&lt;&gt;"",G176,IF(N(F176)&gt;0,ROUND(1000/F176,3),0)))</f>
        <v/>
      </c>
      <c r="K176" s="10" t="str">
        <f aca="false">IF(OR(A176="",E176="",H176=""),"",ROUND(0.00617*E176^2*H176*J176,2))</f>
        <v/>
      </c>
      <c r="L176" s="9"/>
      <c r="M176" s="10" t="str">
        <f aca="false">IF(A176="","",IF((COUNTIF(Drain_Register!$A$5:$A$304,A176)+COUNTIF(RW_Register!$A$5:$A$304,A176)+COUNTIF(Embedded_Wall_Register!$A$5:$A$304,A176)+COUNTIF(Manhole_Register!$A$5:$A$304,A176)+COUNTIF(ERSS_Pit_Register!$A$5:$A$304,A176)+COUNTIF(Linkway_Register!$A$5:$A$304,A176)+COUNTIF(Other_Register!$A$5:$A$304,A176))&gt;0,"OK","ID not in any register"))</f>
        <v/>
      </c>
    </row>
    <row r="177" customFormat="false" ht="15" hidden="false" customHeight="false" outlineLevel="0" collapsed="false">
      <c r="A177" s="9"/>
      <c r="B177" s="9"/>
      <c r="C177" s="9"/>
      <c r="D177" s="9"/>
      <c r="E177" s="9"/>
      <c r="F177" s="9"/>
      <c r="G177" s="9"/>
      <c r="H177" s="9"/>
      <c r="I177" s="9"/>
      <c r="J177" s="10" t="str">
        <f aca="false">IF(A177="","",IF(G177&lt;&gt;"",G177,IF(N(F177)&gt;0,ROUND(1000/F177,3),0)))</f>
        <v/>
      </c>
      <c r="K177" s="10" t="str">
        <f aca="false">IF(OR(A177="",E177="",H177=""),"",ROUND(0.00617*E177^2*H177*J177,2))</f>
        <v/>
      </c>
      <c r="L177" s="9"/>
      <c r="M177" s="10" t="str">
        <f aca="false">IF(A177="","",IF((COUNTIF(Drain_Register!$A$5:$A$304,A177)+COUNTIF(RW_Register!$A$5:$A$304,A177)+COUNTIF(Embedded_Wall_Register!$A$5:$A$304,A177)+COUNTIF(Manhole_Register!$A$5:$A$304,A177)+COUNTIF(ERSS_Pit_Register!$A$5:$A$304,A177)+COUNTIF(Linkway_Register!$A$5:$A$304,A177)+COUNTIF(Other_Register!$A$5:$A$304,A177))&gt;0,"OK","ID not in any register"))</f>
        <v/>
      </c>
    </row>
    <row r="178" customFormat="false" ht="15" hidden="false" customHeight="false" outlineLevel="0" collapsed="false">
      <c r="A178" s="9"/>
      <c r="B178" s="9"/>
      <c r="C178" s="9"/>
      <c r="D178" s="9"/>
      <c r="E178" s="9"/>
      <c r="F178" s="9"/>
      <c r="G178" s="9"/>
      <c r="H178" s="9"/>
      <c r="I178" s="9"/>
      <c r="J178" s="10" t="str">
        <f aca="false">IF(A178="","",IF(G178&lt;&gt;"",G178,IF(N(F178)&gt;0,ROUND(1000/F178,3),0)))</f>
        <v/>
      </c>
      <c r="K178" s="10" t="str">
        <f aca="false">IF(OR(A178="",E178="",H178=""),"",ROUND(0.00617*E178^2*H178*J178,2))</f>
        <v/>
      </c>
      <c r="L178" s="9"/>
      <c r="M178" s="10" t="str">
        <f aca="false">IF(A178="","",IF((COUNTIF(Drain_Register!$A$5:$A$304,A178)+COUNTIF(RW_Register!$A$5:$A$304,A178)+COUNTIF(Embedded_Wall_Register!$A$5:$A$304,A178)+COUNTIF(Manhole_Register!$A$5:$A$304,A178)+COUNTIF(ERSS_Pit_Register!$A$5:$A$304,A178)+COUNTIF(Linkway_Register!$A$5:$A$304,A178)+COUNTIF(Other_Register!$A$5:$A$304,A178))&gt;0,"OK","ID not in any register"))</f>
        <v/>
      </c>
    </row>
    <row r="179" customFormat="false" ht="15" hidden="false" customHeight="false" outlineLevel="0" collapsed="false">
      <c r="A179" s="9"/>
      <c r="B179" s="9"/>
      <c r="C179" s="9"/>
      <c r="D179" s="9"/>
      <c r="E179" s="9"/>
      <c r="F179" s="9"/>
      <c r="G179" s="9"/>
      <c r="H179" s="9"/>
      <c r="I179" s="9"/>
      <c r="J179" s="10" t="str">
        <f aca="false">IF(A179="","",IF(G179&lt;&gt;"",G179,IF(N(F179)&gt;0,ROUND(1000/F179,3),0)))</f>
        <v/>
      </c>
      <c r="K179" s="10" t="str">
        <f aca="false">IF(OR(A179="",E179="",H179=""),"",ROUND(0.00617*E179^2*H179*J179,2))</f>
        <v/>
      </c>
      <c r="L179" s="9"/>
      <c r="M179" s="10" t="str">
        <f aca="false">IF(A179="","",IF((COUNTIF(Drain_Register!$A$5:$A$304,A179)+COUNTIF(RW_Register!$A$5:$A$304,A179)+COUNTIF(Embedded_Wall_Register!$A$5:$A$304,A179)+COUNTIF(Manhole_Register!$A$5:$A$304,A179)+COUNTIF(ERSS_Pit_Register!$A$5:$A$304,A179)+COUNTIF(Linkway_Register!$A$5:$A$304,A179)+COUNTIF(Other_Register!$A$5:$A$304,A179))&gt;0,"OK","ID not in any register"))</f>
        <v/>
      </c>
    </row>
    <row r="180" customFormat="false" ht="15" hidden="false" customHeight="false" outlineLevel="0" collapsed="false">
      <c r="A180" s="9"/>
      <c r="B180" s="9"/>
      <c r="C180" s="9"/>
      <c r="D180" s="9"/>
      <c r="E180" s="9"/>
      <c r="F180" s="9"/>
      <c r="G180" s="9"/>
      <c r="H180" s="9"/>
      <c r="I180" s="9"/>
      <c r="J180" s="10" t="str">
        <f aca="false">IF(A180="","",IF(G180&lt;&gt;"",G180,IF(N(F180)&gt;0,ROUND(1000/F180,3),0)))</f>
        <v/>
      </c>
      <c r="K180" s="10" t="str">
        <f aca="false">IF(OR(A180="",E180="",H180=""),"",ROUND(0.00617*E180^2*H180*J180,2))</f>
        <v/>
      </c>
      <c r="L180" s="9"/>
      <c r="M180" s="10" t="str">
        <f aca="false">IF(A180="","",IF((COUNTIF(Drain_Register!$A$5:$A$304,A180)+COUNTIF(RW_Register!$A$5:$A$304,A180)+COUNTIF(Embedded_Wall_Register!$A$5:$A$304,A180)+COUNTIF(Manhole_Register!$A$5:$A$304,A180)+COUNTIF(ERSS_Pit_Register!$A$5:$A$304,A180)+COUNTIF(Linkway_Register!$A$5:$A$304,A180)+COUNTIF(Other_Register!$A$5:$A$304,A180))&gt;0,"OK","ID not in any register"))</f>
        <v/>
      </c>
    </row>
    <row r="181" customFormat="false" ht="15" hidden="false" customHeight="false" outlineLevel="0" collapsed="false">
      <c r="A181" s="9"/>
      <c r="B181" s="9"/>
      <c r="C181" s="9"/>
      <c r="D181" s="9"/>
      <c r="E181" s="9"/>
      <c r="F181" s="9"/>
      <c r="G181" s="9"/>
      <c r="H181" s="9"/>
      <c r="I181" s="9"/>
      <c r="J181" s="10" t="str">
        <f aca="false">IF(A181="","",IF(G181&lt;&gt;"",G181,IF(N(F181)&gt;0,ROUND(1000/F181,3),0)))</f>
        <v/>
      </c>
      <c r="K181" s="10" t="str">
        <f aca="false">IF(OR(A181="",E181="",H181=""),"",ROUND(0.00617*E181^2*H181*J181,2))</f>
        <v/>
      </c>
      <c r="L181" s="9"/>
      <c r="M181" s="10" t="str">
        <f aca="false">IF(A181="","",IF((COUNTIF(Drain_Register!$A$5:$A$304,A181)+COUNTIF(RW_Register!$A$5:$A$304,A181)+COUNTIF(Embedded_Wall_Register!$A$5:$A$304,A181)+COUNTIF(Manhole_Register!$A$5:$A$304,A181)+COUNTIF(ERSS_Pit_Register!$A$5:$A$304,A181)+COUNTIF(Linkway_Register!$A$5:$A$304,A181)+COUNTIF(Other_Register!$A$5:$A$304,A181))&gt;0,"OK","ID not in any register"))</f>
        <v/>
      </c>
    </row>
    <row r="182" customFormat="false" ht="15" hidden="false" customHeight="false" outlineLevel="0" collapsed="false">
      <c r="A182" s="9"/>
      <c r="B182" s="9"/>
      <c r="C182" s="9"/>
      <c r="D182" s="9"/>
      <c r="E182" s="9"/>
      <c r="F182" s="9"/>
      <c r="G182" s="9"/>
      <c r="H182" s="9"/>
      <c r="I182" s="9"/>
      <c r="J182" s="10" t="str">
        <f aca="false">IF(A182="","",IF(G182&lt;&gt;"",G182,IF(N(F182)&gt;0,ROUND(1000/F182,3),0)))</f>
        <v/>
      </c>
      <c r="K182" s="10" t="str">
        <f aca="false">IF(OR(A182="",E182="",H182=""),"",ROUND(0.00617*E182^2*H182*J182,2))</f>
        <v/>
      </c>
      <c r="L182" s="9"/>
      <c r="M182" s="10" t="str">
        <f aca="false">IF(A182="","",IF((COUNTIF(Drain_Register!$A$5:$A$304,A182)+COUNTIF(RW_Register!$A$5:$A$304,A182)+COUNTIF(Embedded_Wall_Register!$A$5:$A$304,A182)+COUNTIF(Manhole_Register!$A$5:$A$304,A182)+COUNTIF(ERSS_Pit_Register!$A$5:$A$304,A182)+COUNTIF(Linkway_Register!$A$5:$A$304,A182)+COUNTIF(Other_Register!$A$5:$A$304,A182))&gt;0,"OK","ID not in any register"))</f>
        <v/>
      </c>
    </row>
    <row r="183" customFormat="false" ht="15" hidden="false" customHeight="false" outlineLevel="0" collapsed="false">
      <c r="A183" s="9"/>
      <c r="B183" s="9"/>
      <c r="C183" s="9"/>
      <c r="D183" s="9"/>
      <c r="E183" s="9"/>
      <c r="F183" s="9"/>
      <c r="G183" s="9"/>
      <c r="H183" s="9"/>
      <c r="I183" s="9"/>
      <c r="J183" s="10" t="str">
        <f aca="false">IF(A183="","",IF(G183&lt;&gt;"",G183,IF(N(F183)&gt;0,ROUND(1000/F183,3),0)))</f>
        <v/>
      </c>
      <c r="K183" s="10" t="str">
        <f aca="false">IF(OR(A183="",E183="",H183=""),"",ROUND(0.00617*E183^2*H183*J183,2))</f>
        <v/>
      </c>
      <c r="L183" s="9"/>
      <c r="M183" s="10" t="str">
        <f aca="false">IF(A183="","",IF((COUNTIF(Drain_Register!$A$5:$A$304,A183)+COUNTIF(RW_Register!$A$5:$A$304,A183)+COUNTIF(Embedded_Wall_Register!$A$5:$A$304,A183)+COUNTIF(Manhole_Register!$A$5:$A$304,A183)+COUNTIF(ERSS_Pit_Register!$A$5:$A$304,A183)+COUNTIF(Linkway_Register!$A$5:$A$304,A183)+COUNTIF(Other_Register!$A$5:$A$304,A183))&gt;0,"OK","ID not in any register"))</f>
        <v/>
      </c>
    </row>
    <row r="184" customFormat="false" ht="15" hidden="false" customHeight="false" outlineLevel="0" collapsed="false">
      <c r="A184" s="9"/>
      <c r="B184" s="9"/>
      <c r="C184" s="9"/>
      <c r="D184" s="9"/>
      <c r="E184" s="9"/>
      <c r="F184" s="9"/>
      <c r="G184" s="9"/>
      <c r="H184" s="9"/>
      <c r="I184" s="9"/>
      <c r="J184" s="10" t="str">
        <f aca="false">IF(A184="","",IF(G184&lt;&gt;"",G184,IF(N(F184)&gt;0,ROUND(1000/F184,3),0)))</f>
        <v/>
      </c>
      <c r="K184" s="10" t="str">
        <f aca="false">IF(OR(A184="",E184="",H184=""),"",ROUND(0.00617*E184^2*H184*J184,2))</f>
        <v/>
      </c>
      <c r="L184" s="9"/>
      <c r="M184" s="10" t="str">
        <f aca="false">IF(A184="","",IF((COUNTIF(Drain_Register!$A$5:$A$304,A184)+COUNTIF(RW_Register!$A$5:$A$304,A184)+COUNTIF(Embedded_Wall_Register!$A$5:$A$304,A184)+COUNTIF(Manhole_Register!$A$5:$A$304,A184)+COUNTIF(ERSS_Pit_Register!$A$5:$A$304,A184)+COUNTIF(Linkway_Register!$A$5:$A$304,A184)+COUNTIF(Other_Register!$A$5:$A$304,A184))&gt;0,"OK","ID not in any register"))</f>
        <v/>
      </c>
    </row>
    <row r="185" customFormat="false" ht="15" hidden="false" customHeight="false" outlineLevel="0" collapsed="false">
      <c r="A185" s="9"/>
      <c r="B185" s="9"/>
      <c r="C185" s="9"/>
      <c r="D185" s="9"/>
      <c r="E185" s="9"/>
      <c r="F185" s="9"/>
      <c r="G185" s="9"/>
      <c r="H185" s="9"/>
      <c r="I185" s="9"/>
      <c r="J185" s="10" t="str">
        <f aca="false">IF(A185="","",IF(G185&lt;&gt;"",G185,IF(N(F185)&gt;0,ROUND(1000/F185,3),0)))</f>
        <v/>
      </c>
      <c r="K185" s="10" t="str">
        <f aca="false">IF(OR(A185="",E185="",H185=""),"",ROUND(0.00617*E185^2*H185*J185,2))</f>
        <v/>
      </c>
      <c r="L185" s="9"/>
      <c r="M185" s="10" t="str">
        <f aca="false">IF(A185="","",IF((COUNTIF(Drain_Register!$A$5:$A$304,A185)+COUNTIF(RW_Register!$A$5:$A$304,A185)+COUNTIF(Embedded_Wall_Register!$A$5:$A$304,A185)+COUNTIF(Manhole_Register!$A$5:$A$304,A185)+COUNTIF(ERSS_Pit_Register!$A$5:$A$304,A185)+COUNTIF(Linkway_Register!$A$5:$A$304,A185)+COUNTIF(Other_Register!$A$5:$A$304,A185))&gt;0,"OK","ID not in any register"))</f>
        <v/>
      </c>
    </row>
    <row r="186" customFormat="false" ht="15" hidden="false" customHeight="false" outlineLevel="0" collapsed="false">
      <c r="A186" s="9"/>
      <c r="B186" s="9"/>
      <c r="C186" s="9"/>
      <c r="D186" s="9"/>
      <c r="E186" s="9"/>
      <c r="F186" s="9"/>
      <c r="G186" s="9"/>
      <c r="H186" s="9"/>
      <c r="I186" s="9"/>
      <c r="J186" s="10" t="str">
        <f aca="false">IF(A186="","",IF(G186&lt;&gt;"",G186,IF(N(F186)&gt;0,ROUND(1000/F186,3),0)))</f>
        <v/>
      </c>
      <c r="K186" s="10" t="str">
        <f aca="false">IF(OR(A186="",E186="",H186=""),"",ROUND(0.00617*E186^2*H186*J186,2))</f>
        <v/>
      </c>
      <c r="L186" s="9"/>
      <c r="M186" s="10" t="str">
        <f aca="false">IF(A186="","",IF((COUNTIF(Drain_Register!$A$5:$A$304,A186)+COUNTIF(RW_Register!$A$5:$A$304,A186)+COUNTIF(Embedded_Wall_Register!$A$5:$A$304,A186)+COUNTIF(Manhole_Register!$A$5:$A$304,A186)+COUNTIF(ERSS_Pit_Register!$A$5:$A$304,A186)+COUNTIF(Linkway_Register!$A$5:$A$304,A186)+COUNTIF(Other_Register!$A$5:$A$304,A186))&gt;0,"OK","ID not in any register"))</f>
        <v/>
      </c>
    </row>
    <row r="187" customFormat="false" ht="15" hidden="false" customHeight="false" outlineLevel="0" collapsed="false">
      <c r="A187" s="9"/>
      <c r="B187" s="9"/>
      <c r="C187" s="9"/>
      <c r="D187" s="9"/>
      <c r="E187" s="9"/>
      <c r="F187" s="9"/>
      <c r="G187" s="9"/>
      <c r="H187" s="9"/>
      <c r="I187" s="9"/>
      <c r="J187" s="10" t="str">
        <f aca="false">IF(A187="","",IF(G187&lt;&gt;"",G187,IF(N(F187)&gt;0,ROUND(1000/F187,3),0)))</f>
        <v/>
      </c>
      <c r="K187" s="10" t="str">
        <f aca="false">IF(OR(A187="",E187="",H187=""),"",ROUND(0.00617*E187^2*H187*J187,2))</f>
        <v/>
      </c>
      <c r="L187" s="9"/>
      <c r="M187" s="10" t="str">
        <f aca="false">IF(A187="","",IF((COUNTIF(Drain_Register!$A$5:$A$304,A187)+COUNTIF(RW_Register!$A$5:$A$304,A187)+COUNTIF(Embedded_Wall_Register!$A$5:$A$304,A187)+COUNTIF(Manhole_Register!$A$5:$A$304,A187)+COUNTIF(ERSS_Pit_Register!$A$5:$A$304,A187)+COUNTIF(Linkway_Register!$A$5:$A$304,A187)+COUNTIF(Other_Register!$A$5:$A$304,A187))&gt;0,"OK","ID not in any register"))</f>
        <v/>
      </c>
    </row>
    <row r="188" customFormat="false" ht="15" hidden="false" customHeight="false" outlineLevel="0" collapsed="false">
      <c r="A188" s="9"/>
      <c r="B188" s="9"/>
      <c r="C188" s="9"/>
      <c r="D188" s="9"/>
      <c r="E188" s="9"/>
      <c r="F188" s="9"/>
      <c r="G188" s="9"/>
      <c r="H188" s="9"/>
      <c r="I188" s="9"/>
      <c r="J188" s="10" t="str">
        <f aca="false">IF(A188="","",IF(G188&lt;&gt;"",G188,IF(N(F188)&gt;0,ROUND(1000/F188,3),0)))</f>
        <v/>
      </c>
      <c r="K188" s="10" t="str">
        <f aca="false">IF(OR(A188="",E188="",H188=""),"",ROUND(0.00617*E188^2*H188*J188,2))</f>
        <v/>
      </c>
      <c r="L188" s="9"/>
      <c r="M188" s="10" t="str">
        <f aca="false">IF(A188="","",IF((COUNTIF(Drain_Register!$A$5:$A$304,A188)+COUNTIF(RW_Register!$A$5:$A$304,A188)+COUNTIF(Embedded_Wall_Register!$A$5:$A$304,A188)+COUNTIF(Manhole_Register!$A$5:$A$304,A188)+COUNTIF(ERSS_Pit_Register!$A$5:$A$304,A188)+COUNTIF(Linkway_Register!$A$5:$A$304,A188)+COUNTIF(Other_Register!$A$5:$A$304,A188))&gt;0,"OK","ID not in any register"))</f>
        <v/>
      </c>
    </row>
    <row r="189" customFormat="false" ht="15" hidden="false" customHeight="false" outlineLevel="0" collapsed="false">
      <c r="A189" s="9"/>
      <c r="B189" s="9"/>
      <c r="C189" s="9"/>
      <c r="D189" s="9"/>
      <c r="E189" s="9"/>
      <c r="F189" s="9"/>
      <c r="G189" s="9"/>
      <c r="H189" s="9"/>
      <c r="I189" s="9"/>
      <c r="J189" s="10" t="str">
        <f aca="false">IF(A189="","",IF(G189&lt;&gt;"",G189,IF(N(F189)&gt;0,ROUND(1000/F189,3),0)))</f>
        <v/>
      </c>
      <c r="K189" s="10" t="str">
        <f aca="false">IF(OR(A189="",E189="",H189=""),"",ROUND(0.00617*E189^2*H189*J189,2))</f>
        <v/>
      </c>
      <c r="L189" s="9"/>
      <c r="M189" s="10" t="str">
        <f aca="false">IF(A189="","",IF((COUNTIF(Drain_Register!$A$5:$A$304,A189)+COUNTIF(RW_Register!$A$5:$A$304,A189)+COUNTIF(Embedded_Wall_Register!$A$5:$A$304,A189)+COUNTIF(Manhole_Register!$A$5:$A$304,A189)+COUNTIF(ERSS_Pit_Register!$A$5:$A$304,A189)+COUNTIF(Linkway_Register!$A$5:$A$304,A189)+COUNTIF(Other_Register!$A$5:$A$304,A189))&gt;0,"OK","ID not in any register"))</f>
        <v/>
      </c>
    </row>
    <row r="190" customFormat="false" ht="15" hidden="false" customHeight="false" outlineLevel="0" collapsed="false">
      <c r="A190" s="9"/>
      <c r="B190" s="9"/>
      <c r="C190" s="9"/>
      <c r="D190" s="9"/>
      <c r="E190" s="9"/>
      <c r="F190" s="9"/>
      <c r="G190" s="9"/>
      <c r="H190" s="9"/>
      <c r="I190" s="9"/>
      <c r="J190" s="10" t="str">
        <f aca="false">IF(A190="","",IF(G190&lt;&gt;"",G190,IF(N(F190)&gt;0,ROUND(1000/F190,3),0)))</f>
        <v/>
      </c>
      <c r="K190" s="10" t="str">
        <f aca="false">IF(OR(A190="",E190="",H190=""),"",ROUND(0.00617*E190^2*H190*J190,2))</f>
        <v/>
      </c>
      <c r="L190" s="9"/>
      <c r="M190" s="10" t="str">
        <f aca="false">IF(A190="","",IF((COUNTIF(Drain_Register!$A$5:$A$304,A190)+COUNTIF(RW_Register!$A$5:$A$304,A190)+COUNTIF(Embedded_Wall_Register!$A$5:$A$304,A190)+COUNTIF(Manhole_Register!$A$5:$A$304,A190)+COUNTIF(ERSS_Pit_Register!$A$5:$A$304,A190)+COUNTIF(Linkway_Register!$A$5:$A$304,A190)+COUNTIF(Other_Register!$A$5:$A$304,A190))&gt;0,"OK","ID not in any register"))</f>
        <v/>
      </c>
    </row>
    <row r="191" customFormat="false" ht="15" hidden="false" customHeight="false" outlineLevel="0" collapsed="false">
      <c r="A191" s="9"/>
      <c r="B191" s="9"/>
      <c r="C191" s="9"/>
      <c r="D191" s="9"/>
      <c r="E191" s="9"/>
      <c r="F191" s="9"/>
      <c r="G191" s="9"/>
      <c r="H191" s="9"/>
      <c r="I191" s="9"/>
      <c r="J191" s="10" t="str">
        <f aca="false">IF(A191="","",IF(G191&lt;&gt;"",G191,IF(N(F191)&gt;0,ROUND(1000/F191,3),0)))</f>
        <v/>
      </c>
      <c r="K191" s="10" t="str">
        <f aca="false">IF(OR(A191="",E191="",H191=""),"",ROUND(0.00617*E191^2*H191*J191,2))</f>
        <v/>
      </c>
      <c r="L191" s="9"/>
      <c r="M191" s="10" t="str">
        <f aca="false">IF(A191="","",IF((COUNTIF(Drain_Register!$A$5:$A$304,A191)+COUNTIF(RW_Register!$A$5:$A$304,A191)+COUNTIF(Embedded_Wall_Register!$A$5:$A$304,A191)+COUNTIF(Manhole_Register!$A$5:$A$304,A191)+COUNTIF(ERSS_Pit_Register!$A$5:$A$304,A191)+COUNTIF(Linkway_Register!$A$5:$A$304,A191)+COUNTIF(Other_Register!$A$5:$A$304,A191))&gt;0,"OK","ID not in any register"))</f>
        <v/>
      </c>
    </row>
    <row r="192" customFormat="false" ht="15" hidden="false" customHeight="false" outlineLevel="0" collapsed="false">
      <c r="A192" s="9"/>
      <c r="B192" s="9"/>
      <c r="C192" s="9"/>
      <c r="D192" s="9"/>
      <c r="E192" s="9"/>
      <c r="F192" s="9"/>
      <c r="G192" s="9"/>
      <c r="H192" s="9"/>
      <c r="I192" s="9"/>
      <c r="J192" s="10" t="str">
        <f aca="false">IF(A192="","",IF(G192&lt;&gt;"",G192,IF(N(F192)&gt;0,ROUND(1000/F192,3),0)))</f>
        <v/>
      </c>
      <c r="K192" s="10" t="str">
        <f aca="false">IF(OR(A192="",E192="",H192=""),"",ROUND(0.00617*E192^2*H192*J192,2))</f>
        <v/>
      </c>
      <c r="L192" s="9"/>
      <c r="M192" s="10" t="str">
        <f aca="false">IF(A192="","",IF((COUNTIF(Drain_Register!$A$5:$A$304,A192)+COUNTIF(RW_Register!$A$5:$A$304,A192)+COUNTIF(Embedded_Wall_Register!$A$5:$A$304,A192)+COUNTIF(Manhole_Register!$A$5:$A$304,A192)+COUNTIF(ERSS_Pit_Register!$A$5:$A$304,A192)+COUNTIF(Linkway_Register!$A$5:$A$304,A192)+COUNTIF(Other_Register!$A$5:$A$304,A192))&gt;0,"OK","ID not in any register"))</f>
        <v/>
      </c>
    </row>
    <row r="193" customFormat="false" ht="15" hidden="false" customHeight="false" outlineLevel="0" collapsed="false">
      <c r="A193" s="9"/>
      <c r="B193" s="9"/>
      <c r="C193" s="9"/>
      <c r="D193" s="9"/>
      <c r="E193" s="9"/>
      <c r="F193" s="9"/>
      <c r="G193" s="9"/>
      <c r="H193" s="9"/>
      <c r="I193" s="9"/>
      <c r="J193" s="10" t="str">
        <f aca="false">IF(A193="","",IF(G193&lt;&gt;"",G193,IF(N(F193)&gt;0,ROUND(1000/F193,3),0)))</f>
        <v/>
      </c>
      <c r="K193" s="10" t="str">
        <f aca="false">IF(OR(A193="",E193="",H193=""),"",ROUND(0.00617*E193^2*H193*J193,2))</f>
        <v/>
      </c>
      <c r="L193" s="9"/>
      <c r="M193" s="10" t="str">
        <f aca="false">IF(A193="","",IF((COUNTIF(Drain_Register!$A$5:$A$304,A193)+COUNTIF(RW_Register!$A$5:$A$304,A193)+COUNTIF(Embedded_Wall_Register!$A$5:$A$304,A193)+COUNTIF(Manhole_Register!$A$5:$A$304,A193)+COUNTIF(ERSS_Pit_Register!$A$5:$A$304,A193)+COUNTIF(Linkway_Register!$A$5:$A$304,A193)+COUNTIF(Other_Register!$A$5:$A$304,A193))&gt;0,"OK","ID not in any register"))</f>
        <v/>
      </c>
    </row>
    <row r="194" customFormat="false" ht="15" hidden="false" customHeight="false" outlineLevel="0" collapsed="false">
      <c r="A194" s="9"/>
      <c r="B194" s="9"/>
      <c r="C194" s="9"/>
      <c r="D194" s="9"/>
      <c r="E194" s="9"/>
      <c r="F194" s="9"/>
      <c r="G194" s="9"/>
      <c r="H194" s="9"/>
      <c r="I194" s="9"/>
      <c r="J194" s="10" t="str">
        <f aca="false">IF(A194="","",IF(G194&lt;&gt;"",G194,IF(N(F194)&gt;0,ROUND(1000/F194,3),0)))</f>
        <v/>
      </c>
      <c r="K194" s="10" t="str">
        <f aca="false">IF(OR(A194="",E194="",H194=""),"",ROUND(0.00617*E194^2*H194*J194,2))</f>
        <v/>
      </c>
      <c r="L194" s="9"/>
      <c r="M194" s="10" t="str">
        <f aca="false">IF(A194="","",IF((COUNTIF(Drain_Register!$A$5:$A$304,A194)+COUNTIF(RW_Register!$A$5:$A$304,A194)+COUNTIF(Embedded_Wall_Register!$A$5:$A$304,A194)+COUNTIF(Manhole_Register!$A$5:$A$304,A194)+COUNTIF(ERSS_Pit_Register!$A$5:$A$304,A194)+COUNTIF(Linkway_Register!$A$5:$A$304,A194)+COUNTIF(Other_Register!$A$5:$A$304,A194))&gt;0,"OK","ID not in any register"))</f>
        <v/>
      </c>
    </row>
    <row r="195" customFormat="false" ht="15" hidden="false" customHeight="false" outlineLevel="0" collapsed="false">
      <c r="A195" s="9"/>
      <c r="B195" s="9"/>
      <c r="C195" s="9"/>
      <c r="D195" s="9"/>
      <c r="E195" s="9"/>
      <c r="F195" s="9"/>
      <c r="G195" s="9"/>
      <c r="H195" s="9"/>
      <c r="I195" s="9"/>
      <c r="J195" s="10" t="str">
        <f aca="false">IF(A195="","",IF(G195&lt;&gt;"",G195,IF(N(F195)&gt;0,ROUND(1000/F195,3),0)))</f>
        <v/>
      </c>
      <c r="K195" s="10" t="str">
        <f aca="false">IF(OR(A195="",E195="",H195=""),"",ROUND(0.00617*E195^2*H195*J195,2))</f>
        <v/>
      </c>
      <c r="L195" s="9"/>
      <c r="M195" s="10" t="str">
        <f aca="false">IF(A195="","",IF((COUNTIF(Drain_Register!$A$5:$A$304,A195)+COUNTIF(RW_Register!$A$5:$A$304,A195)+COUNTIF(Embedded_Wall_Register!$A$5:$A$304,A195)+COUNTIF(Manhole_Register!$A$5:$A$304,A195)+COUNTIF(ERSS_Pit_Register!$A$5:$A$304,A195)+COUNTIF(Linkway_Register!$A$5:$A$304,A195)+COUNTIF(Other_Register!$A$5:$A$304,A195))&gt;0,"OK","ID not in any register"))</f>
        <v/>
      </c>
    </row>
    <row r="196" customFormat="false" ht="15" hidden="false" customHeight="false" outlineLevel="0" collapsed="false">
      <c r="A196" s="9"/>
      <c r="B196" s="9"/>
      <c r="C196" s="9"/>
      <c r="D196" s="9"/>
      <c r="E196" s="9"/>
      <c r="F196" s="9"/>
      <c r="G196" s="9"/>
      <c r="H196" s="9"/>
      <c r="I196" s="9"/>
      <c r="J196" s="10" t="str">
        <f aca="false">IF(A196="","",IF(G196&lt;&gt;"",G196,IF(N(F196)&gt;0,ROUND(1000/F196,3),0)))</f>
        <v/>
      </c>
      <c r="K196" s="10" t="str">
        <f aca="false">IF(OR(A196="",E196="",H196=""),"",ROUND(0.00617*E196^2*H196*J196,2))</f>
        <v/>
      </c>
      <c r="L196" s="9"/>
      <c r="M196" s="10" t="str">
        <f aca="false">IF(A196="","",IF((COUNTIF(Drain_Register!$A$5:$A$304,A196)+COUNTIF(RW_Register!$A$5:$A$304,A196)+COUNTIF(Embedded_Wall_Register!$A$5:$A$304,A196)+COUNTIF(Manhole_Register!$A$5:$A$304,A196)+COUNTIF(ERSS_Pit_Register!$A$5:$A$304,A196)+COUNTIF(Linkway_Register!$A$5:$A$304,A196)+COUNTIF(Other_Register!$A$5:$A$304,A196))&gt;0,"OK","ID not in any register"))</f>
        <v/>
      </c>
    </row>
    <row r="197" customFormat="false" ht="15" hidden="false" customHeight="false" outlineLevel="0" collapsed="false">
      <c r="A197" s="9"/>
      <c r="B197" s="9"/>
      <c r="C197" s="9"/>
      <c r="D197" s="9"/>
      <c r="E197" s="9"/>
      <c r="F197" s="9"/>
      <c r="G197" s="9"/>
      <c r="H197" s="9"/>
      <c r="I197" s="9"/>
      <c r="J197" s="10" t="str">
        <f aca="false">IF(A197="","",IF(G197&lt;&gt;"",G197,IF(N(F197)&gt;0,ROUND(1000/F197,3),0)))</f>
        <v/>
      </c>
      <c r="K197" s="10" t="str">
        <f aca="false">IF(OR(A197="",E197="",H197=""),"",ROUND(0.00617*E197^2*H197*J197,2))</f>
        <v/>
      </c>
      <c r="L197" s="9"/>
      <c r="M197" s="10" t="str">
        <f aca="false">IF(A197="","",IF((COUNTIF(Drain_Register!$A$5:$A$304,A197)+COUNTIF(RW_Register!$A$5:$A$304,A197)+COUNTIF(Embedded_Wall_Register!$A$5:$A$304,A197)+COUNTIF(Manhole_Register!$A$5:$A$304,A197)+COUNTIF(ERSS_Pit_Register!$A$5:$A$304,A197)+COUNTIF(Linkway_Register!$A$5:$A$304,A197)+COUNTIF(Other_Register!$A$5:$A$304,A197))&gt;0,"OK","ID not in any register"))</f>
        <v/>
      </c>
    </row>
    <row r="198" customFormat="false" ht="15" hidden="false" customHeight="false" outlineLevel="0" collapsed="false">
      <c r="A198" s="9"/>
      <c r="B198" s="9"/>
      <c r="C198" s="9"/>
      <c r="D198" s="9"/>
      <c r="E198" s="9"/>
      <c r="F198" s="9"/>
      <c r="G198" s="9"/>
      <c r="H198" s="9"/>
      <c r="I198" s="9"/>
      <c r="J198" s="10" t="str">
        <f aca="false">IF(A198="","",IF(G198&lt;&gt;"",G198,IF(N(F198)&gt;0,ROUND(1000/F198,3),0)))</f>
        <v/>
      </c>
      <c r="K198" s="10" t="str">
        <f aca="false">IF(OR(A198="",E198="",H198=""),"",ROUND(0.00617*E198^2*H198*J198,2))</f>
        <v/>
      </c>
      <c r="L198" s="9"/>
      <c r="M198" s="10" t="str">
        <f aca="false">IF(A198="","",IF((COUNTIF(Drain_Register!$A$5:$A$304,A198)+COUNTIF(RW_Register!$A$5:$A$304,A198)+COUNTIF(Embedded_Wall_Register!$A$5:$A$304,A198)+COUNTIF(Manhole_Register!$A$5:$A$304,A198)+COUNTIF(ERSS_Pit_Register!$A$5:$A$304,A198)+COUNTIF(Linkway_Register!$A$5:$A$304,A198)+COUNTIF(Other_Register!$A$5:$A$304,A198))&gt;0,"OK","ID not in any register"))</f>
        <v/>
      </c>
    </row>
    <row r="199" customFormat="false" ht="15" hidden="false" customHeight="false" outlineLevel="0" collapsed="false">
      <c r="A199" s="9"/>
      <c r="B199" s="9"/>
      <c r="C199" s="9"/>
      <c r="D199" s="9"/>
      <c r="E199" s="9"/>
      <c r="F199" s="9"/>
      <c r="G199" s="9"/>
      <c r="H199" s="9"/>
      <c r="I199" s="9"/>
      <c r="J199" s="10" t="str">
        <f aca="false">IF(A199="","",IF(G199&lt;&gt;"",G199,IF(N(F199)&gt;0,ROUND(1000/F199,3),0)))</f>
        <v/>
      </c>
      <c r="K199" s="10" t="str">
        <f aca="false">IF(OR(A199="",E199="",H199=""),"",ROUND(0.00617*E199^2*H199*J199,2))</f>
        <v/>
      </c>
      <c r="L199" s="9"/>
      <c r="M199" s="10" t="str">
        <f aca="false">IF(A199="","",IF((COUNTIF(Drain_Register!$A$5:$A$304,A199)+COUNTIF(RW_Register!$A$5:$A$304,A199)+COUNTIF(Embedded_Wall_Register!$A$5:$A$304,A199)+COUNTIF(Manhole_Register!$A$5:$A$304,A199)+COUNTIF(ERSS_Pit_Register!$A$5:$A$304,A199)+COUNTIF(Linkway_Register!$A$5:$A$304,A199)+COUNTIF(Other_Register!$A$5:$A$304,A199))&gt;0,"OK","ID not in any register"))</f>
        <v/>
      </c>
    </row>
    <row r="200" customFormat="false" ht="15" hidden="false" customHeight="false" outlineLevel="0" collapsed="false">
      <c r="A200" s="9"/>
      <c r="B200" s="9"/>
      <c r="C200" s="9"/>
      <c r="D200" s="9"/>
      <c r="E200" s="9"/>
      <c r="F200" s="9"/>
      <c r="G200" s="9"/>
      <c r="H200" s="9"/>
      <c r="I200" s="9"/>
      <c r="J200" s="10" t="str">
        <f aca="false">IF(A200="","",IF(G200&lt;&gt;"",G200,IF(N(F200)&gt;0,ROUND(1000/F200,3),0)))</f>
        <v/>
      </c>
      <c r="K200" s="10" t="str">
        <f aca="false">IF(OR(A200="",E200="",H200=""),"",ROUND(0.00617*E200^2*H200*J200,2))</f>
        <v/>
      </c>
      <c r="L200" s="9"/>
      <c r="M200" s="10" t="str">
        <f aca="false">IF(A200="","",IF((COUNTIF(Drain_Register!$A$5:$A$304,A200)+COUNTIF(RW_Register!$A$5:$A$304,A200)+COUNTIF(Embedded_Wall_Register!$A$5:$A$304,A200)+COUNTIF(Manhole_Register!$A$5:$A$304,A200)+COUNTIF(ERSS_Pit_Register!$A$5:$A$304,A200)+COUNTIF(Linkway_Register!$A$5:$A$304,A200)+COUNTIF(Other_Register!$A$5:$A$304,A200))&gt;0,"OK","ID not in any register"))</f>
        <v/>
      </c>
    </row>
    <row r="201" customFormat="false" ht="15" hidden="false" customHeight="false" outlineLevel="0" collapsed="false">
      <c r="A201" s="9"/>
      <c r="B201" s="9"/>
      <c r="C201" s="9"/>
      <c r="D201" s="9"/>
      <c r="E201" s="9"/>
      <c r="F201" s="9"/>
      <c r="G201" s="9"/>
      <c r="H201" s="9"/>
      <c r="I201" s="9"/>
      <c r="J201" s="10" t="str">
        <f aca="false">IF(A201="","",IF(G201&lt;&gt;"",G201,IF(N(F201)&gt;0,ROUND(1000/F201,3),0)))</f>
        <v/>
      </c>
      <c r="K201" s="10" t="str">
        <f aca="false">IF(OR(A201="",E201="",H201=""),"",ROUND(0.00617*E201^2*H201*J201,2))</f>
        <v/>
      </c>
      <c r="L201" s="9"/>
      <c r="M201" s="10" t="str">
        <f aca="false">IF(A201="","",IF((COUNTIF(Drain_Register!$A$5:$A$304,A201)+COUNTIF(RW_Register!$A$5:$A$304,A201)+COUNTIF(Embedded_Wall_Register!$A$5:$A$304,A201)+COUNTIF(Manhole_Register!$A$5:$A$304,A201)+COUNTIF(ERSS_Pit_Register!$A$5:$A$304,A201)+COUNTIF(Linkway_Register!$A$5:$A$304,A201)+COUNTIF(Other_Register!$A$5:$A$304,A201))&gt;0,"OK","ID not in any register"))</f>
        <v/>
      </c>
    </row>
    <row r="202" customFormat="false" ht="15" hidden="false" customHeight="false" outlineLevel="0" collapsed="false">
      <c r="A202" s="9"/>
      <c r="B202" s="9"/>
      <c r="C202" s="9"/>
      <c r="D202" s="9"/>
      <c r="E202" s="9"/>
      <c r="F202" s="9"/>
      <c r="G202" s="9"/>
      <c r="H202" s="9"/>
      <c r="I202" s="9"/>
      <c r="J202" s="10" t="str">
        <f aca="false">IF(A202="","",IF(G202&lt;&gt;"",G202,IF(N(F202)&gt;0,ROUND(1000/F202,3),0)))</f>
        <v/>
      </c>
      <c r="K202" s="10" t="str">
        <f aca="false">IF(OR(A202="",E202="",H202=""),"",ROUND(0.00617*E202^2*H202*J202,2))</f>
        <v/>
      </c>
      <c r="L202" s="9"/>
      <c r="M202" s="10" t="str">
        <f aca="false">IF(A202="","",IF((COUNTIF(Drain_Register!$A$5:$A$304,A202)+COUNTIF(RW_Register!$A$5:$A$304,A202)+COUNTIF(Embedded_Wall_Register!$A$5:$A$304,A202)+COUNTIF(Manhole_Register!$A$5:$A$304,A202)+COUNTIF(ERSS_Pit_Register!$A$5:$A$304,A202)+COUNTIF(Linkway_Register!$A$5:$A$304,A202)+COUNTIF(Other_Register!$A$5:$A$304,A202))&gt;0,"OK","ID not in any register"))</f>
        <v/>
      </c>
    </row>
    <row r="203" customFormat="false" ht="15" hidden="false" customHeight="false" outlineLevel="0" collapsed="false">
      <c r="A203" s="9"/>
      <c r="B203" s="9"/>
      <c r="C203" s="9"/>
      <c r="D203" s="9"/>
      <c r="E203" s="9"/>
      <c r="F203" s="9"/>
      <c r="G203" s="9"/>
      <c r="H203" s="9"/>
      <c r="I203" s="9"/>
      <c r="J203" s="10" t="str">
        <f aca="false">IF(A203="","",IF(G203&lt;&gt;"",G203,IF(N(F203)&gt;0,ROUND(1000/F203,3),0)))</f>
        <v/>
      </c>
      <c r="K203" s="10" t="str">
        <f aca="false">IF(OR(A203="",E203="",H203=""),"",ROUND(0.00617*E203^2*H203*J203,2))</f>
        <v/>
      </c>
      <c r="L203" s="9"/>
      <c r="M203" s="10" t="str">
        <f aca="false">IF(A203="","",IF((COUNTIF(Drain_Register!$A$5:$A$304,A203)+COUNTIF(RW_Register!$A$5:$A$304,A203)+COUNTIF(Embedded_Wall_Register!$A$5:$A$304,A203)+COUNTIF(Manhole_Register!$A$5:$A$304,A203)+COUNTIF(ERSS_Pit_Register!$A$5:$A$304,A203)+COUNTIF(Linkway_Register!$A$5:$A$304,A203)+COUNTIF(Other_Register!$A$5:$A$304,A203))&gt;0,"OK","ID not in any register"))</f>
        <v/>
      </c>
    </row>
    <row r="204" customFormat="false" ht="15" hidden="false" customHeight="false" outlineLevel="0" collapsed="false">
      <c r="A204" s="9"/>
      <c r="B204" s="9"/>
      <c r="C204" s="9"/>
      <c r="D204" s="9"/>
      <c r="E204" s="9"/>
      <c r="F204" s="9"/>
      <c r="G204" s="9"/>
      <c r="H204" s="9"/>
      <c r="I204" s="9"/>
      <c r="J204" s="10" t="str">
        <f aca="false">IF(A204="","",IF(G204&lt;&gt;"",G204,IF(N(F204)&gt;0,ROUND(1000/F204,3),0)))</f>
        <v/>
      </c>
      <c r="K204" s="10" t="str">
        <f aca="false">IF(OR(A204="",E204="",H204=""),"",ROUND(0.00617*E204^2*H204*J204,2))</f>
        <v/>
      </c>
      <c r="L204" s="9"/>
      <c r="M204" s="10" t="str">
        <f aca="false">IF(A204="","",IF((COUNTIF(Drain_Register!$A$5:$A$304,A204)+COUNTIF(RW_Register!$A$5:$A$304,A204)+COUNTIF(Embedded_Wall_Register!$A$5:$A$304,A204)+COUNTIF(Manhole_Register!$A$5:$A$304,A204)+COUNTIF(ERSS_Pit_Register!$A$5:$A$304,A204)+COUNTIF(Linkway_Register!$A$5:$A$304,A204)+COUNTIF(Other_Register!$A$5:$A$304,A204))&gt;0,"OK","ID not in any register"))</f>
        <v/>
      </c>
    </row>
    <row r="205" customFormat="false" ht="15" hidden="false" customHeight="false" outlineLevel="0" collapsed="false">
      <c r="A205" s="9"/>
      <c r="B205" s="9"/>
      <c r="C205" s="9"/>
      <c r="D205" s="9"/>
      <c r="E205" s="9"/>
      <c r="F205" s="9"/>
      <c r="G205" s="9"/>
      <c r="H205" s="9"/>
      <c r="I205" s="9"/>
      <c r="J205" s="10" t="str">
        <f aca="false">IF(A205="","",IF(G205&lt;&gt;"",G205,IF(N(F205)&gt;0,ROUND(1000/F205,3),0)))</f>
        <v/>
      </c>
      <c r="K205" s="10" t="str">
        <f aca="false">IF(OR(A205="",E205="",H205=""),"",ROUND(0.00617*E205^2*H205*J205,2))</f>
        <v/>
      </c>
      <c r="L205" s="9"/>
      <c r="M205" s="10" t="str">
        <f aca="false">IF(A205="","",IF((COUNTIF(Drain_Register!$A$5:$A$304,A205)+COUNTIF(RW_Register!$A$5:$A$304,A205)+COUNTIF(Embedded_Wall_Register!$A$5:$A$304,A205)+COUNTIF(Manhole_Register!$A$5:$A$304,A205)+COUNTIF(ERSS_Pit_Register!$A$5:$A$304,A205)+COUNTIF(Linkway_Register!$A$5:$A$304,A205)+COUNTIF(Other_Register!$A$5:$A$304,A205))&gt;0,"OK","ID not in any register"))</f>
        <v/>
      </c>
    </row>
    <row r="206" customFormat="false" ht="15" hidden="false" customHeight="false" outlineLevel="0" collapsed="false">
      <c r="A206" s="9"/>
      <c r="B206" s="9"/>
      <c r="C206" s="9"/>
      <c r="D206" s="9"/>
      <c r="E206" s="9"/>
      <c r="F206" s="9"/>
      <c r="G206" s="9"/>
      <c r="H206" s="9"/>
      <c r="I206" s="9"/>
      <c r="J206" s="10" t="str">
        <f aca="false">IF(A206="","",IF(G206&lt;&gt;"",G206,IF(N(F206)&gt;0,ROUND(1000/F206,3),0)))</f>
        <v/>
      </c>
      <c r="K206" s="10" t="str">
        <f aca="false">IF(OR(A206="",E206="",H206=""),"",ROUND(0.00617*E206^2*H206*J206,2))</f>
        <v/>
      </c>
      <c r="L206" s="9"/>
      <c r="M206" s="10" t="str">
        <f aca="false">IF(A206="","",IF((COUNTIF(Drain_Register!$A$5:$A$304,A206)+COUNTIF(RW_Register!$A$5:$A$304,A206)+COUNTIF(Embedded_Wall_Register!$A$5:$A$304,A206)+COUNTIF(Manhole_Register!$A$5:$A$304,A206)+COUNTIF(ERSS_Pit_Register!$A$5:$A$304,A206)+COUNTIF(Linkway_Register!$A$5:$A$304,A206)+COUNTIF(Other_Register!$A$5:$A$304,A206))&gt;0,"OK","ID not in any register"))</f>
        <v/>
      </c>
    </row>
    <row r="207" customFormat="false" ht="15" hidden="false" customHeight="false" outlineLevel="0" collapsed="false">
      <c r="A207" s="9"/>
      <c r="B207" s="9"/>
      <c r="C207" s="9"/>
      <c r="D207" s="9"/>
      <c r="E207" s="9"/>
      <c r="F207" s="9"/>
      <c r="G207" s="9"/>
      <c r="H207" s="9"/>
      <c r="I207" s="9"/>
      <c r="J207" s="10" t="str">
        <f aca="false">IF(A207="","",IF(G207&lt;&gt;"",G207,IF(N(F207)&gt;0,ROUND(1000/F207,3),0)))</f>
        <v/>
      </c>
      <c r="K207" s="10" t="str">
        <f aca="false">IF(OR(A207="",E207="",H207=""),"",ROUND(0.00617*E207^2*H207*J207,2))</f>
        <v/>
      </c>
      <c r="L207" s="9"/>
      <c r="M207" s="10" t="str">
        <f aca="false">IF(A207="","",IF((COUNTIF(Drain_Register!$A$5:$A$304,A207)+COUNTIF(RW_Register!$A$5:$A$304,A207)+COUNTIF(Embedded_Wall_Register!$A$5:$A$304,A207)+COUNTIF(Manhole_Register!$A$5:$A$304,A207)+COUNTIF(ERSS_Pit_Register!$A$5:$A$304,A207)+COUNTIF(Linkway_Register!$A$5:$A$304,A207)+COUNTIF(Other_Register!$A$5:$A$304,A207))&gt;0,"OK","ID not in any register"))</f>
        <v/>
      </c>
    </row>
    <row r="208" customFormat="false" ht="15" hidden="false" customHeight="false" outlineLevel="0" collapsed="false">
      <c r="A208" s="9"/>
      <c r="B208" s="9"/>
      <c r="C208" s="9"/>
      <c r="D208" s="9"/>
      <c r="E208" s="9"/>
      <c r="F208" s="9"/>
      <c r="G208" s="9"/>
      <c r="H208" s="9"/>
      <c r="I208" s="9"/>
      <c r="J208" s="10" t="str">
        <f aca="false">IF(A208="","",IF(G208&lt;&gt;"",G208,IF(N(F208)&gt;0,ROUND(1000/F208,3),0)))</f>
        <v/>
      </c>
      <c r="K208" s="10" t="str">
        <f aca="false">IF(OR(A208="",E208="",H208=""),"",ROUND(0.00617*E208^2*H208*J208,2))</f>
        <v/>
      </c>
      <c r="L208" s="9"/>
      <c r="M208" s="10" t="str">
        <f aca="false">IF(A208="","",IF((COUNTIF(Drain_Register!$A$5:$A$304,A208)+COUNTIF(RW_Register!$A$5:$A$304,A208)+COUNTIF(Embedded_Wall_Register!$A$5:$A$304,A208)+COUNTIF(Manhole_Register!$A$5:$A$304,A208)+COUNTIF(ERSS_Pit_Register!$A$5:$A$304,A208)+COUNTIF(Linkway_Register!$A$5:$A$304,A208)+COUNTIF(Other_Register!$A$5:$A$304,A208))&gt;0,"OK","ID not in any register"))</f>
        <v/>
      </c>
    </row>
    <row r="209" customFormat="false" ht="15" hidden="false" customHeight="false" outlineLevel="0" collapsed="false">
      <c r="A209" s="9"/>
      <c r="B209" s="9"/>
      <c r="C209" s="9"/>
      <c r="D209" s="9"/>
      <c r="E209" s="9"/>
      <c r="F209" s="9"/>
      <c r="G209" s="9"/>
      <c r="H209" s="9"/>
      <c r="I209" s="9"/>
      <c r="J209" s="10" t="str">
        <f aca="false">IF(A209="","",IF(G209&lt;&gt;"",G209,IF(N(F209)&gt;0,ROUND(1000/F209,3),0)))</f>
        <v/>
      </c>
      <c r="K209" s="10" t="str">
        <f aca="false">IF(OR(A209="",E209="",H209=""),"",ROUND(0.00617*E209^2*H209*J209,2))</f>
        <v/>
      </c>
      <c r="L209" s="9"/>
      <c r="M209" s="10" t="str">
        <f aca="false">IF(A209="","",IF((COUNTIF(Drain_Register!$A$5:$A$304,A209)+COUNTIF(RW_Register!$A$5:$A$304,A209)+COUNTIF(Embedded_Wall_Register!$A$5:$A$304,A209)+COUNTIF(Manhole_Register!$A$5:$A$304,A209)+COUNTIF(ERSS_Pit_Register!$A$5:$A$304,A209)+COUNTIF(Linkway_Register!$A$5:$A$304,A209)+COUNTIF(Other_Register!$A$5:$A$304,A209))&gt;0,"OK","ID not in any register"))</f>
        <v/>
      </c>
    </row>
    <row r="210" customFormat="false" ht="15" hidden="false" customHeight="false" outlineLevel="0" collapsed="false">
      <c r="A210" s="9"/>
      <c r="B210" s="9"/>
      <c r="C210" s="9"/>
      <c r="D210" s="9"/>
      <c r="E210" s="9"/>
      <c r="F210" s="9"/>
      <c r="G210" s="9"/>
      <c r="H210" s="9"/>
      <c r="I210" s="9"/>
      <c r="J210" s="10" t="str">
        <f aca="false">IF(A210="","",IF(G210&lt;&gt;"",G210,IF(N(F210)&gt;0,ROUND(1000/F210,3),0)))</f>
        <v/>
      </c>
      <c r="K210" s="10" t="str">
        <f aca="false">IF(OR(A210="",E210="",H210=""),"",ROUND(0.00617*E210^2*H210*J210,2))</f>
        <v/>
      </c>
      <c r="L210" s="9"/>
      <c r="M210" s="10" t="str">
        <f aca="false">IF(A210="","",IF((COUNTIF(Drain_Register!$A$5:$A$304,A210)+COUNTIF(RW_Register!$A$5:$A$304,A210)+COUNTIF(Embedded_Wall_Register!$A$5:$A$304,A210)+COUNTIF(Manhole_Register!$A$5:$A$304,A210)+COUNTIF(ERSS_Pit_Register!$A$5:$A$304,A210)+COUNTIF(Linkway_Register!$A$5:$A$304,A210)+COUNTIF(Other_Register!$A$5:$A$304,A210))&gt;0,"OK","ID not in any register"))</f>
        <v/>
      </c>
    </row>
    <row r="211" customFormat="false" ht="15" hidden="false" customHeight="false" outlineLevel="0" collapsed="false">
      <c r="A211" s="9"/>
      <c r="B211" s="9"/>
      <c r="C211" s="9"/>
      <c r="D211" s="9"/>
      <c r="E211" s="9"/>
      <c r="F211" s="9"/>
      <c r="G211" s="9"/>
      <c r="H211" s="9"/>
      <c r="I211" s="9"/>
      <c r="J211" s="10" t="str">
        <f aca="false">IF(A211="","",IF(G211&lt;&gt;"",G211,IF(N(F211)&gt;0,ROUND(1000/F211,3),0)))</f>
        <v/>
      </c>
      <c r="K211" s="10" t="str">
        <f aca="false">IF(OR(A211="",E211="",H211=""),"",ROUND(0.00617*E211^2*H211*J211,2))</f>
        <v/>
      </c>
      <c r="L211" s="9"/>
      <c r="M211" s="10" t="str">
        <f aca="false">IF(A211="","",IF((COUNTIF(Drain_Register!$A$5:$A$304,A211)+COUNTIF(RW_Register!$A$5:$A$304,A211)+COUNTIF(Embedded_Wall_Register!$A$5:$A$304,A211)+COUNTIF(Manhole_Register!$A$5:$A$304,A211)+COUNTIF(ERSS_Pit_Register!$A$5:$A$304,A211)+COUNTIF(Linkway_Register!$A$5:$A$304,A211)+COUNTIF(Other_Register!$A$5:$A$304,A211))&gt;0,"OK","ID not in any register"))</f>
        <v/>
      </c>
    </row>
    <row r="212" customFormat="false" ht="15" hidden="false" customHeight="false" outlineLevel="0" collapsed="false">
      <c r="A212" s="9"/>
      <c r="B212" s="9"/>
      <c r="C212" s="9"/>
      <c r="D212" s="9"/>
      <c r="E212" s="9"/>
      <c r="F212" s="9"/>
      <c r="G212" s="9"/>
      <c r="H212" s="9"/>
      <c r="I212" s="9"/>
      <c r="J212" s="10" t="str">
        <f aca="false">IF(A212="","",IF(G212&lt;&gt;"",G212,IF(N(F212)&gt;0,ROUND(1000/F212,3),0)))</f>
        <v/>
      </c>
      <c r="K212" s="10" t="str">
        <f aca="false">IF(OR(A212="",E212="",H212=""),"",ROUND(0.00617*E212^2*H212*J212,2))</f>
        <v/>
      </c>
      <c r="L212" s="9"/>
      <c r="M212" s="10" t="str">
        <f aca="false">IF(A212="","",IF((COUNTIF(Drain_Register!$A$5:$A$304,A212)+COUNTIF(RW_Register!$A$5:$A$304,A212)+COUNTIF(Embedded_Wall_Register!$A$5:$A$304,A212)+COUNTIF(Manhole_Register!$A$5:$A$304,A212)+COUNTIF(ERSS_Pit_Register!$A$5:$A$304,A212)+COUNTIF(Linkway_Register!$A$5:$A$304,A212)+COUNTIF(Other_Register!$A$5:$A$304,A212))&gt;0,"OK","ID not in any register"))</f>
        <v/>
      </c>
    </row>
    <row r="213" customFormat="false" ht="15" hidden="false" customHeight="false" outlineLevel="0" collapsed="false">
      <c r="A213" s="9"/>
      <c r="B213" s="9"/>
      <c r="C213" s="9"/>
      <c r="D213" s="9"/>
      <c r="E213" s="9"/>
      <c r="F213" s="9"/>
      <c r="G213" s="9"/>
      <c r="H213" s="9"/>
      <c r="I213" s="9"/>
      <c r="J213" s="10" t="str">
        <f aca="false">IF(A213="","",IF(G213&lt;&gt;"",G213,IF(N(F213)&gt;0,ROUND(1000/F213,3),0)))</f>
        <v/>
      </c>
      <c r="K213" s="10" t="str">
        <f aca="false">IF(OR(A213="",E213="",H213=""),"",ROUND(0.00617*E213^2*H213*J213,2))</f>
        <v/>
      </c>
      <c r="L213" s="9"/>
      <c r="M213" s="10" t="str">
        <f aca="false">IF(A213="","",IF((COUNTIF(Drain_Register!$A$5:$A$304,A213)+COUNTIF(RW_Register!$A$5:$A$304,A213)+COUNTIF(Embedded_Wall_Register!$A$5:$A$304,A213)+COUNTIF(Manhole_Register!$A$5:$A$304,A213)+COUNTIF(ERSS_Pit_Register!$A$5:$A$304,A213)+COUNTIF(Linkway_Register!$A$5:$A$304,A213)+COUNTIF(Other_Register!$A$5:$A$304,A213))&gt;0,"OK","ID not in any register"))</f>
        <v/>
      </c>
    </row>
    <row r="214" customFormat="false" ht="15" hidden="false" customHeight="false" outlineLevel="0" collapsed="false">
      <c r="A214" s="9"/>
      <c r="B214" s="9"/>
      <c r="C214" s="9"/>
      <c r="D214" s="9"/>
      <c r="E214" s="9"/>
      <c r="F214" s="9"/>
      <c r="G214" s="9"/>
      <c r="H214" s="9"/>
      <c r="I214" s="9"/>
      <c r="J214" s="10" t="str">
        <f aca="false">IF(A214="","",IF(G214&lt;&gt;"",G214,IF(N(F214)&gt;0,ROUND(1000/F214,3),0)))</f>
        <v/>
      </c>
      <c r="K214" s="10" t="str">
        <f aca="false">IF(OR(A214="",E214="",H214=""),"",ROUND(0.00617*E214^2*H214*J214,2))</f>
        <v/>
      </c>
      <c r="L214" s="9"/>
      <c r="M214" s="10" t="str">
        <f aca="false">IF(A214="","",IF((COUNTIF(Drain_Register!$A$5:$A$304,A214)+COUNTIF(RW_Register!$A$5:$A$304,A214)+COUNTIF(Embedded_Wall_Register!$A$5:$A$304,A214)+COUNTIF(Manhole_Register!$A$5:$A$304,A214)+COUNTIF(ERSS_Pit_Register!$A$5:$A$304,A214)+COUNTIF(Linkway_Register!$A$5:$A$304,A214)+COUNTIF(Other_Register!$A$5:$A$304,A214))&gt;0,"OK","ID not in any register"))</f>
        <v/>
      </c>
    </row>
    <row r="215" customFormat="false" ht="15" hidden="false" customHeight="false" outlineLevel="0" collapsed="false">
      <c r="A215" s="9"/>
      <c r="B215" s="9"/>
      <c r="C215" s="9"/>
      <c r="D215" s="9"/>
      <c r="E215" s="9"/>
      <c r="F215" s="9"/>
      <c r="G215" s="9"/>
      <c r="H215" s="9"/>
      <c r="I215" s="9"/>
      <c r="J215" s="10" t="str">
        <f aca="false">IF(A215="","",IF(G215&lt;&gt;"",G215,IF(N(F215)&gt;0,ROUND(1000/F215,3),0)))</f>
        <v/>
      </c>
      <c r="K215" s="10" t="str">
        <f aca="false">IF(OR(A215="",E215="",H215=""),"",ROUND(0.00617*E215^2*H215*J215,2))</f>
        <v/>
      </c>
      <c r="L215" s="9"/>
      <c r="M215" s="10" t="str">
        <f aca="false">IF(A215="","",IF((COUNTIF(Drain_Register!$A$5:$A$304,A215)+COUNTIF(RW_Register!$A$5:$A$304,A215)+COUNTIF(Embedded_Wall_Register!$A$5:$A$304,A215)+COUNTIF(Manhole_Register!$A$5:$A$304,A215)+COUNTIF(ERSS_Pit_Register!$A$5:$A$304,A215)+COUNTIF(Linkway_Register!$A$5:$A$304,A215)+COUNTIF(Other_Register!$A$5:$A$304,A215))&gt;0,"OK","ID not in any register"))</f>
        <v/>
      </c>
    </row>
    <row r="216" customFormat="false" ht="15" hidden="false" customHeight="false" outlineLevel="0" collapsed="false">
      <c r="A216" s="9"/>
      <c r="B216" s="9"/>
      <c r="C216" s="9"/>
      <c r="D216" s="9"/>
      <c r="E216" s="9"/>
      <c r="F216" s="9"/>
      <c r="G216" s="9"/>
      <c r="H216" s="9"/>
      <c r="I216" s="9"/>
      <c r="J216" s="10" t="str">
        <f aca="false">IF(A216="","",IF(G216&lt;&gt;"",G216,IF(N(F216)&gt;0,ROUND(1000/F216,3),0)))</f>
        <v/>
      </c>
      <c r="K216" s="10" t="str">
        <f aca="false">IF(OR(A216="",E216="",H216=""),"",ROUND(0.00617*E216^2*H216*J216,2))</f>
        <v/>
      </c>
      <c r="L216" s="9"/>
      <c r="M216" s="10" t="str">
        <f aca="false">IF(A216="","",IF((COUNTIF(Drain_Register!$A$5:$A$304,A216)+COUNTIF(RW_Register!$A$5:$A$304,A216)+COUNTIF(Embedded_Wall_Register!$A$5:$A$304,A216)+COUNTIF(Manhole_Register!$A$5:$A$304,A216)+COUNTIF(ERSS_Pit_Register!$A$5:$A$304,A216)+COUNTIF(Linkway_Register!$A$5:$A$304,A216)+COUNTIF(Other_Register!$A$5:$A$304,A216))&gt;0,"OK","ID not in any register"))</f>
        <v/>
      </c>
    </row>
    <row r="217" customFormat="false" ht="15" hidden="false" customHeight="false" outlineLevel="0" collapsed="false">
      <c r="A217" s="9"/>
      <c r="B217" s="9"/>
      <c r="C217" s="9"/>
      <c r="D217" s="9"/>
      <c r="E217" s="9"/>
      <c r="F217" s="9"/>
      <c r="G217" s="9"/>
      <c r="H217" s="9"/>
      <c r="I217" s="9"/>
      <c r="J217" s="10" t="str">
        <f aca="false">IF(A217="","",IF(G217&lt;&gt;"",G217,IF(N(F217)&gt;0,ROUND(1000/F217,3),0)))</f>
        <v/>
      </c>
      <c r="K217" s="10" t="str">
        <f aca="false">IF(OR(A217="",E217="",H217=""),"",ROUND(0.00617*E217^2*H217*J217,2))</f>
        <v/>
      </c>
      <c r="L217" s="9"/>
      <c r="M217" s="10" t="str">
        <f aca="false">IF(A217="","",IF((COUNTIF(Drain_Register!$A$5:$A$304,A217)+COUNTIF(RW_Register!$A$5:$A$304,A217)+COUNTIF(Embedded_Wall_Register!$A$5:$A$304,A217)+COUNTIF(Manhole_Register!$A$5:$A$304,A217)+COUNTIF(ERSS_Pit_Register!$A$5:$A$304,A217)+COUNTIF(Linkway_Register!$A$5:$A$304,A217)+COUNTIF(Other_Register!$A$5:$A$304,A217))&gt;0,"OK","ID not in any register"))</f>
        <v/>
      </c>
    </row>
    <row r="218" customFormat="false" ht="15" hidden="false" customHeight="false" outlineLevel="0" collapsed="false">
      <c r="A218" s="9"/>
      <c r="B218" s="9"/>
      <c r="C218" s="9"/>
      <c r="D218" s="9"/>
      <c r="E218" s="9"/>
      <c r="F218" s="9"/>
      <c r="G218" s="9"/>
      <c r="H218" s="9"/>
      <c r="I218" s="9"/>
      <c r="J218" s="10" t="str">
        <f aca="false">IF(A218="","",IF(G218&lt;&gt;"",G218,IF(N(F218)&gt;0,ROUND(1000/F218,3),0)))</f>
        <v/>
      </c>
      <c r="K218" s="10" t="str">
        <f aca="false">IF(OR(A218="",E218="",H218=""),"",ROUND(0.00617*E218^2*H218*J218,2))</f>
        <v/>
      </c>
      <c r="L218" s="9"/>
      <c r="M218" s="10" t="str">
        <f aca="false">IF(A218="","",IF((COUNTIF(Drain_Register!$A$5:$A$304,A218)+COUNTIF(RW_Register!$A$5:$A$304,A218)+COUNTIF(Embedded_Wall_Register!$A$5:$A$304,A218)+COUNTIF(Manhole_Register!$A$5:$A$304,A218)+COUNTIF(ERSS_Pit_Register!$A$5:$A$304,A218)+COUNTIF(Linkway_Register!$A$5:$A$304,A218)+COUNTIF(Other_Register!$A$5:$A$304,A218))&gt;0,"OK","ID not in any register"))</f>
        <v/>
      </c>
    </row>
    <row r="219" customFormat="false" ht="15" hidden="false" customHeight="false" outlineLevel="0" collapsed="false">
      <c r="A219" s="9"/>
      <c r="B219" s="9"/>
      <c r="C219" s="9"/>
      <c r="D219" s="9"/>
      <c r="E219" s="9"/>
      <c r="F219" s="9"/>
      <c r="G219" s="9"/>
      <c r="H219" s="9"/>
      <c r="I219" s="9"/>
      <c r="J219" s="10" t="str">
        <f aca="false">IF(A219="","",IF(G219&lt;&gt;"",G219,IF(N(F219)&gt;0,ROUND(1000/F219,3),0)))</f>
        <v/>
      </c>
      <c r="K219" s="10" t="str">
        <f aca="false">IF(OR(A219="",E219="",H219=""),"",ROUND(0.00617*E219^2*H219*J219,2))</f>
        <v/>
      </c>
      <c r="L219" s="9"/>
      <c r="M219" s="10" t="str">
        <f aca="false">IF(A219="","",IF((COUNTIF(Drain_Register!$A$5:$A$304,A219)+COUNTIF(RW_Register!$A$5:$A$304,A219)+COUNTIF(Embedded_Wall_Register!$A$5:$A$304,A219)+COUNTIF(Manhole_Register!$A$5:$A$304,A219)+COUNTIF(ERSS_Pit_Register!$A$5:$A$304,A219)+COUNTIF(Linkway_Register!$A$5:$A$304,A219)+COUNTIF(Other_Register!$A$5:$A$304,A219))&gt;0,"OK","ID not in any register"))</f>
        <v/>
      </c>
    </row>
    <row r="220" customFormat="false" ht="15" hidden="false" customHeight="false" outlineLevel="0" collapsed="false">
      <c r="A220" s="9"/>
      <c r="B220" s="9"/>
      <c r="C220" s="9"/>
      <c r="D220" s="9"/>
      <c r="E220" s="9"/>
      <c r="F220" s="9"/>
      <c r="G220" s="9"/>
      <c r="H220" s="9"/>
      <c r="I220" s="9"/>
      <c r="J220" s="10" t="str">
        <f aca="false">IF(A220="","",IF(G220&lt;&gt;"",G220,IF(N(F220)&gt;0,ROUND(1000/F220,3),0)))</f>
        <v/>
      </c>
      <c r="K220" s="10" t="str">
        <f aca="false">IF(OR(A220="",E220="",H220=""),"",ROUND(0.00617*E220^2*H220*J220,2))</f>
        <v/>
      </c>
      <c r="L220" s="9"/>
      <c r="M220" s="10" t="str">
        <f aca="false">IF(A220="","",IF((COUNTIF(Drain_Register!$A$5:$A$304,A220)+COUNTIF(RW_Register!$A$5:$A$304,A220)+COUNTIF(Embedded_Wall_Register!$A$5:$A$304,A220)+COUNTIF(Manhole_Register!$A$5:$A$304,A220)+COUNTIF(ERSS_Pit_Register!$A$5:$A$304,A220)+COUNTIF(Linkway_Register!$A$5:$A$304,A220)+COUNTIF(Other_Register!$A$5:$A$304,A220))&gt;0,"OK","ID not in any register"))</f>
        <v/>
      </c>
    </row>
    <row r="221" customFormat="false" ht="15" hidden="false" customHeight="false" outlineLevel="0" collapsed="false">
      <c r="A221" s="9"/>
      <c r="B221" s="9"/>
      <c r="C221" s="9"/>
      <c r="D221" s="9"/>
      <c r="E221" s="9"/>
      <c r="F221" s="9"/>
      <c r="G221" s="9"/>
      <c r="H221" s="9"/>
      <c r="I221" s="9"/>
      <c r="J221" s="10" t="str">
        <f aca="false">IF(A221="","",IF(G221&lt;&gt;"",G221,IF(N(F221)&gt;0,ROUND(1000/F221,3),0)))</f>
        <v/>
      </c>
      <c r="K221" s="10" t="str">
        <f aca="false">IF(OR(A221="",E221="",H221=""),"",ROUND(0.00617*E221^2*H221*J221,2))</f>
        <v/>
      </c>
      <c r="L221" s="9"/>
      <c r="M221" s="10" t="str">
        <f aca="false">IF(A221="","",IF((COUNTIF(Drain_Register!$A$5:$A$304,A221)+COUNTIF(RW_Register!$A$5:$A$304,A221)+COUNTIF(Embedded_Wall_Register!$A$5:$A$304,A221)+COUNTIF(Manhole_Register!$A$5:$A$304,A221)+COUNTIF(ERSS_Pit_Register!$A$5:$A$304,A221)+COUNTIF(Linkway_Register!$A$5:$A$304,A221)+COUNTIF(Other_Register!$A$5:$A$304,A221))&gt;0,"OK","ID not in any register"))</f>
        <v/>
      </c>
    </row>
    <row r="222" customFormat="false" ht="15" hidden="false" customHeight="false" outlineLevel="0" collapsed="false">
      <c r="A222" s="9"/>
      <c r="B222" s="9"/>
      <c r="C222" s="9"/>
      <c r="D222" s="9"/>
      <c r="E222" s="9"/>
      <c r="F222" s="9"/>
      <c r="G222" s="9"/>
      <c r="H222" s="9"/>
      <c r="I222" s="9"/>
      <c r="J222" s="10" t="str">
        <f aca="false">IF(A222="","",IF(G222&lt;&gt;"",G222,IF(N(F222)&gt;0,ROUND(1000/F222,3),0)))</f>
        <v/>
      </c>
      <c r="K222" s="10" t="str">
        <f aca="false">IF(OR(A222="",E222="",H222=""),"",ROUND(0.00617*E222^2*H222*J222,2))</f>
        <v/>
      </c>
      <c r="L222" s="9"/>
      <c r="M222" s="10" t="str">
        <f aca="false">IF(A222="","",IF((COUNTIF(Drain_Register!$A$5:$A$304,A222)+COUNTIF(RW_Register!$A$5:$A$304,A222)+COUNTIF(Embedded_Wall_Register!$A$5:$A$304,A222)+COUNTIF(Manhole_Register!$A$5:$A$304,A222)+COUNTIF(ERSS_Pit_Register!$A$5:$A$304,A222)+COUNTIF(Linkway_Register!$A$5:$A$304,A222)+COUNTIF(Other_Register!$A$5:$A$304,A222))&gt;0,"OK","ID not in any register"))</f>
        <v/>
      </c>
    </row>
    <row r="223" customFormat="false" ht="15" hidden="false" customHeight="false" outlineLevel="0" collapsed="false">
      <c r="A223" s="9"/>
      <c r="B223" s="9"/>
      <c r="C223" s="9"/>
      <c r="D223" s="9"/>
      <c r="E223" s="9"/>
      <c r="F223" s="9"/>
      <c r="G223" s="9"/>
      <c r="H223" s="9"/>
      <c r="I223" s="9"/>
      <c r="J223" s="10" t="str">
        <f aca="false">IF(A223="","",IF(G223&lt;&gt;"",G223,IF(N(F223)&gt;0,ROUND(1000/F223,3),0)))</f>
        <v/>
      </c>
      <c r="K223" s="10" t="str">
        <f aca="false">IF(OR(A223="",E223="",H223=""),"",ROUND(0.00617*E223^2*H223*J223,2))</f>
        <v/>
      </c>
      <c r="L223" s="9"/>
      <c r="M223" s="10" t="str">
        <f aca="false">IF(A223="","",IF((COUNTIF(Drain_Register!$A$5:$A$304,A223)+COUNTIF(RW_Register!$A$5:$A$304,A223)+COUNTIF(Embedded_Wall_Register!$A$5:$A$304,A223)+COUNTIF(Manhole_Register!$A$5:$A$304,A223)+COUNTIF(ERSS_Pit_Register!$A$5:$A$304,A223)+COUNTIF(Linkway_Register!$A$5:$A$304,A223)+COUNTIF(Other_Register!$A$5:$A$304,A223))&gt;0,"OK","ID not in any register"))</f>
        <v/>
      </c>
    </row>
    <row r="224" customFormat="false" ht="15" hidden="false" customHeight="false" outlineLevel="0" collapsed="false">
      <c r="A224" s="9"/>
      <c r="B224" s="9"/>
      <c r="C224" s="9"/>
      <c r="D224" s="9"/>
      <c r="E224" s="9"/>
      <c r="F224" s="9"/>
      <c r="G224" s="9"/>
      <c r="H224" s="9"/>
      <c r="I224" s="9"/>
      <c r="J224" s="10" t="str">
        <f aca="false">IF(A224="","",IF(G224&lt;&gt;"",G224,IF(N(F224)&gt;0,ROUND(1000/F224,3),0)))</f>
        <v/>
      </c>
      <c r="K224" s="10" t="str">
        <f aca="false">IF(OR(A224="",E224="",H224=""),"",ROUND(0.00617*E224^2*H224*J224,2))</f>
        <v/>
      </c>
      <c r="L224" s="9"/>
      <c r="M224" s="10" t="str">
        <f aca="false">IF(A224="","",IF((COUNTIF(Drain_Register!$A$5:$A$304,A224)+COUNTIF(RW_Register!$A$5:$A$304,A224)+COUNTIF(Embedded_Wall_Register!$A$5:$A$304,A224)+COUNTIF(Manhole_Register!$A$5:$A$304,A224)+COUNTIF(ERSS_Pit_Register!$A$5:$A$304,A224)+COUNTIF(Linkway_Register!$A$5:$A$304,A224)+COUNTIF(Other_Register!$A$5:$A$304,A224))&gt;0,"OK","ID not in any register"))</f>
        <v/>
      </c>
    </row>
    <row r="225" customFormat="false" ht="15" hidden="false" customHeight="false" outlineLevel="0" collapsed="false">
      <c r="A225" s="9"/>
      <c r="B225" s="9"/>
      <c r="C225" s="9"/>
      <c r="D225" s="9"/>
      <c r="E225" s="9"/>
      <c r="F225" s="9"/>
      <c r="G225" s="9"/>
      <c r="H225" s="9"/>
      <c r="I225" s="9"/>
      <c r="J225" s="10" t="str">
        <f aca="false">IF(A225="","",IF(G225&lt;&gt;"",G225,IF(N(F225)&gt;0,ROUND(1000/F225,3),0)))</f>
        <v/>
      </c>
      <c r="K225" s="10" t="str">
        <f aca="false">IF(OR(A225="",E225="",H225=""),"",ROUND(0.00617*E225^2*H225*J225,2))</f>
        <v/>
      </c>
      <c r="L225" s="9"/>
      <c r="M225" s="10" t="str">
        <f aca="false">IF(A225="","",IF((COUNTIF(Drain_Register!$A$5:$A$304,A225)+COUNTIF(RW_Register!$A$5:$A$304,A225)+COUNTIF(Embedded_Wall_Register!$A$5:$A$304,A225)+COUNTIF(Manhole_Register!$A$5:$A$304,A225)+COUNTIF(ERSS_Pit_Register!$A$5:$A$304,A225)+COUNTIF(Linkway_Register!$A$5:$A$304,A225)+COUNTIF(Other_Register!$A$5:$A$304,A225))&gt;0,"OK","ID not in any register"))</f>
        <v/>
      </c>
    </row>
    <row r="226" customFormat="false" ht="15" hidden="false" customHeight="false" outlineLevel="0" collapsed="false">
      <c r="A226" s="9"/>
      <c r="B226" s="9"/>
      <c r="C226" s="9"/>
      <c r="D226" s="9"/>
      <c r="E226" s="9"/>
      <c r="F226" s="9"/>
      <c r="G226" s="9"/>
      <c r="H226" s="9"/>
      <c r="I226" s="9"/>
      <c r="J226" s="10" t="str">
        <f aca="false">IF(A226="","",IF(G226&lt;&gt;"",G226,IF(N(F226)&gt;0,ROUND(1000/F226,3),0)))</f>
        <v/>
      </c>
      <c r="K226" s="10" t="str">
        <f aca="false">IF(OR(A226="",E226="",H226=""),"",ROUND(0.00617*E226^2*H226*J226,2))</f>
        <v/>
      </c>
      <c r="L226" s="9"/>
      <c r="M226" s="10" t="str">
        <f aca="false">IF(A226="","",IF((COUNTIF(Drain_Register!$A$5:$A$304,A226)+COUNTIF(RW_Register!$A$5:$A$304,A226)+COUNTIF(Embedded_Wall_Register!$A$5:$A$304,A226)+COUNTIF(Manhole_Register!$A$5:$A$304,A226)+COUNTIF(ERSS_Pit_Register!$A$5:$A$304,A226)+COUNTIF(Linkway_Register!$A$5:$A$304,A226)+COUNTIF(Other_Register!$A$5:$A$304,A226))&gt;0,"OK","ID not in any register"))</f>
        <v/>
      </c>
    </row>
    <row r="227" customFormat="false" ht="15" hidden="false" customHeight="false" outlineLevel="0" collapsed="false">
      <c r="A227" s="9"/>
      <c r="B227" s="9"/>
      <c r="C227" s="9"/>
      <c r="D227" s="9"/>
      <c r="E227" s="9"/>
      <c r="F227" s="9"/>
      <c r="G227" s="9"/>
      <c r="H227" s="9"/>
      <c r="I227" s="9"/>
      <c r="J227" s="10" t="str">
        <f aca="false">IF(A227="","",IF(G227&lt;&gt;"",G227,IF(N(F227)&gt;0,ROUND(1000/F227,3),0)))</f>
        <v/>
      </c>
      <c r="K227" s="10" t="str">
        <f aca="false">IF(OR(A227="",E227="",H227=""),"",ROUND(0.00617*E227^2*H227*J227,2))</f>
        <v/>
      </c>
      <c r="L227" s="9"/>
      <c r="M227" s="10" t="str">
        <f aca="false">IF(A227="","",IF((COUNTIF(Drain_Register!$A$5:$A$304,A227)+COUNTIF(RW_Register!$A$5:$A$304,A227)+COUNTIF(Embedded_Wall_Register!$A$5:$A$304,A227)+COUNTIF(Manhole_Register!$A$5:$A$304,A227)+COUNTIF(ERSS_Pit_Register!$A$5:$A$304,A227)+COUNTIF(Linkway_Register!$A$5:$A$304,A227)+COUNTIF(Other_Register!$A$5:$A$304,A227))&gt;0,"OK","ID not in any register"))</f>
        <v/>
      </c>
    </row>
    <row r="228" customFormat="false" ht="15" hidden="false" customHeight="false" outlineLevel="0" collapsed="false">
      <c r="A228" s="9"/>
      <c r="B228" s="9"/>
      <c r="C228" s="9"/>
      <c r="D228" s="9"/>
      <c r="E228" s="9"/>
      <c r="F228" s="9"/>
      <c r="G228" s="9"/>
      <c r="H228" s="9"/>
      <c r="I228" s="9"/>
      <c r="J228" s="10" t="str">
        <f aca="false">IF(A228="","",IF(G228&lt;&gt;"",G228,IF(N(F228)&gt;0,ROUND(1000/F228,3),0)))</f>
        <v/>
      </c>
      <c r="K228" s="10" t="str">
        <f aca="false">IF(OR(A228="",E228="",H228=""),"",ROUND(0.00617*E228^2*H228*J228,2))</f>
        <v/>
      </c>
      <c r="L228" s="9"/>
      <c r="M228" s="10" t="str">
        <f aca="false">IF(A228="","",IF((COUNTIF(Drain_Register!$A$5:$A$304,A228)+COUNTIF(RW_Register!$A$5:$A$304,A228)+COUNTIF(Embedded_Wall_Register!$A$5:$A$304,A228)+COUNTIF(Manhole_Register!$A$5:$A$304,A228)+COUNTIF(ERSS_Pit_Register!$A$5:$A$304,A228)+COUNTIF(Linkway_Register!$A$5:$A$304,A228)+COUNTIF(Other_Register!$A$5:$A$304,A228))&gt;0,"OK","ID not in any register"))</f>
        <v/>
      </c>
    </row>
    <row r="229" customFormat="false" ht="15" hidden="false" customHeight="false" outlineLevel="0" collapsed="false">
      <c r="A229" s="9"/>
      <c r="B229" s="9"/>
      <c r="C229" s="9"/>
      <c r="D229" s="9"/>
      <c r="E229" s="9"/>
      <c r="F229" s="9"/>
      <c r="G229" s="9"/>
      <c r="H229" s="9"/>
      <c r="I229" s="9"/>
      <c r="J229" s="10" t="str">
        <f aca="false">IF(A229="","",IF(G229&lt;&gt;"",G229,IF(N(F229)&gt;0,ROUND(1000/F229,3),0)))</f>
        <v/>
      </c>
      <c r="K229" s="10" t="str">
        <f aca="false">IF(OR(A229="",E229="",H229=""),"",ROUND(0.00617*E229^2*H229*J229,2))</f>
        <v/>
      </c>
      <c r="L229" s="9"/>
      <c r="M229" s="10" t="str">
        <f aca="false">IF(A229="","",IF((COUNTIF(Drain_Register!$A$5:$A$304,A229)+COUNTIF(RW_Register!$A$5:$A$304,A229)+COUNTIF(Embedded_Wall_Register!$A$5:$A$304,A229)+COUNTIF(Manhole_Register!$A$5:$A$304,A229)+COUNTIF(ERSS_Pit_Register!$A$5:$A$304,A229)+COUNTIF(Linkway_Register!$A$5:$A$304,A229)+COUNTIF(Other_Register!$A$5:$A$304,A229))&gt;0,"OK","ID not in any register"))</f>
        <v/>
      </c>
    </row>
    <row r="230" customFormat="false" ht="15" hidden="false" customHeight="false" outlineLevel="0" collapsed="false">
      <c r="A230" s="9"/>
      <c r="B230" s="9"/>
      <c r="C230" s="9"/>
      <c r="D230" s="9"/>
      <c r="E230" s="9"/>
      <c r="F230" s="9"/>
      <c r="G230" s="9"/>
      <c r="H230" s="9"/>
      <c r="I230" s="9"/>
      <c r="J230" s="10" t="str">
        <f aca="false">IF(A230="","",IF(G230&lt;&gt;"",G230,IF(N(F230)&gt;0,ROUND(1000/F230,3),0)))</f>
        <v/>
      </c>
      <c r="K230" s="10" t="str">
        <f aca="false">IF(OR(A230="",E230="",H230=""),"",ROUND(0.00617*E230^2*H230*J230,2))</f>
        <v/>
      </c>
      <c r="L230" s="9"/>
      <c r="M230" s="10" t="str">
        <f aca="false">IF(A230="","",IF((COUNTIF(Drain_Register!$A$5:$A$304,A230)+COUNTIF(RW_Register!$A$5:$A$304,A230)+COUNTIF(Embedded_Wall_Register!$A$5:$A$304,A230)+COUNTIF(Manhole_Register!$A$5:$A$304,A230)+COUNTIF(ERSS_Pit_Register!$A$5:$A$304,A230)+COUNTIF(Linkway_Register!$A$5:$A$304,A230)+COUNTIF(Other_Register!$A$5:$A$304,A230))&gt;0,"OK","ID not in any register"))</f>
        <v/>
      </c>
    </row>
    <row r="231" customFormat="false" ht="15" hidden="false" customHeight="false" outlineLevel="0" collapsed="false">
      <c r="A231" s="9"/>
      <c r="B231" s="9"/>
      <c r="C231" s="9"/>
      <c r="D231" s="9"/>
      <c r="E231" s="9"/>
      <c r="F231" s="9"/>
      <c r="G231" s="9"/>
      <c r="H231" s="9"/>
      <c r="I231" s="9"/>
      <c r="J231" s="10" t="str">
        <f aca="false">IF(A231="","",IF(G231&lt;&gt;"",G231,IF(N(F231)&gt;0,ROUND(1000/F231,3),0)))</f>
        <v/>
      </c>
      <c r="K231" s="10" t="str">
        <f aca="false">IF(OR(A231="",E231="",H231=""),"",ROUND(0.00617*E231^2*H231*J231,2))</f>
        <v/>
      </c>
      <c r="L231" s="9"/>
      <c r="M231" s="10" t="str">
        <f aca="false">IF(A231="","",IF((COUNTIF(Drain_Register!$A$5:$A$304,A231)+COUNTIF(RW_Register!$A$5:$A$304,A231)+COUNTIF(Embedded_Wall_Register!$A$5:$A$304,A231)+COUNTIF(Manhole_Register!$A$5:$A$304,A231)+COUNTIF(ERSS_Pit_Register!$A$5:$A$304,A231)+COUNTIF(Linkway_Register!$A$5:$A$304,A231)+COUNTIF(Other_Register!$A$5:$A$304,A231))&gt;0,"OK","ID not in any register"))</f>
        <v/>
      </c>
    </row>
    <row r="232" customFormat="false" ht="15" hidden="false" customHeight="false" outlineLevel="0" collapsed="false">
      <c r="A232" s="9"/>
      <c r="B232" s="9"/>
      <c r="C232" s="9"/>
      <c r="D232" s="9"/>
      <c r="E232" s="9"/>
      <c r="F232" s="9"/>
      <c r="G232" s="9"/>
      <c r="H232" s="9"/>
      <c r="I232" s="9"/>
      <c r="J232" s="10" t="str">
        <f aca="false">IF(A232="","",IF(G232&lt;&gt;"",G232,IF(N(F232)&gt;0,ROUND(1000/F232,3),0)))</f>
        <v/>
      </c>
      <c r="K232" s="10" t="str">
        <f aca="false">IF(OR(A232="",E232="",H232=""),"",ROUND(0.00617*E232^2*H232*J232,2))</f>
        <v/>
      </c>
      <c r="L232" s="9"/>
      <c r="M232" s="10" t="str">
        <f aca="false">IF(A232="","",IF((COUNTIF(Drain_Register!$A$5:$A$304,A232)+COUNTIF(RW_Register!$A$5:$A$304,A232)+COUNTIF(Embedded_Wall_Register!$A$5:$A$304,A232)+COUNTIF(Manhole_Register!$A$5:$A$304,A232)+COUNTIF(ERSS_Pit_Register!$A$5:$A$304,A232)+COUNTIF(Linkway_Register!$A$5:$A$304,A232)+COUNTIF(Other_Register!$A$5:$A$304,A232))&gt;0,"OK","ID not in any register"))</f>
        <v/>
      </c>
    </row>
    <row r="233" customFormat="false" ht="15" hidden="false" customHeight="false" outlineLevel="0" collapsed="false">
      <c r="A233" s="9"/>
      <c r="B233" s="9"/>
      <c r="C233" s="9"/>
      <c r="D233" s="9"/>
      <c r="E233" s="9"/>
      <c r="F233" s="9"/>
      <c r="G233" s="9"/>
      <c r="H233" s="9"/>
      <c r="I233" s="9"/>
      <c r="J233" s="10" t="str">
        <f aca="false">IF(A233="","",IF(G233&lt;&gt;"",G233,IF(N(F233)&gt;0,ROUND(1000/F233,3),0)))</f>
        <v/>
      </c>
      <c r="K233" s="10" t="str">
        <f aca="false">IF(OR(A233="",E233="",H233=""),"",ROUND(0.00617*E233^2*H233*J233,2))</f>
        <v/>
      </c>
      <c r="L233" s="9"/>
      <c r="M233" s="10" t="str">
        <f aca="false">IF(A233="","",IF((COUNTIF(Drain_Register!$A$5:$A$304,A233)+COUNTIF(RW_Register!$A$5:$A$304,A233)+COUNTIF(Embedded_Wall_Register!$A$5:$A$304,A233)+COUNTIF(Manhole_Register!$A$5:$A$304,A233)+COUNTIF(ERSS_Pit_Register!$A$5:$A$304,A233)+COUNTIF(Linkway_Register!$A$5:$A$304,A233)+COUNTIF(Other_Register!$A$5:$A$304,A233))&gt;0,"OK","ID not in any register"))</f>
        <v/>
      </c>
    </row>
    <row r="234" customFormat="false" ht="15" hidden="false" customHeight="false" outlineLevel="0" collapsed="false">
      <c r="A234" s="9"/>
      <c r="B234" s="9"/>
      <c r="C234" s="9"/>
      <c r="D234" s="9"/>
      <c r="E234" s="9"/>
      <c r="F234" s="9"/>
      <c r="G234" s="9"/>
      <c r="H234" s="9"/>
      <c r="I234" s="9"/>
      <c r="J234" s="10" t="str">
        <f aca="false">IF(A234="","",IF(G234&lt;&gt;"",G234,IF(N(F234)&gt;0,ROUND(1000/F234,3),0)))</f>
        <v/>
      </c>
      <c r="K234" s="10" t="str">
        <f aca="false">IF(OR(A234="",E234="",H234=""),"",ROUND(0.00617*E234^2*H234*J234,2))</f>
        <v/>
      </c>
      <c r="L234" s="9"/>
      <c r="M234" s="10" t="str">
        <f aca="false">IF(A234="","",IF((COUNTIF(Drain_Register!$A$5:$A$304,A234)+COUNTIF(RW_Register!$A$5:$A$304,A234)+COUNTIF(Embedded_Wall_Register!$A$5:$A$304,A234)+COUNTIF(Manhole_Register!$A$5:$A$304,A234)+COUNTIF(ERSS_Pit_Register!$A$5:$A$304,A234)+COUNTIF(Linkway_Register!$A$5:$A$304,A234)+COUNTIF(Other_Register!$A$5:$A$304,A234))&gt;0,"OK","ID not in any register"))</f>
        <v/>
      </c>
    </row>
    <row r="235" customFormat="false" ht="15" hidden="false" customHeight="false" outlineLevel="0" collapsed="false">
      <c r="A235" s="9"/>
      <c r="B235" s="9"/>
      <c r="C235" s="9"/>
      <c r="D235" s="9"/>
      <c r="E235" s="9"/>
      <c r="F235" s="9"/>
      <c r="G235" s="9"/>
      <c r="H235" s="9"/>
      <c r="I235" s="9"/>
      <c r="J235" s="10" t="str">
        <f aca="false">IF(A235="","",IF(G235&lt;&gt;"",G235,IF(N(F235)&gt;0,ROUND(1000/F235,3),0)))</f>
        <v/>
      </c>
      <c r="K235" s="10" t="str">
        <f aca="false">IF(OR(A235="",E235="",H235=""),"",ROUND(0.00617*E235^2*H235*J235,2))</f>
        <v/>
      </c>
      <c r="L235" s="9"/>
      <c r="M235" s="10" t="str">
        <f aca="false">IF(A235="","",IF((COUNTIF(Drain_Register!$A$5:$A$304,A235)+COUNTIF(RW_Register!$A$5:$A$304,A235)+COUNTIF(Embedded_Wall_Register!$A$5:$A$304,A235)+COUNTIF(Manhole_Register!$A$5:$A$304,A235)+COUNTIF(ERSS_Pit_Register!$A$5:$A$304,A235)+COUNTIF(Linkway_Register!$A$5:$A$304,A235)+COUNTIF(Other_Register!$A$5:$A$304,A235))&gt;0,"OK","ID not in any register"))</f>
        <v/>
      </c>
    </row>
    <row r="236" customFormat="false" ht="15" hidden="false" customHeight="false" outlineLevel="0" collapsed="false">
      <c r="A236" s="9"/>
      <c r="B236" s="9"/>
      <c r="C236" s="9"/>
      <c r="D236" s="9"/>
      <c r="E236" s="9"/>
      <c r="F236" s="9"/>
      <c r="G236" s="9"/>
      <c r="H236" s="9"/>
      <c r="I236" s="9"/>
      <c r="J236" s="10" t="str">
        <f aca="false">IF(A236="","",IF(G236&lt;&gt;"",G236,IF(N(F236)&gt;0,ROUND(1000/F236,3),0)))</f>
        <v/>
      </c>
      <c r="K236" s="10" t="str">
        <f aca="false">IF(OR(A236="",E236="",H236=""),"",ROUND(0.00617*E236^2*H236*J236,2))</f>
        <v/>
      </c>
      <c r="L236" s="9"/>
      <c r="M236" s="10" t="str">
        <f aca="false">IF(A236="","",IF((COUNTIF(Drain_Register!$A$5:$A$304,A236)+COUNTIF(RW_Register!$A$5:$A$304,A236)+COUNTIF(Embedded_Wall_Register!$A$5:$A$304,A236)+COUNTIF(Manhole_Register!$A$5:$A$304,A236)+COUNTIF(ERSS_Pit_Register!$A$5:$A$304,A236)+COUNTIF(Linkway_Register!$A$5:$A$304,A236)+COUNTIF(Other_Register!$A$5:$A$304,A236))&gt;0,"OK","ID not in any register"))</f>
        <v/>
      </c>
    </row>
    <row r="237" customFormat="false" ht="15" hidden="false" customHeight="false" outlineLevel="0" collapsed="false">
      <c r="A237" s="9"/>
      <c r="B237" s="9"/>
      <c r="C237" s="9"/>
      <c r="D237" s="9"/>
      <c r="E237" s="9"/>
      <c r="F237" s="9"/>
      <c r="G237" s="9"/>
      <c r="H237" s="9"/>
      <c r="I237" s="9"/>
      <c r="J237" s="10" t="str">
        <f aca="false">IF(A237="","",IF(G237&lt;&gt;"",G237,IF(N(F237)&gt;0,ROUND(1000/F237,3),0)))</f>
        <v/>
      </c>
      <c r="K237" s="10" t="str">
        <f aca="false">IF(OR(A237="",E237="",H237=""),"",ROUND(0.00617*E237^2*H237*J237,2))</f>
        <v/>
      </c>
      <c r="L237" s="9"/>
      <c r="M237" s="10" t="str">
        <f aca="false">IF(A237="","",IF((COUNTIF(Drain_Register!$A$5:$A$304,A237)+COUNTIF(RW_Register!$A$5:$A$304,A237)+COUNTIF(Embedded_Wall_Register!$A$5:$A$304,A237)+COUNTIF(Manhole_Register!$A$5:$A$304,A237)+COUNTIF(ERSS_Pit_Register!$A$5:$A$304,A237)+COUNTIF(Linkway_Register!$A$5:$A$304,A237)+COUNTIF(Other_Register!$A$5:$A$304,A237))&gt;0,"OK","ID not in any register"))</f>
        <v/>
      </c>
    </row>
    <row r="238" customFormat="false" ht="15" hidden="false" customHeight="false" outlineLevel="0" collapsed="false">
      <c r="A238" s="9"/>
      <c r="B238" s="9"/>
      <c r="C238" s="9"/>
      <c r="D238" s="9"/>
      <c r="E238" s="9"/>
      <c r="F238" s="9"/>
      <c r="G238" s="9"/>
      <c r="H238" s="9"/>
      <c r="I238" s="9"/>
      <c r="J238" s="10" t="str">
        <f aca="false">IF(A238="","",IF(G238&lt;&gt;"",G238,IF(N(F238)&gt;0,ROUND(1000/F238,3),0)))</f>
        <v/>
      </c>
      <c r="K238" s="10" t="str">
        <f aca="false">IF(OR(A238="",E238="",H238=""),"",ROUND(0.00617*E238^2*H238*J238,2))</f>
        <v/>
      </c>
      <c r="L238" s="9"/>
      <c r="M238" s="10" t="str">
        <f aca="false">IF(A238="","",IF((COUNTIF(Drain_Register!$A$5:$A$304,A238)+COUNTIF(RW_Register!$A$5:$A$304,A238)+COUNTIF(Embedded_Wall_Register!$A$5:$A$304,A238)+COUNTIF(Manhole_Register!$A$5:$A$304,A238)+COUNTIF(ERSS_Pit_Register!$A$5:$A$304,A238)+COUNTIF(Linkway_Register!$A$5:$A$304,A238)+COUNTIF(Other_Register!$A$5:$A$304,A238))&gt;0,"OK","ID not in any register"))</f>
        <v/>
      </c>
    </row>
    <row r="239" customFormat="false" ht="15" hidden="false" customHeight="false" outlineLevel="0" collapsed="false">
      <c r="A239" s="9"/>
      <c r="B239" s="9"/>
      <c r="C239" s="9"/>
      <c r="D239" s="9"/>
      <c r="E239" s="9"/>
      <c r="F239" s="9"/>
      <c r="G239" s="9"/>
      <c r="H239" s="9"/>
      <c r="I239" s="9"/>
      <c r="J239" s="10" t="str">
        <f aca="false">IF(A239="","",IF(G239&lt;&gt;"",G239,IF(N(F239)&gt;0,ROUND(1000/F239,3),0)))</f>
        <v/>
      </c>
      <c r="K239" s="10" t="str">
        <f aca="false">IF(OR(A239="",E239="",H239=""),"",ROUND(0.00617*E239^2*H239*J239,2))</f>
        <v/>
      </c>
      <c r="L239" s="9"/>
      <c r="M239" s="10" t="str">
        <f aca="false">IF(A239="","",IF((COUNTIF(Drain_Register!$A$5:$A$304,A239)+COUNTIF(RW_Register!$A$5:$A$304,A239)+COUNTIF(Embedded_Wall_Register!$A$5:$A$304,A239)+COUNTIF(Manhole_Register!$A$5:$A$304,A239)+COUNTIF(ERSS_Pit_Register!$A$5:$A$304,A239)+COUNTIF(Linkway_Register!$A$5:$A$304,A239)+COUNTIF(Other_Register!$A$5:$A$304,A239))&gt;0,"OK","ID not in any register"))</f>
        <v/>
      </c>
    </row>
    <row r="240" customFormat="false" ht="15" hidden="false" customHeight="false" outlineLevel="0" collapsed="false">
      <c r="A240" s="9"/>
      <c r="B240" s="9"/>
      <c r="C240" s="9"/>
      <c r="D240" s="9"/>
      <c r="E240" s="9"/>
      <c r="F240" s="9"/>
      <c r="G240" s="9"/>
      <c r="H240" s="9"/>
      <c r="I240" s="9"/>
      <c r="J240" s="10" t="str">
        <f aca="false">IF(A240="","",IF(G240&lt;&gt;"",G240,IF(N(F240)&gt;0,ROUND(1000/F240,3),0)))</f>
        <v/>
      </c>
      <c r="K240" s="10" t="str">
        <f aca="false">IF(OR(A240="",E240="",H240=""),"",ROUND(0.00617*E240^2*H240*J240,2))</f>
        <v/>
      </c>
      <c r="L240" s="9"/>
      <c r="M240" s="10" t="str">
        <f aca="false">IF(A240="","",IF((COUNTIF(Drain_Register!$A$5:$A$304,A240)+COUNTIF(RW_Register!$A$5:$A$304,A240)+COUNTIF(Embedded_Wall_Register!$A$5:$A$304,A240)+COUNTIF(Manhole_Register!$A$5:$A$304,A240)+COUNTIF(ERSS_Pit_Register!$A$5:$A$304,A240)+COUNTIF(Linkway_Register!$A$5:$A$304,A240)+COUNTIF(Other_Register!$A$5:$A$304,A240))&gt;0,"OK","ID not in any register"))</f>
        <v/>
      </c>
    </row>
    <row r="241" customFormat="false" ht="15" hidden="false" customHeight="false" outlineLevel="0" collapsed="false">
      <c r="A241" s="9"/>
      <c r="B241" s="9"/>
      <c r="C241" s="9"/>
      <c r="D241" s="9"/>
      <c r="E241" s="9"/>
      <c r="F241" s="9"/>
      <c r="G241" s="9"/>
      <c r="H241" s="9"/>
      <c r="I241" s="9"/>
      <c r="J241" s="10" t="str">
        <f aca="false">IF(A241="","",IF(G241&lt;&gt;"",G241,IF(N(F241)&gt;0,ROUND(1000/F241,3),0)))</f>
        <v/>
      </c>
      <c r="K241" s="10" t="str">
        <f aca="false">IF(OR(A241="",E241="",H241=""),"",ROUND(0.00617*E241^2*H241*J241,2))</f>
        <v/>
      </c>
      <c r="L241" s="9"/>
      <c r="M241" s="10" t="str">
        <f aca="false">IF(A241="","",IF((COUNTIF(Drain_Register!$A$5:$A$304,A241)+COUNTIF(RW_Register!$A$5:$A$304,A241)+COUNTIF(Embedded_Wall_Register!$A$5:$A$304,A241)+COUNTIF(Manhole_Register!$A$5:$A$304,A241)+COUNTIF(ERSS_Pit_Register!$A$5:$A$304,A241)+COUNTIF(Linkway_Register!$A$5:$A$304,A241)+COUNTIF(Other_Register!$A$5:$A$304,A241))&gt;0,"OK","ID not in any register"))</f>
        <v/>
      </c>
    </row>
    <row r="242" customFormat="false" ht="15" hidden="false" customHeight="false" outlineLevel="0" collapsed="false">
      <c r="A242" s="9"/>
      <c r="B242" s="9"/>
      <c r="C242" s="9"/>
      <c r="D242" s="9"/>
      <c r="E242" s="9"/>
      <c r="F242" s="9"/>
      <c r="G242" s="9"/>
      <c r="H242" s="9"/>
      <c r="I242" s="9"/>
      <c r="J242" s="10" t="str">
        <f aca="false">IF(A242="","",IF(G242&lt;&gt;"",G242,IF(N(F242)&gt;0,ROUND(1000/F242,3),0)))</f>
        <v/>
      </c>
      <c r="K242" s="10" t="str">
        <f aca="false">IF(OR(A242="",E242="",H242=""),"",ROUND(0.00617*E242^2*H242*J242,2))</f>
        <v/>
      </c>
      <c r="L242" s="9"/>
      <c r="M242" s="10" t="str">
        <f aca="false">IF(A242="","",IF((COUNTIF(Drain_Register!$A$5:$A$304,A242)+COUNTIF(RW_Register!$A$5:$A$304,A242)+COUNTIF(Embedded_Wall_Register!$A$5:$A$304,A242)+COUNTIF(Manhole_Register!$A$5:$A$304,A242)+COUNTIF(ERSS_Pit_Register!$A$5:$A$304,A242)+COUNTIF(Linkway_Register!$A$5:$A$304,A242)+COUNTIF(Other_Register!$A$5:$A$304,A242))&gt;0,"OK","ID not in any register"))</f>
        <v/>
      </c>
    </row>
    <row r="243" customFormat="false" ht="15" hidden="false" customHeight="false" outlineLevel="0" collapsed="false">
      <c r="A243" s="9"/>
      <c r="B243" s="9"/>
      <c r="C243" s="9"/>
      <c r="D243" s="9"/>
      <c r="E243" s="9"/>
      <c r="F243" s="9"/>
      <c r="G243" s="9"/>
      <c r="H243" s="9"/>
      <c r="I243" s="9"/>
      <c r="J243" s="10" t="str">
        <f aca="false">IF(A243="","",IF(G243&lt;&gt;"",G243,IF(N(F243)&gt;0,ROUND(1000/F243,3),0)))</f>
        <v/>
      </c>
      <c r="K243" s="10" t="str">
        <f aca="false">IF(OR(A243="",E243="",H243=""),"",ROUND(0.00617*E243^2*H243*J243,2))</f>
        <v/>
      </c>
      <c r="L243" s="9"/>
      <c r="M243" s="10" t="str">
        <f aca="false">IF(A243="","",IF((COUNTIF(Drain_Register!$A$5:$A$304,A243)+COUNTIF(RW_Register!$A$5:$A$304,A243)+COUNTIF(Embedded_Wall_Register!$A$5:$A$304,A243)+COUNTIF(Manhole_Register!$A$5:$A$304,A243)+COUNTIF(ERSS_Pit_Register!$A$5:$A$304,A243)+COUNTIF(Linkway_Register!$A$5:$A$304,A243)+COUNTIF(Other_Register!$A$5:$A$304,A243))&gt;0,"OK","ID not in any register"))</f>
        <v/>
      </c>
    </row>
    <row r="244" customFormat="false" ht="15" hidden="false" customHeight="false" outlineLevel="0" collapsed="false">
      <c r="A244" s="9"/>
      <c r="B244" s="9"/>
      <c r="C244" s="9"/>
      <c r="D244" s="9"/>
      <c r="E244" s="9"/>
      <c r="F244" s="9"/>
      <c r="G244" s="9"/>
      <c r="H244" s="9"/>
      <c r="I244" s="9"/>
      <c r="J244" s="10" t="str">
        <f aca="false">IF(A244="","",IF(G244&lt;&gt;"",G244,IF(N(F244)&gt;0,ROUND(1000/F244,3),0)))</f>
        <v/>
      </c>
      <c r="K244" s="10" t="str">
        <f aca="false">IF(OR(A244="",E244="",H244=""),"",ROUND(0.00617*E244^2*H244*J244,2))</f>
        <v/>
      </c>
      <c r="L244" s="9"/>
      <c r="M244" s="10" t="str">
        <f aca="false">IF(A244="","",IF((COUNTIF(Drain_Register!$A$5:$A$304,A244)+COUNTIF(RW_Register!$A$5:$A$304,A244)+COUNTIF(Embedded_Wall_Register!$A$5:$A$304,A244)+COUNTIF(Manhole_Register!$A$5:$A$304,A244)+COUNTIF(ERSS_Pit_Register!$A$5:$A$304,A244)+COUNTIF(Linkway_Register!$A$5:$A$304,A244)+COUNTIF(Other_Register!$A$5:$A$304,A244))&gt;0,"OK","ID not in any register"))</f>
        <v/>
      </c>
    </row>
    <row r="245" customFormat="false" ht="15" hidden="false" customHeight="false" outlineLevel="0" collapsed="false">
      <c r="A245" s="9"/>
      <c r="B245" s="9"/>
      <c r="C245" s="9"/>
      <c r="D245" s="9"/>
      <c r="E245" s="9"/>
      <c r="F245" s="9"/>
      <c r="G245" s="9"/>
      <c r="H245" s="9"/>
      <c r="I245" s="9"/>
      <c r="J245" s="10" t="str">
        <f aca="false">IF(A245="","",IF(G245&lt;&gt;"",G245,IF(N(F245)&gt;0,ROUND(1000/F245,3),0)))</f>
        <v/>
      </c>
      <c r="K245" s="10" t="str">
        <f aca="false">IF(OR(A245="",E245="",H245=""),"",ROUND(0.00617*E245^2*H245*J245,2))</f>
        <v/>
      </c>
      <c r="L245" s="9"/>
      <c r="M245" s="10" t="str">
        <f aca="false">IF(A245="","",IF((COUNTIF(Drain_Register!$A$5:$A$304,A245)+COUNTIF(RW_Register!$A$5:$A$304,A245)+COUNTIF(Embedded_Wall_Register!$A$5:$A$304,A245)+COUNTIF(Manhole_Register!$A$5:$A$304,A245)+COUNTIF(ERSS_Pit_Register!$A$5:$A$304,A245)+COUNTIF(Linkway_Register!$A$5:$A$304,A245)+COUNTIF(Other_Register!$A$5:$A$304,A245))&gt;0,"OK","ID not in any register"))</f>
        <v/>
      </c>
    </row>
    <row r="246" customFormat="false" ht="15" hidden="false" customHeight="false" outlineLevel="0" collapsed="false">
      <c r="A246" s="9"/>
      <c r="B246" s="9"/>
      <c r="C246" s="9"/>
      <c r="D246" s="9"/>
      <c r="E246" s="9"/>
      <c r="F246" s="9"/>
      <c r="G246" s="9"/>
      <c r="H246" s="9"/>
      <c r="I246" s="9"/>
      <c r="J246" s="10" t="str">
        <f aca="false">IF(A246="","",IF(G246&lt;&gt;"",G246,IF(N(F246)&gt;0,ROUND(1000/F246,3),0)))</f>
        <v/>
      </c>
      <c r="K246" s="10" t="str">
        <f aca="false">IF(OR(A246="",E246="",H246=""),"",ROUND(0.00617*E246^2*H246*J246,2))</f>
        <v/>
      </c>
      <c r="L246" s="9"/>
      <c r="M246" s="10" t="str">
        <f aca="false">IF(A246="","",IF((COUNTIF(Drain_Register!$A$5:$A$304,A246)+COUNTIF(RW_Register!$A$5:$A$304,A246)+COUNTIF(Embedded_Wall_Register!$A$5:$A$304,A246)+COUNTIF(Manhole_Register!$A$5:$A$304,A246)+COUNTIF(ERSS_Pit_Register!$A$5:$A$304,A246)+COUNTIF(Linkway_Register!$A$5:$A$304,A246)+COUNTIF(Other_Register!$A$5:$A$304,A246))&gt;0,"OK","ID not in any register"))</f>
        <v/>
      </c>
    </row>
    <row r="247" customFormat="false" ht="15" hidden="false" customHeight="false" outlineLevel="0" collapsed="false">
      <c r="A247" s="9"/>
      <c r="B247" s="9"/>
      <c r="C247" s="9"/>
      <c r="D247" s="9"/>
      <c r="E247" s="9"/>
      <c r="F247" s="9"/>
      <c r="G247" s="9"/>
      <c r="H247" s="9"/>
      <c r="I247" s="9"/>
      <c r="J247" s="10" t="str">
        <f aca="false">IF(A247="","",IF(G247&lt;&gt;"",G247,IF(N(F247)&gt;0,ROUND(1000/F247,3),0)))</f>
        <v/>
      </c>
      <c r="K247" s="10" t="str">
        <f aca="false">IF(OR(A247="",E247="",H247=""),"",ROUND(0.00617*E247^2*H247*J247,2))</f>
        <v/>
      </c>
      <c r="L247" s="9"/>
      <c r="M247" s="10" t="str">
        <f aca="false">IF(A247="","",IF((COUNTIF(Drain_Register!$A$5:$A$304,A247)+COUNTIF(RW_Register!$A$5:$A$304,A247)+COUNTIF(Embedded_Wall_Register!$A$5:$A$304,A247)+COUNTIF(Manhole_Register!$A$5:$A$304,A247)+COUNTIF(ERSS_Pit_Register!$A$5:$A$304,A247)+COUNTIF(Linkway_Register!$A$5:$A$304,A247)+COUNTIF(Other_Register!$A$5:$A$304,A247))&gt;0,"OK","ID not in any register"))</f>
        <v/>
      </c>
    </row>
    <row r="248" customFormat="false" ht="15" hidden="false" customHeight="false" outlineLevel="0" collapsed="false">
      <c r="A248" s="9"/>
      <c r="B248" s="9"/>
      <c r="C248" s="9"/>
      <c r="D248" s="9"/>
      <c r="E248" s="9"/>
      <c r="F248" s="9"/>
      <c r="G248" s="9"/>
      <c r="H248" s="9"/>
      <c r="I248" s="9"/>
      <c r="J248" s="10" t="str">
        <f aca="false">IF(A248="","",IF(G248&lt;&gt;"",G248,IF(N(F248)&gt;0,ROUND(1000/F248,3),0)))</f>
        <v/>
      </c>
      <c r="K248" s="10" t="str">
        <f aca="false">IF(OR(A248="",E248="",H248=""),"",ROUND(0.00617*E248^2*H248*J248,2))</f>
        <v/>
      </c>
      <c r="L248" s="9"/>
      <c r="M248" s="10" t="str">
        <f aca="false">IF(A248="","",IF((COUNTIF(Drain_Register!$A$5:$A$304,A248)+COUNTIF(RW_Register!$A$5:$A$304,A248)+COUNTIF(Embedded_Wall_Register!$A$5:$A$304,A248)+COUNTIF(Manhole_Register!$A$5:$A$304,A248)+COUNTIF(ERSS_Pit_Register!$A$5:$A$304,A248)+COUNTIF(Linkway_Register!$A$5:$A$304,A248)+COUNTIF(Other_Register!$A$5:$A$304,A248))&gt;0,"OK","ID not in any register"))</f>
        <v/>
      </c>
    </row>
    <row r="249" customFormat="false" ht="15" hidden="false" customHeight="false" outlineLevel="0" collapsed="false">
      <c r="A249" s="9"/>
      <c r="B249" s="9"/>
      <c r="C249" s="9"/>
      <c r="D249" s="9"/>
      <c r="E249" s="9"/>
      <c r="F249" s="9"/>
      <c r="G249" s="9"/>
      <c r="H249" s="9"/>
      <c r="I249" s="9"/>
      <c r="J249" s="10" t="str">
        <f aca="false">IF(A249="","",IF(G249&lt;&gt;"",G249,IF(N(F249)&gt;0,ROUND(1000/F249,3),0)))</f>
        <v/>
      </c>
      <c r="K249" s="10" t="str">
        <f aca="false">IF(OR(A249="",E249="",H249=""),"",ROUND(0.00617*E249^2*H249*J249,2))</f>
        <v/>
      </c>
      <c r="L249" s="9"/>
      <c r="M249" s="10" t="str">
        <f aca="false">IF(A249="","",IF((COUNTIF(Drain_Register!$A$5:$A$304,A249)+COUNTIF(RW_Register!$A$5:$A$304,A249)+COUNTIF(Embedded_Wall_Register!$A$5:$A$304,A249)+COUNTIF(Manhole_Register!$A$5:$A$304,A249)+COUNTIF(ERSS_Pit_Register!$A$5:$A$304,A249)+COUNTIF(Linkway_Register!$A$5:$A$304,A249)+COUNTIF(Other_Register!$A$5:$A$304,A249))&gt;0,"OK","ID not in any register"))</f>
        <v/>
      </c>
    </row>
    <row r="250" customFormat="false" ht="15" hidden="false" customHeight="false" outlineLevel="0" collapsed="false">
      <c r="A250" s="9"/>
      <c r="B250" s="9"/>
      <c r="C250" s="9"/>
      <c r="D250" s="9"/>
      <c r="E250" s="9"/>
      <c r="F250" s="9"/>
      <c r="G250" s="9"/>
      <c r="H250" s="9"/>
      <c r="I250" s="9"/>
      <c r="J250" s="10" t="str">
        <f aca="false">IF(A250="","",IF(G250&lt;&gt;"",G250,IF(N(F250)&gt;0,ROUND(1000/F250,3),0)))</f>
        <v/>
      </c>
      <c r="K250" s="10" t="str">
        <f aca="false">IF(OR(A250="",E250="",H250=""),"",ROUND(0.00617*E250^2*H250*J250,2))</f>
        <v/>
      </c>
      <c r="L250" s="9"/>
      <c r="M250" s="10" t="str">
        <f aca="false">IF(A250="","",IF((COUNTIF(Drain_Register!$A$5:$A$304,A250)+COUNTIF(RW_Register!$A$5:$A$304,A250)+COUNTIF(Embedded_Wall_Register!$A$5:$A$304,A250)+COUNTIF(Manhole_Register!$A$5:$A$304,A250)+COUNTIF(ERSS_Pit_Register!$A$5:$A$304,A250)+COUNTIF(Linkway_Register!$A$5:$A$304,A250)+COUNTIF(Other_Register!$A$5:$A$304,A250))&gt;0,"OK","ID not in any register"))</f>
        <v/>
      </c>
    </row>
    <row r="251" customFormat="false" ht="15" hidden="false" customHeight="false" outlineLevel="0" collapsed="false">
      <c r="A251" s="9"/>
      <c r="B251" s="9"/>
      <c r="C251" s="9"/>
      <c r="D251" s="9"/>
      <c r="E251" s="9"/>
      <c r="F251" s="9"/>
      <c r="G251" s="9"/>
      <c r="H251" s="9"/>
      <c r="I251" s="9"/>
      <c r="J251" s="10" t="str">
        <f aca="false">IF(A251="","",IF(G251&lt;&gt;"",G251,IF(N(F251)&gt;0,ROUND(1000/F251,3),0)))</f>
        <v/>
      </c>
      <c r="K251" s="10" t="str">
        <f aca="false">IF(OR(A251="",E251="",H251=""),"",ROUND(0.00617*E251^2*H251*J251,2))</f>
        <v/>
      </c>
      <c r="L251" s="9"/>
      <c r="M251" s="10" t="str">
        <f aca="false">IF(A251="","",IF((COUNTIF(Drain_Register!$A$5:$A$304,A251)+COUNTIF(RW_Register!$A$5:$A$304,A251)+COUNTIF(Embedded_Wall_Register!$A$5:$A$304,A251)+COUNTIF(Manhole_Register!$A$5:$A$304,A251)+COUNTIF(ERSS_Pit_Register!$A$5:$A$304,A251)+COUNTIF(Linkway_Register!$A$5:$A$304,A251)+COUNTIF(Other_Register!$A$5:$A$304,A251))&gt;0,"OK","ID not in any register"))</f>
        <v/>
      </c>
    </row>
    <row r="252" customFormat="false" ht="15" hidden="false" customHeight="false" outlineLevel="0" collapsed="false">
      <c r="A252" s="9"/>
      <c r="B252" s="9"/>
      <c r="C252" s="9"/>
      <c r="D252" s="9"/>
      <c r="E252" s="9"/>
      <c r="F252" s="9"/>
      <c r="G252" s="9"/>
      <c r="H252" s="9"/>
      <c r="I252" s="9"/>
      <c r="J252" s="10" t="str">
        <f aca="false">IF(A252="","",IF(G252&lt;&gt;"",G252,IF(N(F252)&gt;0,ROUND(1000/F252,3),0)))</f>
        <v/>
      </c>
      <c r="K252" s="10" t="str">
        <f aca="false">IF(OR(A252="",E252="",H252=""),"",ROUND(0.00617*E252^2*H252*J252,2))</f>
        <v/>
      </c>
      <c r="L252" s="9"/>
      <c r="M252" s="10" t="str">
        <f aca="false">IF(A252="","",IF((COUNTIF(Drain_Register!$A$5:$A$304,A252)+COUNTIF(RW_Register!$A$5:$A$304,A252)+COUNTIF(Embedded_Wall_Register!$A$5:$A$304,A252)+COUNTIF(Manhole_Register!$A$5:$A$304,A252)+COUNTIF(ERSS_Pit_Register!$A$5:$A$304,A252)+COUNTIF(Linkway_Register!$A$5:$A$304,A252)+COUNTIF(Other_Register!$A$5:$A$304,A252))&gt;0,"OK","ID not in any register"))</f>
        <v/>
      </c>
    </row>
    <row r="253" customFormat="false" ht="15" hidden="false" customHeight="false" outlineLevel="0" collapsed="false">
      <c r="A253" s="9"/>
      <c r="B253" s="9"/>
      <c r="C253" s="9"/>
      <c r="D253" s="9"/>
      <c r="E253" s="9"/>
      <c r="F253" s="9"/>
      <c r="G253" s="9"/>
      <c r="H253" s="9"/>
      <c r="I253" s="9"/>
      <c r="J253" s="10" t="str">
        <f aca="false">IF(A253="","",IF(G253&lt;&gt;"",G253,IF(N(F253)&gt;0,ROUND(1000/F253,3),0)))</f>
        <v/>
      </c>
      <c r="K253" s="10" t="str">
        <f aca="false">IF(OR(A253="",E253="",H253=""),"",ROUND(0.00617*E253^2*H253*J253,2))</f>
        <v/>
      </c>
      <c r="L253" s="9"/>
      <c r="M253" s="10" t="str">
        <f aca="false">IF(A253="","",IF((COUNTIF(Drain_Register!$A$5:$A$304,A253)+COUNTIF(RW_Register!$A$5:$A$304,A253)+COUNTIF(Embedded_Wall_Register!$A$5:$A$304,A253)+COUNTIF(Manhole_Register!$A$5:$A$304,A253)+COUNTIF(ERSS_Pit_Register!$A$5:$A$304,A253)+COUNTIF(Linkway_Register!$A$5:$A$304,A253)+COUNTIF(Other_Register!$A$5:$A$304,A253))&gt;0,"OK","ID not in any register"))</f>
        <v/>
      </c>
    </row>
    <row r="254" customFormat="false" ht="15" hidden="false" customHeight="false" outlineLevel="0" collapsed="false">
      <c r="A254" s="9"/>
      <c r="B254" s="9"/>
      <c r="C254" s="9"/>
      <c r="D254" s="9"/>
      <c r="E254" s="9"/>
      <c r="F254" s="9"/>
      <c r="G254" s="9"/>
      <c r="H254" s="9"/>
      <c r="I254" s="9"/>
      <c r="J254" s="10" t="str">
        <f aca="false">IF(A254="","",IF(G254&lt;&gt;"",G254,IF(N(F254)&gt;0,ROUND(1000/F254,3),0)))</f>
        <v/>
      </c>
      <c r="K254" s="10" t="str">
        <f aca="false">IF(OR(A254="",E254="",H254=""),"",ROUND(0.00617*E254^2*H254*J254,2))</f>
        <v/>
      </c>
      <c r="L254" s="9"/>
      <c r="M254" s="10" t="str">
        <f aca="false">IF(A254="","",IF((COUNTIF(Drain_Register!$A$5:$A$304,A254)+COUNTIF(RW_Register!$A$5:$A$304,A254)+COUNTIF(Embedded_Wall_Register!$A$5:$A$304,A254)+COUNTIF(Manhole_Register!$A$5:$A$304,A254)+COUNTIF(ERSS_Pit_Register!$A$5:$A$304,A254)+COUNTIF(Linkway_Register!$A$5:$A$304,A254)+COUNTIF(Other_Register!$A$5:$A$304,A254))&gt;0,"OK","ID not in any register"))</f>
        <v/>
      </c>
    </row>
    <row r="255" customFormat="false" ht="15" hidden="false" customHeight="false" outlineLevel="0" collapsed="false">
      <c r="A255" s="9"/>
      <c r="B255" s="9"/>
      <c r="C255" s="9"/>
      <c r="D255" s="9"/>
      <c r="E255" s="9"/>
      <c r="F255" s="9"/>
      <c r="G255" s="9"/>
      <c r="H255" s="9"/>
      <c r="I255" s="9"/>
      <c r="J255" s="10" t="str">
        <f aca="false">IF(A255="","",IF(G255&lt;&gt;"",G255,IF(N(F255)&gt;0,ROUND(1000/F255,3),0)))</f>
        <v/>
      </c>
      <c r="K255" s="10" t="str">
        <f aca="false">IF(OR(A255="",E255="",H255=""),"",ROUND(0.00617*E255^2*H255*J255,2))</f>
        <v/>
      </c>
      <c r="L255" s="9"/>
      <c r="M255" s="10" t="str">
        <f aca="false">IF(A255="","",IF((COUNTIF(Drain_Register!$A$5:$A$304,A255)+COUNTIF(RW_Register!$A$5:$A$304,A255)+COUNTIF(Embedded_Wall_Register!$A$5:$A$304,A255)+COUNTIF(Manhole_Register!$A$5:$A$304,A255)+COUNTIF(ERSS_Pit_Register!$A$5:$A$304,A255)+COUNTIF(Linkway_Register!$A$5:$A$304,A255)+COUNTIF(Other_Register!$A$5:$A$304,A255))&gt;0,"OK","ID not in any register"))</f>
        <v/>
      </c>
    </row>
    <row r="256" customFormat="false" ht="15" hidden="false" customHeight="false" outlineLevel="0" collapsed="false">
      <c r="A256" s="9"/>
      <c r="B256" s="9"/>
      <c r="C256" s="9"/>
      <c r="D256" s="9"/>
      <c r="E256" s="9"/>
      <c r="F256" s="9"/>
      <c r="G256" s="9"/>
      <c r="H256" s="9"/>
      <c r="I256" s="9"/>
      <c r="J256" s="10" t="str">
        <f aca="false">IF(A256="","",IF(G256&lt;&gt;"",G256,IF(N(F256)&gt;0,ROUND(1000/F256,3),0)))</f>
        <v/>
      </c>
      <c r="K256" s="10" t="str">
        <f aca="false">IF(OR(A256="",E256="",H256=""),"",ROUND(0.00617*E256^2*H256*J256,2))</f>
        <v/>
      </c>
      <c r="L256" s="9"/>
      <c r="M256" s="10" t="str">
        <f aca="false">IF(A256="","",IF((COUNTIF(Drain_Register!$A$5:$A$304,A256)+COUNTIF(RW_Register!$A$5:$A$304,A256)+COUNTIF(Embedded_Wall_Register!$A$5:$A$304,A256)+COUNTIF(Manhole_Register!$A$5:$A$304,A256)+COUNTIF(ERSS_Pit_Register!$A$5:$A$304,A256)+COUNTIF(Linkway_Register!$A$5:$A$304,A256)+COUNTIF(Other_Register!$A$5:$A$304,A256))&gt;0,"OK","ID not in any register"))</f>
        <v/>
      </c>
    </row>
    <row r="257" customFormat="false" ht="15" hidden="false" customHeight="false" outlineLevel="0" collapsed="false">
      <c r="A257" s="9"/>
      <c r="B257" s="9"/>
      <c r="C257" s="9"/>
      <c r="D257" s="9"/>
      <c r="E257" s="9"/>
      <c r="F257" s="9"/>
      <c r="G257" s="9"/>
      <c r="H257" s="9"/>
      <c r="I257" s="9"/>
      <c r="J257" s="10" t="str">
        <f aca="false">IF(A257="","",IF(G257&lt;&gt;"",G257,IF(N(F257)&gt;0,ROUND(1000/F257,3),0)))</f>
        <v/>
      </c>
      <c r="K257" s="10" t="str">
        <f aca="false">IF(OR(A257="",E257="",H257=""),"",ROUND(0.00617*E257^2*H257*J257,2))</f>
        <v/>
      </c>
      <c r="L257" s="9"/>
      <c r="M257" s="10" t="str">
        <f aca="false">IF(A257="","",IF((COUNTIF(Drain_Register!$A$5:$A$304,A257)+COUNTIF(RW_Register!$A$5:$A$304,A257)+COUNTIF(Embedded_Wall_Register!$A$5:$A$304,A257)+COUNTIF(Manhole_Register!$A$5:$A$304,A257)+COUNTIF(ERSS_Pit_Register!$A$5:$A$304,A257)+COUNTIF(Linkway_Register!$A$5:$A$304,A257)+COUNTIF(Other_Register!$A$5:$A$304,A257))&gt;0,"OK","ID not in any register"))</f>
        <v/>
      </c>
    </row>
    <row r="258" customFormat="false" ht="15" hidden="false" customHeight="false" outlineLevel="0" collapsed="false">
      <c r="A258" s="9"/>
      <c r="B258" s="9"/>
      <c r="C258" s="9"/>
      <c r="D258" s="9"/>
      <c r="E258" s="9"/>
      <c r="F258" s="9"/>
      <c r="G258" s="9"/>
      <c r="H258" s="9"/>
      <c r="I258" s="9"/>
      <c r="J258" s="10" t="str">
        <f aca="false">IF(A258="","",IF(G258&lt;&gt;"",G258,IF(N(F258)&gt;0,ROUND(1000/F258,3),0)))</f>
        <v/>
      </c>
      <c r="K258" s="10" t="str">
        <f aca="false">IF(OR(A258="",E258="",H258=""),"",ROUND(0.00617*E258^2*H258*J258,2))</f>
        <v/>
      </c>
      <c r="L258" s="9"/>
      <c r="M258" s="10" t="str">
        <f aca="false">IF(A258="","",IF((COUNTIF(Drain_Register!$A$5:$A$304,A258)+COUNTIF(RW_Register!$A$5:$A$304,A258)+COUNTIF(Embedded_Wall_Register!$A$5:$A$304,A258)+COUNTIF(Manhole_Register!$A$5:$A$304,A258)+COUNTIF(ERSS_Pit_Register!$A$5:$A$304,A258)+COUNTIF(Linkway_Register!$A$5:$A$304,A258)+COUNTIF(Other_Register!$A$5:$A$304,A258))&gt;0,"OK","ID not in any register"))</f>
        <v/>
      </c>
    </row>
    <row r="259" customFormat="false" ht="15" hidden="false" customHeight="false" outlineLevel="0" collapsed="false">
      <c r="A259" s="9"/>
      <c r="B259" s="9"/>
      <c r="C259" s="9"/>
      <c r="D259" s="9"/>
      <c r="E259" s="9"/>
      <c r="F259" s="9"/>
      <c r="G259" s="9"/>
      <c r="H259" s="9"/>
      <c r="I259" s="9"/>
      <c r="J259" s="10" t="str">
        <f aca="false">IF(A259="","",IF(G259&lt;&gt;"",G259,IF(N(F259)&gt;0,ROUND(1000/F259,3),0)))</f>
        <v/>
      </c>
      <c r="K259" s="10" t="str">
        <f aca="false">IF(OR(A259="",E259="",H259=""),"",ROUND(0.00617*E259^2*H259*J259,2))</f>
        <v/>
      </c>
      <c r="L259" s="9"/>
      <c r="M259" s="10" t="str">
        <f aca="false">IF(A259="","",IF((COUNTIF(Drain_Register!$A$5:$A$304,A259)+COUNTIF(RW_Register!$A$5:$A$304,A259)+COUNTIF(Embedded_Wall_Register!$A$5:$A$304,A259)+COUNTIF(Manhole_Register!$A$5:$A$304,A259)+COUNTIF(ERSS_Pit_Register!$A$5:$A$304,A259)+COUNTIF(Linkway_Register!$A$5:$A$304,A259)+COUNTIF(Other_Register!$A$5:$A$304,A259))&gt;0,"OK","ID not in any register"))</f>
        <v/>
      </c>
    </row>
    <row r="260" customFormat="false" ht="15" hidden="false" customHeight="false" outlineLevel="0" collapsed="false">
      <c r="A260" s="9"/>
      <c r="B260" s="9"/>
      <c r="C260" s="9"/>
      <c r="D260" s="9"/>
      <c r="E260" s="9"/>
      <c r="F260" s="9"/>
      <c r="G260" s="9"/>
      <c r="H260" s="9"/>
      <c r="I260" s="9"/>
      <c r="J260" s="10" t="str">
        <f aca="false">IF(A260="","",IF(G260&lt;&gt;"",G260,IF(N(F260)&gt;0,ROUND(1000/F260,3),0)))</f>
        <v/>
      </c>
      <c r="K260" s="10" t="str">
        <f aca="false">IF(OR(A260="",E260="",H260=""),"",ROUND(0.00617*E260^2*H260*J260,2))</f>
        <v/>
      </c>
      <c r="L260" s="9"/>
      <c r="M260" s="10" t="str">
        <f aca="false">IF(A260="","",IF((COUNTIF(Drain_Register!$A$5:$A$304,A260)+COUNTIF(RW_Register!$A$5:$A$304,A260)+COUNTIF(Embedded_Wall_Register!$A$5:$A$304,A260)+COUNTIF(Manhole_Register!$A$5:$A$304,A260)+COUNTIF(ERSS_Pit_Register!$A$5:$A$304,A260)+COUNTIF(Linkway_Register!$A$5:$A$304,A260)+COUNTIF(Other_Register!$A$5:$A$304,A260))&gt;0,"OK","ID not in any register"))</f>
        <v/>
      </c>
    </row>
    <row r="261" customFormat="false" ht="15" hidden="false" customHeight="false" outlineLevel="0" collapsed="false">
      <c r="A261" s="9"/>
      <c r="B261" s="9"/>
      <c r="C261" s="9"/>
      <c r="D261" s="9"/>
      <c r="E261" s="9"/>
      <c r="F261" s="9"/>
      <c r="G261" s="9"/>
      <c r="H261" s="9"/>
      <c r="I261" s="9"/>
      <c r="J261" s="10" t="str">
        <f aca="false">IF(A261="","",IF(G261&lt;&gt;"",G261,IF(N(F261)&gt;0,ROUND(1000/F261,3),0)))</f>
        <v/>
      </c>
      <c r="K261" s="10" t="str">
        <f aca="false">IF(OR(A261="",E261="",H261=""),"",ROUND(0.00617*E261^2*H261*J261,2))</f>
        <v/>
      </c>
      <c r="L261" s="9"/>
      <c r="M261" s="10" t="str">
        <f aca="false">IF(A261="","",IF((COUNTIF(Drain_Register!$A$5:$A$304,A261)+COUNTIF(RW_Register!$A$5:$A$304,A261)+COUNTIF(Embedded_Wall_Register!$A$5:$A$304,A261)+COUNTIF(Manhole_Register!$A$5:$A$304,A261)+COUNTIF(ERSS_Pit_Register!$A$5:$A$304,A261)+COUNTIF(Linkway_Register!$A$5:$A$304,A261)+COUNTIF(Other_Register!$A$5:$A$304,A261))&gt;0,"OK","ID not in any register"))</f>
        <v/>
      </c>
    </row>
    <row r="262" customFormat="false" ht="15" hidden="false" customHeight="false" outlineLevel="0" collapsed="false">
      <c r="A262" s="9"/>
      <c r="B262" s="9"/>
      <c r="C262" s="9"/>
      <c r="D262" s="9"/>
      <c r="E262" s="9"/>
      <c r="F262" s="9"/>
      <c r="G262" s="9"/>
      <c r="H262" s="9"/>
      <c r="I262" s="9"/>
      <c r="J262" s="10" t="str">
        <f aca="false">IF(A262="","",IF(G262&lt;&gt;"",G262,IF(N(F262)&gt;0,ROUND(1000/F262,3),0)))</f>
        <v/>
      </c>
      <c r="K262" s="10" t="str">
        <f aca="false">IF(OR(A262="",E262="",H262=""),"",ROUND(0.00617*E262^2*H262*J262,2))</f>
        <v/>
      </c>
      <c r="L262" s="9"/>
      <c r="M262" s="10" t="str">
        <f aca="false">IF(A262="","",IF((COUNTIF(Drain_Register!$A$5:$A$304,A262)+COUNTIF(RW_Register!$A$5:$A$304,A262)+COUNTIF(Embedded_Wall_Register!$A$5:$A$304,A262)+COUNTIF(Manhole_Register!$A$5:$A$304,A262)+COUNTIF(ERSS_Pit_Register!$A$5:$A$304,A262)+COUNTIF(Linkway_Register!$A$5:$A$304,A262)+COUNTIF(Other_Register!$A$5:$A$304,A262))&gt;0,"OK","ID not in any register"))</f>
        <v/>
      </c>
    </row>
    <row r="263" customFormat="false" ht="15" hidden="false" customHeight="false" outlineLevel="0" collapsed="false">
      <c r="A263" s="9"/>
      <c r="B263" s="9"/>
      <c r="C263" s="9"/>
      <c r="D263" s="9"/>
      <c r="E263" s="9"/>
      <c r="F263" s="9"/>
      <c r="G263" s="9"/>
      <c r="H263" s="9"/>
      <c r="I263" s="9"/>
      <c r="J263" s="10" t="str">
        <f aca="false">IF(A263="","",IF(G263&lt;&gt;"",G263,IF(N(F263)&gt;0,ROUND(1000/F263,3),0)))</f>
        <v/>
      </c>
      <c r="K263" s="10" t="str">
        <f aca="false">IF(OR(A263="",E263="",H263=""),"",ROUND(0.00617*E263^2*H263*J263,2))</f>
        <v/>
      </c>
      <c r="L263" s="9"/>
      <c r="M263" s="10" t="str">
        <f aca="false">IF(A263="","",IF((COUNTIF(Drain_Register!$A$5:$A$304,A263)+COUNTIF(RW_Register!$A$5:$A$304,A263)+COUNTIF(Embedded_Wall_Register!$A$5:$A$304,A263)+COUNTIF(Manhole_Register!$A$5:$A$304,A263)+COUNTIF(ERSS_Pit_Register!$A$5:$A$304,A263)+COUNTIF(Linkway_Register!$A$5:$A$304,A263)+COUNTIF(Other_Register!$A$5:$A$304,A263))&gt;0,"OK","ID not in any register"))</f>
        <v/>
      </c>
    </row>
    <row r="264" customFormat="false" ht="15" hidden="false" customHeight="false" outlineLevel="0" collapsed="false">
      <c r="A264" s="9"/>
      <c r="B264" s="9"/>
      <c r="C264" s="9"/>
      <c r="D264" s="9"/>
      <c r="E264" s="9"/>
      <c r="F264" s="9"/>
      <c r="G264" s="9"/>
      <c r="H264" s="9"/>
      <c r="I264" s="9"/>
      <c r="J264" s="10" t="str">
        <f aca="false">IF(A264="","",IF(G264&lt;&gt;"",G264,IF(N(F264)&gt;0,ROUND(1000/F264,3),0)))</f>
        <v/>
      </c>
      <c r="K264" s="10" t="str">
        <f aca="false">IF(OR(A264="",E264="",H264=""),"",ROUND(0.00617*E264^2*H264*J264,2))</f>
        <v/>
      </c>
      <c r="L264" s="9"/>
      <c r="M264" s="10" t="str">
        <f aca="false">IF(A264="","",IF((COUNTIF(Drain_Register!$A$5:$A$304,A264)+COUNTIF(RW_Register!$A$5:$A$304,A264)+COUNTIF(Embedded_Wall_Register!$A$5:$A$304,A264)+COUNTIF(Manhole_Register!$A$5:$A$304,A264)+COUNTIF(ERSS_Pit_Register!$A$5:$A$304,A264)+COUNTIF(Linkway_Register!$A$5:$A$304,A264)+COUNTIF(Other_Register!$A$5:$A$304,A264))&gt;0,"OK","ID not in any register"))</f>
        <v/>
      </c>
    </row>
    <row r="265" customFormat="false" ht="15" hidden="false" customHeight="false" outlineLevel="0" collapsed="false">
      <c r="A265" s="9"/>
      <c r="B265" s="9"/>
      <c r="C265" s="9"/>
      <c r="D265" s="9"/>
      <c r="E265" s="9"/>
      <c r="F265" s="9"/>
      <c r="G265" s="9"/>
      <c r="H265" s="9"/>
      <c r="I265" s="9"/>
      <c r="J265" s="10" t="str">
        <f aca="false">IF(A265="","",IF(G265&lt;&gt;"",G265,IF(N(F265)&gt;0,ROUND(1000/F265,3),0)))</f>
        <v/>
      </c>
      <c r="K265" s="10" t="str">
        <f aca="false">IF(OR(A265="",E265="",H265=""),"",ROUND(0.00617*E265^2*H265*J265,2))</f>
        <v/>
      </c>
      <c r="L265" s="9"/>
      <c r="M265" s="10" t="str">
        <f aca="false">IF(A265="","",IF((COUNTIF(Drain_Register!$A$5:$A$304,A265)+COUNTIF(RW_Register!$A$5:$A$304,A265)+COUNTIF(Embedded_Wall_Register!$A$5:$A$304,A265)+COUNTIF(Manhole_Register!$A$5:$A$304,A265)+COUNTIF(ERSS_Pit_Register!$A$5:$A$304,A265)+COUNTIF(Linkway_Register!$A$5:$A$304,A265)+COUNTIF(Other_Register!$A$5:$A$304,A265))&gt;0,"OK","ID not in any register"))</f>
        <v/>
      </c>
    </row>
    <row r="266" customFormat="false" ht="15" hidden="false" customHeight="false" outlineLevel="0" collapsed="false">
      <c r="A266" s="9"/>
      <c r="B266" s="9"/>
      <c r="C266" s="9"/>
      <c r="D266" s="9"/>
      <c r="E266" s="9"/>
      <c r="F266" s="9"/>
      <c r="G266" s="9"/>
      <c r="H266" s="9"/>
      <c r="I266" s="9"/>
      <c r="J266" s="10" t="str">
        <f aca="false">IF(A266="","",IF(G266&lt;&gt;"",G266,IF(N(F266)&gt;0,ROUND(1000/F266,3),0)))</f>
        <v/>
      </c>
      <c r="K266" s="10" t="str">
        <f aca="false">IF(OR(A266="",E266="",H266=""),"",ROUND(0.00617*E266^2*H266*J266,2))</f>
        <v/>
      </c>
      <c r="L266" s="9"/>
      <c r="M266" s="10" t="str">
        <f aca="false">IF(A266="","",IF((COUNTIF(Drain_Register!$A$5:$A$304,A266)+COUNTIF(RW_Register!$A$5:$A$304,A266)+COUNTIF(Embedded_Wall_Register!$A$5:$A$304,A266)+COUNTIF(Manhole_Register!$A$5:$A$304,A266)+COUNTIF(ERSS_Pit_Register!$A$5:$A$304,A266)+COUNTIF(Linkway_Register!$A$5:$A$304,A266)+COUNTIF(Other_Register!$A$5:$A$304,A266))&gt;0,"OK","ID not in any register"))</f>
        <v/>
      </c>
    </row>
    <row r="267" customFormat="false" ht="15" hidden="false" customHeight="false" outlineLevel="0" collapsed="false">
      <c r="A267" s="9"/>
      <c r="B267" s="9"/>
      <c r="C267" s="9"/>
      <c r="D267" s="9"/>
      <c r="E267" s="9"/>
      <c r="F267" s="9"/>
      <c r="G267" s="9"/>
      <c r="H267" s="9"/>
      <c r="I267" s="9"/>
      <c r="J267" s="10" t="str">
        <f aca="false">IF(A267="","",IF(G267&lt;&gt;"",G267,IF(N(F267)&gt;0,ROUND(1000/F267,3),0)))</f>
        <v/>
      </c>
      <c r="K267" s="10" t="str">
        <f aca="false">IF(OR(A267="",E267="",H267=""),"",ROUND(0.00617*E267^2*H267*J267,2))</f>
        <v/>
      </c>
      <c r="L267" s="9"/>
      <c r="M267" s="10" t="str">
        <f aca="false">IF(A267="","",IF((COUNTIF(Drain_Register!$A$5:$A$304,A267)+COUNTIF(RW_Register!$A$5:$A$304,A267)+COUNTIF(Embedded_Wall_Register!$A$5:$A$304,A267)+COUNTIF(Manhole_Register!$A$5:$A$304,A267)+COUNTIF(ERSS_Pit_Register!$A$5:$A$304,A267)+COUNTIF(Linkway_Register!$A$5:$A$304,A267)+COUNTIF(Other_Register!$A$5:$A$304,A267))&gt;0,"OK","ID not in any register"))</f>
        <v/>
      </c>
    </row>
    <row r="268" customFormat="false" ht="15" hidden="false" customHeight="false" outlineLevel="0" collapsed="false">
      <c r="A268" s="9"/>
      <c r="B268" s="9"/>
      <c r="C268" s="9"/>
      <c r="D268" s="9"/>
      <c r="E268" s="9"/>
      <c r="F268" s="9"/>
      <c r="G268" s="9"/>
      <c r="H268" s="9"/>
      <c r="I268" s="9"/>
      <c r="J268" s="10" t="str">
        <f aca="false">IF(A268="","",IF(G268&lt;&gt;"",G268,IF(N(F268)&gt;0,ROUND(1000/F268,3),0)))</f>
        <v/>
      </c>
      <c r="K268" s="10" t="str">
        <f aca="false">IF(OR(A268="",E268="",H268=""),"",ROUND(0.00617*E268^2*H268*J268,2))</f>
        <v/>
      </c>
      <c r="L268" s="9"/>
      <c r="M268" s="10" t="str">
        <f aca="false">IF(A268="","",IF((COUNTIF(Drain_Register!$A$5:$A$304,A268)+COUNTIF(RW_Register!$A$5:$A$304,A268)+COUNTIF(Embedded_Wall_Register!$A$5:$A$304,A268)+COUNTIF(Manhole_Register!$A$5:$A$304,A268)+COUNTIF(ERSS_Pit_Register!$A$5:$A$304,A268)+COUNTIF(Linkway_Register!$A$5:$A$304,A268)+COUNTIF(Other_Register!$A$5:$A$304,A268))&gt;0,"OK","ID not in any register"))</f>
        <v/>
      </c>
    </row>
    <row r="269" customFormat="false" ht="15" hidden="false" customHeight="false" outlineLevel="0" collapsed="false">
      <c r="A269" s="9"/>
      <c r="B269" s="9"/>
      <c r="C269" s="9"/>
      <c r="D269" s="9"/>
      <c r="E269" s="9"/>
      <c r="F269" s="9"/>
      <c r="G269" s="9"/>
      <c r="H269" s="9"/>
      <c r="I269" s="9"/>
      <c r="J269" s="10" t="str">
        <f aca="false">IF(A269="","",IF(G269&lt;&gt;"",G269,IF(N(F269)&gt;0,ROUND(1000/F269,3),0)))</f>
        <v/>
      </c>
      <c r="K269" s="10" t="str">
        <f aca="false">IF(OR(A269="",E269="",H269=""),"",ROUND(0.00617*E269^2*H269*J269,2))</f>
        <v/>
      </c>
      <c r="L269" s="9"/>
      <c r="M269" s="10" t="str">
        <f aca="false">IF(A269="","",IF((COUNTIF(Drain_Register!$A$5:$A$304,A269)+COUNTIF(RW_Register!$A$5:$A$304,A269)+COUNTIF(Embedded_Wall_Register!$A$5:$A$304,A269)+COUNTIF(Manhole_Register!$A$5:$A$304,A269)+COUNTIF(ERSS_Pit_Register!$A$5:$A$304,A269)+COUNTIF(Linkway_Register!$A$5:$A$304,A269)+COUNTIF(Other_Register!$A$5:$A$304,A269))&gt;0,"OK","ID not in any register"))</f>
        <v/>
      </c>
    </row>
    <row r="270" customFormat="false" ht="15" hidden="false" customHeight="false" outlineLevel="0" collapsed="false">
      <c r="A270" s="9"/>
      <c r="B270" s="9"/>
      <c r="C270" s="9"/>
      <c r="D270" s="9"/>
      <c r="E270" s="9"/>
      <c r="F270" s="9"/>
      <c r="G270" s="9"/>
      <c r="H270" s="9"/>
      <c r="I270" s="9"/>
      <c r="J270" s="10" t="str">
        <f aca="false">IF(A270="","",IF(G270&lt;&gt;"",G270,IF(N(F270)&gt;0,ROUND(1000/F270,3),0)))</f>
        <v/>
      </c>
      <c r="K270" s="10" t="str">
        <f aca="false">IF(OR(A270="",E270="",H270=""),"",ROUND(0.00617*E270^2*H270*J270,2))</f>
        <v/>
      </c>
      <c r="L270" s="9"/>
      <c r="M270" s="10" t="str">
        <f aca="false">IF(A270="","",IF((COUNTIF(Drain_Register!$A$5:$A$304,A270)+COUNTIF(RW_Register!$A$5:$A$304,A270)+COUNTIF(Embedded_Wall_Register!$A$5:$A$304,A270)+COUNTIF(Manhole_Register!$A$5:$A$304,A270)+COUNTIF(ERSS_Pit_Register!$A$5:$A$304,A270)+COUNTIF(Linkway_Register!$A$5:$A$304,A270)+COUNTIF(Other_Register!$A$5:$A$304,A270))&gt;0,"OK","ID not in any register"))</f>
        <v/>
      </c>
    </row>
    <row r="271" customFormat="false" ht="15" hidden="false" customHeight="false" outlineLevel="0" collapsed="false">
      <c r="A271" s="9"/>
      <c r="B271" s="9"/>
      <c r="C271" s="9"/>
      <c r="D271" s="9"/>
      <c r="E271" s="9"/>
      <c r="F271" s="9"/>
      <c r="G271" s="9"/>
      <c r="H271" s="9"/>
      <c r="I271" s="9"/>
      <c r="J271" s="10" t="str">
        <f aca="false">IF(A271="","",IF(G271&lt;&gt;"",G271,IF(N(F271)&gt;0,ROUND(1000/F271,3),0)))</f>
        <v/>
      </c>
      <c r="K271" s="10" t="str">
        <f aca="false">IF(OR(A271="",E271="",H271=""),"",ROUND(0.00617*E271^2*H271*J271,2))</f>
        <v/>
      </c>
      <c r="L271" s="9"/>
      <c r="M271" s="10" t="str">
        <f aca="false">IF(A271="","",IF((COUNTIF(Drain_Register!$A$5:$A$304,A271)+COUNTIF(RW_Register!$A$5:$A$304,A271)+COUNTIF(Embedded_Wall_Register!$A$5:$A$304,A271)+COUNTIF(Manhole_Register!$A$5:$A$304,A271)+COUNTIF(ERSS_Pit_Register!$A$5:$A$304,A271)+COUNTIF(Linkway_Register!$A$5:$A$304,A271)+COUNTIF(Other_Register!$A$5:$A$304,A271))&gt;0,"OK","ID not in any register"))</f>
        <v/>
      </c>
    </row>
    <row r="272" customFormat="false" ht="15" hidden="false" customHeight="false" outlineLevel="0" collapsed="false">
      <c r="A272" s="9"/>
      <c r="B272" s="9"/>
      <c r="C272" s="9"/>
      <c r="D272" s="9"/>
      <c r="E272" s="9"/>
      <c r="F272" s="9"/>
      <c r="G272" s="9"/>
      <c r="H272" s="9"/>
      <c r="I272" s="9"/>
      <c r="J272" s="10" t="str">
        <f aca="false">IF(A272="","",IF(G272&lt;&gt;"",G272,IF(N(F272)&gt;0,ROUND(1000/F272,3),0)))</f>
        <v/>
      </c>
      <c r="K272" s="10" t="str">
        <f aca="false">IF(OR(A272="",E272="",H272=""),"",ROUND(0.00617*E272^2*H272*J272,2))</f>
        <v/>
      </c>
      <c r="L272" s="9"/>
      <c r="M272" s="10" t="str">
        <f aca="false">IF(A272="","",IF((COUNTIF(Drain_Register!$A$5:$A$304,A272)+COUNTIF(RW_Register!$A$5:$A$304,A272)+COUNTIF(Embedded_Wall_Register!$A$5:$A$304,A272)+COUNTIF(Manhole_Register!$A$5:$A$304,A272)+COUNTIF(ERSS_Pit_Register!$A$5:$A$304,A272)+COUNTIF(Linkway_Register!$A$5:$A$304,A272)+COUNTIF(Other_Register!$A$5:$A$304,A272))&gt;0,"OK","ID not in any register"))</f>
        <v/>
      </c>
    </row>
    <row r="273" customFormat="false" ht="15" hidden="false" customHeight="false" outlineLevel="0" collapsed="false">
      <c r="A273" s="9"/>
      <c r="B273" s="9"/>
      <c r="C273" s="9"/>
      <c r="D273" s="9"/>
      <c r="E273" s="9"/>
      <c r="F273" s="9"/>
      <c r="G273" s="9"/>
      <c r="H273" s="9"/>
      <c r="I273" s="9"/>
      <c r="J273" s="10" t="str">
        <f aca="false">IF(A273="","",IF(G273&lt;&gt;"",G273,IF(N(F273)&gt;0,ROUND(1000/F273,3),0)))</f>
        <v/>
      </c>
      <c r="K273" s="10" t="str">
        <f aca="false">IF(OR(A273="",E273="",H273=""),"",ROUND(0.00617*E273^2*H273*J273,2))</f>
        <v/>
      </c>
      <c r="L273" s="9"/>
      <c r="M273" s="10" t="str">
        <f aca="false">IF(A273="","",IF((COUNTIF(Drain_Register!$A$5:$A$304,A273)+COUNTIF(RW_Register!$A$5:$A$304,A273)+COUNTIF(Embedded_Wall_Register!$A$5:$A$304,A273)+COUNTIF(Manhole_Register!$A$5:$A$304,A273)+COUNTIF(ERSS_Pit_Register!$A$5:$A$304,A273)+COUNTIF(Linkway_Register!$A$5:$A$304,A273)+COUNTIF(Other_Register!$A$5:$A$304,A273))&gt;0,"OK","ID not in any register"))</f>
        <v/>
      </c>
    </row>
    <row r="274" customFormat="false" ht="15" hidden="false" customHeight="false" outlineLevel="0" collapsed="false">
      <c r="A274" s="9"/>
      <c r="B274" s="9"/>
      <c r="C274" s="9"/>
      <c r="D274" s="9"/>
      <c r="E274" s="9"/>
      <c r="F274" s="9"/>
      <c r="G274" s="9"/>
      <c r="H274" s="9"/>
      <c r="I274" s="9"/>
      <c r="J274" s="10" t="str">
        <f aca="false">IF(A274="","",IF(G274&lt;&gt;"",G274,IF(N(F274)&gt;0,ROUND(1000/F274,3),0)))</f>
        <v/>
      </c>
      <c r="K274" s="10" t="str">
        <f aca="false">IF(OR(A274="",E274="",H274=""),"",ROUND(0.00617*E274^2*H274*J274,2))</f>
        <v/>
      </c>
      <c r="L274" s="9"/>
      <c r="M274" s="10" t="str">
        <f aca="false">IF(A274="","",IF((COUNTIF(Drain_Register!$A$5:$A$304,A274)+COUNTIF(RW_Register!$A$5:$A$304,A274)+COUNTIF(Embedded_Wall_Register!$A$5:$A$304,A274)+COUNTIF(Manhole_Register!$A$5:$A$304,A274)+COUNTIF(ERSS_Pit_Register!$A$5:$A$304,A274)+COUNTIF(Linkway_Register!$A$5:$A$304,A274)+COUNTIF(Other_Register!$A$5:$A$304,A274))&gt;0,"OK","ID not in any register"))</f>
        <v/>
      </c>
    </row>
    <row r="275" customFormat="false" ht="15" hidden="false" customHeight="false" outlineLevel="0" collapsed="false">
      <c r="A275" s="9"/>
      <c r="B275" s="9"/>
      <c r="C275" s="9"/>
      <c r="D275" s="9"/>
      <c r="E275" s="9"/>
      <c r="F275" s="9"/>
      <c r="G275" s="9"/>
      <c r="H275" s="9"/>
      <c r="I275" s="9"/>
      <c r="J275" s="10" t="str">
        <f aca="false">IF(A275="","",IF(G275&lt;&gt;"",G275,IF(N(F275)&gt;0,ROUND(1000/F275,3),0)))</f>
        <v/>
      </c>
      <c r="K275" s="10" t="str">
        <f aca="false">IF(OR(A275="",E275="",H275=""),"",ROUND(0.00617*E275^2*H275*J275,2))</f>
        <v/>
      </c>
      <c r="L275" s="9"/>
      <c r="M275" s="10" t="str">
        <f aca="false">IF(A275="","",IF((COUNTIF(Drain_Register!$A$5:$A$304,A275)+COUNTIF(RW_Register!$A$5:$A$304,A275)+COUNTIF(Embedded_Wall_Register!$A$5:$A$304,A275)+COUNTIF(Manhole_Register!$A$5:$A$304,A275)+COUNTIF(ERSS_Pit_Register!$A$5:$A$304,A275)+COUNTIF(Linkway_Register!$A$5:$A$304,A275)+COUNTIF(Other_Register!$A$5:$A$304,A275))&gt;0,"OK","ID not in any register"))</f>
        <v/>
      </c>
    </row>
    <row r="276" customFormat="false" ht="15" hidden="false" customHeight="false" outlineLevel="0" collapsed="false">
      <c r="A276" s="9"/>
      <c r="B276" s="9"/>
      <c r="C276" s="9"/>
      <c r="D276" s="9"/>
      <c r="E276" s="9"/>
      <c r="F276" s="9"/>
      <c r="G276" s="9"/>
      <c r="H276" s="9"/>
      <c r="I276" s="9"/>
      <c r="J276" s="10" t="str">
        <f aca="false">IF(A276="","",IF(G276&lt;&gt;"",G276,IF(N(F276)&gt;0,ROUND(1000/F276,3),0)))</f>
        <v/>
      </c>
      <c r="K276" s="10" t="str">
        <f aca="false">IF(OR(A276="",E276="",H276=""),"",ROUND(0.00617*E276^2*H276*J276,2))</f>
        <v/>
      </c>
      <c r="L276" s="9"/>
      <c r="M276" s="10" t="str">
        <f aca="false">IF(A276="","",IF((COUNTIF(Drain_Register!$A$5:$A$304,A276)+COUNTIF(RW_Register!$A$5:$A$304,A276)+COUNTIF(Embedded_Wall_Register!$A$5:$A$304,A276)+COUNTIF(Manhole_Register!$A$5:$A$304,A276)+COUNTIF(ERSS_Pit_Register!$A$5:$A$304,A276)+COUNTIF(Linkway_Register!$A$5:$A$304,A276)+COUNTIF(Other_Register!$A$5:$A$304,A276))&gt;0,"OK","ID not in any register"))</f>
        <v/>
      </c>
    </row>
    <row r="277" customFormat="false" ht="15" hidden="false" customHeight="false" outlineLevel="0" collapsed="false">
      <c r="A277" s="9"/>
      <c r="B277" s="9"/>
      <c r="C277" s="9"/>
      <c r="D277" s="9"/>
      <c r="E277" s="9"/>
      <c r="F277" s="9"/>
      <c r="G277" s="9"/>
      <c r="H277" s="9"/>
      <c r="I277" s="9"/>
      <c r="J277" s="10" t="str">
        <f aca="false">IF(A277="","",IF(G277&lt;&gt;"",G277,IF(N(F277)&gt;0,ROUND(1000/F277,3),0)))</f>
        <v/>
      </c>
      <c r="K277" s="10" t="str">
        <f aca="false">IF(OR(A277="",E277="",H277=""),"",ROUND(0.00617*E277^2*H277*J277,2))</f>
        <v/>
      </c>
      <c r="L277" s="9"/>
      <c r="M277" s="10" t="str">
        <f aca="false">IF(A277="","",IF((COUNTIF(Drain_Register!$A$5:$A$304,A277)+COUNTIF(RW_Register!$A$5:$A$304,A277)+COUNTIF(Embedded_Wall_Register!$A$5:$A$304,A277)+COUNTIF(Manhole_Register!$A$5:$A$304,A277)+COUNTIF(ERSS_Pit_Register!$A$5:$A$304,A277)+COUNTIF(Linkway_Register!$A$5:$A$304,A277)+COUNTIF(Other_Register!$A$5:$A$304,A277))&gt;0,"OK","ID not in any register"))</f>
        <v/>
      </c>
    </row>
    <row r="278" customFormat="false" ht="15" hidden="false" customHeight="false" outlineLevel="0" collapsed="false">
      <c r="A278" s="9"/>
      <c r="B278" s="9"/>
      <c r="C278" s="9"/>
      <c r="D278" s="9"/>
      <c r="E278" s="9"/>
      <c r="F278" s="9"/>
      <c r="G278" s="9"/>
      <c r="H278" s="9"/>
      <c r="I278" s="9"/>
      <c r="J278" s="10" t="str">
        <f aca="false">IF(A278="","",IF(G278&lt;&gt;"",G278,IF(N(F278)&gt;0,ROUND(1000/F278,3),0)))</f>
        <v/>
      </c>
      <c r="K278" s="10" t="str">
        <f aca="false">IF(OR(A278="",E278="",H278=""),"",ROUND(0.00617*E278^2*H278*J278,2))</f>
        <v/>
      </c>
      <c r="L278" s="9"/>
      <c r="M278" s="10" t="str">
        <f aca="false">IF(A278="","",IF((COUNTIF(Drain_Register!$A$5:$A$304,A278)+COUNTIF(RW_Register!$A$5:$A$304,A278)+COUNTIF(Embedded_Wall_Register!$A$5:$A$304,A278)+COUNTIF(Manhole_Register!$A$5:$A$304,A278)+COUNTIF(ERSS_Pit_Register!$A$5:$A$304,A278)+COUNTIF(Linkway_Register!$A$5:$A$304,A278)+COUNTIF(Other_Register!$A$5:$A$304,A278))&gt;0,"OK","ID not in any register"))</f>
        <v/>
      </c>
    </row>
    <row r="279" customFormat="false" ht="15" hidden="false" customHeight="false" outlineLevel="0" collapsed="false">
      <c r="A279" s="9"/>
      <c r="B279" s="9"/>
      <c r="C279" s="9"/>
      <c r="D279" s="9"/>
      <c r="E279" s="9"/>
      <c r="F279" s="9"/>
      <c r="G279" s="9"/>
      <c r="H279" s="9"/>
      <c r="I279" s="9"/>
      <c r="J279" s="10" t="str">
        <f aca="false">IF(A279="","",IF(G279&lt;&gt;"",G279,IF(N(F279)&gt;0,ROUND(1000/F279,3),0)))</f>
        <v/>
      </c>
      <c r="K279" s="10" t="str">
        <f aca="false">IF(OR(A279="",E279="",H279=""),"",ROUND(0.00617*E279^2*H279*J279,2))</f>
        <v/>
      </c>
      <c r="L279" s="9"/>
      <c r="M279" s="10" t="str">
        <f aca="false">IF(A279="","",IF((COUNTIF(Drain_Register!$A$5:$A$304,A279)+COUNTIF(RW_Register!$A$5:$A$304,A279)+COUNTIF(Embedded_Wall_Register!$A$5:$A$304,A279)+COUNTIF(Manhole_Register!$A$5:$A$304,A279)+COUNTIF(ERSS_Pit_Register!$A$5:$A$304,A279)+COUNTIF(Linkway_Register!$A$5:$A$304,A279)+COUNTIF(Other_Register!$A$5:$A$304,A279))&gt;0,"OK","ID not in any register"))</f>
        <v/>
      </c>
    </row>
    <row r="280" customFormat="false" ht="15" hidden="false" customHeight="false" outlineLevel="0" collapsed="false">
      <c r="A280" s="9"/>
      <c r="B280" s="9"/>
      <c r="C280" s="9"/>
      <c r="D280" s="9"/>
      <c r="E280" s="9"/>
      <c r="F280" s="9"/>
      <c r="G280" s="9"/>
      <c r="H280" s="9"/>
      <c r="I280" s="9"/>
      <c r="J280" s="10" t="str">
        <f aca="false">IF(A280="","",IF(G280&lt;&gt;"",G280,IF(N(F280)&gt;0,ROUND(1000/F280,3),0)))</f>
        <v/>
      </c>
      <c r="K280" s="10" t="str">
        <f aca="false">IF(OR(A280="",E280="",H280=""),"",ROUND(0.00617*E280^2*H280*J280,2))</f>
        <v/>
      </c>
      <c r="L280" s="9"/>
      <c r="M280" s="10" t="str">
        <f aca="false">IF(A280="","",IF((COUNTIF(Drain_Register!$A$5:$A$304,A280)+COUNTIF(RW_Register!$A$5:$A$304,A280)+COUNTIF(Embedded_Wall_Register!$A$5:$A$304,A280)+COUNTIF(Manhole_Register!$A$5:$A$304,A280)+COUNTIF(ERSS_Pit_Register!$A$5:$A$304,A280)+COUNTIF(Linkway_Register!$A$5:$A$304,A280)+COUNTIF(Other_Register!$A$5:$A$304,A280))&gt;0,"OK","ID not in any register"))</f>
        <v/>
      </c>
    </row>
    <row r="281" customFormat="false" ht="15" hidden="false" customHeight="false" outlineLevel="0" collapsed="false">
      <c r="A281" s="9"/>
      <c r="B281" s="9"/>
      <c r="C281" s="9"/>
      <c r="D281" s="9"/>
      <c r="E281" s="9"/>
      <c r="F281" s="9"/>
      <c r="G281" s="9"/>
      <c r="H281" s="9"/>
      <c r="I281" s="9"/>
      <c r="J281" s="10" t="str">
        <f aca="false">IF(A281="","",IF(G281&lt;&gt;"",G281,IF(N(F281)&gt;0,ROUND(1000/F281,3),0)))</f>
        <v/>
      </c>
      <c r="K281" s="10" t="str">
        <f aca="false">IF(OR(A281="",E281="",H281=""),"",ROUND(0.00617*E281^2*H281*J281,2))</f>
        <v/>
      </c>
      <c r="L281" s="9"/>
      <c r="M281" s="10" t="str">
        <f aca="false">IF(A281="","",IF((COUNTIF(Drain_Register!$A$5:$A$304,A281)+COUNTIF(RW_Register!$A$5:$A$304,A281)+COUNTIF(Embedded_Wall_Register!$A$5:$A$304,A281)+COUNTIF(Manhole_Register!$A$5:$A$304,A281)+COUNTIF(ERSS_Pit_Register!$A$5:$A$304,A281)+COUNTIF(Linkway_Register!$A$5:$A$304,A281)+COUNTIF(Other_Register!$A$5:$A$304,A281))&gt;0,"OK","ID not in any register"))</f>
        <v/>
      </c>
    </row>
    <row r="282" customFormat="false" ht="15" hidden="false" customHeight="false" outlineLevel="0" collapsed="false">
      <c r="A282" s="9"/>
      <c r="B282" s="9"/>
      <c r="C282" s="9"/>
      <c r="D282" s="9"/>
      <c r="E282" s="9"/>
      <c r="F282" s="9"/>
      <c r="G282" s="9"/>
      <c r="H282" s="9"/>
      <c r="I282" s="9"/>
      <c r="J282" s="10" t="str">
        <f aca="false">IF(A282="","",IF(G282&lt;&gt;"",G282,IF(N(F282)&gt;0,ROUND(1000/F282,3),0)))</f>
        <v/>
      </c>
      <c r="K282" s="10" t="str">
        <f aca="false">IF(OR(A282="",E282="",H282=""),"",ROUND(0.00617*E282^2*H282*J282,2))</f>
        <v/>
      </c>
      <c r="L282" s="9"/>
      <c r="M282" s="10" t="str">
        <f aca="false">IF(A282="","",IF((COUNTIF(Drain_Register!$A$5:$A$304,A282)+COUNTIF(RW_Register!$A$5:$A$304,A282)+COUNTIF(Embedded_Wall_Register!$A$5:$A$304,A282)+COUNTIF(Manhole_Register!$A$5:$A$304,A282)+COUNTIF(ERSS_Pit_Register!$A$5:$A$304,A282)+COUNTIF(Linkway_Register!$A$5:$A$304,A282)+COUNTIF(Other_Register!$A$5:$A$304,A282))&gt;0,"OK","ID not in any register"))</f>
        <v/>
      </c>
    </row>
    <row r="283" customFormat="false" ht="15" hidden="false" customHeight="false" outlineLevel="0" collapsed="false">
      <c r="A283" s="9"/>
      <c r="B283" s="9"/>
      <c r="C283" s="9"/>
      <c r="D283" s="9"/>
      <c r="E283" s="9"/>
      <c r="F283" s="9"/>
      <c r="G283" s="9"/>
      <c r="H283" s="9"/>
      <c r="I283" s="9"/>
      <c r="J283" s="10" t="str">
        <f aca="false">IF(A283="","",IF(G283&lt;&gt;"",G283,IF(N(F283)&gt;0,ROUND(1000/F283,3),0)))</f>
        <v/>
      </c>
      <c r="K283" s="10" t="str">
        <f aca="false">IF(OR(A283="",E283="",H283=""),"",ROUND(0.00617*E283^2*H283*J283,2))</f>
        <v/>
      </c>
      <c r="L283" s="9"/>
      <c r="M283" s="10" t="str">
        <f aca="false">IF(A283="","",IF((COUNTIF(Drain_Register!$A$5:$A$304,A283)+COUNTIF(RW_Register!$A$5:$A$304,A283)+COUNTIF(Embedded_Wall_Register!$A$5:$A$304,A283)+COUNTIF(Manhole_Register!$A$5:$A$304,A283)+COUNTIF(ERSS_Pit_Register!$A$5:$A$304,A283)+COUNTIF(Linkway_Register!$A$5:$A$304,A283)+COUNTIF(Other_Register!$A$5:$A$304,A283))&gt;0,"OK","ID not in any register"))</f>
        <v/>
      </c>
    </row>
    <row r="284" customFormat="false" ht="15" hidden="false" customHeight="false" outlineLevel="0" collapsed="false">
      <c r="A284" s="9"/>
      <c r="B284" s="9"/>
      <c r="C284" s="9"/>
      <c r="D284" s="9"/>
      <c r="E284" s="9"/>
      <c r="F284" s="9"/>
      <c r="G284" s="9"/>
      <c r="H284" s="9"/>
      <c r="I284" s="9"/>
      <c r="J284" s="10" t="str">
        <f aca="false">IF(A284="","",IF(G284&lt;&gt;"",G284,IF(N(F284)&gt;0,ROUND(1000/F284,3),0)))</f>
        <v/>
      </c>
      <c r="K284" s="10" t="str">
        <f aca="false">IF(OR(A284="",E284="",H284=""),"",ROUND(0.00617*E284^2*H284*J284,2))</f>
        <v/>
      </c>
      <c r="L284" s="9"/>
      <c r="M284" s="10" t="str">
        <f aca="false">IF(A284="","",IF((COUNTIF(Drain_Register!$A$5:$A$304,A284)+COUNTIF(RW_Register!$A$5:$A$304,A284)+COUNTIF(Embedded_Wall_Register!$A$5:$A$304,A284)+COUNTIF(Manhole_Register!$A$5:$A$304,A284)+COUNTIF(ERSS_Pit_Register!$A$5:$A$304,A284)+COUNTIF(Linkway_Register!$A$5:$A$304,A284)+COUNTIF(Other_Register!$A$5:$A$304,A284))&gt;0,"OK","ID not in any register"))</f>
        <v/>
      </c>
    </row>
    <row r="285" customFormat="false" ht="15" hidden="false" customHeight="false" outlineLevel="0" collapsed="false">
      <c r="A285" s="9"/>
      <c r="B285" s="9"/>
      <c r="C285" s="9"/>
      <c r="D285" s="9"/>
      <c r="E285" s="9"/>
      <c r="F285" s="9"/>
      <c r="G285" s="9"/>
      <c r="H285" s="9"/>
      <c r="I285" s="9"/>
      <c r="J285" s="10" t="str">
        <f aca="false">IF(A285="","",IF(G285&lt;&gt;"",G285,IF(N(F285)&gt;0,ROUND(1000/F285,3),0)))</f>
        <v/>
      </c>
      <c r="K285" s="10" t="str">
        <f aca="false">IF(OR(A285="",E285="",H285=""),"",ROUND(0.00617*E285^2*H285*J285,2))</f>
        <v/>
      </c>
      <c r="L285" s="9"/>
      <c r="M285" s="10" t="str">
        <f aca="false">IF(A285="","",IF((COUNTIF(Drain_Register!$A$5:$A$304,A285)+COUNTIF(RW_Register!$A$5:$A$304,A285)+COUNTIF(Embedded_Wall_Register!$A$5:$A$304,A285)+COUNTIF(Manhole_Register!$A$5:$A$304,A285)+COUNTIF(ERSS_Pit_Register!$A$5:$A$304,A285)+COUNTIF(Linkway_Register!$A$5:$A$304,A285)+COUNTIF(Other_Register!$A$5:$A$304,A285))&gt;0,"OK","ID not in any register"))</f>
        <v/>
      </c>
    </row>
    <row r="286" customFormat="false" ht="15" hidden="false" customHeight="false" outlineLevel="0" collapsed="false">
      <c r="A286" s="9"/>
      <c r="B286" s="9"/>
      <c r="C286" s="9"/>
      <c r="D286" s="9"/>
      <c r="E286" s="9"/>
      <c r="F286" s="9"/>
      <c r="G286" s="9"/>
      <c r="H286" s="9"/>
      <c r="I286" s="9"/>
      <c r="J286" s="10" t="str">
        <f aca="false">IF(A286="","",IF(G286&lt;&gt;"",G286,IF(N(F286)&gt;0,ROUND(1000/F286,3),0)))</f>
        <v/>
      </c>
      <c r="K286" s="10" t="str">
        <f aca="false">IF(OR(A286="",E286="",H286=""),"",ROUND(0.00617*E286^2*H286*J286,2))</f>
        <v/>
      </c>
      <c r="L286" s="9"/>
      <c r="M286" s="10" t="str">
        <f aca="false">IF(A286="","",IF((COUNTIF(Drain_Register!$A$5:$A$304,A286)+COUNTIF(RW_Register!$A$5:$A$304,A286)+COUNTIF(Embedded_Wall_Register!$A$5:$A$304,A286)+COUNTIF(Manhole_Register!$A$5:$A$304,A286)+COUNTIF(ERSS_Pit_Register!$A$5:$A$304,A286)+COUNTIF(Linkway_Register!$A$5:$A$304,A286)+COUNTIF(Other_Register!$A$5:$A$304,A286))&gt;0,"OK","ID not in any register"))</f>
        <v/>
      </c>
    </row>
    <row r="287" customFormat="false" ht="15" hidden="false" customHeight="false" outlineLevel="0" collapsed="false">
      <c r="A287" s="9"/>
      <c r="B287" s="9"/>
      <c r="C287" s="9"/>
      <c r="D287" s="9"/>
      <c r="E287" s="9"/>
      <c r="F287" s="9"/>
      <c r="G287" s="9"/>
      <c r="H287" s="9"/>
      <c r="I287" s="9"/>
      <c r="J287" s="10" t="str">
        <f aca="false">IF(A287="","",IF(G287&lt;&gt;"",G287,IF(N(F287)&gt;0,ROUND(1000/F287,3),0)))</f>
        <v/>
      </c>
      <c r="K287" s="10" t="str">
        <f aca="false">IF(OR(A287="",E287="",H287=""),"",ROUND(0.00617*E287^2*H287*J287,2))</f>
        <v/>
      </c>
      <c r="L287" s="9"/>
      <c r="M287" s="10" t="str">
        <f aca="false">IF(A287="","",IF((COUNTIF(Drain_Register!$A$5:$A$304,A287)+COUNTIF(RW_Register!$A$5:$A$304,A287)+COUNTIF(Embedded_Wall_Register!$A$5:$A$304,A287)+COUNTIF(Manhole_Register!$A$5:$A$304,A287)+COUNTIF(ERSS_Pit_Register!$A$5:$A$304,A287)+COUNTIF(Linkway_Register!$A$5:$A$304,A287)+COUNTIF(Other_Register!$A$5:$A$304,A287))&gt;0,"OK","ID not in any register"))</f>
        <v/>
      </c>
    </row>
    <row r="288" customFormat="false" ht="15" hidden="false" customHeight="false" outlineLevel="0" collapsed="false">
      <c r="A288" s="9"/>
      <c r="B288" s="9"/>
      <c r="C288" s="9"/>
      <c r="D288" s="9"/>
      <c r="E288" s="9"/>
      <c r="F288" s="9"/>
      <c r="G288" s="9"/>
      <c r="H288" s="9"/>
      <c r="I288" s="9"/>
      <c r="J288" s="10" t="str">
        <f aca="false">IF(A288="","",IF(G288&lt;&gt;"",G288,IF(N(F288)&gt;0,ROUND(1000/F288,3),0)))</f>
        <v/>
      </c>
      <c r="K288" s="10" t="str">
        <f aca="false">IF(OR(A288="",E288="",H288=""),"",ROUND(0.00617*E288^2*H288*J288,2))</f>
        <v/>
      </c>
      <c r="L288" s="9"/>
      <c r="M288" s="10" t="str">
        <f aca="false">IF(A288="","",IF((COUNTIF(Drain_Register!$A$5:$A$304,A288)+COUNTIF(RW_Register!$A$5:$A$304,A288)+COUNTIF(Embedded_Wall_Register!$A$5:$A$304,A288)+COUNTIF(Manhole_Register!$A$5:$A$304,A288)+COUNTIF(ERSS_Pit_Register!$A$5:$A$304,A288)+COUNTIF(Linkway_Register!$A$5:$A$304,A288)+COUNTIF(Other_Register!$A$5:$A$304,A288))&gt;0,"OK","ID not in any register"))</f>
        <v/>
      </c>
    </row>
    <row r="289" customFormat="false" ht="15" hidden="false" customHeight="false" outlineLevel="0" collapsed="false">
      <c r="A289" s="9"/>
      <c r="B289" s="9"/>
      <c r="C289" s="9"/>
      <c r="D289" s="9"/>
      <c r="E289" s="9"/>
      <c r="F289" s="9"/>
      <c r="G289" s="9"/>
      <c r="H289" s="9"/>
      <c r="I289" s="9"/>
      <c r="J289" s="10" t="str">
        <f aca="false">IF(A289="","",IF(G289&lt;&gt;"",G289,IF(N(F289)&gt;0,ROUND(1000/F289,3),0)))</f>
        <v/>
      </c>
      <c r="K289" s="10" t="str">
        <f aca="false">IF(OR(A289="",E289="",H289=""),"",ROUND(0.00617*E289^2*H289*J289,2))</f>
        <v/>
      </c>
      <c r="L289" s="9"/>
      <c r="M289" s="10" t="str">
        <f aca="false">IF(A289="","",IF((COUNTIF(Drain_Register!$A$5:$A$304,A289)+COUNTIF(RW_Register!$A$5:$A$304,A289)+COUNTIF(Embedded_Wall_Register!$A$5:$A$304,A289)+COUNTIF(Manhole_Register!$A$5:$A$304,A289)+COUNTIF(ERSS_Pit_Register!$A$5:$A$304,A289)+COUNTIF(Linkway_Register!$A$5:$A$304,A289)+COUNTIF(Other_Register!$A$5:$A$304,A289))&gt;0,"OK","ID not in any register"))</f>
        <v/>
      </c>
    </row>
    <row r="290" customFormat="false" ht="15" hidden="false" customHeight="false" outlineLevel="0" collapsed="false">
      <c r="A290" s="9"/>
      <c r="B290" s="9"/>
      <c r="C290" s="9"/>
      <c r="D290" s="9"/>
      <c r="E290" s="9"/>
      <c r="F290" s="9"/>
      <c r="G290" s="9"/>
      <c r="H290" s="9"/>
      <c r="I290" s="9"/>
      <c r="J290" s="10" t="str">
        <f aca="false">IF(A290="","",IF(G290&lt;&gt;"",G290,IF(N(F290)&gt;0,ROUND(1000/F290,3),0)))</f>
        <v/>
      </c>
      <c r="K290" s="10" t="str">
        <f aca="false">IF(OR(A290="",E290="",H290=""),"",ROUND(0.00617*E290^2*H290*J290,2))</f>
        <v/>
      </c>
      <c r="L290" s="9"/>
      <c r="M290" s="10" t="str">
        <f aca="false">IF(A290="","",IF((COUNTIF(Drain_Register!$A$5:$A$304,A290)+COUNTIF(RW_Register!$A$5:$A$304,A290)+COUNTIF(Embedded_Wall_Register!$A$5:$A$304,A290)+COUNTIF(Manhole_Register!$A$5:$A$304,A290)+COUNTIF(ERSS_Pit_Register!$A$5:$A$304,A290)+COUNTIF(Linkway_Register!$A$5:$A$304,A290)+COUNTIF(Other_Register!$A$5:$A$304,A290))&gt;0,"OK","ID not in any register"))</f>
        <v/>
      </c>
    </row>
    <row r="291" customFormat="false" ht="15" hidden="false" customHeight="false" outlineLevel="0" collapsed="false">
      <c r="A291" s="9"/>
      <c r="B291" s="9"/>
      <c r="C291" s="9"/>
      <c r="D291" s="9"/>
      <c r="E291" s="9"/>
      <c r="F291" s="9"/>
      <c r="G291" s="9"/>
      <c r="H291" s="9"/>
      <c r="I291" s="9"/>
      <c r="J291" s="10" t="str">
        <f aca="false">IF(A291="","",IF(G291&lt;&gt;"",G291,IF(N(F291)&gt;0,ROUND(1000/F291,3),0)))</f>
        <v/>
      </c>
      <c r="K291" s="10" t="str">
        <f aca="false">IF(OR(A291="",E291="",H291=""),"",ROUND(0.00617*E291^2*H291*J291,2))</f>
        <v/>
      </c>
      <c r="L291" s="9"/>
      <c r="M291" s="10" t="str">
        <f aca="false">IF(A291="","",IF((COUNTIF(Drain_Register!$A$5:$A$304,A291)+COUNTIF(RW_Register!$A$5:$A$304,A291)+COUNTIF(Embedded_Wall_Register!$A$5:$A$304,A291)+COUNTIF(Manhole_Register!$A$5:$A$304,A291)+COUNTIF(ERSS_Pit_Register!$A$5:$A$304,A291)+COUNTIF(Linkway_Register!$A$5:$A$304,A291)+COUNTIF(Other_Register!$A$5:$A$304,A291))&gt;0,"OK","ID not in any register"))</f>
        <v/>
      </c>
    </row>
    <row r="292" customFormat="false" ht="15" hidden="false" customHeight="false" outlineLevel="0" collapsed="false">
      <c r="A292" s="9"/>
      <c r="B292" s="9"/>
      <c r="C292" s="9"/>
      <c r="D292" s="9"/>
      <c r="E292" s="9"/>
      <c r="F292" s="9"/>
      <c r="G292" s="9"/>
      <c r="H292" s="9"/>
      <c r="I292" s="9"/>
      <c r="J292" s="10" t="str">
        <f aca="false">IF(A292="","",IF(G292&lt;&gt;"",G292,IF(N(F292)&gt;0,ROUND(1000/F292,3),0)))</f>
        <v/>
      </c>
      <c r="K292" s="10" t="str">
        <f aca="false">IF(OR(A292="",E292="",H292=""),"",ROUND(0.00617*E292^2*H292*J292,2))</f>
        <v/>
      </c>
      <c r="L292" s="9"/>
      <c r="M292" s="10" t="str">
        <f aca="false">IF(A292="","",IF((COUNTIF(Drain_Register!$A$5:$A$304,A292)+COUNTIF(RW_Register!$A$5:$A$304,A292)+COUNTIF(Embedded_Wall_Register!$A$5:$A$304,A292)+COUNTIF(Manhole_Register!$A$5:$A$304,A292)+COUNTIF(ERSS_Pit_Register!$A$5:$A$304,A292)+COUNTIF(Linkway_Register!$A$5:$A$304,A292)+COUNTIF(Other_Register!$A$5:$A$304,A292))&gt;0,"OK","ID not in any register"))</f>
        <v/>
      </c>
    </row>
    <row r="293" customFormat="false" ht="15" hidden="false" customHeight="false" outlineLevel="0" collapsed="false">
      <c r="A293" s="9"/>
      <c r="B293" s="9"/>
      <c r="C293" s="9"/>
      <c r="D293" s="9"/>
      <c r="E293" s="9"/>
      <c r="F293" s="9"/>
      <c r="G293" s="9"/>
      <c r="H293" s="9"/>
      <c r="I293" s="9"/>
      <c r="J293" s="10" t="str">
        <f aca="false">IF(A293="","",IF(G293&lt;&gt;"",G293,IF(N(F293)&gt;0,ROUND(1000/F293,3),0)))</f>
        <v/>
      </c>
      <c r="K293" s="10" t="str">
        <f aca="false">IF(OR(A293="",E293="",H293=""),"",ROUND(0.00617*E293^2*H293*J293,2))</f>
        <v/>
      </c>
      <c r="L293" s="9"/>
      <c r="M293" s="10" t="str">
        <f aca="false">IF(A293="","",IF((COUNTIF(Drain_Register!$A$5:$A$304,A293)+COUNTIF(RW_Register!$A$5:$A$304,A293)+COUNTIF(Embedded_Wall_Register!$A$5:$A$304,A293)+COUNTIF(Manhole_Register!$A$5:$A$304,A293)+COUNTIF(ERSS_Pit_Register!$A$5:$A$304,A293)+COUNTIF(Linkway_Register!$A$5:$A$304,A293)+COUNTIF(Other_Register!$A$5:$A$304,A293))&gt;0,"OK","ID not in any register"))</f>
        <v/>
      </c>
    </row>
    <row r="294" customFormat="false" ht="15" hidden="false" customHeight="false" outlineLevel="0" collapsed="false">
      <c r="A294" s="9"/>
      <c r="B294" s="9"/>
      <c r="C294" s="9"/>
      <c r="D294" s="9"/>
      <c r="E294" s="9"/>
      <c r="F294" s="9"/>
      <c r="G294" s="9"/>
      <c r="H294" s="9"/>
      <c r="I294" s="9"/>
      <c r="J294" s="10" t="str">
        <f aca="false">IF(A294="","",IF(G294&lt;&gt;"",G294,IF(N(F294)&gt;0,ROUND(1000/F294,3),0)))</f>
        <v/>
      </c>
      <c r="K294" s="10" t="str">
        <f aca="false">IF(OR(A294="",E294="",H294=""),"",ROUND(0.00617*E294^2*H294*J294,2))</f>
        <v/>
      </c>
      <c r="L294" s="9"/>
      <c r="M294" s="10" t="str">
        <f aca="false">IF(A294="","",IF((COUNTIF(Drain_Register!$A$5:$A$304,A294)+COUNTIF(RW_Register!$A$5:$A$304,A294)+COUNTIF(Embedded_Wall_Register!$A$5:$A$304,A294)+COUNTIF(Manhole_Register!$A$5:$A$304,A294)+COUNTIF(ERSS_Pit_Register!$A$5:$A$304,A294)+COUNTIF(Linkway_Register!$A$5:$A$304,A294)+COUNTIF(Other_Register!$A$5:$A$304,A294))&gt;0,"OK","ID not in any register"))</f>
        <v/>
      </c>
    </row>
    <row r="295" customFormat="false" ht="15" hidden="false" customHeight="false" outlineLevel="0" collapsed="false">
      <c r="A295" s="9"/>
      <c r="B295" s="9"/>
      <c r="C295" s="9"/>
      <c r="D295" s="9"/>
      <c r="E295" s="9"/>
      <c r="F295" s="9"/>
      <c r="G295" s="9"/>
      <c r="H295" s="9"/>
      <c r="I295" s="9"/>
      <c r="J295" s="10" t="str">
        <f aca="false">IF(A295="","",IF(G295&lt;&gt;"",G295,IF(N(F295)&gt;0,ROUND(1000/F295,3),0)))</f>
        <v/>
      </c>
      <c r="K295" s="10" t="str">
        <f aca="false">IF(OR(A295="",E295="",H295=""),"",ROUND(0.00617*E295^2*H295*J295,2))</f>
        <v/>
      </c>
      <c r="L295" s="9"/>
      <c r="M295" s="10" t="str">
        <f aca="false">IF(A295="","",IF((COUNTIF(Drain_Register!$A$5:$A$304,A295)+COUNTIF(RW_Register!$A$5:$A$304,A295)+COUNTIF(Embedded_Wall_Register!$A$5:$A$304,A295)+COUNTIF(Manhole_Register!$A$5:$A$304,A295)+COUNTIF(ERSS_Pit_Register!$A$5:$A$304,A295)+COUNTIF(Linkway_Register!$A$5:$A$304,A295)+COUNTIF(Other_Register!$A$5:$A$304,A295))&gt;0,"OK","ID not in any register"))</f>
        <v/>
      </c>
    </row>
    <row r="296" customFormat="false" ht="15" hidden="false" customHeight="false" outlineLevel="0" collapsed="false">
      <c r="A296" s="9"/>
      <c r="B296" s="9"/>
      <c r="C296" s="9"/>
      <c r="D296" s="9"/>
      <c r="E296" s="9"/>
      <c r="F296" s="9"/>
      <c r="G296" s="9"/>
      <c r="H296" s="9"/>
      <c r="I296" s="9"/>
      <c r="J296" s="10" t="str">
        <f aca="false">IF(A296="","",IF(G296&lt;&gt;"",G296,IF(N(F296)&gt;0,ROUND(1000/F296,3),0)))</f>
        <v/>
      </c>
      <c r="K296" s="10" t="str">
        <f aca="false">IF(OR(A296="",E296="",H296=""),"",ROUND(0.00617*E296^2*H296*J296,2))</f>
        <v/>
      </c>
      <c r="L296" s="9"/>
      <c r="M296" s="10" t="str">
        <f aca="false">IF(A296="","",IF((COUNTIF(Drain_Register!$A$5:$A$304,A296)+COUNTIF(RW_Register!$A$5:$A$304,A296)+COUNTIF(Embedded_Wall_Register!$A$5:$A$304,A296)+COUNTIF(Manhole_Register!$A$5:$A$304,A296)+COUNTIF(ERSS_Pit_Register!$A$5:$A$304,A296)+COUNTIF(Linkway_Register!$A$5:$A$304,A296)+COUNTIF(Other_Register!$A$5:$A$304,A296))&gt;0,"OK","ID not in any register"))</f>
        <v/>
      </c>
    </row>
    <row r="297" customFormat="false" ht="15" hidden="false" customHeight="false" outlineLevel="0" collapsed="false">
      <c r="A297" s="9"/>
      <c r="B297" s="9"/>
      <c r="C297" s="9"/>
      <c r="D297" s="9"/>
      <c r="E297" s="9"/>
      <c r="F297" s="9"/>
      <c r="G297" s="9"/>
      <c r="H297" s="9"/>
      <c r="I297" s="9"/>
      <c r="J297" s="10" t="str">
        <f aca="false">IF(A297="","",IF(G297&lt;&gt;"",G297,IF(N(F297)&gt;0,ROUND(1000/F297,3),0)))</f>
        <v/>
      </c>
      <c r="K297" s="10" t="str">
        <f aca="false">IF(OR(A297="",E297="",H297=""),"",ROUND(0.00617*E297^2*H297*J297,2))</f>
        <v/>
      </c>
      <c r="L297" s="9"/>
      <c r="M297" s="10" t="str">
        <f aca="false">IF(A297="","",IF((COUNTIF(Drain_Register!$A$5:$A$304,A297)+COUNTIF(RW_Register!$A$5:$A$304,A297)+COUNTIF(Embedded_Wall_Register!$A$5:$A$304,A297)+COUNTIF(Manhole_Register!$A$5:$A$304,A297)+COUNTIF(ERSS_Pit_Register!$A$5:$A$304,A297)+COUNTIF(Linkway_Register!$A$5:$A$304,A297)+COUNTIF(Other_Register!$A$5:$A$304,A297))&gt;0,"OK","ID not in any register"))</f>
        <v/>
      </c>
    </row>
    <row r="298" customFormat="false" ht="15" hidden="false" customHeight="false" outlineLevel="0" collapsed="false">
      <c r="A298" s="9"/>
      <c r="B298" s="9"/>
      <c r="C298" s="9"/>
      <c r="D298" s="9"/>
      <c r="E298" s="9"/>
      <c r="F298" s="9"/>
      <c r="G298" s="9"/>
      <c r="H298" s="9"/>
      <c r="I298" s="9"/>
      <c r="J298" s="10" t="str">
        <f aca="false">IF(A298="","",IF(G298&lt;&gt;"",G298,IF(N(F298)&gt;0,ROUND(1000/F298,3),0)))</f>
        <v/>
      </c>
      <c r="K298" s="10" t="str">
        <f aca="false">IF(OR(A298="",E298="",H298=""),"",ROUND(0.00617*E298^2*H298*J298,2))</f>
        <v/>
      </c>
      <c r="L298" s="9"/>
      <c r="M298" s="10" t="str">
        <f aca="false">IF(A298="","",IF((COUNTIF(Drain_Register!$A$5:$A$304,A298)+COUNTIF(RW_Register!$A$5:$A$304,A298)+COUNTIF(Embedded_Wall_Register!$A$5:$A$304,A298)+COUNTIF(Manhole_Register!$A$5:$A$304,A298)+COUNTIF(ERSS_Pit_Register!$A$5:$A$304,A298)+COUNTIF(Linkway_Register!$A$5:$A$304,A298)+COUNTIF(Other_Register!$A$5:$A$304,A298))&gt;0,"OK","ID not in any register"))</f>
        <v/>
      </c>
    </row>
    <row r="299" customFormat="false" ht="15" hidden="false" customHeight="false" outlineLevel="0" collapsed="false">
      <c r="A299" s="9"/>
      <c r="B299" s="9"/>
      <c r="C299" s="9"/>
      <c r="D299" s="9"/>
      <c r="E299" s="9"/>
      <c r="F299" s="9"/>
      <c r="G299" s="9"/>
      <c r="H299" s="9"/>
      <c r="I299" s="9"/>
      <c r="J299" s="10" t="str">
        <f aca="false">IF(A299="","",IF(G299&lt;&gt;"",G299,IF(N(F299)&gt;0,ROUND(1000/F299,3),0)))</f>
        <v/>
      </c>
      <c r="K299" s="10" t="str">
        <f aca="false">IF(OR(A299="",E299="",H299=""),"",ROUND(0.00617*E299^2*H299*J299,2))</f>
        <v/>
      </c>
      <c r="L299" s="9"/>
      <c r="M299" s="10" t="str">
        <f aca="false">IF(A299="","",IF((COUNTIF(Drain_Register!$A$5:$A$304,A299)+COUNTIF(RW_Register!$A$5:$A$304,A299)+COUNTIF(Embedded_Wall_Register!$A$5:$A$304,A299)+COUNTIF(Manhole_Register!$A$5:$A$304,A299)+COUNTIF(ERSS_Pit_Register!$A$5:$A$304,A299)+COUNTIF(Linkway_Register!$A$5:$A$304,A299)+COUNTIF(Other_Register!$A$5:$A$304,A299))&gt;0,"OK","ID not in any register"))</f>
        <v/>
      </c>
    </row>
    <row r="300" customFormat="false" ht="15" hidden="false" customHeight="false" outlineLevel="0" collapsed="false">
      <c r="A300" s="9"/>
      <c r="B300" s="9"/>
      <c r="C300" s="9"/>
      <c r="D300" s="9"/>
      <c r="E300" s="9"/>
      <c r="F300" s="9"/>
      <c r="G300" s="9"/>
      <c r="H300" s="9"/>
      <c r="I300" s="9"/>
      <c r="J300" s="10" t="str">
        <f aca="false">IF(A300="","",IF(G300&lt;&gt;"",G300,IF(N(F300)&gt;0,ROUND(1000/F300,3),0)))</f>
        <v/>
      </c>
      <c r="K300" s="10" t="str">
        <f aca="false">IF(OR(A300="",E300="",H300=""),"",ROUND(0.00617*E300^2*H300*J300,2))</f>
        <v/>
      </c>
      <c r="L300" s="9"/>
      <c r="M300" s="10" t="str">
        <f aca="false">IF(A300="","",IF((COUNTIF(Drain_Register!$A$5:$A$304,A300)+COUNTIF(RW_Register!$A$5:$A$304,A300)+COUNTIF(Embedded_Wall_Register!$A$5:$A$304,A300)+COUNTIF(Manhole_Register!$A$5:$A$304,A300)+COUNTIF(ERSS_Pit_Register!$A$5:$A$304,A300)+COUNTIF(Linkway_Register!$A$5:$A$304,A300)+COUNTIF(Other_Register!$A$5:$A$304,A300))&gt;0,"OK","ID not in any register"))</f>
        <v/>
      </c>
    </row>
    <row r="301" customFormat="false" ht="15" hidden="false" customHeight="false" outlineLevel="0" collapsed="false">
      <c r="A301" s="9"/>
      <c r="B301" s="9"/>
      <c r="C301" s="9"/>
      <c r="D301" s="9"/>
      <c r="E301" s="9"/>
      <c r="F301" s="9"/>
      <c r="G301" s="9"/>
      <c r="H301" s="9"/>
      <c r="I301" s="9"/>
      <c r="J301" s="10" t="str">
        <f aca="false">IF(A301="","",IF(G301&lt;&gt;"",G301,IF(N(F301)&gt;0,ROUND(1000/F301,3),0)))</f>
        <v/>
      </c>
      <c r="K301" s="10" t="str">
        <f aca="false">IF(OR(A301="",E301="",H301=""),"",ROUND(0.00617*E301^2*H301*J301,2))</f>
        <v/>
      </c>
      <c r="L301" s="9"/>
      <c r="M301" s="10" t="str">
        <f aca="false">IF(A301="","",IF((COUNTIF(Drain_Register!$A$5:$A$304,A301)+COUNTIF(RW_Register!$A$5:$A$304,A301)+COUNTIF(Embedded_Wall_Register!$A$5:$A$304,A301)+COUNTIF(Manhole_Register!$A$5:$A$304,A301)+COUNTIF(ERSS_Pit_Register!$A$5:$A$304,A301)+COUNTIF(Linkway_Register!$A$5:$A$304,A301)+COUNTIF(Other_Register!$A$5:$A$304,A301))&gt;0,"OK","ID not in any register"))</f>
        <v/>
      </c>
    </row>
    <row r="302" customFormat="false" ht="15" hidden="false" customHeight="false" outlineLevel="0" collapsed="false">
      <c r="A302" s="9"/>
      <c r="B302" s="9"/>
      <c r="C302" s="9"/>
      <c r="D302" s="9"/>
      <c r="E302" s="9"/>
      <c r="F302" s="9"/>
      <c r="G302" s="9"/>
      <c r="H302" s="9"/>
      <c r="I302" s="9"/>
      <c r="J302" s="10" t="str">
        <f aca="false">IF(A302="","",IF(G302&lt;&gt;"",G302,IF(N(F302)&gt;0,ROUND(1000/F302,3),0)))</f>
        <v/>
      </c>
      <c r="K302" s="10" t="str">
        <f aca="false">IF(OR(A302="",E302="",H302=""),"",ROUND(0.00617*E302^2*H302*J302,2))</f>
        <v/>
      </c>
      <c r="L302" s="9"/>
      <c r="M302" s="10" t="str">
        <f aca="false">IF(A302="","",IF((COUNTIF(Drain_Register!$A$5:$A$304,A302)+COUNTIF(RW_Register!$A$5:$A$304,A302)+COUNTIF(Embedded_Wall_Register!$A$5:$A$304,A302)+COUNTIF(Manhole_Register!$A$5:$A$304,A302)+COUNTIF(ERSS_Pit_Register!$A$5:$A$304,A302)+COUNTIF(Linkway_Register!$A$5:$A$304,A302)+COUNTIF(Other_Register!$A$5:$A$304,A302))&gt;0,"OK","ID not in any register"))</f>
        <v/>
      </c>
    </row>
    <row r="303" customFormat="false" ht="15" hidden="false" customHeight="false" outlineLevel="0" collapsed="false">
      <c r="A303" s="9"/>
      <c r="B303" s="9"/>
      <c r="C303" s="9"/>
      <c r="D303" s="9"/>
      <c r="E303" s="9"/>
      <c r="F303" s="9"/>
      <c r="G303" s="9"/>
      <c r="H303" s="9"/>
      <c r="I303" s="9"/>
      <c r="J303" s="10" t="str">
        <f aca="false">IF(A303="","",IF(G303&lt;&gt;"",G303,IF(N(F303)&gt;0,ROUND(1000/F303,3),0)))</f>
        <v/>
      </c>
      <c r="K303" s="10" t="str">
        <f aca="false">IF(OR(A303="",E303="",H303=""),"",ROUND(0.00617*E303^2*H303*J303,2))</f>
        <v/>
      </c>
      <c r="L303" s="9"/>
      <c r="M303" s="10" t="str">
        <f aca="false">IF(A303="","",IF((COUNTIF(Drain_Register!$A$5:$A$304,A303)+COUNTIF(RW_Register!$A$5:$A$304,A303)+COUNTIF(Embedded_Wall_Register!$A$5:$A$304,A303)+COUNTIF(Manhole_Register!$A$5:$A$304,A303)+COUNTIF(ERSS_Pit_Register!$A$5:$A$304,A303)+COUNTIF(Linkway_Register!$A$5:$A$304,A303)+COUNTIF(Other_Register!$A$5:$A$304,A303))&gt;0,"OK","ID not in any register"))</f>
        <v/>
      </c>
    </row>
    <row r="304" customFormat="false" ht="15" hidden="false" customHeight="false" outlineLevel="0" collapsed="false">
      <c r="A304" s="9"/>
      <c r="B304" s="9"/>
      <c r="C304" s="9"/>
      <c r="D304" s="9"/>
      <c r="E304" s="9"/>
      <c r="F304" s="9"/>
      <c r="G304" s="9"/>
      <c r="H304" s="9"/>
      <c r="I304" s="9"/>
      <c r="J304" s="10" t="str">
        <f aca="false">IF(A304="","",IF(G304&lt;&gt;"",G304,IF(N(F304)&gt;0,ROUND(1000/F304,3),0)))</f>
        <v/>
      </c>
      <c r="K304" s="10" t="str">
        <f aca="false">IF(OR(A304="",E304="",H304=""),"",ROUND(0.00617*E304^2*H304*J304,2))</f>
        <v/>
      </c>
      <c r="L304" s="9"/>
      <c r="M304" s="10" t="str">
        <f aca="false">IF(A304="","",IF((COUNTIF(Drain_Register!$A$5:$A$304,A304)+COUNTIF(RW_Register!$A$5:$A$304,A304)+COUNTIF(Embedded_Wall_Register!$A$5:$A$304,A304)+COUNTIF(Manhole_Register!$A$5:$A$304,A304)+COUNTIF(ERSS_Pit_Register!$A$5:$A$304,A304)+COUNTIF(Linkway_Register!$A$5:$A$304,A304)+COUNTIF(Other_Register!$A$5:$A$304,A304))&gt;0,"OK","ID not in any register"))</f>
        <v/>
      </c>
    </row>
    <row r="305" customFormat="false" ht="15" hidden="false" customHeight="false" outlineLevel="0" collapsed="false">
      <c r="A305" s="9"/>
      <c r="B305" s="9"/>
      <c r="C305" s="9"/>
      <c r="D305" s="9"/>
      <c r="E305" s="9"/>
      <c r="F305" s="9"/>
      <c r="G305" s="9"/>
      <c r="H305" s="9"/>
      <c r="I305" s="9"/>
      <c r="J305" s="10" t="str">
        <f aca="false">IF(A305="","",IF(G305&lt;&gt;"",G305,IF(N(F305)&gt;0,ROUND(1000/F305,3),0)))</f>
        <v/>
      </c>
      <c r="K305" s="10" t="str">
        <f aca="false">IF(OR(A305="",E305="",H305=""),"",ROUND(0.00617*E305^2*H305*J305,2))</f>
        <v/>
      </c>
      <c r="L305" s="9"/>
      <c r="M305" s="10" t="str">
        <f aca="false">IF(A305="","",IF((COUNTIF(Drain_Register!$A$5:$A$304,A305)+COUNTIF(RW_Register!$A$5:$A$304,A305)+COUNTIF(Embedded_Wall_Register!$A$5:$A$304,A305)+COUNTIF(Manhole_Register!$A$5:$A$304,A305)+COUNTIF(ERSS_Pit_Register!$A$5:$A$304,A305)+COUNTIF(Linkway_Register!$A$5:$A$304,A305)+COUNTIF(Other_Register!$A$5:$A$304,A305))&gt;0,"OK","ID not in any register"))</f>
        <v/>
      </c>
    </row>
    <row r="306" customFormat="false" ht="15" hidden="false" customHeight="false" outlineLevel="0" collapsed="false">
      <c r="A306" s="9"/>
      <c r="B306" s="9"/>
      <c r="C306" s="9"/>
      <c r="D306" s="9"/>
      <c r="E306" s="9"/>
      <c r="F306" s="9"/>
      <c r="G306" s="9"/>
      <c r="H306" s="9"/>
      <c r="I306" s="9"/>
      <c r="J306" s="10" t="str">
        <f aca="false">IF(A306="","",IF(G306&lt;&gt;"",G306,IF(N(F306)&gt;0,ROUND(1000/F306,3),0)))</f>
        <v/>
      </c>
      <c r="K306" s="10" t="str">
        <f aca="false">IF(OR(A306="",E306="",H306=""),"",ROUND(0.00617*E306^2*H306*J306,2))</f>
        <v/>
      </c>
      <c r="L306" s="9"/>
      <c r="M306" s="10" t="str">
        <f aca="false">IF(A306="","",IF((COUNTIF(Drain_Register!$A$5:$A$304,A306)+COUNTIF(RW_Register!$A$5:$A$304,A306)+COUNTIF(Embedded_Wall_Register!$A$5:$A$304,A306)+COUNTIF(Manhole_Register!$A$5:$A$304,A306)+COUNTIF(ERSS_Pit_Register!$A$5:$A$304,A306)+COUNTIF(Linkway_Register!$A$5:$A$304,A306)+COUNTIF(Other_Register!$A$5:$A$304,A306))&gt;0,"OK","ID not in any register"))</f>
        <v/>
      </c>
    </row>
    <row r="307" customFormat="false" ht="15" hidden="false" customHeight="false" outlineLevel="0" collapsed="false">
      <c r="A307" s="9"/>
      <c r="B307" s="9"/>
      <c r="C307" s="9"/>
      <c r="D307" s="9"/>
      <c r="E307" s="9"/>
      <c r="F307" s="9"/>
      <c r="G307" s="9"/>
      <c r="H307" s="9"/>
      <c r="I307" s="9"/>
      <c r="J307" s="10" t="str">
        <f aca="false">IF(A307="","",IF(G307&lt;&gt;"",G307,IF(N(F307)&gt;0,ROUND(1000/F307,3),0)))</f>
        <v/>
      </c>
      <c r="K307" s="10" t="str">
        <f aca="false">IF(OR(A307="",E307="",H307=""),"",ROUND(0.00617*E307^2*H307*J307,2))</f>
        <v/>
      </c>
      <c r="L307" s="9"/>
      <c r="M307" s="10" t="str">
        <f aca="false">IF(A307="","",IF((COUNTIF(Drain_Register!$A$5:$A$304,A307)+COUNTIF(RW_Register!$A$5:$A$304,A307)+COUNTIF(Embedded_Wall_Register!$A$5:$A$304,A307)+COUNTIF(Manhole_Register!$A$5:$A$304,A307)+COUNTIF(ERSS_Pit_Register!$A$5:$A$304,A307)+COUNTIF(Linkway_Register!$A$5:$A$304,A307)+COUNTIF(Other_Register!$A$5:$A$304,A307))&gt;0,"OK","ID not in any register"))</f>
        <v/>
      </c>
    </row>
    <row r="308" customFormat="false" ht="15" hidden="false" customHeight="false" outlineLevel="0" collapsed="false">
      <c r="A308" s="9"/>
      <c r="B308" s="9"/>
      <c r="C308" s="9"/>
      <c r="D308" s="9"/>
      <c r="E308" s="9"/>
      <c r="F308" s="9"/>
      <c r="G308" s="9"/>
      <c r="H308" s="9"/>
      <c r="I308" s="9"/>
      <c r="J308" s="10" t="str">
        <f aca="false">IF(A308="","",IF(G308&lt;&gt;"",G308,IF(N(F308)&gt;0,ROUND(1000/F308,3),0)))</f>
        <v/>
      </c>
      <c r="K308" s="10" t="str">
        <f aca="false">IF(OR(A308="",E308="",H308=""),"",ROUND(0.00617*E308^2*H308*J308,2))</f>
        <v/>
      </c>
      <c r="L308" s="9"/>
      <c r="M308" s="10" t="str">
        <f aca="false">IF(A308="","",IF((COUNTIF(Drain_Register!$A$5:$A$304,A308)+COUNTIF(RW_Register!$A$5:$A$304,A308)+COUNTIF(Embedded_Wall_Register!$A$5:$A$304,A308)+COUNTIF(Manhole_Register!$A$5:$A$304,A308)+COUNTIF(ERSS_Pit_Register!$A$5:$A$304,A308)+COUNTIF(Linkway_Register!$A$5:$A$304,A308)+COUNTIF(Other_Register!$A$5:$A$304,A308))&gt;0,"OK","ID not in any register"))</f>
        <v/>
      </c>
    </row>
    <row r="309" customFormat="false" ht="15" hidden="false" customHeight="false" outlineLevel="0" collapsed="false">
      <c r="A309" s="9"/>
      <c r="B309" s="9"/>
      <c r="C309" s="9"/>
      <c r="D309" s="9"/>
      <c r="E309" s="9"/>
      <c r="F309" s="9"/>
      <c r="G309" s="9"/>
      <c r="H309" s="9"/>
      <c r="I309" s="9"/>
      <c r="J309" s="10" t="str">
        <f aca="false">IF(A309="","",IF(G309&lt;&gt;"",G309,IF(N(F309)&gt;0,ROUND(1000/F309,3),0)))</f>
        <v/>
      </c>
      <c r="K309" s="10" t="str">
        <f aca="false">IF(OR(A309="",E309="",H309=""),"",ROUND(0.00617*E309^2*H309*J309,2))</f>
        <v/>
      </c>
      <c r="L309" s="9"/>
      <c r="M309" s="10" t="str">
        <f aca="false">IF(A309="","",IF((COUNTIF(Drain_Register!$A$5:$A$304,A309)+COUNTIF(RW_Register!$A$5:$A$304,A309)+COUNTIF(Embedded_Wall_Register!$A$5:$A$304,A309)+COUNTIF(Manhole_Register!$A$5:$A$304,A309)+COUNTIF(ERSS_Pit_Register!$A$5:$A$304,A309)+COUNTIF(Linkway_Register!$A$5:$A$304,A309)+COUNTIF(Other_Register!$A$5:$A$304,A309))&gt;0,"OK","ID not in any register"))</f>
        <v/>
      </c>
    </row>
    <row r="310" customFormat="false" ht="15" hidden="false" customHeight="false" outlineLevel="0" collapsed="false">
      <c r="A310" s="9"/>
      <c r="B310" s="9"/>
      <c r="C310" s="9"/>
      <c r="D310" s="9"/>
      <c r="E310" s="9"/>
      <c r="F310" s="9"/>
      <c r="G310" s="9"/>
      <c r="H310" s="9"/>
      <c r="I310" s="9"/>
      <c r="J310" s="10" t="str">
        <f aca="false">IF(A310="","",IF(G310&lt;&gt;"",G310,IF(N(F310)&gt;0,ROUND(1000/F310,3),0)))</f>
        <v/>
      </c>
      <c r="K310" s="10" t="str">
        <f aca="false">IF(OR(A310="",E310="",H310=""),"",ROUND(0.00617*E310^2*H310*J310,2))</f>
        <v/>
      </c>
      <c r="L310" s="9"/>
      <c r="M310" s="10" t="str">
        <f aca="false">IF(A310="","",IF((COUNTIF(Drain_Register!$A$5:$A$304,A310)+COUNTIF(RW_Register!$A$5:$A$304,A310)+COUNTIF(Embedded_Wall_Register!$A$5:$A$304,A310)+COUNTIF(Manhole_Register!$A$5:$A$304,A310)+COUNTIF(ERSS_Pit_Register!$A$5:$A$304,A310)+COUNTIF(Linkway_Register!$A$5:$A$304,A310)+COUNTIF(Other_Register!$A$5:$A$304,A310))&gt;0,"OK","ID not in any register"))</f>
        <v/>
      </c>
    </row>
    <row r="311" customFormat="false" ht="15" hidden="false" customHeight="false" outlineLevel="0" collapsed="false">
      <c r="A311" s="9"/>
      <c r="B311" s="9"/>
      <c r="C311" s="9"/>
      <c r="D311" s="9"/>
      <c r="E311" s="9"/>
      <c r="F311" s="9"/>
      <c r="G311" s="9"/>
      <c r="H311" s="9"/>
      <c r="I311" s="9"/>
      <c r="J311" s="10" t="str">
        <f aca="false">IF(A311="","",IF(G311&lt;&gt;"",G311,IF(N(F311)&gt;0,ROUND(1000/F311,3),0)))</f>
        <v/>
      </c>
      <c r="K311" s="10" t="str">
        <f aca="false">IF(OR(A311="",E311="",H311=""),"",ROUND(0.00617*E311^2*H311*J311,2))</f>
        <v/>
      </c>
      <c r="L311" s="9"/>
      <c r="M311" s="10" t="str">
        <f aca="false">IF(A311="","",IF((COUNTIF(Drain_Register!$A$5:$A$304,A311)+COUNTIF(RW_Register!$A$5:$A$304,A311)+COUNTIF(Embedded_Wall_Register!$A$5:$A$304,A311)+COUNTIF(Manhole_Register!$A$5:$A$304,A311)+COUNTIF(ERSS_Pit_Register!$A$5:$A$304,A311)+COUNTIF(Linkway_Register!$A$5:$A$304,A311)+COUNTIF(Other_Register!$A$5:$A$304,A311))&gt;0,"OK","ID not in any register"))</f>
        <v/>
      </c>
    </row>
    <row r="312" customFormat="false" ht="15" hidden="false" customHeight="false" outlineLevel="0" collapsed="false">
      <c r="A312" s="9"/>
      <c r="B312" s="9"/>
      <c r="C312" s="9"/>
      <c r="D312" s="9"/>
      <c r="E312" s="9"/>
      <c r="F312" s="9"/>
      <c r="G312" s="9"/>
      <c r="H312" s="9"/>
      <c r="I312" s="9"/>
      <c r="J312" s="10" t="str">
        <f aca="false">IF(A312="","",IF(G312&lt;&gt;"",G312,IF(N(F312)&gt;0,ROUND(1000/F312,3),0)))</f>
        <v/>
      </c>
      <c r="K312" s="10" t="str">
        <f aca="false">IF(OR(A312="",E312="",H312=""),"",ROUND(0.00617*E312^2*H312*J312,2))</f>
        <v/>
      </c>
      <c r="L312" s="9"/>
      <c r="M312" s="10" t="str">
        <f aca="false">IF(A312="","",IF((COUNTIF(Drain_Register!$A$5:$A$304,A312)+COUNTIF(RW_Register!$A$5:$A$304,A312)+COUNTIF(Embedded_Wall_Register!$A$5:$A$304,A312)+COUNTIF(Manhole_Register!$A$5:$A$304,A312)+COUNTIF(ERSS_Pit_Register!$A$5:$A$304,A312)+COUNTIF(Linkway_Register!$A$5:$A$304,A312)+COUNTIF(Other_Register!$A$5:$A$304,A312))&gt;0,"OK","ID not in any register"))</f>
        <v/>
      </c>
    </row>
    <row r="313" customFormat="false" ht="15" hidden="false" customHeight="false" outlineLevel="0" collapsed="false">
      <c r="A313" s="9"/>
      <c r="B313" s="9"/>
      <c r="C313" s="9"/>
      <c r="D313" s="9"/>
      <c r="E313" s="9"/>
      <c r="F313" s="9"/>
      <c r="G313" s="9"/>
      <c r="H313" s="9"/>
      <c r="I313" s="9"/>
      <c r="J313" s="10" t="str">
        <f aca="false">IF(A313="","",IF(G313&lt;&gt;"",G313,IF(N(F313)&gt;0,ROUND(1000/F313,3),0)))</f>
        <v/>
      </c>
      <c r="K313" s="10" t="str">
        <f aca="false">IF(OR(A313="",E313="",H313=""),"",ROUND(0.00617*E313^2*H313*J313,2))</f>
        <v/>
      </c>
      <c r="L313" s="9"/>
      <c r="M313" s="10" t="str">
        <f aca="false">IF(A313="","",IF((COUNTIF(Drain_Register!$A$5:$A$304,A313)+COUNTIF(RW_Register!$A$5:$A$304,A313)+COUNTIF(Embedded_Wall_Register!$A$5:$A$304,A313)+COUNTIF(Manhole_Register!$A$5:$A$304,A313)+COUNTIF(ERSS_Pit_Register!$A$5:$A$304,A313)+COUNTIF(Linkway_Register!$A$5:$A$304,A313)+COUNTIF(Other_Register!$A$5:$A$304,A313))&gt;0,"OK","ID not in any register"))</f>
        <v/>
      </c>
    </row>
    <row r="314" customFormat="false" ht="15" hidden="false" customHeight="false" outlineLevel="0" collapsed="false">
      <c r="A314" s="9"/>
      <c r="B314" s="9"/>
      <c r="C314" s="9"/>
      <c r="D314" s="9"/>
      <c r="E314" s="9"/>
      <c r="F314" s="9"/>
      <c r="G314" s="9"/>
      <c r="H314" s="9"/>
      <c r="I314" s="9"/>
      <c r="J314" s="10" t="str">
        <f aca="false">IF(A314="","",IF(G314&lt;&gt;"",G314,IF(N(F314)&gt;0,ROUND(1000/F314,3),0)))</f>
        <v/>
      </c>
      <c r="K314" s="10" t="str">
        <f aca="false">IF(OR(A314="",E314="",H314=""),"",ROUND(0.00617*E314^2*H314*J314,2))</f>
        <v/>
      </c>
      <c r="L314" s="9"/>
      <c r="M314" s="10" t="str">
        <f aca="false">IF(A314="","",IF((COUNTIF(Drain_Register!$A$5:$A$304,A314)+COUNTIF(RW_Register!$A$5:$A$304,A314)+COUNTIF(Embedded_Wall_Register!$A$5:$A$304,A314)+COUNTIF(Manhole_Register!$A$5:$A$304,A314)+COUNTIF(ERSS_Pit_Register!$A$5:$A$304,A314)+COUNTIF(Linkway_Register!$A$5:$A$304,A314)+COUNTIF(Other_Register!$A$5:$A$304,A314))&gt;0,"OK","ID not in any register"))</f>
        <v/>
      </c>
    </row>
    <row r="315" customFormat="false" ht="15" hidden="false" customHeight="false" outlineLevel="0" collapsed="false">
      <c r="A315" s="9"/>
      <c r="B315" s="9"/>
      <c r="C315" s="9"/>
      <c r="D315" s="9"/>
      <c r="E315" s="9"/>
      <c r="F315" s="9"/>
      <c r="G315" s="9"/>
      <c r="H315" s="9"/>
      <c r="I315" s="9"/>
      <c r="J315" s="10" t="str">
        <f aca="false">IF(A315="","",IF(G315&lt;&gt;"",G315,IF(N(F315)&gt;0,ROUND(1000/F315,3),0)))</f>
        <v/>
      </c>
      <c r="K315" s="10" t="str">
        <f aca="false">IF(OR(A315="",E315="",H315=""),"",ROUND(0.00617*E315^2*H315*J315,2))</f>
        <v/>
      </c>
      <c r="L315" s="9"/>
      <c r="M315" s="10" t="str">
        <f aca="false">IF(A315="","",IF((COUNTIF(Drain_Register!$A$5:$A$304,A315)+COUNTIF(RW_Register!$A$5:$A$304,A315)+COUNTIF(Embedded_Wall_Register!$A$5:$A$304,A315)+COUNTIF(Manhole_Register!$A$5:$A$304,A315)+COUNTIF(ERSS_Pit_Register!$A$5:$A$304,A315)+COUNTIF(Linkway_Register!$A$5:$A$304,A315)+COUNTIF(Other_Register!$A$5:$A$304,A315))&gt;0,"OK","ID not in any register"))</f>
        <v/>
      </c>
    </row>
    <row r="316" customFormat="false" ht="15" hidden="false" customHeight="false" outlineLevel="0" collapsed="false">
      <c r="A316" s="9"/>
      <c r="B316" s="9"/>
      <c r="C316" s="9"/>
      <c r="D316" s="9"/>
      <c r="E316" s="9"/>
      <c r="F316" s="9"/>
      <c r="G316" s="9"/>
      <c r="H316" s="9"/>
      <c r="I316" s="9"/>
      <c r="J316" s="10" t="str">
        <f aca="false">IF(A316="","",IF(G316&lt;&gt;"",G316,IF(N(F316)&gt;0,ROUND(1000/F316,3),0)))</f>
        <v/>
      </c>
      <c r="K316" s="10" t="str">
        <f aca="false">IF(OR(A316="",E316="",H316=""),"",ROUND(0.00617*E316^2*H316*J316,2))</f>
        <v/>
      </c>
      <c r="L316" s="9"/>
      <c r="M316" s="10" t="str">
        <f aca="false">IF(A316="","",IF((COUNTIF(Drain_Register!$A$5:$A$304,A316)+COUNTIF(RW_Register!$A$5:$A$304,A316)+COUNTIF(Embedded_Wall_Register!$A$5:$A$304,A316)+COUNTIF(Manhole_Register!$A$5:$A$304,A316)+COUNTIF(ERSS_Pit_Register!$A$5:$A$304,A316)+COUNTIF(Linkway_Register!$A$5:$A$304,A316)+COUNTIF(Other_Register!$A$5:$A$304,A316))&gt;0,"OK","ID not in any register"))</f>
        <v/>
      </c>
    </row>
    <row r="317" customFormat="false" ht="15" hidden="false" customHeight="false" outlineLevel="0" collapsed="false">
      <c r="A317" s="9"/>
      <c r="B317" s="9"/>
      <c r="C317" s="9"/>
      <c r="D317" s="9"/>
      <c r="E317" s="9"/>
      <c r="F317" s="9"/>
      <c r="G317" s="9"/>
      <c r="H317" s="9"/>
      <c r="I317" s="9"/>
      <c r="J317" s="10" t="str">
        <f aca="false">IF(A317="","",IF(G317&lt;&gt;"",G317,IF(N(F317)&gt;0,ROUND(1000/F317,3),0)))</f>
        <v/>
      </c>
      <c r="K317" s="10" t="str">
        <f aca="false">IF(OR(A317="",E317="",H317=""),"",ROUND(0.00617*E317^2*H317*J317,2))</f>
        <v/>
      </c>
      <c r="L317" s="9"/>
      <c r="M317" s="10" t="str">
        <f aca="false">IF(A317="","",IF((COUNTIF(Drain_Register!$A$5:$A$304,A317)+COUNTIF(RW_Register!$A$5:$A$304,A317)+COUNTIF(Embedded_Wall_Register!$A$5:$A$304,A317)+COUNTIF(Manhole_Register!$A$5:$A$304,A317)+COUNTIF(ERSS_Pit_Register!$A$5:$A$304,A317)+COUNTIF(Linkway_Register!$A$5:$A$304,A317)+COUNTIF(Other_Register!$A$5:$A$304,A317))&gt;0,"OK","ID not in any register"))</f>
        <v/>
      </c>
    </row>
    <row r="318" customFormat="false" ht="15" hidden="false" customHeight="false" outlineLevel="0" collapsed="false">
      <c r="A318" s="9"/>
      <c r="B318" s="9"/>
      <c r="C318" s="9"/>
      <c r="D318" s="9"/>
      <c r="E318" s="9"/>
      <c r="F318" s="9"/>
      <c r="G318" s="9"/>
      <c r="H318" s="9"/>
      <c r="I318" s="9"/>
      <c r="J318" s="10" t="str">
        <f aca="false">IF(A318="","",IF(G318&lt;&gt;"",G318,IF(N(F318)&gt;0,ROUND(1000/F318,3),0)))</f>
        <v/>
      </c>
      <c r="K318" s="10" t="str">
        <f aca="false">IF(OR(A318="",E318="",H318=""),"",ROUND(0.00617*E318^2*H318*J318,2))</f>
        <v/>
      </c>
      <c r="L318" s="9"/>
      <c r="M318" s="10" t="str">
        <f aca="false">IF(A318="","",IF((COUNTIF(Drain_Register!$A$5:$A$304,A318)+COUNTIF(RW_Register!$A$5:$A$304,A318)+COUNTIF(Embedded_Wall_Register!$A$5:$A$304,A318)+COUNTIF(Manhole_Register!$A$5:$A$304,A318)+COUNTIF(ERSS_Pit_Register!$A$5:$A$304,A318)+COUNTIF(Linkway_Register!$A$5:$A$304,A318)+COUNTIF(Other_Register!$A$5:$A$304,A318))&gt;0,"OK","ID not in any register"))</f>
        <v/>
      </c>
    </row>
    <row r="319" customFormat="false" ht="15" hidden="false" customHeight="false" outlineLevel="0" collapsed="false">
      <c r="A319" s="9"/>
      <c r="B319" s="9"/>
      <c r="C319" s="9"/>
      <c r="D319" s="9"/>
      <c r="E319" s="9"/>
      <c r="F319" s="9"/>
      <c r="G319" s="9"/>
      <c r="H319" s="9"/>
      <c r="I319" s="9"/>
      <c r="J319" s="10" t="str">
        <f aca="false">IF(A319="","",IF(G319&lt;&gt;"",G319,IF(N(F319)&gt;0,ROUND(1000/F319,3),0)))</f>
        <v/>
      </c>
      <c r="K319" s="10" t="str">
        <f aca="false">IF(OR(A319="",E319="",H319=""),"",ROUND(0.00617*E319^2*H319*J319,2))</f>
        <v/>
      </c>
      <c r="L319" s="9"/>
      <c r="M319" s="10" t="str">
        <f aca="false">IF(A319="","",IF((COUNTIF(Drain_Register!$A$5:$A$304,A319)+COUNTIF(RW_Register!$A$5:$A$304,A319)+COUNTIF(Embedded_Wall_Register!$A$5:$A$304,A319)+COUNTIF(Manhole_Register!$A$5:$A$304,A319)+COUNTIF(ERSS_Pit_Register!$A$5:$A$304,A319)+COUNTIF(Linkway_Register!$A$5:$A$304,A319)+COUNTIF(Other_Register!$A$5:$A$304,A319))&gt;0,"OK","ID not in any register"))</f>
        <v/>
      </c>
    </row>
    <row r="320" customFormat="false" ht="15" hidden="false" customHeight="false" outlineLevel="0" collapsed="false">
      <c r="A320" s="9"/>
      <c r="B320" s="9"/>
      <c r="C320" s="9"/>
      <c r="D320" s="9"/>
      <c r="E320" s="9"/>
      <c r="F320" s="9"/>
      <c r="G320" s="9"/>
      <c r="H320" s="9"/>
      <c r="I320" s="9"/>
      <c r="J320" s="10" t="str">
        <f aca="false">IF(A320="","",IF(G320&lt;&gt;"",G320,IF(N(F320)&gt;0,ROUND(1000/F320,3),0)))</f>
        <v/>
      </c>
      <c r="K320" s="10" t="str">
        <f aca="false">IF(OR(A320="",E320="",H320=""),"",ROUND(0.00617*E320^2*H320*J320,2))</f>
        <v/>
      </c>
      <c r="L320" s="9"/>
      <c r="M320" s="10" t="str">
        <f aca="false">IF(A320="","",IF((COUNTIF(Drain_Register!$A$5:$A$304,A320)+COUNTIF(RW_Register!$A$5:$A$304,A320)+COUNTIF(Embedded_Wall_Register!$A$5:$A$304,A320)+COUNTIF(Manhole_Register!$A$5:$A$304,A320)+COUNTIF(ERSS_Pit_Register!$A$5:$A$304,A320)+COUNTIF(Linkway_Register!$A$5:$A$304,A320)+COUNTIF(Other_Register!$A$5:$A$304,A320))&gt;0,"OK","ID not in any register"))</f>
        <v/>
      </c>
    </row>
    <row r="321" customFormat="false" ht="15" hidden="false" customHeight="false" outlineLevel="0" collapsed="false">
      <c r="A321" s="9"/>
      <c r="B321" s="9"/>
      <c r="C321" s="9"/>
      <c r="D321" s="9"/>
      <c r="E321" s="9"/>
      <c r="F321" s="9"/>
      <c r="G321" s="9"/>
      <c r="H321" s="9"/>
      <c r="I321" s="9"/>
      <c r="J321" s="10" t="str">
        <f aca="false">IF(A321="","",IF(G321&lt;&gt;"",G321,IF(N(F321)&gt;0,ROUND(1000/F321,3),0)))</f>
        <v/>
      </c>
      <c r="K321" s="10" t="str">
        <f aca="false">IF(OR(A321="",E321="",H321=""),"",ROUND(0.00617*E321^2*H321*J321,2))</f>
        <v/>
      </c>
      <c r="L321" s="9"/>
      <c r="M321" s="10" t="str">
        <f aca="false">IF(A321="","",IF((COUNTIF(Drain_Register!$A$5:$A$304,A321)+COUNTIF(RW_Register!$A$5:$A$304,A321)+COUNTIF(Embedded_Wall_Register!$A$5:$A$304,A321)+COUNTIF(Manhole_Register!$A$5:$A$304,A321)+COUNTIF(ERSS_Pit_Register!$A$5:$A$304,A321)+COUNTIF(Linkway_Register!$A$5:$A$304,A321)+COUNTIF(Other_Register!$A$5:$A$304,A321))&gt;0,"OK","ID not in any register"))</f>
        <v/>
      </c>
    </row>
    <row r="322" customFormat="false" ht="15" hidden="false" customHeight="false" outlineLevel="0" collapsed="false">
      <c r="A322" s="9"/>
      <c r="B322" s="9"/>
      <c r="C322" s="9"/>
      <c r="D322" s="9"/>
      <c r="E322" s="9"/>
      <c r="F322" s="9"/>
      <c r="G322" s="9"/>
      <c r="H322" s="9"/>
      <c r="I322" s="9"/>
      <c r="J322" s="10" t="str">
        <f aca="false">IF(A322="","",IF(G322&lt;&gt;"",G322,IF(N(F322)&gt;0,ROUND(1000/F322,3),0)))</f>
        <v/>
      </c>
      <c r="K322" s="10" t="str">
        <f aca="false">IF(OR(A322="",E322="",H322=""),"",ROUND(0.00617*E322^2*H322*J322,2))</f>
        <v/>
      </c>
      <c r="L322" s="9"/>
      <c r="M322" s="10" t="str">
        <f aca="false">IF(A322="","",IF((COUNTIF(Drain_Register!$A$5:$A$304,A322)+COUNTIF(RW_Register!$A$5:$A$304,A322)+COUNTIF(Embedded_Wall_Register!$A$5:$A$304,A322)+COUNTIF(Manhole_Register!$A$5:$A$304,A322)+COUNTIF(ERSS_Pit_Register!$A$5:$A$304,A322)+COUNTIF(Linkway_Register!$A$5:$A$304,A322)+COUNTIF(Other_Register!$A$5:$A$304,A322))&gt;0,"OK","ID not in any register"))</f>
        <v/>
      </c>
    </row>
    <row r="323" customFormat="false" ht="15" hidden="false" customHeight="false" outlineLevel="0" collapsed="false">
      <c r="A323" s="9"/>
      <c r="B323" s="9"/>
      <c r="C323" s="9"/>
      <c r="D323" s="9"/>
      <c r="E323" s="9"/>
      <c r="F323" s="9"/>
      <c r="G323" s="9"/>
      <c r="H323" s="9"/>
      <c r="I323" s="9"/>
      <c r="J323" s="10" t="str">
        <f aca="false">IF(A323="","",IF(G323&lt;&gt;"",G323,IF(N(F323)&gt;0,ROUND(1000/F323,3),0)))</f>
        <v/>
      </c>
      <c r="K323" s="10" t="str">
        <f aca="false">IF(OR(A323="",E323="",H323=""),"",ROUND(0.00617*E323^2*H323*J323,2))</f>
        <v/>
      </c>
      <c r="L323" s="9"/>
      <c r="M323" s="10" t="str">
        <f aca="false">IF(A323="","",IF((COUNTIF(Drain_Register!$A$5:$A$304,A323)+COUNTIF(RW_Register!$A$5:$A$304,A323)+COUNTIF(Embedded_Wall_Register!$A$5:$A$304,A323)+COUNTIF(Manhole_Register!$A$5:$A$304,A323)+COUNTIF(ERSS_Pit_Register!$A$5:$A$304,A323)+COUNTIF(Linkway_Register!$A$5:$A$304,A323)+COUNTIF(Other_Register!$A$5:$A$304,A323))&gt;0,"OK","ID not in any register"))</f>
        <v/>
      </c>
    </row>
    <row r="324" customFormat="false" ht="15" hidden="false" customHeight="false" outlineLevel="0" collapsed="false">
      <c r="A324" s="9"/>
      <c r="B324" s="9"/>
      <c r="C324" s="9"/>
      <c r="D324" s="9"/>
      <c r="E324" s="9"/>
      <c r="F324" s="9"/>
      <c r="G324" s="9"/>
      <c r="H324" s="9"/>
      <c r="I324" s="9"/>
      <c r="J324" s="10" t="str">
        <f aca="false">IF(A324="","",IF(G324&lt;&gt;"",G324,IF(N(F324)&gt;0,ROUND(1000/F324,3),0)))</f>
        <v/>
      </c>
      <c r="K324" s="10" t="str">
        <f aca="false">IF(OR(A324="",E324="",H324=""),"",ROUND(0.00617*E324^2*H324*J324,2))</f>
        <v/>
      </c>
      <c r="L324" s="9"/>
      <c r="M324" s="10" t="str">
        <f aca="false">IF(A324="","",IF((COUNTIF(Drain_Register!$A$5:$A$304,A324)+COUNTIF(RW_Register!$A$5:$A$304,A324)+COUNTIF(Embedded_Wall_Register!$A$5:$A$304,A324)+COUNTIF(Manhole_Register!$A$5:$A$304,A324)+COUNTIF(ERSS_Pit_Register!$A$5:$A$304,A324)+COUNTIF(Linkway_Register!$A$5:$A$304,A324)+COUNTIF(Other_Register!$A$5:$A$304,A324))&gt;0,"OK","ID not in any register"))</f>
        <v/>
      </c>
    </row>
    <row r="325" customFormat="false" ht="15" hidden="false" customHeight="false" outlineLevel="0" collapsed="false">
      <c r="A325" s="9"/>
      <c r="B325" s="9"/>
      <c r="C325" s="9"/>
      <c r="D325" s="9"/>
      <c r="E325" s="9"/>
      <c r="F325" s="9"/>
      <c r="G325" s="9"/>
      <c r="H325" s="9"/>
      <c r="I325" s="9"/>
      <c r="J325" s="10" t="str">
        <f aca="false">IF(A325="","",IF(G325&lt;&gt;"",G325,IF(N(F325)&gt;0,ROUND(1000/F325,3),0)))</f>
        <v/>
      </c>
      <c r="K325" s="10" t="str">
        <f aca="false">IF(OR(A325="",E325="",H325=""),"",ROUND(0.00617*E325^2*H325*J325,2))</f>
        <v/>
      </c>
      <c r="L325" s="9"/>
      <c r="M325" s="10" t="str">
        <f aca="false">IF(A325="","",IF((COUNTIF(Drain_Register!$A$5:$A$304,A325)+COUNTIF(RW_Register!$A$5:$A$304,A325)+COUNTIF(Embedded_Wall_Register!$A$5:$A$304,A325)+COUNTIF(Manhole_Register!$A$5:$A$304,A325)+COUNTIF(ERSS_Pit_Register!$A$5:$A$304,A325)+COUNTIF(Linkway_Register!$A$5:$A$304,A325)+COUNTIF(Other_Register!$A$5:$A$304,A325))&gt;0,"OK","ID not in any register"))</f>
        <v/>
      </c>
    </row>
    <row r="326" customFormat="false" ht="15" hidden="false" customHeight="false" outlineLevel="0" collapsed="false">
      <c r="A326" s="9"/>
      <c r="B326" s="9"/>
      <c r="C326" s="9"/>
      <c r="D326" s="9"/>
      <c r="E326" s="9"/>
      <c r="F326" s="9"/>
      <c r="G326" s="9"/>
      <c r="H326" s="9"/>
      <c r="I326" s="9"/>
      <c r="J326" s="10" t="str">
        <f aca="false">IF(A326="","",IF(G326&lt;&gt;"",G326,IF(N(F326)&gt;0,ROUND(1000/F326,3),0)))</f>
        <v/>
      </c>
      <c r="K326" s="10" t="str">
        <f aca="false">IF(OR(A326="",E326="",H326=""),"",ROUND(0.00617*E326^2*H326*J326,2))</f>
        <v/>
      </c>
      <c r="L326" s="9"/>
      <c r="M326" s="10" t="str">
        <f aca="false">IF(A326="","",IF((COUNTIF(Drain_Register!$A$5:$A$304,A326)+COUNTIF(RW_Register!$A$5:$A$304,A326)+COUNTIF(Embedded_Wall_Register!$A$5:$A$304,A326)+COUNTIF(Manhole_Register!$A$5:$A$304,A326)+COUNTIF(ERSS_Pit_Register!$A$5:$A$304,A326)+COUNTIF(Linkway_Register!$A$5:$A$304,A326)+COUNTIF(Other_Register!$A$5:$A$304,A326))&gt;0,"OK","ID not in any register"))</f>
        <v/>
      </c>
    </row>
    <row r="327" customFormat="false" ht="15" hidden="false" customHeight="false" outlineLevel="0" collapsed="false">
      <c r="A327" s="9"/>
      <c r="B327" s="9"/>
      <c r="C327" s="9"/>
      <c r="D327" s="9"/>
      <c r="E327" s="9"/>
      <c r="F327" s="9"/>
      <c r="G327" s="9"/>
      <c r="H327" s="9"/>
      <c r="I327" s="9"/>
      <c r="J327" s="10" t="str">
        <f aca="false">IF(A327="","",IF(G327&lt;&gt;"",G327,IF(N(F327)&gt;0,ROUND(1000/F327,3),0)))</f>
        <v/>
      </c>
      <c r="K327" s="10" t="str">
        <f aca="false">IF(OR(A327="",E327="",H327=""),"",ROUND(0.00617*E327^2*H327*J327,2))</f>
        <v/>
      </c>
      <c r="L327" s="9"/>
      <c r="M327" s="10" t="str">
        <f aca="false">IF(A327="","",IF((COUNTIF(Drain_Register!$A$5:$A$304,A327)+COUNTIF(RW_Register!$A$5:$A$304,A327)+COUNTIF(Embedded_Wall_Register!$A$5:$A$304,A327)+COUNTIF(Manhole_Register!$A$5:$A$304,A327)+COUNTIF(ERSS_Pit_Register!$A$5:$A$304,A327)+COUNTIF(Linkway_Register!$A$5:$A$304,A327)+COUNTIF(Other_Register!$A$5:$A$304,A327))&gt;0,"OK","ID not in any register"))</f>
        <v/>
      </c>
    </row>
    <row r="328" customFormat="false" ht="15" hidden="false" customHeight="false" outlineLevel="0" collapsed="false">
      <c r="A328" s="9"/>
      <c r="B328" s="9"/>
      <c r="C328" s="9"/>
      <c r="D328" s="9"/>
      <c r="E328" s="9"/>
      <c r="F328" s="9"/>
      <c r="G328" s="9"/>
      <c r="H328" s="9"/>
      <c r="I328" s="9"/>
      <c r="J328" s="10" t="str">
        <f aca="false">IF(A328="","",IF(G328&lt;&gt;"",G328,IF(N(F328)&gt;0,ROUND(1000/F328,3),0)))</f>
        <v/>
      </c>
      <c r="K328" s="10" t="str">
        <f aca="false">IF(OR(A328="",E328="",H328=""),"",ROUND(0.00617*E328^2*H328*J328,2))</f>
        <v/>
      </c>
      <c r="L328" s="9"/>
      <c r="M328" s="10" t="str">
        <f aca="false">IF(A328="","",IF((COUNTIF(Drain_Register!$A$5:$A$304,A328)+COUNTIF(RW_Register!$A$5:$A$304,A328)+COUNTIF(Embedded_Wall_Register!$A$5:$A$304,A328)+COUNTIF(Manhole_Register!$A$5:$A$304,A328)+COUNTIF(ERSS_Pit_Register!$A$5:$A$304,A328)+COUNTIF(Linkway_Register!$A$5:$A$304,A328)+COUNTIF(Other_Register!$A$5:$A$304,A328))&gt;0,"OK","ID not in any register"))</f>
        <v/>
      </c>
    </row>
    <row r="329" customFormat="false" ht="15" hidden="false" customHeight="false" outlineLevel="0" collapsed="false">
      <c r="A329" s="9"/>
      <c r="B329" s="9"/>
      <c r="C329" s="9"/>
      <c r="D329" s="9"/>
      <c r="E329" s="9"/>
      <c r="F329" s="9"/>
      <c r="G329" s="9"/>
      <c r="H329" s="9"/>
      <c r="I329" s="9"/>
      <c r="J329" s="10" t="str">
        <f aca="false">IF(A329="","",IF(G329&lt;&gt;"",G329,IF(N(F329)&gt;0,ROUND(1000/F329,3),0)))</f>
        <v/>
      </c>
      <c r="K329" s="10" t="str">
        <f aca="false">IF(OR(A329="",E329="",H329=""),"",ROUND(0.00617*E329^2*H329*J329,2))</f>
        <v/>
      </c>
      <c r="L329" s="9"/>
      <c r="M329" s="10" t="str">
        <f aca="false">IF(A329="","",IF((COUNTIF(Drain_Register!$A$5:$A$304,A329)+COUNTIF(RW_Register!$A$5:$A$304,A329)+COUNTIF(Embedded_Wall_Register!$A$5:$A$304,A329)+COUNTIF(Manhole_Register!$A$5:$A$304,A329)+COUNTIF(ERSS_Pit_Register!$A$5:$A$304,A329)+COUNTIF(Linkway_Register!$A$5:$A$304,A329)+COUNTIF(Other_Register!$A$5:$A$304,A329))&gt;0,"OK","ID not in any register"))</f>
        <v/>
      </c>
    </row>
    <row r="330" customFormat="false" ht="15" hidden="false" customHeight="false" outlineLevel="0" collapsed="false">
      <c r="A330" s="9"/>
      <c r="B330" s="9"/>
      <c r="C330" s="9"/>
      <c r="D330" s="9"/>
      <c r="E330" s="9"/>
      <c r="F330" s="9"/>
      <c r="G330" s="9"/>
      <c r="H330" s="9"/>
      <c r="I330" s="9"/>
      <c r="J330" s="10" t="str">
        <f aca="false">IF(A330="","",IF(G330&lt;&gt;"",G330,IF(N(F330)&gt;0,ROUND(1000/F330,3),0)))</f>
        <v/>
      </c>
      <c r="K330" s="10" t="str">
        <f aca="false">IF(OR(A330="",E330="",H330=""),"",ROUND(0.00617*E330^2*H330*J330,2))</f>
        <v/>
      </c>
      <c r="L330" s="9"/>
      <c r="M330" s="10" t="str">
        <f aca="false">IF(A330="","",IF((COUNTIF(Drain_Register!$A$5:$A$304,A330)+COUNTIF(RW_Register!$A$5:$A$304,A330)+COUNTIF(Embedded_Wall_Register!$A$5:$A$304,A330)+COUNTIF(Manhole_Register!$A$5:$A$304,A330)+COUNTIF(ERSS_Pit_Register!$A$5:$A$304,A330)+COUNTIF(Linkway_Register!$A$5:$A$304,A330)+COUNTIF(Other_Register!$A$5:$A$304,A330))&gt;0,"OK","ID not in any register"))</f>
        <v/>
      </c>
    </row>
    <row r="331" customFormat="false" ht="15" hidden="false" customHeight="false" outlineLevel="0" collapsed="false">
      <c r="A331" s="9"/>
      <c r="B331" s="9"/>
      <c r="C331" s="9"/>
      <c r="D331" s="9"/>
      <c r="E331" s="9"/>
      <c r="F331" s="9"/>
      <c r="G331" s="9"/>
      <c r="H331" s="9"/>
      <c r="I331" s="9"/>
      <c r="J331" s="10" t="str">
        <f aca="false">IF(A331="","",IF(G331&lt;&gt;"",G331,IF(N(F331)&gt;0,ROUND(1000/F331,3),0)))</f>
        <v/>
      </c>
      <c r="K331" s="10" t="str">
        <f aca="false">IF(OR(A331="",E331="",H331=""),"",ROUND(0.00617*E331^2*H331*J331,2))</f>
        <v/>
      </c>
      <c r="L331" s="9"/>
      <c r="M331" s="10" t="str">
        <f aca="false">IF(A331="","",IF((COUNTIF(Drain_Register!$A$5:$A$304,A331)+COUNTIF(RW_Register!$A$5:$A$304,A331)+COUNTIF(Embedded_Wall_Register!$A$5:$A$304,A331)+COUNTIF(Manhole_Register!$A$5:$A$304,A331)+COUNTIF(ERSS_Pit_Register!$A$5:$A$304,A331)+COUNTIF(Linkway_Register!$A$5:$A$304,A331)+COUNTIF(Other_Register!$A$5:$A$304,A331))&gt;0,"OK","ID not in any register"))</f>
        <v/>
      </c>
    </row>
    <row r="332" customFormat="false" ht="15" hidden="false" customHeight="false" outlineLevel="0" collapsed="false">
      <c r="A332" s="9"/>
      <c r="B332" s="9"/>
      <c r="C332" s="9"/>
      <c r="D332" s="9"/>
      <c r="E332" s="9"/>
      <c r="F332" s="9"/>
      <c r="G332" s="9"/>
      <c r="H332" s="9"/>
      <c r="I332" s="9"/>
      <c r="J332" s="10" t="str">
        <f aca="false">IF(A332="","",IF(G332&lt;&gt;"",G332,IF(N(F332)&gt;0,ROUND(1000/F332,3),0)))</f>
        <v/>
      </c>
      <c r="K332" s="10" t="str">
        <f aca="false">IF(OR(A332="",E332="",H332=""),"",ROUND(0.00617*E332^2*H332*J332,2))</f>
        <v/>
      </c>
      <c r="L332" s="9"/>
      <c r="M332" s="10" t="str">
        <f aca="false">IF(A332="","",IF((COUNTIF(Drain_Register!$A$5:$A$304,A332)+COUNTIF(RW_Register!$A$5:$A$304,A332)+COUNTIF(Embedded_Wall_Register!$A$5:$A$304,A332)+COUNTIF(Manhole_Register!$A$5:$A$304,A332)+COUNTIF(ERSS_Pit_Register!$A$5:$A$304,A332)+COUNTIF(Linkway_Register!$A$5:$A$304,A332)+COUNTIF(Other_Register!$A$5:$A$304,A332))&gt;0,"OK","ID not in any register"))</f>
        <v/>
      </c>
    </row>
    <row r="333" customFormat="false" ht="15" hidden="false" customHeight="false" outlineLevel="0" collapsed="false">
      <c r="A333" s="9"/>
      <c r="B333" s="9"/>
      <c r="C333" s="9"/>
      <c r="D333" s="9"/>
      <c r="E333" s="9"/>
      <c r="F333" s="9"/>
      <c r="G333" s="9"/>
      <c r="H333" s="9"/>
      <c r="I333" s="9"/>
      <c r="J333" s="10" t="str">
        <f aca="false">IF(A333="","",IF(G333&lt;&gt;"",G333,IF(N(F333)&gt;0,ROUND(1000/F333,3),0)))</f>
        <v/>
      </c>
      <c r="K333" s="10" t="str">
        <f aca="false">IF(OR(A333="",E333="",H333=""),"",ROUND(0.00617*E333^2*H333*J333,2))</f>
        <v/>
      </c>
      <c r="L333" s="9"/>
      <c r="M333" s="10" t="str">
        <f aca="false">IF(A333="","",IF((COUNTIF(Drain_Register!$A$5:$A$304,A333)+COUNTIF(RW_Register!$A$5:$A$304,A333)+COUNTIF(Embedded_Wall_Register!$A$5:$A$304,A333)+COUNTIF(Manhole_Register!$A$5:$A$304,A333)+COUNTIF(ERSS_Pit_Register!$A$5:$A$304,A333)+COUNTIF(Linkway_Register!$A$5:$A$304,A333)+COUNTIF(Other_Register!$A$5:$A$304,A333))&gt;0,"OK","ID not in any register"))</f>
        <v/>
      </c>
    </row>
    <row r="334" customFormat="false" ht="15" hidden="false" customHeight="false" outlineLevel="0" collapsed="false">
      <c r="A334" s="9"/>
      <c r="B334" s="9"/>
      <c r="C334" s="9"/>
      <c r="D334" s="9"/>
      <c r="E334" s="9"/>
      <c r="F334" s="9"/>
      <c r="G334" s="9"/>
      <c r="H334" s="9"/>
      <c r="I334" s="9"/>
      <c r="J334" s="10" t="str">
        <f aca="false">IF(A334="","",IF(G334&lt;&gt;"",G334,IF(N(F334)&gt;0,ROUND(1000/F334,3),0)))</f>
        <v/>
      </c>
      <c r="K334" s="10" t="str">
        <f aca="false">IF(OR(A334="",E334="",H334=""),"",ROUND(0.00617*E334^2*H334*J334,2))</f>
        <v/>
      </c>
      <c r="L334" s="9"/>
      <c r="M334" s="10" t="str">
        <f aca="false">IF(A334="","",IF((COUNTIF(Drain_Register!$A$5:$A$304,A334)+COUNTIF(RW_Register!$A$5:$A$304,A334)+COUNTIF(Embedded_Wall_Register!$A$5:$A$304,A334)+COUNTIF(Manhole_Register!$A$5:$A$304,A334)+COUNTIF(ERSS_Pit_Register!$A$5:$A$304,A334)+COUNTIF(Linkway_Register!$A$5:$A$304,A334)+COUNTIF(Other_Register!$A$5:$A$304,A334))&gt;0,"OK","ID not in any register"))</f>
        <v/>
      </c>
    </row>
    <row r="335" customFormat="false" ht="15" hidden="false" customHeight="false" outlineLevel="0" collapsed="false">
      <c r="A335" s="9"/>
      <c r="B335" s="9"/>
      <c r="C335" s="9"/>
      <c r="D335" s="9"/>
      <c r="E335" s="9"/>
      <c r="F335" s="9"/>
      <c r="G335" s="9"/>
      <c r="H335" s="9"/>
      <c r="I335" s="9"/>
      <c r="J335" s="10" t="str">
        <f aca="false">IF(A335="","",IF(G335&lt;&gt;"",G335,IF(N(F335)&gt;0,ROUND(1000/F335,3),0)))</f>
        <v/>
      </c>
      <c r="K335" s="10" t="str">
        <f aca="false">IF(OR(A335="",E335="",H335=""),"",ROUND(0.00617*E335^2*H335*J335,2))</f>
        <v/>
      </c>
      <c r="L335" s="9"/>
      <c r="M335" s="10" t="str">
        <f aca="false">IF(A335="","",IF((COUNTIF(Drain_Register!$A$5:$A$304,A335)+COUNTIF(RW_Register!$A$5:$A$304,A335)+COUNTIF(Embedded_Wall_Register!$A$5:$A$304,A335)+COUNTIF(Manhole_Register!$A$5:$A$304,A335)+COUNTIF(ERSS_Pit_Register!$A$5:$A$304,A335)+COUNTIF(Linkway_Register!$A$5:$A$304,A335)+COUNTIF(Other_Register!$A$5:$A$304,A335))&gt;0,"OK","ID not in any register"))</f>
        <v/>
      </c>
    </row>
    <row r="336" customFormat="false" ht="15" hidden="false" customHeight="false" outlineLevel="0" collapsed="false">
      <c r="A336" s="9"/>
      <c r="B336" s="9"/>
      <c r="C336" s="9"/>
      <c r="D336" s="9"/>
      <c r="E336" s="9"/>
      <c r="F336" s="9"/>
      <c r="G336" s="9"/>
      <c r="H336" s="9"/>
      <c r="I336" s="9"/>
      <c r="J336" s="10" t="str">
        <f aca="false">IF(A336="","",IF(G336&lt;&gt;"",G336,IF(N(F336)&gt;0,ROUND(1000/F336,3),0)))</f>
        <v/>
      </c>
      <c r="K336" s="10" t="str">
        <f aca="false">IF(OR(A336="",E336="",H336=""),"",ROUND(0.00617*E336^2*H336*J336,2))</f>
        <v/>
      </c>
      <c r="L336" s="9"/>
      <c r="M336" s="10" t="str">
        <f aca="false">IF(A336="","",IF((COUNTIF(Drain_Register!$A$5:$A$304,A336)+COUNTIF(RW_Register!$A$5:$A$304,A336)+COUNTIF(Embedded_Wall_Register!$A$5:$A$304,A336)+COUNTIF(Manhole_Register!$A$5:$A$304,A336)+COUNTIF(ERSS_Pit_Register!$A$5:$A$304,A336)+COUNTIF(Linkway_Register!$A$5:$A$304,A336)+COUNTIF(Other_Register!$A$5:$A$304,A336))&gt;0,"OK","ID not in any register"))</f>
        <v/>
      </c>
    </row>
    <row r="337" customFormat="false" ht="15" hidden="false" customHeight="false" outlineLevel="0" collapsed="false">
      <c r="A337" s="9"/>
      <c r="B337" s="9"/>
      <c r="C337" s="9"/>
      <c r="D337" s="9"/>
      <c r="E337" s="9"/>
      <c r="F337" s="9"/>
      <c r="G337" s="9"/>
      <c r="H337" s="9"/>
      <c r="I337" s="9"/>
      <c r="J337" s="10" t="str">
        <f aca="false">IF(A337="","",IF(G337&lt;&gt;"",G337,IF(N(F337)&gt;0,ROUND(1000/F337,3),0)))</f>
        <v/>
      </c>
      <c r="K337" s="10" t="str">
        <f aca="false">IF(OR(A337="",E337="",H337=""),"",ROUND(0.00617*E337^2*H337*J337,2))</f>
        <v/>
      </c>
      <c r="L337" s="9"/>
      <c r="M337" s="10" t="str">
        <f aca="false">IF(A337="","",IF((COUNTIF(Drain_Register!$A$5:$A$304,A337)+COUNTIF(RW_Register!$A$5:$A$304,A337)+COUNTIF(Embedded_Wall_Register!$A$5:$A$304,A337)+COUNTIF(Manhole_Register!$A$5:$A$304,A337)+COUNTIF(ERSS_Pit_Register!$A$5:$A$304,A337)+COUNTIF(Linkway_Register!$A$5:$A$304,A337)+COUNTIF(Other_Register!$A$5:$A$304,A337))&gt;0,"OK","ID not in any register"))</f>
        <v/>
      </c>
    </row>
    <row r="338" customFormat="false" ht="15" hidden="false" customHeight="false" outlineLevel="0" collapsed="false">
      <c r="A338" s="9"/>
      <c r="B338" s="9"/>
      <c r="C338" s="9"/>
      <c r="D338" s="9"/>
      <c r="E338" s="9"/>
      <c r="F338" s="9"/>
      <c r="G338" s="9"/>
      <c r="H338" s="9"/>
      <c r="I338" s="9"/>
      <c r="J338" s="10" t="str">
        <f aca="false">IF(A338="","",IF(G338&lt;&gt;"",G338,IF(N(F338)&gt;0,ROUND(1000/F338,3),0)))</f>
        <v/>
      </c>
      <c r="K338" s="10" t="str">
        <f aca="false">IF(OR(A338="",E338="",H338=""),"",ROUND(0.00617*E338^2*H338*J338,2))</f>
        <v/>
      </c>
      <c r="L338" s="9"/>
      <c r="M338" s="10" t="str">
        <f aca="false">IF(A338="","",IF((COUNTIF(Drain_Register!$A$5:$A$304,A338)+COUNTIF(RW_Register!$A$5:$A$304,A338)+COUNTIF(Embedded_Wall_Register!$A$5:$A$304,A338)+COUNTIF(Manhole_Register!$A$5:$A$304,A338)+COUNTIF(ERSS_Pit_Register!$A$5:$A$304,A338)+COUNTIF(Linkway_Register!$A$5:$A$304,A338)+COUNTIF(Other_Register!$A$5:$A$304,A338))&gt;0,"OK","ID not in any register"))</f>
        <v/>
      </c>
    </row>
    <row r="339" customFormat="false" ht="15" hidden="false" customHeight="false" outlineLevel="0" collapsed="false">
      <c r="A339" s="9"/>
      <c r="B339" s="9"/>
      <c r="C339" s="9"/>
      <c r="D339" s="9"/>
      <c r="E339" s="9"/>
      <c r="F339" s="9"/>
      <c r="G339" s="9"/>
      <c r="H339" s="9"/>
      <c r="I339" s="9"/>
      <c r="J339" s="10" t="str">
        <f aca="false">IF(A339="","",IF(G339&lt;&gt;"",G339,IF(N(F339)&gt;0,ROUND(1000/F339,3),0)))</f>
        <v/>
      </c>
      <c r="K339" s="10" t="str">
        <f aca="false">IF(OR(A339="",E339="",H339=""),"",ROUND(0.00617*E339^2*H339*J339,2))</f>
        <v/>
      </c>
      <c r="L339" s="9"/>
      <c r="M339" s="10" t="str">
        <f aca="false">IF(A339="","",IF((COUNTIF(Drain_Register!$A$5:$A$304,A339)+COUNTIF(RW_Register!$A$5:$A$304,A339)+COUNTIF(Embedded_Wall_Register!$A$5:$A$304,A339)+COUNTIF(Manhole_Register!$A$5:$A$304,A339)+COUNTIF(ERSS_Pit_Register!$A$5:$A$304,A339)+COUNTIF(Linkway_Register!$A$5:$A$304,A339)+COUNTIF(Other_Register!$A$5:$A$304,A339))&gt;0,"OK","ID not in any register"))</f>
        <v/>
      </c>
    </row>
    <row r="340" customFormat="false" ht="15" hidden="false" customHeight="false" outlineLevel="0" collapsed="false">
      <c r="A340" s="9"/>
      <c r="B340" s="9"/>
      <c r="C340" s="9"/>
      <c r="D340" s="9"/>
      <c r="E340" s="9"/>
      <c r="F340" s="9"/>
      <c r="G340" s="9"/>
      <c r="H340" s="9"/>
      <c r="I340" s="9"/>
      <c r="J340" s="10" t="str">
        <f aca="false">IF(A340="","",IF(G340&lt;&gt;"",G340,IF(N(F340)&gt;0,ROUND(1000/F340,3),0)))</f>
        <v/>
      </c>
      <c r="K340" s="10" t="str">
        <f aca="false">IF(OR(A340="",E340="",H340=""),"",ROUND(0.00617*E340^2*H340*J340,2))</f>
        <v/>
      </c>
      <c r="L340" s="9"/>
      <c r="M340" s="10" t="str">
        <f aca="false">IF(A340="","",IF((COUNTIF(Drain_Register!$A$5:$A$304,A340)+COUNTIF(RW_Register!$A$5:$A$304,A340)+COUNTIF(Embedded_Wall_Register!$A$5:$A$304,A340)+COUNTIF(Manhole_Register!$A$5:$A$304,A340)+COUNTIF(ERSS_Pit_Register!$A$5:$A$304,A340)+COUNTIF(Linkway_Register!$A$5:$A$304,A340)+COUNTIF(Other_Register!$A$5:$A$304,A340))&gt;0,"OK","ID not in any register"))</f>
        <v/>
      </c>
    </row>
    <row r="341" customFormat="false" ht="15" hidden="false" customHeight="false" outlineLevel="0" collapsed="false">
      <c r="A341" s="9"/>
      <c r="B341" s="9"/>
      <c r="C341" s="9"/>
      <c r="D341" s="9"/>
      <c r="E341" s="9"/>
      <c r="F341" s="9"/>
      <c r="G341" s="9"/>
      <c r="H341" s="9"/>
      <c r="I341" s="9"/>
      <c r="J341" s="10" t="str">
        <f aca="false">IF(A341="","",IF(G341&lt;&gt;"",G341,IF(N(F341)&gt;0,ROUND(1000/F341,3),0)))</f>
        <v/>
      </c>
      <c r="K341" s="10" t="str">
        <f aca="false">IF(OR(A341="",E341="",H341=""),"",ROUND(0.00617*E341^2*H341*J341,2))</f>
        <v/>
      </c>
      <c r="L341" s="9"/>
      <c r="M341" s="10" t="str">
        <f aca="false">IF(A341="","",IF((COUNTIF(Drain_Register!$A$5:$A$304,A341)+COUNTIF(RW_Register!$A$5:$A$304,A341)+COUNTIF(Embedded_Wall_Register!$A$5:$A$304,A341)+COUNTIF(Manhole_Register!$A$5:$A$304,A341)+COUNTIF(ERSS_Pit_Register!$A$5:$A$304,A341)+COUNTIF(Linkway_Register!$A$5:$A$304,A341)+COUNTIF(Other_Register!$A$5:$A$304,A341))&gt;0,"OK","ID not in any register"))</f>
        <v/>
      </c>
    </row>
    <row r="342" customFormat="false" ht="15" hidden="false" customHeight="false" outlineLevel="0" collapsed="false">
      <c r="A342" s="9"/>
      <c r="B342" s="9"/>
      <c r="C342" s="9"/>
      <c r="D342" s="9"/>
      <c r="E342" s="9"/>
      <c r="F342" s="9"/>
      <c r="G342" s="9"/>
      <c r="H342" s="9"/>
      <c r="I342" s="9"/>
      <c r="J342" s="10" t="str">
        <f aca="false">IF(A342="","",IF(G342&lt;&gt;"",G342,IF(N(F342)&gt;0,ROUND(1000/F342,3),0)))</f>
        <v/>
      </c>
      <c r="K342" s="10" t="str">
        <f aca="false">IF(OR(A342="",E342="",H342=""),"",ROUND(0.00617*E342^2*H342*J342,2))</f>
        <v/>
      </c>
      <c r="L342" s="9"/>
      <c r="M342" s="10" t="str">
        <f aca="false">IF(A342="","",IF((COUNTIF(Drain_Register!$A$5:$A$304,A342)+COUNTIF(RW_Register!$A$5:$A$304,A342)+COUNTIF(Embedded_Wall_Register!$A$5:$A$304,A342)+COUNTIF(Manhole_Register!$A$5:$A$304,A342)+COUNTIF(ERSS_Pit_Register!$A$5:$A$304,A342)+COUNTIF(Linkway_Register!$A$5:$A$304,A342)+COUNTIF(Other_Register!$A$5:$A$304,A342))&gt;0,"OK","ID not in any register"))</f>
        <v/>
      </c>
    </row>
    <row r="343" customFormat="false" ht="15" hidden="false" customHeight="false" outlineLevel="0" collapsed="false">
      <c r="A343" s="9"/>
      <c r="B343" s="9"/>
      <c r="C343" s="9"/>
      <c r="D343" s="9"/>
      <c r="E343" s="9"/>
      <c r="F343" s="9"/>
      <c r="G343" s="9"/>
      <c r="H343" s="9"/>
      <c r="I343" s="9"/>
      <c r="J343" s="10" t="str">
        <f aca="false">IF(A343="","",IF(G343&lt;&gt;"",G343,IF(N(F343)&gt;0,ROUND(1000/F343,3),0)))</f>
        <v/>
      </c>
      <c r="K343" s="10" t="str">
        <f aca="false">IF(OR(A343="",E343="",H343=""),"",ROUND(0.00617*E343^2*H343*J343,2))</f>
        <v/>
      </c>
      <c r="L343" s="9"/>
      <c r="M343" s="10" t="str">
        <f aca="false">IF(A343="","",IF((COUNTIF(Drain_Register!$A$5:$A$304,A343)+COUNTIF(RW_Register!$A$5:$A$304,A343)+COUNTIF(Embedded_Wall_Register!$A$5:$A$304,A343)+COUNTIF(Manhole_Register!$A$5:$A$304,A343)+COUNTIF(ERSS_Pit_Register!$A$5:$A$304,A343)+COUNTIF(Linkway_Register!$A$5:$A$304,A343)+COUNTIF(Other_Register!$A$5:$A$304,A343))&gt;0,"OK","ID not in any register"))</f>
        <v/>
      </c>
    </row>
    <row r="344" customFormat="false" ht="15" hidden="false" customHeight="false" outlineLevel="0" collapsed="false">
      <c r="A344" s="9"/>
      <c r="B344" s="9"/>
      <c r="C344" s="9"/>
      <c r="D344" s="9"/>
      <c r="E344" s="9"/>
      <c r="F344" s="9"/>
      <c r="G344" s="9"/>
      <c r="H344" s="9"/>
      <c r="I344" s="9"/>
      <c r="J344" s="10" t="str">
        <f aca="false">IF(A344="","",IF(G344&lt;&gt;"",G344,IF(N(F344)&gt;0,ROUND(1000/F344,3),0)))</f>
        <v/>
      </c>
      <c r="K344" s="10" t="str">
        <f aca="false">IF(OR(A344="",E344="",H344=""),"",ROUND(0.00617*E344^2*H344*J344,2))</f>
        <v/>
      </c>
      <c r="L344" s="9"/>
      <c r="M344" s="10" t="str">
        <f aca="false">IF(A344="","",IF((COUNTIF(Drain_Register!$A$5:$A$304,A344)+COUNTIF(RW_Register!$A$5:$A$304,A344)+COUNTIF(Embedded_Wall_Register!$A$5:$A$304,A344)+COUNTIF(Manhole_Register!$A$5:$A$304,A344)+COUNTIF(ERSS_Pit_Register!$A$5:$A$304,A344)+COUNTIF(Linkway_Register!$A$5:$A$304,A344)+COUNTIF(Other_Register!$A$5:$A$304,A344))&gt;0,"OK","ID not in any register"))</f>
        <v/>
      </c>
    </row>
    <row r="345" customFormat="false" ht="15" hidden="false" customHeight="false" outlineLevel="0" collapsed="false">
      <c r="A345" s="9"/>
      <c r="B345" s="9"/>
      <c r="C345" s="9"/>
      <c r="D345" s="9"/>
      <c r="E345" s="9"/>
      <c r="F345" s="9"/>
      <c r="G345" s="9"/>
      <c r="H345" s="9"/>
      <c r="I345" s="9"/>
      <c r="J345" s="10" t="str">
        <f aca="false">IF(A345="","",IF(G345&lt;&gt;"",G345,IF(N(F345)&gt;0,ROUND(1000/F345,3),0)))</f>
        <v/>
      </c>
      <c r="K345" s="10" t="str">
        <f aca="false">IF(OR(A345="",E345="",H345=""),"",ROUND(0.00617*E345^2*H345*J345,2))</f>
        <v/>
      </c>
      <c r="L345" s="9"/>
      <c r="M345" s="10" t="str">
        <f aca="false">IF(A345="","",IF((COUNTIF(Drain_Register!$A$5:$A$304,A345)+COUNTIF(RW_Register!$A$5:$A$304,A345)+COUNTIF(Embedded_Wall_Register!$A$5:$A$304,A345)+COUNTIF(Manhole_Register!$A$5:$A$304,A345)+COUNTIF(ERSS_Pit_Register!$A$5:$A$304,A345)+COUNTIF(Linkway_Register!$A$5:$A$304,A345)+COUNTIF(Other_Register!$A$5:$A$304,A345))&gt;0,"OK","ID not in any register"))</f>
        <v/>
      </c>
    </row>
    <row r="346" customFormat="false" ht="15" hidden="false" customHeight="false" outlineLevel="0" collapsed="false">
      <c r="A346" s="9"/>
      <c r="B346" s="9"/>
      <c r="C346" s="9"/>
      <c r="D346" s="9"/>
      <c r="E346" s="9"/>
      <c r="F346" s="9"/>
      <c r="G346" s="9"/>
      <c r="H346" s="9"/>
      <c r="I346" s="9"/>
      <c r="J346" s="10" t="str">
        <f aca="false">IF(A346="","",IF(G346&lt;&gt;"",G346,IF(N(F346)&gt;0,ROUND(1000/F346,3),0)))</f>
        <v/>
      </c>
      <c r="K346" s="10" t="str">
        <f aca="false">IF(OR(A346="",E346="",H346=""),"",ROUND(0.00617*E346^2*H346*J346,2))</f>
        <v/>
      </c>
      <c r="L346" s="9"/>
      <c r="M346" s="10" t="str">
        <f aca="false">IF(A346="","",IF((COUNTIF(Drain_Register!$A$5:$A$304,A346)+COUNTIF(RW_Register!$A$5:$A$304,A346)+COUNTIF(Embedded_Wall_Register!$A$5:$A$304,A346)+COUNTIF(Manhole_Register!$A$5:$A$304,A346)+COUNTIF(ERSS_Pit_Register!$A$5:$A$304,A346)+COUNTIF(Linkway_Register!$A$5:$A$304,A346)+COUNTIF(Other_Register!$A$5:$A$304,A346))&gt;0,"OK","ID not in any register"))</f>
        <v/>
      </c>
    </row>
    <row r="347" customFormat="false" ht="15" hidden="false" customHeight="false" outlineLevel="0" collapsed="false">
      <c r="A347" s="9"/>
      <c r="B347" s="9"/>
      <c r="C347" s="9"/>
      <c r="D347" s="9"/>
      <c r="E347" s="9"/>
      <c r="F347" s="9"/>
      <c r="G347" s="9"/>
      <c r="H347" s="9"/>
      <c r="I347" s="9"/>
      <c r="J347" s="10" t="str">
        <f aca="false">IF(A347="","",IF(G347&lt;&gt;"",G347,IF(N(F347)&gt;0,ROUND(1000/F347,3),0)))</f>
        <v/>
      </c>
      <c r="K347" s="10" t="str">
        <f aca="false">IF(OR(A347="",E347="",H347=""),"",ROUND(0.00617*E347^2*H347*J347,2))</f>
        <v/>
      </c>
      <c r="L347" s="9"/>
      <c r="M347" s="10" t="str">
        <f aca="false">IF(A347="","",IF((COUNTIF(Drain_Register!$A$5:$A$304,A347)+COUNTIF(RW_Register!$A$5:$A$304,A347)+COUNTIF(Embedded_Wall_Register!$A$5:$A$304,A347)+COUNTIF(Manhole_Register!$A$5:$A$304,A347)+COUNTIF(ERSS_Pit_Register!$A$5:$A$304,A347)+COUNTIF(Linkway_Register!$A$5:$A$304,A347)+COUNTIF(Other_Register!$A$5:$A$304,A347))&gt;0,"OK","ID not in any register"))</f>
        <v/>
      </c>
    </row>
    <row r="348" customFormat="false" ht="15" hidden="false" customHeight="false" outlineLevel="0" collapsed="false">
      <c r="A348" s="9"/>
      <c r="B348" s="9"/>
      <c r="C348" s="9"/>
      <c r="D348" s="9"/>
      <c r="E348" s="9"/>
      <c r="F348" s="9"/>
      <c r="G348" s="9"/>
      <c r="H348" s="9"/>
      <c r="I348" s="9"/>
      <c r="J348" s="10" t="str">
        <f aca="false">IF(A348="","",IF(G348&lt;&gt;"",G348,IF(N(F348)&gt;0,ROUND(1000/F348,3),0)))</f>
        <v/>
      </c>
      <c r="K348" s="10" t="str">
        <f aca="false">IF(OR(A348="",E348="",H348=""),"",ROUND(0.00617*E348^2*H348*J348,2))</f>
        <v/>
      </c>
      <c r="L348" s="9"/>
      <c r="M348" s="10" t="str">
        <f aca="false">IF(A348="","",IF((COUNTIF(Drain_Register!$A$5:$A$304,A348)+COUNTIF(RW_Register!$A$5:$A$304,A348)+COUNTIF(Embedded_Wall_Register!$A$5:$A$304,A348)+COUNTIF(Manhole_Register!$A$5:$A$304,A348)+COUNTIF(ERSS_Pit_Register!$A$5:$A$304,A348)+COUNTIF(Linkway_Register!$A$5:$A$304,A348)+COUNTIF(Other_Register!$A$5:$A$304,A348))&gt;0,"OK","ID not in any register"))</f>
        <v/>
      </c>
    </row>
    <row r="349" customFormat="false" ht="15" hidden="false" customHeight="false" outlineLevel="0" collapsed="false">
      <c r="A349" s="9"/>
      <c r="B349" s="9"/>
      <c r="C349" s="9"/>
      <c r="D349" s="9"/>
      <c r="E349" s="9"/>
      <c r="F349" s="9"/>
      <c r="G349" s="9"/>
      <c r="H349" s="9"/>
      <c r="I349" s="9"/>
      <c r="J349" s="10" t="str">
        <f aca="false">IF(A349="","",IF(G349&lt;&gt;"",G349,IF(N(F349)&gt;0,ROUND(1000/F349,3),0)))</f>
        <v/>
      </c>
      <c r="K349" s="10" t="str">
        <f aca="false">IF(OR(A349="",E349="",H349=""),"",ROUND(0.00617*E349^2*H349*J349,2))</f>
        <v/>
      </c>
      <c r="L349" s="9"/>
      <c r="M349" s="10" t="str">
        <f aca="false">IF(A349="","",IF((COUNTIF(Drain_Register!$A$5:$A$304,A349)+COUNTIF(RW_Register!$A$5:$A$304,A349)+COUNTIF(Embedded_Wall_Register!$A$5:$A$304,A349)+COUNTIF(Manhole_Register!$A$5:$A$304,A349)+COUNTIF(ERSS_Pit_Register!$A$5:$A$304,A349)+COUNTIF(Linkway_Register!$A$5:$A$304,A349)+COUNTIF(Other_Register!$A$5:$A$304,A349))&gt;0,"OK","ID not in any register"))</f>
        <v/>
      </c>
    </row>
    <row r="350" customFormat="false" ht="15" hidden="false" customHeight="false" outlineLevel="0" collapsed="false">
      <c r="A350" s="9"/>
      <c r="B350" s="9"/>
      <c r="C350" s="9"/>
      <c r="D350" s="9"/>
      <c r="E350" s="9"/>
      <c r="F350" s="9"/>
      <c r="G350" s="9"/>
      <c r="H350" s="9"/>
      <c r="I350" s="9"/>
      <c r="J350" s="10" t="str">
        <f aca="false">IF(A350="","",IF(G350&lt;&gt;"",G350,IF(N(F350)&gt;0,ROUND(1000/F350,3),0)))</f>
        <v/>
      </c>
      <c r="K350" s="10" t="str">
        <f aca="false">IF(OR(A350="",E350="",H350=""),"",ROUND(0.00617*E350^2*H350*J350,2))</f>
        <v/>
      </c>
      <c r="L350" s="9"/>
      <c r="M350" s="10" t="str">
        <f aca="false">IF(A350="","",IF((COUNTIF(Drain_Register!$A$5:$A$304,A350)+COUNTIF(RW_Register!$A$5:$A$304,A350)+COUNTIF(Embedded_Wall_Register!$A$5:$A$304,A350)+COUNTIF(Manhole_Register!$A$5:$A$304,A350)+COUNTIF(ERSS_Pit_Register!$A$5:$A$304,A350)+COUNTIF(Linkway_Register!$A$5:$A$304,A350)+COUNTIF(Other_Register!$A$5:$A$304,A350))&gt;0,"OK","ID not in any register"))</f>
        <v/>
      </c>
    </row>
    <row r="351" customFormat="false" ht="15" hidden="false" customHeight="false" outlineLevel="0" collapsed="false">
      <c r="A351" s="9"/>
      <c r="B351" s="9"/>
      <c r="C351" s="9"/>
      <c r="D351" s="9"/>
      <c r="E351" s="9"/>
      <c r="F351" s="9"/>
      <c r="G351" s="9"/>
      <c r="H351" s="9"/>
      <c r="I351" s="9"/>
      <c r="J351" s="10" t="str">
        <f aca="false">IF(A351="","",IF(G351&lt;&gt;"",G351,IF(N(F351)&gt;0,ROUND(1000/F351,3),0)))</f>
        <v/>
      </c>
      <c r="K351" s="10" t="str">
        <f aca="false">IF(OR(A351="",E351="",H351=""),"",ROUND(0.00617*E351^2*H351*J351,2))</f>
        <v/>
      </c>
      <c r="L351" s="9"/>
      <c r="M351" s="10" t="str">
        <f aca="false">IF(A351="","",IF((COUNTIF(Drain_Register!$A$5:$A$304,A351)+COUNTIF(RW_Register!$A$5:$A$304,A351)+COUNTIF(Embedded_Wall_Register!$A$5:$A$304,A351)+COUNTIF(Manhole_Register!$A$5:$A$304,A351)+COUNTIF(ERSS_Pit_Register!$A$5:$A$304,A351)+COUNTIF(Linkway_Register!$A$5:$A$304,A351)+COUNTIF(Other_Register!$A$5:$A$304,A351))&gt;0,"OK","ID not in any register"))</f>
        <v/>
      </c>
    </row>
    <row r="352" customFormat="false" ht="15" hidden="false" customHeight="false" outlineLevel="0" collapsed="false">
      <c r="A352" s="9"/>
      <c r="B352" s="9"/>
      <c r="C352" s="9"/>
      <c r="D352" s="9"/>
      <c r="E352" s="9"/>
      <c r="F352" s="9"/>
      <c r="G352" s="9"/>
      <c r="H352" s="9"/>
      <c r="I352" s="9"/>
      <c r="J352" s="10" t="str">
        <f aca="false">IF(A352="","",IF(G352&lt;&gt;"",G352,IF(N(F352)&gt;0,ROUND(1000/F352,3),0)))</f>
        <v/>
      </c>
      <c r="K352" s="10" t="str">
        <f aca="false">IF(OR(A352="",E352="",H352=""),"",ROUND(0.00617*E352^2*H352*J352,2))</f>
        <v/>
      </c>
      <c r="L352" s="9"/>
      <c r="M352" s="10" t="str">
        <f aca="false">IF(A352="","",IF((COUNTIF(Drain_Register!$A$5:$A$304,A352)+COUNTIF(RW_Register!$A$5:$A$304,A352)+COUNTIF(Embedded_Wall_Register!$A$5:$A$304,A352)+COUNTIF(Manhole_Register!$A$5:$A$304,A352)+COUNTIF(ERSS_Pit_Register!$A$5:$A$304,A352)+COUNTIF(Linkway_Register!$A$5:$A$304,A352)+COUNTIF(Other_Register!$A$5:$A$304,A352))&gt;0,"OK","ID not in any register"))</f>
        <v/>
      </c>
    </row>
    <row r="353" customFormat="false" ht="15" hidden="false" customHeight="false" outlineLevel="0" collapsed="false">
      <c r="A353" s="9"/>
      <c r="B353" s="9"/>
      <c r="C353" s="9"/>
      <c r="D353" s="9"/>
      <c r="E353" s="9"/>
      <c r="F353" s="9"/>
      <c r="G353" s="9"/>
      <c r="H353" s="9"/>
      <c r="I353" s="9"/>
      <c r="J353" s="10" t="str">
        <f aca="false">IF(A353="","",IF(G353&lt;&gt;"",G353,IF(N(F353)&gt;0,ROUND(1000/F353,3),0)))</f>
        <v/>
      </c>
      <c r="K353" s="10" t="str">
        <f aca="false">IF(OR(A353="",E353="",H353=""),"",ROUND(0.00617*E353^2*H353*J353,2))</f>
        <v/>
      </c>
      <c r="L353" s="9"/>
      <c r="M353" s="10" t="str">
        <f aca="false">IF(A353="","",IF((COUNTIF(Drain_Register!$A$5:$A$304,A353)+COUNTIF(RW_Register!$A$5:$A$304,A353)+COUNTIF(Embedded_Wall_Register!$A$5:$A$304,A353)+COUNTIF(Manhole_Register!$A$5:$A$304,A353)+COUNTIF(ERSS_Pit_Register!$A$5:$A$304,A353)+COUNTIF(Linkway_Register!$A$5:$A$304,A353)+COUNTIF(Other_Register!$A$5:$A$304,A353))&gt;0,"OK","ID not in any register"))</f>
        <v/>
      </c>
    </row>
    <row r="354" customFormat="false" ht="15" hidden="false" customHeight="false" outlineLevel="0" collapsed="false">
      <c r="A354" s="9"/>
      <c r="B354" s="9"/>
      <c r="C354" s="9"/>
      <c r="D354" s="9"/>
      <c r="E354" s="9"/>
      <c r="F354" s="9"/>
      <c r="G354" s="9"/>
      <c r="H354" s="9"/>
      <c r="I354" s="9"/>
      <c r="J354" s="10" t="str">
        <f aca="false">IF(A354="","",IF(G354&lt;&gt;"",G354,IF(N(F354)&gt;0,ROUND(1000/F354,3),0)))</f>
        <v/>
      </c>
      <c r="K354" s="10" t="str">
        <f aca="false">IF(OR(A354="",E354="",H354=""),"",ROUND(0.00617*E354^2*H354*J354,2))</f>
        <v/>
      </c>
      <c r="L354" s="9"/>
      <c r="M354" s="10" t="str">
        <f aca="false">IF(A354="","",IF((COUNTIF(Drain_Register!$A$5:$A$304,A354)+COUNTIF(RW_Register!$A$5:$A$304,A354)+COUNTIF(Embedded_Wall_Register!$A$5:$A$304,A354)+COUNTIF(Manhole_Register!$A$5:$A$304,A354)+COUNTIF(ERSS_Pit_Register!$A$5:$A$304,A354)+COUNTIF(Linkway_Register!$A$5:$A$304,A354)+COUNTIF(Other_Register!$A$5:$A$304,A354))&gt;0,"OK","ID not in any register"))</f>
        <v/>
      </c>
    </row>
    <row r="355" customFormat="false" ht="15" hidden="false" customHeight="false" outlineLevel="0" collapsed="false">
      <c r="A355" s="9"/>
      <c r="B355" s="9"/>
      <c r="C355" s="9"/>
      <c r="D355" s="9"/>
      <c r="E355" s="9"/>
      <c r="F355" s="9"/>
      <c r="G355" s="9"/>
      <c r="H355" s="9"/>
      <c r="I355" s="9"/>
      <c r="J355" s="10" t="str">
        <f aca="false">IF(A355="","",IF(G355&lt;&gt;"",G355,IF(N(F355)&gt;0,ROUND(1000/F355,3),0)))</f>
        <v/>
      </c>
      <c r="K355" s="10" t="str">
        <f aca="false">IF(OR(A355="",E355="",H355=""),"",ROUND(0.00617*E355^2*H355*J355,2))</f>
        <v/>
      </c>
      <c r="L355" s="9"/>
      <c r="M355" s="10" t="str">
        <f aca="false">IF(A355="","",IF((COUNTIF(Drain_Register!$A$5:$A$304,A355)+COUNTIF(RW_Register!$A$5:$A$304,A355)+COUNTIF(Embedded_Wall_Register!$A$5:$A$304,A355)+COUNTIF(Manhole_Register!$A$5:$A$304,A355)+COUNTIF(ERSS_Pit_Register!$A$5:$A$304,A355)+COUNTIF(Linkway_Register!$A$5:$A$304,A355)+COUNTIF(Other_Register!$A$5:$A$304,A355))&gt;0,"OK","ID not in any register"))</f>
        <v/>
      </c>
    </row>
    <row r="356" customFormat="false" ht="15" hidden="false" customHeight="false" outlineLevel="0" collapsed="false">
      <c r="A356" s="9"/>
      <c r="B356" s="9"/>
      <c r="C356" s="9"/>
      <c r="D356" s="9"/>
      <c r="E356" s="9"/>
      <c r="F356" s="9"/>
      <c r="G356" s="9"/>
      <c r="H356" s="9"/>
      <c r="I356" s="9"/>
      <c r="J356" s="10" t="str">
        <f aca="false">IF(A356="","",IF(G356&lt;&gt;"",G356,IF(N(F356)&gt;0,ROUND(1000/F356,3),0)))</f>
        <v/>
      </c>
      <c r="K356" s="10" t="str">
        <f aca="false">IF(OR(A356="",E356="",H356=""),"",ROUND(0.00617*E356^2*H356*J356,2))</f>
        <v/>
      </c>
      <c r="L356" s="9"/>
      <c r="M356" s="10" t="str">
        <f aca="false">IF(A356="","",IF((COUNTIF(Drain_Register!$A$5:$A$304,A356)+COUNTIF(RW_Register!$A$5:$A$304,A356)+COUNTIF(Embedded_Wall_Register!$A$5:$A$304,A356)+COUNTIF(Manhole_Register!$A$5:$A$304,A356)+COUNTIF(ERSS_Pit_Register!$A$5:$A$304,A356)+COUNTIF(Linkway_Register!$A$5:$A$304,A356)+COUNTIF(Other_Register!$A$5:$A$304,A356))&gt;0,"OK","ID not in any register"))</f>
        <v/>
      </c>
    </row>
    <row r="357" customFormat="false" ht="15" hidden="false" customHeight="false" outlineLevel="0" collapsed="false">
      <c r="A357" s="9"/>
      <c r="B357" s="9"/>
      <c r="C357" s="9"/>
      <c r="D357" s="9"/>
      <c r="E357" s="9"/>
      <c r="F357" s="9"/>
      <c r="G357" s="9"/>
      <c r="H357" s="9"/>
      <c r="I357" s="9"/>
      <c r="J357" s="10" t="str">
        <f aca="false">IF(A357="","",IF(G357&lt;&gt;"",G357,IF(N(F357)&gt;0,ROUND(1000/F357,3),0)))</f>
        <v/>
      </c>
      <c r="K357" s="10" t="str">
        <f aca="false">IF(OR(A357="",E357="",H357=""),"",ROUND(0.00617*E357^2*H357*J357,2))</f>
        <v/>
      </c>
      <c r="L357" s="9"/>
      <c r="M357" s="10" t="str">
        <f aca="false">IF(A357="","",IF((COUNTIF(Drain_Register!$A$5:$A$304,A357)+COUNTIF(RW_Register!$A$5:$A$304,A357)+COUNTIF(Embedded_Wall_Register!$A$5:$A$304,A357)+COUNTIF(Manhole_Register!$A$5:$A$304,A357)+COUNTIF(ERSS_Pit_Register!$A$5:$A$304,A357)+COUNTIF(Linkway_Register!$A$5:$A$304,A357)+COUNTIF(Other_Register!$A$5:$A$304,A357))&gt;0,"OK","ID not in any register"))</f>
        <v/>
      </c>
    </row>
    <row r="358" customFormat="false" ht="15" hidden="false" customHeight="false" outlineLevel="0" collapsed="false">
      <c r="A358" s="9"/>
      <c r="B358" s="9"/>
      <c r="C358" s="9"/>
      <c r="D358" s="9"/>
      <c r="E358" s="9"/>
      <c r="F358" s="9"/>
      <c r="G358" s="9"/>
      <c r="H358" s="9"/>
      <c r="I358" s="9"/>
      <c r="J358" s="10" t="str">
        <f aca="false">IF(A358="","",IF(G358&lt;&gt;"",G358,IF(N(F358)&gt;0,ROUND(1000/F358,3),0)))</f>
        <v/>
      </c>
      <c r="K358" s="10" t="str">
        <f aca="false">IF(OR(A358="",E358="",H358=""),"",ROUND(0.00617*E358^2*H358*J358,2))</f>
        <v/>
      </c>
      <c r="L358" s="9"/>
      <c r="M358" s="10" t="str">
        <f aca="false">IF(A358="","",IF((COUNTIF(Drain_Register!$A$5:$A$304,A358)+COUNTIF(RW_Register!$A$5:$A$304,A358)+COUNTIF(Embedded_Wall_Register!$A$5:$A$304,A358)+COUNTIF(Manhole_Register!$A$5:$A$304,A358)+COUNTIF(ERSS_Pit_Register!$A$5:$A$304,A358)+COUNTIF(Linkway_Register!$A$5:$A$304,A358)+COUNTIF(Other_Register!$A$5:$A$304,A358))&gt;0,"OK","ID not in any register"))</f>
        <v/>
      </c>
    </row>
    <row r="359" customFormat="false" ht="15" hidden="false" customHeight="false" outlineLevel="0" collapsed="false">
      <c r="A359" s="9"/>
      <c r="B359" s="9"/>
      <c r="C359" s="9"/>
      <c r="D359" s="9"/>
      <c r="E359" s="9"/>
      <c r="F359" s="9"/>
      <c r="G359" s="9"/>
      <c r="H359" s="9"/>
      <c r="I359" s="9"/>
      <c r="J359" s="10" t="str">
        <f aca="false">IF(A359="","",IF(G359&lt;&gt;"",G359,IF(N(F359)&gt;0,ROUND(1000/F359,3),0)))</f>
        <v/>
      </c>
      <c r="K359" s="10" t="str">
        <f aca="false">IF(OR(A359="",E359="",H359=""),"",ROUND(0.00617*E359^2*H359*J359,2))</f>
        <v/>
      </c>
      <c r="L359" s="9"/>
      <c r="M359" s="10" t="str">
        <f aca="false">IF(A359="","",IF((COUNTIF(Drain_Register!$A$5:$A$304,A359)+COUNTIF(RW_Register!$A$5:$A$304,A359)+COUNTIF(Embedded_Wall_Register!$A$5:$A$304,A359)+COUNTIF(Manhole_Register!$A$5:$A$304,A359)+COUNTIF(ERSS_Pit_Register!$A$5:$A$304,A359)+COUNTIF(Linkway_Register!$A$5:$A$304,A359)+COUNTIF(Other_Register!$A$5:$A$304,A359))&gt;0,"OK","ID not in any register"))</f>
        <v/>
      </c>
    </row>
    <row r="360" customFormat="false" ht="15" hidden="false" customHeight="false" outlineLevel="0" collapsed="false">
      <c r="A360" s="9"/>
      <c r="B360" s="9"/>
      <c r="C360" s="9"/>
      <c r="D360" s="9"/>
      <c r="E360" s="9"/>
      <c r="F360" s="9"/>
      <c r="G360" s="9"/>
      <c r="H360" s="9"/>
      <c r="I360" s="9"/>
      <c r="J360" s="10" t="str">
        <f aca="false">IF(A360="","",IF(G360&lt;&gt;"",G360,IF(N(F360)&gt;0,ROUND(1000/F360,3),0)))</f>
        <v/>
      </c>
      <c r="K360" s="10" t="str">
        <f aca="false">IF(OR(A360="",E360="",H360=""),"",ROUND(0.00617*E360^2*H360*J360,2))</f>
        <v/>
      </c>
      <c r="L360" s="9"/>
      <c r="M360" s="10" t="str">
        <f aca="false">IF(A360="","",IF((COUNTIF(Drain_Register!$A$5:$A$304,A360)+COUNTIF(RW_Register!$A$5:$A$304,A360)+COUNTIF(Embedded_Wall_Register!$A$5:$A$304,A360)+COUNTIF(Manhole_Register!$A$5:$A$304,A360)+COUNTIF(ERSS_Pit_Register!$A$5:$A$304,A360)+COUNTIF(Linkway_Register!$A$5:$A$304,A360)+COUNTIF(Other_Register!$A$5:$A$304,A360))&gt;0,"OK","ID not in any register"))</f>
        <v/>
      </c>
    </row>
    <row r="361" customFormat="false" ht="15" hidden="false" customHeight="false" outlineLevel="0" collapsed="false">
      <c r="A361" s="9"/>
      <c r="B361" s="9"/>
      <c r="C361" s="9"/>
      <c r="D361" s="9"/>
      <c r="E361" s="9"/>
      <c r="F361" s="9"/>
      <c r="G361" s="9"/>
      <c r="H361" s="9"/>
      <c r="I361" s="9"/>
      <c r="J361" s="10" t="str">
        <f aca="false">IF(A361="","",IF(G361&lt;&gt;"",G361,IF(N(F361)&gt;0,ROUND(1000/F361,3),0)))</f>
        <v/>
      </c>
      <c r="K361" s="10" t="str">
        <f aca="false">IF(OR(A361="",E361="",H361=""),"",ROUND(0.00617*E361^2*H361*J361,2))</f>
        <v/>
      </c>
      <c r="L361" s="9"/>
      <c r="M361" s="10" t="str">
        <f aca="false">IF(A361="","",IF((COUNTIF(Drain_Register!$A$5:$A$304,A361)+COUNTIF(RW_Register!$A$5:$A$304,A361)+COUNTIF(Embedded_Wall_Register!$A$5:$A$304,A361)+COUNTIF(Manhole_Register!$A$5:$A$304,A361)+COUNTIF(ERSS_Pit_Register!$A$5:$A$304,A361)+COUNTIF(Linkway_Register!$A$5:$A$304,A361)+COUNTIF(Other_Register!$A$5:$A$304,A361))&gt;0,"OK","ID not in any register"))</f>
        <v/>
      </c>
    </row>
    <row r="362" customFormat="false" ht="15" hidden="false" customHeight="false" outlineLevel="0" collapsed="false">
      <c r="A362" s="9"/>
      <c r="B362" s="9"/>
      <c r="C362" s="9"/>
      <c r="D362" s="9"/>
      <c r="E362" s="9"/>
      <c r="F362" s="9"/>
      <c r="G362" s="9"/>
      <c r="H362" s="9"/>
      <c r="I362" s="9"/>
      <c r="J362" s="10" t="str">
        <f aca="false">IF(A362="","",IF(G362&lt;&gt;"",G362,IF(N(F362)&gt;0,ROUND(1000/F362,3),0)))</f>
        <v/>
      </c>
      <c r="K362" s="10" t="str">
        <f aca="false">IF(OR(A362="",E362="",H362=""),"",ROUND(0.00617*E362^2*H362*J362,2))</f>
        <v/>
      </c>
      <c r="L362" s="9"/>
      <c r="M362" s="10" t="str">
        <f aca="false">IF(A362="","",IF((COUNTIF(Drain_Register!$A$5:$A$304,A362)+COUNTIF(RW_Register!$A$5:$A$304,A362)+COUNTIF(Embedded_Wall_Register!$A$5:$A$304,A362)+COUNTIF(Manhole_Register!$A$5:$A$304,A362)+COUNTIF(ERSS_Pit_Register!$A$5:$A$304,A362)+COUNTIF(Linkway_Register!$A$5:$A$304,A362)+COUNTIF(Other_Register!$A$5:$A$304,A362))&gt;0,"OK","ID not in any register"))</f>
        <v/>
      </c>
    </row>
    <row r="363" customFormat="false" ht="15" hidden="false" customHeight="false" outlineLevel="0" collapsed="false">
      <c r="A363" s="9"/>
      <c r="B363" s="9"/>
      <c r="C363" s="9"/>
      <c r="D363" s="9"/>
      <c r="E363" s="9"/>
      <c r="F363" s="9"/>
      <c r="G363" s="9"/>
      <c r="H363" s="9"/>
      <c r="I363" s="9"/>
      <c r="J363" s="10" t="str">
        <f aca="false">IF(A363="","",IF(G363&lt;&gt;"",G363,IF(N(F363)&gt;0,ROUND(1000/F363,3),0)))</f>
        <v/>
      </c>
      <c r="K363" s="10" t="str">
        <f aca="false">IF(OR(A363="",E363="",H363=""),"",ROUND(0.00617*E363^2*H363*J363,2))</f>
        <v/>
      </c>
      <c r="L363" s="9"/>
      <c r="M363" s="10" t="str">
        <f aca="false">IF(A363="","",IF((COUNTIF(Drain_Register!$A$5:$A$304,A363)+COUNTIF(RW_Register!$A$5:$A$304,A363)+COUNTIF(Embedded_Wall_Register!$A$5:$A$304,A363)+COUNTIF(Manhole_Register!$A$5:$A$304,A363)+COUNTIF(ERSS_Pit_Register!$A$5:$A$304,A363)+COUNTIF(Linkway_Register!$A$5:$A$304,A363)+COUNTIF(Other_Register!$A$5:$A$304,A363))&gt;0,"OK","ID not in any register"))</f>
        <v/>
      </c>
    </row>
    <row r="364" customFormat="false" ht="15" hidden="false" customHeight="false" outlineLevel="0" collapsed="false">
      <c r="A364" s="9"/>
      <c r="B364" s="9"/>
      <c r="C364" s="9"/>
      <c r="D364" s="9"/>
      <c r="E364" s="9"/>
      <c r="F364" s="9"/>
      <c r="G364" s="9"/>
      <c r="H364" s="9"/>
      <c r="I364" s="9"/>
      <c r="J364" s="10" t="str">
        <f aca="false">IF(A364="","",IF(G364&lt;&gt;"",G364,IF(N(F364)&gt;0,ROUND(1000/F364,3),0)))</f>
        <v/>
      </c>
      <c r="K364" s="10" t="str">
        <f aca="false">IF(OR(A364="",E364="",H364=""),"",ROUND(0.00617*E364^2*H364*J364,2))</f>
        <v/>
      </c>
      <c r="L364" s="9"/>
      <c r="M364" s="10" t="str">
        <f aca="false">IF(A364="","",IF((COUNTIF(Drain_Register!$A$5:$A$304,A364)+COUNTIF(RW_Register!$A$5:$A$304,A364)+COUNTIF(Embedded_Wall_Register!$A$5:$A$304,A364)+COUNTIF(Manhole_Register!$A$5:$A$304,A364)+COUNTIF(ERSS_Pit_Register!$A$5:$A$304,A364)+COUNTIF(Linkway_Register!$A$5:$A$304,A364)+COUNTIF(Other_Register!$A$5:$A$304,A364))&gt;0,"OK","ID not in any register"))</f>
        <v/>
      </c>
    </row>
    <row r="365" customFormat="false" ht="15" hidden="false" customHeight="false" outlineLevel="0" collapsed="false">
      <c r="A365" s="9"/>
      <c r="B365" s="9"/>
      <c r="C365" s="9"/>
      <c r="D365" s="9"/>
      <c r="E365" s="9"/>
      <c r="F365" s="9"/>
      <c r="G365" s="9"/>
      <c r="H365" s="9"/>
      <c r="I365" s="9"/>
      <c r="J365" s="10" t="str">
        <f aca="false">IF(A365="","",IF(G365&lt;&gt;"",G365,IF(N(F365)&gt;0,ROUND(1000/F365,3),0)))</f>
        <v/>
      </c>
      <c r="K365" s="10" t="str">
        <f aca="false">IF(OR(A365="",E365="",H365=""),"",ROUND(0.00617*E365^2*H365*J365,2))</f>
        <v/>
      </c>
      <c r="L365" s="9"/>
      <c r="M365" s="10" t="str">
        <f aca="false">IF(A365="","",IF((COUNTIF(Drain_Register!$A$5:$A$304,A365)+COUNTIF(RW_Register!$A$5:$A$304,A365)+COUNTIF(Embedded_Wall_Register!$A$5:$A$304,A365)+COUNTIF(Manhole_Register!$A$5:$A$304,A365)+COUNTIF(ERSS_Pit_Register!$A$5:$A$304,A365)+COUNTIF(Linkway_Register!$A$5:$A$304,A365)+COUNTIF(Other_Register!$A$5:$A$304,A365))&gt;0,"OK","ID not in any register"))</f>
        <v/>
      </c>
    </row>
    <row r="366" customFormat="false" ht="15" hidden="false" customHeight="false" outlineLevel="0" collapsed="false">
      <c r="A366" s="9"/>
      <c r="B366" s="9"/>
      <c r="C366" s="9"/>
      <c r="D366" s="9"/>
      <c r="E366" s="9"/>
      <c r="F366" s="9"/>
      <c r="G366" s="9"/>
      <c r="H366" s="9"/>
      <c r="I366" s="9"/>
      <c r="J366" s="10" t="str">
        <f aca="false">IF(A366="","",IF(G366&lt;&gt;"",G366,IF(N(F366)&gt;0,ROUND(1000/F366,3),0)))</f>
        <v/>
      </c>
      <c r="K366" s="10" t="str">
        <f aca="false">IF(OR(A366="",E366="",H366=""),"",ROUND(0.00617*E366^2*H366*J366,2))</f>
        <v/>
      </c>
      <c r="L366" s="9"/>
      <c r="M366" s="10" t="str">
        <f aca="false">IF(A366="","",IF((COUNTIF(Drain_Register!$A$5:$A$304,A366)+COUNTIF(RW_Register!$A$5:$A$304,A366)+COUNTIF(Embedded_Wall_Register!$A$5:$A$304,A366)+COUNTIF(Manhole_Register!$A$5:$A$304,A366)+COUNTIF(ERSS_Pit_Register!$A$5:$A$304,A366)+COUNTIF(Linkway_Register!$A$5:$A$304,A366)+COUNTIF(Other_Register!$A$5:$A$304,A366))&gt;0,"OK","ID not in any register"))</f>
        <v/>
      </c>
    </row>
    <row r="367" customFormat="false" ht="15" hidden="false" customHeight="false" outlineLevel="0" collapsed="false">
      <c r="A367" s="9"/>
      <c r="B367" s="9"/>
      <c r="C367" s="9"/>
      <c r="D367" s="9"/>
      <c r="E367" s="9"/>
      <c r="F367" s="9"/>
      <c r="G367" s="9"/>
      <c r="H367" s="9"/>
      <c r="I367" s="9"/>
      <c r="J367" s="10" t="str">
        <f aca="false">IF(A367="","",IF(G367&lt;&gt;"",G367,IF(N(F367)&gt;0,ROUND(1000/F367,3),0)))</f>
        <v/>
      </c>
      <c r="K367" s="10" t="str">
        <f aca="false">IF(OR(A367="",E367="",H367=""),"",ROUND(0.00617*E367^2*H367*J367,2))</f>
        <v/>
      </c>
      <c r="L367" s="9"/>
      <c r="M367" s="10" t="str">
        <f aca="false">IF(A367="","",IF((COUNTIF(Drain_Register!$A$5:$A$304,A367)+COUNTIF(RW_Register!$A$5:$A$304,A367)+COUNTIF(Embedded_Wall_Register!$A$5:$A$304,A367)+COUNTIF(Manhole_Register!$A$5:$A$304,A367)+COUNTIF(ERSS_Pit_Register!$A$5:$A$304,A367)+COUNTIF(Linkway_Register!$A$5:$A$304,A367)+COUNTIF(Other_Register!$A$5:$A$304,A367))&gt;0,"OK","ID not in any register"))</f>
        <v/>
      </c>
    </row>
    <row r="368" customFormat="false" ht="15" hidden="false" customHeight="false" outlineLevel="0" collapsed="false">
      <c r="A368" s="9"/>
      <c r="B368" s="9"/>
      <c r="C368" s="9"/>
      <c r="D368" s="9"/>
      <c r="E368" s="9"/>
      <c r="F368" s="9"/>
      <c r="G368" s="9"/>
      <c r="H368" s="9"/>
      <c r="I368" s="9"/>
      <c r="J368" s="10" t="str">
        <f aca="false">IF(A368="","",IF(G368&lt;&gt;"",G368,IF(N(F368)&gt;0,ROUND(1000/F368,3),0)))</f>
        <v/>
      </c>
      <c r="K368" s="10" t="str">
        <f aca="false">IF(OR(A368="",E368="",H368=""),"",ROUND(0.00617*E368^2*H368*J368,2))</f>
        <v/>
      </c>
      <c r="L368" s="9"/>
      <c r="M368" s="10" t="str">
        <f aca="false">IF(A368="","",IF((COUNTIF(Drain_Register!$A$5:$A$304,A368)+COUNTIF(RW_Register!$A$5:$A$304,A368)+COUNTIF(Embedded_Wall_Register!$A$5:$A$304,A368)+COUNTIF(Manhole_Register!$A$5:$A$304,A368)+COUNTIF(ERSS_Pit_Register!$A$5:$A$304,A368)+COUNTIF(Linkway_Register!$A$5:$A$304,A368)+COUNTIF(Other_Register!$A$5:$A$304,A368))&gt;0,"OK","ID not in any register"))</f>
        <v/>
      </c>
    </row>
    <row r="369" customFormat="false" ht="15" hidden="false" customHeight="false" outlineLevel="0" collapsed="false">
      <c r="A369" s="9"/>
      <c r="B369" s="9"/>
      <c r="C369" s="9"/>
      <c r="D369" s="9"/>
      <c r="E369" s="9"/>
      <c r="F369" s="9"/>
      <c r="G369" s="9"/>
      <c r="H369" s="9"/>
      <c r="I369" s="9"/>
      <c r="J369" s="10" t="str">
        <f aca="false">IF(A369="","",IF(G369&lt;&gt;"",G369,IF(N(F369)&gt;0,ROUND(1000/F369,3),0)))</f>
        <v/>
      </c>
      <c r="K369" s="10" t="str">
        <f aca="false">IF(OR(A369="",E369="",H369=""),"",ROUND(0.00617*E369^2*H369*J369,2))</f>
        <v/>
      </c>
      <c r="L369" s="9"/>
      <c r="M369" s="10" t="str">
        <f aca="false">IF(A369="","",IF((COUNTIF(Drain_Register!$A$5:$A$304,A369)+COUNTIF(RW_Register!$A$5:$A$304,A369)+COUNTIF(Embedded_Wall_Register!$A$5:$A$304,A369)+COUNTIF(Manhole_Register!$A$5:$A$304,A369)+COUNTIF(ERSS_Pit_Register!$A$5:$A$304,A369)+COUNTIF(Linkway_Register!$A$5:$A$304,A369)+COUNTIF(Other_Register!$A$5:$A$304,A369))&gt;0,"OK","ID not in any register"))</f>
        <v/>
      </c>
    </row>
    <row r="370" customFormat="false" ht="15" hidden="false" customHeight="false" outlineLevel="0" collapsed="false">
      <c r="A370" s="9"/>
      <c r="B370" s="9"/>
      <c r="C370" s="9"/>
      <c r="D370" s="9"/>
      <c r="E370" s="9"/>
      <c r="F370" s="9"/>
      <c r="G370" s="9"/>
      <c r="H370" s="9"/>
      <c r="I370" s="9"/>
      <c r="J370" s="10" t="str">
        <f aca="false">IF(A370="","",IF(G370&lt;&gt;"",G370,IF(N(F370)&gt;0,ROUND(1000/F370,3),0)))</f>
        <v/>
      </c>
      <c r="K370" s="10" t="str">
        <f aca="false">IF(OR(A370="",E370="",H370=""),"",ROUND(0.00617*E370^2*H370*J370,2))</f>
        <v/>
      </c>
      <c r="L370" s="9"/>
      <c r="M370" s="10" t="str">
        <f aca="false">IF(A370="","",IF((COUNTIF(Drain_Register!$A$5:$A$304,A370)+COUNTIF(RW_Register!$A$5:$A$304,A370)+COUNTIF(Embedded_Wall_Register!$A$5:$A$304,A370)+COUNTIF(Manhole_Register!$A$5:$A$304,A370)+COUNTIF(ERSS_Pit_Register!$A$5:$A$304,A370)+COUNTIF(Linkway_Register!$A$5:$A$304,A370)+COUNTIF(Other_Register!$A$5:$A$304,A370))&gt;0,"OK","ID not in any register"))</f>
        <v/>
      </c>
    </row>
    <row r="371" customFormat="false" ht="15" hidden="false" customHeight="false" outlineLevel="0" collapsed="false">
      <c r="A371" s="9"/>
      <c r="B371" s="9"/>
      <c r="C371" s="9"/>
      <c r="D371" s="9"/>
      <c r="E371" s="9"/>
      <c r="F371" s="9"/>
      <c r="G371" s="9"/>
      <c r="H371" s="9"/>
      <c r="I371" s="9"/>
      <c r="J371" s="10" t="str">
        <f aca="false">IF(A371="","",IF(G371&lt;&gt;"",G371,IF(N(F371)&gt;0,ROUND(1000/F371,3),0)))</f>
        <v/>
      </c>
      <c r="K371" s="10" t="str">
        <f aca="false">IF(OR(A371="",E371="",H371=""),"",ROUND(0.00617*E371^2*H371*J371,2))</f>
        <v/>
      </c>
      <c r="L371" s="9"/>
      <c r="M371" s="10" t="str">
        <f aca="false">IF(A371="","",IF((COUNTIF(Drain_Register!$A$5:$A$304,A371)+COUNTIF(RW_Register!$A$5:$A$304,A371)+COUNTIF(Embedded_Wall_Register!$A$5:$A$304,A371)+COUNTIF(Manhole_Register!$A$5:$A$304,A371)+COUNTIF(ERSS_Pit_Register!$A$5:$A$304,A371)+COUNTIF(Linkway_Register!$A$5:$A$304,A371)+COUNTIF(Other_Register!$A$5:$A$304,A371))&gt;0,"OK","ID not in any register"))</f>
        <v/>
      </c>
    </row>
    <row r="372" customFormat="false" ht="15" hidden="false" customHeight="false" outlineLevel="0" collapsed="false">
      <c r="A372" s="9"/>
      <c r="B372" s="9"/>
      <c r="C372" s="9"/>
      <c r="D372" s="9"/>
      <c r="E372" s="9"/>
      <c r="F372" s="9"/>
      <c r="G372" s="9"/>
      <c r="H372" s="9"/>
      <c r="I372" s="9"/>
      <c r="J372" s="10" t="str">
        <f aca="false">IF(A372="","",IF(G372&lt;&gt;"",G372,IF(N(F372)&gt;0,ROUND(1000/F372,3),0)))</f>
        <v/>
      </c>
      <c r="K372" s="10" t="str">
        <f aca="false">IF(OR(A372="",E372="",H372=""),"",ROUND(0.00617*E372^2*H372*J372,2))</f>
        <v/>
      </c>
      <c r="L372" s="9"/>
      <c r="M372" s="10" t="str">
        <f aca="false">IF(A372="","",IF((COUNTIF(Drain_Register!$A$5:$A$304,A372)+COUNTIF(RW_Register!$A$5:$A$304,A372)+COUNTIF(Embedded_Wall_Register!$A$5:$A$304,A372)+COUNTIF(Manhole_Register!$A$5:$A$304,A372)+COUNTIF(ERSS_Pit_Register!$A$5:$A$304,A372)+COUNTIF(Linkway_Register!$A$5:$A$304,A372)+COUNTIF(Other_Register!$A$5:$A$304,A372))&gt;0,"OK","ID not in any register"))</f>
        <v/>
      </c>
    </row>
    <row r="373" customFormat="false" ht="15" hidden="false" customHeight="false" outlineLevel="0" collapsed="false">
      <c r="A373" s="9"/>
      <c r="B373" s="9"/>
      <c r="C373" s="9"/>
      <c r="D373" s="9"/>
      <c r="E373" s="9"/>
      <c r="F373" s="9"/>
      <c r="G373" s="9"/>
      <c r="H373" s="9"/>
      <c r="I373" s="9"/>
      <c r="J373" s="10" t="str">
        <f aca="false">IF(A373="","",IF(G373&lt;&gt;"",G373,IF(N(F373)&gt;0,ROUND(1000/F373,3),0)))</f>
        <v/>
      </c>
      <c r="K373" s="10" t="str">
        <f aca="false">IF(OR(A373="",E373="",H373=""),"",ROUND(0.00617*E373^2*H373*J373,2))</f>
        <v/>
      </c>
      <c r="L373" s="9"/>
      <c r="M373" s="10" t="str">
        <f aca="false">IF(A373="","",IF((COUNTIF(Drain_Register!$A$5:$A$304,A373)+COUNTIF(RW_Register!$A$5:$A$304,A373)+COUNTIF(Embedded_Wall_Register!$A$5:$A$304,A373)+COUNTIF(Manhole_Register!$A$5:$A$304,A373)+COUNTIF(ERSS_Pit_Register!$A$5:$A$304,A373)+COUNTIF(Linkway_Register!$A$5:$A$304,A373)+COUNTIF(Other_Register!$A$5:$A$304,A373))&gt;0,"OK","ID not in any register"))</f>
        <v/>
      </c>
    </row>
    <row r="374" customFormat="false" ht="15" hidden="false" customHeight="false" outlineLevel="0" collapsed="false">
      <c r="A374" s="9"/>
      <c r="B374" s="9"/>
      <c r="C374" s="9"/>
      <c r="D374" s="9"/>
      <c r="E374" s="9"/>
      <c r="F374" s="9"/>
      <c r="G374" s="9"/>
      <c r="H374" s="9"/>
      <c r="I374" s="9"/>
      <c r="J374" s="10" t="str">
        <f aca="false">IF(A374="","",IF(G374&lt;&gt;"",G374,IF(N(F374)&gt;0,ROUND(1000/F374,3),0)))</f>
        <v/>
      </c>
      <c r="K374" s="10" t="str">
        <f aca="false">IF(OR(A374="",E374="",H374=""),"",ROUND(0.00617*E374^2*H374*J374,2))</f>
        <v/>
      </c>
      <c r="L374" s="9"/>
      <c r="M374" s="10" t="str">
        <f aca="false">IF(A374="","",IF((COUNTIF(Drain_Register!$A$5:$A$304,A374)+COUNTIF(RW_Register!$A$5:$A$304,A374)+COUNTIF(Embedded_Wall_Register!$A$5:$A$304,A374)+COUNTIF(Manhole_Register!$A$5:$A$304,A374)+COUNTIF(ERSS_Pit_Register!$A$5:$A$304,A374)+COUNTIF(Linkway_Register!$A$5:$A$304,A374)+COUNTIF(Other_Register!$A$5:$A$304,A374))&gt;0,"OK","ID not in any register"))</f>
        <v/>
      </c>
    </row>
    <row r="375" customFormat="false" ht="15" hidden="false" customHeight="false" outlineLevel="0" collapsed="false">
      <c r="A375" s="9"/>
      <c r="B375" s="9"/>
      <c r="C375" s="9"/>
      <c r="D375" s="9"/>
      <c r="E375" s="9"/>
      <c r="F375" s="9"/>
      <c r="G375" s="9"/>
      <c r="H375" s="9"/>
      <c r="I375" s="9"/>
      <c r="J375" s="10" t="str">
        <f aca="false">IF(A375="","",IF(G375&lt;&gt;"",G375,IF(N(F375)&gt;0,ROUND(1000/F375,3),0)))</f>
        <v/>
      </c>
      <c r="K375" s="10" t="str">
        <f aca="false">IF(OR(A375="",E375="",H375=""),"",ROUND(0.00617*E375^2*H375*J375,2))</f>
        <v/>
      </c>
      <c r="L375" s="9"/>
      <c r="M375" s="10" t="str">
        <f aca="false">IF(A375="","",IF((COUNTIF(Drain_Register!$A$5:$A$304,A375)+COUNTIF(RW_Register!$A$5:$A$304,A375)+COUNTIF(Embedded_Wall_Register!$A$5:$A$304,A375)+COUNTIF(Manhole_Register!$A$5:$A$304,A375)+COUNTIF(ERSS_Pit_Register!$A$5:$A$304,A375)+COUNTIF(Linkway_Register!$A$5:$A$304,A375)+COUNTIF(Other_Register!$A$5:$A$304,A375))&gt;0,"OK","ID not in any register"))</f>
        <v/>
      </c>
    </row>
    <row r="376" customFormat="false" ht="15" hidden="false" customHeight="false" outlineLevel="0" collapsed="false">
      <c r="A376" s="9"/>
      <c r="B376" s="9"/>
      <c r="C376" s="9"/>
      <c r="D376" s="9"/>
      <c r="E376" s="9"/>
      <c r="F376" s="9"/>
      <c r="G376" s="9"/>
      <c r="H376" s="9"/>
      <c r="I376" s="9"/>
      <c r="J376" s="10" t="str">
        <f aca="false">IF(A376="","",IF(G376&lt;&gt;"",G376,IF(N(F376)&gt;0,ROUND(1000/F376,3),0)))</f>
        <v/>
      </c>
      <c r="K376" s="10" t="str">
        <f aca="false">IF(OR(A376="",E376="",H376=""),"",ROUND(0.00617*E376^2*H376*J376,2))</f>
        <v/>
      </c>
      <c r="L376" s="9"/>
      <c r="M376" s="10" t="str">
        <f aca="false">IF(A376="","",IF((COUNTIF(Drain_Register!$A$5:$A$304,A376)+COUNTIF(RW_Register!$A$5:$A$304,A376)+COUNTIF(Embedded_Wall_Register!$A$5:$A$304,A376)+COUNTIF(Manhole_Register!$A$5:$A$304,A376)+COUNTIF(ERSS_Pit_Register!$A$5:$A$304,A376)+COUNTIF(Linkway_Register!$A$5:$A$304,A376)+COUNTIF(Other_Register!$A$5:$A$304,A376))&gt;0,"OK","ID not in any register"))</f>
        <v/>
      </c>
    </row>
    <row r="377" customFormat="false" ht="15" hidden="false" customHeight="false" outlineLevel="0" collapsed="false">
      <c r="A377" s="9"/>
      <c r="B377" s="9"/>
      <c r="C377" s="9"/>
      <c r="D377" s="9"/>
      <c r="E377" s="9"/>
      <c r="F377" s="9"/>
      <c r="G377" s="9"/>
      <c r="H377" s="9"/>
      <c r="I377" s="9"/>
      <c r="J377" s="10" t="str">
        <f aca="false">IF(A377="","",IF(G377&lt;&gt;"",G377,IF(N(F377)&gt;0,ROUND(1000/F377,3),0)))</f>
        <v/>
      </c>
      <c r="K377" s="10" t="str">
        <f aca="false">IF(OR(A377="",E377="",H377=""),"",ROUND(0.00617*E377^2*H377*J377,2))</f>
        <v/>
      </c>
      <c r="L377" s="9"/>
      <c r="M377" s="10" t="str">
        <f aca="false">IF(A377="","",IF((COUNTIF(Drain_Register!$A$5:$A$304,A377)+COUNTIF(RW_Register!$A$5:$A$304,A377)+COUNTIF(Embedded_Wall_Register!$A$5:$A$304,A377)+COUNTIF(Manhole_Register!$A$5:$A$304,A377)+COUNTIF(ERSS_Pit_Register!$A$5:$A$304,A377)+COUNTIF(Linkway_Register!$A$5:$A$304,A377)+COUNTIF(Other_Register!$A$5:$A$304,A377))&gt;0,"OK","ID not in any register"))</f>
        <v/>
      </c>
    </row>
    <row r="378" customFormat="false" ht="15" hidden="false" customHeight="false" outlineLevel="0" collapsed="false">
      <c r="A378" s="9"/>
      <c r="B378" s="9"/>
      <c r="C378" s="9"/>
      <c r="D378" s="9"/>
      <c r="E378" s="9"/>
      <c r="F378" s="9"/>
      <c r="G378" s="9"/>
      <c r="H378" s="9"/>
      <c r="I378" s="9"/>
      <c r="J378" s="10" t="str">
        <f aca="false">IF(A378="","",IF(G378&lt;&gt;"",G378,IF(N(F378)&gt;0,ROUND(1000/F378,3),0)))</f>
        <v/>
      </c>
      <c r="K378" s="10" t="str">
        <f aca="false">IF(OR(A378="",E378="",H378=""),"",ROUND(0.00617*E378^2*H378*J378,2))</f>
        <v/>
      </c>
      <c r="L378" s="9"/>
      <c r="M378" s="10" t="str">
        <f aca="false">IF(A378="","",IF((COUNTIF(Drain_Register!$A$5:$A$304,A378)+COUNTIF(RW_Register!$A$5:$A$304,A378)+COUNTIF(Embedded_Wall_Register!$A$5:$A$304,A378)+COUNTIF(Manhole_Register!$A$5:$A$304,A378)+COUNTIF(ERSS_Pit_Register!$A$5:$A$304,A378)+COUNTIF(Linkway_Register!$A$5:$A$304,A378)+COUNTIF(Other_Register!$A$5:$A$304,A378))&gt;0,"OK","ID not in any register"))</f>
        <v/>
      </c>
    </row>
    <row r="379" customFormat="false" ht="15" hidden="false" customHeight="false" outlineLevel="0" collapsed="false">
      <c r="A379" s="9"/>
      <c r="B379" s="9"/>
      <c r="C379" s="9"/>
      <c r="D379" s="9"/>
      <c r="E379" s="9"/>
      <c r="F379" s="9"/>
      <c r="G379" s="9"/>
      <c r="H379" s="9"/>
      <c r="I379" s="9"/>
      <c r="J379" s="10" t="str">
        <f aca="false">IF(A379="","",IF(G379&lt;&gt;"",G379,IF(N(F379)&gt;0,ROUND(1000/F379,3),0)))</f>
        <v/>
      </c>
      <c r="K379" s="10" t="str">
        <f aca="false">IF(OR(A379="",E379="",H379=""),"",ROUND(0.00617*E379^2*H379*J379,2))</f>
        <v/>
      </c>
      <c r="L379" s="9"/>
      <c r="M379" s="10" t="str">
        <f aca="false">IF(A379="","",IF((COUNTIF(Drain_Register!$A$5:$A$304,A379)+COUNTIF(RW_Register!$A$5:$A$304,A379)+COUNTIF(Embedded_Wall_Register!$A$5:$A$304,A379)+COUNTIF(Manhole_Register!$A$5:$A$304,A379)+COUNTIF(ERSS_Pit_Register!$A$5:$A$304,A379)+COUNTIF(Linkway_Register!$A$5:$A$304,A379)+COUNTIF(Other_Register!$A$5:$A$304,A379))&gt;0,"OK","ID not in any register"))</f>
        <v/>
      </c>
    </row>
    <row r="380" customFormat="false" ht="15" hidden="false" customHeight="false" outlineLevel="0" collapsed="false">
      <c r="A380" s="9"/>
      <c r="B380" s="9"/>
      <c r="C380" s="9"/>
      <c r="D380" s="9"/>
      <c r="E380" s="9"/>
      <c r="F380" s="9"/>
      <c r="G380" s="9"/>
      <c r="H380" s="9"/>
      <c r="I380" s="9"/>
      <c r="J380" s="10" t="str">
        <f aca="false">IF(A380="","",IF(G380&lt;&gt;"",G380,IF(N(F380)&gt;0,ROUND(1000/F380,3),0)))</f>
        <v/>
      </c>
      <c r="K380" s="10" t="str">
        <f aca="false">IF(OR(A380="",E380="",H380=""),"",ROUND(0.00617*E380^2*H380*J380,2))</f>
        <v/>
      </c>
      <c r="L380" s="9"/>
      <c r="M380" s="10" t="str">
        <f aca="false">IF(A380="","",IF((COUNTIF(Drain_Register!$A$5:$A$304,A380)+COUNTIF(RW_Register!$A$5:$A$304,A380)+COUNTIF(Embedded_Wall_Register!$A$5:$A$304,A380)+COUNTIF(Manhole_Register!$A$5:$A$304,A380)+COUNTIF(ERSS_Pit_Register!$A$5:$A$304,A380)+COUNTIF(Linkway_Register!$A$5:$A$304,A380)+COUNTIF(Other_Register!$A$5:$A$304,A380))&gt;0,"OK","ID not in any register"))</f>
        <v/>
      </c>
    </row>
    <row r="381" customFormat="false" ht="15" hidden="false" customHeight="false" outlineLevel="0" collapsed="false">
      <c r="A381" s="9"/>
      <c r="B381" s="9"/>
      <c r="C381" s="9"/>
      <c r="D381" s="9"/>
      <c r="E381" s="9"/>
      <c r="F381" s="9"/>
      <c r="G381" s="9"/>
      <c r="H381" s="9"/>
      <c r="I381" s="9"/>
      <c r="J381" s="10" t="str">
        <f aca="false">IF(A381="","",IF(G381&lt;&gt;"",G381,IF(N(F381)&gt;0,ROUND(1000/F381,3),0)))</f>
        <v/>
      </c>
      <c r="K381" s="10" t="str">
        <f aca="false">IF(OR(A381="",E381="",H381=""),"",ROUND(0.00617*E381^2*H381*J381,2))</f>
        <v/>
      </c>
      <c r="L381" s="9"/>
      <c r="M381" s="10" t="str">
        <f aca="false">IF(A381="","",IF((COUNTIF(Drain_Register!$A$5:$A$304,A381)+COUNTIF(RW_Register!$A$5:$A$304,A381)+COUNTIF(Embedded_Wall_Register!$A$5:$A$304,A381)+COUNTIF(Manhole_Register!$A$5:$A$304,A381)+COUNTIF(ERSS_Pit_Register!$A$5:$A$304,A381)+COUNTIF(Linkway_Register!$A$5:$A$304,A381)+COUNTIF(Other_Register!$A$5:$A$304,A381))&gt;0,"OK","ID not in any register"))</f>
        <v/>
      </c>
    </row>
    <row r="382" customFormat="false" ht="15" hidden="false" customHeight="false" outlineLevel="0" collapsed="false">
      <c r="A382" s="9"/>
      <c r="B382" s="9"/>
      <c r="C382" s="9"/>
      <c r="D382" s="9"/>
      <c r="E382" s="9"/>
      <c r="F382" s="9"/>
      <c r="G382" s="9"/>
      <c r="H382" s="9"/>
      <c r="I382" s="9"/>
      <c r="J382" s="10" t="str">
        <f aca="false">IF(A382="","",IF(G382&lt;&gt;"",G382,IF(N(F382)&gt;0,ROUND(1000/F382,3),0)))</f>
        <v/>
      </c>
      <c r="K382" s="10" t="str">
        <f aca="false">IF(OR(A382="",E382="",H382=""),"",ROUND(0.00617*E382^2*H382*J382,2))</f>
        <v/>
      </c>
      <c r="L382" s="9"/>
      <c r="M382" s="10" t="str">
        <f aca="false">IF(A382="","",IF((COUNTIF(Drain_Register!$A$5:$A$304,A382)+COUNTIF(RW_Register!$A$5:$A$304,A382)+COUNTIF(Embedded_Wall_Register!$A$5:$A$304,A382)+COUNTIF(Manhole_Register!$A$5:$A$304,A382)+COUNTIF(ERSS_Pit_Register!$A$5:$A$304,A382)+COUNTIF(Linkway_Register!$A$5:$A$304,A382)+COUNTIF(Other_Register!$A$5:$A$304,A382))&gt;0,"OK","ID not in any register"))</f>
        <v/>
      </c>
    </row>
    <row r="383" customFormat="false" ht="15" hidden="false" customHeight="false" outlineLevel="0" collapsed="false">
      <c r="A383" s="9"/>
      <c r="B383" s="9"/>
      <c r="C383" s="9"/>
      <c r="D383" s="9"/>
      <c r="E383" s="9"/>
      <c r="F383" s="9"/>
      <c r="G383" s="9"/>
      <c r="H383" s="9"/>
      <c r="I383" s="9"/>
      <c r="J383" s="10" t="str">
        <f aca="false">IF(A383="","",IF(G383&lt;&gt;"",G383,IF(N(F383)&gt;0,ROUND(1000/F383,3),0)))</f>
        <v/>
      </c>
      <c r="K383" s="10" t="str">
        <f aca="false">IF(OR(A383="",E383="",H383=""),"",ROUND(0.00617*E383^2*H383*J383,2))</f>
        <v/>
      </c>
      <c r="L383" s="9"/>
      <c r="M383" s="10" t="str">
        <f aca="false">IF(A383="","",IF((COUNTIF(Drain_Register!$A$5:$A$304,A383)+COUNTIF(RW_Register!$A$5:$A$304,A383)+COUNTIF(Embedded_Wall_Register!$A$5:$A$304,A383)+COUNTIF(Manhole_Register!$A$5:$A$304,A383)+COUNTIF(ERSS_Pit_Register!$A$5:$A$304,A383)+COUNTIF(Linkway_Register!$A$5:$A$304,A383)+COUNTIF(Other_Register!$A$5:$A$304,A383))&gt;0,"OK","ID not in any register"))</f>
        <v/>
      </c>
    </row>
    <row r="384" customFormat="false" ht="15" hidden="false" customHeight="false" outlineLevel="0" collapsed="false">
      <c r="A384" s="9"/>
      <c r="B384" s="9"/>
      <c r="C384" s="9"/>
      <c r="D384" s="9"/>
      <c r="E384" s="9"/>
      <c r="F384" s="9"/>
      <c r="G384" s="9"/>
      <c r="H384" s="9"/>
      <c r="I384" s="9"/>
      <c r="J384" s="10" t="str">
        <f aca="false">IF(A384="","",IF(G384&lt;&gt;"",G384,IF(N(F384)&gt;0,ROUND(1000/F384,3),0)))</f>
        <v/>
      </c>
      <c r="K384" s="10" t="str">
        <f aca="false">IF(OR(A384="",E384="",H384=""),"",ROUND(0.00617*E384^2*H384*J384,2))</f>
        <v/>
      </c>
      <c r="L384" s="9"/>
      <c r="M384" s="10" t="str">
        <f aca="false">IF(A384="","",IF((COUNTIF(Drain_Register!$A$5:$A$304,A384)+COUNTIF(RW_Register!$A$5:$A$304,A384)+COUNTIF(Embedded_Wall_Register!$A$5:$A$304,A384)+COUNTIF(Manhole_Register!$A$5:$A$304,A384)+COUNTIF(ERSS_Pit_Register!$A$5:$A$304,A384)+COUNTIF(Linkway_Register!$A$5:$A$304,A384)+COUNTIF(Other_Register!$A$5:$A$304,A384))&gt;0,"OK","ID not in any register"))</f>
        <v/>
      </c>
    </row>
    <row r="385" customFormat="false" ht="15" hidden="false" customHeight="false" outlineLevel="0" collapsed="false">
      <c r="A385" s="9"/>
      <c r="B385" s="9"/>
      <c r="C385" s="9"/>
      <c r="D385" s="9"/>
      <c r="E385" s="9"/>
      <c r="F385" s="9"/>
      <c r="G385" s="9"/>
      <c r="H385" s="9"/>
      <c r="I385" s="9"/>
      <c r="J385" s="10" t="str">
        <f aca="false">IF(A385="","",IF(G385&lt;&gt;"",G385,IF(N(F385)&gt;0,ROUND(1000/F385,3),0)))</f>
        <v/>
      </c>
      <c r="K385" s="10" t="str">
        <f aca="false">IF(OR(A385="",E385="",H385=""),"",ROUND(0.00617*E385^2*H385*J385,2))</f>
        <v/>
      </c>
      <c r="L385" s="9"/>
      <c r="M385" s="10" t="str">
        <f aca="false">IF(A385="","",IF((COUNTIF(Drain_Register!$A$5:$A$304,A385)+COUNTIF(RW_Register!$A$5:$A$304,A385)+COUNTIF(Embedded_Wall_Register!$A$5:$A$304,A385)+COUNTIF(Manhole_Register!$A$5:$A$304,A385)+COUNTIF(ERSS_Pit_Register!$A$5:$A$304,A385)+COUNTIF(Linkway_Register!$A$5:$A$304,A385)+COUNTIF(Other_Register!$A$5:$A$304,A385))&gt;0,"OK","ID not in any register"))</f>
        <v/>
      </c>
    </row>
    <row r="386" customFormat="false" ht="15" hidden="false" customHeight="false" outlineLevel="0" collapsed="false">
      <c r="A386" s="9"/>
      <c r="B386" s="9"/>
      <c r="C386" s="9"/>
      <c r="D386" s="9"/>
      <c r="E386" s="9"/>
      <c r="F386" s="9"/>
      <c r="G386" s="9"/>
      <c r="H386" s="9"/>
      <c r="I386" s="9"/>
      <c r="J386" s="10" t="str">
        <f aca="false">IF(A386="","",IF(G386&lt;&gt;"",G386,IF(N(F386)&gt;0,ROUND(1000/F386,3),0)))</f>
        <v/>
      </c>
      <c r="K386" s="10" t="str">
        <f aca="false">IF(OR(A386="",E386="",H386=""),"",ROUND(0.00617*E386^2*H386*J386,2))</f>
        <v/>
      </c>
      <c r="L386" s="9"/>
      <c r="M386" s="10" t="str">
        <f aca="false">IF(A386="","",IF((COUNTIF(Drain_Register!$A$5:$A$304,A386)+COUNTIF(RW_Register!$A$5:$A$304,A386)+COUNTIF(Embedded_Wall_Register!$A$5:$A$304,A386)+COUNTIF(Manhole_Register!$A$5:$A$304,A386)+COUNTIF(ERSS_Pit_Register!$A$5:$A$304,A386)+COUNTIF(Linkway_Register!$A$5:$A$304,A386)+COUNTIF(Other_Register!$A$5:$A$304,A386))&gt;0,"OK","ID not in any register"))</f>
        <v/>
      </c>
    </row>
    <row r="387" customFormat="false" ht="15" hidden="false" customHeight="false" outlineLevel="0" collapsed="false">
      <c r="A387" s="9"/>
      <c r="B387" s="9"/>
      <c r="C387" s="9"/>
      <c r="D387" s="9"/>
      <c r="E387" s="9"/>
      <c r="F387" s="9"/>
      <c r="G387" s="9"/>
      <c r="H387" s="9"/>
      <c r="I387" s="9"/>
      <c r="J387" s="10" t="str">
        <f aca="false">IF(A387="","",IF(G387&lt;&gt;"",G387,IF(N(F387)&gt;0,ROUND(1000/F387,3),0)))</f>
        <v/>
      </c>
      <c r="K387" s="10" t="str">
        <f aca="false">IF(OR(A387="",E387="",H387=""),"",ROUND(0.00617*E387^2*H387*J387,2))</f>
        <v/>
      </c>
      <c r="L387" s="9"/>
      <c r="M387" s="10" t="str">
        <f aca="false">IF(A387="","",IF((COUNTIF(Drain_Register!$A$5:$A$304,A387)+COUNTIF(RW_Register!$A$5:$A$304,A387)+COUNTIF(Embedded_Wall_Register!$A$5:$A$304,A387)+COUNTIF(Manhole_Register!$A$5:$A$304,A387)+COUNTIF(ERSS_Pit_Register!$A$5:$A$304,A387)+COUNTIF(Linkway_Register!$A$5:$A$304,A387)+COUNTIF(Other_Register!$A$5:$A$304,A387))&gt;0,"OK","ID not in any register"))</f>
        <v/>
      </c>
    </row>
    <row r="388" customFormat="false" ht="15" hidden="false" customHeight="false" outlineLevel="0" collapsed="false">
      <c r="A388" s="9"/>
      <c r="B388" s="9"/>
      <c r="C388" s="9"/>
      <c r="D388" s="9"/>
      <c r="E388" s="9"/>
      <c r="F388" s="9"/>
      <c r="G388" s="9"/>
      <c r="H388" s="9"/>
      <c r="I388" s="9"/>
      <c r="J388" s="10" t="str">
        <f aca="false">IF(A388="","",IF(G388&lt;&gt;"",G388,IF(N(F388)&gt;0,ROUND(1000/F388,3),0)))</f>
        <v/>
      </c>
      <c r="K388" s="10" t="str">
        <f aca="false">IF(OR(A388="",E388="",H388=""),"",ROUND(0.00617*E388^2*H388*J388,2))</f>
        <v/>
      </c>
      <c r="L388" s="9"/>
      <c r="M388" s="10" t="str">
        <f aca="false">IF(A388="","",IF((COUNTIF(Drain_Register!$A$5:$A$304,A388)+COUNTIF(RW_Register!$A$5:$A$304,A388)+COUNTIF(Embedded_Wall_Register!$A$5:$A$304,A388)+COUNTIF(Manhole_Register!$A$5:$A$304,A388)+COUNTIF(ERSS_Pit_Register!$A$5:$A$304,A388)+COUNTIF(Linkway_Register!$A$5:$A$304,A388)+COUNTIF(Other_Register!$A$5:$A$304,A388))&gt;0,"OK","ID not in any register"))</f>
        <v/>
      </c>
    </row>
    <row r="389" customFormat="false" ht="15" hidden="false" customHeight="false" outlineLevel="0" collapsed="false">
      <c r="A389" s="9"/>
      <c r="B389" s="9"/>
      <c r="C389" s="9"/>
      <c r="D389" s="9"/>
      <c r="E389" s="9"/>
      <c r="F389" s="9"/>
      <c r="G389" s="9"/>
      <c r="H389" s="9"/>
      <c r="I389" s="9"/>
      <c r="J389" s="10" t="str">
        <f aca="false">IF(A389="","",IF(G389&lt;&gt;"",G389,IF(N(F389)&gt;0,ROUND(1000/F389,3),0)))</f>
        <v/>
      </c>
      <c r="K389" s="10" t="str">
        <f aca="false">IF(OR(A389="",E389="",H389=""),"",ROUND(0.00617*E389^2*H389*J389,2))</f>
        <v/>
      </c>
      <c r="L389" s="9"/>
      <c r="M389" s="10" t="str">
        <f aca="false">IF(A389="","",IF((COUNTIF(Drain_Register!$A$5:$A$304,A389)+COUNTIF(RW_Register!$A$5:$A$304,A389)+COUNTIF(Embedded_Wall_Register!$A$5:$A$304,A389)+COUNTIF(Manhole_Register!$A$5:$A$304,A389)+COUNTIF(ERSS_Pit_Register!$A$5:$A$304,A389)+COUNTIF(Linkway_Register!$A$5:$A$304,A389)+COUNTIF(Other_Register!$A$5:$A$304,A389))&gt;0,"OK","ID not in any register"))</f>
        <v/>
      </c>
    </row>
    <row r="390" customFormat="false" ht="15" hidden="false" customHeight="false" outlineLevel="0" collapsed="false">
      <c r="A390" s="9"/>
      <c r="B390" s="9"/>
      <c r="C390" s="9"/>
      <c r="D390" s="9"/>
      <c r="E390" s="9"/>
      <c r="F390" s="9"/>
      <c r="G390" s="9"/>
      <c r="H390" s="9"/>
      <c r="I390" s="9"/>
      <c r="J390" s="10" t="str">
        <f aca="false">IF(A390="","",IF(G390&lt;&gt;"",G390,IF(N(F390)&gt;0,ROUND(1000/F390,3),0)))</f>
        <v/>
      </c>
      <c r="K390" s="10" t="str">
        <f aca="false">IF(OR(A390="",E390="",H390=""),"",ROUND(0.00617*E390^2*H390*J390,2))</f>
        <v/>
      </c>
      <c r="L390" s="9"/>
      <c r="M390" s="10" t="str">
        <f aca="false">IF(A390="","",IF((COUNTIF(Drain_Register!$A$5:$A$304,A390)+COUNTIF(RW_Register!$A$5:$A$304,A390)+COUNTIF(Embedded_Wall_Register!$A$5:$A$304,A390)+COUNTIF(Manhole_Register!$A$5:$A$304,A390)+COUNTIF(ERSS_Pit_Register!$A$5:$A$304,A390)+COUNTIF(Linkway_Register!$A$5:$A$304,A390)+COUNTIF(Other_Register!$A$5:$A$304,A390))&gt;0,"OK","ID not in any register"))</f>
        <v/>
      </c>
    </row>
    <row r="391" customFormat="false" ht="15" hidden="false" customHeight="false" outlineLevel="0" collapsed="false">
      <c r="A391" s="9"/>
      <c r="B391" s="9"/>
      <c r="C391" s="9"/>
      <c r="D391" s="9"/>
      <c r="E391" s="9"/>
      <c r="F391" s="9"/>
      <c r="G391" s="9"/>
      <c r="H391" s="9"/>
      <c r="I391" s="9"/>
      <c r="J391" s="10" t="str">
        <f aca="false">IF(A391="","",IF(G391&lt;&gt;"",G391,IF(N(F391)&gt;0,ROUND(1000/F391,3),0)))</f>
        <v/>
      </c>
      <c r="K391" s="10" t="str">
        <f aca="false">IF(OR(A391="",E391="",H391=""),"",ROUND(0.00617*E391^2*H391*J391,2))</f>
        <v/>
      </c>
      <c r="L391" s="9"/>
      <c r="M391" s="10" t="str">
        <f aca="false">IF(A391="","",IF((COUNTIF(Drain_Register!$A$5:$A$304,A391)+COUNTIF(RW_Register!$A$5:$A$304,A391)+COUNTIF(Embedded_Wall_Register!$A$5:$A$304,A391)+COUNTIF(Manhole_Register!$A$5:$A$304,A391)+COUNTIF(ERSS_Pit_Register!$A$5:$A$304,A391)+COUNTIF(Linkway_Register!$A$5:$A$304,A391)+COUNTIF(Other_Register!$A$5:$A$304,A391))&gt;0,"OK","ID not in any register"))</f>
        <v/>
      </c>
    </row>
    <row r="392" customFormat="false" ht="15" hidden="false" customHeight="false" outlineLevel="0" collapsed="false">
      <c r="A392" s="9"/>
      <c r="B392" s="9"/>
      <c r="C392" s="9"/>
      <c r="D392" s="9"/>
      <c r="E392" s="9"/>
      <c r="F392" s="9"/>
      <c r="G392" s="9"/>
      <c r="H392" s="9"/>
      <c r="I392" s="9"/>
      <c r="J392" s="10" t="str">
        <f aca="false">IF(A392="","",IF(G392&lt;&gt;"",G392,IF(N(F392)&gt;0,ROUND(1000/F392,3),0)))</f>
        <v/>
      </c>
      <c r="K392" s="10" t="str">
        <f aca="false">IF(OR(A392="",E392="",H392=""),"",ROUND(0.00617*E392^2*H392*J392,2))</f>
        <v/>
      </c>
      <c r="L392" s="9"/>
      <c r="M392" s="10" t="str">
        <f aca="false">IF(A392="","",IF((COUNTIF(Drain_Register!$A$5:$A$304,A392)+COUNTIF(RW_Register!$A$5:$A$304,A392)+COUNTIF(Embedded_Wall_Register!$A$5:$A$304,A392)+COUNTIF(Manhole_Register!$A$5:$A$304,A392)+COUNTIF(ERSS_Pit_Register!$A$5:$A$304,A392)+COUNTIF(Linkway_Register!$A$5:$A$304,A392)+COUNTIF(Other_Register!$A$5:$A$304,A392))&gt;0,"OK","ID not in any register"))</f>
        <v/>
      </c>
    </row>
    <row r="393" customFormat="false" ht="15" hidden="false" customHeight="false" outlineLevel="0" collapsed="false">
      <c r="A393" s="9"/>
      <c r="B393" s="9"/>
      <c r="C393" s="9"/>
      <c r="D393" s="9"/>
      <c r="E393" s="9"/>
      <c r="F393" s="9"/>
      <c r="G393" s="9"/>
      <c r="H393" s="9"/>
      <c r="I393" s="9"/>
      <c r="J393" s="10" t="str">
        <f aca="false">IF(A393="","",IF(G393&lt;&gt;"",G393,IF(N(F393)&gt;0,ROUND(1000/F393,3),0)))</f>
        <v/>
      </c>
      <c r="K393" s="10" t="str">
        <f aca="false">IF(OR(A393="",E393="",H393=""),"",ROUND(0.00617*E393^2*H393*J393,2))</f>
        <v/>
      </c>
      <c r="L393" s="9"/>
      <c r="M393" s="10" t="str">
        <f aca="false">IF(A393="","",IF((COUNTIF(Drain_Register!$A$5:$A$304,A393)+COUNTIF(RW_Register!$A$5:$A$304,A393)+COUNTIF(Embedded_Wall_Register!$A$5:$A$304,A393)+COUNTIF(Manhole_Register!$A$5:$A$304,A393)+COUNTIF(ERSS_Pit_Register!$A$5:$A$304,A393)+COUNTIF(Linkway_Register!$A$5:$A$304,A393)+COUNTIF(Other_Register!$A$5:$A$304,A393))&gt;0,"OK","ID not in any register"))</f>
        <v/>
      </c>
    </row>
    <row r="394" customFormat="false" ht="15" hidden="false" customHeight="false" outlineLevel="0" collapsed="false">
      <c r="A394" s="9"/>
      <c r="B394" s="9"/>
      <c r="C394" s="9"/>
      <c r="D394" s="9"/>
      <c r="E394" s="9"/>
      <c r="F394" s="9"/>
      <c r="G394" s="9"/>
      <c r="H394" s="9"/>
      <c r="I394" s="9"/>
      <c r="J394" s="10" t="str">
        <f aca="false">IF(A394="","",IF(G394&lt;&gt;"",G394,IF(N(F394)&gt;0,ROUND(1000/F394,3),0)))</f>
        <v/>
      </c>
      <c r="K394" s="10" t="str">
        <f aca="false">IF(OR(A394="",E394="",H394=""),"",ROUND(0.00617*E394^2*H394*J394,2))</f>
        <v/>
      </c>
      <c r="L394" s="9"/>
      <c r="M394" s="10" t="str">
        <f aca="false">IF(A394="","",IF((COUNTIF(Drain_Register!$A$5:$A$304,A394)+COUNTIF(RW_Register!$A$5:$A$304,A394)+COUNTIF(Embedded_Wall_Register!$A$5:$A$304,A394)+COUNTIF(Manhole_Register!$A$5:$A$304,A394)+COUNTIF(ERSS_Pit_Register!$A$5:$A$304,A394)+COUNTIF(Linkway_Register!$A$5:$A$304,A394)+COUNTIF(Other_Register!$A$5:$A$304,A394))&gt;0,"OK","ID not in any register"))</f>
        <v/>
      </c>
    </row>
    <row r="395" customFormat="false" ht="15" hidden="false" customHeight="false" outlineLevel="0" collapsed="false">
      <c r="A395" s="9"/>
      <c r="B395" s="9"/>
      <c r="C395" s="9"/>
      <c r="D395" s="9"/>
      <c r="E395" s="9"/>
      <c r="F395" s="9"/>
      <c r="G395" s="9"/>
      <c r="H395" s="9"/>
      <c r="I395" s="9"/>
      <c r="J395" s="10" t="str">
        <f aca="false">IF(A395="","",IF(G395&lt;&gt;"",G395,IF(N(F395)&gt;0,ROUND(1000/F395,3),0)))</f>
        <v/>
      </c>
      <c r="K395" s="10" t="str">
        <f aca="false">IF(OR(A395="",E395="",H395=""),"",ROUND(0.00617*E395^2*H395*J395,2))</f>
        <v/>
      </c>
      <c r="L395" s="9"/>
      <c r="M395" s="10" t="str">
        <f aca="false">IF(A395="","",IF((COUNTIF(Drain_Register!$A$5:$A$304,A395)+COUNTIF(RW_Register!$A$5:$A$304,A395)+COUNTIF(Embedded_Wall_Register!$A$5:$A$304,A395)+COUNTIF(Manhole_Register!$A$5:$A$304,A395)+COUNTIF(ERSS_Pit_Register!$A$5:$A$304,A395)+COUNTIF(Linkway_Register!$A$5:$A$304,A395)+COUNTIF(Other_Register!$A$5:$A$304,A395))&gt;0,"OK","ID not in any register"))</f>
        <v/>
      </c>
    </row>
    <row r="396" customFormat="false" ht="15" hidden="false" customHeight="false" outlineLevel="0" collapsed="false">
      <c r="A396" s="9"/>
      <c r="B396" s="9"/>
      <c r="C396" s="9"/>
      <c r="D396" s="9"/>
      <c r="E396" s="9"/>
      <c r="F396" s="9"/>
      <c r="G396" s="9"/>
      <c r="H396" s="9"/>
      <c r="I396" s="9"/>
      <c r="J396" s="10" t="str">
        <f aca="false">IF(A396="","",IF(G396&lt;&gt;"",G396,IF(N(F396)&gt;0,ROUND(1000/F396,3),0)))</f>
        <v/>
      </c>
      <c r="K396" s="10" t="str">
        <f aca="false">IF(OR(A396="",E396="",H396=""),"",ROUND(0.00617*E396^2*H396*J396,2))</f>
        <v/>
      </c>
      <c r="L396" s="9"/>
      <c r="M396" s="10" t="str">
        <f aca="false">IF(A396="","",IF((COUNTIF(Drain_Register!$A$5:$A$304,A396)+COUNTIF(RW_Register!$A$5:$A$304,A396)+COUNTIF(Embedded_Wall_Register!$A$5:$A$304,A396)+COUNTIF(Manhole_Register!$A$5:$A$304,A396)+COUNTIF(ERSS_Pit_Register!$A$5:$A$304,A396)+COUNTIF(Linkway_Register!$A$5:$A$304,A396)+COUNTIF(Other_Register!$A$5:$A$304,A396))&gt;0,"OK","ID not in any register"))</f>
        <v/>
      </c>
    </row>
    <row r="397" customFormat="false" ht="15" hidden="false" customHeight="false" outlineLevel="0" collapsed="false">
      <c r="A397" s="9"/>
      <c r="B397" s="9"/>
      <c r="C397" s="9"/>
      <c r="D397" s="9"/>
      <c r="E397" s="9"/>
      <c r="F397" s="9"/>
      <c r="G397" s="9"/>
      <c r="H397" s="9"/>
      <c r="I397" s="9"/>
      <c r="J397" s="10" t="str">
        <f aca="false">IF(A397="","",IF(G397&lt;&gt;"",G397,IF(N(F397)&gt;0,ROUND(1000/F397,3),0)))</f>
        <v/>
      </c>
      <c r="K397" s="10" t="str">
        <f aca="false">IF(OR(A397="",E397="",H397=""),"",ROUND(0.00617*E397^2*H397*J397,2))</f>
        <v/>
      </c>
      <c r="L397" s="9"/>
      <c r="M397" s="10" t="str">
        <f aca="false">IF(A397="","",IF((COUNTIF(Drain_Register!$A$5:$A$304,A397)+COUNTIF(RW_Register!$A$5:$A$304,A397)+COUNTIF(Embedded_Wall_Register!$A$5:$A$304,A397)+COUNTIF(Manhole_Register!$A$5:$A$304,A397)+COUNTIF(ERSS_Pit_Register!$A$5:$A$304,A397)+COUNTIF(Linkway_Register!$A$5:$A$304,A397)+COUNTIF(Other_Register!$A$5:$A$304,A397))&gt;0,"OK","ID not in any register"))</f>
        <v/>
      </c>
    </row>
    <row r="398" customFormat="false" ht="15" hidden="false" customHeight="false" outlineLevel="0" collapsed="false">
      <c r="A398" s="9"/>
      <c r="B398" s="9"/>
      <c r="C398" s="9"/>
      <c r="D398" s="9"/>
      <c r="E398" s="9"/>
      <c r="F398" s="9"/>
      <c r="G398" s="9"/>
      <c r="H398" s="9"/>
      <c r="I398" s="9"/>
      <c r="J398" s="10" t="str">
        <f aca="false">IF(A398="","",IF(G398&lt;&gt;"",G398,IF(N(F398)&gt;0,ROUND(1000/F398,3),0)))</f>
        <v/>
      </c>
      <c r="K398" s="10" t="str">
        <f aca="false">IF(OR(A398="",E398="",H398=""),"",ROUND(0.00617*E398^2*H398*J398,2))</f>
        <v/>
      </c>
      <c r="L398" s="9"/>
      <c r="M398" s="10" t="str">
        <f aca="false">IF(A398="","",IF((COUNTIF(Drain_Register!$A$5:$A$304,A398)+COUNTIF(RW_Register!$A$5:$A$304,A398)+COUNTIF(Embedded_Wall_Register!$A$5:$A$304,A398)+COUNTIF(Manhole_Register!$A$5:$A$304,A398)+COUNTIF(ERSS_Pit_Register!$A$5:$A$304,A398)+COUNTIF(Linkway_Register!$A$5:$A$304,A398)+COUNTIF(Other_Register!$A$5:$A$304,A398))&gt;0,"OK","ID not in any register"))</f>
        <v/>
      </c>
    </row>
    <row r="399" customFormat="false" ht="15" hidden="false" customHeight="false" outlineLevel="0" collapsed="false">
      <c r="A399" s="9"/>
      <c r="B399" s="9"/>
      <c r="C399" s="9"/>
      <c r="D399" s="9"/>
      <c r="E399" s="9"/>
      <c r="F399" s="9"/>
      <c r="G399" s="9"/>
      <c r="H399" s="9"/>
      <c r="I399" s="9"/>
      <c r="J399" s="10" t="str">
        <f aca="false">IF(A399="","",IF(G399&lt;&gt;"",G399,IF(N(F399)&gt;0,ROUND(1000/F399,3),0)))</f>
        <v/>
      </c>
      <c r="K399" s="10" t="str">
        <f aca="false">IF(OR(A399="",E399="",H399=""),"",ROUND(0.00617*E399^2*H399*J399,2))</f>
        <v/>
      </c>
      <c r="L399" s="9"/>
      <c r="M399" s="10" t="str">
        <f aca="false">IF(A399="","",IF((COUNTIF(Drain_Register!$A$5:$A$304,A399)+COUNTIF(RW_Register!$A$5:$A$304,A399)+COUNTIF(Embedded_Wall_Register!$A$5:$A$304,A399)+COUNTIF(Manhole_Register!$A$5:$A$304,A399)+COUNTIF(ERSS_Pit_Register!$A$5:$A$304,A399)+COUNTIF(Linkway_Register!$A$5:$A$304,A399)+COUNTIF(Other_Register!$A$5:$A$304,A399))&gt;0,"OK","ID not in any register"))</f>
        <v/>
      </c>
    </row>
    <row r="400" customFormat="false" ht="15" hidden="false" customHeight="false" outlineLevel="0" collapsed="false">
      <c r="A400" s="9"/>
      <c r="B400" s="9"/>
      <c r="C400" s="9"/>
      <c r="D400" s="9"/>
      <c r="E400" s="9"/>
      <c r="F400" s="9"/>
      <c r="G400" s="9"/>
      <c r="H400" s="9"/>
      <c r="I400" s="9"/>
      <c r="J400" s="10" t="str">
        <f aca="false">IF(A400="","",IF(G400&lt;&gt;"",G400,IF(N(F400)&gt;0,ROUND(1000/F400,3),0)))</f>
        <v/>
      </c>
      <c r="K400" s="10" t="str">
        <f aca="false">IF(OR(A400="",E400="",H400=""),"",ROUND(0.00617*E400^2*H400*J400,2))</f>
        <v/>
      </c>
      <c r="L400" s="9"/>
      <c r="M400" s="10" t="str">
        <f aca="false">IF(A400="","",IF((COUNTIF(Drain_Register!$A$5:$A$304,A400)+COUNTIF(RW_Register!$A$5:$A$304,A400)+COUNTIF(Embedded_Wall_Register!$A$5:$A$304,A400)+COUNTIF(Manhole_Register!$A$5:$A$304,A400)+COUNTIF(ERSS_Pit_Register!$A$5:$A$304,A400)+COUNTIF(Linkway_Register!$A$5:$A$304,A400)+COUNTIF(Other_Register!$A$5:$A$304,A400))&gt;0,"OK","ID not in any register"))</f>
        <v/>
      </c>
    </row>
    <row r="401" customFormat="false" ht="15" hidden="false" customHeight="false" outlineLevel="0" collapsed="false">
      <c r="A401" s="9"/>
      <c r="B401" s="9"/>
      <c r="C401" s="9"/>
      <c r="D401" s="9"/>
      <c r="E401" s="9"/>
      <c r="F401" s="9"/>
      <c r="G401" s="9"/>
      <c r="H401" s="9"/>
      <c r="I401" s="9"/>
      <c r="J401" s="10" t="str">
        <f aca="false">IF(A401="","",IF(G401&lt;&gt;"",G401,IF(N(F401)&gt;0,ROUND(1000/F401,3),0)))</f>
        <v/>
      </c>
      <c r="K401" s="10" t="str">
        <f aca="false">IF(OR(A401="",E401="",H401=""),"",ROUND(0.00617*E401^2*H401*J401,2))</f>
        <v/>
      </c>
      <c r="L401" s="9"/>
      <c r="M401" s="10" t="str">
        <f aca="false">IF(A401="","",IF((COUNTIF(Drain_Register!$A$5:$A$304,A401)+COUNTIF(RW_Register!$A$5:$A$304,A401)+COUNTIF(Embedded_Wall_Register!$A$5:$A$304,A401)+COUNTIF(Manhole_Register!$A$5:$A$304,A401)+COUNTIF(ERSS_Pit_Register!$A$5:$A$304,A401)+COUNTIF(Linkway_Register!$A$5:$A$304,A401)+COUNTIF(Other_Register!$A$5:$A$304,A401))&gt;0,"OK","ID not in any register"))</f>
        <v/>
      </c>
    </row>
    <row r="402" customFormat="false" ht="15" hidden="false" customHeight="false" outlineLevel="0" collapsed="false">
      <c r="A402" s="9"/>
      <c r="B402" s="9"/>
      <c r="C402" s="9"/>
      <c r="D402" s="9"/>
      <c r="E402" s="9"/>
      <c r="F402" s="9"/>
      <c r="G402" s="9"/>
      <c r="H402" s="9"/>
      <c r="I402" s="9"/>
      <c r="J402" s="10" t="str">
        <f aca="false">IF(A402="","",IF(G402&lt;&gt;"",G402,IF(N(F402)&gt;0,ROUND(1000/F402,3),0)))</f>
        <v/>
      </c>
      <c r="K402" s="10" t="str">
        <f aca="false">IF(OR(A402="",E402="",H402=""),"",ROUND(0.00617*E402^2*H402*J402,2))</f>
        <v/>
      </c>
      <c r="L402" s="9"/>
      <c r="M402" s="10" t="str">
        <f aca="false">IF(A402="","",IF((COUNTIF(Drain_Register!$A$5:$A$304,A402)+COUNTIF(RW_Register!$A$5:$A$304,A402)+COUNTIF(Embedded_Wall_Register!$A$5:$A$304,A402)+COUNTIF(Manhole_Register!$A$5:$A$304,A402)+COUNTIF(ERSS_Pit_Register!$A$5:$A$304,A402)+COUNTIF(Linkway_Register!$A$5:$A$304,A402)+COUNTIF(Other_Register!$A$5:$A$304,A402))&gt;0,"OK","ID not in any register"))</f>
        <v/>
      </c>
    </row>
    <row r="403" customFormat="false" ht="15" hidden="false" customHeight="false" outlineLevel="0" collapsed="false">
      <c r="A403" s="9"/>
      <c r="B403" s="9"/>
      <c r="C403" s="9"/>
      <c r="D403" s="9"/>
      <c r="E403" s="9"/>
      <c r="F403" s="9"/>
      <c r="G403" s="9"/>
      <c r="H403" s="9"/>
      <c r="I403" s="9"/>
      <c r="J403" s="10" t="str">
        <f aca="false">IF(A403="","",IF(G403&lt;&gt;"",G403,IF(N(F403)&gt;0,ROUND(1000/F403,3),0)))</f>
        <v/>
      </c>
      <c r="K403" s="10" t="str">
        <f aca="false">IF(OR(A403="",E403="",H403=""),"",ROUND(0.00617*E403^2*H403*J403,2))</f>
        <v/>
      </c>
      <c r="L403" s="9"/>
      <c r="M403" s="10" t="str">
        <f aca="false">IF(A403="","",IF((COUNTIF(Drain_Register!$A$5:$A$304,A403)+COUNTIF(RW_Register!$A$5:$A$304,A403)+COUNTIF(Embedded_Wall_Register!$A$5:$A$304,A403)+COUNTIF(Manhole_Register!$A$5:$A$304,A403)+COUNTIF(ERSS_Pit_Register!$A$5:$A$304,A403)+COUNTIF(Linkway_Register!$A$5:$A$304,A403)+COUNTIF(Other_Register!$A$5:$A$304,A403))&gt;0,"OK","ID not in any register"))</f>
        <v/>
      </c>
    </row>
    <row r="404" customFormat="false" ht="15" hidden="false" customHeight="false" outlineLevel="0" collapsed="false">
      <c r="A404" s="9"/>
      <c r="B404" s="9"/>
      <c r="C404" s="9"/>
      <c r="D404" s="9"/>
      <c r="E404" s="9"/>
      <c r="F404" s="9"/>
      <c r="G404" s="9"/>
      <c r="H404" s="9"/>
      <c r="I404" s="9"/>
      <c r="J404" s="10" t="str">
        <f aca="false">IF(A404="","",IF(G404&lt;&gt;"",G404,IF(N(F404)&gt;0,ROUND(1000/F404,3),0)))</f>
        <v/>
      </c>
      <c r="K404" s="10" t="str">
        <f aca="false">IF(OR(A404="",E404="",H404=""),"",ROUND(0.00617*E404^2*H404*J404,2))</f>
        <v/>
      </c>
      <c r="L404" s="9"/>
      <c r="M404" s="10" t="str">
        <f aca="false">IF(A404="","",IF((COUNTIF(Drain_Register!$A$5:$A$304,A404)+COUNTIF(RW_Register!$A$5:$A$304,A404)+COUNTIF(Embedded_Wall_Register!$A$5:$A$304,A404)+COUNTIF(Manhole_Register!$A$5:$A$304,A404)+COUNTIF(ERSS_Pit_Register!$A$5:$A$304,A404)+COUNTIF(Linkway_Register!$A$5:$A$304,A404)+COUNTIF(Other_Register!$A$5:$A$304,A404))&gt;0,"OK","ID not in any register"))</f>
        <v/>
      </c>
    </row>
    <row r="405" customFormat="false" ht="15" hidden="false" customHeight="false" outlineLevel="0" collapsed="false">
      <c r="A405" s="9"/>
      <c r="B405" s="9"/>
      <c r="C405" s="9"/>
      <c r="D405" s="9"/>
      <c r="E405" s="9"/>
      <c r="F405" s="9"/>
      <c r="G405" s="9"/>
      <c r="H405" s="9"/>
      <c r="I405" s="9"/>
      <c r="J405" s="10" t="str">
        <f aca="false">IF(A405="","",IF(G405&lt;&gt;"",G405,IF(N(F405)&gt;0,ROUND(1000/F405,3),0)))</f>
        <v/>
      </c>
      <c r="K405" s="10" t="str">
        <f aca="false">IF(OR(A405="",E405="",H405=""),"",ROUND(0.00617*E405^2*H405*J405,2))</f>
        <v/>
      </c>
      <c r="L405" s="9"/>
      <c r="M405" s="10" t="str">
        <f aca="false">IF(A405="","",IF((COUNTIF(Drain_Register!$A$5:$A$304,A405)+COUNTIF(RW_Register!$A$5:$A$304,A405)+COUNTIF(Embedded_Wall_Register!$A$5:$A$304,A405)+COUNTIF(Manhole_Register!$A$5:$A$304,A405)+COUNTIF(ERSS_Pit_Register!$A$5:$A$304,A405)+COUNTIF(Linkway_Register!$A$5:$A$304,A405)+COUNTIF(Other_Register!$A$5:$A$304,A405))&gt;0,"OK","ID not in any register"))</f>
        <v/>
      </c>
    </row>
    <row r="406" customFormat="false" ht="15" hidden="false" customHeight="false" outlineLevel="0" collapsed="false">
      <c r="A406" s="9"/>
      <c r="B406" s="9"/>
      <c r="C406" s="9"/>
      <c r="D406" s="9"/>
      <c r="E406" s="9"/>
      <c r="F406" s="9"/>
      <c r="G406" s="9"/>
      <c r="H406" s="9"/>
      <c r="I406" s="9"/>
      <c r="J406" s="10" t="str">
        <f aca="false">IF(A406="","",IF(G406&lt;&gt;"",G406,IF(N(F406)&gt;0,ROUND(1000/F406,3),0)))</f>
        <v/>
      </c>
      <c r="K406" s="10" t="str">
        <f aca="false">IF(OR(A406="",E406="",H406=""),"",ROUND(0.00617*E406^2*H406*J406,2))</f>
        <v/>
      </c>
      <c r="L406" s="9"/>
      <c r="M406" s="10" t="str">
        <f aca="false">IF(A406="","",IF((COUNTIF(Drain_Register!$A$5:$A$304,A406)+COUNTIF(RW_Register!$A$5:$A$304,A406)+COUNTIF(Embedded_Wall_Register!$A$5:$A$304,A406)+COUNTIF(Manhole_Register!$A$5:$A$304,A406)+COUNTIF(ERSS_Pit_Register!$A$5:$A$304,A406)+COUNTIF(Linkway_Register!$A$5:$A$304,A406)+COUNTIF(Other_Register!$A$5:$A$304,A406))&gt;0,"OK","ID not in any register"))</f>
        <v/>
      </c>
    </row>
    <row r="407" customFormat="false" ht="15" hidden="false" customHeight="false" outlineLevel="0" collapsed="false">
      <c r="A407" s="9"/>
      <c r="B407" s="9"/>
      <c r="C407" s="9"/>
      <c r="D407" s="9"/>
      <c r="E407" s="9"/>
      <c r="F407" s="9"/>
      <c r="G407" s="9"/>
      <c r="H407" s="9"/>
      <c r="I407" s="9"/>
      <c r="J407" s="10" t="str">
        <f aca="false">IF(A407="","",IF(G407&lt;&gt;"",G407,IF(N(F407)&gt;0,ROUND(1000/F407,3),0)))</f>
        <v/>
      </c>
      <c r="K407" s="10" t="str">
        <f aca="false">IF(OR(A407="",E407="",H407=""),"",ROUND(0.00617*E407^2*H407*J407,2))</f>
        <v/>
      </c>
      <c r="L407" s="9"/>
      <c r="M407" s="10" t="str">
        <f aca="false">IF(A407="","",IF((COUNTIF(Drain_Register!$A$5:$A$304,A407)+COUNTIF(RW_Register!$A$5:$A$304,A407)+COUNTIF(Embedded_Wall_Register!$A$5:$A$304,A407)+COUNTIF(Manhole_Register!$A$5:$A$304,A407)+COUNTIF(ERSS_Pit_Register!$A$5:$A$304,A407)+COUNTIF(Linkway_Register!$A$5:$A$304,A407)+COUNTIF(Other_Register!$A$5:$A$304,A407))&gt;0,"OK","ID not in any register"))</f>
        <v/>
      </c>
    </row>
    <row r="408" customFormat="false" ht="15" hidden="false" customHeight="false" outlineLevel="0" collapsed="false">
      <c r="A408" s="9"/>
      <c r="B408" s="9"/>
      <c r="C408" s="9"/>
      <c r="D408" s="9"/>
      <c r="E408" s="9"/>
      <c r="F408" s="9"/>
      <c r="G408" s="9"/>
      <c r="H408" s="9"/>
      <c r="I408" s="9"/>
      <c r="J408" s="10" t="str">
        <f aca="false">IF(A408="","",IF(G408&lt;&gt;"",G408,IF(N(F408)&gt;0,ROUND(1000/F408,3),0)))</f>
        <v/>
      </c>
      <c r="K408" s="10" t="str">
        <f aca="false">IF(OR(A408="",E408="",H408=""),"",ROUND(0.00617*E408^2*H408*J408,2))</f>
        <v/>
      </c>
      <c r="L408" s="9"/>
      <c r="M408" s="10" t="str">
        <f aca="false">IF(A408="","",IF((COUNTIF(Drain_Register!$A$5:$A$304,A408)+COUNTIF(RW_Register!$A$5:$A$304,A408)+COUNTIF(Embedded_Wall_Register!$A$5:$A$304,A408)+COUNTIF(Manhole_Register!$A$5:$A$304,A408)+COUNTIF(ERSS_Pit_Register!$A$5:$A$304,A408)+COUNTIF(Linkway_Register!$A$5:$A$304,A408)+COUNTIF(Other_Register!$A$5:$A$304,A408))&gt;0,"OK","ID not in any register"))</f>
        <v/>
      </c>
    </row>
    <row r="409" customFormat="false" ht="15" hidden="false" customHeight="false" outlineLevel="0" collapsed="false">
      <c r="A409" s="9"/>
      <c r="B409" s="9"/>
      <c r="C409" s="9"/>
      <c r="D409" s="9"/>
      <c r="E409" s="9"/>
      <c r="F409" s="9"/>
      <c r="G409" s="9"/>
      <c r="H409" s="9"/>
      <c r="I409" s="9"/>
      <c r="J409" s="10" t="str">
        <f aca="false">IF(A409="","",IF(G409&lt;&gt;"",G409,IF(N(F409)&gt;0,ROUND(1000/F409,3),0)))</f>
        <v/>
      </c>
      <c r="K409" s="10" t="str">
        <f aca="false">IF(OR(A409="",E409="",H409=""),"",ROUND(0.00617*E409^2*H409*J409,2))</f>
        <v/>
      </c>
      <c r="L409" s="9"/>
      <c r="M409" s="10" t="str">
        <f aca="false">IF(A409="","",IF((COUNTIF(Drain_Register!$A$5:$A$304,A409)+COUNTIF(RW_Register!$A$5:$A$304,A409)+COUNTIF(Embedded_Wall_Register!$A$5:$A$304,A409)+COUNTIF(Manhole_Register!$A$5:$A$304,A409)+COUNTIF(ERSS_Pit_Register!$A$5:$A$304,A409)+COUNTIF(Linkway_Register!$A$5:$A$304,A409)+COUNTIF(Other_Register!$A$5:$A$304,A409))&gt;0,"OK","ID not in any register"))</f>
        <v/>
      </c>
    </row>
    <row r="410" customFormat="false" ht="15" hidden="false" customHeight="false" outlineLevel="0" collapsed="false">
      <c r="A410" s="9"/>
      <c r="B410" s="9"/>
      <c r="C410" s="9"/>
      <c r="D410" s="9"/>
      <c r="E410" s="9"/>
      <c r="F410" s="9"/>
      <c r="G410" s="9"/>
      <c r="H410" s="9"/>
      <c r="I410" s="9"/>
      <c r="J410" s="10" t="str">
        <f aca="false">IF(A410="","",IF(G410&lt;&gt;"",G410,IF(N(F410)&gt;0,ROUND(1000/F410,3),0)))</f>
        <v/>
      </c>
      <c r="K410" s="10" t="str">
        <f aca="false">IF(OR(A410="",E410="",H410=""),"",ROUND(0.00617*E410^2*H410*J410,2))</f>
        <v/>
      </c>
      <c r="L410" s="9"/>
      <c r="M410" s="10" t="str">
        <f aca="false">IF(A410="","",IF((COUNTIF(Drain_Register!$A$5:$A$304,A410)+COUNTIF(RW_Register!$A$5:$A$304,A410)+COUNTIF(Embedded_Wall_Register!$A$5:$A$304,A410)+COUNTIF(Manhole_Register!$A$5:$A$304,A410)+COUNTIF(ERSS_Pit_Register!$A$5:$A$304,A410)+COUNTIF(Linkway_Register!$A$5:$A$304,A410)+COUNTIF(Other_Register!$A$5:$A$304,A410))&gt;0,"OK","ID not in any register"))</f>
        <v/>
      </c>
    </row>
    <row r="411" customFormat="false" ht="15" hidden="false" customHeight="false" outlineLevel="0" collapsed="false">
      <c r="A411" s="9"/>
      <c r="B411" s="9"/>
      <c r="C411" s="9"/>
      <c r="D411" s="9"/>
      <c r="E411" s="9"/>
      <c r="F411" s="9"/>
      <c r="G411" s="9"/>
      <c r="H411" s="9"/>
      <c r="I411" s="9"/>
      <c r="J411" s="10" t="str">
        <f aca="false">IF(A411="","",IF(G411&lt;&gt;"",G411,IF(N(F411)&gt;0,ROUND(1000/F411,3),0)))</f>
        <v/>
      </c>
      <c r="K411" s="10" t="str">
        <f aca="false">IF(OR(A411="",E411="",H411=""),"",ROUND(0.00617*E411^2*H411*J411,2))</f>
        <v/>
      </c>
      <c r="L411" s="9"/>
      <c r="M411" s="10" t="str">
        <f aca="false">IF(A411="","",IF((COUNTIF(Drain_Register!$A$5:$A$304,A411)+COUNTIF(RW_Register!$A$5:$A$304,A411)+COUNTIF(Embedded_Wall_Register!$A$5:$A$304,A411)+COUNTIF(Manhole_Register!$A$5:$A$304,A411)+COUNTIF(ERSS_Pit_Register!$A$5:$A$304,A411)+COUNTIF(Linkway_Register!$A$5:$A$304,A411)+COUNTIF(Other_Register!$A$5:$A$304,A411))&gt;0,"OK","ID not in any register"))</f>
        <v/>
      </c>
    </row>
    <row r="412" customFormat="false" ht="15" hidden="false" customHeight="false" outlineLevel="0" collapsed="false">
      <c r="A412" s="9"/>
      <c r="B412" s="9"/>
      <c r="C412" s="9"/>
      <c r="D412" s="9"/>
      <c r="E412" s="9"/>
      <c r="F412" s="9"/>
      <c r="G412" s="9"/>
      <c r="H412" s="9"/>
      <c r="I412" s="9"/>
      <c r="J412" s="10" t="str">
        <f aca="false">IF(A412="","",IF(G412&lt;&gt;"",G412,IF(N(F412)&gt;0,ROUND(1000/F412,3),0)))</f>
        <v/>
      </c>
      <c r="K412" s="10" t="str">
        <f aca="false">IF(OR(A412="",E412="",H412=""),"",ROUND(0.00617*E412^2*H412*J412,2))</f>
        <v/>
      </c>
      <c r="L412" s="9"/>
      <c r="M412" s="10" t="str">
        <f aca="false">IF(A412="","",IF((COUNTIF(Drain_Register!$A$5:$A$304,A412)+COUNTIF(RW_Register!$A$5:$A$304,A412)+COUNTIF(Embedded_Wall_Register!$A$5:$A$304,A412)+COUNTIF(Manhole_Register!$A$5:$A$304,A412)+COUNTIF(ERSS_Pit_Register!$A$5:$A$304,A412)+COUNTIF(Linkway_Register!$A$5:$A$304,A412)+COUNTIF(Other_Register!$A$5:$A$304,A412))&gt;0,"OK","ID not in any register"))</f>
        <v/>
      </c>
    </row>
    <row r="413" customFormat="false" ht="15" hidden="false" customHeight="false" outlineLevel="0" collapsed="false">
      <c r="A413" s="9"/>
      <c r="B413" s="9"/>
      <c r="C413" s="9"/>
      <c r="D413" s="9"/>
      <c r="E413" s="9"/>
      <c r="F413" s="9"/>
      <c r="G413" s="9"/>
      <c r="H413" s="9"/>
      <c r="I413" s="9"/>
      <c r="J413" s="10" t="str">
        <f aca="false">IF(A413="","",IF(G413&lt;&gt;"",G413,IF(N(F413)&gt;0,ROUND(1000/F413,3),0)))</f>
        <v/>
      </c>
      <c r="K413" s="10" t="str">
        <f aca="false">IF(OR(A413="",E413="",H413=""),"",ROUND(0.00617*E413^2*H413*J413,2))</f>
        <v/>
      </c>
      <c r="L413" s="9"/>
      <c r="M413" s="10" t="str">
        <f aca="false">IF(A413="","",IF((COUNTIF(Drain_Register!$A$5:$A$304,A413)+COUNTIF(RW_Register!$A$5:$A$304,A413)+COUNTIF(Embedded_Wall_Register!$A$5:$A$304,A413)+COUNTIF(Manhole_Register!$A$5:$A$304,A413)+COUNTIF(ERSS_Pit_Register!$A$5:$A$304,A413)+COUNTIF(Linkway_Register!$A$5:$A$304,A413)+COUNTIF(Other_Register!$A$5:$A$304,A413))&gt;0,"OK","ID not in any register"))</f>
        <v/>
      </c>
    </row>
    <row r="414" customFormat="false" ht="15" hidden="false" customHeight="false" outlineLevel="0" collapsed="false">
      <c r="A414" s="9"/>
      <c r="B414" s="9"/>
      <c r="C414" s="9"/>
      <c r="D414" s="9"/>
      <c r="E414" s="9"/>
      <c r="F414" s="9"/>
      <c r="G414" s="9"/>
      <c r="H414" s="9"/>
      <c r="I414" s="9"/>
      <c r="J414" s="10" t="str">
        <f aca="false">IF(A414="","",IF(G414&lt;&gt;"",G414,IF(N(F414)&gt;0,ROUND(1000/F414,3),0)))</f>
        <v/>
      </c>
      <c r="K414" s="10" t="str">
        <f aca="false">IF(OR(A414="",E414="",H414=""),"",ROUND(0.00617*E414^2*H414*J414,2))</f>
        <v/>
      </c>
      <c r="L414" s="9"/>
      <c r="M414" s="10" t="str">
        <f aca="false">IF(A414="","",IF((COUNTIF(Drain_Register!$A$5:$A$304,A414)+COUNTIF(RW_Register!$A$5:$A$304,A414)+COUNTIF(Embedded_Wall_Register!$A$5:$A$304,A414)+COUNTIF(Manhole_Register!$A$5:$A$304,A414)+COUNTIF(ERSS_Pit_Register!$A$5:$A$304,A414)+COUNTIF(Linkway_Register!$A$5:$A$304,A414)+COUNTIF(Other_Register!$A$5:$A$304,A414))&gt;0,"OK","ID not in any register"))</f>
        <v/>
      </c>
    </row>
    <row r="415" customFormat="false" ht="15" hidden="false" customHeight="false" outlineLevel="0" collapsed="false">
      <c r="A415" s="9"/>
      <c r="B415" s="9"/>
      <c r="C415" s="9"/>
      <c r="D415" s="9"/>
      <c r="E415" s="9"/>
      <c r="F415" s="9"/>
      <c r="G415" s="9"/>
      <c r="H415" s="9"/>
      <c r="I415" s="9"/>
      <c r="J415" s="10" t="str">
        <f aca="false">IF(A415="","",IF(G415&lt;&gt;"",G415,IF(N(F415)&gt;0,ROUND(1000/F415,3),0)))</f>
        <v/>
      </c>
      <c r="K415" s="10" t="str">
        <f aca="false">IF(OR(A415="",E415="",H415=""),"",ROUND(0.00617*E415^2*H415*J415,2))</f>
        <v/>
      </c>
      <c r="L415" s="9"/>
      <c r="M415" s="10" t="str">
        <f aca="false">IF(A415="","",IF((COUNTIF(Drain_Register!$A$5:$A$304,A415)+COUNTIF(RW_Register!$A$5:$A$304,A415)+COUNTIF(Embedded_Wall_Register!$A$5:$A$304,A415)+COUNTIF(Manhole_Register!$A$5:$A$304,A415)+COUNTIF(ERSS_Pit_Register!$A$5:$A$304,A415)+COUNTIF(Linkway_Register!$A$5:$A$304,A415)+COUNTIF(Other_Register!$A$5:$A$304,A415))&gt;0,"OK","ID not in any register"))</f>
        <v/>
      </c>
    </row>
    <row r="416" customFormat="false" ht="15" hidden="false" customHeight="false" outlineLevel="0" collapsed="false">
      <c r="A416" s="9"/>
      <c r="B416" s="9"/>
      <c r="C416" s="9"/>
      <c r="D416" s="9"/>
      <c r="E416" s="9"/>
      <c r="F416" s="9"/>
      <c r="G416" s="9"/>
      <c r="H416" s="9"/>
      <c r="I416" s="9"/>
      <c r="J416" s="10" t="str">
        <f aca="false">IF(A416="","",IF(G416&lt;&gt;"",G416,IF(N(F416)&gt;0,ROUND(1000/F416,3),0)))</f>
        <v/>
      </c>
      <c r="K416" s="10" t="str">
        <f aca="false">IF(OR(A416="",E416="",H416=""),"",ROUND(0.00617*E416^2*H416*J416,2))</f>
        <v/>
      </c>
      <c r="L416" s="9"/>
      <c r="M416" s="10" t="str">
        <f aca="false">IF(A416="","",IF((COUNTIF(Drain_Register!$A$5:$A$304,A416)+COUNTIF(RW_Register!$A$5:$A$304,A416)+COUNTIF(Embedded_Wall_Register!$A$5:$A$304,A416)+COUNTIF(Manhole_Register!$A$5:$A$304,A416)+COUNTIF(ERSS_Pit_Register!$A$5:$A$304,A416)+COUNTIF(Linkway_Register!$A$5:$A$304,A416)+COUNTIF(Other_Register!$A$5:$A$304,A416))&gt;0,"OK","ID not in any register"))</f>
        <v/>
      </c>
    </row>
    <row r="417" customFormat="false" ht="15" hidden="false" customHeight="false" outlineLevel="0" collapsed="false">
      <c r="A417" s="9"/>
      <c r="B417" s="9"/>
      <c r="C417" s="9"/>
      <c r="D417" s="9"/>
      <c r="E417" s="9"/>
      <c r="F417" s="9"/>
      <c r="G417" s="9"/>
      <c r="H417" s="9"/>
      <c r="I417" s="9"/>
      <c r="J417" s="10" t="str">
        <f aca="false">IF(A417="","",IF(G417&lt;&gt;"",G417,IF(N(F417)&gt;0,ROUND(1000/F417,3),0)))</f>
        <v/>
      </c>
      <c r="K417" s="10" t="str">
        <f aca="false">IF(OR(A417="",E417="",H417=""),"",ROUND(0.00617*E417^2*H417*J417,2))</f>
        <v/>
      </c>
      <c r="L417" s="9"/>
      <c r="M417" s="10" t="str">
        <f aca="false">IF(A417="","",IF((COUNTIF(Drain_Register!$A$5:$A$304,A417)+COUNTIF(RW_Register!$A$5:$A$304,A417)+COUNTIF(Embedded_Wall_Register!$A$5:$A$304,A417)+COUNTIF(Manhole_Register!$A$5:$A$304,A417)+COUNTIF(ERSS_Pit_Register!$A$5:$A$304,A417)+COUNTIF(Linkway_Register!$A$5:$A$304,A417)+COUNTIF(Other_Register!$A$5:$A$304,A417))&gt;0,"OK","ID not in any register"))</f>
        <v/>
      </c>
    </row>
    <row r="418" customFormat="false" ht="15" hidden="false" customHeight="false" outlineLevel="0" collapsed="false">
      <c r="A418" s="9"/>
      <c r="B418" s="9"/>
      <c r="C418" s="9"/>
      <c r="D418" s="9"/>
      <c r="E418" s="9"/>
      <c r="F418" s="9"/>
      <c r="G418" s="9"/>
      <c r="H418" s="9"/>
      <c r="I418" s="9"/>
      <c r="J418" s="10" t="str">
        <f aca="false">IF(A418="","",IF(G418&lt;&gt;"",G418,IF(N(F418)&gt;0,ROUND(1000/F418,3),0)))</f>
        <v/>
      </c>
      <c r="K418" s="10" t="str">
        <f aca="false">IF(OR(A418="",E418="",H418=""),"",ROUND(0.00617*E418^2*H418*J418,2))</f>
        <v/>
      </c>
      <c r="L418" s="9"/>
      <c r="M418" s="10" t="str">
        <f aca="false">IF(A418="","",IF((COUNTIF(Drain_Register!$A$5:$A$304,A418)+COUNTIF(RW_Register!$A$5:$A$304,A418)+COUNTIF(Embedded_Wall_Register!$A$5:$A$304,A418)+COUNTIF(Manhole_Register!$A$5:$A$304,A418)+COUNTIF(ERSS_Pit_Register!$A$5:$A$304,A418)+COUNTIF(Linkway_Register!$A$5:$A$304,A418)+COUNTIF(Other_Register!$A$5:$A$304,A418))&gt;0,"OK","ID not in any register"))</f>
        <v/>
      </c>
    </row>
    <row r="419" customFormat="false" ht="15" hidden="false" customHeight="false" outlineLevel="0" collapsed="false">
      <c r="A419" s="9"/>
      <c r="B419" s="9"/>
      <c r="C419" s="9"/>
      <c r="D419" s="9"/>
      <c r="E419" s="9"/>
      <c r="F419" s="9"/>
      <c r="G419" s="9"/>
      <c r="H419" s="9"/>
      <c r="I419" s="9"/>
      <c r="J419" s="10" t="str">
        <f aca="false">IF(A419="","",IF(G419&lt;&gt;"",G419,IF(N(F419)&gt;0,ROUND(1000/F419,3),0)))</f>
        <v/>
      </c>
      <c r="K419" s="10" t="str">
        <f aca="false">IF(OR(A419="",E419="",H419=""),"",ROUND(0.00617*E419^2*H419*J419,2))</f>
        <v/>
      </c>
      <c r="L419" s="9"/>
      <c r="M419" s="10" t="str">
        <f aca="false">IF(A419="","",IF((COUNTIF(Drain_Register!$A$5:$A$304,A419)+COUNTIF(RW_Register!$A$5:$A$304,A419)+COUNTIF(Embedded_Wall_Register!$A$5:$A$304,A419)+COUNTIF(Manhole_Register!$A$5:$A$304,A419)+COUNTIF(ERSS_Pit_Register!$A$5:$A$304,A419)+COUNTIF(Linkway_Register!$A$5:$A$304,A419)+COUNTIF(Other_Register!$A$5:$A$304,A419))&gt;0,"OK","ID not in any register"))</f>
        <v/>
      </c>
    </row>
    <row r="420" customFormat="false" ht="15" hidden="false" customHeight="false" outlineLevel="0" collapsed="false">
      <c r="A420" s="9"/>
      <c r="B420" s="9"/>
      <c r="C420" s="9"/>
      <c r="D420" s="9"/>
      <c r="E420" s="9"/>
      <c r="F420" s="9"/>
      <c r="G420" s="9"/>
      <c r="H420" s="9"/>
      <c r="I420" s="9"/>
      <c r="J420" s="10" t="str">
        <f aca="false">IF(A420="","",IF(G420&lt;&gt;"",G420,IF(N(F420)&gt;0,ROUND(1000/F420,3),0)))</f>
        <v/>
      </c>
      <c r="K420" s="10" t="str">
        <f aca="false">IF(OR(A420="",E420="",H420=""),"",ROUND(0.00617*E420^2*H420*J420,2))</f>
        <v/>
      </c>
      <c r="L420" s="9"/>
      <c r="M420" s="10" t="str">
        <f aca="false">IF(A420="","",IF((COUNTIF(Drain_Register!$A$5:$A$304,A420)+COUNTIF(RW_Register!$A$5:$A$304,A420)+COUNTIF(Embedded_Wall_Register!$A$5:$A$304,A420)+COUNTIF(Manhole_Register!$A$5:$A$304,A420)+COUNTIF(ERSS_Pit_Register!$A$5:$A$304,A420)+COUNTIF(Linkway_Register!$A$5:$A$304,A420)+COUNTIF(Other_Register!$A$5:$A$304,A420))&gt;0,"OK","ID not in any register"))</f>
        <v/>
      </c>
    </row>
    <row r="421" customFormat="false" ht="15" hidden="false" customHeight="false" outlineLevel="0" collapsed="false">
      <c r="A421" s="9"/>
      <c r="B421" s="9"/>
      <c r="C421" s="9"/>
      <c r="D421" s="9"/>
      <c r="E421" s="9"/>
      <c r="F421" s="9"/>
      <c r="G421" s="9"/>
      <c r="H421" s="9"/>
      <c r="I421" s="9"/>
      <c r="J421" s="10" t="str">
        <f aca="false">IF(A421="","",IF(G421&lt;&gt;"",G421,IF(N(F421)&gt;0,ROUND(1000/F421,3),0)))</f>
        <v/>
      </c>
      <c r="K421" s="10" t="str">
        <f aca="false">IF(OR(A421="",E421="",H421=""),"",ROUND(0.00617*E421^2*H421*J421,2))</f>
        <v/>
      </c>
      <c r="L421" s="9"/>
      <c r="M421" s="10" t="str">
        <f aca="false">IF(A421="","",IF((COUNTIF(Drain_Register!$A$5:$A$304,A421)+COUNTIF(RW_Register!$A$5:$A$304,A421)+COUNTIF(Embedded_Wall_Register!$A$5:$A$304,A421)+COUNTIF(Manhole_Register!$A$5:$A$304,A421)+COUNTIF(ERSS_Pit_Register!$A$5:$A$304,A421)+COUNTIF(Linkway_Register!$A$5:$A$304,A421)+COUNTIF(Other_Register!$A$5:$A$304,A421))&gt;0,"OK","ID not in any register"))</f>
        <v/>
      </c>
    </row>
    <row r="422" customFormat="false" ht="15" hidden="false" customHeight="false" outlineLevel="0" collapsed="false">
      <c r="A422" s="9"/>
      <c r="B422" s="9"/>
      <c r="C422" s="9"/>
      <c r="D422" s="9"/>
      <c r="E422" s="9"/>
      <c r="F422" s="9"/>
      <c r="G422" s="9"/>
      <c r="H422" s="9"/>
      <c r="I422" s="9"/>
      <c r="J422" s="10" t="str">
        <f aca="false">IF(A422="","",IF(G422&lt;&gt;"",G422,IF(N(F422)&gt;0,ROUND(1000/F422,3),0)))</f>
        <v/>
      </c>
      <c r="K422" s="10" t="str">
        <f aca="false">IF(OR(A422="",E422="",H422=""),"",ROUND(0.00617*E422^2*H422*J422,2))</f>
        <v/>
      </c>
      <c r="L422" s="9"/>
      <c r="M422" s="10" t="str">
        <f aca="false">IF(A422="","",IF((COUNTIF(Drain_Register!$A$5:$A$304,A422)+COUNTIF(RW_Register!$A$5:$A$304,A422)+COUNTIF(Embedded_Wall_Register!$A$5:$A$304,A422)+COUNTIF(Manhole_Register!$A$5:$A$304,A422)+COUNTIF(ERSS_Pit_Register!$A$5:$A$304,A422)+COUNTIF(Linkway_Register!$A$5:$A$304,A422)+COUNTIF(Other_Register!$A$5:$A$304,A422))&gt;0,"OK","ID not in any register"))</f>
        <v/>
      </c>
    </row>
    <row r="423" customFormat="false" ht="15" hidden="false" customHeight="false" outlineLevel="0" collapsed="false">
      <c r="A423" s="9"/>
      <c r="B423" s="9"/>
      <c r="C423" s="9"/>
      <c r="D423" s="9"/>
      <c r="E423" s="9"/>
      <c r="F423" s="9"/>
      <c r="G423" s="9"/>
      <c r="H423" s="9"/>
      <c r="I423" s="9"/>
      <c r="J423" s="10" t="str">
        <f aca="false">IF(A423="","",IF(G423&lt;&gt;"",G423,IF(N(F423)&gt;0,ROUND(1000/F423,3),0)))</f>
        <v/>
      </c>
      <c r="K423" s="10" t="str">
        <f aca="false">IF(OR(A423="",E423="",H423=""),"",ROUND(0.00617*E423^2*H423*J423,2))</f>
        <v/>
      </c>
      <c r="L423" s="9"/>
      <c r="M423" s="10" t="str">
        <f aca="false">IF(A423="","",IF((COUNTIF(Drain_Register!$A$5:$A$304,A423)+COUNTIF(RW_Register!$A$5:$A$304,A423)+COUNTIF(Embedded_Wall_Register!$A$5:$A$304,A423)+COUNTIF(Manhole_Register!$A$5:$A$304,A423)+COUNTIF(ERSS_Pit_Register!$A$5:$A$304,A423)+COUNTIF(Linkway_Register!$A$5:$A$304,A423)+COUNTIF(Other_Register!$A$5:$A$304,A423))&gt;0,"OK","ID not in any register"))</f>
        <v/>
      </c>
    </row>
    <row r="424" customFormat="false" ht="15" hidden="false" customHeight="false" outlineLevel="0" collapsed="false">
      <c r="A424" s="9"/>
      <c r="B424" s="9"/>
      <c r="C424" s="9"/>
      <c r="D424" s="9"/>
      <c r="E424" s="9"/>
      <c r="F424" s="9"/>
      <c r="G424" s="9"/>
      <c r="H424" s="9"/>
      <c r="I424" s="9"/>
      <c r="J424" s="10" t="str">
        <f aca="false">IF(A424="","",IF(G424&lt;&gt;"",G424,IF(N(F424)&gt;0,ROUND(1000/F424,3),0)))</f>
        <v/>
      </c>
      <c r="K424" s="10" t="str">
        <f aca="false">IF(OR(A424="",E424="",H424=""),"",ROUND(0.00617*E424^2*H424*J424,2))</f>
        <v/>
      </c>
      <c r="L424" s="9"/>
      <c r="M424" s="10" t="str">
        <f aca="false">IF(A424="","",IF((COUNTIF(Drain_Register!$A$5:$A$304,A424)+COUNTIF(RW_Register!$A$5:$A$304,A424)+COUNTIF(Embedded_Wall_Register!$A$5:$A$304,A424)+COUNTIF(Manhole_Register!$A$5:$A$304,A424)+COUNTIF(ERSS_Pit_Register!$A$5:$A$304,A424)+COUNTIF(Linkway_Register!$A$5:$A$304,A424)+COUNTIF(Other_Register!$A$5:$A$304,A424))&gt;0,"OK","ID not in any register"))</f>
        <v/>
      </c>
    </row>
    <row r="425" customFormat="false" ht="15" hidden="false" customHeight="false" outlineLevel="0" collapsed="false">
      <c r="A425" s="9"/>
      <c r="B425" s="9"/>
      <c r="C425" s="9"/>
      <c r="D425" s="9"/>
      <c r="E425" s="9"/>
      <c r="F425" s="9"/>
      <c r="G425" s="9"/>
      <c r="H425" s="9"/>
      <c r="I425" s="9"/>
      <c r="J425" s="10" t="str">
        <f aca="false">IF(A425="","",IF(G425&lt;&gt;"",G425,IF(N(F425)&gt;0,ROUND(1000/F425,3),0)))</f>
        <v/>
      </c>
      <c r="K425" s="10" t="str">
        <f aca="false">IF(OR(A425="",E425="",H425=""),"",ROUND(0.00617*E425^2*H425*J425,2))</f>
        <v/>
      </c>
      <c r="L425" s="9"/>
      <c r="M425" s="10" t="str">
        <f aca="false">IF(A425="","",IF((COUNTIF(Drain_Register!$A$5:$A$304,A425)+COUNTIF(RW_Register!$A$5:$A$304,A425)+COUNTIF(Embedded_Wall_Register!$A$5:$A$304,A425)+COUNTIF(Manhole_Register!$A$5:$A$304,A425)+COUNTIF(ERSS_Pit_Register!$A$5:$A$304,A425)+COUNTIF(Linkway_Register!$A$5:$A$304,A425)+COUNTIF(Other_Register!$A$5:$A$304,A425))&gt;0,"OK","ID not in any register"))</f>
        <v/>
      </c>
    </row>
    <row r="426" customFormat="false" ht="15" hidden="false" customHeight="false" outlineLevel="0" collapsed="false">
      <c r="A426" s="9"/>
      <c r="B426" s="9"/>
      <c r="C426" s="9"/>
      <c r="D426" s="9"/>
      <c r="E426" s="9"/>
      <c r="F426" s="9"/>
      <c r="G426" s="9"/>
      <c r="H426" s="9"/>
      <c r="I426" s="9"/>
      <c r="J426" s="10" t="str">
        <f aca="false">IF(A426="","",IF(G426&lt;&gt;"",G426,IF(N(F426)&gt;0,ROUND(1000/F426,3),0)))</f>
        <v/>
      </c>
      <c r="K426" s="10" t="str">
        <f aca="false">IF(OR(A426="",E426="",H426=""),"",ROUND(0.00617*E426^2*H426*J426,2))</f>
        <v/>
      </c>
      <c r="L426" s="9"/>
      <c r="M426" s="10" t="str">
        <f aca="false">IF(A426="","",IF((COUNTIF(Drain_Register!$A$5:$A$304,A426)+COUNTIF(RW_Register!$A$5:$A$304,A426)+COUNTIF(Embedded_Wall_Register!$A$5:$A$304,A426)+COUNTIF(Manhole_Register!$A$5:$A$304,A426)+COUNTIF(ERSS_Pit_Register!$A$5:$A$304,A426)+COUNTIF(Linkway_Register!$A$5:$A$304,A426)+COUNTIF(Other_Register!$A$5:$A$304,A426))&gt;0,"OK","ID not in any register"))</f>
        <v/>
      </c>
    </row>
    <row r="427" customFormat="false" ht="15" hidden="false" customHeight="false" outlineLevel="0" collapsed="false">
      <c r="A427" s="9"/>
      <c r="B427" s="9"/>
      <c r="C427" s="9"/>
      <c r="D427" s="9"/>
      <c r="E427" s="9"/>
      <c r="F427" s="9"/>
      <c r="G427" s="9"/>
      <c r="H427" s="9"/>
      <c r="I427" s="9"/>
      <c r="J427" s="10" t="str">
        <f aca="false">IF(A427="","",IF(G427&lt;&gt;"",G427,IF(N(F427)&gt;0,ROUND(1000/F427,3),0)))</f>
        <v/>
      </c>
      <c r="K427" s="10" t="str">
        <f aca="false">IF(OR(A427="",E427="",H427=""),"",ROUND(0.00617*E427^2*H427*J427,2))</f>
        <v/>
      </c>
      <c r="L427" s="9"/>
      <c r="M427" s="10" t="str">
        <f aca="false">IF(A427="","",IF((COUNTIF(Drain_Register!$A$5:$A$304,A427)+COUNTIF(RW_Register!$A$5:$A$304,A427)+COUNTIF(Embedded_Wall_Register!$A$5:$A$304,A427)+COUNTIF(Manhole_Register!$A$5:$A$304,A427)+COUNTIF(ERSS_Pit_Register!$A$5:$A$304,A427)+COUNTIF(Linkway_Register!$A$5:$A$304,A427)+COUNTIF(Other_Register!$A$5:$A$304,A427))&gt;0,"OK","ID not in any register"))</f>
        <v/>
      </c>
    </row>
    <row r="428" customFormat="false" ht="15" hidden="false" customHeight="false" outlineLevel="0" collapsed="false">
      <c r="A428" s="9"/>
      <c r="B428" s="9"/>
      <c r="C428" s="9"/>
      <c r="D428" s="9"/>
      <c r="E428" s="9"/>
      <c r="F428" s="9"/>
      <c r="G428" s="9"/>
      <c r="H428" s="9"/>
      <c r="I428" s="9"/>
      <c r="J428" s="10" t="str">
        <f aca="false">IF(A428="","",IF(G428&lt;&gt;"",G428,IF(N(F428)&gt;0,ROUND(1000/F428,3),0)))</f>
        <v/>
      </c>
      <c r="K428" s="10" t="str">
        <f aca="false">IF(OR(A428="",E428="",H428=""),"",ROUND(0.00617*E428^2*H428*J428,2))</f>
        <v/>
      </c>
      <c r="L428" s="9"/>
      <c r="M428" s="10" t="str">
        <f aca="false">IF(A428="","",IF((COUNTIF(Drain_Register!$A$5:$A$304,A428)+COUNTIF(RW_Register!$A$5:$A$304,A428)+COUNTIF(Embedded_Wall_Register!$A$5:$A$304,A428)+COUNTIF(Manhole_Register!$A$5:$A$304,A428)+COUNTIF(ERSS_Pit_Register!$A$5:$A$304,A428)+COUNTIF(Linkway_Register!$A$5:$A$304,A428)+COUNTIF(Other_Register!$A$5:$A$304,A428))&gt;0,"OK","ID not in any register"))</f>
        <v/>
      </c>
    </row>
    <row r="429" customFormat="false" ht="15" hidden="false" customHeight="false" outlineLevel="0" collapsed="false">
      <c r="A429" s="9"/>
      <c r="B429" s="9"/>
      <c r="C429" s="9"/>
      <c r="D429" s="9"/>
      <c r="E429" s="9"/>
      <c r="F429" s="9"/>
      <c r="G429" s="9"/>
      <c r="H429" s="9"/>
      <c r="I429" s="9"/>
      <c r="J429" s="10" t="str">
        <f aca="false">IF(A429="","",IF(G429&lt;&gt;"",G429,IF(N(F429)&gt;0,ROUND(1000/F429,3),0)))</f>
        <v/>
      </c>
      <c r="K429" s="10" t="str">
        <f aca="false">IF(OR(A429="",E429="",H429=""),"",ROUND(0.00617*E429^2*H429*J429,2))</f>
        <v/>
      </c>
      <c r="L429" s="9"/>
      <c r="M429" s="10" t="str">
        <f aca="false">IF(A429="","",IF((COUNTIF(Drain_Register!$A$5:$A$304,A429)+COUNTIF(RW_Register!$A$5:$A$304,A429)+COUNTIF(Embedded_Wall_Register!$A$5:$A$304,A429)+COUNTIF(Manhole_Register!$A$5:$A$304,A429)+COUNTIF(ERSS_Pit_Register!$A$5:$A$304,A429)+COUNTIF(Linkway_Register!$A$5:$A$304,A429)+COUNTIF(Other_Register!$A$5:$A$304,A429))&gt;0,"OK","ID not in any register"))</f>
        <v/>
      </c>
    </row>
    <row r="430" customFormat="false" ht="15" hidden="false" customHeight="false" outlineLevel="0" collapsed="false">
      <c r="A430" s="9"/>
      <c r="B430" s="9"/>
      <c r="C430" s="9"/>
      <c r="D430" s="9"/>
      <c r="E430" s="9"/>
      <c r="F430" s="9"/>
      <c r="G430" s="9"/>
      <c r="H430" s="9"/>
      <c r="I430" s="9"/>
      <c r="J430" s="10" t="str">
        <f aca="false">IF(A430="","",IF(G430&lt;&gt;"",G430,IF(N(F430)&gt;0,ROUND(1000/F430,3),0)))</f>
        <v/>
      </c>
      <c r="K430" s="10" t="str">
        <f aca="false">IF(OR(A430="",E430="",H430=""),"",ROUND(0.00617*E430^2*H430*J430,2))</f>
        <v/>
      </c>
      <c r="L430" s="9"/>
      <c r="M430" s="10" t="str">
        <f aca="false">IF(A430="","",IF((COUNTIF(Drain_Register!$A$5:$A$304,A430)+COUNTIF(RW_Register!$A$5:$A$304,A430)+COUNTIF(Embedded_Wall_Register!$A$5:$A$304,A430)+COUNTIF(Manhole_Register!$A$5:$A$304,A430)+COUNTIF(ERSS_Pit_Register!$A$5:$A$304,A430)+COUNTIF(Linkway_Register!$A$5:$A$304,A430)+COUNTIF(Other_Register!$A$5:$A$304,A430))&gt;0,"OK","ID not in any register"))</f>
        <v/>
      </c>
    </row>
    <row r="431" customFormat="false" ht="15" hidden="false" customHeight="false" outlineLevel="0" collapsed="false">
      <c r="A431" s="9"/>
      <c r="B431" s="9"/>
      <c r="C431" s="9"/>
      <c r="D431" s="9"/>
      <c r="E431" s="9"/>
      <c r="F431" s="9"/>
      <c r="G431" s="9"/>
      <c r="H431" s="9"/>
      <c r="I431" s="9"/>
      <c r="J431" s="10" t="str">
        <f aca="false">IF(A431="","",IF(G431&lt;&gt;"",G431,IF(N(F431)&gt;0,ROUND(1000/F431,3),0)))</f>
        <v/>
      </c>
      <c r="K431" s="10" t="str">
        <f aca="false">IF(OR(A431="",E431="",H431=""),"",ROUND(0.00617*E431^2*H431*J431,2))</f>
        <v/>
      </c>
      <c r="L431" s="9"/>
      <c r="M431" s="10" t="str">
        <f aca="false">IF(A431="","",IF((COUNTIF(Drain_Register!$A$5:$A$304,A431)+COUNTIF(RW_Register!$A$5:$A$304,A431)+COUNTIF(Embedded_Wall_Register!$A$5:$A$304,A431)+COUNTIF(Manhole_Register!$A$5:$A$304,A431)+COUNTIF(ERSS_Pit_Register!$A$5:$A$304,A431)+COUNTIF(Linkway_Register!$A$5:$A$304,A431)+COUNTIF(Other_Register!$A$5:$A$304,A431))&gt;0,"OK","ID not in any register"))</f>
        <v/>
      </c>
    </row>
    <row r="432" customFormat="false" ht="15" hidden="false" customHeight="false" outlineLevel="0" collapsed="false">
      <c r="A432" s="9"/>
      <c r="B432" s="9"/>
      <c r="C432" s="9"/>
      <c r="D432" s="9"/>
      <c r="E432" s="9"/>
      <c r="F432" s="9"/>
      <c r="G432" s="9"/>
      <c r="H432" s="9"/>
      <c r="I432" s="9"/>
      <c r="J432" s="10" t="str">
        <f aca="false">IF(A432="","",IF(G432&lt;&gt;"",G432,IF(N(F432)&gt;0,ROUND(1000/F432,3),0)))</f>
        <v/>
      </c>
      <c r="K432" s="10" t="str">
        <f aca="false">IF(OR(A432="",E432="",H432=""),"",ROUND(0.00617*E432^2*H432*J432,2))</f>
        <v/>
      </c>
      <c r="L432" s="9"/>
      <c r="M432" s="10" t="str">
        <f aca="false">IF(A432="","",IF((COUNTIF(Drain_Register!$A$5:$A$304,A432)+COUNTIF(RW_Register!$A$5:$A$304,A432)+COUNTIF(Embedded_Wall_Register!$A$5:$A$304,A432)+COUNTIF(Manhole_Register!$A$5:$A$304,A432)+COUNTIF(ERSS_Pit_Register!$A$5:$A$304,A432)+COUNTIF(Linkway_Register!$A$5:$A$304,A432)+COUNTIF(Other_Register!$A$5:$A$304,A432))&gt;0,"OK","ID not in any register"))</f>
        <v/>
      </c>
    </row>
    <row r="433" customFormat="false" ht="15" hidden="false" customHeight="false" outlineLevel="0" collapsed="false">
      <c r="A433" s="9"/>
      <c r="B433" s="9"/>
      <c r="C433" s="9"/>
      <c r="D433" s="9"/>
      <c r="E433" s="9"/>
      <c r="F433" s="9"/>
      <c r="G433" s="9"/>
      <c r="H433" s="9"/>
      <c r="I433" s="9"/>
      <c r="J433" s="10" t="str">
        <f aca="false">IF(A433="","",IF(G433&lt;&gt;"",G433,IF(N(F433)&gt;0,ROUND(1000/F433,3),0)))</f>
        <v/>
      </c>
      <c r="K433" s="10" t="str">
        <f aca="false">IF(OR(A433="",E433="",H433=""),"",ROUND(0.00617*E433^2*H433*J433,2))</f>
        <v/>
      </c>
      <c r="L433" s="9"/>
      <c r="M433" s="10" t="str">
        <f aca="false">IF(A433="","",IF((COUNTIF(Drain_Register!$A$5:$A$304,A433)+COUNTIF(RW_Register!$A$5:$A$304,A433)+COUNTIF(Embedded_Wall_Register!$A$5:$A$304,A433)+COUNTIF(Manhole_Register!$A$5:$A$304,A433)+COUNTIF(ERSS_Pit_Register!$A$5:$A$304,A433)+COUNTIF(Linkway_Register!$A$5:$A$304,A433)+COUNTIF(Other_Register!$A$5:$A$304,A433))&gt;0,"OK","ID not in any register"))</f>
        <v/>
      </c>
    </row>
    <row r="434" customFormat="false" ht="15" hidden="false" customHeight="false" outlineLevel="0" collapsed="false">
      <c r="A434" s="9"/>
      <c r="B434" s="9"/>
      <c r="C434" s="9"/>
      <c r="D434" s="9"/>
      <c r="E434" s="9"/>
      <c r="F434" s="9"/>
      <c r="G434" s="9"/>
      <c r="H434" s="9"/>
      <c r="I434" s="9"/>
      <c r="J434" s="10" t="str">
        <f aca="false">IF(A434="","",IF(G434&lt;&gt;"",G434,IF(N(F434)&gt;0,ROUND(1000/F434,3),0)))</f>
        <v/>
      </c>
      <c r="K434" s="10" t="str">
        <f aca="false">IF(OR(A434="",E434="",H434=""),"",ROUND(0.00617*E434^2*H434*J434,2))</f>
        <v/>
      </c>
      <c r="L434" s="9"/>
      <c r="M434" s="10" t="str">
        <f aca="false">IF(A434="","",IF((COUNTIF(Drain_Register!$A$5:$A$304,A434)+COUNTIF(RW_Register!$A$5:$A$304,A434)+COUNTIF(Embedded_Wall_Register!$A$5:$A$304,A434)+COUNTIF(Manhole_Register!$A$5:$A$304,A434)+COUNTIF(ERSS_Pit_Register!$A$5:$A$304,A434)+COUNTIF(Linkway_Register!$A$5:$A$304,A434)+COUNTIF(Other_Register!$A$5:$A$304,A434))&gt;0,"OK","ID not in any register"))</f>
        <v/>
      </c>
    </row>
    <row r="435" customFormat="false" ht="15" hidden="false" customHeight="false" outlineLevel="0" collapsed="false">
      <c r="A435" s="9"/>
      <c r="B435" s="9"/>
      <c r="C435" s="9"/>
      <c r="D435" s="9"/>
      <c r="E435" s="9"/>
      <c r="F435" s="9"/>
      <c r="G435" s="9"/>
      <c r="H435" s="9"/>
      <c r="I435" s="9"/>
      <c r="J435" s="10" t="str">
        <f aca="false">IF(A435="","",IF(G435&lt;&gt;"",G435,IF(N(F435)&gt;0,ROUND(1000/F435,3),0)))</f>
        <v/>
      </c>
      <c r="K435" s="10" t="str">
        <f aca="false">IF(OR(A435="",E435="",H435=""),"",ROUND(0.00617*E435^2*H435*J435,2))</f>
        <v/>
      </c>
      <c r="L435" s="9"/>
      <c r="M435" s="10" t="str">
        <f aca="false">IF(A435="","",IF((COUNTIF(Drain_Register!$A$5:$A$304,A435)+COUNTIF(RW_Register!$A$5:$A$304,A435)+COUNTIF(Embedded_Wall_Register!$A$5:$A$304,A435)+COUNTIF(Manhole_Register!$A$5:$A$304,A435)+COUNTIF(ERSS_Pit_Register!$A$5:$A$304,A435)+COUNTIF(Linkway_Register!$A$5:$A$304,A435)+COUNTIF(Other_Register!$A$5:$A$304,A435))&gt;0,"OK","ID not in any register"))</f>
        <v/>
      </c>
    </row>
    <row r="436" customFormat="false" ht="15" hidden="false" customHeight="false" outlineLevel="0" collapsed="false">
      <c r="A436" s="9"/>
      <c r="B436" s="9"/>
      <c r="C436" s="9"/>
      <c r="D436" s="9"/>
      <c r="E436" s="9"/>
      <c r="F436" s="9"/>
      <c r="G436" s="9"/>
      <c r="H436" s="9"/>
      <c r="I436" s="9"/>
      <c r="J436" s="10" t="str">
        <f aca="false">IF(A436="","",IF(G436&lt;&gt;"",G436,IF(N(F436)&gt;0,ROUND(1000/F436,3),0)))</f>
        <v/>
      </c>
      <c r="K436" s="10" t="str">
        <f aca="false">IF(OR(A436="",E436="",H436=""),"",ROUND(0.00617*E436^2*H436*J436,2))</f>
        <v/>
      </c>
      <c r="L436" s="9"/>
      <c r="M436" s="10" t="str">
        <f aca="false">IF(A436="","",IF((COUNTIF(Drain_Register!$A$5:$A$304,A436)+COUNTIF(RW_Register!$A$5:$A$304,A436)+COUNTIF(Embedded_Wall_Register!$A$5:$A$304,A436)+COUNTIF(Manhole_Register!$A$5:$A$304,A436)+COUNTIF(ERSS_Pit_Register!$A$5:$A$304,A436)+COUNTIF(Linkway_Register!$A$5:$A$304,A436)+COUNTIF(Other_Register!$A$5:$A$304,A436))&gt;0,"OK","ID not in any register"))</f>
        <v/>
      </c>
    </row>
    <row r="437" customFormat="false" ht="15" hidden="false" customHeight="false" outlineLevel="0" collapsed="false">
      <c r="A437" s="9"/>
      <c r="B437" s="9"/>
      <c r="C437" s="9"/>
      <c r="D437" s="9"/>
      <c r="E437" s="9"/>
      <c r="F437" s="9"/>
      <c r="G437" s="9"/>
      <c r="H437" s="9"/>
      <c r="I437" s="9"/>
      <c r="J437" s="10" t="str">
        <f aca="false">IF(A437="","",IF(G437&lt;&gt;"",G437,IF(N(F437)&gt;0,ROUND(1000/F437,3),0)))</f>
        <v/>
      </c>
      <c r="K437" s="10" t="str">
        <f aca="false">IF(OR(A437="",E437="",H437=""),"",ROUND(0.00617*E437^2*H437*J437,2))</f>
        <v/>
      </c>
      <c r="L437" s="9"/>
      <c r="M437" s="10" t="str">
        <f aca="false">IF(A437="","",IF((COUNTIF(Drain_Register!$A$5:$A$304,A437)+COUNTIF(RW_Register!$A$5:$A$304,A437)+COUNTIF(Embedded_Wall_Register!$A$5:$A$304,A437)+COUNTIF(Manhole_Register!$A$5:$A$304,A437)+COUNTIF(ERSS_Pit_Register!$A$5:$A$304,A437)+COUNTIF(Linkway_Register!$A$5:$A$304,A437)+COUNTIF(Other_Register!$A$5:$A$304,A437))&gt;0,"OK","ID not in any register"))</f>
        <v/>
      </c>
    </row>
    <row r="438" customFormat="false" ht="15" hidden="false" customHeight="false" outlineLevel="0" collapsed="false">
      <c r="A438" s="9"/>
      <c r="B438" s="9"/>
      <c r="C438" s="9"/>
      <c r="D438" s="9"/>
      <c r="E438" s="9"/>
      <c r="F438" s="9"/>
      <c r="G438" s="9"/>
      <c r="H438" s="9"/>
      <c r="I438" s="9"/>
      <c r="J438" s="10" t="str">
        <f aca="false">IF(A438="","",IF(G438&lt;&gt;"",G438,IF(N(F438)&gt;0,ROUND(1000/F438,3),0)))</f>
        <v/>
      </c>
      <c r="K438" s="10" t="str">
        <f aca="false">IF(OR(A438="",E438="",H438=""),"",ROUND(0.00617*E438^2*H438*J438,2))</f>
        <v/>
      </c>
      <c r="L438" s="9"/>
      <c r="M438" s="10" t="str">
        <f aca="false">IF(A438="","",IF((COUNTIF(Drain_Register!$A$5:$A$304,A438)+COUNTIF(RW_Register!$A$5:$A$304,A438)+COUNTIF(Embedded_Wall_Register!$A$5:$A$304,A438)+COUNTIF(Manhole_Register!$A$5:$A$304,A438)+COUNTIF(ERSS_Pit_Register!$A$5:$A$304,A438)+COUNTIF(Linkway_Register!$A$5:$A$304,A438)+COUNTIF(Other_Register!$A$5:$A$304,A438))&gt;0,"OK","ID not in any register"))</f>
        <v/>
      </c>
    </row>
    <row r="439" customFormat="false" ht="15" hidden="false" customHeight="false" outlineLevel="0" collapsed="false">
      <c r="A439" s="9"/>
      <c r="B439" s="9"/>
      <c r="C439" s="9"/>
      <c r="D439" s="9"/>
      <c r="E439" s="9"/>
      <c r="F439" s="9"/>
      <c r="G439" s="9"/>
      <c r="H439" s="9"/>
      <c r="I439" s="9"/>
      <c r="J439" s="10" t="str">
        <f aca="false">IF(A439="","",IF(G439&lt;&gt;"",G439,IF(N(F439)&gt;0,ROUND(1000/F439,3),0)))</f>
        <v/>
      </c>
      <c r="K439" s="10" t="str">
        <f aca="false">IF(OR(A439="",E439="",H439=""),"",ROUND(0.00617*E439^2*H439*J439,2))</f>
        <v/>
      </c>
      <c r="L439" s="9"/>
      <c r="M439" s="10" t="str">
        <f aca="false">IF(A439="","",IF((COUNTIF(Drain_Register!$A$5:$A$304,A439)+COUNTIF(RW_Register!$A$5:$A$304,A439)+COUNTIF(Embedded_Wall_Register!$A$5:$A$304,A439)+COUNTIF(Manhole_Register!$A$5:$A$304,A439)+COUNTIF(ERSS_Pit_Register!$A$5:$A$304,A439)+COUNTIF(Linkway_Register!$A$5:$A$304,A439)+COUNTIF(Other_Register!$A$5:$A$304,A439))&gt;0,"OK","ID not in any register"))</f>
        <v/>
      </c>
    </row>
    <row r="440" customFormat="false" ht="15" hidden="false" customHeight="false" outlineLevel="0" collapsed="false">
      <c r="A440" s="9"/>
      <c r="B440" s="9"/>
      <c r="C440" s="9"/>
      <c r="D440" s="9"/>
      <c r="E440" s="9"/>
      <c r="F440" s="9"/>
      <c r="G440" s="9"/>
      <c r="H440" s="9"/>
      <c r="I440" s="9"/>
      <c r="J440" s="10" t="str">
        <f aca="false">IF(A440="","",IF(G440&lt;&gt;"",G440,IF(N(F440)&gt;0,ROUND(1000/F440,3),0)))</f>
        <v/>
      </c>
      <c r="K440" s="10" t="str">
        <f aca="false">IF(OR(A440="",E440="",H440=""),"",ROUND(0.00617*E440^2*H440*J440,2))</f>
        <v/>
      </c>
      <c r="L440" s="9"/>
      <c r="M440" s="10" t="str">
        <f aca="false">IF(A440="","",IF((COUNTIF(Drain_Register!$A$5:$A$304,A440)+COUNTIF(RW_Register!$A$5:$A$304,A440)+COUNTIF(Embedded_Wall_Register!$A$5:$A$304,A440)+COUNTIF(Manhole_Register!$A$5:$A$304,A440)+COUNTIF(ERSS_Pit_Register!$A$5:$A$304,A440)+COUNTIF(Linkway_Register!$A$5:$A$304,A440)+COUNTIF(Other_Register!$A$5:$A$304,A440))&gt;0,"OK","ID not in any register"))</f>
        <v/>
      </c>
    </row>
    <row r="441" customFormat="false" ht="15" hidden="false" customHeight="false" outlineLevel="0" collapsed="false">
      <c r="A441" s="9"/>
      <c r="B441" s="9"/>
      <c r="C441" s="9"/>
      <c r="D441" s="9"/>
      <c r="E441" s="9"/>
      <c r="F441" s="9"/>
      <c r="G441" s="9"/>
      <c r="H441" s="9"/>
      <c r="I441" s="9"/>
      <c r="J441" s="10" t="str">
        <f aca="false">IF(A441="","",IF(G441&lt;&gt;"",G441,IF(N(F441)&gt;0,ROUND(1000/F441,3),0)))</f>
        <v/>
      </c>
      <c r="K441" s="10" t="str">
        <f aca="false">IF(OR(A441="",E441="",H441=""),"",ROUND(0.00617*E441^2*H441*J441,2))</f>
        <v/>
      </c>
      <c r="L441" s="9"/>
      <c r="M441" s="10" t="str">
        <f aca="false">IF(A441="","",IF((COUNTIF(Drain_Register!$A$5:$A$304,A441)+COUNTIF(RW_Register!$A$5:$A$304,A441)+COUNTIF(Embedded_Wall_Register!$A$5:$A$304,A441)+COUNTIF(Manhole_Register!$A$5:$A$304,A441)+COUNTIF(ERSS_Pit_Register!$A$5:$A$304,A441)+COUNTIF(Linkway_Register!$A$5:$A$304,A441)+COUNTIF(Other_Register!$A$5:$A$304,A441))&gt;0,"OK","ID not in any register"))</f>
        <v/>
      </c>
    </row>
    <row r="442" customFormat="false" ht="15" hidden="false" customHeight="false" outlineLevel="0" collapsed="false">
      <c r="A442" s="9"/>
      <c r="B442" s="9"/>
      <c r="C442" s="9"/>
      <c r="D442" s="9"/>
      <c r="E442" s="9"/>
      <c r="F442" s="9"/>
      <c r="G442" s="9"/>
      <c r="H442" s="9"/>
      <c r="I442" s="9"/>
      <c r="J442" s="10" t="str">
        <f aca="false">IF(A442="","",IF(G442&lt;&gt;"",G442,IF(N(F442)&gt;0,ROUND(1000/F442,3),0)))</f>
        <v/>
      </c>
      <c r="K442" s="10" t="str">
        <f aca="false">IF(OR(A442="",E442="",H442=""),"",ROUND(0.00617*E442^2*H442*J442,2))</f>
        <v/>
      </c>
      <c r="L442" s="9"/>
      <c r="M442" s="10" t="str">
        <f aca="false">IF(A442="","",IF((COUNTIF(Drain_Register!$A$5:$A$304,A442)+COUNTIF(RW_Register!$A$5:$A$304,A442)+COUNTIF(Embedded_Wall_Register!$A$5:$A$304,A442)+COUNTIF(Manhole_Register!$A$5:$A$304,A442)+COUNTIF(ERSS_Pit_Register!$A$5:$A$304,A442)+COUNTIF(Linkway_Register!$A$5:$A$304,A442)+COUNTIF(Other_Register!$A$5:$A$304,A442))&gt;0,"OK","ID not in any register"))</f>
        <v/>
      </c>
    </row>
    <row r="443" customFormat="false" ht="15" hidden="false" customHeight="false" outlineLevel="0" collapsed="false">
      <c r="A443" s="9"/>
      <c r="B443" s="9"/>
      <c r="C443" s="9"/>
      <c r="D443" s="9"/>
      <c r="E443" s="9"/>
      <c r="F443" s="9"/>
      <c r="G443" s="9"/>
      <c r="H443" s="9"/>
      <c r="I443" s="9"/>
      <c r="J443" s="10" t="str">
        <f aca="false">IF(A443="","",IF(G443&lt;&gt;"",G443,IF(N(F443)&gt;0,ROUND(1000/F443,3),0)))</f>
        <v/>
      </c>
      <c r="K443" s="10" t="str">
        <f aca="false">IF(OR(A443="",E443="",H443=""),"",ROUND(0.00617*E443^2*H443*J443,2))</f>
        <v/>
      </c>
      <c r="L443" s="9"/>
      <c r="M443" s="10" t="str">
        <f aca="false">IF(A443="","",IF((COUNTIF(Drain_Register!$A$5:$A$304,A443)+COUNTIF(RW_Register!$A$5:$A$304,A443)+COUNTIF(Embedded_Wall_Register!$A$5:$A$304,A443)+COUNTIF(Manhole_Register!$A$5:$A$304,A443)+COUNTIF(ERSS_Pit_Register!$A$5:$A$304,A443)+COUNTIF(Linkway_Register!$A$5:$A$304,A443)+COUNTIF(Other_Register!$A$5:$A$304,A443))&gt;0,"OK","ID not in any register"))</f>
        <v/>
      </c>
    </row>
    <row r="444" customFormat="false" ht="15" hidden="false" customHeight="false" outlineLevel="0" collapsed="false">
      <c r="A444" s="9"/>
      <c r="B444" s="9"/>
      <c r="C444" s="9"/>
      <c r="D444" s="9"/>
      <c r="E444" s="9"/>
      <c r="F444" s="9"/>
      <c r="G444" s="9"/>
      <c r="H444" s="9"/>
      <c r="I444" s="9"/>
      <c r="J444" s="10" t="str">
        <f aca="false">IF(A444="","",IF(G444&lt;&gt;"",G444,IF(N(F444)&gt;0,ROUND(1000/F444,3),0)))</f>
        <v/>
      </c>
      <c r="K444" s="10" t="str">
        <f aca="false">IF(OR(A444="",E444="",H444=""),"",ROUND(0.00617*E444^2*H444*J444,2))</f>
        <v/>
      </c>
      <c r="L444" s="9"/>
      <c r="M444" s="10" t="str">
        <f aca="false">IF(A444="","",IF((COUNTIF(Drain_Register!$A$5:$A$304,A444)+COUNTIF(RW_Register!$A$5:$A$304,A444)+COUNTIF(Embedded_Wall_Register!$A$5:$A$304,A444)+COUNTIF(Manhole_Register!$A$5:$A$304,A444)+COUNTIF(ERSS_Pit_Register!$A$5:$A$304,A444)+COUNTIF(Linkway_Register!$A$5:$A$304,A444)+COUNTIF(Other_Register!$A$5:$A$304,A444))&gt;0,"OK","ID not in any register"))</f>
        <v/>
      </c>
    </row>
    <row r="445" customFormat="false" ht="15" hidden="false" customHeight="false" outlineLevel="0" collapsed="false">
      <c r="A445" s="9"/>
      <c r="B445" s="9"/>
      <c r="C445" s="9"/>
      <c r="D445" s="9"/>
      <c r="E445" s="9"/>
      <c r="F445" s="9"/>
      <c r="G445" s="9"/>
      <c r="H445" s="9"/>
      <c r="I445" s="9"/>
      <c r="J445" s="10" t="str">
        <f aca="false">IF(A445="","",IF(G445&lt;&gt;"",G445,IF(N(F445)&gt;0,ROUND(1000/F445,3),0)))</f>
        <v/>
      </c>
      <c r="K445" s="10" t="str">
        <f aca="false">IF(OR(A445="",E445="",H445=""),"",ROUND(0.00617*E445^2*H445*J445,2))</f>
        <v/>
      </c>
      <c r="L445" s="9"/>
      <c r="M445" s="10" t="str">
        <f aca="false">IF(A445="","",IF((COUNTIF(Drain_Register!$A$5:$A$304,A445)+COUNTIF(RW_Register!$A$5:$A$304,A445)+COUNTIF(Embedded_Wall_Register!$A$5:$A$304,A445)+COUNTIF(Manhole_Register!$A$5:$A$304,A445)+COUNTIF(ERSS_Pit_Register!$A$5:$A$304,A445)+COUNTIF(Linkway_Register!$A$5:$A$304,A445)+COUNTIF(Other_Register!$A$5:$A$304,A445))&gt;0,"OK","ID not in any register"))</f>
        <v/>
      </c>
    </row>
    <row r="446" customFormat="false" ht="15" hidden="false" customHeight="false" outlineLevel="0" collapsed="false">
      <c r="A446" s="9"/>
      <c r="B446" s="9"/>
      <c r="C446" s="9"/>
      <c r="D446" s="9"/>
      <c r="E446" s="9"/>
      <c r="F446" s="9"/>
      <c r="G446" s="9"/>
      <c r="H446" s="9"/>
      <c r="I446" s="9"/>
      <c r="J446" s="10" t="str">
        <f aca="false">IF(A446="","",IF(G446&lt;&gt;"",G446,IF(N(F446)&gt;0,ROUND(1000/F446,3),0)))</f>
        <v/>
      </c>
      <c r="K446" s="10" t="str">
        <f aca="false">IF(OR(A446="",E446="",H446=""),"",ROUND(0.00617*E446^2*H446*J446,2))</f>
        <v/>
      </c>
      <c r="L446" s="9"/>
      <c r="M446" s="10" t="str">
        <f aca="false">IF(A446="","",IF((COUNTIF(Drain_Register!$A$5:$A$304,A446)+COUNTIF(RW_Register!$A$5:$A$304,A446)+COUNTIF(Embedded_Wall_Register!$A$5:$A$304,A446)+COUNTIF(Manhole_Register!$A$5:$A$304,A446)+COUNTIF(ERSS_Pit_Register!$A$5:$A$304,A446)+COUNTIF(Linkway_Register!$A$5:$A$304,A446)+COUNTIF(Other_Register!$A$5:$A$304,A446))&gt;0,"OK","ID not in any register"))</f>
        <v/>
      </c>
    </row>
    <row r="447" customFormat="false" ht="15" hidden="false" customHeight="false" outlineLevel="0" collapsed="false">
      <c r="A447" s="9"/>
      <c r="B447" s="9"/>
      <c r="C447" s="9"/>
      <c r="D447" s="9"/>
      <c r="E447" s="9"/>
      <c r="F447" s="9"/>
      <c r="G447" s="9"/>
      <c r="H447" s="9"/>
      <c r="I447" s="9"/>
      <c r="J447" s="10" t="str">
        <f aca="false">IF(A447="","",IF(G447&lt;&gt;"",G447,IF(N(F447)&gt;0,ROUND(1000/F447,3),0)))</f>
        <v/>
      </c>
      <c r="K447" s="10" t="str">
        <f aca="false">IF(OR(A447="",E447="",H447=""),"",ROUND(0.00617*E447^2*H447*J447,2))</f>
        <v/>
      </c>
      <c r="L447" s="9"/>
      <c r="M447" s="10" t="str">
        <f aca="false">IF(A447="","",IF((COUNTIF(Drain_Register!$A$5:$A$304,A447)+COUNTIF(RW_Register!$A$5:$A$304,A447)+COUNTIF(Embedded_Wall_Register!$A$5:$A$304,A447)+COUNTIF(Manhole_Register!$A$5:$A$304,A447)+COUNTIF(ERSS_Pit_Register!$A$5:$A$304,A447)+COUNTIF(Linkway_Register!$A$5:$A$304,A447)+COUNTIF(Other_Register!$A$5:$A$304,A447))&gt;0,"OK","ID not in any register"))</f>
        <v/>
      </c>
    </row>
    <row r="448" customFormat="false" ht="15" hidden="false" customHeight="false" outlineLevel="0" collapsed="false">
      <c r="A448" s="9"/>
      <c r="B448" s="9"/>
      <c r="C448" s="9"/>
      <c r="D448" s="9"/>
      <c r="E448" s="9"/>
      <c r="F448" s="9"/>
      <c r="G448" s="9"/>
      <c r="H448" s="9"/>
      <c r="I448" s="9"/>
      <c r="J448" s="10" t="str">
        <f aca="false">IF(A448="","",IF(G448&lt;&gt;"",G448,IF(N(F448)&gt;0,ROUND(1000/F448,3),0)))</f>
        <v/>
      </c>
      <c r="K448" s="10" t="str">
        <f aca="false">IF(OR(A448="",E448="",H448=""),"",ROUND(0.00617*E448^2*H448*J448,2))</f>
        <v/>
      </c>
      <c r="L448" s="9"/>
      <c r="M448" s="10" t="str">
        <f aca="false">IF(A448="","",IF((COUNTIF(Drain_Register!$A$5:$A$304,A448)+COUNTIF(RW_Register!$A$5:$A$304,A448)+COUNTIF(Embedded_Wall_Register!$A$5:$A$304,A448)+COUNTIF(Manhole_Register!$A$5:$A$304,A448)+COUNTIF(ERSS_Pit_Register!$A$5:$A$304,A448)+COUNTIF(Linkway_Register!$A$5:$A$304,A448)+COUNTIF(Other_Register!$A$5:$A$304,A448))&gt;0,"OK","ID not in any register"))</f>
        <v/>
      </c>
    </row>
    <row r="449" customFormat="false" ht="15" hidden="false" customHeight="false" outlineLevel="0" collapsed="false">
      <c r="A449" s="9"/>
      <c r="B449" s="9"/>
      <c r="C449" s="9"/>
      <c r="D449" s="9"/>
      <c r="E449" s="9"/>
      <c r="F449" s="9"/>
      <c r="G449" s="9"/>
      <c r="H449" s="9"/>
      <c r="I449" s="9"/>
      <c r="J449" s="10" t="str">
        <f aca="false">IF(A449="","",IF(G449&lt;&gt;"",G449,IF(N(F449)&gt;0,ROUND(1000/F449,3),0)))</f>
        <v/>
      </c>
      <c r="K449" s="10" t="str">
        <f aca="false">IF(OR(A449="",E449="",H449=""),"",ROUND(0.00617*E449^2*H449*J449,2))</f>
        <v/>
      </c>
      <c r="L449" s="9"/>
      <c r="M449" s="10" t="str">
        <f aca="false">IF(A449="","",IF((COUNTIF(Drain_Register!$A$5:$A$304,A449)+COUNTIF(RW_Register!$A$5:$A$304,A449)+COUNTIF(Embedded_Wall_Register!$A$5:$A$304,A449)+COUNTIF(Manhole_Register!$A$5:$A$304,A449)+COUNTIF(ERSS_Pit_Register!$A$5:$A$304,A449)+COUNTIF(Linkway_Register!$A$5:$A$304,A449)+COUNTIF(Other_Register!$A$5:$A$304,A449))&gt;0,"OK","ID not in any register"))</f>
        <v/>
      </c>
    </row>
    <row r="450" customFormat="false" ht="15" hidden="false" customHeight="false" outlineLevel="0" collapsed="false">
      <c r="A450" s="9"/>
      <c r="B450" s="9"/>
      <c r="C450" s="9"/>
      <c r="D450" s="9"/>
      <c r="E450" s="9"/>
      <c r="F450" s="9"/>
      <c r="G450" s="9"/>
      <c r="H450" s="9"/>
      <c r="I450" s="9"/>
      <c r="J450" s="10" t="str">
        <f aca="false">IF(A450="","",IF(G450&lt;&gt;"",G450,IF(N(F450)&gt;0,ROUND(1000/F450,3),0)))</f>
        <v/>
      </c>
      <c r="K450" s="10" t="str">
        <f aca="false">IF(OR(A450="",E450="",H450=""),"",ROUND(0.00617*E450^2*H450*J450,2))</f>
        <v/>
      </c>
      <c r="L450" s="9"/>
      <c r="M450" s="10" t="str">
        <f aca="false">IF(A450="","",IF((COUNTIF(Drain_Register!$A$5:$A$304,A450)+COUNTIF(RW_Register!$A$5:$A$304,A450)+COUNTIF(Embedded_Wall_Register!$A$5:$A$304,A450)+COUNTIF(Manhole_Register!$A$5:$A$304,A450)+COUNTIF(ERSS_Pit_Register!$A$5:$A$304,A450)+COUNTIF(Linkway_Register!$A$5:$A$304,A450)+COUNTIF(Other_Register!$A$5:$A$304,A450))&gt;0,"OK","ID not in any register"))</f>
        <v/>
      </c>
    </row>
    <row r="451" customFormat="false" ht="15" hidden="false" customHeight="false" outlineLevel="0" collapsed="false">
      <c r="A451" s="9"/>
      <c r="B451" s="9"/>
      <c r="C451" s="9"/>
      <c r="D451" s="9"/>
      <c r="E451" s="9"/>
      <c r="F451" s="9"/>
      <c r="G451" s="9"/>
      <c r="H451" s="9"/>
      <c r="I451" s="9"/>
      <c r="J451" s="10" t="str">
        <f aca="false">IF(A451="","",IF(G451&lt;&gt;"",G451,IF(N(F451)&gt;0,ROUND(1000/F451,3),0)))</f>
        <v/>
      </c>
      <c r="K451" s="10" t="str">
        <f aca="false">IF(OR(A451="",E451="",H451=""),"",ROUND(0.00617*E451^2*H451*J451,2))</f>
        <v/>
      </c>
      <c r="L451" s="9"/>
      <c r="M451" s="10" t="str">
        <f aca="false">IF(A451="","",IF((COUNTIF(Drain_Register!$A$5:$A$304,A451)+COUNTIF(RW_Register!$A$5:$A$304,A451)+COUNTIF(Embedded_Wall_Register!$A$5:$A$304,A451)+COUNTIF(Manhole_Register!$A$5:$A$304,A451)+COUNTIF(ERSS_Pit_Register!$A$5:$A$304,A451)+COUNTIF(Linkway_Register!$A$5:$A$304,A451)+COUNTIF(Other_Register!$A$5:$A$304,A451))&gt;0,"OK","ID not in any register"))</f>
        <v/>
      </c>
    </row>
    <row r="452" customFormat="false" ht="15" hidden="false" customHeight="false" outlineLevel="0" collapsed="false">
      <c r="A452" s="9"/>
      <c r="B452" s="9"/>
      <c r="C452" s="9"/>
      <c r="D452" s="9"/>
      <c r="E452" s="9"/>
      <c r="F452" s="9"/>
      <c r="G452" s="9"/>
      <c r="H452" s="9"/>
      <c r="I452" s="9"/>
      <c r="J452" s="10" t="str">
        <f aca="false">IF(A452="","",IF(G452&lt;&gt;"",G452,IF(N(F452)&gt;0,ROUND(1000/F452,3),0)))</f>
        <v/>
      </c>
      <c r="K452" s="10" t="str">
        <f aca="false">IF(OR(A452="",E452="",H452=""),"",ROUND(0.00617*E452^2*H452*J452,2))</f>
        <v/>
      </c>
      <c r="L452" s="9"/>
      <c r="M452" s="10" t="str">
        <f aca="false">IF(A452="","",IF((COUNTIF(Drain_Register!$A$5:$A$304,A452)+COUNTIF(RW_Register!$A$5:$A$304,A452)+COUNTIF(Embedded_Wall_Register!$A$5:$A$304,A452)+COUNTIF(Manhole_Register!$A$5:$A$304,A452)+COUNTIF(ERSS_Pit_Register!$A$5:$A$304,A452)+COUNTIF(Linkway_Register!$A$5:$A$304,A452)+COUNTIF(Other_Register!$A$5:$A$304,A452))&gt;0,"OK","ID not in any register"))</f>
        <v/>
      </c>
    </row>
    <row r="453" customFormat="false" ht="15" hidden="false" customHeight="false" outlineLevel="0" collapsed="false">
      <c r="A453" s="9"/>
      <c r="B453" s="9"/>
      <c r="C453" s="9"/>
      <c r="D453" s="9"/>
      <c r="E453" s="9"/>
      <c r="F453" s="9"/>
      <c r="G453" s="9"/>
      <c r="H453" s="9"/>
      <c r="I453" s="9"/>
      <c r="J453" s="10" t="str">
        <f aca="false">IF(A453="","",IF(G453&lt;&gt;"",G453,IF(N(F453)&gt;0,ROUND(1000/F453,3),0)))</f>
        <v/>
      </c>
      <c r="K453" s="10" t="str">
        <f aca="false">IF(OR(A453="",E453="",H453=""),"",ROUND(0.00617*E453^2*H453*J453,2))</f>
        <v/>
      </c>
      <c r="L453" s="9"/>
      <c r="M453" s="10" t="str">
        <f aca="false">IF(A453="","",IF((COUNTIF(Drain_Register!$A$5:$A$304,A453)+COUNTIF(RW_Register!$A$5:$A$304,A453)+COUNTIF(Embedded_Wall_Register!$A$5:$A$304,A453)+COUNTIF(Manhole_Register!$A$5:$A$304,A453)+COUNTIF(ERSS_Pit_Register!$A$5:$A$304,A453)+COUNTIF(Linkway_Register!$A$5:$A$304,A453)+COUNTIF(Other_Register!$A$5:$A$304,A453))&gt;0,"OK","ID not in any register"))</f>
        <v/>
      </c>
    </row>
    <row r="454" customFormat="false" ht="15" hidden="false" customHeight="false" outlineLevel="0" collapsed="false">
      <c r="A454" s="9"/>
      <c r="B454" s="9"/>
      <c r="C454" s="9"/>
      <c r="D454" s="9"/>
      <c r="E454" s="9"/>
      <c r="F454" s="9"/>
      <c r="G454" s="9"/>
      <c r="H454" s="9"/>
      <c r="I454" s="9"/>
      <c r="J454" s="10" t="str">
        <f aca="false">IF(A454="","",IF(G454&lt;&gt;"",G454,IF(N(F454)&gt;0,ROUND(1000/F454,3),0)))</f>
        <v/>
      </c>
      <c r="K454" s="10" t="str">
        <f aca="false">IF(OR(A454="",E454="",H454=""),"",ROUND(0.00617*E454^2*H454*J454,2))</f>
        <v/>
      </c>
      <c r="L454" s="9"/>
      <c r="M454" s="10" t="str">
        <f aca="false">IF(A454="","",IF((COUNTIF(Drain_Register!$A$5:$A$304,A454)+COUNTIF(RW_Register!$A$5:$A$304,A454)+COUNTIF(Embedded_Wall_Register!$A$5:$A$304,A454)+COUNTIF(Manhole_Register!$A$5:$A$304,A454)+COUNTIF(ERSS_Pit_Register!$A$5:$A$304,A454)+COUNTIF(Linkway_Register!$A$5:$A$304,A454)+COUNTIF(Other_Register!$A$5:$A$304,A454))&gt;0,"OK","ID not in any register"))</f>
        <v/>
      </c>
    </row>
    <row r="455" customFormat="false" ht="15" hidden="false" customHeight="false" outlineLevel="0" collapsed="false">
      <c r="A455" s="9"/>
      <c r="B455" s="9"/>
      <c r="C455" s="9"/>
      <c r="D455" s="9"/>
      <c r="E455" s="9"/>
      <c r="F455" s="9"/>
      <c r="G455" s="9"/>
      <c r="H455" s="9"/>
      <c r="I455" s="9"/>
      <c r="J455" s="10" t="str">
        <f aca="false">IF(A455="","",IF(G455&lt;&gt;"",G455,IF(N(F455)&gt;0,ROUND(1000/F455,3),0)))</f>
        <v/>
      </c>
      <c r="K455" s="10" t="str">
        <f aca="false">IF(OR(A455="",E455="",H455=""),"",ROUND(0.00617*E455^2*H455*J455,2))</f>
        <v/>
      </c>
      <c r="L455" s="9"/>
      <c r="M455" s="10" t="str">
        <f aca="false">IF(A455="","",IF((COUNTIF(Drain_Register!$A$5:$A$304,A455)+COUNTIF(RW_Register!$A$5:$A$304,A455)+COUNTIF(Embedded_Wall_Register!$A$5:$A$304,A455)+COUNTIF(Manhole_Register!$A$5:$A$304,A455)+COUNTIF(ERSS_Pit_Register!$A$5:$A$304,A455)+COUNTIF(Linkway_Register!$A$5:$A$304,A455)+COUNTIF(Other_Register!$A$5:$A$304,A455))&gt;0,"OK","ID not in any register"))</f>
        <v/>
      </c>
    </row>
    <row r="456" customFormat="false" ht="15" hidden="false" customHeight="false" outlineLevel="0" collapsed="false">
      <c r="A456" s="9"/>
      <c r="B456" s="9"/>
      <c r="C456" s="9"/>
      <c r="D456" s="9"/>
      <c r="E456" s="9"/>
      <c r="F456" s="9"/>
      <c r="G456" s="9"/>
      <c r="H456" s="9"/>
      <c r="I456" s="9"/>
      <c r="J456" s="10" t="str">
        <f aca="false">IF(A456="","",IF(G456&lt;&gt;"",G456,IF(N(F456)&gt;0,ROUND(1000/F456,3),0)))</f>
        <v/>
      </c>
      <c r="K456" s="10" t="str">
        <f aca="false">IF(OR(A456="",E456="",H456=""),"",ROUND(0.00617*E456^2*H456*J456,2))</f>
        <v/>
      </c>
      <c r="L456" s="9"/>
      <c r="M456" s="10" t="str">
        <f aca="false">IF(A456="","",IF((COUNTIF(Drain_Register!$A$5:$A$304,A456)+COUNTIF(RW_Register!$A$5:$A$304,A456)+COUNTIF(Embedded_Wall_Register!$A$5:$A$304,A456)+COUNTIF(Manhole_Register!$A$5:$A$304,A456)+COUNTIF(ERSS_Pit_Register!$A$5:$A$304,A456)+COUNTIF(Linkway_Register!$A$5:$A$304,A456)+COUNTIF(Other_Register!$A$5:$A$304,A456))&gt;0,"OK","ID not in any register"))</f>
        <v/>
      </c>
    </row>
    <row r="457" customFormat="false" ht="15" hidden="false" customHeight="false" outlineLevel="0" collapsed="false">
      <c r="A457" s="9"/>
      <c r="B457" s="9"/>
      <c r="C457" s="9"/>
      <c r="D457" s="9"/>
      <c r="E457" s="9"/>
      <c r="F457" s="9"/>
      <c r="G457" s="9"/>
      <c r="H457" s="9"/>
      <c r="I457" s="9"/>
      <c r="J457" s="10" t="str">
        <f aca="false">IF(A457="","",IF(G457&lt;&gt;"",G457,IF(N(F457)&gt;0,ROUND(1000/F457,3),0)))</f>
        <v/>
      </c>
      <c r="K457" s="10" t="str">
        <f aca="false">IF(OR(A457="",E457="",H457=""),"",ROUND(0.00617*E457^2*H457*J457,2))</f>
        <v/>
      </c>
      <c r="L457" s="9"/>
      <c r="M457" s="10" t="str">
        <f aca="false">IF(A457="","",IF((COUNTIF(Drain_Register!$A$5:$A$304,A457)+COUNTIF(RW_Register!$A$5:$A$304,A457)+COUNTIF(Embedded_Wall_Register!$A$5:$A$304,A457)+COUNTIF(Manhole_Register!$A$5:$A$304,A457)+COUNTIF(ERSS_Pit_Register!$A$5:$A$304,A457)+COUNTIF(Linkway_Register!$A$5:$A$304,A457)+COUNTIF(Other_Register!$A$5:$A$304,A457))&gt;0,"OK","ID not in any register"))</f>
        <v/>
      </c>
    </row>
    <row r="458" customFormat="false" ht="15" hidden="false" customHeight="false" outlineLevel="0" collapsed="false">
      <c r="A458" s="9"/>
      <c r="B458" s="9"/>
      <c r="C458" s="9"/>
      <c r="D458" s="9"/>
      <c r="E458" s="9"/>
      <c r="F458" s="9"/>
      <c r="G458" s="9"/>
      <c r="H458" s="9"/>
      <c r="I458" s="9"/>
      <c r="J458" s="10" t="str">
        <f aca="false">IF(A458="","",IF(G458&lt;&gt;"",G458,IF(N(F458)&gt;0,ROUND(1000/F458,3),0)))</f>
        <v/>
      </c>
      <c r="K458" s="10" t="str">
        <f aca="false">IF(OR(A458="",E458="",H458=""),"",ROUND(0.00617*E458^2*H458*J458,2))</f>
        <v/>
      </c>
      <c r="L458" s="9"/>
      <c r="M458" s="10" t="str">
        <f aca="false">IF(A458="","",IF((COUNTIF(Drain_Register!$A$5:$A$304,A458)+COUNTIF(RW_Register!$A$5:$A$304,A458)+COUNTIF(Embedded_Wall_Register!$A$5:$A$304,A458)+COUNTIF(Manhole_Register!$A$5:$A$304,A458)+COUNTIF(ERSS_Pit_Register!$A$5:$A$304,A458)+COUNTIF(Linkway_Register!$A$5:$A$304,A458)+COUNTIF(Other_Register!$A$5:$A$304,A458))&gt;0,"OK","ID not in any register"))</f>
        <v/>
      </c>
    </row>
    <row r="459" customFormat="false" ht="15" hidden="false" customHeight="false" outlineLevel="0" collapsed="false">
      <c r="A459" s="9"/>
      <c r="B459" s="9"/>
      <c r="C459" s="9"/>
      <c r="D459" s="9"/>
      <c r="E459" s="9"/>
      <c r="F459" s="9"/>
      <c r="G459" s="9"/>
      <c r="H459" s="9"/>
      <c r="I459" s="9"/>
      <c r="J459" s="10" t="str">
        <f aca="false">IF(A459="","",IF(G459&lt;&gt;"",G459,IF(N(F459)&gt;0,ROUND(1000/F459,3),0)))</f>
        <v/>
      </c>
      <c r="K459" s="10" t="str">
        <f aca="false">IF(OR(A459="",E459="",H459=""),"",ROUND(0.00617*E459^2*H459*J459,2))</f>
        <v/>
      </c>
      <c r="L459" s="9"/>
      <c r="M459" s="10" t="str">
        <f aca="false">IF(A459="","",IF((COUNTIF(Drain_Register!$A$5:$A$304,A459)+COUNTIF(RW_Register!$A$5:$A$304,A459)+COUNTIF(Embedded_Wall_Register!$A$5:$A$304,A459)+COUNTIF(Manhole_Register!$A$5:$A$304,A459)+COUNTIF(ERSS_Pit_Register!$A$5:$A$304,A459)+COUNTIF(Linkway_Register!$A$5:$A$304,A459)+COUNTIF(Other_Register!$A$5:$A$304,A459))&gt;0,"OK","ID not in any register"))</f>
        <v/>
      </c>
    </row>
    <row r="460" customFormat="false" ht="15" hidden="false" customHeight="false" outlineLevel="0" collapsed="false">
      <c r="A460" s="9"/>
      <c r="B460" s="9"/>
      <c r="C460" s="9"/>
      <c r="D460" s="9"/>
      <c r="E460" s="9"/>
      <c r="F460" s="9"/>
      <c r="G460" s="9"/>
      <c r="H460" s="9"/>
      <c r="I460" s="9"/>
      <c r="J460" s="10" t="str">
        <f aca="false">IF(A460="","",IF(G460&lt;&gt;"",G460,IF(N(F460)&gt;0,ROUND(1000/F460,3),0)))</f>
        <v/>
      </c>
      <c r="K460" s="10" t="str">
        <f aca="false">IF(OR(A460="",E460="",H460=""),"",ROUND(0.00617*E460^2*H460*J460,2))</f>
        <v/>
      </c>
      <c r="L460" s="9"/>
      <c r="M460" s="10" t="str">
        <f aca="false">IF(A460="","",IF((COUNTIF(Drain_Register!$A$5:$A$304,A460)+COUNTIF(RW_Register!$A$5:$A$304,A460)+COUNTIF(Embedded_Wall_Register!$A$5:$A$304,A460)+COUNTIF(Manhole_Register!$A$5:$A$304,A460)+COUNTIF(ERSS_Pit_Register!$A$5:$A$304,A460)+COUNTIF(Linkway_Register!$A$5:$A$304,A460)+COUNTIF(Other_Register!$A$5:$A$304,A460))&gt;0,"OK","ID not in any register"))</f>
        <v/>
      </c>
    </row>
    <row r="461" customFormat="false" ht="15" hidden="false" customHeight="false" outlineLevel="0" collapsed="false">
      <c r="A461" s="9"/>
      <c r="B461" s="9"/>
      <c r="C461" s="9"/>
      <c r="D461" s="9"/>
      <c r="E461" s="9"/>
      <c r="F461" s="9"/>
      <c r="G461" s="9"/>
      <c r="H461" s="9"/>
      <c r="I461" s="9"/>
      <c r="J461" s="10" t="str">
        <f aca="false">IF(A461="","",IF(G461&lt;&gt;"",G461,IF(N(F461)&gt;0,ROUND(1000/F461,3),0)))</f>
        <v/>
      </c>
      <c r="K461" s="10" t="str">
        <f aca="false">IF(OR(A461="",E461="",H461=""),"",ROUND(0.00617*E461^2*H461*J461,2))</f>
        <v/>
      </c>
      <c r="L461" s="9"/>
      <c r="M461" s="10" t="str">
        <f aca="false">IF(A461="","",IF((COUNTIF(Drain_Register!$A$5:$A$304,A461)+COUNTIF(RW_Register!$A$5:$A$304,A461)+COUNTIF(Embedded_Wall_Register!$A$5:$A$304,A461)+COUNTIF(Manhole_Register!$A$5:$A$304,A461)+COUNTIF(ERSS_Pit_Register!$A$5:$A$304,A461)+COUNTIF(Linkway_Register!$A$5:$A$304,A461)+COUNTIF(Other_Register!$A$5:$A$304,A461))&gt;0,"OK","ID not in any register"))</f>
        <v/>
      </c>
    </row>
    <row r="462" customFormat="false" ht="15" hidden="false" customHeight="false" outlineLevel="0" collapsed="false">
      <c r="A462" s="9"/>
      <c r="B462" s="9"/>
      <c r="C462" s="9"/>
      <c r="D462" s="9"/>
      <c r="E462" s="9"/>
      <c r="F462" s="9"/>
      <c r="G462" s="9"/>
      <c r="H462" s="9"/>
      <c r="I462" s="9"/>
      <c r="J462" s="10" t="str">
        <f aca="false">IF(A462="","",IF(G462&lt;&gt;"",G462,IF(N(F462)&gt;0,ROUND(1000/F462,3),0)))</f>
        <v/>
      </c>
      <c r="K462" s="10" t="str">
        <f aca="false">IF(OR(A462="",E462="",H462=""),"",ROUND(0.00617*E462^2*H462*J462,2))</f>
        <v/>
      </c>
      <c r="L462" s="9"/>
      <c r="M462" s="10" t="str">
        <f aca="false">IF(A462="","",IF((COUNTIF(Drain_Register!$A$5:$A$304,A462)+COUNTIF(RW_Register!$A$5:$A$304,A462)+COUNTIF(Embedded_Wall_Register!$A$5:$A$304,A462)+COUNTIF(Manhole_Register!$A$5:$A$304,A462)+COUNTIF(ERSS_Pit_Register!$A$5:$A$304,A462)+COUNTIF(Linkway_Register!$A$5:$A$304,A462)+COUNTIF(Other_Register!$A$5:$A$304,A462))&gt;0,"OK","ID not in any register"))</f>
        <v/>
      </c>
    </row>
    <row r="463" customFormat="false" ht="15" hidden="false" customHeight="false" outlineLevel="0" collapsed="false">
      <c r="A463" s="9"/>
      <c r="B463" s="9"/>
      <c r="C463" s="9"/>
      <c r="D463" s="9"/>
      <c r="E463" s="9"/>
      <c r="F463" s="9"/>
      <c r="G463" s="9"/>
      <c r="H463" s="9"/>
      <c r="I463" s="9"/>
      <c r="J463" s="10" t="str">
        <f aca="false">IF(A463="","",IF(G463&lt;&gt;"",G463,IF(N(F463)&gt;0,ROUND(1000/F463,3),0)))</f>
        <v/>
      </c>
      <c r="K463" s="10" t="str">
        <f aca="false">IF(OR(A463="",E463="",H463=""),"",ROUND(0.00617*E463^2*H463*J463,2))</f>
        <v/>
      </c>
      <c r="L463" s="9"/>
      <c r="M463" s="10" t="str">
        <f aca="false">IF(A463="","",IF((COUNTIF(Drain_Register!$A$5:$A$304,A463)+COUNTIF(RW_Register!$A$5:$A$304,A463)+COUNTIF(Embedded_Wall_Register!$A$5:$A$304,A463)+COUNTIF(Manhole_Register!$A$5:$A$304,A463)+COUNTIF(ERSS_Pit_Register!$A$5:$A$304,A463)+COUNTIF(Linkway_Register!$A$5:$A$304,A463)+COUNTIF(Other_Register!$A$5:$A$304,A463))&gt;0,"OK","ID not in any register"))</f>
        <v/>
      </c>
    </row>
    <row r="464" customFormat="false" ht="15" hidden="false" customHeight="false" outlineLevel="0" collapsed="false">
      <c r="A464" s="9"/>
      <c r="B464" s="9"/>
      <c r="C464" s="9"/>
      <c r="D464" s="9"/>
      <c r="E464" s="9"/>
      <c r="F464" s="9"/>
      <c r="G464" s="9"/>
      <c r="H464" s="9"/>
      <c r="I464" s="9"/>
      <c r="J464" s="10" t="str">
        <f aca="false">IF(A464="","",IF(G464&lt;&gt;"",G464,IF(N(F464)&gt;0,ROUND(1000/F464,3),0)))</f>
        <v/>
      </c>
      <c r="K464" s="10" t="str">
        <f aca="false">IF(OR(A464="",E464="",H464=""),"",ROUND(0.00617*E464^2*H464*J464,2))</f>
        <v/>
      </c>
      <c r="L464" s="9"/>
      <c r="M464" s="10" t="str">
        <f aca="false">IF(A464="","",IF((COUNTIF(Drain_Register!$A$5:$A$304,A464)+COUNTIF(RW_Register!$A$5:$A$304,A464)+COUNTIF(Embedded_Wall_Register!$A$5:$A$304,A464)+COUNTIF(Manhole_Register!$A$5:$A$304,A464)+COUNTIF(ERSS_Pit_Register!$A$5:$A$304,A464)+COUNTIF(Linkway_Register!$A$5:$A$304,A464)+COUNTIF(Other_Register!$A$5:$A$304,A464))&gt;0,"OK","ID not in any register"))</f>
        <v/>
      </c>
    </row>
    <row r="465" customFormat="false" ht="15" hidden="false" customHeight="false" outlineLevel="0" collapsed="false">
      <c r="A465" s="9"/>
      <c r="B465" s="9"/>
      <c r="C465" s="9"/>
      <c r="D465" s="9"/>
      <c r="E465" s="9"/>
      <c r="F465" s="9"/>
      <c r="G465" s="9"/>
      <c r="H465" s="9"/>
      <c r="I465" s="9"/>
      <c r="J465" s="10" t="str">
        <f aca="false">IF(A465="","",IF(G465&lt;&gt;"",G465,IF(N(F465)&gt;0,ROUND(1000/F465,3),0)))</f>
        <v/>
      </c>
      <c r="K465" s="10" t="str">
        <f aca="false">IF(OR(A465="",E465="",H465=""),"",ROUND(0.00617*E465^2*H465*J465,2))</f>
        <v/>
      </c>
      <c r="L465" s="9"/>
      <c r="M465" s="10" t="str">
        <f aca="false">IF(A465="","",IF((COUNTIF(Drain_Register!$A$5:$A$304,A465)+COUNTIF(RW_Register!$A$5:$A$304,A465)+COUNTIF(Embedded_Wall_Register!$A$5:$A$304,A465)+COUNTIF(Manhole_Register!$A$5:$A$304,A465)+COUNTIF(ERSS_Pit_Register!$A$5:$A$304,A465)+COUNTIF(Linkway_Register!$A$5:$A$304,A465)+COUNTIF(Other_Register!$A$5:$A$304,A465))&gt;0,"OK","ID not in any register"))</f>
        <v/>
      </c>
    </row>
    <row r="466" customFormat="false" ht="15" hidden="false" customHeight="false" outlineLevel="0" collapsed="false">
      <c r="A466" s="9"/>
      <c r="B466" s="9"/>
      <c r="C466" s="9"/>
      <c r="D466" s="9"/>
      <c r="E466" s="9"/>
      <c r="F466" s="9"/>
      <c r="G466" s="9"/>
      <c r="H466" s="9"/>
      <c r="I466" s="9"/>
      <c r="J466" s="10" t="str">
        <f aca="false">IF(A466="","",IF(G466&lt;&gt;"",G466,IF(N(F466)&gt;0,ROUND(1000/F466,3),0)))</f>
        <v/>
      </c>
      <c r="K466" s="10" t="str">
        <f aca="false">IF(OR(A466="",E466="",H466=""),"",ROUND(0.00617*E466^2*H466*J466,2))</f>
        <v/>
      </c>
      <c r="L466" s="9"/>
      <c r="M466" s="10" t="str">
        <f aca="false">IF(A466="","",IF((COUNTIF(Drain_Register!$A$5:$A$304,A466)+COUNTIF(RW_Register!$A$5:$A$304,A466)+COUNTIF(Embedded_Wall_Register!$A$5:$A$304,A466)+COUNTIF(Manhole_Register!$A$5:$A$304,A466)+COUNTIF(ERSS_Pit_Register!$A$5:$A$304,A466)+COUNTIF(Linkway_Register!$A$5:$A$304,A466)+COUNTIF(Other_Register!$A$5:$A$304,A466))&gt;0,"OK","ID not in any register"))</f>
        <v/>
      </c>
    </row>
    <row r="467" customFormat="false" ht="15" hidden="false" customHeight="false" outlineLevel="0" collapsed="false">
      <c r="A467" s="9"/>
      <c r="B467" s="9"/>
      <c r="C467" s="9"/>
      <c r="D467" s="9"/>
      <c r="E467" s="9"/>
      <c r="F467" s="9"/>
      <c r="G467" s="9"/>
      <c r="H467" s="9"/>
      <c r="I467" s="9"/>
      <c r="J467" s="10" t="str">
        <f aca="false">IF(A467="","",IF(G467&lt;&gt;"",G467,IF(N(F467)&gt;0,ROUND(1000/F467,3),0)))</f>
        <v/>
      </c>
      <c r="K467" s="10" t="str">
        <f aca="false">IF(OR(A467="",E467="",H467=""),"",ROUND(0.00617*E467^2*H467*J467,2))</f>
        <v/>
      </c>
      <c r="L467" s="9"/>
      <c r="M467" s="10" t="str">
        <f aca="false">IF(A467="","",IF((COUNTIF(Drain_Register!$A$5:$A$304,A467)+COUNTIF(RW_Register!$A$5:$A$304,A467)+COUNTIF(Embedded_Wall_Register!$A$5:$A$304,A467)+COUNTIF(Manhole_Register!$A$5:$A$304,A467)+COUNTIF(ERSS_Pit_Register!$A$5:$A$304,A467)+COUNTIF(Linkway_Register!$A$5:$A$304,A467)+COUNTIF(Other_Register!$A$5:$A$304,A467))&gt;0,"OK","ID not in any register"))</f>
        <v/>
      </c>
    </row>
    <row r="468" customFormat="false" ht="15" hidden="false" customHeight="false" outlineLevel="0" collapsed="false">
      <c r="A468" s="9"/>
      <c r="B468" s="9"/>
      <c r="C468" s="9"/>
      <c r="D468" s="9"/>
      <c r="E468" s="9"/>
      <c r="F468" s="9"/>
      <c r="G468" s="9"/>
      <c r="H468" s="9"/>
      <c r="I468" s="9"/>
      <c r="J468" s="10" t="str">
        <f aca="false">IF(A468="","",IF(G468&lt;&gt;"",G468,IF(N(F468)&gt;0,ROUND(1000/F468,3),0)))</f>
        <v/>
      </c>
      <c r="K468" s="10" t="str">
        <f aca="false">IF(OR(A468="",E468="",H468=""),"",ROUND(0.00617*E468^2*H468*J468,2))</f>
        <v/>
      </c>
      <c r="L468" s="9"/>
      <c r="M468" s="10" t="str">
        <f aca="false">IF(A468="","",IF((COUNTIF(Drain_Register!$A$5:$A$304,A468)+COUNTIF(RW_Register!$A$5:$A$304,A468)+COUNTIF(Embedded_Wall_Register!$A$5:$A$304,A468)+COUNTIF(Manhole_Register!$A$5:$A$304,A468)+COUNTIF(ERSS_Pit_Register!$A$5:$A$304,A468)+COUNTIF(Linkway_Register!$A$5:$A$304,A468)+COUNTIF(Other_Register!$A$5:$A$304,A468))&gt;0,"OK","ID not in any register"))</f>
        <v/>
      </c>
    </row>
    <row r="469" customFormat="false" ht="15" hidden="false" customHeight="false" outlineLevel="0" collapsed="false">
      <c r="A469" s="9"/>
      <c r="B469" s="9"/>
      <c r="C469" s="9"/>
      <c r="D469" s="9"/>
      <c r="E469" s="9"/>
      <c r="F469" s="9"/>
      <c r="G469" s="9"/>
      <c r="H469" s="9"/>
      <c r="I469" s="9"/>
      <c r="J469" s="10" t="str">
        <f aca="false">IF(A469="","",IF(G469&lt;&gt;"",G469,IF(N(F469)&gt;0,ROUND(1000/F469,3),0)))</f>
        <v/>
      </c>
      <c r="K469" s="10" t="str">
        <f aca="false">IF(OR(A469="",E469="",H469=""),"",ROUND(0.00617*E469^2*H469*J469,2))</f>
        <v/>
      </c>
      <c r="L469" s="9"/>
      <c r="M469" s="10" t="str">
        <f aca="false">IF(A469="","",IF((COUNTIF(Drain_Register!$A$5:$A$304,A469)+COUNTIF(RW_Register!$A$5:$A$304,A469)+COUNTIF(Embedded_Wall_Register!$A$5:$A$304,A469)+COUNTIF(Manhole_Register!$A$5:$A$304,A469)+COUNTIF(ERSS_Pit_Register!$A$5:$A$304,A469)+COUNTIF(Linkway_Register!$A$5:$A$304,A469)+COUNTIF(Other_Register!$A$5:$A$304,A469))&gt;0,"OK","ID not in any register"))</f>
        <v/>
      </c>
    </row>
    <row r="470" customFormat="false" ht="15" hidden="false" customHeight="false" outlineLevel="0" collapsed="false">
      <c r="A470" s="9"/>
      <c r="B470" s="9"/>
      <c r="C470" s="9"/>
      <c r="D470" s="9"/>
      <c r="E470" s="9"/>
      <c r="F470" s="9"/>
      <c r="G470" s="9"/>
      <c r="H470" s="9"/>
      <c r="I470" s="9"/>
      <c r="J470" s="10" t="str">
        <f aca="false">IF(A470="","",IF(G470&lt;&gt;"",G470,IF(N(F470)&gt;0,ROUND(1000/F470,3),0)))</f>
        <v/>
      </c>
      <c r="K470" s="10" t="str">
        <f aca="false">IF(OR(A470="",E470="",H470=""),"",ROUND(0.00617*E470^2*H470*J470,2))</f>
        <v/>
      </c>
      <c r="L470" s="9"/>
      <c r="M470" s="10" t="str">
        <f aca="false">IF(A470="","",IF((COUNTIF(Drain_Register!$A$5:$A$304,A470)+COUNTIF(RW_Register!$A$5:$A$304,A470)+COUNTIF(Embedded_Wall_Register!$A$5:$A$304,A470)+COUNTIF(Manhole_Register!$A$5:$A$304,A470)+COUNTIF(ERSS_Pit_Register!$A$5:$A$304,A470)+COUNTIF(Linkway_Register!$A$5:$A$304,A470)+COUNTIF(Other_Register!$A$5:$A$304,A470))&gt;0,"OK","ID not in any register"))</f>
        <v/>
      </c>
    </row>
    <row r="471" customFormat="false" ht="15" hidden="false" customHeight="false" outlineLevel="0" collapsed="false">
      <c r="A471" s="9"/>
      <c r="B471" s="9"/>
      <c r="C471" s="9"/>
      <c r="D471" s="9"/>
      <c r="E471" s="9"/>
      <c r="F471" s="9"/>
      <c r="G471" s="9"/>
      <c r="H471" s="9"/>
      <c r="I471" s="9"/>
      <c r="J471" s="10" t="str">
        <f aca="false">IF(A471="","",IF(G471&lt;&gt;"",G471,IF(N(F471)&gt;0,ROUND(1000/F471,3),0)))</f>
        <v/>
      </c>
      <c r="K471" s="10" t="str">
        <f aca="false">IF(OR(A471="",E471="",H471=""),"",ROUND(0.00617*E471^2*H471*J471,2))</f>
        <v/>
      </c>
      <c r="L471" s="9"/>
      <c r="M471" s="10" t="str">
        <f aca="false">IF(A471="","",IF((COUNTIF(Drain_Register!$A$5:$A$304,A471)+COUNTIF(RW_Register!$A$5:$A$304,A471)+COUNTIF(Embedded_Wall_Register!$A$5:$A$304,A471)+COUNTIF(Manhole_Register!$A$5:$A$304,A471)+COUNTIF(ERSS_Pit_Register!$A$5:$A$304,A471)+COUNTIF(Linkway_Register!$A$5:$A$304,A471)+COUNTIF(Other_Register!$A$5:$A$304,A471))&gt;0,"OK","ID not in any register"))</f>
        <v/>
      </c>
    </row>
    <row r="472" customFormat="false" ht="15" hidden="false" customHeight="false" outlineLevel="0" collapsed="false">
      <c r="A472" s="9"/>
      <c r="B472" s="9"/>
      <c r="C472" s="9"/>
      <c r="D472" s="9"/>
      <c r="E472" s="9"/>
      <c r="F472" s="9"/>
      <c r="G472" s="9"/>
      <c r="H472" s="9"/>
      <c r="I472" s="9"/>
      <c r="J472" s="10" t="str">
        <f aca="false">IF(A472="","",IF(G472&lt;&gt;"",G472,IF(N(F472)&gt;0,ROUND(1000/F472,3),0)))</f>
        <v/>
      </c>
      <c r="K472" s="10" t="str">
        <f aca="false">IF(OR(A472="",E472="",H472=""),"",ROUND(0.00617*E472^2*H472*J472,2))</f>
        <v/>
      </c>
      <c r="L472" s="9"/>
      <c r="M472" s="10" t="str">
        <f aca="false">IF(A472="","",IF((COUNTIF(Drain_Register!$A$5:$A$304,A472)+COUNTIF(RW_Register!$A$5:$A$304,A472)+COUNTIF(Embedded_Wall_Register!$A$5:$A$304,A472)+COUNTIF(Manhole_Register!$A$5:$A$304,A472)+COUNTIF(ERSS_Pit_Register!$A$5:$A$304,A472)+COUNTIF(Linkway_Register!$A$5:$A$304,A472)+COUNTIF(Other_Register!$A$5:$A$304,A472))&gt;0,"OK","ID not in any register"))</f>
        <v/>
      </c>
    </row>
    <row r="473" customFormat="false" ht="15" hidden="false" customHeight="false" outlineLevel="0" collapsed="false">
      <c r="A473" s="9"/>
      <c r="B473" s="9"/>
      <c r="C473" s="9"/>
      <c r="D473" s="9"/>
      <c r="E473" s="9"/>
      <c r="F473" s="9"/>
      <c r="G473" s="9"/>
      <c r="H473" s="9"/>
      <c r="I473" s="9"/>
      <c r="J473" s="10" t="str">
        <f aca="false">IF(A473="","",IF(G473&lt;&gt;"",G473,IF(N(F473)&gt;0,ROUND(1000/F473,3),0)))</f>
        <v/>
      </c>
      <c r="K473" s="10" t="str">
        <f aca="false">IF(OR(A473="",E473="",H473=""),"",ROUND(0.00617*E473^2*H473*J473,2))</f>
        <v/>
      </c>
      <c r="L473" s="9"/>
      <c r="M473" s="10" t="str">
        <f aca="false">IF(A473="","",IF((COUNTIF(Drain_Register!$A$5:$A$304,A473)+COUNTIF(RW_Register!$A$5:$A$304,A473)+COUNTIF(Embedded_Wall_Register!$A$5:$A$304,A473)+COUNTIF(Manhole_Register!$A$5:$A$304,A473)+COUNTIF(ERSS_Pit_Register!$A$5:$A$304,A473)+COUNTIF(Linkway_Register!$A$5:$A$304,A473)+COUNTIF(Other_Register!$A$5:$A$304,A473))&gt;0,"OK","ID not in any register"))</f>
        <v/>
      </c>
    </row>
    <row r="474" customFormat="false" ht="15" hidden="false" customHeight="false" outlineLevel="0" collapsed="false">
      <c r="A474" s="9"/>
      <c r="B474" s="9"/>
      <c r="C474" s="9"/>
      <c r="D474" s="9"/>
      <c r="E474" s="9"/>
      <c r="F474" s="9"/>
      <c r="G474" s="9"/>
      <c r="H474" s="9"/>
      <c r="I474" s="9"/>
      <c r="J474" s="10" t="str">
        <f aca="false">IF(A474="","",IF(G474&lt;&gt;"",G474,IF(N(F474)&gt;0,ROUND(1000/F474,3),0)))</f>
        <v/>
      </c>
      <c r="K474" s="10" t="str">
        <f aca="false">IF(OR(A474="",E474="",H474=""),"",ROUND(0.00617*E474^2*H474*J474,2))</f>
        <v/>
      </c>
      <c r="L474" s="9"/>
      <c r="M474" s="10" t="str">
        <f aca="false">IF(A474="","",IF((COUNTIF(Drain_Register!$A$5:$A$304,A474)+COUNTIF(RW_Register!$A$5:$A$304,A474)+COUNTIF(Embedded_Wall_Register!$A$5:$A$304,A474)+COUNTIF(Manhole_Register!$A$5:$A$304,A474)+COUNTIF(ERSS_Pit_Register!$A$5:$A$304,A474)+COUNTIF(Linkway_Register!$A$5:$A$304,A474)+COUNTIF(Other_Register!$A$5:$A$304,A474))&gt;0,"OK","ID not in any register"))</f>
        <v/>
      </c>
    </row>
    <row r="475" customFormat="false" ht="15" hidden="false" customHeight="false" outlineLevel="0" collapsed="false">
      <c r="A475" s="9"/>
      <c r="B475" s="9"/>
      <c r="C475" s="9"/>
      <c r="D475" s="9"/>
      <c r="E475" s="9"/>
      <c r="F475" s="9"/>
      <c r="G475" s="9"/>
      <c r="H475" s="9"/>
      <c r="I475" s="9"/>
      <c r="J475" s="10" t="str">
        <f aca="false">IF(A475="","",IF(G475&lt;&gt;"",G475,IF(N(F475)&gt;0,ROUND(1000/F475,3),0)))</f>
        <v/>
      </c>
      <c r="K475" s="10" t="str">
        <f aca="false">IF(OR(A475="",E475="",H475=""),"",ROUND(0.00617*E475^2*H475*J475,2))</f>
        <v/>
      </c>
      <c r="L475" s="9"/>
      <c r="M475" s="10" t="str">
        <f aca="false">IF(A475="","",IF((COUNTIF(Drain_Register!$A$5:$A$304,A475)+COUNTIF(RW_Register!$A$5:$A$304,A475)+COUNTIF(Embedded_Wall_Register!$A$5:$A$304,A475)+COUNTIF(Manhole_Register!$A$5:$A$304,A475)+COUNTIF(ERSS_Pit_Register!$A$5:$A$304,A475)+COUNTIF(Linkway_Register!$A$5:$A$304,A475)+COUNTIF(Other_Register!$A$5:$A$304,A475))&gt;0,"OK","ID not in any register"))</f>
        <v/>
      </c>
    </row>
    <row r="476" customFormat="false" ht="15" hidden="false" customHeight="false" outlineLevel="0" collapsed="false">
      <c r="A476" s="9"/>
      <c r="B476" s="9"/>
      <c r="C476" s="9"/>
      <c r="D476" s="9"/>
      <c r="E476" s="9"/>
      <c r="F476" s="9"/>
      <c r="G476" s="9"/>
      <c r="H476" s="9"/>
      <c r="I476" s="9"/>
      <c r="J476" s="10" t="str">
        <f aca="false">IF(A476="","",IF(G476&lt;&gt;"",G476,IF(N(F476)&gt;0,ROUND(1000/F476,3),0)))</f>
        <v/>
      </c>
      <c r="K476" s="10" t="str">
        <f aca="false">IF(OR(A476="",E476="",H476=""),"",ROUND(0.00617*E476^2*H476*J476,2))</f>
        <v/>
      </c>
      <c r="L476" s="9"/>
      <c r="M476" s="10" t="str">
        <f aca="false">IF(A476="","",IF((COUNTIF(Drain_Register!$A$5:$A$304,A476)+COUNTIF(RW_Register!$A$5:$A$304,A476)+COUNTIF(Embedded_Wall_Register!$A$5:$A$304,A476)+COUNTIF(Manhole_Register!$A$5:$A$304,A476)+COUNTIF(ERSS_Pit_Register!$A$5:$A$304,A476)+COUNTIF(Linkway_Register!$A$5:$A$304,A476)+COUNTIF(Other_Register!$A$5:$A$304,A476))&gt;0,"OK","ID not in any register"))</f>
        <v/>
      </c>
    </row>
    <row r="477" customFormat="false" ht="15" hidden="false" customHeight="false" outlineLevel="0" collapsed="false">
      <c r="A477" s="9"/>
      <c r="B477" s="9"/>
      <c r="C477" s="9"/>
      <c r="D477" s="9"/>
      <c r="E477" s="9"/>
      <c r="F477" s="9"/>
      <c r="G477" s="9"/>
      <c r="H477" s="9"/>
      <c r="I477" s="9"/>
      <c r="J477" s="10" t="str">
        <f aca="false">IF(A477="","",IF(G477&lt;&gt;"",G477,IF(N(F477)&gt;0,ROUND(1000/F477,3),0)))</f>
        <v/>
      </c>
      <c r="K477" s="10" t="str">
        <f aca="false">IF(OR(A477="",E477="",H477=""),"",ROUND(0.00617*E477^2*H477*J477,2))</f>
        <v/>
      </c>
      <c r="L477" s="9"/>
      <c r="M477" s="10" t="str">
        <f aca="false">IF(A477="","",IF((COUNTIF(Drain_Register!$A$5:$A$304,A477)+COUNTIF(RW_Register!$A$5:$A$304,A477)+COUNTIF(Embedded_Wall_Register!$A$5:$A$304,A477)+COUNTIF(Manhole_Register!$A$5:$A$304,A477)+COUNTIF(ERSS_Pit_Register!$A$5:$A$304,A477)+COUNTIF(Linkway_Register!$A$5:$A$304,A477)+COUNTIF(Other_Register!$A$5:$A$304,A477))&gt;0,"OK","ID not in any register"))</f>
        <v/>
      </c>
    </row>
    <row r="478" customFormat="false" ht="15" hidden="false" customHeight="false" outlineLevel="0" collapsed="false">
      <c r="A478" s="9"/>
      <c r="B478" s="9"/>
      <c r="C478" s="9"/>
      <c r="D478" s="9"/>
      <c r="E478" s="9"/>
      <c r="F478" s="9"/>
      <c r="G478" s="9"/>
      <c r="H478" s="9"/>
      <c r="I478" s="9"/>
      <c r="J478" s="10" t="str">
        <f aca="false">IF(A478="","",IF(G478&lt;&gt;"",G478,IF(N(F478)&gt;0,ROUND(1000/F478,3),0)))</f>
        <v/>
      </c>
      <c r="K478" s="10" t="str">
        <f aca="false">IF(OR(A478="",E478="",H478=""),"",ROUND(0.00617*E478^2*H478*J478,2))</f>
        <v/>
      </c>
      <c r="L478" s="9"/>
      <c r="M478" s="10" t="str">
        <f aca="false">IF(A478="","",IF((COUNTIF(Drain_Register!$A$5:$A$304,A478)+COUNTIF(RW_Register!$A$5:$A$304,A478)+COUNTIF(Embedded_Wall_Register!$A$5:$A$304,A478)+COUNTIF(Manhole_Register!$A$5:$A$304,A478)+COUNTIF(ERSS_Pit_Register!$A$5:$A$304,A478)+COUNTIF(Linkway_Register!$A$5:$A$304,A478)+COUNTIF(Other_Register!$A$5:$A$304,A478))&gt;0,"OK","ID not in any register"))</f>
        <v/>
      </c>
    </row>
    <row r="479" customFormat="false" ht="15" hidden="false" customHeight="false" outlineLevel="0" collapsed="false">
      <c r="A479" s="9"/>
      <c r="B479" s="9"/>
      <c r="C479" s="9"/>
      <c r="D479" s="9"/>
      <c r="E479" s="9"/>
      <c r="F479" s="9"/>
      <c r="G479" s="9"/>
      <c r="H479" s="9"/>
      <c r="I479" s="9"/>
      <c r="J479" s="10" t="str">
        <f aca="false">IF(A479="","",IF(G479&lt;&gt;"",G479,IF(N(F479)&gt;0,ROUND(1000/F479,3),0)))</f>
        <v/>
      </c>
      <c r="K479" s="10" t="str">
        <f aca="false">IF(OR(A479="",E479="",H479=""),"",ROUND(0.00617*E479^2*H479*J479,2))</f>
        <v/>
      </c>
      <c r="L479" s="9"/>
      <c r="M479" s="10" t="str">
        <f aca="false">IF(A479="","",IF((COUNTIF(Drain_Register!$A$5:$A$304,A479)+COUNTIF(RW_Register!$A$5:$A$304,A479)+COUNTIF(Embedded_Wall_Register!$A$5:$A$304,A479)+COUNTIF(Manhole_Register!$A$5:$A$304,A479)+COUNTIF(ERSS_Pit_Register!$A$5:$A$304,A479)+COUNTIF(Linkway_Register!$A$5:$A$304,A479)+COUNTIF(Other_Register!$A$5:$A$304,A479))&gt;0,"OK","ID not in any register"))</f>
        <v/>
      </c>
    </row>
    <row r="480" customFormat="false" ht="15" hidden="false" customHeight="false" outlineLevel="0" collapsed="false">
      <c r="A480" s="9"/>
      <c r="B480" s="9"/>
      <c r="C480" s="9"/>
      <c r="D480" s="9"/>
      <c r="E480" s="9"/>
      <c r="F480" s="9"/>
      <c r="G480" s="9"/>
      <c r="H480" s="9"/>
      <c r="I480" s="9"/>
      <c r="J480" s="10" t="str">
        <f aca="false">IF(A480="","",IF(G480&lt;&gt;"",G480,IF(N(F480)&gt;0,ROUND(1000/F480,3),0)))</f>
        <v/>
      </c>
      <c r="K480" s="10" t="str">
        <f aca="false">IF(OR(A480="",E480="",H480=""),"",ROUND(0.00617*E480^2*H480*J480,2))</f>
        <v/>
      </c>
      <c r="L480" s="9"/>
      <c r="M480" s="10" t="str">
        <f aca="false">IF(A480="","",IF((COUNTIF(Drain_Register!$A$5:$A$304,A480)+COUNTIF(RW_Register!$A$5:$A$304,A480)+COUNTIF(Embedded_Wall_Register!$A$5:$A$304,A480)+COUNTIF(Manhole_Register!$A$5:$A$304,A480)+COUNTIF(ERSS_Pit_Register!$A$5:$A$304,A480)+COUNTIF(Linkway_Register!$A$5:$A$304,A480)+COUNTIF(Other_Register!$A$5:$A$304,A480))&gt;0,"OK","ID not in any register"))</f>
        <v/>
      </c>
    </row>
    <row r="481" customFormat="false" ht="15" hidden="false" customHeight="false" outlineLevel="0" collapsed="false">
      <c r="A481" s="9"/>
      <c r="B481" s="9"/>
      <c r="C481" s="9"/>
      <c r="D481" s="9"/>
      <c r="E481" s="9"/>
      <c r="F481" s="9"/>
      <c r="G481" s="9"/>
      <c r="H481" s="9"/>
      <c r="I481" s="9"/>
      <c r="J481" s="10" t="str">
        <f aca="false">IF(A481="","",IF(G481&lt;&gt;"",G481,IF(N(F481)&gt;0,ROUND(1000/F481,3),0)))</f>
        <v/>
      </c>
      <c r="K481" s="10" t="str">
        <f aca="false">IF(OR(A481="",E481="",H481=""),"",ROUND(0.00617*E481^2*H481*J481,2))</f>
        <v/>
      </c>
      <c r="L481" s="9"/>
      <c r="M481" s="10" t="str">
        <f aca="false">IF(A481="","",IF((COUNTIF(Drain_Register!$A$5:$A$304,A481)+COUNTIF(RW_Register!$A$5:$A$304,A481)+COUNTIF(Embedded_Wall_Register!$A$5:$A$304,A481)+COUNTIF(Manhole_Register!$A$5:$A$304,A481)+COUNTIF(ERSS_Pit_Register!$A$5:$A$304,A481)+COUNTIF(Linkway_Register!$A$5:$A$304,A481)+COUNTIF(Other_Register!$A$5:$A$304,A481))&gt;0,"OK","ID not in any register"))</f>
        <v/>
      </c>
    </row>
    <row r="482" customFormat="false" ht="15" hidden="false" customHeight="false" outlineLevel="0" collapsed="false">
      <c r="A482" s="9"/>
      <c r="B482" s="9"/>
      <c r="C482" s="9"/>
      <c r="D482" s="9"/>
      <c r="E482" s="9"/>
      <c r="F482" s="9"/>
      <c r="G482" s="9"/>
      <c r="H482" s="9"/>
      <c r="I482" s="9"/>
      <c r="J482" s="10" t="str">
        <f aca="false">IF(A482="","",IF(G482&lt;&gt;"",G482,IF(N(F482)&gt;0,ROUND(1000/F482,3),0)))</f>
        <v/>
      </c>
      <c r="K482" s="10" t="str">
        <f aca="false">IF(OR(A482="",E482="",H482=""),"",ROUND(0.00617*E482^2*H482*J482,2))</f>
        <v/>
      </c>
      <c r="L482" s="9"/>
      <c r="M482" s="10" t="str">
        <f aca="false">IF(A482="","",IF((COUNTIF(Drain_Register!$A$5:$A$304,A482)+COUNTIF(RW_Register!$A$5:$A$304,A482)+COUNTIF(Embedded_Wall_Register!$A$5:$A$304,A482)+COUNTIF(Manhole_Register!$A$5:$A$304,A482)+COUNTIF(ERSS_Pit_Register!$A$5:$A$304,A482)+COUNTIF(Linkway_Register!$A$5:$A$304,A482)+COUNTIF(Other_Register!$A$5:$A$304,A482))&gt;0,"OK","ID not in any register"))</f>
        <v/>
      </c>
    </row>
    <row r="483" customFormat="false" ht="15" hidden="false" customHeight="false" outlineLevel="0" collapsed="false">
      <c r="A483" s="9"/>
      <c r="B483" s="9"/>
      <c r="C483" s="9"/>
      <c r="D483" s="9"/>
      <c r="E483" s="9"/>
      <c r="F483" s="9"/>
      <c r="G483" s="9"/>
      <c r="H483" s="9"/>
      <c r="I483" s="9"/>
      <c r="J483" s="10" t="str">
        <f aca="false">IF(A483="","",IF(G483&lt;&gt;"",G483,IF(N(F483)&gt;0,ROUND(1000/F483,3),0)))</f>
        <v/>
      </c>
      <c r="K483" s="10" t="str">
        <f aca="false">IF(OR(A483="",E483="",H483=""),"",ROUND(0.00617*E483^2*H483*J483,2))</f>
        <v/>
      </c>
      <c r="L483" s="9"/>
      <c r="M483" s="10" t="str">
        <f aca="false">IF(A483="","",IF((COUNTIF(Drain_Register!$A$5:$A$304,A483)+COUNTIF(RW_Register!$A$5:$A$304,A483)+COUNTIF(Embedded_Wall_Register!$A$5:$A$304,A483)+COUNTIF(Manhole_Register!$A$5:$A$304,A483)+COUNTIF(ERSS_Pit_Register!$A$5:$A$304,A483)+COUNTIF(Linkway_Register!$A$5:$A$304,A483)+COUNTIF(Other_Register!$A$5:$A$304,A483))&gt;0,"OK","ID not in any register"))</f>
        <v/>
      </c>
    </row>
    <row r="484" customFormat="false" ht="15" hidden="false" customHeight="false" outlineLevel="0" collapsed="false">
      <c r="A484" s="9"/>
      <c r="B484" s="9"/>
      <c r="C484" s="9"/>
      <c r="D484" s="9"/>
      <c r="E484" s="9"/>
      <c r="F484" s="9"/>
      <c r="G484" s="9"/>
      <c r="H484" s="9"/>
      <c r="I484" s="9"/>
      <c r="J484" s="10" t="str">
        <f aca="false">IF(A484="","",IF(G484&lt;&gt;"",G484,IF(N(F484)&gt;0,ROUND(1000/F484,3),0)))</f>
        <v/>
      </c>
      <c r="K484" s="10" t="str">
        <f aca="false">IF(OR(A484="",E484="",H484=""),"",ROUND(0.00617*E484^2*H484*J484,2))</f>
        <v/>
      </c>
      <c r="L484" s="9"/>
      <c r="M484" s="10" t="str">
        <f aca="false">IF(A484="","",IF((COUNTIF(Drain_Register!$A$5:$A$304,A484)+COUNTIF(RW_Register!$A$5:$A$304,A484)+COUNTIF(Embedded_Wall_Register!$A$5:$A$304,A484)+COUNTIF(Manhole_Register!$A$5:$A$304,A484)+COUNTIF(ERSS_Pit_Register!$A$5:$A$304,A484)+COUNTIF(Linkway_Register!$A$5:$A$304,A484)+COUNTIF(Other_Register!$A$5:$A$304,A484))&gt;0,"OK","ID not in any register"))</f>
        <v/>
      </c>
    </row>
    <row r="485" customFormat="false" ht="15" hidden="false" customHeight="false" outlineLevel="0" collapsed="false">
      <c r="A485" s="9"/>
      <c r="B485" s="9"/>
      <c r="C485" s="9"/>
      <c r="D485" s="9"/>
      <c r="E485" s="9"/>
      <c r="F485" s="9"/>
      <c r="G485" s="9"/>
      <c r="H485" s="9"/>
      <c r="I485" s="9"/>
      <c r="J485" s="10" t="str">
        <f aca="false">IF(A485="","",IF(G485&lt;&gt;"",G485,IF(N(F485)&gt;0,ROUND(1000/F485,3),0)))</f>
        <v/>
      </c>
      <c r="K485" s="10" t="str">
        <f aca="false">IF(OR(A485="",E485="",H485=""),"",ROUND(0.00617*E485^2*H485*J485,2))</f>
        <v/>
      </c>
      <c r="L485" s="9"/>
      <c r="M485" s="10" t="str">
        <f aca="false">IF(A485="","",IF((COUNTIF(Drain_Register!$A$5:$A$304,A485)+COUNTIF(RW_Register!$A$5:$A$304,A485)+COUNTIF(Embedded_Wall_Register!$A$5:$A$304,A485)+COUNTIF(Manhole_Register!$A$5:$A$304,A485)+COUNTIF(ERSS_Pit_Register!$A$5:$A$304,A485)+COUNTIF(Linkway_Register!$A$5:$A$304,A485)+COUNTIF(Other_Register!$A$5:$A$304,A485))&gt;0,"OK","ID not in any register"))</f>
        <v/>
      </c>
    </row>
    <row r="486" customFormat="false" ht="15" hidden="false" customHeight="false" outlineLevel="0" collapsed="false">
      <c r="A486" s="9"/>
      <c r="B486" s="9"/>
      <c r="C486" s="9"/>
      <c r="D486" s="9"/>
      <c r="E486" s="9"/>
      <c r="F486" s="9"/>
      <c r="G486" s="9"/>
      <c r="H486" s="9"/>
      <c r="I486" s="9"/>
      <c r="J486" s="10" t="str">
        <f aca="false">IF(A486="","",IF(G486&lt;&gt;"",G486,IF(N(F486)&gt;0,ROUND(1000/F486,3),0)))</f>
        <v/>
      </c>
      <c r="K486" s="10" t="str">
        <f aca="false">IF(OR(A486="",E486="",H486=""),"",ROUND(0.00617*E486^2*H486*J486,2))</f>
        <v/>
      </c>
      <c r="L486" s="9"/>
      <c r="M486" s="10" t="str">
        <f aca="false">IF(A486="","",IF((COUNTIF(Drain_Register!$A$5:$A$304,A486)+COUNTIF(RW_Register!$A$5:$A$304,A486)+COUNTIF(Embedded_Wall_Register!$A$5:$A$304,A486)+COUNTIF(Manhole_Register!$A$5:$A$304,A486)+COUNTIF(ERSS_Pit_Register!$A$5:$A$304,A486)+COUNTIF(Linkway_Register!$A$5:$A$304,A486)+COUNTIF(Other_Register!$A$5:$A$304,A486))&gt;0,"OK","ID not in any register"))</f>
        <v/>
      </c>
    </row>
    <row r="487" customFormat="false" ht="15" hidden="false" customHeight="false" outlineLevel="0" collapsed="false">
      <c r="A487" s="9"/>
      <c r="B487" s="9"/>
      <c r="C487" s="9"/>
      <c r="D487" s="9"/>
      <c r="E487" s="9"/>
      <c r="F487" s="9"/>
      <c r="G487" s="9"/>
      <c r="H487" s="9"/>
      <c r="I487" s="9"/>
      <c r="J487" s="10" t="str">
        <f aca="false">IF(A487="","",IF(G487&lt;&gt;"",G487,IF(N(F487)&gt;0,ROUND(1000/F487,3),0)))</f>
        <v/>
      </c>
      <c r="K487" s="10" t="str">
        <f aca="false">IF(OR(A487="",E487="",H487=""),"",ROUND(0.00617*E487^2*H487*J487,2))</f>
        <v/>
      </c>
      <c r="L487" s="9"/>
      <c r="M487" s="10" t="str">
        <f aca="false">IF(A487="","",IF((COUNTIF(Drain_Register!$A$5:$A$304,A487)+COUNTIF(RW_Register!$A$5:$A$304,A487)+COUNTIF(Embedded_Wall_Register!$A$5:$A$304,A487)+COUNTIF(Manhole_Register!$A$5:$A$304,A487)+COUNTIF(ERSS_Pit_Register!$A$5:$A$304,A487)+COUNTIF(Linkway_Register!$A$5:$A$304,A487)+COUNTIF(Other_Register!$A$5:$A$304,A487))&gt;0,"OK","ID not in any register"))</f>
        <v/>
      </c>
    </row>
    <row r="488" customFormat="false" ht="15" hidden="false" customHeight="false" outlineLevel="0" collapsed="false">
      <c r="A488" s="9"/>
      <c r="B488" s="9"/>
      <c r="C488" s="9"/>
      <c r="D488" s="9"/>
      <c r="E488" s="9"/>
      <c r="F488" s="9"/>
      <c r="G488" s="9"/>
      <c r="H488" s="9"/>
      <c r="I488" s="9"/>
      <c r="J488" s="10" t="str">
        <f aca="false">IF(A488="","",IF(G488&lt;&gt;"",G488,IF(N(F488)&gt;0,ROUND(1000/F488,3),0)))</f>
        <v/>
      </c>
      <c r="K488" s="10" t="str">
        <f aca="false">IF(OR(A488="",E488="",H488=""),"",ROUND(0.00617*E488^2*H488*J488,2))</f>
        <v/>
      </c>
      <c r="L488" s="9"/>
      <c r="M488" s="10" t="str">
        <f aca="false">IF(A488="","",IF((COUNTIF(Drain_Register!$A$5:$A$304,A488)+COUNTIF(RW_Register!$A$5:$A$304,A488)+COUNTIF(Embedded_Wall_Register!$A$5:$A$304,A488)+COUNTIF(Manhole_Register!$A$5:$A$304,A488)+COUNTIF(ERSS_Pit_Register!$A$5:$A$304,A488)+COUNTIF(Linkway_Register!$A$5:$A$304,A488)+COUNTIF(Other_Register!$A$5:$A$304,A488))&gt;0,"OK","ID not in any register"))</f>
        <v/>
      </c>
    </row>
    <row r="489" customFormat="false" ht="15" hidden="false" customHeight="false" outlineLevel="0" collapsed="false">
      <c r="A489" s="9"/>
      <c r="B489" s="9"/>
      <c r="C489" s="9"/>
      <c r="D489" s="9"/>
      <c r="E489" s="9"/>
      <c r="F489" s="9"/>
      <c r="G489" s="9"/>
      <c r="H489" s="9"/>
      <c r="I489" s="9"/>
      <c r="J489" s="10" t="str">
        <f aca="false">IF(A489="","",IF(G489&lt;&gt;"",G489,IF(N(F489)&gt;0,ROUND(1000/F489,3),0)))</f>
        <v/>
      </c>
      <c r="K489" s="10" t="str">
        <f aca="false">IF(OR(A489="",E489="",H489=""),"",ROUND(0.00617*E489^2*H489*J489,2))</f>
        <v/>
      </c>
      <c r="L489" s="9"/>
      <c r="M489" s="10" t="str">
        <f aca="false">IF(A489="","",IF((COUNTIF(Drain_Register!$A$5:$A$304,A489)+COUNTIF(RW_Register!$A$5:$A$304,A489)+COUNTIF(Embedded_Wall_Register!$A$5:$A$304,A489)+COUNTIF(Manhole_Register!$A$5:$A$304,A489)+COUNTIF(ERSS_Pit_Register!$A$5:$A$304,A489)+COUNTIF(Linkway_Register!$A$5:$A$304,A489)+COUNTIF(Other_Register!$A$5:$A$304,A489))&gt;0,"OK","ID not in any register"))</f>
        <v/>
      </c>
    </row>
    <row r="490" customFormat="false" ht="15" hidden="false" customHeight="false" outlineLevel="0" collapsed="false">
      <c r="A490" s="9"/>
      <c r="B490" s="9"/>
      <c r="C490" s="9"/>
      <c r="D490" s="9"/>
      <c r="E490" s="9"/>
      <c r="F490" s="9"/>
      <c r="G490" s="9"/>
      <c r="H490" s="9"/>
      <c r="I490" s="9"/>
      <c r="J490" s="10" t="str">
        <f aca="false">IF(A490="","",IF(G490&lt;&gt;"",G490,IF(N(F490)&gt;0,ROUND(1000/F490,3),0)))</f>
        <v/>
      </c>
      <c r="K490" s="10" t="str">
        <f aca="false">IF(OR(A490="",E490="",H490=""),"",ROUND(0.00617*E490^2*H490*J490,2))</f>
        <v/>
      </c>
      <c r="L490" s="9"/>
      <c r="M490" s="10" t="str">
        <f aca="false">IF(A490="","",IF((COUNTIF(Drain_Register!$A$5:$A$304,A490)+COUNTIF(RW_Register!$A$5:$A$304,A490)+COUNTIF(Embedded_Wall_Register!$A$5:$A$304,A490)+COUNTIF(Manhole_Register!$A$5:$A$304,A490)+COUNTIF(ERSS_Pit_Register!$A$5:$A$304,A490)+COUNTIF(Linkway_Register!$A$5:$A$304,A490)+COUNTIF(Other_Register!$A$5:$A$304,A490))&gt;0,"OK","ID not in any register"))</f>
        <v/>
      </c>
    </row>
    <row r="491" customFormat="false" ht="15" hidden="false" customHeight="false" outlineLevel="0" collapsed="false">
      <c r="A491" s="9"/>
      <c r="B491" s="9"/>
      <c r="C491" s="9"/>
      <c r="D491" s="9"/>
      <c r="E491" s="9"/>
      <c r="F491" s="9"/>
      <c r="G491" s="9"/>
      <c r="H491" s="9"/>
      <c r="I491" s="9"/>
      <c r="J491" s="10" t="str">
        <f aca="false">IF(A491="","",IF(G491&lt;&gt;"",G491,IF(N(F491)&gt;0,ROUND(1000/F491,3),0)))</f>
        <v/>
      </c>
      <c r="K491" s="10" t="str">
        <f aca="false">IF(OR(A491="",E491="",H491=""),"",ROUND(0.00617*E491^2*H491*J491,2))</f>
        <v/>
      </c>
      <c r="L491" s="9"/>
      <c r="M491" s="10" t="str">
        <f aca="false">IF(A491="","",IF((COUNTIF(Drain_Register!$A$5:$A$304,A491)+COUNTIF(RW_Register!$A$5:$A$304,A491)+COUNTIF(Embedded_Wall_Register!$A$5:$A$304,A491)+COUNTIF(Manhole_Register!$A$5:$A$304,A491)+COUNTIF(ERSS_Pit_Register!$A$5:$A$304,A491)+COUNTIF(Linkway_Register!$A$5:$A$304,A491)+COUNTIF(Other_Register!$A$5:$A$304,A491))&gt;0,"OK","ID not in any register"))</f>
        <v/>
      </c>
    </row>
    <row r="492" customFormat="false" ht="15" hidden="false" customHeight="false" outlineLevel="0" collapsed="false">
      <c r="A492" s="9"/>
      <c r="B492" s="9"/>
      <c r="C492" s="9"/>
      <c r="D492" s="9"/>
      <c r="E492" s="9"/>
      <c r="F492" s="9"/>
      <c r="G492" s="9"/>
      <c r="H492" s="9"/>
      <c r="I492" s="9"/>
      <c r="J492" s="10" t="str">
        <f aca="false">IF(A492="","",IF(G492&lt;&gt;"",G492,IF(N(F492)&gt;0,ROUND(1000/F492,3),0)))</f>
        <v/>
      </c>
      <c r="K492" s="10" t="str">
        <f aca="false">IF(OR(A492="",E492="",H492=""),"",ROUND(0.00617*E492^2*H492*J492,2))</f>
        <v/>
      </c>
      <c r="L492" s="9"/>
      <c r="M492" s="10" t="str">
        <f aca="false">IF(A492="","",IF((COUNTIF(Drain_Register!$A$5:$A$304,A492)+COUNTIF(RW_Register!$A$5:$A$304,A492)+COUNTIF(Embedded_Wall_Register!$A$5:$A$304,A492)+COUNTIF(Manhole_Register!$A$5:$A$304,A492)+COUNTIF(ERSS_Pit_Register!$A$5:$A$304,A492)+COUNTIF(Linkway_Register!$A$5:$A$304,A492)+COUNTIF(Other_Register!$A$5:$A$304,A492))&gt;0,"OK","ID not in any register"))</f>
        <v/>
      </c>
    </row>
    <row r="493" customFormat="false" ht="15" hidden="false" customHeight="false" outlineLevel="0" collapsed="false">
      <c r="A493" s="9"/>
      <c r="B493" s="9"/>
      <c r="C493" s="9"/>
      <c r="D493" s="9"/>
      <c r="E493" s="9"/>
      <c r="F493" s="9"/>
      <c r="G493" s="9"/>
      <c r="H493" s="9"/>
      <c r="I493" s="9"/>
      <c r="J493" s="10" t="str">
        <f aca="false">IF(A493="","",IF(G493&lt;&gt;"",G493,IF(N(F493)&gt;0,ROUND(1000/F493,3),0)))</f>
        <v/>
      </c>
      <c r="K493" s="10" t="str">
        <f aca="false">IF(OR(A493="",E493="",H493=""),"",ROUND(0.00617*E493^2*H493*J493,2))</f>
        <v/>
      </c>
      <c r="L493" s="9"/>
      <c r="M493" s="10" t="str">
        <f aca="false">IF(A493="","",IF((COUNTIF(Drain_Register!$A$5:$A$304,A493)+COUNTIF(RW_Register!$A$5:$A$304,A493)+COUNTIF(Embedded_Wall_Register!$A$5:$A$304,A493)+COUNTIF(Manhole_Register!$A$5:$A$304,A493)+COUNTIF(ERSS_Pit_Register!$A$5:$A$304,A493)+COUNTIF(Linkway_Register!$A$5:$A$304,A493)+COUNTIF(Other_Register!$A$5:$A$304,A493))&gt;0,"OK","ID not in any register"))</f>
        <v/>
      </c>
    </row>
    <row r="494" customFormat="false" ht="15" hidden="false" customHeight="false" outlineLevel="0" collapsed="false">
      <c r="A494" s="9"/>
      <c r="B494" s="9"/>
      <c r="C494" s="9"/>
      <c r="D494" s="9"/>
      <c r="E494" s="9"/>
      <c r="F494" s="9"/>
      <c r="G494" s="9"/>
      <c r="H494" s="9"/>
      <c r="I494" s="9"/>
      <c r="J494" s="10" t="str">
        <f aca="false">IF(A494="","",IF(G494&lt;&gt;"",G494,IF(N(F494)&gt;0,ROUND(1000/F494,3),0)))</f>
        <v/>
      </c>
      <c r="K494" s="10" t="str">
        <f aca="false">IF(OR(A494="",E494="",H494=""),"",ROUND(0.00617*E494^2*H494*J494,2))</f>
        <v/>
      </c>
      <c r="L494" s="9"/>
      <c r="M494" s="10" t="str">
        <f aca="false">IF(A494="","",IF((COUNTIF(Drain_Register!$A$5:$A$304,A494)+COUNTIF(RW_Register!$A$5:$A$304,A494)+COUNTIF(Embedded_Wall_Register!$A$5:$A$304,A494)+COUNTIF(Manhole_Register!$A$5:$A$304,A494)+COUNTIF(ERSS_Pit_Register!$A$5:$A$304,A494)+COUNTIF(Linkway_Register!$A$5:$A$304,A494)+COUNTIF(Other_Register!$A$5:$A$304,A494))&gt;0,"OK","ID not in any register"))</f>
        <v/>
      </c>
    </row>
    <row r="495" customFormat="false" ht="15" hidden="false" customHeight="false" outlineLevel="0" collapsed="false">
      <c r="A495" s="9"/>
      <c r="B495" s="9"/>
      <c r="C495" s="9"/>
      <c r="D495" s="9"/>
      <c r="E495" s="9"/>
      <c r="F495" s="9"/>
      <c r="G495" s="9"/>
      <c r="H495" s="9"/>
      <c r="I495" s="9"/>
      <c r="J495" s="10" t="str">
        <f aca="false">IF(A495="","",IF(G495&lt;&gt;"",G495,IF(N(F495)&gt;0,ROUND(1000/F495,3),0)))</f>
        <v/>
      </c>
      <c r="K495" s="10" t="str">
        <f aca="false">IF(OR(A495="",E495="",H495=""),"",ROUND(0.00617*E495^2*H495*J495,2))</f>
        <v/>
      </c>
      <c r="L495" s="9"/>
      <c r="M495" s="10" t="str">
        <f aca="false">IF(A495="","",IF((COUNTIF(Drain_Register!$A$5:$A$304,A495)+COUNTIF(RW_Register!$A$5:$A$304,A495)+COUNTIF(Embedded_Wall_Register!$A$5:$A$304,A495)+COUNTIF(Manhole_Register!$A$5:$A$304,A495)+COUNTIF(ERSS_Pit_Register!$A$5:$A$304,A495)+COUNTIF(Linkway_Register!$A$5:$A$304,A495)+COUNTIF(Other_Register!$A$5:$A$304,A495))&gt;0,"OK","ID not in any register"))</f>
        <v/>
      </c>
    </row>
    <row r="496" customFormat="false" ht="15" hidden="false" customHeight="false" outlineLevel="0" collapsed="false">
      <c r="A496" s="9"/>
      <c r="B496" s="9"/>
      <c r="C496" s="9"/>
      <c r="D496" s="9"/>
      <c r="E496" s="9"/>
      <c r="F496" s="9"/>
      <c r="G496" s="9"/>
      <c r="H496" s="9"/>
      <c r="I496" s="9"/>
      <c r="J496" s="10" t="str">
        <f aca="false">IF(A496="","",IF(G496&lt;&gt;"",G496,IF(N(F496)&gt;0,ROUND(1000/F496,3),0)))</f>
        <v/>
      </c>
      <c r="K496" s="10" t="str">
        <f aca="false">IF(OR(A496="",E496="",H496=""),"",ROUND(0.00617*E496^2*H496*J496,2))</f>
        <v/>
      </c>
      <c r="L496" s="9"/>
      <c r="M496" s="10" t="str">
        <f aca="false">IF(A496="","",IF((COUNTIF(Drain_Register!$A$5:$A$304,A496)+COUNTIF(RW_Register!$A$5:$A$304,A496)+COUNTIF(Embedded_Wall_Register!$A$5:$A$304,A496)+COUNTIF(Manhole_Register!$A$5:$A$304,A496)+COUNTIF(ERSS_Pit_Register!$A$5:$A$304,A496)+COUNTIF(Linkway_Register!$A$5:$A$304,A496)+COUNTIF(Other_Register!$A$5:$A$304,A496))&gt;0,"OK","ID not in any register"))</f>
        <v/>
      </c>
    </row>
    <row r="497" customFormat="false" ht="15" hidden="false" customHeight="false" outlineLevel="0" collapsed="false">
      <c r="A497" s="9"/>
      <c r="B497" s="9"/>
      <c r="C497" s="9"/>
      <c r="D497" s="9"/>
      <c r="E497" s="9"/>
      <c r="F497" s="9"/>
      <c r="G497" s="9"/>
      <c r="H497" s="9"/>
      <c r="I497" s="9"/>
      <c r="J497" s="10" t="str">
        <f aca="false">IF(A497="","",IF(G497&lt;&gt;"",G497,IF(N(F497)&gt;0,ROUND(1000/F497,3),0)))</f>
        <v/>
      </c>
      <c r="K497" s="10" t="str">
        <f aca="false">IF(OR(A497="",E497="",H497=""),"",ROUND(0.00617*E497^2*H497*J497,2))</f>
        <v/>
      </c>
      <c r="L497" s="9"/>
      <c r="M497" s="10" t="str">
        <f aca="false">IF(A497="","",IF((COUNTIF(Drain_Register!$A$5:$A$304,A497)+COUNTIF(RW_Register!$A$5:$A$304,A497)+COUNTIF(Embedded_Wall_Register!$A$5:$A$304,A497)+COUNTIF(Manhole_Register!$A$5:$A$304,A497)+COUNTIF(ERSS_Pit_Register!$A$5:$A$304,A497)+COUNTIF(Linkway_Register!$A$5:$A$304,A497)+COUNTIF(Other_Register!$A$5:$A$304,A497))&gt;0,"OK","ID not in any register"))</f>
        <v/>
      </c>
    </row>
    <row r="498" customFormat="false" ht="15" hidden="false" customHeight="false" outlineLevel="0" collapsed="false">
      <c r="A498" s="9"/>
      <c r="B498" s="9"/>
      <c r="C498" s="9"/>
      <c r="D498" s="9"/>
      <c r="E498" s="9"/>
      <c r="F498" s="9"/>
      <c r="G498" s="9"/>
      <c r="H498" s="9"/>
      <c r="I498" s="9"/>
      <c r="J498" s="10" t="str">
        <f aca="false">IF(A498="","",IF(G498&lt;&gt;"",G498,IF(N(F498)&gt;0,ROUND(1000/F498,3),0)))</f>
        <v/>
      </c>
      <c r="K498" s="10" t="str">
        <f aca="false">IF(OR(A498="",E498="",H498=""),"",ROUND(0.00617*E498^2*H498*J498,2))</f>
        <v/>
      </c>
      <c r="L498" s="9"/>
      <c r="M498" s="10" t="str">
        <f aca="false">IF(A498="","",IF((COUNTIF(Drain_Register!$A$5:$A$304,A498)+COUNTIF(RW_Register!$A$5:$A$304,A498)+COUNTIF(Embedded_Wall_Register!$A$5:$A$304,A498)+COUNTIF(Manhole_Register!$A$5:$A$304,A498)+COUNTIF(ERSS_Pit_Register!$A$5:$A$304,A498)+COUNTIF(Linkway_Register!$A$5:$A$304,A498)+COUNTIF(Other_Register!$A$5:$A$304,A498))&gt;0,"OK","ID not in any register"))</f>
        <v/>
      </c>
    </row>
    <row r="499" customFormat="false" ht="15" hidden="false" customHeight="false" outlineLevel="0" collapsed="false">
      <c r="A499" s="9"/>
      <c r="B499" s="9"/>
      <c r="C499" s="9"/>
      <c r="D499" s="9"/>
      <c r="E499" s="9"/>
      <c r="F499" s="9"/>
      <c r="G499" s="9"/>
      <c r="H499" s="9"/>
      <c r="I499" s="9"/>
      <c r="J499" s="10" t="str">
        <f aca="false">IF(A499="","",IF(G499&lt;&gt;"",G499,IF(N(F499)&gt;0,ROUND(1000/F499,3),0)))</f>
        <v/>
      </c>
      <c r="K499" s="10" t="str">
        <f aca="false">IF(OR(A499="",E499="",H499=""),"",ROUND(0.00617*E499^2*H499*J499,2))</f>
        <v/>
      </c>
      <c r="L499" s="9"/>
      <c r="M499" s="10" t="str">
        <f aca="false">IF(A499="","",IF((COUNTIF(Drain_Register!$A$5:$A$304,A499)+COUNTIF(RW_Register!$A$5:$A$304,A499)+COUNTIF(Embedded_Wall_Register!$A$5:$A$304,A499)+COUNTIF(Manhole_Register!$A$5:$A$304,A499)+COUNTIF(ERSS_Pit_Register!$A$5:$A$304,A499)+COUNTIF(Linkway_Register!$A$5:$A$304,A499)+COUNTIF(Other_Register!$A$5:$A$304,A499))&gt;0,"OK","ID not in any register"))</f>
        <v/>
      </c>
    </row>
    <row r="500" customFormat="false" ht="15" hidden="false" customHeight="false" outlineLevel="0" collapsed="false">
      <c r="A500" s="9"/>
      <c r="B500" s="9"/>
      <c r="C500" s="9"/>
      <c r="D500" s="9"/>
      <c r="E500" s="9"/>
      <c r="F500" s="9"/>
      <c r="G500" s="9"/>
      <c r="H500" s="9"/>
      <c r="I500" s="9"/>
      <c r="J500" s="10" t="str">
        <f aca="false">IF(A500="","",IF(G500&lt;&gt;"",G500,IF(N(F500)&gt;0,ROUND(1000/F500,3),0)))</f>
        <v/>
      </c>
      <c r="K500" s="10" t="str">
        <f aca="false">IF(OR(A500="",E500="",H500=""),"",ROUND(0.00617*E500^2*H500*J500,2))</f>
        <v/>
      </c>
      <c r="L500" s="9"/>
      <c r="M500" s="10" t="str">
        <f aca="false">IF(A500="","",IF((COUNTIF(Drain_Register!$A$5:$A$304,A500)+COUNTIF(RW_Register!$A$5:$A$304,A500)+COUNTIF(Embedded_Wall_Register!$A$5:$A$304,A500)+COUNTIF(Manhole_Register!$A$5:$A$304,A500)+COUNTIF(ERSS_Pit_Register!$A$5:$A$304,A500)+COUNTIF(Linkway_Register!$A$5:$A$304,A500)+COUNTIF(Other_Register!$A$5:$A$304,A500))&gt;0,"OK","ID not in any register"))</f>
        <v/>
      </c>
    </row>
    <row r="501" customFormat="false" ht="15" hidden="false" customHeight="false" outlineLevel="0" collapsed="false">
      <c r="A501" s="9"/>
      <c r="B501" s="9"/>
      <c r="C501" s="9"/>
      <c r="D501" s="9"/>
      <c r="E501" s="9"/>
      <c r="F501" s="9"/>
      <c r="G501" s="9"/>
      <c r="H501" s="9"/>
      <c r="I501" s="9"/>
      <c r="J501" s="10" t="str">
        <f aca="false">IF(A501="","",IF(G501&lt;&gt;"",G501,IF(N(F501)&gt;0,ROUND(1000/F501,3),0)))</f>
        <v/>
      </c>
      <c r="K501" s="10" t="str">
        <f aca="false">IF(OR(A501="",E501="",H501=""),"",ROUND(0.00617*E501^2*H501*J501,2))</f>
        <v/>
      </c>
      <c r="L501" s="9"/>
      <c r="M501" s="10" t="str">
        <f aca="false">IF(A501="","",IF((COUNTIF(Drain_Register!$A$5:$A$304,A501)+COUNTIF(RW_Register!$A$5:$A$304,A501)+COUNTIF(Embedded_Wall_Register!$A$5:$A$304,A501)+COUNTIF(Manhole_Register!$A$5:$A$304,A501)+COUNTIF(ERSS_Pit_Register!$A$5:$A$304,A501)+COUNTIF(Linkway_Register!$A$5:$A$304,A501)+COUNTIF(Other_Register!$A$5:$A$304,A501))&gt;0,"OK","ID not in any register"))</f>
        <v/>
      </c>
    </row>
    <row r="502" customFormat="false" ht="15" hidden="false" customHeight="false" outlineLevel="0" collapsed="false">
      <c r="A502" s="9"/>
      <c r="B502" s="9"/>
      <c r="C502" s="9"/>
      <c r="D502" s="9"/>
      <c r="E502" s="9"/>
      <c r="F502" s="9"/>
      <c r="G502" s="9"/>
      <c r="H502" s="9"/>
      <c r="I502" s="9"/>
      <c r="J502" s="10" t="str">
        <f aca="false">IF(A502="","",IF(G502&lt;&gt;"",G502,IF(N(F502)&gt;0,ROUND(1000/F502,3),0)))</f>
        <v/>
      </c>
      <c r="K502" s="10" t="str">
        <f aca="false">IF(OR(A502="",E502="",H502=""),"",ROUND(0.00617*E502^2*H502*J502,2))</f>
        <v/>
      </c>
      <c r="L502" s="9"/>
      <c r="M502" s="10" t="str">
        <f aca="false">IF(A502="","",IF((COUNTIF(Drain_Register!$A$5:$A$304,A502)+COUNTIF(RW_Register!$A$5:$A$304,A502)+COUNTIF(Embedded_Wall_Register!$A$5:$A$304,A502)+COUNTIF(Manhole_Register!$A$5:$A$304,A502)+COUNTIF(ERSS_Pit_Register!$A$5:$A$304,A502)+COUNTIF(Linkway_Register!$A$5:$A$304,A502)+COUNTIF(Other_Register!$A$5:$A$304,A502))&gt;0,"OK","ID not in any register"))</f>
        <v/>
      </c>
    </row>
    <row r="503" customFormat="false" ht="15" hidden="false" customHeight="false" outlineLevel="0" collapsed="false">
      <c r="A503" s="9"/>
      <c r="B503" s="9"/>
      <c r="C503" s="9"/>
      <c r="D503" s="9"/>
      <c r="E503" s="9"/>
      <c r="F503" s="9"/>
      <c r="G503" s="9"/>
      <c r="H503" s="9"/>
      <c r="I503" s="9"/>
      <c r="J503" s="10" t="str">
        <f aca="false">IF(A503="","",IF(G503&lt;&gt;"",G503,IF(N(F503)&gt;0,ROUND(1000/F503,3),0)))</f>
        <v/>
      </c>
      <c r="K503" s="10" t="str">
        <f aca="false">IF(OR(A503="",E503="",H503=""),"",ROUND(0.00617*E503^2*H503*J503,2))</f>
        <v/>
      </c>
      <c r="L503" s="9"/>
      <c r="M503" s="10" t="str">
        <f aca="false">IF(A503="","",IF((COUNTIF(Drain_Register!$A$5:$A$304,A503)+COUNTIF(RW_Register!$A$5:$A$304,A503)+COUNTIF(Embedded_Wall_Register!$A$5:$A$304,A503)+COUNTIF(Manhole_Register!$A$5:$A$304,A503)+COUNTIF(ERSS_Pit_Register!$A$5:$A$304,A503)+COUNTIF(Linkway_Register!$A$5:$A$304,A503)+COUNTIF(Other_Register!$A$5:$A$304,A503))&gt;0,"OK","ID not in any register"))</f>
        <v/>
      </c>
    </row>
    <row r="504" customFormat="false" ht="15" hidden="false" customHeight="false" outlineLevel="0" collapsed="false">
      <c r="A504" s="9"/>
      <c r="B504" s="9"/>
      <c r="C504" s="9"/>
      <c r="D504" s="9"/>
      <c r="E504" s="9"/>
      <c r="F504" s="9"/>
      <c r="G504" s="9"/>
      <c r="H504" s="9"/>
      <c r="I504" s="9"/>
      <c r="J504" s="10" t="str">
        <f aca="false">IF(A504="","",IF(G504&lt;&gt;"",G504,IF(N(F504)&gt;0,ROUND(1000/F504,3),0)))</f>
        <v/>
      </c>
      <c r="K504" s="10" t="str">
        <f aca="false">IF(OR(A504="",E504="",H504=""),"",ROUND(0.00617*E504^2*H504*J504,2))</f>
        <v/>
      </c>
      <c r="L504" s="9"/>
      <c r="M504" s="10" t="str">
        <f aca="false">IF(A504="","",IF((COUNTIF(Drain_Register!$A$5:$A$304,A504)+COUNTIF(RW_Register!$A$5:$A$304,A504)+COUNTIF(Embedded_Wall_Register!$A$5:$A$304,A504)+COUNTIF(Manhole_Register!$A$5:$A$304,A504)+COUNTIF(ERSS_Pit_Register!$A$5:$A$304,A504)+COUNTIF(Linkway_Register!$A$5:$A$304,A504)+COUNTIF(Other_Register!$A$5:$A$304,A504))&gt;0,"OK","ID not in any register"))</f>
        <v/>
      </c>
    </row>
    <row r="505" customFormat="false" ht="15" hidden="false" customHeight="false" outlineLevel="0" collapsed="false">
      <c r="A505" s="9"/>
      <c r="B505" s="9"/>
      <c r="C505" s="9"/>
      <c r="D505" s="9"/>
      <c r="E505" s="9"/>
      <c r="F505" s="9"/>
      <c r="G505" s="9"/>
      <c r="H505" s="9"/>
      <c r="I505" s="9"/>
      <c r="J505" s="10" t="str">
        <f aca="false">IF(A505="","",IF(G505&lt;&gt;"",G505,IF(N(F505)&gt;0,ROUND(1000/F505,3),0)))</f>
        <v/>
      </c>
      <c r="K505" s="10" t="str">
        <f aca="false">IF(OR(A505="",E505="",H505=""),"",ROUND(0.00617*E505^2*H505*J505,2))</f>
        <v/>
      </c>
      <c r="L505" s="9"/>
      <c r="M505" s="10" t="str">
        <f aca="false">IF(A505="","",IF((COUNTIF(Drain_Register!$A$5:$A$304,A505)+COUNTIF(RW_Register!$A$5:$A$304,A505)+COUNTIF(Embedded_Wall_Register!$A$5:$A$304,A505)+COUNTIF(Manhole_Register!$A$5:$A$304,A505)+COUNTIF(ERSS_Pit_Register!$A$5:$A$304,A505)+COUNTIF(Linkway_Register!$A$5:$A$304,A505)+COUNTIF(Other_Register!$A$5:$A$304,A505))&gt;0,"OK","ID not in any register"))</f>
        <v/>
      </c>
    </row>
    <row r="506" customFormat="false" ht="15" hidden="false" customHeight="false" outlineLevel="0" collapsed="false">
      <c r="A506" s="9"/>
      <c r="B506" s="9"/>
      <c r="C506" s="9"/>
      <c r="D506" s="9"/>
      <c r="E506" s="9"/>
      <c r="F506" s="9"/>
      <c r="G506" s="9"/>
      <c r="H506" s="9"/>
      <c r="I506" s="9"/>
      <c r="J506" s="10" t="str">
        <f aca="false">IF(A506="","",IF(G506&lt;&gt;"",G506,IF(N(F506)&gt;0,ROUND(1000/F506,3),0)))</f>
        <v/>
      </c>
      <c r="K506" s="10" t="str">
        <f aca="false">IF(OR(A506="",E506="",H506=""),"",ROUND(0.00617*E506^2*H506*J506,2))</f>
        <v/>
      </c>
      <c r="L506" s="9"/>
      <c r="M506" s="10" t="str">
        <f aca="false">IF(A506="","",IF((COUNTIF(Drain_Register!$A$5:$A$304,A506)+COUNTIF(RW_Register!$A$5:$A$304,A506)+COUNTIF(Embedded_Wall_Register!$A$5:$A$304,A506)+COUNTIF(Manhole_Register!$A$5:$A$304,A506)+COUNTIF(ERSS_Pit_Register!$A$5:$A$304,A506)+COUNTIF(Linkway_Register!$A$5:$A$304,A506)+COUNTIF(Other_Register!$A$5:$A$304,A506))&gt;0,"OK","ID not in any register"))</f>
        <v/>
      </c>
    </row>
    <row r="507" customFormat="false" ht="15" hidden="false" customHeight="false" outlineLevel="0" collapsed="false">
      <c r="A507" s="9"/>
      <c r="B507" s="9"/>
      <c r="C507" s="9"/>
      <c r="D507" s="9"/>
      <c r="E507" s="9"/>
      <c r="F507" s="9"/>
      <c r="G507" s="9"/>
      <c r="H507" s="9"/>
      <c r="I507" s="9"/>
      <c r="J507" s="10" t="str">
        <f aca="false">IF(A507="","",IF(G507&lt;&gt;"",G507,IF(N(F507)&gt;0,ROUND(1000/F507,3),0)))</f>
        <v/>
      </c>
      <c r="K507" s="10" t="str">
        <f aca="false">IF(OR(A507="",E507="",H507=""),"",ROUND(0.00617*E507^2*H507*J507,2))</f>
        <v/>
      </c>
      <c r="L507" s="9"/>
      <c r="M507" s="10" t="str">
        <f aca="false">IF(A507="","",IF((COUNTIF(Drain_Register!$A$5:$A$304,A507)+COUNTIF(RW_Register!$A$5:$A$304,A507)+COUNTIF(Embedded_Wall_Register!$A$5:$A$304,A507)+COUNTIF(Manhole_Register!$A$5:$A$304,A507)+COUNTIF(ERSS_Pit_Register!$A$5:$A$304,A507)+COUNTIF(Linkway_Register!$A$5:$A$304,A507)+COUNTIF(Other_Register!$A$5:$A$304,A507))&gt;0,"OK","ID not in any register"))</f>
        <v/>
      </c>
    </row>
    <row r="508" customFormat="false" ht="15" hidden="false" customHeight="false" outlineLevel="0" collapsed="false">
      <c r="A508" s="9"/>
      <c r="B508" s="9"/>
      <c r="C508" s="9"/>
      <c r="D508" s="9"/>
      <c r="E508" s="9"/>
      <c r="F508" s="9"/>
      <c r="G508" s="9"/>
      <c r="H508" s="9"/>
      <c r="I508" s="9"/>
      <c r="J508" s="10" t="str">
        <f aca="false">IF(A508="","",IF(G508&lt;&gt;"",G508,IF(N(F508)&gt;0,ROUND(1000/F508,3),0)))</f>
        <v/>
      </c>
      <c r="K508" s="10" t="str">
        <f aca="false">IF(OR(A508="",E508="",H508=""),"",ROUND(0.00617*E508^2*H508*J508,2))</f>
        <v/>
      </c>
      <c r="L508" s="9"/>
      <c r="M508" s="10" t="str">
        <f aca="false">IF(A508="","",IF((COUNTIF(Drain_Register!$A$5:$A$304,A508)+COUNTIF(RW_Register!$A$5:$A$304,A508)+COUNTIF(Embedded_Wall_Register!$A$5:$A$304,A508)+COUNTIF(Manhole_Register!$A$5:$A$304,A508)+COUNTIF(ERSS_Pit_Register!$A$5:$A$304,A508)+COUNTIF(Linkway_Register!$A$5:$A$304,A508)+COUNTIF(Other_Register!$A$5:$A$304,A508))&gt;0,"OK","ID not in any register"))</f>
        <v/>
      </c>
    </row>
    <row r="509" customFormat="false" ht="15" hidden="false" customHeight="false" outlineLevel="0" collapsed="false">
      <c r="A509" s="9"/>
      <c r="B509" s="9"/>
      <c r="C509" s="9"/>
      <c r="D509" s="9"/>
      <c r="E509" s="9"/>
      <c r="F509" s="9"/>
      <c r="G509" s="9"/>
      <c r="H509" s="9"/>
      <c r="I509" s="9"/>
      <c r="J509" s="10" t="str">
        <f aca="false">IF(A509="","",IF(G509&lt;&gt;"",G509,IF(N(F509)&gt;0,ROUND(1000/F509,3),0)))</f>
        <v/>
      </c>
      <c r="K509" s="10" t="str">
        <f aca="false">IF(OR(A509="",E509="",H509=""),"",ROUND(0.00617*E509^2*H509*J509,2))</f>
        <v/>
      </c>
      <c r="L509" s="9"/>
      <c r="M509" s="10" t="str">
        <f aca="false">IF(A509="","",IF((COUNTIF(Drain_Register!$A$5:$A$304,A509)+COUNTIF(RW_Register!$A$5:$A$304,A509)+COUNTIF(Embedded_Wall_Register!$A$5:$A$304,A509)+COUNTIF(Manhole_Register!$A$5:$A$304,A509)+COUNTIF(ERSS_Pit_Register!$A$5:$A$304,A509)+COUNTIF(Linkway_Register!$A$5:$A$304,A509)+COUNTIF(Other_Register!$A$5:$A$304,A509))&gt;0,"OK","ID not in any register"))</f>
        <v/>
      </c>
    </row>
    <row r="510" customFormat="false" ht="15" hidden="false" customHeight="false" outlineLevel="0" collapsed="false">
      <c r="A510" s="9"/>
      <c r="B510" s="9"/>
      <c r="C510" s="9"/>
      <c r="D510" s="9"/>
      <c r="E510" s="9"/>
      <c r="F510" s="9"/>
      <c r="G510" s="9"/>
      <c r="H510" s="9"/>
      <c r="I510" s="9"/>
      <c r="J510" s="10" t="str">
        <f aca="false">IF(A510="","",IF(G510&lt;&gt;"",G510,IF(N(F510)&gt;0,ROUND(1000/F510,3),0)))</f>
        <v/>
      </c>
      <c r="K510" s="10" t="str">
        <f aca="false">IF(OR(A510="",E510="",H510=""),"",ROUND(0.00617*E510^2*H510*J510,2))</f>
        <v/>
      </c>
      <c r="L510" s="9"/>
      <c r="M510" s="10" t="str">
        <f aca="false">IF(A510="","",IF((COUNTIF(Drain_Register!$A$5:$A$304,A510)+COUNTIF(RW_Register!$A$5:$A$304,A510)+COUNTIF(Embedded_Wall_Register!$A$5:$A$304,A510)+COUNTIF(Manhole_Register!$A$5:$A$304,A510)+COUNTIF(ERSS_Pit_Register!$A$5:$A$304,A510)+COUNTIF(Linkway_Register!$A$5:$A$304,A510)+COUNTIF(Other_Register!$A$5:$A$304,A510))&gt;0,"OK","ID not in any register"))</f>
        <v/>
      </c>
    </row>
    <row r="511" customFormat="false" ht="15" hidden="false" customHeight="false" outlineLevel="0" collapsed="false">
      <c r="A511" s="9"/>
      <c r="B511" s="9"/>
      <c r="C511" s="9"/>
      <c r="D511" s="9"/>
      <c r="E511" s="9"/>
      <c r="F511" s="9"/>
      <c r="G511" s="9"/>
      <c r="H511" s="9"/>
      <c r="I511" s="9"/>
      <c r="J511" s="10" t="str">
        <f aca="false">IF(A511="","",IF(G511&lt;&gt;"",G511,IF(N(F511)&gt;0,ROUND(1000/F511,3),0)))</f>
        <v/>
      </c>
      <c r="K511" s="10" t="str">
        <f aca="false">IF(OR(A511="",E511="",H511=""),"",ROUND(0.00617*E511^2*H511*J511,2))</f>
        <v/>
      </c>
      <c r="L511" s="9"/>
      <c r="M511" s="10" t="str">
        <f aca="false">IF(A511="","",IF((COUNTIF(Drain_Register!$A$5:$A$304,A511)+COUNTIF(RW_Register!$A$5:$A$304,A511)+COUNTIF(Embedded_Wall_Register!$A$5:$A$304,A511)+COUNTIF(Manhole_Register!$A$5:$A$304,A511)+COUNTIF(ERSS_Pit_Register!$A$5:$A$304,A511)+COUNTIF(Linkway_Register!$A$5:$A$304,A511)+COUNTIF(Other_Register!$A$5:$A$304,A511))&gt;0,"OK","ID not in any register"))</f>
        <v/>
      </c>
    </row>
    <row r="512" customFormat="false" ht="15" hidden="false" customHeight="false" outlineLevel="0" collapsed="false">
      <c r="A512" s="9"/>
      <c r="B512" s="9"/>
      <c r="C512" s="9"/>
      <c r="D512" s="9"/>
      <c r="E512" s="9"/>
      <c r="F512" s="9"/>
      <c r="G512" s="9"/>
      <c r="H512" s="9"/>
      <c r="I512" s="9"/>
      <c r="J512" s="10" t="str">
        <f aca="false">IF(A512="","",IF(G512&lt;&gt;"",G512,IF(N(F512)&gt;0,ROUND(1000/F512,3),0)))</f>
        <v/>
      </c>
      <c r="K512" s="10" t="str">
        <f aca="false">IF(OR(A512="",E512="",H512=""),"",ROUND(0.00617*E512^2*H512*J512,2))</f>
        <v/>
      </c>
      <c r="L512" s="9"/>
      <c r="M512" s="10" t="str">
        <f aca="false">IF(A512="","",IF((COUNTIF(Drain_Register!$A$5:$A$304,A512)+COUNTIF(RW_Register!$A$5:$A$304,A512)+COUNTIF(Embedded_Wall_Register!$A$5:$A$304,A512)+COUNTIF(Manhole_Register!$A$5:$A$304,A512)+COUNTIF(ERSS_Pit_Register!$A$5:$A$304,A512)+COUNTIF(Linkway_Register!$A$5:$A$304,A512)+COUNTIF(Other_Register!$A$5:$A$304,A512))&gt;0,"OK","ID not in any register"))</f>
        <v/>
      </c>
    </row>
    <row r="513" customFormat="false" ht="15" hidden="false" customHeight="false" outlineLevel="0" collapsed="false">
      <c r="A513" s="9"/>
      <c r="B513" s="9"/>
      <c r="C513" s="9"/>
      <c r="D513" s="9"/>
      <c r="E513" s="9"/>
      <c r="F513" s="9"/>
      <c r="G513" s="9"/>
      <c r="H513" s="9"/>
      <c r="I513" s="9"/>
      <c r="J513" s="10" t="str">
        <f aca="false">IF(A513="","",IF(G513&lt;&gt;"",G513,IF(N(F513)&gt;0,ROUND(1000/F513,3),0)))</f>
        <v/>
      </c>
      <c r="K513" s="10" t="str">
        <f aca="false">IF(OR(A513="",E513="",H513=""),"",ROUND(0.00617*E513^2*H513*J513,2))</f>
        <v/>
      </c>
      <c r="L513" s="9"/>
      <c r="M513" s="10" t="str">
        <f aca="false">IF(A513="","",IF((COUNTIF(Drain_Register!$A$5:$A$304,A513)+COUNTIF(RW_Register!$A$5:$A$304,A513)+COUNTIF(Embedded_Wall_Register!$A$5:$A$304,A513)+COUNTIF(Manhole_Register!$A$5:$A$304,A513)+COUNTIF(ERSS_Pit_Register!$A$5:$A$304,A513)+COUNTIF(Linkway_Register!$A$5:$A$304,A513)+COUNTIF(Other_Register!$A$5:$A$304,A513))&gt;0,"OK","ID not in any register"))</f>
        <v/>
      </c>
    </row>
    <row r="514" customFormat="false" ht="15" hidden="false" customHeight="false" outlineLevel="0" collapsed="false">
      <c r="A514" s="9"/>
      <c r="B514" s="9"/>
      <c r="C514" s="9"/>
      <c r="D514" s="9"/>
      <c r="E514" s="9"/>
      <c r="F514" s="9"/>
      <c r="G514" s="9"/>
      <c r="H514" s="9"/>
      <c r="I514" s="9"/>
      <c r="J514" s="10" t="str">
        <f aca="false">IF(A514="","",IF(G514&lt;&gt;"",G514,IF(N(F514)&gt;0,ROUND(1000/F514,3),0)))</f>
        <v/>
      </c>
      <c r="K514" s="10" t="str">
        <f aca="false">IF(OR(A514="",E514="",H514=""),"",ROUND(0.00617*E514^2*H514*J514,2))</f>
        <v/>
      </c>
      <c r="L514" s="9"/>
      <c r="M514" s="10" t="str">
        <f aca="false">IF(A514="","",IF((COUNTIF(Drain_Register!$A$5:$A$304,A514)+COUNTIF(RW_Register!$A$5:$A$304,A514)+COUNTIF(Embedded_Wall_Register!$A$5:$A$304,A514)+COUNTIF(Manhole_Register!$A$5:$A$304,A514)+COUNTIF(ERSS_Pit_Register!$A$5:$A$304,A514)+COUNTIF(Linkway_Register!$A$5:$A$304,A514)+COUNTIF(Other_Register!$A$5:$A$304,A514))&gt;0,"OK","ID not in any register"))</f>
        <v/>
      </c>
    </row>
    <row r="515" customFormat="false" ht="15" hidden="false" customHeight="false" outlineLevel="0" collapsed="false">
      <c r="A515" s="9"/>
      <c r="B515" s="9"/>
      <c r="C515" s="9"/>
      <c r="D515" s="9"/>
      <c r="E515" s="9"/>
      <c r="F515" s="9"/>
      <c r="G515" s="9"/>
      <c r="H515" s="9"/>
      <c r="I515" s="9"/>
      <c r="J515" s="10" t="str">
        <f aca="false">IF(A515="","",IF(G515&lt;&gt;"",G515,IF(N(F515)&gt;0,ROUND(1000/F515,3),0)))</f>
        <v/>
      </c>
      <c r="K515" s="10" t="str">
        <f aca="false">IF(OR(A515="",E515="",H515=""),"",ROUND(0.00617*E515^2*H515*J515,2))</f>
        <v/>
      </c>
      <c r="L515" s="9"/>
      <c r="M515" s="10" t="str">
        <f aca="false">IF(A515="","",IF((COUNTIF(Drain_Register!$A$5:$A$304,A515)+COUNTIF(RW_Register!$A$5:$A$304,A515)+COUNTIF(Embedded_Wall_Register!$A$5:$A$304,A515)+COUNTIF(Manhole_Register!$A$5:$A$304,A515)+COUNTIF(ERSS_Pit_Register!$A$5:$A$304,A515)+COUNTIF(Linkway_Register!$A$5:$A$304,A515)+COUNTIF(Other_Register!$A$5:$A$304,A515))&gt;0,"OK","ID not in any register"))</f>
        <v/>
      </c>
    </row>
    <row r="516" customFormat="false" ht="15" hidden="false" customHeight="false" outlineLevel="0" collapsed="false">
      <c r="A516" s="9"/>
      <c r="B516" s="9"/>
      <c r="C516" s="9"/>
      <c r="D516" s="9"/>
      <c r="E516" s="9"/>
      <c r="F516" s="9"/>
      <c r="G516" s="9"/>
      <c r="H516" s="9"/>
      <c r="I516" s="9"/>
      <c r="J516" s="10" t="str">
        <f aca="false">IF(A516="","",IF(G516&lt;&gt;"",G516,IF(N(F516)&gt;0,ROUND(1000/F516,3),0)))</f>
        <v/>
      </c>
      <c r="K516" s="10" t="str">
        <f aca="false">IF(OR(A516="",E516="",H516=""),"",ROUND(0.00617*E516^2*H516*J516,2))</f>
        <v/>
      </c>
      <c r="L516" s="9"/>
      <c r="M516" s="10" t="str">
        <f aca="false">IF(A516="","",IF((COUNTIF(Drain_Register!$A$5:$A$304,A516)+COUNTIF(RW_Register!$A$5:$A$304,A516)+COUNTIF(Embedded_Wall_Register!$A$5:$A$304,A516)+COUNTIF(Manhole_Register!$A$5:$A$304,A516)+COUNTIF(ERSS_Pit_Register!$A$5:$A$304,A516)+COUNTIF(Linkway_Register!$A$5:$A$304,A516)+COUNTIF(Other_Register!$A$5:$A$304,A516))&gt;0,"OK","ID not in any register"))</f>
        <v/>
      </c>
    </row>
    <row r="517" customFormat="false" ht="15" hidden="false" customHeight="false" outlineLevel="0" collapsed="false">
      <c r="A517" s="9"/>
      <c r="B517" s="9"/>
      <c r="C517" s="9"/>
      <c r="D517" s="9"/>
      <c r="E517" s="9"/>
      <c r="F517" s="9"/>
      <c r="G517" s="9"/>
      <c r="H517" s="9"/>
      <c r="I517" s="9"/>
      <c r="J517" s="10" t="str">
        <f aca="false">IF(A517="","",IF(G517&lt;&gt;"",G517,IF(N(F517)&gt;0,ROUND(1000/F517,3),0)))</f>
        <v/>
      </c>
      <c r="K517" s="10" t="str">
        <f aca="false">IF(OR(A517="",E517="",H517=""),"",ROUND(0.00617*E517^2*H517*J517,2))</f>
        <v/>
      </c>
      <c r="L517" s="9"/>
      <c r="M517" s="10" t="str">
        <f aca="false">IF(A517="","",IF((COUNTIF(Drain_Register!$A$5:$A$304,A517)+COUNTIF(RW_Register!$A$5:$A$304,A517)+COUNTIF(Embedded_Wall_Register!$A$5:$A$304,A517)+COUNTIF(Manhole_Register!$A$5:$A$304,A517)+COUNTIF(ERSS_Pit_Register!$A$5:$A$304,A517)+COUNTIF(Linkway_Register!$A$5:$A$304,A517)+COUNTIF(Other_Register!$A$5:$A$304,A517))&gt;0,"OK","ID not in any register"))</f>
        <v/>
      </c>
    </row>
    <row r="518" customFormat="false" ht="15" hidden="false" customHeight="false" outlineLevel="0" collapsed="false">
      <c r="A518" s="9"/>
      <c r="B518" s="9"/>
      <c r="C518" s="9"/>
      <c r="D518" s="9"/>
      <c r="E518" s="9"/>
      <c r="F518" s="9"/>
      <c r="G518" s="9"/>
      <c r="H518" s="9"/>
      <c r="I518" s="9"/>
      <c r="J518" s="10" t="str">
        <f aca="false">IF(A518="","",IF(G518&lt;&gt;"",G518,IF(N(F518)&gt;0,ROUND(1000/F518,3),0)))</f>
        <v/>
      </c>
      <c r="K518" s="10" t="str">
        <f aca="false">IF(OR(A518="",E518="",H518=""),"",ROUND(0.00617*E518^2*H518*J518,2))</f>
        <v/>
      </c>
      <c r="L518" s="9"/>
      <c r="M518" s="10" t="str">
        <f aca="false">IF(A518="","",IF((COUNTIF(Drain_Register!$A$5:$A$304,A518)+COUNTIF(RW_Register!$A$5:$A$304,A518)+COUNTIF(Embedded_Wall_Register!$A$5:$A$304,A518)+COUNTIF(Manhole_Register!$A$5:$A$304,A518)+COUNTIF(ERSS_Pit_Register!$A$5:$A$304,A518)+COUNTIF(Linkway_Register!$A$5:$A$304,A518)+COUNTIF(Other_Register!$A$5:$A$304,A518))&gt;0,"OK","ID not in any register"))</f>
        <v/>
      </c>
    </row>
    <row r="519" customFormat="false" ht="15" hidden="false" customHeight="false" outlineLevel="0" collapsed="false">
      <c r="A519" s="9"/>
      <c r="B519" s="9"/>
      <c r="C519" s="9"/>
      <c r="D519" s="9"/>
      <c r="E519" s="9"/>
      <c r="F519" s="9"/>
      <c r="G519" s="9"/>
      <c r="H519" s="9"/>
      <c r="I519" s="9"/>
      <c r="J519" s="10" t="str">
        <f aca="false">IF(A519="","",IF(G519&lt;&gt;"",G519,IF(N(F519)&gt;0,ROUND(1000/F519,3),0)))</f>
        <v/>
      </c>
      <c r="K519" s="10" t="str">
        <f aca="false">IF(OR(A519="",E519="",H519=""),"",ROUND(0.00617*E519^2*H519*J519,2))</f>
        <v/>
      </c>
      <c r="L519" s="9"/>
      <c r="M519" s="10" t="str">
        <f aca="false">IF(A519="","",IF((COUNTIF(Drain_Register!$A$5:$A$304,A519)+COUNTIF(RW_Register!$A$5:$A$304,A519)+COUNTIF(Embedded_Wall_Register!$A$5:$A$304,A519)+COUNTIF(Manhole_Register!$A$5:$A$304,A519)+COUNTIF(ERSS_Pit_Register!$A$5:$A$304,A519)+COUNTIF(Linkway_Register!$A$5:$A$304,A519)+COUNTIF(Other_Register!$A$5:$A$304,A519))&gt;0,"OK","ID not in any register"))</f>
        <v/>
      </c>
    </row>
    <row r="520" customFormat="false" ht="15" hidden="false" customHeight="false" outlineLevel="0" collapsed="false">
      <c r="A520" s="9"/>
      <c r="B520" s="9"/>
      <c r="C520" s="9"/>
      <c r="D520" s="9"/>
      <c r="E520" s="9"/>
      <c r="F520" s="9"/>
      <c r="G520" s="9"/>
      <c r="H520" s="9"/>
      <c r="I520" s="9"/>
      <c r="J520" s="10" t="str">
        <f aca="false">IF(A520="","",IF(G520&lt;&gt;"",G520,IF(N(F520)&gt;0,ROUND(1000/F520,3),0)))</f>
        <v/>
      </c>
      <c r="K520" s="10" t="str">
        <f aca="false">IF(OR(A520="",E520="",H520=""),"",ROUND(0.00617*E520^2*H520*J520,2))</f>
        <v/>
      </c>
      <c r="L520" s="9"/>
      <c r="M520" s="10" t="str">
        <f aca="false">IF(A520="","",IF((COUNTIF(Drain_Register!$A$5:$A$304,A520)+COUNTIF(RW_Register!$A$5:$A$304,A520)+COUNTIF(Embedded_Wall_Register!$A$5:$A$304,A520)+COUNTIF(Manhole_Register!$A$5:$A$304,A520)+COUNTIF(ERSS_Pit_Register!$A$5:$A$304,A520)+COUNTIF(Linkway_Register!$A$5:$A$304,A520)+COUNTIF(Other_Register!$A$5:$A$304,A520))&gt;0,"OK","ID not in any register"))</f>
        <v/>
      </c>
    </row>
    <row r="521" customFormat="false" ht="15" hidden="false" customHeight="false" outlineLevel="0" collapsed="false">
      <c r="A521" s="9"/>
      <c r="B521" s="9"/>
      <c r="C521" s="9"/>
      <c r="D521" s="9"/>
      <c r="E521" s="9"/>
      <c r="F521" s="9"/>
      <c r="G521" s="9"/>
      <c r="H521" s="9"/>
      <c r="I521" s="9"/>
      <c r="J521" s="10" t="str">
        <f aca="false">IF(A521="","",IF(G521&lt;&gt;"",G521,IF(N(F521)&gt;0,ROUND(1000/F521,3),0)))</f>
        <v/>
      </c>
      <c r="K521" s="10" t="str">
        <f aca="false">IF(OR(A521="",E521="",H521=""),"",ROUND(0.00617*E521^2*H521*J521,2))</f>
        <v/>
      </c>
      <c r="L521" s="9"/>
      <c r="M521" s="10" t="str">
        <f aca="false">IF(A521="","",IF((COUNTIF(Drain_Register!$A$5:$A$304,A521)+COUNTIF(RW_Register!$A$5:$A$304,A521)+COUNTIF(Embedded_Wall_Register!$A$5:$A$304,A521)+COUNTIF(Manhole_Register!$A$5:$A$304,A521)+COUNTIF(ERSS_Pit_Register!$A$5:$A$304,A521)+COUNTIF(Linkway_Register!$A$5:$A$304,A521)+COUNTIF(Other_Register!$A$5:$A$304,A521))&gt;0,"OK","ID not in any register"))</f>
        <v/>
      </c>
    </row>
    <row r="522" customFormat="false" ht="15" hidden="false" customHeight="false" outlineLevel="0" collapsed="false">
      <c r="A522" s="9"/>
      <c r="B522" s="9"/>
      <c r="C522" s="9"/>
      <c r="D522" s="9"/>
      <c r="E522" s="9"/>
      <c r="F522" s="9"/>
      <c r="G522" s="9"/>
      <c r="H522" s="9"/>
      <c r="I522" s="9"/>
      <c r="J522" s="10" t="str">
        <f aca="false">IF(A522="","",IF(G522&lt;&gt;"",G522,IF(N(F522)&gt;0,ROUND(1000/F522,3),0)))</f>
        <v/>
      </c>
      <c r="K522" s="10" t="str">
        <f aca="false">IF(OR(A522="",E522="",H522=""),"",ROUND(0.00617*E522^2*H522*J522,2))</f>
        <v/>
      </c>
      <c r="L522" s="9"/>
      <c r="M522" s="10" t="str">
        <f aca="false">IF(A522="","",IF((COUNTIF(Drain_Register!$A$5:$A$304,A522)+COUNTIF(RW_Register!$A$5:$A$304,A522)+COUNTIF(Embedded_Wall_Register!$A$5:$A$304,A522)+COUNTIF(Manhole_Register!$A$5:$A$304,A522)+COUNTIF(ERSS_Pit_Register!$A$5:$A$304,A522)+COUNTIF(Linkway_Register!$A$5:$A$304,A522)+COUNTIF(Other_Register!$A$5:$A$304,A522))&gt;0,"OK","ID not in any register"))</f>
        <v/>
      </c>
    </row>
    <row r="523" customFormat="false" ht="15" hidden="false" customHeight="false" outlineLevel="0" collapsed="false">
      <c r="A523" s="9"/>
      <c r="B523" s="9"/>
      <c r="C523" s="9"/>
      <c r="D523" s="9"/>
      <c r="E523" s="9"/>
      <c r="F523" s="9"/>
      <c r="G523" s="9"/>
      <c r="H523" s="9"/>
      <c r="I523" s="9"/>
      <c r="J523" s="10" t="str">
        <f aca="false">IF(A523="","",IF(G523&lt;&gt;"",G523,IF(N(F523)&gt;0,ROUND(1000/F523,3),0)))</f>
        <v/>
      </c>
      <c r="K523" s="10" t="str">
        <f aca="false">IF(OR(A523="",E523="",H523=""),"",ROUND(0.00617*E523^2*H523*J523,2))</f>
        <v/>
      </c>
      <c r="L523" s="9"/>
      <c r="M523" s="10" t="str">
        <f aca="false">IF(A523="","",IF((COUNTIF(Drain_Register!$A$5:$A$304,A523)+COUNTIF(RW_Register!$A$5:$A$304,A523)+COUNTIF(Embedded_Wall_Register!$A$5:$A$304,A523)+COUNTIF(Manhole_Register!$A$5:$A$304,A523)+COUNTIF(ERSS_Pit_Register!$A$5:$A$304,A523)+COUNTIF(Linkway_Register!$A$5:$A$304,A523)+COUNTIF(Other_Register!$A$5:$A$304,A523))&gt;0,"OK","ID not in any register"))</f>
        <v/>
      </c>
    </row>
    <row r="524" customFormat="false" ht="15" hidden="false" customHeight="false" outlineLevel="0" collapsed="false">
      <c r="A524" s="9"/>
      <c r="B524" s="9"/>
      <c r="C524" s="9"/>
      <c r="D524" s="9"/>
      <c r="E524" s="9"/>
      <c r="F524" s="9"/>
      <c r="G524" s="9"/>
      <c r="H524" s="9"/>
      <c r="I524" s="9"/>
      <c r="J524" s="10" t="str">
        <f aca="false">IF(A524="","",IF(G524&lt;&gt;"",G524,IF(N(F524)&gt;0,ROUND(1000/F524,3),0)))</f>
        <v/>
      </c>
      <c r="K524" s="10" t="str">
        <f aca="false">IF(OR(A524="",E524="",H524=""),"",ROUND(0.00617*E524^2*H524*J524,2))</f>
        <v/>
      </c>
      <c r="L524" s="9"/>
      <c r="M524" s="10" t="str">
        <f aca="false">IF(A524="","",IF((COUNTIF(Drain_Register!$A$5:$A$304,A524)+COUNTIF(RW_Register!$A$5:$A$304,A524)+COUNTIF(Embedded_Wall_Register!$A$5:$A$304,A524)+COUNTIF(Manhole_Register!$A$5:$A$304,A524)+COUNTIF(ERSS_Pit_Register!$A$5:$A$304,A524)+COUNTIF(Linkway_Register!$A$5:$A$304,A524)+COUNTIF(Other_Register!$A$5:$A$304,A524))&gt;0,"OK","ID not in any register"))</f>
        <v/>
      </c>
    </row>
    <row r="525" customFormat="false" ht="15" hidden="false" customHeight="false" outlineLevel="0" collapsed="false">
      <c r="A525" s="9"/>
      <c r="B525" s="9"/>
      <c r="C525" s="9"/>
      <c r="D525" s="9"/>
      <c r="E525" s="9"/>
      <c r="F525" s="9"/>
      <c r="G525" s="9"/>
      <c r="H525" s="9"/>
      <c r="I525" s="9"/>
      <c r="J525" s="10" t="str">
        <f aca="false">IF(A525="","",IF(G525&lt;&gt;"",G525,IF(N(F525)&gt;0,ROUND(1000/F525,3),0)))</f>
        <v/>
      </c>
      <c r="K525" s="10" t="str">
        <f aca="false">IF(OR(A525="",E525="",H525=""),"",ROUND(0.00617*E525^2*H525*J525,2))</f>
        <v/>
      </c>
      <c r="L525" s="9"/>
      <c r="M525" s="10" t="str">
        <f aca="false">IF(A525="","",IF((COUNTIF(Drain_Register!$A$5:$A$304,A525)+COUNTIF(RW_Register!$A$5:$A$304,A525)+COUNTIF(Embedded_Wall_Register!$A$5:$A$304,A525)+COUNTIF(Manhole_Register!$A$5:$A$304,A525)+COUNTIF(ERSS_Pit_Register!$A$5:$A$304,A525)+COUNTIF(Linkway_Register!$A$5:$A$304,A525)+COUNTIF(Other_Register!$A$5:$A$304,A525))&gt;0,"OK","ID not in any register"))</f>
        <v/>
      </c>
    </row>
    <row r="526" customFormat="false" ht="15" hidden="false" customHeight="false" outlineLevel="0" collapsed="false">
      <c r="A526" s="9"/>
      <c r="B526" s="9"/>
      <c r="C526" s="9"/>
      <c r="D526" s="9"/>
      <c r="E526" s="9"/>
      <c r="F526" s="9"/>
      <c r="G526" s="9"/>
      <c r="H526" s="9"/>
      <c r="I526" s="9"/>
      <c r="J526" s="10" t="str">
        <f aca="false">IF(A526="","",IF(G526&lt;&gt;"",G526,IF(N(F526)&gt;0,ROUND(1000/F526,3),0)))</f>
        <v/>
      </c>
      <c r="K526" s="10" t="str">
        <f aca="false">IF(OR(A526="",E526="",H526=""),"",ROUND(0.00617*E526^2*H526*J526,2))</f>
        <v/>
      </c>
      <c r="L526" s="9"/>
      <c r="M526" s="10" t="str">
        <f aca="false">IF(A526="","",IF((COUNTIF(Drain_Register!$A$5:$A$304,A526)+COUNTIF(RW_Register!$A$5:$A$304,A526)+COUNTIF(Embedded_Wall_Register!$A$5:$A$304,A526)+COUNTIF(Manhole_Register!$A$5:$A$304,A526)+COUNTIF(ERSS_Pit_Register!$A$5:$A$304,A526)+COUNTIF(Linkway_Register!$A$5:$A$304,A526)+COUNTIF(Other_Register!$A$5:$A$304,A526))&gt;0,"OK","ID not in any register"))</f>
        <v/>
      </c>
    </row>
    <row r="527" customFormat="false" ht="15" hidden="false" customHeight="false" outlineLevel="0" collapsed="false">
      <c r="A527" s="9"/>
      <c r="B527" s="9"/>
      <c r="C527" s="9"/>
      <c r="D527" s="9"/>
      <c r="E527" s="9"/>
      <c r="F527" s="9"/>
      <c r="G527" s="9"/>
      <c r="H527" s="9"/>
      <c r="I527" s="9"/>
      <c r="J527" s="10" t="str">
        <f aca="false">IF(A527="","",IF(G527&lt;&gt;"",G527,IF(N(F527)&gt;0,ROUND(1000/F527,3),0)))</f>
        <v/>
      </c>
      <c r="K527" s="10" t="str">
        <f aca="false">IF(OR(A527="",E527="",H527=""),"",ROUND(0.00617*E527^2*H527*J527,2))</f>
        <v/>
      </c>
      <c r="L527" s="9"/>
      <c r="M527" s="10" t="str">
        <f aca="false">IF(A527="","",IF((COUNTIF(Drain_Register!$A$5:$A$304,A527)+COUNTIF(RW_Register!$A$5:$A$304,A527)+COUNTIF(Embedded_Wall_Register!$A$5:$A$304,A527)+COUNTIF(Manhole_Register!$A$5:$A$304,A527)+COUNTIF(ERSS_Pit_Register!$A$5:$A$304,A527)+COUNTIF(Linkway_Register!$A$5:$A$304,A527)+COUNTIF(Other_Register!$A$5:$A$304,A527))&gt;0,"OK","ID not in any register"))</f>
        <v/>
      </c>
    </row>
    <row r="528" customFormat="false" ht="15" hidden="false" customHeight="false" outlineLevel="0" collapsed="false">
      <c r="A528" s="9"/>
      <c r="B528" s="9"/>
      <c r="C528" s="9"/>
      <c r="D528" s="9"/>
      <c r="E528" s="9"/>
      <c r="F528" s="9"/>
      <c r="G528" s="9"/>
      <c r="H528" s="9"/>
      <c r="I528" s="9"/>
      <c r="J528" s="10" t="str">
        <f aca="false">IF(A528="","",IF(G528&lt;&gt;"",G528,IF(N(F528)&gt;0,ROUND(1000/F528,3),0)))</f>
        <v/>
      </c>
      <c r="K528" s="10" t="str">
        <f aca="false">IF(OR(A528="",E528="",H528=""),"",ROUND(0.00617*E528^2*H528*J528,2))</f>
        <v/>
      </c>
      <c r="L528" s="9"/>
      <c r="M528" s="10" t="str">
        <f aca="false">IF(A528="","",IF((COUNTIF(Drain_Register!$A$5:$A$304,A528)+COUNTIF(RW_Register!$A$5:$A$304,A528)+COUNTIF(Embedded_Wall_Register!$A$5:$A$304,A528)+COUNTIF(Manhole_Register!$A$5:$A$304,A528)+COUNTIF(ERSS_Pit_Register!$A$5:$A$304,A528)+COUNTIF(Linkway_Register!$A$5:$A$304,A528)+COUNTIF(Other_Register!$A$5:$A$304,A528))&gt;0,"OK","ID not in any register"))</f>
        <v/>
      </c>
    </row>
    <row r="529" customFormat="false" ht="15" hidden="false" customHeight="false" outlineLevel="0" collapsed="false">
      <c r="A529" s="9"/>
      <c r="B529" s="9"/>
      <c r="C529" s="9"/>
      <c r="D529" s="9"/>
      <c r="E529" s="9"/>
      <c r="F529" s="9"/>
      <c r="G529" s="9"/>
      <c r="H529" s="9"/>
      <c r="I529" s="9"/>
      <c r="J529" s="10" t="str">
        <f aca="false">IF(A529="","",IF(G529&lt;&gt;"",G529,IF(N(F529)&gt;0,ROUND(1000/F529,3),0)))</f>
        <v/>
      </c>
      <c r="K529" s="10" t="str">
        <f aca="false">IF(OR(A529="",E529="",H529=""),"",ROUND(0.00617*E529^2*H529*J529,2))</f>
        <v/>
      </c>
      <c r="L529" s="9"/>
      <c r="M529" s="10" t="str">
        <f aca="false">IF(A529="","",IF((COUNTIF(Drain_Register!$A$5:$A$304,A529)+COUNTIF(RW_Register!$A$5:$A$304,A529)+COUNTIF(Embedded_Wall_Register!$A$5:$A$304,A529)+COUNTIF(Manhole_Register!$A$5:$A$304,A529)+COUNTIF(ERSS_Pit_Register!$A$5:$A$304,A529)+COUNTIF(Linkway_Register!$A$5:$A$304,A529)+COUNTIF(Other_Register!$A$5:$A$304,A529))&gt;0,"OK","ID not in any register"))</f>
        <v/>
      </c>
    </row>
    <row r="530" customFormat="false" ht="15" hidden="false" customHeight="false" outlineLevel="0" collapsed="false">
      <c r="A530" s="9"/>
      <c r="B530" s="9"/>
      <c r="C530" s="9"/>
      <c r="D530" s="9"/>
      <c r="E530" s="9"/>
      <c r="F530" s="9"/>
      <c r="G530" s="9"/>
      <c r="H530" s="9"/>
      <c r="I530" s="9"/>
      <c r="J530" s="10" t="str">
        <f aca="false">IF(A530="","",IF(G530&lt;&gt;"",G530,IF(N(F530)&gt;0,ROUND(1000/F530,3),0)))</f>
        <v/>
      </c>
      <c r="K530" s="10" t="str">
        <f aca="false">IF(OR(A530="",E530="",H530=""),"",ROUND(0.00617*E530^2*H530*J530,2))</f>
        <v/>
      </c>
      <c r="L530" s="9"/>
      <c r="M530" s="10" t="str">
        <f aca="false">IF(A530="","",IF((COUNTIF(Drain_Register!$A$5:$A$304,A530)+COUNTIF(RW_Register!$A$5:$A$304,A530)+COUNTIF(Embedded_Wall_Register!$A$5:$A$304,A530)+COUNTIF(Manhole_Register!$A$5:$A$304,A530)+COUNTIF(ERSS_Pit_Register!$A$5:$A$304,A530)+COUNTIF(Linkway_Register!$A$5:$A$304,A530)+COUNTIF(Other_Register!$A$5:$A$304,A530))&gt;0,"OK","ID not in any register"))</f>
        <v/>
      </c>
    </row>
    <row r="531" customFormat="false" ht="15" hidden="false" customHeight="false" outlineLevel="0" collapsed="false">
      <c r="A531" s="9"/>
      <c r="B531" s="9"/>
      <c r="C531" s="9"/>
      <c r="D531" s="9"/>
      <c r="E531" s="9"/>
      <c r="F531" s="9"/>
      <c r="G531" s="9"/>
      <c r="H531" s="9"/>
      <c r="I531" s="9"/>
      <c r="J531" s="10" t="str">
        <f aca="false">IF(A531="","",IF(G531&lt;&gt;"",G531,IF(N(F531)&gt;0,ROUND(1000/F531,3),0)))</f>
        <v/>
      </c>
      <c r="K531" s="10" t="str">
        <f aca="false">IF(OR(A531="",E531="",H531=""),"",ROUND(0.00617*E531^2*H531*J531,2))</f>
        <v/>
      </c>
      <c r="L531" s="9"/>
      <c r="M531" s="10" t="str">
        <f aca="false">IF(A531="","",IF((COUNTIF(Drain_Register!$A$5:$A$304,A531)+COUNTIF(RW_Register!$A$5:$A$304,A531)+COUNTIF(Embedded_Wall_Register!$A$5:$A$304,A531)+COUNTIF(Manhole_Register!$A$5:$A$304,A531)+COUNTIF(ERSS_Pit_Register!$A$5:$A$304,A531)+COUNTIF(Linkway_Register!$A$5:$A$304,A531)+COUNTIF(Other_Register!$A$5:$A$304,A531))&gt;0,"OK","ID not in any register"))</f>
        <v/>
      </c>
    </row>
    <row r="532" customFormat="false" ht="15" hidden="false" customHeight="false" outlineLevel="0" collapsed="false">
      <c r="A532" s="9"/>
      <c r="B532" s="9"/>
      <c r="C532" s="9"/>
      <c r="D532" s="9"/>
      <c r="E532" s="9"/>
      <c r="F532" s="9"/>
      <c r="G532" s="9"/>
      <c r="H532" s="9"/>
      <c r="I532" s="9"/>
      <c r="J532" s="10" t="str">
        <f aca="false">IF(A532="","",IF(G532&lt;&gt;"",G532,IF(N(F532)&gt;0,ROUND(1000/F532,3),0)))</f>
        <v/>
      </c>
      <c r="K532" s="10" t="str">
        <f aca="false">IF(OR(A532="",E532="",H532=""),"",ROUND(0.00617*E532^2*H532*J532,2))</f>
        <v/>
      </c>
      <c r="L532" s="9"/>
      <c r="M532" s="10" t="str">
        <f aca="false">IF(A532="","",IF((COUNTIF(Drain_Register!$A$5:$A$304,A532)+COUNTIF(RW_Register!$A$5:$A$304,A532)+COUNTIF(Embedded_Wall_Register!$A$5:$A$304,A532)+COUNTIF(Manhole_Register!$A$5:$A$304,A532)+COUNTIF(ERSS_Pit_Register!$A$5:$A$304,A532)+COUNTIF(Linkway_Register!$A$5:$A$304,A532)+COUNTIF(Other_Register!$A$5:$A$304,A532))&gt;0,"OK","ID not in any register"))</f>
        <v/>
      </c>
    </row>
    <row r="533" customFormat="false" ht="15" hidden="false" customHeight="false" outlineLevel="0" collapsed="false">
      <c r="A533" s="9"/>
      <c r="B533" s="9"/>
      <c r="C533" s="9"/>
      <c r="D533" s="9"/>
      <c r="E533" s="9"/>
      <c r="F533" s="9"/>
      <c r="G533" s="9"/>
      <c r="H533" s="9"/>
      <c r="I533" s="9"/>
      <c r="J533" s="10" t="str">
        <f aca="false">IF(A533="","",IF(G533&lt;&gt;"",G533,IF(N(F533)&gt;0,ROUND(1000/F533,3),0)))</f>
        <v/>
      </c>
      <c r="K533" s="10" t="str">
        <f aca="false">IF(OR(A533="",E533="",H533=""),"",ROUND(0.00617*E533^2*H533*J533,2))</f>
        <v/>
      </c>
      <c r="L533" s="9"/>
      <c r="M533" s="10" t="str">
        <f aca="false">IF(A533="","",IF((COUNTIF(Drain_Register!$A$5:$A$304,A533)+COUNTIF(RW_Register!$A$5:$A$304,A533)+COUNTIF(Embedded_Wall_Register!$A$5:$A$304,A533)+COUNTIF(Manhole_Register!$A$5:$A$304,A533)+COUNTIF(ERSS_Pit_Register!$A$5:$A$304,A533)+COUNTIF(Linkway_Register!$A$5:$A$304,A533)+COUNTIF(Other_Register!$A$5:$A$304,A533))&gt;0,"OK","ID not in any register"))</f>
        <v/>
      </c>
    </row>
    <row r="534" customFormat="false" ht="15" hidden="false" customHeight="false" outlineLevel="0" collapsed="false">
      <c r="A534" s="9"/>
      <c r="B534" s="9"/>
      <c r="C534" s="9"/>
      <c r="D534" s="9"/>
      <c r="E534" s="9"/>
      <c r="F534" s="9"/>
      <c r="G534" s="9"/>
      <c r="H534" s="9"/>
      <c r="I534" s="9"/>
      <c r="J534" s="10" t="str">
        <f aca="false">IF(A534="","",IF(G534&lt;&gt;"",G534,IF(N(F534)&gt;0,ROUND(1000/F534,3),0)))</f>
        <v/>
      </c>
      <c r="K534" s="10" t="str">
        <f aca="false">IF(OR(A534="",E534="",H534=""),"",ROUND(0.00617*E534^2*H534*J534,2))</f>
        <v/>
      </c>
      <c r="L534" s="9"/>
      <c r="M534" s="10" t="str">
        <f aca="false">IF(A534="","",IF((COUNTIF(Drain_Register!$A$5:$A$304,A534)+COUNTIF(RW_Register!$A$5:$A$304,A534)+COUNTIF(Embedded_Wall_Register!$A$5:$A$304,A534)+COUNTIF(Manhole_Register!$A$5:$A$304,A534)+COUNTIF(ERSS_Pit_Register!$A$5:$A$304,A534)+COUNTIF(Linkway_Register!$A$5:$A$304,A534)+COUNTIF(Other_Register!$A$5:$A$304,A534))&gt;0,"OK","ID not in any register"))</f>
        <v/>
      </c>
    </row>
    <row r="535" customFormat="false" ht="15" hidden="false" customHeight="false" outlineLevel="0" collapsed="false">
      <c r="A535" s="9"/>
      <c r="B535" s="9"/>
      <c r="C535" s="9"/>
      <c r="D535" s="9"/>
      <c r="E535" s="9"/>
      <c r="F535" s="9"/>
      <c r="G535" s="9"/>
      <c r="H535" s="9"/>
      <c r="I535" s="9"/>
      <c r="J535" s="10" t="str">
        <f aca="false">IF(A535="","",IF(G535&lt;&gt;"",G535,IF(N(F535)&gt;0,ROUND(1000/F535,3),0)))</f>
        <v/>
      </c>
      <c r="K535" s="10" t="str">
        <f aca="false">IF(OR(A535="",E535="",H535=""),"",ROUND(0.00617*E535^2*H535*J535,2))</f>
        <v/>
      </c>
      <c r="L535" s="9"/>
      <c r="M535" s="10" t="str">
        <f aca="false">IF(A535="","",IF((COUNTIF(Drain_Register!$A$5:$A$304,A535)+COUNTIF(RW_Register!$A$5:$A$304,A535)+COUNTIF(Embedded_Wall_Register!$A$5:$A$304,A535)+COUNTIF(Manhole_Register!$A$5:$A$304,A535)+COUNTIF(ERSS_Pit_Register!$A$5:$A$304,A535)+COUNTIF(Linkway_Register!$A$5:$A$304,A535)+COUNTIF(Other_Register!$A$5:$A$304,A535))&gt;0,"OK","ID not in any register"))</f>
        <v/>
      </c>
    </row>
    <row r="536" customFormat="false" ht="15" hidden="false" customHeight="false" outlineLevel="0" collapsed="false">
      <c r="A536" s="9"/>
      <c r="B536" s="9"/>
      <c r="C536" s="9"/>
      <c r="D536" s="9"/>
      <c r="E536" s="9"/>
      <c r="F536" s="9"/>
      <c r="G536" s="9"/>
      <c r="H536" s="9"/>
      <c r="I536" s="9"/>
      <c r="J536" s="10" t="str">
        <f aca="false">IF(A536="","",IF(G536&lt;&gt;"",G536,IF(N(F536)&gt;0,ROUND(1000/F536,3),0)))</f>
        <v/>
      </c>
      <c r="K536" s="10" t="str">
        <f aca="false">IF(OR(A536="",E536="",H536=""),"",ROUND(0.00617*E536^2*H536*J536,2))</f>
        <v/>
      </c>
      <c r="L536" s="9"/>
      <c r="M536" s="10" t="str">
        <f aca="false">IF(A536="","",IF((COUNTIF(Drain_Register!$A$5:$A$304,A536)+COUNTIF(RW_Register!$A$5:$A$304,A536)+COUNTIF(Embedded_Wall_Register!$A$5:$A$304,A536)+COUNTIF(Manhole_Register!$A$5:$A$304,A536)+COUNTIF(ERSS_Pit_Register!$A$5:$A$304,A536)+COUNTIF(Linkway_Register!$A$5:$A$304,A536)+COUNTIF(Other_Register!$A$5:$A$304,A536))&gt;0,"OK","ID not in any register"))</f>
        <v/>
      </c>
    </row>
    <row r="537" customFormat="false" ht="15" hidden="false" customHeight="false" outlineLevel="0" collapsed="false">
      <c r="A537" s="9"/>
      <c r="B537" s="9"/>
      <c r="C537" s="9"/>
      <c r="D537" s="9"/>
      <c r="E537" s="9"/>
      <c r="F537" s="9"/>
      <c r="G537" s="9"/>
      <c r="H537" s="9"/>
      <c r="I537" s="9"/>
      <c r="J537" s="10" t="str">
        <f aca="false">IF(A537="","",IF(G537&lt;&gt;"",G537,IF(N(F537)&gt;0,ROUND(1000/F537,3),0)))</f>
        <v/>
      </c>
      <c r="K537" s="10" t="str">
        <f aca="false">IF(OR(A537="",E537="",H537=""),"",ROUND(0.00617*E537^2*H537*J537,2))</f>
        <v/>
      </c>
      <c r="L537" s="9"/>
      <c r="M537" s="10" t="str">
        <f aca="false">IF(A537="","",IF((COUNTIF(Drain_Register!$A$5:$A$304,A537)+COUNTIF(RW_Register!$A$5:$A$304,A537)+COUNTIF(Embedded_Wall_Register!$A$5:$A$304,A537)+COUNTIF(Manhole_Register!$A$5:$A$304,A537)+COUNTIF(ERSS_Pit_Register!$A$5:$A$304,A537)+COUNTIF(Linkway_Register!$A$5:$A$304,A537)+COUNTIF(Other_Register!$A$5:$A$304,A537))&gt;0,"OK","ID not in any register"))</f>
        <v/>
      </c>
    </row>
    <row r="538" customFormat="false" ht="15" hidden="false" customHeight="false" outlineLevel="0" collapsed="false">
      <c r="A538" s="9"/>
      <c r="B538" s="9"/>
      <c r="C538" s="9"/>
      <c r="D538" s="9"/>
      <c r="E538" s="9"/>
      <c r="F538" s="9"/>
      <c r="G538" s="9"/>
      <c r="H538" s="9"/>
      <c r="I538" s="9"/>
      <c r="J538" s="10" t="str">
        <f aca="false">IF(A538="","",IF(G538&lt;&gt;"",G538,IF(N(F538)&gt;0,ROUND(1000/F538,3),0)))</f>
        <v/>
      </c>
      <c r="K538" s="10" t="str">
        <f aca="false">IF(OR(A538="",E538="",H538=""),"",ROUND(0.00617*E538^2*H538*J538,2))</f>
        <v/>
      </c>
      <c r="L538" s="9"/>
      <c r="M538" s="10" t="str">
        <f aca="false">IF(A538="","",IF((COUNTIF(Drain_Register!$A$5:$A$304,A538)+COUNTIF(RW_Register!$A$5:$A$304,A538)+COUNTIF(Embedded_Wall_Register!$A$5:$A$304,A538)+COUNTIF(Manhole_Register!$A$5:$A$304,A538)+COUNTIF(ERSS_Pit_Register!$A$5:$A$304,A538)+COUNTIF(Linkway_Register!$A$5:$A$304,A538)+COUNTIF(Other_Register!$A$5:$A$304,A538))&gt;0,"OK","ID not in any register"))</f>
        <v/>
      </c>
    </row>
    <row r="539" customFormat="false" ht="15" hidden="false" customHeight="false" outlineLevel="0" collapsed="false">
      <c r="A539" s="9"/>
      <c r="B539" s="9"/>
      <c r="C539" s="9"/>
      <c r="D539" s="9"/>
      <c r="E539" s="9"/>
      <c r="F539" s="9"/>
      <c r="G539" s="9"/>
      <c r="H539" s="9"/>
      <c r="I539" s="9"/>
      <c r="J539" s="10" t="str">
        <f aca="false">IF(A539="","",IF(G539&lt;&gt;"",G539,IF(N(F539)&gt;0,ROUND(1000/F539,3),0)))</f>
        <v/>
      </c>
      <c r="K539" s="10" t="str">
        <f aca="false">IF(OR(A539="",E539="",H539=""),"",ROUND(0.00617*E539^2*H539*J539,2))</f>
        <v/>
      </c>
      <c r="L539" s="9"/>
      <c r="M539" s="10" t="str">
        <f aca="false">IF(A539="","",IF((COUNTIF(Drain_Register!$A$5:$A$304,A539)+COUNTIF(RW_Register!$A$5:$A$304,A539)+COUNTIF(Embedded_Wall_Register!$A$5:$A$304,A539)+COUNTIF(Manhole_Register!$A$5:$A$304,A539)+COUNTIF(ERSS_Pit_Register!$A$5:$A$304,A539)+COUNTIF(Linkway_Register!$A$5:$A$304,A539)+COUNTIF(Other_Register!$A$5:$A$304,A539))&gt;0,"OK","ID not in any register"))</f>
        <v/>
      </c>
    </row>
    <row r="540" customFormat="false" ht="15" hidden="false" customHeight="false" outlineLevel="0" collapsed="false">
      <c r="A540" s="9"/>
      <c r="B540" s="9"/>
      <c r="C540" s="9"/>
      <c r="D540" s="9"/>
      <c r="E540" s="9"/>
      <c r="F540" s="9"/>
      <c r="G540" s="9"/>
      <c r="H540" s="9"/>
      <c r="I540" s="9"/>
      <c r="J540" s="10" t="str">
        <f aca="false">IF(A540="","",IF(G540&lt;&gt;"",G540,IF(N(F540)&gt;0,ROUND(1000/F540,3),0)))</f>
        <v/>
      </c>
      <c r="K540" s="10" t="str">
        <f aca="false">IF(OR(A540="",E540="",H540=""),"",ROUND(0.00617*E540^2*H540*J540,2))</f>
        <v/>
      </c>
      <c r="L540" s="9"/>
      <c r="M540" s="10" t="str">
        <f aca="false">IF(A540="","",IF((COUNTIF(Drain_Register!$A$5:$A$304,A540)+COUNTIF(RW_Register!$A$5:$A$304,A540)+COUNTIF(Embedded_Wall_Register!$A$5:$A$304,A540)+COUNTIF(Manhole_Register!$A$5:$A$304,A540)+COUNTIF(ERSS_Pit_Register!$A$5:$A$304,A540)+COUNTIF(Linkway_Register!$A$5:$A$304,A540)+COUNTIF(Other_Register!$A$5:$A$304,A540))&gt;0,"OK","ID not in any register"))</f>
        <v/>
      </c>
    </row>
    <row r="541" customFormat="false" ht="15" hidden="false" customHeight="false" outlineLevel="0" collapsed="false">
      <c r="A541" s="9"/>
      <c r="B541" s="9"/>
      <c r="C541" s="9"/>
      <c r="D541" s="9"/>
      <c r="E541" s="9"/>
      <c r="F541" s="9"/>
      <c r="G541" s="9"/>
      <c r="H541" s="9"/>
      <c r="I541" s="9"/>
      <c r="J541" s="10" t="str">
        <f aca="false">IF(A541="","",IF(G541&lt;&gt;"",G541,IF(N(F541)&gt;0,ROUND(1000/F541,3),0)))</f>
        <v/>
      </c>
      <c r="K541" s="10" t="str">
        <f aca="false">IF(OR(A541="",E541="",H541=""),"",ROUND(0.00617*E541^2*H541*J541,2))</f>
        <v/>
      </c>
      <c r="L541" s="9"/>
      <c r="M541" s="10" t="str">
        <f aca="false">IF(A541="","",IF((COUNTIF(Drain_Register!$A$5:$A$304,A541)+COUNTIF(RW_Register!$A$5:$A$304,A541)+COUNTIF(Embedded_Wall_Register!$A$5:$A$304,A541)+COUNTIF(Manhole_Register!$A$5:$A$304,A541)+COUNTIF(ERSS_Pit_Register!$A$5:$A$304,A541)+COUNTIF(Linkway_Register!$A$5:$A$304,A541)+COUNTIF(Other_Register!$A$5:$A$304,A541))&gt;0,"OK","ID not in any register"))</f>
        <v/>
      </c>
    </row>
    <row r="542" customFormat="false" ht="15" hidden="false" customHeight="false" outlineLevel="0" collapsed="false">
      <c r="A542" s="9"/>
      <c r="B542" s="9"/>
      <c r="C542" s="9"/>
      <c r="D542" s="9"/>
      <c r="E542" s="9"/>
      <c r="F542" s="9"/>
      <c r="G542" s="9"/>
      <c r="H542" s="9"/>
      <c r="I542" s="9"/>
      <c r="J542" s="10" t="str">
        <f aca="false">IF(A542="","",IF(G542&lt;&gt;"",G542,IF(N(F542)&gt;0,ROUND(1000/F542,3),0)))</f>
        <v/>
      </c>
      <c r="K542" s="10" t="str">
        <f aca="false">IF(OR(A542="",E542="",H542=""),"",ROUND(0.00617*E542^2*H542*J542,2))</f>
        <v/>
      </c>
      <c r="L542" s="9"/>
      <c r="M542" s="10" t="str">
        <f aca="false">IF(A542="","",IF((COUNTIF(Drain_Register!$A$5:$A$304,A542)+COUNTIF(RW_Register!$A$5:$A$304,A542)+COUNTIF(Embedded_Wall_Register!$A$5:$A$304,A542)+COUNTIF(Manhole_Register!$A$5:$A$304,A542)+COUNTIF(ERSS_Pit_Register!$A$5:$A$304,A542)+COUNTIF(Linkway_Register!$A$5:$A$304,A542)+COUNTIF(Other_Register!$A$5:$A$304,A542))&gt;0,"OK","ID not in any register"))</f>
        <v/>
      </c>
    </row>
    <row r="543" customFormat="false" ht="15" hidden="false" customHeight="false" outlineLevel="0" collapsed="false">
      <c r="A543" s="9"/>
      <c r="B543" s="9"/>
      <c r="C543" s="9"/>
      <c r="D543" s="9"/>
      <c r="E543" s="9"/>
      <c r="F543" s="9"/>
      <c r="G543" s="9"/>
      <c r="H543" s="9"/>
      <c r="I543" s="9"/>
      <c r="J543" s="10" t="str">
        <f aca="false">IF(A543="","",IF(G543&lt;&gt;"",G543,IF(N(F543)&gt;0,ROUND(1000/F543,3),0)))</f>
        <v/>
      </c>
      <c r="K543" s="10" t="str">
        <f aca="false">IF(OR(A543="",E543="",H543=""),"",ROUND(0.00617*E543^2*H543*J543,2))</f>
        <v/>
      </c>
      <c r="L543" s="9"/>
      <c r="M543" s="10" t="str">
        <f aca="false">IF(A543="","",IF((COUNTIF(Drain_Register!$A$5:$A$304,A543)+COUNTIF(RW_Register!$A$5:$A$304,A543)+COUNTIF(Embedded_Wall_Register!$A$5:$A$304,A543)+COUNTIF(Manhole_Register!$A$5:$A$304,A543)+COUNTIF(ERSS_Pit_Register!$A$5:$A$304,A543)+COUNTIF(Linkway_Register!$A$5:$A$304,A543)+COUNTIF(Other_Register!$A$5:$A$304,A543))&gt;0,"OK","ID not in any register"))</f>
        <v/>
      </c>
    </row>
    <row r="544" customFormat="false" ht="15" hidden="false" customHeight="false" outlineLevel="0" collapsed="false">
      <c r="A544" s="9"/>
      <c r="B544" s="9"/>
      <c r="C544" s="9"/>
      <c r="D544" s="9"/>
      <c r="E544" s="9"/>
      <c r="F544" s="9"/>
      <c r="G544" s="9"/>
      <c r="H544" s="9"/>
      <c r="I544" s="9"/>
      <c r="J544" s="10" t="str">
        <f aca="false">IF(A544="","",IF(G544&lt;&gt;"",G544,IF(N(F544)&gt;0,ROUND(1000/F544,3),0)))</f>
        <v/>
      </c>
      <c r="K544" s="10" t="str">
        <f aca="false">IF(OR(A544="",E544="",H544=""),"",ROUND(0.00617*E544^2*H544*J544,2))</f>
        <v/>
      </c>
      <c r="L544" s="9"/>
      <c r="M544" s="10" t="str">
        <f aca="false">IF(A544="","",IF((COUNTIF(Drain_Register!$A$5:$A$304,A544)+COUNTIF(RW_Register!$A$5:$A$304,A544)+COUNTIF(Embedded_Wall_Register!$A$5:$A$304,A544)+COUNTIF(Manhole_Register!$A$5:$A$304,A544)+COUNTIF(ERSS_Pit_Register!$A$5:$A$304,A544)+COUNTIF(Linkway_Register!$A$5:$A$304,A544)+COUNTIF(Other_Register!$A$5:$A$304,A544))&gt;0,"OK","ID not in any register"))</f>
        <v/>
      </c>
    </row>
    <row r="545" customFormat="false" ht="15" hidden="false" customHeight="false" outlineLevel="0" collapsed="false">
      <c r="A545" s="9"/>
      <c r="B545" s="9"/>
      <c r="C545" s="9"/>
      <c r="D545" s="9"/>
      <c r="E545" s="9"/>
      <c r="F545" s="9"/>
      <c r="G545" s="9"/>
      <c r="H545" s="9"/>
      <c r="I545" s="9"/>
      <c r="J545" s="10" t="str">
        <f aca="false">IF(A545="","",IF(G545&lt;&gt;"",G545,IF(N(F545)&gt;0,ROUND(1000/F545,3),0)))</f>
        <v/>
      </c>
      <c r="K545" s="10" t="str">
        <f aca="false">IF(OR(A545="",E545="",H545=""),"",ROUND(0.00617*E545^2*H545*J545,2))</f>
        <v/>
      </c>
      <c r="L545" s="9"/>
      <c r="M545" s="10" t="str">
        <f aca="false">IF(A545="","",IF((COUNTIF(Drain_Register!$A$5:$A$304,A545)+COUNTIF(RW_Register!$A$5:$A$304,A545)+COUNTIF(Embedded_Wall_Register!$A$5:$A$304,A545)+COUNTIF(Manhole_Register!$A$5:$A$304,A545)+COUNTIF(ERSS_Pit_Register!$A$5:$A$304,A545)+COUNTIF(Linkway_Register!$A$5:$A$304,A545)+COUNTIF(Other_Register!$A$5:$A$304,A545))&gt;0,"OK","ID not in any register"))</f>
        <v/>
      </c>
    </row>
    <row r="546" customFormat="false" ht="15" hidden="false" customHeight="false" outlineLevel="0" collapsed="false">
      <c r="A546" s="9"/>
      <c r="B546" s="9"/>
      <c r="C546" s="9"/>
      <c r="D546" s="9"/>
      <c r="E546" s="9"/>
      <c r="F546" s="9"/>
      <c r="G546" s="9"/>
      <c r="H546" s="9"/>
      <c r="I546" s="9"/>
      <c r="J546" s="10" t="str">
        <f aca="false">IF(A546="","",IF(G546&lt;&gt;"",G546,IF(N(F546)&gt;0,ROUND(1000/F546,3),0)))</f>
        <v/>
      </c>
      <c r="K546" s="10" t="str">
        <f aca="false">IF(OR(A546="",E546="",H546=""),"",ROUND(0.00617*E546^2*H546*J546,2))</f>
        <v/>
      </c>
      <c r="L546" s="9"/>
      <c r="M546" s="10" t="str">
        <f aca="false">IF(A546="","",IF((COUNTIF(Drain_Register!$A$5:$A$304,A546)+COUNTIF(RW_Register!$A$5:$A$304,A546)+COUNTIF(Embedded_Wall_Register!$A$5:$A$304,A546)+COUNTIF(Manhole_Register!$A$5:$A$304,A546)+COUNTIF(ERSS_Pit_Register!$A$5:$A$304,A546)+COUNTIF(Linkway_Register!$A$5:$A$304,A546)+COUNTIF(Other_Register!$A$5:$A$304,A546))&gt;0,"OK","ID not in any register"))</f>
        <v/>
      </c>
    </row>
    <row r="547" customFormat="false" ht="15" hidden="false" customHeight="false" outlineLevel="0" collapsed="false">
      <c r="A547" s="9"/>
      <c r="B547" s="9"/>
      <c r="C547" s="9"/>
      <c r="D547" s="9"/>
      <c r="E547" s="9"/>
      <c r="F547" s="9"/>
      <c r="G547" s="9"/>
      <c r="H547" s="9"/>
      <c r="I547" s="9"/>
      <c r="J547" s="10" t="str">
        <f aca="false">IF(A547="","",IF(G547&lt;&gt;"",G547,IF(N(F547)&gt;0,ROUND(1000/F547,3),0)))</f>
        <v/>
      </c>
      <c r="K547" s="10" t="str">
        <f aca="false">IF(OR(A547="",E547="",H547=""),"",ROUND(0.00617*E547^2*H547*J547,2))</f>
        <v/>
      </c>
      <c r="L547" s="9"/>
      <c r="M547" s="10" t="str">
        <f aca="false">IF(A547="","",IF((COUNTIF(Drain_Register!$A$5:$A$304,A547)+COUNTIF(RW_Register!$A$5:$A$304,A547)+COUNTIF(Embedded_Wall_Register!$A$5:$A$304,A547)+COUNTIF(Manhole_Register!$A$5:$A$304,A547)+COUNTIF(ERSS_Pit_Register!$A$5:$A$304,A547)+COUNTIF(Linkway_Register!$A$5:$A$304,A547)+COUNTIF(Other_Register!$A$5:$A$304,A547))&gt;0,"OK","ID not in any register"))</f>
        <v/>
      </c>
    </row>
    <row r="548" customFormat="false" ht="15" hidden="false" customHeight="false" outlineLevel="0" collapsed="false">
      <c r="A548" s="9"/>
      <c r="B548" s="9"/>
      <c r="C548" s="9"/>
      <c r="D548" s="9"/>
      <c r="E548" s="9"/>
      <c r="F548" s="9"/>
      <c r="G548" s="9"/>
      <c r="H548" s="9"/>
      <c r="I548" s="9"/>
      <c r="J548" s="10" t="str">
        <f aca="false">IF(A548="","",IF(G548&lt;&gt;"",G548,IF(N(F548)&gt;0,ROUND(1000/F548,3),0)))</f>
        <v/>
      </c>
      <c r="K548" s="10" t="str">
        <f aca="false">IF(OR(A548="",E548="",H548=""),"",ROUND(0.00617*E548^2*H548*J548,2))</f>
        <v/>
      </c>
      <c r="L548" s="9"/>
      <c r="M548" s="10" t="str">
        <f aca="false">IF(A548="","",IF((COUNTIF(Drain_Register!$A$5:$A$304,A548)+COUNTIF(RW_Register!$A$5:$A$304,A548)+COUNTIF(Embedded_Wall_Register!$A$5:$A$304,A548)+COUNTIF(Manhole_Register!$A$5:$A$304,A548)+COUNTIF(ERSS_Pit_Register!$A$5:$A$304,A548)+COUNTIF(Linkway_Register!$A$5:$A$304,A548)+COUNTIF(Other_Register!$A$5:$A$304,A548))&gt;0,"OK","ID not in any register"))</f>
        <v/>
      </c>
    </row>
    <row r="549" customFormat="false" ht="15" hidden="false" customHeight="false" outlineLevel="0" collapsed="false">
      <c r="A549" s="9"/>
      <c r="B549" s="9"/>
      <c r="C549" s="9"/>
      <c r="D549" s="9"/>
      <c r="E549" s="9"/>
      <c r="F549" s="9"/>
      <c r="G549" s="9"/>
      <c r="H549" s="9"/>
      <c r="I549" s="9"/>
      <c r="J549" s="10" t="str">
        <f aca="false">IF(A549="","",IF(G549&lt;&gt;"",G549,IF(N(F549)&gt;0,ROUND(1000/F549,3),0)))</f>
        <v/>
      </c>
      <c r="K549" s="10" t="str">
        <f aca="false">IF(OR(A549="",E549="",H549=""),"",ROUND(0.00617*E549^2*H549*J549,2))</f>
        <v/>
      </c>
      <c r="L549" s="9"/>
      <c r="M549" s="10" t="str">
        <f aca="false">IF(A549="","",IF((COUNTIF(Drain_Register!$A$5:$A$304,A549)+COUNTIF(RW_Register!$A$5:$A$304,A549)+COUNTIF(Embedded_Wall_Register!$A$5:$A$304,A549)+COUNTIF(Manhole_Register!$A$5:$A$304,A549)+COUNTIF(ERSS_Pit_Register!$A$5:$A$304,A549)+COUNTIF(Linkway_Register!$A$5:$A$304,A549)+COUNTIF(Other_Register!$A$5:$A$304,A549))&gt;0,"OK","ID not in any register"))</f>
        <v/>
      </c>
    </row>
    <row r="550" customFormat="false" ht="15" hidden="false" customHeight="false" outlineLevel="0" collapsed="false">
      <c r="A550" s="9"/>
      <c r="B550" s="9"/>
      <c r="C550" s="9"/>
      <c r="D550" s="9"/>
      <c r="E550" s="9"/>
      <c r="F550" s="9"/>
      <c r="G550" s="9"/>
      <c r="H550" s="9"/>
      <c r="I550" s="9"/>
      <c r="J550" s="10" t="str">
        <f aca="false">IF(A550="","",IF(G550&lt;&gt;"",G550,IF(N(F550)&gt;0,ROUND(1000/F550,3),0)))</f>
        <v/>
      </c>
      <c r="K550" s="10" t="str">
        <f aca="false">IF(OR(A550="",E550="",H550=""),"",ROUND(0.00617*E550^2*H550*J550,2))</f>
        <v/>
      </c>
      <c r="L550" s="9"/>
      <c r="M550" s="10" t="str">
        <f aca="false">IF(A550="","",IF((COUNTIF(Drain_Register!$A$5:$A$304,A550)+COUNTIF(RW_Register!$A$5:$A$304,A550)+COUNTIF(Embedded_Wall_Register!$A$5:$A$304,A550)+COUNTIF(Manhole_Register!$A$5:$A$304,A550)+COUNTIF(ERSS_Pit_Register!$A$5:$A$304,A550)+COUNTIF(Linkway_Register!$A$5:$A$304,A550)+COUNTIF(Other_Register!$A$5:$A$304,A550))&gt;0,"OK","ID not in any register"))</f>
        <v/>
      </c>
    </row>
    <row r="551" customFormat="false" ht="15" hidden="false" customHeight="false" outlineLevel="0" collapsed="false">
      <c r="A551" s="9"/>
      <c r="B551" s="9"/>
      <c r="C551" s="9"/>
      <c r="D551" s="9"/>
      <c r="E551" s="9"/>
      <c r="F551" s="9"/>
      <c r="G551" s="9"/>
      <c r="H551" s="9"/>
      <c r="I551" s="9"/>
      <c r="J551" s="10" t="str">
        <f aca="false">IF(A551="","",IF(G551&lt;&gt;"",G551,IF(N(F551)&gt;0,ROUND(1000/F551,3),0)))</f>
        <v/>
      </c>
      <c r="K551" s="10" t="str">
        <f aca="false">IF(OR(A551="",E551="",H551=""),"",ROUND(0.00617*E551^2*H551*J551,2))</f>
        <v/>
      </c>
      <c r="L551" s="9"/>
      <c r="M551" s="10" t="str">
        <f aca="false">IF(A551="","",IF((COUNTIF(Drain_Register!$A$5:$A$304,A551)+COUNTIF(RW_Register!$A$5:$A$304,A551)+COUNTIF(Embedded_Wall_Register!$A$5:$A$304,A551)+COUNTIF(Manhole_Register!$A$5:$A$304,A551)+COUNTIF(ERSS_Pit_Register!$A$5:$A$304,A551)+COUNTIF(Linkway_Register!$A$5:$A$304,A551)+COUNTIF(Other_Register!$A$5:$A$304,A551))&gt;0,"OK","ID not in any register"))</f>
        <v/>
      </c>
    </row>
    <row r="552" customFormat="false" ht="15" hidden="false" customHeight="false" outlineLevel="0" collapsed="false">
      <c r="A552" s="9"/>
      <c r="B552" s="9"/>
      <c r="C552" s="9"/>
      <c r="D552" s="9"/>
      <c r="E552" s="9"/>
      <c r="F552" s="9"/>
      <c r="G552" s="9"/>
      <c r="H552" s="9"/>
      <c r="I552" s="9"/>
      <c r="J552" s="10" t="str">
        <f aca="false">IF(A552="","",IF(G552&lt;&gt;"",G552,IF(N(F552)&gt;0,ROUND(1000/F552,3),0)))</f>
        <v/>
      </c>
      <c r="K552" s="10" t="str">
        <f aca="false">IF(OR(A552="",E552="",H552=""),"",ROUND(0.00617*E552^2*H552*J552,2))</f>
        <v/>
      </c>
      <c r="L552" s="9"/>
      <c r="M552" s="10" t="str">
        <f aca="false">IF(A552="","",IF((COUNTIF(Drain_Register!$A$5:$A$304,A552)+COUNTIF(RW_Register!$A$5:$A$304,A552)+COUNTIF(Embedded_Wall_Register!$A$5:$A$304,A552)+COUNTIF(Manhole_Register!$A$5:$A$304,A552)+COUNTIF(ERSS_Pit_Register!$A$5:$A$304,A552)+COUNTIF(Linkway_Register!$A$5:$A$304,A552)+COUNTIF(Other_Register!$A$5:$A$304,A552))&gt;0,"OK","ID not in any register"))</f>
        <v/>
      </c>
    </row>
    <row r="553" customFormat="false" ht="15" hidden="false" customHeight="false" outlineLevel="0" collapsed="false">
      <c r="A553" s="9"/>
      <c r="B553" s="9"/>
      <c r="C553" s="9"/>
      <c r="D553" s="9"/>
      <c r="E553" s="9"/>
      <c r="F553" s="9"/>
      <c r="G553" s="9"/>
      <c r="H553" s="9"/>
      <c r="I553" s="9"/>
      <c r="J553" s="10" t="str">
        <f aca="false">IF(A553="","",IF(G553&lt;&gt;"",G553,IF(N(F553)&gt;0,ROUND(1000/F553,3),0)))</f>
        <v/>
      </c>
      <c r="K553" s="10" t="str">
        <f aca="false">IF(OR(A553="",E553="",H553=""),"",ROUND(0.00617*E553^2*H553*J553,2))</f>
        <v/>
      </c>
      <c r="L553" s="9"/>
      <c r="M553" s="10" t="str">
        <f aca="false">IF(A553="","",IF((COUNTIF(Drain_Register!$A$5:$A$304,A553)+COUNTIF(RW_Register!$A$5:$A$304,A553)+COUNTIF(Embedded_Wall_Register!$A$5:$A$304,A553)+COUNTIF(Manhole_Register!$A$5:$A$304,A553)+COUNTIF(ERSS_Pit_Register!$A$5:$A$304,A553)+COUNTIF(Linkway_Register!$A$5:$A$304,A553)+COUNTIF(Other_Register!$A$5:$A$304,A553))&gt;0,"OK","ID not in any register"))</f>
        <v/>
      </c>
    </row>
    <row r="554" customFormat="false" ht="15" hidden="false" customHeight="false" outlineLevel="0" collapsed="false">
      <c r="A554" s="9"/>
      <c r="B554" s="9"/>
      <c r="C554" s="9"/>
      <c r="D554" s="9"/>
      <c r="E554" s="9"/>
      <c r="F554" s="9"/>
      <c r="G554" s="9"/>
      <c r="H554" s="9"/>
      <c r="I554" s="9"/>
      <c r="J554" s="10" t="str">
        <f aca="false">IF(A554="","",IF(G554&lt;&gt;"",G554,IF(N(F554)&gt;0,ROUND(1000/F554,3),0)))</f>
        <v/>
      </c>
      <c r="K554" s="10" t="str">
        <f aca="false">IF(OR(A554="",E554="",H554=""),"",ROUND(0.00617*E554^2*H554*J554,2))</f>
        <v/>
      </c>
      <c r="L554" s="9"/>
      <c r="M554" s="10" t="str">
        <f aca="false">IF(A554="","",IF((COUNTIF(Drain_Register!$A$5:$A$304,A554)+COUNTIF(RW_Register!$A$5:$A$304,A554)+COUNTIF(Embedded_Wall_Register!$A$5:$A$304,A554)+COUNTIF(Manhole_Register!$A$5:$A$304,A554)+COUNTIF(ERSS_Pit_Register!$A$5:$A$304,A554)+COUNTIF(Linkway_Register!$A$5:$A$304,A554)+COUNTIF(Other_Register!$A$5:$A$304,A554))&gt;0,"OK","ID not in any register"))</f>
        <v/>
      </c>
    </row>
    <row r="555" customFormat="false" ht="15" hidden="false" customHeight="false" outlineLevel="0" collapsed="false">
      <c r="A555" s="9"/>
      <c r="B555" s="9"/>
      <c r="C555" s="9"/>
      <c r="D555" s="9"/>
      <c r="E555" s="9"/>
      <c r="F555" s="9"/>
      <c r="G555" s="9"/>
      <c r="H555" s="9"/>
      <c r="I555" s="9"/>
      <c r="J555" s="10" t="str">
        <f aca="false">IF(A555="","",IF(G555&lt;&gt;"",G555,IF(N(F555)&gt;0,ROUND(1000/F555,3),0)))</f>
        <v/>
      </c>
      <c r="K555" s="10" t="str">
        <f aca="false">IF(OR(A555="",E555="",H555=""),"",ROUND(0.00617*E555^2*H555*J555,2))</f>
        <v/>
      </c>
      <c r="L555" s="9"/>
      <c r="M555" s="10" t="str">
        <f aca="false">IF(A555="","",IF((COUNTIF(Drain_Register!$A$5:$A$304,A555)+COUNTIF(RW_Register!$A$5:$A$304,A555)+COUNTIF(Embedded_Wall_Register!$A$5:$A$304,A555)+COUNTIF(Manhole_Register!$A$5:$A$304,A555)+COUNTIF(ERSS_Pit_Register!$A$5:$A$304,A555)+COUNTIF(Linkway_Register!$A$5:$A$304,A555)+COUNTIF(Other_Register!$A$5:$A$304,A555))&gt;0,"OK","ID not in any register"))</f>
        <v/>
      </c>
    </row>
    <row r="556" customFormat="false" ht="15" hidden="false" customHeight="false" outlineLevel="0" collapsed="false">
      <c r="A556" s="9"/>
      <c r="B556" s="9"/>
      <c r="C556" s="9"/>
      <c r="D556" s="9"/>
      <c r="E556" s="9"/>
      <c r="F556" s="9"/>
      <c r="G556" s="9"/>
      <c r="H556" s="9"/>
      <c r="I556" s="9"/>
      <c r="J556" s="10" t="str">
        <f aca="false">IF(A556="","",IF(G556&lt;&gt;"",G556,IF(N(F556)&gt;0,ROUND(1000/F556,3),0)))</f>
        <v/>
      </c>
      <c r="K556" s="10" t="str">
        <f aca="false">IF(OR(A556="",E556="",H556=""),"",ROUND(0.00617*E556^2*H556*J556,2))</f>
        <v/>
      </c>
      <c r="L556" s="9"/>
      <c r="M556" s="10" t="str">
        <f aca="false">IF(A556="","",IF((COUNTIF(Drain_Register!$A$5:$A$304,A556)+COUNTIF(RW_Register!$A$5:$A$304,A556)+COUNTIF(Embedded_Wall_Register!$A$5:$A$304,A556)+COUNTIF(Manhole_Register!$A$5:$A$304,A556)+COUNTIF(ERSS_Pit_Register!$A$5:$A$304,A556)+COUNTIF(Linkway_Register!$A$5:$A$304,A556)+COUNTIF(Other_Register!$A$5:$A$304,A556))&gt;0,"OK","ID not in any register"))</f>
        <v/>
      </c>
    </row>
    <row r="557" customFormat="false" ht="15" hidden="false" customHeight="false" outlineLevel="0" collapsed="false">
      <c r="A557" s="9"/>
      <c r="B557" s="9"/>
      <c r="C557" s="9"/>
      <c r="D557" s="9"/>
      <c r="E557" s="9"/>
      <c r="F557" s="9"/>
      <c r="G557" s="9"/>
      <c r="H557" s="9"/>
      <c r="I557" s="9"/>
      <c r="J557" s="10" t="str">
        <f aca="false">IF(A557="","",IF(G557&lt;&gt;"",G557,IF(N(F557)&gt;0,ROUND(1000/F557,3),0)))</f>
        <v/>
      </c>
      <c r="K557" s="10" t="str">
        <f aca="false">IF(OR(A557="",E557="",H557=""),"",ROUND(0.00617*E557^2*H557*J557,2))</f>
        <v/>
      </c>
      <c r="L557" s="9"/>
      <c r="M557" s="10" t="str">
        <f aca="false">IF(A557="","",IF((COUNTIF(Drain_Register!$A$5:$A$304,A557)+COUNTIF(RW_Register!$A$5:$A$304,A557)+COUNTIF(Embedded_Wall_Register!$A$5:$A$304,A557)+COUNTIF(Manhole_Register!$A$5:$A$304,A557)+COUNTIF(ERSS_Pit_Register!$A$5:$A$304,A557)+COUNTIF(Linkway_Register!$A$5:$A$304,A557)+COUNTIF(Other_Register!$A$5:$A$304,A557))&gt;0,"OK","ID not in any register"))</f>
        <v/>
      </c>
    </row>
    <row r="558" customFormat="false" ht="15" hidden="false" customHeight="false" outlineLevel="0" collapsed="false">
      <c r="A558" s="9"/>
      <c r="B558" s="9"/>
      <c r="C558" s="9"/>
      <c r="D558" s="9"/>
      <c r="E558" s="9"/>
      <c r="F558" s="9"/>
      <c r="G558" s="9"/>
      <c r="H558" s="9"/>
      <c r="I558" s="9"/>
      <c r="J558" s="10" t="str">
        <f aca="false">IF(A558="","",IF(G558&lt;&gt;"",G558,IF(N(F558)&gt;0,ROUND(1000/F558,3),0)))</f>
        <v/>
      </c>
      <c r="K558" s="10" t="str">
        <f aca="false">IF(OR(A558="",E558="",H558=""),"",ROUND(0.00617*E558^2*H558*J558,2))</f>
        <v/>
      </c>
      <c r="L558" s="9"/>
      <c r="M558" s="10" t="str">
        <f aca="false">IF(A558="","",IF((COUNTIF(Drain_Register!$A$5:$A$304,A558)+COUNTIF(RW_Register!$A$5:$A$304,A558)+COUNTIF(Embedded_Wall_Register!$A$5:$A$304,A558)+COUNTIF(Manhole_Register!$A$5:$A$304,A558)+COUNTIF(ERSS_Pit_Register!$A$5:$A$304,A558)+COUNTIF(Linkway_Register!$A$5:$A$304,A558)+COUNTIF(Other_Register!$A$5:$A$304,A558))&gt;0,"OK","ID not in any register"))</f>
        <v/>
      </c>
    </row>
    <row r="559" customFormat="false" ht="15" hidden="false" customHeight="false" outlineLevel="0" collapsed="false">
      <c r="A559" s="9"/>
      <c r="B559" s="9"/>
      <c r="C559" s="9"/>
      <c r="D559" s="9"/>
      <c r="E559" s="9"/>
      <c r="F559" s="9"/>
      <c r="G559" s="9"/>
      <c r="H559" s="9"/>
      <c r="I559" s="9"/>
      <c r="J559" s="10" t="str">
        <f aca="false">IF(A559="","",IF(G559&lt;&gt;"",G559,IF(N(F559)&gt;0,ROUND(1000/F559,3),0)))</f>
        <v/>
      </c>
      <c r="K559" s="10" t="str">
        <f aca="false">IF(OR(A559="",E559="",H559=""),"",ROUND(0.00617*E559^2*H559*J559,2))</f>
        <v/>
      </c>
      <c r="L559" s="9"/>
      <c r="M559" s="10" t="str">
        <f aca="false">IF(A559="","",IF((COUNTIF(Drain_Register!$A$5:$A$304,A559)+COUNTIF(RW_Register!$A$5:$A$304,A559)+COUNTIF(Embedded_Wall_Register!$A$5:$A$304,A559)+COUNTIF(Manhole_Register!$A$5:$A$304,A559)+COUNTIF(ERSS_Pit_Register!$A$5:$A$304,A559)+COUNTIF(Linkway_Register!$A$5:$A$304,A559)+COUNTIF(Other_Register!$A$5:$A$304,A559))&gt;0,"OK","ID not in any register"))</f>
        <v/>
      </c>
    </row>
    <row r="560" customFormat="false" ht="15" hidden="false" customHeight="false" outlineLevel="0" collapsed="false">
      <c r="A560" s="9"/>
      <c r="B560" s="9"/>
      <c r="C560" s="9"/>
      <c r="D560" s="9"/>
      <c r="E560" s="9"/>
      <c r="F560" s="9"/>
      <c r="G560" s="9"/>
      <c r="H560" s="9"/>
      <c r="I560" s="9"/>
      <c r="J560" s="10" t="str">
        <f aca="false">IF(A560="","",IF(G560&lt;&gt;"",G560,IF(N(F560)&gt;0,ROUND(1000/F560,3),0)))</f>
        <v/>
      </c>
      <c r="K560" s="10" t="str">
        <f aca="false">IF(OR(A560="",E560="",H560=""),"",ROUND(0.00617*E560^2*H560*J560,2))</f>
        <v/>
      </c>
      <c r="L560" s="9"/>
      <c r="M560" s="10" t="str">
        <f aca="false">IF(A560="","",IF((COUNTIF(Drain_Register!$A$5:$A$304,A560)+COUNTIF(RW_Register!$A$5:$A$304,A560)+COUNTIF(Embedded_Wall_Register!$A$5:$A$304,A560)+COUNTIF(Manhole_Register!$A$5:$A$304,A560)+COUNTIF(ERSS_Pit_Register!$A$5:$A$304,A560)+COUNTIF(Linkway_Register!$A$5:$A$304,A560)+COUNTIF(Other_Register!$A$5:$A$304,A560))&gt;0,"OK","ID not in any register"))</f>
        <v/>
      </c>
    </row>
    <row r="561" customFormat="false" ht="15" hidden="false" customHeight="false" outlineLevel="0" collapsed="false">
      <c r="A561" s="9"/>
      <c r="B561" s="9"/>
      <c r="C561" s="9"/>
      <c r="D561" s="9"/>
      <c r="E561" s="9"/>
      <c r="F561" s="9"/>
      <c r="G561" s="9"/>
      <c r="H561" s="9"/>
      <c r="I561" s="9"/>
      <c r="J561" s="10" t="str">
        <f aca="false">IF(A561="","",IF(G561&lt;&gt;"",G561,IF(N(F561)&gt;0,ROUND(1000/F561,3),0)))</f>
        <v/>
      </c>
      <c r="K561" s="10" t="str">
        <f aca="false">IF(OR(A561="",E561="",H561=""),"",ROUND(0.00617*E561^2*H561*J561,2))</f>
        <v/>
      </c>
      <c r="L561" s="9"/>
      <c r="M561" s="10" t="str">
        <f aca="false">IF(A561="","",IF((COUNTIF(Drain_Register!$A$5:$A$304,A561)+COUNTIF(RW_Register!$A$5:$A$304,A561)+COUNTIF(Embedded_Wall_Register!$A$5:$A$304,A561)+COUNTIF(Manhole_Register!$A$5:$A$304,A561)+COUNTIF(ERSS_Pit_Register!$A$5:$A$304,A561)+COUNTIF(Linkway_Register!$A$5:$A$304,A561)+COUNTIF(Other_Register!$A$5:$A$304,A561))&gt;0,"OK","ID not in any register"))</f>
        <v/>
      </c>
    </row>
    <row r="562" customFormat="false" ht="15" hidden="false" customHeight="false" outlineLevel="0" collapsed="false">
      <c r="A562" s="9"/>
      <c r="B562" s="9"/>
      <c r="C562" s="9"/>
      <c r="D562" s="9"/>
      <c r="E562" s="9"/>
      <c r="F562" s="9"/>
      <c r="G562" s="9"/>
      <c r="H562" s="9"/>
      <c r="I562" s="9"/>
      <c r="J562" s="10" t="str">
        <f aca="false">IF(A562="","",IF(G562&lt;&gt;"",G562,IF(N(F562)&gt;0,ROUND(1000/F562,3),0)))</f>
        <v/>
      </c>
      <c r="K562" s="10" t="str">
        <f aca="false">IF(OR(A562="",E562="",H562=""),"",ROUND(0.00617*E562^2*H562*J562,2))</f>
        <v/>
      </c>
      <c r="L562" s="9"/>
      <c r="M562" s="10" t="str">
        <f aca="false">IF(A562="","",IF((COUNTIF(Drain_Register!$A$5:$A$304,A562)+COUNTIF(RW_Register!$A$5:$A$304,A562)+COUNTIF(Embedded_Wall_Register!$A$5:$A$304,A562)+COUNTIF(Manhole_Register!$A$5:$A$304,A562)+COUNTIF(ERSS_Pit_Register!$A$5:$A$304,A562)+COUNTIF(Linkway_Register!$A$5:$A$304,A562)+COUNTIF(Other_Register!$A$5:$A$304,A562))&gt;0,"OK","ID not in any register"))</f>
        <v/>
      </c>
    </row>
    <row r="563" customFormat="false" ht="15" hidden="false" customHeight="false" outlineLevel="0" collapsed="false">
      <c r="A563" s="9"/>
      <c r="B563" s="9"/>
      <c r="C563" s="9"/>
      <c r="D563" s="9"/>
      <c r="E563" s="9"/>
      <c r="F563" s="9"/>
      <c r="G563" s="9"/>
      <c r="H563" s="9"/>
      <c r="I563" s="9"/>
      <c r="J563" s="10" t="str">
        <f aca="false">IF(A563="","",IF(G563&lt;&gt;"",G563,IF(N(F563)&gt;0,ROUND(1000/F563,3),0)))</f>
        <v/>
      </c>
      <c r="K563" s="10" t="str">
        <f aca="false">IF(OR(A563="",E563="",H563=""),"",ROUND(0.00617*E563^2*H563*J563,2))</f>
        <v/>
      </c>
      <c r="L563" s="9"/>
      <c r="M563" s="10" t="str">
        <f aca="false">IF(A563="","",IF((COUNTIF(Drain_Register!$A$5:$A$304,A563)+COUNTIF(RW_Register!$A$5:$A$304,A563)+COUNTIF(Embedded_Wall_Register!$A$5:$A$304,A563)+COUNTIF(Manhole_Register!$A$5:$A$304,A563)+COUNTIF(ERSS_Pit_Register!$A$5:$A$304,A563)+COUNTIF(Linkway_Register!$A$5:$A$304,A563)+COUNTIF(Other_Register!$A$5:$A$304,A563))&gt;0,"OK","ID not in any register"))</f>
        <v/>
      </c>
    </row>
    <row r="564" customFormat="false" ht="15" hidden="false" customHeight="false" outlineLevel="0" collapsed="false">
      <c r="A564" s="9"/>
      <c r="B564" s="9"/>
      <c r="C564" s="9"/>
      <c r="D564" s="9"/>
      <c r="E564" s="9"/>
      <c r="F564" s="9"/>
      <c r="G564" s="9"/>
      <c r="H564" s="9"/>
      <c r="I564" s="9"/>
      <c r="J564" s="10" t="str">
        <f aca="false">IF(A564="","",IF(G564&lt;&gt;"",G564,IF(N(F564)&gt;0,ROUND(1000/F564,3),0)))</f>
        <v/>
      </c>
      <c r="K564" s="10" t="str">
        <f aca="false">IF(OR(A564="",E564="",H564=""),"",ROUND(0.00617*E564^2*H564*J564,2))</f>
        <v/>
      </c>
      <c r="L564" s="9"/>
      <c r="M564" s="10" t="str">
        <f aca="false">IF(A564="","",IF((COUNTIF(Drain_Register!$A$5:$A$304,A564)+COUNTIF(RW_Register!$A$5:$A$304,A564)+COUNTIF(Embedded_Wall_Register!$A$5:$A$304,A564)+COUNTIF(Manhole_Register!$A$5:$A$304,A564)+COUNTIF(ERSS_Pit_Register!$A$5:$A$304,A564)+COUNTIF(Linkway_Register!$A$5:$A$304,A564)+COUNTIF(Other_Register!$A$5:$A$304,A564))&gt;0,"OK","ID not in any register"))</f>
        <v/>
      </c>
    </row>
    <row r="565" customFormat="false" ht="15" hidden="false" customHeight="false" outlineLevel="0" collapsed="false">
      <c r="A565" s="9"/>
      <c r="B565" s="9"/>
      <c r="C565" s="9"/>
      <c r="D565" s="9"/>
      <c r="E565" s="9"/>
      <c r="F565" s="9"/>
      <c r="G565" s="9"/>
      <c r="H565" s="9"/>
      <c r="I565" s="9"/>
      <c r="J565" s="10" t="str">
        <f aca="false">IF(A565="","",IF(G565&lt;&gt;"",G565,IF(N(F565)&gt;0,ROUND(1000/F565,3),0)))</f>
        <v/>
      </c>
      <c r="K565" s="10" t="str">
        <f aca="false">IF(OR(A565="",E565="",H565=""),"",ROUND(0.00617*E565^2*H565*J565,2))</f>
        <v/>
      </c>
      <c r="L565" s="9"/>
      <c r="M565" s="10" t="str">
        <f aca="false">IF(A565="","",IF((COUNTIF(Drain_Register!$A$5:$A$304,A565)+COUNTIF(RW_Register!$A$5:$A$304,A565)+COUNTIF(Embedded_Wall_Register!$A$5:$A$304,A565)+COUNTIF(Manhole_Register!$A$5:$A$304,A565)+COUNTIF(ERSS_Pit_Register!$A$5:$A$304,A565)+COUNTIF(Linkway_Register!$A$5:$A$304,A565)+COUNTIF(Other_Register!$A$5:$A$304,A565))&gt;0,"OK","ID not in any register"))</f>
        <v/>
      </c>
    </row>
    <row r="566" customFormat="false" ht="15" hidden="false" customHeight="false" outlineLevel="0" collapsed="false">
      <c r="A566" s="9"/>
      <c r="B566" s="9"/>
      <c r="C566" s="9"/>
      <c r="D566" s="9"/>
      <c r="E566" s="9"/>
      <c r="F566" s="9"/>
      <c r="G566" s="9"/>
      <c r="H566" s="9"/>
      <c r="I566" s="9"/>
      <c r="J566" s="10" t="str">
        <f aca="false">IF(A566="","",IF(G566&lt;&gt;"",G566,IF(N(F566)&gt;0,ROUND(1000/F566,3),0)))</f>
        <v/>
      </c>
      <c r="K566" s="10" t="str">
        <f aca="false">IF(OR(A566="",E566="",H566=""),"",ROUND(0.00617*E566^2*H566*J566,2))</f>
        <v/>
      </c>
      <c r="L566" s="9"/>
      <c r="M566" s="10" t="str">
        <f aca="false">IF(A566="","",IF((COUNTIF(Drain_Register!$A$5:$A$304,A566)+COUNTIF(RW_Register!$A$5:$A$304,A566)+COUNTIF(Embedded_Wall_Register!$A$5:$A$304,A566)+COUNTIF(Manhole_Register!$A$5:$A$304,A566)+COUNTIF(ERSS_Pit_Register!$A$5:$A$304,A566)+COUNTIF(Linkway_Register!$A$5:$A$304,A566)+COUNTIF(Other_Register!$A$5:$A$304,A566))&gt;0,"OK","ID not in any register"))</f>
        <v/>
      </c>
    </row>
    <row r="567" customFormat="false" ht="15" hidden="false" customHeight="false" outlineLevel="0" collapsed="false">
      <c r="A567" s="9"/>
      <c r="B567" s="9"/>
      <c r="C567" s="9"/>
      <c r="D567" s="9"/>
      <c r="E567" s="9"/>
      <c r="F567" s="9"/>
      <c r="G567" s="9"/>
      <c r="H567" s="9"/>
      <c r="I567" s="9"/>
      <c r="J567" s="10" t="str">
        <f aca="false">IF(A567="","",IF(G567&lt;&gt;"",G567,IF(N(F567)&gt;0,ROUND(1000/F567,3),0)))</f>
        <v/>
      </c>
      <c r="K567" s="10" t="str">
        <f aca="false">IF(OR(A567="",E567="",H567=""),"",ROUND(0.00617*E567^2*H567*J567,2))</f>
        <v/>
      </c>
      <c r="L567" s="9"/>
      <c r="M567" s="10" t="str">
        <f aca="false">IF(A567="","",IF((COUNTIF(Drain_Register!$A$5:$A$304,A567)+COUNTIF(RW_Register!$A$5:$A$304,A567)+COUNTIF(Embedded_Wall_Register!$A$5:$A$304,A567)+COUNTIF(Manhole_Register!$A$5:$A$304,A567)+COUNTIF(ERSS_Pit_Register!$A$5:$A$304,A567)+COUNTIF(Linkway_Register!$A$5:$A$304,A567)+COUNTIF(Other_Register!$A$5:$A$304,A567))&gt;0,"OK","ID not in any register"))</f>
        <v/>
      </c>
    </row>
    <row r="568" customFormat="false" ht="15" hidden="false" customHeight="false" outlineLevel="0" collapsed="false">
      <c r="A568" s="9"/>
      <c r="B568" s="9"/>
      <c r="C568" s="9"/>
      <c r="D568" s="9"/>
      <c r="E568" s="9"/>
      <c r="F568" s="9"/>
      <c r="G568" s="9"/>
      <c r="H568" s="9"/>
      <c r="I568" s="9"/>
      <c r="J568" s="10" t="str">
        <f aca="false">IF(A568="","",IF(G568&lt;&gt;"",G568,IF(N(F568)&gt;0,ROUND(1000/F568,3),0)))</f>
        <v/>
      </c>
      <c r="K568" s="10" t="str">
        <f aca="false">IF(OR(A568="",E568="",H568=""),"",ROUND(0.00617*E568^2*H568*J568,2))</f>
        <v/>
      </c>
      <c r="L568" s="9"/>
      <c r="M568" s="10" t="str">
        <f aca="false">IF(A568="","",IF((COUNTIF(Drain_Register!$A$5:$A$304,A568)+COUNTIF(RW_Register!$A$5:$A$304,A568)+COUNTIF(Embedded_Wall_Register!$A$5:$A$304,A568)+COUNTIF(Manhole_Register!$A$5:$A$304,A568)+COUNTIF(ERSS_Pit_Register!$A$5:$A$304,A568)+COUNTIF(Linkway_Register!$A$5:$A$304,A568)+COUNTIF(Other_Register!$A$5:$A$304,A568))&gt;0,"OK","ID not in any register"))</f>
        <v/>
      </c>
    </row>
    <row r="569" customFormat="false" ht="15" hidden="false" customHeight="false" outlineLevel="0" collapsed="false">
      <c r="A569" s="9"/>
      <c r="B569" s="9"/>
      <c r="C569" s="9"/>
      <c r="D569" s="9"/>
      <c r="E569" s="9"/>
      <c r="F569" s="9"/>
      <c r="G569" s="9"/>
      <c r="H569" s="9"/>
      <c r="I569" s="9"/>
      <c r="J569" s="10" t="str">
        <f aca="false">IF(A569="","",IF(G569&lt;&gt;"",G569,IF(N(F569)&gt;0,ROUND(1000/F569,3),0)))</f>
        <v/>
      </c>
      <c r="K569" s="10" t="str">
        <f aca="false">IF(OR(A569="",E569="",H569=""),"",ROUND(0.00617*E569^2*H569*J569,2))</f>
        <v/>
      </c>
      <c r="L569" s="9"/>
      <c r="M569" s="10" t="str">
        <f aca="false">IF(A569="","",IF((COUNTIF(Drain_Register!$A$5:$A$304,A569)+COUNTIF(RW_Register!$A$5:$A$304,A569)+COUNTIF(Embedded_Wall_Register!$A$5:$A$304,A569)+COUNTIF(Manhole_Register!$A$5:$A$304,A569)+COUNTIF(ERSS_Pit_Register!$A$5:$A$304,A569)+COUNTIF(Linkway_Register!$A$5:$A$304,A569)+COUNTIF(Other_Register!$A$5:$A$304,A569))&gt;0,"OK","ID not in any register"))</f>
        <v/>
      </c>
    </row>
    <row r="570" customFormat="false" ht="15" hidden="false" customHeight="false" outlineLevel="0" collapsed="false">
      <c r="A570" s="9"/>
      <c r="B570" s="9"/>
      <c r="C570" s="9"/>
      <c r="D570" s="9"/>
      <c r="E570" s="9"/>
      <c r="F570" s="9"/>
      <c r="G570" s="9"/>
      <c r="H570" s="9"/>
      <c r="I570" s="9"/>
      <c r="J570" s="10" t="str">
        <f aca="false">IF(A570="","",IF(G570&lt;&gt;"",G570,IF(N(F570)&gt;0,ROUND(1000/F570,3),0)))</f>
        <v/>
      </c>
      <c r="K570" s="10" t="str">
        <f aca="false">IF(OR(A570="",E570="",H570=""),"",ROUND(0.00617*E570^2*H570*J570,2))</f>
        <v/>
      </c>
      <c r="L570" s="9"/>
      <c r="M570" s="10" t="str">
        <f aca="false">IF(A570="","",IF((COUNTIF(Drain_Register!$A$5:$A$304,A570)+COUNTIF(RW_Register!$A$5:$A$304,A570)+COUNTIF(Embedded_Wall_Register!$A$5:$A$304,A570)+COUNTIF(Manhole_Register!$A$5:$A$304,A570)+COUNTIF(ERSS_Pit_Register!$A$5:$A$304,A570)+COUNTIF(Linkway_Register!$A$5:$A$304,A570)+COUNTIF(Other_Register!$A$5:$A$304,A570))&gt;0,"OK","ID not in any register"))</f>
        <v/>
      </c>
    </row>
    <row r="571" customFormat="false" ht="15" hidden="false" customHeight="false" outlineLevel="0" collapsed="false">
      <c r="A571" s="9"/>
      <c r="B571" s="9"/>
      <c r="C571" s="9"/>
      <c r="D571" s="9"/>
      <c r="E571" s="9"/>
      <c r="F571" s="9"/>
      <c r="G571" s="9"/>
      <c r="H571" s="9"/>
      <c r="I571" s="9"/>
      <c r="J571" s="10" t="str">
        <f aca="false">IF(A571="","",IF(G571&lt;&gt;"",G571,IF(N(F571)&gt;0,ROUND(1000/F571,3),0)))</f>
        <v/>
      </c>
      <c r="K571" s="10" t="str">
        <f aca="false">IF(OR(A571="",E571="",H571=""),"",ROUND(0.00617*E571^2*H571*J571,2))</f>
        <v/>
      </c>
      <c r="L571" s="9"/>
      <c r="M571" s="10" t="str">
        <f aca="false">IF(A571="","",IF((COUNTIF(Drain_Register!$A$5:$A$304,A571)+COUNTIF(RW_Register!$A$5:$A$304,A571)+COUNTIF(Embedded_Wall_Register!$A$5:$A$304,A571)+COUNTIF(Manhole_Register!$A$5:$A$304,A571)+COUNTIF(ERSS_Pit_Register!$A$5:$A$304,A571)+COUNTIF(Linkway_Register!$A$5:$A$304,A571)+COUNTIF(Other_Register!$A$5:$A$304,A571))&gt;0,"OK","ID not in any register"))</f>
        <v/>
      </c>
    </row>
    <row r="572" customFormat="false" ht="15" hidden="false" customHeight="false" outlineLevel="0" collapsed="false">
      <c r="A572" s="9"/>
      <c r="B572" s="9"/>
      <c r="C572" s="9"/>
      <c r="D572" s="9"/>
      <c r="E572" s="9"/>
      <c r="F572" s="9"/>
      <c r="G572" s="9"/>
      <c r="H572" s="9"/>
      <c r="I572" s="9"/>
      <c r="J572" s="10" t="str">
        <f aca="false">IF(A572="","",IF(G572&lt;&gt;"",G572,IF(N(F572)&gt;0,ROUND(1000/F572,3),0)))</f>
        <v/>
      </c>
      <c r="K572" s="10" t="str">
        <f aca="false">IF(OR(A572="",E572="",H572=""),"",ROUND(0.00617*E572^2*H572*J572,2))</f>
        <v/>
      </c>
      <c r="L572" s="9"/>
      <c r="M572" s="10" t="str">
        <f aca="false">IF(A572="","",IF((COUNTIF(Drain_Register!$A$5:$A$304,A572)+COUNTIF(RW_Register!$A$5:$A$304,A572)+COUNTIF(Embedded_Wall_Register!$A$5:$A$304,A572)+COUNTIF(Manhole_Register!$A$5:$A$304,A572)+COUNTIF(ERSS_Pit_Register!$A$5:$A$304,A572)+COUNTIF(Linkway_Register!$A$5:$A$304,A572)+COUNTIF(Other_Register!$A$5:$A$304,A572))&gt;0,"OK","ID not in any register"))</f>
        <v/>
      </c>
    </row>
    <row r="573" customFormat="false" ht="15" hidden="false" customHeight="false" outlineLevel="0" collapsed="false">
      <c r="A573" s="9"/>
      <c r="B573" s="9"/>
      <c r="C573" s="9"/>
      <c r="D573" s="9"/>
      <c r="E573" s="9"/>
      <c r="F573" s="9"/>
      <c r="G573" s="9"/>
      <c r="H573" s="9"/>
      <c r="I573" s="9"/>
      <c r="J573" s="10" t="str">
        <f aca="false">IF(A573="","",IF(G573&lt;&gt;"",G573,IF(N(F573)&gt;0,ROUND(1000/F573,3),0)))</f>
        <v/>
      </c>
      <c r="K573" s="10" t="str">
        <f aca="false">IF(OR(A573="",E573="",H573=""),"",ROUND(0.00617*E573^2*H573*J573,2))</f>
        <v/>
      </c>
      <c r="L573" s="9"/>
      <c r="M573" s="10" t="str">
        <f aca="false">IF(A573="","",IF((COUNTIF(Drain_Register!$A$5:$A$304,A573)+COUNTIF(RW_Register!$A$5:$A$304,A573)+COUNTIF(Embedded_Wall_Register!$A$5:$A$304,A573)+COUNTIF(Manhole_Register!$A$5:$A$304,A573)+COUNTIF(ERSS_Pit_Register!$A$5:$A$304,A573)+COUNTIF(Linkway_Register!$A$5:$A$304,A573)+COUNTIF(Other_Register!$A$5:$A$304,A573))&gt;0,"OK","ID not in any register"))</f>
        <v/>
      </c>
    </row>
    <row r="574" customFormat="false" ht="15" hidden="false" customHeight="false" outlineLevel="0" collapsed="false">
      <c r="A574" s="9"/>
      <c r="B574" s="9"/>
      <c r="C574" s="9"/>
      <c r="D574" s="9"/>
      <c r="E574" s="9"/>
      <c r="F574" s="9"/>
      <c r="G574" s="9"/>
      <c r="H574" s="9"/>
      <c r="I574" s="9"/>
      <c r="J574" s="10" t="str">
        <f aca="false">IF(A574="","",IF(G574&lt;&gt;"",G574,IF(N(F574)&gt;0,ROUND(1000/F574,3),0)))</f>
        <v/>
      </c>
      <c r="K574" s="10" t="str">
        <f aca="false">IF(OR(A574="",E574="",H574=""),"",ROUND(0.00617*E574^2*H574*J574,2))</f>
        <v/>
      </c>
      <c r="L574" s="9"/>
      <c r="M574" s="10" t="str">
        <f aca="false">IF(A574="","",IF((COUNTIF(Drain_Register!$A$5:$A$304,A574)+COUNTIF(RW_Register!$A$5:$A$304,A574)+COUNTIF(Embedded_Wall_Register!$A$5:$A$304,A574)+COUNTIF(Manhole_Register!$A$5:$A$304,A574)+COUNTIF(ERSS_Pit_Register!$A$5:$A$304,A574)+COUNTIF(Linkway_Register!$A$5:$A$304,A574)+COUNTIF(Other_Register!$A$5:$A$304,A574))&gt;0,"OK","ID not in any register"))</f>
        <v/>
      </c>
    </row>
    <row r="575" customFormat="false" ht="15" hidden="false" customHeight="false" outlineLevel="0" collapsed="false">
      <c r="A575" s="9"/>
      <c r="B575" s="9"/>
      <c r="C575" s="9"/>
      <c r="D575" s="9"/>
      <c r="E575" s="9"/>
      <c r="F575" s="9"/>
      <c r="G575" s="9"/>
      <c r="H575" s="9"/>
      <c r="I575" s="9"/>
      <c r="J575" s="10" t="str">
        <f aca="false">IF(A575="","",IF(G575&lt;&gt;"",G575,IF(N(F575)&gt;0,ROUND(1000/F575,3),0)))</f>
        <v/>
      </c>
      <c r="K575" s="10" t="str">
        <f aca="false">IF(OR(A575="",E575="",H575=""),"",ROUND(0.00617*E575^2*H575*J575,2))</f>
        <v/>
      </c>
      <c r="L575" s="9"/>
      <c r="M575" s="10" t="str">
        <f aca="false">IF(A575="","",IF((COUNTIF(Drain_Register!$A$5:$A$304,A575)+COUNTIF(RW_Register!$A$5:$A$304,A575)+COUNTIF(Embedded_Wall_Register!$A$5:$A$304,A575)+COUNTIF(Manhole_Register!$A$5:$A$304,A575)+COUNTIF(ERSS_Pit_Register!$A$5:$A$304,A575)+COUNTIF(Linkway_Register!$A$5:$A$304,A575)+COUNTIF(Other_Register!$A$5:$A$304,A575))&gt;0,"OK","ID not in any register"))</f>
        <v/>
      </c>
    </row>
    <row r="576" customFormat="false" ht="15" hidden="false" customHeight="false" outlineLevel="0" collapsed="false">
      <c r="A576" s="9"/>
      <c r="B576" s="9"/>
      <c r="C576" s="9"/>
      <c r="D576" s="9"/>
      <c r="E576" s="9"/>
      <c r="F576" s="9"/>
      <c r="G576" s="9"/>
      <c r="H576" s="9"/>
      <c r="I576" s="9"/>
      <c r="J576" s="10" t="str">
        <f aca="false">IF(A576="","",IF(G576&lt;&gt;"",G576,IF(N(F576)&gt;0,ROUND(1000/F576,3),0)))</f>
        <v/>
      </c>
      <c r="K576" s="10" t="str">
        <f aca="false">IF(OR(A576="",E576="",H576=""),"",ROUND(0.00617*E576^2*H576*J576,2))</f>
        <v/>
      </c>
      <c r="L576" s="9"/>
      <c r="M576" s="10" t="str">
        <f aca="false">IF(A576="","",IF((COUNTIF(Drain_Register!$A$5:$A$304,A576)+COUNTIF(RW_Register!$A$5:$A$304,A576)+COUNTIF(Embedded_Wall_Register!$A$5:$A$304,A576)+COUNTIF(Manhole_Register!$A$5:$A$304,A576)+COUNTIF(ERSS_Pit_Register!$A$5:$A$304,A576)+COUNTIF(Linkway_Register!$A$5:$A$304,A576)+COUNTIF(Other_Register!$A$5:$A$304,A576))&gt;0,"OK","ID not in any register"))</f>
        <v/>
      </c>
    </row>
    <row r="577" customFormat="false" ht="15" hidden="false" customHeight="false" outlineLevel="0" collapsed="false">
      <c r="A577" s="9"/>
      <c r="B577" s="9"/>
      <c r="C577" s="9"/>
      <c r="D577" s="9"/>
      <c r="E577" s="9"/>
      <c r="F577" s="9"/>
      <c r="G577" s="9"/>
      <c r="H577" s="9"/>
      <c r="I577" s="9"/>
      <c r="J577" s="10" t="str">
        <f aca="false">IF(A577="","",IF(G577&lt;&gt;"",G577,IF(N(F577)&gt;0,ROUND(1000/F577,3),0)))</f>
        <v/>
      </c>
      <c r="K577" s="10" t="str">
        <f aca="false">IF(OR(A577="",E577="",H577=""),"",ROUND(0.00617*E577^2*H577*J577,2))</f>
        <v/>
      </c>
      <c r="L577" s="9"/>
      <c r="M577" s="10" t="str">
        <f aca="false">IF(A577="","",IF((COUNTIF(Drain_Register!$A$5:$A$304,A577)+COUNTIF(RW_Register!$A$5:$A$304,A577)+COUNTIF(Embedded_Wall_Register!$A$5:$A$304,A577)+COUNTIF(Manhole_Register!$A$5:$A$304,A577)+COUNTIF(ERSS_Pit_Register!$A$5:$A$304,A577)+COUNTIF(Linkway_Register!$A$5:$A$304,A577)+COUNTIF(Other_Register!$A$5:$A$304,A577))&gt;0,"OK","ID not in any register"))</f>
        <v/>
      </c>
    </row>
    <row r="578" customFormat="false" ht="15" hidden="false" customHeight="false" outlineLevel="0" collapsed="false">
      <c r="A578" s="9"/>
      <c r="B578" s="9"/>
      <c r="C578" s="9"/>
      <c r="D578" s="9"/>
      <c r="E578" s="9"/>
      <c r="F578" s="9"/>
      <c r="G578" s="9"/>
      <c r="H578" s="9"/>
      <c r="I578" s="9"/>
      <c r="J578" s="10" t="str">
        <f aca="false">IF(A578="","",IF(G578&lt;&gt;"",G578,IF(N(F578)&gt;0,ROUND(1000/F578,3),0)))</f>
        <v/>
      </c>
      <c r="K578" s="10" t="str">
        <f aca="false">IF(OR(A578="",E578="",H578=""),"",ROUND(0.00617*E578^2*H578*J578,2))</f>
        <v/>
      </c>
      <c r="L578" s="9"/>
      <c r="M578" s="10" t="str">
        <f aca="false">IF(A578="","",IF((COUNTIF(Drain_Register!$A$5:$A$304,A578)+COUNTIF(RW_Register!$A$5:$A$304,A578)+COUNTIF(Embedded_Wall_Register!$A$5:$A$304,A578)+COUNTIF(Manhole_Register!$A$5:$A$304,A578)+COUNTIF(ERSS_Pit_Register!$A$5:$A$304,A578)+COUNTIF(Linkway_Register!$A$5:$A$304,A578)+COUNTIF(Other_Register!$A$5:$A$304,A578))&gt;0,"OK","ID not in any register"))</f>
        <v/>
      </c>
    </row>
    <row r="579" customFormat="false" ht="15" hidden="false" customHeight="false" outlineLevel="0" collapsed="false">
      <c r="A579" s="9"/>
      <c r="B579" s="9"/>
      <c r="C579" s="9"/>
      <c r="D579" s="9"/>
      <c r="E579" s="9"/>
      <c r="F579" s="9"/>
      <c r="G579" s="9"/>
      <c r="H579" s="9"/>
      <c r="I579" s="9"/>
      <c r="J579" s="10" t="str">
        <f aca="false">IF(A579="","",IF(G579&lt;&gt;"",G579,IF(N(F579)&gt;0,ROUND(1000/F579,3),0)))</f>
        <v/>
      </c>
      <c r="K579" s="10" t="str">
        <f aca="false">IF(OR(A579="",E579="",H579=""),"",ROUND(0.00617*E579^2*H579*J579,2))</f>
        <v/>
      </c>
      <c r="L579" s="9"/>
      <c r="M579" s="10" t="str">
        <f aca="false">IF(A579="","",IF((COUNTIF(Drain_Register!$A$5:$A$304,A579)+COUNTIF(RW_Register!$A$5:$A$304,A579)+COUNTIF(Embedded_Wall_Register!$A$5:$A$304,A579)+COUNTIF(Manhole_Register!$A$5:$A$304,A579)+COUNTIF(ERSS_Pit_Register!$A$5:$A$304,A579)+COUNTIF(Linkway_Register!$A$5:$A$304,A579)+COUNTIF(Other_Register!$A$5:$A$304,A579))&gt;0,"OK","ID not in any register"))</f>
        <v/>
      </c>
    </row>
    <row r="580" customFormat="false" ht="15" hidden="false" customHeight="false" outlineLevel="0" collapsed="false">
      <c r="A580" s="9"/>
      <c r="B580" s="9"/>
      <c r="C580" s="9"/>
      <c r="D580" s="9"/>
      <c r="E580" s="9"/>
      <c r="F580" s="9"/>
      <c r="G580" s="9"/>
      <c r="H580" s="9"/>
      <c r="I580" s="9"/>
      <c r="J580" s="10" t="str">
        <f aca="false">IF(A580="","",IF(G580&lt;&gt;"",G580,IF(N(F580)&gt;0,ROUND(1000/F580,3),0)))</f>
        <v/>
      </c>
      <c r="K580" s="10" t="str">
        <f aca="false">IF(OR(A580="",E580="",H580=""),"",ROUND(0.00617*E580^2*H580*J580,2))</f>
        <v/>
      </c>
      <c r="L580" s="9"/>
      <c r="M580" s="10" t="str">
        <f aca="false">IF(A580="","",IF((COUNTIF(Drain_Register!$A$5:$A$304,A580)+COUNTIF(RW_Register!$A$5:$A$304,A580)+COUNTIF(Embedded_Wall_Register!$A$5:$A$304,A580)+COUNTIF(Manhole_Register!$A$5:$A$304,A580)+COUNTIF(ERSS_Pit_Register!$A$5:$A$304,A580)+COUNTIF(Linkway_Register!$A$5:$A$304,A580)+COUNTIF(Other_Register!$A$5:$A$304,A580))&gt;0,"OK","ID not in any register"))</f>
        <v/>
      </c>
    </row>
    <row r="581" customFormat="false" ht="15" hidden="false" customHeight="false" outlineLevel="0" collapsed="false">
      <c r="A581" s="9"/>
      <c r="B581" s="9"/>
      <c r="C581" s="9"/>
      <c r="D581" s="9"/>
      <c r="E581" s="9"/>
      <c r="F581" s="9"/>
      <c r="G581" s="9"/>
      <c r="H581" s="9"/>
      <c r="I581" s="9"/>
      <c r="J581" s="10" t="str">
        <f aca="false">IF(A581="","",IF(G581&lt;&gt;"",G581,IF(N(F581)&gt;0,ROUND(1000/F581,3),0)))</f>
        <v/>
      </c>
      <c r="K581" s="10" t="str">
        <f aca="false">IF(OR(A581="",E581="",H581=""),"",ROUND(0.00617*E581^2*H581*J581,2))</f>
        <v/>
      </c>
      <c r="L581" s="9"/>
      <c r="M581" s="10" t="str">
        <f aca="false">IF(A581="","",IF((COUNTIF(Drain_Register!$A$5:$A$304,A581)+COUNTIF(RW_Register!$A$5:$A$304,A581)+COUNTIF(Embedded_Wall_Register!$A$5:$A$304,A581)+COUNTIF(Manhole_Register!$A$5:$A$304,A581)+COUNTIF(ERSS_Pit_Register!$A$5:$A$304,A581)+COUNTIF(Linkway_Register!$A$5:$A$304,A581)+COUNTIF(Other_Register!$A$5:$A$304,A581))&gt;0,"OK","ID not in any register"))</f>
        <v/>
      </c>
    </row>
    <row r="582" customFormat="false" ht="15" hidden="false" customHeight="false" outlineLevel="0" collapsed="false">
      <c r="A582" s="9"/>
      <c r="B582" s="9"/>
      <c r="C582" s="9"/>
      <c r="D582" s="9"/>
      <c r="E582" s="9"/>
      <c r="F582" s="9"/>
      <c r="G582" s="9"/>
      <c r="H582" s="9"/>
      <c r="I582" s="9"/>
      <c r="J582" s="10" t="str">
        <f aca="false">IF(A582="","",IF(G582&lt;&gt;"",G582,IF(N(F582)&gt;0,ROUND(1000/F582,3),0)))</f>
        <v/>
      </c>
      <c r="K582" s="10" t="str">
        <f aca="false">IF(OR(A582="",E582="",H582=""),"",ROUND(0.00617*E582^2*H582*J582,2))</f>
        <v/>
      </c>
      <c r="L582" s="9"/>
      <c r="M582" s="10" t="str">
        <f aca="false">IF(A582="","",IF((COUNTIF(Drain_Register!$A$5:$A$304,A582)+COUNTIF(RW_Register!$A$5:$A$304,A582)+COUNTIF(Embedded_Wall_Register!$A$5:$A$304,A582)+COUNTIF(Manhole_Register!$A$5:$A$304,A582)+COUNTIF(ERSS_Pit_Register!$A$5:$A$304,A582)+COUNTIF(Linkway_Register!$A$5:$A$304,A582)+COUNTIF(Other_Register!$A$5:$A$304,A582))&gt;0,"OK","ID not in any register"))</f>
        <v/>
      </c>
    </row>
    <row r="583" customFormat="false" ht="15" hidden="false" customHeight="false" outlineLevel="0" collapsed="false">
      <c r="A583" s="9"/>
      <c r="B583" s="9"/>
      <c r="C583" s="9"/>
      <c r="D583" s="9"/>
      <c r="E583" s="9"/>
      <c r="F583" s="9"/>
      <c r="G583" s="9"/>
      <c r="H583" s="9"/>
      <c r="I583" s="9"/>
      <c r="J583" s="10" t="str">
        <f aca="false">IF(A583="","",IF(G583&lt;&gt;"",G583,IF(N(F583)&gt;0,ROUND(1000/F583,3),0)))</f>
        <v/>
      </c>
      <c r="K583" s="10" t="str">
        <f aca="false">IF(OR(A583="",E583="",H583=""),"",ROUND(0.00617*E583^2*H583*J583,2))</f>
        <v/>
      </c>
      <c r="L583" s="9"/>
      <c r="M583" s="10" t="str">
        <f aca="false">IF(A583="","",IF((COUNTIF(Drain_Register!$A$5:$A$304,A583)+COUNTIF(RW_Register!$A$5:$A$304,A583)+COUNTIF(Embedded_Wall_Register!$A$5:$A$304,A583)+COUNTIF(Manhole_Register!$A$5:$A$304,A583)+COUNTIF(ERSS_Pit_Register!$A$5:$A$304,A583)+COUNTIF(Linkway_Register!$A$5:$A$304,A583)+COUNTIF(Other_Register!$A$5:$A$304,A583))&gt;0,"OK","ID not in any register"))</f>
        <v/>
      </c>
    </row>
    <row r="584" customFormat="false" ht="15" hidden="false" customHeight="false" outlineLevel="0" collapsed="false">
      <c r="A584" s="9"/>
      <c r="B584" s="9"/>
      <c r="C584" s="9"/>
      <c r="D584" s="9"/>
      <c r="E584" s="9"/>
      <c r="F584" s="9"/>
      <c r="G584" s="9"/>
      <c r="H584" s="9"/>
      <c r="I584" s="9"/>
      <c r="J584" s="10" t="str">
        <f aca="false">IF(A584="","",IF(G584&lt;&gt;"",G584,IF(N(F584)&gt;0,ROUND(1000/F584,3),0)))</f>
        <v/>
      </c>
      <c r="K584" s="10" t="str">
        <f aca="false">IF(OR(A584="",E584="",H584=""),"",ROUND(0.00617*E584^2*H584*J584,2))</f>
        <v/>
      </c>
      <c r="L584" s="9"/>
      <c r="M584" s="10" t="str">
        <f aca="false">IF(A584="","",IF((COUNTIF(Drain_Register!$A$5:$A$304,A584)+COUNTIF(RW_Register!$A$5:$A$304,A584)+COUNTIF(Embedded_Wall_Register!$A$5:$A$304,A584)+COUNTIF(Manhole_Register!$A$5:$A$304,A584)+COUNTIF(ERSS_Pit_Register!$A$5:$A$304,A584)+COUNTIF(Linkway_Register!$A$5:$A$304,A584)+COUNTIF(Other_Register!$A$5:$A$304,A584))&gt;0,"OK","ID not in any register"))</f>
        <v/>
      </c>
    </row>
    <row r="585" customFormat="false" ht="15" hidden="false" customHeight="false" outlineLevel="0" collapsed="false">
      <c r="A585" s="9"/>
      <c r="B585" s="9"/>
      <c r="C585" s="9"/>
      <c r="D585" s="9"/>
      <c r="E585" s="9"/>
      <c r="F585" s="9"/>
      <c r="G585" s="9"/>
      <c r="H585" s="9"/>
      <c r="I585" s="9"/>
      <c r="J585" s="10" t="str">
        <f aca="false">IF(A585="","",IF(G585&lt;&gt;"",G585,IF(N(F585)&gt;0,ROUND(1000/F585,3),0)))</f>
        <v/>
      </c>
      <c r="K585" s="10" t="str">
        <f aca="false">IF(OR(A585="",E585="",H585=""),"",ROUND(0.00617*E585^2*H585*J585,2))</f>
        <v/>
      </c>
      <c r="L585" s="9"/>
      <c r="M585" s="10" t="str">
        <f aca="false">IF(A585="","",IF((COUNTIF(Drain_Register!$A$5:$A$304,A585)+COUNTIF(RW_Register!$A$5:$A$304,A585)+COUNTIF(Embedded_Wall_Register!$A$5:$A$304,A585)+COUNTIF(Manhole_Register!$A$5:$A$304,A585)+COUNTIF(ERSS_Pit_Register!$A$5:$A$304,A585)+COUNTIF(Linkway_Register!$A$5:$A$304,A585)+COUNTIF(Other_Register!$A$5:$A$304,A585))&gt;0,"OK","ID not in any register"))</f>
        <v/>
      </c>
    </row>
    <row r="586" customFormat="false" ht="15" hidden="false" customHeight="false" outlineLevel="0" collapsed="false">
      <c r="A586" s="9"/>
      <c r="B586" s="9"/>
      <c r="C586" s="9"/>
      <c r="D586" s="9"/>
      <c r="E586" s="9"/>
      <c r="F586" s="9"/>
      <c r="G586" s="9"/>
      <c r="H586" s="9"/>
      <c r="I586" s="9"/>
      <c r="J586" s="10" t="str">
        <f aca="false">IF(A586="","",IF(G586&lt;&gt;"",G586,IF(N(F586)&gt;0,ROUND(1000/F586,3),0)))</f>
        <v/>
      </c>
      <c r="K586" s="10" t="str">
        <f aca="false">IF(OR(A586="",E586="",H586=""),"",ROUND(0.00617*E586^2*H586*J586,2))</f>
        <v/>
      </c>
      <c r="L586" s="9"/>
      <c r="M586" s="10" t="str">
        <f aca="false">IF(A586="","",IF((COUNTIF(Drain_Register!$A$5:$A$304,A586)+COUNTIF(RW_Register!$A$5:$A$304,A586)+COUNTIF(Embedded_Wall_Register!$A$5:$A$304,A586)+COUNTIF(Manhole_Register!$A$5:$A$304,A586)+COUNTIF(ERSS_Pit_Register!$A$5:$A$304,A586)+COUNTIF(Linkway_Register!$A$5:$A$304,A586)+COUNTIF(Other_Register!$A$5:$A$304,A586))&gt;0,"OK","ID not in any register"))</f>
        <v/>
      </c>
    </row>
    <row r="587" customFormat="false" ht="15" hidden="false" customHeight="false" outlineLevel="0" collapsed="false">
      <c r="A587" s="9"/>
      <c r="B587" s="9"/>
      <c r="C587" s="9"/>
      <c r="D587" s="9"/>
      <c r="E587" s="9"/>
      <c r="F587" s="9"/>
      <c r="G587" s="9"/>
      <c r="H587" s="9"/>
      <c r="I587" s="9"/>
      <c r="J587" s="10" t="str">
        <f aca="false">IF(A587="","",IF(G587&lt;&gt;"",G587,IF(N(F587)&gt;0,ROUND(1000/F587,3),0)))</f>
        <v/>
      </c>
      <c r="K587" s="10" t="str">
        <f aca="false">IF(OR(A587="",E587="",H587=""),"",ROUND(0.00617*E587^2*H587*J587,2))</f>
        <v/>
      </c>
      <c r="L587" s="9"/>
      <c r="M587" s="10" t="str">
        <f aca="false">IF(A587="","",IF((COUNTIF(Drain_Register!$A$5:$A$304,A587)+COUNTIF(RW_Register!$A$5:$A$304,A587)+COUNTIF(Embedded_Wall_Register!$A$5:$A$304,A587)+COUNTIF(Manhole_Register!$A$5:$A$304,A587)+COUNTIF(ERSS_Pit_Register!$A$5:$A$304,A587)+COUNTIF(Linkway_Register!$A$5:$A$304,A587)+COUNTIF(Other_Register!$A$5:$A$304,A587))&gt;0,"OK","ID not in any register"))</f>
        <v/>
      </c>
    </row>
    <row r="588" customFormat="false" ht="15" hidden="false" customHeight="false" outlineLevel="0" collapsed="false">
      <c r="A588" s="9"/>
      <c r="B588" s="9"/>
      <c r="C588" s="9"/>
      <c r="D588" s="9"/>
      <c r="E588" s="9"/>
      <c r="F588" s="9"/>
      <c r="G588" s="9"/>
      <c r="H588" s="9"/>
      <c r="I588" s="9"/>
      <c r="J588" s="10" t="str">
        <f aca="false">IF(A588="","",IF(G588&lt;&gt;"",G588,IF(N(F588)&gt;0,ROUND(1000/F588,3),0)))</f>
        <v/>
      </c>
      <c r="K588" s="10" t="str">
        <f aca="false">IF(OR(A588="",E588="",H588=""),"",ROUND(0.00617*E588^2*H588*J588,2))</f>
        <v/>
      </c>
      <c r="L588" s="9"/>
      <c r="M588" s="10" t="str">
        <f aca="false">IF(A588="","",IF((COUNTIF(Drain_Register!$A$5:$A$304,A588)+COUNTIF(RW_Register!$A$5:$A$304,A588)+COUNTIF(Embedded_Wall_Register!$A$5:$A$304,A588)+COUNTIF(Manhole_Register!$A$5:$A$304,A588)+COUNTIF(ERSS_Pit_Register!$A$5:$A$304,A588)+COUNTIF(Linkway_Register!$A$5:$A$304,A588)+COUNTIF(Other_Register!$A$5:$A$304,A588))&gt;0,"OK","ID not in any register"))</f>
        <v/>
      </c>
    </row>
    <row r="589" customFormat="false" ht="15" hidden="false" customHeight="false" outlineLevel="0" collapsed="false">
      <c r="A589" s="9"/>
      <c r="B589" s="9"/>
      <c r="C589" s="9"/>
      <c r="D589" s="9"/>
      <c r="E589" s="9"/>
      <c r="F589" s="9"/>
      <c r="G589" s="9"/>
      <c r="H589" s="9"/>
      <c r="I589" s="9"/>
      <c r="J589" s="10" t="str">
        <f aca="false">IF(A589="","",IF(G589&lt;&gt;"",G589,IF(N(F589)&gt;0,ROUND(1000/F589,3),0)))</f>
        <v/>
      </c>
      <c r="K589" s="10" t="str">
        <f aca="false">IF(OR(A589="",E589="",H589=""),"",ROUND(0.00617*E589^2*H589*J589,2))</f>
        <v/>
      </c>
      <c r="L589" s="9"/>
      <c r="M589" s="10" t="str">
        <f aca="false">IF(A589="","",IF((COUNTIF(Drain_Register!$A$5:$A$304,A589)+COUNTIF(RW_Register!$A$5:$A$304,A589)+COUNTIF(Embedded_Wall_Register!$A$5:$A$304,A589)+COUNTIF(Manhole_Register!$A$5:$A$304,A589)+COUNTIF(ERSS_Pit_Register!$A$5:$A$304,A589)+COUNTIF(Linkway_Register!$A$5:$A$304,A589)+COUNTIF(Other_Register!$A$5:$A$304,A589))&gt;0,"OK","ID not in any register"))</f>
        <v/>
      </c>
    </row>
    <row r="590" customFormat="false" ht="15" hidden="false" customHeight="false" outlineLevel="0" collapsed="false">
      <c r="A590" s="9"/>
      <c r="B590" s="9"/>
      <c r="C590" s="9"/>
      <c r="D590" s="9"/>
      <c r="E590" s="9"/>
      <c r="F590" s="9"/>
      <c r="G590" s="9"/>
      <c r="H590" s="9"/>
      <c r="I590" s="9"/>
      <c r="J590" s="10" t="str">
        <f aca="false">IF(A590="","",IF(G590&lt;&gt;"",G590,IF(N(F590)&gt;0,ROUND(1000/F590,3),0)))</f>
        <v/>
      </c>
      <c r="K590" s="10" t="str">
        <f aca="false">IF(OR(A590="",E590="",H590=""),"",ROUND(0.00617*E590^2*H590*J590,2))</f>
        <v/>
      </c>
      <c r="L590" s="9"/>
      <c r="M590" s="10" t="str">
        <f aca="false">IF(A590="","",IF((COUNTIF(Drain_Register!$A$5:$A$304,A590)+COUNTIF(RW_Register!$A$5:$A$304,A590)+COUNTIF(Embedded_Wall_Register!$A$5:$A$304,A590)+COUNTIF(Manhole_Register!$A$5:$A$304,A590)+COUNTIF(ERSS_Pit_Register!$A$5:$A$304,A590)+COUNTIF(Linkway_Register!$A$5:$A$304,A590)+COUNTIF(Other_Register!$A$5:$A$304,A590))&gt;0,"OK","ID not in any register"))</f>
        <v/>
      </c>
    </row>
    <row r="591" customFormat="false" ht="15" hidden="false" customHeight="false" outlineLevel="0" collapsed="false">
      <c r="A591" s="9"/>
      <c r="B591" s="9"/>
      <c r="C591" s="9"/>
      <c r="D591" s="9"/>
      <c r="E591" s="9"/>
      <c r="F591" s="9"/>
      <c r="G591" s="9"/>
      <c r="H591" s="9"/>
      <c r="I591" s="9"/>
      <c r="J591" s="10" t="str">
        <f aca="false">IF(A591="","",IF(G591&lt;&gt;"",G591,IF(N(F591)&gt;0,ROUND(1000/F591,3),0)))</f>
        <v/>
      </c>
      <c r="K591" s="10" t="str">
        <f aca="false">IF(OR(A591="",E591="",H591=""),"",ROUND(0.00617*E591^2*H591*J591,2))</f>
        <v/>
      </c>
      <c r="L591" s="9"/>
      <c r="M591" s="10" t="str">
        <f aca="false">IF(A591="","",IF((COUNTIF(Drain_Register!$A$5:$A$304,A591)+COUNTIF(RW_Register!$A$5:$A$304,A591)+COUNTIF(Embedded_Wall_Register!$A$5:$A$304,A591)+COUNTIF(Manhole_Register!$A$5:$A$304,A591)+COUNTIF(ERSS_Pit_Register!$A$5:$A$304,A591)+COUNTIF(Linkway_Register!$A$5:$A$304,A591)+COUNTIF(Other_Register!$A$5:$A$304,A591))&gt;0,"OK","ID not in any register"))</f>
        <v/>
      </c>
    </row>
    <row r="592" customFormat="false" ht="15" hidden="false" customHeight="false" outlineLevel="0" collapsed="false">
      <c r="A592" s="9"/>
      <c r="B592" s="9"/>
      <c r="C592" s="9"/>
      <c r="D592" s="9"/>
      <c r="E592" s="9"/>
      <c r="F592" s="9"/>
      <c r="G592" s="9"/>
      <c r="H592" s="9"/>
      <c r="I592" s="9"/>
      <c r="J592" s="10" t="str">
        <f aca="false">IF(A592="","",IF(G592&lt;&gt;"",G592,IF(N(F592)&gt;0,ROUND(1000/F592,3),0)))</f>
        <v/>
      </c>
      <c r="K592" s="10" t="str">
        <f aca="false">IF(OR(A592="",E592="",H592=""),"",ROUND(0.00617*E592^2*H592*J592,2))</f>
        <v/>
      </c>
      <c r="L592" s="9"/>
      <c r="M592" s="10" t="str">
        <f aca="false">IF(A592="","",IF((COUNTIF(Drain_Register!$A$5:$A$304,A592)+COUNTIF(RW_Register!$A$5:$A$304,A592)+COUNTIF(Embedded_Wall_Register!$A$5:$A$304,A592)+COUNTIF(Manhole_Register!$A$5:$A$304,A592)+COUNTIF(ERSS_Pit_Register!$A$5:$A$304,A592)+COUNTIF(Linkway_Register!$A$5:$A$304,A592)+COUNTIF(Other_Register!$A$5:$A$304,A592))&gt;0,"OK","ID not in any register"))</f>
        <v/>
      </c>
    </row>
    <row r="593" customFormat="false" ht="15" hidden="false" customHeight="false" outlineLevel="0" collapsed="false">
      <c r="A593" s="9"/>
      <c r="B593" s="9"/>
      <c r="C593" s="9"/>
      <c r="D593" s="9"/>
      <c r="E593" s="9"/>
      <c r="F593" s="9"/>
      <c r="G593" s="9"/>
      <c r="H593" s="9"/>
      <c r="I593" s="9"/>
      <c r="J593" s="10" t="str">
        <f aca="false">IF(A593="","",IF(G593&lt;&gt;"",G593,IF(N(F593)&gt;0,ROUND(1000/F593,3),0)))</f>
        <v/>
      </c>
      <c r="K593" s="10" t="str">
        <f aca="false">IF(OR(A593="",E593="",H593=""),"",ROUND(0.00617*E593^2*H593*J593,2))</f>
        <v/>
      </c>
      <c r="L593" s="9"/>
      <c r="M593" s="10" t="str">
        <f aca="false">IF(A593="","",IF((COUNTIF(Drain_Register!$A$5:$A$304,A593)+COUNTIF(RW_Register!$A$5:$A$304,A593)+COUNTIF(Embedded_Wall_Register!$A$5:$A$304,A593)+COUNTIF(Manhole_Register!$A$5:$A$304,A593)+COUNTIF(ERSS_Pit_Register!$A$5:$A$304,A593)+COUNTIF(Linkway_Register!$A$5:$A$304,A593)+COUNTIF(Other_Register!$A$5:$A$304,A593))&gt;0,"OK","ID not in any register"))</f>
        <v/>
      </c>
    </row>
    <row r="594" customFormat="false" ht="15" hidden="false" customHeight="false" outlineLevel="0" collapsed="false">
      <c r="A594" s="9"/>
      <c r="B594" s="9"/>
      <c r="C594" s="9"/>
      <c r="D594" s="9"/>
      <c r="E594" s="9"/>
      <c r="F594" s="9"/>
      <c r="G594" s="9"/>
      <c r="H594" s="9"/>
      <c r="I594" s="9"/>
      <c r="J594" s="10" t="str">
        <f aca="false">IF(A594="","",IF(G594&lt;&gt;"",G594,IF(N(F594)&gt;0,ROUND(1000/F594,3),0)))</f>
        <v/>
      </c>
      <c r="K594" s="10" t="str">
        <f aca="false">IF(OR(A594="",E594="",H594=""),"",ROUND(0.00617*E594^2*H594*J594,2))</f>
        <v/>
      </c>
      <c r="L594" s="9"/>
      <c r="M594" s="10" t="str">
        <f aca="false">IF(A594="","",IF((COUNTIF(Drain_Register!$A$5:$A$304,A594)+COUNTIF(RW_Register!$A$5:$A$304,A594)+COUNTIF(Embedded_Wall_Register!$A$5:$A$304,A594)+COUNTIF(Manhole_Register!$A$5:$A$304,A594)+COUNTIF(ERSS_Pit_Register!$A$5:$A$304,A594)+COUNTIF(Linkway_Register!$A$5:$A$304,A594)+COUNTIF(Other_Register!$A$5:$A$304,A594))&gt;0,"OK","ID not in any register"))</f>
        <v/>
      </c>
    </row>
    <row r="595" customFormat="false" ht="15" hidden="false" customHeight="false" outlineLevel="0" collapsed="false">
      <c r="A595" s="9"/>
      <c r="B595" s="9"/>
      <c r="C595" s="9"/>
      <c r="D595" s="9"/>
      <c r="E595" s="9"/>
      <c r="F595" s="9"/>
      <c r="G595" s="9"/>
      <c r="H595" s="9"/>
      <c r="I595" s="9"/>
      <c r="J595" s="10" t="str">
        <f aca="false">IF(A595="","",IF(G595&lt;&gt;"",G595,IF(N(F595)&gt;0,ROUND(1000/F595,3),0)))</f>
        <v/>
      </c>
      <c r="K595" s="10" t="str">
        <f aca="false">IF(OR(A595="",E595="",H595=""),"",ROUND(0.00617*E595^2*H595*J595,2))</f>
        <v/>
      </c>
      <c r="L595" s="9"/>
      <c r="M595" s="10" t="str">
        <f aca="false">IF(A595="","",IF((COUNTIF(Drain_Register!$A$5:$A$304,A595)+COUNTIF(RW_Register!$A$5:$A$304,A595)+COUNTIF(Embedded_Wall_Register!$A$5:$A$304,A595)+COUNTIF(Manhole_Register!$A$5:$A$304,A595)+COUNTIF(ERSS_Pit_Register!$A$5:$A$304,A595)+COUNTIF(Linkway_Register!$A$5:$A$304,A595)+COUNTIF(Other_Register!$A$5:$A$304,A595))&gt;0,"OK","ID not in any register"))</f>
        <v/>
      </c>
    </row>
    <row r="596" customFormat="false" ht="15" hidden="false" customHeight="false" outlineLevel="0" collapsed="false">
      <c r="A596" s="9"/>
      <c r="B596" s="9"/>
      <c r="C596" s="9"/>
      <c r="D596" s="9"/>
      <c r="E596" s="9"/>
      <c r="F596" s="9"/>
      <c r="G596" s="9"/>
      <c r="H596" s="9"/>
      <c r="I596" s="9"/>
      <c r="J596" s="10" t="str">
        <f aca="false">IF(A596="","",IF(G596&lt;&gt;"",G596,IF(N(F596)&gt;0,ROUND(1000/F596,3),0)))</f>
        <v/>
      </c>
      <c r="K596" s="10" t="str">
        <f aca="false">IF(OR(A596="",E596="",H596=""),"",ROUND(0.00617*E596^2*H596*J596,2))</f>
        <v/>
      </c>
      <c r="L596" s="9"/>
      <c r="M596" s="10" t="str">
        <f aca="false">IF(A596="","",IF((COUNTIF(Drain_Register!$A$5:$A$304,A596)+COUNTIF(RW_Register!$A$5:$A$304,A596)+COUNTIF(Embedded_Wall_Register!$A$5:$A$304,A596)+COUNTIF(Manhole_Register!$A$5:$A$304,A596)+COUNTIF(ERSS_Pit_Register!$A$5:$A$304,A596)+COUNTIF(Linkway_Register!$A$5:$A$304,A596)+COUNTIF(Other_Register!$A$5:$A$304,A596))&gt;0,"OK","ID not in any register"))</f>
        <v/>
      </c>
    </row>
    <row r="597" customFormat="false" ht="15" hidden="false" customHeight="false" outlineLevel="0" collapsed="false">
      <c r="A597" s="9"/>
      <c r="B597" s="9"/>
      <c r="C597" s="9"/>
      <c r="D597" s="9"/>
      <c r="E597" s="9"/>
      <c r="F597" s="9"/>
      <c r="G597" s="9"/>
      <c r="H597" s="9"/>
      <c r="I597" s="9"/>
      <c r="J597" s="10" t="str">
        <f aca="false">IF(A597="","",IF(G597&lt;&gt;"",G597,IF(N(F597)&gt;0,ROUND(1000/F597,3),0)))</f>
        <v/>
      </c>
      <c r="K597" s="10" t="str">
        <f aca="false">IF(OR(A597="",E597="",H597=""),"",ROUND(0.00617*E597^2*H597*J597,2))</f>
        <v/>
      </c>
      <c r="L597" s="9"/>
      <c r="M597" s="10" t="str">
        <f aca="false">IF(A597="","",IF((COUNTIF(Drain_Register!$A$5:$A$304,A597)+COUNTIF(RW_Register!$A$5:$A$304,A597)+COUNTIF(Embedded_Wall_Register!$A$5:$A$304,A597)+COUNTIF(Manhole_Register!$A$5:$A$304,A597)+COUNTIF(ERSS_Pit_Register!$A$5:$A$304,A597)+COUNTIF(Linkway_Register!$A$5:$A$304,A597)+COUNTIF(Other_Register!$A$5:$A$304,A597))&gt;0,"OK","ID not in any register"))</f>
        <v/>
      </c>
    </row>
    <row r="598" customFormat="false" ht="15" hidden="false" customHeight="false" outlineLevel="0" collapsed="false">
      <c r="A598" s="9"/>
      <c r="B598" s="9"/>
      <c r="C598" s="9"/>
      <c r="D598" s="9"/>
      <c r="E598" s="9"/>
      <c r="F598" s="9"/>
      <c r="G598" s="9"/>
      <c r="H598" s="9"/>
      <c r="I598" s="9"/>
      <c r="J598" s="10" t="str">
        <f aca="false">IF(A598="","",IF(G598&lt;&gt;"",G598,IF(N(F598)&gt;0,ROUND(1000/F598,3),0)))</f>
        <v/>
      </c>
      <c r="K598" s="10" t="str">
        <f aca="false">IF(OR(A598="",E598="",H598=""),"",ROUND(0.00617*E598^2*H598*J598,2))</f>
        <v/>
      </c>
      <c r="L598" s="9"/>
      <c r="M598" s="10" t="str">
        <f aca="false">IF(A598="","",IF((COUNTIF(Drain_Register!$A$5:$A$304,A598)+COUNTIF(RW_Register!$A$5:$A$304,A598)+COUNTIF(Embedded_Wall_Register!$A$5:$A$304,A598)+COUNTIF(Manhole_Register!$A$5:$A$304,A598)+COUNTIF(ERSS_Pit_Register!$A$5:$A$304,A598)+COUNTIF(Linkway_Register!$A$5:$A$304,A598)+COUNTIF(Other_Register!$A$5:$A$304,A598))&gt;0,"OK","ID not in any register"))</f>
        <v/>
      </c>
    </row>
    <row r="599" customFormat="false" ht="15" hidden="false" customHeight="false" outlineLevel="0" collapsed="false">
      <c r="A599" s="9"/>
      <c r="B599" s="9"/>
      <c r="C599" s="9"/>
      <c r="D599" s="9"/>
      <c r="E599" s="9"/>
      <c r="F599" s="9"/>
      <c r="G599" s="9"/>
      <c r="H599" s="9"/>
      <c r="I599" s="9"/>
      <c r="J599" s="10" t="str">
        <f aca="false">IF(A599="","",IF(G599&lt;&gt;"",G599,IF(N(F599)&gt;0,ROUND(1000/F599,3),0)))</f>
        <v/>
      </c>
      <c r="K599" s="10" t="str">
        <f aca="false">IF(OR(A599="",E599="",H599=""),"",ROUND(0.00617*E599^2*H599*J599,2))</f>
        <v/>
      </c>
      <c r="L599" s="9"/>
      <c r="M599" s="10" t="str">
        <f aca="false">IF(A599="","",IF((COUNTIF(Drain_Register!$A$5:$A$304,A599)+COUNTIF(RW_Register!$A$5:$A$304,A599)+COUNTIF(Embedded_Wall_Register!$A$5:$A$304,A599)+COUNTIF(Manhole_Register!$A$5:$A$304,A599)+COUNTIF(ERSS_Pit_Register!$A$5:$A$304,A599)+COUNTIF(Linkway_Register!$A$5:$A$304,A599)+COUNTIF(Other_Register!$A$5:$A$304,A599))&gt;0,"OK","ID not in any register"))</f>
        <v/>
      </c>
    </row>
    <row r="600" customFormat="false" ht="15" hidden="false" customHeight="false" outlineLevel="0" collapsed="false">
      <c r="A600" s="9"/>
      <c r="B600" s="9"/>
      <c r="C600" s="9"/>
      <c r="D600" s="9"/>
      <c r="E600" s="9"/>
      <c r="F600" s="9"/>
      <c r="G600" s="9"/>
      <c r="H600" s="9"/>
      <c r="I600" s="9"/>
      <c r="J600" s="10" t="str">
        <f aca="false">IF(A600="","",IF(G600&lt;&gt;"",G600,IF(N(F600)&gt;0,ROUND(1000/F600,3),0)))</f>
        <v/>
      </c>
      <c r="K600" s="10" t="str">
        <f aca="false">IF(OR(A600="",E600="",H600=""),"",ROUND(0.00617*E600^2*H600*J600,2))</f>
        <v/>
      </c>
      <c r="L600" s="9"/>
      <c r="M600" s="10" t="str">
        <f aca="false">IF(A600="","",IF((COUNTIF(Drain_Register!$A$5:$A$304,A600)+COUNTIF(RW_Register!$A$5:$A$304,A600)+COUNTIF(Embedded_Wall_Register!$A$5:$A$304,A600)+COUNTIF(Manhole_Register!$A$5:$A$304,A600)+COUNTIF(ERSS_Pit_Register!$A$5:$A$304,A600)+COUNTIF(Linkway_Register!$A$5:$A$304,A600)+COUNTIF(Other_Register!$A$5:$A$304,A600))&gt;0,"OK","ID not in any register"))</f>
        <v/>
      </c>
    </row>
    <row r="601" customFormat="false" ht="15" hidden="false" customHeight="false" outlineLevel="0" collapsed="false">
      <c r="A601" s="9"/>
      <c r="B601" s="9"/>
      <c r="C601" s="9"/>
      <c r="D601" s="9"/>
      <c r="E601" s="9"/>
      <c r="F601" s="9"/>
      <c r="G601" s="9"/>
      <c r="H601" s="9"/>
      <c r="I601" s="9"/>
      <c r="J601" s="10" t="str">
        <f aca="false">IF(A601="","",IF(G601&lt;&gt;"",G601,IF(N(F601)&gt;0,ROUND(1000/F601,3),0)))</f>
        <v/>
      </c>
      <c r="K601" s="10" t="str">
        <f aca="false">IF(OR(A601="",E601="",H601=""),"",ROUND(0.00617*E601^2*H601*J601,2))</f>
        <v/>
      </c>
      <c r="L601" s="9"/>
      <c r="M601" s="10" t="str">
        <f aca="false">IF(A601="","",IF((COUNTIF(Drain_Register!$A$5:$A$304,A601)+COUNTIF(RW_Register!$A$5:$A$304,A601)+COUNTIF(Embedded_Wall_Register!$A$5:$A$304,A601)+COUNTIF(Manhole_Register!$A$5:$A$304,A601)+COUNTIF(ERSS_Pit_Register!$A$5:$A$304,A601)+COUNTIF(Linkway_Register!$A$5:$A$304,A601)+COUNTIF(Other_Register!$A$5:$A$304,A601))&gt;0,"OK","ID not in any register"))</f>
        <v/>
      </c>
    </row>
    <row r="602" customFormat="false" ht="15" hidden="false" customHeight="false" outlineLevel="0" collapsed="false">
      <c r="A602" s="9"/>
      <c r="B602" s="9"/>
      <c r="C602" s="9"/>
      <c r="D602" s="9"/>
      <c r="E602" s="9"/>
      <c r="F602" s="9"/>
      <c r="G602" s="9"/>
      <c r="H602" s="9"/>
      <c r="I602" s="9"/>
      <c r="J602" s="10" t="str">
        <f aca="false">IF(A602="","",IF(G602&lt;&gt;"",G602,IF(N(F602)&gt;0,ROUND(1000/F602,3),0)))</f>
        <v/>
      </c>
      <c r="K602" s="10" t="str">
        <f aca="false">IF(OR(A602="",E602="",H602=""),"",ROUND(0.00617*E602^2*H602*J602,2))</f>
        <v/>
      </c>
      <c r="L602" s="9"/>
      <c r="M602" s="10" t="str">
        <f aca="false">IF(A602="","",IF((COUNTIF(Drain_Register!$A$5:$A$304,A602)+COUNTIF(RW_Register!$A$5:$A$304,A602)+COUNTIF(Embedded_Wall_Register!$A$5:$A$304,A602)+COUNTIF(Manhole_Register!$A$5:$A$304,A602)+COUNTIF(ERSS_Pit_Register!$A$5:$A$304,A602)+COUNTIF(Linkway_Register!$A$5:$A$304,A602)+COUNTIF(Other_Register!$A$5:$A$304,A602))&gt;0,"OK","ID not in any register"))</f>
        <v/>
      </c>
    </row>
    <row r="603" customFormat="false" ht="15" hidden="false" customHeight="false" outlineLevel="0" collapsed="false">
      <c r="A603" s="9"/>
      <c r="B603" s="9"/>
      <c r="C603" s="9"/>
      <c r="D603" s="9"/>
      <c r="E603" s="9"/>
      <c r="F603" s="9"/>
      <c r="G603" s="9"/>
      <c r="H603" s="9"/>
      <c r="I603" s="9"/>
      <c r="J603" s="10" t="str">
        <f aca="false">IF(A603="","",IF(G603&lt;&gt;"",G603,IF(N(F603)&gt;0,ROUND(1000/F603,3),0)))</f>
        <v/>
      </c>
      <c r="K603" s="10" t="str">
        <f aca="false">IF(OR(A603="",E603="",H603=""),"",ROUND(0.00617*E603^2*H603*J603,2))</f>
        <v/>
      </c>
      <c r="L603" s="9"/>
      <c r="M603" s="10" t="str">
        <f aca="false">IF(A603="","",IF((COUNTIF(Drain_Register!$A$5:$A$304,A603)+COUNTIF(RW_Register!$A$5:$A$304,A603)+COUNTIF(Embedded_Wall_Register!$A$5:$A$304,A603)+COUNTIF(Manhole_Register!$A$5:$A$304,A603)+COUNTIF(ERSS_Pit_Register!$A$5:$A$304,A603)+COUNTIF(Linkway_Register!$A$5:$A$304,A603)+COUNTIF(Other_Register!$A$5:$A$304,A603))&gt;0,"OK","ID not in any register"))</f>
        <v/>
      </c>
    </row>
    <row r="604" customFormat="false" ht="15" hidden="false" customHeight="false" outlineLevel="0" collapsed="false">
      <c r="A604" s="9"/>
      <c r="B604" s="9"/>
      <c r="C604" s="9"/>
      <c r="D604" s="9"/>
      <c r="E604" s="9"/>
      <c r="F604" s="9"/>
      <c r="G604" s="9"/>
      <c r="H604" s="9"/>
      <c r="I604" s="9"/>
      <c r="J604" s="10" t="str">
        <f aca="false">IF(A604="","",IF(G604&lt;&gt;"",G604,IF(N(F604)&gt;0,ROUND(1000/F604,3),0)))</f>
        <v/>
      </c>
      <c r="K604" s="10" t="str">
        <f aca="false">IF(OR(A604="",E604="",H604=""),"",ROUND(0.00617*E604^2*H604*J604,2))</f>
        <v/>
      </c>
      <c r="L604" s="9"/>
      <c r="M604" s="10" t="str">
        <f aca="false">IF(A604="","",IF((COUNTIF(Drain_Register!$A$5:$A$304,A604)+COUNTIF(RW_Register!$A$5:$A$304,A604)+COUNTIF(Embedded_Wall_Register!$A$5:$A$304,A604)+COUNTIF(Manhole_Register!$A$5:$A$304,A604)+COUNTIF(ERSS_Pit_Register!$A$5:$A$304,A604)+COUNTIF(Linkway_Register!$A$5:$A$304,A604)+COUNTIF(Other_Register!$A$5:$A$304,A604))&gt;0,"OK","ID not in any register"))</f>
        <v/>
      </c>
    </row>
    <row r="605" customFormat="false" ht="15" hidden="false" customHeight="false" outlineLevel="0" collapsed="false">
      <c r="A605" s="9"/>
      <c r="B605" s="9"/>
      <c r="C605" s="9"/>
      <c r="D605" s="9"/>
      <c r="E605" s="9"/>
      <c r="F605" s="9"/>
      <c r="G605" s="9"/>
      <c r="H605" s="9"/>
      <c r="I605" s="9"/>
      <c r="J605" s="10" t="str">
        <f aca="false">IF(A605="","",IF(G605&lt;&gt;"",G605,IF(N(F605)&gt;0,ROUND(1000/F605,3),0)))</f>
        <v/>
      </c>
      <c r="K605" s="10" t="str">
        <f aca="false">IF(OR(A605="",E605="",H605=""),"",ROUND(0.00617*E605^2*H605*J605,2))</f>
        <v/>
      </c>
      <c r="L605" s="9"/>
      <c r="M605" s="10" t="str">
        <f aca="false">IF(A605="","",IF((COUNTIF(Drain_Register!$A$5:$A$304,A605)+COUNTIF(RW_Register!$A$5:$A$304,A605)+COUNTIF(Embedded_Wall_Register!$A$5:$A$304,A605)+COUNTIF(Manhole_Register!$A$5:$A$304,A605)+COUNTIF(ERSS_Pit_Register!$A$5:$A$304,A605)+COUNTIF(Linkway_Register!$A$5:$A$304,A605)+COUNTIF(Other_Register!$A$5:$A$304,A605))&gt;0,"OK","ID not in any register"))</f>
        <v/>
      </c>
    </row>
    <row r="606" customFormat="false" ht="15" hidden="false" customHeight="false" outlineLevel="0" collapsed="false">
      <c r="A606" s="9"/>
      <c r="B606" s="9"/>
      <c r="C606" s="9"/>
      <c r="D606" s="9"/>
      <c r="E606" s="9"/>
      <c r="F606" s="9"/>
      <c r="G606" s="9"/>
      <c r="H606" s="9"/>
      <c r="I606" s="9"/>
      <c r="J606" s="10" t="str">
        <f aca="false">IF(A606="","",IF(G606&lt;&gt;"",G606,IF(N(F606)&gt;0,ROUND(1000/F606,3),0)))</f>
        <v/>
      </c>
      <c r="K606" s="10" t="str">
        <f aca="false">IF(OR(A606="",E606="",H606=""),"",ROUND(0.00617*E606^2*H606*J606,2))</f>
        <v/>
      </c>
      <c r="L606" s="9"/>
      <c r="M606" s="10" t="str">
        <f aca="false">IF(A606="","",IF((COUNTIF(Drain_Register!$A$5:$A$304,A606)+COUNTIF(RW_Register!$A$5:$A$304,A606)+COUNTIF(Embedded_Wall_Register!$A$5:$A$304,A606)+COUNTIF(Manhole_Register!$A$5:$A$304,A606)+COUNTIF(ERSS_Pit_Register!$A$5:$A$304,A606)+COUNTIF(Linkway_Register!$A$5:$A$304,A606)+COUNTIF(Other_Register!$A$5:$A$304,A606))&gt;0,"OK","ID not in any register"))</f>
        <v/>
      </c>
    </row>
    <row r="607" customFormat="false" ht="15" hidden="false" customHeight="false" outlineLevel="0" collapsed="false">
      <c r="A607" s="9"/>
      <c r="B607" s="9"/>
      <c r="C607" s="9"/>
      <c r="D607" s="9"/>
      <c r="E607" s="9"/>
      <c r="F607" s="9"/>
      <c r="G607" s="9"/>
      <c r="H607" s="9"/>
      <c r="I607" s="9"/>
      <c r="J607" s="10" t="str">
        <f aca="false">IF(A607="","",IF(G607&lt;&gt;"",G607,IF(N(F607)&gt;0,ROUND(1000/F607,3),0)))</f>
        <v/>
      </c>
      <c r="K607" s="10" t="str">
        <f aca="false">IF(OR(A607="",E607="",H607=""),"",ROUND(0.00617*E607^2*H607*J607,2))</f>
        <v/>
      </c>
      <c r="L607" s="9"/>
      <c r="M607" s="10" t="str">
        <f aca="false">IF(A607="","",IF((COUNTIF(Drain_Register!$A$5:$A$304,A607)+COUNTIF(RW_Register!$A$5:$A$304,A607)+COUNTIF(Embedded_Wall_Register!$A$5:$A$304,A607)+COUNTIF(Manhole_Register!$A$5:$A$304,A607)+COUNTIF(ERSS_Pit_Register!$A$5:$A$304,A607)+COUNTIF(Linkway_Register!$A$5:$A$304,A607)+COUNTIF(Other_Register!$A$5:$A$304,A607))&gt;0,"OK","ID not in any register"))</f>
        <v/>
      </c>
    </row>
    <row r="608" customFormat="false" ht="15" hidden="false" customHeight="false" outlineLevel="0" collapsed="false">
      <c r="A608" s="9"/>
      <c r="B608" s="9"/>
      <c r="C608" s="9"/>
      <c r="D608" s="9"/>
      <c r="E608" s="9"/>
      <c r="F608" s="9"/>
      <c r="G608" s="9"/>
      <c r="H608" s="9"/>
      <c r="I608" s="9"/>
      <c r="J608" s="10" t="str">
        <f aca="false">IF(A608="","",IF(G608&lt;&gt;"",G608,IF(N(F608)&gt;0,ROUND(1000/F608,3),0)))</f>
        <v/>
      </c>
      <c r="K608" s="10" t="str">
        <f aca="false">IF(OR(A608="",E608="",H608=""),"",ROUND(0.00617*E608^2*H608*J608,2))</f>
        <v/>
      </c>
      <c r="L608" s="9"/>
      <c r="M608" s="10" t="str">
        <f aca="false">IF(A608="","",IF((COUNTIF(Drain_Register!$A$5:$A$304,A608)+COUNTIF(RW_Register!$A$5:$A$304,A608)+COUNTIF(Embedded_Wall_Register!$A$5:$A$304,A608)+COUNTIF(Manhole_Register!$A$5:$A$304,A608)+COUNTIF(ERSS_Pit_Register!$A$5:$A$304,A608)+COUNTIF(Linkway_Register!$A$5:$A$304,A608)+COUNTIF(Other_Register!$A$5:$A$304,A608))&gt;0,"OK","ID not in any register"))</f>
        <v/>
      </c>
    </row>
    <row r="609" customFormat="false" ht="15" hidden="false" customHeight="false" outlineLevel="0" collapsed="false">
      <c r="A609" s="9"/>
      <c r="B609" s="9"/>
      <c r="C609" s="9"/>
      <c r="D609" s="9"/>
      <c r="E609" s="9"/>
      <c r="F609" s="9"/>
      <c r="G609" s="9"/>
      <c r="H609" s="9"/>
      <c r="I609" s="9"/>
      <c r="J609" s="10" t="str">
        <f aca="false">IF(A609="","",IF(G609&lt;&gt;"",G609,IF(N(F609)&gt;0,ROUND(1000/F609,3),0)))</f>
        <v/>
      </c>
      <c r="K609" s="10" t="str">
        <f aca="false">IF(OR(A609="",E609="",H609=""),"",ROUND(0.00617*E609^2*H609*J609,2))</f>
        <v/>
      </c>
      <c r="L609" s="9"/>
      <c r="M609" s="10" t="str">
        <f aca="false">IF(A609="","",IF((COUNTIF(Drain_Register!$A$5:$A$304,A609)+COUNTIF(RW_Register!$A$5:$A$304,A609)+COUNTIF(Embedded_Wall_Register!$A$5:$A$304,A609)+COUNTIF(Manhole_Register!$A$5:$A$304,A609)+COUNTIF(ERSS_Pit_Register!$A$5:$A$304,A609)+COUNTIF(Linkway_Register!$A$5:$A$304,A609)+COUNTIF(Other_Register!$A$5:$A$304,A609))&gt;0,"OK","ID not in any register"))</f>
        <v/>
      </c>
    </row>
    <row r="610" customFormat="false" ht="15" hidden="false" customHeight="false" outlineLevel="0" collapsed="false">
      <c r="A610" s="9"/>
      <c r="B610" s="9"/>
      <c r="C610" s="9"/>
      <c r="D610" s="9"/>
      <c r="E610" s="9"/>
      <c r="F610" s="9"/>
      <c r="G610" s="9"/>
      <c r="H610" s="9"/>
      <c r="I610" s="9"/>
      <c r="J610" s="10" t="str">
        <f aca="false">IF(A610="","",IF(G610&lt;&gt;"",G610,IF(N(F610)&gt;0,ROUND(1000/F610,3),0)))</f>
        <v/>
      </c>
      <c r="K610" s="10" t="str">
        <f aca="false">IF(OR(A610="",E610="",H610=""),"",ROUND(0.00617*E610^2*H610*J610,2))</f>
        <v/>
      </c>
      <c r="L610" s="9"/>
      <c r="M610" s="10" t="str">
        <f aca="false">IF(A610="","",IF((COUNTIF(Drain_Register!$A$5:$A$304,A610)+COUNTIF(RW_Register!$A$5:$A$304,A610)+COUNTIF(Embedded_Wall_Register!$A$5:$A$304,A610)+COUNTIF(Manhole_Register!$A$5:$A$304,A610)+COUNTIF(ERSS_Pit_Register!$A$5:$A$304,A610)+COUNTIF(Linkway_Register!$A$5:$A$304,A610)+COUNTIF(Other_Register!$A$5:$A$304,A610))&gt;0,"OK","ID not in any register"))</f>
        <v/>
      </c>
    </row>
    <row r="611" customFormat="false" ht="15" hidden="false" customHeight="false" outlineLevel="0" collapsed="false">
      <c r="A611" s="9"/>
      <c r="B611" s="9"/>
      <c r="C611" s="9"/>
      <c r="D611" s="9"/>
      <c r="E611" s="9"/>
      <c r="F611" s="9"/>
      <c r="G611" s="9"/>
      <c r="H611" s="9"/>
      <c r="I611" s="9"/>
      <c r="J611" s="10" t="str">
        <f aca="false">IF(A611="","",IF(G611&lt;&gt;"",G611,IF(N(F611)&gt;0,ROUND(1000/F611,3),0)))</f>
        <v/>
      </c>
      <c r="K611" s="10" t="str">
        <f aca="false">IF(OR(A611="",E611="",H611=""),"",ROUND(0.00617*E611^2*H611*J611,2))</f>
        <v/>
      </c>
      <c r="L611" s="9"/>
      <c r="M611" s="10" t="str">
        <f aca="false">IF(A611="","",IF((COUNTIF(Drain_Register!$A$5:$A$304,A611)+COUNTIF(RW_Register!$A$5:$A$304,A611)+COUNTIF(Embedded_Wall_Register!$A$5:$A$304,A611)+COUNTIF(Manhole_Register!$A$5:$A$304,A611)+COUNTIF(ERSS_Pit_Register!$A$5:$A$304,A611)+COUNTIF(Linkway_Register!$A$5:$A$304,A611)+COUNTIF(Other_Register!$A$5:$A$304,A611))&gt;0,"OK","ID not in any register"))</f>
        <v/>
      </c>
    </row>
    <row r="612" customFormat="false" ht="15" hidden="false" customHeight="false" outlineLevel="0" collapsed="false">
      <c r="A612" s="9"/>
      <c r="B612" s="9"/>
      <c r="C612" s="9"/>
      <c r="D612" s="9"/>
      <c r="E612" s="9"/>
      <c r="F612" s="9"/>
      <c r="G612" s="9"/>
      <c r="H612" s="9"/>
      <c r="I612" s="9"/>
      <c r="J612" s="10" t="str">
        <f aca="false">IF(A612="","",IF(G612&lt;&gt;"",G612,IF(N(F612)&gt;0,ROUND(1000/F612,3),0)))</f>
        <v/>
      </c>
      <c r="K612" s="10" t="str">
        <f aca="false">IF(OR(A612="",E612="",H612=""),"",ROUND(0.00617*E612^2*H612*J612,2))</f>
        <v/>
      </c>
      <c r="L612" s="9"/>
      <c r="M612" s="10" t="str">
        <f aca="false">IF(A612="","",IF((COUNTIF(Drain_Register!$A$5:$A$304,A612)+COUNTIF(RW_Register!$A$5:$A$304,A612)+COUNTIF(Embedded_Wall_Register!$A$5:$A$304,A612)+COUNTIF(Manhole_Register!$A$5:$A$304,A612)+COUNTIF(ERSS_Pit_Register!$A$5:$A$304,A612)+COUNTIF(Linkway_Register!$A$5:$A$304,A612)+COUNTIF(Other_Register!$A$5:$A$304,A612))&gt;0,"OK","ID not in any register"))</f>
        <v/>
      </c>
    </row>
    <row r="613" customFormat="false" ht="15" hidden="false" customHeight="false" outlineLevel="0" collapsed="false">
      <c r="A613" s="9"/>
      <c r="B613" s="9"/>
      <c r="C613" s="9"/>
      <c r="D613" s="9"/>
      <c r="E613" s="9"/>
      <c r="F613" s="9"/>
      <c r="G613" s="9"/>
      <c r="H613" s="9"/>
      <c r="I613" s="9"/>
      <c r="J613" s="10" t="str">
        <f aca="false">IF(A613="","",IF(G613&lt;&gt;"",G613,IF(N(F613)&gt;0,ROUND(1000/F613,3),0)))</f>
        <v/>
      </c>
      <c r="K613" s="10" t="str">
        <f aca="false">IF(OR(A613="",E613="",H613=""),"",ROUND(0.00617*E613^2*H613*J613,2))</f>
        <v/>
      </c>
      <c r="L613" s="9"/>
      <c r="M613" s="10" t="str">
        <f aca="false">IF(A613="","",IF((COUNTIF(Drain_Register!$A$5:$A$304,A613)+COUNTIF(RW_Register!$A$5:$A$304,A613)+COUNTIF(Embedded_Wall_Register!$A$5:$A$304,A613)+COUNTIF(Manhole_Register!$A$5:$A$304,A613)+COUNTIF(ERSS_Pit_Register!$A$5:$A$304,A613)+COUNTIF(Linkway_Register!$A$5:$A$304,A613)+COUNTIF(Other_Register!$A$5:$A$304,A613))&gt;0,"OK","ID not in any register"))</f>
        <v/>
      </c>
    </row>
    <row r="614" customFormat="false" ht="15" hidden="false" customHeight="false" outlineLevel="0" collapsed="false">
      <c r="A614" s="9"/>
      <c r="B614" s="9"/>
      <c r="C614" s="9"/>
      <c r="D614" s="9"/>
      <c r="E614" s="9"/>
      <c r="F614" s="9"/>
      <c r="G614" s="9"/>
      <c r="H614" s="9"/>
      <c r="I614" s="9"/>
      <c r="J614" s="10" t="str">
        <f aca="false">IF(A614="","",IF(G614&lt;&gt;"",G614,IF(N(F614)&gt;0,ROUND(1000/F614,3),0)))</f>
        <v/>
      </c>
      <c r="K614" s="10" t="str">
        <f aca="false">IF(OR(A614="",E614="",H614=""),"",ROUND(0.00617*E614^2*H614*J614,2))</f>
        <v/>
      </c>
      <c r="L614" s="9"/>
      <c r="M614" s="10" t="str">
        <f aca="false">IF(A614="","",IF((COUNTIF(Drain_Register!$A$5:$A$304,A614)+COUNTIF(RW_Register!$A$5:$A$304,A614)+COUNTIF(Embedded_Wall_Register!$A$5:$A$304,A614)+COUNTIF(Manhole_Register!$A$5:$A$304,A614)+COUNTIF(ERSS_Pit_Register!$A$5:$A$304,A614)+COUNTIF(Linkway_Register!$A$5:$A$304,A614)+COUNTIF(Other_Register!$A$5:$A$304,A614))&gt;0,"OK","ID not in any register"))</f>
        <v/>
      </c>
    </row>
    <row r="615" customFormat="false" ht="15" hidden="false" customHeight="false" outlineLevel="0" collapsed="false">
      <c r="A615" s="9"/>
      <c r="B615" s="9"/>
      <c r="C615" s="9"/>
      <c r="D615" s="9"/>
      <c r="E615" s="9"/>
      <c r="F615" s="9"/>
      <c r="G615" s="9"/>
      <c r="H615" s="9"/>
      <c r="I615" s="9"/>
      <c r="J615" s="10" t="str">
        <f aca="false">IF(A615="","",IF(G615&lt;&gt;"",G615,IF(N(F615)&gt;0,ROUND(1000/F615,3),0)))</f>
        <v/>
      </c>
      <c r="K615" s="10" t="str">
        <f aca="false">IF(OR(A615="",E615="",H615=""),"",ROUND(0.00617*E615^2*H615*J615,2))</f>
        <v/>
      </c>
      <c r="L615" s="9"/>
      <c r="M615" s="10" t="str">
        <f aca="false">IF(A615="","",IF((COUNTIF(Drain_Register!$A$5:$A$304,A615)+COUNTIF(RW_Register!$A$5:$A$304,A615)+COUNTIF(Embedded_Wall_Register!$A$5:$A$304,A615)+COUNTIF(Manhole_Register!$A$5:$A$304,A615)+COUNTIF(ERSS_Pit_Register!$A$5:$A$304,A615)+COUNTIF(Linkway_Register!$A$5:$A$304,A615)+COUNTIF(Other_Register!$A$5:$A$304,A615))&gt;0,"OK","ID not in any register"))</f>
        <v/>
      </c>
    </row>
    <row r="616" customFormat="false" ht="15" hidden="false" customHeight="false" outlineLevel="0" collapsed="false">
      <c r="A616" s="9"/>
      <c r="B616" s="9"/>
      <c r="C616" s="9"/>
      <c r="D616" s="9"/>
      <c r="E616" s="9"/>
      <c r="F616" s="9"/>
      <c r="G616" s="9"/>
      <c r="H616" s="9"/>
      <c r="I616" s="9"/>
      <c r="J616" s="10" t="str">
        <f aca="false">IF(A616="","",IF(G616&lt;&gt;"",G616,IF(N(F616)&gt;0,ROUND(1000/F616,3),0)))</f>
        <v/>
      </c>
      <c r="K616" s="10" t="str">
        <f aca="false">IF(OR(A616="",E616="",H616=""),"",ROUND(0.00617*E616^2*H616*J616,2))</f>
        <v/>
      </c>
      <c r="L616" s="9"/>
      <c r="M616" s="10" t="str">
        <f aca="false">IF(A616="","",IF((COUNTIF(Drain_Register!$A$5:$A$304,A616)+COUNTIF(RW_Register!$A$5:$A$304,A616)+COUNTIF(Embedded_Wall_Register!$A$5:$A$304,A616)+COUNTIF(Manhole_Register!$A$5:$A$304,A616)+COUNTIF(ERSS_Pit_Register!$A$5:$A$304,A616)+COUNTIF(Linkway_Register!$A$5:$A$304,A616)+COUNTIF(Other_Register!$A$5:$A$304,A616))&gt;0,"OK","ID not in any register"))</f>
        <v/>
      </c>
    </row>
    <row r="617" customFormat="false" ht="15" hidden="false" customHeight="false" outlineLevel="0" collapsed="false">
      <c r="A617" s="9"/>
      <c r="B617" s="9"/>
      <c r="C617" s="9"/>
      <c r="D617" s="9"/>
      <c r="E617" s="9"/>
      <c r="F617" s="9"/>
      <c r="G617" s="9"/>
      <c r="H617" s="9"/>
      <c r="I617" s="9"/>
      <c r="J617" s="10" t="str">
        <f aca="false">IF(A617="","",IF(G617&lt;&gt;"",G617,IF(N(F617)&gt;0,ROUND(1000/F617,3),0)))</f>
        <v/>
      </c>
      <c r="K617" s="10" t="str">
        <f aca="false">IF(OR(A617="",E617="",H617=""),"",ROUND(0.00617*E617^2*H617*J617,2))</f>
        <v/>
      </c>
      <c r="L617" s="9"/>
      <c r="M617" s="10" t="str">
        <f aca="false">IF(A617="","",IF((COUNTIF(Drain_Register!$A$5:$A$304,A617)+COUNTIF(RW_Register!$A$5:$A$304,A617)+COUNTIF(Embedded_Wall_Register!$A$5:$A$304,A617)+COUNTIF(Manhole_Register!$A$5:$A$304,A617)+COUNTIF(ERSS_Pit_Register!$A$5:$A$304,A617)+COUNTIF(Linkway_Register!$A$5:$A$304,A617)+COUNTIF(Other_Register!$A$5:$A$304,A617))&gt;0,"OK","ID not in any register"))</f>
        <v/>
      </c>
    </row>
    <row r="618" customFormat="false" ht="15" hidden="false" customHeight="false" outlineLevel="0" collapsed="false">
      <c r="A618" s="9"/>
      <c r="B618" s="9"/>
      <c r="C618" s="9"/>
      <c r="D618" s="9"/>
      <c r="E618" s="9"/>
      <c r="F618" s="9"/>
      <c r="G618" s="9"/>
      <c r="H618" s="9"/>
      <c r="I618" s="9"/>
      <c r="J618" s="10" t="str">
        <f aca="false">IF(A618="","",IF(G618&lt;&gt;"",G618,IF(N(F618)&gt;0,ROUND(1000/F618,3),0)))</f>
        <v/>
      </c>
      <c r="K618" s="10" t="str">
        <f aca="false">IF(OR(A618="",E618="",H618=""),"",ROUND(0.00617*E618^2*H618*J618,2))</f>
        <v/>
      </c>
      <c r="L618" s="9"/>
      <c r="M618" s="10" t="str">
        <f aca="false">IF(A618="","",IF((COUNTIF(Drain_Register!$A$5:$A$304,A618)+COUNTIF(RW_Register!$A$5:$A$304,A618)+COUNTIF(Embedded_Wall_Register!$A$5:$A$304,A618)+COUNTIF(Manhole_Register!$A$5:$A$304,A618)+COUNTIF(ERSS_Pit_Register!$A$5:$A$304,A618)+COUNTIF(Linkway_Register!$A$5:$A$304,A618)+COUNTIF(Other_Register!$A$5:$A$304,A618))&gt;0,"OK","ID not in any register"))</f>
        <v/>
      </c>
    </row>
    <row r="619" customFormat="false" ht="15" hidden="false" customHeight="false" outlineLevel="0" collapsed="false">
      <c r="A619" s="9"/>
      <c r="B619" s="9"/>
      <c r="C619" s="9"/>
      <c r="D619" s="9"/>
      <c r="E619" s="9"/>
      <c r="F619" s="9"/>
      <c r="G619" s="9"/>
      <c r="H619" s="9"/>
      <c r="I619" s="9"/>
      <c r="J619" s="10" t="str">
        <f aca="false">IF(A619="","",IF(G619&lt;&gt;"",G619,IF(N(F619)&gt;0,ROUND(1000/F619,3),0)))</f>
        <v/>
      </c>
      <c r="K619" s="10" t="str">
        <f aca="false">IF(OR(A619="",E619="",H619=""),"",ROUND(0.00617*E619^2*H619*J619,2))</f>
        <v/>
      </c>
      <c r="L619" s="9"/>
      <c r="M619" s="10" t="str">
        <f aca="false">IF(A619="","",IF((COUNTIF(Drain_Register!$A$5:$A$304,A619)+COUNTIF(RW_Register!$A$5:$A$304,A619)+COUNTIF(Embedded_Wall_Register!$A$5:$A$304,A619)+COUNTIF(Manhole_Register!$A$5:$A$304,A619)+COUNTIF(ERSS_Pit_Register!$A$5:$A$304,A619)+COUNTIF(Linkway_Register!$A$5:$A$304,A619)+COUNTIF(Other_Register!$A$5:$A$304,A619))&gt;0,"OK","ID not in any register"))</f>
        <v/>
      </c>
    </row>
    <row r="620" customFormat="false" ht="15" hidden="false" customHeight="false" outlineLevel="0" collapsed="false">
      <c r="A620" s="9"/>
      <c r="B620" s="9"/>
      <c r="C620" s="9"/>
      <c r="D620" s="9"/>
      <c r="E620" s="9"/>
      <c r="F620" s="9"/>
      <c r="G620" s="9"/>
      <c r="H620" s="9"/>
      <c r="I620" s="9"/>
      <c r="J620" s="10" t="str">
        <f aca="false">IF(A620="","",IF(G620&lt;&gt;"",G620,IF(N(F620)&gt;0,ROUND(1000/F620,3),0)))</f>
        <v/>
      </c>
      <c r="K620" s="10" t="str">
        <f aca="false">IF(OR(A620="",E620="",H620=""),"",ROUND(0.00617*E620^2*H620*J620,2))</f>
        <v/>
      </c>
      <c r="L620" s="9"/>
      <c r="M620" s="10" t="str">
        <f aca="false">IF(A620="","",IF((COUNTIF(Drain_Register!$A$5:$A$304,A620)+COUNTIF(RW_Register!$A$5:$A$304,A620)+COUNTIF(Embedded_Wall_Register!$A$5:$A$304,A620)+COUNTIF(Manhole_Register!$A$5:$A$304,A620)+COUNTIF(ERSS_Pit_Register!$A$5:$A$304,A620)+COUNTIF(Linkway_Register!$A$5:$A$304,A620)+COUNTIF(Other_Register!$A$5:$A$304,A620))&gt;0,"OK","ID not in any register"))</f>
        <v/>
      </c>
    </row>
    <row r="621" customFormat="false" ht="15" hidden="false" customHeight="false" outlineLevel="0" collapsed="false">
      <c r="A621" s="9"/>
      <c r="B621" s="9"/>
      <c r="C621" s="9"/>
      <c r="D621" s="9"/>
      <c r="E621" s="9"/>
      <c r="F621" s="9"/>
      <c r="G621" s="9"/>
      <c r="H621" s="9"/>
      <c r="I621" s="9"/>
      <c r="J621" s="10" t="str">
        <f aca="false">IF(A621="","",IF(G621&lt;&gt;"",G621,IF(N(F621)&gt;0,ROUND(1000/F621,3),0)))</f>
        <v/>
      </c>
      <c r="K621" s="10" t="str">
        <f aca="false">IF(OR(A621="",E621="",H621=""),"",ROUND(0.00617*E621^2*H621*J621,2))</f>
        <v/>
      </c>
      <c r="L621" s="9"/>
      <c r="M621" s="10" t="str">
        <f aca="false">IF(A621="","",IF((COUNTIF(Drain_Register!$A$5:$A$304,A621)+COUNTIF(RW_Register!$A$5:$A$304,A621)+COUNTIF(Embedded_Wall_Register!$A$5:$A$304,A621)+COUNTIF(Manhole_Register!$A$5:$A$304,A621)+COUNTIF(ERSS_Pit_Register!$A$5:$A$304,A621)+COUNTIF(Linkway_Register!$A$5:$A$304,A621)+COUNTIF(Other_Register!$A$5:$A$304,A621))&gt;0,"OK","ID not in any register"))</f>
        <v/>
      </c>
    </row>
    <row r="622" customFormat="false" ht="15" hidden="false" customHeight="false" outlineLevel="0" collapsed="false">
      <c r="A622" s="9"/>
      <c r="B622" s="9"/>
      <c r="C622" s="9"/>
      <c r="D622" s="9"/>
      <c r="E622" s="9"/>
      <c r="F622" s="9"/>
      <c r="G622" s="9"/>
      <c r="H622" s="9"/>
      <c r="I622" s="9"/>
      <c r="J622" s="10" t="str">
        <f aca="false">IF(A622="","",IF(G622&lt;&gt;"",G622,IF(N(F622)&gt;0,ROUND(1000/F622,3),0)))</f>
        <v/>
      </c>
      <c r="K622" s="10" t="str">
        <f aca="false">IF(OR(A622="",E622="",H622=""),"",ROUND(0.00617*E622^2*H622*J622,2))</f>
        <v/>
      </c>
      <c r="L622" s="9"/>
      <c r="M622" s="10" t="str">
        <f aca="false">IF(A622="","",IF((COUNTIF(Drain_Register!$A$5:$A$304,A622)+COUNTIF(RW_Register!$A$5:$A$304,A622)+COUNTIF(Embedded_Wall_Register!$A$5:$A$304,A622)+COUNTIF(Manhole_Register!$A$5:$A$304,A622)+COUNTIF(ERSS_Pit_Register!$A$5:$A$304,A622)+COUNTIF(Linkway_Register!$A$5:$A$304,A622)+COUNTIF(Other_Register!$A$5:$A$304,A622))&gt;0,"OK","ID not in any register"))</f>
        <v/>
      </c>
    </row>
    <row r="623" customFormat="false" ht="15" hidden="false" customHeight="false" outlineLevel="0" collapsed="false">
      <c r="A623" s="9"/>
      <c r="B623" s="9"/>
      <c r="C623" s="9"/>
      <c r="D623" s="9"/>
      <c r="E623" s="9"/>
      <c r="F623" s="9"/>
      <c r="G623" s="9"/>
      <c r="H623" s="9"/>
      <c r="I623" s="9"/>
      <c r="J623" s="10" t="str">
        <f aca="false">IF(A623="","",IF(G623&lt;&gt;"",G623,IF(N(F623)&gt;0,ROUND(1000/F623,3),0)))</f>
        <v/>
      </c>
      <c r="K623" s="10" t="str">
        <f aca="false">IF(OR(A623="",E623="",H623=""),"",ROUND(0.00617*E623^2*H623*J623,2))</f>
        <v/>
      </c>
      <c r="L623" s="9"/>
      <c r="M623" s="10" t="str">
        <f aca="false">IF(A623="","",IF((COUNTIF(Drain_Register!$A$5:$A$304,A623)+COUNTIF(RW_Register!$A$5:$A$304,A623)+COUNTIF(Embedded_Wall_Register!$A$5:$A$304,A623)+COUNTIF(Manhole_Register!$A$5:$A$304,A623)+COUNTIF(ERSS_Pit_Register!$A$5:$A$304,A623)+COUNTIF(Linkway_Register!$A$5:$A$304,A623)+COUNTIF(Other_Register!$A$5:$A$304,A623))&gt;0,"OK","ID not in any register"))</f>
        <v/>
      </c>
    </row>
    <row r="624" customFormat="false" ht="15" hidden="false" customHeight="false" outlineLevel="0" collapsed="false">
      <c r="A624" s="9"/>
      <c r="B624" s="9"/>
      <c r="C624" s="9"/>
      <c r="D624" s="9"/>
      <c r="E624" s="9"/>
      <c r="F624" s="9"/>
      <c r="G624" s="9"/>
      <c r="H624" s="9"/>
      <c r="I624" s="9"/>
      <c r="J624" s="10" t="str">
        <f aca="false">IF(A624="","",IF(G624&lt;&gt;"",G624,IF(N(F624)&gt;0,ROUND(1000/F624,3),0)))</f>
        <v/>
      </c>
      <c r="K624" s="10" t="str">
        <f aca="false">IF(OR(A624="",E624="",H624=""),"",ROUND(0.00617*E624^2*H624*J624,2))</f>
        <v/>
      </c>
      <c r="L624" s="9"/>
      <c r="M624" s="10" t="str">
        <f aca="false">IF(A624="","",IF((COUNTIF(Drain_Register!$A$5:$A$304,A624)+COUNTIF(RW_Register!$A$5:$A$304,A624)+COUNTIF(Embedded_Wall_Register!$A$5:$A$304,A624)+COUNTIF(Manhole_Register!$A$5:$A$304,A624)+COUNTIF(ERSS_Pit_Register!$A$5:$A$304,A624)+COUNTIF(Linkway_Register!$A$5:$A$304,A624)+COUNTIF(Other_Register!$A$5:$A$304,A624))&gt;0,"OK","ID not in any register"))</f>
        <v/>
      </c>
    </row>
    <row r="625" customFormat="false" ht="15" hidden="false" customHeight="false" outlineLevel="0" collapsed="false">
      <c r="A625" s="9"/>
      <c r="B625" s="9"/>
      <c r="C625" s="9"/>
      <c r="D625" s="9"/>
      <c r="E625" s="9"/>
      <c r="F625" s="9"/>
      <c r="G625" s="9"/>
      <c r="H625" s="9"/>
      <c r="I625" s="9"/>
      <c r="J625" s="10" t="str">
        <f aca="false">IF(A625="","",IF(G625&lt;&gt;"",G625,IF(N(F625)&gt;0,ROUND(1000/F625,3),0)))</f>
        <v/>
      </c>
      <c r="K625" s="10" t="str">
        <f aca="false">IF(OR(A625="",E625="",H625=""),"",ROUND(0.00617*E625^2*H625*J625,2))</f>
        <v/>
      </c>
      <c r="L625" s="9"/>
      <c r="M625" s="10" t="str">
        <f aca="false">IF(A625="","",IF((COUNTIF(Drain_Register!$A$5:$A$304,A625)+COUNTIF(RW_Register!$A$5:$A$304,A625)+COUNTIF(Embedded_Wall_Register!$A$5:$A$304,A625)+COUNTIF(Manhole_Register!$A$5:$A$304,A625)+COUNTIF(ERSS_Pit_Register!$A$5:$A$304,A625)+COUNTIF(Linkway_Register!$A$5:$A$304,A625)+COUNTIF(Other_Register!$A$5:$A$304,A625))&gt;0,"OK","ID not in any register"))</f>
        <v/>
      </c>
    </row>
    <row r="626" customFormat="false" ht="15" hidden="false" customHeight="false" outlineLevel="0" collapsed="false">
      <c r="A626" s="9"/>
      <c r="B626" s="9"/>
      <c r="C626" s="9"/>
      <c r="D626" s="9"/>
      <c r="E626" s="9"/>
      <c r="F626" s="9"/>
      <c r="G626" s="9"/>
      <c r="H626" s="9"/>
      <c r="I626" s="9"/>
      <c r="J626" s="10" t="str">
        <f aca="false">IF(A626="","",IF(G626&lt;&gt;"",G626,IF(N(F626)&gt;0,ROUND(1000/F626,3),0)))</f>
        <v/>
      </c>
      <c r="K626" s="10" t="str">
        <f aca="false">IF(OR(A626="",E626="",H626=""),"",ROUND(0.00617*E626^2*H626*J626,2))</f>
        <v/>
      </c>
      <c r="L626" s="9"/>
      <c r="M626" s="10" t="str">
        <f aca="false">IF(A626="","",IF((COUNTIF(Drain_Register!$A$5:$A$304,A626)+COUNTIF(RW_Register!$A$5:$A$304,A626)+COUNTIF(Embedded_Wall_Register!$A$5:$A$304,A626)+COUNTIF(Manhole_Register!$A$5:$A$304,A626)+COUNTIF(ERSS_Pit_Register!$A$5:$A$304,A626)+COUNTIF(Linkway_Register!$A$5:$A$304,A626)+COUNTIF(Other_Register!$A$5:$A$304,A626))&gt;0,"OK","ID not in any register"))</f>
        <v/>
      </c>
    </row>
    <row r="627" customFormat="false" ht="15" hidden="false" customHeight="false" outlineLevel="0" collapsed="false">
      <c r="A627" s="9"/>
      <c r="B627" s="9"/>
      <c r="C627" s="9"/>
      <c r="D627" s="9"/>
      <c r="E627" s="9"/>
      <c r="F627" s="9"/>
      <c r="G627" s="9"/>
      <c r="H627" s="9"/>
      <c r="I627" s="9"/>
      <c r="J627" s="10" t="str">
        <f aca="false">IF(A627="","",IF(G627&lt;&gt;"",G627,IF(N(F627)&gt;0,ROUND(1000/F627,3),0)))</f>
        <v/>
      </c>
      <c r="K627" s="10" t="str">
        <f aca="false">IF(OR(A627="",E627="",H627=""),"",ROUND(0.00617*E627^2*H627*J627,2))</f>
        <v/>
      </c>
      <c r="L627" s="9"/>
      <c r="M627" s="10" t="str">
        <f aca="false">IF(A627="","",IF((COUNTIF(Drain_Register!$A$5:$A$304,A627)+COUNTIF(RW_Register!$A$5:$A$304,A627)+COUNTIF(Embedded_Wall_Register!$A$5:$A$304,A627)+COUNTIF(Manhole_Register!$A$5:$A$304,A627)+COUNTIF(ERSS_Pit_Register!$A$5:$A$304,A627)+COUNTIF(Linkway_Register!$A$5:$A$304,A627)+COUNTIF(Other_Register!$A$5:$A$304,A627))&gt;0,"OK","ID not in any register"))</f>
        <v/>
      </c>
    </row>
    <row r="628" customFormat="false" ht="15" hidden="false" customHeight="false" outlineLevel="0" collapsed="false">
      <c r="A628" s="9"/>
      <c r="B628" s="9"/>
      <c r="C628" s="9"/>
      <c r="D628" s="9"/>
      <c r="E628" s="9"/>
      <c r="F628" s="9"/>
      <c r="G628" s="9"/>
      <c r="H628" s="9"/>
      <c r="I628" s="9"/>
      <c r="J628" s="10" t="str">
        <f aca="false">IF(A628="","",IF(G628&lt;&gt;"",G628,IF(N(F628)&gt;0,ROUND(1000/F628,3),0)))</f>
        <v/>
      </c>
      <c r="K628" s="10" t="str">
        <f aca="false">IF(OR(A628="",E628="",H628=""),"",ROUND(0.00617*E628^2*H628*J628,2))</f>
        <v/>
      </c>
      <c r="L628" s="9"/>
      <c r="M628" s="10" t="str">
        <f aca="false">IF(A628="","",IF((COUNTIF(Drain_Register!$A$5:$A$304,A628)+COUNTIF(RW_Register!$A$5:$A$304,A628)+COUNTIF(Embedded_Wall_Register!$A$5:$A$304,A628)+COUNTIF(Manhole_Register!$A$5:$A$304,A628)+COUNTIF(ERSS_Pit_Register!$A$5:$A$304,A628)+COUNTIF(Linkway_Register!$A$5:$A$304,A628)+COUNTIF(Other_Register!$A$5:$A$304,A628))&gt;0,"OK","ID not in any register"))</f>
        <v/>
      </c>
    </row>
    <row r="629" customFormat="false" ht="15" hidden="false" customHeight="false" outlineLevel="0" collapsed="false">
      <c r="A629" s="9"/>
      <c r="B629" s="9"/>
      <c r="C629" s="9"/>
      <c r="D629" s="9"/>
      <c r="E629" s="9"/>
      <c r="F629" s="9"/>
      <c r="G629" s="9"/>
      <c r="H629" s="9"/>
      <c r="I629" s="9"/>
      <c r="J629" s="10" t="str">
        <f aca="false">IF(A629="","",IF(G629&lt;&gt;"",G629,IF(N(F629)&gt;0,ROUND(1000/F629,3),0)))</f>
        <v/>
      </c>
      <c r="K629" s="10" t="str">
        <f aca="false">IF(OR(A629="",E629="",H629=""),"",ROUND(0.00617*E629^2*H629*J629,2))</f>
        <v/>
      </c>
      <c r="L629" s="9"/>
      <c r="M629" s="10" t="str">
        <f aca="false">IF(A629="","",IF((COUNTIF(Drain_Register!$A$5:$A$304,A629)+COUNTIF(RW_Register!$A$5:$A$304,A629)+COUNTIF(Embedded_Wall_Register!$A$5:$A$304,A629)+COUNTIF(Manhole_Register!$A$5:$A$304,A629)+COUNTIF(ERSS_Pit_Register!$A$5:$A$304,A629)+COUNTIF(Linkway_Register!$A$5:$A$304,A629)+COUNTIF(Other_Register!$A$5:$A$304,A629))&gt;0,"OK","ID not in any register"))</f>
        <v/>
      </c>
    </row>
    <row r="630" customFormat="false" ht="15" hidden="false" customHeight="false" outlineLevel="0" collapsed="false">
      <c r="A630" s="9"/>
      <c r="B630" s="9"/>
      <c r="C630" s="9"/>
      <c r="D630" s="9"/>
      <c r="E630" s="9"/>
      <c r="F630" s="9"/>
      <c r="G630" s="9"/>
      <c r="H630" s="9"/>
      <c r="I630" s="9"/>
      <c r="J630" s="10" t="str">
        <f aca="false">IF(A630="","",IF(G630&lt;&gt;"",G630,IF(N(F630)&gt;0,ROUND(1000/F630,3),0)))</f>
        <v/>
      </c>
      <c r="K630" s="10" t="str">
        <f aca="false">IF(OR(A630="",E630="",H630=""),"",ROUND(0.00617*E630^2*H630*J630,2))</f>
        <v/>
      </c>
      <c r="L630" s="9"/>
      <c r="M630" s="10" t="str">
        <f aca="false">IF(A630="","",IF((COUNTIF(Drain_Register!$A$5:$A$304,A630)+COUNTIF(RW_Register!$A$5:$A$304,A630)+COUNTIF(Embedded_Wall_Register!$A$5:$A$304,A630)+COUNTIF(Manhole_Register!$A$5:$A$304,A630)+COUNTIF(ERSS_Pit_Register!$A$5:$A$304,A630)+COUNTIF(Linkway_Register!$A$5:$A$304,A630)+COUNTIF(Other_Register!$A$5:$A$304,A630))&gt;0,"OK","ID not in any register"))</f>
        <v/>
      </c>
    </row>
    <row r="631" customFormat="false" ht="15" hidden="false" customHeight="false" outlineLevel="0" collapsed="false">
      <c r="A631" s="9"/>
      <c r="B631" s="9"/>
      <c r="C631" s="9"/>
      <c r="D631" s="9"/>
      <c r="E631" s="9"/>
      <c r="F631" s="9"/>
      <c r="G631" s="9"/>
      <c r="H631" s="9"/>
      <c r="I631" s="9"/>
      <c r="J631" s="10" t="str">
        <f aca="false">IF(A631="","",IF(G631&lt;&gt;"",G631,IF(N(F631)&gt;0,ROUND(1000/F631,3),0)))</f>
        <v/>
      </c>
      <c r="K631" s="10" t="str">
        <f aca="false">IF(OR(A631="",E631="",H631=""),"",ROUND(0.00617*E631^2*H631*J631,2))</f>
        <v/>
      </c>
      <c r="L631" s="9"/>
      <c r="M631" s="10" t="str">
        <f aca="false">IF(A631="","",IF((COUNTIF(Drain_Register!$A$5:$A$304,A631)+COUNTIF(RW_Register!$A$5:$A$304,A631)+COUNTIF(Embedded_Wall_Register!$A$5:$A$304,A631)+COUNTIF(Manhole_Register!$A$5:$A$304,A631)+COUNTIF(ERSS_Pit_Register!$A$5:$A$304,A631)+COUNTIF(Linkway_Register!$A$5:$A$304,A631)+COUNTIF(Other_Register!$A$5:$A$304,A631))&gt;0,"OK","ID not in any register"))</f>
        <v/>
      </c>
    </row>
    <row r="632" customFormat="false" ht="15" hidden="false" customHeight="false" outlineLevel="0" collapsed="false">
      <c r="A632" s="9"/>
      <c r="B632" s="9"/>
      <c r="C632" s="9"/>
      <c r="D632" s="9"/>
      <c r="E632" s="9"/>
      <c r="F632" s="9"/>
      <c r="G632" s="9"/>
      <c r="H632" s="9"/>
      <c r="I632" s="9"/>
      <c r="J632" s="10" t="str">
        <f aca="false">IF(A632="","",IF(G632&lt;&gt;"",G632,IF(N(F632)&gt;0,ROUND(1000/F632,3),0)))</f>
        <v/>
      </c>
      <c r="K632" s="10" t="str">
        <f aca="false">IF(OR(A632="",E632="",H632=""),"",ROUND(0.00617*E632^2*H632*J632,2))</f>
        <v/>
      </c>
      <c r="L632" s="9"/>
      <c r="M632" s="10" t="str">
        <f aca="false">IF(A632="","",IF((COUNTIF(Drain_Register!$A$5:$A$304,A632)+COUNTIF(RW_Register!$A$5:$A$304,A632)+COUNTIF(Embedded_Wall_Register!$A$5:$A$304,A632)+COUNTIF(Manhole_Register!$A$5:$A$304,A632)+COUNTIF(ERSS_Pit_Register!$A$5:$A$304,A632)+COUNTIF(Linkway_Register!$A$5:$A$304,A632)+COUNTIF(Other_Register!$A$5:$A$304,A632))&gt;0,"OK","ID not in any register"))</f>
        <v/>
      </c>
    </row>
    <row r="633" customFormat="false" ht="15" hidden="false" customHeight="false" outlineLevel="0" collapsed="false">
      <c r="A633" s="9"/>
      <c r="B633" s="9"/>
      <c r="C633" s="9"/>
      <c r="D633" s="9"/>
      <c r="E633" s="9"/>
      <c r="F633" s="9"/>
      <c r="G633" s="9"/>
      <c r="H633" s="9"/>
      <c r="I633" s="9"/>
      <c r="J633" s="10" t="str">
        <f aca="false">IF(A633="","",IF(G633&lt;&gt;"",G633,IF(N(F633)&gt;0,ROUND(1000/F633,3),0)))</f>
        <v/>
      </c>
      <c r="K633" s="10" t="str">
        <f aca="false">IF(OR(A633="",E633="",H633=""),"",ROUND(0.00617*E633^2*H633*J633,2))</f>
        <v/>
      </c>
      <c r="L633" s="9"/>
      <c r="M633" s="10" t="str">
        <f aca="false">IF(A633="","",IF((COUNTIF(Drain_Register!$A$5:$A$304,A633)+COUNTIF(RW_Register!$A$5:$A$304,A633)+COUNTIF(Embedded_Wall_Register!$A$5:$A$304,A633)+COUNTIF(Manhole_Register!$A$5:$A$304,A633)+COUNTIF(ERSS_Pit_Register!$A$5:$A$304,A633)+COUNTIF(Linkway_Register!$A$5:$A$304,A633)+COUNTIF(Other_Register!$A$5:$A$304,A633))&gt;0,"OK","ID not in any register"))</f>
        <v/>
      </c>
    </row>
    <row r="634" customFormat="false" ht="15" hidden="false" customHeight="false" outlineLevel="0" collapsed="false">
      <c r="A634" s="9"/>
      <c r="B634" s="9"/>
      <c r="C634" s="9"/>
      <c r="D634" s="9"/>
      <c r="E634" s="9"/>
      <c r="F634" s="9"/>
      <c r="G634" s="9"/>
      <c r="H634" s="9"/>
      <c r="I634" s="9"/>
      <c r="J634" s="10" t="str">
        <f aca="false">IF(A634="","",IF(G634&lt;&gt;"",G634,IF(N(F634)&gt;0,ROUND(1000/F634,3),0)))</f>
        <v/>
      </c>
      <c r="K634" s="10" t="str">
        <f aca="false">IF(OR(A634="",E634="",H634=""),"",ROUND(0.00617*E634^2*H634*J634,2))</f>
        <v/>
      </c>
      <c r="L634" s="9"/>
      <c r="M634" s="10" t="str">
        <f aca="false">IF(A634="","",IF((COUNTIF(Drain_Register!$A$5:$A$304,A634)+COUNTIF(RW_Register!$A$5:$A$304,A634)+COUNTIF(Embedded_Wall_Register!$A$5:$A$304,A634)+COUNTIF(Manhole_Register!$A$5:$A$304,A634)+COUNTIF(ERSS_Pit_Register!$A$5:$A$304,A634)+COUNTIF(Linkway_Register!$A$5:$A$304,A634)+COUNTIF(Other_Register!$A$5:$A$304,A634))&gt;0,"OK","ID not in any register"))</f>
        <v/>
      </c>
    </row>
    <row r="635" customFormat="false" ht="15" hidden="false" customHeight="false" outlineLevel="0" collapsed="false">
      <c r="A635" s="9"/>
      <c r="B635" s="9"/>
      <c r="C635" s="9"/>
      <c r="D635" s="9"/>
      <c r="E635" s="9"/>
      <c r="F635" s="9"/>
      <c r="G635" s="9"/>
      <c r="H635" s="9"/>
      <c r="I635" s="9"/>
      <c r="J635" s="10" t="str">
        <f aca="false">IF(A635="","",IF(G635&lt;&gt;"",G635,IF(N(F635)&gt;0,ROUND(1000/F635,3),0)))</f>
        <v/>
      </c>
      <c r="K635" s="10" t="str">
        <f aca="false">IF(OR(A635="",E635="",H635=""),"",ROUND(0.00617*E635^2*H635*J635,2))</f>
        <v/>
      </c>
      <c r="L635" s="9"/>
      <c r="M635" s="10" t="str">
        <f aca="false">IF(A635="","",IF((COUNTIF(Drain_Register!$A$5:$A$304,A635)+COUNTIF(RW_Register!$A$5:$A$304,A635)+COUNTIF(Embedded_Wall_Register!$A$5:$A$304,A635)+COUNTIF(Manhole_Register!$A$5:$A$304,A635)+COUNTIF(ERSS_Pit_Register!$A$5:$A$304,A635)+COUNTIF(Linkway_Register!$A$5:$A$304,A635)+COUNTIF(Other_Register!$A$5:$A$304,A635))&gt;0,"OK","ID not in any register"))</f>
        <v/>
      </c>
    </row>
    <row r="636" customFormat="false" ht="15" hidden="false" customHeight="false" outlineLevel="0" collapsed="false">
      <c r="A636" s="9"/>
      <c r="B636" s="9"/>
      <c r="C636" s="9"/>
      <c r="D636" s="9"/>
      <c r="E636" s="9"/>
      <c r="F636" s="9"/>
      <c r="G636" s="9"/>
      <c r="H636" s="9"/>
      <c r="I636" s="9"/>
      <c r="J636" s="10" t="str">
        <f aca="false">IF(A636="","",IF(G636&lt;&gt;"",G636,IF(N(F636)&gt;0,ROUND(1000/F636,3),0)))</f>
        <v/>
      </c>
      <c r="K636" s="10" t="str">
        <f aca="false">IF(OR(A636="",E636="",H636=""),"",ROUND(0.00617*E636^2*H636*J636,2))</f>
        <v/>
      </c>
      <c r="L636" s="9"/>
      <c r="M636" s="10" t="str">
        <f aca="false">IF(A636="","",IF((COUNTIF(Drain_Register!$A$5:$A$304,A636)+COUNTIF(RW_Register!$A$5:$A$304,A636)+COUNTIF(Embedded_Wall_Register!$A$5:$A$304,A636)+COUNTIF(Manhole_Register!$A$5:$A$304,A636)+COUNTIF(ERSS_Pit_Register!$A$5:$A$304,A636)+COUNTIF(Linkway_Register!$A$5:$A$304,A636)+COUNTIF(Other_Register!$A$5:$A$304,A636))&gt;0,"OK","ID not in any register"))</f>
        <v/>
      </c>
    </row>
    <row r="637" customFormat="false" ht="15" hidden="false" customHeight="false" outlineLevel="0" collapsed="false">
      <c r="A637" s="9"/>
      <c r="B637" s="9"/>
      <c r="C637" s="9"/>
      <c r="D637" s="9"/>
      <c r="E637" s="9"/>
      <c r="F637" s="9"/>
      <c r="G637" s="9"/>
      <c r="H637" s="9"/>
      <c r="I637" s="9"/>
      <c r="J637" s="10" t="str">
        <f aca="false">IF(A637="","",IF(G637&lt;&gt;"",G637,IF(N(F637)&gt;0,ROUND(1000/F637,3),0)))</f>
        <v/>
      </c>
      <c r="K637" s="10" t="str">
        <f aca="false">IF(OR(A637="",E637="",H637=""),"",ROUND(0.00617*E637^2*H637*J637,2))</f>
        <v/>
      </c>
      <c r="L637" s="9"/>
      <c r="M637" s="10" t="str">
        <f aca="false">IF(A637="","",IF((COUNTIF(Drain_Register!$A$5:$A$304,A637)+COUNTIF(RW_Register!$A$5:$A$304,A637)+COUNTIF(Embedded_Wall_Register!$A$5:$A$304,A637)+COUNTIF(Manhole_Register!$A$5:$A$304,A637)+COUNTIF(ERSS_Pit_Register!$A$5:$A$304,A637)+COUNTIF(Linkway_Register!$A$5:$A$304,A637)+COUNTIF(Other_Register!$A$5:$A$304,A637))&gt;0,"OK","ID not in any register"))</f>
        <v/>
      </c>
    </row>
    <row r="638" customFormat="false" ht="15" hidden="false" customHeight="false" outlineLevel="0" collapsed="false">
      <c r="A638" s="9"/>
      <c r="B638" s="9"/>
      <c r="C638" s="9"/>
      <c r="D638" s="9"/>
      <c r="E638" s="9"/>
      <c r="F638" s="9"/>
      <c r="G638" s="9"/>
      <c r="H638" s="9"/>
      <c r="I638" s="9"/>
      <c r="J638" s="10" t="str">
        <f aca="false">IF(A638="","",IF(G638&lt;&gt;"",G638,IF(N(F638)&gt;0,ROUND(1000/F638,3),0)))</f>
        <v/>
      </c>
      <c r="K638" s="10" t="str">
        <f aca="false">IF(OR(A638="",E638="",H638=""),"",ROUND(0.00617*E638^2*H638*J638,2))</f>
        <v/>
      </c>
      <c r="L638" s="9"/>
      <c r="M638" s="10" t="str">
        <f aca="false">IF(A638="","",IF((COUNTIF(Drain_Register!$A$5:$A$304,A638)+COUNTIF(RW_Register!$A$5:$A$304,A638)+COUNTIF(Embedded_Wall_Register!$A$5:$A$304,A638)+COUNTIF(Manhole_Register!$A$5:$A$304,A638)+COUNTIF(ERSS_Pit_Register!$A$5:$A$304,A638)+COUNTIF(Linkway_Register!$A$5:$A$304,A638)+COUNTIF(Other_Register!$A$5:$A$304,A638))&gt;0,"OK","ID not in any register"))</f>
        <v/>
      </c>
    </row>
    <row r="639" customFormat="false" ht="15" hidden="false" customHeight="false" outlineLevel="0" collapsed="false">
      <c r="A639" s="9"/>
      <c r="B639" s="9"/>
      <c r="C639" s="9"/>
      <c r="D639" s="9"/>
      <c r="E639" s="9"/>
      <c r="F639" s="9"/>
      <c r="G639" s="9"/>
      <c r="H639" s="9"/>
      <c r="I639" s="9"/>
      <c r="J639" s="10" t="str">
        <f aca="false">IF(A639="","",IF(G639&lt;&gt;"",G639,IF(N(F639)&gt;0,ROUND(1000/F639,3),0)))</f>
        <v/>
      </c>
      <c r="K639" s="10" t="str">
        <f aca="false">IF(OR(A639="",E639="",H639=""),"",ROUND(0.00617*E639^2*H639*J639,2))</f>
        <v/>
      </c>
      <c r="L639" s="9"/>
      <c r="M639" s="10" t="str">
        <f aca="false">IF(A639="","",IF((COUNTIF(Drain_Register!$A$5:$A$304,A639)+COUNTIF(RW_Register!$A$5:$A$304,A639)+COUNTIF(Embedded_Wall_Register!$A$5:$A$304,A639)+COUNTIF(Manhole_Register!$A$5:$A$304,A639)+COUNTIF(ERSS_Pit_Register!$A$5:$A$304,A639)+COUNTIF(Linkway_Register!$A$5:$A$304,A639)+COUNTIF(Other_Register!$A$5:$A$304,A639))&gt;0,"OK","ID not in any register"))</f>
        <v/>
      </c>
    </row>
    <row r="640" customFormat="false" ht="15" hidden="false" customHeight="false" outlineLevel="0" collapsed="false">
      <c r="A640" s="9"/>
      <c r="B640" s="9"/>
      <c r="C640" s="9"/>
      <c r="D640" s="9"/>
      <c r="E640" s="9"/>
      <c r="F640" s="9"/>
      <c r="G640" s="9"/>
      <c r="H640" s="9"/>
      <c r="I640" s="9"/>
      <c r="J640" s="10" t="str">
        <f aca="false">IF(A640="","",IF(G640&lt;&gt;"",G640,IF(N(F640)&gt;0,ROUND(1000/F640,3),0)))</f>
        <v/>
      </c>
      <c r="K640" s="10" t="str">
        <f aca="false">IF(OR(A640="",E640="",H640=""),"",ROUND(0.00617*E640^2*H640*J640,2))</f>
        <v/>
      </c>
      <c r="L640" s="9"/>
      <c r="M640" s="10" t="str">
        <f aca="false">IF(A640="","",IF((COUNTIF(Drain_Register!$A$5:$A$304,A640)+COUNTIF(RW_Register!$A$5:$A$304,A640)+COUNTIF(Embedded_Wall_Register!$A$5:$A$304,A640)+COUNTIF(Manhole_Register!$A$5:$A$304,A640)+COUNTIF(ERSS_Pit_Register!$A$5:$A$304,A640)+COUNTIF(Linkway_Register!$A$5:$A$304,A640)+COUNTIF(Other_Register!$A$5:$A$304,A640))&gt;0,"OK","ID not in any register"))</f>
        <v/>
      </c>
    </row>
    <row r="641" customFormat="false" ht="15" hidden="false" customHeight="false" outlineLevel="0" collapsed="false">
      <c r="A641" s="9"/>
      <c r="B641" s="9"/>
      <c r="C641" s="9"/>
      <c r="D641" s="9"/>
      <c r="E641" s="9"/>
      <c r="F641" s="9"/>
      <c r="G641" s="9"/>
      <c r="H641" s="9"/>
      <c r="I641" s="9"/>
      <c r="J641" s="10" t="str">
        <f aca="false">IF(A641="","",IF(G641&lt;&gt;"",G641,IF(N(F641)&gt;0,ROUND(1000/F641,3),0)))</f>
        <v/>
      </c>
      <c r="K641" s="10" t="str">
        <f aca="false">IF(OR(A641="",E641="",H641=""),"",ROUND(0.00617*E641^2*H641*J641,2))</f>
        <v/>
      </c>
      <c r="L641" s="9"/>
      <c r="M641" s="10" t="str">
        <f aca="false">IF(A641="","",IF((COUNTIF(Drain_Register!$A$5:$A$304,A641)+COUNTIF(RW_Register!$A$5:$A$304,A641)+COUNTIF(Embedded_Wall_Register!$A$5:$A$304,A641)+COUNTIF(Manhole_Register!$A$5:$A$304,A641)+COUNTIF(ERSS_Pit_Register!$A$5:$A$304,A641)+COUNTIF(Linkway_Register!$A$5:$A$304,A641)+COUNTIF(Other_Register!$A$5:$A$304,A641))&gt;0,"OK","ID not in any register"))</f>
        <v/>
      </c>
    </row>
    <row r="642" customFormat="false" ht="15" hidden="false" customHeight="false" outlineLevel="0" collapsed="false">
      <c r="A642" s="9"/>
      <c r="B642" s="9"/>
      <c r="C642" s="9"/>
      <c r="D642" s="9"/>
      <c r="E642" s="9"/>
      <c r="F642" s="9"/>
      <c r="G642" s="9"/>
      <c r="H642" s="9"/>
      <c r="I642" s="9"/>
      <c r="J642" s="10" t="str">
        <f aca="false">IF(A642="","",IF(G642&lt;&gt;"",G642,IF(N(F642)&gt;0,ROUND(1000/F642,3),0)))</f>
        <v/>
      </c>
      <c r="K642" s="10" t="str">
        <f aca="false">IF(OR(A642="",E642="",H642=""),"",ROUND(0.00617*E642^2*H642*J642,2))</f>
        <v/>
      </c>
      <c r="L642" s="9"/>
      <c r="M642" s="10" t="str">
        <f aca="false">IF(A642="","",IF((COUNTIF(Drain_Register!$A$5:$A$304,A642)+COUNTIF(RW_Register!$A$5:$A$304,A642)+COUNTIF(Embedded_Wall_Register!$A$5:$A$304,A642)+COUNTIF(Manhole_Register!$A$5:$A$304,A642)+COUNTIF(ERSS_Pit_Register!$A$5:$A$304,A642)+COUNTIF(Linkway_Register!$A$5:$A$304,A642)+COUNTIF(Other_Register!$A$5:$A$304,A642))&gt;0,"OK","ID not in any register"))</f>
        <v/>
      </c>
    </row>
    <row r="643" customFormat="false" ht="15" hidden="false" customHeight="false" outlineLevel="0" collapsed="false">
      <c r="A643" s="9"/>
      <c r="B643" s="9"/>
      <c r="C643" s="9"/>
      <c r="D643" s="9"/>
      <c r="E643" s="9"/>
      <c r="F643" s="9"/>
      <c r="G643" s="9"/>
      <c r="H643" s="9"/>
      <c r="I643" s="9"/>
      <c r="J643" s="10" t="str">
        <f aca="false">IF(A643="","",IF(G643&lt;&gt;"",G643,IF(N(F643)&gt;0,ROUND(1000/F643,3),0)))</f>
        <v/>
      </c>
      <c r="K643" s="10" t="str">
        <f aca="false">IF(OR(A643="",E643="",H643=""),"",ROUND(0.00617*E643^2*H643*J643,2))</f>
        <v/>
      </c>
      <c r="L643" s="9"/>
      <c r="M643" s="10" t="str">
        <f aca="false">IF(A643="","",IF((COUNTIF(Drain_Register!$A$5:$A$304,A643)+COUNTIF(RW_Register!$A$5:$A$304,A643)+COUNTIF(Embedded_Wall_Register!$A$5:$A$304,A643)+COUNTIF(Manhole_Register!$A$5:$A$304,A643)+COUNTIF(ERSS_Pit_Register!$A$5:$A$304,A643)+COUNTIF(Linkway_Register!$A$5:$A$304,A643)+COUNTIF(Other_Register!$A$5:$A$304,A643))&gt;0,"OK","ID not in any register"))</f>
        <v/>
      </c>
    </row>
    <row r="644" customFormat="false" ht="15" hidden="false" customHeight="false" outlineLevel="0" collapsed="false">
      <c r="A644" s="9"/>
      <c r="B644" s="9"/>
      <c r="C644" s="9"/>
      <c r="D644" s="9"/>
      <c r="E644" s="9"/>
      <c r="F644" s="9"/>
      <c r="G644" s="9"/>
      <c r="H644" s="9"/>
      <c r="I644" s="9"/>
      <c r="J644" s="10" t="str">
        <f aca="false">IF(A644="","",IF(G644&lt;&gt;"",G644,IF(N(F644)&gt;0,ROUND(1000/F644,3),0)))</f>
        <v/>
      </c>
      <c r="K644" s="10" t="str">
        <f aca="false">IF(OR(A644="",E644="",H644=""),"",ROUND(0.00617*E644^2*H644*J644,2))</f>
        <v/>
      </c>
      <c r="L644" s="9"/>
      <c r="M644" s="10" t="str">
        <f aca="false">IF(A644="","",IF((COUNTIF(Drain_Register!$A$5:$A$304,A644)+COUNTIF(RW_Register!$A$5:$A$304,A644)+COUNTIF(Embedded_Wall_Register!$A$5:$A$304,A644)+COUNTIF(Manhole_Register!$A$5:$A$304,A644)+COUNTIF(ERSS_Pit_Register!$A$5:$A$304,A644)+COUNTIF(Linkway_Register!$A$5:$A$304,A644)+COUNTIF(Other_Register!$A$5:$A$304,A644))&gt;0,"OK","ID not in any register"))</f>
        <v/>
      </c>
    </row>
    <row r="645" customFormat="false" ht="15" hidden="false" customHeight="false" outlineLevel="0" collapsed="false">
      <c r="A645" s="9"/>
      <c r="B645" s="9"/>
      <c r="C645" s="9"/>
      <c r="D645" s="9"/>
      <c r="E645" s="9"/>
      <c r="F645" s="9"/>
      <c r="G645" s="9"/>
      <c r="H645" s="9"/>
      <c r="I645" s="9"/>
      <c r="J645" s="10" t="str">
        <f aca="false">IF(A645="","",IF(G645&lt;&gt;"",G645,IF(N(F645)&gt;0,ROUND(1000/F645,3),0)))</f>
        <v/>
      </c>
      <c r="K645" s="10" t="str">
        <f aca="false">IF(OR(A645="",E645="",H645=""),"",ROUND(0.00617*E645^2*H645*J645,2))</f>
        <v/>
      </c>
      <c r="L645" s="9"/>
      <c r="M645" s="10" t="str">
        <f aca="false">IF(A645="","",IF((COUNTIF(Drain_Register!$A$5:$A$304,A645)+COUNTIF(RW_Register!$A$5:$A$304,A645)+COUNTIF(Embedded_Wall_Register!$A$5:$A$304,A645)+COUNTIF(Manhole_Register!$A$5:$A$304,A645)+COUNTIF(ERSS_Pit_Register!$A$5:$A$304,A645)+COUNTIF(Linkway_Register!$A$5:$A$304,A645)+COUNTIF(Other_Register!$A$5:$A$304,A645))&gt;0,"OK","ID not in any register"))</f>
        <v/>
      </c>
    </row>
    <row r="646" customFormat="false" ht="15" hidden="false" customHeight="false" outlineLevel="0" collapsed="false">
      <c r="A646" s="9"/>
      <c r="B646" s="9"/>
      <c r="C646" s="9"/>
      <c r="D646" s="9"/>
      <c r="E646" s="9"/>
      <c r="F646" s="9"/>
      <c r="G646" s="9"/>
      <c r="H646" s="9"/>
      <c r="I646" s="9"/>
      <c r="J646" s="10" t="str">
        <f aca="false">IF(A646="","",IF(G646&lt;&gt;"",G646,IF(N(F646)&gt;0,ROUND(1000/F646,3),0)))</f>
        <v/>
      </c>
      <c r="K646" s="10" t="str">
        <f aca="false">IF(OR(A646="",E646="",H646=""),"",ROUND(0.00617*E646^2*H646*J646,2))</f>
        <v/>
      </c>
      <c r="L646" s="9"/>
      <c r="M646" s="10" t="str">
        <f aca="false">IF(A646="","",IF((COUNTIF(Drain_Register!$A$5:$A$304,A646)+COUNTIF(RW_Register!$A$5:$A$304,A646)+COUNTIF(Embedded_Wall_Register!$A$5:$A$304,A646)+COUNTIF(Manhole_Register!$A$5:$A$304,A646)+COUNTIF(ERSS_Pit_Register!$A$5:$A$304,A646)+COUNTIF(Linkway_Register!$A$5:$A$304,A646)+COUNTIF(Other_Register!$A$5:$A$304,A646))&gt;0,"OK","ID not in any register"))</f>
        <v/>
      </c>
    </row>
    <row r="647" customFormat="false" ht="15" hidden="false" customHeight="false" outlineLevel="0" collapsed="false">
      <c r="A647" s="9"/>
      <c r="B647" s="9"/>
      <c r="C647" s="9"/>
      <c r="D647" s="9"/>
      <c r="E647" s="9"/>
      <c r="F647" s="9"/>
      <c r="G647" s="9"/>
      <c r="H647" s="9"/>
      <c r="I647" s="9"/>
      <c r="J647" s="10" t="str">
        <f aca="false">IF(A647="","",IF(G647&lt;&gt;"",G647,IF(N(F647)&gt;0,ROUND(1000/F647,3),0)))</f>
        <v/>
      </c>
      <c r="K647" s="10" t="str">
        <f aca="false">IF(OR(A647="",E647="",H647=""),"",ROUND(0.00617*E647^2*H647*J647,2))</f>
        <v/>
      </c>
      <c r="L647" s="9"/>
      <c r="M647" s="10" t="str">
        <f aca="false">IF(A647="","",IF((COUNTIF(Drain_Register!$A$5:$A$304,A647)+COUNTIF(RW_Register!$A$5:$A$304,A647)+COUNTIF(Embedded_Wall_Register!$A$5:$A$304,A647)+COUNTIF(Manhole_Register!$A$5:$A$304,A647)+COUNTIF(ERSS_Pit_Register!$A$5:$A$304,A647)+COUNTIF(Linkway_Register!$A$5:$A$304,A647)+COUNTIF(Other_Register!$A$5:$A$304,A647))&gt;0,"OK","ID not in any register"))</f>
        <v/>
      </c>
    </row>
    <row r="648" customFormat="false" ht="15" hidden="false" customHeight="false" outlineLevel="0" collapsed="false">
      <c r="A648" s="9"/>
      <c r="B648" s="9"/>
      <c r="C648" s="9"/>
      <c r="D648" s="9"/>
      <c r="E648" s="9"/>
      <c r="F648" s="9"/>
      <c r="G648" s="9"/>
      <c r="H648" s="9"/>
      <c r="I648" s="9"/>
      <c r="J648" s="10" t="str">
        <f aca="false">IF(A648="","",IF(G648&lt;&gt;"",G648,IF(N(F648)&gt;0,ROUND(1000/F648,3),0)))</f>
        <v/>
      </c>
      <c r="K648" s="10" t="str">
        <f aca="false">IF(OR(A648="",E648="",H648=""),"",ROUND(0.00617*E648^2*H648*J648,2))</f>
        <v/>
      </c>
      <c r="L648" s="9"/>
      <c r="M648" s="10" t="str">
        <f aca="false">IF(A648="","",IF((COUNTIF(Drain_Register!$A$5:$A$304,A648)+COUNTIF(RW_Register!$A$5:$A$304,A648)+COUNTIF(Embedded_Wall_Register!$A$5:$A$304,A648)+COUNTIF(Manhole_Register!$A$5:$A$304,A648)+COUNTIF(ERSS_Pit_Register!$A$5:$A$304,A648)+COUNTIF(Linkway_Register!$A$5:$A$304,A648)+COUNTIF(Other_Register!$A$5:$A$304,A648))&gt;0,"OK","ID not in any register"))</f>
        <v/>
      </c>
    </row>
    <row r="649" customFormat="false" ht="15" hidden="false" customHeight="false" outlineLevel="0" collapsed="false">
      <c r="A649" s="9"/>
      <c r="B649" s="9"/>
      <c r="C649" s="9"/>
      <c r="D649" s="9"/>
      <c r="E649" s="9"/>
      <c r="F649" s="9"/>
      <c r="G649" s="9"/>
      <c r="H649" s="9"/>
      <c r="I649" s="9"/>
      <c r="J649" s="10" t="str">
        <f aca="false">IF(A649="","",IF(G649&lt;&gt;"",G649,IF(N(F649)&gt;0,ROUND(1000/F649,3),0)))</f>
        <v/>
      </c>
      <c r="K649" s="10" t="str">
        <f aca="false">IF(OR(A649="",E649="",H649=""),"",ROUND(0.00617*E649^2*H649*J649,2))</f>
        <v/>
      </c>
      <c r="L649" s="9"/>
      <c r="M649" s="10" t="str">
        <f aca="false">IF(A649="","",IF((COUNTIF(Drain_Register!$A$5:$A$304,A649)+COUNTIF(RW_Register!$A$5:$A$304,A649)+COUNTIF(Embedded_Wall_Register!$A$5:$A$304,A649)+COUNTIF(Manhole_Register!$A$5:$A$304,A649)+COUNTIF(ERSS_Pit_Register!$A$5:$A$304,A649)+COUNTIF(Linkway_Register!$A$5:$A$304,A649)+COUNTIF(Other_Register!$A$5:$A$304,A649))&gt;0,"OK","ID not in any register"))</f>
        <v/>
      </c>
    </row>
    <row r="650" customFormat="false" ht="15" hidden="false" customHeight="false" outlineLevel="0" collapsed="false">
      <c r="A650" s="9"/>
      <c r="B650" s="9"/>
      <c r="C650" s="9"/>
      <c r="D650" s="9"/>
      <c r="E650" s="9"/>
      <c r="F650" s="9"/>
      <c r="G650" s="9"/>
      <c r="H650" s="9"/>
      <c r="I650" s="9"/>
      <c r="J650" s="10" t="str">
        <f aca="false">IF(A650="","",IF(G650&lt;&gt;"",G650,IF(N(F650)&gt;0,ROUND(1000/F650,3),0)))</f>
        <v/>
      </c>
      <c r="K650" s="10" t="str">
        <f aca="false">IF(OR(A650="",E650="",H650=""),"",ROUND(0.00617*E650^2*H650*J650,2))</f>
        <v/>
      </c>
      <c r="L650" s="9"/>
      <c r="M650" s="10" t="str">
        <f aca="false">IF(A650="","",IF((COUNTIF(Drain_Register!$A$5:$A$304,A650)+COUNTIF(RW_Register!$A$5:$A$304,A650)+COUNTIF(Embedded_Wall_Register!$A$5:$A$304,A650)+COUNTIF(Manhole_Register!$A$5:$A$304,A650)+COUNTIF(ERSS_Pit_Register!$A$5:$A$304,A650)+COUNTIF(Linkway_Register!$A$5:$A$304,A650)+COUNTIF(Other_Register!$A$5:$A$304,A650))&gt;0,"OK","ID not in any register"))</f>
        <v/>
      </c>
    </row>
    <row r="651" customFormat="false" ht="15" hidden="false" customHeight="false" outlineLevel="0" collapsed="false">
      <c r="A651" s="9"/>
      <c r="B651" s="9"/>
      <c r="C651" s="9"/>
      <c r="D651" s="9"/>
      <c r="E651" s="9"/>
      <c r="F651" s="9"/>
      <c r="G651" s="9"/>
      <c r="H651" s="9"/>
      <c r="I651" s="9"/>
      <c r="J651" s="10" t="str">
        <f aca="false">IF(A651="","",IF(G651&lt;&gt;"",G651,IF(N(F651)&gt;0,ROUND(1000/F651,3),0)))</f>
        <v/>
      </c>
      <c r="K651" s="10" t="str">
        <f aca="false">IF(OR(A651="",E651="",H651=""),"",ROUND(0.00617*E651^2*H651*J651,2))</f>
        <v/>
      </c>
      <c r="L651" s="9"/>
      <c r="M651" s="10" t="str">
        <f aca="false">IF(A651="","",IF((COUNTIF(Drain_Register!$A$5:$A$304,A651)+COUNTIF(RW_Register!$A$5:$A$304,A651)+COUNTIF(Embedded_Wall_Register!$A$5:$A$304,A651)+COUNTIF(Manhole_Register!$A$5:$A$304,A651)+COUNTIF(ERSS_Pit_Register!$A$5:$A$304,A651)+COUNTIF(Linkway_Register!$A$5:$A$304,A651)+COUNTIF(Other_Register!$A$5:$A$304,A651))&gt;0,"OK","ID not in any register"))</f>
        <v/>
      </c>
    </row>
    <row r="652" customFormat="false" ht="15" hidden="false" customHeight="false" outlineLevel="0" collapsed="false">
      <c r="A652" s="9"/>
      <c r="B652" s="9"/>
      <c r="C652" s="9"/>
      <c r="D652" s="9"/>
      <c r="E652" s="9"/>
      <c r="F652" s="9"/>
      <c r="G652" s="9"/>
      <c r="H652" s="9"/>
      <c r="I652" s="9"/>
      <c r="J652" s="10" t="str">
        <f aca="false">IF(A652="","",IF(G652&lt;&gt;"",G652,IF(N(F652)&gt;0,ROUND(1000/F652,3),0)))</f>
        <v/>
      </c>
      <c r="K652" s="10" t="str">
        <f aca="false">IF(OR(A652="",E652="",H652=""),"",ROUND(0.00617*E652^2*H652*J652,2))</f>
        <v/>
      </c>
      <c r="L652" s="9"/>
      <c r="M652" s="10" t="str">
        <f aca="false">IF(A652="","",IF((COUNTIF(Drain_Register!$A$5:$A$304,A652)+COUNTIF(RW_Register!$A$5:$A$304,A652)+COUNTIF(Embedded_Wall_Register!$A$5:$A$304,A652)+COUNTIF(Manhole_Register!$A$5:$A$304,A652)+COUNTIF(ERSS_Pit_Register!$A$5:$A$304,A652)+COUNTIF(Linkway_Register!$A$5:$A$304,A652)+COUNTIF(Other_Register!$A$5:$A$304,A652))&gt;0,"OK","ID not in any register"))</f>
        <v/>
      </c>
    </row>
    <row r="653" customFormat="false" ht="15" hidden="false" customHeight="false" outlineLevel="0" collapsed="false">
      <c r="A653" s="9"/>
      <c r="B653" s="9"/>
      <c r="C653" s="9"/>
      <c r="D653" s="9"/>
      <c r="E653" s="9"/>
      <c r="F653" s="9"/>
      <c r="G653" s="9"/>
      <c r="H653" s="9"/>
      <c r="I653" s="9"/>
      <c r="J653" s="10" t="str">
        <f aca="false">IF(A653="","",IF(G653&lt;&gt;"",G653,IF(N(F653)&gt;0,ROUND(1000/F653,3),0)))</f>
        <v/>
      </c>
      <c r="K653" s="10" t="str">
        <f aca="false">IF(OR(A653="",E653="",H653=""),"",ROUND(0.00617*E653^2*H653*J653,2))</f>
        <v/>
      </c>
      <c r="L653" s="9"/>
      <c r="M653" s="10" t="str">
        <f aca="false">IF(A653="","",IF((COUNTIF(Drain_Register!$A$5:$A$304,A653)+COUNTIF(RW_Register!$A$5:$A$304,A653)+COUNTIF(Embedded_Wall_Register!$A$5:$A$304,A653)+COUNTIF(Manhole_Register!$A$5:$A$304,A653)+COUNTIF(ERSS_Pit_Register!$A$5:$A$304,A653)+COUNTIF(Linkway_Register!$A$5:$A$304,A653)+COUNTIF(Other_Register!$A$5:$A$304,A653))&gt;0,"OK","ID not in any register"))</f>
        <v/>
      </c>
    </row>
    <row r="654" customFormat="false" ht="15" hidden="false" customHeight="false" outlineLevel="0" collapsed="false">
      <c r="A654" s="9"/>
      <c r="B654" s="9"/>
      <c r="C654" s="9"/>
      <c r="D654" s="9"/>
      <c r="E654" s="9"/>
      <c r="F654" s="9"/>
      <c r="G654" s="9"/>
      <c r="H654" s="9"/>
      <c r="I654" s="9"/>
      <c r="J654" s="10" t="str">
        <f aca="false">IF(A654="","",IF(G654&lt;&gt;"",G654,IF(N(F654)&gt;0,ROUND(1000/F654,3),0)))</f>
        <v/>
      </c>
      <c r="K654" s="10" t="str">
        <f aca="false">IF(OR(A654="",E654="",H654=""),"",ROUND(0.00617*E654^2*H654*J654,2))</f>
        <v/>
      </c>
      <c r="L654" s="9"/>
      <c r="M654" s="10" t="str">
        <f aca="false">IF(A654="","",IF((COUNTIF(Drain_Register!$A$5:$A$304,A654)+COUNTIF(RW_Register!$A$5:$A$304,A654)+COUNTIF(Embedded_Wall_Register!$A$5:$A$304,A654)+COUNTIF(Manhole_Register!$A$5:$A$304,A654)+COUNTIF(ERSS_Pit_Register!$A$5:$A$304,A654)+COUNTIF(Linkway_Register!$A$5:$A$304,A654)+COUNTIF(Other_Register!$A$5:$A$304,A654))&gt;0,"OK","ID not in any register"))</f>
        <v/>
      </c>
    </row>
    <row r="655" customFormat="false" ht="15" hidden="false" customHeight="false" outlineLevel="0" collapsed="false">
      <c r="A655" s="9"/>
      <c r="B655" s="9"/>
      <c r="C655" s="9"/>
      <c r="D655" s="9"/>
      <c r="E655" s="9"/>
      <c r="F655" s="9"/>
      <c r="G655" s="9"/>
      <c r="H655" s="9"/>
      <c r="I655" s="9"/>
      <c r="J655" s="10" t="str">
        <f aca="false">IF(A655="","",IF(G655&lt;&gt;"",G655,IF(N(F655)&gt;0,ROUND(1000/F655,3),0)))</f>
        <v/>
      </c>
      <c r="K655" s="10" t="str">
        <f aca="false">IF(OR(A655="",E655="",H655=""),"",ROUND(0.00617*E655^2*H655*J655,2))</f>
        <v/>
      </c>
      <c r="L655" s="9"/>
      <c r="M655" s="10" t="str">
        <f aca="false">IF(A655="","",IF((COUNTIF(Drain_Register!$A$5:$A$304,A655)+COUNTIF(RW_Register!$A$5:$A$304,A655)+COUNTIF(Embedded_Wall_Register!$A$5:$A$304,A655)+COUNTIF(Manhole_Register!$A$5:$A$304,A655)+COUNTIF(ERSS_Pit_Register!$A$5:$A$304,A655)+COUNTIF(Linkway_Register!$A$5:$A$304,A655)+COUNTIF(Other_Register!$A$5:$A$304,A655))&gt;0,"OK","ID not in any register"))</f>
        <v/>
      </c>
    </row>
    <row r="656" customFormat="false" ht="15" hidden="false" customHeight="false" outlineLevel="0" collapsed="false">
      <c r="A656" s="9"/>
      <c r="B656" s="9"/>
      <c r="C656" s="9"/>
      <c r="D656" s="9"/>
      <c r="E656" s="9"/>
      <c r="F656" s="9"/>
      <c r="G656" s="9"/>
      <c r="H656" s="9"/>
      <c r="I656" s="9"/>
      <c r="J656" s="10" t="str">
        <f aca="false">IF(A656="","",IF(G656&lt;&gt;"",G656,IF(N(F656)&gt;0,ROUND(1000/F656,3),0)))</f>
        <v/>
      </c>
      <c r="K656" s="10" t="str">
        <f aca="false">IF(OR(A656="",E656="",H656=""),"",ROUND(0.00617*E656^2*H656*J656,2))</f>
        <v/>
      </c>
      <c r="L656" s="9"/>
      <c r="M656" s="10" t="str">
        <f aca="false">IF(A656="","",IF((COUNTIF(Drain_Register!$A$5:$A$304,A656)+COUNTIF(RW_Register!$A$5:$A$304,A656)+COUNTIF(Embedded_Wall_Register!$A$5:$A$304,A656)+COUNTIF(Manhole_Register!$A$5:$A$304,A656)+COUNTIF(ERSS_Pit_Register!$A$5:$A$304,A656)+COUNTIF(Linkway_Register!$A$5:$A$304,A656)+COUNTIF(Other_Register!$A$5:$A$304,A656))&gt;0,"OK","ID not in any register"))</f>
        <v/>
      </c>
    </row>
    <row r="657" customFormat="false" ht="15" hidden="false" customHeight="false" outlineLevel="0" collapsed="false">
      <c r="A657" s="9"/>
      <c r="B657" s="9"/>
      <c r="C657" s="9"/>
      <c r="D657" s="9"/>
      <c r="E657" s="9"/>
      <c r="F657" s="9"/>
      <c r="G657" s="9"/>
      <c r="H657" s="9"/>
      <c r="I657" s="9"/>
      <c r="J657" s="10" t="str">
        <f aca="false">IF(A657="","",IF(G657&lt;&gt;"",G657,IF(N(F657)&gt;0,ROUND(1000/F657,3),0)))</f>
        <v/>
      </c>
      <c r="K657" s="10" t="str">
        <f aca="false">IF(OR(A657="",E657="",H657=""),"",ROUND(0.00617*E657^2*H657*J657,2))</f>
        <v/>
      </c>
      <c r="L657" s="9"/>
      <c r="M657" s="10" t="str">
        <f aca="false">IF(A657="","",IF((COUNTIF(Drain_Register!$A$5:$A$304,A657)+COUNTIF(RW_Register!$A$5:$A$304,A657)+COUNTIF(Embedded_Wall_Register!$A$5:$A$304,A657)+COUNTIF(Manhole_Register!$A$5:$A$304,A657)+COUNTIF(ERSS_Pit_Register!$A$5:$A$304,A657)+COUNTIF(Linkway_Register!$A$5:$A$304,A657)+COUNTIF(Other_Register!$A$5:$A$304,A657))&gt;0,"OK","ID not in any register"))</f>
        <v/>
      </c>
    </row>
    <row r="658" customFormat="false" ht="15" hidden="false" customHeight="false" outlineLevel="0" collapsed="false">
      <c r="A658" s="9"/>
      <c r="B658" s="9"/>
      <c r="C658" s="9"/>
      <c r="D658" s="9"/>
      <c r="E658" s="9"/>
      <c r="F658" s="9"/>
      <c r="G658" s="9"/>
      <c r="H658" s="9"/>
      <c r="I658" s="9"/>
      <c r="J658" s="10" t="str">
        <f aca="false">IF(A658="","",IF(G658&lt;&gt;"",G658,IF(N(F658)&gt;0,ROUND(1000/F658,3),0)))</f>
        <v/>
      </c>
      <c r="K658" s="10" t="str">
        <f aca="false">IF(OR(A658="",E658="",H658=""),"",ROUND(0.00617*E658^2*H658*J658,2))</f>
        <v/>
      </c>
      <c r="L658" s="9"/>
      <c r="M658" s="10" t="str">
        <f aca="false">IF(A658="","",IF((COUNTIF(Drain_Register!$A$5:$A$304,A658)+COUNTIF(RW_Register!$A$5:$A$304,A658)+COUNTIF(Embedded_Wall_Register!$A$5:$A$304,A658)+COUNTIF(Manhole_Register!$A$5:$A$304,A658)+COUNTIF(ERSS_Pit_Register!$A$5:$A$304,A658)+COUNTIF(Linkway_Register!$A$5:$A$304,A658)+COUNTIF(Other_Register!$A$5:$A$304,A658))&gt;0,"OK","ID not in any register"))</f>
        <v/>
      </c>
    </row>
    <row r="659" customFormat="false" ht="15" hidden="false" customHeight="false" outlineLevel="0" collapsed="false">
      <c r="A659" s="9"/>
      <c r="B659" s="9"/>
      <c r="C659" s="9"/>
      <c r="D659" s="9"/>
      <c r="E659" s="9"/>
      <c r="F659" s="9"/>
      <c r="G659" s="9"/>
      <c r="H659" s="9"/>
      <c r="I659" s="9"/>
      <c r="J659" s="10" t="str">
        <f aca="false">IF(A659="","",IF(G659&lt;&gt;"",G659,IF(N(F659)&gt;0,ROUND(1000/F659,3),0)))</f>
        <v/>
      </c>
      <c r="K659" s="10" t="str">
        <f aca="false">IF(OR(A659="",E659="",H659=""),"",ROUND(0.00617*E659^2*H659*J659,2))</f>
        <v/>
      </c>
      <c r="L659" s="9"/>
      <c r="M659" s="10" t="str">
        <f aca="false">IF(A659="","",IF((COUNTIF(Drain_Register!$A$5:$A$304,A659)+COUNTIF(RW_Register!$A$5:$A$304,A659)+COUNTIF(Embedded_Wall_Register!$A$5:$A$304,A659)+COUNTIF(Manhole_Register!$A$5:$A$304,A659)+COUNTIF(ERSS_Pit_Register!$A$5:$A$304,A659)+COUNTIF(Linkway_Register!$A$5:$A$304,A659)+COUNTIF(Other_Register!$A$5:$A$304,A659))&gt;0,"OK","ID not in any register"))</f>
        <v/>
      </c>
    </row>
    <row r="660" customFormat="false" ht="15" hidden="false" customHeight="false" outlineLevel="0" collapsed="false">
      <c r="A660" s="9"/>
      <c r="B660" s="9"/>
      <c r="C660" s="9"/>
      <c r="D660" s="9"/>
      <c r="E660" s="9"/>
      <c r="F660" s="9"/>
      <c r="G660" s="9"/>
      <c r="H660" s="9"/>
      <c r="I660" s="9"/>
      <c r="J660" s="10" t="str">
        <f aca="false">IF(A660="","",IF(G660&lt;&gt;"",G660,IF(N(F660)&gt;0,ROUND(1000/F660,3),0)))</f>
        <v/>
      </c>
      <c r="K660" s="10" t="str">
        <f aca="false">IF(OR(A660="",E660="",H660=""),"",ROUND(0.00617*E660^2*H660*J660,2))</f>
        <v/>
      </c>
      <c r="L660" s="9"/>
      <c r="M660" s="10" t="str">
        <f aca="false">IF(A660="","",IF((COUNTIF(Drain_Register!$A$5:$A$304,A660)+COUNTIF(RW_Register!$A$5:$A$304,A660)+COUNTIF(Embedded_Wall_Register!$A$5:$A$304,A660)+COUNTIF(Manhole_Register!$A$5:$A$304,A660)+COUNTIF(ERSS_Pit_Register!$A$5:$A$304,A660)+COUNTIF(Linkway_Register!$A$5:$A$304,A660)+COUNTIF(Other_Register!$A$5:$A$304,A660))&gt;0,"OK","ID not in any register"))</f>
        <v/>
      </c>
    </row>
    <row r="661" customFormat="false" ht="15" hidden="false" customHeight="false" outlineLevel="0" collapsed="false">
      <c r="A661" s="9"/>
      <c r="B661" s="9"/>
      <c r="C661" s="9"/>
      <c r="D661" s="9"/>
      <c r="E661" s="9"/>
      <c r="F661" s="9"/>
      <c r="G661" s="9"/>
      <c r="H661" s="9"/>
      <c r="I661" s="9"/>
      <c r="J661" s="10" t="str">
        <f aca="false">IF(A661="","",IF(G661&lt;&gt;"",G661,IF(N(F661)&gt;0,ROUND(1000/F661,3),0)))</f>
        <v/>
      </c>
      <c r="K661" s="10" t="str">
        <f aca="false">IF(OR(A661="",E661="",H661=""),"",ROUND(0.00617*E661^2*H661*J661,2))</f>
        <v/>
      </c>
      <c r="L661" s="9"/>
      <c r="M661" s="10" t="str">
        <f aca="false">IF(A661="","",IF((COUNTIF(Drain_Register!$A$5:$A$304,A661)+COUNTIF(RW_Register!$A$5:$A$304,A661)+COUNTIF(Embedded_Wall_Register!$A$5:$A$304,A661)+COUNTIF(Manhole_Register!$A$5:$A$304,A661)+COUNTIF(ERSS_Pit_Register!$A$5:$A$304,A661)+COUNTIF(Linkway_Register!$A$5:$A$304,A661)+COUNTIF(Other_Register!$A$5:$A$304,A661))&gt;0,"OK","ID not in any register"))</f>
        <v/>
      </c>
    </row>
    <row r="662" customFormat="false" ht="15" hidden="false" customHeight="false" outlineLevel="0" collapsed="false">
      <c r="A662" s="9"/>
      <c r="B662" s="9"/>
      <c r="C662" s="9"/>
      <c r="D662" s="9"/>
      <c r="E662" s="9"/>
      <c r="F662" s="9"/>
      <c r="G662" s="9"/>
      <c r="H662" s="9"/>
      <c r="I662" s="9"/>
      <c r="J662" s="10" t="str">
        <f aca="false">IF(A662="","",IF(G662&lt;&gt;"",G662,IF(N(F662)&gt;0,ROUND(1000/F662,3),0)))</f>
        <v/>
      </c>
      <c r="K662" s="10" t="str">
        <f aca="false">IF(OR(A662="",E662="",H662=""),"",ROUND(0.00617*E662^2*H662*J662,2))</f>
        <v/>
      </c>
      <c r="L662" s="9"/>
      <c r="M662" s="10" t="str">
        <f aca="false">IF(A662="","",IF((COUNTIF(Drain_Register!$A$5:$A$304,A662)+COUNTIF(RW_Register!$A$5:$A$304,A662)+COUNTIF(Embedded_Wall_Register!$A$5:$A$304,A662)+COUNTIF(Manhole_Register!$A$5:$A$304,A662)+COUNTIF(ERSS_Pit_Register!$A$5:$A$304,A662)+COUNTIF(Linkway_Register!$A$5:$A$304,A662)+COUNTIF(Other_Register!$A$5:$A$304,A662))&gt;0,"OK","ID not in any register"))</f>
        <v/>
      </c>
    </row>
    <row r="663" customFormat="false" ht="15" hidden="false" customHeight="false" outlineLevel="0" collapsed="false">
      <c r="A663" s="9"/>
      <c r="B663" s="9"/>
      <c r="C663" s="9"/>
      <c r="D663" s="9"/>
      <c r="E663" s="9"/>
      <c r="F663" s="9"/>
      <c r="G663" s="9"/>
      <c r="H663" s="9"/>
      <c r="I663" s="9"/>
      <c r="J663" s="10" t="str">
        <f aca="false">IF(A663="","",IF(G663&lt;&gt;"",G663,IF(N(F663)&gt;0,ROUND(1000/F663,3),0)))</f>
        <v/>
      </c>
      <c r="K663" s="10" t="str">
        <f aca="false">IF(OR(A663="",E663="",H663=""),"",ROUND(0.00617*E663^2*H663*J663,2))</f>
        <v/>
      </c>
      <c r="L663" s="9"/>
      <c r="M663" s="10" t="str">
        <f aca="false">IF(A663="","",IF((COUNTIF(Drain_Register!$A$5:$A$304,A663)+COUNTIF(RW_Register!$A$5:$A$304,A663)+COUNTIF(Embedded_Wall_Register!$A$5:$A$304,A663)+COUNTIF(Manhole_Register!$A$5:$A$304,A663)+COUNTIF(ERSS_Pit_Register!$A$5:$A$304,A663)+COUNTIF(Linkway_Register!$A$5:$A$304,A663)+COUNTIF(Other_Register!$A$5:$A$304,A663))&gt;0,"OK","ID not in any register"))</f>
        <v/>
      </c>
    </row>
    <row r="664" customFormat="false" ht="15" hidden="false" customHeight="false" outlineLevel="0" collapsed="false">
      <c r="A664" s="9"/>
      <c r="B664" s="9"/>
      <c r="C664" s="9"/>
      <c r="D664" s="9"/>
      <c r="E664" s="9"/>
      <c r="F664" s="9"/>
      <c r="G664" s="9"/>
      <c r="H664" s="9"/>
      <c r="I664" s="9"/>
      <c r="J664" s="10" t="str">
        <f aca="false">IF(A664="","",IF(G664&lt;&gt;"",G664,IF(N(F664)&gt;0,ROUND(1000/F664,3),0)))</f>
        <v/>
      </c>
      <c r="K664" s="10" t="str">
        <f aca="false">IF(OR(A664="",E664="",H664=""),"",ROUND(0.00617*E664^2*H664*J664,2))</f>
        <v/>
      </c>
      <c r="L664" s="9"/>
      <c r="M664" s="10" t="str">
        <f aca="false">IF(A664="","",IF((COUNTIF(Drain_Register!$A$5:$A$304,A664)+COUNTIF(RW_Register!$A$5:$A$304,A664)+COUNTIF(Embedded_Wall_Register!$A$5:$A$304,A664)+COUNTIF(Manhole_Register!$A$5:$A$304,A664)+COUNTIF(ERSS_Pit_Register!$A$5:$A$304,A664)+COUNTIF(Linkway_Register!$A$5:$A$304,A664)+COUNTIF(Other_Register!$A$5:$A$304,A664))&gt;0,"OK","ID not in any register"))</f>
        <v/>
      </c>
    </row>
    <row r="665" customFormat="false" ht="15" hidden="false" customHeight="false" outlineLevel="0" collapsed="false">
      <c r="A665" s="9"/>
      <c r="B665" s="9"/>
      <c r="C665" s="9"/>
      <c r="D665" s="9"/>
      <c r="E665" s="9"/>
      <c r="F665" s="9"/>
      <c r="G665" s="9"/>
      <c r="H665" s="9"/>
      <c r="I665" s="9"/>
      <c r="J665" s="10" t="str">
        <f aca="false">IF(A665="","",IF(G665&lt;&gt;"",G665,IF(N(F665)&gt;0,ROUND(1000/F665,3),0)))</f>
        <v/>
      </c>
      <c r="K665" s="10" t="str">
        <f aca="false">IF(OR(A665="",E665="",H665=""),"",ROUND(0.00617*E665^2*H665*J665,2))</f>
        <v/>
      </c>
      <c r="L665" s="9"/>
      <c r="M665" s="10" t="str">
        <f aca="false">IF(A665="","",IF((COUNTIF(Drain_Register!$A$5:$A$304,A665)+COUNTIF(RW_Register!$A$5:$A$304,A665)+COUNTIF(Embedded_Wall_Register!$A$5:$A$304,A665)+COUNTIF(Manhole_Register!$A$5:$A$304,A665)+COUNTIF(ERSS_Pit_Register!$A$5:$A$304,A665)+COUNTIF(Linkway_Register!$A$5:$A$304,A665)+COUNTIF(Other_Register!$A$5:$A$304,A665))&gt;0,"OK","ID not in any register"))</f>
        <v/>
      </c>
    </row>
    <row r="666" customFormat="false" ht="15" hidden="false" customHeight="false" outlineLevel="0" collapsed="false">
      <c r="A666" s="9"/>
      <c r="B666" s="9"/>
      <c r="C666" s="9"/>
      <c r="D666" s="9"/>
      <c r="E666" s="9"/>
      <c r="F666" s="9"/>
      <c r="G666" s="9"/>
      <c r="H666" s="9"/>
      <c r="I666" s="9"/>
      <c r="J666" s="10" t="str">
        <f aca="false">IF(A666="","",IF(G666&lt;&gt;"",G666,IF(N(F666)&gt;0,ROUND(1000/F666,3),0)))</f>
        <v/>
      </c>
      <c r="K666" s="10" t="str">
        <f aca="false">IF(OR(A666="",E666="",H666=""),"",ROUND(0.00617*E666^2*H666*J666,2))</f>
        <v/>
      </c>
      <c r="L666" s="9"/>
      <c r="M666" s="10" t="str">
        <f aca="false">IF(A666="","",IF((COUNTIF(Drain_Register!$A$5:$A$304,A666)+COUNTIF(RW_Register!$A$5:$A$304,A666)+COUNTIF(Embedded_Wall_Register!$A$5:$A$304,A666)+COUNTIF(Manhole_Register!$A$5:$A$304,A666)+COUNTIF(ERSS_Pit_Register!$A$5:$A$304,A666)+COUNTIF(Linkway_Register!$A$5:$A$304,A666)+COUNTIF(Other_Register!$A$5:$A$304,A666))&gt;0,"OK","ID not in any register"))</f>
        <v/>
      </c>
    </row>
    <row r="667" customFormat="false" ht="15" hidden="false" customHeight="false" outlineLevel="0" collapsed="false">
      <c r="A667" s="9"/>
      <c r="B667" s="9"/>
      <c r="C667" s="9"/>
      <c r="D667" s="9"/>
      <c r="E667" s="9"/>
      <c r="F667" s="9"/>
      <c r="G667" s="9"/>
      <c r="H667" s="9"/>
      <c r="I667" s="9"/>
      <c r="J667" s="10" t="str">
        <f aca="false">IF(A667="","",IF(G667&lt;&gt;"",G667,IF(N(F667)&gt;0,ROUND(1000/F667,3),0)))</f>
        <v/>
      </c>
      <c r="K667" s="10" t="str">
        <f aca="false">IF(OR(A667="",E667="",H667=""),"",ROUND(0.00617*E667^2*H667*J667,2))</f>
        <v/>
      </c>
      <c r="L667" s="9"/>
      <c r="M667" s="10" t="str">
        <f aca="false">IF(A667="","",IF((COUNTIF(Drain_Register!$A$5:$A$304,A667)+COUNTIF(RW_Register!$A$5:$A$304,A667)+COUNTIF(Embedded_Wall_Register!$A$5:$A$304,A667)+COUNTIF(Manhole_Register!$A$5:$A$304,A667)+COUNTIF(ERSS_Pit_Register!$A$5:$A$304,A667)+COUNTIF(Linkway_Register!$A$5:$A$304,A667)+COUNTIF(Other_Register!$A$5:$A$304,A667))&gt;0,"OK","ID not in any register"))</f>
        <v/>
      </c>
    </row>
    <row r="668" customFormat="false" ht="15" hidden="false" customHeight="false" outlineLevel="0" collapsed="false">
      <c r="A668" s="9"/>
      <c r="B668" s="9"/>
      <c r="C668" s="9"/>
      <c r="D668" s="9"/>
      <c r="E668" s="9"/>
      <c r="F668" s="9"/>
      <c r="G668" s="9"/>
      <c r="H668" s="9"/>
      <c r="I668" s="9"/>
      <c r="J668" s="10" t="str">
        <f aca="false">IF(A668="","",IF(G668&lt;&gt;"",G668,IF(N(F668)&gt;0,ROUND(1000/F668,3),0)))</f>
        <v/>
      </c>
      <c r="K668" s="10" t="str">
        <f aca="false">IF(OR(A668="",E668="",H668=""),"",ROUND(0.00617*E668^2*H668*J668,2))</f>
        <v/>
      </c>
      <c r="L668" s="9"/>
      <c r="M668" s="10" t="str">
        <f aca="false">IF(A668="","",IF((COUNTIF(Drain_Register!$A$5:$A$304,A668)+COUNTIF(RW_Register!$A$5:$A$304,A668)+COUNTIF(Embedded_Wall_Register!$A$5:$A$304,A668)+COUNTIF(Manhole_Register!$A$5:$A$304,A668)+COUNTIF(ERSS_Pit_Register!$A$5:$A$304,A668)+COUNTIF(Linkway_Register!$A$5:$A$304,A668)+COUNTIF(Other_Register!$A$5:$A$304,A668))&gt;0,"OK","ID not in any register"))</f>
        <v/>
      </c>
    </row>
    <row r="669" customFormat="false" ht="15" hidden="false" customHeight="false" outlineLevel="0" collapsed="false">
      <c r="A669" s="9"/>
      <c r="B669" s="9"/>
      <c r="C669" s="9"/>
      <c r="D669" s="9"/>
      <c r="E669" s="9"/>
      <c r="F669" s="9"/>
      <c r="G669" s="9"/>
      <c r="H669" s="9"/>
      <c r="I669" s="9"/>
      <c r="J669" s="10" t="str">
        <f aca="false">IF(A669="","",IF(G669&lt;&gt;"",G669,IF(N(F669)&gt;0,ROUND(1000/F669,3),0)))</f>
        <v/>
      </c>
      <c r="K669" s="10" t="str">
        <f aca="false">IF(OR(A669="",E669="",H669=""),"",ROUND(0.00617*E669^2*H669*J669,2))</f>
        <v/>
      </c>
      <c r="L669" s="9"/>
      <c r="M669" s="10" t="str">
        <f aca="false">IF(A669="","",IF((COUNTIF(Drain_Register!$A$5:$A$304,A669)+COUNTIF(RW_Register!$A$5:$A$304,A669)+COUNTIF(Embedded_Wall_Register!$A$5:$A$304,A669)+COUNTIF(Manhole_Register!$A$5:$A$304,A669)+COUNTIF(ERSS_Pit_Register!$A$5:$A$304,A669)+COUNTIF(Linkway_Register!$A$5:$A$304,A669)+COUNTIF(Other_Register!$A$5:$A$304,A669))&gt;0,"OK","ID not in any register"))</f>
        <v/>
      </c>
    </row>
    <row r="670" customFormat="false" ht="15" hidden="false" customHeight="false" outlineLevel="0" collapsed="false">
      <c r="A670" s="9"/>
      <c r="B670" s="9"/>
      <c r="C670" s="9"/>
      <c r="D670" s="9"/>
      <c r="E670" s="9"/>
      <c r="F670" s="9"/>
      <c r="G670" s="9"/>
      <c r="H670" s="9"/>
      <c r="I670" s="9"/>
      <c r="J670" s="10" t="str">
        <f aca="false">IF(A670="","",IF(G670&lt;&gt;"",G670,IF(N(F670)&gt;0,ROUND(1000/F670,3),0)))</f>
        <v/>
      </c>
      <c r="K670" s="10" t="str">
        <f aca="false">IF(OR(A670="",E670="",H670=""),"",ROUND(0.00617*E670^2*H670*J670,2))</f>
        <v/>
      </c>
      <c r="L670" s="9"/>
      <c r="M670" s="10" t="str">
        <f aca="false">IF(A670="","",IF((COUNTIF(Drain_Register!$A$5:$A$304,A670)+COUNTIF(RW_Register!$A$5:$A$304,A670)+COUNTIF(Embedded_Wall_Register!$A$5:$A$304,A670)+COUNTIF(Manhole_Register!$A$5:$A$304,A670)+COUNTIF(ERSS_Pit_Register!$A$5:$A$304,A670)+COUNTIF(Linkway_Register!$A$5:$A$304,A670)+COUNTIF(Other_Register!$A$5:$A$304,A670))&gt;0,"OK","ID not in any register"))</f>
        <v/>
      </c>
    </row>
    <row r="671" customFormat="false" ht="15" hidden="false" customHeight="false" outlineLevel="0" collapsed="false">
      <c r="A671" s="9"/>
      <c r="B671" s="9"/>
      <c r="C671" s="9"/>
      <c r="D671" s="9"/>
      <c r="E671" s="9"/>
      <c r="F671" s="9"/>
      <c r="G671" s="9"/>
      <c r="H671" s="9"/>
      <c r="I671" s="9"/>
      <c r="J671" s="10" t="str">
        <f aca="false">IF(A671="","",IF(G671&lt;&gt;"",G671,IF(N(F671)&gt;0,ROUND(1000/F671,3),0)))</f>
        <v/>
      </c>
      <c r="K671" s="10" t="str">
        <f aca="false">IF(OR(A671="",E671="",H671=""),"",ROUND(0.00617*E671^2*H671*J671,2))</f>
        <v/>
      </c>
      <c r="L671" s="9"/>
      <c r="M671" s="10" t="str">
        <f aca="false">IF(A671="","",IF((COUNTIF(Drain_Register!$A$5:$A$304,A671)+COUNTIF(RW_Register!$A$5:$A$304,A671)+COUNTIF(Embedded_Wall_Register!$A$5:$A$304,A671)+COUNTIF(Manhole_Register!$A$5:$A$304,A671)+COUNTIF(ERSS_Pit_Register!$A$5:$A$304,A671)+COUNTIF(Linkway_Register!$A$5:$A$304,A671)+COUNTIF(Other_Register!$A$5:$A$304,A671))&gt;0,"OK","ID not in any register"))</f>
        <v/>
      </c>
    </row>
    <row r="672" customFormat="false" ht="15" hidden="false" customHeight="false" outlineLevel="0" collapsed="false">
      <c r="A672" s="9"/>
      <c r="B672" s="9"/>
      <c r="C672" s="9"/>
      <c r="D672" s="9"/>
      <c r="E672" s="9"/>
      <c r="F672" s="9"/>
      <c r="G672" s="9"/>
      <c r="H672" s="9"/>
      <c r="I672" s="9"/>
      <c r="J672" s="10" t="str">
        <f aca="false">IF(A672="","",IF(G672&lt;&gt;"",G672,IF(N(F672)&gt;0,ROUND(1000/F672,3),0)))</f>
        <v/>
      </c>
      <c r="K672" s="10" t="str">
        <f aca="false">IF(OR(A672="",E672="",H672=""),"",ROUND(0.00617*E672^2*H672*J672,2))</f>
        <v/>
      </c>
      <c r="L672" s="9"/>
      <c r="M672" s="10" t="str">
        <f aca="false">IF(A672="","",IF((COUNTIF(Drain_Register!$A$5:$A$304,A672)+COUNTIF(RW_Register!$A$5:$A$304,A672)+COUNTIF(Embedded_Wall_Register!$A$5:$A$304,A672)+COUNTIF(Manhole_Register!$A$5:$A$304,A672)+COUNTIF(ERSS_Pit_Register!$A$5:$A$304,A672)+COUNTIF(Linkway_Register!$A$5:$A$304,A672)+COUNTIF(Other_Register!$A$5:$A$304,A672))&gt;0,"OK","ID not in any register"))</f>
        <v/>
      </c>
    </row>
    <row r="673" customFormat="false" ht="15" hidden="false" customHeight="false" outlineLevel="0" collapsed="false">
      <c r="A673" s="9"/>
      <c r="B673" s="9"/>
      <c r="C673" s="9"/>
      <c r="D673" s="9"/>
      <c r="E673" s="9"/>
      <c r="F673" s="9"/>
      <c r="G673" s="9"/>
      <c r="H673" s="9"/>
      <c r="I673" s="9"/>
      <c r="J673" s="10" t="str">
        <f aca="false">IF(A673="","",IF(G673&lt;&gt;"",G673,IF(N(F673)&gt;0,ROUND(1000/F673,3),0)))</f>
        <v/>
      </c>
      <c r="K673" s="10" t="str">
        <f aca="false">IF(OR(A673="",E673="",H673=""),"",ROUND(0.00617*E673^2*H673*J673,2))</f>
        <v/>
      </c>
      <c r="L673" s="9"/>
      <c r="M673" s="10" t="str">
        <f aca="false">IF(A673="","",IF((COUNTIF(Drain_Register!$A$5:$A$304,A673)+COUNTIF(RW_Register!$A$5:$A$304,A673)+COUNTIF(Embedded_Wall_Register!$A$5:$A$304,A673)+COUNTIF(Manhole_Register!$A$5:$A$304,A673)+COUNTIF(ERSS_Pit_Register!$A$5:$A$304,A673)+COUNTIF(Linkway_Register!$A$5:$A$304,A673)+COUNTIF(Other_Register!$A$5:$A$304,A673))&gt;0,"OK","ID not in any register"))</f>
        <v/>
      </c>
    </row>
    <row r="674" customFormat="false" ht="15" hidden="false" customHeight="false" outlineLevel="0" collapsed="false">
      <c r="A674" s="9"/>
      <c r="B674" s="9"/>
      <c r="C674" s="9"/>
      <c r="D674" s="9"/>
      <c r="E674" s="9"/>
      <c r="F674" s="9"/>
      <c r="G674" s="9"/>
      <c r="H674" s="9"/>
      <c r="I674" s="9"/>
      <c r="J674" s="10" t="str">
        <f aca="false">IF(A674="","",IF(G674&lt;&gt;"",G674,IF(N(F674)&gt;0,ROUND(1000/F674,3),0)))</f>
        <v/>
      </c>
      <c r="K674" s="10" t="str">
        <f aca="false">IF(OR(A674="",E674="",H674=""),"",ROUND(0.00617*E674^2*H674*J674,2))</f>
        <v/>
      </c>
      <c r="L674" s="9"/>
      <c r="M674" s="10" t="str">
        <f aca="false">IF(A674="","",IF((COUNTIF(Drain_Register!$A$5:$A$304,A674)+COUNTIF(RW_Register!$A$5:$A$304,A674)+COUNTIF(Embedded_Wall_Register!$A$5:$A$304,A674)+COUNTIF(Manhole_Register!$A$5:$A$304,A674)+COUNTIF(ERSS_Pit_Register!$A$5:$A$304,A674)+COUNTIF(Linkway_Register!$A$5:$A$304,A674)+COUNTIF(Other_Register!$A$5:$A$304,A674))&gt;0,"OK","ID not in any register"))</f>
        <v/>
      </c>
    </row>
    <row r="675" customFormat="false" ht="15" hidden="false" customHeight="false" outlineLevel="0" collapsed="false">
      <c r="A675" s="9"/>
      <c r="B675" s="9"/>
      <c r="C675" s="9"/>
      <c r="D675" s="9"/>
      <c r="E675" s="9"/>
      <c r="F675" s="9"/>
      <c r="G675" s="9"/>
      <c r="H675" s="9"/>
      <c r="I675" s="9"/>
      <c r="J675" s="10" t="str">
        <f aca="false">IF(A675="","",IF(G675&lt;&gt;"",G675,IF(N(F675)&gt;0,ROUND(1000/F675,3),0)))</f>
        <v/>
      </c>
      <c r="K675" s="10" t="str">
        <f aca="false">IF(OR(A675="",E675="",H675=""),"",ROUND(0.00617*E675^2*H675*J675,2))</f>
        <v/>
      </c>
      <c r="L675" s="9"/>
      <c r="M675" s="10" t="str">
        <f aca="false">IF(A675="","",IF((COUNTIF(Drain_Register!$A$5:$A$304,A675)+COUNTIF(RW_Register!$A$5:$A$304,A675)+COUNTIF(Embedded_Wall_Register!$A$5:$A$304,A675)+COUNTIF(Manhole_Register!$A$5:$A$304,A675)+COUNTIF(ERSS_Pit_Register!$A$5:$A$304,A675)+COUNTIF(Linkway_Register!$A$5:$A$304,A675)+COUNTIF(Other_Register!$A$5:$A$304,A675))&gt;0,"OK","ID not in any register"))</f>
        <v/>
      </c>
    </row>
    <row r="676" customFormat="false" ht="15" hidden="false" customHeight="false" outlineLevel="0" collapsed="false">
      <c r="A676" s="9"/>
      <c r="B676" s="9"/>
      <c r="C676" s="9"/>
      <c r="D676" s="9"/>
      <c r="E676" s="9"/>
      <c r="F676" s="9"/>
      <c r="G676" s="9"/>
      <c r="H676" s="9"/>
      <c r="I676" s="9"/>
      <c r="J676" s="10" t="str">
        <f aca="false">IF(A676="","",IF(G676&lt;&gt;"",G676,IF(N(F676)&gt;0,ROUND(1000/F676,3),0)))</f>
        <v/>
      </c>
      <c r="K676" s="10" t="str">
        <f aca="false">IF(OR(A676="",E676="",H676=""),"",ROUND(0.00617*E676^2*H676*J676,2))</f>
        <v/>
      </c>
      <c r="L676" s="9"/>
      <c r="M676" s="10" t="str">
        <f aca="false">IF(A676="","",IF((COUNTIF(Drain_Register!$A$5:$A$304,A676)+COUNTIF(RW_Register!$A$5:$A$304,A676)+COUNTIF(Embedded_Wall_Register!$A$5:$A$304,A676)+COUNTIF(Manhole_Register!$A$5:$A$304,A676)+COUNTIF(ERSS_Pit_Register!$A$5:$A$304,A676)+COUNTIF(Linkway_Register!$A$5:$A$304,A676)+COUNTIF(Other_Register!$A$5:$A$304,A676))&gt;0,"OK","ID not in any register"))</f>
        <v/>
      </c>
    </row>
    <row r="677" customFormat="false" ht="15" hidden="false" customHeight="false" outlineLevel="0" collapsed="false">
      <c r="A677" s="9"/>
      <c r="B677" s="9"/>
      <c r="C677" s="9"/>
      <c r="D677" s="9"/>
      <c r="E677" s="9"/>
      <c r="F677" s="9"/>
      <c r="G677" s="9"/>
      <c r="H677" s="9"/>
      <c r="I677" s="9"/>
      <c r="J677" s="10" t="str">
        <f aca="false">IF(A677="","",IF(G677&lt;&gt;"",G677,IF(N(F677)&gt;0,ROUND(1000/F677,3),0)))</f>
        <v/>
      </c>
      <c r="K677" s="10" t="str">
        <f aca="false">IF(OR(A677="",E677="",H677=""),"",ROUND(0.00617*E677^2*H677*J677,2))</f>
        <v/>
      </c>
      <c r="L677" s="9"/>
      <c r="M677" s="10" t="str">
        <f aca="false">IF(A677="","",IF((COUNTIF(Drain_Register!$A$5:$A$304,A677)+COUNTIF(RW_Register!$A$5:$A$304,A677)+COUNTIF(Embedded_Wall_Register!$A$5:$A$304,A677)+COUNTIF(Manhole_Register!$A$5:$A$304,A677)+COUNTIF(ERSS_Pit_Register!$A$5:$A$304,A677)+COUNTIF(Linkway_Register!$A$5:$A$304,A677)+COUNTIF(Other_Register!$A$5:$A$304,A677))&gt;0,"OK","ID not in any register"))</f>
        <v/>
      </c>
    </row>
    <row r="678" customFormat="false" ht="15" hidden="false" customHeight="false" outlineLevel="0" collapsed="false">
      <c r="A678" s="9"/>
      <c r="B678" s="9"/>
      <c r="C678" s="9"/>
      <c r="D678" s="9"/>
      <c r="E678" s="9"/>
      <c r="F678" s="9"/>
      <c r="G678" s="9"/>
      <c r="H678" s="9"/>
      <c r="I678" s="9"/>
      <c r="J678" s="10" t="str">
        <f aca="false">IF(A678="","",IF(G678&lt;&gt;"",G678,IF(N(F678)&gt;0,ROUND(1000/F678,3),0)))</f>
        <v/>
      </c>
      <c r="K678" s="10" t="str">
        <f aca="false">IF(OR(A678="",E678="",H678=""),"",ROUND(0.00617*E678^2*H678*J678,2))</f>
        <v/>
      </c>
      <c r="L678" s="9"/>
      <c r="M678" s="10" t="str">
        <f aca="false">IF(A678="","",IF((COUNTIF(Drain_Register!$A$5:$A$304,A678)+COUNTIF(RW_Register!$A$5:$A$304,A678)+COUNTIF(Embedded_Wall_Register!$A$5:$A$304,A678)+COUNTIF(Manhole_Register!$A$5:$A$304,A678)+COUNTIF(ERSS_Pit_Register!$A$5:$A$304,A678)+COUNTIF(Linkway_Register!$A$5:$A$304,A678)+COUNTIF(Other_Register!$A$5:$A$304,A678))&gt;0,"OK","ID not in any register"))</f>
        <v/>
      </c>
    </row>
    <row r="679" customFormat="false" ht="15" hidden="false" customHeight="false" outlineLevel="0" collapsed="false">
      <c r="A679" s="9"/>
      <c r="B679" s="9"/>
      <c r="C679" s="9"/>
      <c r="D679" s="9"/>
      <c r="E679" s="9"/>
      <c r="F679" s="9"/>
      <c r="G679" s="9"/>
      <c r="H679" s="9"/>
      <c r="I679" s="9"/>
      <c r="J679" s="10" t="str">
        <f aca="false">IF(A679="","",IF(G679&lt;&gt;"",G679,IF(N(F679)&gt;0,ROUND(1000/F679,3),0)))</f>
        <v/>
      </c>
      <c r="K679" s="10" t="str">
        <f aca="false">IF(OR(A679="",E679="",H679=""),"",ROUND(0.00617*E679^2*H679*J679,2))</f>
        <v/>
      </c>
      <c r="L679" s="9"/>
      <c r="M679" s="10" t="str">
        <f aca="false">IF(A679="","",IF((COUNTIF(Drain_Register!$A$5:$A$304,A679)+COUNTIF(RW_Register!$A$5:$A$304,A679)+COUNTIF(Embedded_Wall_Register!$A$5:$A$304,A679)+COUNTIF(Manhole_Register!$A$5:$A$304,A679)+COUNTIF(ERSS_Pit_Register!$A$5:$A$304,A679)+COUNTIF(Linkway_Register!$A$5:$A$304,A679)+COUNTIF(Other_Register!$A$5:$A$304,A679))&gt;0,"OK","ID not in any register"))</f>
        <v/>
      </c>
    </row>
    <row r="680" customFormat="false" ht="15" hidden="false" customHeight="false" outlineLevel="0" collapsed="false">
      <c r="A680" s="9"/>
      <c r="B680" s="9"/>
      <c r="C680" s="9"/>
      <c r="D680" s="9"/>
      <c r="E680" s="9"/>
      <c r="F680" s="9"/>
      <c r="G680" s="9"/>
      <c r="H680" s="9"/>
      <c r="I680" s="9"/>
      <c r="J680" s="10" t="str">
        <f aca="false">IF(A680="","",IF(G680&lt;&gt;"",G680,IF(N(F680)&gt;0,ROUND(1000/F680,3),0)))</f>
        <v/>
      </c>
      <c r="K680" s="10" t="str">
        <f aca="false">IF(OR(A680="",E680="",H680=""),"",ROUND(0.00617*E680^2*H680*J680,2))</f>
        <v/>
      </c>
      <c r="L680" s="9"/>
      <c r="M680" s="10" t="str">
        <f aca="false">IF(A680="","",IF((COUNTIF(Drain_Register!$A$5:$A$304,A680)+COUNTIF(RW_Register!$A$5:$A$304,A680)+COUNTIF(Embedded_Wall_Register!$A$5:$A$304,A680)+COUNTIF(Manhole_Register!$A$5:$A$304,A680)+COUNTIF(ERSS_Pit_Register!$A$5:$A$304,A680)+COUNTIF(Linkway_Register!$A$5:$A$304,A680)+COUNTIF(Other_Register!$A$5:$A$304,A680))&gt;0,"OK","ID not in any register"))</f>
        <v/>
      </c>
    </row>
    <row r="681" customFormat="false" ht="15" hidden="false" customHeight="false" outlineLevel="0" collapsed="false">
      <c r="A681" s="9"/>
      <c r="B681" s="9"/>
      <c r="C681" s="9"/>
      <c r="D681" s="9"/>
      <c r="E681" s="9"/>
      <c r="F681" s="9"/>
      <c r="G681" s="9"/>
      <c r="H681" s="9"/>
      <c r="I681" s="9"/>
      <c r="J681" s="10" t="str">
        <f aca="false">IF(A681="","",IF(G681&lt;&gt;"",G681,IF(N(F681)&gt;0,ROUND(1000/F681,3),0)))</f>
        <v/>
      </c>
      <c r="K681" s="10" t="str">
        <f aca="false">IF(OR(A681="",E681="",H681=""),"",ROUND(0.00617*E681^2*H681*J681,2))</f>
        <v/>
      </c>
      <c r="L681" s="9"/>
      <c r="M681" s="10" t="str">
        <f aca="false">IF(A681="","",IF((COUNTIF(Drain_Register!$A$5:$A$304,A681)+COUNTIF(RW_Register!$A$5:$A$304,A681)+COUNTIF(Embedded_Wall_Register!$A$5:$A$304,A681)+COUNTIF(Manhole_Register!$A$5:$A$304,A681)+COUNTIF(ERSS_Pit_Register!$A$5:$A$304,A681)+COUNTIF(Linkway_Register!$A$5:$A$304,A681)+COUNTIF(Other_Register!$A$5:$A$304,A681))&gt;0,"OK","ID not in any register"))</f>
        <v/>
      </c>
    </row>
    <row r="682" customFormat="false" ht="15" hidden="false" customHeight="false" outlineLevel="0" collapsed="false">
      <c r="A682" s="9"/>
      <c r="B682" s="9"/>
      <c r="C682" s="9"/>
      <c r="D682" s="9"/>
      <c r="E682" s="9"/>
      <c r="F682" s="9"/>
      <c r="G682" s="9"/>
      <c r="H682" s="9"/>
      <c r="I682" s="9"/>
      <c r="J682" s="10" t="str">
        <f aca="false">IF(A682="","",IF(G682&lt;&gt;"",G682,IF(N(F682)&gt;0,ROUND(1000/F682,3),0)))</f>
        <v/>
      </c>
      <c r="K682" s="10" t="str">
        <f aca="false">IF(OR(A682="",E682="",H682=""),"",ROUND(0.00617*E682^2*H682*J682,2))</f>
        <v/>
      </c>
      <c r="L682" s="9"/>
      <c r="M682" s="10" t="str">
        <f aca="false">IF(A682="","",IF((COUNTIF(Drain_Register!$A$5:$A$304,A682)+COUNTIF(RW_Register!$A$5:$A$304,A682)+COUNTIF(Embedded_Wall_Register!$A$5:$A$304,A682)+COUNTIF(Manhole_Register!$A$5:$A$304,A682)+COUNTIF(ERSS_Pit_Register!$A$5:$A$304,A682)+COUNTIF(Linkway_Register!$A$5:$A$304,A682)+COUNTIF(Other_Register!$A$5:$A$304,A682))&gt;0,"OK","ID not in any register"))</f>
        <v/>
      </c>
    </row>
    <row r="683" customFormat="false" ht="15" hidden="false" customHeight="false" outlineLevel="0" collapsed="false">
      <c r="A683" s="9"/>
      <c r="B683" s="9"/>
      <c r="C683" s="9"/>
      <c r="D683" s="9"/>
      <c r="E683" s="9"/>
      <c r="F683" s="9"/>
      <c r="G683" s="9"/>
      <c r="H683" s="9"/>
      <c r="I683" s="9"/>
      <c r="J683" s="10" t="str">
        <f aca="false">IF(A683="","",IF(G683&lt;&gt;"",G683,IF(N(F683)&gt;0,ROUND(1000/F683,3),0)))</f>
        <v/>
      </c>
      <c r="K683" s="10" t="str">
        <f aca="false">IF(OR(A683="",E683="",H683=""),"",ROUND(0.00617*E683^2*H683*J683,2))</f>
        <v/>
      </c>
      <c r="L683" s="9"/>
      <c r="M683" s="10" t="str">
        <f aca="false">IF(A683="","",IF((COUNTIF(Drain_Register!$A$5:$A$304,A683)+COUNTIF(RW_Register!$A$5:$A$304,A683)+COUNTIF(Embedded_Wall_Register!$A$5:$A$304,A683)+COUNTIF(Manhole_Register!$A$5:$A$304,A683)+COUNTIF(ERSS_Pit_Register!$A$5:$A$304,A683)+COUNTIF(Linkway_Register!$A$5:$A$304,A683)+COUNTIF(Other_Register!$A$5:$A$304,A683))&gt;0,"OK","ID not in any register"))</f>
        <v/>
      </c>
    </row>
    <row r="684" customFormat="false" ht="15" hidden="false" customHeight="false" outlineLevel="0" collapsed="false">
      <c r="A684" s="9"/>
      <c r="B684" s="9"/>
      <c r="C684" s="9"/>
      <c r="D684" s="9"/>
      <c r="E684" s="9"/>
      <c r="F684" s="9"/>
      <c r="G684" s="9"/>
      <c r="H684" s="9"/>
      <c r="I684" s="9"/>
      <c r="J684" s="10" t="str">
        <f aca="false">IF(A684="","",IF(G684&lt;&gt;"",G684,IF(N(F684)&gt;0,ROUND(1000/F684,3),0)))</f>
        <v/>
      </c>
      <c r="K684" s="10" t="str">
        <f aca="false">IF(OR(A684="",E684="",H684=""),"",ROUND(0.00617*E684^2*H684*J684,2))</f>
        <v/>
      </c>
      <c r="L684" s="9"/>
      <c r="M684" s="10" t="str">
        <f aca="false">IF(A684="","",IF((COUNTIF(Drain_Register!$A$5:$A$304,A684)+COUNTIF(RW_Register!$A$5:$A$304,A684)+COUNTIF(Embedded_Wall_Register!$A$5:$A$304,A684)+COUNTIF(Manhole_Register!$A$5:$A$304,A684)+COUNTIF(ERSS_Pit_Register!$A$5:$A$304,A684)+COUNTIF(Linkway_Register!$A$5:$A$304,A684)+COUNTIF(Other_Register!$A$5:$A$304,A684))&gt;0,"OK","ID not in any register"))</f>
        <v/>
      </c>
    </row>
    <row r="685" customFormat="false" ht="15" hidden="false" customHeight="false" outlineLevel="0" collapsed="false">
      <c r="A685" s="9"/>
      <c r="B685" s="9"/>
      <c r="C685" s="9"/>
      <c r="D685" s="9"/>
      <c r="E685" s="9"/>
      <c r="F685" s="9"/>
      <c r="G685" s="9"/>
      <c r="H685" s="9"/>
      <c r="I685" s="9"/>
      <c r="J685" s="10" t="str">
        <f aca="false">IF(A685="","",IF(G685&lt;&gt;"",G685,IF(N(F685)&gt;0,ROUND(1000/F685,3),0)))</f>
        <v/>
      </c>
      <c r="K685" s="10" t="str">
        <f aca="false">IF(OR(A685="",E685="",H685=""),"",ROUND(0.00617*E685^2*H685*J685,2))</f>
        <v/>
      </c>
      <c r="L685" s="9"/>
      <c r="M685" s="10" t="str">
        <f aca="false">IF(A685="","",IF((COUNTIF(Drain_Register!$A$5:$A$304,A685)+COUNTIF(RW_Register!$A$5:$A$304,A685)+COUNTIF(Embedded_Wall_Register!$A$5:$A$304,A685)+COUNTIF(Manhole_Register!$A$5:$A$304,A685)+COUNTIF(ERSS_Pit_Register!$A$5:$A$304,A685)+COUNTIF(Linkway_Register!$A$5:$A$304,A685)+COUNTIF(Other_Register!$A$5:$A$304,A685))&gt;0,"OK","ID not in any register"))</f>
        <v/>
      </c>
    </row>
    <row r="686" customFormat="false" ht="15" hidden="false" customHeight="false" outlineLevel="0" collapsed="false">
      <c r="A686" s="9"/>
      <c r="B686" s="9"/>
      <c r="C686" s="9"/>
      <c r="D686" s="9"/>
      <c r="E686" s="9"/>
      <c r="F686" s="9"/>
      <c r="G686" s="9"/>
      <c r="H686" s="9"/>
      <c r="I686" s="9"/>
      <c r="J686" s="10" t="str">
        <f aca="false">IF(A686="","",IF(G686&lt;&gt;"",G686,IF(N(F686)&gt;0,ROUND(1000/F686,3),0)))</f>
        <v/>
      </c>
      <c r="K686" s="10" t="str">
        <f aca="false">IF(OR(A686="",E686="",H686=""),"",ROUND(0.00617*E686^2*H686*J686,2))</f>
        <v/>
      </c>
      <c r="L686" s="9"/>
      <c r="M686" s="10" t="str">
        <f aca="false">IF(A686="","",IF((COUNTIF(Drain_Register!$A$5:$A$304,A686)+COUNTIF(RW_Register!$A$5:$A$304,A686)+COUNTIF(Embedded_Wall_Register!$A$5:$A$304,A686)+COUNTIF(Manhole_Register!$A$5:$A$304,A686)+COUNTIF(ERSS_Pit_Register!$A$5:$A$304,A686)+COUNTIF(Linkway_Register!$A$5:$A$304,A686)+COUNTIF(Other_Register!$A$5:$A$304,A686))&gt;0,"OK","ID not in any register"))</f>
        <v/>
      </c>
    </row>
    <row r="687" customFormat="false" ht="15" hidden="false" customHeight="false" outlineLevel="0" collapsed="false">
      <c r="A687" s="9"/>
      <c r="B687" s="9"/>
      <c r="C687" s="9"/>
      <c r="D687" s="9"/>
      <c r="E687" s="9"/>
      <c r="F687" s="9"/>
      <c r="G687" s="9"/>
      <c r="H687" s="9"/>
      <c r="I687" s="9"/>
      <c r="J687" s="10" t="str">
        <f aca="false">IF(A687="","",IF(G687&lt;&gt;"",G687,IF(N(F687)&gt;0,ROUND(1000/F687,3),0)))</f>
        <v/>
      </c>
      <c r="K687" s="10" t="str">
        <f aca="false">IF(OR(A687="",E687="",H687=""),"",ROUND(0.00617*E687^2*H687*J687,2))</f>
        <v/>
      </c>
      <c r="L687" s="9"/>
      <c r="M687" s="10" t="str">
        <f aca="false">IF(A687="","",IF((COUNTIF(Drain_Register!$A$5:$A$304,A687)+COUNTIF(RW_Register!$A$5:$A$304,A687)+COUNTIF(Embedded_Wall_Register!$A$5:$A$304,A687)+COUNTIF(Manhole_Register!$A$5:$A$304,A687)+COUNTIF(ERSS_Pit_Register!$A$5:$A$304,A687)+COUNTIF(Linkway_Register!$A$5:$A$304,A687)+COUNTIF(Other_Register!$A$5:$A$304,A687))&gt;0,"OK","ID not in any register"))</f>
        <v/>
      </c>
    </row>
    <row r="688" customFormat="false" ht="15" hidden="false" customHeight="false" outlineLevel="0" collapsed="false">
      <c r="A688" s="9"/>
      <c r="B688" s="9"/>
      <c r="C688" s="9"/>
      <c r="D688" s="9"/>
      <c r="E688" s="9"/>
      <c r="F688" s="9"/>
      <c r="G688" s="9"/>
      <c r="H688" s="9"/>
      <c r="I688" s="9"/>
      <c r="J688" s="10" t="str">
        <f aca="false">IF(A688="","",IF(G688&lt;&gt;"",G688,IF(N(F688)&gt;0,ROUND(1000/F688,3),0)))</f>
        <v/>
      </c>
      <c r="K688" s="10" t="str">
        <f aca="false">IF(OR(A688="",E688="",H688=""),"",ROUND(0.00617*E688^2*H688*J688,2))</f>
        <v/>
      </c>
      <c r="L688" s="9"/>
      <c r="M688" s="10" t="str">
        <f aca="false">IF(A688="","",IF((COUNTIF(Drain_Register!$A$5:$A$304,A688)+COUNTIF(RW_Register!$A$5:$A$304,A688)+COUNTIF(Embedded_Wall_Register!$A$5:$A$304,A688)+COUNTIF(Manhole_Register!$A$5:$A$304,A688)+COUNTIF(ERSS_Pit_Register!$A$5:$A$304,A688)+COUNTIF(Linkway_Register!$A$5:$A$304,A688)+COUNTIF(Other_Register!$A$5:$A$304,A688))&gt;0,"OK","ID not in any register"))</f>
        <v/>
      </c>
    </row>
    <row r="689" customFormat="false" ht="15" hidden="false" customHeight="false" outlineLevel="0" collapsed="false">
      <c r="A689" s="9"/>
      <c r="B689" s="9"/>
      <c r="C689" s="9"/>
      <c r="D689" s="9"/>
      <c r="E689" s="9"/>
      <c r="F689" s="9"/>
      <c r="G689" s="9"/>
      <c r="H689" s="9"/>
      <c r="I689" s="9"/>
      <c r="J689" s="10" t="str">
        <f aca="false">IF(A689="","",IF(G689&lt;&gt;"",G689,IF(N(F689)&gt;0,ROUND(1000/F689,3),0)))</f>
        <v/>
      </c>
      <c r="K689" s="10" t="str">
        <f aca="false">IF(OR(A689="",E689="",H689=""),"",ROUND(0.00617*E689^2*H689*J689,2))</f>
        <v/>
      </c>
      <c r="L689" s="9"/>
      <c r="M689" s="10" t="str">
        <f aca="false">IF(A689="","",IF((COUNTIF(Drain_Register!$A$5:$A$304,A689)+COUNTIF(RW_Register!$A$5:$A$304,A689)+COUNTIF(Embedded_Wall_Register!$A$5:$A$304,A689)+COUNTIF(Manhole_Register!$A$5:$A$304,A689)+COUNTIF(ERSS_Pit_Register!$A$5:$A$304,A689)+COUNTIF(Linkway_Register!$A$5:$A$304,A689)+COUNTIF(Other_Register!$A$5:$A$304,A689))&gt;0,"OK","ID not in any register"))</f>
        <v/>
      </c>
    </row>
    <row r="690" customFormat="false" ht="15" hidden="false" customHeight="false" outlineLevel="0" collapsed="false">
      <c r="A690" s="9"/>
      <c r="B690" s="9"/>
      <c r="C690" s="9"/>
      <c r="D690" s="9"/>
      <c r="E690" s="9"/>
      <c r="F690" s="9"/>
      <c r="G690" s="9"/>
      <c r="H690" s="9"/>
      <c r="I690" s="9"/>
      <c r="J690" s="10" t="str">
        <f aca="false">IF(A690="","",IF(G690&lt;&gt;"",G690,IF(N(F690)&gt;0,ROUND(1000/F690,3),0)))</f>
        <v/>
      </c>
      <c r="K690" s="10" t="str">
        <f aca="false">IF(OR(A690="",E690="",H690=""),"",ROUND(0.00617*E690^2*H690*J690,2))</f>
        <v/>
      </c>
      <c r="L690" s="9"/>
      <c r="M690" s="10" t="str">
        <f aca="false">IF(A690="","",IF((COUNTIF(Drain_Register!$A$5:$A$304,A690)+COUNTIF(RW_Register!$A$5:$A$304,A690)+COUNTIF(Embedded_Wall_Register!$A$5:$A$304,A690)+COUNTIF(Manhole_Register!$A$5:$A$304,A690)+COUNTIF(ERSS_Pit_Register!$A$5:$A$304,A690)+COUNTIF(Linkway_Register!$A$5:$A$304,A690)+COUNTIF(Other_Register!$A$5:$A$304,A690))&gt;0,"OK","ID not in any register"))</f>
        <v/>
      </c>
    </row>
    <row r="691" customFormat="false" ht="15" hidden="false" customHeight="false" outlineLevel="0" collapsed="false">
      <c r="A691" s="9"/>
      <c r="B691" s="9"/>
      <c r="C691" s="9"/>
      <c r="D691" s="9"/>
      <c r="E691" s="9"/>
      <c r="F691" s="9"/>
      <c r="G691" s="9"/>
      <c r="H691" s="9"/>
      <c r="I691" s="9"/>
      <c r="J691" s="10" t="str">
        <f aca="false">IF(A691="","",IF(G691&lt;&gt;"",G691,IF(N(F691)&gt;0,ROUND(1000/F691,3),0)))</f>
        <v/>
      </c>
      <c r="K691" s="10" t="str">
        <f aca="false">IF(OR(A691="",E691="",H691=""),"",ROUND(0.00617*E691^2*H691*J691,2))</f>
        <v/>
      </c>
      <c r="L691" s="9"/>
      <c r="M691" s="10" t="str">
        <f aca="false">IF(A691="","",IF((COUNTIF(Drain_Register!$A$5:$A$304,A691)+COUNTIF(RW_Register!$A$5:$A$304,A691)+COUNTIF(Embedded_Wall_Register!$A$5:$A$304,A691)+COUNTIF(Manhole_Register!$A$5:$A$304,A691)+COUNTIF(ERSS_Pit_Register!$A$5:$A$304,A691)+COUNTIF(Linkway_Register!$A$5:$A$304,A691)+COUNTIF(Other_Register!$A$5:$A$304,A691))&gt;0,"OK","ID not in any register"))</f>
        <v/>
      </c>
    </row>
    <row r="692" customFormat="false" ht="15" hidden="false" customHeight="false" outlineLevel="0" collapsed="false">
      <c r="A692" s="9"/>
      <c r="B692" s="9"/>
      <c r="C692" s="9"/>
      <c r="D692" s="9"/>
      <c r="E692" s="9"/>
      <c r="F692" s="9"/>
      <c r="G692" s="9"/>
      <c r="H692" s="9"/>
      <c r="I692" s="9"/>
      <c r="J692" s="10" t="str">
        <f aca="false">IF(A692="","",IF(G692&lt;&gt;"",G692,IF(N(F692)&gt;0,ROUND(1000/F692,3),0)))</f>
        <v/>
      </c>
      <c r="K692" s="10" t="str">
        <f aca="false">IF(OR(A692="",E692="",H692=""),"",ROUND(0.00617*E692^2*H692*J692,2))</f>
        <v/>
      </c>
      <c r="L692" s="9"/>
      <c r="M692" s="10" t="str">
        <f aca="false">IF(A692="","",IF((COUNTIF(Drain_Register!$A$5:$A$304,A692)+COUNTIF(RW_Register!$A$5:$A$304,A692)+COUNTIF(Embedded_Wall_Register!$A$5:$A$304,A692)+COUNTIF(Manhole_Register!$A$5:$A$304,A692)+COUNTIF(ERSS_Pit_Register!$A$5:$A$304,A692)+COUNTIF(Linkway_Register!$A$5:$A$304,A692)+COUNTIF(Other_Register!$A$5:$A$304,A692))&gt;0,"OK","ID not in any register"))</f>
        <v/>
      </c>
    </row>
    <row r="693" customFormat="false" ht="15" hidden="false" customHeight="false" outlineLevel="0" collapsed="false">
      <c r="A693" s="9"/>
      <c r="B693" s="9"/>
      <c r="C693" s="9"/>
      <c r="D693" s="9"/>
      <c r="E693" s="9"/>
      <c r="F693" s="9"/>
      <c r="G693" s="9"/>
      <c r="H693" s="9"/>
      <c r="I693" s="9"/>
      <c r="J693" s="10" t="str">
        <f aca="false">IF(A693="","",IF(G693&lt;&gt;"",G693,IF(N(F693)&gt;0,ROUND(1000/F693,3),0)))</f>
        <v/>
      </c>
      <c r="K693" s="10" t="str">
        <f aca="false">IF(OR(A693="",E693="",H693=""),"",ROUND(0.00617*E693^2*H693*J693,2))</f>
        <v/>
      </c>
      <c r="L693" s="9"/>
      <c r="M693" s="10" t="str">
        <f aca="false">IF(A693="","",IF((COUNTIF(Drain_Register!$A$5:$A$304,A693)+COUNTIF(RW_Register!$A$5:$A$304,A693)+COUNTIF(Embedded_Wall_Register!$A$5:$A$304,A693)+COUNTIF(Manhole_Register!$A$5:$A$304,A693)+COUNTIF(ERSS_Pit_Register!$A$5:$A$304,A693)+COUNTIF(Linkway_Register!$A$5:$A$304,A693)+COUNTIF(Other_Register!$A$5:$A$304,A693))&gt;0,"OK","ID not in any register"))</f>
        <v/>
      </c>
    </row>
    <row r="694" customFormat="false" ht="15" hidden="false" customHeight="false" outlineLevel="0" collapsed="false">
      <c r="A694" s="9"/>
      <c r="B694" s="9"/>
      <c r="C694" s="9"/>
      <c r="D694" s="9"/>
      <c r="E694" s="9"/>
      <c r="F694" s="9"/>
      <c r="G694" s="9"/>
      <c r="H694" s="9"/>
      <c r="I694" s="9"/>
      <c r="J694" s="10" t="str">
        <f aca="false">IF(A694="","",IF(G694&lt;&gt;"",G694,IF(N(F694)&gt;0,ROUND(1000/F694,3),0)))</f>
        <v/>
      </c>
      <c r="K694" s="10" t="str">
        <f aca="false">IF(OR(A694="",E694="",H694=""),"",ROUND(0.00617*E694^2*H694*J694,2))</f>
        <v/>
      </c>
      <c r="L694" s="9"/>
      <c r="M694" s="10" t="str">
        <f aca="false">IF(A694="","",IF((COUNTIF(Drain_Register!$A$5:$A$304,A694)+COUNTIF(RW_Register!$A$5:$A$304,A694)+COUNTIF(Embedded_Wall_Register!$A$5:$A$304,A694)+COUNTIF(Manhole_Register!$A$5:$A$304,A694)+COUNTIF(ERSS_Pit_Register!$A$5:$A$304,A694)+COUNTIF(Linkway_Register!$A$5:$A$304,A694)+COUNTIF(Other_Register!$A$5:$A$304,A694))&gt;0,"OK","ID not in any register"))</f>
        <v/>
      </c>
    </row>
    <row r="695" customFormat="false" ht="15" hidden="false" customHeight="false" outlineLevel="0" collapsed="false">
      <c r="A695" s="9"/>
      <c r="B695" s="9"/>
      <c r="C695" s="9"/>
      <c r="D695" s="9"/>
      <c r="E695" s="9"/>
      <c r="F695" s="9"/>
      <c r="G695" s="9"/>
      <c r="H695" s="9"/>
      <c r="I695" s="9"/>
      <c r="J695" s="10" t="str">
        <f aca="false">IF(A695="","",IF(G695&lt;&gt;"",G695,IF(N(F695)&gt;0,ROUND(1000/F695,3),0)))</f>
        <v/>
      </c>
      <c r="K695" s="10" t="str">
        <f aca="false">IF(OR(A695="",E695="",H695=""),"",ROUND(0.00617*E695^2*H695*J695,2))</f>
        <v/>
      </c>
      <c r="L695" s="9"/>
      <c r="M695" s="10" t="str">
        <f aca="false">IF(A695="","",IF((COUNTIF(Drain_Register!$A$5:$A$304,A695)+COUNTIF(RW_Register!$A$5:$A$304,A695)+COUNTIF(Embedded_Wall_Register!$A$5:$A$304,A695)+COUNTIF(Manhole_Register!$A$5:$A$304,A695)+COUNTIF(ERSS_Pit_Register!$A$5:$A$304,A695)+COUNTIF(Linkway_Register!$A$5:$A$304,A695)+COUNTIF(Other_Register!$A$5:$A$304,A695))&gt;0,"OK","ID not in any register"))</f>
        <v/>
      </c>
    </row>
    <row r="696" customFormat="false" ht="15" hidden="false" customHeight="false" outlineLevel="0" collapsed="false">
      <c r="A696" s="9"/>
      <c r="B696" s="9"/>
      <c r="C696" s="9"/>
      <c r="D696" s="9"/>
      <c r="E696" s="9"/>
      <c r="F696" s="9"/>
      <c r="G696" s="9"/>
      <c r="H696" s="9"/>
      <c r="I696" s="9"/>
      <c r="J696" s="10" t="str">
        <f aca="false">IF(A696="","",IF(G696&lt;&gt;"",G696,IF(N(F696)&gt;0,ROUND(1000/F696,3),0)))</f>
        <v/>
      </c>
      <c r="K696" s="10" t="str">
        <f aca="false">IF(OR(A696="",E696="",H696=""),"",ROUND(0.00617*E696^2*H696*J696,2))</f>
        <v/>
      </c>
      <c r="L696" s="9"/>
      <c r="M696" s="10" t="str">
        <f aca="false">IF(A696="","",IF((COUNTIF(Drain_Register!$A$5:$A$304,A696)+COUNTIF(RW_Register!$A$5:$A$304,A696)+COUNTIF(Embedded_Wall_Register!$A$5:$A$304,A696)+COUNTIF(Manhole_Register!$A$5:$A$304,A696)+COUNTIF(ERSS_Pit_Register!$A$5:$A$304,A696)+COUNTIF(Linkway_Register!$A$5:$A$304,A696)+COUNTIF(Other_Register!$A$5:$A$304,A696))&gt;0,"OK","ID not in any register"))</f>
        <v/>
      </c>
    </row>
    <row r="697" customFormat="false" ht="15" hidden="false" customHeight="false" outlineLevel="0" collapsed="false">
      <c r="A697" s="9"/>
      <c r="B697" s="9"/>
      <c r="C697" s="9"/>
      <c r="D697" s="9"/>
      <c r="E697" s="9"/>
      <c r="F697" s="9"/>
      <c r="G697" s="9"/>
      <c r="H697" s="9"/>
      <c r="I697" s="9"/>
      <c r="J697" s="10" t="str">
        <f aca="false">IF(A697="","",IF(G697&lt;&gt;"",G697,IF(N(F697)&gt;0,ROUND(1000/F697,3),0)))</f>
        <v/>
      </c>
      <c r="K697" s="10" t="str">
        <f aca="false">IF(OR(A697="",E697="",H697=""),"",ROUND(0.00617*E697^2*H697*J697,2))</f>
        <v/>
      </c>
      <c r="L697" s="9"/>
      <c r="M697" s="10" t="str">
        <f aca="false">IF(A697="","",IF((COUNTIF(Drain_Register!$A$5:$A$304,A697)+COUNTIF(RW_Register!$A$5:$A$304,A697)+COUNTIF(Embedded_Wall_Register!$A$5:$A$304,A697)+COUNTIF(Manhole_Register!$A$5:$A$304,A697)+COUNTIF(ERSS_Pit_Register!$A$5:$A$304,A697)+COUNTIF(Linkway_Register!$A$5:$A$304,A697)+COUNTIF(Other_Register!$A$5:$A$304,A697))&gt;0,"OK","ID not in any register"))</f>
        <v/>
      </c>
    </row>
    <row r="698" customFormat="false" ht="15" hidden="false" customHeight="false" outlineLevel="0" collapsed="false">
      <c r="A698" s="9"/>
      <c r="B698" s="9"/>
      <c r="C698" s="9"/>
      <c r="D698" s="9"/>
      <c r="E698" s="9"/>
      <c r="F698" s="9"/>
      <c r="G698" s="9"/>
      <c r="H698" s="9"/>
      <c r="I698" s="9"/>
      <c r="J698" s="10" t="str">
        <f aca="false">IF(A698="","",IF(G698&lt;&gt;"",G698,IF(N(F698)&gt;0,ROUND(1000/F698,3),0)))</f>
        <v/>
      </c>
      <c r="K698" s="10" t="str">
        <f aca="false">IF(OR(A698="",E698="",H698=""),"",ROUND(0.00617*E698^2*H698*J698,2))</f>
        <v/>
      </c>
      <c r="L698" s="9"/>
      <c r="M698" s="10" t="str">
        <f aca="false">IF(A698="","",IF((COUNTIF(Drain_Register!$A$5:$A$304,A698)+COUNTIF(RW_Register!$A$5:$A$304,A698)+COUNTIF(Embedded_Wall_Register!$A$5:$A$304,A698)+COUNTIF(Manhole_Register!$A$5:$A$304,A698)+COUNTIF(ERSS_Pit_Register!$A$5:$A$304,A698)+COUNTIF(Linkway_Register!$A$5:$A$304,A698)+COUNTIF(Other_Register!$A$5:$A$304,A698))&gt;0,"OK","ID not in any register"))</f>
        <v/>
      </c>
    </row>
    <row r="699" customFormat="false" ht="15" hidden="false" customHeight="false" outlineLevel="0" collapsed="false">
      <c r="A699" s="9"/>
      <c r="B699" s="9"/>
      <c r="C699" s="9"/>
      <c r="D699" s="9"/>
      <c r="E699" s="9"/>
      <c r="F699" s="9"/>
      <c r="G699" s="9"/>
      <c r="H699" s="9"/>
      <c r="I699" s="9"/>
      <c r="J699" s="10" t="str">
        <f aca="false">IF(A699="","",IF(G699&lt;&gt;"",G699,IF(N(F699)&gt;0,ROUND(1000/F699,3),0)))</f>
        <v/>
      </c>
      <c r="K699" s="10" t="str">
        <f aca="false">IF(OR(A699="",E699="",H699=""),"",ROUND(0.00617*E699^2*H699*J699,2))</f>
        <v/>
      </c>
      <c r="L699" s="9"/>
      <c r="M699" s="10" t="str">
        <f aca="false">IF(A699="","",IF((COUNTIF(Drain_Register!$A$5:$A$304,A699)+COUNTIF(RW_Register!$A$5:$A$304,A699)+COUNTIF(Embedded_Wall_Register!$A$5:$A$304,A699)+COUNTIF(Manhole_Register!$A$5:$A$304,A699)+COUNTIF(ERSS_Pit_Register!$A$5:$A$304,A699)+COUNTIF(Linkway_Register!$A$5:$A$304,A699)+COUNTIF(Other_Register!$A$5:$A$304,A699))&gt;0,"OK","ID not in any register"))</f>
        <v/>
      </c>
    </row>
    <row r="700" customFormat="false" ht="15" hidden="false" customHeight="false" outlineLevel="0" collapsed="false">
      <c r="A700" s="9"/>
      <c r="B700" s="9"/>
      <c r="C700" s="9"/>
      <c r="D700" s="9"/>
      <c r="E700" s="9"/>
      <c r="F700" s="9"/>
      <c r="G700" s="9"/>
      <c r="H700" s="9"/>
      <c r="I700" s="9"/>
      <c r="J700" s="10" t="str">
        <f aca="false">IF(A700="","",IF(G700&lt;&gt;"",G700,IF(N(F700)&gt;0,ROUND(1000/F700,3),0)))</f>
        <v/>
      </c>
      <c r="K700" s="10" t="str">
        <f aca="false">IF(OR(A700="",E700="",H700=""),"",ROUND(0.00617*E700^2*H700*J700,2))</f>
        <v/>
      </c>
      <c r="L700" s="9"/>
      <c r="M700" s="10" t="str">
        <f aca="false">IF(A700="","",IF((COUNTIF(Drain_Register!$A$5:$A$304,A700)+COUNTIF(RW_Register!$A$5:$A$304,A700)+COUNTIF(Embedded_Wall_Register!$A$5:$A$304,A700)+COUNTIF(Manhole_Register!$A$5:$A$304,A700)+COUNTIF(ERSS_Pit_Register!$A$5:$A$304,A700)+COUNTIF(Linkway_Register!$A$5:$A$304,A700)+COUNTIF(Other_Register!$A$5:$A$304,A700))&gt;0,"OK","ID not in any register"))</f>
        <v/>
      </c>
    </row>
    <row r="701" customFormat="false" ht="15" hidden="false" customHeight="false" outlineLevel="0" collapsed="false">
      <c r="A701" s="9"/>
      <c r="B701" s="9"/>
      <c r="C701" s="9"/>
      <c r="D701" s="9"/>
      <c r="E701" s="9"/>
      <c r="F701" s="9"/>
      <c r="G701" s="9"/>
      <c r="H701" s="9"/>
      <c r="I701" s="9"/>
      <c r="J701" s="10" t="str">
        <f aca="false">IF(A701="","",IF(G701&lt;&gt;"",G701,IF(N(F701)&gt;0,ROUND(1000/F701,3),0)))</f>
        <v/>
      </c>
      <c r="K701" s="10" t="str">
        <f aca="false">IF(OR(A701="",E701="",H701=""),"",ROUND(0.00617*E701^2*H701*J701,2))</f>
        <v/>
      </c>
      <c r="L701" s="9"/>
      <c r="M701" s="10" t="str">
        <f aca="false">IF(A701="","",IF((COUNTIF(Drain_Register!$A$5:$A$304,A701)+COUNTIF(RW_Register!$A$5:$A$304,A701)+COUNTIF(Embedded_Wall_Register!$A$5:$A$304,A701)+COUNTIF(Manhole_Register!$A$5:$A$304,A701)+COUNTIF(ERSS_Pit_Register!$A$5:$A$304,A701)+COUNTIF(Linkway_Register!$A$5:$A$304,A701)+COUNTIF(Other_Register!$A$5:$A$304,A701))&gt;0,"OK","ID not in any register"))</f>
        <v/>
      </c>
    </row>
    <row r="702" customFormat="false" ht="15" hidden="false" customHeight="false" outlineLevel="0" collapsed="false">
      <c r="A702" s="9"/>
      <c r="B702" s="9"/>
      <c r="C702" s="9"/>
      <c r="D702" s="9"/>
      <c r="E702" s="9"/>
      <c r="F702" s="9"/>
      <c r="G702" s="9"/>
      <c r="H702" s="9"/>
      <c r="I702" s="9"/>
      <c r="J702" s="10" t="str">
        <f aca="false">IF(A702="","",IF(G702&lt;&gt;"",G702,IF(N(F702)&gt;0,ROUND(1000/F702,3),0)))</f>
        <v/>
      </c>
      <c r="K702" s="10" t="str">
        <f aca="false">IF(OR(A702="",E702="",H702=""),"",ROUND(0.00617*E702^2*H702*J702,2))</f>
        <v/>
      </c>
      <c r="L702" s="9"/>
      <c r="M702" s="10" t="str">
        <f aca="false">IF(A702="","",IF((COUNTIF(Drain_Register!$A$5:$A$304,A702)+COUNTIF(RW_Register!$A$5:$A$304,A702)+COUNTIF(Embedded_Wall_Register!$A$5:$A$304,A702)+COUNTIF(Manhole_Register!$A$5:$A$304,A702)+COUNTIF(ERSS_Pit_Register!$A$5:$A$304,A702)+COUNTIF(Linkway_Register!$A$5:$A$304,A702)+COUNTIF(Other_Register!$A$5:$A$304,A702))&gt;0,"OK","ID not in any register"))</f>
        <v/>
      </c>
    </row>
    <row r="703" customFormat="false" ht="15" hidden="false" customHeight="false" outlineLevel="0" collapsed="false">
      <c r="A703" s="9"/>
      <c r="B703" s="9"/>
      <c r="C703" s="9"/>
      <c r="D703" s="9"/>
      <c r="E703" s="9"/>
      <c r="F703" s="9"/>
      <c r="G703" s="9"/>
      <c r="H703" s="9"/>
      <c r="I703" s="9"/>
      <c r="J703" s="10" t="str">
        <f aca="false">IF(A703="","",IF(G703&lt;&gt;"",G703,IF(N(F703)&gt;0,ROUND(1000/F703,3),0)))</f>
        <v/>
      </c>
      <c r="K703" s="10" t="str">
        <f aca="false">IF(OR(A703="",E703="",H703=""),"",ROUND(0.00617*E703^2*H703*J703,2))</f>
        <v/>
      </c>
      <c r="L703" s="9"/>
      <c r="M703" s="10" t="str">
        <f aca="false">IF(A703="","",IF((COUNTIF(Drain_Register!$A$5:$A$304,A703)+COUNTIF(RW_Register!$A$5:$A$304,A703)+COUNTIF(Embedded_Wall_Register!$A$5:$A$304,A703)+COUNTIF(Manhole_Register!$A$5:$A$304,A703)+COUNTIF(ERSS_Pit_Register!$A$5:$A$304,A703)+COUNTIF(Linkway_Register!$A$5:$A$304,A703)+COUNTIF(Other_Register!$A$5:$A$304,A703))&gt;0,"OK","ID not in any register"))</f>
        <v/>
      </c>
    </row>
    <row r="704" customFormat="false" ht="15" hidden="false" customHeight="false" outlineLevel="0" collapsed="false">
      <c r="A704" s="9"/>
      <c r="B704" s="9"/>
      <c r="C704" s="9"/>
      <c r="D704" s="9"/>
      <c r="E704" s="9"/>
      <c r="F704" s="9"/>
      <c r="G704" s="9"/>
      <c r="H704" s="9"/>
      <c r="I704" s="9"/>
      <c r="J704" s="10" t="str">
        <f aca="false">IF(A704="","",IF(G704&lt;&gt;"",G704,IF(N(F704)&gt;0,ROUND(1000/F704,3),0)))</f>
        <v/>
      </c>
      <c r="K704" s="10" t="str">
        <f aca="false">IF(OR(A704="",E704="",H704=""),"",ROUND(0.00617*E704^2*H704*J704,2))</f>
        <v/>
      </c>
      <c r="L704" s="9"/>
      <c r="M704" s="10" t="str">
        <f aca="false">IF(A704="","",IF((COUNTIF(Drain_Register!$A$5:$A$304,A704)+COUNTIF(RW_Register!$A$5:$A$304,A704)+COUNTIF(Embedded_Wall_Register!$A$5:$A$304,A704)+COUNTIF(Manhole_Register!$A$5:$A$304,A704)+COUNTIF(ERSS_Pit_Register!$A$5:$A$304,A704)+COUNTIF(Linkway_Register!$A$5:$A$304,A704)+COUNTIF(Other_Register!$A$5:$A$304,A704))&gt;0,"OK","ID not in any register"))</f>
        <v/>
      </c>
    </row>
    <row r="705" customFormat="false" ht="15" hidden="false" customHeight="false" outlineLevel="0" collapsed="false">
      <c r="A705" s="9"/>
      <c r="B705" s="9"/>
      <c r="C705" s="9"/>
      <c r="D705" s="9"/>
      <c r="E705" s="9"/>
      <c r="F705" s="9"/>
      <c r="G705" s="9"/>
      <c r="H705" s="9"/>
      <c r="I705" s="9"/>
      <c r="J705" s="10" t="str">
        <f aca="false">IF(A705="","",IF(G705&lt;&gt;"",G705,IF(N(F705)&gt;0,ROUND(1000/F705,3),0)))</f>
        <v/>
      </c>
      <c r="K705" s="10" t="str">
        <f aca="false">IF(OR(A705="",E705="",H705=""),"",ROUND(0.00617*E705^2*H705*J705,2))</f>
        <v/>
      </c>
      <c r="L705" s="9"/>
      <c r="M705" s="10" t="str">
        <f aca="false">IF(A705="","",IF((COUNTIF(Drain_Register!$A$5:$A$304,A705)+COUNTIF(RW_Register!$A$5:$A$304,A705)+COUNTIF(Embedded_Wall_Register!$A$5:$A$304,A705)+COUNTIF(Manhole_Register!$A$5:$A$304,A705)+COUNTIF(ERSS_Pit_Register!$A$5:$A$304,A705)+COUNTIF(Linkway_Register!$A$5:$A$304,A705)+COUNTIF(Other_Register!$A$5:$A$304,A705))&gt;0,"OK","ID not in any register"))</f>
        <v/>
      </c>
    </row>
    <row r="706" customFormat="false" ht="15" hidden="false" customHeight="false" outlineLevel="0" collapsed="false">
      <c r="A706" s="9"/>
      <c r="B706" s="9"/>
      <c r="C706" s="9"/>
      <c r="D706" s="9"/>
      <c r="E706" s="9"/>
      <c r="F706" s="9"/>
      <c r="G706" s="9"/>
      <c r="H706" s="9"/>
      <c r="I706" s="9"/>
      <c r="J706" s="10" t="str">
        <f aca="false">IF(A706="","",IF(G706&lt;&gt;"",G706,IF(N(F706)&gt;0,ROUND(1000/F706,3),0)))</f>
        <v/>
      </c>
      <c r="K706" s="10" t="str">
        <f aca="false">IF(OR(A706="",E706="",H706=""),"",ROUND(0.00617*E706^2*H706*J706,2))</f>
        <v/>
      </c>
      <c r="L706" s="9"/>
      <c r="M706" s="10" t="str">
        <f aca="false">IF(A706="","",IF((COUNTIF(Drain_Register!$A$5:$A$304,A706)+COUNTIF(RW_Register!$A$5:$A$304,A706)+COUNTIF(Embedded_Wall_Register!$A$5:$A$304,A706)+COUNTIF(Manhole_Register!$A$5:$A$304,A706)+COUNTIF(ERSS_Pit_Register!$A$5:$A$304,A706)+COUNTIF(Linkway_Register!$A$5:$A$304,A706)+COUNTIF(Other_Register!$A$5:$A$304,A706))&gt;0,"OK","ID not in any register"))</f>
        <v/>
      </c>
    </row>
    <row r="707" customFormat="false" ht="15" hidden="false" customHeight="false" outlineLevel="0" collapsed="false">
      <c r="A707" s="9"/>
      <c r="B707" s="9"/>
      <c r="C707" s="9"/>
      <c r="D707" s="9"/>
      <c r="E707" s="9"/>
      <c r="F707" s="9"/>
      <c r="G707" s="9"/>
      <c r="H707" s="9"/>
      <c r="I707" s="9"/>
      <c r="J707" s="10" t="str">
        <f aca="false">IF(A707="","",IF(G707&lt;&gt;"",G707,IF(N(F707)&gt;0,ROUND(1000/F707,3),0)))</f>
        <v/>
      </c>
      <c r="K707" s="10" t="str">
        <f aca="false">IF(OR(A707="",E707="",H707=""),"",ROUND(0.00617*E707^2*H707*J707,2))</f>
        <v/>
      </c>
      <c r="L707" s="9"/>
      <c r="M707" s="10" t="str">
        <f aca="false">IF(A707="","",IF((COUNTIF(Drain_Register!$A$5:$A$304,A707)+COUNTIF(RW_Register!$A$5:$A$304,A707)+COUNTIF(Embedded_Wall_Register!$A$5:$A$304,A707)+COUNTIF(Manhole_Register!$A$5:$A$304,A707)+COUNTIF(ERSS_Pit_Register!$A$5:$A$304,A707)+COUNTIF(Linkway_Register!$A$5:$A$304,A707)+COUNTIF(Other_Register!$A$5:$A$304,A707))&gt;0,"OK","ID not in any register"))</f>
        <v/>
      </c>
    </row>
    <row r="708" customFormat="false" ht="15" hidden="false" customHeight="false" outlineLevel="0" collapsed="false">
      <c r="A708" s="9"/>
      <c r="B708" s="9"/>
      <c r="C708" s="9"/>
      <c r="D708" s="9"/>
      <c r="E708" s="9"/>
      <c r="F708" s="9"/>
      <c r="G708" s="9"/>
      <c r="H708" s="9"/>
      <c r="I708" s="9"/>
      <c r="J708" s="10" t="str">
        <f aca="false">IF(A708="","",IF(G708&lt;&gt;"",G708,IF(N(F708)&gt;0,ROUND(1000/F708,3),0)))</f>
        <v/>
      </c>
      <c r="K708" s="10" t="str">
        <f aca="false">IF(OR(A708="",E708="",H708=""),"",ROUND(0.00617*E708^2*H708*J708,2))</f>
        <v/>
      </c>
      <c r="L708" s="9"/>
      <c r="M708" s="10" t="str">
        <f aca="false">IF(A708="","",IF((COUNTIF(Drain_Register!$A$5:$A$304,A708)+COUNTIF(RW_Register!$A$5:$A$304,A708)+COUNTIF(Embedded_Wall_Register!$A$5:$A$304,A708)+COUNTIF(Manhole_Register!$A$5:$A$304,A708)+COUNTIF(ERSS_Pit_Register!$A$5:$A$304,A708)+COUNTIF(Linkway_Register!$A$5:$A$304,A708)+COUNTIF(Other_Register!$A$5:$A$304,A708))&gt;0,"OK","ID not in any register"))</f>
        <v/>
      </c>
    </row>
    <row r="709" customFormat="false" ht="15" hidden="false" customHeight="false" outlineLevel="0" collapsed="false">
      <c r="A709" s="9"/>
      <c r="B709" s="9"/>
      <c r="C709" s="9"/>
      <c r="D709" s="9"/>
      <c r="E709" s="9"/>
      <c r="F709" s="9"/>
      <c r="G709" s="9"/>
      <c r="H709" s="9"/>
      <c r="I709" s="9"/>
      <c r="J709" s="10" t="str">
        <f aca="false">IF(A709="","",IF(G709&lt;&gt;"",G709,IF(N(F709)&gt;0,ROUND(1000/F709,3),0)))</f>
        <v/>
      </c>
      <c r="K709" s="10" t="str">
        <f aca="false">IF(OR(A709="",E709="",H709=""),"",ROUND(0.00617*E709^2*H709*J709,2))</f>
        <v/>
      </c>
      <c r="L709" s="9"/>
      <c r="M709" s="10" t="str">
        <f aca="false">IF(A709="","",IF((COUNTIF(Drain_Register!$A$5:$A$304,A709)+COUNTIF(RW_Register!$A$5:$A$304,A709)+COUNTIF(Embedded_Wall_Register!$A$5:$A$304,A709)+COUNTIF(Manhole_Register!$A$5:$A$304,A709)+COUNTIF(ERSS_Pit_Register!$A$5:$A$304,A709)+COUNTIF(Linkway_Register!$A$5:$A$304,A709)+COUNTIF(Other_Register!$A$5:$A$304,A709))&gt;0,"OK","ID not in any register"))</f>
        <v/>
      </c>
    </row>
    <row r="710" customFormat="false" ht="15" hidden="false" customHeight="false" outlineLevel="0" collapsed="false">
      <c r="A710" s="9"/>
      <c r="B710" s="9"/>
      <c r="C710" s="9"/>
      <c r="D710" s="9"/>
      <c r="E710" s="9"/>
      <c r="F710" s="9"/>
      <c r="G710" s="9"/>
      <c r="H710" s="9"/>
      <c r="I710" s="9"/>
      <c r="J710" s="10" t="str">
        <f aca="false">IF(A710="","",IF(G710&lt;&gt;"",G710,IF(N(F710)&gt;0,ROUND(1000/F710,3),0)))</f>
        <v/>
      </c>
      <c r="K710" s="10" t="str">
        <f aca="false">IF(OR(A710="",E710="",H710=""),"",ROUND(0.00617*E710^2*H710*J710,2))</f>
        <v/>
      </c>
      <c r="L710" s="9"/>
      <c r="M710" s="10" t="str">
        <f aca="false">IF(A710="","",IF((COUNTIF(Drain_Register!$A$5:$A$304,A710)+COUNTIF(RW_Register!$A$5:$A$304,A710)+COUNTIF(Embedded_Wall_Register!$A$5:$A$304,A710)+COUNTIF(Manhole_Register!$A$5:$A$304,A710)+COUNTIF(ERSS_Pit_Register!$A$5:$A$304,A710)+COUNTIF(Linkway_Register!$A$5:$A$304,A710)+COUNTIF(Other_Register!$A$5:$A$304,A710))&gt;0,"OK","ID not in any register"))</f>
        <v/>
      </c>
    </row>
    <row r="711" customFormat="false" ht="15" hidden="false" customHeight="false" outlineLevel="0" collapsed="false">
      <c r="A711" s="9"/>
      <c r="B711" s="9"/>
      <c r="C711" s="9"/>
      <c r="D711" s="9"/>
      <c r="E711" s="9"/>
      <c r="F711" s="9"/>
      <c r="G711" s="9"/>
      <c r="H711" s="9"/>
      <c r="I711" s="9"/>
      <c r="J711" s="10" t="str">
        <f aca="false">IF(A711="","",IF(G711&lt;&gt;"",G711,IF(N(F711)&gt;0,ROUND(1000/F711,3),0)))</f>
        <v/>
      </c>
      <c r="K711" s="10" t="str">
        <f aca="false">IF(OR(A711="",E711="",H711=""),"",ROUND(0.00617*E711^2*H711*J711,2))</f>
        <v/>
      </c>
      <c r="L711" s="9"/>
      <c r="M711" s="10" t="str">
        <f aca="false">IF(A711="","",IF((COUNTIF(Drain_Register!$A$5:$A$304,A711)+COUNTIF(RW_Register!$A$5:$A$304,A711)+COUNTIF(Embedded_Wall_Register!$A$5:$A$304,A711)+COUNTIF(Manhole_Register!$A$5:$A$304,A711)+COUNTIF(ERSS_Pit_Register!$A$5:$A$304,A711)+COUNTIF(Linkway_Register!$A$5:$A$304,A711)+COUNTIF(Other_Register!$A$5:$A$304,A711))&gt;0,"OK","ID not in any register"))</f>
        <v/>
      </c>
    </row>
    <row r="712" customFormat="false" ht="15" hidden="false" customHeight="false" outlineLevel="0" collapsed="false">
      <c r="A712" s="9"/>
      <c r="B712" s="9"/>
      <c r="C712" s="9"/>
      <c r="D712" s="9"/>
      <c r="E712" s="9"/>
      <c r="F712" s="9"/>
      <c r="G712" s="9"/>
      <c r="H712" s="9"/>
      <c r="I712" s="9"/>
      <c r="J712" s="10" t="str">
        <f aca="false">IF(A712="","",IF(G712&lt;&gt;"",G712,IF(N(F712)&gt;0,ROUND(1000/F712,3),0)))</f>
        <v/>
      </c>
      <c r="K712" s="10" t="str">
        <f aca="false">IF(OR(A712="",E712="",H712=""),"",ROUND(0.00617*E712^2*H712*J712,2))</f>
        <v/>
      </c>
      <c r="L712" s="9"/>
      <c r="M712" s="10" t="str">
        <f aca="false">IF(A712="","",IF((COUNTIF(Drain_Register!$A$5:$A$304,A712)+COUNTIF(RW_Register!$A$5:$A$304,A712)+COUNTIF(Embedded_Wall_Register!$A$5:$A$304,A712)+COUNTIF(Manhole_Register!$A$5:$A$304,A712)+COUNTIF(ERSS_Pit_Register!$A$5:$A$304,A712)+COUNTIF(Linkway_Register!$A$5:$A$304,A712)+COUNTIF(Other_Register!$A$5:$A$304,A712))&gt;0,"OK","ID not in any register"))</f>
        <v/>
      </c>
    </row>
    <row r="713" customFormat="false" ht="15" hidden="false" customHeight="false" outlineLevel="0" collapsed="false">
      <c r="A713" s="9"/>
      <c r="B713" s="9"/>
      <c r="C713" s="9"/>
      <c r="D713" s="9"/>
      <c r="E713" s="9"/>
      <c r="F713" s="9"/>
      <c r="G713" s="9"/>
      <c r="H713" s="9"/>
      <c r="I713" s="9"/>
      <c r="J713" s="10" t="str">
        <f aca="false">IF(A713="","",IF(G713&lt;&gt;"",G713,IF(N(F713)&gt;0,ROUND(1000/F713,3),0)))</f>
        <v/>
      </c>
      <c r="K713" s="10" t="str">
        <f aca="false">IF(OR(A713="",E713="",H713=""),"",ROUND(0.00617*E713^2*H713*J713,2))</f>
        <v/>
      </c>
      <c r="L713" s="9"/>
      <c r="M713" s="10" t="str">
        <f aca="false">IF(A713="","",IF((COUNTIF(Drain_Register!$A$5:$A$304,A713)+COUNTIF(RW_Register!$A$5:$A$304,A713)+COUNTIF(Embedded_Wall_Register!$A$5:$A$304,A713)+COUNTIF(Manhole_Register!$A$5:$A$304,A713)+COUNTIF(ERSS_Pit_Register!$A$5:$A$304,A713)+COUNTIF(Linkway_Register!$A$5:$A$304,A713)+COUNTIF(Other_Register!$A$5:$A$304,A713))&gt;0,"OK","ID not in any register"))</f>
        <v/>
      </c>
    </row>
    <row r="714" customFormat="false" ht="15" hidden="false" customHeight="false" outlineLevel="0" collapsed="false">
      <c r="A714" s="9"/>
      <c r="B714" s="9"/>
      <c r="C714" s="9"/>
      <c r="D714" s="9"/>
      <c r="E714" s="9"/>
      <c r="F714" s="9"/>
      <c r="G714" s="9"/>
      <c r="H714" s="9"/>
      <c r="I714" s="9"/>
      <c r="J714" s="10" t="str">
        <f aca="false">IF(A714="","",IF(G714&lt;&gt;"",G714,IF(N(F714)&gt;0,ROUND(1000/F714,3),0)))</f>
        <v/>
      </c>
      <c r="K714" s="10" t="str">
        <f aca="false">IF(OR(A714="",E714="",H714=""),"",ROUND(0.00617*E714^2*H714*J714,2))</f>
        <v/>
      </c>
      <c r="L714" s="9"/>
      <c r="M714" s="10" t="str">
        <f aca="false">IF(A714="","",IF((COUNTIF(Drain_Register!$A$5:$A$304,A714)+COUNTIF(RW_Register!$A$5:$A$304,A714)+COUNTIF(Embedded_Wall_Register!$A$5:$A$304,A714)+COUNTIF(Manhole_Register!$A$5:$A$304,A714)+COUNTIF(ERSS_Pit_Register!$A$5:$A$304,A714)+COUNTIF(Linkway_Register!$A$5:$A$304,A714)+COUNTIF(Other_Register!$A$5:$A$304,A714))&gt;0,"OK","ID not in any register"))</f>
        <v/>
      </c>
    </row>
    <row r="715" customFormat="false" ht="15" hidden="false" customHeight="false" outlineLevel="0" collapsed="false">
      <c r="A715" s="9"/>
      <c r="B715" s="9"/>
      <c r="C715" s="9"/>
      <c r="D715" s="9"/>
      <c r="E715" s="9"/>
      <c r="F715" s="9"/>
      <c r="G715" s="9"/>
      <c r="H715" s="9"/>
      <c r="I715" s="9"/>
      <c r="J715" s="10" t="str">
        <f aca="false">IF(A715="","",IF(G715&lt;&gt;"",G715,IF(N(F715)&gt;0,ROUND(1000/F715,3),0)))</f>
        <v/>
      </c>
      <c r="K715" s="10" t="str">
        <f aca="false">IF(OR(A715="",E715="",H715=""),"",ROUND(0.00617*E715^2*H715*J715,2))</f>
        <v/>
      </c>
      <c r="L715" s="9"/>
      <c r="M715" s="10" t="str">
        <f aca="false">IF(A715="","",IF((COUNTIF(Drain_Register!$A$5:$A$304,A715)+COUNTIF(RW_Register!$A$5:$A$304,A715)+COUNTIF(Embedded_Wall_Register!$A$5:$A$304,A715)+COUNTIF(Manhole_Register!$A$5:$A$304,A715)+COUNTIF(ERSS_Pit_Register!$A$5:$A$304,A715)+COUNTIF(Linkway_Register!$A$5:$A$304,A715)+COUNTIF(Other_Register!$A$5:$A$304,A715))&gt;0,"OK","ID not in any register"))</f>
        <v/>
      </c>
    </row>
    <row r="716" customFormat="false" ht="15" hidden="false" customHeight="false" outlineLevel="0" collapsed="false">
      <c r="A716" s="9"/>
      <c r="B716" s="9"/>
      <c r="C716" s="9"/>
      <c r="D716" s="9"/>
      <c r="E716" s="9"/>
      <c r="F716" s="9"/>
      <c r="G716" s="9"/>
      <c r="H716" s="9"/>
      <c r="I716" s="9"/>
      <c r="J716" s="10" t="str">
        <f aca="false">IF(A716="","",IF(G716&lt;&gt;"",G716,IF(N(F716)&gt;0,ROUND(1000/F716,3),0)))</f>
        <v/>
      </c>
      <c r="K716" s="10" t="str">
        <f aca="false">IF(OR(A716="",E716="",H716=""),"",ROUND(0.00617*E716^2*H716*J716,2))</f>
        <v/>
      </c>
      <c r="L716" s="9"/>
      <c r="M716" s="10" t="str">
        <f aca="false">IF(A716="","",IF((COUNTIF(Drain_Register!$A$5:$A$304,A716)+COUNTIF(RW_Register!$A$5:$A$304,A716)+COUNTIF(Embedded_Wall_Register!$A$5:$A$304,A716)+COUNTIF(Manhole_Register!$A$5:$A$304,A716)+COUNTIF(ERSS_Pit_Register!$A$5:$A$304,A716)+COUNTIF(Linkway_Register!$A$5:$A$304,A716)+COUNTIF(Other_Register!$A$5:$A$304,A716))&gt;0,"OK","ID not in any register"))</f>
        <v/>
      </c>
    </row>
    <row r="717" customFormat="false" ht="15" hidden="false" customHeight="false" outlineLevel="0" collapsed="false">
      <c r="A717" s="9"/>
      <c r="B717" s="9"/>
      <c r="C717" s="9"/>
      <c r="D717" s="9"/>
      <c r="E717" s="9"/>
      <c r="F717" s="9"/>
      <c r="G717" s="9"/>
      <c r="H717" s="9"/>
      <c r="I717" s="9"/>
      <c r="J717" s="10" t="str">
        <f aca="false">IF(A717="","",IF(G717&lt;&gt;"",G717,IF(N(F717)&gt;0,ROUND(1000/F717,3),0)))</f>
        <v/>
      </c>
      <c r="K717" s="10" t="str">
        <f aca="false">IF(OR(A717="",E717="",H717=""),"",ROUND(0.00617*E717^2*H717*J717,2))</f>
        <v/>
      </c>
      <c r="L717" s="9"/>
      <c r="M717" s="10" t="str">
        <f aca="false">IF(A717="","",IF((COUNTIF(Drain_Register!$A$5:$A$304,A717)+COUNTIF(RW_Register!$A$5:$A$304,A717)+COUNTIF(Embedded_Wall_Register!$A$5:$A$304,A717)+COUNTIF(Manhole_Register!$A$5:$A$304,A717)+COUNTIF(ERSS_Pit_Register!$A$5:$A$304,A717)+COUNTIF(Linkway_Register!$A$5:$A$304,A717)+COUNTIF(Other_Register!$A$5:$A$304,A717))&gt;0,"OK","ID not in any register"))</f>
        <v/>
      </c>
    </row>
    <row r="718" customFormat="false" ht="15" hidden="false" customHeight="false" outlineLevel="0" collapsed="false">
      <c r="A718" s="9"/>
      <c r="B718" s="9"/>
      <c r="C718" s="9"/>
      <c r="D718" s="9"/>
      <c r="E718" s="9"/>
      <c r="F718" s="9"/>
      <c r="G718" s="9"/>
      <c r="H718" s="9"/>
      <c r="I718" s="9"/>
      <c r="J718" s="10" t="str">
        <f aca="false">IF(A718="","",IF(G718&lt;&gt;"",G718,IF(N(F718)&gt;0,ROUND(1000/F718,3),0)))</f>
        <v/>
      </c>
      <c r="K718" s="10" t="str">
        <f aca="false">IF(OR(A718="",E718="",H718=""),"",ROUND(0.00617*E718^2*H718*J718,2))</f>
        <v/>
      </c>
      <c r="L718" s="9"/>
      <c r="M718" s="10" t="str">
        <f aca="false">IF(A718="","",IF((COUNTIF(Drain_Register!$A$5:$A$304,A718)+COUNTIF(RW_Register!$A$5:$A$304,A718)+COUNTIF(Embedded_Wall_Register!$A$5:$A$304,A718)+COUNTIF(Manhole_Register!$A$5:$A$304,A718)+COUNTIF(ERSS_Pit_Register!$A$5:$A$304,A718)+COUNTIF(Linkway_Register!$A$5:$A$304,A718)+COUNTIF(Other_Register!$A$5:$A$304,A718))&gt;0,"OK","ID not in any register"))</f>
        <v/>
      </c>
    </row>
    <row r="719" customFormat="false" ht="15" hidden="false" customHeight="false" outlineLevel="0" collapsed="false">
      <c r="A719" s="9"/>
      <c r="B719" s="9"/>
      <c r="C719" s="9"/>
      <c r="D719" s="9"/>
      <c r="E719" s="9"/>
      <c r="F719" s="9"/>
      <c r="G719" s="9"/>
      <c r="H719" s="9"/>
      <c r="I719" s="9"/>
      <c r="J719" s="10" t="str">
        <f aca="false">IF(A719="","",IF(G719&lt;&gt;"",G719,IF(N(F719)&gt;0,ROUND(1000/F719,3),0)))</f>
        <v/>
      </c>
      <c r="K719" s="10" t="str">
        <f aca="false">IF(OR(A719="",E719="",H719=""),"",ROUND(0.00617*E719^2*H719*J719,2))</f>
        <v/>
      </c>
      <c r="L719" s="9"/>
      <c r="M719" s="10" t="str">
        <f aca="false">IF(A719="","",IF((COUNTIF(Drain_Register!$A$5:$A$304,A719)+COUNTIF(RW_Register!$A$5:$A$304,A719)+COUNTIF(Embedded_Wall_Register!$A$5:$A$304,A719)+COUNTIF(Manhole_Register!$A$5:$A$304,A719)+COUNTIF(ERSS_Pit_Register!$A$5:$A$304,A719)+COUNTIF(Linkway_Register!$A$5:$A$304,A719)+COUNTIF(Other_Register!$A$5:$A$304,A719))&gt;0,"OK","ID not in any register"))</f>
        <v/>
      </c>
    </row>
    <row r="720" customFormat="false" ht="15" hidden="false" customHeight="false" outlineLevel="0" collapsed="false">
      <c r="A720" s="9"/>
      <c r="B720" s="9"/>
      <c r="C720" s="9"/>
      <c r="D720" s="9"/>
      <c r="E720" s="9"/>
      <c r="F720" s="9"/>
      <c r="G720" s="9"/>
      <c r="H720" s="9"/>
      <c r="I720" s="9"/>
      <c r="J720" s="10" t="str">
        <f aca="false">IF(A720="","",IF(G720&lt;&gt;"",G720,IF(N(F720)&gt;0,ROUND(1000/F720,3),0)))</f>
        <v/>
      </c>
      <c r="K720" s="10" t="str">
        <f aca="false">IF(OR(A720="",E720="",H720=""),"",ROUND(0.00617*E720^2*H720*J720,2))</f>
        <v/>
      </c>
      <c r="L720" s="9"/>
      <c r="M720" s="10" t="str">
        <f aca="false">IF(A720="","",IF((COUNTIF(Drain_Register!$A$5:$A$304,A720)+COUNTIF(RW_Register!$A$5:$A$304,A720)+COUNTIF(Embedded_Wall_Register!$A$5:$A$304,A720)+COUNTIF(Manhole_Register!$A$5:$A$304,A720)+COUNTIF(ERSS_Pit_Register!$A$5:$A$304,A720)+COUNTIF(Linkway_Register!$A$5:$A$304,A720)+COUNTIF(Other_Register!$A$5:$A$304,A720))&gt;0,"OK","ID not in any register"))</f>
        <v/>
      </c>
    </row>
    <row r="721" customFormat="false" ht="15" hidden="false" customHeight="false" outlineLevel="0" collapsed="false">
      <c r="A721" s="9"/>
      <c r="B721" s="9"/>
      <c r="C721" s="9"/>
      <c r="D721" s="9"/>
      <c r="E721" s="9"/>
      <c r="F721" s="9"/>
      <c r="G721" s="9"/>
      <c r="H721" s="9"/>
      <c r="I721" s="9"/>
      <c r="J721" s="10" t="str">
        <f aca="false">IF(A721="","",IF(G721&lt;&gt;"",G721,IF(N(F721)&gt;0,ROUND(1000/F721,3),0)))</f>
        <v/>
      </c>
      <c r="K721" s="10" t="str">
        <f aca="false">IF(OR(A721="",E721="",H721=""),"",ROUND(0.00617*E721^2*H721*J721,2))</f>
        <v/>
      </c>
      <c r="L721" s="9"/>
      <c r="M721" s="10" t="str">
        <f aca="false">IF(A721="","",IF((COUNTIF(Drain_Register!$A$5:$A$304,A721)+COUNTIF(RW_Register!$A$5:$A$304,A721)+COUNTIF(Embedded_Wall_Register!$A$5:$A$304,A721)+COUNTIF(Manhole_Register!$A$5:$A$304,A721)+COUNTIF(ERSS_Pit_Register!$A$5:$A$304,A721)+COUNTIF(Linkway_Register!$A$5:$A$304,A721)+COUNTIF(Other_Register!$A$5:$A$304,A721))&gt;0,"OK","ID not in any register"))</f>
        <v/>
      </c>
    </row>
    <row r="722" customFormat="false" ht="15" hidden="false" customHeight="false" outlineLevel="0" collapsed="false">
      <c r="A722" s="9"/>
      <c r="B722" s="9"/>
      <c r="C722" s="9"/>
      <c r="D722" s="9"/>
      <c r="E722" s="9"/>
      <c r="F722" s="9"/>
      <c r="G722" s="9"/>
      <c r="H722" s="9"/>
      <c r="I722" s="9"/>
      <c r="J722" s="10" t="str">
        <f aca="false">IF(A722="","",IF(G722&lt;&gt;"",G722,IF(N(F722)&gt;0,ROUND(1000/F722,3),0)))</f>
        <v/>
      </c>
      <c r="K722" s="10" t="str">
        <f aca="false">IF(OR(A722="",E722="",H722=""),"",ROUND(0.00617*E722^2*H722*J722,2))</f>
        <v/>
      </c>
      <c r="L722" s="9"/>
      <c r="M722" s="10" t="str">
        <f aca="false">IF(A722="","",IF((COUNTIF(Drain_Register!$A$5:$A$304,A722)+COUNTIF(RW_Register!$A$5:$A$304,A722)+COUNTIF(Embedded_Wall_Register!$A$5:$A$304,A722)+COUNTIF(Manhole_Register!$A$5:$A$304,A722)+COUNTIF(ERSS_Pit_Register!$A$5:$A$304,A722)+COUNTIF(Linkway_Register!$A$5:$A$304,A722)+COUNTIF(Other_Register!$A$5:$A$304,A722))&gt;0,"OK","ID not in any register"))</f>
        <v/>
      </c>
    </row>
    <row r="723" customFormat="false" ht="15" hidden="false" customHeight="false" outlineLevel="0" collapsed="false">
      <c r="A723" s="9"/>
      <c r="B723" s="9"/>
      <c r="C723" s="9"/>
      <c r="D723" s="9"/>
      <c r="E723" s="9"/>
      <c r="F723" s="9"/>
      <c r="G723" s="9"/>
      <c r="H723" s="9"/>
      <c r="I723" s="9"/>
      <c r="J723" s="10" t="str">
        <f aca="false">IF(A723="","",IF(G723&lt;&gt;"",G723,IF(N(F723)&gt;0,ROUND(1000/F723,3),0)))</f>
        <v/>
      </c>
      <c r="K723" s="10" t="str">
        <f aca="false">IF(OR(A723="",E723="",H723=""),"",ROUND(0.00617*E723^2*H723*J723,2))</f>
        <v/>
      </c>
      <c r="L723" s="9"/>
      <c r="M723" s="10" t="str">
        <f aca="false">IF(A723="","",IF((COUNTIF(Drain_Register!$A$5:$A$304,A723)+COUNTIF(RW_Register!$A$5:$A$304,A723)+COUNTIF(Embedded_Wall_Register!$A$5:$A$304,A723)+COUNTIF(Manhole_Register!$A$5:$A$304,A723)+COUNTIF(ERSS_Pit_Register!$A$5:$A$304,A723)+COUNTIF(Linkway_Register!$A$5:$A$304,A723)+COUNTIF(Other_Register!$A$5:$A$304,A723))&gt;0,"OK","ID not in any register"))</f>
        <v/>
      </c>
    </row>
    <row r="724" customFormat="false" ht="15" hidden="false" customHeight="false" outlineLevel="0" collapsed="false">
      <c r="A724" s="9"/>
      <c r="B724" s="9"/>
      <c r="C724" s="9"/>
      <c r="D724" s="9"/>
      <c r="E724" s="9"/>
      <c r="F724" s="9"/>
      <c r="G724" s="9"/>
      <c r="H724" s="9"/>
      <c r="I724" s="9"/>
      <c r="J724" s="10" t="str">
        <f aca="false">IF(A724="","",IF(G724&lt;&gt;"",G724,IF(N(F724)&gt;0,ROUND(1000/F724,3),0)))</f>
        <v/>
      </c>
      <c r="K724" s="10" t="str">
        <f aca="false">IF(OR(A724="",E724="",H724=""),"",ROUND(0.00617*E724^2*H724*J724,2))</f>
        <v/>
      </c>
      <c r="L724" s="9"/>
      <c r="M724" s="10" t="str">
        <f aca="false">IF(A724="","",IF((COUNTIF(Drain_Register!$A$5:$A$304,A724)+COUNTIF(RW_Register!$A$5:$A$304,A724)+COUNTIF(Embedded_Wall_Register!$A$5:$A$304,A724)+COUNTIF(Manhole_Register!$A$5:$A$304,A724)+COUNTIF(ERSS_Pit_Register!$A$5:$A$304,A724)+COUNTIF(Linkway_Register!$A$5:$A$304,A724)+COUNTIF(Other_Register!$A$5:$A$304,A724))&gt;0,"OK","ID not in any register"))</f>
        <v/>
      </c>
    </row>
    <row r="725" customFormat="false" ht="15" hidden="false" customHeight="false" outlineLevel="0" collapsed="false">
      <c r="A725" s="9"/>
      <c r="B725" s="9"/>
      <c r="C725" s="9"/>
      <c r="D725" s="9"/>
      <c r="E725" s="9"/>
      <c r="F725" s="9"/>
      <c r="G725" s="9"/>
      <c r="H725" s="9"/>
      <c r="I725" s="9"/>
      <c r="J725" s="10" t="str">
        <f aca="false">IF(A725="","",IF(G725&lt;&gt;"",G725,IF(N(F725)&gt;0,ROUND(1000/F725,3),0)))</f>
        <v/>
      </c>
      <c r="K725" s="10" t="str">
        <f aca="false">IF(OR(A725="",E725="",H725=""),"",ROUND(0.00617*E725^2*H725*J725,2))</f>
        <v/>
      </c>
      <c r="L725" s="9"/>
      <c r="M725" s="10" t="str">
        <f aca="false">IF(A725="","",IF((COUNTIF(Drain_Register!$A$5:$A$304,A725)+COUNTIF(RW_Register!$A$5:$A$304,A725)+COUNTIF(Embedded_Wall_Register!$A$5:$A$304,A725)+COUNTIF(Manhole_Register!$A$5:$A$304,A725)+COUNTIF(ERSS_Pit_Register!$A$5:$A$304,A725)+COUNTIF(Linkway_Register!$A$5:$A$304,A725)+COUNTIF(Other_Register!$A$5:$A$304,A725))&gt;0,"OK","ID not in any register"))</f>
        <v/>
      </c>
    </row>
    <row r="726" customFormat="false" ht="15" hidden="false" customHeight="false" outlineLevel="0" collapsed="false">
      <c r="A726" s="9"/>
      <c r="B726" s="9"/>
      <c r="C726" s="9"/>
      <c r="D726" s="9"/>
      <c r="E726" s="9"/>
      <c r="F726" s="9"/>
      <c r="G726" s="9"/>
      <c r="H726" s="9"/>
      <c r="I726" s="9"/>
      <c r="J726" s="10" t="str">
        <f aca="false">IF(A726="","",IF(G726&lt;&gt;"",G726,IF(N(F726)&gt;0,ROUND(1000/F726,3),0)))</f>
        <v/>
      </c>
      <c r="K726" s="10" t="str">
        <f aca="false">IF(OR(A726="",E726="",H726=""),"",ROUND(0.00617*E726^2*H726*J726,2))</f>
        <v/>
      </c>
      <c r="L726" s="9"/>
      <c r="M726" s="10" t="str">
        <f aca="false">IF(A726="","",IF((COUNTIF(Drain_Register!$A$5:$A$304,A726)+COUNTIF(RW_Register!$A$5:$A$304,A726)+COUNTIF(Embedded_Wall_Register!$A$5:$A$304,A726)+COUNTIF(Manhole_Register!$A$5:$A$304,A726)+COUNTIF(ERSS_Pit_Register!$A$5:$A$304,A726)+COUNTIF(Linkway_Register!$A$5:$A$304,A726)+COUNTIF(Other_Register!$A$5:$A$304,A726))&gt;0,"OK","ID not in any register"))</f>
        <v/>
      </c>
    </row>
    <row r="727" customFormat="false" ht="15" hidden="false" customHeight="false" outlineLevel="0" collapsed="false">
      <c r="A727" s="9"/>
      <c r="B727" s="9"/>
      <c r="C727" s="9"/>
      <c r="D727" s="9"/>
      <c r="E727" s="9"/>
      <c r="F727" s="9"/>
      <c r="G727" s="9"/>
      <c r="H727" s="9"/>
      <c r="I727" s="9"/>
      <c r="J727" s="10" t="str">
        <f aca="false">IF(A727="","",IF(G727&lt;&gt;"",G727,IF(N(F727)&gt;0,ROUND(1000/F727,3),0)))</f>
        <v/>
      </c>
      <c r="K727" s="10" t="str">
        <f aca="false">IF(OR(A727="",E727="",H727=""),"",ROUND(0.00617*E727^2*H727*J727,2))</f>
        <v/>
      </c>
      <c r="L727" s="9"/>
      <c r="M727" s="10" t="str">
        <f aca="false">IF(A727="","",IF((COUNTIF(Drain_Register!$A$5:$A$304,A727)+COUNTIF(RW_Register!$A$5:$A$304,A727)+COUNTIF(Embedded_Wall_Register!$A$5:$A$304,A727)+COUNTIF(Manhole_Register!$A$5:$A$304,A727)+COUNTIF(ERSS_Pit_Register!$A$5:$A$304,A727)+COUNTIF(Linkway_Register!$A$5:$A$304,A727)+COUNTIF(Other_Register!$A$5:$A$304,A727))&gt;0,"OK","ID not in any register"))</f>
        <v/>
      </c>
    </row>
    <row r="728" customFormat="false" ht="15" hidden="false" customHeight="false" outlineLevel="0" collapsed="false">
      <c r="A728" s="9"/>
      <c r="B728" s="9"/>
      <c r="C728" s="9"/>
      <c r="D728" s="9"/>
      <c r="E728" s="9"/>
      <c r="F728" s="9"/>
      <c r="G728" s="9"/>
      <c r="H728" s="9"/>
      <c r="I728" s="9"/>
      <c r="J728" s="10" t="str">
        <f aca="false">IF(A728="","",IF(G728&lt;&gt;"",G728,IF(N(F728)&gt;0,ROUND(1000/F728,3),0)))</f>
        <v/>
      </c>
      <c r="K728" s="10" t="str">
        <f aca="false">IF(OR(A728="",E728="",H728=""),"",ROUND(0.00617*E728^2*H728*J728,2))</f>
        <v/>
      </c>
      <c r="L728" s="9"/>
      <c r="M728" s="10" t="str">
        <f aca="false">IF(A728="","",IF((COUNTIF(Drain_Register!$A$5:$A$304,A728)+COUNTIF(RW_Register!$A$5:$A$304,A728)+COUNTIF(Embedded_Wall_Register!$A$5:$A$304,A728)+COUNTIF(Manhole_Register!$A$5:$A$304,A728)+COUNTIF(ERSS_Pit_Register!$A$5:$A$304,A728)+COUNTIF(Linkway_Register!$A$5:$A$304,A728)+COUNTIF(Other_Register!$A$5:$A$304,A728))&gt;0,"OK","ID not in any register"))</f>
        <v/>
      </c>
    </row>
    <row r="729" customFormat="false" ht="15" hidden="false" customHeight="false" outlineLevel="0" collapsed="false">
      <c r="A729" s="9"/>
      <c r="B729" s="9"/>
      <c r="C729" s="9"/>
      <c r="D729" s="9"/>
      <c r="E729" s="9"/>
      <c r="F729" s="9"/>
      <c r="G729" s="9"/>
      <c r="H729" s="9"/>
      <c r="I729" s="9"/>
      <c r="J729" s="10" t="str">
        <f aca="false">IF(A729="","",IF(G729&lt;&gt;"",G729,IF(N(F729)&gt;0,ROUND(1000/F729,3),0)))</f>
        <v/>
      </c>
      <c r="K729" s="10" t="str">
        <f aca="false">IF(OR(A729="",E729="",H729=""),"",ROUND(0.00617*E729^2*H729*J729,2))</f>
        <v/>
      </c>
      <c r="L729" s="9"/>
      <c r="M729" s="10" t="str">
        <f aca="false">IF(A729="","",IF((COUNTIF(Drain_Register!$A$5:$A$304,A729)+COUNTIF(RW_Register!$A$5:$A$304,A729)+COUNTIF(Embedded_Wall_Register!$A$5:$A$304,A729)+COUNTIF(Manhole_Register!$A$5:$A$304,A729)+COUNTIF(ERSS_Pit_Register!$A$5:$A$304,A729)+COUNTIF(Linkway_Register!$A$5:$A$304,A729)+COUNTIF(Other_Register!$A$5:$A$304,A729))&gt;0,"OK","ID not in any register"))</f>
        <v/>
      </c>
    </row>
    <row r="730" customFormat="false" ht="15" hidden="false" customHeight="false" outlineLevel="0" collapsed="false">
      <c r="A730" s="9"/>
      <c r="B730" s="9"/>
      <c r="C730" s="9"/>
      <c r="D730" s="9"/>
      <c r="E730" s="9"/>
      <c r="F730" s="9"/>
      <c r="G730" s="9"/>
      <c r="H730" s="9"/>
      <c r="I730" s="9"/>
      <c r="J730" s="10" t="str">
        <f aca="false">IF(A730="","",IF(G730&lt;&gt;"",G730,IF(N(F730)&gt;0,ROUND(1000/F730,3),0)))</f>
        <v/>
      </c>
      <c r="K730" s="10" t="str">
        <f aca="false">IF(OR(A730="",E730="",H730=""),"",ROUND(0.00617*E730^2*H730*J730,2))</f>
        <v/>
      </c>
      <c r="L730" s="9"/>
      <c r="M730" s="10" t="str">
        <f aca="false">IF(A730="","",IF((COUNTIF(Drain_Register!$A$5:$A$304,A730)+COUNTIF(RW_Register!$A$5:$A$304,A730)+COUNTIF(Embedded_Wall_Register!$A$5:$A$304,A730)+COUNTIF(Manhole_Register!$A$5:$A$304,A730)+COUNTIF(ERSS_Pit_Register!$A$5:$A$304,A730)+COUNTIF(Linkway_Register!$A$5:$A$304,A730)+COUNTIF(Other_Register!$A$5:$A$304,A730))&gt;0,"OK","ID not in any register"))</f>
        <v/>
      </c>
    </row>
    <row r="731" customFormat="false" ht="15" hidden="false" customHeight="false" outlineLevel="0" collapsed="false">
      <c r="A731" s="9"/>
      <c r="B731" s="9"/>
      <c r="C731" s="9"/>
      <c r="D731" s="9"/>
      <c r="E731" s="9"/>
      <c r="F731" s="9"/>
      <c r="G731" s="9"/>
      <c r="H731" s="9"/>
      <c r="I731" s="9"/>
      <c r="J731" s="10" t="str">
        <f aca="false">IF(A731="","",IF(G731&lt;&gt;"",G731,IF(N(F731)&gt;0,ROUND(1000/F731,3),0)))</f>
        <v/>
      </c>
      <c r="K731" s="10" t="str">
        <f aca="false">IF(OR(A731="",E731="",H731=""),"",ROUND(0.00617*E731^2*H731*J731,2))</f>
        <v/>
      </c>
      <c r="L731" s="9"/>
      <c r="M731" s="10" t="str">
        <f aca="false">IF(A731="","",IF((COUNTIF(Drain_Register!$A$5:$A$304,A731)+COUNTIF(RW_Register!$A$5:$A$304,A731)+COUNTIF(Embedded_Wall_Register!$A$5:$A$304,A731)+COUNTIF(Manhole_Register!$A$5:$A$304,A731)+COUNTIF(ERSS_Pit_Register!$A$5:$A$304,A731)+COUNTIF(Linkway_Register!$A$5:$A$304,A731)+COUNTIF(Other_Register!$A$5:$A$304,A731))&gt;0,"OK","ID not in any register"))</f>
        <v/>
      </c>
    </row>
    <row r="732" customFormat="false" ht="15" hidden="false" customHeight="false" outlineLevel="0" collapsed="false">
      <c r="A732" s="9"/>
      <c r="B732" s="9"/>
      <c r="C732" s="9"/>
      <c r="D732" s="9"/>
      <c r="E732" s="9"/>
      <c r="F732" s="9"/>
      <c r="G732" s="9"/>
      <c r="H732" s="9"/>
      <c r="I732" s="9"/>
      <c r="J732" s="10" t="str">
        <f aca="false">IF(A732="","",IF(G732&lt;&gt;"",G732,IF(N(F732)&gt;0,ROUND(1000/F732,3),0)))</f>
        <v/>
      </c>
      <c r="K732" s="10" t="str">
        <f aca="false">IF(OR(A732="",E732="",H732=""),"",ROUND(0.00617*E732^2*H732*J732,2))</f>
        <v/>
      </c>
      <c r="L732" s="9"/>
      <c r="M732" s="10" t="str">
        <f aca="false">IF(A732="","",IF((COUNTIF(Drain_Register!$A$5:$A$304,A732)+COUNTIF(RW_Register!$A$5:$A$304,A732)+COUNTIF(Embedded_Wall_Register!$A$5:$A$304,A732)+COUNTIF(Manhole_Register!$A$5:$A$304,A732)+COUNTIF(ERSS_Pit_Register!$A$5:$A$304,A732)+COUNTIF(Linkway_Register!$A$5:$A$304,A732)+COUNTIF(Other_Register!$A$5:$A$304,A732))&gt;0,"OK","ID not in any register"))</f>
        <v/>
      </c>
    </row>
    <row r="733" customFormat="false" ht="15" hidden="false" customHeight="false" outlineLevel="0" collapsed="false">
      <c r="A733" s="9"/>
      <c r="B733" s="9"/>
      <c r="C733" s="9"/>
      <c r="D733" s="9"/>
      <c r="E733" s="9"/>
      <c r="F733" s="9"/>
      <c r="G733" s="9"/>
      <c r="H733" s="9"/>
      <c r="I733" s="9"/>
      <c r="J733" s="10" t="str">
        <f aca="false">IF(A733="","",IF(G733&lt;&gt;"",G733,IF(N(F733)&gt;0,ROUND(1000/F733,3),0)))</f>
        <v/>
      </c>
      <c r="K733" s="10" t="str">
        <f aca="false">IF(OR(A733="",E733="",H733=""),"",ROUND(0.00617*E733^2*H733*J733,2))</f>
        <v/>
      </c>
      <c r="L733" s="9"/>
      <c r="M733" s="10" t="str">
        <f aca="false">IF(A733="","",IF((COUNTIF(Drain_Register!$A$5:$A$304,A733)+COUNTIF(RW_Register!$A$5:$A$304,A733)+COUNTIF(Embedded_Wall_Register!$A$5:$A$304,A733)+COUNTIF(Manhole_Register!$A$5:$A$304,A733)+COUNTIF(ERSS_Pit_Register!$A$5:$A$304,A733)+COUNTIF(Linkway_Register!$A$5:$A$304,A733)+COUNTIF(Other_Register!$A$5:$A$304,A733))&gt;0,"OK","ID not in any register"))</f>
        <v/>
      </c>
    </row>
    <row r="734" customFormat="false" ht="15" hidden="false" customHeight="false" outlineLevel="0" collapsed="false">
      <c r="A734" s="9"/>
      <c r="B734" s="9"/>
      <c r="C734" s="9"/>
      <c r="D734" s="9"/>
      <c r="E734" s="9"/>
      <c r="F734" s="9"/>
      <c r="G734" s="9"/>
      <c r="H734" s="9"/>
      <c r="I734" s="9"/>
      <c r="J734" s="10" t="str">
        <f aca="false">IF(A734="","",IF(G734&lt;&gt;"",G734,IF(N(F734)&gt;0,ROUND(1000/F734,3),0)))</f>
        <v/>
      </c>
      <c r="K734" s="10" t="str">
        <f aca="false">IF(OR(A734="",E734="",H734=""),"",ROUND(0.00617*E734^2*H734*J734,2))</f>
        <v/>
      </c>
      <c r="L734" s="9"/>
      <c r="M734" s="10" t="str">
        <f aca="false">IF(A734="","",IF((COUNTIF(Drain_Register!$A$5:$A$304,A734)+COUNTIF(RW_Register!$A$5:$A$304,A734)+COUNTIF(Embedded_Wall_Register!$A$5:$A$304,A734)+COUNTIF(Manhole_Register!$A$5:$A$304,A734)+COUNTIF(ERSS_Pit_Register!$A$5:$A$304,A734)+COUNTIF(Linkway_Register!$A$5:$A$304,A734)+COUNTIF(Other_Register!$A$5:$A$304,A734))&gt;0,"OK","ID not in any register"))</f>
        <v/>
      </c>
    </row>
    <row r="735" customFormat="false" ht="15" hidden="false" customHeight="false" outlineLevel="0" collapsed="false">
      <c r="A735" s="9"/>
      <c r="B735" s="9"/>
      <c r="C735" s="9"/>
      <c r="D735" s="9"/>
      <c r="E735" s="9"/>
      <c r="F735" s="9"/>
      <c r="G735" s="9"/>
      <c r="H735" s="9"/>
      <c r="I735" s="9"/>
      <c r="J735" s="10" t="str">
        <f aca="false">IF(A735="","",IF(G735&lt;&gt;"",G735,IF(N(F735)&gt;0,ROUND(1000/F735,3),0)))</f>
        <v/>
      </c>
      <c r="K735" s="10" t="str">
        <f aca="false">IF(OR(A735="",E735="",H735=""),"",ROUND(0.00617*E735^2*H735*J735,2))</f>
        <v/>
      </c>
      <c r="L735" s="9"/>
      <c r="M735" s="10" t="str">
        <f aca="false">IF(A735="","",IF((COUNTIF(Drain_Register!$A$5:$A$304,A735)+COUNTIF(RW_Register!$A$5:$A$304,A735)+COUNTIF(Embedded_Wall_Register!$A$5:$A$304,A735)+COUNTIF(Manhole_Register!$A$5:$A$304,A735)+COUNTIF(ERSS_Pit_Register!$A$5:$A$304,A735)+COUNTIF(Linkway_Register!$A$5:$A$304,A735)+COUNTIF(Other_Register!$A$5:$A$304,A735))&gt;0,"OK","ID not in any register"))</f>
        <v/>
      </c>
    </row>
    <row r="736" customFormat="false" ht="15" hidden="false" customHeight="false" outlineLevel="0" collapsed="false">
      <c r="A736" s="9"/>
      <c r="B736" s="9"/>
      <c r="C736" s="9"/>
      <c r="D736" s="9"/>
      <c r="E736" s="9"/>
      <c r="F736" s="9"/>
      <c r="G736" s="9"/>
      <c r="H736" s="9"/>
      <c r="I736" s="9"/>
      <c r="J736" s="10" t="str">
        <f aca="false">IF(A736="","",IF(G736&lt;&gt;"",G736,IF(N(F736)&gt;0,ROUND(1000/F736,3),0)))</f>
        <v/>
      </c>
      <c r="K736" s="10" t="str">
        <f aca="false">IF(OR(A736="",E736="",H736=""),"",ROUND(0.00617*E736^2*H736*J736,2))</f>
        <v/>
      </c>
      <c r="L736" s="9"/>
      <c r="M736" s="10" t="str">
        <f aca="false">IF(A736="","",IF((COUNTIF(Drain_Register!$A$5:$A$304,A736)+COUNTIF(RW_Register!$A$5:$A$304,A736)+COUNTIF(Embedded_Wall_Register!$A$5:$A$304,A736)+COUNTIF(Manhole_Register!$A$5:$A$304,A736)+COUNTIF(ERSS_Pit_Register!$A$5:$A$304,A736)+COUNTIF(Linkway_Register!$A$5:$A$304,A736)+COUNTIF(Other_Register!$A$5:$A$304,A736))&gt;0,"OK","ID not in any register"))</f>
        <v/>
      </c>
    </row>
    <row r="737" customFormat="false" ht="15" hidden="false" customHeight="false" outlineLevel="0" collapsed="false">
      <c r="A737" s="9"/>
      <c r="B737" s="9"/>
      <c r="C737" s="9"/>
      <c r="D737" s="9"/>
      <c r="E737" s="9"/>
      <c r="F737" s="9"/>
      <c r="G737" s="9"/>
      <c r="H737" s="9"/>
      <c r="I737" s="9"/>
      <c r="J737" s="10" t="str">
        <f aca="false">IF(A737="","",IF(G737&lt;&gt;"",G737,IF(N(F737)&gt;0,ROUND(1000/F737,3),0)))</f>
        <v/>
      </c>
      <c r="K737" s="10" t="str">
        <f aca="false">IF(OR(A737="",E737="",H737=""),"",ROUND(0.00617*E737^2*H737*J737,2))</f>
        <v/>
      </c>
      <c r="L737" s="9"/>
      <c r="M737" s="10" t="str">
        <f aca="false">IF(A737="","",IF((COUNTIF(Drain_Register!$A$5:$A$304,A737)+COUNTIF(RW_Register!$A$5:$A$304,A737)+COUNTIF(Embedded_Wall_Register!$A$5:$A$304,A737)+COUNTIF(Manhole_Register!$A$5:$A$304,A737)+COUNTIF(ERSS_Pit_Register!$A$5:$A$304,A737)+COUNTIF(Linkway_Register!$A$5:$A$304,A737)+COUNTIF(Other_Register!$A$5:$A$304,A737))&gt;0,"OK","ID not in any register"))</f>
        <v/>
      </c>
    </row>
    <row r="738" customFormat="false" ht="15" hidden="false" customHeight="false" outlineLevel="0" collapsed="false">
      <c r="A738" s="9"/>
      <c r="B738" s="9"/>
      <c r="C738" s="9"/>
      <c r="D738" s="9"/>
      <c r="E738" s="9"/>
      <c r="F738" s="9"/>
      <c r="G738" s="9"/>
      <c r="H738" s="9"/>
      <c r="I738" s="9"/>
      <c r="J738" s="10" t="str">
        <f aca="false">IF(A738="","",IF(G738&lt;&gt;"",G738,IF(N(F738)&gt;0,ROUND(1000/F738,3),0)))</f>
        <v/>
      </c>
      <c r="K738" s="10" t="str">
        <f aca="false">IF(OR(A738="",E738="",H738=""),"",ROUND(0.00617*E738^2*H738*J738,2))</f>
        <v/>
      </c>
      <c r="L738" s="9"/>
      <c r="M738" s="10" t="str">
        <f aca="false">IF(A738="","",IF((COUNTIF(Drain_Register!$A$5:$A$304,A738)+COUNTIF(RW_Register!$A$5:$A$304,A738)+COUNTIF(Embedded_Wall_Register!$A$5:$A$304,A738)+COUNTIF(Manhole_Register!$A$5:$A$304,A738)+COUNTIF(ERSS_Pit_Register!$A$5:$A$304,A738)+COUNTIF(Linkway_Register!$A$5:$A$304,A738)+COUNTIF(Other_Register!$A$5:$A$304,A738))&gt;0,"OK","ID not in any register"))</f>
        <v/>
      </c>
    </row>
    <row r="739" customFormat="false" ht="15" hidden="false" customHeight="false" outlineLevel="0" collapsed="false">
      <c r="A739" s="9"/>
      <c r="B739" s="9"/>
      <c r="C739" s="9"/>
      <c r="D739" s="9"/>
      <c r="E739" s="9"/>
      <c r="F739" s="9"/>
      <c r="G739" s="9"/>
      <c r="H739" s="9"/>
      <c r="I739" s="9"/>
      <c r="J739" s="10" t="str">
        <f aca="false">IF(A739="","",IF(G739&lt;&gt;"",G739,IF(N(F739)&gt;0,ROUND(1000/F739,3),0)))</f>
        <v/>
      </c>
      <c r="K739" s="10" t="str">
        <f aca="false">IF(OR(A739="",E739="",H739=""),"",ROUND(0.00617*E739^2*H739*J739,2))</f>
        <v/>
      </c>
      <c r="L739" s="9"/>
      <c r="M739" s="10" t="str">
        <f aca="false">IF(A739="","",IF((COUNTIF(Drain_Register!$A$5:$A$304,A739)+COUNTIF(RW_Register!$A$5:$A$304,A739)+COUNTIF(Embedded_Wall_Register!$A$5:$A$304,A739)+COUNTIF(Manhole_Register!$A$5:$A$304,A739)+COUNTIF(ERSS_Pit_Register!$A$5:$A$304,A739)+COUNTIF(Linkway_Register!$A$5:$A$304,A739)+COUNTIF(Other_Register!$A$5:$A$304,A739))&gt;0,"OK","ID not in any register"))</f>
        <v/>
      </c>
    </row>
    <row r="740" customFormat="false" ht="15" hidden="false" customHeight="false" outlineLevel="0" collapsed="false">
      <c r="A740" s="9"/>
      <c r="B740" s="9"/>
      <c r="C740" s="9"/>
      <c r="D740" s="9"/>
      <c r="E740" s="9"/>
      <c r="F740" s="9"/>
      <c r="G740" s="9"/>
      <c r="H740" s="9"/>
      <c r="I740" s="9"/>
      <c r="J740" s="10" t="str">
        <f aca="false">IF(A740="","",IF(G740&lt;&gt;"",G740,IF(N(F740)&gt;0,ROUND(1000/F740,3),0)))</f>
        <v/>
      </c>
      <c r="K740" s="10" t="str">
        <f aca="false">IF(OR(A740="",E740="",H740=""),"",ROUND(0.00617*E740^2*H740*J740,2))</f>
        <v/>
      </c>
      <c r="L740" s="9"/>
      <c r="M740" s="10" t="str">
        <f aca="false">IF(A740="","",IF((COUNTIF(Drain_Register!$A$5:$A$304,A740)+COUNTIF(RW_Register!$A$5:$A$304,A740)+COUNTIF(Embedded_Wall_Register!$A$5:$A$304,A740)+COUNTIF(Manhole_Register!$A$5:$A$304,A740)+COUNTIF(ERSS_Pit_Register!$A$5:$A$304,A740)+COUNTIF(Linkway_Register!$A$5:$A$304,A740)+COUNTIF(Other_Register!$A$5:$A$304,A740))&gt;0,"OK","ID not in any register"))</f>
        <v/>
      </c>
    </row>
    <row r="741" customFormat="false" ht="15" hidden="false" customHeight="false" outlineLevel="0" collapsed="false">
      <c r="A741" s="9"/>
      <c r="B741" s="9"/>
      <c r="C741" s="9"/>
      <c r="D741" s="9"/>
      <c r="E741" s="9"/>
      <c r="F741" s="9"/>
      <c r="G741" s="9"/>
      <c r="H741" s="9"/>
      <c r="I741" s="9"/>
      <c r="J741" s="10" t="str">
        <f aca="false">IF(A741="","",IF(G741&lt;&gt;"",G741,IF(N(F741)&gt;0,ROUND(1000/F741,3),0)))</f>
        <v/>
      </c>
      <c r="K741" s="10" t="str">
        <f aca="false">IF(OR(A741="",E741="",H741=""),"",ROUND(0.00617*E741^2*H741*J741,2))</f>
        <v/>
      </c>
      <c r="L741" s="9"/>
      <c r="M741" s="10" t="str">
        <f aca="false">IF(A741="","",IF((COUNTIF(Drain_Register!$A$5:$A$304,A741)+COUNTIF(RW_Register!$A$5:$A$304,A741)+COUNTIF(Embedded_Wall_Register!$A$5:$A$304,A741)+COUNTIF(Manhole_Register!$A$5:$A$304,A741)+COUNTIF(ERSS_Pit_Register!$A$5:$A$304,A741)+COUNTIF(Linkway_Register!$A$5:$A$304,A741)+COUNTIF(Other_Register!$A$5:$A$304,A741))&gt;0,"OK","ID not in any register"))</f>
        <v/>
      </c>
    </row>
    <row r="742" customFormat="false" ht="15" hidden="false" customHeight="false" outlineLevel="0" collapsed="false">
      <c r="A742" s="9"/>
      <c r="B742" s="9"/>
      <c r="C742" s="9"/>
      <c r="D742" s="9"/>
      <c r="E742" s="9"/>
      <c r="F742" s="9"/>
      <c r="G742" s="9"/>
      <c r="H742" s="9"/>
      <c r="I742" s="9"/>
      <c r="J742" s="10" t="str">
        <f aca="false">IF(A742="","",IF(G742&lt;&gt;"",G742,IF(N(F742)&gt;0,ROUND(1000/F742,3),0)))</f>
        <v/>
      </c>
      <c r="K742" s="10" t="str">
        <f aca="false">IF(OR(A742="",E742="",H742=""),"",ROUND(0.00617*E742^2*H742*J742,2))</f>
        <v/>
      </c>
      <c r="L742" s="9"/>
      <c r="M742" s="10" t="str">
        <f aca="false">IF(A742="","",IF((COUNTIF(Drain_Register!$A$5:$A$304,A742)+COUNTIF(RW_Register!$A$5:$A$304,A742)+COUNTIF(Embedded_Wall_Register!$A$5:$A$304,A742)+COUNTIF(Manhole_Register!$A$5:$A$304,A742)+COUNTIF(ERSS_Pit_Register!$A$5:$A$304,A742)+COUNTIF(Linkway_Register!$A$5:$A$304,A742)+COUNTIF(Other_Register!$A$5:$A$304,A742))&gt;0,"OK","ID not in any register"))</f>
        <v/>
      </c>
    </row>
    <row r="743" customFormat="false" ht="15" hidden="false" customHeight="false" outlineLevel="0" collapsed="false">
      <c r="A743" s="9"/>
      <c r="B743" s="9"/>
      <c r="C743" s="9"/>
      <c r="D743" s="9"/>
      <c r="E743" s="9"/>
      <c r="F743" s="9"/>
      <c r="G743" s="9"/>
      <c r="H743" s="9"/>
      <c r="I743" s="9"/>
      <c r="J743" s="10" t="str">
        <f aca="false">IF(A743="","",IF(G743&lt;&gt;"",G743,IF(N(F743)&gt;0,ROUND(1000/F743,3),0)))</f>
        <v/>
      </c>
      <c r="K743" s="10" t="str">
        <f aca="false">IF(OR(A743="",E743="",H743=""),"",ROUND(0.00617*E743^2*H743*J743,2))</f>
        <v/>
      </c>
      <c r="L743" s="9"/>
      <c r="M743" s="10" t="str">
        <f aca="false">IF(A743="","",IF((COUNTIF(Drain_Register!$A$5:$A$304,A743)+COUNTIF(RW_Register!$A$5:$A$304,A743)+COUNTIF(Embedded_Wall_Register!$A$5:$A$304,A743)+COUNTIF(Manhole_Register!$A$5:$A$304,A743)+COUNTIF(ERSS_Pit_Register!$A$5:$A$304,A743)+COUNTIF(Linkway_Register!$A$5:$A$304,A743)+COUNTIF(Other_Register!$A$5:$A$304,A743))&gt;0,"OK","ID not in any register"))</f>
        <v/>
      </c>
    </row>
    <row r="744" customFormat="false" ht="15" hidden="false" customHeight="false" outlineLevel="0" collapsed="false">
      <c r="A744" s="9"/>
      <c r="B744" s="9"/>
      <c r="C744" s="9"/>
      <c r="D744" s="9"/>
      <c r="E744" s="9"/>
      <c r="F744" s="9"/>
      <c r="G744" s="9"/>
      <c r="H744" s="9"/>
      <c r="I744" s="9"/>
      <c r="J744" s="10" t="str">
        <f aca="false">IF(A744="","",IF(G744&lt;&gt;"",G744,IF(N(F744)&gt;0,ROUND(1000/F744,3),0)))</f>
        <v/>
      </c>
      <c r="K744" s="10" t="str">
        <f aca="false">IF(OR(A744="",E744="",H744=""),"",ROUND(0.00617*E744^2*H744*J744,2))</f>
        <v/>
      </c>
      <c r="L744" s="9"/>
      <c r="M744" s="10" t="str">
        <f aca="false">IF(A744="","",IF((COUNTIF(Drain_Register!$A$5:$A$304,A744)+COUNTIF(RW_Register!$A$5:$A$304,A744)+COUNTIF(Embedded_Wall_Register!$A$5:$A$304,A744)+COUNTIF(Manhole_Register!$A$5:$A$304,A744)+COUNTIF(ERSS_Pit_Register!$A$5:$A$304,A744)+COUNTIF(Linkway_Register!$A$5:$A$304,A744)+COUNTIF(Other_Register!$A$5:$A$304,A744))&gt;0,"OK","ID not in any register"))</f>
        <v/>
      </c>
    </row>
    <row r="745" customFormat="false" ht="15" hidden="false" customHeight="false" outlineLevel="0" collapsed="false">
      <c r="A745" s="9"/>
      <c r="B745" s="9"/>
      <c r="C745" s="9"/>
      <c r="D745" s="9"/>
      <c r="E745" s="9"/>
      <c r="F745" s="9"/>
      <c r="G745" s="9"/>
      <c r="H745" s="9"/>
      <c r="I745" s="9"/>
      <c r="J745" s="10" t="str">
        <f aca="false">IF(A745="","",IF(G745&lt;&gt;"",G745,IF(N(F745)&gt;0,ROUND(1000/F745,3),0)))</f>
        <v/>
      </c>
      <c r="K745" s="10" t="str">
        <f aca="false">IF(OR(A745="",E745="",H745=""),"",ROUND(0.00617*E745^2*H745*J745,2))</f>
        <v/>
      </c>
      <c r="L745" s="9"/>
      <c r="M745" s="10" t="str">
        <f aca="false">IF(A745="","",IF((COUNTIF(Drain_Register!$A$5:$A$304,A745)+COUNTIF(RW_Register!$A$5:$A$304,A745)+COUNTIF(Embedded_Wall_Register!$A$5:$A$304,A745)+COUNTIF(Manhole_Register!$A$5:$A$304,A745)+COUNTIF(ERSS_Pit_Register!$A$5:$A$304,A745)+COUNTIF(Linkway_Register!$A$5:$A$304,A745)+COUNTIF(Other_Register!$A$5:$A$304,A745))&gt;0,"OK","ID not in any register"))</f>
        <v/>
      </c>
    </row>
    <row r="746" customFormat="false" ht="15" hidden="false" customHeight="false" outlineLevel="0" collapsed="false">
      <c r="A746" s="9"/>
      <c r="B746" s="9"/>
      <c r="C746" s="9"/>
      <c r="D746" s="9"/>
      <c r="E746" s="9"/>
      <c r="F746" s="9"/>
      <c r="G746" s="9"/>
      <c r="H746" s="9"/>
      <c r="I746" s="9"/>
      <c r="J746" s="10" t="str">
        <f aca="false">IF(A746="","",IF(G746&lt;&gt;"",G746,IF(N(F746)&gt;0,ROUND(1000/F746,3),0)))</f>
        <v/>
      </c>
      <c r="K746" s="10" t="str">
        <f aca="false">IF(OR(A746="",E746="",H746=""),"",ROUND(0.00617*E746^2*H746*J746,2))</f>
        <v/>
      </c>
      <c r="L746" s="9"/>
      <c r="M746" s="10" t="str">
        <f aca="false">IF(A746="","",IF((COUNTIF(Drain_Register!$A$5:$A$304,A746)+COUNTIF(RW_Register!$A$5:$A$304,A746)+COUNTIF(Embedded_Wall_Register!$A$5:$A$304,A746)+COUNTIF(Manhole_Register!$A$5:$A$304,A746)+COUNTIF(ERSS_Pit_Register!$A$5:$A$304,A746)+COUNTIF(Linkway_Register!$A$5:$A$304,A746)+COUNTIF(Other_Register!$A$5:$A$304,A746))&gt;0,"OK","ID not in any register"))</f>
        <v/>
      </c>
    </row>
    <row r="747" customFormat="false" ht="15" hidden="false" customHeight="false" outlineLevel="0" collapsed="false">
      <c r="A747" s="9"/>
      <c r="B747" s="9"/>
      <c r="C747" s="9"/>
      <c r="D747" s="9"/>
      <c r="E747" s="9"/>
      <c r="F747" s="9"/>
      <c r="G747" s="9"/>
      <c r="H747" s="9"/>
      <c r="I747" s="9"/>
      <c r="J747" s="10" t="str">
        <f aca="false">IF(A747="","",IF(G747&lt;&gt;"",G747,IF(N(F747)&gt;0,ROUND(1000/F747,3),0)))</f>
        <v/>
      </c>
      <c r="K747" s="10" t="str">
        <f aca="false">IF(OR(A747="",E747="",H747=""),"",ROUND(0.00617*E747^2*H747*J747,2))</f>
        <v/>
      </c>
      <c r="L747" s="9"/>
      <c r="M747" s="10" t="str">
        <f aca="false">IF(A747="","",IF((COUNTIF(Drain_Register!$A$5:$A$304,A747)+COUNTIF(RW_Register!$A$5:$A$304,A747)+COUNTIF(Embedded_Wall_Register!$A$5:$A$304,A747)+COUNTIF(Manhole_Register!$A$5:$A$304,A747)+COUNTIF(ERSS_Pit_Register!$A$5:$A$304,A747)+COUNTIF(Linkway_Register!$A$5:$A$304,A747)+COUNTIF(Other_Register!$A$5:$A$304,A747))&gt;0,"OK","ID not in any register"))</f>
        <v/>
      </c>
    </row>
    <row r="748" customFormat="false" ht="15" hidden="false" customHeight="false" outlineLevel="0" collapsed="false">
      <c r="A748" s="9"/>
      <c r="B748" s="9"/>
      <c r="C748" s="9"/>
      <c r="D748" s="9"/>
      <c r="E748" s="9"/>
      <c r="F748" s="9"/>
      <c r="G748" s="9"/>
      <c r="H748" s="9"/>
      <c r="I748" s="9"/>
      <c r="J748" s="10" t="str">
        <f aca="false">IF(A748="","",IF(G748&lt;&gt;"",G748,IF(N(F748)&gt;0,ROUND(1000/F748,3),0)))</f>
        <v/>
      </c>
      <c r="K748" s="10" t="str">
        <f aca="false">IF(OR(A748="",E748="",H748=""),"",ROUND(0.00617*E748^2*H748*J748,2))</f>
        <v/>
      </c>
      <c r="L748" s="9"/>
      <c r="M748" s="10" t="str">
        <f aca="false">IF(A748="","",IF((COUNTIF(Drain_Register!$A$5:$A$304,A748)+COUNTIF(RW_Register!$A$5:$A$304,A748)+COUNTIF(Embedded_Wall_Register!$A$5:$A$304,A748)+COUNTIF(Manhole_Register!$A$5:$A$304,A748)+COUNTIF(ERSS_Pit_Register!$A$5:$A$304,A748)+COUNTIF(Linkway_Register!$A$5:$A$304,A748)+COUNTIF(Other_Register!$A$5:$A$304,A748))&gt;0,"OK","ID not in any register"))</f>
        <v/>
      </c>
    </row>
    <row r="749" customFormat="false" ht="15" hidden="false" customHeight="false" outlineLevel="0" collapsed="false">
      <c r="A749" s="9"/>
      <c r="B749" s="9"/>
      <c r="C749" s="9"/>
      <c r="D749" s="9"/>
      <c r="E749" s="9"/>
      <c r="F749" s="9"/>
      <c r="G749" s="9"/>
      <c r="H749" s="9"/>
      <c r="I749" s="9"/>
      <c r="J749" s="10" t="str">
        <f aca="false">IF(A749="","",IF(G749&lt;&gt;"",G749,IF(N(F749)&gt;0,ROUND(1000/F749,3),0)))</f>
        <v/>
      </c>
      <c r="K749" s="10" t="str">
        <f aca="false">IF(OR(A749="",E749="",H749=""),"",ROUND(0.00617*E749^2*H749*J749,2))</f>
        <v/>
      </c>
      <c r="L749" s="9"/>
      <c r="M749" s="10" t="str">
        <f aca="false">IF(A749="","",IF((COUNTIF(Drain_Register!$A$5:$A$304,A749)+COUNTIF(RW_Register!$A$5:$A$304,A749)+COUNTIF(Embedded_Wall_Register!$A$5:$A$304,A749)+COUNTIF(Manhole_Register!$A$5:$A$304,A749)+COUNTIF(ERSS_Pit_Register!$A$5:$A$304,A749)+COUNTIF(Linkway_Register!$A$5:$A$304,A749)+COUNTIF(Other_Register!$A$5:$A$304,A749))&gt;0,"OK","ID not in any register"))</f>
        <v/>
      </c>
    </row>
    <row r="750" customFormat="false" ht="15" hidden="false" customHeight="false" outlineLevel="0" collapsed="false">
      <c r="A750" s="9"/>
      <c r="B750" s="9"/>
      <c r="C750" s="9"/>
      <c r="D750" s="9"/>
      <c r="E750" s="9"/>
      <c r="F750" s="9"/>
      <c r="G750" s="9"/>
      <c r="H750" s="9"/>
      <c r="I750" s="9"/>
      <c r="J750" s="10" t="str">
        <f aca="false">IF(A750="","",IF(G750&lt;&gt;"",G750,IF(N(F750)&gt;0,ROUND(1000/F750,3),0)))</f>
        <v/>
      </c>
      <c r="K750" s="10" t="str">
        <f aca="false">IF(OR(A750="",E750="",H750=""),"",ROUND(0.00617*E750^2*H750*J750,2))</f>
        <v/>
      </c>
      <c r="L750" s="9"/>
      <c r="M750" s="10" t="str">
        <f aca="false">IF(A750="","",IF((COUNTIF(Drain_Register!$A$5:$A$304,A750)+COUNTIF(RW_Register!$A$5:$A$304,A750)+COUNTIF(Embedded_Wall_Register!$A$5:$A$304,A750)+COUNTIF(Manhole_Register!$A$5:$A$304,A750)+COUNTIF(ERSS_Pit_Register!$A$5:$A$304,A750)+COUNTIF(Linkway_Register!$A$5:$A$304,A750)+COUNTIF(Other_Register!$A$5:$A$304,A750))&gt;0,"OK","ID not in any register"))</f>
        <v/>
      </c>
    </row>
    <row r="751" customFormat="false" ht="15" hidden="false" customHeight="false" outlineLevel="0" collapsed="false">
      <c r="A751" s="9"/>
      <c r="B751" s="9"/>
      <c r="C751" s="9"/>
      <c r="D751" s="9"/>
      <c r="E751" s="9"/>
      <c r="F751" s="9"/>
      <c r="G751" s="9"/>
      <c r="H751" s="9"/>
      <c r="I751" s="9"/>
      <c r="J751" s="10" t="str">
        <f aca="false">IF(A751="","",IF(G751&lt;&gt;"",G751,IF(N(F751)&gt;0,ROUND(1000/F751,3),0)))</f>
        <v/>
      </c>
      <c r="K751" s="10" t="str">
        <f aca="false">IF(OR(A751="",E751="",H751=""),"",ROUND(0.00617*E751^2*H751*J751,2))</f>
        <v/>
      </c>
      <c r="L751" s="9"/>
      <c r="M751" s="10" t="str">
        <f aca="false">IF(A751="","",IF((COUNTIF(Drain_Register!$A$5:$A$304,A751)+COUNTIF(RW_Register!$A$5:$A$304,A751)+COUNTIF(Embedded_Wall_Register!$A$5:$A$304,A751)+COUNTIF(Manhole_Register!$A$5:$A$304,A751)+COUNTIF(ERSS_Pit_Register!$A$5:$A$304,A751)+COUNTIF(Linkway_Register!$A$5:$A$304,A751)+COUNTIF(Other_Register!$A$5:$A$304,A751))&gt;0,"OK","ID not in any register"))</f>
        <v/>
      </c>
    </row>
    <row r="752" customFormat="false" ht="15" hidden="false" customHeight="false" outlineLevel="0" collapsed="false">
      <c r="A752" s="9"/>
      <c r="B752" s="9"/>
      <c r="C752" s="9"/>
      <c r="D752" s="9"/>
      <c r="E752" s="9"/>
      <c r="F752" s="9"/>
      <c r="G752" s="9"/>
      <c r="H752" s="9"/>
      <c r="I752" s="9"/>
      <c r="J752" s="10" t="str">
        <f aca="false">IF(A752="","",IF(G752&lt;&gt;"",G752,IF(N(F752)&gt;0,ROUND(1000/F752,3),0)))</f>
        <v/>
      </c>
      <c r="K752" s="10" t="str">
        <f aca="false">IF(OR(A752="",E752="",H752=""),"",ROUND(0.00617*E752^2*H752*J752,2))</f>
        <v/>
      </c>
      <c r="L752" s="9"/>
      <c r="M752" s="10" t="str">
        <f aca="false">IF(A752="","",IF((COUNTIF(Drain_Register!$A$5:$A$304,A752)+COUNTIF(RW_Register!$A$5:$A$304,A752)+COUNTIF(Embedded_Wall_Register!$A$5:$A$304,A752)+COUNTIF(Manhole_Register!$A$5:$A$304,A752)+COUNTIF(ERSS_Pit_Register!$A$5:$A$304,A752)+COUNTIF(Linkway_Register!$A$5:$A$304,A752)+COUNTIF(Other_Register!$A$5:$A$304,A752))&gt;0,"OK","ID not in any register"))</f>
        <v/>
      </c>
    </row>
    <row r="753" customFormat="false" ht="15" hidden="false" customHeight="false" outlineLevel="0" collapsed="false">
      <c r="A753" s="9"/>
      <c r="B753" s="9"/>
      <c r="C753" s="9"/>
      <c r="D753" s="9"/>
      <c r="E753" s="9"/>
      <c r="F753" s="9"/>
      <c r="G753" s="9"/>
      <c r="H753" s="9"/>
      <c r="I753" s="9"/>
      <c r="J753" s="10" t="str">
        <f aca="false">IF(A753="","",IF(G753&lt;&gt;"",G753,IF(N(F753)&gt;0,ROUND(1000/F753,3),0)))</f>
        <v/>
      </c>
      <c r="K753" s="10" t="str">
        <f aca="false">IF(OR(A753="",E753="",H753=""),"",ROUND(0.00617*E753^2*H753*J753,2))</f>
        <v/>
      </c>
      <c r="L753" s="9"/>
      <c r="M753" s="10" t="str">
        <f aca="false">IF(A753="","",IF((COUNTIF(Drain_Register!$A$5:$A$304,A753)+COUNTIF(RW_Register!$A$5:$A$304,A753)+COUNTIF(Embedded_Wall_Register!$A$5:$A$304,A753)+COUNTIF(Manhole_Register!$A$5:$A$304,A753)+COUNTIF(ERSS_Pit_Register!$A$5:$A$304,A753)+COUNTIF(Linkway_Register!$A$5:$A$304,A753)+COUNTIF(Other_Register!$A$5:$A$304,A753))&gt;0,"OK","ID not in any register"))</f>
        <v/>
      </c>
    </row>
    <row r="754" customFormat="false" ht="15" hidden="false" customHeight="false" outlineLevel="0" collapsed="false">
      <c r="A754" s="9"/>
      <c r="B754" s="9"/>
      <c r="C754" s="9"/>
      <c r="D754" s="9"/>
      <c r="E754" s="9"/>
      <c r="F754" s="9"/>
      <c r="G754" s="9"/>
      <c r="H754" s="9"/>
      <c r="I754" s="9"/>
      <c r="J754" s="10" t="str">
        <f aca="false">IF(A754="","",IF(G754&lt;&gt;"",G754,IF(N(F754)&gt;0,ROUND(1000/F754,3),0)))</f>
        <v/>
      </c>
      <c r="K754" s="10" t="str">
        <f aca="false">IF(OR(A754="",E754="",H754=""),"",ROUND(0.00617*E754^2*H754*J754,2))</f>
        <v/>
      </c>
      <c r="L754" s="9"/>
      <c r="M754" s="10" t="str">
        <f aca="false">IF(A754="","",IF((COUNTIF(Drain_Register!$A$5:$A$304,A754)+COUNTIF(RW_Register!$A$5:$A$304,A754)+COUNTIF(Embedded_Wall_Register!$A$5:$A$304,A754)+COUNTIF(Manhole_Register!$A$5:$A$304,A754)+COUNTIF(ERSS_Pit_Register!$A$5:$A$304,A754)+COUNTIF(Linkway_Register!$A$5:$A$304,A754)+COUNTIF(Other_Register!$A$5:$A$304,A754))&gt;0,"OK","ID not in any register"))</f>
        <v/>
      </c>
    </row>
    <row r="755" customFormat="false" ht="15" hidden="false" customHeight="false" outlineLevel="0" collapsed="false">
      <c r="A755" s="9"/>
      <c r="B755" s="9"/>
      <c r="C755" s="9"/>
      <c r="D755" s="9"/>
      <c r="E755" s="9"/>
      <c r="F755" s="9"/>
      <c r="G755" s="9"/>
      <c r="H755" s="9"/>
      <c r="I755" s="9"/>
      <c r="J755" s="10" t="str">
        <f aca="false">IF(A755="","",IF(G755&lt;&gt;"",G755,IF(N(F755)&gt;0,ROUND(1000/F755,3),0)))</f>
        <v/>
      </c>
      <c r="K755" s="10" t="str">
        <f aca="false">IF(OR(A755="",E755="",H755=""),"",ROUND(0.00617*E755^2*H755*J755,2))</f>
        <v/>
      </c>
      <c r="L755" s="9"/>
      <c r="M755" s="10" t="str">
        <f aca="false">IF(A755="","",IF((COUNTIF(Drain_Register!$A$5:$A$304,A755)+COUNTIF(RW_Register!$A$5:$A$304,A755)+COUNTIF(Embedded_Wall_Register!$A$5:$A$304,A755)+COUNTIF(Manhole_Register!$A$5:$A$304,A755)+COUNTIF(ERSS_Pit_Register!$A$5:$A$304,A755)+COUNTIF(Linkway_Register!$A$5:$A$304,A755)+COUNTIF(Other_Register!$A$5:$A$304,A755))&gt;0,"OK","ID not in any register"))</f>
        <v/>
      </c>
    </row>
    <row r="756" customFormat="false" ht="15" hidden="false" customHeight="false" outlineLevel="0" collapsed="false">
      <c r="A756" s="9"/>
      <c r="B756" s="9"/>
      <c r="C756" s="9"/>
      <c r="D756" s="9"/>
      <c r="E756" s="9"/>
      <c r="F756" s="9"/>
      <c r="G756" s="9"/>
      <c r="H756" s="9"/>
      <c r="I756" s="9"/>
      <c r="J756" s="10" t="str">
        <f aca="false">IF(A756="","",IF(G756&lt;&gt;"",G756,IF(N(F756)&gt;0,ROUND(1000/F756,3),0)))</f>
        <v/>
      </c>
      <c r="K756" s="10" t="str">
        <f aca="false">IF(OR(A756="",E756="",H756=""),"",ROUND(0.00617*E756^2*H756*J756,2))</f>
        <v/>
      </c>
      <c r="L756" s="9"/>
      <c r="M756" s="10" t="str">
        <f aca="false">IF(A756="","",IF((COUNTIF(Drain_Register!$A$5:$A$304,A756)+COUNTIF(RW_Register!$A$5:$A$304,A756)+COUNTIF(Embedded_Wall_Register!$A$5:$A$304,A756)+COUNTIF(Manhole_Register!$A$5:$A$304,A756)+COUNTIF(ERSS_Pit_Register!$A$5:$A$304,A756)+COUNTIF(Linkway_Register!$A$5:$A$304,A756)+COUNTIF(Other_Register!$A$5:$A$304,A756))&gt;0,"OK","ID not in any register"))</f>
        <v/>
      </c>
    </row>
    <row r="757" customFormat="false" ht="15" hidden="false" customHeight="false" outlineLevel="0" collapsed="false">
      <c r="A757" s="9"/>
      <c r="B757" s="9"/>
      <c r="C757" s="9"/>
      <c r="D757" s="9"/>
      <c r="E757" s="9"/>
      <c r="F757" s="9"/>
      <c r="G757" s="9"/>
      <c r="H757" s="9"/>
      <c r="I757" s="9"/>
      <c r="J757" s="10" t="str">
        <f aca="false">IF(A757="","",IF(G757&lt;&gt;"",G757,IF(N(F757)&gt;0,ROUND(1000/F757,3),0)))</f>
        <v/>
      </c>
      <c r="K757" s="10" t="str">
        <f aca="false">IF(OR(A757="",E757="",H757=""),"",ROUND(0.00617*E757^2*H757*J757,2))</f>
        <v/>
      </c>
      <c r="L757" s="9"/>
      <c r="M757" s="10" t="str">
        <f aca="false">IF(A757="","",IF((COUNTIF(Drain_Register!$A$5:$A$304,A757)+COUNTIF(RW_Register!$A$5:$A$304,A757)+COUNTIF(Embedded_Wall_Register!$A$5:$A$304,A757)+COUNTIF(Manhole_Register!$A$5:$A$304,A757)+COUNTIF(ERSS_Pit_Register!$A$5:$A$304,A757)+COUNTIF(Linkway_Register!$A$5:$A$304,A757)+COUNTIF(Other_Register!$A$5:$A$304,A757))&gt;0,"OK","ID not in any register"))</f>
        <v/>
      </c>
    </row>
    <row r="758" customFormat="false" ht="15" hidden="false" customHeight="false" outlineLevel="0" collapsed="false">
      <c r="A758" s="9"/>
      <c r="B758" s="9"/>
      <c r="C758" s="9"/>
      <c r="D758" s="9"/>
      <c r="E758" s="9"/>
      <c r="F758" s="9"/>
      <c r="G758" s="9"/>
      <c r="H758" s="9"/>
      <c r="I758" s="9"/>
      <c r="J758" s="10" t="str">
        <f aca="false">IF(A758="","",IF(G758&lt;&gt;"",G758,IF(N(F758)&gt;0,ROUND(1000/F758,3),0)))</f>
        <v/>
      </c>
      <c r="K758" s="10" t="str">
        <f aca="false">IF(OR(A758="",E758="",H758=""),"",ROUND(0.00617*E758^2*H758*J758,2))</f>
        <v/>
      </c>
      <c r="L758" s="9"/>
      <c r="M758" s="10" t="str">
        <f aca="false">IF(A758="","",IF((COUNTIF(Drain_Register!$A$5:$A$304,A758)+COUNTIF(RW_Register!$A$5:$A$304,A758)+COUNTIF(Embedded_Wall_Register!$A$5:$A$304,A758)+COUNTIF(Manhole_Register!$A$5:$A$304,A758)+COUNTIF(ERSS_Pit_Register!$A$5:$A$304,A758)+COUNTIF(Linkway_Register!$A$5:$A$304,A758)+COUNTIF(Other_Register!$A$5:$A$304,A758))&gt;0,"OK","ID not in any register"))</f>
        <v/>
      </c>
    </row>
    <row r="759" customFormat="false" ht="15" hidden="false" customHeight="false" outlineLevel="0" collapsed="false">
      <c r="A759" s="9"/>
      <c r="B759" s="9"/>
      <c r="C759" s="9"/>
      <c r="D759" s="9"/>
      <c r="E759" s="9"/>
      <c r="F759" s="9"/>
      <c r="G759" s="9"/>
      <c r="H759" s="9"/>
      <c r="I759" s="9"/>
      <c r="J759" s="10" t="str">
        <f aca="false">IF(A759="","",IF(G759&lt;&gt;"",G759,IF(N(F759)&gt;0,ROUND(1000/F759,3),0)))</f>
        <v/>
      </c>
      <c r="K759" s="10" t="str">
        <f aca="false">IF(OR(A759="",E759="",H759=""),"",ROUND(0.00617*E759^2*H759*J759,2))</f>
        <v/>
      </c>
      <c r="L759" s="9"/>
      <c r="M759" s="10" t="str">
        <f aca="false">IF(A759="","",IF((COUNTIF(Drain_Register!$A$5:$A$304,A759)+COUNTIF(RW_Register!$A$5:$A$304,A759)+COUNTIF(Embedded_Wall_Register!$A$5:$A$304,A759)+COUNTIF(Manhole_Register!$A$5:$A$304,A759)+COUNTIF(ERSS_Pit_Register!$A$5:$A$304,A759)+COUNTIF(Linkway_Register!$A$5:$A$304,A759)+COUNTIF(Other_Register!$A$5:$A$304,A759))&gt;0,"OK","ID not in any register"))</f>
        <v/>
      </c>
    </row>
    <row r="760" customFormat="false" ht="15" hidden="false" customHeight="false" outlineLevel="0" collapsed="false">
      <c r="A760" s="9"/>
      <c r="B760" s="9"/>
      <c r="C760" s="9"/>
      <c r="D760" s="9"/>
      <c r="E760" s="9"/>
      <c r="F760" s="9"/>
      <c r="G760" s="9"/>
      <c r="H760" s="9"/>
      <c r="I760" s="9"/>
      <c r="J760" s="10" t="str">
        <f aca="false">IF(A760="","",IF(G760&lt;&gt;"",G760,IF(N(F760)&gt;0,ROUND(1000/F760,3),0)))</f>
        <v/>
      </c>
      <c r="K760" s="10" t="str">
        <f aca="false">IF(OR(A760="",E760="",H760=""),"",ROUND(0.00617*E760^2*H760*J760,2))</f>
        <v/>
      </c>
      <c r="L760" s="9"/>
      <c r="M760" s="10" t="str">
        <f aca="false">IF(A760="","",IF((COUNTIF(Drain_Register!$A$5:$A$304,A760)+COUNTIF(RW_Register!$A$5:$A$304,A760)+COUNTIF(Embedded_Wall_Register!$A$5:$A$304,A760)+COUNTIF(Manhole_Register!$A$5:$A$304,A760)+COUNTIF(ERSS_Pit_Register!$A$5:$A$304,A760)+COUNTIF(Linkway_Register!$A$5:$A$304,A760)+COUNTIF(Other_Register!$A$5:$A$304,A760))&gt;0,"OK","ID not in any register"))</f>
        <v/>
      </c>
    </row>
    <row r="761" customFormat="false" ht="15" hidden="false" customHeight="false" outlineLevel="0" collapsed="false">
      <c r="A761" s="9"/>
      <c r="B761" s="9"/>
      <c r="C761" s="9"/>
      <c r="D761" s="9"/>
      <c r="E761" s="9"/>
      <c r="F761" s="9"/>
      <c r="G761" s="9"/>
      <c r="H761" s="9"/>
      <c r="I761" s="9"/>
      <c r="J761" s="10" t="str">
        <f aca="false">IF(A761="","",IF(G761&lt;&gt;"",G761,IF(N(F761)&gt;0,ROUND(1000/F761,3),0)))</f>
        <v/>
      </c>
      <c r="K761" s="10" t="str">
        <f aca="false">IF(OR(A761="",E761="",H761=""),"",ROUND(0.00617*E761^2*H761*J761,2))</f>
        <v/>
      </c>
      <c r="L761" s="9"/>
      <c r="M761" s="10" t="str">
        <f aca="false">IF(A761="","",IF((COUNTIF(Drain_Register!$A$5:$A$304,A761)+COUNTIF(RW_Register!$A$5:$A$304,A761)+COUNTIF(Embedded_Wall_Register!$A$5:$A$304,A761)+COUNTIF(Manhole_Register!$A$5:$A$304,A761)+COUNTIF(ERSS_Pit_Register!$A$5:$A$304,A761)+COUNTIF(Linkway_Register!$A$5:$A$304,A761)+COUNTIF(Other_Register!$A$5:$A$304,A761))&gt;0,"OK","ID not in any register"))</f>
        <v/>
      </c>
    </row>
    <row r="762" customFormat="false" ht="15" hidden="false" customHeight="false" outlineLevel="0" collapsed="false">
      <c r="A762" s="9"/>
      <c r="B762" s="9"/>
      <c r="C762" s="9"/>
      <c r="D762" s="9"/>
      <c r="E762" s="9"/>
      <c r="F762" s="9"/>
      <c r="G762" s="9"/>
      <c r="H762" s="9"/>
      <c r="I762" s="9"/>
      <c r="J762" s="10" t="str">
        <f aca="false">IF(A762="","",IF(G762&lt;&gt;"",G762,IF(N(F762)&gt;0,ROUND(1000/F762,3),0)))</f>
        <v/>
      </c>
      <c r="K762" s="10" t="str">
        <f aca="false">IF(OR(A762="",E762="",H762=""),"",ROUND(0.00617*E762^2*H762*J762,2))</f>
        <v/>
      </c>
      <c r="L762" s="9"/>
      <c r="M762" s="10" t="str">
        <f aca="false">IF(A762="","",IF((COUNTIF(Drain_Register!$A$5:$A$304,A762)+COUNTIF(RW_Register!$A$5:$A$304,A762)+COUNTIF(Embedded_Wall_Register!$A$5:$A$304,A762)+COUNTIF(Manhole_Register!$A$5:$A$304,A762)+COUNTIF(ERSS_Pit_Register!$A$5:$A$304,A762)+COUNTIF(Linkway_Register!$A$5:$A$304,A762)+COUNTIF(Other_Register!$A$5:$A$304,A762))&gt;0,"OK","ID not in any register"))</f>
        <v/>
      </c>
    </row>
    <row r="763" customFormat="false" ht="15" hidden="false" customHeight="false" outlineLevel="0" collapsed="false">
      <c r="A763" s="9"/>
      <c r="B763" s="9"/>
      <c r="C763" s="9"/>
      <c r="D763" s="9"/>
      <c r="E763" s="9"/>
      <c r="F763" s="9"/>
      <c r="G763" s="9"/>
      <c r="H763" s="9"/>
      <c r="I763" s="9"/>
      <c r="J763" s="10" t="str">
        <f aca="false">IF(A763="","",IF(G763&lt;&gt;"",G763,IF(N(F763)&gt;0,ROUND(1000/F763,3),0)))</f>
        <v/>
      </c>
      <c r="K763" s="10" t="str">
        <f aca="false">IF(OR(A763="",E763="",H763=""),"",ROUND(0.00617*E763^2*H763*J763,2))</f>
        <v/>
      </c>
      <c r="L763" s="9"/>
      <c r="M763" s="10" t="str">
        <f aca="false">IF(A763="","",IF((COUNTIF(Drain_Register!$A$5:$A$304,A763)+COUNTIF(RW_Register!$A$5:$A$304,A763)+COUNTIF(Embedded_Wall_Register!$A$5:$A$304,A763)+COUNTIF(Manhole_Register!$A$5:$A$304,A763)+COUNTIF(ERSS_Pit_Register!$A$5:$A$304,A763)+COUNTIF(Linkway_Register!$A$5:$A$304,A763)+COUNTIF(Other_Register!$A$5:$A$304,A763))&gt;0,"OK","ID not in any register"))</f>
        <v/>
      </c>
    </row>
    <row r="764" customFormat="false" ht="15" hidden="false" customHeight="false" outlineLevel="0" collapsed="false">
      <c r="A764" s="9"/>
      <c r="B764" s="9"/>
      <c r="C764" s="9"/>
      <c r="D764" s="9"/>
      <c r="E764" s="9"/>
      <c r="F764" s="9"/>
      <c r="G764" s="9"/>
      <c r="H764" s="9"/>
      <c r="I764" s="9"/>
      <c r="J764" s="10" t="str">
        <f aca="false">IF(A764="","",IF(G764&lt;&gt;"",G764,IF(N(F764)&gt;0,ROUND(1000/F764,3),0)))</f>
        <v/>
      </c>
      <c r="K764" s="10" t="str">
        <f aca="false">IF(OR(A764="",E764="",H764=""),"",ROUND(0.00617*E764^2*H764*J764,2))</f>
        <v/>
      </c>
      <c r="L764" s="9"/>
      <c r="M764" s="10" t="str">
        <f aca="false">IF(A764="","",IF((COUNTIF(Drain_Register!$A$5:$A$304,A764)+COUNTIF(RW_Register!$A$5:$A$304,A764)+COUNTIF(Embedded_Wall_Register!$A$5:$A$304,A764)+COUNTIF(Manhole_Register!$A$5:$A$304,A764)+COUNTIF(ERSS_Pit_Register!$A$5:$A$304,A764)+COUNTIF(Linkway_Register!$A$5:$A$304,A764)+COUNTIF(Other_Register!$A$5:$A$304,A764))&gt;0,"OK","ID not in any register"))</f>
        <v/>
      </c>
    </row>
    <row r="765" customFormat="false" ht="15" hidden="false" customHeight="false" outlineLevel="0" collapsed="false">
      <c r="A765" s="9"/>
      <c r="B765" s="9"/>
      <c r="C765" s="9"/>
      <c r="D765" s="9"/>
      <c r="E765" s="9"/>
      <c r="F765" s="9"/>
      <c r="G765" s="9"/>
      <c r="H765" s="9"/>
      <c r="I765" s="9"/>
      <c r="J765" s="10" t="str">
        <f aca="false">IF(A765="","",IF(G765&lt;&gt;"",G765,IF(N(F765)&gt;0,ROUND(1000/F765,3),0)))</f>
        <v/>
      </c>
      <c r="K765" s="10" t="str">
        <f aca="false">IF(OR(A765="",E765="",H765=""),"",ROUND(0.00617*E765^2*H765*J765,2))</f>
        <v/>
      </c>
      <c r="L765" s="9"/>
      <c r="M765" s="10" t="str">
        <f aca="false">IF(A765="","",IF((COUNTIF(Drain_Register!$A$5:$A$304,A765)+COUNTIF(RW_Register!$A$5:$A$304,A765)+COUNTIF(Embedded_Wall_Register!$A$5:$A$304,A765)+COUNTIF(Manhole_Register!$A$5:$A$304,A765)+COUNTIF(ERSS_Pit_Register!$A$5:$A$304,A765)+COUNTIF(Linkway_Register!$A$5:$A$304,A765)+COUNTIF(Other_Register!$A$5:$A$304,A765))&gt;0,"OK","ID not in any register"))</f>
        <v/>
      </c>
    </row>
    <row r="766" customFormat="false" ht="15" hidden="false" customHeight="false" outlineLevel="0" collapsed="false">
      <c r="A766" s="9"/>
      <c r="B766" s="9"/>
      <c r="C766" s="9"/>
      <c r="D766" s="9"/>
      <c r="E766" s="9"/>
      <c r="F766" s="9"/>
      <c r="G766" s="9"/>
      <c r="H766" s="9"/>
      <c r="I766" s="9"/>
      <c r="J766" s="10" t="str">
        <f aca="false">IF(A766="","",IF(G766&lt;&gt;"",G766,IF(N(F766)&gt;0,ROUND(1000/F766,3),0)))</f>
        <v/>
      </c>
      <c r="K766" s="10" t="str">
        <f aca="false">IF(OR(A766="",E766="",H766=""),"",ROUND(0.00617*E766^2*H766*J766,2))</f>
        <v/>
      </c>
      <c r="L766" s="9"/>
      <c r="M766" s="10" t="str">
        <f aca="false">IF(A766="","",IF((COUNTIF(Drain_Register!$A$5:$A$304,A766)+COUNTIF(RW_Register!$A$5:$A$304,A766)+COUNTIF(Embedded_Wall_Register!$A$5:$A$304,A766)+COUNTIF(Manhole_Register!$A$5:$A$304,A766)+COUNTIF(ERSS_Pit_Register!$A$5:$A$304,A766)+COUNTIF(Linkway_Register!$A$5:$A$304,A766)+COUNTIF(Other_Register!$A$5:$A$304,A766))&gt;0,"OK","ID not in any register"))</f>
        <v/>
      </c>
    </row>
    <row r="767" customFormat="false" ht="15" hidden="false" customHeight="false" outlineLevel="0" collapsed="false">
      <c r="A767" s="9"/>
      <c r="B767" s="9"/>
      <c r="C767" s="9"/>
      <c r="D767" s="9"/>
      <c r="E767" s="9"/>
      <c r="F767" s="9"/>
      <c r="G767" s="9"/>
      <c r="H767" s="9"/>
      <c r="I767" s="9"/>
      <c r="J767" s="10" t="str">
        <f aca="false">IF(A767="","",IF(G767&lt;&gt;"",G767,IF(N(F767)&gt;0,ROUND(1000/F767,3),0)))</f>
        <v/>
      </c>
      <c r="K767" s="10" t="str">
        <f aca="false">IF(OR(A767="",E767="",H767=""),"",ROUND(0.00617*E767^2*H767*J767,2))</f>
        <v/>
      </c>
      <c r="L767" s="9"/>
      <c r="M767" s="10" t="str">
        <f aca="false">IF(A767="","",IF((COUNTIF(Drain_Register!$A$5:$A$304,A767)+COUNTIF(RW_Register!$A$5:$A$304,A767)+COUNTIF(Embedded_Wall_Register!$A$5:$A$304,A767)+COUNTIF(Manhole_Register!$A$5:$A$304,A767)+COUNTIF(ERSS_Pit_Register!$A$5:$A$304,A767)+COUNTIF(Linkway_Register!$A$5:$A$304,A767)+COUNTIF(Other_Register!$A$5:$A$304,A767))&gt;0,"OK","ID not in any register"))</f>
        <v/>
      </c>
    </row>
    <row r="768" customFormat="false" ht="15" hidden="false" customHeight="false" outlineLevel="0" collapsed="false">
      <c r="A768" s="9"/>
      <c r="B768" s="9"/>
      <c r="C768" s="9"/>
      <c r="D768" s="9"/>
      <c r="E768" s="9"/>
      <c r="F768" s="9"/>
      <c r="G768" s="9"/>
      <c r="H768" s="9"/>
      <c r="I768" s="9"/>
      <c r="J768" s="10" t="str">
        <f aca="false">IF(A768="","",IF(G768&lt;&gt;"",G768,IF(N(F768)&gt;0,ROUND(1000/F768,3),0)))</f>
        <v/>
      </c>
      <c r="K768" s="10" t="str">
        <f aca="false">IF(OR(A768="",E768="",H768=""),"",ROUND(0.00617*E768^2*H768*J768,2))</f>
        <v/>
      </c>
      <c r="L768" s="9"/>
      <c r="M768" s="10" t="str">
        <f aca="false">IF(A768="","",IF((COUNTIF(Drain_Register!$A$5:$A$304,A768)+COUNTIF(RW_Register!$A$5:$A$304,A768)+COUNTIF(Embedded_Wall_Register!$A$5:$A$304,A768)+COUNTIF(Manhole_Register!$A$5:$A$304,A768)+COUNTIF(ERSS_Pit_Register!$A$5:$A$304,A768)+COUNTIF(Linkway_Register!$A$5:$A$304,A768)+COUNTIF(Other_Register!$A$5:$A$304,A768))&gt;0,"OK","ID not in any register"))</f>
        <v/>
      </c>
    </row>
    <row r="769" customFormat="false" ht="15" hidden="false" customHeight="false" outlineLevel="0" collapsed="false">
      <c r="A769" s="9"/>
      <c r="B769" s="9"/>
      <c r="C769" s="9"/>
      <c r="D769" s="9"/>
      <c r="E769" s="9"/>
      <c r="F769" s="9"/>
      <c r="G769" s="9"/>
      <c r="H769" s="9"/>
      <c r="I769" s="9"/>
      <c r="J769" s="10" t="str">
        <f aca="false">IF(A769="","",IF(G769&lt;&gt;"",G769,IF(N(F769)&gt;0,ROUND(1000/F769,3),0)))</f>
        <v/>
      </c>
      <c r="K769" s="10" t="str">
        <f aca="false">IF(OR(A769="",E769="",H769=""),"",ROUND(0.00617*E769^2*H769*J769,2))</f>
        <v/>
      </c>
      <c r="L769" s="9"/>
      <c r="M769" s="10" t="str">
        <f aca="false">IF(A769="","",IF((COUNTIF(Drain_Register!$A$5:$A$304,A769)+COUNTIF(RW_Register!$A$5:$A$304,A769)+COUNTIF(Embedded_Wall_Register!$A$5:$A$304,A769)+COUNTIF(Manhole_Register!$A$5:$A$304,A769)+COUNTIF(ERSS_Pit_Register!$A$5:$A$304,A769)+COUNTIF(Linkway_Register!$A$5:$A$304,A769)+COUNTIF(Other_Register!$A$5:$A$304,A769))&gt;0,"OK","ID not in any register"))</f>
        <v/>
      </c>
    </row>
    <row r="770" customFormat="false" ht="15" hidden="false" customHeight="false" outlineLevel="0" collapsed="false">
      <c r="A770" s="9"/>
      <c r="B770" s="9"/>
      <c r="C770" s="9"/>
      <c r="D770" s="9"/>
      <c r="E770" s="9"/>
      <c r="F770" s="9"/>
      <c r="G770" s="9"/>
      <c r="H770" s="9"/>
      <c r="I770" s="9"/>
      <c r="J770" s="10" t="str">
        <f aca="false">IF(A770="","",IF(G770&lt;&gt;"",G770,IF(N(F770)&gt;0,ROUND(1000/F770,3),0)))</f>
        <v/>
      </c>
      <c r="K770" s="10" t="str">
        <f aca="false">IF(OR(A770="",E770="",H770=""),"",ROUND(0.00617*E770^2*H770*J770,2))</f>
        <v/>
      </c>
      <c r="L770" s="9"/>
      <c r="M770" s="10" t="str">
        <f aca="false">IF(A770="","",IF((COUNTIF(Drain_Register!$A$5:$A$304,A770)+COUNTIF(RW_Register!$A$5:$A$304,A770)+COUNTIF(Embedded_Wall_Register!$A$5:$A$304,A770)+COUNTIF(Manhole_Register!$A$5:$A$304,A770)+COUNTIF(ERSS_Pit_Register!$A$5:$A$304,A770)+COUNTIF(Linkway_Register!$A$5:$A$304,A770)+COUNTIF(Other_Register!$A$5:$A$304,A770))&gt;0,"OK","ID not in any register"))</f>
        <v/>
      </c>
    </row>
    <row r="771" customFormat="false" ht="15" hidden="false" customHeight="false" outlineLevel="0" collapsed="false">
      <c r="A771" s="9"/>
      <c r="B771" s="9"/>
      <c r="C771" s="9"/>
      <c r="D771" s="9"/>
      <c r="E771" s="9"/>
      <c r="F771" s="9"/>
      <c r="G771" s="9"/>
      <c r="H771" s="9"/>
      <c r="I771" s="9"/>
      <c r="J771" s="10" t="str">
        <f aca="false">IF(A771="","",IF(G771&lt;&gt;"",G771,IF(N(F771)&gt;0,ROUND(1000/F771,3),0)))</f>
        <v/>
      </c>
      <c r="K771" s="10" t="str">
        <f aca="false">IF(OR(A771="",E771="",H771=""),"",ROUND(0.00617*E771^2*H771*J771,2))</f>
        <v/>
      </c>
      <c r="L771" s="9"/>
      <c r="M771" s="10" t="str">
        <f aca="false">IF(A771="","",IF((COUNTIF(Drain_Register!$A$5:$A$304,A771)+COUNTIF(RW_Register!$A$5:$A$304,A771)+COUNTIF(Embedded_Wall_Register!$A$5:$A$304,A771)+COUNTIF(Manhole_Register!$A$5:$A$304,A771)+COUNTIF(ERSS_Pit_Register!$A$5:$A$304,A771)+COUNTIF(Linkway_Register!$A$5:$A$304,A771)+COUNTIF(Other_Register!$A$5:$A$304,A771))&gt;0,"OK","ID not in any register"))</f>
        <v/>
      </c>
    </row>
    <row r="772" customFormat="false" ht="15" hidden="false" customHeight="false" outlineLevel="0" collapsed="false">
      <c r="A772" s="9"/>
      <c r="B772" s="9"/>
      <c r="C772" s="9"/>
      <c r="D772" s="9"/>
      <c r="E772" s="9"/>
      <c r="F772" s="9"/>
      <c r="G772" s="9"/>
      <c r="H772" s="9"/>
      <c r="I772" s="9"/>
      <c r="J772" s="10" t="str">
        <f aca="false">IF(A772="","",IF(G772&lt;&gt;"",G772,IF(N(F772)&gt;0,ROUND(1000/F772,3),0)))</f>
        <v/>
      </c>
      <c r="K772" s="10" t="str">
        <f aca="false">IF(OR(A772="",E772="",H772=""),"",ROUND(0.00617*E772^2*H772*J772,2))</f>
        <v/>
      </c>
      <c r="L772" s="9"/>
      <c r="M772" s="10" t="str">
        <f aca="false">IF(A772="","",IF((COUNTIF(Drain_Register!$A$5:$A$304,A772)+COUNTIF(RW_Register!$A$5:$A$304,A772)+COUNTIF(Embedded_Wall_Register!$A$5:$A$304,A772)+COUNTIF(Manhole_Register!$A$5:$A$304,A772)+COUNTIF(ERSS_Pit_Register!$A$5:$A$304,A772)+COUNTIF(Linkway_Register!$A$5:$A$304,A772)+COUNTIF(Other_Register!$A$5:$A$304,A772))&gt;0,"OK","ID not in any register"))</f>
        <v/>
      </c>
    </row>
    <row r="773" customFormat="false" ht="15" hidden="false" customHeight="false" outlineLevel="0" collapsed="false">
      <c r="A773" s="9"/>
      <c r="B773" s="9"/>
      <c r="C773" s="9"/>
      <c r="D773" s="9"/>
      <c r="E773" s="9"/>
      <c r="F773" s="9"/>
      <c r="G773" s="9"/>
      <c r="H773" s="9"/>
      <c r="I773" s="9"/>
      <c r="J773" s="10" t="str">
        <f aca="false">IF(A773="","",IF(G773&lt;&gt;"",G773,IF(N(F773)&gt;0,ROUND(1000/F773,3),0)))</f>
        <v/>
      </c>
      <c r="K773" s="10" t="str">
        <f aca="false">IF(OR(A773="",E773="",H773=""),"",ROUND(0.00617*E773^2*H773*J773,2))</f>
        <v/>
      </c>
      <c r="L773" s="9"/>
      <c r="M773" s="10" t="str">
        <f aca="false">IF(A773="","",IF((COUNTIF(Drain_Register!$A$5:$A$304,A773)+COUNTIF(RW_Register!$A$5:$A$304,A773)+COUNTIF(Embedded_Wall_Register!$A$5:$A$304,A773)+COUNTIF(Manhole_Register!$A$5:$A$304,A773)+COUNTIF(ERSS_Pit_Register!$A$5:$A$304,A773)+COUNTIF(Linkway_Register!$A$5:$A$304,A773)+COUNTIF(Other_Register!$A$5:$A$304,A773))&gt;0,"OK","ID not in any register"))</f>
        <v/>
      </c>
    </row>
    <row r="774" customFormat="false" ht="15" hidden="false" customHeight="false" outlineLevel="0" collapsed="false">
      <c r="A774" s="9"/>
      <c r="B774" s="9"/>
      <c r="C774" s="9"/>
      <c r="D774" s="9"/>
      <c r="E774" s="9"/>
      <c r="F774" s="9"/>
      <c r="G774" s="9"/>
      <c r="H774" s="9"/>
      <c r="I774" s="9"/>
      <c r="J774" s="10" t="str">
        <f aca="false">IF(A774="","",IF(G774&lt;&gt;"",G774,IF(N(F774)&gt;0,ROUND(1000/F774,3),0)))</f>
        <v/>
      </c>
      <c r="K774" s="10" t="str">
        <f aca="false">IF(OR(A774="",E774="",H774=""),"",ROUND(0.00617*E774^2*H774*J774,2))</f>
        <v/>
      </c>
      <c r="L774" s="9"/>
      <c r="M774" s="10" t="str">
        <f aca="false">IF(A774="","",IF((COUNTIF(Drain_Register!$A$5:$A$304,A774)+COUNTIF(RW_Register!$A$5:$A$304,A774)+COUNTIF(Embedded_Wall_Register!$A$5:$A$304,A774)+COUNTIF(Manhole_Register!$A$5:$A$304,A774)+COUNTIF(ERSS_Pit_Register!$A$5:$A$304,A774)+COUNTIF(Linkway_Register!$A$5:$A$304,A774)+COUNTIF(Other_Register!$A$5:$A$304,A774))&gt;0,"OK","ID not in any register"))</f>
        <v/>
      </c>
    </row>
    <row r="775" customFormat="false" ht="15" hidden="false" customHeight="false" outlineLevel="0" collapsed="false">
      <c r="A775" s="9"/>
      <c r="B775" s="9"/>
      <c r="C775" s="9"/>
      <c r="D775" s="9"/>
      <c r="E775" s="9"/>
      <c r="F775" s="9"/>
      <c r="G775" s="9"/>
      <c r="H775" s="9"/>
      <c r="I775" s="9"/>
      <c r="J775" s="10" t="str">
        <f aca="false">IF(A775="","",IF(G775&lt;&gt;"",G775,IF(N(F775)&gt;0,ROUND(1000/F775,3),0)))</f>
        <v/>
      </c>
      <c r="K775" s="10" t="str">
        <f aca="false">IF(OR(A775="",E775="",H775=""),"",ROUND(0.00617*E775^2*H775*J775,2))</f>
        <v/>
      </c>
      <c r="L775" s="9"/>
      <c r="M775" s="10" t="str">
        <f aca="false">IF(A775="","",IF((COUNTIF(Drain_Register!$A$5:$A$304,A775)+COUNTIF(RW_Register!$A$5:$A$304,A775)+COUNTIF(Embedded_Wall_Register!$A$5:$A$304,A775)+COUNTIF(Manhole_Register!$A$5:$A$304,A775)+COUNTIF(ERSS_Pit_Register!$A$5:$A$304,A775)+COUNTIF(Linkway_Register!$A$5:$A$304,A775)+COUNTIF(Other_Register!$A$5:$A$304,A775))&gt;0,"OK","ID not in any register"))</f>
        <v/>
      </c>
    </row>
    <row r="776" customFormat="false" ht="15" hidden="false" customHeight="false" outlineLevel="0" collapsed="false">
      <c r="A776" s="9"/>
      <c r="B776" s="9"/>
      <c r="C776" s="9"/>
      <c r="D776" s="9"/>
      <c r="E776" s="9"/>
      <c r="F776" s="9"/>
      <c r="G776" s="9"/>
      <c r="H776" s="9"/>
      <c r="I776" s="9"/>
      <c r="J776" s="10" t="str">
        <f aca="false">IF(A776="","",IF(G776&lt;&gt;"",G776,IF(N(F776)&gt;0,ROUND(1000/F776,3),0)))</f>
        <v/>
      </c>
      <c r="K776" s="10" t="str">
        <f aca="false">IF(OR(A776="",E776="",H776=""),"",ROUND(0.00617*E776^2*H776*J776,2))</f>
        <v/>
      </c>
      <c r="L776" s="9"/>
      <c r="M776" s="10" t="str">
        <f aca="false">IF(A776="","",IF((COUNTIF(Drain_Register!$A$5:$A$304,A776)+COUNTIF(RW_Register!$A$5:$A$304,A776)+COUNTIF(Embedded_Wall_Register!$A$5:$A$304,A776)+COUNTIF(Manhole_Register!$A$5:$A$304,A776)+COUNTIF(ERSS_Pit_Register!$A$5:$A$304,A776)+COUNTIF(Linkway_Register!$A$5:$A$304,A776)+COUNTIF(Other_Register!$A$5:$A$304,A776))&gt;0,"OK","ID not in any register"))</f>
        <v/>
      </c>
    </row>
    <row r="777" customFormat="false" ht="15" hidden="false" customHeight="false" outlineLevel="0" collapsed="false">
      <c r="A777" s="9"/>
      <c r="B777" s="9"/>
      <c r="C777" s="9"/>
      <c r="D777" s="9"/>
      <c r="E777" s="9"/>
      <c r="F777" s="9"/>
      <c r="G777" s="9"/>
      <c r="H777" s="9"/>
      <c r="I777" s="9"/>
      <c r="J777" s="10" t="str">
        <f aca="false">IF(A777="","",IF(G777&lt;&gt;"",G777,IF(N(F777)&gt;0,ROUND(1000/F777,3),0)))</f>
        <v/>
      </c>
      <c r="K777" s="10" t="str">
        <f aca="false">IF(OR(A777="",E777="",H777=""),"",ROUND(0.00617*E777^2*H777*J777,2))</f>
        <v/>
      </c>
      <c r="L777" s="9"/>
      <c r="M777" s="10" t="str">
        <f aca="false">IF(A777="","",IF((COUNTIF(Drain_Register!$A$5:$A$304,A777)+COUNTIF(RW_Register!$A$5:$A$304,A777)+COUNTIF(Embedded_Wall_Register!$A$5:$A$304,A777)+COUNTIF(Manhole_Register!$A$5:$A$304,A777)+COUNTIF(ERSS_Pit_Register!$A$5:$A$304,A777)+COUNTIF(Linkway_Register!$A$5:$A$304,A777)+COUNTIF(Other_Register!$A$5:$A$304,A777))&gt;0,"OK","ID not in any register"))</f>
        <v/>
      </c>
    </row>
    <row r="778" customFormat="false" ht="15" hidden="false" customHeight="false" outlineLevel="0" collapsed="false">
      <c r="A778" s="9"/>
      <c r="B778" s="9"/>
      <c r="C778" s="9"/>
      <c r="D778" s="9"/>
      <c r="E778" s="9"/>
      <c r="F778" s="9"/>
      <c r="G778" s="9"/>
      <c r="H778" s="9"/>
      <c r="I778" s="9"/>
      <c r="J778" s="10" t="str">
        <f aca="false">IF(A778="","",IF(G778&lt;&gt;"",G778,IF(N(F778)&gt;0,ROUND(1000/F778,3),0)))</f>
        <v/>
      </c>
      <c r="K778" s="10" t="str">
        <f aca="false">IF(OR(A778="",E778="",H778=""),"",ROUND(0.00617*E778^2*H778*J778,2))</f>
        <v/>
      </c>
      <c r="L778" s="9"/>
      <c r="M778" s="10" t="str">
        <f aca="false">IF(A778="","",IF((COUNTIF(Drain_Register!$A$5:$A$304,A778)+COUNTIF(RW_Register!$A$5:$A$304,A778)+COUNTIF(Embedded_Wall_Register!$A$5:$A$304,A778)+COUNTIF(Manhole_Register!$A$5:$A$304,A778)+COUNTIF(ERSS_Pit_Register!$A$5:$A$304,A778)+COUNTIF(Linkway_Register!$A$5:$A$304,A778)+COUNTIF(Other_Register!$A$5:$A$304,A778))&gt;0,"OK","ID not in any register"))</f>
        <v/>
      </c>
    </row>
    <row r="779" customFormat="false" ht="15" hidden="false" customHeight="false" outlineLevel="0" collapsed="false">
      <c r="A779" s="9"/>
      <c r="B779" s="9"/>
      <c r="C779" s="9"/>
      <c r="D779" s="9"/>
      <c r="E779" s="9"/>
      <c r="F779" s="9"/>
      <c r="G779" s="9"/>
      <c r="H779" s="9"/>
      <c r="I779" s="9"/>
      <c r="J779" s="10" t="str">
        <f aca="false">IF(A779="","",IF(G779&lt;&gt;"",G779,IF(N(F779)&gt;0,ROUND(1000/F779,3),0)))</f>
        <v/>
      </c>
      <c r="K779" s="10" t="str">
        <f aca="false">IF(OR(A779="",E779="",H779=""),"",ROUND(0.00617*E779^2*H779*J779,2))</f>
        <v/>
      </c>
      <c r="L779" s="9"/>
      <c r="M779" s="10" t="str">
        <f aca="false">IF(A779="","",IF((COUNTIF(Drain_Register!$A$5:$A$304,A779)+COUNTIF(RW_Register!$A$5:$A$304,A779)+COUNTIF(Embedded_Wall_Register!$A$5:$A$304,A779)+COUNTIF(Manhole_Register!$A$5:$A$304,A779)+COUNTIF(ERSS_Pit_Register!$A$5:$A$304,A779)+COUNTIF(Linkway_Register!$A$5:$A$304,A779)+COUNTIF(Other_Register!$A$5:$A$304,A779))&gt;0,"OK","ID not in any register"))</f>
        <v/>
      </c>
    </row>
    <row r="780" customFormat="false" ht="15" hidden="false" customHeight="false" outlineLevel="0" collapsed="false">
      <c r="A780" s="9"/>
      <c r="B780" s="9"/>
      <c r="C780" s="9"/>
      <c r="D780" s="9"/>
      <c r="E780" s="9"/>
      <c r="F780" s="9"/>
      <c r="G780" s="9"/>
      <c r="H780" s="9"/>
      <c r="I780" s="9"/>
      <c r="J780" s="10" t="str">
        <f aca="false">IF(A780="","",IF(G780&lt;&gt;"",G780,IF(N(F780)&gt;0,ROUND(1000/F780,3),0)))</f>
        <v/>
      </c>
      <c r="K780" s="10" t="str">
        <f aca="false">IF(OR(A780="",E780="",H780=""),"",ROUND(0.00617*E780^2*H780*J780,2))</f>
        <v/>
      </c>
      <c r="L780" s="9"/>
      <c r="M780" s="10" t="str">
        <f aca="false">IF(A780="","",IF((COUNTIF(Drain_Register!$A$5:$A$304,A780)+COUNTIF(RW_Register!$A$5:$A$304,A780)+COUNTIF(Embedded_Wall_Register!$A$5:$A$304,A780)+COUNTIF(Manhole_Register!$A$5:$A$304,A780)+COUNTIF(ERSS_Pit_Register!$A$5:$A$304,A780)+COUNTIF(Linkway_Register!$A$5:$A$304,A780)+COUNTIF(Other_Register!$A$5:$A$304,A780))&gt;0,"OK","ID not in any register"))</f>
        <v/>
      </c>
    </row>
    <row r="781" customFormat="false" ht="15" hidden="false" customHeight="false" outlineLevel="0" collapsed="false">
      <c r="A781" s="9"/>
      <c r="B781" s="9"/>
      <c r="C781" s="9"/>
      <c r="D781" s="9"/>
      <c r="E781" s="9"/>
      <c r="F781" s="9"/>
      <c r="G781" s="9"/>
      <c r="H781" s="9"/>
      <c r="I781" s="9"/>
      <c r="J781" s="10" t="str">
        <f aca="false">IF(A781="","",IF(G781&lt;&gt;"",G781,IF(N(F781)&gt;0,ROUND(1000/F781,3),0)))</f>
        <v/>
      </c>
      <c r="K781" s="10" t="str">
        <f aca="false">IF(OR(A781="",E781="",H781=""),"",ROUND(0.00617*E781^2*H781*J781,2))</f>
        <v/>
      </c>
      <c r="L781" s="9"/>
      <c r="M781" s="10" t="str">
        <f aca="false">IF(A781="","",IF((COUNTIF(Drain_Register!$A$5:$A$304,A781)+COUNTIF(RW_Register!$A$5:$A$304,A781)+COUNTIF(Embedded_Wall_Register!$A$5:$A$304,A781)+COUNTIF(Manhole_Register!$A$5:$A$304,A781)+COUNTIF(ERSS_Pit_Register!$A$5:$A$304,A781)+COUNTIF(Linkway_Register!$A$5:$A$304,A781)+COUNTIF(Other_Register!$A$5:$A$304,A781))&gt;0,"OK","ID not in any register"))</f>
        <v/>
      </c>
    </row>
    <row r="782" customFormat="false" ht="15" hidden="false" customHeight="false" outlineLevel="0" collapsed="false">
      <c r="A782" s="9"/>
      <c r="B782" s="9"/>
      <c r="C782" s="9"/>
      <c r="D782" s="9"/>
      <c r="E782" s="9"/>
      <c r="F782" s="9"/>
      <c r="G782" s="9"/>
      <c r="H782" s="9"/>
      <c r="I782" s="9"/>
      <c r="J782" s="10" t="str">
        <f aca="false">IF(A782="","",IF(G782&lt;&gt;"",G782,IF(N(F782)&gt;0,ROUND(1000/F782,3),0)))</f>
        <v/>
      </c>
      <c r="K782" s="10" t="str">
        <f aca="false">IF(OR(A782="",E782="",H782=""),"",ROUND(0.00617*E782^2*H782*J782,2))</f>
        <v/>
      </c>
      <c r="L782" s="9"/>
      <c r="M782" s="10" t="str">
        <f aca="false">IF(A782="","",IF((COUNTIF(Drain_Register!$A$5:$A$304,A782)+COUNTIF(RW_Register!$A$5:$A$304,A782)+COUNTIF(Embedded_Wall_Register!$A$5:$A$304,A782)+COUNTIF(Manhole_Register!$A$5:$A$304,A782)+COUNTIF(ERSS_Pit_Register!$A$5:$A$304,A782)+COUNTIF(Linkway_Register!$A$5:$A$304,A782)+COUNTIF(Other_Register!$A$5:$A$304,A782))&gt;0,"OK","ID not in any register"))</f>
        <v/>
      </c>
    </row>
    <row r="783" customFormat="false" ht="15" hidden="false" customHeight="false" outlineLevel="0" collapsed="false">
      <c r="A783" s="9"/>
      <c r="B783" s="9"/>
      <c r="C783" s="9"/>
      <c r="D783" s="9"/>
      <c r="E783" s="9"/>
      <c r="F783" s="9"/>
      <c r="G783" s="9"/>
      <c r="H783" s="9"/>
      <c r="I783" s="9"/>
      <c r="J783" s="10" t="str">
        <f aca="false">IF(A783="","",IF(G783&lt;&gt;"",G783,IF(N(F783)&gt;0,ROUND(1000/F783,3),0)))</f>
        <v/>
      </c>
      <c r="K783" s="10" t="str">
        <f aca="false">IF(OR(A783="",E783="",H783=""),"",ROUND(0.00617*E783^2*H783*J783,2))</f>
        <v/>
      </c>
      <c r="L783" s="9"/>
      <c r="M783" s="10" t="str">
        <f aca="false">IF(A783="","",IF((COUNTIF(Drain_Register!$A$5:$A$304,A783)+COUNTIF(RW_Register!$A$5:$A$304,A783)+COUNTIF(Embedded_Wall_Register!$A$5:$A$304,A783)+COUNTIF(Manhole_Register!$A$5:$A$304,A783)+COUNTIF(ERSS_Pit_Register!$A$5:$A$304,A783)+COUNTIF(Linkway_Register!$A$5:$A$304,A783)+COUNTIF(Other_Register!$A$5:$A$304,A783))&gt;0,"OK","ID not in any register"))</f>
        <v/>
      </c>
    </row>
    <row r="784" customFormat="false" ht="15" hidden="false" customHeight="false" outlineLevel="0" collapsed="false">
      <c r="A784" s="9"/>
      <c r="B784" s="9"/>
      <c r="C784" s="9"/>
      <c r="D784" s="9"/>
      <c r="E784" s="9"/>
      <c r="F784" s="9"/>
      <c r="G784" s="9"/>
      <c r="H784" s="9"/>
      <c r="I784" s="9"/>
      <c r="J784" s="10" t="str">
        <f aca="false">IF(A784="","",IF(G784&lt;&gt;"",G784,IF(N(F784)&gt;0,ROUND(1000/F784,3),0)))</f>
        <v/>
      </c>
      <c r="K784" s="10" t="str">
        <f aca="false">IF(OR(A784="",E784="",H784=""),"",ROUND(0.00617*E784^2*H784*J784,2))</f>
        <v/>
      </c>
      <c r="L784" s="9"/>
      <c r="M784" s="10" t="str">
        <f aca="false">IF(A784="","",IF((COUNTIF(Drain_Register!$A$5:$A$304,A784)+COUNTIF(RW_Register!$A$5:$A$304,A784)+COUNTIF(Embedded_Wall_Register!$A$5:$A$304,A784)+COUNTIF(Manhole_Register!$A$5:$A$304,A784)+COUNTIF(ERSS_Pit_Register!$A$5:$A$304,A784)+COUNTIF(Linkway_Register!$A$5:$A$304,A784)+COUNTIF(Other_Register!$A$5:$A$304,A784))&gt;0,"OK","ID not in any register"))</f>
        <v/>
      </c>
    </row>
    <row r="785" customFormat="false" ht="15" hidden="false" customHeight="false" outlineLevel="0" collapsed="false">
      <c r="A785" s="9"/>
      <c r="B785" s="9"/>
      <c r="C785" s="9"/>
      <c r="D785" s="9"/>
      <c r="E785" s="9"/>
      <c r="F785" s="9"/>
      <c r="G785" s="9"/>
      <c r="H785" s="9"/>
      <c r="I785" s="9"/>
      <c r="J785" s="10" t="str">
        <f aca="false">IF(A785="","",IF(G785&lt;&gt;"",G785,IF(N(F785)&gt;0,ROUND(1000/F785,3),0)))</f>
        <v/>
      </c>
      <c r="K785" s="10" t="str">
        <f aca="false">IF(OR(A785="",E785="",H785=""),"",ROUND(0.00617*E785^2*H785*J785,2))</f>
        <v/>
      </c>
      <c r="L785" s="9"/>
      <c r="M785" s="10" t="str">
        <f aca="false">IF(A785="","",IF((COUNTIF(Drain_Register!$A$5:$A$304,A785)+COUNTIF(RW_Register!$A$5:$A$304,A785)+COUNTIF(Embedded_Wall_Register!$A$5:$A$304,A785)+COUNTIF(Manhole_Register!$A$5:$A$304,A785)+COUNTIF(ERSS_Pit_Register!$A$5:$A$304,A785)+COUNTIF(Linkway_Register!$A$5:$A$304,A785)+COUNTIF(Other_Register!$A$5:$A$304,A785))&gt;0,"OK","ID not in any register"))</f>
        <v/>
      </c>
    </row>
    <row r="786" customFormat="false" ht="15" hidden="false" customHeight="false" outlineLevel="0" collapsed="false">
      <c r="A786" s="9"/>
      <c r="B786" s="9"/>
      <c r="C786" s="9"/>
      <c r="D786" s="9"/>
      <c r="E786" s="9"/>
      <c r="F786" s="9"/>
      <c r="G786" s="9"/>
      <c r="H786" s="9"/>
      <c r="I786" s="9"/>
      <c r="J786" s="10" t="str">
        <f aca="false">IF(A786="","",IF(G786&lt;&gt;"",G786,IF(N(F786)&gt;0,ROUND(1000/F786,3),0)))</f>
        <v/>
      </c>
      <c r="K786" s="10" t="str">
        <f aca="false">IF(OR(A786="",E786="",H786=""),"",ROUND(0.00617*E786^2*H786*J786,2))</f>
        <v/>
      </c>
      <c r="L786" s="9"/>
      <c r="M786" s="10" t="str">
        <f aca="false">IF(A786="","",IF((COUNTIF(Drain_Register!$A$5:$A$304,A786)+COUNTIF(RW_Register!$A$5:$A$304,A786)+COUNTIF(Embedded_Wall_Register!$A$5:$A$304,A786)+COUNTIF(Manhole_Register!$A$5:$A$304,A786)+COUNTIF(ERSS_Pit_Register!$A$5:$A$304,A786)+COUNTIF(Linkway_Register!$A$5:$A$304,A786)+COUNTIF(Other_Register!$A$5:$A$304,A786))&gt;0,"OK","ID not in any register"))</f>
        <v/>
      </c>
    </row>
    <row r="787" customFormat="false" ht="15" hidden="false" customHeight="false" outlineLevel="0" collapsed="false">
      <c r="A787" s="9"/>
      <c r="B787" s="9"/>
      <c r="C787" s="9"/>
      <c r="D787" s="9"/>
      <c r="E787" s="9"/>
      <c r="F787" s="9"/>
      <c r="G787" s="9"/>
      <c r="H787" s="9"/>
      <c r="I787" s="9"/>
      <c r="J787" s="10" t="str">
        <f aca="false">IF(A787="","",IF(G787&lt;&gt;"",G787,IF(N(F787)&gt;0,ROUND(1000/F787,3),0)))</f>
        <v/>
      </c>
      <c r="K787" s="10" t="str">
        <f aca="false">IF(OR(A787="",E787="",H787=""),"",ROUND(0.00617*E787^2*H787*J787,2))</f>
        <v/>
      </c>
      <c r="L787" s="9"/>
      <c r="M787" s="10" t="str">
        <f aca="false">IF(A787="","",IF((COUNTIF(Drain_Register!$A$5:$A$304,A787)+COUNTIF(RW_Register!$A$5:$A$304,A787)+COUNTIF(Embedded_Wall_Register!$A$5:$A$304,A787)+COUNTIF(Manhole_Register!$A$5:$A$304,A787)+COUNTIF(ERSS_Pit_Register!$A$5:$A$304,A787)+COUNTIF(Linkway_Register!$A$5:$A$304,A787)+COUNTIF(Other_Register!$A$5:$A$304,A787))&gt;0,"OK","ID not in any register"))</f>
        <v/>
      </c>
    </row>
    <row r="788" customFormat="false" ht="15" hidden="false" customHeight="false" outlineLevel="0" collapsed="false">
      <c r="A788" s="9"/>
      <c r="B788" s="9"/>
      <c r="C788" s="9"/>
      <c r="D788" s="9"/>
      <c r="E788" s="9"/>
      <c r="F788" s="9"/>
      <c r="G788" s="9"/>
      <c r="H788" s="9"/>
      <c r="I788" s="9"/>
      <c r="J788" s="10" t="str">
        <f aca="false">IF(A788="","",IF(G788&lt;&gt;"",G788,IF(N(F788)&gt;0,ROUND(1000/F788,3),0)))</f>
        <v/>
      </c>
      <c r="K788" s="10" t="str">
        <f aca="false">IF(OR(A788="",E788="",H788=""),"",ROUND(0.00617*E788^2*H788*J788,2))</f>
        <v/>
      </c>
      <c r="L788" s="9"/>
      <c r="M788" s="10" t="str">
        <f aca="false">IF(A788="","",IF((COUNTIF(Drain_Register!$A$5:$A$304,A788)+COUNTIF(RW_Register!$A$5:$A$304,A788)+COUNTIF(Embedded_Wall_Register!$A$5:$A$304,A788)+COUNTIF(Manhole_Register!$A$5:$A$304,A788)+COUNTIF(ERSS_Pit_Register!$A$5:$A$304,A788)+COUNTIF(Linkway_Register!$A$5:$A$304,A788)+COUNTIF(Other_Register!$A$5:$A$304,A788))&gt;0,"OK","ID not in any register"))</f>
        <v/>
      </c>
    </row>
    <row r="789" customFormat="false" ht="15" hidden="false" customHeight="false" outlineLevel="0" collapsed="false">
      <c r="A789" s="9"/>
      <c r="B789" s="9"/>
      <c r="C789" s="9"/>
      <c r="D789" s="9"/>
      <c r="E789" s="9"/>
      <c r="F789" s="9"/>
      <c r="G789" s="9"/>
      <c r="H789" s="9"/>
      <c r="I789" s="9"/>
      <c r="J789" s="10" t="str">
        <f aca="false">IF(A789="","",IF(G789&lt;&gt;"",G789,IF(N(F789)&gt;0,ROUND(1000/F789,3),0)))</f>
        <v/>
      </c>
      <c r="K789" s="10" t="str">
        <f aca="false">IF(OR(A789="",E789="",H789=""),"",ROUND(0.00617*E789^2*H789*J789,2))</f>
        <v/>
      </c>
      <c r="L789" s="9"/>
      <c r="M789" s="10" t="str">
        <f aca="false">IF(A789="","",IF((COUNTIF(Drain_Register!$A$5:$A$304,A789)+COUNTIF(RW_Register!$A$5:$A$304,A789)+COUNTIF(Embedded_Wall_Register!$A$5:$A$304,A789)+COUNTIF(Manhole_Register!$A$5:$A$304,A789)+COUNTIF(ERSS_Pit_Register!$A$5:$A$304,A789)+COUNTIF(Linkway_Register!$A$5:$A$304,A789)+COUNTIF(Other_Register!$A$5:$A$304,A789))&gt;0,"OK","ID not in any register"))</f>
        <v/>
      </c>
    </row>
    <row r="790" customFormat="false" ht="15" hidden="false" customHeight="false" outlineLevel="0" collapsed="false">
      <c r="A790" s="9"/>
      <c r="B790" s="9"/>
      <c r="C790" s="9"/>
      <c r="D790" s="9"/>
      <c r="E790" s="9"/>
      <c r="F790" s="9"/>
      <c r="G790" s="9"/>
      <c r="H790" s="9"/>
      <c r="I790" s="9"/>
      <c r="J790" s="10" t="str">
        <f aca="false">IF(A790="","",IF(G790&lt;&gt;"",G790,IF(N(F790)&gt;0,ROUND(1000/F790,3),0)))</f>
        <v/>
      </c>
      <c r="K790" s="10" t="str">
        <f aca="false">IF(OR(A790="",E790="",H790=""),"",ROUND(0.00617*E790^2*H790*J790,2))</f>
        <v/>
      </c>
      <c r="L790" s="9"/>
      <c r="M790" s="10" t="str">
        <f aca="false">IF(A790="","",IF((COUNTIF(Drain_Register!$A$5:$A$304,A790)+COUNTIF(RW_Register!$A$5:$A$304,A790)+COUNTIF(Embedded_Wall_Register!$A$5:$A$304,A790)+COUNTIF(Manhole_Register!$A$5:$A$304,A790)+COUNTIF(ERSS_Pit_Register!$A$5:$A$304,A790)+COUNTIF(Linkway_Register!$A$5:$A$304,A790)+COUNTIF(Other_Register!$A$5:$A$304,A790))&gt;0,"OK","ID not in any register"))</f>
        <v/>
      </c>
    </row>
    <row r="791" customFormat="false" ht="15" hidden="false" customHeight="false" outlineLevel="0" collapsed="false">
      <c r="A791" s="9"/>
      <c r="B791" s="9"/>
      <c r="C791" s="9"/>
      <c r="D791" s="9"/>
      <c r="E791" s="9"/>
      <c r="F791" s="9"/>
      <c r="G791" s="9"/>
      <c r="H791" s="9"/>
      <c r="I791" s="9"/>
      <c r="J791" s="10" t="str">
        <f aca="false">IF(A791="","",IF(G791&lt;&gt;"",G791,IF(N(F791)&gt;0,ROUND(1000/F791,3),0)))</f>
        <v/>
      </c>
      <c r="K791" s="10" t="str">
        <f aca="false">IF(OR(A791="",E791="",H791=""),"",ROUND(0.00617*E791^2*H791*J791,2))</f>
        <v/>
      </c>
      <c r="L791" s="9"/>
      <c r="M791" s="10" t="str">
        <f aca="false">IF(A791="","",IF((COUNTIF(Drain_Register!$A$5:$A$304,A791)+COUNTIF(RW_Register!$A$5:$A$304,A791)+COUNTIF(Embedded_Wall_Register!$A$5:$A$304,A791)+COUNTIF(Manhole_Register!$A$5:$A$304,A791)+COUNTIF(ERSS_Pit_Register!$A$5:$A$304,A791)+COUNTIF(Linkway_Register!$A$5:$A$304,A791)+COUNTIF(Other_Register!$A$5:$A$304,A791))&gt;0,"OK","ID not in any register"))</f>
        <v/>
      </c>
    </row>
    <row r="792" customFormat="false" ht="15" hidden="false" customHeight="false" outlineLevel="0" collapsed="false">
      <c r="A792" s="9"/>
      <c r="B792" s="9"/>
      <c r="C792" s="9"/>
      <c r="D792" s="9"/>
      <c r="E792" s="9"/>
      <c r="F792" s="9"/>
      <c r="G792" s="9"/>
      <c r="H792" s="9"/>
      <c r="I792" s="9"/>
      <c r="J792" s="10" t="str">
        <f aca="false">IF(A792="","",IF(G792&lt;&gt;"",G792,IF(N(F792)&gt;0,ROUND(1000/F792,3),0)))</f>
        <v/>
      </c>
      <c r="K792" s="10" t="str">
        <f aca="false">IF(OR(A792="",E792="",H792=""),"",ROUND(0.00617*E792^2*H792*J792,2))</f>
        <v/>
      </c>
      <c r="L792" s="9"/>
      <c r="M792" s="10" t="str">
        <f aca="false">IF(A792="","",IF((COUNTIF(Drain_Register!$A$5:$A$304,A792)+COUNTIF(RW_Register!$A$5:$A$304,A792)+COUNTIF(Embedded_Wall_Register!$A$5:$A$304,A792)+COUNTIF(Manhole_Register!$A$5:$A$304,A792)+COUNTIF(ERSS_Pit_Register!$A$5:$A$304,A792)+COUNTIF(Linkway_Register!$A$5:$A$304,A792)+COUNTIF(Other_Register!$A$5:$A$304,A792))&gt;0,"OK","ID not in any register"))</f>
        <v/>
      </c>
    </row>
    <row r="793" customFormat="false" ht="15" hidden="false" customHeight="false" outlineLevel="0" collapsed="false">
      <c r="A793" s="9"/>
      <c r="B793" s="9"/>
      <c r="C793" s="9"/>
      <c r="D793" s="9"/>
      <c r="E793" s="9"/>
      <c r="F793" s="9"/>
      <c r="G793" s="9"/>
      <c r="H793" s="9"/>
      <c r="I793" s="9"/>
      <c r="J793" s="10" t="str">
        <f aca="false">IF(A793="","",IF(G793&lt;&gt;"",G793,IF(N(F793)&gt;0,ROUND(1000/F793,3),0)))</f>
        <v/>
      </c>
      <c r="K793" s="10" t="str">
        <f aca="false">IF(OR(A793="",E793="",H793=""),"",ROUND(0.00617*E793^2*H793*J793,2))</f>
        <v/>
      </c>
      <c r="L793" s="9"/>
      <c r="M793" s="10" t="str">
        <f aca="false">IF(A793="","",IF((COUNTIF(Drain_Register!$A$5:$A$304,A793)+COUNTIF(RW_Register!$A$5:$A$304,A793)+COUNTIF(Embedded_Wall_Register!$A$5:$A$304,A793)+COUNTIF(Manhole_Register!$A$5:$A$304,A793)+COUNTIF(ERSS_Pit_Register!$A$5:$A$304,A793)+COUNTIF(Linkway_Register!$A$5:$A$304,A793)+COUNTIF(Other_Register!$A$5:$A$304,A793))&gt;0,"OK","ID not in any register"))</f>
        <v/>
      </c>
    </row>
    <row r="794" customFormat="false" ht="15" hidden="false" customHeight="false" outlineLevel="0" collapsed="false">
      <c r="A794" s="9"/>
      <c r="B794" s="9"/>
      <c r="C794" s="9"/>
      <c r="D794" s="9"/>
      <c r="E794" s="9"/>
      <c r="F794" s="9"/>
      <c r="G794" s="9"/>
      <c r="H794" s="9"/>
      <c r="I794" s="9"/>
      <c r="J794" s="10" t="str">
        <f aca="false">IF(A794="","",IF(G794&lt;&gt;"",G794,IF(N(F794)&gt;0,ROUND(1000/F794,3),0)))</f>
        <v/>
      </c>
      <c r="K794" s="10" t="str">
        <f aca="false">IF(OR(A794="",E794="",H794=""),"",ROUND(0.00617*E794^2*H794*J794,2))</f>
        <v/>
      </c>
      <c r="L794" s="9"/>
      <c r="M794" s="10" t="str">
        <f aca="false">IF(A794="","",IF((COUNTIF(Drain_Register!$A$5:$A$304,A794)+COUNTIF(RW_Register!$A$5:$A$304,A794)+COUNTIF(Embedded_Wall_Register!$A$5:$A$304,A794)+COUNTIF(Manhole_Register!$A$5:$A$304,A794)+COUNTIF(ERSS_Pit_Register!$A$5:$A$304,A794)+COUNTIF(Linkway_Register!$A$5:$A$304,A794)+COUNTIF(Other_Register!$A$5:$A$304,A794))&gt;0,"OK","ID not in any register"))</f>
        <v/>
      </c>
    </row>
    <row r="795" customFormat="false" ht="15" hidden="false" customHeight="false" outlineLevel="0" collapsed="false">
      <c r="A795" s="9"/>
      <c r="B795" s="9"/>
      <c r="C795" s="9"/>
      <c r="D795" s="9"/>
      <c r="E795" s="9"/>
      <c r="F795" s="9"/>
      <c r="G795" s="9"/>
      <c r="H795" s="9"/>
      <c r="I795" s="9"/>
      <c r="J795" s="10" t="str">
        <f aca="false">IF(A795="","",IF(G795&lt;&gt;"",G795,IF(N(F795)&gt;0,ROUND(1000/F795,3),0)))</f>
        <v/>
      </c>
      <c r="K795" s="10" t="str">
        <f aca="false">IF(OR(A795="",E795="",H795=""),"",ROUND(0.00617*E795^2*H795*J795,2))</f>
        <v/>
      </c>
      <c r="L795" s="9"/>
      <c r="M795" s="10" t="str">
        <f aca="false">IF(A795="","",IF((COUNTIF(Drain_Register!$A$5:$A$304,A795)+COUNTIF(RW_Register!$A$5:$A$304,A795)+COUNTIF(Embedded_Wall_Register!$A$5:$A$304,A795)+COUNTIF(Manhole_Register!$A$5:$A$304,A795)+COUNTIF(ERSS_Pit_Register!$A$5:$A$304,A795)+COUNTIF(Linkway_Register!$A$5:$A$304,A795)+COUNTIF(Other_Register!$A$5:$A$304,A795))&gt;0,"OK","ID not in any register"))</f>
        <v/>
      </c>
    </row>
    <row r="796" customFormat="false" ht="15" hidden="false" customHeight="false" outlineLevel="0" collapsed="false">
      <c r="A796" s="9"/>
      <c r="B796" s="9"/>
      <c r="C796" s="9"/>
      <c r="D796" s="9"/>
      <c r="E796" s="9"/>
      <c r="F796" s="9"/>
      <c r="G796" s="9"/>
      <c r="H796" s="9"/>
      <c r="I796" s="9"/>
      <c r="J796" s="10" t="str">
        <f aca="false">IF(A796="","",IF(G796&lt;&gt;"",G796,IF(N(F796)&gt;0,ROUND(1000/F796,3),0)))</f>
        <v/>
      </c>
      <c r="K796" s="10" t="str">
        <f aca="false">IF(OR(A796="",E796="",H796=""),"",ROUND(0.00617*E796^2*H796*J796,2))</f>
        <v/>
      </c>
      <c r="L796" s="9"/>
      <c r="M796" s="10" t="str">
        <f aca="false">IF(A796="","",IF((COUNTIF(Drain_Register!$A$5:$A$304,A796)+COUNTIF(RW_Register!$A$5:$A$304,A796)+COUNTIF(Embedded_Wall_Register!$A$5:$A$304,A796)+COUNTIF(Manhole_Register!$A$5:$A$304,A796)+COUNTIF(ERSS_Pit_Register!$A$5:$A$304,A796)+COUNTIF(Linkway_Register!$A$5:$A$304,A796)+COUNTIF(Other_Register!$A$5:$A$304,A796))&gt;0,"OK","ID not in any register"))</f>
        <v/>
      </c>
    </row>
    <row r="797" customFormat="false" ht="15" hidden="false" customHeight="false" outlineLevel="0" collapsed="false">
      <c r="A797" s="9"/>
      <c r="B797" s="9"/>
      <c r="C797" s="9"/>
      <c r="D797" s="9"/>
      <c r="E797" s="9"/>
      <c r="F797" s="9"/>
      <c r="G797" s="9"/>
      <c r="H797" s="9"/>
      <c r="I797" s="9"/>
      <c r="J797" s="10" t="str">
        <f aca="false">IF(A797="","",IF(G797&lt;&gt;"",G797,IF(N(F797)&gt;0,ROUND(1000/F797,3),0)))</f>
        <v/>
      </c>
      <c r="K797" s="10" t="str">
        <f aca="false">IF(OR(A797="",E797="",H797=""),"",ROUND(0.00617*E797^2*H797*J797,2))</f>
        <v/>
      </c>
      <c r="L797" s="9"/>
      <c r="M797" s="10" t="str">
        <f aca="false">IF(A797="","",IF((COUNTIF(Drain_Register!$A$5:$A$304,A797)+COUNTIF(RW_Register!$A$5:$A$304,A797)+COUNTIF(Embedded_Wall_Register!$A$5:$A$304,A797)+COUNTIF(Manhole_Register!$A$5:$A$304,A797)+COUNTIF(ERSS_Pit_Register!$A$5:$A$304,A797)+COUNTIF(Linkway_Register!$A$5:$A$304,A797)+COUNTIF(Other_Register!$A$5:$A$304,A797))&gt;0,"OK","ID not in any register"))</f>
        <v/>
      </c>
    </row>
    <row r="798" customFormat="false" ht="15" hidden="false" customHeight="false" outlineLevel="0" collapsed="false">
      <c r="A798" s="9"/>
      <c r="B798" s="9"/>
      <c r="C798" s="9"/>
      <c r="D798" s="9"/>
      <c r="E798" s="9"/>
      <c r="F798" s="9"/>
      <c r="G798" s="9"/>
      <c r="H798" s="9"/>
      <c r="I798" s="9"/>
      <c r="J798" s="10" t="str">
        <f aca="false">IF(A798="","",IF(G798&lt;&gt;"",G798,IF(N(F798)&gt;0,ROUND(1000/F798,3),0)))</f>
        <v/>
      </c>
      <c r="K798" s="10" t="str">
        <f aca="false">IF(OR(A798="",E798="",H798=""),"",ROUND(0.00617*E798^2*H798*J798,2))</f>
        <v/>
      </c>
      <c r="L798" s="9"/>
      <c r="M798" s="10" t="str">
        <f aca="false">IF(A798="","",IF((COUNTIF(Drain_Register!$A$5:$A$304,A798)+COUNTIF(RW_Register!$A$5:$A$304,A798)+COUNTIF(Embedded_Wall_Register!$A$5:$A$304,A798)+COUNTIF(Manhole_Register!$A$5:$A$304,A798)+COUNTIF(ERSS_Pit_Register!$A$5:$A$304,A798)+COUNTIF(Linkway_Register!$A$5:$A$304,A798)+COUNTIF(Other_Register!$A$5:$A$304,A798))&gt;0,"OK","ID not in any register"))</f>
        <v/>
      </c>
    </row>
    <row r="799" customFormat="false" ht="15" hidden="false" customHeight="false" outlineLevel="0" collapsed="false">
      <c r="A799" s="9"/>
      <c r="B799" s="9"/>
      <c r="C799" s="9"/>
      <c r="D799" s="9"/>
      <c r="E799" s="9"/>
      <c r="F799" s="9"/>
      <c r="G799" s="9"/>
      <c r="H799" s="9"/>
      <c r="I799" s="9"/>
      <c r="J799" s="10" t="str">
        <f aca="false">IF(A799="","",IF(G799&lt;&gt;"",G799,IF(N(F799)&gt;0,ROUND(1000/F799,3),0)))</f>
        <v/>
      </c>
      <c r="K799" s="10" t="str">
        <f aca="false">IF(OR(A799="",E799="",H799=""),"",ROUND(0.00617*E799^2*H799*J799,2))</f>
        <v/>
      </c>
      <c r="L799" s="9"/>
      <c r="M799" s="10" t="str">
        <f aca="false">IF(A799="","",IF((COUNTIF(Drain_Register!$A$5:$A$304,A799)+COUNTIF(RW_Register!$A$5:$A$304,A799)+COUNTIF(Embedded_Wall_Register!$A$5:$A$304,A799)+COUNTIF(Manhole_Register!$A$5:$A$304,A799)+COUNTIF(ERSS_Pit_Register!$A$5:$A$304,A799)+COUNTIF(Linkway_Register!$A$5:$A$304,A799)+COUNTIF(Other_Register!$A$5:$A$304,A799))&gt;0,"OK","ID not in any register"))</f>
        <v/>
      </c>
    </row>
    <row r="800" customFormat="false" ht="15" hidden="false" customHeight="false" outlineLevel="0" collapsed="false">
      <c r="A800" s="9"/>
      <c r="B800" s="9"/>
      <c r="C800" s="9"/>
      <c r="D800" s="9"/>
      <c r="E800" s="9"/>
      <c r="F800" s="9"/>
      <c r="G800" s="9"/>
      <c r="H800" s="9"/>
      <c r="I800" s="9"/>
      <c r="J800" s="10" t="str">
        <f aca="false">IF(A800="","",IF(G800&lt;&gt;"",G800,IF(N(F800)&gt;0,ROUND(1000/F800,3),0)))</f>
        <v/>
      </c>
      <c r="K800" s="10" t="str">
        <f aca="false">IF(OR(A800="",E800="",H800=""),"",ROUND(0.00617*E800^2*H800*J800,2))</f>
        <v/>
      </c>
      <c r="L800" s="9"/>
      <c r="M800" s="10" t="str">
        <f aca="false">IF(A800="","",IF((COUNTIF(Drain_Register!$A$5:$A$304,A800)+COUNTIF(RW_Register!$A$5:$A$304,A800)+COUNTIF(Embedded_Wall_Register!$A$5:$A$304,A800)+COUNTIF(Manhole_Register!$A$5:$A$304,A800)+COUNTIF(ERSS_Pit_Register!$A$5:$A$304,A800)+COUNTIF(Linkway_Register!$A$5:$A$304,A800)+COUNTIF(Other_Register!$A$5:$A$304,A800))&gt;0,"OK","ID not in any register"))</f>
        <v/>
      </c>
    </row>
    <row r="801" customFormat="false" ht="15" hidden="false" customHeight="false" outlineLevel="0" collapsed="false">
      <c r="A801" s="9"/>
      <c r="B801" s="9"/>
      <c r="C801" s="9"/>
      <c r="D801" s="9"/>
      <c r="E801" s="9"/>
      <c r="F801" s="9"/>
      <c r="G801" s="9"/>
      <c r="H801" s="9"/>
      <c r="I801" s="9"/>
      <c r="J801" s="10" t="str">
        <f aca="false">IF(A801="","",IF(G801&lt;&gt;"",G801,IF(N(F801)&gt;0,ROUND(1000/F801,3),0)))</f>
        <v/>
      </c>
      <c r="K801" s="10" t="str">
        <f aca="false">IF(OR(A801="",E801="",H801=""),"",ROUND(0.00617*E801^2*H801*J801,2))</f>
        <v/>
      </c>
      <c r="L801" s="9"/>
      <c r="M801" s="10" t="str">
        <f aca="false">IF(A801="","",IF((COUNTIF(Drain_Register!$A$5:$A$304,A801)+COUNTIF(RW_Register!$A$5:$A$304,A801)+COUNTIF(Embedded_Wall_Register!$A$5:$A$304,A801)+COUNTIF(Manhole_Register!$A$5:$A$304,A801)+COUNTIF(ERSS_Pit_Register!$A$5:$A$304,A801)+COUNTIF(Linkway_Register!$A$5:$A$304,A801)+COUNTIF(Other_Register!$A$5:$A$304,A801))&gt;0,"OK","ID not in any register"))</f>
        <v/>
      </c>
    </row>
    <row r="802" customFormat="false" ht="15" hidden="false" customHeight="false" outlineLevel="0" collapsed="false">
      <c r="A802" s="9"/>
      <c r="B802" s="9"/>
      <c r="C802" s="9"/>
      <c r="D802" s="9"/>
      <c r="E802" s="9"/>
      <c r="F802" s="9"/>
      <c r="G802" s="9"/>
      <c r="H802" s="9"/>
      <c r="I802" s="9"/>
      <c r="J802" s="10" t="str">
        <f aca="false">IF(A802="","",IF(G802&lt;&gt;"",G802,IF(N(F802)&gt;0,ROUND(1000/F802,3),0)))</f>
        <v/>
      </c>
      <c r="K802" s="10" t="str">
        <f aca="false">IF(OR(A802="",E802="",H802=""),"",ROUND(0.00617*E802^2*H802*J802,2))</f>
        <v/>
      </c>
      <c r="L802" s="9"/>
      <c r="M802" s="10" t="str">
        <f aca="false">IF(A802="","",IF((COUNTIF(Drain_Register!$A$5:$A$304,A802)+COUNTIF(RW_Register!$A$5:$A$304,A802)+COUNTIF(Embedded_Wall_Register!$A$5:$A$304,A802)+COUNTIF(Manhole_Register!$A$5:$A$304,A802)+COUNTIF(ERSS_Pit_Register!$A$5:$A$304,A802)+COUNTIF(Linkway_Register!$A$5:$A$304,A802)+COUNTIF(Other_Register!$A$5:$A$304,A802))&gt;0,"OK","ID not in any register"))</f>
        <v/>
      </c>
    </row>
    <row r="803" customFormat="false" ht="15" hidden="false" customHeight="false" outlineLevel="0" collapsed="false">
      <c r="A803" s="9"/>
      <c r="B803" s="9"/>
      <c r="C803" s="9"/>
      <c r="D803" s="9"/>
      <c r="E803" s="9"/>
      <c r="F803" s="9"/>
      <c r="G803" s="9"/>
      <c r="H803" s="9"/>
      <c r="I803" s="9"/>
      <c r="J803" s="10" t="str">
        <f aca="false">IF(A803="","",IF(G803&lt;&gt;"",G803,IF(N(F803)&gt;0,ROUND(1000/F803,3),0)))</f>
        <v/>
      </c>
      <c r="K803" s="10" t="str">
        <f aca="false">IF(OR(A803="",E803="",H803=""),"",ROUND(0.00617*E803^2*H803*J803,2))</f>
        <v/>
      </c>
      <c r="L803" s="9"/>
      <c r="M803" s="10" t="str">
        <f aca="false">IF(A803="","",IF((COUNTIF(Drain_Register!$A$5:$A$304,A803)+COUNTIF(RW_Register!$A$5:$A$304,A803)+COUNTIF(Embedded_Wall_Register!$A$5:$A$304,A803)+COUNTIF(Manhole_Register!$A$5:$A$304,A803)+COUNTIF(ERSS_Pit_Register!$A$5:$A$304,A803)+COUNTIF(Linkway_Register!$A$5:$A$304,A803)+COUNTIF(Other_Register!$A$5:$A$304,A803))&gt;0,"OK","ID not in any register"))</f>
        <v/>
      </c>
    </row>
    <row r="804" customFormat="false" ht="15" hidden="false" customHeight="false" outlineLevel="0" collapsed="false">
      <c r="A804" s="9"/>
      <c r="B804" s="9"/>
      <c r="C804" s="9"/>
      <c r="D804" s="9"/>
      <c r="E804" s="9"/>
      <c r="F804" s="9"/>
      <c r="G804" s="9"/>
      <c r="H804" s="9"/>
      <c r="I804" s="9"/>
      <c r="J804" s="10" t="str">
        <f aca="false">IF(A804="","",IF(G804&lt;&gt;"",G804,IF(N(F804)&gt;0,ROUND(1000/F804,3),0)))</f>
        <v/>
      </c>
      <c r="K804" s="10" t="str">
        <f aca="false">IF(OR(A804="",E804="",H804=""),"",ROUND(0.00617*E804^2*H804*J804,2))</f>
        <v/>
      </c>
      <c r="L804" s="9"/>
      <c r="M804" s="10" t="str">
        <f aca="false">IF(A804="","",IF((COUNTIF(Drain_Register!$A$5:$A$304,A804)+COUNTIF(RW_Register!$A$5:$A$304,A804)+COUNTIF(Embedded_Wall_Register!$A$5:$A$304,A804)+COUNTIF(Manhole_Register!$A$5:$A$304,A804)+COUNTIF(ERSS_Pit_Register!$A$5:$A$304,A804)+COUNTIF(Linkway_Register!$A$5:$A$304,A804)+COUNTIF(Other_Register!$A$5:$A$304,A804))&gt;0,"OK","ID not in any register"))</f>
        <v/>
      </c>
    </row>
    <row r="805" customFormat="false" ht="15" hidden="false" customHeight="false" outlineLevel="0" collapsed="false">
      <c r="A805" s="9"/>
      <c r="B805" s="9"/>
      <c r="C805" s="9"/>
      <c r="D805" s="9"/>
      <c r="E805" s="9"/>
      <c r="F805" s="9"/>
      <c r="G805" s="9"/>
      <c r="H805" s="9"/>
      <c r="I805" s="9"/>
      <c r="J805" s="10" t="str">
        <f aca="false">IF(A805="","",IF(G805&lt;&gt;"",G805,IF(N(F805)&gt;0,ROUND(1000/F805,3),0)))</f>
        <v/>
      </c>
      <c r="K805" s="10" t="str">
        <f aca="false">IF(OR(A805="",E805="",H805=""),"",ROUND(0.00617*E805^2*H805*J805,2))</f>
        <v/>
      </c>
      <c r="L805" s="9"/>
      <c r="M805" s="10" t="str">
        <f aca="false">IF(A805="","",IF((COUNTIF(Drain_Register!$A$5:$A$304,A805)+COUNTIF(RW_Register!$A$5:$A$304,A805)+COUNTIF(Embedded_Wall_Register!$A$5:$A$304,A805)+COUNTIF(Manhole_Register!$A$5:$A$304,A805)+COUNTIF(ERSS_Pit_Register!$A$5:$A$304,A805)+COUNTIF(Linkway_Register!$A$5:$A$304,A805)+COUNTIF(Other_Register!$A$5:$A$304,A805))&gt;0,"OK","ID not in any register"))</f>
        <v/>
      </c>
    </row>
    <row r="806" customFormat="false" ht="15" hidden="false" customHeight="false" outlineLevel="0" collapsed="false">
      <c r="A806" s="9"/>
      <c r="B806" s="9"/>
      <c r="C806" s="9"/>
      <c r="D806" s="9"/>
      <c r="E806" s="9"/>
      <c r="F806" s="9"/>
      <c r="G806" s="9"/>
      <c r="H806" s="9"/>
      <c r="I806" s="9"/>
      <c r="J806" s="10" t="str">
        <f aca="false">IF(A806="","",IF(G806&lt;&gt;"",G806,IF(N(F806)&gt;0,ROUND(1000/F806,3),0)))</f>
        <v/>
      </c>
      <c r="K806" s="10" t="str">
        <f aca="false">IF(OR(A806="",E806="",H806=""),"",ROUND(0.00617*E806^2*H806*J806,2))</f>
        <v/>
      </c>
      <c r="L806" s="9"/>
      <c r="M806" s="10" t="str">
        <f aca="false">IF(A806="","",IF((COUNTIF(Drain_Register!$A$5:$A$304,A806)+COUNTIF(RW_Register!$A$5:$A$304,A806)+COUNTIF(Embedded_Wall_Register!$A$5:$A$304,A806)+COUNTIF(Manhole_Register!$A$5:$A$304,A806)+COUNTIF(ERSS_Pit_Register!$A$5:$A$304,A806)+COUNTIF(Linkway_Register!$A$5:$A$304,A806)+COUNTIF(Other_Register!$A$5:$A$304,A806))&gt;0,"OK","ID not in any register"))</f>
        <v/>
      </c>
    </row>
    <row r="807" customFormat="false" ht="15" hidden="false" customHeight="false" outlineLevel="0" collapsed="false">
      <c r="A807" s="9"/>
      <c r="B807" s="9"/>
      <c r="C807" s="9"/>
      <c r="D807" s="9"/>
      <c r="E807" s="9"/>
      <c r="F807" s="9"/>
      <c r="G807" s="9"/>
      <c r="H807" s="9"/>
      <c r="I807" s="9"/>
      <c r="J807" s="10" t="str">
        <f aca="false">IF(A807="","",IF(G807&lt;&gt;"",G807,IF(N(F807)&gt;0,ROUND(1000/F807,3),0)))</f>
        <v/>
      </c>
      <c r="K807" s="10" t="str">
        <f aca="false">IF(OR(A807="",E807="",H807=""),"",ROUND(0.00617*E807^2*H807*J807,2))</f>
        <v/>
      </c>
      <c r="L807" s="9"/>
      <c r="M807" s="10" t="str">
        <f aca="false">IF(A807="","",IF((COUNTIF(Drain_Register!$A$5:$A$304,A807)+COUNTIF(RW_Register!$A$5:$A$304,A807)+COUNTIF(Embedded_Wall_Register!$A$5:$A$304,A807)+COUNTIF(Manhole_Register!$A$5:$A$304,A807)+COUNTIF(ERSS_Pit_Register!$A$5:$A$304,A807)+COUNTIF(Linkway_Register!$A$5:$A$304,A807)+COUNTIF(Other_Register!$A$5:$A$304,A807))&gt;0,"OK","ID not in any register"))</f>
        <v/>
      </c>
    </row>
    <row r="808" customFormat="false" ht="15" hidden="false" customHeight="false" outlineLevel="0" collapsed="false">
      <c r="A808" s="9"/>
      <c r="B808" s="9"/>
      <c r="C808" s="9"/>
      <c r="D808" s="9"/>
      <c r="E808" s="9"/>
      <c r="F808" s="9"/>
      <c r="G808" s="9"/>
      <c r="H808" s="9"/>
      <c r="I808" s="9"/>
      <c r="J808" s="10" t="str">
        <f aca="false">IF(A808="","",IF(G808&lt;&gt;"",G808,IF(N(F808)&gt;0,ROUND(1000/F808,3),0)))</f>
        <v/>
      </c>
      <c r="K808" s="10" t="str">
        <f aca="false">IF(OR(A808="",E808="",H808=""),"",ROUND(0.00617*E808^2*H808*J808,2))</f>
        <v/>
      </c>
      <c r="L808" s="9"/>
      <c r="M808" s="10" t="str">
        <f aca="false">IF(A808="","",IF((COUNTIF(Drain_Register!$A$5:$A$304,A808)+COUNTIF(RW_Register!$A$5:$A$304,A808)+COUNTIF(Embedded_Wall_Register!$A$5:$A$304,A808)+COUNTIF(Manhole_Register!$A$5:$A$304,A808)+COUNTIF(ERSS_Pit_Register!$A$5:$A$304,A808)+COUNTIF(Linkway_Register!$A$5:$A$304,A808)+COUNTIF(Other_Register!$A$5:$A$304,A808))&gt;0,"OK","ID not in any register"))</f>
        <v/>
      </c>
    </row>
    <row r="809" customFormat="false" ht="15" hidden="false" customHeight="false" outlineLevel="0" collapsed="false">
      <c r="A809" s="9"/>
      <c r="B809" s="9"/>
      <c r="C809" s="9"/>
      <c r="D809" s="9"/>
      <c r="E809" s="9"/>
      <c r="F809" s="9"/>
      <c r="G809" s="9"/>
      <c r="H809" s="9"/>
      <c r="I809" s="9"/>
      <c r="J809" s="10" t="str">
        <f aca="false">IF(A809="","",IF(G809&lt;&gt;"",G809,IF(N(F809)&gt;0,ROUND(1000/F809,3),0)))</f>
        <v/>
      </c>
      <c r="K809" s="10" t="str">
        <f aca="false">IF(OR(A809="",E809="",H809=""),"",ROUND(0.00617*E809^2*H809*J809,2))</f>
        <v/>
      </c>
      <c r="L809" s="9"/>
      <c r="M809" s="10" t="str">
        <f aca="false">IF(A809="","",IF((COUNTIF(Drain_Register!$A$5:$A$304,A809)+COUNTIF(RW_Register!$A$5:$A$304,A809)+COUNTIF(Embedded_Wall_Register!$A$5:$A$304,A809)+COUNTIF(Manhole_Register!$A$5:$A$304,A809)+COUNTIF(ERSS_Pit_Register!$A$5:$A$304,A809)+COUNTIF(Linkway_Register!$A$5:$A$304,A809)+COUNTIF(Other_Register!$A$5:$A$304,A809))&gt;0,"OK","ID not in any register"))</f>
        <v/>
      </c>
    </row>
    <row r="810" customFormat="false" ht="15" hidden="false" customHeight="false" outlineLevel="0" collapsed="false">
      <c r="A810" s="9"/>
      <c r="B810" s="9"/>
      <c r="C810" s="9"/>
      <c r="D810" s="9"/>
      <c r="E810" s="9"/>
      <c r="F810" s="9"/>
      <c r="G810" s="9"/>
      <c r="H810" s="9"/>
      <c r="I810" s="9"/>
      <c r="J810" s="10" t="str">
        <f aca="false">IF(A810="","",IF(G810&lt;&gt;"",G810,IF(N(F810)&gt;0,ROUND(1000/F810,3),0)))</f>
        <v/>
      </c>
      <c r="K810" s="10" t="str">
        <f aca="false">IF(OR(A810="",E810="",H810=""),"",ROUND(0.00617*E810^2*H810*J810,2))</f>
        <v/>
      </c>
      <c r="L810" s="9"/>
      <c r="M810" s="10" t="str">
        <f aca="false">IF(A810="","",IF((COUNTIF(Drain_Register!$A$5:$A$304,A810)+COUNTIF(RW_Register!$A$5:$A$304,A810)+COUNTIF(Embedded_Wall_Register!$A$5:$A$304,A810)+COUNTIF(Manhole_Register!$A$5:$A$304,A810)+COUNTIF(ERSS_Pit_Register!$A$5:$A$304,A810)+COUNTIF(Linkway_Register!$A$5:$A$304,A810)+COUNTIF(Other_Register!$A$5:$A$304,A810))&gt;0,"OK","ID not in any register"))</f>
        <v/>
      </c>
    </row>
    <row r="811" customFormat="false" ht="15" hidden="false" customHeight="false" outlineLevel="0" collapsed="false">
      <c r="A811" s="9"/>
      <c r="B811" s="9"/>
      <c r="C811" s="9"/>
      <c r="D811" s="9"/>
      <c r="E811" s="9"/>
      <c r="F811" s="9"/>
      <c r="G811" s="9"/>
      <c r="H811" s="9"/>
      <c r="I811" s="9"/>
      <c r="J811" s="10" t="str">
        <f aca="false">IF(A811="","",IF(G811&lt;&gt;"",G811,IF(N(F811)&gt;0,ROUND(1000/F811,3),0)))</f>
        <v/>
      </c>
      <c r="K811" s="10" t="str">
        <f aca="false">IF(OR(A811="",E811="",H811=""),"",ROUND(0.00617*E811^2*H811*J811,2))</f>
        <v/>
      </c>
      <c r="L811" s="9"/>
      <c r="M811" s="10" t="str">
        <f aca="false">IF(A811="","",IF((COUNTIF(Drain_Register!$A$5:$A$304,A811)+COUNTIF(RW_Register!$A$5:$A$304,A811)+COUNTIF(Embedded_Wall_Register!$A$5:$A$304,A811)+COUNTIF(Manhole_Register!$A$5:$A$304,A811)+COUNTIF(ERSS_Pit_Register!$A$5:$A$304,A811)+COUNTIF(Linkway_Register!$A$5:$A$304,A811)+COUNTIF(Other_Register!$A$5:$A$304,A811))&gt;0,"OK","ID not in any register"))</f>
        <v/>
      </c>
    </row>
    <row r="812" customFormat="false" ht="15" hidden="false" customHeight="false" outlineLevel="0" collapsed="false">
      <c r="A812" s="9"/>
      <c r="B812" s="9"/>
      <c r="C812" s="9"/>
      <c r="D812" s="9"/>
      <c r="E812" s="9"/>
      <c r="F812" s="9"/>
      <c r="G812" s="9"/>
      <c r="H812" s="9"/>
      <c r="I812" s="9"/>
      <c r="J812" s="10" t="str">
        <f aca="false">IF(A812="","",IF(G812&lt;&gt;"",G812,IF(N(F812)&gt;0,ROUND(1000/F812,3),0)))</f>
        <v/>
      </c>
      <c r="K812" s="10" t="str">
        <f aca="false">IF(OR(A812="",E812="",H812=""),"",ROUND(0.00617*E812^2*H812*J812,2))</f>
        <v/>
      </c>
      <c r="L812" s="9"/>
      <c r="M812" s="10" t="str">
        <f aca="false">IF(A812="","",IF((COUNTIF(Drain_Register!$A$5:$A$304,A812)+COUNTIF(RW_Register!$A$5:$A$304,A812)+COUNTIF(Embedded_Wall_Register!$A$5:$A$304,A812)+COUNTIF(Manhole_Register!$A$5:$A$304,A812)+COUNTIF(ERSS_Pit_Register!$A$5:$A$304,A812)+COUNTIF(Linkway_Register!$A$5:$A$304,A812)+COUNTIF(Other_Register!$A$5:$A$304,A812))&gt;0,"OK","ID not in any register"))</f>
        <v/>
      </c>
    </row>
    <row r="813" customFormat="false" ht="15" hidden="false" customHeight="false" outlineLevel="0" collapsed="false">
      <c r="A813" s="9"/>
      <c r="B813" s="9"/>
      <c r="C813" s="9"/>
      <c r="D813" s="9"/>
      <c r="E813" s="9"/>
      <c r="F813" s="9"/>
      <c r="G813" s="9"/>
      <c r="H813" s="9"/>
      <c r="I813" s="9"/>
      <c r="J813" s="10" t="str">
        <f aca="false">IF(A813="","",IF(G813&lt;&gt;"",G813,IF(N(F813)&gt;0,ROUND(1000/F813,3),0)))</f>
        <v/>
      </c>
      <c r="K813" s="10" t="str">
        <f aca="false">IF(OR(A813="",E813="",H813=""),"",ROUND(0.00617*E813^2*H813*J813,2))</f>
        <v/>
      </c>
      <c r="L813" s="9"/>
      <c r="M813" s="10" t="str">
        <f aca="false">IF(A813="","",IF((COUNTIF(Drain_Register!$A$5:$A$304,A813)+COUNTIF(RW_Register!$A$5:$A$304,A813)+COUNTIF(Embedded_Wall_Register!$A$5:$A$304,A813)+COUNTIF(Manhole_Register!$A$5:$A$304,A813)+COUNTIF(ERSS_Pit_Register!$A$5:$A$304,A813)+COUNTIF(Linkway_Register!$A$5:$A$304,A813)+COUNTIF(Other_Register!$A$5:$A$304,A813))&gt;0,"OK","ID not in any register"))</f>
        <v/>
      </c>
    </row>
    <row r="814" customFormat="false" ht="15" hidden="false" customHeight="false" outlineLevel="0" collapsed="false">
      <c r="A814" s="9"/>
      <c r="B814" s="9"/>
      <c r="C814" s="9"/>
      <c r="D814" s="9"/>
      <c r="E814" s="9"/>
      <c r="F814" s="9"/>
      <c r="G814" s="9"/>
      <c r="H814" s="9"/>
      <c r="I814" s="9"/>
      <c r="J814" s="10" t="str">
        <f aca="false">IF(A814="","",IF(G814&lt;&gt;"",G814,IF(N(F814)&gt;0,ROUND(1000/F814,3),0)))</f>
        <v/>
      </c>
      <c r="K814" s="10" t="str">
        <f aca="false">IF(OR(A814="",E814="",H814=""),"",ROUND(0.00617*E814^2*H814*J814,2))</f>
        <v/>
      </c>
      <c r="L814" s="9"/>
      <c r="M814" s="10" t="str">
        <f aca="false">IF(A814="","",IF((COUNTIF(Drain_Register!$A$5:$A$304,A814)+COUNTIF(RW_Register!$A$5:$A$304,A814)+COUNTIF(Embedded_Wall_Register!$A$5:$A$304,A814)+COUNTIF(Manhole_Register!$A$5:$A$304,A814)+COUNTIF(ERSS_Pit_Register!$A$5:$A$304,A814)+COUNTIF(Linkway_Register!$A$5:$A$304,A814)+COUNTIF(Other_Register!$A$5:$A$304,A814))&gt;0,"OK","ID not in any register"))</f>
        <v/>
      </c>
    </row>
    <row r="815" customFormat="false" ht="15" hidden="false" customHeight="false" outlineLevel="0" collapsed="false">
      <c r="A815" s="9"/>
      <c r="B815" s="9"/>
      <c r="C815" s="9"/>
      <c r="D815" s="9"/>
      <c r="E815" s="9"/>
      <c r="F815" s="9"/>
      <c r="G815" s="9"/>
      <c r="H815" s="9"/>
      <c r="I815" s="9"/>
      <c r="J815" s="10" t="str">
        <f aca="false">IF(A815="","",IF(G815&lt;&gt;"",G815,IF(N(F815)&gt;0,ROUND(1000/F815,3),0)))</f>
        <v/>
      </c>
      <c r="K815" s="10" t="str">
        <f aca="false">IF(OR(A815="",E815="",H815=""),"",ROUND(0.00617*E815^2*H815*J815,2))</f>
        <v/>
      </c>
      <c r="L815" s="9"/>
      <c r="M815" s="10" t="str">
        <f aca="false">IF(A815="","",IF((COUNTIF(Drain_Register!$A$5:$A$304,A815)+COUNTIF(RW_Register!$A$5:$A$304,A815)+COUNTIF(Embedded_Wall_Register!$A$5:$A$304,A815)+COUNTIF(Manhole_Register!$A$5:$A$304,A815)+COUNTIF(ERSS_Pit_Register!$A$5:$A$304,A815)+COUNTIF(Linkway_Register!$A$5:$A$304,A815)+COUNTIF(Other_Register!$A$5:$A$304,A815))&gt;0,"OK","ID not in any register"))</f>
        <v/>
      </c>
    </row>
    <row r="816" customFormat="false" ht="15" hidden="false" customHeight="false" outlineLevel="0" collapsed="false">
      <c r="A816" s="9"/>
      <c r="B816" s="9"/>
      <c r="C816" s="9"/>
      <c r="D816" s="9"/>
      <c r="E816" s="9"/>
      <c r="F816" s="9"/>
      <c r="G816" s="9"/>
      <c r="H816" s="9"/>
      <c r="I816" s="9"/>
      <c r="J816" s="10" t="str">
        <f aca="false">IF(A816="","",IF(G816&lt;&gt;"",G816,IF(N(F816)&gt;0,ROUND(1000/F816,3),0)))</f>
        <v/>
      </c>
      <c r="K816" s="10" t="str">
        <f aca="false">IF(OR(A816="",E816="",H816=""),"",ROUND(0.00617*E816^2*H816*J816,2))</f>
        <v/>
      </c>
      <c r="L816" s="9"/>
      <c r="M816" s="10" t="str">
        <f aca="false">IF(A816="","",IF((COUNTIF(Drain_Register!$A$5:$A$304,A816)+COUNTIF(RW_Register!$A$5:$A$304,A816)+COUNTIF(Embedded_Wall_Register!$A$5:$A$304,A816)+COUNTIF(Manhole_Register!$A$5:$A$304,A816)+COUNTIF(ERSS_Pit_Register!$A$5:$A$304,A816)+COUNTIF(Linkway_Register!$A$5:$A$304,A816)+COUNTIF(Other_Register!$A$5:$A$304,A816))&gt;0,"OK","ID not in any register"))</f>
        <v/>
      </c>
    </row>
    <row r="817" customFormat="false" ht="15" hidden="false" customHeight="false" outlineLevel="0" collapsed="false">
      <c r="A817" s="9"/>
      <c r="B817" s="9"/>
      <c r="C817" s="9"/>
      <c r="D817" s="9"/>
      <c r="E817" s="9"/>
      <c r="F817" s="9"/>
      <c r="G817" s="9"/>
      <c r="H817" s="9"/>
      <c r="I817" s="9"/>
      <c r="J817" s="10" t="str">
        <f aca="false">IF(A817="","",IF(G817&lt;&gt;"",G817,IF(N(F817)&gt;0,ROUND(1000/F817,3),0)))</f>
        <v/>
      </c>
      <c r="K817" s="10" t="str">
        <f aca="false">IF(OR(A817="",E817="",H817=""),"",ROUND(0.00617*E817^2*H817*J817,2))</f>
        <v/>
      </c>
      <c r="L817" s="9"/>
      <c r="M817" s="10" t="str">
        <f aca="false">IF(A817="","",IF((COUNTIF(Drain_Register!$A$5:$A$304,A817)+COUNTIF(RW_Register!$A$5:$A$304,A817)+COUNTIF(Embedded_Wall_Register!$A$5:$A$304,A817)+COUNTIF(Manhole_Register!$A$5:$A$304,A817)+COUNTIF(ERSS_Pit_Register!$A$5:$A$304,A817)+COUNTIF(Linkway_Register!$A$5:$A$304,A817)+COUNTIF(Other_Register!$A$5:$A$304,A817))&gt;0,"OK","ID not in any register"))</f>
        <v/>
      </c>
    </row>
    <row r="818" customFormat="false" ht="15" hidden="false" customHeight="false" outlineLevel="0" collapsed="false">
      <c r="A818" s="9"/>
      <c r="B818" s="9"/>
      <c r="C818" s="9"/>
      <c r="D818" s="9"/>
      <c r="E818" s="9"/>
      <c r="F818" s="9"/>
      <c r="G818" s="9"/>
      <c r="H818" s="9"/>
      <c r="I818" s="9"/>
      <c r="J818" s="10" t="str">
        <f aca="false">IF(A818="","",IF(G818&lt;&gt;"",G818,IF(N(F818)&gt;0,ROUND(1000/F818,3),0)))</f>
        <v/>
      </c>
      <c r="K818" s="10" t="str">
        <f aca="false">IF(OR(A818="",E818="",H818=""),"",ROUND(0.00617*E818^2*H818*J818,2))</f>
        <v/>
      </c>
      <c r="L818" s="9"/>
      <c r="M818" s="10" t="str">
        <f aca="false">IF(A818="","",IF((COUNTIF(Drain_Register!$A$5:$A$304,A818)+COUNTIF(RW_Register!$A$5:$A$304,A818)+COUNTIF(Embedded_Wall_Register!$A$5:$A$304,A818)+COUNTIF(Manhole_Register!$A$5:$A$304,A818)+COUNTIF(ERSS_Pit_Register!$A$5:$A$304,A818)+COUNTIF(Linkway_Register!$A$5:$A$304,A818)+COUNTIF(Other_Register!$A$5:$A$304,A818))&gt;0,"OK","ID not in any register"))</f>
        <v/>
      </c>
    </row>
    <row r="819" customFormat="false" ht="15" hidden="false" customHeight="false" outlineLevel="0" collapsed="false">
      <c r="A819" s="9"/>
      <c r="B819" s="9"/>
      <c r="C819" s="9"/>
      <c r="D819" s="9"/>
      <c r="E819" s="9"/>
      <c r="F819" s="9"/>
      <c r="G819" s="9"/>
      <c r="H819" s="9"/>
      <c r="I819" s="9"/>
      <c r="J819" s="10" t="str">
        <f aca="false">IF(A819="","",IF(G819&lt;&gt;"",G819,IF(N(F819)&gt;0,ROUND(1000/F819,3),0)))</f>
        <v/>
      </c>
      <c r="K819" s="10" t="str">
        <f aca="false">IF(OR(A819="",E819="",H819=""),"",ROUND(0.00617*E819^2*H819*J819,2))</f>
        <v/>
      </c>
      <c r="L819" s="9"/>
      <c r="M819" s="10" t="str">
        <f aca="false">IF(A819="","",IF((COUNTIF(Drain_Register!$A$5:$A$304,A819)+COUNTIF(RW_Register!$A$5:$A$304,A819)+COUNTIF(Embedded_Wall_Register!$A$5:$A$304,A819)+COUNTIF(Manhole_Register!$A$5:$A$304,A819)+COUNTIF(ERSS_Pit_Register!$A$5:$A$304,A819)+COUNTIF(Linkway_Register!$A$5:$A$304,A819)+COUNTIF(Other_Register!$A$5:$A$304,A819))&gt;0,"OK","ID not in any register"))</f>
        <v/>
      </c>
    </row>
    <row r="820" customFormat="false" ht="15" hidden="false" customHeight="false" outlineLevel="0" collapsed="false">
      <c r="A820" s="9"/>
      <c r="B820" s="9"/>
      <c r="C820" s="9"/>
      <c r="D820" s="9"/>
      <c r="E820" s="9"/>
      <c r="F820" s="9"/>
      <c r="G820" s="9"/>
      <c r="H820" s="9"/>
      <c r="I820" s="9"/>
      <c r="J820" s="10" t="str">
        <f aca="false">IF(A820="","",IF(G820&lt;&gt;"",G820,IF(N(F820)&gt;0,ROUND(1000/F820,3),0)))</f>
        <v/>
      </c>
      <c r="K820" s="10" t="str">
        <f aca="false">IF(OR(A820="",E820="",H820=""),"",ROUND(0.00617*E820^2*H820*J820,2))</f>
        <v/>
      </c>
      <c r="L820" s="9"/>
      <c r="M820" s="10" t="str">
        <f aca="false">IF(A820="","",IF((COUNTIF(Drain_Register!$A$5:$A$304,A820)+COUNTIF(RW_Register!$A$5:$A$304,A820)+COUNTIF(Embedded_Wall_Register!$A$5:$A$304,A820)+COUNTIF(Manhole_Register!$A$5:$A$304,A820)+COUNTIF(ERSS_Pit_Register!$A$5:$A$304,A820)+COUNTIF(Linkway_Register!$A$5:$A$304,A820)+COUNTIF(Other_Register!$A$5:$A$304,A820))&gt;0,"OK","ID not in any register"))</f>
        <v/>
      </c>
    </row>
    <row r="821" customFormat="false" ht="15" hidden="false" customHeight="false" outlineLevel="0" collapsed="false">
      <c r="A821" s="9"/>
      <c r="B821" s="9"/>
      <c r="C821" s="9"/>
      <c r="D821" s="9"/>
      <c r="E821" s="9"/>
      <c r="F821" s="9"/>
      <c r="G821" s="9"/>
      <c r="H821" s="9"/>
      <c r="I821" s="9"/>
      <c r="J821" s="10" t="str">
        <f aca="false">IF(A821="","",IF(G821&lt;&gt;"",G821,IF(N(F821)&gt;0,ROUND(1000/F821,3),0)))</f>
        <v/>
      </c>
      <c r="K821" s="10" t="str">
        <f aca="false">IF(OR(A821="",E821="",H821=""),"",ROUND(0.00617*E821^2*H821*J821,2))</f>
        <v/>
      </c>
      <c r="L821" s="9"/>
      <c r="M821" s="10" t="str">
        <f aca="false">IF(A821="","",IF((COUNTIF(Drain_Register!$A$5:$A$304,A821)+COUNTIF(RW_Register!$A$5:$A$304,A821)+COUNTIF(Embedded_Wall_Register!$A$5:$A$304,A821)+COUNTIF(Manhole_Register!$A$5:$A$304,A821)+COUNTIF(ERSS_Pit_Register!$A$5:$A$304,A821)+COUNTIF(Linkway_Register!$A$5:$A$304,A821)+COUNTIF(Other_Register!$A$5:$A$304,A821))&gt;0,"OK","ID not in any register"))</f>
        <v/>
      </c>
    </row>
    <row r="822" customFormat="false" ht="15" hidden="false" customHeight="false" outlineLevel="0" collapsed="false">
      <c r="A822" s="9"/>
      <c r="B822" s="9"/>
      <c r="C822" s="9"/>
      <c r="D822" s="9"/>
      <c r="E822" s="9"/>
      <c r="F822" s="9"/>
      <c r="G822" s="9"/>
      <c r="H822" s="9"/>
      <c r="I822" s="9"/>
      <c r="J822" s="10" t="str">
        <f aca="false">IF(A822="","",IF(G822&lt;&gt;"",G822,IF(N(F822)&gt;0,ROUND(1000/F822,3),0)))</f>
        <v/>
      </c>
      <c r="K822" s="10" t="str">
        <f aca="false">IF(OR(A822="",E822="",H822=""),"",ROUND(0.00617*E822^2*H822*J822,2))</f>
        <v/>
      </c>
      <c r="L822" s="9"/>
      <c r="M822" s="10" t="str">
        <f aca="false">IF(A822="","",IF((COUNTIF(Drain_Register!$A$5:$A$304,A822)+COUNTIF(RW_Register!$A$5:$A$304,A822)+COUNTIF(Embedded_Wall_Register!$A$5:$A$304,A822)+COUNTIF(Manhole_Register!$A$5:$A$304,A822)+COUNTIF(ERSS_Pit_Register!$A$5:$A$304,A822)+COUNTIF(Linkway_Register!$A$5:$A$304,A822)+COUNTIF(Other_Register!$A$5:$A$304,A822))&gt;0,"OK","ID not in any register"))</f>
        <v/>
      </c>
    </row>
    <row r="823" customFormat="false" ht="15" hidden="false" customHeight="false" outlineLevel="0" collapsed="false">
      <c r="A823" s="9"/>
      <c r="B823" s="9"/>
      <c r="C823" s="9"/>
      <c r="D823" s="9"/>
      <c r="E823" s="9"/>
      <c r="F823" s="9"/>
      <c r="G823" s="9"/>
      <c r="H823" s="9"/>
      <c r="I823" s="9"/>
      <c r="J823" s="10" t="str">
        <f aca="false">IF(A823="","",IF(G823&lt;&gt;"",G823,IF(N(F823)&gt;0,ROUND(1000/F823,3),0)))</f>
        <v/>
      </c>
      <c r="K823" s="10" t="str">
        <f aca="false">IF(OR(A823="",E823="",H823=""),"",ROUND(0.00617*E823^2*H823*J823,2))</f>
        <v/>
      </c>
      <c r="L823" s="9"/>
      <c r="M823" s="10" t="str">
        <f aca="false">IF(A823="","",IF((COUNTIF(Drain_Register!$A$5:$A$304,A823)+COUNTIF(RW_Register!$A$5:$A$304,A823)+COUNTIF(Embedded_Wall_Register!$A$5:$A$304,A823)+COUNTIF(Manhole_Register!$A$5:$A$304,A823)+COUNTIF(ERSS_Pit_Register!$A$5:$A$304,A823)+COUNTIF(Linkway_Register!$A$5:$A$304,A823)+COUNTIF(Other_Register!$A$5:$A$304,A823))&gt;0,"OK","ID not in any register"))</f>
        <v/>
      </c>
    </row>
    <row r="824" customFormat="false" ht="15" hidden="false" customHeight="false" outlineLevel="0" collapsed="false">
      <c r="A824" s="9"/>
      <c r="B824" s="9"/>
      <c r="C824" s="9"/>
      <c r="D824" s="9"/>
      <c r="E824" s="9"/>
      <c r="F824" s="9"/>
      <c r="G824" s="9"/>
      <c r="H824" s="9"/>
      <c r="I824" s="9"/>
      <c r="J824" s="10" t="str">
        <f aca="false">IF(A824="","",IF(G824&lt;&gt;"",G824,IF(N(F824)&gt;0,ROUND(1000/F824,3),0)))</f>
        <v/>
      </c>
      <c r="K824" s="10" t="str">
        <f aca="false">IF(OR(A824="",E824="",H824=""),"",ROUND(0.00617*E824^2*H824*J824,2))</f>
        <v/>
      </c>
      <c r="L824" s="9"/>
      <c r="M824" s="10" t="str">
        <f aca="false">IF(A824="","",IF((COUNTIF(Drain_Register!$A$5:$A$304,A824)+COUNTIF(RW_Register!$A$5:$A$304,A824)+COUNTIF(Embedded_Wall_Register!$A$5:$A$304,A824)+COUNTIF(Manhole_Register!$A$5:$A$304,A824)+COUNTIF(ERSS_Pit_Register!$A$5:$A$304,A824)+COUNTIF(Linkway_Register!$A$5:$A$304,A824)+COUNTIF(Other_Register!$A$5:$A$304,A824))&gt;0,"OK","ID not in any register"))</f>
        <v/>
      </c>
    </row>
    <row r="825" customFormat="false" ht="15" hidden="false" customHeight="false" outlineLevel="0" collapsed="false">
      <c r="A825" s="9"/>
      <c r="B825" s="9"/>
      <c r="C825" s="9"/>
      <c r="D825" s="9"/>
      <c r="E825" s="9"/>
      <c r="F825" s="9"/>
      <c r="G825" s="9"/>
      <c r="H825" s="9"/>
      <c r="I825" s="9"/>
      <c r="J825" s="10" t="str">
        <f aca="false">IF(A825="","",IF(G825&lt;&gt;"",G825,IF(N(F825)&gt;0,ROUND(1000/F825,3),0)))</f>
        <v/>
      </c>
      <c r="K825" s="10" t="str">
        <f aca="false">IF(OR(A825="",E825="",H825=""),"",ROUND(0.00617*E825^2*H825*J825,2))</f>
        <v/>
      </c>
      <c r="L825" s="9"/>
      <c r="M825" s="10" t="str">
        <f aca="false">IF(A825="","",IF((COUNTIF(Drain_Register!$A$5:$A$304,A825)+COUNTIF(RW_Register!$A$5:$A$304,A825)+COUNTIF(Embedded_Wall_Register!$A$5:$A$304,A825)+COUNTIF(Manhole_Register!$A$5:$A$304,A825)+COUNTIF(ERSS_Pit_Register!$A$5:$A$304,A825)+COUNTIF(Linkway_Register!$A$5:$A$304,A825)+COUNTIF(Other_Register!$A$5:$A$304,A825))&gt;0,"OK","ID not in any register"))</f>
        <v/>
      </c>
    </row>
    <row r="826" customFormat="false" ht="15" hidden="false" customHeight="false" outlineLevel="0" collapsed="false">
      <c r="A826" s="9"/>
      <c r="B826" s="9"/>
      <c r="C826" s="9"/>
      <c r="D826" s="9"/>
      <c r="E826" s="9"/>
      <c r="F826" s="9"/>
      <c r="G826" s="9"/>
      <c r="H826" s="9"/>
      <c r="I826" s="9"/>
      <c r="J826" s="10" t="str">
        <f aca="false">IF(A826="","",IF(G826&lt;&gt;"",G826,IF(N(F826)&gt;0,ROUND(1000/F826,3),0)))</f>
        <v/>
      </c>
      <c r="K826" s="10" t="str">
        <f aca="false">IF(OR(A826="",E826="",H826=""),"",ROUND(0.00617*E826^2*H826*J826,2))</f>
        <v/>
      </c>
      <c r="L826" s="9"/>
      <c r="M826" s="10" t="str">
        <f aca="false">IF(A826="","",IF((COUNTIF(Drain_Register!$A$5:$A$304,A826)+COUNTIF(RW_Register!$A$5:$A$304,A826)+COUNTIF(Embedded_Wall_Register!$A$5:$A$304,A826)+COUNTIF(Manhole_Register!$A$5:$A$304,A826)+COUNTIF(ERSS_Pit_Register!$A$5:$A$304,A826)+COUNTIF(Linkway_Register!$A$5:$A$304,A826)+COUNTIF(Other_Register!$A$5:$A$304,A826))&gt;0,"OK","ID not in any register"))</f>
        <v/>
      </c>
    </row>
    <row r="827" customFormat="false" ht="15" hidden="false" customHeight="false" outlineLevel="0" collapsed="false">
      <c r="A827" s="9"/>
      <c r="B827" s="9"/>
      <c r="C827" s="9"/>
      <c r="D827" s="9"/>
      <c r="E827" s="9"/>
      <c r="F827" s="9"/>
      <c r="G827" s="9"/>
      <c r="H827" s="9"/>
      <c r="I827" s="9"/>
      <c r="J827" s="10" t="str">
        <f aca="false">IF(A827="","",IF(G827&lt;&gt;"",G827,IF(N(F827)&gt;0,ROUND(1000/F827,3),0)))</f>
        <v/>
      </c>
      <c r="K827" s="10" t="str">
        <f aca="false">IF(OR(A827="",E827="",H827=""),"",ROUND(0.00617*E827^2*H827*J827,2))</f>
        <v/>
      </c>
      <c r="L827" s="9"/>
      <c r="M827" s="10" t="str">
        <f aca="false">IF(A827="","",IF((COUNTIF(Drain_Register!$A$5:$A$304,A827)+COUNTIF(RW_Register!$A$5:$A$304,A827)+COUNTIF(Embedded_Wall_Register!$A$5:$A$304,A827)+COUNTIF(Manhole_Register!$A$5:$A$304,A827)+COUNTIF(ERSS_Pit_Register!$A$5:$A$304,A827)+COUNTIF(Linkway_Register!$A$5:$A$304,A827)+COUNTIF(Other_Register!$A$5:$A$304,A827))&gt;0,"OK","ID not in any register"))</f>
        <v/>
      </c>
    </row>
    <row r="828" customFormat="false" ht="15" hidden="false" customHeight="false" outlineLevel="0" collapsed="false">
      <c r="A828" s="9"/>
      <c r="B828" s="9"/>
      <c r="C828" s="9"/>
      <c r="D828" s="9"/>
      <c r="E828" s="9"/>
      <c r="F828" s="9"/>
      <c r="G828" s="9"/>
      <c r="H828" s="9"/>
      <c r="I828" s="9"/>
      <c r="J828" s="10" t="str">
        <f aca="false">IF(A828="","",IF(G828&lt;&gt;"",G828,IF(N(F828)&gt;0,ROUND(1000/F828,3),0)))</f>
        <v/>
      </c>
      <c r="K828" s="10" t="str">
        <f aca="false">IF(OR(A828="",E828="",H828=""),"",ROUND(0.00617*E828^2*H828*J828,2))</f>
        <v/>
      </c>
      <c r="L828" s="9"/>
      <c r="M828" s="10" t="str">
        <f aca="false">IF(A828="","",IF((COUNTIF(Drain_Register!$A$5:$A$304,A828)+COUNTIF(RW_Register!$A$5:$A$304,A828)+COUNTIF(Embedded_Wall_Register!$A$5:$A$304,A828)+COUNTIF(Manhole_Register!$A$5:$A$304,A828)+COUNTIF(ERSS_Pit_Register!$A$5:$A$304,A828)+COUNTIF(Linkway_Register!$A$5:$A$304,A828)+COUNTIF(Other_Register!$A$5:$A$304,A828))&gt;0,"OK","ID not in any register"))</f>
        <v/>
      </c>
    </row>
    <row r="829" customFormat="false" ht="15" hidden="false" customHeight="false" outlineLevel="0" collapsed="false">
      <c r="A829" s="9"/>
      <c r="B829" s="9"/>
      <c r="C829" s="9"/>
      <c r="D829" s="9"/>
      <c r="E829" s="9"/>
      <c r="F829" s="9"/>
      <c r="G829" s="9"/>
      <c r="H829" s="9"/>
      <c r="I829" s="9"/>
      <c r="J829" s="10" t="str">
        <f aca="false">IF(A829="","",IF(G829&lt;&gt;"",G829,IF(N(F829)&gt;0,ROUND(1000/F829,3),0)))</f>
        <v/>
      </c>
      <c r="K829" s="10" t="str">
        <f aca="false">IF(OR(A829="",E829="",H829=""),"",ROUND(0.00617*E829^2*H829*J829,2))</f>
        <v/>
      </c>
      <c r="L829" s="9"/>
      <c r="M829" s="10" t="str">
        <f aca="false">IF(A829="","",IF((COUNTIF(Drain_Register!$A$5:$A$304,A829)+COUNTIF(RW_Register!$A$5:$A$304,A829)+COUNTIF(Embedded_Wall_Register!$A$5:$A$304,A829)+COUNTIF(Manhole_Register!$A$5:$A$304,A829)+COUNTIF(ERSS_Pit_Register!$A$5:$A$304,A829)+COUNTIF(Linkway_Register!$A$5:$A$304,A829)+COUNTIF(Other_Register!$A$5:$A$304,A829))&gt;0,"OK","ID not in any register"))</f>
        <v/>
      </c>
    </row>
    <row r="830" customFormat="false" ht="15" hidden="false" customHeight="false" outlineLevel="0" collapsed="false">
      <c r="A830" s="9"/>
      <c r="B830" s="9"/>
      <c r="C830" s="9"/>
      <c r="D830" s="9"/>
      <c r="E830" s="9"/>
      <c r="F830" s="9"/>
      <c r="G830" s="9"/>
      <c r="H830" s="9"/>
      <c r="I830" s="9"/>
      <c r="J830" s="10" t="str">
        <f aca="false">IF(A830="","",IF(G830&lt;&gt;"",G830,IF(N(F830)&gt;0,ROUND(1000/F830,3),0)))</f>
        <v/>
      </c>
      <c r="K830" s="10" t="str">
        <f aca="false">IF(OR(A830="",E830="",H830=""),"",ROUND(0.00617*E830^2*H830*J830,2))</f>
        <v/>
      </c>
      <c r="L830" s="9"/>
      <c r="M830" s="10" t="str">
        <f aca="false">IF(A830="","",IF((COUNTIF(Drain_Register!$A$5:$A$304,A830)+COUNTIF(RW_Register!$A$5:$A$304,A830)+COUNTIF(Embedded_Wall_Register!$A$5:$A$304,A830)+COUNTIF(Manhole_Register!$A$5:$A$304,A830)+COUNTIF(ERSS_Pit_Register!$A$5:$A$304,A830)+COUNTIF(Linkway_Register!$A$5:$A$304,A830)+COUNTIF(Other_Register!$A$5:$A$304,A830))&gt;0,"OK","ID not in any register"))</f>
        <v/>
      </c>
    </row>
    <row r="831" customFormat="false" ht="15" hidden="false" customHeight="false" outlineLevel="0" collapsed="false">
      <c r="A831" s="9"/>
      <c r="B831" s="9"/>
      <c r="C831" s="9"/>
      <c r="D831" s="9"/>
      <c r="E831" s="9"/>
      <c r="F831" s="9"/>
      <c r="G831" s="9"/>
      <c r="H831" s="9"/>
      <c r="I831" s="9"/>
      <c r="J831" s="10" t="str">
        <f aca="false">IF(A831="","",IF(G831&lt;&gt;"",G831,IF(N(F831)&gt;0,ROUND(1000/F831,3),0)))</f>
        <v/>
      </c>
      <c r="K831" s="10" t="str">
        <f aca="false">IF(OR(A831="",E831="",H831=""),"",ROUND(0.00617*E831^2*H831*J831,2))</f>
        <v/>
      </c>
      <c r="L831" s="9"/>
      <c r="M831" s="10" t="str">
        <f aca="false">IF(A831="","",IF((COUNTIF(Drain_Register!$A$5:$A$304,A831)+COUNTIF(RW_Register!$A$5:$A$304,A831)+COUNTIF(Embedded_Wall_Register!$A$5:$A$304,A831)+COUNTIF(Manhole_Register!$A$5:$A$304,A831)+COUNTIF(ERSS_Pit_Register!$A$5:$A$304,A831)+COUNTIF(Linkway_Register!$A$5:$A$304,A831)+COUNTIF(Other_Register!$A$5:$A$304,A831))&gt;0,"OK","ID not in any register"))</f>
        <v/>
      </c>
    </row>
    <row r="832" customFormat="false" ht="15" hidden="false" customHeight="false" outlineLevel="0" collapsed="false">
      <c r="A832" s="9"/>
      <c r="B832" s="9"/>
      <c r="C832" s="9"/>
      <c r="D832" s="9"/>
      <c r="E832" s="9"/>
      <c r="F832" s="9"/>
      <c r="G832" s="9"/>
      <c r="H832" s="9"/>
      <c r="I832" s="9"/>
      <c r="J832" s="10" t="str">
        <f aca="false">IF(A832="","",IF(G832&lt;&gt;"",G832,IF(N(F832)&gt;0,ROUND(1000/F832,3),0)))</f>
        <v/>
      </c>
      <c r="K832" s="10" t="str">
        <f aca="false">IF(OR(A832="",E832="",H832=""),"",ROUND(0.00617*E832^2*H832*J832,2))</f>
        <v/>
      </c>
      <c r="L832" s="9"/>
      <c r="M832" s="10" t="str">
        <f aca="false">IF(A832="","",IF((COUNTIF(Drain_Register!$A$5:$A$304,A832)+COUNTIF(RW_Register!$A$5:$A$304,A832)+COUNTIF(Embedded_Wall_Register!$A$5:$A$304,A832)+COUNTIF(Manhole_Register!$A$5:$A$304,A832)+COUNTIF(ERSS_Pit_Register!$A$5:$A$304,A832)+COUNTIF(Linkway_Register!$A$5:$A$304,A832)+COUNTIF(Other_Register!$A$5:$A$304,A832))&gt;0,"OK","ID not in any register"))</f>
        <v/>
      </c>
    </row>
    <row r="833" customFormat="false" ht="15" hidden="false" customHeight="false" outlineLevel="0" collapsed="false">
      <c r="A833" s="9"/>
      <c r="B833" s="9"/>
      <c r="C833" s="9"/>
      <c r="D833" s="9"/>
      <c r="E833" s="9"/>
      <c r="F833" s="9"/>
      <c r="G833" s="9"/>
      <c r="H833" s="9"/>
      <c r="I833" s="9"/>
      <c r="J833" s="10" t="str">
        <f aca="false">IF(A833="","",IF(G833&lt;&gt;"",G833,IF(N(F833)&gt;0,ROUND(1000/F833,3),0)))</f>
        <v/>
      </c>
      <c r="K833" s="10" t="str">
        <f aca="false">IF(OR(A833="",E833="",H833=""),"",ROUND(0.00617*E833^2*H833*J833,2))</f>
        <v/>
      </c>
      <c r="L833" s="9"/>
      <c r="M833" s="10" t="str">
        <f aca="false">IF(A833="","",IF((COUNTIF(Drain_Register!$A$5:$A$304,A833)+COUNTIF(RW_Register!$A$5:$A$304,A833)+COUNTIF(Embedded_Wall_Register!$A$5:$A$304,A833)+COUNTIF(Manhole_Register!$A$5:$A$304,A833)+COUNTIF(ERSS_Pit_Register!$A$5:$A$304,A833)+COUNTIF(Linkway_Register!$A$5:$A$304,A833)+COUNTIF(Other_Register!$A$5:$A$304,A833))&gt;0,"OK","ID not in any register"))</f>
        <v/>
      </c>
    </row>
    <row r="834" customFormat="false" ht="15" hidden="false" customHeight="false" outlineLevel="0" collapsed="false">
      <c r="A834" s="9"/>
      <c r="B834" s="9"/>
      <c r="C834" s="9"/>
      <c r="D834" s="9"/>
      <c r="E834" s="9"/>
      <c r="F834" s="9"/>
      <c r="G834" s="9"/>
      <c r="H834" s="9"/>
      <c r="I834" s="9"/>
      <c r="J834" s="10" t="str">
        <f aca="false">IF(A834="","",IF(G834&lt;&gt;"",G834,IF(N(F834)&gt;0,ROUND(1000/F834,3),0)))</f>
        <v/>
      </c>
      <c r="K834" s="10" t="str">
        <f aca="false">IF(OR(A834="",E834="",H834=""),"",ROUND(0.00617*E834^2*H834*J834,2))</f>
        <v/>
      </c>
      <c r="L834" s="9"/>
      <c r="M834" s="10" t="str">
        <f aca="false">IF(A834="","",IF((COUNTIF(Drain_Register!$A$5:$A$304,A834)+COUNTIF(RW_Register!$A$5:$A$304,A834)+COUNTIF(Embedded_Wall_Register!$A$5:$A$304,A834)+COUNTIF(Manhole_Register!$A$5:$A$304,A834)+COUNTIF(ERSS_Pit_Register!$A$5:$A$304,A834)+COUNTIF(Linkway_Register!$A$5:$A$304,A834)+COUNTIF(Other_Register!$A$5:$A$304,A834))&gt;0,"OK","ID not in any register"))</f>
        <v/>
      </c>
    </row>
    <row r="835" customFormat="false" ht="15" hidden="false" customHeight="false" outlineLevel="0" collapsed="false">
      <c r="A835" s="9"/>
      <c r="B835" s="9"/>
      <c r="C835" s="9"/>
      <c r="D835" s="9"/>
      <c r="E835" s="9"/>
      <c r="F835" s="9"/>
      <c r="G835" s="9"/>
      <c r="H835" s="9"/>
      <c r="I835" s="9"/>
      <c r="J835" s="10" t="str">
        <f aca="false">IF(A835="","",IF(G835&lt;&gt;"",G835,IF(N(F835)&gt;0,ROUND(1000/F835,3),0)))</f>
        <v/>
      </c>
      <c r="K835" s="10" t="str">
        <f aca="false">IF(OR(A835="",E835="",H835=""),"",ROUND(0.00617*E835^2*H835*J835,2))</f>
        <v/>
      </c>
      <c r="L835" s="9"/>
      <c r="M835" s="10" t="str">
        <f aca="false">IF(A835="","",IF((COUNTIF(Drain_Register!$A$5:$A$304,A835)+COUNTIF(RW_Register!$A$5:$A$304,A835)+COUNTIF(Embedded_Wall_Register!$A$5:$A$304,A835)+COUNTIF(Manhole_Register!$A$5:$A$304,A835)+COUNTIF(ERSS_Pit_Register!$A$5:$A$304,A835)+COUNTIF(Linkway_Register!$A$5:$A$304,A835)+COUNTIF(Other_Register!$A$5:$A$304,A835))&gt;0,"OK","ID not in any register"))</f>
        <v/>
      </c>
    </row>
    <row r="836" customFormat="false" ht="15" hidden="false" customHeight="false" outlineLevel="0" collapsed="false">
      <c r="A836" s="9"/>
      <c r="B836" s="9"/>
      <c r="C836" s="9"/>
      <c r="D836" s="9"/>
      <c r="E836" s="9"/>
      <c r="F836" s="9"/>
      <c r="G836" s="9"/>
      <c r="H836" s="9"/>
      <c r="I836" s="9"/>
      <c r="J836" s="10" t="str">
        <f aca="false">IF(A836="","",IF(G836&lt;&gt;"",G836,IF(N(F836)&gt;0,ROUND(1000/F836,3),0)))</f>
        <v/>
      </c>
      <c r="K836" s="10" t="str">
        <f aca="false">IF(OR(A836="",E836="",H836=""),"",ROUND(0.00617*E836^2*H836*J836,2))</f>
        <v/>
      </c>
      <c r="L836" s="9"/>
      <c r="M836" s="10" t="str">
        <f aca="false">IF(A836="","",IF((COUNTIF(Drain_Register!$A$5:$A$304,A836)+COUNTIF(RW_Register!$A$5:$A$304,A836)+COUNTIF(Embedded_Wall_Register!$A$5:$A$304,A836)+COUNTIF(Manhole_Register!$A$5:$A$304,A836)+COUNTIF(ERSS_Pit_Register!$A$5:$A$304,A836)+COUNTIF(Linkway_Register!$A$5:$A$304,A836)+COUNTIF(Other_Register!$A$5:$A$304,A836))&gt;0,"OK","ID not in any register"))</f>
        <v/>
      </c>
    </row>
    <row r="837" customFormat="false" ht="15" hidden="false" customHeight="false" outlineLevel="0" collapsed="false">
      <c r="A837" s="9"/>
      <c r="B837" s="9"/>
      <c r="C837" s="9"/>
      <c r="D837" s="9"/>
      <c r="E837" s="9"/>
      <c r="F837" s="9"/>
      <c r="G837" s="9"/>
      <c r="H837" s="9"/>
      <c r="I837" s="9"/>
      <c r="J837" s="10" t="str">
        <f aca="false">IF(A837="","",IF(G837&lt;&gt;"",G837,IF(N(F837)&gt;0,ROUND(1000/F837,3),0)))</f>
        <v/>
      </c>
      <c r="K837" s="10" t="str">
        <f aca="false">IF(OR(A837="",E837="",H837=""),"",ROUND(0.00617*E837^2*H837*J837,2))</f>
        <v/>
      </c>
      <c r="L837" s="9"/>
      <c r="M837" s="10" t="str">
        <f aca="false">IF(A837="","",IF((COUNTIF(Drain_Register!$A$5:$A$304,A837)+COUNTIF(RW_Register!$A$5:$A$304,A837)+COUNTIF(Embedded_Wall_Register!$A$5:$A$304,A837)+COUNTIF(Manhole_Register!$A$5:$A$304,A837)+COUNTIF(ERSS_Pit_Register!$A$5:$A$304,A837)+COUNTIF(Linkway_Register!$A$5:$A$304,A837)+COUNTIF(Other_Register!$A$5:$A$304,A837))&gt;0,"OK","ID not in any register"))</f>
        <v/>
      </c>
    </row>
    <row r="838" customFormat="false" ht="15" hidden="false" customHeight="false" outlineLevel="0" collapsed="false">
      <c r="A838" s="9"/>
      <c r="B838" s="9"/>
      <c r="C838" s="9"/>
      <c r="D838" s="9"/>
      <c r="E838" s="9"/>
      <c r="F838" s="9"/>
      <c r="G838" s="9"/>
      <c r="H838" s="9"/>
      <c r="I838" s="9"/>
      <c r="J838" s="10" t="str">
        <f aca="false">IF(A838="","",IF(G838&lt;&gt;"",G838,IF(N(F838)&gt;0,ROUND(1000/F838,3),0)))</f>
        <v/>
      </c>
      <c r="K838" s="10" t="str">
        <f aca="false">IF(OR(A838="",E838="",H838=""),"",ROUND(0.00617*E838^2*H838*J838,2))</f>
        <v/>
      </c>
      <c r="L838" s="9"/>
      <c r="M838" s="10" t="str">
        <f aca="false">IF(A838="","",IF((COUNTIF(Drain_Register!$A$5:$A$304,A838)+COUNTIF(RW_Register!$A$5:$A$304,A838)+COUNTIF(Embedded_Wall_Register!$A$5:$A$304,A838)+COUNTIF(Manhole_Register!$A$5:$A$304,A838)+COUNTIF(ERSS_Pit_Register!$A$5:$A$304,A838)+COUNTIF(Linkway_Register!$A$5:$A$304,A838)+COUNTIF(Other_Register!$A$5:$A$304,A838))&gt;0,"OK","ID not in any register"))</f>
        <v/>
      </c>
    </row>
    <row r="839" customFormat="false" ht="15" hidden="false" customHeight="false" outlineLevel="0" collapsed="false">
      <c r="A839" s="9"/>
      <c r="B839" s="9"/>
      <c r="C839" s="9"/>
      <c r="D839" s="9"/>
      <c r="E839" s="9"/>
      <c r="F839" s="9"/>
      <c r="G839" s="9"/>
      <c r="H839" s="9"/>
      <c r="I839" s="9"/>
      <c r="J839" s="10" t="str">
        <f aca="false">IF(A839="","",IF(G839&lt;&gt;"",G839,IF(N(F839)&gt;0,ROUND(1000/F839,3),0)))</f>
        <v/>
      </c>
      <c r="K839" s="10" t="str">
        <f aca="false">IF(OR(A839="",E839="",H839=""),"",ROUND(0.00617*E839^2*H839*J839,2))</f>
        <v/>
      </c>
      <c r="L839" s="9"/>
      <c r="M839" s="10" t="str">
        <f aca="false">IF(A839="","",IF((COUNTIF(Drain_Register!$A$5:$A$304,A839)+COUNTIF(RW_Register!$A$5:$A$304,A839)+COUNTIF(Embedded_Wall_Register!$A$5:$A$304,A839)+COUNTIF(Manhole_Register!$A$5:$A$304,A839)+COUNTIF(ERSS_Pit_Register!$A$5:$A$304,A839)+COUNTIF(Linkway_Register!$A$5:$A$304,A839)+COUNTIF(Other_Register!$A$5:$A$304,A839))&gt;0,"OK","ID not in any register"))</f>
        <v/>
      </c>
    </row>
    <row r="840" customFormat="false" ht="15" hidden="false" customHeight="false" outlineLevel="0" collapsed="false">
      <c r="A840" s="9"/>
      <c r="B840" s="9"/>
      <c r="C840" s="9"/>
      <c r="D840" s="9"/>
      <c r="E840" s="9"/>
      <c r="F840" s="9"/>
      <c r="G840" s="9"/>
      <c r="H840" s="9"/>
      <c r="I840" s="9"/>
      <c r="J840" s="10" t="str">
        <f aca="false">IF(A840="","",IF(G840&lt;&gt;"",G840,IF(N(F840)&gt;0,ROUND(1000/F840,3),0)))</f>
        <v/>
      </c>
      <c r="K840" s="10" t="str">
        <f aca="false">IF(OR(A840="",E840="",H840=""),"",ROUND(0.00617*E840^2*H840*J840,2))</f>
        <v/>
      </c>
      <c r="L840" s="9"/>
      <c r="M840" s="10" t="str">
        <f aca="false">IF(A840="","",IF((COUNTIF(Drain_Register!$A$5:$A$304,A840)+COUNTIF(RW_Register!$A$5:$A$304,A840)+COUNTIF(Embedded_Wall_Register!$A$5:$A$304,A840)+COUNTIF(Manhole_Register!$A$5:$A$304,A840)+COUNTIF(ERSS_Pit_Register!$A$5:$A$304,A840)+COUNTIF(Linkway_Register!$A$5:$A$304,A840)+COUNTIF(Other_Register!$A$5:$A$304,A840))&gt;0,"OK","ID not in any register"))</f>
        <v/>
      </c>
    </row>
    <row r="841" customFormat="false" ht="15" hidden="false" customHeight="false" outlineLevel="0" collapsed="false">
      <c r="A841" s="9"/>
      <c r="B841" s="9"/>
      <c r="C841" s="9"/>
      <c r="D841" s="9"/>
      <c r="E841" s="9"/>
      <c r="F841" s="9"/>
      <c r="G841" s="9"/>
      <c r="H841" s="9"/>
      <c r="I841" s="9"/>
      <c r="J841" s="10" t="str">
        <f aca="false">IF(A841="","",IF(G841&lt;&gt;"",G841,IF(N(F841)&gt;0,ROUND(1000/F841,3),0)))</f>
        <v/>
      </c>
      <c r="K841" s="10" t="str">
        <f aca="false">IF(OR(A841="",E841="",H841=""),"",ROUND(0.00617*E841^2*H841*J841,2))</f>
        <v/>
      </c>
      <c r="L841" s="9"/>
      <c r="M841" s="10" t="str">
        <f aca="false">IF(A841="","",IF((COUNTIF(Drain_Register!$A$5:$A$304,A841)+COUNTIF(RW_Register!$A$5:$A$304,A841)+COUNTIF(Embedded_Wall_Register!$A$5:$A$304,A841)+COUNTIF(Manhole_Register!$A$5:$A$304,A841)+COUNTIF(ERSS_Pit_Register!$A$5:$A$304,A841)+COUNTIF(Linkway_Register!$A$5:$A$304,A841)+COUNTIF(Other_Register!$A$5:$A$304,A841))&gt;0,"OK","ID not in any register"))</f>
        <v/>
      </c>
    </row>
    <row r="842" customFormat="false" ht="15" hidden="false" customHeight="false" outlineLevel="0" collapsed="false">
      <c r="A842" s="9"/>
      <c r="B842" s="9"/>
      <c r="C842" s="9"/>
      <c r="D842" s="9"/>
      <c r="E842" s="9"/>
      <c r="F842" s="9"/>
      <c r="G842" s="9"/>
      <c r="H842" s="9"/>
      <c r="I842" s="9"/>
      <c r="J842" s="10" t="str">
        <f aca="false">IF(A842="","",IF(G842&lt;&gt;"",G842,IF(N(F842)&gt;0,ROUND(1000/F842,3),0)))</f>
        <v/>
      </c>
      <c r="K842" s="10" t="str">
        <f aca="false">IF(OR(A842="",E842="",H842=""),"",ROUND(0.00617*E842^2*H842*J842,2))</f>
        <v/>
      </c>
      <c r="L842" s="9"/>
      <c r="M842" s="10" t="str">
        <f aca="false">IF(A842="","",IF((COUNTIF(Drain_Register!$A$5:$A$304,A842)+COUNTIF(RW_Register!$A$5:$A$304,A842)+COUNTIF(Embedded_Wall_Register!$A$5:$A$304,A842)+COUNTIF(Manhole_Register!$A$5:$A$304,A842)+COUNTIF(ERSS_Pit_Register!$A$5:$A$304,A842)+COUNTIF(Linkway_Register!$A$5:$A$304,A842)+COUNTIF(Other_Register!$A$5:$A$304,A842))&gt;0,"OK","ID not in any register"))</f>
        <v/>
      </c>
    </row>
    <row r="843" customFormat="false" ht="15" hidden="false" customHeight="false" outlineLevel="0" collapsed="false">
      <c r="A843" s="9"/>
      <c r="B843" s="9"/>
      <c r="C843" s="9"/>
      <c r="D843" s="9"/>
      <c r="E843" s="9"/>
      <c r="F843" s="9"/>
      <c r="G843" s="9"/>
      <c r="H843" s="9"/>
      <c r="I843" s="9"/>
      <c r="J843" s="10" t="str">
        <f aca="false">IF(A843="","",IF(G843&lt;&gt;"",G843,IF(N(F843)&gt;0,ROUND(1000/F843,3),0)))</f>
        <v/>
      </c>
      <c r="K843" s="10" t="str">
        <f aca="false">IF(OR(A843="",E843="",H843=""),"",ROUND(0.00617*E843^2*H843*J843,2))</f>
        <v/>
      </c>
      <c r="L843" s="9"/>
      <c r="M843" s="10" t="str">
        <f aca="false">IF(A843="","",IF((COUNTIF(Drain_Register!$A$5:$A$304,A843)+COUNTIF(RW_Register!$A$5:$A$304,A843)+COUNTIF(Embedded_Wall_Register!$A$5:$A$304,A843)+COUNTIF(Manhole_Register!$A$5:$A$304,A843)+COUNTIF(ERSS_Pit_Register!$A$5:$A$304,A843)+COUNTIF(Linkway_Register!$A$5:$A$304,A843)+COUNTIF(Other_Register!$A$5:$A$304,A843))&gt;0,"OK","ID not in any register"))</f>
        <v/>
      </c>
    </row>
    <row r="844" customFormat="false" ht="15" hidden="false" customHeight="false" outlineLevel="0" collapsed="false">
      <c r="A844" s="9"/>
      <c r="B844" s="9"/>
      <c r="C844" s="9"/>
      <c r="D844" s="9"/>
      <c r="E844" s="9"/>
      <c r="F844" s="9"/>
      <c r="G844" s="9"/>
      <c r="H844" s="9"/>
      <c r="I844" s="9"/>
      <c r="J844" s="10" t="str">
        <f aca="false">IF(A844="","",IF(G844&lt;&gt;"",G844,IF(N(F844)&gt;0,ROUND(1000/F844,3),0)))</f>
        <v/>
      </c>
      <c r="K844" s="10" t="str">
        <f aca="false">IF(OR(A844="",E844="",H844=""),"",ROUND(0.00617*E844^2*H844*J844,2))</f>
        <v/>
      </c>
      <c r="L844" s="9"/>
      <c r="M844" s="10" t="str">
        <f aca="false">IF(A844="","",IF((COUNTIF(Drain_Register!$A$5:$A$304,A844)+COUNTIF(RW_Register!$A$5:$A$304,A844)+COUNTIF(Embedded_Wall_Register!$A$5:$A$304,A844)+COUNTIF(Manhole_Register!$A$5:$A$304,A844)+COUNTIF(ERSS_Pit_Register!$A$5:$A$304,A844)+COUNTIF(Linkway_Register!$A$5:$A$304,A844)+COUNTIF(Other_Register!$A$5:$A$304,A844))&gt;0,"OK","ID not in any register"))</f>
        <v/>
      </c>
    </row>
    <row r="845" customFormat="false" ht="15" hidden="false" customHeight="false" outlineLevel="0" collapsed="false">
      <c r="A845" s="9"/>
      <c r="B845" s="9"/>
      <c r="C845" s="9"/>
      <c r="D845" s="9"/>
      <c r="E845" s="9"/>
      <c r="F845" s="9"/>
      <c r="G845" s="9"/>
      <c r="H845" s="9"/>
      <c r="I845" s="9"/>
      <c r="J845" s="10" t="str">
        <f aca="false">IF(A845="","",IF(G845&lt;&gt;"",G845,IF(N(F845)&gt;0,ROUND(1000/F845,3),0)))</f>
        <v/>
      </c>
      <c r="K845" s="10" t="str">
        <f aca="false">IF(OR(A845="",E845="",H845=""),"",ROUND(0.00617*E845^2*H845*J845,2))</f>
        <v/>
      </c>
      <c r="L845" s="9"/>
      <c r="M845" s="10" t="str">
        <f aca="false">IF(A845="","",IF((COUNTIF(Drain_Register!$A$5:$A$304,A845)+COUNTIF(RW_Register!$A$5:$A$304,A845)+COUNTIF(Embedded_Wall_Register!$A$5:$A$304,A845)+COUNTIF(Manhole_Register!$A$5:$A$304,A845)+COUNTIF(ERSS_Pit_Register!$A$5:$A$304,A845)+COUNTIF(Linkway_Register!$A$5:$A$304,A845)+COUNTIF(Other_Register!$A$5:$A$304,A845))&gt;0,"OK","ID not in any register"))</f>
        <v/>
      </c>
    </row>
    <row r="846" customFormat="false" ht="15" hidden="false" customHeight="false" outlineLevel="0" collapsed="false">
      <c r="A846" s="9"/>
      <c r="B846" s="9"/>
      <c r="C846" s="9"/>
      <c r="D846" s="9"/>
      <c r="E846" s="9"/>
      <c r="F846" s="9"/>
      <c r="G846" s="9"/>
      <c r="H846" s="9"/>
      <c r="I846" s="9"/>
      <c r="J846" s="10" t="str">
        <f aca="false">IF(A846="","",IF(G846&lt;&gt;"",G846,IF(N(F846)&gt;0,ROUND(1000/F846,3),0)))</f>
        <v/>
      </c>
      <c r="K846" s="10" t="str">
        <f aca="false">IF(OR(A846="",E846="",H846=""),"",ROUND(0.00617*E846^2*H846*J846,2))</f>
        <v/>
      </c>
      <c r="L846" s="9"/>
      <c r="M846" s="10" t="str">
        <f aca="false">IF(A846="","",IF((COUNTIF(Drain_Register!$A$5:$A$304,A846)+COUNTIF(RW_Register!$A$5:$A$304,A846)+COUNTIF(Embedded_Wall_Register!$A$5:$A$304,A846)+COUNTIF(Manhole_Register!$A$5:$A$304,A846)+COUNTIF(ERSS_Pit_Register!$A$5:$A$304,A846)+COUNTIF(Linkway_Register!$A$5:$A$304,A846)+COUNTIF(Other_Register!$A$5:$A$304,A846))&gt;0,"OK","ID not in any register"))</f>
        <v/>
      </c>
    </row>
    <row r="847" customFormat="false" ht="15" hidden="false" customHeight="false" outlineLevel="0" collapsed="false">
      <c r="A847" s="9"/>
      <c r="B847" s="9"/>
      <c r="C847" s="9"/>
      <c r="D847" s="9"/>
      <c r="E847" s="9"/>
      <c r="F847" s="9"/>
      <c r="G847" s="9"/>
      <c r="H847" s="9"/>
      <c r="I847" s="9"/>
      <c r="J847" s="10" t="str">
        <f aca="false">IF(A847="","",IF(G847&lt;&gt;"",G847,IF(N(F847)&gt;0,ROUND(1000/F847,3),0)))</f>
        <v/>
      </c>
      <c r="K847" s="10" t="str">
        <f aca="false">IF(OR(A847="",E847="",H847=""),"",ROUND(0.00617*E847^2*H847*J847,2))</f>
        <v/>
      </c>
      <c r="L847" s="9"/>
      <c r="M847" s="10" t="str">
        <f aca="false">IF(A847="","",IF((COUNTIF(Drain_Register!$A$5:$A$304,A847)+COUNTIF(RW_Register!$A$5:$A$304,A847)+COUNTIF(Embedded_Wall_Register!$A$5:$A$304,A847)+COUNTIF(Manhole_Register!$A$5:$A$304,A847)+COUNTIF(ERSS_Pit_Register!$A$5:$A$304,A847)+COUNTIF(Linkway_Register!$A$5:$A$304,A847)+COUNTIF(Other_Register!$A$5:$A$304,A847))&gt;0,"OK","ID not in any register"))</f>
        <v/>
      </c>
    </row>
    <row r="848" customFormat="false" ht="15" hidden="false" customHeight="false" outlineLevel="0" collapsed="false">
      <c r="A848" s="9"/>
      <c r="B848" s="9"/>
      <c r="C848" s="9"/>
      <c r="D848" s="9"/>
      <c r="E848" s="9"/>
      <c r="F848" s="9"/>
      <c r="G848" s="9"/>
      <c r="H848" s="9"/>
      <c r="I848" s="9"/>
      <c r="J848" s="10" t="str">
        <f aca="false">IF(A848="","",IF(G848&lt;&gt;"",G848,IF(N(F848)&gt;0,ROUND(1000/F848,3),0)))</f>
        <v/>
      </c>
      <c r="K848" s="10" t="str">
        <f aca="false">IF(OR(A848="",E848="",H848=""),"",ROUND(0.00617*E848^2*H848*J848,2))</f>
        <v/>
      </c>
      <c r="L848" s="9"/>
      <c r="M848" s="10" t="str">
        <f aca="false">IF(A848="","",IF((COUNTIF(Drain_Register!$A$5:$A$304,A848)+COUNTIF(RW_Register!$A$5:$A$304,A848)+COUNTIF(Embedded_Wall_Register!$A$5:$A$304,A848)+COUNTIF(Manhole_Register!$A$5:$A$304,A848)+COUNTIF(ERSS_Pit_Register!$A$5:$A$304,A848)+COUNTIF(Linkway_Register!$A$5:$A$304,A848)+COUNTIF(Other_Register!$A$5:$A$304,A848))&gt;0,"OK","ID not in any register"))</f>
        <v/>
      </c>
    </row>
    <row r="849" customFormat="false" ht="15" hidden="false" customHeight="false" outlineLevel="0" collapsed="false">
      <c r="A849" s="9"/>
      <c r="B849" s="9"/>
      <c r="C849" s="9"/>
      <c r="D849" s="9"/>
      <c r="E849" s="9"/>
      <c r="F849" s="9"/>
      <c r="G849" s="9"/>
      <c r="H849" s="9"/>
      <c r="I849" s="9"/>
      <c r="J849" s="10" t="str">
        <f aca="false">IF(A849="","",IF(G849&lt;&gt;"",G849,IF(N(F849)&gt;0,ROUND(1000/F849,3),0)))</f>
        <v/>
      </c>
      <c r="K849" s="10" t="str">
        <f aca="false">IF(OR(A849="",E849="",H849=""),"",ROUND(0.00617*E849^2*H849*J849,2))</f>
        <v/>
      </c>
      <c r="L849" s="9"/>
      <c r="M849" s="10" t="str">
        <f aca="false">IF(A849="","",IF((COUNTIF(Drain_Register!$A$5:$A$304,A849)+COUNTIF(RW_Register!$A$5:$A$304,A849)+COUNTIF(Embedded_Wall_Register!$A$5:$A$304,A849)+COUNTIF(Manhole_Register!$A$5:$A$304,A849)+COUNTIF(ERSS_Pit_Register!$A$5:$A$304,A849)+COUNTIF(Linkway_Register!$A$5:$A$304,A849)+COUNTIF(Other_Register!$A$5:$A$304,A849))&gt;0,"OK","ID not in any register"))</f>
        <v/>
      </c>
    </row>
    <row r="850" customFormat="false" ht="15" hidden="false" customHeight="false" outlineLevel="0" collapsed="false">
      <c r="A850" s="9"/>
      <c r="B850" s="9"/>
      <c r="C850" s="9"/>
      <c r="D850" s="9"/>
      <c r="E850" s="9"/>
      <c r="F850" s="9"/>
      <c r="G850" s="9"/>
      <c r="H850" s="9"/>
      <c r="I850" s="9"/>
      <c r="J850" s="10" t="str">
        <f aca="false">IF(A850="","",IF(G850&lt;&gt;"",G850,IF(N(F850)&gt;0,ROUND(1000/F850,3),0)))</f>
        <v/>
      </c>
      <c r="K850" s="10" t="str">
        <f aca="false">IF(OR(A850="",E850="",H850=""),"",ROUND(0.00617*E850^2*H850*J850,2))</f>
        <v/>
      </c>
      <c r="L850" s="9"/>
      <c r="M850" s="10" t="str">
        <f aca="false">IF(A850="","",IF((COUNTIF(Drain_Register!$A$5:$A$304,A850)+COUNTIF(RW_Register!$A$5:$A$304,A850)+COUNTIF(Embedded_Wall_Register!$A$5:$A$304,A850)+COUNTIF(Manhole_Register!$A$5:$A$304,A850)+COUNTIF(ERSS_Pit_Register!$A$5:$A$304,A850)+COUNTIF(Linkway_Register!$A$5:$A$304,A850)+COUNTIF(Other_Register!$A$5:$A$304,A850))&gt;0,"OK","ID not in any register"))</f>
        <v/>
      </c>
    </row>
    <row r="851" customFormat="false" ht="15" hidden="false" customHeight="false" outlineLevel="0" collapsed="false">
      <c r="A851" s="9"/>
      <c r="B851" s="9"/>
      <c r="C851" s="9"/>
      <c r="D851" s="9"/>
      <c r="E851" s="9"/>
      <c r="F851" s="9"/>
      <c r="G851" s="9"/>
      <c r="H851" s="9"/>
      <c r="I851" s="9"/>
      <c r="J851" s="10" t="str">
        <f aca="false">IF(A851="","",IF(G851&lt;&gt;"",G851,IF(N(F851)&gt;0,ROUND(1000/F851,3),0)))</f>
        <v/>
      </c>
      <c r="K851" s="10" t="str">
        <f aca="false">IF(OR(A851="",E851="",H851=""),"",ROUND(0.00617*E851^2*H851*J851,2))</f>
        <v/>
      </c>
      <c r="L851" s="9"/>
      <c r="M851" s="10" t="str">
        <f aca="false">IF(A851="","",IF((COUNTIF(Drain_Register!$A$5:$A$304,A851)+COUNTIF(RW_Register!$A$5:$A$304,A851)+COUNTIF(Embedded_Wall_Register!$A$5:$A$304,A851)+COUNTIF(Manhole_Register!$A$5:$A$304,A851)+COUNTIF(ERSS_Pit_Register!$A$5:$A$304,A851)+COUNTIF(Linkway_Register!$A$5:$A$304,A851)+COUNTIF(Other_Register!$A$5:$A$304,A851))&gt;0,"OK","ID not in any register"))</f>
        <v/>
      </c>
    </row>
    <row r="852" customFormat="false" ht="15" hidden="false" customHeight="false" outlineLevel="0" collapsed="false">
      <c r="A852" s="9"/>
      <c r="B852" s="9"/>
      <c r="C852" s="9"/>
      <c r="D852" s="9"/>
      <c r="E852" s="9"/>
      <c r="F852" s="9"/>
      <c r="G852" s="9"/>
      <c r="H852" s="9"/>
      <c r="I852" s="9"/>
      <c r="J852" s="10" t="str">
        <f aca="false">IF(A852="","",IF(G852&lt;&gt;"",G852,IF(N(F852)&gt;0,ROUND(1000/F852,3),0)))</f>
        <v/>
      </c>
      <c r="K852" s="10" t="str">
        <f aca="false">IF(OR(A852="",E852="",H852=""),"",ROUND(0.00617*E852^2*H852*J852,2))</f>
        <v/>
      </c>
      <c r="L852" s="9"/>
      <c r="M852" s="10" t="str">
        <f aca="false">IF(A852="","",IF((COUNTIF(Drain_Register!$A$5:$A$304,A852)+COUNTIF(RW_Register!$A$5:$A$304,A852)+COUNTIF(Embedded_Wall_Register!$A$5:$A$304,A852)+COUNTIF(Manhole_Register!$A$5:$A$304,A852)+COUNTIF(ERSS_Pit_Register!$A$5:$A$304,A852)+COUNTIF(Linkway_Register!$A$5:$A$304,A852)+COUNTIF(Other_Register!$A$5:$A$304,A852))&gt;0,"OK","ID not in any register"))</f>
        <v/>
      </c>
    </row>
    <row r="853" customFormat="false" ht="15" hidden="false" customHeight="false" outlineLevel="0" collapsed="false">
      <c r="A853" s="9"/>
      <c r="B853" s="9"/>
      <c r="C853" s="9"/>
      <c r="D853" s="9"/>
      <c r="E853" s="9"/>
      <c r="F853" s="9"/>
      <c r="G853" s="9"/>
      <c r="H853" s="9"/>
      <c r="I853" s="9"/>
      <c r="J853" s="10" t="str">
        <f aca="false">IF(A853="","",IF(G853&lt;&gt;"",G853,IF(N(F853)&gt;0,ROUND(1000/F853,3),0)))</f>
        <v/>
      </c>
      <c r="K853" s="10" t="str">
        <f aca="false">IF(OR(A853="",E853="",H853=""),"",ROUND(0.00617*E853^2*H853*J853,2))</f>
        <v/>
      </c>
      <c r="L853" s="9"/>
      <c r="M853" s="10" t="str">
        <f aca="false">IF(A853="","",IF((COUNTIF(Drain_Register!$A$5:$A$304,A853)+COUNTIF(RW_Register!$A$5:$A$304,A853)+COUNTIF(Embedded_Wall_Register!$A$5:$A$304,A853)+COUNTIF(Manhole_Register!$A$5:$A$304,A853)+COUNTIF(ERSS_Pit_Register!$A$5:$A$304,A853)+COUNTIF(Linkway_Register!$A$5:$A$304,A853)+COUNTIF(Other_Register!$A$5:$A$304,A853))&gt;0,"OK","ID not in any register"))</f>
        <v/>
      </c>
    </row>
    <row r="854" customFormat="false" ht="15" hidden="false" customHeight="false" outlineLevel="0" collapsed="false">
      <c r="A854" s="9"/>
      <c r="B854" s="9"/>
      <c r="C854" s="9"/>
      <c r="D854" s="9"/>
      <c r="E854" s="9"/>
      <c r="F854" s="9"/>
      <c r="G854" s="9"/>
      <c r="H854" s="9"/>
      <c r="I854" s="9"/>
      <c r="J854" s="10" t="str">
        <f aca="false">IF(A854="","",IF(G854&lt;&gt;"",G854,IF(N(F854)&gt;0,ROUND(1000/F854,3),0)))</f>
        <v/>
      </c>
      <c r="K854" s="10" t="str">
        <f aca="false">IF(OR(A854="",E854="",H854=""),"",ROUND(0.00617*E854^2*H854*J854,2))</f>
        <v/>
      </c>
      <c r="L854" s="9"/>
      <c r="M854" s="10" t="str">
        <f aca="false">IF(A854="","",IF((COUNTIF(Drain_Register!$A$5:$A$304,A854)+COUNTIF(RW_Register!$A$5:$A$304,A854)+COUNTIF(Embedded_Wall_Register!$A$5:$A$304,A854)+COUNTIF(Manhole_Register!$A$5:$A$304,A854)+COUNTIF(ERSS_Pit_Register!$A$5:$A$304,A854)+COUNTIF(Linkway_Register!$A$5:$A$304,A854)+COUNTIF(Other_Register!$A$5:$A$304,A854))&gt;0,"OK","ID not in any register"))</f>
        <v/>
      </c>
    </row>
    <row r="855" customFormat="false" ht="15" hidden="false" customHeight="false" outlineLevel="0" collapsed="false">
      <c r="A855" s="9"/>
      <c r="B855" s="9"/>
      <c r="C855" s="9"/>
      <c r="D855" s="9"/>
      <c r="E855" s="9"/>
      <c r="F855" s="9"/>
      <c r="G855" s="9"/>
      <c r="H855" s="9"/>
      <c r="I855" s="9"/>
      <c r="J855" s="10" t="str">
        <f aca="false">IF(A855="","",IF(G855&lt;&gt;"",G855,IF(N(F855)&gt;0,ROUND(1000/F855,3),0)))</f>
        <v/>
      </c>
      <c r="K855" s="10" t="str">
        <f aca="false">IF(OR(A855="",E855="",H855=""),"",ROUND(0.00617*E855^2*H855*J855,2))</f>
        <v/>
      </c>
      <c r="L855" s="9"/>
      <c r="M855" s="10" t="str">
        <f aca="false">IF(A855="","",IF((COUNTIF(Drain_Register!$A$5:$A$304,A855)+COUNTIF(RW_Register!$A$5:$A$304,A855)+COUNTIF(Embedded_Wall_Register!$A$5:$A$304,A855)+COUNTIF(Manhole_Register!$A$5:$A$304,A855)+COUNTIF(ERSS_Pit_Register!$A$5:$A$304,A855)+COUNTIF(Linkway_Register!$A$5:$A$304,A855)+COUNTIF(Other_Register!$A$5:$A$304,A855))&gt;0,"OK","ID not in any register"))</f>
        <v/>
      </c>
    </row>
    <row r="856" customFormat="false" ht="15" hidden="false" customHeight="false" outlineLevel="0" collapsed="false">
      <c r="A856" s="9"/>
      <c r="B856" s="9"/>
      <c r="C856" s="9"/>
      <c r="D856" s="9"/>
      <c r="E856" s="9"/>
      <c r="F856" s="9"/>
      <c r="G856" s="9"/>
      <c r="H856" s="9"/>
      <c r="I856" s="9"/>
      <c r="J856" s="10" t="str">
        <f aca="false">IF(A856="","",IF(G856&lt;&gt;"",G856,IF(N(F856)&gt;0,ROUND(1000/F856,3),0)))</f>
        <v/>
      </c>
      <c r="K856" s="10" t="str">
        <f aca="false">IF(OR(A856="",E856="",H856=""),"",ROUND(0.00617*E856^2*H856*J856,2))</f>
        <v/>
      </c>
      <c r="L856" s="9"/>
      <c r="M856" s="10" t="str">
        <f aca="false">IF(A856="","",IF((COUNTIF(Drain_Register!$A$5:$A$304,A856)+COUNTIF(RW_Register!$A$5:$A$304,A856)+COUNTIF(Embedded_Wall_Register!$A$5:$A$304,A856)+COUNTIF(Manhole_Register!$A$5:$A$304,A856)+COUNTIF(ERSS_Pit_Register!$A$5:$A$304,A856)+COUNTIF(Linkway_Register!$A$5:$A$304,A856)+COUNTIF(Other_Register!$A$5:$A$304,A856))&gt;0,"OK","ID not in any register"))</f>
        <v/>
      </c>
    </row>
    <row r="857" customFormat="false" ht="15" hidden="false" customHeight="false" outlineLevel="0" collapsed="false">
      <c r="A857" s="9"/>
      <c r="B857" s="9"/>
      <c r="C857" s="9"/>
      <c r="D857" s="9"/>
      <c r="E857" s="9"/>
      <c r="F857" s="9"/>
      <c r="G857" s="9"/>
      <c r="H857" s="9"/>
      <c r="I857" s="9"/>
      <c r="J857" s="10" t="str">
        <f aca="false">IF(A857="","",IF(G857&lt;&gt;"",G857,IF(N(F857)&gt;0,ROUND(1000/F857,3),0)))</f>
        <v/>
      </c>
      <c r="K857" s="10" t="str">
        <f aca="false">IF(OR(A857="",E857="",H857=""),"",ROUND(0.00617*E857^2*H857*J857,2))</f>
        <v/>
      </c>
      <c r="L857" s="9"/>
      <c r="M857" s="10" t="str">
        <f aca="false">IF(A857="","",IF((COUNTIF(Drain_Register!$A$5:$A$304,A857)+COUNTIF(RW_Register!$A$5:$A$304,A857)+COUNTIF(Embedded_Wall_Register!$A$5:$A$304,A857)+COUNTIF(Manhole_Register!$A$5:$A$304,A857)+COUNTIF(ERSS_Pit_Register!$A$5:$A$304,A857)+COUNTIF(Linkway_Register!$A$5:$A$304,A857)+COUNTIF(Other_Register!$A$5:$A$304,A857))&gt;0,"OK","ID not in any register"))</f>
        <v/>
      </c>
    </row>
    <row r="858" customFormat="false" ht="15" hidden="false" customHeight="false" outlineLevel="0" collapsed="false">
      <c r="A858" s="9"/>
      <c r="B858" s="9"/>
      <c r="C858" s="9"/>
      <c r="D858" s="9"/>
      <c r="E858" s="9"/>
      <c r="F858" s="9"/>
      <c r="G858" s="9"/>
      <c r="H858" s="9"/>
      <c r="I858" s="9"/>
      <c r="J858" s="10" t="str">
        <f aca="false">IF(A858="","",IF(G858&lt;&gt;"",G858,IF(N(F858)&gt;0,ROUND(1000/F858,3),0)))</f>
        <v/>
      </c>
      <c r="K858" s="10" t="str">
        <f aca="false">IF(OR(A858="",E858="",H858=""),"",ROUND(0.00617*E858^2*H858*J858,2))</f>
        <v/>
      </c>
      <c r="L858" s="9"/>
      <c r="M858" s="10" t="str">
        <f aca="false">IF(A858="","",IF((COUNTIF(Drain_Register!$A$5:$A$304,A858)+COUNTIF(RW_Register!$A$5:$A$304,A858)+COUNTIF(Embedded_Wall_Register!$A$5:$A$304,A858)+COUNTIF(Manhole_Register!$A$5:$A$304,A858)+COUNTIF(ERSS_Pit_Register!$A$5:$A$304,A858)+COUNTIF(Linkway_Register!$A$5:$A$304,A858)+COUNTIF(Other_Register!$A$5:$A$304,A858))&gt;0,"OK","ID not in any register"))</f>
        <v/>
      </c>
    </row>
    <row r="859" customFormat="false" ht="15" hidden="false" customHeight="false" outlineLevel="0" collapsed="false">
      <c r="A859" s="9"/>
      <c r="B859" s="9"/>
      <c r="C859" s="9"/>
      <c r="D859" s="9"/>
      <c r="E859" s="9"/>
      <c r="F859" s="9"/>
      <c r="G859" s="9"/>
      <c r="H859" s="9"/>
      <c r="I859" s="9"/>
      <c r="J859" s="10" t="str">
        <f aca="false">IF(A859="","",IF(G859&lt;&gt;"",G859,IF(N(F859)&gt;0,ROUND(1000/F859,3),0)))</f>
        <v/>
      </c>
      <c r="K859" s="10" t="str">
        <f aca="false">IF(OR(A859="",E859="",H859=""),"",ROUND(0.00617*E859^2*H859*J859,2))</f>
        <v/>
      </c>
      <c r="L859" s="9"/>
      <c r="M859" s="10" t="str">
        <f aca="false">IF(A859="","",IF((COUNTIF(Drain_Register!$A$5:$A$304,A859)+COUNTIF(RW_Register!$A$5:$A$304,A859)+COUNTIF(Embedded_Wall_Register!$A$5:$A$304,A859)+COUNTIF(Manhole_Register!$A$5:$A$304,A859)+COUNTIF(ERSS_Pit_Register!$A$5:$A$304,A859)+COUNTIF(Linkway_Register!$A$5:$A$304,A859)+COUNTIF(Other_Register!$A$5:$A$304,A859))&gt;0,"OK","ID not in any register"))</f>
        <v/>
      </c>
    </row>
    <row r="860" customFormat="false" ht="15" hidden="false" customHeight="false" outlineLevel="0" collapsed="false">
      <c r="A860" s="9"/>
      <c r="B860" s="9"/>
      <c r="C860" s="9"/>
      <c r="D860" s="9"/>
      <c r="E860" s="9"/>
      <c r="F860" s="9"/>
      <c r="G860" s="9"/>
      <c r="H860" s="9"/>
      <c r="I860" s="9"/>
      <c r="J860" s="10" t="str">
        <f aca="false">IF(A860="","",IF(G860&lt;&gt;"",G860,IF(N(F860)&gt;0,ROUND(1000/F860,3),0)))</f>
        <v/>
      </c>
      <c r="K860" s="10" t="str">
        <f aca="false">IF(OR(A860="",E860="",H860=""),"",ROUND(0.00617*E860^2*H860*J860,2))</f>
        <v/>
      </c>
      <c r="L860" s="9"/>
      <c r="M860" s="10" t="str">
        <f aca="false">IF(A860="","",IF((COUNTIF(Drain_Register!$A$5:$A$304,A860)+COUNTIF(RW_Register!$A$5:$A$304,A860)+COUNTIF(Embedded_Wall_Register!$A$5:$A$304,A860)+COUNTIF(Manhole_Register!$A$5:$A$304,A860)+COUNTIF(ERSS_Pit_Register!$A$5:$A$304,A860)+COUNTIF(Linkway_Register!$A$5:$A$304,A860)+COUNTIF(Other_Register!$A$5:$A$304,A860))&gt;0,"OK","ID not in any register"))</f>
        <v/>
      </c>
    </row>
    <row r="861" customFormat="false" ht="15" hidden="false" customHeight="false" outlineLevel="0" collapsed="false">
      <c r="A861" s="9"/>
      <c r="B861" s="9"/>
      <c r="C861" s="9"/>
      <c r="D861" s="9"/>
      <c r="E861" s="9"/>
      <c r="F861" s="9"/>
      <c r="G861" s="9"/>
      <c r="H861" s="9"/>
      <c r="I861" s="9"/>
      <c r="J861" s="10" t="str">
        <f aca="false">IF(A861="","",IF(G861&lt;&gt;"",G861,IF(N(F861)&gt;0,ROUND(1000/F861,3),0)))</f>
        <v/>
      </c>
      <c r="K861" s="10" t="str">
        <f aca="false">IF(OR(A861="",E861="",H861=""),"",ROUND(0.00617*E861^2*H861*J861,2))</f>
        <v/>
      </c>
      <c r="L861" s="9"/>
      <c r="M861" s="10" t="str">
        <f aca="false">IF(A861="","",IF((COUNTIF(Drain_Register!$A$5:$A$304,A861)+COUNTIF(RW_Register!$A$5:$A$304,A861)+COUNTIF(Embedded_Wall_Register!$A$5:$A$304,A861)+COUNTIF(Manhole_Register!$A$5:$A$304,A861)+COUNTIF(ERSS_Pit_Register!$A$5:$A$304,A861)+COUNTIF(Linkway_Register!$A$5:$A$304,A861)+COUNTIF(Other_Register!$A$5:$A$304,A861))&gt;0,"OK","ID not in any register"))</f>
        <v/>
      </c>
    </row>
    <row r="862" customFormat="false" ht="15" hidden="false" customHeight="false" outlineLevel="0" collapsed="false">
      <c r="A862" s="9"/>
      <c r="B862" s="9"/>
      <c r="C862" s="9"/>
      <c r="D862" s="9"/>
      <c r="E862" s="9"/>
      <c r="F862" s="9"/>
      <c r="G862" s="9"/>
      <c r="H862" s="9"/>
      <c r="I862" s="9"/>
      <c r="J862" s="10" t="str">
        <f aca="false">IF(A862="","",IF(G862&lt;&gt;"",G862,IF(N(F862)&gt;0,ROUND(1000/F862,3),0)))</f>
        <v/>
      </c>
      <c r="K862" s="10" t="str">
        <f aca="false">IF(OR(A862="",E862="",H862=""),"",ROUND(0.00617*E862^2*H862*J862,2))</f>
        <v/>
      </c>
      <c r="L862" s="9"/>
      <c r="M862" s="10" t="str">
        <f aca="false">IF(A862="","",IF((COUNTIF(Drain_Register!$A$5:$A$304,A862)+COUNTIF(RW_Register!$A$5:$A$304,A862)+COUNTIF(Embedded_Wall_Register!$A$5:$A$304,A862)+COUNTIF(Manhole_Register!$A$5:$A$304,A862)+COUNTIF(ERSS_Pit_Register!$A$5:$A$304,A862)+COUNTIF(Linkway_Register!$A$5:$A$304,A862)+COUNTIF(Other_Register!$A$5:$A$304,A862))&gt;0,"OK","ID not in any register"))</f>
        <v/>
      </c>
    </row>
    <row r="863" customFormat="false" ht="15" hidden="false" customHeight="false" outlineLevel="0" collapsed="false">
      <c r="A863" s="9"/>
      <c r="B863" s="9"/>
      <c r="C863" s="9"/>
      <c r="D863" s="9"/>
      <c r="E863" s="9"/>
      <c r="F863" s="9"/>
      <c r="G863" s="9"/>
      <c r="H863" s="9"/>
      <c r="I863" s="9"/>
      <c r="J863" s="10" t="str">
        <f aca="false">IF(A863="","",IF(G863&lt;&gt;"",G863,IF(N(F863)&gt;0,ROUND(1000/F863,3),0)))</f>
        <v/>
      </c>
      <c r="K863" s="10" t="str">
        <f aca="false">IF(OR(A863="",E863="",H863=""),"",ROUND(0.00617*E863^2*H863*J863,2))</f>
        <v/>
      </c>
      <c r="L863" s="9"/>
      <c r="M863" s="10" t="str">
        <f aca="false">IF(A863="","",IF((COUNTIF(Drain_Register!$A$5:$A$304,A863)+COUNTIF(RW_Register!$A$5:$A$304,A863)+COUNTIF(Embedded_Wall_Register!$A$5:$A$304,A863)+COUNTIF(Manhole_Register!$A$5:$A$304,A863)+COUNTIF(ERSS_Pit_Register!$A$5:$A$304,A863)+COUNTIF(Linkway_Register!$A$5:$A$304,A863)+COUNTIF(Other_Register!$A$5:$A$304,A863))&gt;0,"OK","ID not in any register"))</f>
        <v/>
      </c>
    </row>
    <row r="864" customFormat="false" ht="15" hidden="false" customHeight="false" outlineLevel="0" collapsed="false">
      <c r="A864" s="9"/>
      <c r="B864" s="9"/>
      <c r="C864" s="9"/>
      <c r="D864" s="9"/>
      <c r="E864" s="9"/>
      <c r="F864" s="9"/>
      <c r="G864" s="9"/>
      <c r="H864" s="9"/>
      <c r="I864" s="9"/>
      <c r="J864" s="10" t="str">
        <f aca="false">IF(A864="","",IF(G864&lt;&gt;"",G864,IF(N(F864)&gt;0,ROUND(1000/F864,3),0)))</f>
        <v/>
      </c>
      <c r="K864" s="10" t="str">
        <f aca="false">IF(OR(A864="",E864="",H864=""),"",ROUND(0.00617*E864^2*H864*J864,2))</f>
        <v/>
      </c>
      <c r="L864" s="9"/>
      <c r="M864" s="10" t="str">
        <f aca="false">IF(A864="","",IF((COUNTIF(Drain_Register!$A$5:$A$304,A864)+COUNTIF(RW_Register!$A$5:$A$304,A864)+COUNTIF(Embedded_Wall_Register!$A$5:$A$304,A864)+COUNTIF(Manhole_Register!$A$5:$A$304,A864)+COUNTIF(ERSS_Pit_Register!$A$5:$A$304,A864)+COUNTIF(Linkway_Register!$A$5:$A$304,A864)+COUNTIF(Other_Register!$A$5:$A$304,A864))&gt;0,"OK","ID not in any register"))</f>
        <v/>
      </c>
    </row>
    <row r="865" customFormat="false" ht="15" hidden="false" customHeight="false" outlineLevel="0" collapsed="false">
      <c r="A865" s="9"/>
      <c r="B865" s="9"/>
      <c r="C865" s="9"/>
      <c r="D865" s="9"/>
      <c r="E865" s="9"/>
      <c r="F865" s="9"/>
      <c r="G865" s="9"/>
      <c r="H865" s="9"/>
      <c r="I865" s="9"/>
      <c r="J865" s="10" t="str">
        <f aca="false">IF(A865="","",IF(G865&lt;&gt;"",G865,IF(N(F865)&gt;0,ROUND(1000/F865,3),0)))</f>
        <v/>
      </c>
      <c r="K865" s="10" t="str">
        <f aca="false">IF(OR(A865="",E865="",H865=""),"",ROUND(0.00617*E865^2*H865*J865,2))</f>
        <v/>
      </c>
      <c r="L865" s="9"/>
      <c r="M865" s="10" t="str">
        <f aca="false">IF(A865="","",IF((COUNTIF(Drain_Register!$A$5:$A$304,A865)+COUNTIF(RW_Register!$A$5:$A$304,A865)+COUNTIF(Embedded_Wall_Register!$A$5:$A$304,A865)+COUNTIF(Manhole_Register!$A$5:$A$304,A865)+COUNTIF(ERSS_Pit_Register!$A$5:$A$304,A865)+COUNTIF(Linkway_Register!$A$5:$A$304,A865)+COUNTIF(Other_Register!$A$5:$A$304,A865))&gt;0,"OK","ID not in any register"))</f>
        <v/>
      </c>
    </row>
    <row r="866" customFormat="false" ht="15" hidden="false" customHeight="false" outlineLevel="0" collapsed="false">
      <c r="A866" s="9"/>
      <c r="B866" s="9"/>
      <c r="C866" s="9"/>
      <c r="D866" s="9"/>
      <c r="E866" s="9"/>
      <c r="F866" s="9"/>
      <c r="G866" s="9"/>
      <c r="H866" s="9"/>
      <c r="I866" s="9"/>
      <c r="J866" s="10" t="str">
        <f aca="false">IF(A866="","",IF(G866&lt;&gt;"",G866,IF(N(F866)&gt;0,ROUND(1000/F866,3),0)))</f>
        <v/>
      </c>
      <c r="K866" s="10" t="str">
        <f aca="false">IF(OR(A866="",E866="",H866=""),"",ROUND(0.00617*E866^2*H866*J866,2))</f>
        <v/>
      </c>
      <c r="L866" s="9"/>
      <c r="M866" s="10" t="str">
        <f aca="false">IF(A866="","",IF((COUNTIF(Drain_Register!$A$5:$A$304,A866)+COUNTIF(RW_Register!$A$5:$A$304,A866)+COUNTIF(Embedded_Wall_Register!$A$5:$A$304,A866)+COUNTIF(Manhole_Register!$A$5:$A$304,A866)+COUNTIF(ERSS_Pit_Register!$A$5:$A$304,A866)+COUNTIF(Linkway_Register!$A$5:$A$304,A866)+COUNTIF(Other_Register!$A$5:$A$304,A866))&gt;0,"OK","ID not in any register"))</f>
        <v/>
      </c>
    </row>
    <row r="867" customFormat="false" ht="15" hidden="false" customHeight="false" outlineLevel="0" collapsed="false">
      <c r="A867" s="9"/>
      <c r="B867" s="9"/>
      <c r="C867" s="9"/>
      <c r="D867" s="9"/>
      <c r="E867" s="9"/>
      <c r="F867" s="9"/>
      <c r="G867" s="9"/>
      <c r="H867" s="9"/>
      <c r="I867" s="9"/>
      <c r="J867" s="10" t="str">
        <f aca="false">IF(A867="","",IF(G867&lt;&gt;"",G867,IF(N(F867)&gt;0,ROUND(1000/F867,3),0)))</f>
        <v/>
      </c>
      <c r="K867" s="10" t="str">
        <f aca="false">IF(OR(A867="",E867="",H867=""),"",ROUND(0.00617*E867^2*H867*J867,2))</f>
        <v/>
      </c>
      <c r="L867" s="9"/>
      <c r="M867" s="10" t="str">
        <f aca="false">IF(A867="","",IF((COUNTIF(Drain_Register!$A$5:$A$304,A867)+COUNTIF(RW_Register!$A$5:$A$304,A867)+COUNTIF(Embedded_Wall_Register!$A$5:$A$304,A867)+COUNTIF(Manhole_Register!$A$5:$A$304,A867)+COUNTIF(ERSS_Pit_Register!$A$5:$A$304,A867)+COUNTIF(Linkway_Register!$A$5:$A$304,A867)+COUNTIF(Other_Register!$A$5:$A$304,A867))&gt;0,"OK","ID not in any register"))</f>
        <v/>
      </c>
    </row>
    <row r="868" customFormat="false" ht="15" hidden="false" customHeight="false" outlineLevel="0" collapsed="false">
      <c r="A868" s="9"/>
      <c r="B868" s="9"/>
      <c r="C868" s="9"/>
      <c r="D868" s="9"/>
      <c r="E868" s="9"/>
      <c r="F868" s="9"/>
      <c r="G868" s="9"/>
      <c r="H868" s="9"/>
      <c r="I868" s="9"/>
      <c r="J868" s="10" t="str">
        <f aca="false">IF(A868="","",IF(G868&lt;&gt;"",G868,IF(N(F868)&gt;0,ROUND(1000/F868,3),0)))</f>
        <v/>
      </c>
      <c r="K868" s="10" t="str">
        <f aca="false">IF(OR(A868="",E868="",H868=""),"",ROUND(0.00617*E868^2*H868*J868,2))</f>
        <v/>
      </c>
      <c r="L868" s="9"/>
      <c r="M868" s="10" t="str">
        <f aca="false">IF(A868="","",IF((COUNTIF(Drain_Register!$A$5:$A$304,A868)+COUNTIF(RW_Register!$A$5:$A$304,A868)+COUNTIF(Embedded_Wall_Register!$A$5:$A$304,A868)+COUNTIF(Manhole_Register!$A$5:$A$304,A868)+COUNTIF(ERSS_Pit_Register!$A$5:$A$304,A868)+COUNTIF(Linkway_Register!$A$5:$A$304,A868)+COUNTIF(Other_Register!$A$5:$A$304,A868))&gt;0,"OK","ID not in any register"))</f>
        <v/>
      </c>
    </row>
    <row r="869" customFormat="false" ht="15" hidden="false" customHeight="false" outlineLevel="0" collapsed="false">
      <c r="A869" s="9"/>
      <c r="B869" s="9"/>
      <c r="C869" s="9"/>
      <c r="D869" s="9"/>
      <c r="E869" s="9"/>
      <c r="F869" s="9"/>
      <c r="G869" s="9"/>
      <c r="H869" s="9"/>
      <c r="I869" s="9"/>
      <c r="J869" s="10" t="str">
        <f aca="false">IF(A869="","",IF(G869&lt;&gt;"",G869,IF(N(F869)&gt;0,ROUND(1000/F869,3),0)))</f>
        <v/>
      </c>
      <c r="K869" s="10" t="str">
        <f aca="false">IF(OR(A869="",E869="",H869=""),"",ROUND(0.00617*E869^2*H869*J869,2))</f>
        <v/>
      </c>
      <c r="L869" s="9"/>
      <c r="M869" s="10" t="str">
        <f aca="false">IF(A869="","",IF((COUNTIF(Drain_Register!$A$5:$A$304,A869)+COUNTIF(RW_Register!$A$5:$A$304,A869)+COUNTIF(Embedded_Wall_Register!$A$5:$A$304,A869)+COUNTIF(Manhole_Register!$A$5:$A$304,A869)+COUNTIF(ERSS_Pit_Register!$A$5:$A$304,A869)+COUNTIF(Linkway_Register!$A$5:$A$304,A869)+COUNTIF(Other_Register!$A$5:$A$304,A869))&gt;0,"OK","ID not in any register"))</f>
        <v/>
      </c>
    </row>
    <row r="870" customFormat="false" ht="15" hidden="false" customHeight="false" outlineLevel="0" collapsed="false">
      <c r="A870" s="9"/>
      <c r="B870" s="9"/>
      <c r="C870" s="9"/>
      <c r="D870" s="9"/>
      <c r="E870" s="9"/>
      <c r="F870" s="9"/>
      <c r="G870" s="9"/>
      <c r="H870" s="9"/>
      <c r="I870" s="9"/>
      <c r="J870" s="10" t="str">
        <f aca="false">IF(A870="","",IF(G870&lt;&gt;"",G870,IF(N(F870)&gt;0,ROUND(1000/F870,3),0)))</f>
        <v/>
      </c>
      <c r="K870" s="10" t="str">
        <f aca="false">IF(OR(A870="",E870="",H870=""),"",ROUND(0.00617*E870^2*H870*J870,2))</f>
        <v/>
      </c>
      <c r="L870" s="9"/>
      <c r="M870" s="10" t="str">
        <f aca="false">IF(A870="","",IF((COUNTIF(Drain_Register!$A$5:$A$304,A870)+COUNTIF(RW_Register!$A$5:$A$304,A870)+COUNTIF(Embedded_Wall_Register!$A$5:$A$304,A870)+COUNTIF(Manhole_Register!$A$5:$A$304,A870)+COUNTIF(ERSS_Pit_Register!$A$5:$A$304,A870)+COUNTIF(Linkway_Register!$A$5:$A$304,A870)+COUNTIF(Other_Register!$A$5:$A$304,A870))&gt;0,"OK","ID not in any register"))</f>
        <v/>
      </c>
    </row>
    <row r="871" customFormat="false" ht="15" hidden="false" customHeight="false" outlineLevel="0" collapsed="false">
      <c r="A871" s="9"/>
      <c r="B871" s="9"/>
      <c r="C871" s="9"/>
      <c r="D871" s="9"/>
      <c r="E871" s="9"/>
      <c r="F871" s="9"/>
      <c r="G871" s="9"/>
      <c r="H871" s="9"/>
      <c r="I871" s="9"/>
      <c r="J871" s="10" t="str">
        <f aca="false">IF(A871="","",IF(G871&lt;&gt;"",G871,IF(N(F871)&gt;0,ROUND(1000/F871,3),0)))</f>
        <v/>
      </c>
      <c r="K871" s="10" t="str">
        <f aca="false">IF(OR(A871="",E871="",H871=""),"",ROUND(0.00617*E871^2*H871*J871,2))</f>
        <v/>
      </c>
      <c r="L871" s="9"/>
      <c r="M871" s="10" t="str">
        <f aca="false">IF(A871="","",IF((COUNTIF(Drain_Register!$A$5:$A$304,A871)+COUNTIF(RW_Register!$A$5:$A$304,A871)+COUNTIF(Embedded_Wall_Register!$A$5:$A$304,A871)+COUNTIF(Manhole_Register!$A$5:$A$304,A871)+COUNTIF(ERSS_Pit_Register!$A$5:$A$304,A871)+COUNTIF(Linkway_Register!$A$5:$A$304,A871)+COUNTIF(Other_Register!$A$5:$A$304,A871))&gt;0,"OK","ID not in any register"))</f>
        <v/>
      </c>
    </row>
    <row r="872" customFormat="false" ht="15" hidden="false" customHeight="false" outlineLevel="0" collapsed="false">
      <c r="A872" s="9"/>
      <c r="B872" s="9"/>
      <c r="C872" s="9"/>
      <c r="D872" s="9"/>
      <c r="E872" s="9"/>
      <c r="F872" s="9"/>
      <c r="G872" s="9"/>
      <c r="H872" s="9"/>
      <c r="I872" s="9"/>
      <c r="J872" s="10" t="str">
        <f aca="false">IF(A872="","",IF(G872&lt;&gt;"",G872,IF(N(F872)&gt;0,ROUND(1000/F872,3),0)))</f>
        <v/>
      </c>
      <c r="K872" s="10" t="str">
        <f aca="false">IF(OR(A872="",E872="",H872=""),"",ROUND(0.00617*E872^2*H872*J872,2))</f>
        <v/>
      </c>
      <c r="L872" s="9"/>
      <c r="M872" s="10" t="str">
        <f aca="false">IF(A872="","",IF((COUNTIF(Drain_Register!$A$5:$A$304,A872)+COUNTIF(RW_Register!$A$5:$A$304,A872)+COUNTIF(Embedded_Wall_Register!$A$5:$A$304,A872)+COUNTIF(Manhole_Register!$A$5:$A$304,A872)+COUNTIF(ERSS_Pit_Register!$A$5:$A$304,A872)+COUNTIF(Linkway_Register!$A$5:$A$304,A872)+COUNTIF(Other_Register!$A$5:$A$304,A872))&gt;0,"OK","ID not in any register"))</f>
        <v/>
      </c>
    </row>
    <row r="873" customFormat="false" ht="15" hidden="false" customHeight="false" outlineLevel="0" collapsed="false">
      <c r="A873" s="9"/>
      <c r="B873" s="9"/>
      <c r="C873" s="9"/>
      <c r="D873" s="9"/>
      <c r="E873" s="9"/>
      <c r="F873" s="9"/>
      <c r="G873" s="9"/>
      <c r="H873" s="9"/>
      <c r="I873" s="9"/>
      <c r="J873" s="10" t="str">
        <f aca="false">IF(A873="","",IF(G873&lt;&gt;"",G873,IF(N(F873)&gt;0,ROUND(1000/F873,3),0)))</f>
        <v/>
      </c>
      <c r="K873" s="10" t="str">
        <f aca="false">IF(OR(A873="",E873="",H873=""),"",ROUND(0.00617*E873^2*H873*J873,2))</f>
        <v/>
      </c>
      <c r="L873" s="9"/>
      <c r="M873" s="10" t="str">
        <f aca="false">IF(A873="","",IF((COUNTIF(Drain_Register!$A$5:$A$304,A873)+COUNTIF(RW_Register!$A$5:$A$304,A873)+COUNTIF(Embedded_Wall_Register!$A$5:$A$304,A873)+COUNTIF(Manhole_Register!$A$5:$A$304,A873)+COUNTIF(ERSS_Pit_Register!$A$5:$A$304,A873)+COUNTIF(Linkway_Register!$A$5:$A$304,A873)+COUNTIF(Other_Register!$A$5:$A$304,A873))&gt;0,"OK","ID not in any register"))</f>
        <v/>
      </c>
    </row>
    <row r="874" customFormat="false" ht="15" hidden="false" customHeight="false" outlineLevel="0" collapsed="false">
      <c r="A874" s="9"/>
      <c r="B874" s="9"/>
      <c r="C874" s="9"/>
      <c r="D874" s="9"/>
      <c r="E874" s="9"/>
      <c r="F874" s="9"/>
      <c r="G874" s="9"/>
      <c r="H874" s="9"/>
      <c r="I874" s="9"/>
      <c r="J874" s="10" t="str">
        <f aca="false">IF(A874="","",IF(G874&lt;&gt;"",G874,IF(N(F874)&gt;0,ROUND(1000/F874,3),0)))</f>
        <v/>
      </c>
      <c r="K874" s="10" t="str">
        <f aca="false">IF(OR(A874="",E874="",H874=""),"",ROUND(0.00617*E874^2*H874*J874,2))</f>
        <v/>
      </c>
      <c r="L874" s="9"/>
      <c r="M874" s="10" t="str">
        <f aca="false">IF(A874="","",IF((COUNTIF(Drain_Register!$A$5:$A$304,A874)+COUNTIF(RW_Register!$A$5:$A$304,A874)+COUNTIF(Embedded_Wall_Register!$A$5:$A$304,A874)+COUNTIF(Manhole_Register!$A$5:$A$304,A874)+COUNTIF(ERSS_Pit_Register!$A$5:$A$304,A874)+COUNTIF(Linkway_Register!$A$5:$A$304,A874)+COUNTIF(Other_Register!$A$5:$A$304,A874))&gt;0,"OK","ID not in any register"))</f>
        <v/>
      </c>
    </row>
    <row r="875" customFormat="false" ht="15" hidden="false" customHeight="false" outlineLevel="0" collapsed="false">
      <c r="A875" s="9"/>
      <c r="B875" s="9"/>
      <c r="C875" s="9"/>
      <c r="D875" s="9"/>
      <c r="E875" s="9"/>
      <c r="F875" s="9"/>
      <c r="G875" s="9"/>
      <c r="H875" s="9"/>
      <c r="I875" s="9"/>
      <c r="J875" s="10" t="str">
        <f aca="false">IF(A875="","",IF(G875&lt;&gt;"",G875,IF(N(F875)&gt;0,ROUND(1000/F875,3),0)))</f>
        <v/>
      </c>
      <c r="K875" s="10" t="str">
        <f aca="false">IF(OR(A875="",E875="",H875=""),"",ROUND(0.00617*E875^2*H875*J875,2))</f>
        <v/>
      </c>
      <c r="L875" s="9"/>
      <c r="M875" s="10" t="str">
        <f aca="false">IF(A875="","",IF((COUNTIF(Drain_Register!$A$5:$A$304,A875)+COUNTIF(RW_Register!$A$5:$A$304,A875)+COUNTIF(Embedded_Wall_Register!$A$5:$A$304,A875)+COUNTIF(Manhole_Register!$A$5:$A$304,A875)+COUNTIF(ERSS_Pit_Register!$A$5:$A$304,A875)+COUNTIF(Linkway_Register!$A$5:$A$304,A875)+COUNTIF(Other_Register!$A$5:$A$304,A875))&gt;0,"OK","ID not in any register"))</f>
        <v/>
      </c>
    </row>
    <row r="876" customFormat="false" ht="15" hidden="false" customHeight="false" outlineLevel="0" collapsed="false">
      <c r="A876" s="9"/>
      <c r="B876" s="9"/>
      <c r="C876" s="9"/>
      <c r="D876" s="9"/>
      <c r="E876" s="9"/>
      <c r="F876" s="9"/>
      <c r="G876" s="9"/>
      <c r="H876" s="9"/>
      <c r="I876" s="9"/>
      <c r="J876" s="10" t="str">
        <f aca="false">IF(A876="","",IF(G876&lt;&gt;"",G876,IF(N(F876)&gt;0,ROUND(1000/F876,3),0)))</f>
        <v/>
      </c>
      <c r="K876" s="10" t="str">
        <f aca="false">IF(OR(A876="",E876="",H876=""),"",ROUND(0.00617*E876^2*H876*J876,2))</f>
        <v/>
      </c>
      <c r="L876" s="9"/>
      <c r="M876" s="10" t="str">
        <f aca="false">IF(A876="","",IF((COUNTIF(Drain_Register!$A$5:$A$304,A876)+COUNTIF(RW_Register!$A$5:$A$304,A876)+COUNTIF(Embedded_Wall_Register!$A$5:$A$304,A876)+COUNTIF(Manhole_Register!$A$5:$A$304,A876)+COUNTIF(ERSS_Pit_Register!$A$5:$A$304,A876)+COUNTIF(Linkway_Register!$A$5:$A$304,A876)+COUNTIF(Other_Register!$A$5:$A$304,A876))&gt;0,"OK","ID not in any register"))</f>
        <v/>
      </c>
    </row>
    <row r="877" customFormat="false" ht="15" hidden="false" customHeight="false" outlineLevel="0" collapsed="false">
      <c r="A877" s="9"/>
      <c r="B877" s="9"/>
      <c r="C877" s="9"/>
      <c r="D877" s="9"/>
      <c r="E877" s="9"/>
      <c r="F877" s="9"/>
      <c r="G877" s="9"/>
      <c r="H877" s="9"/>
      <c r="I877" s="9"/>
      <c r="J877" s="10" t="str">
        <f aca="false">IF(A877="","",IF(G877&lt;&gt;"",G877,IF(N(F877)&gt;0,ROUND(1000/F877,3),0)))</f>
        <v/>
      </c>
      <c r="K877" s="10" t="str">
        <f aca="false">IF(OR(A877="",E877="",H877=""),"",ROUND(0.00617*E877^2*H877*J877,2))</f>
        <v/>
      </c>
      <c r="L877" s="9"/>
      <c r="M877" s="10" t="str">
        <f aca="false">IF(A877="","",IF((COUNTIF(Drain_Register!$A$5:$A$304,A877)+COUNTIF(RW_Register!$A$5:$A$304,A877)+COUNTIF(Embedded_Wall_Register!$A$5:$A$304,A877)+COUNTIF(Manhole_Register!$A$5:$A$304,A877)+COUNTIF(ERSS_Pit_Register!$A$5:$A$304,A877)+COUNTIF(Linkway_Register!$A$5:$A$304,A877)+COUNTIF(Other_Register!$A$5:$A$304,A877))&gt;0,"OK","ID not in any register"))</f>
        <v/>
      </c>
    </row>
    <row r="878" customFormat="false" ht="15" hidden="false" customHeight="false" outlineLevel="0" collapsed="false">
      <c r="A878" s="9"/>
      <c r="B878" s="9"/>
      <c r="C878" s="9"/>
      <c r="D878" s="9"/>
      <c r="E878" s="9"/>
      <c r="F878" s="9"/>
      <c r="G878" s="9"/>
      <c r="H878" s="9"/>
      <c r="I878" s="9"/>
      <c r="J878" s="10" t="str">
        <f aca="false">IF(A878="","",IF(G878&lt;&gt;"",G878,IF(N(F878)&gt;0,ROUND(1000/F878,3),0)))</f>
        <v/>
      </c>
      <c r="K878" s="10" t="str">
        <f aca="false">IF(OR(A878="",E878="",H878=""),"",ROUND(0.00617*E878^2*H878*J878,2))</f>
        <v/>
      </c>
      <c r="L878" s="9"/>
      <c r="M878" s="10" t="str">
        <f aca="false">IF(A878="","",IF((COUNTIF(Drain_Register!$A$5:$A$304,A878)+COUNTIF(RW_Register!$A$5:$A$304,A878)+COUNTIF(Embedded_Wall_Register!$A$5:$A$304,A878)+COUNTIF(Manhole_Register!$A$5:$A$304,A878)+COUNTIF(ERSS_Pit_Register!$A$5:$A$304,A878)+COUNTIF(Linkway_Register!$A$5:$A$304,A878)+COUNTIF(Other_Register!$A$5:$A$304,A878))&gt;0,"OK","ID not in any register"))</f>
        <v/>
      </c>
    </row>
    <row r="879" customFormat="false" ht="15" hidden="false" customHeight="false" outlineLevel="0" collapsed="false">
      <c r="A879" s="9"/>
      <c r="B879" s="9"/>
      <c r="C879" s="9"/>
      <c r="D879" s="9"/>
      <c r="E879" s="9"/>
      <c r="F879" s="9"/>
      <c r="G879" s="9"/>
      <c r="H879" s="9"/>
      <c r="I879" s="9"/>
      <c r="J879" s="10" t="str">
        <f aca="false">IF(A879="","",IF(G879&lt;&gt;"",G879,IF(N(F879)&gt;0,ROUND(1000/F879,3),0)))</f>
        <v/>
      </c>
      <c r="K879" s="10" t="str">
        <f aca="false">IF(OR(A879="",E879="",H879=""),"",ROUND(0.00617*E879^2*H879*J879,2))</f>
        <v/>
      </c>
      <c r="L879" s="9"/>
      <c r="M879" s="10" t="str">
        <f aca="false">IF(A879="","",IF((COUNTIF(Drain_Register!$A$5:$A$304,A879)+COUNTIF(RW_Register!$A$5:$A$304,A879)+COUNTIF(Embedded_Wall_Register!$A$5:$A$304,A879)+COUNTIF(Manhole_Register!$A$5:$A$304,A879)+COUNTIF(ERSS_Pit_Register!$A$5:$A$304,A879)+COUNTIF(Linkway_Register!$A$5:$A$304,A879)+COUNTIF(Other_Register!$A$5:$A$304,A879))&gt;0,"OK","ID not in any register"))</f>
        <v/>
      </c>
    </row>
    <row r="880" customFormat="false" ht="15" hidden="false" customHeight="false" outlineLevel="0" collapsed="false">
      <c r="A880" s="9"/>
      <c r="B880" s="9"/>
      <c r="C880" s="9"/>
      <c r="D880" s="9"/>
      <c r="E880" s="9"/>
      <c r="F880" s="9"/>
      <c r="G880" s="9"/>
      <c r="H880" s="9"/>
      <c r="I880" s="9"/>
      <c r="J880" s="10" t="str">
        <f aca="false">IF(A880="","",IF(G880&lt;&gt;"",G880,IF(N(F880)&gt;0,ROUND(1000/F880,3),0)))</f>
        <v/>
      </c>
      <c r="K880" s="10" t="str">
        <f aca="false">IF(OR(A880="",E880="",H880=""),"",ROUND(0.00617*E880^2*H880*J880,2))</f>
        <v/>
      </c>
      <c r="L880" s="9"/>
      <c r="M880" s="10" t="str">
        <f aca="false">IF(A880="","",IF((COUNTIF(Drain_Register!$A$5:$A$304,A880)+COUNTIF(RW_Register!$A$5:$A$304,A880)+COUNTIF(Embedded_Wall_Register!$A$5:$A$304,A880)+COUNTIF(Manhole_Register!$A$5:$A$304,A880)+COUNTIF(ERSS_Pit_Register!$A$5:$A$304,A880)+COUNTIF(Linkway_Register!$A$5:$A$304,A880)+COUNTIF(Other_Register!$A$5:$A$304,A880))&gt;0,"OK","ID not in any register"))</f>
        <v/>
      </c>
    </row>
    <row r="881" customFormat="false" ht="15" hidden="false" customHeight="false" outlineLevel="0" collapsed="false">
      <c r="A881" s="9"/>
      <c r="B881" s="9"/>
      <c r="C881" s="9"/>
      <c r="D881" s="9"/>
      <c r="E881" s="9"/>
      <c r="F881" s="9"/>
      <c r="G881" s="9"/>
      <c r="H881" s="9"/>
      <c r="I881" s="9"/>
      <c r="J881" s="10" t="str">
        <f aca="false">IF(A881="","",IF(G881&lt;&gt;"",G881,IF(N(F881)&gt;0,ROUND(1000/F881,3),0)))</f>
        <v/>
      </c>
      <c r="K881" s="10" t="str">
        <f aca="false">IF(OR(A881="",E881="",H881=""),"",ROUND(0.00617*E881^2*H881*J881,2))</f>
        <v/>
      </c>
      <c r="L881" s="9"/>
      <c r="M881" s="10" t="str">
        <f aca="false">IF(A881="","",IF((COUNTIF(Drain_Register!$A$5:$A$304,A881)+COUNTIF(RW_Register!$A$5:$A$304,A881)+COUNTIF(Embedded_Wall_Register!$A$5:$A$304,A881)+COUNTIF(Manhole_Register!$A$5:$A$304,A881)+COUNTIF(ERSS_Pit_Register!$A$5:$A$304,A881)+COUNTIF(Linkway_Register!$A$5:$A$304,A881)+COUNTIF(Other_Register!$A$5:$A$304,A881))&gt;0,"OK","ID not in any register"))</f>
        <v/>
      </c>
    </row>
    <row r="882" customFormat="false" ht="15" hidden="false" customHeight="false" outlineLevel="0" collapsed="false">
      <c r="A882" s="9"/>
      <c r="B882" s="9"/>
      <c r="C882" s="9"/>
      <c r="D882" s="9"/>
      <c r="E882" s="9"/>
      <c r="F882" s="9"/>
      <c r="G882" s="9"/>
      <c r="H882" s="9"/>
      <c r="I882" s="9"/>
      <c r="J882" s="10" t="str">
        <f aca="false">IF(A882="","",IF(G882&lt;&gt;"",G882,IF(N(F882)&gt;0,ROUND(1000/F882,3),0)))</f>
        <v/>
      </c>
      <c r="K882" s="10" t="str">
        <f aca="false">IF(OR(A882="",E882="",H882=""),"",ROUND(0.00617*E882^2*H882*J882,2))</f>
        <v/>
      </c>
      <c r="L882" s="9"/>
      <c r="M882" s="10" t="str">
        <f aca="false">IF(A882="","",IF((COUNTIF(Drain_Register!$A$5:$A$304,A882)+COUNTIF(RW_Register!$A$5:$A$304,A882)+COUNTIF(Embedded_Wall_Register!$A$5:$A$304,A882)+COUNTIF(Manhole_Register!$A$5:$A$304,A882)+COUNTIF(ERSS_Pit_Register!$A$5:$A$304,A882)+COUNTIF(Linkway_Register!$A$5:$A$304,A882)+COUNTIF(Other_Register!$A$5:$A$304,A882))&gt;0,"OK","ID not in any register"))</f>
        <v/>
      </c>
    </row>
    <row r="883" customFormat="false" ht="15" hidden="false" customHeight="false" outlineLevel="0" collapsed="false">
      <c r="A883" s="9"/>
      <c r="B883" s="9"/>
      <c r="C883" s="9"/>
      <c r="D883" s="9"/>
      <c r="E883" s="9"/>
      <c r="F883" s="9"/>
      <c r="G883" s="9"/>
      <c r="H883" s="9"/>
      <c r="I883" s="9"/>
      <c r="J883" s="10" t="str">
        <f aca="false">IF(A883="","",IF(G883&lt;&gt;"",G883,IF(N(F883)&gt;0,ROUND(1000/F883,3),0)))</f>
        <v/>
      </c>
      <c r="K883" s="10" t="str">
        <f aca="false">IF(OR(A883="",E883="",H883=""),"",ROUND(0.00617*E883^2*H883*J883,2))</f>
        <v/>
      </c>
      <c r="L883" s="9"/>
      <c r="M883" s="10" t="str">
        <f aca="false">IF(A883="","",IF((COUNTIF(Drain_Register!$A$5:$A$304,A883)+COUNTIF(RW_Register!$A$5:$A$304,A883)+COUNTIF(Embedded_Wall_Register!$A$5:$A$304,A883)+COUNTIF(Manhole_Register!$A$5:$A$304,A883)+COUNTIF(ERSS_Pit_Register!$A$5:$A$304,A883)+COUNTIF(Linkway_Register!$A$5:$A$304,A883)+COUNTIF(Other_Register!$A$5:$A$304,A883))&gt;0,"OK","ID not in any register"))</f>
        <v/>
      </c>
    </row>
    <row r="884" customFormat="false" ht="15" hidden="false" customHeight="false" outlineLevel="0" collapsed="false">
      <c r="A884" s="9"/>
      <c r="B884" s="9"/>
      <c r="C884" s="9"/>
      <c r="D884" s="9"/>
      <c r="E884" s="9"/>
      <c r="F884" s="9"/>
      <c r="G884" s="9"/>
      <c r="H884" s="9"/>
      <c r="I884" s="9"/>
      <c r="J884" s="10" t="str">
        <f aca="false">IF(A884="","",IF(G884&lt;&gt;"",G884,IF(N(F884)&gt;0,ROUND(1000/F884,3),0)))</f>
        <v/>
      </c>
      <c r="K884" s="10" t="str">
        <f aca="false">IF(OR(A884="",E884="",H884=""),"",ROUND(0.00617*E884^2*H884*J884,2))</f>
        <v/>
      </c>
      <c r="L884" s="9"/>
      <c r="M884" s="10" t="str">
        <f aca="false">IF(A884="","",IF((COUNTIF(Drain_Register!$A$5:$A$304,A884)+COUNTIF(RW_Register!$A$5:$A$304,A884)+COUNTIF(Embedded_Wall_Register!$A$5:$A$304,A884)+COUNTIF(Manhole_Register!$A$5:$A$304,A884)+COUNTIF(ERSS_Pit_Register!$A$5:$A$304,A884)+COUNTIF(Linkway_Register!$A$5:$A$304,A884)+COUNTIF(Other_Register!$A$5:$A$304,A884))&gt;0,"OK","ID not in any register"))</f>
        <v/>
      </c>
    </row>
    <row r="885" customFormat="false" ht="15" hidden="false" customHeight="false" outlineLevel="0" collapsed="false">
      <c r="A885" s="9"/>
      <c r="B885" s="9"/>
      <c r="C885" s="9"/>
      <c r="D885" s="9"/>
      <c r="E885" s="9"/>
      <c r="F885" s="9"/>
      <c r="G885" s="9"/>
      <c r="H885" s="9"/>
      <c r="I885" s="9"/>
      <c r="J885" s="10" t="str">
        <f aca="false">IF(A885="","",IF(G885&lt;&gt;"",G885,IF(N(F885)&gt;0,ROUND(1000/F885,3),0)))</f>
        <v/>
      </c>
      <c r="K885" s="10" t="str">
        <f aca="false">IF(OR(A885="",E885="",H885=""),"",ROUND(0.00617*E885^2*H885*J885,2))</f>
        <v/>
      </c>
      <c r="L885" s="9"/>
      <c r="M885" s="10" t="str">
        <f aca="false">IF(A885="","",IF((COUNTIF(Drain_Register!$A$5:$A$304,A885)+COUNTIF(RW_Register!$A$5:$A$304,A885)+COUNTIF(Embedded_Wall_Register!$A$5:$A$304,A885)+COUNTIF(Manhole_Register!$A$5:$A$304,A885)+COUNTIF(ERSS_Pit_Register!$A$5:$A$304,A885)+COUNTIF(Linkway_Register!$A$5:$A$304,A885)+COUNTIF(Other_Register!$A$5:$A$304,A885))&gt;0,"OK","ID not in any register"))</f>
        <v/>
      </c>
    </row>
    <row r="886" customFormat="false" ht="15" hidden="false" customHeight="false" outlineLevel="0" collapsed="false">
      <c r="A886" s="9"/>
      <c r="B886" s="9"/>
      <c r="C886" s="9"/>
      <c r="D886" s="9"/>
      <c r="E886" s="9"/>
      <c r="F886" s="9"/>
      <c r="G886" s="9"/>
      <c r="H886" s="9"/>
      <c r="I886" s="9"/>
      <c r="J886" s="10" t="str">
        <f aca="false">IF(A886="","",IF(G886&lt;&gt;"",G886,IF(N(F886)&gt;0,ROUND(1000/F886,3),0)))</f>
        <v/>
      </c>
      <c r="K886" s="10" t="str">
        <f aca="false">IF(OR(A886="",E886="",H886=""),"",ROUND(0.00617*E886^2*H886*J886,2))</f>
        <v/>
      </c>
      <c r="L886" s="9"/>
      <c r="M886" s="10" t="str">
        <f aca="false">IF(A886="","",IF((COUNTIF(Drain_Register!$A$5:$A$304,A886)+COUNTIF(RW_Register!$A$5:$A$304,A886)+COUNTIF(Embedded_Wall_Register!$A$5:$A$304,A886)+COUNTIF(Manhole_Register!$A$5:$A$304,A886)+COUNTIF(ERSS_Pit_Register!$A$5:$A$304,A886)+COUNTIF(Linkway_Register!$A$5:$A$304,A886)+COUNTIF(Other_Register!$A$5:$A$304,A886))&gt;0,"OK","ID not in any register"))</f>
        <v/>
      </c>
    </row>
    <row r="887" customFormat="false" ht="15" hidden="false" customHeight="false" outlineLevel="0" collapsed="false">
      <c r="A887" s="9"/>
      <c r="B887" s="9"/>
      <c r="C887" s="9"/>
      <c r="D887" s="9"/>
      <c r="E887" s="9"/>
      <c r="F887" s="9"/>
      <c r="G887" s="9"/>
      <c r="H887" s="9"/>
      <c r="I887" s="9"/>
      <c r="J887" s="10" t="str">
        <f aca="false">IF(A887="","",IF(G887&lt;&gt;"",G887,IF(N(F887)&gt;0,ROUND(1000/F887,3),0)))</f>
        <v/>
      </c>
      <c r="K887" s="10" t="str">
        <f aca="false">IF(OR(A887="",E887="",H887=""),"",ROUND(0.00617*E887^2*H887*J887,2))</f>
        <v/>
      </c>
      <c r="L887" s="9"/>
      <c r="M887" s="10" t="str">
        <f aca="false">IF(A887="","",IF((COUNTIF(Drain_Register!$A$5:$A$304,A887)+COUNTIF(RW_Register!$A$5:$A$304,A887)+COUNTIF(Embedded_Wall_Register!$A$5:$A$304,A887)+COUNTIF(Manhole_Register!$A$5:$A$304,A887)+COUNTIF(ERSS_Pit_Register!$A$5:$A$304,A887)+COUNTIF(Linkway_Register!$A$5:$A$304,A887)+COUNTIF(Other_Register!$A$5:$A$304,A887))&gt;0,"OK","ID not in any register"))</f>
        <v/>
      </c>
    </row>
    <row r="888" customFormat="false" ht="15" hidden="false" customHeight="false" outlineLevel="0" collapsed="false">
      <c r="A888" s="9"/>
      <c r="B888" s="9"/>
      <c r="C888" s="9"/>
      <c r="D888" s="9"/>
      <c r="E888" s="9"/>
      <c r="F888" s="9"/>
      <c r="G888" s="9"/>
      <c r="H888" s="9"/>
      <c r="I888" s="9"/>
      <c r="J888" s="10" t="str">
        <f aca="false">IF(A888="","",IF(G888&lt;&gt;"",G888,IF(N(F888)&gt;0,ROUND(1000/F888,3),0)))</f>
        <v/>
      </c>
      <c r="K888" s="10" t="str">
        <f aca="false">IF(OR(A888="",E888="",H888=""),"",ROUND(0.00617*E888^2*H888*J888,2))</f>
        <v/>
      </c>
      <c r="L888" s="9"/>
      <c r="M888" s="10" t="str">
        <f aca="false">IF(A888="","",IF((COUNTIF(Drain_Register!$A$5:$A$304,A888)+COUNTIF(RW_Register!$A$5:$A$304,A888)+COUNTIF(Embedded_Wall_Register!$A$5:$A$304,A888)+COUNTIF(Manhole_Register!$A$5:$A$304,A888)+COUNTIF(ERSS_Pit_Register!$A$5:$A$304,A888)+COUNTIF(Linkway_Register!$A$5:$A$304,A888)+COUNTIF(Other_Register!$A$5:$A$304,A888))&gt;0,"OK","ID not in any register"))</f>
        <v/>
      </c>
    </row>
    <row r="889" customFormat="false" ht="15" hidden="false" customHeight="false" outlineLevel="0" collapsed="false">
      <c r="A889" s="9"/>
      <c r="B889" s="9"/>
      <c r="C889" s="9"/>
      <c r="D889" s="9"/>
      <c r="E889" s="9"/>
      <c r="F889" s="9"/>
      <c r="G889" s="9"/>
      <c r="H889" s="9"/>
      <c r="I889" s="9"/>
      <c r="J889" s="10" t="str">
        <f aca="false">IF(A889="","",IF(G889&lt;&gt;"",G889,IF(N(F889)&gt;0,ROUND(1000/F889,3),0)))</f>
        <v/>
      </c>
      <c r="K889" s="10" t="str">
        <f aca="false">IF(OR(A889="",E889="",H889=""),"",ROUND(0.00617*E889^2*H889*J889,2))</f>
        <v/>
      </c>
      <c r="L889" s="9"/>
      <c r="M889" s="10" t="str">
        <f aca="false">IF(A889="","",IF((COUNTIF(Drain_Register!$A$5:$A$304,A889)+COUNTIF(RW_Register!$A$5:$A$304,A889)+COUNTIF(Embedded_Wall_Register!$A$5:$A$304,A889)+COUNTIF(Manhole_Register!$A$5:$A$304,A889)+COUNTIF(ERSS_Pit_Register!$A$5:$A$304,A889)+COUNTIF(Linkway_Register!$A$5:$A$304,A889)+COUNTIF(Other_Register!$A$5:$A$304,A889))&gt;0,"OK","ID not in any register"))</f>
        <v/>
      </c>
    </row>
    <row r="890" customFormat="false" ht="15" hidden="false" customHeight="false" outlineLevel="0" collapsed="false">
      <c r="A890" s="9"/>
      <c r="B890" s="9"/>
      <c r="C890" s="9"/>
      <c r="D890" s="9"/>
      <c r="E890" s="9"/>
      <c r="F890" s="9"/>
      <c r="G890" s="9"/>
      <c r="H890" s="9"/>
      <c r="I890" s="9"/>
      <c r="J890" s="10" t="str">
        <f aca="false">IF(A890="","",IF(G890&lt;&gt;"",G890,IF(N(F890)&gt;0,ROUND(1000/F890,3),0)))</f>
        <v/>
      </c>
      <c r="K890" s="10" t="str">
        <f aca="false">IF(OR(A890="",E890="",H890=""),"",ROUND(0.00617*E890^2*H890*J890,2))</f>
        <v/>
      </c>
      <c r="L890" s="9"/>
      <c r="M890" s="10" t="str">
        <f aca="false">IF(A890="","",IF((COUNTIF(Drain_Register!$A$5:$A$304,A890)+COUNTIF(RW_Register!$A$5:$A$304,A890)+COUNTIF(Embedded_Wall_Register!$A$5:$A$304,A890)+COUNTIF(Manhole_Register!$A$5:$A$304,A890)+COUNTIF(ERSS_Pit_Register!$A$5:$A$304,A890)+COUNTIF(Linkway_Register!$A$5:$A$304,A890)+COUNTIF(Other_Register!$A$5:$A$304,A890))&gt;0,"OK","ID not in any register"))</f>
        <v/>
      </c>
    </row>
    <row r="891" customFormat="false" ht="15" hidden="false" customHeight="false" outlineLevel="0" collapsed="false">
      <c r="A891" s="9"/>
      <c r="B891" s="9"/>
      <c r="C891" s="9"/>
      <c r="D891" s="9"/>
      <c r="E891" s="9"/>
      <c r="F891" s="9"/>
      <c r="G891" s="9"/>
      <c r="H891" s="9"/>
      <c r="I891" s="9"/>
      <c r="J891" s="10" t="str">
        <f aca="false">IF(A891="","",IF(G891&lt;&gt;"",G891,IF(N(F891)&gt;0,ROUND(1000/F891,3),0)))</f>
        <v/>
      </c>
      <c r="K891" s="10" t="str">
        <f aca="false">IF(OR(A891="",E891="",H891=""),"",ROUND(0.00617*E891^2*H891*J891,2))</f>
        <v/>
      </c>
      <c r="L891" s="9"/>
      <c r="M891" s="10" t="str">
        <f aca="false">IF(A891="","",IF((COUNTIF(Drain_Register!$A$5:$A$304,A891)+COUNTIF(RW_Register!$A$5:$A$304,A891)+COUNTIF(Embedded_Wall_Register!$A$5:$A$304,A891)+COUNTIF(Manhole_Register!$A$5:$A$304,A891)+COUNTIF(ERSS_Pit_Register!$A$5:$A$304,A891)+COUNTIF(Linkway_Register!$A$5:$A$304,A891)+COUNTIF(Other_Register!$A$5:$A$304,A891))&gt;0,"OK","ID not in any register"))</f>
        <v/>
      </c>
    </row>
    <row r="892" customFormat="false" ht="15" hidden="false" customHeight="false" outlineLevel="0" collapsed="false">
      <c r="A892" s="9"/>
      <c r="B892" s="9"/>
      <c r="C892" s="9"/>
      <c r="D892" s="9"/>
      <c r="E892" s="9"/>
      <c r="F892" s="9"/>
      <c r="G892" s="9"/>
      <c r="H892" s="9"/>
      <c r="I892" s="9"/>
      <c r="J892" s="10" t="str">
        <f aca="false">IF(A892="","",IF(G892&lt;&gt;"",G892,IF(N(F892)&gt;0,ROUND(1000/F892,3),0)))</f>
        <v/>
      </c>
      <c r="K892" s="10" t="str">
        <f aca="false">IF(OR(A892="",E892="",H892=""),"",ROUND(0.00617*E892^2*H892*J892,2))</f>
        <v/>
      </c>
      <c r="L892" s="9"/>
      <c r="M892" s="10" t="str">
        <f aca="false">IF(A892="","",IF((COUNTIF(Drain_Register!$A$5:$A$304,A892)+COUNTIF(RW_Register!$A$5:$A$304,A892)+COUNTIF(Embedded_Wall_Register!$A$5:$A$304,A892)+COUNTIF(Manhole_Register!$A$5:$A$304,A892)+COUNTIF(ERSS_Pit_Register!$A$5:$A$304,A892)+COUNTIF(Linkway_Register!$A$5:$A$304,A892)+COUNTIF(Other_Register!$A$5:$A$304,A892))&gt;0,"OK","ID not in any register"))</f>
        <v/>
      </c>
    </row>
    <row r="893" customFormat="false" ht="15" hidden="false" customHeight="false" outlineLevel="0" collapsed="false">
      <c r="A893" s="9"/>
      <c r="B893" s="9"/>
      <c r="C893" s="9"/>
      <c r="D893" s="9"/>
      <c r="E893" s="9"/>
      <c r="F893" s="9"/>
      <c r="G893" s="9"/>
      <c r="H893" s="9"/>
      <c r="I893" s="9"/>
      <c r="J893" s="10" t="str">
        <f aca="false">IF(A893="","",IF(G893&lt;&gt;"",G893,IF(N(F893)&gt;0,ROUND(1000/F893,3),0)))</f>
        <v/>
      </c>
      <c r="K893" s="10" t="str">
        <f aca="false">IF(OR(A893="",E893="",H893=""),"",ROUND(0.00617*E893^2*H893*J893,2))</f>
        <v/>
      </c>
      <c r="L893" s="9"/>
      <c r="M893" s="10" t="str">
        <f aca="false">IF(A893="","",IF((COUNTIF(Drain_Register!$A$5:$A$304,A893)+COUNTIF(RW_Register!$A$5:$A$304,A893)+COUNTIF(Embedded_Wall_Register!$A$5:$A$304,A893)+COUNTIF(Manhole_Register!$A$5:$A$304,A893)+COUNTIF(ERSS_Pit_Register!$A$5:$A$304,A893)+COUNTIF(Linkway_Register!$A$5:$A$304,A893)+COUNTIF(Other_Register!$A$5:$A$304,A893))&gt;0,"OK","ID not in any register"))</f>
        <v/>
      </c>
    </row>
    <row r="894" customFormat="false" ht="15" hidden="false" customHeight="false" outlineLevel="0" collapsed="false">
      <c r="A894" s="9"/>
      <c r="B894" s="9"/>
      <c r="C894" s="9"/>
      <c r="D894" s="9"/>
      <c r="E894" s="9"/>
      <c r="F894" s="9"/>
      <c r="G894" s="9"/>
      <c r="H894" s="9"/>
      <c r="I894" s="9"/>
      <c r="J894" s="10" t="str">
        <f aca="false">IF(A894="","",IF(G894&lt;&gt;"",G894,IF(N(F894)&gt;0,ROUND(1000/F894,3),0)))</f>
        <v/>
      </c>
      <c r="K894" s="10" t="str">
        <f aca="false">IF(OR(A894="",E894="",H894=""),"",ROUND(0.00617*E894^2*H894*J894,2))</f>
        <v/>
      </c>
      <c r="L894" s="9"/>
      <c r="M894" s="10" t="str">
        <f aca="false">IF(A894="","",IF((COUNTIF(Drain_Register!$A$5:$A$304,A894)+COUNTIF(RW_Register!$A$5:$A$304,A894)+COUNTIF(Embedded_Wall_Register!$A$5:$A$304,A894)+COUNTIF(Manhole_Register!$A$5:$A$304,A894)+COUNTIF(ERSS_Pit_Register!$A$5:$A$304,A894)+COUNTIF(Linkway_Register!$A$5:$A$304,A894)+COUNTIF(Other_Register!$A$5:$A$304,A894))&gt;0,"OK","ID not in any register"))</f>
        <v/>
      </c>
    </row>
    <row r="895" customFormat="false" ht="15" hidden="false" customHeight="false" outlineLevel="0" collapsed="false">
      <c r="A895" s="9"/>
      <c r="B895" s="9"/>
      <c r="C895" s="9"/>
      <c r="D895" s="9"/>
      <c r="E895" s="9"/>
      <c r="F895" s="9"/>
      <c r="G895" s="9"/>
      <c r="H895" s="9"/>
      <c r="I895" s="9"/>
      <c r="J895" s="10" t="str">
        <f aca="false">IF(A895="","",IF(G895&lt;&gt;"",G895,IF(N(F895)&gt;0,ROUND(1000/F895,3),0)))</f>
        <v/>
      </c>
      <c r="K895" s="10" t="str">
        <f aca="false">IF(OR(A895="",E895="",H895=""),"",ROUND(0.00617*E895^2*H895*J895,2))</f>
        <v/>
      </c>
      <c r="L895" s="9"/>
      <c r="M895" s="10" t="str">
        <f aca="false">IF(A895="","",IF((COUNTIF(Drain_Register!$A$5:$A$304,A895)+COUNTIF(RW_Register!$A$5:$A$304,A895)+COUNTIF(Embedded_Wall_Register!$A$5:$A$304,A895)+COUNTIF(Manhole_Register!$A$5:$A$304,A895)+COUNTIF(ERSS_Pit_Register!$A$5:$A$304,A895)+COUNTIF(Linkway_Register!$A$5:$A$304,A895)+COUNTIF(Other_Register!$A$5:$A$304,A895))&gt;0,"OK","ID not in any register"))</f>
        <v/>
      </c>
    </row>
    <row r="896" customFormat="false" ht="15" hidden="false" customHeight="false" outlineLevel="0" collapsed="false">
      <c r="A896" s="9"/>
      <c r="B896" s="9"/>
      <c r="C896" s="9"/>
      <c r="D896" s="9"/>
      <c r="E896" s="9"/>
      <c r="F896" s="9"/>
      <c r="G896" s="9"/>
      <c r="H896" s="9"/>
      <c r="I896" s="9"/>
      <c r="J896" s="10" t="str">
        <f aca="false">IF(A896="","",IF(G896&lt;&gt;"",G896,IF(N(F896)&gt;0,ROUND(1000/F896,3),0)))</f>
        <v/>
      </c>
      <c r="K896" s="10" t="str">
        <f aca="false">IF(OR(A896="",E896="",H896=""),"",ROUND(0.00617*E896^2*H896*J896,2))</f>
        <v/>
      </c>
      <c r="L896" s="9"/>
      <c r="M896" s="10" t="str">
        <f aca="false">IF(A896="","",IF((COUNTIF(Drain_Register!$A$5:$A$304,A896)+COUNTIF(RW_Register!$A$5:$A$304,A896)+COUNTIF(Embedded_Wall_Register!$A$5:$A$304,A896)+COUNTIF(Manhole_Register!$A$5:$A$304,A896)+COUNTIF(ERSS_Pit_Register!$A$5:$A$304,A896)+COUNTIF(Linkway_Register!$A$5:$A$304,A896)+COUNTIF(Other_Register!$A$5:$A$304,A896))&gt;0,"OK","ID not in any register"))</f>
        <v/>
      </c>
    </row>
    <row r="897" customFormat="false" ht="15" hidden="false" customHeight="false" outlineLevel="0" collapsed="false">
      <c r="A897" s="9"/>
      <c r="B897" s="9"/>
      <c r="C897" s="9"/>
      <c r="D897" s="9"/>
      <c r="E897" s="9"/>
      <c r="F897" s="9"/>
      <c r="G897" s="9"/>
      <c r="H897" s="9"/>
      <c r="I897" s="9"/>
      <c r="J897" s="10" t="str">
        <f aca="false">IF(A897="","",IF(G897&lt;&gt;"",G897,IF(N(F897)&gt;0,ROUND(1000/F897,3),0)))</f>
        <v/>
      </c>
      <c r="K897" s="10" t="str">
        <f aca="false">IF(OR(A897="",E897="",H897=""),"",ROUND(0.00617*E897^2*H897*J897,2))</f>
        <v/>
      </c>
      <c r="L897" s="9"/>
      <c r="M897" s="10" t="str">
        <f aca="false">IF(A897="","",IF((COUNTIF(Drain_Register!$A$5:$A$304,A897)+COUNTIF(RW_Register!$A$5:$A$304,A897)+COUNTIF(Embedded_Wall_Register!$A$5:$A$304,A897)+COUNTIF(Manhole_Register!$A$5:$A$304,A897)+COUNTIF(ERSS_Pit_Register!$A$5:$A$304,A897)+COUNTIF(Linkway_Register!$A$5:$A$304,A897)+COUNTIF(Other_Register!$A$5:$A$304,A897))&gt;0,"OK","ID not in any register"))</f>
        <v/>
      </c>
    </row>
    <row r="898" customFormat="false" ht="15" hidden="false" customHeight="false" outlineLevel="0" collapsed="false">
      <c r="A898" s="9"/>
      <c r="B898" s="9"/>
      <c r="C898" s="9"/>
      <c r="D898" s="9"/>
      <c r="E898" s="9"/>
      <c r="F898" s="9"/>
      <c r="G898" s="9"/>
      <c r="H898" s="9"/>
      <c r="I898" s="9"/>
      <c r="J898" s="10" t="str">
        <f aca="false">IF(A898="","",IF(G898&lt;&gt;"",G898,IF(N(F898)&gt;0,ROUND(1000/F898,3),0)))</f>
        <v/>
      </c>
      <c r="K898" s="10" t="str">
        <f aca="false">IF(OR(A898="",E898="",H898=""),"",ROUND(0.00617*E898^2*H898*J898,2))</f>
        <v/>
      </c>
      <c r="L898" s="9"/>
      <c r="M898" s="10" t="str">
        <f aca="false">IF(A898="","",IF((COUNTIF(Drain_Register!$A$5:$A$304,A898)+COUNTIF(RW_Register!$A$5:$A$304,A898)+COUNTIF(Embedded_Wall_Register!$A$5:$A$304,A898)+COUNTIF(Manhole_Register!$A$5:$A$304,A898)+COUNTIF(ERSS_Pit_Register!$A$5:$A$304,A898)+COUNTIF(Linkway_Register!$A$5:$A$304,A898)+COUNTIF(Other_Register!$A$5:$A$304,A898))&gt;0,"OK","ID not in any register"))</f>
        <v/>
      </c>
    </row>
    <row r="899" customFormat="false" ht="15" hidden="false" customHeight="false" outlineLevel="0" collapsed="false">
      <c r="A899" s="9"/>
      <c r="B899" s="9"/>
      <c r="C899" s="9"/>
      <c r="D899" s="9"/>
      <c r="E899" s="9"/>
      <c r="F899" s="9"/>
      <c r="G899" s="9"/>
      <c r="H899" s="9"/>
      <c r="I899" s="9"/>
      <c r="J899" s="10" t="str">
        <f aca="false">IF(A899="","",IF(G899&lt;&gt;"",G899,IF(N(F899)&gt;0,ROUND(1000/F899,3),0)))</f>
        <v/>
      </c>
      <c r="K899" s="10" t="str">
        <f aca="false">IF(OR(A899="",E899="",H899=""),"",ROUND(0.00617*E899^2*H899*J899,2))</f>
        <v/>
      </c>
      <c r="L899" s="9"/>
      <c r="M899" s="10" t="str">
        <f aca="false">IF(A899="","",IF((COUNTIF(Drain_Register!$A$5:$A$304,A899)+COUNTIF(RW_Register!$A$5:$A$304,A899)+COUNTIF(Embedded_Wall_Register!$A$5:$A$304,A899)+COUNTIF(Manhole_Register!$A$5:$A$304,A899)+COUNTIF(ERSS_Pit_Register!$A$5:$A$304,A899)+COUNTIF(Linkway_Register!$A$5:$A$304,A899)+COUNTIF(Other_Register!$A$5:$A$304,A899))&gt;0,"OK","ID not in any register"))</f>
        <v/>
      </c>
    </row>
    <row r="900" customFormat="false" ht="15" hidden="false" customHeight="false" outlineLevel="0" collapsed="false">
      <c r="A900" s="9"/>
      <c r="B900" s="9"/>
      <c r="C900" s="9"/>
      <c r="D900" s="9"/>
      <c r="E900" s="9"/>
      <c r="F900" s="9"/>
      <c r="G900" s="9"/>
      <c r="H900" s="9"/>
      <c r="I900" s="9"/>
      <c r="J900" s="10" t="str">
        <f aca="false">IF(A900="","",IF(G900&lt;&gt;"",G900,IF(N(F900)&gt;0,ROUND(1000/F900,3),0)))</f>
        <v/>
      </c>
      <c r="K900" s="10" t="str">
        <f aca="false">IF(OR(A900="",E900="",H900=""),"",ROUND(0.00617*E900^2*H900*J900,2))</f>
        <v/>
      </c>
      <c r="L900" s="9"/>
      <c r="M900" s="10" t="str">
        <f aca="false">IF(A900="","",IF((COUNTIF(Drain_Register!$A$5:$A$304,A900)+COUNTIF(RW_Register!$A$5:$A$304,A900)+COUNTIF(Embedded_Wall_Register!$A$5:$A$304,A900)+COUNTIF(Manhole_Register!$A$5:$A$304,A900)+COUNTIF(ERSS_Pit_Register!$A$5:$A$304,A900)+COUNTIF(Linkway_Register!$A$5:$A$304,A900)+COUNTIF(Other_Register!$A$5:$A$304,A900))&gt;0,"OK","ID not in any register"))</f>
        <v/>
      </c>
    </row>
    <row r="901" customFormat="false" ht="15" hidden="false" customHeight="false" outlineLevel="0" collapsed="false">
      <c r="A901" s="9"/>
      <c r="B901" s="9"/>
      <c r="C901" s="9"/>
      <c r="D901" s="9"/>
      <c r="E901" s="9"/>
      <c r="F901" s="9"/>
      <c r="G901" s="9"/>
      <c r="H901" s="9"/>
      <c r="I901" s="9"/>
      <c r="J901" s="10" t="str">
        <f aca="false">IF(A901="","",IF(G901&lt;&gt;"",G901,IF(N(F901)&gt;0,ROUND(1000/F901,3),0)))</f>
        <v/>
      </c>
      <c r="K901" s="10" t="str">
        <f aca="false">IF(OR(A901="",E901="",H901=""),"",ROUND(0.00617*E901^2*H901*J901,2))</f>
        <v/>
      </c>
      <c r="L901" s="9"/>
      <c r="M901" s="10" t="str">
        <f aca="false">IF(A901="","",IF((COUNTIF(Drain_Register!$A$5:$A$304,A901)+COUNTIF(RW_Register!$A$5:$A$304,A901)+COUNTIF(Embedded_Wall_Register!$A$5:$A$304,A901)+COUNTIF(Manhole_Register!$A$5:$A$304,A901)+COUNTIF(ERSS_Pit_Register!$A$5:$A$304,A901)+COUNTIF(Linkway_Register!$A$5:$A$304,A901)+COUNTIF(Other_Register!$A$5:$A$304,A901))&gt;0,"OK","ID not in any register"))</f>
        <v/>
      </c>
    </row>
    <row r="902" customFormat="false" ht="15" hidden="false" customHeight="false" outlineLevel="0" collapsed="false">
      <c r="A902" s="9"/>
      <c r="B902" s="9"/>
      <c r="C902" s="9"/>
      <c r="D902" s="9"/>
      <c r="E902" s="9"/>
      <c r="F902" s="9"/>
      <c r="G902" s="9"/>
      <c r="H902" s="9"/>
      <c r="I902" s="9"/>
      <c r="J902" s="10" t="str">
        <f aca="false">IF(A902="","",IF(G902&lt;&gt;"",G902,IF(N(F902)&gt;0,ROUND(1000/F902,3),0)))</f>
        <v/>
      </c>
      <c r="K902" s="10" t="str">
        <f aca="false">IF(OR(A902="",E902="",H902=""),"",ROUND(0.00617*E902^2*H902*J902,2))</f>
        <v/>
      </c>
      <c r="L902" s="9"/>
      <c r="M902" s="10" t="str">
        <f aca="false">IF(A902="","",IF((COUNTIF(Drain_Register!$A$5:$A$304,A902)+COUNTIF(RW_Register!$A$5:$A$304,A902)+COUNTIF(Embedded_Wall_Register!$A$5:$A$304,A902)+COUNTIF(Manhole_Register!$A$5:$A$304,A902)+COUNTIF(ERSS_Pit_Register!$A$5:$A$304,A902)+COUNTIF(Linkway_Register!$A$5:$A$304,A902)+COUNTIF(Other_Register!$A$5:$A$304,A902))&gt;0,"OK","ID not in any register"))</f>
        <v/>
      </c>
    </row>
    <row r="903" customFormat="false" ht="15" hidden="false" customHeight="false" outlineLevel="0" collapsed="false">
      <c r="A903" s="9"/>
      <c r="B903" s="9"/>
      <c r="C903" s="9"/>
      <c r="D903" s="9"/>
      <c r="E903" s="9"/>
      <c r="F903" s="9"/>
      <c r="G903" s="9"/>
      <c r="H903" s="9"/>
      <c r="I903" s="9"/>
      <c r="J903" s="10" t="str">
        <f aca="false">IF(A903="","",IF(G903&lt;&gt;"",G903,IF(N(F903)&gt;0,ROUND(1000/F903,3),0)))</f>
        <v/>
      </c>
      <c r="K903" s="10" t="str">
        <f aca="false">IF(OR(A903="",E903="",H903=""),"",ROUND(0.00617*E903^2*H903*J903,2))</f>
        <v/>
      </c>
      <c r="L903" s="9"/>
      <c r="M903" s="10" t="str">
        <f aca="false">IF(A903="","",IF((COUNTIF(Drain_Register!$A$5:$A$304,A903)+COUNTIF(RW_Register!$A$5:$A$304,A903)+COUNTIF(Embedded_Wall_Register!$A$5:$A$304,A903)+COUNTIF(Manhole_Register!$A$5:$A$304,A903)+COUNTIF(ERSS_Pit_Register!$A$5:$A$304,A903)+COUNTIF(Linkway_Register!$A$5:$A$304,A903)+COUNTIF(Other_Register!$A$5:$A$304,A903))&gt;0,"OK","ID not in any register"))</f>
        <v/>
      </c>
    </row>
    <row r="904" customFormat="false" ht="15" hidden="false" customHeight="false" outlineLevel="0" collapsed="false">
      <c r="A904" s="9"/>
      <c r="B904" s="9"/>
      <c r="C904" s="9"/>
      <c r="D904" s="9"/>
      <c r="E904" s="9"/>
      <c r="F904" s="9"/>
      <c r="G904" s="9"/>
      <c r="H904" s="9"/>
      <c r="I904" s="9"/>
      <c r="J904" s="10" t="str">
        <f aca="false">IF(A904="","",IF(G904&lt;&gt;"",G904,IF(N(F904)&gt;0,ROUND(1000/F904,3),0)))</f>
        <v/>
      </c>
      <c r="K904" s="10" t="str">
        <f aca="false">IF(OR(A904="",E904="",H904=""),"",ROUND(0.00617*E904^2*H904*J904,2))</f>
        <v/>
      </c>
      <c r="L904" s="9"/>
      <c r="M904" s="10" t="str">
        <f aca="false">IF(A904="","",IF((COUNTIF(Drain_Register!$A$5:$A$304,A904)+COUNTIF(RW_Register!$A$5:$A$304,A904)+COUNTIF(Embedded_Wall_Register!$A$5:$A$304,A904)+COUNTIF(Manhole_Register!$A$5:$A$304,A904)+COUNTIF(ERSS_Pit_Register!$A$5:$A$304,A904)+COUNTIF(Linkway_Register!$A$5:$A$304,A904)+COUNTIF(Other_Register!$A$5:$A$304,A904))&gt;0,"OK","ID not in any register"))</f>
        <v/>
      </c>
    </row>
    <row r="905" customFormat="false" ht="15" hidden="false" customHeight="false" outlineLevel="0" collapsed="false">
      <c r="A905" s="9"/>
      <c r="B905" s="9"/>
      <c r="C905" s="9"/>
      <c r="D905" s="9"/>
      <c r="E905" s="9"/>
      <c r="F905" s="9"/>
      <c r="G905" s="9"/>
      <c r="H905" s="9"/>
      <c r="I905" s="9"/>
      <c r="J905" s="10" t="str">
        <f aca="false">IF(A905="","",IF(G905&lt;&gt;"",G905,IF(N(F905)&gt;0,ROUND(1000/F905,3),0)))</f>
        <v/>
      </c>
      <c r="K905" s="10" t="str">
        <f aca="false">IF(OR(A905="",E905="",H905=""),"",ROUND(0.00617*E905^2*H905*J905,2))</f>
        <v/>
      </c>
      <c r="L905" s="9"/>
      <c r="M905" s="10" t="str">
        <f aca="false">IF(A905="","",IF((COUNTIF(Drain_Register!$A$5:$A$304,A905)+COUNTIF(RW_Register!$A$5:$A$304,A905)+COUNTIF(Embedded_Wall_Register!$A$5:$A$304,A905)+COUNTIF(Manhole_Register!$A$5:$A$304,A905)+COUNTIF(ERSS_Pit_Register!$A$5:$A$304,A905)+COUNTIF(Linkway_Register!$A$5:$A$304,A905)+COUNTIF(Other_Register!$A$5:$A$304,A905))&gt;0,"OK","ID not in any register"))</f>
        <v/>
      </c>
    </row>
    <row r="906" customFormat="false" ht="15" hidden="false" customHeight="false" outlineLevel="0" collapsed="false">
      <c r="A906" s="9"/>
      <c r="B906" s="9"/>
      <c r="C906" s="9"/>
      <c r="D906" s="9"/>
      <c r="E906" s="9"/>
      <c r="F906" s="9"/>
      <c r="G906" s="9"/>
      <c r="H906" s="9"/>
      <c r="I906" s="9"/>
      <c r="J906" s="10" t="str">
        <f aca="false">IF(A906="","",IF(G906&lt;&gt;"",G906,IF(N(F906)&gt;0,ROUND(1000/F906,3),0)))</f>
        <v/>
      </c>
      <c r="K906" s="10" t="str">
        <f aca="false">IF(OR(A906="",E906="",H906=""),"",ROUND(0.00617*E906^2*H906*J906,2))</f>
        <v/>
      </c>
      <c r="L906" s="9"/>
      <c r="M906" s="10" t="str">
        <f aca="false">IF(A906="","",IF((COUNTIF(Drain_Register!$A$5:$A$304,A906)+COUNTIF(RW_Register!$A$5:$A$304,A906)+COUNTIF(Embedded_Wall_Register!$A$5:$A$304,A906)+COUNTIF(Manhole_Register!$A$5:$A$304,A906)+COUNTIF(ERSS_Pit_Register!$A$5:$A$304,A906)+COUNTIF(Linkway_Register!$A$5:$A$304,A906)+COUNTIF(Other_Register!$A$5:$A$304,A906))&gt;0,"OK","ID not in any register"))</f>
        <v/>
      </c>
    </row>
    <row r="907" customFormat="false" ht="15" hidden="false" customHeight="false" outlineLevel="0" collapsed="false">
      <c r="A907" s="9"/>
      <c r="B907" s="9"/>
      <c r="C907" s="9"/>
      <c r="D907" s="9"/>
      <c r="E907" s="9"/>
      <c r="F907" s="9"/>
      <c r="G907" s="9"/>
      <c r="H907" s="9"/>
      <c r="I907" s="9"/>
      <c r="J907" s="10" t="str">
        <f aca="false">IF(A907="","",IF(G907&lt;&gt;"",G907,IF(N(F907)&gt;0,ROUND(1000/F907,3),0)))</f>
        <v/>
      </c>
      <c r="K907" s="10" t="str">
        <f aca="false">IF(OR(A907="",E907="",H907=""),"",ROUND(0.00617*E907^2*H907*J907,2))</f>
        <v/>
      </c>
      <c r="L907" s="9"/>
      <c r="M907" s="10" t="str">
        <f aca="false">IF(A907="","",IF((COUNTIF(Drain_Register!$A$5:$A$304,A907)+COUNTIF(RW_Register!$A$5:$A$304,A907)+COUNTIF(Embedded_Wall_Register!$A$5:$A$304,A907)+COUNTIF(Manhole_Register!$A$5:$A$304,A907)+COUNTIF(ERSS_Pit_Register!$A$5:$A$304,A907)+COUNTIF(Linkway_Register!$A$5:$A$304,A907)+COUNTIF(Other_Register!$A$5:$A$304,A907))&gt;0,"OK","ID not in any register"))</f>
        <v/>
      </c>
    </row>
    <row r="908" customFormat="false" ht="15" hidden="false" customHeight="false" outlineLevel="0" collapsed="false">
      <c r="A908" s="9"/>
      <c r="B908" s="9"/>
      <c r="C908" s="9"/>
      <c r="D908" s="9"/>
      <c r="E908" s="9"/>
      <c r="F908" s="9"/>
      <c r="G908" s="9"/>
      <c r="H908" s="9"/>
      <c r="I908" s="9"/>
      <c r="J908" s="10" t="str">
        <f aca="false">IF(A908="","",IF(G908&lt;&gt;"",G908,IF(N(F908)&gt;0,ROUND(1000/F908,3),0)))</f>
        <v/>
      </c>
      <c r="K908" s="10" t="str">
        <f aca="false">IF(OR(A908="",E908="",H908=""),"",ROUND(0.00617*E908^2*H908*J908,2))</f>
        <v/>
      </c>
      <c r="L908" s="9"/>
      <c r="M908" s="10" t="str">
        <f aca="false">IF(A908="","",IF((COUNTIF(Drain_Register!$A$5:$A$304,A908)+COUNTIF(RW_Register!$A$5:$A$304,A908)+COUNTIF(Embedded_Wall_Register!$A$5:$A$304,A908)+COUNTIF(Manhole_Register!$A$5:$A$304,A908)+COUNTIF(ERSS_Pit_Register!$A$5:$A$304,A908)+COUNTIF(Linkway_Register!$A$5:$A$304,A908)+COUNTIF(Other_Register!$A$5:$A$304,A908))&gt;0,"OK","ID not in any register"))</f>
        <v/>
      </c>
    </row>
    <row r="909" customFormat="false" ht="15" hidden="false" customHeight="false" outlineLevel="0" collapsed="false">
      <c r="A909" s="9"/>
      <c r="B909" s="9"/>
      <c r="C909" s="9"/>
      <c r="D909" s="9"/>
      <c r="E909" s="9"/>
      <c r="F909" s="9"/>
      <c r="G909" s="9"/>
      <c r="H909" s="9"/>
      <c r="I909" s="9"/>
      <c r="J909" s="10" t="str">
        <f aca="false">IF(A909="","",IF(G909&lt;&gt;"",G909,IF(N(F909)&gt;0,ROUND(1000/F909,3),0)))</f>
        <v/>
      </c>
      <c r="K909" s="10" t="str">
        <f aca="false">IF(OR(A909="",E909="",H909=""),"",ROUND(0.00617*E909^2*H909*J909,2))</f>
        <v/>
      </c>
      <c r="L909" s="9"/>
      <c r="M909" s="10" t="str">
        <f aca="false">IF(A909="","",IF((COUNTIF(Drain_Register!$A$5:$A$304,A909)+COUNTIF(RW_Register!$A$5:$A$304,A909)+COUNTIF(Embedded_Wall_Register!$A$5:$A$304,A909)+COUNTIF(Manhole_Register!$A$5:$A$304,A909)+COUNTIF(ERSS_Pit_Register!$A$5:$A$304,A909)+COUNTIF(Linkway_Register!$A$5:$A$304,A909)+COUNTIF(Other_Register!$A$5:$A$304,A909))&gt;0,"OK","ID not in any register"))</f>
        <v/>
      </c>
    </row>
    <row r="910" customFormat="false" ht="15" hidden="false" customHeight="false" outlineLevel="0" collapsed="false">
      <c r="A910" s="9"/>
      <c r="B910" s="9"/>
      <c r="C910" s="9"/>
      <c r="D910" s="9"/>
      <c r="E910" s="9"/>
      <c r="F910" s="9"/>
      <c r="G910" s="9"/>
      <c r="H910" s="9"/>
      <c r="I910" s="9"/>
      <c r="J910" s="10" t="str">
        <f aca="false">IF(A910="","",IF(G910&lt;&gt;"",G910,IF(N(F910)&gt;0,ROUND(1000/F910,3),0)))</f>
        <v/>
      </c>
      <c r="K910" s="10" t="str">
        <f aca="false">IF(OR(A910="",E910="",H910=""),"",ROUND(0.00617*E910^2*H910*J910,2))</f>
        <v/>
      </c>
      <c r="L910" s="9"/>
      <c r="M910" s="10" t="str">
        <f aca="false">IF(A910="","",IF((COUNTIF(Drain_Register!$A$5:$A$304,A910)+COUNTIF(RW_Register!$A$5:$A$304,A910)+COUNTIF(Embedded_Wall_Register!$A$5:$A$304,A910)+COUNTIF(Manhole_Register!$A$5:$A$304,A910)+COUNTIF(ERSS_Pit_Register!$A$5:$A$304,A910)+COUNTIF(Linkway_Register!$A$5:$A$304,A910)+COUNTIF(Other_Register!$A$5:$A$304,A910))&gt;0,"OK","ID not in any register"))</f>
        <v/>
      </c>
    </row>
    <row r="911" customFormat="false" ht="15" hidden="false" customHeight="false" outlineLevel="0" collapsed="false">
      <c r="A911" s="9"/>
      <c r="B911" s="9"/>
      <c r="C911" s="9"/>
      <c r="D911" s="9"/>
      <c r="E911" s="9"/>
      <c r="F911" s="9"/>
      <c r="G911" s="9"/>
      <c r="H911" s="9"/>
      <c r="I911" s="9"/>
      <c r="J911" s="10" t="str">
        <f aca="false">IF(A911="","",IF(G911&lt;&gt;"",G911,IF(N(F911)&gt;0,ROUND(1000/F911,3),0)))</f>
        <v/>
      </c>
      <c r="K911" s="10" t="str">
        <f aca="false">IF(OR(A911="",E911="",H911=""),"",ROUND(0.00617*E911^2*H911*J911,2))</f>
        <v/>
      </c>
      <c r="L911" s="9"/>
      <c r="M911" s="10" t="str">
        <f aca="false">IF(A911="","",IF((COUNTIF(Drain_Register!$A$5:$A$304,A911)+COUNTIF(RW_Register!$A$5:$A$304,A911)+COUNTIF(Embedded_Wall_Register!$A$5:$A$304,A911)+COUNTIF(Manhole_Register!$A$5:$A$304,A911)+COUNTIF(ERSS_Pit_Register!$A$5:$A$304,A911)+COUNTIF(Linkway_Register!$A$5:$A$304,A911)+COUNTIF(Other_Register!$A$5:$A$304,A911))&gt;0,"OK","ID not in any register"))</f>
        <v/>
      </c>
    </row>
    <row r="912" customFormat="false" ht="15" hidden="false" customHeight="false" outlineLevel="0" collapsed="false">
      <c r="A912" s="9"/>
      <c r="B912" s="9"/>
      <c r="C912" s="9"/>
      <c r="D912" s="9"/>
      <c r="E912" s="9"/>
      <c r="F912" s="9"/>
      <c r="G912" s="9"/>
      <c r="H912" s="9"/>
      <c r="I912" s="9"/>
      <c r="J912" s="10" t="str">
        <f aca="false">IF(A912="","",IF(G912&lt;&gt;"",G912,IF(N(F912)&gt;0,ROUND(1000/F912,3),0)))</f>
        <v/>
      </c>
      <c r="K912" s="10" t="str">
        <f aca="false">IF(OR(A912="",E912="",H912=""),"",ROUND(0.00617*E912^2*H912*J912,2))</f>
        <v/>
      </c>
      <c r="L912" s="9"/>
      <c r="M912" s="10" t="str">
        <f aca="false">IF(A912="","",IF((COUNTIF(Drain_Register!$A$5:$A$304,A912)+COUNTIF(RW_Register!$A$5:$A$304,A912)+COUNTIF(Embedded_Wall_Register!$A$5:$A$304,A912)+COUNTIF(Manhole_Register!$A$5:$A$304,A912)+COUNTIF(ERSS_Pit_Register!$A$5:$A$304,A912)+COUNTIF(Linkway_Register!$A$5:$A$304,A912)+COUNTIF(Other_Register!$A$5:$A$304,A912))&gt;0,"OK","ID not in any register"))</f>
        <v/>
      </c>
    </row>
    <row r="913" customFormat="false" ht="15" hidden="false" customHeight="false" outlineLevel="0" collapsed="false">
      <c r="A913" s="9"/>
      <c r="B913" s="9"/>
      <c r="C913" s="9"/>
      <c r="D913" s="9"/>
      <c r="E913" s="9"/>
      <c r="F913" s="9"/>
      <c r="G913" s="9"/>
      <c r="H913" s="9"/>
      <c r="I913" s="9"/>
      <c r="J913" s="10" t="str">
        <f aca="false">IF(A913="","",IF(G913&lt;&gt;"",G913,IF(N(F913)&gt;0,ROUND(1000/F913,3),0)))</f>
        <v/>
      </c>
      <c r="K913" s="10" t="str">
        <f aca="false">IF(OR(A913="",E913="",H913=""),"",ROUND(0.00617*E913^2*H913*J913,2))</f>
        <v/>
      </c>
      <c r="L913" s="9"/>
      <c r="M913" s="10" t="str">
        <f aca="false">IF(A913="","",IF((COUNTIF(Drain_Register!$A$5:$A$304,A913)+COUNTIF(RW_Register!$A$5:$A$304,A913)+COUNTIF(Embedded_Wall_Register!$A$5:$A$304,A913)+COUNTIF(Manhole_Register!$A$5:$A$304,A913)+COUNTIF(ERSS_Pit_Register!$A$5:$A$304,A913)+COUNTIF(Linkway_Register!$A$5:$A$304,A913)+COUNTIF(Other_Register!$A$5:$A$304,A913))&gt;0,"OK","ID not in any register"))</f>
        <v/>
      </c>
    </row>
    <row r="914" customFormat="false" ht="15" hidden="false" customHeight="false" outlineLevel="0" collapsed="false">
      <c r="A914" s="9"/>
      <c r="B914" s="9"/>
      <c r="C914" s="9"/>
      <c r="D914" s="9"/>
      <c r="E914" s="9"/>
      <c r="F914" s="9"/>
      <c r="G914" s="9"/>
      <c r="H914" s="9"/>
      <c r="I914" s="9"/>
      <c r="J914" s="10" t="str">
        <f aca="false">IF(A914="","",IF(G914&lt;&gt;"",G914,IF(N(F914)&gt;0,ROUND(1000/F914,3),0)))</f>
        <v/>
      </c>
      <c r="K914" s="10" t="str">
        <f aca="false">IF(OR(A914="",E914="",H914=""),"",ROUND(0.00617*E914^2*H914*J914,2))</f>
        <v/>
      </c>
      <c r="L914" s="9"/>
      <c r="M914" s="10" t="str">
        <f aca="false">IF(A914="","",IF((COUNTIF(Drain_Register!$A$5:$A$304,A914)+COUNTIF(RW_Register!$A$5:$A$304,A914)+COUNTIF(Embedded_Wall_Register!$A$5:$A$304,A914)+COUNTIF(Manhole_Register!$A$5:$A$304,A914)+COUNTIF(ERSS_Pit_Register!$A$5:$A$304,A914)+COUNTIF(Linkway_Register!$A$5:$A$304,A914)+COUNTIF(Other_Register!$A$5:$A$304,A914))&gt;0,"OK","ID not in any register"))</f>
        <v/>
      </c>
    </row>
    <row r="915" customFormat="false" ht="15" hidden="false" customHeight="false" outlineLevel="0" collapsed="false">
      <c r="A915" s="9"/>
      <c r="B915" s="9"/>
      <c r="C915" s="9"/>
      <c r="D915" s="9"/>
      <c r="E915" s="9"/>
      <c r="F915" s="9"/>
      <c r="G915" s="9"/>
      <c r="H915" s="9"/>
      <c r="I915" s="9"/>
      <c r="J915" s="10" t="str">
        <f aca="false">IF(A915="","",IF(G915&lt;&gt;"",G915,IF(N(F915)&gt;0,ROUND(1000/F915,3),0)))</f>
        <v/>
      </c>
      <c r="K915" s="10" t="str">
        <f aca="false">IF(OR(A915="",E915="",H915=""),"",ROUND(0.00617*E915^2*H915*J915,2))</f>
        <v/>
      </c>
      <c r="L915" s="9"/>
      <c r="M915" s="10" t="str">
        <f aca="false">IF(A915="","",IF((COUNTIF(Drain_Register!$A$5:$A$304,A915)+COUNTIF(RW_Register!$A$5:$A$304,A915)+COUNTIF(Embedded_Wall_Register!$A$5:$A$304,A915)+COUNTIF(Manhole_Register!$A$5:$A$304,A915)+COUNTIF(ERSS_Pit_Register!$A$5:$A$304,A915)+COUNTIF(Linkway_Register!$A$5:$A$304,A915)+COUNTIF(Other_Register!$A$5:$A$304,A915))&gt;0,"OK","ID not in any register"))</f>
        <v/>
      </c>
    </row>
    <row r="916" customFormat="false" ht="15" hidden="false" customHeight="false" outlineLevel="0" collapsed="false">
      <c r="A916" s="9"/>
      <c r="B916" s="9"/>
      <c r="C916" s="9"/>
      <c r="D916" s="9"/>
      <c r="E916" s="9"/>
      <c r="F916" s="9"/>
      <c r="G916" s="9"/>
      <c r="H916" s="9"/>
      <c r="I916" s="9"/>
      <c r="J916" s="10" t="str">
        <f aca="false">IF(A916="","",IF(G916&lt;&gt;"",G916,IF(N(F916)&gt;0,ROUND(1000/F916,3),0)))</f>
        <v/>
      </c>
      <c r="K916" s="10" t="str">
        <f aca="false">IF(OR(A916="",E916="",H916=""),"",ROUND(0.00617*E916^2*H916*J916,2))</f>
        <v/>
      </c>
      <c r="L916" s="9"/>
      <c r="M916" s="10" t="str">
        <f aca="false">IF(A916="","",IF((COUNTIF(Drain_Register!$A$5:$A$304,A916)+COUNTIF(RW_Register!$A$5:$A$304,A916)+COUNTIF(Embedded_Wall_Register!$A$5:$A$304,A916)+COUNTIF(Manhole_Register!$A$5:$A$304,A916)+COUNTIF(ERSS_Pit_Register!$A$5:$A$304,A916)+COUNTIF(Linkway_Register!$A$5:$A$304,A916)+COUNTIF(Other_Register!$A$5:$A$304,A916))&gt;0,"OK","ID not in any register"))</f>
        <v/>
      </c>
    </row>
    <row r="917" customFormat="false" ht="15" hidden="false" customHeight="false" outlineLevel="0" collapsed="false">
      <c r="A917" s="9"/>
      <c r="B917" s="9"/>
      <c r="C917" s="9"/>
      <c r="D917" s="9"/>
      <c r="E917" s="9"/>
      <c r="F917" s="9"/>
      <c r="G917" s="9"/>
      <c r="H917" s="9"/>
      <c r="I917" s="9"/>
      <c r="J917" s="10" t="str">
        <f aca="false">IF(A917="","",IF(G917&lt;&gt;"",G917,IF(N(F917)&gt;0,ROUND(1000/F917,3),0)))</f>
        <v/>
      </c>
      <c r="K917" s="10" t="str">
        <f aca="false">IF(OR(A917="",E917="",H917=""),"",ROUND(0.00617*E917^2*H917*J917,2))</f>
        <v/>
      </c>
      <c r="L917" s="9"/>
      <c r="M917" s="10" t="str">
        <f aca="false">IF(A917="","",IF((COUNTIF(Drain_Register!$A$5:$A$304,A917)+COUNTIF(RW_Register!$A$5:$A$304,A917)+COUNTIF(Embedded_Wall_Register!$A$5:$A$304,A917)+COUNTIF(Manhole_Register!$A$5:$A$304,A917)+COUNTIF(ERSS_Pit_Register!$A$5:$A$304,A917)+COUNTIF(Linkway_Register!$A$5:$A$304,A917)+COUNTIF(Other_Register!$A$5:$A$304,A917))&gt;0,"OK","ID not in any register"))</f>
        <v/>
      </c>
    </row>
    <row r="918" customFormat="false" ht="15" hidden="false" customHeight="false" outlineLevel="0" collapsed="false">
      <c r="A918" s="9"/>
      <c r="B918" s="9"/>
      <c r="C918" s="9"/>
      <c r="D918" s="9"/>
      <c r="E918" s="9"/>
      <c r="F918" s="9"/>
      <c r="G918" s="9"/>
      <c r="H918" s="9"/>
      <c r="I918" s="9"/>
      <c r="J918" s="10" t="str">
        <f aca="false">IF(A918="","",IF(G918&lt;&gt;"",G918,IF(N(F918)&gt;0,ROUND(1000/F918,3),0)))</f>
        <v/>
      </c>
      <c r="K918" s="10" t="str">
        <f aca="false">IF(OR(A918="",E918="",H918=""),"",ROUND(0.00617*E918^2*H918*J918,2))</f>
        <v/>
      </c>
      <c r="L918" s="9"/>
      <c r="M918" s="10" t="str">
        <f aca="false">IF(A918="","",IF((COUNTIF(Drain_Register!$A$5:$A$304,A918)+COUNTIF(RW_Register!$A$5:$A$304,A918)+COUNTIF(Embedded_Wall_Register!$A$5:$A$304,A918)+COUNTIF(Manhole_Register!$A$5:$A$304,A918)+COUNTIF(ERSS_Pit_Register!$A$5:$A$304,A918)+COUNTIF(Linkway_Register!$A$5:$A$304,A918)+COUNTIF(Other_Register!$A$5:$A$304,A918))&gt;0,"OK","ID not in any register"))</f>
        <v/>
      </c>
    </row>
    <row r="919" customFormat="false" ht="15" hidden="false" customHeight="false" outlineLevel="0" collapsed="false">
      <c r="A919" s="9"/>
      <c r="B919" s="9"/>
      <c r="C919" s="9"/>
      <c r="D919" s="9"/>
      <c r="E919" s="9"/>
      <c r="F919" s="9"/>
      <c r="G919" s="9"/>
      <c r="H919" s="9"/>
      <c r="I919" s="9"/>
      <c r="J919" s="10" t="str">
        <f aca="false">IF(A919="","",IF(G919&lt;&gt;"",G919,IF(N(F919)&gt;0,ROUND(1000/F919,3),0)))</f>
        <v/>
      </c>
      <c r="K919" s="10" t="str">
        <f aca="false">IF(OR(A919="",E919="",H919=""),"",ROUND(0.00617*E919^2*H919*J919,2))</f>
        <v/>
      </c>
      <c r="L919" s="9"/>
      <c r="M919" s="10" t="str">
        <f aca="false">IF(A919="","",IF((COUNTIF(Drain_Register!$A$5:$A$304,A919)+COUNTIF(RW_Register!$A$5:$A$304,A919)+COUNTIF(Embedded_Wall_Register!$A$5:$A$304,A919)+COUNTIF(Manhole_Register!$A$5:$A$304,A919)+COUNTIF(ERSS_Pit_Register!$A$5:$A$304,A919)+COUNTIF(Linkway_Register!$A$5:$A$304,A919)+COUNTIF(Other_Register!$A$5:$A$304,A919))&gt;0,"OK","ID not in any register"))</f>
        <v/>
      </c>
    </row>
    <row r="920" customFormat="false" ht="15" hidden="false" customHeight="false" outlineLevel="0" collapsed="false">
      <c r="A920" s="9"/>
      <c r="B920" s="9"/>
      <c r="C920" s="9"/>
      <c r="D920" s="9"/>
      <c r="E920" s="9"/>
      <c r="F920" s="9"/>
      <c r="G920" s="9"/>
      <c r="H920" s="9"/>
      <c r="I920" s="9"/>
      <c r="J920" s="10" t="str">
        <f aca="false">IF(A920="","",IF(G920&lt;&gt;"",G920,IF(N(F920)&gt;0,ROUND(1000/F920,3),0)))</f>
        <v/>
      </c>
      <c r="K920" s="10" t="str">
        <f aca="false">IF(OR(A920="",E920="",H920=""),"",ROUND(0.00617*E920^2*H920*J920,2))</f>
        <v/>
      </c>
      <c r="L920" s="9"/>
      <c r="M920" s="10" t="str">
        <f aca="false">IF(A920="","",IF((COUNTIF(Drain_Register!$A$5:$A$304,A920)+COUNTIF(RW_Register!$A$5:$A$304,A920)+COUNTIF(Embedded_Wall_Register!$A$5:$A$304,A920)+COUNTIF(Manhole_Register!$A$5:$A$304,A920)+COUNTIF(ERSS_Pit_Register!$A$5:$A$304,A920)+COUNTIF(Linkway_Register!$A$5:$A$304,A920)+COUNTIF(Other_Register!$A$5:$A$304,A920))&gt;0,"OK","ID not in any register"))</f>
        <v/>
      </c>
    </row>
    <row r="921" customFormat="false" ht="15" hidden="false" customHeight="false" outlineLevel="0" collapsed="false">
      <c r="A921" s="9"/>
      <c r="B921" s="9"/>
      <c r="C921" s="9"/>
      <c r="D921" s="9"/>
      <c r="E921" s="9"/>
      <c r="F921" s="9"/>
      <c r="G921" s="9"/>
      <c r="H921" s="9"/>
      <c r="I921" s="9"/>
      <c r="J921" s="10" t="str">
        <f aca="false">IF(A921="","",IF(G921&lt;&gt;"",G921,IF(N(F921)&gt;0,ROUND(1000/F921,3),0)))</f>
        <v/>
      </c>
      <c r="K921" s="10" t="str">
        <f aca="false">IF(OR(A921="",E921="",H921=""),"",ROUND(0.00617*E921^2*H921*J921,2))</f>
        <v/>
      </c>
      <c r="L921" s="9"/>
      <c r="M921" s="10" t="str">
        <f aca="false">IF(A921="","",IF((COUNTIF(Drain_Register!$A$5:$A$304,A921)+COUNTIF(RW_Register!$A$5:$A$304,A921)+COUNTIF(Embedded_Wall_Register!$A$5:$A$304,A921)+COUNTIF(Manhole_Register!$A$5:$A$304,A921)+COUNTIF(ERSS_Pit_Register!$A$5:$A$304,A921)+COUNTIF(Linkway_Register!$A$5:$A$304,A921)+COUNTIF(Other_Register!$A$5:$A$304,A921))&gt;0,"OK","ID not in any register"))</f>
        <v/>
      </c>
    </row>
    <row r="922" customFormat="false" ht="15" hidden="false" customHeight="false" outlineLevel="0" collapsed="false">
      <c r="A922" s="9"/>
      <c r="B922" s="9"/>
      <c r="C922" s="9"/>
      <c r="D922" s="9"/>
      <c r="E922" s="9"/>
      <c r="F922" s="9"/>
      <c r="G922" s="9"/>
      <c r="H922" s="9"/>
      <c r="I922" s="9"/>
      <c r="J922" s="10" t="str">
        <f aca="false">IF(A922="","",IF(G922&lt;&gt;"",G922,IF(N(F922)&gt;0,ROUND(1000/F922,3),0)))</f>
        <v/>
      </c>
      <c r="K922" s="10" t="str">
        <f aca="false">IF(OR(A922="",E922="",H922=""),"",ROUND(0.00617*E922^2*H922*J922,2))</f>
        <v/>
      </c>
      <c r="L922" s="9"/>
      <c r="M922" s="10" t="str">
        <f aca="false">IF(A922="","",IF((COUNTIF(Drain_Register!$A$5:$A$304,A922)+COUNTIF(RW_Register!$A$5:$A$304,A922)+COUNTIF(Embedded_Wall_Register!$A$5:$A$304,A922)+COUNTIF(Manhole_Register!$A$5:$A$304,A922)+COUNTIF(ERSS_Pit_Register!$A$5:$A$304,A922)+COUNTIF(Linkway_Register!$A$5:$A$304,A922)+COUNTIF(Other_Register!$A$5:$A$304,A922))&gt;0,"OK","ID not in any register"))</f>
        <v/>
      </c>
    </row>
    <row r="923" customFormat="false" ht="15" hidden="false" customHeight="false" outlineLevel="0" collapsed="false">
      <c r="A923" s="9"/>
      <c r="B923" s="9"/>
      <c r="C923" s="9"/>
      <c r="D923" s="9"/>
      <c r="E923" s="9"/>
      <c r="F923" s="9"/>
      <c r="G923" s="9"/>
      <c r="H923" s="9"/>
      <c r="I923" s="9"/>
      <c r="J923" s="10" t="str">
        <f aca="false">IF(A923="","",IF(G923&lt;&gt;"",G923,IF(N(F923)&gt;0,ROUND(1000/F923,3),0)))</f>
        <v/>
      </c>
      <c r="K923" s="10" t="str">
        <f aca="false">IF(OR(A923="",E923="",H923=""),"",ROUND(0.00617*E923^2*H923*J923,2))</f>
        <v/>
      </c>
      <c r="L923" s="9"/>
      <c r="M923" s="10" t="str">
        <f aca="false">IF(A923="","",IF((COUNTIF(Drain_Register!$A$5:$A$304,A923)+COUNTIF(RW_Register!$A$5:$A$304,A923)+COUNTIF(Embedded_Wall_Register!$A$5:$A$304,A923)+COUNTIF(Manhole_Register!$A$5:$A$304,A923)+COUNTIF(ERSS_Pit_Register!$A$5:$A$304,A923)+COUNTIF(Linkway_Register!$A$5:$A$304,A923)+COUNTIF(Other_Register!$A$5:$A$304,A923))&gt;0,"OK","ID not in any register"))</f>
        <v/>
      </c>
    </row>
    <row r="924" customFormat="false" ht="15" hidden="false" customHeight="false" outlineLevel="0" collapsed="false">
      <c r="A924" s="9"/>
      <c r="B924" s="9"/>
      <c r="C924" s="9"/>
      <c r="D924" s="9"/>
      <c r="E924" s="9"/>
      <c r="F924" s="9"/>
      <c r="G924" s="9"/>
      <c r="H924" s="9"/>
      <c r="I924" s="9"/>
      <c r="J924" s="10" t="str">
        <f aca="false">IF(A924="","",IF(G924&lt;&gt;"",G924,IF(N(F924)&gt;0,ROUND(1000/F924,3),0)))</f>
        <v/>
      </c>
      <c r="K924" s="10" t="str">
        <f aca="false">IF(OR(A924="",E924="",H924=""),"",ROUND(0.00617*E924^2*H924*J924,2))</f>
        <v/>
      </c>
      <c r="L924" s="9"/>
      <c r="M924" s="10" t="str">
        <f aca="false">IF(A924="","",IF((COUNTIF(Drain_Register!$A$5:$A$304,A924)+COUNTIF(RW_Register!$A$5:$A$304,A924)+COUNTIF(Embedded_Wall_Register!$A$5:$A$304,A924)+COUNTIF(Manhole_Register!$A$5:$A$304,A924)+COUNTIF(ERSS_Pit_Register!$A$5:$A$304,A924)+COUNTIF(Linkway_Register!$A$5:$A$304,A924)+COUNTIF(Other_Register!$A$5:$A$304,A924))&gt;0,"OK","ID not in any register"))</f>
        <v/>
      </c>
    </row>
    <row r="925" customFormat="false" ht="15" hidden="false" customHeight="false" outlineLevel="0" collapsed="false">
      <c r="A925" s="9"/>
      <c r="B925" s="9"/>
      <c r="C925" s="9"/>
      <c r="D925" s="9"/>
      <c r="E925" s="9"/>
      <c r="F925" s="9"/>
      <c r="G925" s="9"/>
      <c r="H925" s="9"/>
      <c r="I925" s="9"/>
      <c r="J925" s="10" t="str">
        <f aca="false">IF(A925="","",IF(G925&lt;&gt;"",G925,IF(N(F925)&gt;0,ROUND(1000/F925,3),0)))</f>
        <v/>
      </c>
      <c r="K925" s="10" t="str">
        <f aca="false">IF(OR(A925="",E925="",H925=""),"",ROUND(0.00617*E925^2*H925*J925,2))</f>
        <v/>
      </c>
      <c r="L925" s="9"/>
      <c r="M925" s="10" t="str">
        <f aca="false">IF(A925="","",IF((COUNTIF(Drain_Register!$A$5:$A$304,A925)+COUNTIF(RW_Register!$A$5:$A$304,A925)+COUNTIF(Embedded_Wall_Register!$A$5:$A$304,A925)+COUNTIF(Manhole_Register!$A$5:$A$304,A925)+COUNTIF(ERSS_Pit_Register!$A$5:$A$304,A925)+COUNTIF(Linkway_Register!$A$5:$A$304,A925)+COUNTIF(Other_Register!$A$5:$A$304,A925))&gt;0,"OK","ID not in any register"))</f>
        <v/>
      </c>
    </row>
    <row r="926" customFormat="false" ht="15" hidden="false" customHeight="false" outlineLevel="0" collapsed="false">
      <c r="A926" s="9"/>
      <c r="B926" s="9"/>
      <c r="C926" s="9"/>
      <c r="D926" s="9"/>
      <c r="E926" s="9"/>
      <c r="F926" s="9"/>
      <c r="G926" s="9"/>
      <c r="H926" s="9"/>
      <c r="I926" s="9"/>
      <c r="J926" s="10" t="str">
        <f aca="false">IF(A926="","",IF(G926&lt;&gt;"",G926,IF(N(F926)&gt;0,ROUND(1000/F926,3),0)))</f>
        <v/>
      </c>
      <c r="K926" s="10" t="str">
        <f aca="false">IF(OR(A926="",E926="",H926=""),"",ROUND(0.00617*E926^2*H926*J926,2))</f>
        <v/>
      </c>
      <c r="L926" s="9"/>
      <c r="M926" s="10" t="str">
        <f aca="false">IF(A926="","",IF((COUNTIF(Drain_Register!$A$5:$A$304,A926)+COUNTIF(RW_Register!$A$5:$A$304,A926)+COUNTIF(Embedded_Wall_Register!$A$5:$A$304,A926)+COUNTIF(Manhole_Register!$A$5:$A$304,A926)+COUNTIF(ERSS_Pit_Register!$A$5:$A$304,A926)+COUNTIF(Linkway_Register!$A$5:$A$304,A926)+COUNTIF(Other_Register!$A$5:$A$304,A926))&gt;0,"OK","ID not in any register"))</f>
        <v/>
      </c>
    </row>
    <row r="927" customFormat="false" ht="15" hidden="false" customHeight="false" outlineLevel="0" collapsed="false">
      <c r="A927" s="9"/>
      <c r="B927" s="9"/>
      <c r="C927" s="9"/>
      <c r="D927" s="9"/>
      <c r="E927" s="9"/>
      <c r="F927" s="9"/>
      <c r="G927" s="9"/>
      <c r="H927" s="9"/>
      <c r="I927" s="9"/>
      <c r="J927" s="10" t="str">
        <f aca="false">IF(A927="","",IF(G927&lt;&gt;"",G927,IF(N(F927)&gt;0,ROUND(1000/F927,3),0)))</f>
        <v/>
      </c>
      <c r="K927" s="10" t="str">
        <f aca="false">IF(OR(A927="",E927="",H927=""),"",ROUND(0.00617*E927^2*H927*J927,2))</f>
        <v/>
      </c>
      <c r="L927" s="9"/>
      <c r="M927" s="10" t="str">
        <f aca="false">IF(A927="","",IF((COUNTIF(Drain_Register!$A$5:$A$304,A927)+COUNTIF(RW_Register!$A$5:$A$304,A927)+COUNTIF(Embedded_Wall_Register!$A$5:$A$304,A927)+COUNTIF(Manhole_Register!$A$5:$A$304,A927)+COUNTIF(ERSS_Pit_Register!$A$5:$A$304,A927)+COUNTIF(Linkway_Register!$A$5:$A$304,A927)+COUNTIF(Other_Register!$A$5:$A$304,A927))&gt;0,"OK","ID not in any register"))</f>
        <v/>
      </c>
    </row>
    <row r="928" customFormat="false" ht="15" hidden="false" customHeight="false" outlineLevel="0" collapsed="false">
      <c r="A928" s="9"/>
      <c r="B928" s="9"/>
      <c r="C928" s="9"/>
      <c r="D928" s="9"/>
      <c r="E928" s="9"/>
      <c r="F928" s="9"/>
      <c r="G928" s="9"/>
      <c r="H928" s="9"/>
      <c r="I928" s="9"/>
      <c r="J928" s="10" t="str">
        <f aca="false">IF(A928="","",IF(G928&lt;&gt;"",G928,IF(N(F928)&gt;0,ROUND(1000/F928,3),0)))</f>
        <v/>
      </c>
      <c r="K928" s="10" t="str">
        <f aca="false">IF(OR(A928="",E928="",H928=""),"",ROUND(0.00617*E928^2*H928*J928,2))</f>
        <v/>
      </c>
      <c r="L928" s="9"/>
      <c r="M928" s="10" t="str">
        <f aca="false">IF(A928="","",IF((COUNTIF(Drain_Register!$A$5:$A$304,A928)+COUNTIF(RW_Register!$A$5:$A$304,A928)+COUNTIF(Embedded_Wall_Register!$A$5:$A$304,A928)+COUNTIF(Manhole_Register!$A$5:$A$304,A928)+COUNTIF(ERSS_Pit_Register!$A$5:$A$304,A928)+COUNTIF(Linkway_Register!$A$5:$A$304,A928)+COUNTIF(Other_Register!$A$5:$A$304,A928))&gt;0,"OK","ID not in any register"))</f>
        <v/>
      </c>
    </row>
    <row r="929" customFormat="false" ht="15" hidden="false" customHeight="false" outlineLevel="0" collapsed="false">
      <c r="A929" s="9"/>
      <c r="B929" s="9"/>
      <c r="C929" s="9"/>
      <c r="D929" s="9"/>
      <c r="E929" s="9"/>
      <c r="F929" s="9"/>
      <c r="G929" s="9"/>
      <c r="H929" s="9"/>
      <c r="I929" s="9"/>
      <c r="J929" s="10" t="str">
        <f aca="false">IF(A929="","",IF(G929&lt;&gt;"",G929,IF(N(F929)&gt;0,ROUND(1000/F929,3),0)))</f>
        <v/>
      </c>
      <c r="K929" s="10" t="str">
        <f aca="false">IF(OR(A929="",E929="",H929=""),"",ROUND(0.00617*E929^2*H929*J929,2))</f>
        <v/>
      </c>
      <c r="L929" s="9"/>
      <c r="M929" s="10" t="str">
        <f aca="false">IF(A929="","",IF((COUNTIF(Drain_Register!$A$5:$A$304,A929)+COUNTIF(RW_Register!$A$5:$A$304,A929)+COUNTIF(Embedded_Wall_Register!$A$5:$A$304,A929)+COUNTIF(Manhole_Register!$A$5:$A$304,A929)+COUNTIF(ERSS_Pit_Register!$A$5:$A$304,A929)+COUNTIF(Linkway_Register!$A$5:$A$304,A929)+COUNTIF(Other_Register!$A$5:$A$304,A929))&gt;0,"OK","ID not in any register"))</f>
        <v/>
      </c>
    </row>
    <row r="930" customFormat="false" ht="15" hidden="false" customHeight="false" outlineLevel="0" collapsed="false">
      <c r="A930" s="9"/>
      <c r="B930" s="9"/>
      <c r="C930" s="9"/>
      <c r="D930" s="9"/>
      <c r="E930" s="9"/>
      <c r="F930" s="9"/>
      <c r="G930" s="9"/>
      <c r="H930" s="9"/>
      <c r="I930" s="9"/>
      <c r="J930" s="10" t="str">
        <f aca="false">IF(A930="","",IF(G930&lt;&gt;"",G930,IF(N(F930)&gt;0,ROUND(1000/F930,3),0)))</f>
        <v/>
      </c>
      <c r="K930" s="10" t="str">
        <f aca="false">IF(OR(A930="",E930="",H930=""),"",ROUND(0.00617*E930^2*H930*J930,2))</f>
        <v/>
      </c>
      <c r="L930" s="9"/>
      <c r="M930" s="10" t="str">
        <f aca="false">IF(A930="","",IF((COUNTIF(Drain_Register!$A$5:$A$304,A930)+COUNTIF(RW_Register!$A$5:$A$304,A930)+COUNTIF(Embedded_Wall_Register!$A$5:$A$304,A930)+COUNTIF(Manhole_Register!$A$5:$A$304,A930)+COUNTIF(ERSS_Pit_Register!$A$5:$A$304,A930)+COUNTIF(Linkway_Register!$A$5:$A$304,A930)+COUNTIF(Other_Register!$A$5:$A$304,A930))&gt;0,"OK","ID not in any register"))</f>
        <v/>
      </c>
    </row>
    <row r="931" customFormat="false" ht="15" hidden="false" customHeight="false" outlineLevel="0" collapsed="false">
      <c r="A931" s="9"/>
      <c r="B931" s="9"/>
      <c r="C931" s="9"/>
      <c r="D931" s="9"/>
      <c r="E931" s="9"/>
      <c r="F931" s="9"/>
      <c r="G931" s="9"/>
      <c r="H931" s="9"/>
      <c r="I931" s="9"/>
      <c r="J931" s="10" t="str">
        <f aca="false">IF(A931="","",IF(G931&lt;&gt;"",G931,IF(N(F931)&gt;0,ROUND(1000/F931,3),0)))</f>
        <v/>
      </c>
      <c r="K931" s="10" t="str">
        <f aca="false">IF(OR(A931="",E931="",H931=""),"",ROUND(0.00617*E931^2*H931*J931,2))</f>
        <v/>
      </c>
      <c r="L931" s="9"/>
      <c r="M931" s="10" t="str">
        <f aca="false">IF(A931="","",IF((COUNTIF(Drain_Register!$A$5:$A$304,A931)+COUNTIF(RW_Register!$A$5:$A$304,A931)+COUNTIF(Embedded_Wall_Register!$A$5:$A$304,A931)+COUNTIF(Manhole_Register!$A$5:$A$304,A931)+COUNTIF(ERSS_Pit_Register!$A$5:$A$304,A931)+COUNTIF(Linkway_Register!$A$5:$A$304,A931)+COUNTIF(Other_Register!$A$5:$A$304,A931))&gt;0,"OK","ID not in any register"))</f>
        <v/>
      </c>
    </row>
    <row r="932" customFormat="false" ht="15" hidden="false" customHeight="false" outlineLevel="0" collapsed="false">
      <c r="A932" s="9"/>
      <c r="B932" s="9"/>
      <c r="C932" s="9"/>
      <c r="D932" s="9"/>
      <c r="E932" s="9"/>
      <c r="F932" s="9"/>
      <c r="G932" s="9"/>
      <c r="H932" s="9"/>
      <c r="I932" s="9"/>
      <c r="J932" s="10" t="str">
        <f aca="false">IF(A932="","",IF(G932&lt;&gt;"",G932,IF(N(F932)&gt;0,ROUND(1000/F932,3),0)))</f>
        <v/>
      </c>
      <c r="K932" s="10" t="str">
        <f aca="false">IF(OR(A932="",E932="",H932=""),"",ROUND(0.00617*E932^2*H932*J932,2))</f>
        <v/>
      </c>
      <c r="L932" s="9"/>
      <c r="M932" s="10" t="str">
        <f aca="false">IF(A932="","",IF((COUNTIF(Drain_Register!$A$5:$A$304,A932)+COUNTIF(RW_Register!$A$5:$A$304,A932)+COUNTIF(Embedded_Wall_Register!$A$5:$A$304,A932)+COUNTIF(Manhole_Register!$A$5:$A$304,A932)+COUNTIF(ERSS_Pit_Register!$A$5:$A$304,A932)+COUNTIF(Linkway_Register!$A$5:$A$304,A932)+COUNTIF(Other_Register!$A$5:$A$304,A932))&gt;0,"OK","ID not in any register"))</f>
        <v/>
      </c>
    </row>
    <row r="933" customFormat="false" ht="15" hidden="false" customHeight="false" outlineLevel="0" collapsed="false">
      <c r="A933" s="9"/>
      <c r="B933" s="9"/>
      <c r="C933" s="9"/>
      <c r="D933" s="9"/>
      <c r="E933" s="9"/>
      <c r="F933" s="9"/>
      <c r="G933" s="9"/>
      <c r="H933" s="9"/>
      <c r="I933" s="9"/>
      <c r="J933" s="10" t="str">
        <f aca="false">IF(A933="","",IF(G933&lt;&gt;"",G933,IF(N(F933)&gt;0,ROUND(1000/F933,3),0)))</f>
        <v/>
      </c>
      <c r="K933" s="10" t="str">
        <f aca="false">IF(OR(A933="",E933="",H933=""),"",ROUND(0.00617*E933^2*H933*J933,2))</f>
        <v/>
      </c>
      <c r="L933" s="9"/>
      <c r="M933" s="10" t="str">
        <f aca="false">IF(A933="","",IF((COUNTIF(Drain_Register!$A$5:$A$304,A933)+COUNTIF(RW_Register!$A$5:$A$304,A933)+COUNTIF(Embedded_Wall_Register!$A$5:$A$304,A933)+COUNTIF(Manhole_Register!$A$5:$A$304,A933)+COUNTIF(ERSS_Pit_Register!$A$5:$A$304,A933)+COUNTIF(Linkway_Register!$A$5:$A$304,A933)+COUNTIF(Other_Register!$A$5:$A$304,A933))&gt;0,"OK","ID not in any register"))</f>
        <v/>
      </c>
    </row>
    <row r="934" customFormat="false" ht="15" hidden="false" customHeight="false" outlineLevel="0" collapsed="false">
      <c r="A934" s="9"/>
      <c r="B934" s="9"/>
      <c r="C934" s="9"/>
      <c r="D934" s="9"/>
      <c r="E934" s="9"/>
      <c r="F934" s="9"/>
      <c r="G934" s="9"/>
      <c r="H934" s="9"/>
      <c r="I934" s="9"/>
      <c r="J934" s="10" t="str">
        <f aca="false">IF(A934="","",IF(G934&lt;&gt;"",G934,IF(N(F934)&gt;0,ROUND(1000/F934,3),0)))</f>
        <v/>
      </c>
      <c r="K934" s="10" t="str">
        <f aca="false">IF(OR(A934="",E934="",H934=""),"",ROUND(0.00617*E934^2*H934*J934,2))</f>
        <v/>
      </c>
      <c r="L934" s="9"/>
      <c r="M934" s="10" t="str">
        <f aca="false">IF(A934="","",IF((COUNTIF(Drain_Register!$A$5:$A$304,A934)+COUNTIF(RW_Register!$A$5:$A$304,A934)+COUNTIF(Embedded_Wall_Register!$A$5:$A$304,A934)+COUNTIF(Manhole_Register!$A$5:$A$304,A934)+COUNTIF(ERSS_Pit_Register!$A$5:$A$304,A934)+COUNTIF(Linkway_Register!$A$5:$A$304,A934)+COUNTIF(Other_Register!$A$5:$A$304,A934))&gt;0,"OK","ID not in any register"))</f>
        <v/>
      </c>
    </row>
    <row r="935" customFormat="false" ht="15" hidden="false" customHeight="false" outlineLevel="0" collapsed="false">
      <c r="A935" s="9"/>
      <c r="B935" s="9"/>
      <c r="C935" s="9"/>
      <c r="D935" s="9"/>
      <c r="E935" s="9"/>
      <c r="F935" s="9"/>
      <c r="G935" s="9"/>
      <c r="H935" s="9"/>
      <c r="I935" s="9"/>
      <c r="J935" s="10" t="str">
        <f aca="false">IF(A935="","",IF(G935&lt;&gt;"",G935,IF(N(F935)&gt;0,ROUND(1000/F935,3),0)))</f>
        <v/>
      </c>
      <c r="K935" s="10" t="str">
        <f aca="false">IF(OR(A935="",E935="",H935=""),"",ROUND(0.00617*E935^2*H935*J935,2))</f>
        <v/>
      </c>
      <c r="L935" s="9"/>
      <c r="M935" s="10" t="str">
        <f aca="false">IF(A935="","",IF((COUNTIF(Drain_Register!$A$5:$A$304,A935)+COUNTIF(RW_Register!$A$5:$A$304,A935)+COUNTIF(Embedded_Wall_Register!$A$5:$A$304,A935)+COUNTIF(Manhole_Register!$A$5:$A$304,A935)+COUNTIF(ERSS_Pit_Register!$A$5:$A$304,A935)+COUNTIF(Linkway_Register!$A$5:$A$304,A935)+COUNTIF(Other_Register!$A$5:$A$304,A935))&gt;0,"OK","ID not in any register"))</f>
        <v/>
      </c>
    </row>
    <row r="936" customFormat="false" ht="15" hidden="false" customHeight="false" outlineLevel="0" collapsed="false">
      <c r="A936" s="9"/>
      <c r="B936" s="9"/>
      <c r="C936" s="9"/>
      <c r="D936" s="9"/>
      <c r="E936" s="9"/>
      <c r="F936" s="9"/>
      <c r="G936" s="9"/>
      <c r="H936" s="9"/>
      <c r="I936" s="9"/>
      <c r="J936" s="10" t="str">
        <f aca="false">IF(A936="","",IF(G936&lt;&gt;"",G936,IF(N(F936)&gt;0,ROUND(1000/F936,3),0)))</f>
        <v/>
      </c>
      <c r="K936" s="10" t="str">
        <f aca="false">IF(OR(A936="",E936="",H936=""),"",ROUND(0.00617*E936^2*H936*J936,2))</f>
        <v/>
      </c>
      <c r="L936" s="9"/>
      <c r="M936" s="10" t="str">
        <f aca="false">IF(A936="","",IF((COUNTIF(Drain_Register!$A$5:$A$304,A936)+COUNTIF(RW_Register!$A$5:$A$304,A936)+COUNTIF(Embedded_Wall_Register!$A$5:$A$304,A936)+COUNTIF(Manhole_Register!$A$5:$A$304,A936)+COUNTIF(ERSS_Pit_Register!$A$5:$A$304,A936)+COUNTIF(Linkway_Register!$A$5:$A$304,A936)+COUNTIF(Other_Register!$A$5:$A$304,A936))&gt;0,"OK","ID not in any register"))</f>
        <v/>
      </c>
    </row>
    <row r="937" customFormat="false" ht="15" hidden="false" customHeight="false" outlineLevel="0" collapsed="false">
      <c r="A937" s="9"/>
      <c r="B937" s="9"/>
      <c r="C937" s="9"/>
      <c r="D937" s="9"/>
      <c r="E937" s="9"/>
      <c r="F937" s="9"/>
      <c r="G937" s="9"/>
      <c r="H937" s="9"/>
      <c r="I937" s="9"/>
      <c r="J937" s="10" t="str">
        <f aca="false">IF(A937="","",IF(G937&lt;&gt;"",G937,IF(N(F937)&gt;0,ROUND(1000/F937,3),0)))</f>
        <v/>
      </c>
      <c r="K937" s="10" t="str">
        <f aca="false">IF(OR(A937="",E937="",H937=""),"",ROUND(0.00617*E937^2*H937*J937,2))</f>
        <v/>
      </c>
      <c r="L937" s="9"/>
      <c r="M937" s="10" t="str">
        <f aca="false">IF(A937="","",IF((COUNTIF(Drain_Register!$A$5:$A$304,A937)+COUNTIF(RW_Register!$A$5:$A$304,A937)+COUNTIF(Embedded_Wall_Register!$A$5:$A$304,A937)+COUNTIF(Manhole_Register!$A$5:$A$304,A937)+COUNTIF(ERSS_Pit_Register!$A$5:$A$304,A937)+COUNTIF(Linkway_Register!$A$5:$A$304,A937)+COUNTIF(Other_Register!$A$5:$A$304,A937))&gt;0,"OK","ID not in any register"))</f>
        <v/>
      </c>
    </row>
    <row r="938" customFormat="false" ht="15" hidden="false" customHeight="false" outlineLevel="0" collapsed="false">
      <c r="A938" s="9"/>
      <c r="B938" s="9"/>
      <c r="C938" s="9"/>
      <c r="D938" s="9"/>
      <c r="E938" s="9"/>
      <c r="F938" s="9"/>
      <c r="G938" s="9"/>
      <c r="H938" s="9"/>
      <c r="I938" s="9"/>
      <c r="J938" s="10" t="str">
        <f aca="false">IF(A938="","",IF(G938&lt;&gt;"",G938,IF(N(F938)&gt;0,ROUND(1000/F938,3),0)))</f>
        <v/>
      </c>
      <c r="K938" s="10" t="str">
        <f aca="false">IF(OR(A938="",E938="",H938=""),"",ROUND(0.00617*E938^2*H938*J938,2))</f>
        <v/>
      </c>
      <c r="L938" s="9"/>
      <c r="M938" s="10" t="str">
        <f aca="false">IF(A938="","",IF((COUNTIF(Drain_Register!$A$5:$A$304,A938)+COUNTIF(RW_Register!$A$5:$A$304,A938)+COUNTIF(Embedded_Wall_Register!$A$5:$A$304,A938)+COUNTIF(Manhole_Register!$A$5:$A$304,A938)+COUNTIF(ERSS_Pit_Register!$A$5:$A$304,A938)+COUNTIF(Linkway_Register!$A$5:$A$304,A938)+COUNTIF(Other_Register!$A$5:$A$304,A938))&gt;0,"OK","ID not in any register"))</f>
        <v/>
      </c>
    </row>
    <row r="939" customFormat="false" ht="15" hidden="false" customHeight="false" outlineLevel="0" collapsed="false">
      <c r="A939" s="9"/>
      <c r="B939" s="9"/>
      <c r="C939" s="9"/>
      <c r="D939" s="9"/>
      <c r="E939" s="9"/>
      <c r="F939" s="9"/>
      <c r="G939" s="9"/>
      <c r="H939" s="9"/>
      <c r="I939" s="9"/>
      <c r="J939" s="10" t="str">
        <f aca="false">IF(A939="","",IF(G939&lt;&gt;"",G939,IF(N(F939)&gt;0,ROUND(1000/F939,3),0)))</f>
        <v/>
      </c>
      <c r="K939" s="10" t="str">
        <f aca="false">IF(OR(A939="",E939="",H939=""),"",ROUND(0.00617*E939^2*H939*J939,2))</f>
        <v/>
      </c>
      <c r="L939" s="9"/>
      <c r="M939" s="10" t="str">
        <f aca="false">IF(A939="","",IF((COUNTIF(Drain_Register!$A$5:$A$304,A939)+COUNTIF(RW_Register!$A$5:$A$304,A939)+COUNTIF(Embedded_Wall_Register!$A$5:$A$304,A939)+COUNTIF(Manhole_Register!$A$5:$A$304,A939)+COUNTIF(ERSS_Pit_Register!$A$5:$A$304,A939)+COUNTIF(Linkway_Register!$A$5:$A$304,A939)+COUNTIF(Other_Register!$A$5:$A$304,A939))&gt;0,"OK","ID not in any register"))</f>
        <v/>
      </c>
    </row>
    <row r="940" customFormat="false" ht="15" hidden="false" customHeight="false" outlineLevel="0" collapsed="false">
      <c r="A940" s="9"/>
      <c r="B940" s="9"/>
      <c r="C940" s="9"/>
      <c r="D940" s="9"/>
      <c r="E940" s="9"/>
      <c r="F940" s="9"/>
      <c r="G940" s="9"/>
      <c r="H940" s="9"/>
      <c r="I940" s="9"/>
      <c r="J940" s="10" t="str">
        <f aca="false">IF(A940="","",IF(G940&lt;&gt;"",G940,IF(N(F940)&gt;0,ROUND(1000/F940,3),0)))</f>
        <v/>
      </c>
      <c r="K940" s="10" t="str">
        <f aca="false">IF(OR(A940="",E940="",H940=""),"",ROUND(0.00617*E940^2*H940*J940,2))</f>
        <v/>
      </c>
      <c r="L940" s="9"/>
      <c r="M940" s="10" t="str">
        <f aca="false">IF(A940="","",IF((COUNTIF(Drain_Register!$A$5:$A$304,A940)+COUNTIF(RW_Register!$A$5:$A$304,A940)+COUNTIF(Embedded_Wall_Register!$A$5:$A$304,A940)+COUNTIF(Manhole_Register!$A$5:$A$304,A940)+COUNTIF(ERSS_Pit_Register!$A$5:$A$304,A940)+COUNTIF(Linkway_Register!$A$5:$A$304,A940)+COUNTIF(Other_Register!$A$5:$A$304,A940))&gt;0,"OK","ID not in any register"))</f>
        <v/>
      </c>
    </row>
    <row r="941" customFormat="false" ht="15" hidden="false" customHeight="false" outlineLevel="0" collapsed="false">
      <c r="A941" s="9"/>
      <c r="B941" s="9"/>
      <c r="C941" s="9"/>
      <c r="D941" s="9"/>
      <c r="E941" s="9"/>
      <c r="F941" s="9"/>
      <c r="G941" s="9"/>
      <c r="H941" s="9"/>
      <c r="I941" s="9"/>
      <c r="J941" s="10" t="str">
        <f aca="false">IF(A941="","",IF(G941&lt;&gt;"",G941,IF(N(F941)&gt;0,ROUND(1000/F941,3),0)))</f>
        <v/>
      </c>
      <c r="K941" s="10" t="str">
        <f aca="false">IF(OR(A941="",E941="",H941=""),"",ROUND(0.00617*E941^2*H941*J941,2))</f>
        <v/>
      </c>
      <c r="L941" s="9"/>
      <c r="M941" s="10" t="str">
        <f aca="false">IF(A941="","",IF((COUNTIF(Drain_Register!$A$5:$A$304,A941)+COUNTIF(RW_Register!$A$5:$A$304,A941)+COUNTIF(Embedded_Wall_Register!$A$5:$A$304,A941)+COUNTIF(Manhole_Register!$A$5:$A$304,A941)+COUNTIF(ERSS_Pit_Register!$A$5:$A$304,A941)+COUNTIF(Linkway_Register!$A$5:$A$304,A941)+COUNTIF(Other_Register!$A$5:$A$304,A941))&gt;0,"OK","ID not in any register"))</f>
        <v/>
      </c>
    </row>
    <row r="942" customFormat="false" ht="15" hidden="false" customHeight="false" outlineLevel="0" collapsed="false">
      <c r="A942" s="9"/>
      <c r="B942" s="9"/>
      <c r="C942" s="9"/>
      <c r="D942" s="9"/>
      <c r="E942" s="9"/>
      <c r="F942" s="9"/>
      <c r="G942" s="9"/>
      <c r="H942" s="9"/>
      <c r="I942" s="9"/>
      <c r="J942" s="10" t="str">
        <f aca="false">IF(A942="","",IF(G942&lt;&gt;"",G942,IF(N(F942)&gt;0,ROUND(1000/F942,3),0)))</f>
        <v/>
      </c>
      <c r="K942" s="10" t="str">
        <f aca="false">IF(OR(A942="",E942="",H942=""),"",ROUND(0.00617*E942^2*H942*J942,2))</f>
        <v/>
      </c>
      <c r="L942" s="9"/>
      <c r="M942" s="10" t="str">
        <f aca="false">IF(A942="","",IF((COUNTIF(Drain_Register!$A$5:$A$304,A942)+COUNTIF(RW_Register!$A$5:$A$304,A942)+COUNTIF(Embedded_Wall_Register!$A$5:$A$304,A942)+COUNTIF(Manhole_Register!$A$5:$A$304,A942)+COUNTIF(ERSS_Pit_Register!$A$5:$A$304,A942)+COUNTIF(Linkway_Register!$A$5:$A$304,A942)+COUNTIF(Other_Register!$A$5:$A$304,A942))&gt;0,"OK","ID not in any register"))</f>
        <v/>
      </c>
    </row>
    <row r="943" customFormat="false" ht="15" hidden="false" customHeight="false" outlineLevel="0" collapsed="false">
      <c r="A943" s="9"/>
      <c r="B943" s="9"/>
      <c r="C943" s="9"/>
      <c r="D943" s="9"/>
      <c r="E943" s="9"/>
      <c r="F943" s="9"/>
      <c r="G943" s="9"/>
      <c r="H943" s="9"/>
      <c r="I943" s="9"/>
      <c r="J943" s="10" t="str">
        <f aca="false">IF(A943="","",IF(G943&lt;&gt;"",G943,IF(N(F943)&gt;0,ROUND(1000/F943,3),0)))</f>
        <v/>
      </c>
      <c r="K943" s="10" t="str">
        <f aca="false">IF(OR(A943="",E943="",H943=""),"",ROUND(0.00617*E943^2*H943*J943,2))</f>
        <v/>
      </c>
      <c r="L943" s="9"/>
      <c r="M943" s="10" t="str">
        <f aca="false">IF(A943="","",IF((COUNTIF(Drain_Register!$A$5:$A$304,A943)+COUNTIF(RW_Register!$A$5:$A$304,A943)+COUNTIF(Embedded_Wall_Register!$A$5:$A$304,A943)+COUNTIF(Manhole_Register!$A$5:$A$304,A943)+COUNTIF(ERSS_Pit_Register!$A$5:$A$304,A943)+COUNTIF(Linkway_Register!$A$5:$A$304,A943)+COUNTIF(Other_Register!$A$5:$A$304,A943))&gt;0,"OK","ID not in any register"))</f>
        <v/>
      </c>
    </row>
    <row r="944" customFormat="false" ht="15" hidden="false" customHeight="false" outlineLevel="0" collapsed="false">
      <c r="A944" s="9"/>
      <c r="B944" s="9"/>
      <c r="C944" s="9"/>
      <c r="D944" s="9"/>
      <c r="E944" s="9"/>
      <c r="F944" s="9"/>
      <c r="G944" s="9"/>
      <c r="H944" s="9"/>
      <c r="I944" s="9"/>
      <c r="J944" s="10" t="str">
        <f aca="false">IF(A944="","",IF(G944&lt;&gt;"",G944,IF(N(F944)&gt;0,ROUND(1000/F944,3),0)))</f>
        <v/>
      </c>
      <c r="K944" s="10" t="str">
        <f aca="false">IF(OR(A944="",E944="",H944=""),"",ROUND(0.00617*E944^2*H944*J944,2))</f>
        <v/>
      </c>
      <c r="L944" s="9"/>
      <c r="M944" s="10" t="str">
        <f aca="false">IF(A944="","",IF((COUNTIF(Drain_Register!$A$5:$A$304,A944)+COUNTIF(RW_Register!$A$5:$A$304,A944)+COUNTIF(Embedded_Wall_Register!$A$5:$A$304,A944)+COUNTIF(Manhole_Register!$A$5:$A$304,A944)+COUNTIF(ERSS_Pit_Register!$A$5:$A$304,A944)+COUNTIF(Linkway_Register!$A$5:$A$304,A944)+COUNTIF(Other_Register!$A$5:$A$304,A944))&gt;0,"OK","ID not in any register"))</f>
        <v/>
      </c>
    </row>
    <row r="945" customFormat="false" ht="15" hidden="false" customHeight="false" outlineLevel="0" collapsed="false">
      <c r="A945" s="9"/>
      <c r="B945" s="9"/>
      <c r="C945" s="9"/>
      <c r="D945" s="9"/>
      <c r="E945" s="9"/>
      <c r="F945" s="9"/>
      <c r="G945" s="9"/>
      <c r="H945" s="9"/>
      <c r="I945" s="9"/>
      <c r="J945" s="10" t="str">
        <f aca="false">IF(A945="","",IF(G945&lt;&gt;"",G945,IF(N(F945)&gt;0,ROUND(1000/F945,3),0)))</f>
        <v/>
      </c>
      <c r="K945" s="10" t="str">
        <f aca="false">IF(OR(A945="",E945="",H945=""),"",ROUND(0.00617*E945^2*H945*J945,2))</f>
        <v/>
      </c>
      <c r="L945" s="9"/>
      <c r="M945" s="10" t="str">
        <f aca="false">IF(A945="","",IF((COUNTIF(Drain_Register!$A$5:$A$304,A945)+COUNTIF(RW_Register!$A$5:$A$304,A945)+COUNTIF(Embedded_Wall_Register!$A$5:$A$304,A945)+COUNTIF(Manhole_Register!$A$5:$A$304,A945)+COUNTIF(ERSS_Pit_Register!$A$5:$A$304,A945)+COUNTIF(Linkway_Register!$A$5:$A$304,A945)+COUNTIF(Other_Register!$A$5:$A$304,A945))&gt;0,"OK","ID not in any register"))</f>
        <v/>
      </c>
    </row>
    <row r="946" customFormat="false" ht="15" hidden="false" customHeight="false" outlineLevel="0" collapsed="false">
      <c r="A946" s="9"/>
      <c r="B946" s="9"/>
      <c r="C946" s="9"/>
      <c r="D946" s="9"/>
      <c r="E946" s="9"/>
      <c r="F946" s="9"/>
      <c r="G946" s="9"/>
      <c r="H946" s="9"/>
      <c r="I946" s="9"/>
      <c r="J946" s="10" t="str">
        <f aca="false">IF(A946="","",IF(G946&lt;&gt;"",G946,IF(N(F946)&gt;0,ROUND(1000/F946,3),0)))</f>
        <v/>
      </c>
      <c r="K946" s="10" t="str">
        <f aca="false">IF(OR(A946="",E946="",H946=""),"",ROUND(0.00617*E946^2*H946*J946,2))</f>
        <v/>
      </c>
      <c r="L946" s="9"/>
      <c r="M946" s="10" t="str">
        <f aca="false">IF(A946="","",IF((COUNTIF(Drain_Register!$A$5:$A$304,A946)+COUNTIF(RW_Register!$A$5:$A$304,A946)+COUNTIF(Embedded_Wall_Register!$A$5:$A$304,A946)+COUNTIF(Manhole_Register!$A$5:$A$304,A946)+COUNTIF(ERSS_Pit_Register!$A$5:$A$304,A946)+COUNTIF(Linkway_Register!$A$5:$A$304,A946)+COUNTIF(Other_Register!$A$5:$A$304,A946))&gt;0,"OK","ID not in any register"))</f>
        <v/>
      </c>
    </row>
    <row r="947" customFormat="false" ht="15" hidden="false" customHeight="false" outlineLevel="0" collapsed="false">
      <c r="A947" s="9"/>
      <c r="B947" s="9"/>
      <c r="C947" s="9"/>
      <c r="D947" s="9"/>
      <c r="E947" s="9"/>
      <c r="F947" s="9"/>
      <c r="G947" s="9"/>
      <c r="H947" s="9"/>
      <c r="I947" s="9"/>
      <c r="J947" s="10" t="str">
        <f aca="false">IF(A947="","",IF(G947&lt;&gt;"",G947,IF(N(F947)&gt;0,ROUND(1000/F947,3),0)))</f>
        <v/>
      </c>
      <c r="K947" s="10" t="str">
        <f aca="false">IF(OR(A947="",E947="",H947=""),"",ROUND(0.00617*E947^2*H947*J947,2))</f>
        <v/>
      </c>
      <c r="L947" s="9"/>
      <c r="M947" s="10" t="str">
        <f aca="false">IF(A947="","",IF((COUNTIF(Drain_Register!$A$5:$A$304,A947)+COUNTIF(RW_Register!$A$5:$A$304,A947)+COUNTIF(Embedded_Wall_Register!$A$5:$A$304,A947)+COUNTIF(Manhole_Register!$A$5:$A$304,A947)+COUNTIF(ERSS_Pit_Register!$A$5:$A$304,A947)+COUNTIF(Linkway_Register!$A$5:$A$304,A947)+COUNTIF(Other_Register!$A$5:$A$304,A947))&gt;0,"OK","ID not in any register"))</f>
        <v/>
      </c>
    </row>
    <row r="948" customFormat="false" ht="15" hidden="false" customHeight="false" outlineLevel="0" collapsed="false">
      <c r="A948" s="9"/>
      <c r="B948" s="9"/>
      <c r="C948" s="9"/>
      <c r="D948" s="9"/>
      <c r="E948" s="9"/>
      <c r="F948" s="9"/>
      <c r="G948" s="9"/>
      <c r="H948" s="9"/>
      <c r="I948" s="9"/>
      <c r="J948" s="10" t="str">
        <f aca="false">IF(A948="","",IF(G948&lt;&gt;"",G948,IF(N(F948)&gt;0,ROUND(1000/F948,3),0)))</f>
        <v/>
      </c>
      <c r="K948" s="10" t="str">
        <f aca="false">IF(OR(A948="",E948="",H948=""),"",ROUND(0.00617*E948^2*H948*J948,2))</f>
        <v/>
      </c>
      <c r="L948" s="9"/>
      <c r="M948" s="10" t="str">
        <f aca="false">IF(A948="","",IF((COUNTIF(Drain_Register!$A$5:$A$304,A948)+COUNTIF(RW_Register!$A$5:$A$304,A948)+COUNTIF(Embedded_Wall_Register!$A$5:$A$304,A948)+COUNTIF(Manhole_Register!$A$5:$A$304,A948)+COUNTIF(ERSS_Pit_Register!$A$5:$A$304,A948)+COUNTIF(Linkway_Register!$A$5:$A$304,A948)+COUNTIF(Other_Register!$A$5:$A$304,A948))&gt;0,"OK","ID not in any register"))</f>
        <v/>
      </c>
    </row>
    <row r="949" customFormat="false" ht="15" hidden="false" customHeight="false" outlineLevel="0" collapsed="false">
      <c r="A949" s="9"/>
      <c r="B949" s="9"/>
      <c r="C949" s="9"/>
      <c r="D949" s="9"/>
      <c r="E949" s="9"/>
      <c r="F949" s="9"/>
      <c r="G949" s="9"/>
      <c r="H949" s="9"/>
      <c r="I949" s="9"/>
      <c r="J949" s="10" t="str">
        <f aca="false">IF(A949="","",IF(G949&lt;&gt;"",G949,IF(N(F949)&gt;0,ROUND(1000/F949,3),0)))</f>
        <v/>
      </c>
      <c r="K949" s="10" t="str">
        <f aca="false">IF(OR(A949="",E949="",H949=""),"",ROUND(0.00617*E949^2*H949*J949,2))</f>
        <v/>
      </c>
      <c r="L949" s="9"/>
      <c r="M949" s="10" t="str">
        <f aca="false">IF(A949="","",IF((COUNTIF(Drain_Register!$A$5:$A$304,A949)+COUNTIF(RW_Register!$A$5:$A$304,A949)+COUNTIF(Embedded_Wall_Register!$A$5:$A$304,A949)+COUNTIF(Manhole_Register!$A$5:$A$304,A949)+COUNTIF(ERSS_Pit_Register!$A$5:$A$304,A949)+COUNTIF(Linkway_Register!$A$5:$A$304,A949)+COUNTIF(Other_Register!$A$5:$A$304,A949))&gt;0,"OK","ID not in any register"))</f>
        <v/>
      </c>
    </row>
    <row r="950" customFormat="false" ht="15" hidden="false" customHeight="false" outlineLevel="0" collapsed="false">
      <c r="A950" s="9"/>
      <c r="B950" s="9"/>
      <c r="C950" s="9"/>
      <c r="D950" s="9"/>
      <c r="E950" s="9"/>
      <c r="F950" s="9"/>
      <c r="G950" s="9"/>
      <c r="H950" s="9"/>
      <c r="I950" s="9"/>
      <c r="J950" s="10" t="str">
        <f aca="false">IF(A950="","",IF(G950&lt;&gt;"",G950,IF(N(F950)&gt;0,ROUND(1000/F950,3),0)))</f>
        <v/>
      </c>
      <c r="K950" s="10" t="str">
        <f aca="false">IF(OR(A950="",E950="",H950=""),"",ROUND(0.00617*E950^2*H950*J950,2))</f>
        <v/>
      </c>
      <c r="L950" s="9"/>
      <c r="M950" s="10" t="str">
        <f aca="false">IF(A950="","",IF((COUNTIF(Drain_Register!$A$5:$A$304,A950)+COUNTIF(RW_Register!$A$5:$A$304,A950)+COUNTIF(Embedded_Wall_Register!$A$5:$A$304,A950)+COUNTIF(Manhole_Register!$A$5:$A$304,A950)+COUNTIF(ERSS_Pit_Register!$A$5:$A$304,A950)+COUNTIF(Linkway_Register!$A$5:$A$304,A950)+COUNTIF(Other_Register!$A$5:$A$304,A950))&gt;0,"OK","ID not in any register"))</f>
        <v/>
      </c>
    </row>
    <row r="951" customFormat="false" ht="15" hidden="false" customHeight="false" outlineLevel="0" collapsed="false">
      <c r="A951" s="9"/>
      <c r="B951" s="9"/>
      <c r="C951" s="9"/>
      <c r="D951" s="9"/>
      <c r="E951" s="9"/>
      <c r="F951" s="9"/>
      <c r="G951" s="9"/>
      <c r="H951" s="9"/>
      <c r="I951" s="9"/>
      <c r="J951" s="10" t="str">
        <f aca="false">IF(A951="","",IF(G951&lt;&gt;"",G951,IF(N(F951)&gt;0,ROUND(1000/F951,3),0)))</f>
        <v/>
      </c>
      <c r="K951" s="10" t="str">
        <f aca="false">IF(OR(A951="",E951="",H951=""),"",ROUND(0.00617*E951^2*H951*J951,2))</f>
        <v/>
      </c>
      <c r="L951" s="9"/>
      <c r="M951" s="10" t="str">
        <f aca="false">IF(A951="","",IF((COUNTIF(Drain_Register!$A$5:$A$304,A951)+COUNTIF(RW_Register!$A$5:$A$304,A951)+COUNTIF(Embedded_Wall_Register!$A$5:$A$304,A951)+COUNTIF(Manhole_Register!$A$5:$A$304,A951)+COUNTIF(ERSS_Pit_Register!$A$5:$A$304,A951)+COUNTIF(Linkway_Register!$A$5:$A$304,A951)+COUNTIF(Other_Register!$A$5:$A$304,A951))&gt;0,"OK","ID not in any register"))</f>
        <v/>
      </c>
    </row>
    <row r="952" customFormat="false" ht="15" hidden="false" customHeight="false" outlineLevel="0" collapsed="false">
      <c r="A952" s="9"/>
      <c r="B952" s="9"/>
      <c r="C952" s="9"/>
      <c r="D952" s="9"/>
      <c r="E952" s="9"/>
      <c r="F952" s="9"/>
      <c r="G952" s="9"/>
      <c r="H952" s="9"/>
      <c r="I952" s="9"/>
      <c r="J952" s="10" t="str">
        <f aca="false">IF(A952="","",IF(G952&lt;&gt;"",G952,IF(N(F952)&gt;0,ROUND(1000/F952,3),0)))</f>
        <v/>
      </c>
      <c r="K952" s="10" t="str">
        <f aca="false">IF(OR(A952="",E952="",H952=""),"",ROUND(0.00617*E952^2*H952*J952,2))</f>
        <v/>
      </c>
      <c r="L952" s="9"/>
      <c r="M952" s="10" t="str">
        <f aca="false">IF(A952="","",IF((COUNTIF(Drain_Register!$A$5:$A$304,A952)+COUNTIF(RW_Register!$A$5:$A$304,A952)+COUNTIF(Embedded_Wall_Register!$A$5:$A$304,A952)+COUNTIF(Manhole_Register!$A$5:$A$304,A952)+COUNTIF(ERSS_Pit_Register!$A$5:$A$304,A952)+COUNTIF(Linkway_Register!$A$5:$A$304,A952)+COUNTIF(Other_Register!$A$5:$A$304,A952))&gt;0,"OK","ID not in any register"))</f>
        <v/>
      </c>
    </row>
    <row r="953" customFormat="false" ht="15" hidden="false" customHeight="false" outlineLevel="0" collapsed="false">
      <c r="A953" s="9"/>
      <c r="B953" s="9"/>
      <c r="C953" s="9"/>
      <c r="D953" s="9"/>
      <c r="E953" s="9"/>
      <c r="F953" s="9"/>
      <c r="G953" s="9"/>
      <c r="H953" s="9"/>
      <c r="I953" s="9"/>
      <c r="J953" s="10" t="str">
        <f aca="false">IF(A953="","",IF(G953&lt;&gt;"",G953,IF(N(F953)&gt;0,ROUND(1000/F953,3),0)))</f>
        <v/>
      </c>
      <c r="K953" s="10" t="str">
        <f aca="false">IF(OR(A953="",E953="",H953=""),"",ROUND(0.00617*E953^2*H953*J953,2))</f>
        <v/>
      </c>
      <c r="L953" s="9"/>
      <c r="M953" s="10" t="str">
        <f aca="false">IF(A953="","",IF((COUNTIF(Drain_Register!$A$5:$A$304,A953)+COUNTIF(RW_Register!$A$5:$A$304,A953)+COUNTIF(Embedded_Wall_Register!$A$5:$A$304,A953)+COUNTIF(Manhole_Register!$A$5:$A$304,A953)+COUNTIF(ERSS_Pit_Register!$A$5:$A$304,A953)+COUNTIF(Linkway_Register!$A$5:$A$304,A953)+COUNTIF(Other_Register!$A$5:$A$304,A953))&gt;0,"OK","ID not in any register"))</f>
        <v/>
      </c>
    </row>
    <row r="954" customFormat="false" ht="15" hidden="false" customHeight="false" outlineLevel="0" collapsed="false">
      <c r="A954" s="9"/>
      <c r="B954" s="9"/>
      <c r="C954" s="9"/>
      <c r="D954" s="9"/>
      <c r="E954" s="9"/>
      <c r="F954" s="9"/>
      <c r="G954" s="9"/>
      <c r="H954" s="9"/>
      <c r="I954" s="9"/>
      <c r="J954" s="10" t="str">
        <f aca="false">IF(A954="","",IF(G954&lt;&gt;"",G954,IF(N(F954)&gt;0,ROUND(1000/F954,3),0)))</f>
        <v/>
      </c>
      <c r="K954" s="10" t="str">
        <f aca="false">IF(OR(A954="",E954="",H954=""),"",ROUND(0.00617*E954^2*H954*J954,2))</f>
        <v/>
      </c>
      <c r="L954" s="9"/>
      <c r="M954" s="10" t="str">
        <f aca="false">IF(A954="","",IF((COUNTIF(Drain_Register!$A$5:$A$304,A954)+COUNTIF(RW_Register!$A$5:$A$304,A954)+COUNTIF(Embedded_Wall_Register!$A$5:$A$304,A954)+COUNTIF(Manhole_Register!$A$5:$A$304,A954)+COUNTIF(ERSS_Pit_Register!$A$5:$A$304,A954)+COUNTIF(Linkway_Register!$A$5:$A$304,A954)+COUNTIF(Other_Register!$A$5:$A$304,A954))&gt;0,"OK","ID not in any register"))</f>
        <v/>
      </c>
    </row>
    <row r="955" customFormat="false" ht="15" hidden="false" customHeight="false" outlineLevel="0" collapsed="false">
      <c r="A955" s="9"/>
      <c r="B955" s="9"/>
      <c r="C955" s="9"/>
      <c r="D955" s="9"/>
      <c r="E955" s="9"/>
      <c r="F955" s="9"/>
      <c r="G955" s="9"/>
      <c r="H955" s="9"/>
      <c r="I955" s="9"/>
      <c r="J955" s="10" t="str">
        <f aca="false">IF(A955="","",IF(G955&lt;&gt;"",G955,IF(N(F955)&gt;0,ROUND(1000/F955,3),0)))</f>
        <v/>
      </c>
      <c r="K955" s="10" t="str">
        <f aca="false">IF(OR(A955="",E955="",H955=""),"",ROUND(0.00617*E955^2*H955*J955,2))</f>
        <v/>
      </c>
      <c r="L955" s="9"/>
      <c r="M955" s="10" t="str">
        <f aca="false">IF(A955="","",IF((COUNTIF(Drain_Register!$A$5:$A$304,A955)+COUNTIF(RW_Register!$A$5:$A$304,A955)+COUNTIF(Embedded_Wall_Register!$A$5:$A$304,A955)+COUNTIF(Manhole_Register!$A$5:$A$304,A955)+COUNTIF(ERSS_Pit_Register!$A$5:$A$304,A955)+COUNTIF(Linkway_Register!$A$5:$A$304,A955)+COUNTIF(Other_Register!$A$5:$A$304,A955))&gt;0,"OK","ID not in any register"))</f>
        <v/>
      </c>
    </row>
    <row r="956" customFormat="false" ht="15" hidden="false" customHeight="false" outlineLevel="0" collapsed="false">
      <c r="A956" s="9"/>
      <c r="B956" s="9"/>
      <c r="C956" s="9"/>
      <c r="D956" s="9"/>
      <c r="E956" s="9"/>
      <c r="F956" s="9"/>
      <c r="G956" s="9"/>
      <c r="H956" s="9"/>
      <c r="I956" s="9"/>
      <c r="J956" s="10" t="str">
        <f aca="false">IF(A956="","",IF(G956&lt;&gt;"",G956,IF(N(F956)&gt;0,ROUND(1000/F956,3),0)))</f>
        <v/>
      </c>
      <c r="K956" s="10" t="str">
        <f aca="false">IF(OR(A956="",E956="",H956=""),"",ROUND(0.00617*E956^2*H956*J956,2))</f>
        <v/>
      </c>
      <c r="L956" s="9"/>
      <c r="M956" s="10" t="str">
        <f aca="false">IF(A956="","",IF((COUNTIF(Drain_Register!$A$5:$A$304,A956)+COUNTIF(RW_Register!$A$5:$A$304,A956)+COUNTIF(Embedded_Wall_Register!$A$5:$A$304,A956)+COUNTIF(Manhole_Register!$A$5:$A$304,A956)+COUNTIF(ERSS_Pit_Register!$A$5:$A$304,A956)+COUNTIF(Linkway_Register!$A$5:$A$304,A956)+COUNTIF(Other_Register!$A$5:$A$304,A956))&gt;0,"OK","ID not in any register"))</f>
        <v/>
      </c>
    </row>
    <row r="957" customFormat="false" ht="15" hidden="false" customHeight="false" outlineLevel="0" collapsed="false">
      <c r="A957" s="9"/>
      <c r="B957" s="9"/>
      <c r="C957" s="9"/>
      <c r="D957" s="9"/>
      <c r="E957" s="9"/>
      <c r="F957" s="9"/>
      <c r="G957" s="9"/>
      <c r="H957" s="9"/>
      <c r="I957" s="9"/>
      <c r="J957" s="10" t="str">
        <f aca="false">IF(A957="","",IF(G957&lt;&gt;"",G957,IF(N(F957)&gt;0,ROUND(1000/F957,3),0)))</f>
        <v/>
      </c>
      <c r="K957" s="10" t="str">
        <f aca="false">IF(OR(A957="",E957="",H957=""),"",ROUND(0.00617*E957^2*H957*J957,2))</f>
        <v/>
      </c>
      <c r="L957" s="9"/>
      <c r="M957" s="10" t="str">
        <f aca="false">IF(A957="","",IF((COUNTIF(Drain_Register!$A$5:$A$304,A957)+COUNTIF(RW_Register!$A$5:$A$304,A957)+COUNTIF(Embedded_Wall_Register!$A$5:$A$304,A957)+COUNTIF(Manhole_Register!$A$5:$A$304,A957)+COUNTIF(ERSS_Pit_Register!$A$5:$A$304,A957)+COUNTIF(Linkway_Register!$A$5:$A$304,A957)+COUNTIF(Other_Register!$A$5:$A$304,A957))&gt;0,"OK","ID not in any register"))</f>
        <v/>
      </c>
    </row>
    <row r="958" customFormat="false" ht="15" hidden="false" customHeight="false" outlineLevel="0" collapsed="false">
      <c r="A958" s="9"/>
      <c r="B958" s="9"/>
      <c r="C958" s="9"/>
      <c r="D958" s="9"/>
      <c r="E958" s="9"/>
      <c r="F958" s="9"/>
      <c r="G958" s="9"/>
      <c r="H958" s="9"/>
      <c r="I958" s="9"/>
      <c r="J958" s="10" t="str">
        <f aca="false">IF(A958="","",IF(G958&lt;&gt;"",G958,IF(N(F958)&gt;0,ROUND(1000/F958,3),0)))</f>
        <v/>
      </c>
      <c r="K958" s="10" t="str">
        <f aca="false">IF(OR(A958="",E958="",H958=""),"",ROUND(0.00617*E958^2*H958*J958,2))</f>
        <v/>
      </c>
      <c r="L958" s="9"/>
      <c r="M958" s="10" t="str">
        <f aca="false">IF(A958="","",IF((COUNTIF(Drain_Register!$A$5:$A$304,A958)+COUNTIF(RW_Register!$A$5:$A$304,A958)+COUNTIF(Embedded_Wall_Register!$A$5:$A$304,A958)+COUNTIF(Manhole_Register!$A$5:$A$304,A958)+COUNTIF(ERSS_Pit_Register!$A$5:$A$304,A958)+COUNTIF(Linkway_Register!$A$5:$A$304,A958)+COUNTIF(Other_Register!$A$5:$A$304,A958))&gt;0,"OK","ID not in any register"))</f>
        <v/>
      </c>
    </row>
    <row r="959" customFormat="false" ht="15" hidden="false" customHeight="false" outlineLevel="0" collapsed="false">
      <c r="A959" s="9"/>
      <c r="B959" s="9"/>
      <c r="C959" s="9"/>
      <c r="D959" s="9"/>
      <c r="E959" s="9"/>
      <c r="F959" s="9"/>
      <c r="G959" s="9"/>
      <c r="H959" s="9"/>
      <c r="I959" s="9"/>
      <c r="J959" s="10" t="str">
        <f aca="false">IF(A959="","",IF(G959&lt;&gt;"",G959,IF(N(F959)&gt;0,ROUND(1000/F959,3),0)))</f>
        <v/>
      </c>
      <c r="K959" s="10" t="str">
        <f aca="false">IF(OR(A959="",E959="",H959=""),"",ROUND(0.00617*E959^2*H959*J959,2))</f>
        <v/>
      </c>
      <c r="L959" s="9"/>
      <c r="M959" s="10" t="str">
        <f aca="false">IF(A959="","",IF((COUNTIF(Drain_Register!$A$5:$A$304,A959)+COUNTIF(RW_Register!$A$5:$A$304,A959)+COUNTIF(Embedded_Wall_Register!$A$5:$A$304,A959)+COUNTIF(Manhole_Register!$A$5:$A$304,A959)+COUNTIF(ERSS_Pit_Register!$A$5:$A$304,A959)+COUNTIF(Linkway_Register!$A$5:$A$304,A959)+COUNTIF(Other_Register!$A$5:$A$304,A959))&gt;0,"OK","ID not in any register"))</f>
        <v/>
      </c>
    </row>
    <row r="960" customFormat="false" ht="15" hidden="false" customHeight="false" outlineLevel="0" collapsed="false">
      <c r="A960" s="9"/>
      <c r="B960" s="9"/>
      <c r="C960" s="9"/>
      <c r="D960" s="9"/>
      <c r="E960" s="9"/>
      <c r="F960" s="9"/>
      <c r="G960" s="9"/>
      <c r="H960" s="9"/>
      <c r="I960" s="9"/>
      <c r="J960" s="10" t="str">
        <f aca="false">IF(A960="","",IF(G960&lt;&gt;"",G960,IF(N(F960)&gt;0,ROUND(1000/F960,3),0)))</f>
        <v/>
      </c>
      <c r="K960" s="10" t="str">
        <f aca="false">IF(OR(A960="",E960="",H960=""),"",ROUND(0.00617*E960^2*H960*J960,2))</f>
        <v/>
      </c>
      <c r="L960" s="9"/>
      <c r="M960" s="10" t="str">
        <f aca="false">IF(A960="","",IF((COUNTIF(Drain_Register!$A$5:$A$304,A960)+COUNTIF(RW_Register!$A$5:$A$304,A960)+COUNTIF(Embedded_Wall_Register!$A$5:$A$304,A960)+COUNTIF(Manhole_Register!$A$5:$A$304,A960)+COUNTIF(ERSS_Pit_Register!$A$5:$A$304,A960)+COUNTIF(Linkway_Register!$A$5:$A$304,A960)+COUNTIF(Other_Register!$A$5:$A$304,A960))&gt;0,"OK","ID not in any register"))</f>
        <v/>
      </c>
    </row>
    <row r="961" customFormat="false" ht="15" hidden="false" customHeight="false" outlineLevel="0" collapsed="false">
      <c r="A961" s="9"/>
      <c r="B961" s="9"/>
      <c r="C961" s="9"/>
      <c r="D961" s="9"/>
      <c r="E961" s="9"/>
      <c r="F961" s="9"/>
      <c r="G961" s="9"/>
      <c r="H961" s="9"/>
      <c r="I961" s="9"/>
      <c r="J961" s="10" t="str">
        <f aca="false">IF(A961="","",IF(G961&lt;&gt;"",G961,IF(N(F961)&gt;0,ROUND(1000/F961,3),0)))</f>
        <v/>
      </c>
      <c r="K961" s="10" t="str">
        <f aca="false">IF(OR(A961="",E961="",H961=""),"",ROUND(0.00617*E961^2*H961*J961,2))</f>
        <v/>
      </c>
      <c r="L961" s="9"/>
      <c r="M961" s="10" t="str">
        <f aca="false">IF(A961="","",IF((COUNTIF(Drain_Register!$A$5:$A$304,A961)+COUNTIF(RW_Register!$A$5:$A$304,A961)+COUNTIF(Embedded_Wall_Register!$A$5:$A$304,A961)+COUNTIF(Manhole_Register!$A$5:$A$304,A961)+COUNTIF(ERSS_Pit_Register!$A$5:$A$304,A961)+COUNTIF(Linkway_Register!$A$5:$A$304,A961)+COUNTIF(Other_Register!$A$5:$A$304,A961))&gt;0,"OK","ID not in any register"))</f>
        <v/>
      </c>
    </row>
    <row r="962" customFormat="false" ht="15" hidden="false" customHeight="false" outlineLevel="0" collapsed="false">
      <c r="A962" s="9"/>
      <c r="B962" s="9"/>
      <c r="C962" s="9"/>
      <c r="D962" s="9"/>
      <c r="E962" s="9"/>
      <c r="F962" s="9"/>
      <c r="G962" s="9"/>
      <c r="H962" s="9"/>
      <c r="I962" s="9"/>
      <c r="J962" s="10" t="str">
        <f aca="false">IF(A962="","",IF(G962&lt;&gt;"",G962,IF(N(F962)&gt;0,ROUND(1000/F962,3),0)))</f>
        <v/>
      </c>
      <c r="K962" s="10" t="str">
        <f aca="false">IF(OR(A962="",E962="",H962=""),"",ROUND(0.00617*E962^2*H962*J962,2))</f>
        <v/>
      </c>
      <c r="L962" s="9"/>
      <c r="M962" s="10" t="str">
        <f aca="false">IF(A962="","",IF((COUNTIF(Drain_Register!$A$5:$A$304,A962)+COUNTIF(RW_Register!$A$5:$A$304,A962)+COUNTIF(Embedded_Wall_Register!$A$5:$A$304,A962)+COUNTIF(Manhole_Register!$A$5:$A$304,A962)+COUNTIF(ERSS_Pit_Register!$A$5:$A$304,A962)+COUNTIF(Linkway_Register!$A$5:$A$304,A962)+COUNTIF(Other_Register!$A$5:$A$304,A962))&gt;0,"OK","ID not in any register"))</f>
        <v/>
      </c>
    </row>
    <row r="963" customFormat="false" ht="15" hidden="false" customHeight="false" outlineLevel="0" collapsed="false">
      <c r="A963" s="9"/>
      <c r="B963" s="9"/>
      <c r="C963" s="9"/>
      <c r="D963" s="9"/>
      <c r="E963" s="9"/>
      <c r="F963" s="9"/>
      <c r="G963" s="9"/>
      <c r="H963" s="9"/>
      <c r="I963" s="9"/>
      <c r="J963" s="10" t="str">
        <f aca="false">IF(A963="","",IF(G963&lt;&gt;"",G963,IF(N(F963)&gt;0,ROUND(1000/F963,3),0)))</f>
        <v/>
      </c>
      <c r="K963" s="10" t="str">
        <f aca="false">IF(OR(A963="",E963="",H963=""),"",ROUND(0.00617*E963^2*H963*J963,2))</f>
        <v/>
      </c>
      <c r="L963" s="9"/>
      <c r="M963" s="10" t="str">
        <f aca="false">IF(A963="","",IF((COUNTIF(Drain_Register!$A$5:$A$304,A963)+COUNTIF(RW_Register!$A$5:$A$304,A963)+COUNTIF(Embedded_Wall_Register!$A$5:$A$304,A963)+COUNTIF(Manhole_Register!$A$5:$A$304,A963)+COUNTIF(ERSS_Pit_Register!$A$5:$A$304,A963)+COUNTIF(Linkway_Register!$A$5:$A$304,A963)+COUNTIF(Other_Register!$A$5:$A$304,A963))&gt;0,"OK","ID not in any register"))</f>
        <v/>
      </c>
    </row>
    <row r="964" customFormat="false" ht="15" hidden="false" customHeight="false" outlineLevel="0" collapsed="false">
      <c r="A964" s="9"/>
      <c r="B964" s="9"/>
      <c r="C964" s="9"/>
      <c r="D964" s="9"/>
      <c r="E964" s="9"/>
      <c r="F964" s="9"/>
      <c r="G964" s="9"/>
      <c r="H964" s="9"/>
      <c r="I964" s="9"/>
      <c r="J964" s="10" t="str">
        <f aca="false">IF(A964="","",IF(G964&lt;&gt;"",G964,IF(N(F964)&gt;0,ROUND(1000/F964,3),0)))</f>
        <v/>
      </c>
      <c r="K964" s="10" t="str">
        <f aca="false">IF(OR(A964="",E964="",H964=""),"",ROUND(0.00617*E964^2*H964*J964,2))</f>
        <v/>
      </c>
      <c r="L964" s="9"/>
      <c r="M964" s="10" t="str">
        <f aca="false">IF(A964="","",IF((COUNTIF(Drain_Register!$A$5:$A$304,A964)+COUNTIF(RW_Register!$A$5:$A$304,A964)+COUNTIF(Embedded_Wall_Register!$A$5:$A$304,A964)+COUNTIF(Manhole_Register!$A$5:$A$304,A964)+COUNTIF(ERSS_Pit_Register!$A$5:$A$304,A964)+COUNTIF(Linkway_Register!$A$5:$A$304,A964)+COUNTIF(Other_Register!$A$5:$A$304,A964))&gt;0,"OK","ID not in any register"))</f>
        <v/>
      </c>
    </row>
    <row r="965" customFormat="false" ht="15" hidden="false" customHeight="false" outlineLevel="0" collapsed="false">
      <c r="A965" s="9"/>
      <c r="B965" s="9"/>
      <c r="C965" s="9"/>
      <c r="D965" s="9"/>
      <c r="E965" s="9"/>
      <c r="F965" s="9"/>
      <c r="G965" s="9"/>
      <c r="H965" s="9"/>
      <c r="I965" s="9"/>
      <c r="J965" s="10" t="str">
        <f aca="false">IF(A965="","",IF(G965&lt;&gt;"",G965,IF(N(F965)&gt;0,ROUND(1000/F965,3),0)))</f>
        <v/>
      </c>
      <c r="K965" s="10" t="str">
        <f aca="false">IF(OR(A965="",E965="",H965=""),"",ROUND(0.00617*E965^2*H965*J965,2))</f>
        <v/>
      </c>
      <c r="L965" s="9"/>
      <c r="M965" s="10" t="str">
        <f aca="false">IF(A965="","",IF((COUNTIF(Drain_Register!$A$5:$A$304,A965)+COUNTIF(RW_Register!$A$5:$A$304,A965)+COUNTIF(Embedded_Wall_Register!$A$5:$A$304,A965)+COUNTIF(Manhole_Register!$A$5:$A$304,A965)+COUNTIF(ERSS_Pit_Register!$A$5:$A$304,A965)+COUNTIF(Linkway_Register!$A$5:$A$304,A965)+COUNTIF(Other_Register!$A$5:$A$304,A965))&gt;0,"OK","ID not in any register"))</f>
        <v/>
      </c>
    </row>
    <row r="966" customFormat="false" ht="15" hidden="false" customHeight="false" outlineLevel="0" collapsed="false">
      <c r="A966" s="9"/>
      <c r="B966" s="9"/>
      <c r="C966" s="9"/>
      <c r="D966" s="9"/>
      <c r="E966" s="9"/>
      <c r="F966" s="9"/>
      <c r="G966" s="9"/>
      <c r="H966" s="9"/>
      <c r="I966" s="9"/>
      <c r="J966" s="10" t="str">
        <f aca="false">IF(A966="","",IF(G966&lt;&gt;"",G966,IF(N(F966)&gt;0,ROUND(1000/F966,3),0)))</f>
        <v/>
      </c>
      <c r="K966" s="10" t="str">
        <f aca="false">IF(OR(A966="",E966="",H966=""),"",ROUND(0.00617*E966^2*H966*J966,2))</f>
        <v/>
      </c>
      <c r="L966" s="9"/>
      <c r="M966" s="10" t="str">
        <f aca="false">IF(A966="","",IF((COUNTIF(Drain_Register!$A$5:$A$304,A966)+COUNTIF(RW_Register!$A$5:$A$304,A966)+COUNTIF(Embedded_Wall_Register!$A$5:$A$304,A966)+COUNTIF(Manhole_Register!$A$5:$A$304,A966)+COUNTIF(ERSS_Pit_Register!$A$5:$A$304,A966)+COUNTIF(Linkway_Register!$A$5:$A$304,A966)+COUNTIF(Other_Register!$A$5:$A$304,A966))&gt;0,"OK","ID not in any register"))</f>
        <v/>
      </c>
    </row>
    <row r="967" customFormat="false" ht="15" hidden="false" customHeight="false" outlineLevel="0" collapsed="false">
      <c r="A967" s="9"/>
      <c r="B967" s="9"/>
      <c r="C967" s="9"/>
      <c r="D967" s="9"/>
      <c r="E967" s="9"/>
      <c r="F967" s="9"/>
      <c r="G967" s="9"/>
      <c r="H967" s="9"/>
      <c r="I967" s="9"/>
      <c r="J967" s="10" t="str">
        <f aca="false">IF(A967="","",IF(G967&lt;&gt;"",G967,IF(N(F967)&gt;0,ROUND(1000/F967,3),0)))</f>
        <v/>
      </c>
      <c r="K967" s="10" t="str">
        <f aca="false">IF(OR(A967="",E967="",H967=""),"",ROUND(0.00617*E967^2*H967*J967,2))</f>
        <v/>
      </c>
      <c r="L967" s="9"/>
      <c r="M967" s="10" t="str">
        <f aca="false">IF(A967="","",IF((COUNTIF(Drain_Register!$A$5:$A$304,A967)+COUNTIF(RW_Register!$A$5:$A$304,A967)+COUNTIF(Embedded_Wall_Register!$A$5:$A$304,A967)+COUNTIF(Manhole_Register!$A$5:$A$304,A967)+COUNTIF(ERSS_Pit_Register!$A$5:$A$304,A967)+COUNTIF(Linkway_Register!$A$5:$A$304,A967)+COUNTIF(Other_Register!$A$5:$A$304,A967))&gt;0,"OK","ID not in any register"))</f>
        <v/>
      </c>
    </row>
    <row r="968" customFormat="false" ht="15" hidden="false" customHeight="false" outlineLevel="0" collapsed="false">
      <c r="A968" s="9"/>
      <c r="B968" s="9"/>
      <c r="C968" s="9"/>
      <c r="D968" s="9"/>
      <c r="E968" s="9"/>
      <c r="F968" s="9"/>
      <c r="G968" s="9"/>
      <c r="H968" s="9"/>
      <c r="I968" s="9"/>
      <c r="J968" s="10" t="str">
        <f aca="false">IF(A968="","",IF(G968&lt;&gt;"",G968,IF(N(F968)&gt;0,ROUND(1000/F968,3),0)))</f>
        <v/>
      </c>
      <c r="K968" s="10" t="str">
        <f aca="false">IF(OR(A968="",E968="",H968=""),"",ROUND(0.00617*E968^2*H968*J968,2))</f>
        <v/>
      </c>
      <c r="L968" s="9"/>
      <c r="M968" s="10" t="str">
        <f aca="false">IF(A968="","",IF((COUNTIF(Drain_Register!$A$5:$A$304,A968)+COUNTIF(RW_Register!$A$5:$A$304,A968)+COUNTIF(Embedded_Wall_Register!$A$5:$A$304,A968)+COUNTIF(Manhole_Register!$A$5:$A$304,A968)+COUNTIF(ERSS_Pit_Register!$A$5:$A$304,A968)+COUNTIF(Linkway_Register!$A$5:$A$304,A968)+COUNTIF(Other_Register!$A$5:$A$304,A968))&gt;0,"OK","ID not in any register"))</f>
        <v/>
      </c>
    </row>
    <row r="969" customFormat="false" ht="15" hidden="false" customHeight="false" outlineLevel="0" collapsed="false">
      <c r="A969" s="9"/>
      <c r="B969" s="9"/>
      <c r="C969" s="9"/>
      <c r="D969" s="9"/>
      <c r="E969" s="9"/>
      <c r="F969" s="9"/>
      <c r="G969" s="9"/>
      <c r="H969" s="9"/>
      <c r="I969" s="9"/>
      <c r="J969" s="10" t="str">
        <f aca="false">IF(A969="","",IF(G969&lt;&gt;"",G969,IF(N(F969)&gt;0,ROUND(1000/F969,3),0)))</f>
        <v/>
      </c>
      <c r="K969" s="10" t="str">
        <f aca="false">IF(OR(A969="",E969="",H969=""),"",ROUND(0.00617*E969^2*H969*J969,2))</f>
        <v/>
      </c>
      <c r="L969" s="9"/>
      <c r="M969" s="10" t="str">
        <f aca="false">IF(A969="","",IF((COUNTIF(Drain_Register!$A$5:$A$304,A969)+COUNTIF(RW_Register!$A$5:$A$304,A969)+COUNTIF(Embedded_Wall_Register!$A$5:$A$304,A969)+COUNTIF(Manhole_Register!$A$5:$A$304,A969)+COUNTIF(ERSS_Pit_Register!$A$5:$A$304,A969)+COUNTIF(Linkway_Register!$A$5:$A$304,A969)+COUNTIF(Other_Register!$A$5:$A$304,A969))&gt;0,"OK","ID not in any register"))</f>
        <v/>
      </c>
    </row>
    <row r="970" customFormat="false" ht="15" hidden="false" customHeight="false" outlineLevel="0" collapsed="false">
      <c r="A970" s="9"/>
      <c r="B970" s="9"/>
      <c r="C970" s="9"/>
      <c r="D970" s="9"/>
      <c r="E970" s="9"/>
      <c r="F970" s="9"/>
      <c r="G970" s="9"/>
      <c r="H970" s="9"/>
      <c r="I970" s="9"/>
      <c r="J970" s="10" t="str">
        <f aca="false">IF(A970="","",IF(G970&lt;&gt;"",G970,IF(N(F970)&gt;0,ROUND(1000/F970,3),0)))</f>
        <v/>
      </c>
      <c r="K970" s="10" t="str">
        <f aca="false">IF(OR(A970="",E970="",H970=""),"",ROUND(0.00617*E970^2*H970*J970,2))</f>
        <v/>
      </c>
      <c r="L970" s="9"/>
      <c r="M970" s="10" t="str">
        <f aca="false">IF(A970="","",IF((COUNTIF(Drain_Register!$A$5:$A$304,A970)+COUNTIF(RW_Register!$A$5:$A$304,A970)+COUNTIF(Embedded_Wall_Register!$A$5:$A$304,A970)+COUNTIF(Manhole_Register!$A$5:$A$304,A970)+COUNTIF(ERSS_Pit_Register!$A$5:$A$304,A970)+COUNTIF(Linkway_Register!$A$5:$A$304,A970)+COUNTIF(Other_Register!$A$5:$A$304,A970))&gt;0,"OK","ID not in any register"))</f>
        <v/>
      </c>
    </row>
    <row r="971" customFormat="false" ht="15" hidden="false" customHeight="false" outlineLevel="0" collapsed="false">
      <c r="A971" s="9"/>
      <c r="B971" s="9"/>
      <c r="C971" s="9"/>
      <c r="D971" s="9"/>
      <c r="E971" s="9"/>
      <c r="F971" s="9"/>
      <c r="G971" s="9"/>
      <c r="H971" s="9"/>
      <c r="I971" s="9"/>
      <c r="J971" s="10" t="str">
        <f aca="false">IF(A971="","",IF(G971&lt;&gt;"",G971,IF(N(F971)&gt;0,ROUND(1000/F971,3),0)))</f>
        <v/>
      </c>
      <c r="K971" s="10" t="str">
        <f aca="false">IF(OR(A971="",E971="",H971=""),"",ROUND(0.00617*E971^2*H971*J971,2))</f>
        <v/>
      </c>
      <c r="L971" s="9"/>
      <c r="M971" s="10" t="str">
        <f aca="false">IF(A971="","",IF((COUNTIF(Drain_Register!$A$5:$A$304,A971)+COUNTIF(RW_Register!$A$5:$A$304,A971)+COUNTIF(Embedded_Wall_Register!$A$5:$A$304,A971)+COUNTIF(Manhole_Register!$A$5:$A$304,A971)+COUNTIF(ERSS_Pit_Register!$A$5:$A$304,A971)+COUNTIF(Linkway_Register!$A$5:$A$304,A971)+COUNTIF(Other_Register!$A$5:$A$304,A971))&gt;0,"OK","ID not in any register"))</f>
        <v/>
      </c>
    </row>
    <row r="972" customFormat="false" ht="15" hidden="false" customHeight="false" outlineLevel="0" collapsed="false">
      <c r="A972" s="9"/>
      <c r="B972" s="9"/>
      <c r="C972" s="9"/>
      <c r="D972" s="9"/>
      <c r="E972" s="9"/>
      <c r="F972" s="9"/>
      <c r="G972" s="9"/>
      <c r="H972" s="9"/>
      <c r="I972" s="9"/>
      <c r="J972" s="10" t="str">
        <f aca="false">IF(A972="","",IF(G972&lt;&gt;"",G972,IF(N(F972)&gt;0,ROUND(1000/F972,3),0)))</f>
        <v/>
      </c>
      <c r="K972" s="10" t="str">
        <f aca="false">IF(OR(A972="",E972="",H972=""),"",ROUND(0.00617*E972^2*H972*J972,2))</f>
        <v/>
      </c>
      <c r="L972" s="9"/>
      <c r="M972" s="10" t="str">
        <f aca="false">IF(A972="","",IF((COUNTIF(Drain_Register!$A$5:$A$304,A972)+COUNTIF(RW_Register!$A$5:$A$304,A972)+COUNTIF(Embedded_Wall_Register!$A$5:$A$304,A972)+COUNTIF(Manhole_Register!$A$5:$A$304,A972)+COUNTIF(ERSS_Pit_Register!$A$5:$A$304,A972)+COUNTIF(Linkway_Register!$A$5:$A$304,A972)+COUNTIF(Other_Register!$A$5:$A$304,A972))&gt;0,"OK","ID not in any register"))</f>
        <v/>
      </c>
    </row>
    <row r="973" customFormat="false" ht="15" hidden="false" customHeight="false" outlineLevel="0" collapsed="false">
      <c r="A973" s="9"/>
      <c r="B973" s="9"/>
      <c r="C973" s="9"/>
      <c r="D973" s="9"/>
      <c r="E973" s="9"/>
      <c r="F973" s="9"/>
      <c r="G973" s="9"/>
      <c r="H973" s="9"/>
      <c r="I973" s="9"/>
      <c r="J973" s="10" t="str">
        <f aca="false">IF(A973="","",IF(G973&lt;&gt;"",G973,IF(N(F973)&gt;0,ROUND(1000/F973,3),0)))</f>
        <v/>
      </c>
      <c r="K973" s="10" t="str">
        <f aca="false">IF(OR(A973="",E973="",H973=""),"",ROUND(0.00617*E973^2*H973*J973,2))</f>
        <v/>
      </c>
      <c r="L973" s="9"/>
      <c r="M973" s="10" t="str">
        <f aca="false">IF(A973="","",IF((COUNTIF(Drain_Register!$A$5:$A$304,A973)+COUNTIF(RW_Register!$A$5:$A$304,A973)+COUNTIF(Embedded_Wall_Register!$A$5:$A$304,A973)+COUNTIF(Manhole_Register!$A$5:$A$304,A973)+COUNTIF(ERSS_Pit_Register!$A$5:$A$304,A973)+COUNTIF(Linkway_Register!$A$5:$A$304,A973)+COUNTIF(Other_Register!$A$5:$A$304,A973))&gt;0,"OK","ID not in any register"))</f>
        <v/>
      </c>
    </row>
    <row r="974" customFormat="false" ht="15" hidden="false" customHeight="false" outlineLevel="0" collapsed="false">
      <c r="A974" s="9"/>
      <c r="B974" s="9"/>
      <c r="C974" s="9"/>
      <c r="D974" s="9"/>
      <c r="E974" s="9"/>
      <c r="F974" s="9"/>
      <c r="G974" s="9"/>
      <c r="H974" s="9"/>
      <c r="I974" s="9"/>
      <c r="J974" s="10" t="str">
        <f aca="false">IF(A974="","",IF(G974&lt;&gt;"",G974,IF(N(F974)&gt;0,ROUND(1000/F974,3),0)))</f>
        <v/>
      </c>
      <c r="K974" s="10" t="str">
        <f aca="false">IF(OR(A974="",E974="",H974=""),"",ROUND(0.00617*E974^2*H974*J974,2))</f>
        <v/>
      </c>
      <c r="L974" s="9"/>
      <c r="M974" s="10" t="str">
        <f aca="false">IF(A974="","",IF((COUNTIF(Drain_Register!$A$5:$A$304,A974)+COUNTIF(RW_Register!$A$5:$A$304,A974)+COUNTIF(Embedded_Wall_Register!$A$5:$A$304,A974)+COUNTIF(Manhole_Register!$A$5:$A$304,A974)+COUNTIF(ERSS_Pit_Register!$A$5:$A$304,A974)+COUNTIF(Linkway_Register!$A$5:$A$304,A974)+COUNTIF(Other_Register!$A$5:$A$304,A974))&gt;0,"OK","ID not in any register"))</f>
        <v/>
      </c>
    </row>
    <row r="975" customFormat="false" ht="15" hidden="false" customHeight="false" outlineLevel="0" collapsed="false">
      <c r="A975" s="9"/>
      <c r="B975" s="9"/>
      <c r="C975" s="9"/>
      <c r="D975" s="9"/>
      <c r="E975" s="9"/>
      <c r="F975" s="9"/>
      <c r="G975" s="9"/>
      <c r="H975" s="9"/>
      <c r="I975" s="9"/>
      <c r="J975" s="10" t="str">
        <f aca="false">IF(A975="","",IF(G975&lt;&gt;"",G975,IF(N(F975)&gt;0,ROUND(1000/F975,3),0)))</f>
        <v/>
      </c>
      <c r="K975" s="10" t="str">
        <f aca="false">IF(OR(A975="",E975="",H975=""),"",ROUND(0.00617*E975^2*H975*J975,2))</f>
        <v/>
      </c>
      <c r="L975" s="9"/>
      <c r="M975" s="10" t="str">
        <f aca="false">IF(A975="","",IF((COUNTIF(Drain_Register!$A$5:$A$304,A975)+COUNTIF(RW_Register!$A$5:$A$304,A975)+COUNTIF(Embedded_Wall_Register!$A$5:$A$304,A975)+COUNTIF(Manhole_Register!$A$5:$A$304,A975)+COUNTIF(ERSS_Pit_Register!$A$5:$A$304,A975)+COUNTIF(Linkway_Register!$A$5:$A$304,A975)+COUNTIF(Other_Register!$A$5:$A$304,A975))&gt;0,"OK","ID not in any register"))</f>
        <v/>
      </c>
    </row>
    <row r="976" customFormat="false" ht="15" hidden="false" customHeight="false" outlineLevel="0" collapsed="false">
      <c r="A976" s="9"/>
      <c r="B976" s="9"/>
      <c r="C976" s="9"/>
      <c r="D976" s="9"/>
      <c r="E976" s="9"/>
      <c r="F976" s="9"/>
      <c r="G976" s="9"/>
      <c r="H976" s="9"/>
      <c r="I976" s="9"/>
      <c r="J976" s="10" t="str">
        <f aca="false">IF(A976="","",IF(G976&lt;&gt;"",G976,IF(N(F976)&gt;0,ROUND(1000/F976,3),0)))</f>
        <v/>
      </c>
      <c r="K976" s="10" t="str">
        <f aca="false">IF(OR(A976="",E976="",H976=""),"",ROUND(0.00617*E976^2*H976*J976,2))</f>
        <v/>
      </c>
      <c r="L976" s="9"/>
      <c r="M976" s="10" t="str">
        <f aca="false">IF(A976="","",IF((COUNTIF(Drain_Register!$A$5:$A$304,A976)+COUNTIF(RW_Register!$A$5:$A$304,A976)+COUNTIF(Embedded_Wall_Register!$A$5:$A$304,A976)+COUNTIF(Manhole_Register!$A$5:$A$304,A976)+COUNTIF(ERSS_Pit_Register!$A$5:$A$304,A976)+COUNTIF(Linkway_Register!$A$5:$A$304,A976)+COUNTIF(Other_Register!$A$5:$A$304,A976))&gt;0,"OK","ID not in any register"))</f>
        <v/>
      </c>
    </row>
    <row r="977" customFormat="false" ht="15" hidden="false" customHeight="false" outlineLevel="0" collapsed="false">
      <c r="A977" s="9"/>
      <c r="B977" s="9"/>
      <c r="C977" s="9"/>
      <c r="D977" s="9"/>
      <c r="E977" s="9"/>
      <c r="F977" s="9"/>
      <c r="G977" s="9"/>
      <c r="H977" s="9"/>
      <c r="I977" s="9"/>
      <c r="J977" s="10" t="str">
        <f aca="false">IF(A977="","",IF(G977&lt;&gt;"",G977,IF(N(F977)&gt;0,ROUND(1000/F977,3),0)))</f>
        <v/>
      </c>
      <c r="K977" s="10" t="str">
        <f aca="false">IF(OR(A977="",E977="",H977=""),"",ROUND(0.00617*E977^2*H977*J977,2))</f>
        <v/>
      </c>
      <c r="L977" s="9"/>
      <c r="M977" s="10" t="str">
        <f aca="false">IF(A977="","",IF((COUNTIF(Drain_Register!$A$5:$A$304,A977)+COUNTIF(RW_Register!$A$5:$A$304,A977)+COUNTIF(Embedded_Wall_Register!$A$5:$A$304,A977)+COUNTIF(Manhole_Register!$A$5:$A$304,A977)+COUNTIF(ERSS_Pit_Register!$A$5:$A$304,A977)+COUNTIF(Linkway_Register!$A$5:$A$304,A977)+COUNTIF(Other_Register!$A$5:$A$304,A977))&gt;0,"OK","ID not in any register"))</f>
        <v/>
      </c>
    </row>
    <row r="978" customFormat="false" ht="15" hidden="false" customHeight="false" outlineLevel="0" collapsed="false">
      <c r="A978" s="9"/>
      <c r="B978" s="9"/>
      <c r="C978" s="9"/>
      <c r="D978" s="9"/>
      <c r="E978" s="9"/>
      <c r="F978" s="9"/>
      <c r="G978" s="9"/>
      <c r="H978" s="9"/>
      <c r="I978" s="9"/>
      <c r="J978" s="10" t="str">
        <f aca="false">IF(A978="","",IF(G978&lt;&gt;"",G978,IF(N(F978)&gt;0,ROUND(1000/F978,3),0)))</f>
        <v/>
      </c>
      <c r="K978" s="10" t="str">
        <f aca="false">IF(OR(A978="",E978="",H978=""),"",ROUND(0.00617*E978^2*H978*J978,2))</f>
        <v/>
      </c>
      <c r="L978" s="9"/>
      <c r="M978" s="10" t="str">
        <f aca="false">IF(A978="","",IF((COUNTIF(Drain_Register!$A$5:$A$304,A978)+COUNTIF(RW_Register!$A$5:$A$304,A978)+COUNTIF(Embedded_Wall_Register!$A$5:$A$304,A978)+COUNTIF(Manhole_Register!$A$5:$A$304,A978)+COUNTIF(ERSS_Pit_Register!$A$5:$A$304,A978)+COUNTIF(Linkway_Register!$A$5:$A$304,A978)+COUNTIF(Other_Register!$A$5:$A$304,A978))&gt;0,"OK","ID not in any register"))</f>
        <v/>
      </c>
    </row>
    <row r="979" customFormat="false" ht="15" hidden="false" customHeight="false" outlineLevel="0" collapsed="false">
      <c r="A979" s="9"/>
      <c r="B979" s="9"/>
      <c r="C979" s="9"/>
      <c r="D979" s="9"/>
      <c r="E979" s="9"/>
      <c r="F979" s="9"/>
      <c r="G979" s="9"/>
      <c r="H979" s="9"/>
      <c r="I979" s="9"/>
      <c r="J979" s="10" t="str">
        <f aca="false">IF(A979="","",IF(G979&lt;&gt;"",G979,IF(N(F979)&gt;0,ROUND(1000/F979,3),0)))</f>
        <v/>
      </c>
      <c r="K979" s="10" t="str">
        <f aca="false">IF(OR(A979="",E979="",H979=""),"",ROUND(0.00617*E979^2*H979*J979,2))</f>
        <v/>
      </c>
      <c r="L979" s="9"/>
      <c r="M979" s="10" t="str">
        <f aca="false">IF(A979="","",IF((COUNTIF(Drain_Register!$A$5:$A$304,A979)+COUNTIF(RW_Register!$A$5:$A$304,A979)+COUNTIF(Embedded_Wall_Register!$A$5:$A$304,A979)+COUNTIF(Manhole_Register!$A$5:$A$304,A979)+COUNTIF(ERSS_Pit_Register!$A$5:$A$304,A979)+COUNTIF(Linkway_Register!$A$5:$A$304,A979)+COUNTIF(Other_Register!$A$5:$A$304,A979))&gt;0,"OK","ID not in any register"))</f>
        <v/>
      </c>
    </row>
    <row r="980" customFormat="false" ht="15" hidden="false" customHeight="false" outlineLevel="0" collapsed="false">
      <c r="A980" s="9"/>
      <c r="B980" s="9"/>
      <c r="C980" s="9"/>
      <c r="D980" s="9"/>
      <c r="E980" s="9"/>
      <c r="F980" s="9"/>
      <c r="G980" s="9"/>
      <c r="H980" s="9"/>
      <c r="I980" s="9"/>
      <c r="J980" s="10" t="str">
        <f aca="false">IF(A980="","",IF(G980&lt;&gt;"",G980,IF(N(F980)&gt;0,ROUND(1000/F980,3),0)))</f>
        <v/>
      </c>
      <c r="K980" s="10" t="str">
        <f aca="false">IF(OR(A980="",E980="",H980=""),"",ROUND(0.00617*E980^2*H980*J980,2))</f>
        <v/>
      </c>
      <c r="L980" s="9"/>
      <c r="M980" s="10" t="str">
        <f aca="false">IF(A980="","",IF((COUNTIF(Drain_Register!$A$5:$A$304,A980)+COUNTIF(RW_Register!$A$5:$A$304,A980)+COUNTIF(Embedded_Wall_Register!$A$5:$A$304,A980)+COUNTIF(Manhole_Register!$A$5:$A$304,A980)+COUNTIF(ERSS_Pit_Register!$A$5:$A$304,A980)+COUNTIF(Linkway_Register!$A$5:$A$304,A980)+COUNTIF(Other_Register!$A$5:$A$304,A980))&gt;0,"OK","ID not in any register"))</f>
        <v/>
      </c>
    </row>
    <row r="981" customFormat="false" ht="15" hidden="false" customHeight="false" outlineLevel="0" collapsed="false">
      <c r="A981" s="9"/>
      <c r="B981" s="9"/>
      <c r="C981" s="9"/>
      <c r="D981" s="9"/>
      <c r="E981" s="9"/>
      <c r="F981" s="9"/>
      <c r="G981" s="9"/>
      <c r="H981" s="9"/>
      <c r="I981" s="9"/>
      <c r="J981" s="10" t="str">
        <f aca="false">IF(A981="","",IF(G981&lt;&gt;"",G981,IF(N(F981)&gt;0,ROUND(1000/F981,3),0)))</f>
        <v/>
      </c>
      <c r="K981" s="10" t="str">
        <f aca="false">IF(OR(A981="",E981="",H981=""),"",ROUND(0.00617*E981^2*H981*J981,2))</f>
        <v/>
      </c>
      <c r="L981" s="9"/>
      <c r="M981" s="10" t="str">
        <f aca="false">IF(A981="","",IF((COUNTIF(Drain_Register!$A$5:$A$304,A981)+COUNTIF(RW_Register!$A$5:$A$304,A981)+COUNTIF(Embedded_Wall_Register!$A$5:$A$304,A981)+COUNTIF(Manhole_Register!$A$5:$A$304,A981)+COUNTIF(ERSS_Pit_Register!$A$5:$A$304,A981)+COUNTIF(Linkway_Register!$A$5:$A$304,A981)+COUNTIF(Other_Register!$A$5:$A$304,A981))&gt;0,"OK","ID not in any register"))</f>
        <v/>
      </c>
    </row>
    <row r="982" customFormat="false" ht="15" hidden="false" customHeight="false" outlineLevel="0" collapsed="false">
      <c r="A982" s="9"/>
      <c r="B982" s="9"/>
      <c r="C982" s="9"/>
      <c r="D982" s="9"/>
      <c r="E982" s="9"/>
      <c r="F982" s="9"/>
      <c r="G982" s="9"/>
      <c r="H982" s="9"/>
      <c r="I982" s="9"/>
      <c r="J982" s="10" t="str">
        <f aca="false">IF(A982="","",IF(G982&lt;&gt;"",G982,IF(N(F982)&gt;0,ROUND(1000/F982,3),0)))</f>
        <v/>
      </c>
      <c r="K982" s="10" t="str">
        <f aca="false">IF(OR(A982="",E982="",H982=""),"",ROUND(0.00617*E982^2*H982*J982,2))</f>
        <v/>
      </c>
      <c r="L982" s="9"/>
      <c r="M982" s="10" t="str">
        <f aca="false">IF(A982="","",IF((COUNTIF(Drain_Register!$A$5:$A$304,A982)+COUNTIF(RW_Register!$A$5:$A$304,A982)+COUNTIF(Embedded_Wall_Register!$A$5:$A$304,A982)+COUNTIF(Manhole_Register!$A$5:$A$304,A982)+COUNTIF(ERSS_Pit_Register!$A$5:$A$304,A982)+COUNTIF(Linkway_Register!$A$5:$A$304,A982)+COUNTIF(Other_Register!$A$5:$A$304,A982))&gt;0,"OK","ID not in any register"))</f>
        <v/>
      </c>
    </row>
    <row r="983" customFormat="false" ht="15" hidden="false" customHeight="false" outlineLevel="0" collapsed="false">
      <c r="A983" s="9"/>
      <c r="B983" s="9"/>
      <c r="C983" s="9"/>
      <c r="D983" s="9"/>
      <c r="E983" s="9"/>
      <c r="F983" s="9"/>
      <c r="G983" s="9"/>
      <c r="H983" s="9"/>
      <c r="I983" s="9"/>
      <c r="J983" s="10" t="str">
        <f aca="false">IF(A983="","",IF(G983&lt;&gt;"",G983,IF(N(F983)&gt;0,ROUND(1000/F983,3),0)))</f>
        <v/>
      </c>
      <c r="K983" s="10" t="str">
        <f aca="false">IF(OR(A983="",E983="",H983=""),"",ROUND(0.00617*E983^2*H983*J983,2))</f>
        <v/>
      </c>
      <c r="L983" s="9"/>
      <c r="M983" s="10" t="str">
        <f aca="false">IF(A983="","",IF((COUNTIF(Drain_Register!$A$5:$A$304,A983)+COUNTIF(RW_Register!$A$5:$A$304,A983)+COUNTIF(Embedded_Wall_Register!$A$5:$A$304,A983)+COUNTIF(Manhole_Register!$A$5:$A$304,A983)+COUNTIF(ERSS_Pit_Register!$A$5:$A$304,A983)+COUNTIF(Linkway_Register!$A$5:$A$304,A983)+COUNTIF(Other_Register!$A$5:$A$304,A983))&gt;0,"OK","ID not in any register"))</f>
        <v/>
      </c>
    </row>
    <row r="984" customFormat="false" ht="15" hidden="false" customHeight="false" outlineLevel="0" collapsed="false">
      <c r="A984" s="9"/>
      <c r="B984" s="9"/>
      <c r="C984" s="9"/>
      <c r="D984" s="9"/>
      <c r="E984" s="9"/>
      <c r="F984" s="9"/>
      <c r="G984" s="9"/>
      <c r="H984" s="9"/>
      <c r="I984" s="9"/>
      <c r="J984" s="10" t="str">
        <f aca="false">IF(A984="","",IF(G984&lt;&gt;"",G984,IF(N(F984)&gt;0,ROUND(1000/F984,3),0)))</f>
        <v/>
      </c>
      <c r="K984" s="10" t="str">
        <f aca="false">IF(OR(A984="",E984="",H984=""),"",ROUND(0.00617*E984^2*H984*J984,2))</f>
        <v/>
      </c>
      <c r="L984" s="9"/>
      <c r="M984" s="10" t="str">
        <f aca="false">IF(A984="","",IF((COUNTIF(Drain_Register!$A$5:$A$304,A984)+COUNTIF(RW_Register!$A$5:$A$304,A984)+COUNTIF(Embedded_Wall_Register!$A$5:$A$304,A984)+COUNTIF(Manhole_Register!$A$5:$A$304,A984)+COUNTIF(ERSS_Pit_Register!$A$5:$A$304,A984)+COUNTIF(Linkway_Register!$A$5:$A$304,A984)+COUNTIF(Other_Register!$A$5:$A$304,A984))&gt;0,"OK","ID not in any register"))</f>
        <v/>
      </c>
    </row>
    <row r="985" customFormat="false" ht="15" hidden="false" customHeight="false" outlineLevel="0" collapsed="false">
      <c r="A985" s="9"/>
      <c r="B985" s="9"/>
      <c r="C985" s="9"/>
      <c r="D985" s="9"/>
      <c r="E985" s="9"/>
      <c r="F985" s="9"/>
      <c r="G985" s="9"/>
      <c r="H985" s="9"/>
      <c r="I985" s="9"/>
      <c r="J985" s="10" t="str">
        <f aca="false">IF(A985="","",IF(G985&lt;&gt;"",G985,IF(N(F985)&gt;0,ROUND(1000/F985,3),0)))</f>
        <v/>
      </c>
      <c r="K985" s="10" t="str">
        <f aca="false">IF(OR(A985="",E985="",H985=""),"",ROUND(0.00617*E985^2*H985*J985,2))</f>
        <v/>
      </c>
      <c r="L985" s="9"/>
      <c r="M985" s="10" t="str">
        <f aca="false">IF(A985="","",IF((COUNTIF(Drain_Register!$A$5:$A$304,A985)+COUNTIF(RW_Register!$A$5:$A$304,A985)+COUNTIF(Embedded_Wall_Register!$A$5:$A$304,A985)+COUNTIF(Manhole_Register!$A$5:$A$304,A985)+COUNTIF(ERSS_Pit_Register!$A$5:$A$304,A985)+COUNTIF(Linkway_Register!$A$5:$A$304,A985)+COUNTIF(Other_Register!$A$5:$A$304,A985))&gt;0,"OK","ID not in any register"))</f>
        <v/>
      </c>
    </row>
    <row r="986" customFormat="false" ht="15" hidden="false" customHeight="false" outlineLevel="0" collapsed="false">
      <c r="A986" s="9"/>
      <c r="B986" s="9"/>
      <c r="C986" s="9"/>
      <c r="D986" s="9"/>
      <c r="E986" s="9"/>
      <c r="F986" s="9"/>
      <c r="G986" s="9"/>
      <c r="H986" s="9"/>
      <c r="I986" s="9"/>
      <c r="J986" s="10" t="str">
        <f aca="false">IF(A986="","",IF(G986&lt;&gt;"",G986,IF(N(F986)&gt;0,ROUND(1000/F986,3),0)))</f>
        <v/>
      </c>
      <c r="K986" s="10" t="str">
        <f aca="false">IF(OR(A986="",E986="",H986=""),"",ROUND(0.00617*E986^2*H986*J986,2))</f>
        <v/>
      </c>
      <c r="L986" s="9"/>
      <c r="M986" s="10" t="str">
        <f aca="false">IF(A986="","",IF((COUNTIF(Drain_Register!$A$5:$A$304,A986)+COUNTIF(RW_Register!$A$5:$A$304,A986)+COUNTIF(Embedded_Wall_Register!$A$5:$A$304,A986)+COUNTIF(Manhole_Register!$A$5:$A$304,A986)+COUNTIF(ERSS_Pit_Register!$A$5:$A$304,A986)+COUNTIF(Linkway_Register!$A$5:$A$304,A986)+COUNTIF(Other_Register!$A$5:$A$304,A986))&gt;0,"OK","ID not in any register"))</f>
        <v/>
      </c>
    </row>
    <row r="987" customFormat="false" ht="15" hidden="false" customHeight="false" outlineLevel="0" collapsed="false">
      <c r="A987" s="9"/>
      <c r="B987" s="9"/>
      <c r="C987" s="9"/>
      <c r="D987" s="9"/>
      <c r="E987" s="9"/>
      <c r="F987" s="9"/>
      <c r="G987" s="9"/>
      <c r="H987" s="9"/>
      <c r="I987" s="9"/>
      <c r="J987" s="10" t="str">
        <f aca="false">IF(A987="","",IF(G987&lt;&gt;"",G987,IF(N(F987)&gt;0,ROUND(1000/F987,3),0)))</f>
        <v/>
      </c>
      <c r="K987" s="10" t="str">
        <f aca="false">IF(OR(A987="",E987="",H987=""),"",ROUND(0.00617*E987^2*H987*J987,2))</f>
        <v/>
      </c>
      <c r="L987" s="9"/>
      <c r="M987" s="10" t="str">
        <f aca="false">IF(A987="","",IF((COUNTIF(Drain_Register!$A$5:$A$304,A987)+COUNTIF(RW_Register!$A$5:$A$304,A987)+COUNTIF(Embedded_Wall_Register!$A$5:$A$304,A987)+COUNTIF(Manhole_Register!$A$5:$A$304,A987)+COUNTIF(ERSS_Pit_Register!$A$5:$A$304,A987)+COUNTIF(Linkway_Register!$A$5:$A$304,A987)+COUNTIF(Other_Register!$A$5:$A$304,A987))&gt;0,"OK","ID not in any register"))</f>
        <v/>
      </c>
    </row>
    <row r="988" customFormat="false" ht="15" hidden="false" customHeight="false" outlineLevel="0" collapsed="false">
      <c r="A988" s="9"/>
      <c r="B988" s="9"/>
      <c r="C988" s="9"/>
      <c r="D988" s="9"/>
      <c r="E988" s="9"/>
      <c r="F988" s="9"/>
      <c r="G988" s="9"/>
      <c r="H988" s="9"/>
      <c r="I988" s="9"/>
      <c r="J988" s="10" t="str">
        <f aca="false">IF(A988="","",IF(G988&lt;&gt;"",G988,IF(N(F988)&gt;0,ROUND(1000/F988,3),0)))</f>
        <v/>
      </c>
      <c r="K988" s="10" t="str">
        <f aca="false">IF(OR(A988="",E988="",H988=""),"",ROUND(0.00617*E988^2*H988*J988,2))</f>
        <v/>
      </c>
      <c r="L988" s="9"/>
      <c r="M988" s="10" t="str">
        <f aca="false">IF(A988="","",IF((COUNTIF(Drain_Register!$A$5:$A$304,A988)+COUNTIF(RW_Register!$A$5:$A$304,A988)+COUNTIF(Embedded_Wall_Register!$A$5:$A$304,A988)+COUNTIF(Manhole_Register!$A$5:$A$304,A988)+COUNTIF(ERSS_Pit_Register!$A$5:$A$304,A988)+COUNTIF(Linkway_Register!$A$5:$A$304,A988)+COUNTIF(Other_Register!$A$5:$A$304,A988))&gt;0,"OK","ID not in any register"))</f>
        <v/>
      </c>
    </row>
    <row r="989" customFormat="false" ht="15" hidden="false" customHeight="false" outlineLevel="0" collapsed="false">
      <c r="A989" s="9"/>
      <c r="B989" s="9"/>
      <c r="C989" s="9"/>
      <c r="D989" s="9"/>
      <c r="E989" s="9"/>
      <c r="F989" s="9"/>
      <c r="G989" s="9"/>
      <c r="H989" s="9"/>
      <c r="I989" s="9"/>
      <c r="J989" s="10" t="str">
        <f aca="false">IF(A989="","",IF(G989&lt;&gt;"",G989,IF(N(F989)&gt;0,ROUND(1000/F989,3),0)))</f>
        <v/>
      </c>
      <c r="K989" s="10" t="str">
        <f aca="false">IF(OR(A989="",E989="",H989=""),"",ROUND(0.00617*E989^2*H989*J989,2))</f>
        <v/>
      </c>
      <c r="L989" s="9"/>
      <c r="M989" s="10" t="str">
        <f aca="false">IF(A989="","",IF((COUNTIF(Drain_Register!$A$5:$A$304,A989)+COUNTIF(RW_Register!$A$5:$A$304,A989)+COUNTIF(Embedded_Wall_Register!$A$5:$A$304,A989)+COUNTIF(Manhole_Register!$A$5:$A$304,A989)+COUNTIF(ERSS_Pit_Register!$A$5:$A$304,A989)+COUNTIF(Linkway_Register!$A$5:$A$304,A989)+COUNTIF(Other_Register!$A$5:$A$304,A989))&gt;0,"OK","ID not in any register"))</f>
        <v/>
      </c>
    </row>
    <row r="990" customFormat="false" ht="15" hidden="false" customHeight="false" outlineLevel="0" collapsed="false">
      <c r="A990" s="9"/>
      <c r="B990" s="9"/>
      <c r="C990" s="9"/>
      <c r="D990" s="9"/>
      <c r="E990" s="9"/>
      <c r="F990" s="9"/>
      <c r="G990" s="9"/>
      <c r="H990" s="9"/>
      <c r="I990" s="9"/>
      <c r="J990" s="10" t="str">
        <f aca="false">IF(A990="","",IF(G990&lt;&gt;"",G990,IF(N(F990)&gt;0,ROUND(1000/F990,3),0)))</f>
        <v/>
      </c>
      <c r="K990" s="10" t="str">
        <f aca="false">IF(OR(A990="",E990="",H990=""),"",ROUND(0.00617*E990^2*H990*J990,2))</f>
        <v/>
      </c>
      <c r="L990" s="9"/>
      <c r="M990" s="10" t="str">
        <f aca="false">IF(A990="","",IF((COUNTIF(Drain_Register!$A$5:$A$304,A990)+COUNTIF(RW_Register!$A$5:$A$304,A990)+COUNTIF(Embedded_Wall_Register!$A$5:$A$304,A990)+COUNTIF(Manhole_Register!$A$5:$A$304,A990)+COUNTIF(ERSS_Pit_Register!$A$5:$A$304,A990)+COUNTIF(Linkway_Register!$A$5:$A$304,A990)+COUNTIF(Other_Register!$A$5:$A$304,A990))&gt;0,"OK","ID not in any register"))</f>
        <v/>
      </c>
    </row>
    <row r="991" customFormat="false" ht="15" hidden="false" customHeight="false" outlineLevel="0" collapsed="false">
      <c r="A991" s="9"/>
      <c r="B991" s="9"/>
      <c r="C991" s="9"/>
      <c r="D991" s="9"/>
      <c r="E991" s="9"/>
      <c r="F991" s="9"/>
      <c r="G991" s="9"/>
      <c r="H991" s="9"/>
      <c r="I991" s="9"/>
      <c r="J991" s="10" t="str">
        <f aca="false">IF(A991="","",IF(G991&lt;&gt;"",G991,IF(N(F991)&gt;0,ROUND(1000/F991,3),0)))</f>
        <v/>
      </c>
      <c r="K991" s="10" t="str">
        <f aca="false">IF(OR(A991="",E991="",H991=""),"",ROUND(0.00617*E991^2*H991*J991,2))</f>
        <v/>
      </c>
      <c r="L991" s="9"/>
      <c r="M991" s="10" t="str">
        <f aca="false">IF(A991="","",IF((COUNTIF(Drain_Register!$A$5:$A$304,A991)+COUNTIF(RW_Register!$A$5:$A$304,A991)+COUNTIF(Embedded_Wall_Register!$A$5:$A$304,A991)+COUNTIF(Manhole_Register!$A$5:$A$304,A991)+COUNTIF(ERSS_Pit_Register!$A$5:$A$304,A991)+COUNTIF(Linkway_Register!$A$5:$A$304,A991)+COUNTIF(Other_Register!$A$5:$A$304,A991))&gt;0,"OK","ID not in any register"))</f>
        <v/>
      </c>
    </row>
    <row r="992" customFormat="false" ht="15" hidden="false" customHeight="false" outlineLevel="0" collapsed="false">
      <c r="A992" s="9"/>
      <c r="B992" s="9"/>
      <c r="C992" s="9"/>
      <c r="D992" s="9"/>
      <c r="E992" s="9"/>
      <c r="F992" s="9"/>
      <c r="G992" s="9"/>
      <c r="H992" s="9"/>
      <c r="I992" s="9"/>
      <c r="J992" s="10" t="str">
        <f aca="false">IF(A992="","",IF(G992&lt;&gt;"",G992,IF(N(F992)&gt;0,ROUND(1000/F992,3),0)))</f>
        <v/>
      </c>
      <c r="K992" s="10" t="str">
        <f aca="false">IF(OR(A992="",E992="",H992=""),"",ROUND(0.00617*E992^2*H992*J992,2))</f>
        <v/>
      </c>
      <c r="L992" s="9"/>
      <c r="M992" s="10" t="str">
        <f aca="false">IF(A992="","",IF((COUNTIF(Drain_Register!$A$5:$A$304,A992)+COUNTIF(RW_Register!$A$5:$A$304,A992)+COUNTIF(Embedded_Wall_Register!$A$5:$A$304,A992)+COUNTIF(Manhole_Register!$A$5:$A$304,A992)+COUNTIF(ERSS_Pit_Register!$A$5:$A$304,A992)+COUNTIF(Linkway_Register!$A$5:$A$304,A992)+COUNTIF(Other_Register!$A$5:$A$304,A992))&gt;0,"OK","ID not in any register"))</f>
        <v/>
      </c>
    </row>
    <row r="993" customFormat="false" ht="15" hidden="false" customHeight="false" outlineLevel="0" collapsed="false">
      <c r="A993" s="9"/>
      <c r="B993" s="9"/>
      <c r="C993" s="9"/>
      <c r="D993" s="9"/>
      <c r="E993" s="9"/>
      <c r="F993" s="9"/>
      <c r="G993" s="9"/>
      <c r="H993" s="9"/>
      <c r="I993" s="9"/>
      <c r="J993" s="10" t="str">
        <f aca="false">IF(A993="","",IF(G993&lt;&gt;"",G993,IF(N(F993)&gt;0,ROUND(1000/F993,3),0)))</f>
        <v/>
      </c>
      <c r="K993" s="10" t="str">
        <f aca="false">IF(OR(A993="",E993="",H993=""),"",ROUND(0.00617*E993^2*H993*J993,2))</f>
        <v/>
      </c>
      <c r="L993" s="9"/>
      <c r="M993" s="10" t="str">
        <f aca="false">IF(A993="","",IF((COUNTIF(Drain_Register!$A$5:$A$304,A993)+COUNTIF(RW_Register!$A$5:$A$304,A993)+COUNTIF(Embedded_Wall_Register!$A$5:$A$304,A993)+COUNTIF(Manhole_Register!$A$5:$A$304,A993)+COUNTIF(ERSS_Pit_Register!$A$5:$A$304,A993)+COUNTIF(Linkway_Register!$A$5:$A$304,A993)+COUNTIF(Other_Register!$A$5:$A$304,A993))&gt;0,"OK","ID not in any register"))</f>
        <v/>
      </c>
    </row>
    <row r="994" customFormat="false" ht="15" hidden="false" customHeight="false" outlineLevel="0" collapsed="false">
      <c r="A994" s="9"/>
      <c r="B994" s="9"/>
      <c r="C994" s="9"/>
      <c r="D994" s="9"/>
      <c r="E994" s="9"/>
      <c r="F994" s="9"/>
      <c r="G994" s="9"/>
      <c r="H994" s="9"/>
      <c r="I994" s="9"/>
      <c r="J994" s="10" t="str">
        <f aca="false">IF(A994="","",IF(G994&lt;&gt;"",G994,IF(N(F994)&gt;0,ROUND(1000/F994,3),0)))</f>
        <v/>
      </c>
      <c r="K994" s="10" t="str">
        <f aca="false">IF(OR(A994="",E994="",H994=""),"",ROUND(0.00617*E994^2*H994*J994,2))</f>
        <v/>
      </c>
      <c r="L994" s="9"/>
      <c r="M994" s="10" t="str">
        <f aca="false">IF(A994="","",IF((COUNTIF(Drain_Register!$A$5:$A$304,A994)+COUNTIF(RW_Register!$A$5:$A$304,A994)+COUNTIF(Embedded_Wall_Register!$A$5:$A$304,A994)+COUNTIF(Manhole_Register!$A$5:$A$304,A994)+COUNTIF(ERSS_Pit_Register!$A$5:$A$304,A994)+COUNTIF(Linkway_Register!$A$5:$A$304,A994)+COUNTIF(Other_Register!$A$5:$A$304,A994))&gt;0,"OK","ID not in any register"))</f>
        <v/>
      </c>
    </row>
    <row r="995" customFormat="false" ht="15" hidden="false" customHeight="false" outlineLevel="0" collapsed="false">
      <c r="A995" s="9"/>
      <c r="B995" s="9"/>
      <c r="C995" s="9"/>
      <c r="D995" s="9"/>
      <c r="E995" s="9"/>
      <c r="F995" s="9"/>
      <c r="G995" s="9"/>
      <c r="H995" s="9"/>
      <c r="I995" s="9"/>
      <c r="J995" s="10" t="str">
        <f aca="false">IF(A995="","",IF(G995&lt;&gt;"",G995,IF(N(F995)&gt;0,ROUND(1000/F995,3),0)))</f>
        <v/>
      </c>
      <c r="K995" s="10" t="str">
        <f aca="false">IF(OR(A995="",E995="",H995=""),"",ROUND(0.00617*E995^2*H995*J995,2))</f>
        <v/>
      </c>
      <c r="L995" s="9"/>
      <c r="M995" s="10" t="str">
        <f aca="false">IF(A995="","",IF((COUNTIF(Drain_Register!$A$5:$A$304,A995)+COUNTIF(RW_Register!$A$5:$A$304,A995)+COUNTIF(Embedded_Wall_Register!$A$5:$A$304,A995)+COUNTIF(Manhole_Register!$A$5:$A$304,A995)+COUNTIF(ERSS_Pit_Register!$A$5:$A$304,A995)+COUNTIF(Linkway_Register!$A$5:$A$304,A995)+COUNTIF(Other_Register!$A$5:$A$304,A995))&gt;0,"OK","ID not in any register"))</f>
        <v/>
      </c>
    </row>
    <row r="996" customFormat="false" ht="15" hidden="false" customHeight="false" outlineLevel="0" collapsed="false">
      <c r="A996" s="9"/>
      <c r="B996" s="9"/>
      <c r="C996" s="9"/>
      <c r="D996" s="9"/>
      <c r="E996" s="9"/>
      <c r="F996" s="9"/>
      <c r="G996" s="9"/>
      <c r="H996" s="9"/>
      <c r="I996" s="9"/>
      <c r="J996" s="10" t="str">
        <f aca="false">IF(A996="","",IF(G996&lt;&gt;"",G996,IF(N(F996)&gt;0,ROUND(1000/F996,3),0)))</f>
        <v/>
      </c>
      <c r="K996" s="10" t="str">
        <f aca="false">IF(OR(A996="",E996="",H996=""),"",ROUND(0.00617*E996^2*H996*J996,2))</f>
        <v/>
      </c>
      <c r="L996" s="9"/>
      <c r="M996" s="10" t="str">
        <f aca="false">IF(A996="","",IF((COUNTIF(Drain_Register!$A$5:$A$304,A996)+COUNTIF(RW_Register!$A$5:$A$304,A996)+COUNTIF(Embedded_Wall_Register!$A$5:$A$304,A996)+COUNTIF(Manhole_Register!$A$5:$A$304,A996)+COUNTIF(ERSS_Pit_Register!$A$5:$A$304,A996)+COUNTIF(Linkway_Register!$A$5:$A$304,A996)+COUNTIF(Other_Register!$A$5:$A$304,A996))&gt;0,"OK","ID not in any register"))</f>
        <v/>
      </c>
    </row>
    <row r="997" customFormat="false" ht="15" hidden="false" customHeight="false" outlineLevel="0" collapsed="false">
      <c r="A997" s="9"/>
      <c r="B997" s="9"/>
      <c r="C997" s="9"/>
      <c r="D997" s="9"/>
      <c r="E997" s="9"/>
      <c r="F997" s="9"/>
      <c r="G997" s="9"/>
      <c r="H997" s="9"/>
      <c r="I997" s="9"/>
      <c r="J997" s="10" t="str">
        <f aca="false">IF(A997="","",IF(G997&lt;&gt;"",G997,IF(N(F997)&gt;0,ROUND(1000/F997,3),0)))</f>
        <v/>
      </c>
      <c r="K997" s="10" t="str">
        <f aca="false">IF(OR(A997="",E997="",H997=""),"",ROUND(0.00617*E997^2*H997*J997,2))</f>
        <v/>
      </c>
      <c r="L997" s="9"/>
      <c r="M997" s="10" t="str">
        <f aca="false">IF(A997="","",IF((COUNTIF(Drain_Register!$A$5:$A$304,A997)+COUNTIF(RW_Register!$A$5:$A$304,A997)+COUNTIF(Embedded_Wall_Register!$A$5:$A$304,A997)+COUNTIF(Manhole_Register!$A$5:$A$304,A997)+COUNTIF(ERSS_Pit_Register!$A$5:$A$304,A997)+COUNTIF(Linkway_Register!$A$5:$A$304,A997)+COUNTIF(Other_Register!$A$5:$A$304,A997))&gt;0,"OK","ID not in any register"))</f>
        <v/>
      </c>
    </row>
    <row r="998" customFormat="false" ht="15" hidden="false" customHeight="false" outlineLevel="0" collapsed="false">
      <c r="A998" s="9"/>
      <c r="B998" s="9"/>
      <c r="C998" s="9"/>
      <c r="D998" s="9"/>
      <c r="E998" s="9"/>
      <c r="F998" s="9"/>
      <c r="G998" s="9"/>
      <c r="H998" s="9"/>
      <c r="I998" s="9"/>
      <c r="J998" s="10" t="str">
        <f aca="false">IF(A998="","",IF(G998&lt;&gt;"",G998,IF(N(F998)&gt;0,ROUND(1000/F998,3),0)))</f>
        <v/>
      </c>
      <c r="K998" s="10" t="str">
        <f aca="false">IF(OR(A998="",E998="",H998=""),"",ROUND(0.00617*E998^2*H998*J998,2))</f>
        <v/>
      </c>
      <c r="L998" s="9"/>
      <c r="M998" s="10" t="str">
        <f aca="false">IF(A998="","",IF((COUNTIF(Drain_Register!$A$5:$A$304,A998)+COUNTIF(RW_Register!$A$5:$A$304,A998)+COUNTIF(Embedded_Wall_Register!$A$5:$A$304,A998)+COUNTIF(Manhole_Register!$A$5:$A$304,A998)+COUNTIF(ERSS_Pit_Register!$A$5:$A$304,A998)+COUNTIF(Linkway_Register!$A$5:$A$304,A998)+COUNTIF(Other_Register!$A$5:$A$304,A998))&gt;0,"OK","ID not in any register"))</f>
        <v/>
      </c>
    </row>
    <row r="999" customFormat="false" ht="15" hidden="false" customHeight="false" outlineLevel="0" collapsed="false">
      <c r="A999" s="9"/>
      <c r="B999" s="9"/>
      <c r="C999" s="9"/>
      <c r="D999" s="9"/>
      <c r="E999" s="9"/>
      <c r="F999" s="9"/>
      <c r="G999" s="9"/>
      <c r="H999" s="9"/>
      <c r="I999" s="9"/>
      <c r="J999" s="10" t="str">
        <f aca="false">IF(A999="","",IF(G999&lt;&gt;"",G999,IF(N(F999)&gt;0,ROUND(1000/F999,3),0)))</f>
        <v/>
      </c>
      <c r="K999" s="10" t="str">
        <f aca="false">IF(OR(A999="",E999="",H999=""),"",ROUND(0.00617*E999^2*H999*J999,2))</f>
        <v/>
      </c>
      <c r="L999" s="9"/>
      <c r="M999" s="10" t="str">
        <f aca="false">IF(A999="","",IF((COUNTIF(Drain_Register!$A$5:$A$304,A999)+COUNTIF(RW_Register!$A$5:$A$304,A999)+COUNTIF(Embedded_Wall_Register!$A$5:$A$304,A999)+COUNTIF(Manhole_Register!$A$5:$A$304,A999)+COUNTIF(ERSS_Pit_Register!$A$5:$A$304,A999)+COUNTIF(Linkway_Register!$A$5:$A$304,A999)+COUNTIF(Other_Register!$A$5:$A$304,A999))&gt;0,"OK","ID not in any register"))</f>
        <v/>
      </c>
    </row>
    <row r="1000" customFormat="false" ht="15" hidden="false" customHeight="false" outlineLevel="0" collapsed="false">
      <c r="A1000" s="9"/>
      <c r="B1000" s="9"/>
      <c r="C1000" s="9"/>
      <c r="D1000" s="9"/>
      <c r="E1000" s="9"/>
      <c r="F1000" s="9"/>
      <c r="G1000" s="9"/>
      <c r="H1000" s="9"/>
      <c r="I1000" s="9"/>
      <c r="J1000" s="10" t="str">
        <f aca="false">IF(A1000="","",IF(G1000&lt;&gt;"",G1000,IF(N(F1000)&gt;0,ROUND(1000/F1000,3),0)))</f>
        <v/>
      </c>
      <c r="K1000" s="10" t="str">
        <f aca="false">IF(OR(A1000="",E1000="",H1000=""),"",ROUND(0.00617*E1000^2*H1000*J1000,2))</f>
        <v/>
      </c>
      <c r="L1000" s="9"/>
      <c r="M1000" s="10" t="str">
        <f aca="false">IF(A1000="","",IF((COUNTIF(Drain_Register!$A$5:$A$304,A1000)+COUNTIF(RW_Register!$A$5:$A$304,A1000)+COUNTIF(Embedded_Wall_Register!$A$5:$A$304,A1000)+COUNTIF(Manhole_Register!$A$5:$A$304,A1000)+COUNTIF(ERSS_Pit_Register!$A$5:$A$304,A1000)+COUNTIF(Linkway_Register!$A$5:$A$304,A1000)+COUNTIF(Other_Register!$A$5:$A$304,A1000))&gt;0,"OK","ID not in any register"))</f>
        <v/>
      </c>
    </row>
    <row r="1001" customFormat="false" ht="15" hidden="false" customHeight="false" outlineLevel="0" collapsed="false">
      <c r="A1001" s="9"/>
      <c r="B1001" s="9"/>
      <c r="C1001" s="9"/>
      <c r="D1001" s="9"/>
      <c r="E1001" s="9"/>
      <c r="F1001" s="9"/>
      <c r="G1001" s="9"/>
      <c r="H1001" s="9"/>
      <c r="I1001" s="9"/>
      <c r="J1001" s="10" t="str">
        <f aca="false">IF(A1001="","",IF(G1001&lt;&gt;"",G1001,IF(N(F1001)&gt;0,ROUND(1000/F1001,3),0)))</f>
        <v/>
      </c>
      <c r="K1001" s="10" t="str">
        <f aca="false">IF(OR(A1001="",E1001="",H1001=""),"",ROUND(0.00617*E1001^2*H1001*J1001,2))</f>
        <v/>
      </c>
      <c r="L1001" s="9"/>
      <c r="M1001" s="10" t="str">
        <f aca="false">IF(A1001="","",IF((COUNTIF(Drain_Register!$A$5:$A$304,A1001)+COUNTIF(RW_Register!$A$5:$A$304,A1001)+COUNTIF(Embedded_Wall_Register!$A$5:$A$304,A1001)+COUNTIF(Manhole_Register!$A$5:$A$304,A1001)+COUNTIF(ERSS_Pit_Register!$A$5:$A$304,A1001)+COUNTIF(Linkway_Register!$A$5:$A$304,A1001)+COUNTIF(Other_Register!$A$5:$A$304,A1001))&gt;0,"OK","ID not in any register"))</f>
        <v/>
      </c>
    </row>
    <row r="1002" customFormat="false" ht="15" hidden="false" customHeight="false" outlineLevel="0" collapsed="false">
      <c r="A1002" s="9"/>
      <c r="B1002" s="9"/>
      <c r="C1002" s="9"/>
      <c r="D1002" s="9"/>
      <c r="E1002" s="9"/>
      <c r="F1002" s="9"/>
      <c r="G1002" s="9"/>
      <c r="H1002" s="9"/>
      <c r="I1002" s="9"/>
      <c r="J1002" s="10" t="str">
        <f aca="false">IF(A1002="","",IF(G1002&lt;&gt;"",G1002,IF(N(F1002)&gt;0,ROUND(1000/F1002,3),0)))</f>
        <v/>
      </c>
      <c r="K1002" s="10" t="str">
        <f aca="false">IF(OR(A1002="",E1002="",H1002=""),"",ROUND(0.00617*E1002^2*H1002*J1002,2))</f>
        <v/>
      </c>
      <c r="L1002" s="9"/>
      <c r="M1002" s="10" t="str">
        <f aca="false">IF(A1002="","",IF((COUNTIF(Drain_Register!$A$5:$A$304,A1002)+COUNTIF(RW_Register!$A$5:$A$304,A1002)+COUNTIF(Embedded_Wall_Register!$A$5:$A$304,A1002)+COUNTIF(Manhole_Register!$A$5:$A$304,A1002)+COUNTIF(ERSS_Pit_Register!$A$5:$A$304,A1002)+COUNTIF(Linkway_Register!$A$5:$A$304,A1002)+COUNTIF(Other_Register!$A$5:$A$304,A1002))&gt;0,"OK","ID not in any register"))</f>
        <v/>
      </c>
    </row>
    <row r="1003" customFormat="false" ht="15" hidden="false" customHeight="false" outlineLevel="0" collapsed="false">
      <c r="A1003" s="9"/>
      <c r="B1003" s="9"/>
      <c r="C1003" s="9"/>
      <c r="D1003" s="9"/>
      <c r="E1003" s="9"/>
      <c r="F1003" s="9"/>
      <c r="G1003" s="9"/>
      <c r="H1003" s="9"/>
      <c r="I1003" s="9"/>
      <c r="J1003" s="10" t="str">
        <f aca="false">IF(A1003="","",IF(G1003&lt;&gt;"",G1003,IF(N(F1003)&gt;0,ROUND(1000/F1003,3),0)))</f>
        <v/>
      </c>
      <c r="K1003" s="10" t="str">
        <f aca="false">IF(OR(A1003="",E1003="",H1003=""),"",ROUND(0.00617*E1003^2*H1003*J1003,2))</f>
        <v/>
      </c>
      <c r="L1003" s="9"/>
      <c r="M1003" s="10" t="str">
        <f aca="false">IF(A1003="","",IF((COUNTIF(Drain_Register!$A$5:$A$304,A1003)+COUNTIF(RW_Register!$A$5:$A$304,A1003)+COUNTIF(Embedded_Wall_Register!$A$5:$A$304,A1003)+COUNTIF(Manhole_Register!$A$5:$A$304,A1003)+COUNTIF(ERSS_Pit_Register!$A$5:$A$304,A1003)+COUNTIF(Linkway_Register!$A$5:$A$304,A1003)+COUNTIF(Other_Register!$A$5:$A$304,A1003))&gt;0,"OK","ID not in any register"))</f>
        <v/>
      </c>
    </row>
    <row r="1004" customFormat="false" ht="15" hidden="false" customHeight="false" outlineLevel="0" collapsed="false">
      <c r="A1004" s="9"/>
      <c r="B1004" s="9"/>
      <c r="C1004" s="9"/>
      <c r="D1004" s="9"/>
      <c r="E1004" s="9"/>
      <c r="F1004" s="9"/>
      <c r="G1004" s="9"/>
      <c r="H1004" s="9"/>
      <c r="I1004" s="9"/>
      <c r="J1004" s="10" t="str">
        <f aca="false">IF(A1004="","",IF(G1004&lt;&gt;"",G1004,IF(N(F1004)&gt;0,ROUND(1000/F1004,3),0)))</f>
        <v/>
      </c>
      <c r="K1004" s="10" t="str">
        <f aca="false">IF(OR(A1004="",E1004="",H1004=""),"",ROUND(0.00617*E1004^2*H1004*J1004,2))</f>
        <v/>
      </c>
      <c r="L1004" s="9"/>
      <c r="M1004" s="10" t="str">
        <f aca="false">IF(A1004="","",IF((COUNTIF(Drain_Register!$A$5:$A$304,A1004)+COUNTIF(RW_Register!$A$5:$A$304,A1004)+COUNTIF(Embedded_Wall_Register!$A$5:$A$304,A1004)+COUNTIF(Manhole_Register!$A$5:$A$304,A1004)+COUNTIF(ERSS_Pit_Register!$A$5:$A$304,A1004)+COUNTIF(Linkway_Register!$A$5:$A$304,A1004)+COUNTIF(Other_Register!$A$5:$A$304,A1004))&gt;0,"OK","ID not in any register"))</f>
        <v/>
      </c>
    </row>
    <row r="1005" customFormat="false" ht="15" hidden="false" customHeight="false" outlineLevel="0" collapsed="false">
      <c r="A1005" s="9"/>
      <c r="B1005" s="9"/>
      <c r="C1005" s="9"/>
      <c r="D1005" s="9"/>
      <c r="E1005" s="9"/>
      <c r="F1005" s="9"/>
      <c r="G1005" s="9"/>
      <c r="H1005" s="9"/>
      <c r="I1005" s="9"/>
      <c r="J1005" s="10" t="str">
        <f aca="false">IF(A1005="","",IF(G1005&lt;&gt;"",G1005,IF(N(F1005)&gt;0,ROUND(1000/F1005,3),0)))</f>
        <v/>
      </c>
      <c r="K1005" s="10" t="str">
        <f aca="false">IF(OR(A1005="",E1005="",H1005=""),"",ROUND(0.00617*E1005^2*H1005*J1005,2))</f>
        <v/>
      </c>
      <c r="L1005" s="9"/>
      <c r="M1005" s="10" t="str">
        <f aca="false">IF(A1005="","",IF((COUNTIF(Drain_Register!$A$5:$A$304,A1005)+COUNTIF(RW_Register!$A$5:$A$304,A1005)+COUNTIF(Embedded_Wall_Register!$A$5:$A$304,A1005)+COUNTIF(Manhole_Register!$A$5:$A$304,A1005)+COUNTIF(ERSS_Pit_Register!$A$5:$A$304,A1005)+COUNTIF(Linkway_Register!$A$5:$A$304,A1005)+COUNTIF(Other_Register!$A$5:$A$304,A1005))&gt;0,"OK","ID not in any register"))</f>
        <v/>
      </c>
    </row>
    <row r="1006" customFormat="false" ht="15" hidden="false" customHeight="false" outlineLevel="0" collapsed="false">
      <c r="A1006" s="9"/>
      <c r="B1006" s="9"/>
      <c r="C1006" s="9"/>
      <c r="D1006" s="9"/>
      <c r="E1006" s="9"/>
      <c r="F1006" s="9"/>
      <c r="G1006" s="9"/>
      <c r="H1006" s="9"/>
      <c r="I1006" s="9"/>
      <c r="J1006" s="10" t="str">
        <f aca="false">IF(A1006="","",IF(G1006&lt;&gt;"",G1006,IF(N(F1006)&gt;0,ROUND(1000/F1006,3),0)))</f>
        <v/>
      </c>
      <c r="K1006" s="10" t="str">
        <f aca="false">IF(OR(A1006="",E1006="",H1006=""),"",ROUND(0.00617*E1006^2*H1006*J1006,2))</f>
        <v/>
      </c>
      <c r="L1006" s="9"/>
      <c r="M1006" s="10" t="str">
        <f aca="false">IF(A1006="","",IF((COUNTIF(Drain_Register!$A$5:$A$304,A1006)+COUNTIF(RW_Register!$A$5:$A$304,A1006)+COUNTIF(Embedded_Wall_Register!$A$5:$A$304,A1006)+COUNTIF(Manhole_Register!$A$5:$A$304,A1006)+COUNTIF(ERSS_Pit_Register!$A$5:$A$304,A1006)+COUNTIF(Linkway_Register!$A$5:$A$304,A1006)+COUNTIF(Other_Register!$A$5:$A$304,A1006))&gt;0,"OK","ID not in any register"))</f>
        <v/>
      </c>
    </row>
    <row r="1007" customFormat="false" ht="15" hidden="false" customHeight="false" outlineLevel="0" collapsed="false">
      <c r="A1007" s="9"/>
      <c r="B1007" s="9"/>
      <c r="C1007" s="9"/>
      <c r="D1007" s="9"/>
      <c r="E1007" s="9"/>
      <c r="F1007" s="9"/>
      <c r="G1007" s="9"/>
      <c r="H1007" s="9"/>
      <c r="I1007" s="9"/>
      <c r="J1007" s="10" t="str">
        <f aca="false">IF(A1007="","",IF(G1007&lt;&gt;"",G1007,IF(N(F1007)&gt;0,ROUND(1000/F1007,3),0)))</f>
        <v/>
      </c>
      <c r="K1007" s="10" t="str">
        <f aca="false">IF(OR(A1007="",E1007="",H1007=""),"",ROUND(0.00617*E1007^2*H1007*J1007,2))</f>
        <v/>
      </c>
      <c r="L1007" s="9"/>
      <c r="M1007" s="10" t="str">
        <f aca="false">IF(A1007="","",IF((COUNTIF(Drain_Register!$A$5:$A$304,A1007)+COUNTIF(RW_Register!$A$5:$A$304,A1007)+COUNTIF(Embedded_Wall_Register!$A$5:$A$304,A1007)+COUNTIF(Manhole_Register!$A$5:$A$304,A1007)+COUNTIF(ERSS_Pit_Register!$A$5:$A$304,A1007)+COUNTIF(Linkway_Register!$A$5:$A$304,A1007)+COUNTIF(Other_Register!$A$5:$A$304,A1007))&gt;0,"OK","ID not in any register"))</f>
        <v/>
      </c>
    </row>
    <row r="1008" customFormat="false" ht="15" hidden="false" customHeight="false" outlineLevel="0" collapsed="false">
      <c r="A1008" s="9"/>
      <c r="B1008" s="9"/>
      <c r="C1008" s="9"/>
      <c r="D1008" s="9"/>
      <c r="E1008" s="9"/>
      <c r="F1008" s="9"/>
      <c r="G1008" s="9"/>
      <c r="H1008" s="9"/>
      <c r="I1008" s="9"/>
      <c r="J1008" s="10" t="str">
        <f aca="false">IF(A1008="","",IF(G1008&lt;&gt;"",G1008,IF(N(F1008)&gt;0,ROUND(1000/F1008,3),0)))</f>
        <v/>
      </c>
      <c r="K1008" s="10" t="str">
        <f aca="false">IF(OR(A1008="",E1008="",H1008=""),"",ROUND(0.00617*E1008^2*H1008*J1008,2))</f>
        <v/>
      </c>
      <c r="L1008" s="9"/>
      <c r="M1008" s="10" t="str">
        <f aca="false">IF(A1008="","",IF((COUNTIF(Drain_Register!$A$5:$A$304,A1008)+COUNTIF(RW_Register!$A$5:$A$304,A1008)+COUNTIF(Embedded_Wall_Register!$A$5:$A$304,A1008)+COUNTIF(Manhole_Register!$A$5:$A$304,A1008)+COUNTIF(ERSS_Pit_Register!$A$5:$A$304,A1008)+COUNTIF(Linkway_Register!$A$5:$A$304,A1008)+COUNTIF(Other_Register!$A$5:$A$304,A1008))&gt;0,"OK","ID not in any register"))</f>
        <v/>
      </c>
    </row>
    <row r="1009" customFormat="false" ht="15" hidden="false" customHeight="false" outlineLevel="0" collapsed="false">
      <c r="A1009" s="9"/>
      <c r="B1009" s="9"/>
      <c r="C1009" s="9"/>
      <c r="D1009" s="9"/>
      <c r="E1009" s="9"/>
      <c r="F1009" s="9"/>
      <c r="G1009" s="9"/>
      <c r="H1009" s="9"/>
      <c r="I1009" s="9"/>
      <c r="J1009" s="10" t="str">
        <f aca="false">IF(A1009="","",IF(G1009&lt;&gt;"",G1009,IF(N(F1009)&gt;0,ROUND(1000/F1009,3),0)))</f>
        <v/>
      </c>
      <c r="K1009" s="10" t="str">
        <f aca="false">IF(OR(A1009="",E1009="",H1009=""),"",ROUND(0.00617*E1009^2*H1009*J1009,2))</f>
        <v/>
      </c>
      <c r="L1009" s="9"/>
      <c r="M1009" s="10" t="str">
        <f aca="false">IF(A1009="","",IF((COUNTIF(Drain_Register!$A$5:$A$304,A1009)+COUNTIF(RW_Register!$A$5:$A$304,A1009)+COUNTIF(Embedded_Wall_Register!$A$5:$A$304,A1009)+COUNTIF(Manhole_Register!$A$5:$A$304,A1009)+COUNTIF(ERSS_Pit_Register!$A$5:$A$304,A1009)+COUNTIF(Linkway_Register!$A$5:$A$304,A1009)+COUNTIF(Other_Register!$A$5:$A$304,A1009))&gt;0,"OK","ID not in any register"))</f>
        <v/>
      </c>
    </row>
    <row r="1010" customFormat="false" ht="15" hidden="false" customHeight="false" outlineLevel="0" collapsed="false">
      <c r="A1010" s="9"/>
      <c r="B1010" s="9"/>
      <c r="C1010" s="9"/>
      <c r="D1010" s="9"/>
      <c r="E1010" s="9"/>
      <c r="F1010" s="9"/>
      <c r="G1010" s="9"/>
      <c r="H1010" s="9"/>
      <c r="I1010" s="9"/>
      <c r="J1010" s="10" t="str">
        <f aca="false">IF(A1010="","",IF(G1010&lt;&gt;"",G1010,IF(N(F1010)&gt;0,ROUND(1000/F1010,3),0)))</f>
        <v/>
      </c>
      <c r="K1010" s="10" t="str">
        <f aca="false">IF(OR(A1010="",E1010="",H1010=""),"",ROUND(0.00617*E1010^2*H1010*J1010,2))</f>
        <v/>
      </c>
      <c r="L1010" s="9"/>
      <c r="M1010" s="10" t="str">
        <f aca="false">IF(A1010="","",IF((COUNTIF(Drain_Register!$A$5:$A$304,A1010)+COUNTIF(RW_Register!$A$5:$A$304,A1010)+COUNTIF(Embedded_Wall_Register!$A$5:$A$304,A1010)+COUNTIF(Manhole_Register!$A$5:$A$304,A1010)+COUNTIF(ERSS_Pit_Register!$A$5:$A$304,A1010)+COUNTIF(Linkway_Register!$A$5:$A$304,A1010)+COUNTIF(Other_Register!$A$5:$A$304,A1010))&gt;0,"OK","ID not in any register"))</f>
        <v/>
      </c>
    </row>
    <row r="1011" customFormat="false" ht="15" hidden="false" customHeight="false" outlineLevel="0" collapsed="false">
      <c r="A1011" s="9"/>
      <c r="B1011" s="9"/>
      <c r="C1011" s="9"/>
      <c r="D1011" s="9"/>
      <c r="E1011" s="9"/>
      <c r="F1011" s="9"/>
      <c r="G1011" s="9"/>
      <c r="H1011" s="9"/>
      <c r="I1011" s="9"/>
      <c r="J1011" s="10" t="str">
        <f aca="false">IF(A1011="","",IF(G1011&lt;&gt;"",G1011,IF(N(F1011)&gt;0,ROUND(1000/F1011,3),0)))</f>
        <v/>
      </c>
      <c r="K1011" s="10" t="str">
        <f aca="false">IF(OR(A1011="",E1011="",H1011=""),"",ROUND(0.00617*E1011^2*H1011*J1011,2))</f>
        <v/>
      </c>
      <c r="L1011" s="9"/>
      <c r="M1011" s="10" t="str">
        <f aca="false">IF(A1011="","",IF((COUNTIF(Drain_Register!$A$5:$A$304,A1011)+COUNTIF(RW_Register!$A$5:$A$304,A1011)+COUNTIF(Embedded_Wall_Register!$A$5:$A$304,A1011)+COUNTIF(Manhole_Register!$A$5:$A$304,A1011)+COUNTIF(ERSS_Pit_Register!$A$5:$A$304,A1011)+COUNTIF(Linkway_Register!$A$5:$A$304,A1011)+COUNTIF(Other_Register!$A$5:$A$304,A1011))&gt;0,"OK","ID not in any register"))</f>
        <v/>
      </c>
    </row>
    <row r="1012" customFormat="false" ht="15" hidden="false" customHeight="false" outlineLevel="0" collapsed="false">
      <c r="A1012" s="9"/>
      <c r="B1012" s="9"/>
      <c r="C1012" s="9"/>
      <c r="D1012" s="9"/>
      <c r="E1012" s="9"/>
      <c r="F1012" s="9"/>
      <c r="G1012" s="9"/>
      <c r="H1012" s="9"/>
      <c r="I1012" s="9"/>
      <c r="J1012" s="10" t="str">
        <f aca="false">IF(A1012="","",IF(G1012&lt;&gt;"",G1012,IF(N(F1012)&gt;0,ROUND(1000/F1012,3),0)))</f>
        <v/>
      </c>
      <c r="K1012" s="10" t="str">
        <f aca="false">IF(OR(A1012="",E1012="",H1012=""),"",ROUND(0.00617*E1012^2*H1012*J1012,2))</f>
        <v/>
      </c>
      <c r="L1012" s="9"/>
      <c r="M1012" s="10" t="str">
        <f aca="false">IF(A1012="","",IF((COUNTIF(Drain_Register!$A$5:$A$304,A1012)+COUNTIF(RW_Register!$A$5:$A$304,A1012)+COUNTIF(Embedded_Wall_Register!$A$5:$A$304,A1012)+COUNTIF(Manhole_Register!$A$5:$A$304,A1012)+COUNTIF(ERSS_Pit_Register!$A$5:$A$304,A1012)+COUNTIF(Linkway_Register!$A$5:$A$304,A1012)+COUNTIF(Other_Register!$A$5:$A$304,A1012))&gt;0,"OK","ID not in any register"))</f>
        <v/>
      </c>
    </row>
    <row r="1013" customFormat="false" ht="15" hidden="false" customHeight="false" outlineLevel="0" collapsed="false">
      <c r="A1013" s="9"/>
      <c r="B1013" s="9"/>
      <c r="C1013" s="9"/>
      <c r="D1013" s="9"/>
      <c r="E1013" s="9"/>
      <c r="F1013" s="9"/>
      <c r="G1013" s="9"/>
      <c r="H1013" s="9"/>
      <c r="I1013" s="9"/>
      <c r="J1013" s="10" t="str">
        <f aca="false">IF(A1013="","",IF(G1013&lt;&gt;"",G1013,IF(N(F1013)&gt;0,ROUND(1000/F1013,3),0)))</f>
        <v/>
      </c>
      <c r="K1013" s="10" t="str">
        <f aca="false">IF(OR(A1013="",E1013="",H1013=""),"",ROUND(0.00617*E1013^2*H1013*J1013,2))</f>
        <v/>
      </c>
      <c r="L1013" s="9"/>
      <c r="M1013" s="10" t="str">
        <f aca="false">IF(A1013="","",IF((COUNTIF(Drain_Register!$A$5:$A$304,A1013)+COUNTIF(RW_Register!$A$5:$A$304,A1013)+COUNTIF(Embedded_Wall_Register!$A$5:$A$304,A1013)+COUNTIF(Manhole_Register!$A$5:$A$304,A1013)+COUNTIF(ERSS_Pit_Register!$A$5:$A$304,A1013)+COUNTIF(Linkway_Register!$A$5:$A$304,A1013)+COUNTIF(Other_Register!$A$5:$A$304,A1013))&gt;0,"OK","ID not in any register"))</f>
        <v/>
      </c>
    </row>
    <row r="1014" customFormat="false" ht="15" hidden="false" customHeight="false" outlineLevel="0" collapsed="false">
      <c r="A1014" s="9"/>
      <c r="B1014" s="9"/>
      <c r="C1014" s="9"/>
      <c r="D1014" s="9"/>
      <c r="E1014" s="9"/>
      <c r="F1014" s="9"/>
      <c r="G1014" s="9"/>
      <c r="H1014" s="9"/>
      <c r="I1014" s="9"/>
      <c r="J1014" s="10" t="str">
        <f aca="false">IF(A1014="","",IF(G1014&lt;&gt;"",G1014,IF(N(F1014)&gt;0,ROUND(1000/F1014,3),0)))</f>
        <v/>
      </c>
      <c r="K1014" s="10" t="str">
        <f aca="false">IF(OR(A1014="",E1014="",H1014=""),"",ROUND(0.00617*E1014^2*H1014*J1014,2))</f>
        <v/>
      </c>
      <c r="L1014" s="9"/>
      <c r="M1014" s="10" t="str">
        <f aca="false">IF(A1014="","",IF((COUNTIF(Drain_Register!$A$5:$A$304,A1014)+COUNTIF(RW_Register!$A$5:$A$304,A1014)+COUNTIF(Embedded_Wall_Register!$A$5:$A$304,A1014)+COUNTIF(Manhole_Register!$A$5:$A$304,A1014)+COUNTIF(ERSS_Pit_Register!$A$5:$A$304,A1014)+COUNTIF(Linkway_Register!$A$5:$A$304,A1014)+COUNTIF(Other_Register!$A$5:$A$304,A1014))&gt;0,"OK","ID not in any register"))</f>
        <v/>
      </c>
    </row>
    <row r="1015" customFormat="false" ht="15" hidden="false" customHeight="false" outlineLevel="0" collapsed="false">
      <c r="A1015" s="9"/>
      <c r="B1015" s="9"/>
      <c r="C1015" s="9"/>
      <c r="D1015" s="9"/>
      <c r="E1015" s="9"/>
      <c r="F1015" s="9"/>
      <c r="G1015" s="9"/>
      <c r="H1015" s="9"/>
      <c r="I1015" s="9"/>
      <c r="J1015" s="10" t="str">
        <f aca="false">IF(A1015="","",IF(G1015&lt;&gt;"",G1015,IF(N(F1015)&gt;0,ROUND(1000/F1015,3),0)))</f>
        <v/>
      </c>
      <c r="K1015" s="10" t="str">
        <f aca="false">IF(OR(A1015="",E1015="",H1015=""),"",ROUND(0.00617*E1015^2*H1015*J1015,2))</f>
        <v/>
      </c>
      <c r="L1015" s="9"/>
      <c r="M1015" s="10" t="str">
        <f aca="false">IF(A1015="","",IF((COUNTIF(Drain_Register!$A$5:$A$304,A1015)+COUNTIF(RW_Register!$A$5:$A$304,A1015)+COUNTIF(Embedded_Wall_Register!$A$5:$A$304,A1015)+COUNTIF(Manhole_Register!$A$5:$A$304,A1015)+COUNTIF(ERSS_Pit_Register!$A$5:$A$304,A1015)+COUNTIF(Linkway_Register!$A$5:$A$304,A1015)+COUNTIF(Other_Register!$A$5:$A$304,A1015))&gt;0,"OK","ID not in any register"))</f>
        <v/>
      </c>
    </row>
    <row r="1016" customFormat="false" ht="15" hidden="false" customHeight="false" outlineLevel="0" collapsed="false">
      <c r="A1016" s="9"/>
      <c r="B1016" s="9"/>
      <c r="C1016" s="9"/>
      <c r="D1016" s="9"/>
      <c r="E1016" s="9"/>
      <c r="F1016" s="9"/>
      <c r="G1016" s="9"/>
      <c r="H1016" s="9"/>
      <c r="I1016" s="9"/>
      <c r="J1016" s="10" t="str">
        <f aca="false">IF(A1016="","",IF(G1016&lt;&gt;"",G1016,IF(N(F1016)&gt;0,ROUND(1000/F1016,3),0)))</f>
        <v/>
      </c>
      <c r="K1016" s="10" t="str">
        <f aca="false">IF(OR(A1016="",E1016="",H1016=""),"",ROUND(0.00617*E1016^2*H1016*J1016,2))</f>
        <v/>
      </c>
      <c r="L1016" s="9"/>
      <c r="M1016" s="10" t="str">
        <f aca="false">IF(A1016="","",IF((COUNTIF(Drain_Register!$A$5:$A$304,A1016)+COUNTIF(RW_Register!$A$5:$A$304,A1016)+COUNTIF(Embedded_Wall_Register!$A$5:$A$304,A1016)+COUNTIF(Manhole_Register!$A$5:$A$304,A1016)+COUNTIF(ERSS_Pit_Register!$A$5:$A$304,A1016)+COUNTIF(Linkway_Register!$A$5:$A$304,A1016)+COUNTIF(Other_Register!$A$5:$A$304,A1016))&gt;0,"OK","ID not in any register"))</f>
        <v/>
      </c>
    </row>
    <row r="1017" customFormat="false" ht="15" hidden="false" customHeight="false" outlineLevel="0" collapsed="false">
      <c r="A1017" s="9"/>
      <c r="B1017" s="9"/>
      <c r="C1017" s="9"/>
      <c r="D1017" s="9"/>
      <c r="E1017" s="9"/>
      <c r="F1017" s="9"/>
      <c r="G1017" s="9"/>
      <c r="H1017" s="9"/>
      <c r="I1017" s="9"/>
      <c r="J1017" s="10" t="str">
        <f aca="false">IF(A1017="","",IF(G1017&lt;&gt;"",G1017,IF(N(F1017)&gt;0,ROUND(1000/F1017,3),0)))</f>
        <v/>
      </c>
      <c r="K1017" s="10" t="str">
        <f aca="false">IF(OR(A1017="",E1017="",H1017=""),"",ROUND(0.00617*E1017^2*H1017*J1017,2))</f>
        <v/>
      </c>
      <c r="L1017" s="9"/>
      <c r="M1017" s="10" t="str">
        <f aca="false">IF(A1017="","",IF((COUNTIF(Drain_Register!$A$5:$A$304,A1017)+COUNTIF(RW_Register!$A$5:$A$304,A1017)+COUNTIF(Embedded_Wall_Register!$A$5:$A$304,A1017)+COUNTIF(Manhole_Register!$A$5:$A$304,A1017)+COUNTIF(ERSS_Pit_Register!$A$5:$A$304,A1017)+COUNTIF(Linkway_Register!$A$5:$A$304,A1017)+COUNTIF(Other_Register!$A$5:$A$304,A1017))&gt;0,"OK","ID not in any register"))</f>
        <v/>
      </c>
    </row>
    <row r="1018" customFormat="false" ht="15" hidden="false" customHeight="false" outlineLevel="0" collapsed="false">
      <c r="A1018" s="9"/>
      <c r="B1018" s="9"/>
      <c r="C1018" s="9"/>
      <c r="D1018" s="9"/>
      <c r="E1018" s="9"/>
      <c r="F1018" s="9"/>
      <c r="G1018" s="9"/>
      <c r="H1018" s="9"/>
      <c r="I1018" s="9"/>
      <c r="J1018" s="10" t="str">
        <f aca="false">IF(A1018="","",IF(G1018&lt;&gt;"",G1018,IF(N(F1018)&gt;0,ROUND(1000/F1018,3),0)))</f>
        <v/>
      </c>
      <c r="K1018" s="10" t="str">
        <f aca="false">IF(OR(A1018="",E1018="",H1018=""),"",ROUND(0.00617*E1018^2*H1018*J1018,2))</f>
        <v/>
      </c>
      <c r="L1018" s="9"/>
      <c r="M1018" s="10" t="str">
        <f aca="false">IF(A1018="","",IF((COUNTIF(Drain_Register!$A$5:$A$304,A1018)+COUNTIF(RW_Register!$A$5:$A$304,A1018)+COUNTIF(Embedded_Wall_Register!$A$5:$A$304,A1018)+COUNTIF(Manhole_Register!$A$5:$A$304,A1018)+COUNTIF(ERSS_Pit_Register!$A$5:$A$304,A1018)+COUNTIF(Linkway_Register!$A$5:$A$304,A1018)+COUNTIF(Other_Register!$A$5:$A$304,A1018))&gt;0,"OK","ID not in any register"))</f>
        <v/>
      </c>
    </row>
    <row r="1019" customFormat="false" ht="15" hidden="false" customHeight="false" outlineLevel="0" collapsed="false">
      <c r="A1019" s="9"/>
      <c r="B1019" s="9"/>
      <c r="C1019" s="9"/>
      <c r="D1019" s="9"/>
      <c r="E1019" s="9"/>
      <c r="F1019" s="9"/>
      <c r="G1019" s="9"/>
      <c r="H1019" s="9"/>
      <c r="I1019" s="9"/>
      <c r="J1019" s="10" t="str">
        <f aca="false">IF(A1019="","",IF(G1019&lt;&gt;"",G1019,IF(N(F1019)&gt;0,ROUND(1000/F1019,3),0)))</f>
        <v/>
      </c>
      <c r="K1019" s="10" t="str">
        <f aca="false">IF(OR(A1019="",E1019="",H1019=""),"",ROUND(0.00617*E1019^2*H1019*J1019,2))</f>
        <v/>
      </c>
      <c r="L1019" s="9"/>
      <c r="M1019" s="10" t="str">
        <f aca="false">IF(A1019="","",IF((COUNTIF(Drain_Register!$A$5:$A$304,A1019)+COUNTIF(RW_Register!$A$5:$A$304,A1019)+COUNTIF(Embedded_Wall_Register!$A$5:$A$304,A1019)+COUNTIF(Manhole_Register!$A$5:$A$304,A1019)+COUNTIF(ERSS_Pit_Register!$A$5:$A$304,A1019)+COUNTIF(Linkway_Register!$A$5:$A$304,A1019)+COUNTIF(Other_Register!$A$5:$A$304,A1019))&gt;0,"OK","ID not in any register"))</f>
        <v/>
      </c>
    </row>
    <row r="1020" customFormat="false" ht="15" hidden="false" customHeight="false" outlineLevel="0" collapsed="false">
      <c r="A1020" s="9"/>
      <c r="B1020" s="9"/>
      <c r="C1020" s="9"/>
      <c r="D1020" s="9"/>
      <c r="E1020" s="9"/>
      <c r="F1020" s="9"/>
      <c r="G1020" s="9"/>
      <c r="H1020" s="9"/>
      <c r="I1020" s="9"/>
      <c r="J1020" s="10" t="str">
        <f aca="false">IF(A1020="","",IF(G1020&lt;&gt;"",G1020,IF(N(F1020)&gt;0,ROUND(1000/F1020,3),0)))</f>
        <v/>
      </c>
      <c r="K1020" s="10" t="str">
        <f aca="false">IF(OR(A1020="",E1020="",H1020=""),"",ROUND(0.00617*E1020^2*H1020*J1020,2))</f>
        <v/>
      </c>
      <c r="L1020" s="9"/>
      <c r="M1020" s="10" t="str">
        <f aca="false">IF(A1020="","",IF((COUNTIF(Drain_Register!$A$5:$A$304,A1020)+COUNTIF(RW_Register!$A$5:$A$304,A1020)+COUNTIF(Embedded_Wall_Register!$A$5:$A$304,A1020)+COUNTIF(Manhole_Register!$A$5:$A$304,A1020)+COUNTIF(ERSS_Pit_Register!$A$5:$A$304,A1020)+COUNTIF(Linkway_Register!$A$5:$A$304,A1020)+COUNTIF(Other_Register!$A$5:$A$304,A1020))&gt;0,"OK","ID not in any register"))</f>
        <v/>
      </c>
    </row>
    <row r="1021" customFormat="false" ht="15" hidden="false" customHeight="false" outlineLevel="0" collapsed="false">
      <c r="A1021" s="9"/>
      <c r="B1021" s="9"/>
      <c r="C1021" s="9"/>
      <c r="D1021" s="9"/>
      <c r="E1021" s="9"/>
      <c r="F1021" s="9"/>
      <c r="G1021" s="9"/>
      <c r="H1021" s="9"/>
      <c r="I1021" s="9"/>
      <c r="J1021" s="10" t="str">
        <f aca="false">IF(A1021="","",IF(G1021&lt;&gt;"",G1021,IF(N(F1021)&gt;0,ROUND(1000/F1021,3),0)))</f>
        <v/>
      </c>
      <c r="K1021" s="10" t="str">
        <f aca="false">IF(OR(A1021="",E1021="",H1021=""),"",ROUND(0.00617*E1021^2*H1021*J1021,2))</f>
        <v/>
      </c>
      <c r="L1021" s="9"/>
      <c r="M1021" s="10" t="str">
        <f aca="false">IF(A1021="","",IF((COUNTIF(Drain_Register!$A$5:$A$304,A1021)+COUNTIF(RW_Register!$A$5:$A$304,A1021)+COUNTIF(Embedded_Wall_Register!$A$5:$A$304,A1021)+COUNTIF(Manhole_Register!$A$5:$A$304,A1021)+COUNTIF(ERSS_Pit_Register!$A$5:$A$304,A1021)+COUNTIF(Linkway_Register!$A$5:$A$304,A1021)+COUNTIF(Other_Register!$A$5:$A$304,A1021))&gt;0,"OK","ID not in any register"))</f>
        <v/>
      </c>
    </row>
    <row r="1022" customFormat="false" ht="15" hidden="false" customHeight="false" outlineLevel="0" collapsed="false">
      <c r="A1022" s="9"/>
      <c r="B1022" s="9"/>
      <c r="C1022" s="9"/>
      <c r="D1022" s="9"/>
      <c r="E1022" s="9"/>
      <c r="F1022" s="9"/>
      <c r="G1022" s="9"/>
      <c r="H1022" s="9"/>
      <c r="I1022" s="9"/>
      <c r="J1022" s="10" t="str">
        <f aca="false">IF(A1022="","",IF(G1022&lt;&gt;"",G1022,IF(N(F1022)&gt;0,ROUND(1000/F1022,3),0)))</f>
        <v/>
      </c>
      <c r="K1022" s="10" t="str">
        <f aca="false">IF(OR(A1022="",E1022="",H1022=""),"",ROUND(0.00617*E1022^2*H1022*J1022,2))</f>
        <v/>
      </c>
      <c r="L1022" s="9"/>
      <c r="M1022" s="10" t="str">
        <f aca="false">IF(A1022="","",IF((COUNTIF(Drain_Register!$A$5:$A$304,A1022)+COUNTIF(RW_Register!$A$5:$A$304,A1022)+COUNTIF(Embedded_Wall_Register!$A$5:$A$304,A1022)+COUNTIF(Manhole_Register!$A$5:$A$304,A1022)+COUNTIF(ERSS_Pit_Register!$A$5:$A$304,A1022)+COUNTIF(Linkway_Register!$A$5:$A$304,A1022)+COUNTIF(Other_Register!$A$5:$A$304,A1022))&gt;0,"OK","ID not in any register"))</f>
        <v/>
      </c>
    </row>
    <row r="1023" customFormat="false" ht="15" hidden="false" customHeight="false" outlineLevel="0" collapsed="false">
      <c r="A1023" s="9"/>
      <c r="B1023" s="9"/>
      <c r="C1023" s="9"/>
      <c r="D1023" s="9"/>
      <c r="E1023" s="9"/>
      <c r="F1023" s="9"/>
      <c r="G1023" s="9"/>
      <c r="H1023" s="9"/>
      <c r="I1023" s="9"/>
      <c r="J1023" s="10" t="str">
        <f aca="false">IF(A1023="","",IF(G1023&lt;&gt;"",G1023,IF(N(F1023)&gt;0,ROUND(1000/F1023,3),0)))</f>
        <v/>
      </c>
      <c r="K1023" s="10" t="str">
        <f aca="false">IF(OR(A1023="",E1023="",H1023=""),"",ROUND(0.00617*E1023^2*H1023*J1023,2))</f>
        <v/>
      </c>
      <c r="L1023" s="9"/>
      <c r="M1023" s="10" t="str">
        <f aca="false">IF(A1023="","",IF((COUNTIF(Drain_Register!$A$5:$A$304,A1023)+COUNTIF(RW_Register!$A$5:$A$304,A1023)+COUNTIF(Embedded_Wall_Register!$A$5:$A$304,A1023)+COUNTIF(Manhole_Register!$A$5:$A$304,A1023)+COUNTIF(ERSS_Pit_Register!$A$5:$A$304,A1023)+COUNTIF(Linkway_Register!$A$5:$A$304,A1023)+COUNTIF(Other_Register!$A$5:$A$304,A1023))&gt;0,"OK","ID not in any register"))</f>
        <v/>
      </c>
    </row>
    <row r="1024" customFormat="false" ht="15" hidden="false" customHeight="false" outlineLevel="0" collapsed="false">
      <c r="A1024" s="9"/>
      <c r="B1024" s="9"/>
      <c r="C1024" s="9"/>
      <c r="D1024" s="9"/>
      <c r="E1024" s="9"/>
      <c r="F1024" s="9"/>
      <c r="G1024" s="9"/>
      <c r="H1024" s="9"/>
      <c r="I1024" s="9"/>
      <c r="J1024" s="10" t="str">
        <f aca="false">IF(A1024="","",IF(G1024&lt;&gt;"",G1024,IF(N(F1024)&gt;0,ROUND(1000/F1024,3),0)))</f>
        <v/>
      </c>
      <c r="K1024" s="10" t="str">
        <f aca="false">IF(OR(A1024="",E1024="",H1024=""),"",ROUND(0.00617*E1024^2*H1024*J1024,2))</f>
        <v/>
      </c>
      <c r="L1024" s="9"/>
      <c r="M1024" s="10" t="str">
        <f aca="false">IF(A1024="","",IF((COUNTIF(Drain_Register!$A$5:$A$304,A1024)+COUNTIF(RW_Register!$A$5:$A$304,A1024)+COUNTIF(Embedded_Wall_Register!$A$5:$A$304,A1024)+COUNTIF(Manhole_Register!$A$5:$A$304,A1024)+COUNTIF(ERSS_Pit_Register!$A$5:$A$304,A1024)+COUNTIF(Linkway_Register!$A$5:$A$304,A1024)+COUNTIF(Other_Register!$A$5:$A$304,A1024))&gt;0,"OK","ID not in any register"))</f>
        <v/>
      </c>
    </row>
    <row r="1025" customFormat="false" ht="15" hidden="false" customHeight="false" outlineLevel="0" collapsed="false">
      <c r="A1025" s="9"/>
      <c r="B1025" s="9"/>
      <c r="C1025" s="9"/>
      <c r="D1025" s="9"/>
      <c r="E1025" s="9"/>
      <c r="F1025" s="9"/>
      <c r="G1025" s="9"/>
      <c r="H1025" s="9"/>
      <c r="I1025" s="9"/>
      <c r="J1025" s="10" t="str">
        <f aca="false">IF(A1025="","",IF(G1025&lt;&gt;"",G1025,IF(N(F1025)&gt;0,ROUND(1000/F1025,3),0)))</f>
        <v/>
      </c>
      <c r="K1025" s="10" t="str">
        <f aca="false">IF(OR(A1025="",E1025="",H1025=""),"",ROUND(0.00617*E1025^2*H1025*J1025,2))</f>
        <v/>
      </c>
      <c r="L1025" s="9"/>
      <c r="M1025" s="10" t="str">
        <f aca="false">IF(A1025="","",IF((COUNTIF(Drain_Register!$A$5:$A$304,A1025)+COUNTIF(RW_Register!$A$5:$A$304,A1025)+COUNTIF(Embedded_Wall_Register!$A$5:$A$304,A1025)+COUNTIF(Manhole_Register!$A$5:$A$304,A1025)+COUNTIF(ERSS_Pit_Register!$A$5:$A$304,A1025)+COUNTIF(Linkway_Register!$A$5:$A$304,A1025)+COUNTIF(Other_Register!$A$5:$A$304,A1025))&gt;0,"OK","ID not in any register"))</f>
        <v/>
      </c>
    </row>
    <row r="1026" customFormat="false" ht="15" hidden="false" customHeight="false" outlineLevel="0" collapsed="false">
      <c r="A1026" s="9"/>
      <c r="B1026" s="9"/>
      <c r="C1026" s="9"/>
      <c r="D1026" s="9"/>
      <c r="E1026" s="9"/>
      <c r="F1026" s="9"/>
      <c r="G1026" s="9"/>
      <c r="H1026" s="9"/>
      <c r="I1026" s="9"/>
      <c r="J1026" s="10" t="str">
        <f aca="false">IF(A1026="","",IF(G1026&lt;&gt;"",G1026,IF(N(F1026)&gt;0,ROUND(1000/F1026,3),0)))</f>
        <v/>
      </c>
      <c r="K1026" s="10" t="str">
        <f aca="false">IF(OR(A1026="",E1026="",H1026=""),"",ROUND(0.00617*E1026^2*H1026*J1026,2))</f>
        <v/>
      </c>
      <c r="L1026" s="9"/>
      <c r="M1026" s="10" t="str">
        <f aca="false">IF(A1026="","",IF((COUNTIF(Drain_Register!$A$5:$A$304,A1026)+COUNTIF(RW_Register!$A$5:$A$304,A1026)+COUNTIF(Embedded_Wall_Register!$A$5:$A$304,A1026)+COUNTIF(Manhole_Register!$A$5:$A$304,A1026)+COUNTIF(ERSS_Pit_Register!$A$5:$A$304,A1026)+COUNTIF(Linkway_Register!$A$5:$A$304,A1026)+COUNTIF(Other_Register!$A$5:$A$304,A1026))&gt;0,"OK","ID not in any register"))</f>
        <v/>
      </c>
    </row>
    <row r="1027" customFormat="false" ht="15" hidden="false" customHeight="false" outlineLevel="0" collapsed="false">
      <c r="A1027" s="9"/>
      <c r="B1027" s="9"/>
      <c r="C1027" s="9"/>
      <c r="D1027" s="9"/>
      <c r="E1027" s="9"/>
      <c r="F1027" s="9"/>
      <c r="G1027" s="9"/>
      <c r="H1027" s="9"/>
      <c r="I1027" s="9"/>
      <c r="J1027" s="10" t="str">
        <f aca="false">IF(A1027="","",IF(G1027&lt;&gt;"",G1027,IF(N(F1027)&gt;0,ROUND(1000/F1027,3),0)))</f>
        <v/>
      </c>
      <c r="K1027" s="10" t="str">
        <f aca="false">IF(OR(A1027="",E1027="",H1027=""),"",ROUND(0.00617*E1027^2*H1027*J1027,2))</f>
        <v/>
      </c>
      <c r="L1027" s="9"/>
      <c r="M1027" s="10" t="str">
        <f aca="false">IF(A1027="","",IF((COUNTIF(Drain_Register!$A$5:$A$304,A1027)+COUNTIF(RW_Register!$A$5:$A$304,A1027)+COUNTIF(Embedded_Wall_Register!$A$5:$A$304,A1027)+COUNTIF(Manhole_Register!$A$5:$A$304,A1027)+COUNTIF(ERSS_Pit_Register!$A$5:$A$304,A1027)+COUNTIF(Linkway_Register!$A$5:$A$304,A1027)+COUNTIF(Other_Register!$A$5:$A$304,A1027))&gt;0,"OK","ID not in any register"))</f>
        <v/>
      </c>
    </row>
    <row r="1028" customFormat="false" ht="15" hidden="false" customHeight="false" outlineLevel="0" collapsed="false">
      <c r="A1028" s="9"/>
      <c r="B1028" s="9"/>
      <c r="C1028" s="9"/>
      <c r="D1028" s="9"/>
      <c r="E1028" s="9"/>
      <c r="F1028" s="9"/>
      <c r="G1028" s="9"/>
      <c r="H1028" s="9"/>
      <c r="I1028" s="9"/>
      <c r="J1028" s="10" t="str">
        <f aca="false">IF(A1028="","",IF(G1028&lt;&gt;"",G1028,IF(N(F1028)&gt;0,ROUND(1000/F1028,3),0)))</f>
        <v/>
      </c>
      <c r="K1028" s="10" t="str">
        <f aca="false">IF(OR(A1028="",E1028="",H1028=""),"",ROUND(0.00617*E1028^2*H1028*J1028,2))</f>
        <v/>
      </c>
      <c r="L1028" s="9"/>
      <c r="M1028" s="10" t="str">
        <f aca="false">IF(A1028="","",IF((COUNTIF(Drain_Register!$A$5:$A$304,A1028)+COUNTIF(RW_Register!$A$5:$A$304,A1028)+COUNTIF(Embedded_Wall_Register!$A$5:$A$304,A1028)+COUNTIF(Manhole_Register!$A$5:$A$304,A1028)+COUNTIF(ERSS_Pit_Register!$A$5:$A$304,A1028)+COUNTIF(Linkway_Register!$A$5:$A$304,A1028)+COUNTIF(Other_Register!$A$5:$A$304,A1028))&gt;0,"OK","ID not in any register"))</f>
        <v/>
      </c>
    </row>
    <row r="1029" customFormat="false" ht="15" hidden="false" customHeight="false" outlineLevel="0" collapsed="false">
      <c r="A1029" s="9"/>
      <c r="B1029" s="9"/>
      <c r="C1029" s="9"/>
      <c r="D1029" s="9"/>
      <c r="E1029" s="9"/>
      <c r="F1029" s="9"/>
      <c r="G1029" s="9"/>
      <c r="H1029" s="9"/>
      <c r="I1029" s="9"/>
      <c r="J1029" s="10" t="str">
        <f aca="false">IF(A1029="","",IF(G1029&lt;&gt;"",G1029,IF(N(F1029)&gt;0,ROUND(1000/F1029,3),0)))</f>
        <v/>
      </c>
      <c r="K1029" s="10" t="str">
        <f aca="false">IF(OR(A1029="",E1029="",H1029=""),"",ROUND(0.00617*E1029^2*H1029*J1029,2))</f>
        <v/>
      </c>
      <c r="L1029" s="9"/>
      <c r="M1029" s="10" t="str">
        <f aca="false">IF(A1029="","",IF((COUNTIF(Drain_Register!$A$5:$A$304,A1029)+COUNTIF(RW_Register!$A$5:$A$304,A1029)+COUNTIF(Embedded_Wall_Register!$A$5:$A$304,A1029)+COUNTIF(Manhole_Register!$A$5:$A$304,A1029)+COUNTIF(ERSS_Pit_Register!$A$5:$A$304,A1029)+COUNTIF(Linkway_Register!$A$5:$A$304,A1029)+COUNTIF(Other_Register!$A$5:$A$304,A1029))&gt;0,"OK","ID not in any register"))</f>
        <v/>
      </c>
    </row>
    <row r="1030" customFormat="false" ht="15" hidden="false" customHeight="false" outlineLevel="0" collapsed="false">
      <c r="A1030" s="9"/>
      <c r="B1030" s="9"/>
      <c r="C1030" s="9"/>
      <c r="D1030" s="9"/>
      <c r="E1030" s="9"/>
      <c r="F1030" s="9"/>
      <c r="G1030" s="9"/>
      <c r="H1030" s="9"/>
      <c r="I1030" s="9"/>
      <c r="J1030" s="10" t="str">
        <f aca="false">IF(A1030="","",IF(G1030&lt;&gt;"",G1030,IF(N(F1030)&gt;0,ROUND(1000/F1030,3),0)))</f>
        <v/>
      </c>
      <c r="K1030" s="10" t="str">
        <f aca="false">IF(OR(A1030="",E1030="",H1030=""),"",ROUND(0.00617*E1030^2*H1030*J1030,2))</f>
        <v/>
      </c>
      <c r="L1030" s="9"/>
      <c r="M1030" s="10" t="str">
        <f aca="false">IF(A1030="","",IF((COUNTIF(Drain_Register!$A$5:$A$304,A1030)+COUNTIF(RW_Register!$A$5:$A$304,A1030)+COUNTIF(Embedded_Wall_Register!$A$5:$A$304,A1030)+COUNTIF(Manhole_Register!$A$5:$A$304,A1030)+COUNTIF(ERSS_Pit_Register!$A$5:$A$304,A1030)+COUNTIF(Linkway_Register!$A$5:$A$304,A1030)+COUNTIF(Other_Register!$A$5:$A$304,A1030))&gt;0,"OK","ID not in any register"))</f>
        <v/>
      </c>
    </row>
    <row r="1031" customFormat="false" ht="15" hidden="false" customHeight="false" outlineLevel="0" collapsed="false">
      <c r="A1031" s="9"/>
      <c r="B1031" s="9"/>
      <c r="C1031" s="9"/>
      <c r="D1031" s="9"/>
      <c r="E1031" s="9"/>
      <c r="F1031" s="9"/>
      <c r="G1031" s="9"/>
      <c r="H1031" s="9"/>
      <c r="I1031" s="9"/>
      <c r="J1031" s="10" t="str">
        <f aca="false">IF(A1031="","",IF(G1031&lt;&gt;"",G1031,IF(N(F1031)&gt;0,ROUND(1000/F1031,3),0)))</f>
        <v/>
      </c>
      <c r="K1031" s="10" t="str">
        <f aca="false">IF(OR(A1031="",E1031="",H1031=""),"",ROUND(0.00617*E1031^2*H1031*J1031,2))</f>
        <v/>
      </c>
      <c r="L1031" s="9"/>
      <c r="M1031" s="10" t="str">
        <f aca="false">IF(A1031="","",IF((COUNTIF(Drain_Register!$A$5:$A$304,A1031)+COUNTIF(RW_Register!$A$5:$A$304,A1031)+COUNTIF(Embedded_Wall_Register!$A$5:$A$304,A1031)+COUNTIF(Manhole_Register!$A$5:$A$304,A1031)+COUNTIF(ERSS_Pit_Register!$A$5:$A$304,A1031)+COUNTIF(Linkway_Register!$A$5:$A$304,A1031)+COUNTIF(Other_Register!$A$5:$A$304,A1031))&gt;0,"OK","ID not in any register"))</f>
        <v/>
      </c>
    </row>
    <row r="1032" customFormat="false" ht="15" hidden="false" customHeight="false" outlineLevel="0" collapsed="false">
      <c r="A1032" s="9"/>
      <c r="B1032" s="9"/>
      <c r="C1032" s="9"/>
      <c r="D1032" s="9"/>
      <c r="E1032" s="9"/>
      <c r="F1032" s="9"/>
      <c r="G1032" s="9"/>
      <c r="H1032" s="9"/>
      <c r="I1032" s="9"/>
      <c r="J1032" s="10" t="str">
        <f aca="false">IF(A1032="","",IF(G1032&lt;&gt;"",G1032,IF(N(F1032)&gt;0,ROUND(1000/F1032,3),0)))</f>
        <v/>
      </c>
      <c r="K1032" s="10" t="str">
        <f aca="false">IF(OR(A1032="",E1032="",H1032=""),"",ROUND(0.00617*E1032^2*H1032*J1032,2))</f>
        <v/>
      </c>
      <c r="L1032" s="9"/>
      <c r="M1032" s="10" t="str">
        <f aca="false">IF(A1032="","",IF((COUNTIF(Drain_Register!$A$5:$A$304,A1032)+COUNTIF(RW_Register!$A$5:$A$304,A1032)+COUNTIF(Embedded_Wall_Register!$A$5:$A$304,A1032)+COUNTIF(Manhole_Register!$A$5:$A$304,A1032)+COUNTIF(ERSS_Pit_Register!$A$5:$A$304,A1032)+COUNTIF(Linkway_Register!$A$5:$A$304,A1032)+COUNTIF(Other_Register!$A$5:$A$304,A1032))&gt;0,"OK","ID not in any register"))</f>
        <v/>
      </c>
    </row>
    <row r="1033" customFormat="false" ht="15" hidden="false" customHeight="false" outlineLevel="0" collapsed="false">
      <c r="A1033" s="9"/>
      <c r="B1033" s="9"/>
      <c r="C1033" s="9"/>
      <c r="D1033" s="9"/>
      <c r="E1033" s="9"/>
      <c r="F1033" s="9"/>
      <c r="G1033" s="9"/>
      <c r="H1033" s="9"/>
      <c r="I1033" s="9"/>
      <c r="J1033" s="10" t="str">
        <f aca="false">IF(A1033="","",IF(G1033&lt;&gt;"",G1033,IF(N(F1033)&gt;0,ROUND(1000/F1033,3),0)))</f>
        <v/>
      </c>
      <c r="K1033" s="10" t="str">
        <f aca="false">IF(OR(A1033="",E1033="",H1033=""),"",ROUND(0.00617*E1033^2*H1033*J1033,2))</f>
        <v/>
      </c>
      <c r="L1033" s="9"/>
      <c r="M1033" s="10" t="str">
        <f aca="false">IF(A1033="","",IF((COUNTIF(Drain_Register!$A$5:$A$304,A1033)+COUNTIF(RW_Register!$A$5:$A$304,A1033)+COUNTIF(Embedded_Wall_Register!$A$5:$A$304,A1033)+COUNTIF(Manhole_Register!$A$5:$A$304,A1033)+COUNTIF(ERSS_Pit_Register!$A$5:$A$304,A1033)+COUNTIF(Linkway_Register!$A$5:$A$304,A1033)+COUNTIF(Other_Register!$A$5:$A$304,A1033))&gt;0,"OK","ID not in any register"))</f>
        <v/>
      </c>
    </row>
    <row r="1034" customFormat="false" ht="15" hidden="false" customHeight="false" outlineLevel="0" collapsed="false">
      <c r="A1034" s="9"/>
      <c r="B1034" s="9"/>
      <c r="C1034" s="9"/>
      <c r="D1034" s="9"/>
      <c r="E1034" s="9"/>
      <c r="F1034" s="9"/>
      <c r="G1034" s="9"/>
      <c r="H1034" s="9"/>
      <c r="I1034" s="9"/>
      <c r="J1034" s="10" t="str">
        <f aca="false">IF(A1034="","",IF(G1034&lt;&gt;"",G1034,IF(N(F1034)&gt;0,ROUND(1000/F1034,3),0)))</f>
        <v/>
      </c>
      <c r="K1034" s="10" t="str">
        <f aca="false">IF(OR(A1034="",E1034="",H1034=""),"",ROUND(0.00617*E1034^2*H1034*J1034,2))</f>
        <v/>
      </c>
      <c r="L1034" s="9"/>
      <c r="M1034" s="10" t="str">
        <f aca="false">IF(A1034="","",IF((COUNTIF(Drain_Register!$A$5:$A$304,A1034)+COUNTIF(RW_Register!$A$5:$A$304,A1034)+COUNTIF(Embedded_Wall_Register!$A$5:$A$304,A1034)+COUNTIF(Manhole_Register!$A$5:$A$304,A1034)+COUNTIF(ERSS_Pit_Register!$A$5:$A$304,A1034)+COUNTIF(Linkway_Register!$A$5:$A$304,A1034)+COUNTIF(Other_Register!$A$5:$A$304,A1034))&gt;0,"OK","ID not in any register"))</f>
        <v/>
      </c>
    </row>
    <row r="1035" customFormat="false" ht="15" hidden="false" customHeight="false" outlineLevel="0" collapsed="false">
      <c r="A1035" s="9"/>
      <c r="B1035" s="9"/>
      <c r="C1035" s="9"/>
      <c r="D1035" s="9"/>
      <c r="E1035" s="9"/>
      <c r="F1035" s="9"/>
      <c r="G1035" s="9"/>
      <c r="H1035" s="9"/>
      <c r="I1035" s="9"/>
      <c r="J1035" s="10" t="str">
        <f aca="false">IF(A1035="","",IF(G1035&lt;&gt;"",G1035,IF(N(F1035)&gt;0,ROUND(1000/F1035,3),0)))</f>
        <v/>
      </c>
      <c r="K1035" s="10" t="str">
        <f aca="false">IF(OR(A1035="",E1035="",H1035=""),"",ROUND(0.00617*E1035^2*H1035*J1035,2))</f>
        <v/>
      </c>
      <c r="L1035" s="9"/>
      <c r="M1035" s="10" t="str">
        <f aca="false">IF(A1035="","",IF((COUNTIF(Drain_Register!$A$5:$A$304,A1035)+COUNTIF(RW_Register!$A$5:$A$304,A1035)+COUNTIF(Embedded_Wall_Register!$A$5:$A$304,A1035)+COUNTIF(Manhole_Register!$A$5:$A$304,A1035)+COUNTIF(ERSS_Pit_Register!$A$5:$A$304,A1035)+COUNTIF(Linkway_Register!$A$5:$A$304,A1035)+COUNTIF(Other_Register!$A$5:$A$304,A1035))&gt;0,"OK","ID not in any register"))</f>
        <v/>
      </c>
    </row>
    <row r="1036" customFormat="false" ht="15" hidden="false" customHeight="false" outlineLevel="0" collapsed="false">
      <c r="A1036" s="9"/>
      <c r="B1036" s="9"/>
      <c r="C1036" s="9"/>
      <c r="D1036" s="9"/>
      <c r="E1036" s="9"/>
      <c r="F1036" s="9"/>
      <c r="G1036" s="9"/>
      <c r="H1036" s="9"/>
      <c r="I1036" s="9"/>
      <c r="J1036" s="10" t="str">
        <f aca="false">IF(A1036="","",IF(G1036&lt;&gt;"",G1036,IF(N(F1036)&gt;0,ROUND(1000/F1036,3),0)))</f>
        <v/>
      </c>
      <c r="K1036" s="10" t="str">
        <f aca="false">IF(OR(A1036="",E1036="",H1036=""),"",ROUND(0.00617*E1036^2*H1036*J1036,2))</f>
        <v/>
      </c>
      <c r="L1036" s="9"/>
      <c r="M1036" s="10" t="str">
        <f aca="false">IF(A1036="","",IF((COUNTIF(Drain_Register!$A$5:$A$304,A1036)+COUNTIF(RW_Register!$A$5:$A$304,A1036)+COUNTIF(Embedded_Wall_Register!$A$5:$A$304,A1036)+COUNTIF(Manhole_Register!$A$5:$A$304,A1036)+COUNTIF(ERSS_Pit_Register!$A$5:$A$304,A1036)+COUNTIF(Linkway_Register!$A$5:$A$304,A1036)+COUNTIF(Other_Register!$A$5:$A$304,A1036))&gt;0,"OK","ID not in any register"))</f>
        <v/>
      </c>
    </row>
    <row r="1037" customFormat="false" ht="15" hidden="false" customHeight="false" outlineLevel="0" collapsed="false">
      <c r="A1037" s="9"/>
      <c r="B1037" s="9"/>
      <c r="C1037" s="9"/>
      <c r="D1037" s="9"/>
      <c r="E1037" s="9"/>
      <c r="F1037" s="9"/>
      <c r="G1037" s="9"/>
      <c r="H1037" s="9"/>
      <c r="I1037" s="9"/>
      <c r="J1037" s="10" t="str">
        <f aca="false">IF(A1037="","",IF(G1037&lt;&gt;"",G1037,IF(N(F1037)&gt;0,ROUND(1000/F1037,3),0)))</f>
        <v/>
      </c>
      <c r="K1037" s="10" t="str">
        <f aca="false">IF(OR(A1037="",E1037="",H1037=""),"",ROUND(0.00617*E1037^2*H1037*J1037,2))</f>
        <v/>
      </c>
      <c r="L1037" s="9"/>
      <c r="M1037" s="10" t="str">
        <f aca="false">IF(A1037="","",IF((COUNTIF(Drain_Register!$A$5:$A$304,A1037)+COUNTIF(RW_Register!$A$5:$A$304,A1037)+COUNTIF(Embedded_Wall_Register!$A$5:$A$304,A1037)+COUNTIF(Manhole_Register!$A$5:$A$304,A1037)+COUNTIF(ERSS_Pit_Register!$A$5:$A$304,A1037)+COUNTIF(Linkway_Register!$A$5:$A$304,A1037)+COUNTIF(Other_Register!$A$5:$A$304,A1037))&gt;0,"OK","ID not in any register"))</f>
        <v/>
      </c>
    </row>
    <row r="1038" customFormat="false" ht="15" hidden="false" customHeight="false" outlineLevel="0" collapsed="false">
      <c r="A1038" s="9"/>
      <c r="B1038" s="9"/>
      <c r="C1038" s="9"/>
      <c r="D1038" s="9"/>
      <c r="E1038" s="9"/>
      <c r="F1038" s="9"/>
      <c r="G1038" s="9"/>
      <c r="H1038" s="9"/>
      <c r="I1038" s="9"/>
      <c r="J1038" s="10" t="str">
        <f aca="false">IF(A1038="","",IF(G1038&lt;&gt;"",G1038,IF(N(F1038)&gt;0,ROUND(1000/F1038,3),0)))</f>
        <v/>
      </c>
      <c r="K1038" s="10" t="str">
        <f aca="false">IF(OR(A1038="",E1038="",H1038=""),"",ROUND(0.00617*E1038^2*H1038*J1038,2))</f>
        <v/>
      </c>
      <c r="L1038" s="9"/>
      <c r="M1038" s="10" t="str">
        <f aca="false">IF(A1038="","",IF((COUNTIF(Drain_Register!$A$5:$A$304,A1038)+COUNTIF(RW_Register!$A$5:$A$304,A1038)+COUNTIF(Embedded_Wall_Register!$A$5:$A$304,A1038)+COUNTIF(Manhole_Register!$A$5:$A$304,A1038)+COUNTIF(ERSS_Pit_Register!$A$5:$A$304,A1038)+COUNTIF(Linkway_Register!$A$5:$A$304,A1038)+COUNTIF(Other_Register!$A$5:$A$304,A1038))&gt;0,"OK","ID not in any register"))</f>
        <v/>
      </c>
    </row>
    <row r="1039" customFormat="false" ht="15" hidden="false" customHeight="false" outlineLevel="0" collapsed="false">
      <c r="A1039" s="9"/>
      <c r="B1039" s="9"/>
      <c r="C1039" s="9"/>
      <c r="D1039" s="9"/>
      <c r="E1039" s="9"/>
      <c r="F1039" s="9"/>
      <c r="G1039" s="9"/>
      <c r="H1039" s="9"/>
      <c r="I1039" s="9"/>
      <c r="J1039" s="10" t="str">
        <f aca="false">IF(A1039="","",IF(G1039&lt;&gt;"",G1039,IF(N(F1039)&gt;0,ROUND(1000/F1039,3),0)))</f>
        <v/>
      </c>
      <c r="K1039" s="10" t="str">
        <f aca="false">IF(OR(A1039="",E1039="",H1039=""),"",ROUND(0.00617*E1039^2*H1039*J1039,2))</f>
        <v/>
      </c>
      <c r="L1039" s="9"/>
      <c r="M1039" s="10" t="str">
        <f aca="false">IF(A1039="","",IF((COUNTIF(Drain_Register!$A$5:$A$304,A1039)+COUNTIF(RW_Register!$A$5:$A$304,A1039)+COUNTIF(Embedded_Wall_Register!$A$5:$A$304,A1039)+COUNTIF(Manhole_Register!$A$5:$A$304,A1039)+COUNTIF(ERSS_Pit_Register!$A$5:$A$304,A1039)+COUNTIF(Linkway_Register!$A$5:$A$304,A1039)+COUNTIF(Other_Register!$A$5:$A$304,A1039))&gt;0,"OK","ID not in any register"))</f>
        <v/>
      </c>
    </row>
    <row r="1040" customFormat="false" ht="15" hidden="false" customHeight="false" outlineLevel="0" collapsed="false">
      <c r="A1040" s="9"/>
      <c r="B1040" s="9"/>
      <c r="C1040" s="9"/>
      <c r="D1040" s="9"/>
      <c r="E1040" s="9"/>
      <c r="F1040" s="9"/>
      <c r="G1040" s="9"/>
      <c r="H1040" s="9"/>
      <c r="I1040" s="9"/>
      <c r="J1040" s="10" t="str">
        <f aca="false">IF(A1040="","",IF(G1040&lt;&gt;"",G1040,IF(N(F1040)&gt;0,ROUND(1000/F1040,3),0)))</f>
        <v/>
      </c>
      <c r="K1040" s="10" t="str">
        <f aca="false">IF(OR(A1040="",E1040="",H1040=""),"",ROUND(0.00617*E1040^2*H1040*J1040,2))</f>
        <v/>
      </c>
      <c r="L1040" s="9"/>
      <c r="M1040" s="10" t="str">
        <f aca="false">IF(A1040="","",IF((COUNTIF(Drain_Register!$A$5:$A$304,A1040)+COUNTIF(RW_Register!$A$5:$A$304,A1040)+COUNTIF(Embedded_Wall_Register!$A$5:$A$304,A1040)+COUNTIF(Manhole_Register!$A$5:$A$304,A1040)+COUNTIF(ERSS_Pit_Register!$A$5:$A$304,A1040)+COUNTIF(Linkway_Register!$A$5:$A$304,A1040)+COUNTIF(Other_Register!$A$5:$A$304,A1040))&gt;0,"OK","ID not in any register"))</f>
        <v/>
      </c>
    </row>
    <row r="1041" customFormat="false" ht="15" hidden="false" customHeight="false" outlineLevel="0" collapsed="false">
      <c r="A1041" s="9"/>
      <c r="B1041" s="9"/>
      <c r="C1041" s="9"/>
      <c r="D1041" s="9"/>
      <c r="E1041" s="9"/>
      <c r="F1041" s="9"/>
      <c r="G1041" s="9"/>
      <c r="H1041" s="9"/>
      <c r="I1041" s="9"/>
      <c r="J1041" s="10" t="str">
        <f aca="false">IF(A1041="","",IF(G1041&lt;&gt;"",G1041,IF(N(F1041)&gt;0,ROUND(1000/F1041,3),0)))</f>
        <v/>
      </c>
      <c r="K1041" s="10" t="str">
        <f aca="false">IF(OR(A1041="",E1041="",H1041=""),"",ROUND(0.00617*E1041^2*H1041*J1041,2))</f>
        <v/>
      </c>
      <c r="L1041" s="9"/>
      <c r="M1041" s="10" t="str">
        <f aca="false">IF(A1041="","",IF((COUNTIF(Drain_Register!$A$5:$A$304,A1041)+COUNTIF(RW_Register!$A$5:$A$304,A1041)+COUNTIF(Embedded_Wall_Register!$A$5:$A$304,A1041)+COUNTIF(Manhole_Register!$A$5:$A$304,A1041)+COUNTIF(ERSS_Pit_Register!$A$5:$A$304,A1041)+COUNTIF(Linkway_Register!$A$5:$A$304,A1041)+COUNTIF(Other_Register!$A$5:$A$304,A1041))&gt;0,"OK","ID not in any register"))</f>
        <v/>
      </c>
    </row>
    <row r="1042" customFormat="false" ht="15" hidden="false" customHeight="false" outlineLevel="0" collapsed="false">
      <c r="A1042" s="9"/>
      <c r="B1042" s="9"/>
      <c r="C1042" s="9"/>
      <c r="D1042" s="9"/>
      <c r="E1042" s="9"/>
      <c r="F1042" s="9"/>
      <c r="G1042" s="9"/>
      <c r="H1042" s="9"/>
      <c r="I1042" s="9"/>
      <c r="J1042" s="10" t="str">
        <f aca="false">IF(A1042="","",IF(G1042&lt;&gt;"",G1042,IF(N(F1042)&gt;0,ROUND(1000/F1042,3),0)))</f>
        <v/>
      </c>
      <c r="K1042" s="10" t="str">
        <f aca="false">IF(OR(A1042="",E1042="",H1042=""),"",ROUND(0.00617*E1042^2*H1042*J1042,2))</f>
        <v/>
      </c>
      <c r="L1042" s="9"/>
      <c r="M1042" s="10" t="str">
        <f aca="false">IF(A1042="","",IF((COUNTIF(Drain_Register!$A$5:$A$304,A1042)+COUNTIF(RW_Register!$A$5:$A$304,A1042)+COUNTIF(Embedded_Wall_Register!$A$5:$A$304,A1042)+COUNTIF(Manhole_Register!$A$5:$A$304,A1042)+COUNTIF(ERSS_Pit_Register!$A$5:$A$304,A1042)+COUNTIF(Linkway_Register!$A$5:$A$304,A1042)+COUNTIF(Other_Register!$A$5:$A$304,A1042))&gt;0,"OK","ID not in any register"))</f>
        <v/>
      </c>
    </row>
    <row r="1043" customFormat="false" ht="15" hidden="false" customHeight="false" outlineLevel="0" collapsed="false">
      <c r="A1043" s="9"/>
      <c r="B1043" s="9"/>
      <c r="C1043" s="9"/>
      <c r="D1043" s="9"/>
      <c r="E1043" s="9"/>
      <c r="F1043" s="9"/>
      <c r="G1043" s="9"/>
      <c r="H1043" s="9"/>
      <c r="I1043" s="9"/>
      <c r="J1043" s="10" t="str">
        <f aca="false">IF(A1043="","",IF(G1043&lt;&gt;"",G1043,IF(N(F1043)&gt;0,ROUND(1000/F1043,3),0)))</f>
        <v/>
      </c>
      <c r="K1043" s="10" t="str">
        <f aca="false">IF(OR(A1043="",E1043="",H1043=""),"",ROUND(0.00617*E1043^2*H1043*J1043,2))</f>
        <v/>
      </c>
      <c r="L1043" s="9"/>
      <c r="M1043" s="10" t="str">
        <f aca="false">IF(A1043="","",IF((COUNTIF(Drain_Register!$A$5:$A$304,A1043)+COUNTIF(RW_Register!$A$5:$A$304,A1043)+COUNTIF(Embedded_Wall_Register!$A$5:$A$304,A1043)+COUNTIF(Manhole_Register!$A$5:$A$304,A1043)+COUNTIF(ERSS_Pit_Register!$A$5:$A$304,A1043)+COUNTIF(Linkway_Register!$A$5:$A$304,A1043)+COUNTIF(Other_Register!$A$5:$A$304,A1043))&gt;0,"OK","ID not in any register"))</f>
        <v/>
      </c>
    </row>
    <row r="1044" customFormat="false" ht="15" hidden="false" customHeight="false" outlineLevel="0" collapsed="false">
      <c r="A1044" s="9"/>
      <c r="B1044" s="9"/>
      <c r="C1044" s="9"/>
      <c r="D1044" s="9"/>
      <c r="E1044" s="9"/>
      <c r="F1044" s="9"/>
      <c r="G1044" s="9"/>
      <c r="H1044" s="9"/>
      <c r="I1044" s="9"/>
      <c r="J1044" s="10" t="str">
        <f aca="false">IF(A1044="","",IF(G1044&lt;&gt;"",G1044,IF(N(F1044)&gt;0,ROUND(1000/F1044,3),0)))</f>
        <v/>
      </c>
      <c r="K1044" s="10" t="str">
        <f aca="false">IF(OR(A1044="",E1044="",H1044=""),"",ROUND(0.00617*E1044^2*H1044*J1044,2))</f>
        <v/>
      </c>
      <c r="L1044" s="9"/>
      <c r="M1044" s="10" t="str">
        <f aca="false">IF(A1044="","",IF((COUNTIF(Drain_Register!$A$5:$A$304,A1044)+COUNTIF(RW_Register!$A$5:$A$304,A1044)+COUNTIF(Embedded_Wall_Register!$A$5:$A$304,A1044)+COUNTIF(Manhole_Register!$A$5:$A$304,A1044)+COUNTIF(ERSS_Pit_Register!$A$5:$A$304,A1044)+COUNTIF(Linkway_Register!$A$5:$A$304,A1044)+COUNTIF(Other_Register!$A$5:$A$304,A1044))&gt;0,"OK","ID not in any register"))</f>
        <v/>
      </c>
    </row>
    <row r="1045" customFormat="false" ht="15" hidden="false" customHeight="false" outlineLevel="0" collapsed="false">
      <c r="A1045" s="9"/>
      <c r="B1045" s="9"/>
      <c r="C1045" s="9"/>
      <c r="D1045" s="9"/>
      <c r="E1045" s="9"/>
      <c r="F1045" s="9"/>
      <c r="G1045" s="9"/>
      <c r="H1045" s="9"/>
      <c r="I1045" s="9"/>
      <c r="J1045" s="10" t="str">
        <f aca="false">IF(A1045="","",IF(G1045&lt;&gt;"",G1045,IF(N(F1045)&gt;0,ROUND(1000/F1045,3),0)))</f>
        <v/>
      </c>
      <c r="K1045" s="10" t="str">
        <f aca="false">IF(OR(A1045="",E1045="",H1045=""),"",ROUND(0.00617*E1045^2*H1045*J1045,2))</f>
        <v/>
      </c>
      <c r="L1045" s="9"/>
      <c r="M1045" s="10" t="str">
        <f aca="false">IF(A1045="","",IF((COUNTIF(Drain_Register!$A$5:$A$304,A1045)+COUNTIF(RW_Register!$A$5:$A$304,A1045)+COUNTIF(Embedded_Wall_Register!$A$5:$A$304,A1045)+COUNTIF(Manhole_Register!$A$5:$A$304,A1045)+COUNTIF(ERSS_Pit_Register!$A$5:$A$304,A1045)+COUNTIF(Linkway_Register!$A$5:$A$304,A1045)+COUNTIF(Other_Register!$A$5:$A$304,A1045))&gt;0,"OK","ID not in any register"))</f>
        <v/>
      </c>
    </row>
    <row r="1046" customFormat="false" ht="15" hidden="false" customHeight="false" outlineLevel="0" collapsed="false">
      <c r="A1046" s="9"/>
      <c r="B1046" s="9"/>
      <c r="C1046" s="9"/>
      <c r="D1046" s="9"/>
      <c r="E1046" s="9"/>
      <c r="F1046" s="9"/>
      <c r="G1046" s="9"/>
      <c r="H1046" s="9"/>
      <c r="I1046" s="9"/>
      <c r="J1046" s="10" t="str">
        <f aca="false">IF(A1046="","",IF(G1046&lt;&gt;"",G1046,IF(N(F1046)&gt;0,ROUND(1000/F1046,3),0)))</f>
        <v/>
      </c>
      <c r="K1046" s="10" t="str">
        <f aca="false">IF(OR(A1046="",E1046="",H1046=""),"",ROUND(0.00617*E1046^2*H1046*J1046,2))</f>
        <v/>
      </c>
      <c r="L1046" s="9"/>
      <c r="M1046" s="10" t="str">
        <f aca="false">IF(A1046="","",IF((COUNTIF(Drain_Register!$A$5:$A$304,A1046)+COUNTIF(RW_Register!$A$5:$A$304,A1046)+COUNTIF(Embedded_Wall_Register!$A$5:$A$304,A1046)+COUNTIF(Manhole_Register!$A$5:$A$304,A1046)+COUNTIF(ERSS_Pit_Register!$A$5:$A$304,A1046)+COUNTIF(Linkway_Register!$A$5:$A$304,A1046)+COUNTIF(Other_Register!$A$5:$A$304,A1046))&gt;0,"OK","ID not in any register"))</f>
        <v/>
      </c>
    </row>
    <row r="1047" customFormat="false" ht="15" hidden="false" customHeight="false" outlineLevel="0" collapsed="false">
      <c r="A1047" s="9"/>
      <c r="B1047" s="9"/>
      <c r="C1047" s="9"/>
      <c r="D1047" s="9"/>
      <c r="E1047" s="9"/>
      <c r="F1047" s="9"/>
      <c r="G1047" s="9"/>
      <c r="H1047" s="9"/>
      <c r="I1047" s="9"/>
      <c r="J1047" s="10" t="str">
        <f aca="false">IF(A1047="","",IF(G1047&lt;&gt;"",G1047,IF(N(F1047)&gt;0,ROUND(1000/F1047,3),0)))</f>
        <v/>
      </c>
      <c r="K1047" s="10" t="str">
        <f aca="false">IF(OR(A1047="",E1047="",H1047=""),"",ROUND(0.00617*E1047^2*H1047*J1047,2))</f>
        <v/>
      </c>
      <c r="L1047" s="9"/>
      <c r="M1047" s="10" t="str">
        <f aca="false">IF(A1047="","",IF((COUNTIF(Drain_Register!$A$5:$A$304,A1047)+COUNTIF(RW_Register!$A$5:$A$304,A1047)+COUNTIF(Embedded_Wall_Register!$A$5:$A$304,A1047)+COUNTIF(Manhole_Register!$A$5:$A$304,A1047)+COUNTIF(ERSS_Pit_Register!$A$5:$A$304,A1047)+COUNTIF(Linkway_Register!$A$5:$A$304,A1047)+COUNTIF(Other_Register!$A$5:$A$304,A1047))&gt;0,"OK","ID not in any register"))</f>
        <v/>
      </c>
    </row>
    <row r="1048" customFormat="false" ht="15" hidden="false" customHeight="false" outlineLevel="0" collapsed="false">
      <c r="A1048" s="9"/>
      <c r="B1048" s="9"/>
      <c r="C1048" s="9"/>
      <c r="D1048" s="9"/>
      <c r="E1048" s="9"/>
      <c r="F1048" s="9"/>
      <c r="G1048" s="9"/>
      <c r="H1048" s="9"/>
      <c r="I1048" s="9"/>
      <c r="J1048" s="10" t="str">
        <f aca="false">IF(A1048="","",IF(G1048&lt;&gt;"",G1048,IF(N(F1048)&gt;0,ROUND(1000/F1048,3),0)))</f>
        <v/>
      </c>
      <c r="K1048" s="10" t="str">
        <f aca="false">IF(OR(A1048="",E1048="",H1048=""),"",ROUND(0.00617*E1048^2*H1048*J1048,2))</f>
        <v/>
      </c>
      <c r="L1048" s="9"/>
      <c r="M1048" s="10" t="str">
        <f aca="false">IF(A1048="","",IF((COUNTIF(Drain_Register!$A$5:$A$304,A1048)+COUNTIF(RW_Register!$A$5:$A$304,A1048)+COUNTIF(Embedded_Wall_Register!$A$5:$A$304,A1048)+COUNTIF(Manhole_Register!$A$5:$A$304,A1048)+COUNTIF(ERSS_Pit_Register!$A$5:$A$304,A1048)+COUNTIF(Linkway_Register!$A$5:$A$304,A1048)+COUNTIF(Other_Register!$A$5:$A$304,A1048))&gt;0,"OK","ID not in any register"))</f>
        <v/>
      </c>
    </row>
    <row r="1049" customFormat="false" ht="15" hidden="false" customHeight="false" outlineLevel="0" collapsed="false">
      <c r="A1049" s="9"/>
      <c r="B1049" s="9"/>
      <c r="C1049" s="9"/>
      <c r="D1049" s="9"/>
      <c r="E1049" s="9"/>
      <c r="F1049" s="9"/>
      <c r="G1049" s="9"/>
      <c r="H1049" s="9"/>
      <c r="I1049" s="9"/>
      <c r="J1049" s="10" t="str">
        <f aca="false">IF(A1049="","",IF(G1049&lt;&gt;"",G1049,IF(N(F1049)&gt;0,ROUND(1000/F1049,3),0)))</f>
        <v/>
      </c>
      <c r="K1049" s="10" t="str">
        <f aca="false">IF(OR(A1049="",E1049="",H1049=""),"",ROUND(0.00617*E1049^2*H1049*J1049,2))</f>
        <v/>
      </c>
      <c r="L1049" s="9"/>
      <c r="M1049" s="10" t="str">
        <f aca="false">IF(A1049="","",IF((COUNTIF(Drain_Register!$A$5:$A$304,A1049)+COUNTIF(RW_Register!$A$5:$A$304,A1049)+COUNTIF(Embedded_Wall_Register!$A$5:$A$304,A1049)+COUNTIF(Manhole_Register!$A$5:$A$304,A1049)+COUNTIF(ERSS_Pit_Register!$A$5:$A$304,A1049)+COUNTIF(Linkway_Register!$A$5:$A$304,A1049)+COUNTIF(Other_Register!$A$5:$A$304,A1049))&gt;0,"OK","ID not in any register"))</f>
        <v/>
      </c>
    </row>
    <row r="1050" customFormat="false" ht="15" hidden="false" customHeight="false" outlineLevel="0" collapsed="false">
      <c r="A1050" s="9"/>
      <c r="B1050" s="9"/>
      <c r="C1050" s="9"/>
      <c r="D1050" s="9"/>
      <c r="E1050" s="9"/>
      <c r="F1050" s="9"/>
      <c r="G1050" s="9"/>
      <c r="H1050" s="9"/>
      <c r="I1050" s="9"/>
      <c r="J1050" s="10" t="str">
        <f aca="false">IF(A1050="","",IF(G1050&lt;&gt;"",G1050,IF(N(F1050)&gt;0,ROUND(1000/F1050,3),0)))</f>
        <v/>
      </c>
      <c r="K1050" s="10" t="str">
        <f aca="false">IF(OR(A1050="",E1050="",H1050=""),"",ROUND(0.00617*E1050^2*H1050*J1050,2))</f>
        <v/>
      </c>
      <c r="L1050" s="9"/>
      <c r="M1050" s="10" t="str">
        <f aca="false">IF(A1050="","",IF((COUNTIF(Drain_Register!$A$5:$A$304,A1050)+COUNTIF(RW_Register!$A$5:$A$304,A1050)+COUNTIF(Embedded_Wall_Register!$A$5:$A$304,A1050)+COUNTIF(Manhole_Register!$A$5:$A$304,A1050)+COUNTIF(ERSS_Pit_Register!$A$5:$A$304,A1050)+COUNTIF(Linkway_Register!$A$5:$A$304,A1050)+COUNTIF(Other_Register!$A$5:$A$304,A1050))&gt;0,"OK","ID not in any register"))</f>
        <v/>
      </c>
    </row>
    <row r="1051" customFormat="false" ht="15" hidden="false" customHeight="false" outlineLevel="0" collapsed="false">
      <c r="A1051" s="9"/>
      <c r="B1051" s="9"/>
      <c r="C1051" s="9"/>
      <c r="D1051" s="9"/>
      <c r="E1051" s="9"/>
      <c r="F1051" s="9"/>
      <c r="G1051" s="9"/>
      <c r="H1051" s="9"/>
      <c r="I1051" s="9"/>
      <c r="J1051" s="10" t="str">
        <f aca="false">IF(A1051="","",IF(G1051&lt;&gt;"",G1051,IF(N(F1051)&gt;0,ROUND(1000/F1051,3),0)))</f>
        <v/>
      </c>
      <c r="K1051" s="10" t="str">
        <f aca="false">IF(OR(A1051="",E1051="",H1051=""),"",ROUND(0.00617*E1051^2*H1051*J1051,2))</f>
        <v/>
      </c>
      <c r="L1051" s="9"/>
      <c r="M1051" s="10" t="str">
        <f aca="false">IF(A1051="","",IF((COUNTIF(Drain_Register!$A$5:$A$304,A1051)+COUNTIF(RW_Register!$A$5:$A$304,A1051)+COUNTIF(Embedded_Wall_Register!$A$5:$A$304,A1051)+COUNTIF(Manhole_Register!$A$5:$A$304,A1051)+COUNTIF(ERSS_Pit_Register!$A$5:$A$304,A1051)+COUNTIF(Linkway_Register!$A$5:$A$304,A1051)+COUNTIF(Other_Register!$A$5:$A$304,A1051))&gt;0,"OK","ID not in any register"))</f>
        <v/>
      </c>
    </row>
    <row r="1052" customFormat="false" ht="15" hidden="false" customHeight="false" outlineLevel="0" collapsed="false">
      <c r="A1052" s="9"/>
      <c r="B1052" s="9"/>
      <c r="C1052" s="9"/>
      <c r="D1052" s="9"/>
      <c r="E1052" s="9"/>
      <c r="F1052" s="9"/>
      <c r="G1052" s="9"/>
      <c r="H1052" s="9"/>
      <c r="I1052" s="9"/>
      <c r="J1052" s="10" t="str">
        <f aca="false">IF(A1052="","",IF(G1052&lt;&gt;"",G1052,IF(N(F1052)&gt;0,ROUND(1000/F1052,3),0)))</f>
        <v/>
      </c>
      <c r="K1052" s="10" t="str">
        <f aca="false">IF(OR(A1052="",E1052="",H1052=""),"",ROUND(0.00617*E1052^2*H1052*J1052,2))</f>
        <v/>
      </c>
      <c r="L1052" s="9"/>
      <c r="M1052" s="10" t="str">
        <f aca="false">IF(A1052="","",IF((COUNTIF(Drain_Register!$A$5:$A$304,A1052)+COUNTIF(RW_Register!$A$5:$A$304,A1052)+COUNTIF(Embedded_Wall_Register!$A$5:$A$304,A1052)+COUNTIF(Manhole_Register!$A$5:$A$304,A1052)+COUNTIF(ERSS_Pit_Register!$A$5:$A$304,A1052)+COUNTIF(Linkway_Register!$A$5:$A$304,A1052)+COUNTIF(Other_Register!$A$5:$A$304,A1052))&gt;0,"OK","ID not in any register"))</f>
        <v/>
      </c>
    </row>
    <row r="1053" customFormat="false" ht="15" hidden="false" customHeight="false" outlineLevel="0" collapsed="false">
      <c r="A1053" s="9"/>
      <c r="B1053" s="9"/>
      <c r="C1053" s="9"/>
      <c r="D1053" s="9"/>
      <c r="E1053" s="9"/>
      <c r="F1053" s="9"/>
      <c r="G1053" s="9"/>
      <c r="H1053" s="9"/>
      <c r="I1053" s="9"/>
      <c r="J1053" s="10" t="str">
        <f aca="false">IF(A1053="","",IF(G1053&lt;&gt;"",G1053,IF(N(F1053)&gt;0,ROUND(1000/F1053,3),0)))</f>
        <v/>
      </c>
      <c r="K1053" s="10" t="str">
        <f aca="false">IF(OR(A1053="",E1053="",H1053=""),"",ROUND(0.00617*E1053^2*H1053*J1053,2))</f>
        <v/>
      </c>
      <c r="L1053" s="9"/>
      <c r="M1053" s="10" t="str">
        <f aca="false">IF(A1053="","",IF((COUNTIF(Drain_Register!$A$5:$A$304,A1053)+COUNTIF(RW_Register!$A$5:$A$304,A1053)+COUNTIF(Embedded_Wall_Register!$A$5:$A$304,A1053)+COUNTIF(Manhole_Register!$A$5:$A$304,A1053)+COUNTIF(ERSS_Pit_Register!$A$5:$A$304,A1053)+COUNTIF(Linkway_Register!$A$5:$A$304,A1053)+COUNTIF(Other_Register!$A$5:$A$304,A1053))&gt;0,"OK","ID not in any register"))</f>
        <v/>
      </c>
    </row>
    <row r="1054" customFormat="false" ht="15" hidden="false" customHeight="false" outlineLevel="0" collapsed="false">
      <c r="A1054" s="9"/>
      <c r="B1054" s="9"/>
      <c r="C1054" s="9"/>
      <c r="D1054" s="9"/>
      <c r="E1054" s="9"/>
      <c r="F1054" s="9"/>
      <c r="G1054" s="9"/>
      <c r="H1054" s="9"/>
      <c r="I1054" s="9"/>
      <c r="J1054" s="10" t="str">
        <f aca="false">IF(A1054="","",IF(G1054&lt;&gt;"",G1054,IF(N(F1054)&gt;0,ROUND(1000/F1054,3),0)))</f>
        <v/>
      </c>
      <c r="K1054" s="10" t="str">
        <f aca="false">IF(OR(A1054="",E1054="",H1054=""),"",ROUND(0.00617*E1054^2*H1054*J1054,2))</f>
        <v/>
      </c>
      <c r="L1054" s="9"/>
      <c r="M1054" s="10" t="str">
        <f aca="false">IF(A1054="","",IF((COUNTIF(Drain_Register!$A$5:$A$304,A1054)+COUNTIF(RW_Register!$A$5:$A$304,A1054)+COUNTIF(Embedded_Wall_Register!$A$5:$A$304,A1054)+COUNTIF(Manhole_Register!$A$5:$A$304,A1054)+COUNTIF(ERSS_Pit_Register!$A$5:$A$304,A1054)+COUNTIF(Linkway_Register!$A$5:$A$304,A1054)+COUNTIF(Other_Register!$A$5:$A$304,A1054))&gt;0,"OK","ID not in any register"))</f>
        <v/>
      </c>
    </row>
    <row r="1055" customFormat="false" ht="15" hidden="false" customHeight="false" outlineLevel="0" collapsed="false">
      <c r="A1055" s="9"/>
      <c r="B1055" s="9"/>
      <c r="C1055" s="9"/>
      <c r="D1055" s="9"/>
      <c r="E1055" s="9"/>
      <c r="F1055" s="9"/>
      <c r="G1055" s="9"/>
      <c r="H1055" s="9"/>
      <c r="I1055" s="9"/>
      <c r="J1055" s="10" t="str">
        <f aca="false">IF(A1055="","",IF(G1055&lt;&gt;"",G1055,IF(N(F1055)&gt;0,ROUND(1000/F1055,3),0)))</f>
        <v/>
      </c>
      <c r="K1055" s="10" t="str">
        <f aca="false">IF(OR(A1055="",E1055="",H1055=""),"",ROUND(0.00617*E1055^2*H1055*J1055,2))</f>
        <v/>
      </c>
      <c r="L1055" s="9"/>
      <c r="M1055" s="10" t="str">
        <f aca="false">IF(A1055="","",IF((COUNTIF(Drain_Register!$A$5:$A$304,A1055)+COUNTIF(RW_Register!$A$5:$A$304,A1055)+COUNTIF(Embedded_Wall_Register!$A$5:$A$304,A1055)+COUNTIF(Manhole_Register!$A$5:$A$304,A1055)+COUNTIF(ERSS_Pit_Register!$A$5:$A$304,A1055)+COUNTIF(Linkway_Register!$A$5:$A$304,A1055)+COUNTIF(Other_Register!$A$5:$A$304,A1055))&gt;0,"OK","ID not in any register"))</f>
        <v/>
      </c>
    </row>
    <row r="1056" customFormat="false" ht="15" hidden="false" customHeight="false" outlineLevel="0" collapsed="false">
      <c r="A1056" s="9"/>
      <c r="B1056" s="9"/>
      <c r="C1056" s="9"/>
      <c r="D1056" s="9"/>
      <c r="E1056" s="9"/>
      <c r="F1056" s="9"/>
      <c r="G1056" s="9"/>
      <c r="H1056" s="9"/>
      <c r="I1056" s="9"/>
      <c r="J1056" s="10" t="str">
        <f aca="false">IF(A1056="","",IF(G1056&lt;&gt;"",G1056,IF(N(F1056)&gt;0,ROUND(1000/F1056,3),0)))</f>
        <v/>
      </c>
      <c r="K1056" s="10" t="str">
        <f aca="false">IF(OR(A1056="",E1056="",H1056=""),"",ROUND(0.00617*E1056^2*H1056*J1056,2))</f>
        <v/>
      </c>
      <c r="L1056" s="9"/>
      <c r="M1056" s="10" t="str">
        <f aca="false">IF(A1056="","",IF((COUNTIF(Drain_Register!$A$5:$A$304,A1056)+COUNTIF(RW_Register!$A$5:$A$304,A1056)+COUNTIF(Embedded_Wall_Register!$A$5:$A$304,A1056)+COUNTIF(Manhole_Register!$A$5:$A$304,A1056)+COUNTIF(ERSS_Pit_Register!$A$5:$A$304,A1056)+COUNTIF(Linkway_Register!$A$5:$A$304,A1056)+COUNTIF(Other_Register!$A$5:$A$304,A1056))&gt;0,"OK","ID not in any register"))</f>
        <v/>
      </c>
    </row>
    <row r="1057" customFormat="false" ht="15" hidden="false" customHeight="false" outlineLevel="0" collapsed="false">
      <c r="A1057" s="9"/>
      <c r="B1057" s="9"/>
      <c r="C1057" s="9"/>
      <c r="D1057" s="9"/>
      <c r="E1057" s="9"/>
      <c r="F1057" s="9"/>
      <c r="G1057" s="9"/>
      <c r="H1057" s="9"/>
      <c r="I1057" s="9"/>
      <c r="J1057" s="10" t="str">
        <f aca="false">IF(A1057="","",IF(G1057&lt;&gt;"",G1057,IF(N(F1057)&gt;0,ROUND(1000/F1057,3),0)))</f>
        <v/>
      </c>
      <c r="K1057" s="10" t="str">
        <f aca="false">IF(OR(A1057="",E1057="",H1057=""),"",ROUND(0.00617*E1057^2*H1057*J1057,2))</f>
        <v/>
      </c>
      <c r="L1057" s="9"/>
      <c r="M1057" s="10" t="str">
        <f aca="false">IF(A1057="","",IF((COUNTIF(Drain_Register!$A$5:$A$304,A1057)+COUNTIF(RW_Register!$A$5:$A$304,A1057)+COUNTIF(Embedded_Wall_Register!$A$5:$A$304,A1057)+COUNTIF(Manhole_Register!$A$5:$A$304,A1057)+COUNTIF(ERSS_Pit_Register!$A$5:$A$304,A1057)+COUNTIF(Linkway_Register!$A$5:$A$304,A1057)+COUNTIF(Other_Register!$A$5:$A$304,A1057))&gt;0,"OK","ID not in any register"))</f>
        <v/>
      </c>
    </row>
    <row r="1058" customFormat="false" ht="15" hidden="false" customHeight="false" outlineLevel="0" collapsed="false">
      <c r="A1058" s="9"/>
      <c r="B1058" s="9"/>
      <c r="C1058" s="9"/>
      <c r="D1058" s="9"/>
      <c r="E1058" s="9"/>
      <c r="F1058" s="9"/>
      <c r="G1058" s="9"/>
      <c r="H1058" s="9"/>
      <c r="I1058" s="9"/>
      <c r="J1058" s="10" t="str">
        <f aca="false">IF(A1058="","",IF(G1058&lt;&gt;"",G1058,IF(N(F1058)&gt;0,ROUND(1000/F1058,3),0)))</f>
        <v/>
      </c>
      <c r="K1058" s="10" t="str">
        <f aca="false">IF(OR(A1058="",E1058="",H1058=""),"",ROUND(0.00617*E1058^2*H1058*J1058,2))</f>
        <v/>
      </c>
      <c r="L1058" s="9"/>
      <c r="M1058" s="10" t="str">
        <f aca="false">IF(A1058="","",IF((COUNTIF(Drain_Register!$A$5:$A$304,A1058)+COUNTIF(RW_Register!$A$5:$A$304,A1058)+COUNTIF(Embedded_Wall_Register!$A$5:$A$304,A1058)+COUNTIF(Manhole_Register!$A$5:$A$304,A1058)+COUNTIF(ERSS_Pit_Register!$A$5:$A$304,A1058)+COUNTIF(Linkway_Register!$A$5:$A$304,A1058)+COUNTIF(Other_Register!$A$5:$A$304,A1058))&gt;0,"OK","ID not in any register"))</f>
        <v/>
      </c>
    </row>
    <row r="1059" customFormat="false" ht="15" hidden="false" customHeight="false" outlineLevel="0" collapsed="false">
      <c r="A1059" s="9"/>
      <c r="B1059" s="9"/>
      <c r="C1059" s="9"/>
      <c r="D1059" s="9"/>
      <c r="E1059" s="9"/>
      <c r="F1059" s="9"/>
      <c r="G1059" s="9"/>
      <c r="H1059" s="9"/>
      <c r="I1059" s="9"/>
      <c r="J1059" s="10" t="str">
        <f aca="false">IF(A1059="","",IF(G1059&lt;&gt;"",G1059,IF(N(F1059)&gt;0,ROUND(1000/F1059,3),0)))</f>
        <v/>
      </c>
      <c r="K1059" s="10" t="str">
        <f aca="false">IF(OR(A1059="",E1059="",H1059=""),"",ROUND(0.00617*E1059^2*H1059*J1059,2))</f>
        <v/>
      </c>
      <c r="L1059" s="9"/>
      <c r="M1059" s="10" t="str">
        <f aca="false">IF(A1059="","",IF((COUNTIF(Drain_Register!$A$5:$A$304,A1059)+COUNTIF(RW_Register!$A$5:$A$304,A1059)+COUNTIF(Embedded_Wall_Register!$A$5:$A$304,A1059)+COUNTIF(Manhole_Register!$A$5:$A$304,A1059)+COUNTIF(ERSS_Pit_Register!$A$5:$A$304,A1059)+COUNTIF(Linkway_Register!$A$5:$A$304,A1059)+COUNTIF(Other_Register!$A$5:$A$304,A1059))&gt;0,"OK","ID not in any register"))</f>
        <v/>
      </c>
    </row>
    <row r="1060" customFormat="false" ht="15" hidden="false" customHeight="false" outlineLevel="0" collapsed="false">
      <c r="A1060" s="9"/>
      <c r="B1060" s="9"/>
      <c r="C1060" s="9"/>
      <c r="D1060" s="9"/>
      <c r="E1060" s="9"/>
      <c r="F1060" s="9"/>
      <c r="G1060" s="9"/>
      <c r="H1060" s="9"/>
      <c r="I1060" s="9"/>
      <c r="J1060" s="10" t="str">
        <f aca="false">IF(A1060="","",IF(G1060&lt;&gt;"",G1060,IF(N(F1060)&gt;0,ROUND(1000/F1060,3),0)))</f>
        <v/>
      </c>
      <c r="K1060" s="10" t="str">
        <f aca="false">IF(OR(A1060="",E1060="",H1060=""),"",ROUND(0.00617*E1060^2*H1060*J1060,2))</f>
        <v/>
      </c>
      <c r="L1060" s="9"/>
      <c r="M1060" s="10" t="str">
        <f aca="false">IF(A1060="","",IF((COUNTIF(Drain_Register!$A$5:$A$304,A1060)+COUNTIF(RW_Register!$A$5:$A$304,A1060)+COUNTIF(Embedded_Wall_Register!$A$5:$A$304,A1060)+COUNTIF(Manhole_Register!$A$5:$A$304,A1060)+COUNTIF(ERSS_Pit_Register!$A$5:$A$304,A1060)+COUNTIF(Linkway_Register!$A$5:$A$304,A1060)+COUNTIF(Other_Register!$A$5:$A$304,A1060))&gt;0,"OK","ID not in any register"))</f>
        <v/>
      </c>
    </row>
    <row r="1061" customFormat="false" ht="15" hidden="false" customHeight="false" outlineLevel="0" collapsed="false">
      <c r="A1061" s="9"/>
      <c r="B1061" s="9"/>
      <c r="C1061" s="9"/>
      <c r="D1061" s="9"/>
      <c r="E1061" s="9"/>
      <c r="F1061" s="9"/>
      <c r="G1061" s="9"/>
      <c r="H1061" s="9"/>
      <c r="I1061" s="9"/>
      <c r="J1061" s="10" t="str">
        <f aca="false">IF(A1061="","",IF(G1061&lt;&gt;"",G1061,IF(N(F1061)&gt;0,ROUND(1000/F1061,3),0)))</f>
        <v/>
      </c>
      <c r="K1061" s="10" t="str">
        <f aca="false">IF(OR(A1061="",E1061="",H1061=""),"",ROUND(0.00617*E1061^2*H1061*J1061,2))</f>
        <v/>
      </c>
      <c r="L1061" s="9"/>
      <c r="M1061" s="10" t="str">
        <f aca="false">IF(A1061="","",IF((COUNTIF(Drain_Register!$A$5:$A$304,A1061)+COUNTIF(RW_Register!$A$5:$A$304,A1061)+COUNTIF(Embedded_Wall_Register!$A$5:$A$304,A1061)+COUNTIF(Manhole_Register!$A$5:$A$304,A1061)+COUNTIF(ERSS_Pit_Register!$A$5:$A$304,A1061)+COUNTIF(Linkway_Register!$A$5:$A$304,A1061)+COUNTIF(Other_Register!$A$5:$A$304,A1061))&gt;0,"OK","ID not in any register"))</f>
        <v/>
      </c>
    </row>
    <row r="1062" customFormat="false" ht="15" hidden="false" customHeight="false" outlineLevel="0" collapsed="false">
      <c r="A1062" s="9"/>
      <c r="B1062" s="9"/>
      <c r="C1062" s="9"/>
      <c r="D1062" s="9"/>
      <c r="E1062" s="9"/>
      <c r="F1062" s="9"/>
      <c r="G1062" s="9"/>
      <c r="H1062" s="9"/>
      <c r="I1062" s="9"/>
      <c r="J1062" s="10" t="str">
        <f aca="false">IF(A1062="","",IF(G1062&lt;&gt;"",G1062,IF(N(F1062)&gt;0,ROUND(1000/F1062,3),0)))</f>
        <v/>
      </c>
      <c r="K1062" s="10" t="str">
        <f aca="false">IF(OR(A1062="",E1062="",H1062=""),"",ROUND(0.00617*E1062^2*H1062*J1062,2))</f>
        <v/>
      </c>
      <c r="L1062" s="9"/>
      <c r="M1062" s="10" t="str">
        <f aca="false">IF(A1062="","",IF((COUNTIF(Drain_Register!$A$5:$A$304,A1062)+COUNTIF(RW_Register!$A$5:$A$304,A1062)+COUNTIF(Embedded_Wall_Register!$A$5:$A$304,A1062)+COUNTIF(Manhole_Register!$A$5:$A$304,A1062)+COUNTIF(ERSS_Pit_Register!$A$5:$A$304,A1062)+COUNTIF(Linkway_Register!$A$5:$A$304,A1062)+COUNTIF(Other_Register!$A$5:$A$304,A1062))&gt;0,"OK","ID not in any register"))</f>
        <v/>
      </c>
    </row>
    <row r="1063" customFormat="false" ht="15" hidden="false" customHeight="false" outlineLevel="0" collapsed="false">
      <c r="A1063" s="9"/>
      <c r="B1063" s="9"/>
      <c r="C1063" s="9"/>
      <c r="D1063" s="9"/>
      <c r="E1063" s="9"/>
      <c r="F1063" s="9"/>
      <c r="G1063" s="9"/>
      <c r="H1063" s="9"/>
      <c r="I1063" s="9"/>
      <c r="J1063" s="10" t="str">
        <f aca="false">IF(A1063="","",IF(G1063&lt;&gt;"",G1063,IF(N(F1063)&gt;0,ROUND(1000/F1063,3),0)))</f>
        <v/>
      </c>
      <c r="K1063" s="10" t="str">
        <f aca="false">IF(OR(A1063="",E1063="",H1063=""),"",ROUND(0.00617*E1063^2*H1063*J1063,2))</f>
        <v/>
      </c>
      <c r="L1063" s="9"/>
      <c r="M1063" s="10" t="str">
        <f aca="false">IF(A1063="","",IF((COUNTIF(Drain_Register!$A$5:$A$304,A1063)+COUNTIF(RW_Register!$A$5:$A$304,A1063)+COUNTIF(Embedded_Wall_Register!$A$5:$A$304,A1063)+COUNTIF(Manhole_Register!$A$5:$A$304,A1063)+COUNTIF(ERSS_Pit_Register!$A$5:$A$304,A1063)+COUNTIF(Linkway_Register!$A$5:$A$304,A1063)+COUNTIF(Other_Register!$A$5:$A$304,A1063))&gt;0,"OK","ID not in any register"))</f>
        <v/>
      </c>
    </row>
    <row r="1064" customFormat="false" ht="15" hidden="false" customHeight="false" outlineLevel="0" collapsed="false">
      <c r="A1064" s="9"/>
      <c r="B1064" s="9"/>
      <c r="C1064" s="9"/>
      <c r="D1064" s="9"/>
      <c r="E1064" s="9"/>
      <c r="F1064" s="9"/>
      <c r="G1064" s="9"/>
      <c r="H1064" s="9"/>
      <c r="I1064" s="9"/>
      <c r="J1064" s="10" t="str">
        <f aca="false">IF(A1064="","",IF(G1064&lt;&gt;"",G1064,IF(N(F1064)&gt;0,ROUND(1000/F1064,3),0)))</f>
        <v/>
      </c>
      <c r="K1064" s="10" t="str">
        <f aca="false">IF(OR(A1064="",E1064="",H1064=""),"",ROUND(0.00617*E1064^2*H1064*J1064,2))</f>
        <v/>
      </c>
      <c r="L1064" s="9"/>
      <c r="M1064" s="10" t="str">
        <f aca="false">IF(A1064="","",IF((COUNTIF(Drain_Register!$A$5:$A$304,A1064)+COUNTIF(RW_Register!$A$5:$A$304,A1064)+COUNTIF(Embedded_Wall_Register!$A$5:$A$304,A1064)+COUNTIF(Manhole_Register!$A$5:$A$304,A1064)+COUNTIF(ERSS_Pit_Register!$A$5:$A$304,A1064)+COUNTIF(Linkway_Register!$A$5:$A$304,A1064)+COUNTIF(Other_Register!$A$5:$A$304,A1064))&gt;0,"OK","ID not in any register"))</f>
        <v/>
      </c>
    </row>
    <row r="1065" customFormat="false" ht="15" hidden="false" customHeight="false" outlineLevel="0" collapsed="false">
      <c r="A1065" s="9"/>
      <c r="B1065" s="9"/>
      <c r="C1065" s="9"/>
      <c r="D1065" s="9"/>
      <c r="E1065" s="9"/>
      <c r="F1065" s="9"/>
      <c r="G1065" s="9"/>
      <c r="H1065" s="9"/>
      <c r="I1065" s="9"/>
      <c r="J1065" s="10" t="str">
        <f aca="false">IF(A1065="","",IF(G1065&lt;&gt;"",G1065,IF(N(F1065)&gt;0,ROUND(1000/F1065,3),0)))</f>
        <v/>
      </c>
      <c r="K1065" s="10" t="str">
        <f aca="false">IF(OR(A1065="",E1065="",H1065=""),"",ROUND(0.00617*E1065^2*H1065*J1065,2))</f>
        <v/>
      </c>
      <c r="L1065" s="9"/>
      <c r="M1065" s="10" t="str">
        <f aca="false">IF(A1065="","",IF((COUNTIF(Drain_Register!$A$5:$A$304,A1065)+COUNTIF(RW_Register!$A$5:$A$304,A1065)+COUNTIF(Embedded_Wall_Register!$A$5:$A$304,A1065)+COUNTIF(Manhole_Register!$A$5:$A$304,A1065)+COUNTIF(ERSS_Pit_Register!$A$5:$A$304,A1065)+COUNTIF(Linkway_Register!$A$5:$A$304,A1065)+COUNTIF(Other_Register!$A$5:$A$304,A1065))&gt;0,"OK","ID not in any register"))</f>
        <v/>
      </c>
    </row>
    <row r="1066" customFormat="false" ht="15" hidden="false" customHeight="false" outlineLevel="0" collapsed="false">
      <c r="A1066" s="9"/>
      <c r="B1066" s="9"/>
      <c r="C1066" s="9"/>
      <c r="D1066" s="9"/>
      <c r="E1066" s="9"/>
      <c r="F1066" s="9"/>
      <c r="G1066" s="9"/>
      <c r="H1066" s="9"/>
      <c r="I1066" s="9"/>
      <c r="J1066" s="10" t="str">
        <f aca="false">IF(A1066="","",IF(G1066&lt;&gt;"",G1066,IF(N(F1066)&gt;0,ROUND(1000/F1066,3),0)))</f>
        <v/>
      </c>
      <c r="K1066" s="10" t="str">
        <f aca="false">IF(OR(A1066="",E1066="",H1066=""),"",ROUND(0.00617*E1066^2*H1066*J1066,2))</f>
        <v/>
      </c>
      <c r="L1066" s="9"/>
      <c r="M1066" s="10" t="str">
        <f aca="false">IF(A1066="","",IF((COUNTIF(Drain_Register!$A$5:$A$304,A1066)+COUNTIF(RW_Register!$A$5:$A$304,A1066)+COUNTIF(Embedded_Wall_Register!$A$5:$A$304,A1066)+COUNTIF(Manhole_Register!$A$5:$A$304,A1066)+COUNTIF(ERSS_Pit_Register!$A$5:$A$304,A1066)+COUNTIF(Linkway_Register!$A$5:$A$304,A1066)+COUNTIF(Other_Register!$A$5:$A$304,A1066))&gt;0,"OK","ID not in any register"))</f>
        <v/>
      </c>
    </row>
    <row r="1067" customFormat="false" ht="15" hidden="false" customHeight="false" outlineLevel="0" collapsed="false">
      <c r="A1067" s="9"/>
      <c r="B1067" s="9"/>
      <c r="C1067" s="9"/>
      <c r="D1067" s="9"/>
      <c r="E1067" s="9"/>
      <c r="F1067" s="9"/>
      <c r="G1067" s="9"/>
      <c r="H1067" s="9"/>
      <c r="I1067" s="9"/>
      <c r="J1067" s="10" t="str">
        <f aca="false">IF(A1067="","",IF(G1067&lt;&gt;"",G1067,IF(N(F1067)&gt;0,ROUND(1000/F1067,3),0)))</f>
        <v/>
      </c>
      <c r="K1067" s="10" t="str">
        <f aca="false">IF(OR(A1067="",E1067="",H1067=""),"",ROUND(0.00617*E1067^2*H1067*J1067,2))</f>
        <v/>
      </c>
      <c r="L1067" s="9"/>
      <c r="M1067" s="10" t="str">
        <f aca="false">IF(A1067="","",IF((COUNTIF(Drain_Register!$A$5:$A$304,A1067)+COUNTIF(RW_Register!$A$5:$A$304,A1067)+COUNTIF(Embedded_Wall_Register!$A$5:$A$304,A1067)+COUNTIF(Manhole_Register!$A$5:$A$304,A1067)+COUNTIF(ERSS_Pit_Register!$A$5:$A$304,A1067)+COUNTIF(Linkway_Register!$A$5:$A$304,A1067)+COUNTIF(Other_Register!$A$5:$A$304,A1067))&gt;0,"OK","ID not in any register"))</f>
        <v/>
      </c>
    </row>
    <row r="1068" customFormat="false" ht="15" hidden="false" customHeight="false" outlineLevel="0" collapsed="false">
      <c r="A1068" s="9"/>
      <c r="B1068" s="9"/>
      <c r="C1068" s="9"/>
      <c r="D1068" s="9"/>
      <c r="E1068" s="9"/>
      <c r="F1068" s="9"/>
      <c r="G1068" s="9"/>
      <c r="H1068" s="9"/>
      <c r="I1068" s="9"/>
      <c r="J1068" s="10" t="str">
        <f aca="false">IF(A1068="","",IF(G1068&lt;&gt;"",G1068,IF(N(F1068)&gt;0,ROUND(1000/F1068,3),0)))</f>
        <v/>
      </c>
      <c r="K1068" s="10" t="str">
        <f aca="false">IF(OR(A1068="",E1068="",H1068=""),"",ROUND(0.00617*E1068^2*H1068*J1068,2))</f>
        <v/>
      </c>
      <c r="L1068" s="9"/>
      <c r="M1068" s="10" t="str">
        <f aca="false">IF(A1068="","",IF((COUNTIF(Drain_Register!$A$5:$A$304,A1068)+COUNTIF(RW_Register!$A$5:$A$304,A1068)+COUNTIF(Embedded_Wall_Register!$A$5:$A$304,A1068)+COUNTIF(Manhole_Register!$A$5:$A$304,A1068)+COUNTIF(ERSS_Pit_Register!$A$5:$A$304,A1068)+COUNTIF(Linkway_Register!$A$5:$A$304,A1068)+COUNTIF(Other_Register!$A$5:$A$304,A1068))&gt;0,"OK","ID not in any register"))</f>
        <v/>
      </c>
    </row>
    <row r="1069" customFormat="false" ht="15" hidden="false" customHeight="false" outlineLevel="0" collapsed="false">
      <c r="A1069" s="9"/>
      <c r="B1069" s="9"/>
      <c r="C1069" s="9"/>
      <c r="D1069" s="9"/>
      <c r="E1069" s="9"/>
      <c r="F1069" s="9"/>
      <c r="G1069" s="9"/>
      <c r="H1069" s="9"/>
      <c r="I1069" s="9"/>
      <c r="J1069" s="10" t="str">
        <f aca="false">IF(A1069="","",IF(G1069&lt;&gt;"",G1069,IF(N(F1069)&gt;0,ROUND(1000/F1069,3),0)))</f>
        <v/>
      </c>
      <c r="K1069" s="10" t="str">
        <f aca="false">IF(OR(A1069="",E1069="",H1069=""),"",ROUND(0.00617*E1069^2*H1069*J1069,2))</f>
        <v/>
      </c>
      <c r="L1069" s="9"/>
      <c r="M1069" s="10" t="str">
        <f aca="false">IF(A1069="","",IF((COUNTIF(Drain_Register!$A$5:$A$304,A1069)+COUNTIF(RW_Register!$A$5:$A$304,A1069)+COUNTIF(Embedded_Wall_Register!$A$5:$A$304,A1069)+COUNTIF(Manhole_Register!$A$5:$A$304,A1069)+COUNTIF(ERSS_Pit_Register!$A$5:$A$304,A1069)+COUNTIF(Linkway_Register!$A$5:$A$304,A1069)+COUNTIF(Other_Register!$A$5:$A$304,A1069))&gt;0,"OK","ID not in any register"))</f>
        <v/>
      </c>
    </row>
    <row r="1070" customFormat="false" ht="15" hidden="false" customHeight="false" outlineLevel="0" collapsed="false">
      <c r="A1070" s="9"/>
      <c r="B1070" s="9"/>
      <c r="C1070" s="9"/>
      <c r="D1070" s="9"/>
      <c r="E1070" s="9"/>
      <c r="F1070" s="9"/>
      <c r="G1070" s="9"/>
      <c r="H1070" s="9"/>
      <c r="I1070" s="9"/>
      <c r="J1070" s="10" t="str">
        <f aca="false">IF(A1070="","",IF(G1070&lt;&gt;"",G1070,IF(N(F1070)&gt;0,ROUND(1000/F1070,3),0)))</f>
        <v/>
      </c>
      <c r="K1070" s="10" t="str">
        <f aca="false">IF(OR(A1070="",E1070="",H1070=""),"",ROUND(0.00617*E1070^2*H1070*J1070,2))</f>
        <v/>
      </c>
      <c r="L1070" s="9"/>
      <c r="M1070" s="10" t="str">
        <f aca="false">IF(A1070="","",IF((COUNTIF(Drain_Register!$A$5:$A$304,A1070)+COUNTIF(RW_Register!$A$5:$A$304,A1070)+COUNTIF(Embedded_Wall_Register!$A$5:$A$304,A1070)+COUNTIF(Manhole_Register!$A$5:$A$304,A1070)+COUNTIF(ERSS_Pit_Register!$A$5:$A$304,A1070)+COUNTIF(Linkway_Register!$A$5:$A$304,A1070)+COUNTIF(Other_Register!$A$5:$A$304,A1070))&gt;0,"OK","ID not in any register"))</f>
        <v/>
      </c>
    </row>
    <row r="1071" customFormat="false" ht="15" hidden="false" customHeight="false" outlineLevel="0" collapsed="false">
      <c r="A1071" s="9"/>
      <c r="B1071" s="9"/>
      <c r="C1071" s="9"/>
      <c r="D1071" s="9"/>
      <c r="E1071" s="9"/>
      <c r="F1071" s="9"/>
      <c r="G1071" s="9"/>
      <c r="H1071" s="9"/>
      <c r="I1071" s="9"/>
      <c r="J1071" s="10" t="str">
        <f aca="false">IF(A1071="","",IF(G1071&lt;&gt;"",G1071,IF(N(F1071)&gt;0,ROUND(1000/F1071,3),0)))</f>
        <v/>
      </c>
      <c r="K1071" s="10" t="str">
        <f aca="false">IF(OR(A1071="",E1071="",H1071=""),"",ROUND(0.00617*E1071^2*H1071*J1071,2))</f>
        <v/>
      </c>
      <c r="L1071" s="9"/>
      <c r="M1071" s="10" t="str">
        <f aca="false">IF(A1071="","",IF((COUNTIF(Drain_Register!$A$5:$A$304,A1071)+COUNTIF(RW_Register!$A$5:$A$304,A1071)+COUNTIF(Embedded_Wall_Register!$A$5:$A$304,A1071)+COUNTIF(Manhole_Register!$A$5:$A$304,A1071)+COUNTIF(ERSS_Pit_Register!$A$5:$A$304,A1071)+COUNTIF(Linkway_Register!$A$5:$A$304,A1071)+COUNTIF(Other_Register!$A$5:$A$304,A1071))&gt;0,"OK","ID not in any register"))</f>
        <v/>
      </c>
    </row>
    <row r="1072" customFormat="false" ht="15" hidden="false" customHeight="false" outlineLevel="0" collapsed="false">
      <c r="A1072" s="9"/>
      <c r="B1072" s="9"/>
      <c r="C1072" s="9"/>
      <c r="D1072" s="9"/>
      <c r="E1072" s="9"/>
      <c r="F1072" s="9"/>
      <c r="G1072" s="9"/>
      <c r="H1072" s="9"/>
      <c r="I1072" s="9"/>
      <c r="J1072" s="10" t="str">
        <f aca="false">IF(A1072="","",IF(G1072&lt;&gt;"",G1072,IF(N(F1072)&gt;0,ROUND(1000/F1072,3),0)))</f>
        <v/>
      </c>
      <c r="K1072" s="10" t="str">
        <f aca="false">IF(OR(A1072="",E1072="",H1072=""),"",ROUND(0.00617*E1072^2*H1072*J1072,2))</f>
        <v/>
      </c>
      <c r="L1072" s="9"/>
      <c r="M1072" s="10" t="str">
        <f aca="false">IF(A1072="","",IF((COUNTIF(Drain_Register!$A$5:$A$304,A1072)+COUNTIF(RW_Register!$A$5:$A$304,A1072)+COUNTIF(Embedded_Wall_Register!$A$5:$A$304,A1072)+COUNTIF(Manhole_Register!$A$5:$A$304,A1072)+COUNTIF(ERSS_Pit_Register!$A$5:$A$304,A1072)+COUNTIF(Linkway_Register!$A$5:$A$304,A1072)+COUNTIF(Other_Register!$A$5:$A$304,A1072))&gt;0,"OK","ID not in any register"))</f>
        <v/>
      </c>
    </row>
    <row r="1073" customFormat="false" ht="15" hidden="false" customHeight="false" outlineLevel="0" collapsed="false">
      <c r="A1073" s="9"/>
      <c r="B1073" s="9"/>
      <c r="C1073" s="9"/>
      <c r="D1073" s="9"/>
      <c r="E1073" s="9"/>
      <c r="F1073" s="9"/>
      <c r="G1073" s="9"/>
      <c r="H1073" s="9"/>
      <c r="I1073" s="9"/>
      <c r="J1073" s="10" t="str">
        <f aca="false">IF(A1073="","",IF(G1073&lt;&gt;"",G1073,IF(N(F1073)&gt;0,ROUND(1000/F1073,3),0)))</f>
        <v/>
      </c>
      <c r="K1073" s="10" t="str">
        <f aca="false">IF(OR(A1073="",E1073="",H1073=""),"",ROUND(0.00617*E1073^2*H1073*J1073,2))</f>
        <v/>
      </c>
      <c r="L1073" s="9"/>
      <c r="M1073" s="10" t="str">
        <f aca="false">IF(A1073="","",IF((COUNTIF(Drain_Register!$A$5:$A$304,A1073)+COUNTIF(RW_Register!$A$5:$A$304,A1073)+COUNTIF(Embedded_Wall_Register!$A$5:$A$304,A1073)+COUNTIF(Manhole_Register!$A$5:$A$304,A1073)+COUNTIF(ERSS_Pit_Register!$A$5:$A$304,A1073)+COUNTIF(Linkway_Register!$A$5:$A$304,A1073)+COUNTIF(Other_Register!$A$5:$A$304,A1073))&gt;0,"OK","ID not in any register"))</f>
        <v/>
      </c>
    </row>
    <row r="1074" customFormat="false" ht="15" hidden="false" customHeight="false" outlineLevel="0" collapsed="false">
      <c r="A1074" s="9"/>
      <c r="B1074" s="9"/>
      <c r="C1074" s="9"/>
      <c r="D1074" s="9"/>
      <c r="E1074" s="9"/>
      <c r="F1074" s="9"/>
      <c r="G1074" s="9"/>
      <c r="H1074" s="9"/>
      <c r="I1074" s="9"/>
      <c r="J1074" s="10" t="str">
        <f aca="false">IF(A1074="","",IF(G1074&lt;&gt;"",G1074,IF(N(F1074)&gt;0,ROUND(1000/F1074,3),0)))</f>
        <v/>
      </c>
      <c r="K1074" s="10" t="str">
        <f aca="false">IF(OR(A1074="",E1074="",H1074=""),"",ROUND(0.00617*E1074^2*H1074*J1074,2))</f>
        <v/>
      </c>
      <c r="L1074" s="9"/>
      <c r="M1074" s="10" t="str">
        <f aca="false">IF(A1074="","",IF((COUNTIF(Drain_Register!$A$5:$A$304,A1074)+COUNTIF(RW_Register!$A$5:$A$304,A1074)+COUNTIF(Embedded_Wall_Register!$A$5:$A$304,A1074)+COUNTIF(Manhole_Register!$A$5:$A$304,A1074)+COUNTIF(ERSS_Pit_Register!$A$5:$A$304,A1074)+COUNTIF(Linkway_Register!$A$5:$A$304,A1074)+COUNTIF(Other_Register!$A$5:$A$304,A1074))&gt;0,"OK","ID not in any register"))</f>
        <v/>
      </c>
    </row>
    <row r="1075" customFormat="false" ht="15" hidden="false" customHeight="false" outlineLevel="0" collapsed="false">
      <c r="A1075" s="9"/>
      <c r="B1075" s="9"/>
      <c r="C1075" s="9"/>
      <c r="D1075" s="9"/>
      <c r="E1075" s="9"/>
      <c r="F1075" s="9"/>
      <c r="G1075" s="9"/>
      <c r="H1075" s="9"/>
      <c r="I1075" s="9"/>
      <c r="J1075" s="10" t="str">
        <f aca="false">IF(A1075="","",IF(G1075&lt;&gt;"",G1075,IF(N(F1075)&gt;0,ROUND(1000/F1075,3),0)))</f>
        <v/>
      </c>
      <c r="K1075" s="10" t="str">
        <f aca="false">IF(OR(A1075="",E1075="",H1075=""),"",ROUND(0.00617*E1075^2*H1075*J1075,2))</f>
        <v/>
      </c>
      <c r="L1075" s="9"/>
      <c r="M1075" s="10" t="str">
        <f aca="false">IF(A1075="","",IF((COUNTIF(Drain_Register!$A$5:$A$304,A1075)+COUNTIF(RW_Register!$A$5:$A$304,A1075)+COUNTIF(Embedded_Wall_Register!$A$5:$A$304,A1075)+COUNTIF(Manhole_Register!$A$5:$A$304,A1075)+COUNTIF(ERSS_Pit_Register!$A$5:$A$304,A1075)+COUNTIF(Linkway_Register!$A$5:$A$304,A1075)+COUNTIF(Other_Register!$A$5:$A$304,A1075))&gt;0,"OK","ID not in any register"))</f>
        <v/>
      </c>
    </row>
    <row r="1076" customFormat="false" ht="15" hidden="false" customHeight="false" outlineLevel="0" collapsed="false">
      <c r="A1076" s="9"/>
      <c r="B1076" s="9"/>
      <c r="C1076" s="9"/>
      <c r="D1076" s="9"/>
      <c r="E1076" s="9"/>
      <c r="F1076" s="9"/>
      <c r="G1076" s="9"/>
      <c r="H1076" s="9"/>
      <c r="I1076" s="9"/>
      <c r="J1076" s="10" t="str">
        <f aca="false">IF(A1076="","",IF(G1076&lt;&gt;"",G1076,IF(N(F1076)&gt;0,ROUND(1000/F1076,3),0)))</f>
        <v/>
      </c>
      <c r="K1076" s="10" t="str">
        <f aca="false">IF(OR(A1076="",E1076="",H1076=""),"",ROUND(0.00617*E1076^2*H1076*J1076,2))</f>
        <v/>
      </c>
      <c r="L1076" s="9"/>
      <c r="M1076" s="10" t="str">
        <f aca="false">IF(A1076="","",IF((COUNTIF(Drain_Register!$A$5:$A$304,A1076)+COUNTIF(RW_Register!$A$5:$A$304,A1076)+COUNTIF(Embedded_Wall_Register!$A$5:$A$304,A1076)+COUNTIF(Manhole_Register!$A$5:$A$304,A1076)+COUNTIF(ERSS_Pit_Register!$A$5:$A$304,A1076)+COUNTIF(Linkway_Register!$A$5:$A$304,A1076)+COUNTIF(Other_Register!$A$5:$A$304,A1076))&gt;0,"OK","ID not in any register"))</f>
        <v/>
      </c>
    </row>
    <row r="1077" customFormat="false" ht="15" hidden="false" customHeight="false" outlineLevel="0" collapsed="false">
      <c r="A1077" s="9"/>
      <c r="B1077" s="9"/>
      <c r="C1077" s="9"/>
      <c r="D1077" s="9"/>
      <c r="E1077" s="9"/>
      <c r="F1077" s="9"/>
      <c r="G1077" s="9"/>
      <c r="H1077" s="9"/>
      <c r="I1077" s="9"/>
      <c r="J1077" s="10" t="str">
        <f aca="false">IF(A1077="","",IF(G1077&lt;&gt;"",G1077,IF(N(F1077)&gt;0,ROUND(1000/F1077,3),0)))</f>
        <v/>
      </c>
      <c r="K1077" s="10" t="str">
        <f aca="false">IF(OR(A1077="",E1077="",H1077=""),"",ROUND(0.00617*E1077^2*H1077*J1077,2))</f>
        <v/>
      </c>
      <c r="L1077" s="9"/>
      <c r="M1077" s="10" t="str">
        <f aca="false">IF(A1077="","",IF((COUNTIF(Drain_Register!$A$5:$A$304,A1077)+COUNTIF(RW_Register!$A$5:$A$304,A1077)+COUNTIF(Embedded_Wall_Register!$A$5:$A$304,A1077)+COUNTIF(Manhole_Register!$A$5:$A$304,A1077)+COUNTIF(ERSS_Pit_Register!$A$5:$A$304,A1077)+COUNTIF(Linkway_Register!$A$5:$A$304,A1077)+COUNTIF(Other_Register!$A$5:$A$304,A1077))&gt;0,"OK","ID not in any register"))</f>
        <v/>
      </c>
    </row>
    <row r="1078" customFormat="false" ht="15" hidden="false" customHeight="false" outlineLevel="0" collapsed="false">
      <c r="A1078" s="9"/>
      <c r="B1078" s="9"/>
      <c r="C1078" s="9"/>
      <c r="D1078" s="9"/>
      <c r="E1078" s="9"/>
      <c r="F1078" s="9"/>
      <c r="G1078" s="9"/>
      <c r="H1078" s="9"/>
      <c r="I1078" s="9"/>
      <c r="J1078" s="10" t="str">
        <f aca="false">IF(A1078="","",IF(G1078&lt;&gt;"",G1078,IF(N(F1078)&gt;0,ROUND(1000/F1078,3),0)))</f>
        <v/>
      </c>
      <c r="K1078" s="10" t="str">
        <f aca="false">IF(OR(A1078="",E1078="",H1078=""),"",ROUND(0.00617*E1078^2*H1078*J1078,2))</f>
        <v/>
      </c>
      <c r="L1078" s="9"/>
      <c r="M1078" s="10" t="str">
        <f aca="false">IF(A1078="","",IF((COUNTIF(Drain_Register!$A$5:$A$304,A1078)+COUNTIF(RW_Register!$A$5:$A$304,A1078)+COUNTIF(Embedded_Wall_Register!$A$5:$A$304,A1078)+COUNTIF(Manhole_Register!$A$5:$A$304,A1078)+COUNTIF(ERSS_Pit_Register!$A$5:$A$304,A1078)+COUNTIF(Linkway_Register!$A$5:$A$304,A1078)+COUNTIF(Other_Register!$A$5:$A$304,A1078))&gt;0,"OK","ID not in any register"))</f>
        <v/>
      </c>
    </row>
    <row r="1079" customFormat="false" ht="15" hidden="false" customHeight="false" outlineLevel="0" collapsed="false">
      <c r="A1079" s="9"/>
      <c r="B1079" s="9"/>
      <c r="C1079" s="9"/>
      <c r="D1079" s="9"/>
      <c r="E1079" s="9"/>
      <c r="F1079" s="9"/>
      <c r="G1079" s="9"/>
      <c r="H1079" s="9"/>
      <c r="I1079" s="9"/>
      <c r="J1079" s="10" t="str">
        <f aca="false">IF(A1079="","",IF(G1079&lt;&gt;"",G1079,IF(N(F1079)&gt;0,ROUND(1000/F1079,3),0)))</f>
        <v/>
      </c>
      <c r="K1079" s="10" t="str">
        <f aca="false">IF(OR(A1079="",E1079="",H1079=""),"",ROUND(0.00617*E1079^2*H1079*J1079,2))</f>
        <v/>
      </c>
      <c r="L1079" s="9"/>
      <c r="M1079" s="10" t="str">
        <f aca="false">IF(A1079="","",IF((COUNTIF(Drain_Register!$A$5:$A$304,A1079)+COUNTIF(RW_Register!$A$5:$A$304,A1079)+COUNTIF(Embedded_Wall_Register!$A$5:$A$304,A1079)+COUNTIF(Manhole_Register!$A$5:$A$304,A1079)+COUNTIF(ERSS_Pit_Register!$A$5:$A$304,A1079)+COUNTIF(Linkway_Register!$A$5:$A$304,A1079)+COUNTIF(Other_Register!$A$5:$A$304,A1079))&gt;0,"OK","ID not in any register"))</f>
        <v/>
      </c>
    </row>
    <row r="1080" customFormat="false" ht="15" hidden="false" customHeight="false" outlineLevel="0" collapsed="false">
      <c r="A1080" s="9"/>
      <c r="B1080" s="9"/>
      <c r="C1080" s="9"/>
      <c r="D1080" s="9"/>
      <c r="E1080" s="9"/>
      <c r="F1080" s="9"/>
      <c r="G1080" s="9"/>
      <c r="H1080" s="9"/>
      <c r="I1080" s="9"/>
      <c r="J1080" s="10" t="str">
        <f aca="false">IF(A1080="","",IF(G1080&lt;&gt;"",G1080,IF(N(F1080)&gt;0,ROUND(1000/F1080,3),0)))</f>
        <v/>
      </c>
      <c r="K1080" s="10" t="str">
        <f aca="false">IF(OR(A1080="",E1080="",H1080=""),"",ROUND(0.00617*E1080^2*H1080*J1080,2))</f>
        <v/>
      </c>
      <c r="L1080" s="9"/>
      <c r="M1080" s="10" t="str">
        <f aca="false">IF(A1080="","",IF((COUNTIF(Drain_Register!$A$5:$A$304,A1080)+COUNTIF(RW_Register!$A$5:$A$304,A1080)+COUNTIF(Embedded_Wall_Register!$A$5:$A$304,A1080)+COUNTIF(Manhole_Register!$A$5:$A$304,A1080)+COUNTIF(ERSS_Pit_Register!$A$5:$A$304,A1080)+COUNTIF(Linkway_Register!$A$5:$A$304,A1080)+COUNTIF(Other_Register!$A$5:$A$304,A1080))&gt;0,"OK","ID not in any register"))</f>
        <v/>
      </c>
    </row>
    <row r="1081" customFormat="false" ht="15" hidden="false" customHeight="false" outlineLevel="0" collapsed="false">
      <c r="A1081" s="9"/>
      <c r="B1081" s="9"/>
      <c r="C1081" s="9"/>
      <c r="D1081" s="9"/>
      <c r="E1081" s="9"/>
      <c r="F1081" s="9"/>
      <c r="G1081" s="9"/>
      <c r="H1081" s="9"/>
      <c r="I1081" s="9"/>
      <c r="J1081" s="10" t="str">
        <f aca="false">IF(A1081="","",IF(G1081&lt;&gt;"",G1081,IF(N(F1081)&gt;0,ROUND(1000/F1081,3),0)))</f>
        <v/>
      </c>
      <c r="K1081" s="10" t="str">
        <f aca="false">IF(OR(A1081="",E1081="",H1081=""),"",ROUND(0.00617*E1081^2*H1081*J1081,2))</f>
        <v/>
      </c>
      <c r="L1081" s="9"/>
      <c r="M1081" s="10" t="str">
        <f aca="false">IF(A1081="","",IF((COUNTIF(Drain_Register!$A$5:$A$304,A1081)+COUNTIF(RW_Register!$A$5:$A$304,A1081)+COUNTIF(Embedded_Wall_Register!$A$5:$A$304,A1081)+COUNTIF(Manhole_Register!$A$5:$A$304,A1081)+COUNTIF(ERSS_Pit_Register!$A$5:$A$304,A1081)+COUNTIF(Linkway_Register!$A$5:$A$304,A1081)+COUNTIF(Other_Register!$A$5:$A$304,A1081))&gt;0,"OK","ID not in any register"))</f>
        <v/>
      </c>
    </row>
    <row r="1082" customFormat="false" ht="15" hidden="false" customHeight="false" outlineLevel="0" collapsed="false">
      <c r="A1082" s="9"/>
      <c r="B1082" s="9"/>
      <c r="C1082" s="9"/>
      <c r="D1082" s="9"/>
      <c r="E1082" s="9"/>
      <c r="F1082" s="9"/>
      <c r="G1082" s="9"/>
      <c r="H1082" s="9"/>
      <c r="I1082" s="9"/>
      <c r="J1082" s="10" t="str">
        <f aca="false">IF(A1082="","",IF(G1082&lt;&gt;"",G1082,IF(N(F1082)&gt;0,ROUND(1000/F1082,3),0)))</f>
        <v/>
      </c>
      <c r="K1082" s="10" t="str">
        <f aca="false">IF(OR(A1082="",E1082="",H1082=""),"",ROUND(0.00617*E1082^2*H1082*J1082,2))</f>
        <v/>
      </c>
      <c r="L1082" s="9"/>
      <c r="M1082" s="10" t="str">
        <f aca="false">IF(A1082="","",IF((COUNTIF(Drain_Register!$A$5:$A$304,A1082)+COUNTIF(RW_Register!$A$5:$A$304,A1082)+COUNTIF(Embedded_Wall_Register!$A$5:$A$304,A1082)+COUNTIF(Manhole_Register!$A$5:$A$304,A1082)+COUNTIF(ERSS_Pit_Register!$A$5:$A$304,A1082)+COUNTIF(Linkway_Register!$A$5:$A$304,A1082)+COUNTIF(Other_Register!$A$5:$A$304,A1082))&gt;0,"OK","ID not in any register"))</f>
        <v/>
      </c>
    </row>
    <row r="1083" customFormat="false" ht="15" hidden="false" customHeight="false" outlineLevel="0" collapsed="false">
      <c r="A1083" s="9"/>
      <c r="B1083" s="9"/>
      <c r="C1083" s="9"/>
      <c r="D1083" s="9"/>
      <c r="E1083" s="9"/>
      <c r="F1083" s="9"/>
      <c r="G1083" s="9"/>
      <c r="H1083" s="9"/>
      <c r="I1083" s="9"/>
      <c r="J1083" s="10" t="str">
        <f aca="false">IF(A1083="","",IF(G1083&lt;&gt;"",G1083,IF(N(F1083)&gt;0,ROUND(1000/F1083,3),0)))</f>
        <v/>
      </c>
      <c r="K1083" s="10" t="str">
        <f aca="false">IF(OR(A1083="",E1083="",H1083=""),"",ROUND(0.00617*E1083^2*H1083*J1083,2))</f>
        <v/>
      </c>
      <c r="L1083" s="9"/>
      <c r="M1083" s="10" t="str">
        <f aca="false">IF(A1083="","",IF((COUNTIF(Drain_Register!$A$5:$A$304,A1083)+COUNTIF(RW_Register!$A$5:$A$304,A1083)+COUNTIF(Embedded_Wall_Register!$A$5:$A$304,A1083)+COUNTIF(Manhole_Register!$A$5:$A$304,A1083)+COUNTIF(ERSS_Pit_Register!$A$5:$A$304,A1083)+COUNTIF(Linkway_Register!$A$5:$A$304,A1083)+COUNTIF(Other_Register!$A$5:$A$304,A1083))&gt;0,"OK","ID not in any register"))</f>
        <v/>
      </c>
    </row>
    <row r="1084" customFormat="false" ht="15" hidden="false" customHeight="false" outlineLevel="0" collapsed="false">
      <c r="A1084" s="9"/>
      <c r="B1084" s="9"/>
      <c r="C1084" s="9"/>
      <c r="D1084" s="9"/>
      <c r="E1084" s="9"/>
      <c r="F1084" s="9"/>
      <c r="G1084" s="9"/>
      <c r="H1084" s="9"/>
      <c r="I1084" s="9"/>
      <c r="J1084" s="10" t="str">
        <f aca="false">IF(A1084="","",IF(G1084&lt;&gt;"",G1084,IF(N(F1084)&gt;0,ROUND(1000/F1084,3),0)))</f>
        <v/>
      </c>
      <c r="K1084" s="10" t="str">
        <f aca="false">IF(OR(A1084="",E1084="",H1084=""),"",ROUND(0.00617*E1084^2*H1084*J1084,2))</f>
        <v/>
      </c>
      <c r="L1084" s="9"/>
      <c r="M1084" s="10" t="str">
        <f aca="false">IF(A1084="","",IF((COUNTIF(Drain_Register!$A$5:$A$304,A1084)+COUNTIF(RW_Register!$A$5:$A$304,A1084)+COUNTIF(Embedded_Wall_Register!$A$5:$A$304,A1084)+COUNTIF(Manhole_Register!$A$5:$A$304,A1084)+COUNTIF(ERSS_Pit_Register!$A$5:$A$304,A1084)+COUNTIF(Linkway_Register!$A$5:$A$304,A1084)+COUNTIF(Other_Register!$A$5:$A$304,A1084))&gt;0,"OK","ID not in any register"))</f>
        <v/>
      </c>
    </row>
    <row r="1085" customFormat="false" ht="15" hidden="false" customHeight="false" outlineLevel="0" collapsed="false">
      <c r="A1085" s="9"/>
      <c r="B1085" s="9"/>
      <c r="C1085" s="9"/>
      <c r="D1085" s="9"/>
      <c r="E1085" s="9"/>
      <c r="F1085" s="9"/>
      <c r="G1085" s="9"/>
      <c r="H1085" s="9"/>
      <c r="I1085" s="9"/>
      <c r="J1085" s="10" t="str">
        <f aca="false">IF(A1085="","",IF(G1085&lt;&gt;"",G1085,IF(N(F1085)&gt;0,ROUND(1000/F1085,3),0)))</f>
        <v/>
      </c>
      <c r="K1085" s="10" t="str">
        <f aca="false">IF(OR(A1085="",E1085="",H1085=""),"",ROUND(0.00617*E1085^2*H1085*J1085,2))</f>
        <v/>
      </c>
      <c r="L1085" s="9"/>
      <c r="M1085" s="10" t="str">
        <f aca="false">IF(A1085="","",IF((COUNTIF(Drain_Register!$A$5:$A$304,A1085)+COUNTIF(RW_Register!$A$5:$A$304,A1085)+COUNTIF(Embedded_Wall_Register!$A$5:$A$304,A1085)+COUNTIF(Manhole_Register!$A$5:$A$304,A1085)+COUNTIF(ERSS_Pit_Register!$A$5:$A$304,A1085)+COUNTIF(Linkway_Register!$A$5:$A$304,A1085)+COUNTIF(Other_Register!$A$5:$A$304,A1085))&gt;0,"OK","ID not in any register"))</f>
        <v/>
      </c>
    </row>
    <row r="1086" customFormat="false" ht="15" hidden="false" customHeight="false" outlineLevel="0" collapsed="false">
      <c r="A1086" s="9"/>
      <c r="B1086" s="9"/>
      <c r="C1086" s="9"/>
      <c r="D1086" s="9"/>
      <c r="E1086" s="9"/>
      <c r="F1086" s="9"/>
      <c r="G1086" s="9"/>
      <c r="H1086" s="9"/>
      <c r="I1086" s="9"/>
      <c r="J1086" s="10" t="str">
        <f aca="false">IF(A1086="","",IF(G1086&lt;&gt;"",G1086,IF(N(F1086)&gt;0,ROUND(1000/F1086,3),0)))</f>
        <v/>
      </c>
      <c r="K1086" s="10" t="str">
        <f aca="false">IF(OR(A1086="",E1086="",H1086=""),"",ROUND(0.00617*E1086^2*H1086*J1086,2))</f>
        <v/>
      </c>
      <c r="L1086" s="9"/>
      <c r="M1086" s="10" t="str">
        <f aca="false">IF(A1086="","",IF((COUNTIF(Drain_Register!$A$5:$A$304,A1086)+COUNTIF(RW_Register!$A$5:$A$304,A1086)+COUNTIF(Embedded_Wall_Register!$A$5:$A$304,A1086)+COUNTIF(Manhole_Register!$A$5:$A$304,A1086)+COUNTIF(ERSS_Pit_Register!$A$5:$A$304,A1086)+COUNTIF(Linkway_Register!$A$5:$A$304,A1086)+COUNTIF(Other_Register!$A$5:$A$304,A1086))&gt;0,"OK","ID not in any register"))</f>
        <v/>
      </c>
    </row>
    <row r="1087" customFormat="false" ht="15" hidden="false" customHeight="false" outlineLevel="0" collapsed="false">
      <c r="A1087" s="9"/>
      <c r="B1087" s="9"/>
      <c r="C1087" s="9"/>
      <c r="D1087" s="9"/>
      <c r="E1087" s="9"/>
      <c r="F1087" s="9"/>
      <c r="G1087" s="9"/>
      <c r="H1087" s="9"/>
      <c r="I1087" s="9"/>
      <c r="J1087" s="10" t="str">
        <f aca="false">IF(A1087="","",IF(G1087&lt;&gt;"",G1087,IF(N(F1087)&gt;0,ROUND(1000/F1087,3),0)))</f>
        <v/>
      </c>
      <c r="K1087" s="10" t="str">
        <f aca="false">IF(OR(A1087="",E1087="",H1087=""),"",ROUND(0.00617*E1087^2*H1087*J1087,2))</f>
        <v/>
      </c>
      <c r="L1087" s="9"/>
      <c r="M1087" s="10" t="str">
        <f aca="false">IF(A1087="","",IF((COUNTIF(Drain_Register!$A$5:$A$304,A1087)+COUNTIF(RW_Register!$A$5:$A$304,A1087)+COUNTIF(Embedded_Wall_Register!$A$5:$A$304,A1087)+COUNTIF(Manhole_Register!$A$5:$A$304,A1087)+COUNTIF(ERSS_Pit_Register!$A$5:$A$304,A1087)+COUNTIF(Linkway_Register!$A$5:$A$304,A1087)+COUNTIF(Other_Register!$A$5:$A$304,A1087))&gt;0,"OK","ID not in any register"))</f>
        <v/>
      </c>
    </row>
    <row r="1088" customFormat="false" ht="15" hidden="false" customHeight="false" outlineLevel="0" collapsed="false">
      <c r="A1088" s="9"/>
      <c r="B1088" s="9"/>
      <c r="C1088" s="9"/>
      <c r="D1088" s="9"/>
      <c r="E1088" s="9"/>
      <c r="F1088" s="9"/>
      <c r="G1088" s="9"/>
      <c r="H1088" s="9"/>
      <c r="I1088" s="9"/>
      <c r="J1088" s="10" t="str">
        <f aca="false">IF(A1088="","",IF(G1088&lt;&gt;"",G1088,IF(N(F1088)&gt;0,ROUND(1000/F1088,3),0)))</f>
        <v/>
      </c>
      <c r="K1088" s="10" t="str">
        <f aca="false">IF(OR(A1088="",E1088="",H1088=""),"",ROUND(0.00617*E1088^2*H1088*J1088,2))</f>
        <v/>
      </c>
      <c r="L1088" s="9"/>
      <c r="M1088" s="10" t="str">
        <f aca="false">IF(A1088="","",IF((COUNTIF(Drain_Register!$A$5:$A$304,A1088)+COUNTIF(RW_Register!$A$5:$A$304,A1088)+COUNTIF(Embedded_Wall_Register!$A$5:$A$304,A1088)+COUNTIF(Manhole_Register!$A$5:$A$304,A1088)+COUNTIF(ERSS_Pit_Register!$A$5:$A$304,A1088)+COUNTIF(Linkway_Register!$A$5:$A$304,A1088)+COUNTIF(Other_Register!$A$5:$A$304,A1088))&gt;0,"OK","ID not in any register"))</f>
        <v/>
      </c>
    </row>
    <row r="1089" customFormat="false" ht="15" hidden="false" customHeight="false" outlineLevel="0" collapsed="false">
      <c r="A1089" s="9"/>
      <c r="B1089" s="9"/>
      <c r="C1089" s="9"/>
      <c r="D1089" s="9"/>
      <c r="E1089" s="9"/>
      <c r="F1089" s="9"/>
      <c r="G1089" s="9"/>
      <c r="H1089" s="9"/>
      <c r="I1089" s="9"/>
      <c r="J1089" s="10" t="str">
        <f aca="false">IF(A1089="","",IF(G1089&lt;&gt;"",G1089,IF(N(F1089)&gt;0,ROUND(1000/F1089,3),0)))</f>
        <v/>
      </c>
      <c r="K1089" s="10" t="str">
        <f aca="false">IF(OR(A1089="",E1089="",H1089=""),"",ROUND(0.00617*E1089^2*H1089*J1089,2))</f>
        <v/>
      </c>
      <c r="L1089" s="9"/>
      <c r="M1089" s="10" t="str">
        <f aca="false">IF(A1089="","",IF((COUNTIF(Drain_Register!$A$5:$A$304,A1089)+COUNTIF(RW_Register!$A$5:$A$304,A1089)+COUNTIF(Embedded_Wall_Register!$A$5:$A$304,A1089)+COUNTIF(Manhole_Register!$A$5:$A$304,A1089)+COUNTIF(ERSS_Pit_Register!$A$5:$A$304,A1089)+COUNTIF(Linkway_Register!$A$5:$A$304,A1089)+COUNTIF(Other_Register!$A$5:$A$304,A1089))&gt;0,"OK","ID not in any register"))</f>
        <v/>
      </c>
    </row>
    <row r="1090" customFormat="false" ht="15" hidden="false" customHeight="false" outlineLevel="0" collapsed="false">
      <c r="A1090" s="9"/>
      <c r="B1090" s="9"/>
      <c r="C1090" s="9"/>
      <c r="D1090" s="9"/>
      <c r="E1090" s="9"/>
      <c r="F1090" s="9"/>
      <c r="G1090" s="9"/>
      <c r="H1090" s="9"/>
      <c r="I1090" s="9"/>
      <c r="J1090" s="10" t="str">
        <f aca="false">IF(A1090="","",IF(G1090&lt;&gt;"",G1090,IF(N(F1090)&gt;0,ROUND(1000/F1090,3),0)))</f>
        <v/>
      </c>
      <c r="K1090" s="10" t="str">
        <f aca="false">IF(OR(A1090="",E1090="",H1090=""),"",ROUND(0.00617*E1090^2*H1090*J1090,2))</f>
        <v/>
      </c>
      <c r="L1090" s="9"/>
      <c r="M1090" s="10" t="str">
        <f aca="false">IF(A1090="","",IF((COUNTIF(Drain_Register!$A$5:$A$304,A1090)+COUNTIF(RW_Register!$A$5:$A$304,A1090)+COUNTIF(Embedded_Wall_Register!$A$5:$A$304,A1090)+COUNTIF(Manhole_Register!$A$5:$A$304,A1090)+COUNTIF(ERSS_Pit_Register!$A$5:$A$304,A1090)+COUNTIF(Linkway_Register!$A$5:$A$304,A1090)+COUNTIF(Other_Register!$A$5:$A$304,A1090))&gt;0,"OK","ID not in any register"))</f>
        <v/>
      </c>
    </row>
    <row r="1091" customFormat="false" ht="15" hidden="false" customHeight="false" outlineLevel="0" collapsed="false">
      <c r="A1091" s="9"/>
      <c r="B1091" s="9"/>
      <c r="C1091" s="9"/>
      <c r="D1091" s="9"/>
      <c r="E1091" s="9"/>
      <c r="F1091" s="9"/>
      <c r="G1091" s="9"/>
      <c r="H1091" s="9"/>
      <c r="I1091" s="9"/>
      <c r="J1091" s="10" t="str">
        <f aca="false">IF(A1091="","",IF(G1091&lt;&gt;"",G1091,IF(N(F1091)&gt;0,ROUND(1000/F1091,3),0)))</f>
        <v/>
      </c>
      <c r="K1091" s="10" t="str">
        <f aca="false">IF(OR(A1091="",E1091="",H1091=""),"",ROUND(0.00617*E1091^2*H1091*J1091,2))</f>
        <v/>
      </c>
      <c r="L1091" s="9"/>
      <c r="M1091" s="10" t="str">
        <f aca="false">IF(A1091="","",IF((COUNTIF(Drain_Register!$A$5:$A$304,A1091)+COUNTIF(RW_Register!$A$5:$A$304,A1091)+COUNTIF(Embedded_Wall_Register!$A$5:$A$304,A1091)+COUNTIF(Manhole_Register!$A$5:$A$304,A1091)+COUNTIF(ERSS_Pit_Register!$A$5:$A$304,A1091)+COUNTIF(Linkway_Register!$A$5:$A$304,A1091)+COUNTIF(Other_Register!$A$5:$A$304,A1091))&gt;0,"OK","ID not in any register"))</f>
        <v/>
      </c>
    </row>
    <row r="1092" customFormat="false" ht="15" hidden="false" customHeight="false" outlineLevel="0" collapsed="false">
      <c r="A1092" s="9"/>
      <c r="B1092" s="9"/>
      <c r="C1092" s="9"/>
      <c r="D1092" s="9"/>
      <c r="E1092" s="9"/>
      <c r="F1092" s="9"/>
      <c r="G1092" s="9"/>
      <c r="H1092" s="9"/>
      <c r="I1092" s="9"/>
      <c r="J1092" s="10" t="str">
        <f aca="false">IF(A1092="","",IF(G1092&lt;&gt;"",G1092,IF(N(F1092)&gt;0,ROUND(1000/F1092,3),0)))</f>
        <v/>
      </c>
      <c r="K1092" s="10" t="str">
        <f aca="false">IF(OR(A1092="",E1092="",H1092=""),"",ROUND(0.00617*E1092^2*H1092*J1092,2))</f>
        <v/>
      </c>
      <c r="L1092" s="9"/>
      <c r="M1092" s="10" t="str">
        <f aca="false">IF(A1092="","",IF((COUNTIF(Drain_Register!$A$5:$A$304,A1092)+COUNTIF(RW_Register!$A$5:$A$304,A1092)+COUNTIF(Embedded_Wall_Register!$A$5:$A$304,A1092)+COUNTIF(Manhole_Register!$A$5:$A$304,A1092)+COUNTIF(ERSS_Pit_Register!$A$5:$A$304,A1092)+COUNTIF(Linkway_Register!$A$5:$A$304,A1092)+COUNTIF(Other_Register!$A$5:$A$304,A1092))&gt;0,"OK","ID not in any register"))</f>
        <v/>
      </c>
    </row>
    <row r="1093" customFormat="false" ht="15" hidden="false" customHeight="false" outlineLevel="0" collapsed="false">
      <c r="A1093" s="9"/>
      <c r="B1093" s="9"/>
      <c r="C1093" s="9"/>
      <c r="D1093" s="9"/>
      <c r="E1093" s="9"/>
      <c r="F1093" s="9"/>
      <c r="G1093" s="9"/>
      <c r="H1093" s="9"/>
      <c r="I1093" s="9"/>
      <c r="J1093" s="10" t="str">
        <f aca="false">IF(A1093="","",IF(G1093&lt;&gt;"",G1093,IF(N(F1093)&gt;0,ROUND(1000/F1093,3),0)))</f>
        <v/>
      </c>
      <c r="K1093" s="10" t="str">
        <f aca="false">IF(OR(A1093="",E1093="",H1093=""),"",ROUND(0.00617*E1093^2*H1093*J1093,2))</f>
        <v/>
      </c>
      <c r="L1093" s="9"/>
      <c r="M1093" s="10" t="str">
        <f aca="false">IF(A1093="","",IF((COUNTIF(Drain_Register!$A$5:$A$304,A1093)+COUNTIF(RW_Register!$A$5:$A$304,A1093)+COUNTIF(Embedded_Wall_Register!$A$5:$A$304,A1093)+COUNTIF(Manhole_Register!$A$5:$A$304,A1093)+COUNTIF(ERSS_Pit_Register!$A$5:$A$304,A1093)+COUNTIF(Linkway_Register!$A$5:$A$304,A1093)+COUNTIF(Other_Register!$A$5:$A$304,A1093))&gt;0,"OK","ID not in any register"))</f>
        <v/>
      </c>
    </row>
    <row r="1094" customFormat="false" ht="15" hidden="false" customHeight="false" outlineLevel="0" collapsed="false">
      <c r="A1094" s="9"/>
      <c r="B1094" s="9"/>
      <c r="C1094" s="9"/>
      <c r="D1094" s="9"/>
      <c r="E1094" s="9"/>
      <c r="F1094" s="9"/>
      <c r="G1094" s="9"/>
      <c r="H1094" s="9"/>
      <c r="I1094" s="9"/>
      <c r="J1094" s="10" t="str">
        <f aca="false">IF(A1094="","",IF(G1094&lt;&gt;"",G1094,IF(N(F1094)&gt;0,ROUND(1000/F1094,3),0)))</f>
        <v/>
      </c>
      <c r="K1094" s="10" t="str">
        <f aca="false">IF(OR(A1094="",E1094="",H1094=""),"",ROUND(0.00617*E1094^2*H1094*J1094,2))</f>
        <v/>
      </c>
      <c r="L1094" s="9"/>
      <c r="M1094" s="10" t="str">
        <f aca="false">IF(A1094="","",IF((COUNTIF(Drain_Register!$A$5:$A$304,A1094)+COUNTIF(RW_Register!$A$5:$A$304,A1094)+COUNTIF(Embedded_Wall_Register!$A$5:$A$304,A1094)+COUNTIF(Manhole_Register!$A$5:$A$304,A1094)+COUNTIF(ERSS_Pit_Register!$A$5:$A$304,A1094)+COUNTIF(Linkway_Register!$A$5:$A$304,A1094)+COUNTIF(Other_Register!$A$5:$A$304,A1094))&gt;0,"OK","ID not in any register"))</f>
        <v/>
      </c>
    </row>
    <row r="1095" customFormat="false" ht="15" hidden="false" customHeight="false" outlineLevel="0" collapsed="false">
      <c r="A1095" s="9"/>
      <c r="B1095" s="9"/>
      <c r="C1095" s="9"/>
      <c r="D1095" s="9"/>
      <c r="E1095" s="9"/>
      <c r="F1095" s="9"/>
      <c r="G1095" s="9"/>
      <c r="H1095" s="9"/>
      <c r="I1095" s="9"/>
      <c r="J1095" s="10" t="str">
        <f aca="false">IF(A1095="","",IF(G1095&lt;&gt;"",G1095,IF(N(F1095)&gt;0,ROUND(1000/F1095,3),0)))</f>
        <v/>
      </c>
      <c r="K1095" s="10" t="str">
        <f aca="false">IF(OR(A1095="",E1095="",H1095=""),"",ROUND(0.00617*E1095^2*H1095*J1095,2))</f>
        <v/>
      </c>
      <c r="L1095" s="9"/>
      <c r="M1095" s="10" t="str">
        <f aca="false">IF(A1095="","",IF((COUNTIF(Drain_Register!$A$5:$A$304,A1095)+COUNTIF(RW_Register!$A$5:$A$304,A1095)+COUNTIF(Embedded_Wall_Register!$A$5:$A$304,A1095)+COUNTIF(Manhole_Register!$A$5:$A$304,A1095)+COUNTIF(ERSS_Pit_Register!$A$5:$A$304,A1095)+COUNTIF(Linkway_Register!$A$5:$A$304,A1095)+COUNTIF(Other_Register!$A$5:$A$304,A1095))&gt;0,"OK","ID not in any register"))</f>
        <v/>
      </c>
    </row>
    <row r="1096" customFormat="false" ht="15" hidden="false" customHeight="false" outlineLevel="0" collapsed="false">
      <c r="A1096" s="9"/>
      <c r="B1096" s="9"/>
      <c r="C1096" s="9"/>
      <c r="D1096" s="9"/>
      <c r="E1096" s="9"/>
      <c r="F1096" s="9"/>
      <c r="G1096" s="9"/>
      <c r="H1096" s="9"/>
      <c r="I1096" s="9"/>
      <c r="J1096" s="10" t="str">
        <f aca="false">IF(A1096="","",IF(G1096&lt;&gt;"",G1096,IF(N(F1096)&gt;0,ROUND(1000/F1096,3),0)))</f>
        <v/>
      </c>
      <c r="K1096" s="10" t="str">
        <f aca="false">IF(OR(A1096="",E1096="",H1096=""),"",ROUND(0.00617*E1096^2*H1096*J1096,2))</f>
        <v/>
      </c>
      <c r="L1096" s="9"/>
      <c r="M1096" s="10" t="str">
        <f aca="false">IF(A1096="","",IF((COUNTIF(Drain_Register!$A$5:$A$304,A1096)+COUNTIF(RW_Register!$A$5:$A$304,A1096)+COUNTIF(Embedded_Wall_Register!$A$5:$A$304,A1096)+COUNTIF(Manhole_Register!$A$5:$A$304,A1096)+COUNTIF(ERSS_Pit_Register!$A$5:$A$304,A1096)+COUNTIF(Linkway_Register!$A$5:$A$304,A1096)+COUNTIF(Other_Register!$A$5:$A$304,A1096))&gt;0,"OK","ID not in any register"))</f>
        <v/>
      </c>
    </row>
    <row r="1097" customFormat="false" ht="15" hidden="false" customHeight="false" outlineLevel="0" collapsed="false">
      <c r="A1097" s="9"/>
      <c r="B1097" s="9"/>
      <c r="C1097" s="9"/>
      <c r="D1097" s="9"/>
      <c r="E1097" s="9"/>
      <c r="F1097" s="9"/>
      <c r="G1097" s="9"/>
      <c r="H1097" s="9"/>
      <c r="I1097" s="9"/>
      <c r="J1097" s="10" t="str">
        <f aca="false">IF(A1097="","",IF(G1097&lt;&gt;"",G1097,IF(N(F1097)&gt;0,ROUND(1000/F1097,3),0)))</f>
        <v/>
      </c>
      <c r="K1097" s="10" t="str">
        <f aca="false">IF(OR(A1097="",E1097="",H1097=""),"",ROUND(0.00617*E1097^2*H1097*J1097,2))</f>
        <v/>
      </c>
      <c r="L1097" s="9"/>
      <c r="M1097" s="10" t="str">
        <f aca="false">IF(A1097="","",IF((COUNTIF(Drain_Register!$A$5:$A$304,A1097)+COUNTIF(RW_Register!$A$5:$A$304,A1097)+COUNTIF(Embedded_Wall_Register!$A$5:$A$304,A1097)+COUNTIF(Manhole_Register!$A$5:$A$304,A1097)+COUNTIF(ERSS_Pit_Register!$A$5:$A$304,A1097)+COUNTIF(Linkway_Register!$A$5:$A$304,A1097)+COUNTIF(Other_Register!$A$5:$A$304,A1097))&gt;0,"OK","ID not in any register"))</f>
        <v/>
      </c>
    </row>
    <row r="1098" customFormat="false" ht="15" hidden="false" customHeight="false" outlineLevel="0" collapsed="false">
      <c r="A1098" s="9"/>
      <c r="B1098" s="9"/>
      <c r="C1098" s="9"/>
      <c r="D1098" s="9"/>
      <c r="E1098" s="9"/>
      <c r="F1098" s="9"/>
      <c r="G1098" s="9"/>
      <c r="H1098" s="9"/>
      <c r="I1098" s="9"/>
      <c r="J1098" s="10" t="str">
        <f aca="false">IF(A1098="","",IF(G1098&lt;&gt;"",G1098,IF(N(F1098)&gt;0,ROUND(1000/F1098,3),0)))</f>
        <v/>
      </c>
      <c r="K1098" s="10" t="str">
        <f aca="false">IF(OR(A1098="",E1098="",H1098=""),"",ROUND(0.00617*E1098^2*H1098*J1098,2))</f>
        <v/>
      </c>
      <c r="L1098" s="9"/>
      <c r="M1098" s="10" t="str">
        <f aca="false">IF(A1098="","",IF((COUNTIF(Drain_Register!$A$5:$A$304,A1098)+COUNTIF(RW_Register!$A$5:$A$304,A1098)+COUNTIF(Embedded_Wall_Register!$A$5:$A$304,A1098)+COUNTIF(Manhole_Register!$A$5:$A$304,A1098)+COUNTIF(ERSS_Pit_Register!$A$5:$A$304,A1098)+COUNTIF(Linkway_Register!$A$5:$A$304,A1098)+COUNTIF(Other_Register!$A$5:$A$304,A1098))&gt;0,"OK","ID not in any register"))</f>
        <v/>
      </c>
    </row>
    <row r="1099" customFormat="false" ht="15" hidden="false" customHeight="false" outlineLevel="0" collapsed="false">
      <c r="A1099" s="9"/>
      <c r="B1099" s="9"/>
      <c r="C1099" s="9"/>
      <c r="D1099" s="9"/>
      <c r="E1099" s="9"/>
      <c r="F1099" s="9"/>
      <c r="G1099" s="9"/>
      <c r="H1099" s="9"/>
      <c r="I1099" s="9"/>
      <c r="J1099" s="10" t="str">
        <f aca="false">IF(A1099="","",IF(G1099&lt;&gt;"",G1099,IF(N(F1099)&gt;0,ROUND(1000/F1099,3),0)))</f>
        <v/>
      </c>
      <c r="K1099" s="10" t="str">
        <f aca="false">IF(OR(A1099="",E1099="",H1099=""),"",ROUND(0.00617*E1099^2*H1099*J1099,2))</f>
        <v/>
      </c>
      <c r="L1099" s="9"/>
      <c r="M1099" s="10" t="str">
        <f aca="false">IF(A1099="","",IF((COUNTIF(Drain_Register!$A$5:$A$304,A1099)+COUNTIF(RW_Register!$A$5:$A$304,A1099)+COUNTIF(Embedded_Wall_Register!$A$5:$A$304,A1099)+COUNTIF(Manhole_Register!$A$5:$A$304,A1099)+COUNTIF(ERSS_Pit_Register!$A$5:$A$304,A1099)+COUNTIF(Linkway_Register!$A$5:$A$304,A1099)+COUNTIF(Other_Register!$A$5:$A$304,A1099))&gt;0,"OK","ID not in any register"))</f>
        <v/>
      </c>
    </row>
    <row r="1100" customFormat="false" ht="15" hidden="false" customHeight="false" outlineLevel="0" collapsed="false">
      <c r="A1100" s="9"/>
      <c r="B1100" s="9"/>
      <c r="C1100" s="9"/>
      <c r="D1100" s="9"/>
      <c r="E1100" s="9"/>
      <c r="F1100" s="9"/>
      <c r="G1100" s="9"/>
      <c r="H1100" s="9"/>
      <c r="I1100" s="9"/>
      <c r="J1100" s="10" t="str">
        <f aca="false">IF(A1100="","",IF(G1100&lt;&gt;"",G1100,IF(N(F1100)&gt;0,ROUND(1000/F1100,3),0)))</f>
        <v/>
      </c>
      <c r="K1100" s="10" t="str">
        <f aca="false">IF(OR(A1100="",E1100="",H1100=""),"",ROUND(0.00617*E1100^2*H1100*J1100,2))</f>
        <v/>
      </c>
      <c r="L1100" s="9"/>
      <c r="M1100" s="10" t="str">
        <f aca="false">IF(A1100="","",IF((COUNTIF(Drain_Register!$A$5:$A$304,A1100)+COUNTIF(RW_Register!$A$5:$A$304,A1100)+COUNTIF(Embedded_Wall_Register!$A$5:$A$304,A1100)+COUNTIF(Manhole_Register!$A$5:$A$304,A1100)+COUNTIF(ERSS_Pit_Register!$A$5:$A$304,A1100)+COUNTIF(Linkway_Register!$A$5:$A$304,A1100)+COUNTIF(Other_Register!$A$5:$A$304,A1100))&gt;0,"OK","ID not in any register"))</f>
        <v/>
      </c>
    </row>
    <row r="1101" customFormat="false" ht="15" hidden="false" customHeight="false" outlineLevel="0" collapsed="false">
      <c r="A1101" s="9"/>
      <c r="B1101" s="9"/>
      <c r="C1101" s="9"/>
      <c r="D1101" s="9"/>
      <c r="E1101" s="9"/>
      <c r="F1101" s="9"/>
      <c r="G1101" s="9"/>
      <c r="H1101" s="9"/>
      <c r="I1101" s="9"/>
      <c r="J1101" s="10" t="str">
        <f aca="false">IF(A1101="","",IF(G1101&lt;&gt;"",G1101,IF(N(F1101)&gt;0,ROUND(1000/F1101,3),0)))</f>
        <v/>
      </c>
      <c r="K1101" s="10" t="str">
        <f aca="false">IF(OR(A1101="",E1101="",H1101=""),"",ROUND(0.00617*E1101^2*H1101*J1101,2))</f>
        <v/>
      </c>
      <c r="L1101" s="9"/>
      <c r="M1101" s="10" t="str">
        <f aca="false">IF(A1101="","",IF((COUNTIF(Drain_Register!$A$5:$A$304,A1101)+COUNTIF(RW_Register!$A$5:$A$304,A1101)+COUNTIF(Embedded_Wall_Register!$A$5:$A$304,A1101)+COUNTIF(Manhole_Register!$A$5:$A$304,A1101)+COUNTIF(ERSS_Pit_Register!$A$5:$A$304,A1101)+COUNTIF(Linkway_Register!$A$5:$A$304,A1101)+COUNTIF(Other_Register!$A$5:$A$304,A1101))&gt;0,"OK","ID not in any register"))</f>
        <v/>
      </c>
    </row>
    <row r="1102" customFormat="false" ht="15" hidden="false" customHeight="false" outlineLevel="0" collapsed="false">
      <c r="A1102" s="9"/>
      <c r="B1102" s="9"/>
      <c r="C1102" s="9"/>
      <c r="D1102" s="9"/>
      <c r="E1102" s="9"/>
      <c r="F1102" s="9"/>
      <c r="G1102" s="9"/>
      <c r="H1102" s="9"/>
      <c r="I1102" s="9"/>
      <c r="J1102" s="10" t="str">
        <f aca="false">IF(A1102="","",IF(G1102&lt;&gt;"",G1102,IF(N(F1102)&gt;0,ROUND(1000/F1102,3),0)))</f>
        <v/>
      </c>
      <c r="K1102" s="10" t="str">
        <f aca="false">IF(OR(A1102="",E1102="",H1102=""),"",ROUND(0.00617*E1102^2*H1102*J1102,2))</f>
        <v/>
      </c>
      <c r="L1102" s="9"/>
      <c r="M1102" s="10" t="str">
        <f aca="false">IF(A1102="","",IF((COUNTIF(Drain_Register!$A$5:$A$304,A1102)+COUNTIF(RW_Register!$A$5:$A$304,A1102)+COUNTIF(Embedded_Wall_Register!$A$5:$A$304,A1102)+COUNTIF(Manhole_Register!$A$5:$A$304,A1102)+COUNTIF(ERSS_Pit_Register!$A$5:$A$304,A1102)+COUNTIF(Linkway_Register!$A$5:$A$304,A1102)+COUNTIF(Other_Register!$A$5:$A$304,A1102))&gt;0,"OK","ID not in any register"))</f>
        <v/>
      </c>
    </row>
    <row r="1103" customFormat="false" ht="15" hidden="false" customHeight="false" outlineLevel="0" collapsed="false">
      <c r="A1103" s="9"/>
      <c r="B1103" s="9"/>
      <c r="C1103" s="9"/>
      <c r="D1103" s="9"/>
      <c r="E1103" s="9"/>
      <c r="F1103" s="9"/>
      <c r="G1103" s="9"/>
      <c r="H1103" s="9"/>
      <c r="I1103" s="9"/>
      <c r="J1103" s="10" t="str">
        <f aca="false">IF(A1103="","",IF(G1103&lt;&gt;"",G1103,IF(N(F1103)&gt;0,ROUND(1000/F1103,3),0)))</f>
        <v/>
      </c>
      <c r="K1103" s="10" t="str">
        <f aca="false">IF(OR(A1103="",E1103="",H1103=""),"",ROUND(0.00617*E1103^2*H1103*J1103,2))</f>
        <v/>
      </c>
      <c r="L1103" s="9"/>
      <c r="M1103" s="10" t="str">
        <f aca="false">IF(A1103="","",IF((COUNTIF(Drain_Register!$A$5:$A$304,A1103)+COUNTIF(RW_Register!$A$5:$A$304,A1103)+COUNTIF(Embedded_Wall_Register!$A$5:$A$304,A1103)+COUNTIF(Manhole_Register!$A$5:$A$304,A1103)+COUNTIF(ERSS_Pit_Register!$A$5:$A$304,A1103)+COUNTIF(Linkway_Register!$A$5:$A$304,A1103)+COUNTIF(Other_Register!$A$5:$A$304,A1103))&gt;0,"OK","ID not in any register"))</f>
        <v/>
      </c>
    </row>
    <row r="1104" customFormat="false" ht="15" hidden="false" customHeight="false" outlineLevel="0" collapsed="false">
      <c r="A1104" s="9"/>
      <c r="B1104" s="9"/>
      <c r="C1104" s="9"/>
      <c r="D1104" s="9"/>
      <c r="E1104" s="9"/>
      <c r="F1104" s="9"/>
      <c r="G1104" s="9"/>
      <c r="H1104" s="9"/>
      <c r="I1104" s="9"/>
      <c r="J1104" s="10" t="str">
        <f aca="false">IF(A1104="","",IF(G1104&lt;&gt;"",G1104,IF(N(F1104)&gt;0,ROUND(1000/F1104,3),0)))</f>
        <v/>
      </c>
      <c r="K1104" s="10" t="str">
        <f aca="false">IF(OR(A1104="",E1104="",H1104=""),"",ROUND(0.00617*E1104^2*H1104*J1104,2))</f>
        <v/>
      </c>
      <c r="L1104" s="9"/>
      <c r="M1104" s="10" t="str">
        <f aca="false">IF(A1104="","",IF((COUNTIF(Drain_Register!$A$5:$A$304,A1104)+COUNTIF(RW_Register!$A$5:$A$304,A1104)+COUNTIF(Embedded_Wall_Register!$A$5:$A$304,A1104)+COUNTIF(Manhole_Register!$A$5:$A$304,A1104)+COUNTIF(ERSS_Pit_Register!$A$5:$A$304,A1104)+COUNTIF(Linkway_Register!$A$5:$A$304,A1104)+COUNTIF(Other_Register!$A$5:$A$304,A1104))&gt;0,"OK","ID not in any register"))</f>
        <v/>
      </c>
    </row>
    <row r="1105" customFormat="false" ht="15" hidden="false" customHeight="false" outlineLevel="0" collapsed="false">
      <c r="A1105" s="9"/>
      <c r="B1105" s="9"/>
      <c r="C1105" s="9"/>
      <c r="D1105" s="9"/>
      <c r="E1105" s="9"/>
      <c r="F1105" s="9"/>
      <c r="G1105" s="9"/>
      <c r="H1105" s="9"/>
      <c r="I1105" s="9"/>
      <c r="J1105" s="10" t="str">
        <f aca="false">IF(A1105="","",IF(G1105&lt;&gt;"",G1105,IF(N(F1105)&gt;0,ROUND(1000/F1105,3),0)))</f>
        <v/>
      </c>
      <c r="K1105" s="10" t="str">
        <f aca="false">IF(OR(A1105="",E1105="",H1105=""),"",ROUND(0.00617*E1105^2*H1105*J1105,2))</f>
        <v/>
      </c>
      <c r="L1105" s="9"/>
      <c r="M1105" s="10" t="str">
        <f aca="false">IF(A1105="","",IF((COUNTIF(Drain_Register!$A$5:$A$304,A1105)+COUNTIF(RW_Register!$A$5:$A$304,A1105)+COUNTIF(Embedded_Wall_Register!$A$5:$A$304,A1105)+COUNTIF(Manhole_Register!$A$5:$A$304,A1105)+COUNTIF(ERSS_Pit_Register!$A$5:$A$304,A1105)+COUNTIF(Linkway_Register!$A$5:$A$304,A1105)+COUNTIF(Other_Register!$A$5:$A$304,A1105))&gt;0,"OK","ID not in any register"))</f>
        <v/>
      </c>
    </row>
    <row r="1106" customFormat="false" ht="15" hidden="false" customHeight="false" outlineLevel="0" collapsed="false">
      <c r="A1106" s="9"/>
      <c r="B1106" s="9"/>
      <c r="C1106" s="9"/>
      <c r="D1106" s="9"/>
      <c r="E1106" s="9"/>
      <c r="F1106" s="9"/>
      <c r="G1106" s="9"/>
      <c r="H1106" s="9"/>
      <c r="I1106" s="9"/>
      <c r="J1106" s="10" t="str">
        <f aca="false">IF(A1106="","",IF(G1106&lt;&gt;"",G1106,IF(N(F1106)&gt;0,ROUND(1000/F1106,3),0)))</f>
        <v/>
      </c>
      <c r="K1106" s="10" t="str">
        <f aca="false">IF(OR(A1106="",E1106="",H1106=""),"",ROUND(0.00617*E1106^2*H1106*J1106,2))</f>
        <v/>
      </c>
      <c r="L1106" s="9"/>
      <c r="M1106" s="10" t="str">
        <f aca="false">IF(A1106="","",IF((COUNTIF(Drain_Register!$A$5:$A$304,A1106)+COUNTIF(RW_Register!$A$5:$A$304,A1106)+COUNTIF(Embedded_Wall_Register!$A$5:$A$304,A1106)+COUNTIF(Manhole_Register!$A$5:$A$304,A1106)+COUNTIF(ERSS_Pit_Register!$A$5:$A$304,A1106)+COUNTIF(Linkway_Register!$A$5:$A$304,A1106)+COUNTIF(Other_Register!$A$5:$A$304,A1106))&gt;0,"OK","ID not in any register"))</f>
        <v/>
      </c>
    </row>
    <row r="1107" customFormat="false" ht="15" hidden="false" customHeight="false" outlineLevel="0" collapsed="false">
      <c r="A1107" s="9"/>
      <c r="B1107" s="9"/>
      <c r="C1107" s="9"/>
      <c r="D1107" s="9"/>
      <c r="E1107" s="9"/>
      <c r="F1107" s="9"/>
      <c r="G1107" s="9"/>
      <c r="H1107" s="9"/>
      <c r="I1107" s="9"/>
      <c r="J1107" s="10" t="str">
        <f aca="false">IF(A1107="","",IF(G1107&lt;&gt;"",G1107,IF(N(F1107)&gt;0,ROUND(1000/F1107,3),0)))</f>
        <v/>
      </c>
      <c r="K1107" s="10" t="str">
        <f aca="false">IF(OR(A1107="",E1107="",H1107=""),"",ROUND(0.00617*E1107^2*H1107*J1107,2))</f>
        <v/>
      </c>
      <c r="L1107" s="9"/>
      <c r="M1107" s="10" t="str">
        <f aca="false">IF(A1107="","",IF((COUNTIF(Drain_Register!$A$5:$A$304,A1107)+COUNTIF(RW_Register!$A$5:$A$304,A1107)+COUNTIF(Embedded_Wall_Register!$A$5:$A$304,A1107)+COUNTIF(Manhole_Register!$A$5:$A$304,A1107)+COUNTIF(ERSS_Pit_Register!$A$5:$A$304,A1107)+COUNTIF(Linkway_Register!$A$5:$A$304,A1107)+COUNTIF(Other_Register!$A$5:$A$304,A1107))&gt;0,"OK","ID not in any register"))</f>
        <v/>
      </c>
    </row>
    <row r="1108" customFormat="false" ht="15" hidden="false" customHeight="false" outlineLevel="0" collapsed="false">
      <c r="A1108" s="9"/>
      <c r="B1108" s="9"/>
      <c r="C1108" s="9"/>
      <c r="D1108" s="9"/>
      <c r="E1108" s="9"/>
      <c r="F1108" s="9"/>
      <c r="G1108" s="9"/>
      <c r="H1108" s="9"/>
      <c r="I1108" s="9"/>
      <c r="J1108" s="10" t="str">
        <f aca="false">IF(A1108="","",IF(G1108&lt;&gt;"",G1108,IF(N(F1108)&gt;0,ROUND(1000/F1108,3),0)))</f>
        <v/>
      </c>
      <c r="K1108" s="10" t="str">
        <f aca="false">IF(OR(A1108="",E1108="",H1108=""),"",ROUND(0.00617*E1108^2*H1108*J1108,2))</f>
        <v/>
      </c>
      <c r="L1108" s="9"/>
      <c r="M1108" s="10" t="str">
        <f aca="false">IF(A1108="","",IF((COUNTIF(Drain_Register!$A$5:$A$304,A1108)+COUNTIF(RW_Register!$A$5:$A$304,A1108)+COUNTIF(Embedded_Wall_Register!$A$5:$A$304,A1108)+COUNTIF(Manhole_Register!$A$5:$A$304,A1108)+COUNTIF(ERSS_Pit_Register!$A$5:$A$304,A1108)+COUNTIF(Linkway_Register!$A$5:$A$304,A1108)+COUNTIF(Other_Register!$A$5:$A$304,A1108))&gt;0,"OK","ID not in any register"))</f>
        <v/>
      </c>
    </row>
    <row r="1109" customFormat="false" ht="15" hidden="false" customHeight="false" outlineLevel="0" collapsed="false">
      <c r="A1109" s="9"/>
      <c r="B1109" s="9"/>
      <c r="C1109" s="9"/>
      <c r="D1109" s="9"/>
      <c r="E1109" s="9"/>
      <c r="F1109" s="9"/>
      <c r="G1109" s="9"/>
      <c r="H1109" s="9"/>
      <c r="I1109" s="9"/>
      <c r="J1109" s="10" t="str">
        <f aca="false">IF(A1109="","",IF(G1109&lt;&gt;"",G1109,IF(N(F1109)&gt;0,ROUND(1000/F1109,3),0)))</f>
        <v/>
      </c>
      <c r="K1109" s="10" t="str">
        <f aca="false">IF(OR(A1109="",E1109="",H1109=""),"",ROUND(0.00617*E1109^2*H1109*J1109,2))</f>
        <v/>
      </c>
      <c r="L1109" s="9"/>
      <c r="M1109" s="10" t="str">
        <f aca="false">IF(A1109="","",IF((COUNTIF(Drain_Register!$A$5:$A$304,A1109)+COUNTIF(RW_Register!$A$5:$A$304,A1109)+COUNTIF(Embedded_Wall_Register!$A$5:$A$304,A1109)+COUNTIF(Manhole_Register!$A$5:$A$304,A1109)+COUNTIF(ERSS_Pit_Register!$A$5:$A$304,A1109)+COUNTIF(Linkway_Register!$A$5:$A$304,A1109)+COUNTIF(Other_Register!$A$5:$A$304,A1109))&gt;0,"OK","ID not in any register"))</f>
        <v/>
      </c>
    </row>
    <row r="1110" customFormat="false" ht="15" hidden="false" customHeight="false" outlineLevel="0" collapsed="false">
      <c r="A1110" s="9"/>
      <c r="B1110" s="9"/>
      <c r="C1110" s="9"/>
      <c r="D1110" s="9"/>
      <c r="E1110" s="9"/>
      <c r="F1110" s="9"/>
      <c r="G1110" s="9"/>
      <c r="H1110" s="9"/>
      <c r="I1110" s="9"/>
      <c r="J1110" s="10" t="str">
        <f aca="false">IF(A1110="","",IF(G1110&lt;&gt;"",G1110,IF(N(F1110)&gt;0,ROUND(1000/F1110,3),0)))</f>
        <v/>
      </c>
      <c r="K1110" s="10" t="str">
        <f aca="false">IF(OR(A1110="",E1110="",H1110=""),"",ROUND(0.00617*E1110^2*H1110*J1110,2))</f>
        <v/>
      </c>
      <c r="L1110" s="9"/>
      <c r="M1110" s="10" t="str">
        <f aca="false">IF(A1110="","",IF((COUNTIF(Drain_Register!$A$5:$A$304,A1110)+COUNTIF(RW_Register!$A$5:$A$304,A1110)+COUNTIF(Embedded_Wall_Register!$A$5:$A$304,A1110)+COUNTIF(Manhole_Register!$A$5:$A$304,A1110)+COUNTIF(ERSS_Pit_Register!$A$5:$A$304,A1110)+COUNTIF(Linkway_Register!$A$5:$A$304,A1110)+COUNTIF(Other_Register!$A$5:$A$304,A1110))&gt;0,"OK","ID not in any register"))</f>
        <v/>
      </c>
    </row>
    <row r="1111" customFormat="false" ht="15" hidden="false" customHeight="false" outlineLevel="0" collapsed="false">
      <c r="A1111" s="9"/>
      <c r="B1111" s="9"/>
      <c r="C1111" s="9"/>
      <c r="D1111" s="9"/>
      <c r="E1111" s="9"/>
      <c r="F1111" s="9"/>
      <c r="G1111" s="9"/>
      <c r="H1111" s="9"/>
      <c r="I1111" s="9"/>
      <c r="J1111" s="10" t="str">
        <f aca="false">IF(A1111="","",IF(G1111&lt;&gt;"",G1111,IF(N(F1111)&gt;0,ROUND(1000/F1111,3),0)))</f>
        <v/>
      </c>
      <c r="K1111" s="10" t="str">
        <f aca="false">IF(OR(A1111="",E1111="",H1111=""),"",ROUND(0.00617*E1111^2*H1111*J1111,2))</f>
        <v/>
      </c>
      <c r="L1111" s="9"/>
      <c r="M1111" s="10" t="str">
        <f aca="false">IF(A1111="","",IF((COUNTIF(Drain_Register!$A$5:$A$304,A1111)+COUNTIF(RW_Register!$A$5:$A$304,A1111)+COUNTIF(Embedded_Wall_Register!$A$5:$A$304,A1111)+COUNTIF(Manhole_Register!$A$5:$A$304,A1111)+COUNTIF(ERSS_Pit_Register!$A$5:$A$304,A1111)+COUNTIF(Linkway_Register!$A$5:$A$304,A1111)+COUNTIF(Other_Register!$A$5:$A$304,A1111))&gt;0,"OK","ID not in any register"))</f>
        <v/>
      </c>
    </row>
    <row r="1112" customFormat="false" ht="15" hidden="false" customHeight="false" outlineLevel="0" collapsed="false">
      <c r="A1112" s="9"/>
      <c r="B1112" s="9"/>
      <c r="C1112" s="9"/>
      <c r="D1112" s="9"/>
      <c r="E1112" s="9"/>
      <c r="F1112" s="9"/>
      <c r="G1112" s="9"/>
      <c r="H1112" s="9"/>
      <c r="I1112" s="9"/>
      <c r="J1112" s="10" t="str">
        <f aca="false">IF(A1112="","",IF(G1112&lt;&gt;"",G1112,IF(N(F1112)&gt;0,ROUND(1000/F1112,3),0)))</f>
        <v/>
      </c>
      <c r="K1112" s="10" t="str">
        <f aca="false">IF(OR(A1112="",E1112="",H1112=""),"",ROUND(0.00617*E1112^2*H1112*J1112,2))</f>
        <v/>
      </c>
      <c r="L1112" s="9"/>
      <c r="M1112" s="10" t="str">
        <f aca="false">IF(A1112="","",IF((COUNTIF(Drain_Register!$A$5:$A$304,A1112)+COUNTIF(RW_Register!$A$5:$A$304,A1112)+COUNTIF(Embedded_Wall_Register!$A$5:$A$304,A1112)+COUNTIF(Manhole_Register!$A$5:$A$304,A1112)+COUNTIF(ERSS_Pit_Register!$A$5:$A$304,A1112)+COUNTIF(Linkway_Register!$A$5:$A$304,A1112)+COUNTIF(Other_Register!$A$5:$A$304,A1112))&gt;0,"OK","ID not in any register"))</f>
        <v/>
      </c>
    </row>
    <row r="1113" customFormat="false" ht="15" hidden="false" customHeight="false" outlineLevel="0" collapsed="false">
      <c r="A1113" s="9"/>
      <c r="B1113" s="9"/>
      <c r="C1113" s="9"/>
      <c r="D1113" s="9"/>
      <c r="E1113" s="9"/>
      <c r="F1113" s="9"/>
      <c r="G1113" s="9"/>
      <c r="H1113" s="9"/>
      <c r="I1113" s="9"/>
      <c r="J1113" s="10" t="str">
        <f aca="false">IF(A1113="","",IF(G1113&lt;&gt;"",G1113,IF(N(F1113)&gt;0,ROUND(1000/F1113,3),0)))</f>
        <v/>
      </c>
      <c r="K1113" s="10" t="str">
        <f aca="false">IF(OR(A1113="",E1113="",H1113=""),"",ROUND(0.00617*E1113^2*H1113*J1113,2))</f>
        <v/>
      </c>
      <c r="L1113" s="9"/>
      <c r="M1113" s="10" t="str">
        <f aca="false">IF(A1113="","",IF((COUNTIF(Drain_Register!$A$5:$A$304,A1113)+COUNTIF(RW_Register!$A$5:$A$304,A1113)+COUNTIF(Embedded_Wall_Register!$A$5:$A$304,A1113)+COUNTIF(Manhole_Register!$A$5:$A$304,A1113)+COUNTIF(ERSS_Pit_Register!$A$5:$A$304,A1113)+COUNTIF(Linkway_Register!$A$5:$A$304,A1113)+COUNTIF(Other_Register!$A$5:$A$304,A1113))&gt;0,"OK","ID not in any register"))</f>
        <v/>
      </c>
    </row>
    <row r="1114" customFormat="false" ht="15" hidden="false" customHeight="false" outlineLevel="0" collapsed="false">
      <c r="A1114" s="9"/>
      <c r="B1114" s="9"/>
      <c r="C1114" s="9"/>
      <c r="D1114" s="9"/>
      <c r="E1114" s="9"/>
      <c r="F1114" s="9"/>
      <c r="G1114" s="9"/>
      <c r="H1114" s="9"/>
      <c r="I1114" s="9"/>
      <c r="J1114" s="10" t="str">
        <f aca="false">IF(A1114="","",IF(G1114&lt;&gt;"",G1114,IF(N(F1114)&gt;0,ROUND(1000/F1114,3),0)))</f>
        <v/>
      </c>
      <c r="K1114" s="10" t="str">
        <f aca="false">IF(OR(A1114="",E1114="",H1114=""),"",ROUND(0.00617*E1114^2*H1114*J1114,2))</f>
        <v/>
      </c>
      <c r="L1114" s="9"/>
      <c r="M1114" s="10" t="str">
        <f aca="false">IF(A1114="","",IF((COUNTIF(Drain_Register!$A$5:$A$304,A1114)+COUNTIF(RW_Register!$A$5:$A$304,A1114)+COUNTIF(Embedded_Wall_Register!$A$5:$A$304,A1114)+COUNTIF(Manhole_Register!$A$5:$A$304,A1114)+COUNTIF(ERSS_Pit_Register!$A$5:$A$304,A1114)+COUNTIF(Linkway_Register!$A$5:$A$304,A1114)+COUNTIF(Other_Register!$A$5:$A$304,A1114))&gt;0,"OK","ID not in any register"))</f>
        <v/>
      </c>
    </row>
    <row r="1115" customFormat="false" ht="15" hidden="false" customHeight="false" outlineLevel="0" collapsed="false">
      <c r="A1115" s="9"/>
      <c r="B1115" s="9"/>
      <c r="C1115" s="9"/>
      <c r="D1115" s="9"/>
      <c r="E1115" s="9"/>
      <c r="F1115" s="9"/>
      <c r="G1115" s="9"/>
      <c r="H1115" s="9"/>
      <c r="I1115" s="9"/>
      <c r="J1115" s="10" t="str">
        <f aca="false">IF(A1115="","",IF(G1115&lt;&gt;"",G1115,IF(N(F1115)&gt;0,ROUND(1000/F1115,3),0)))</f>
        <v/>
      </c>
      <c r="K1115" s="10" t="str">
        <f aca="false">IF(OR(A1115="",E1115="",H1115=""),"",ROUND(0.00617*E1115^2*H1115*J1115,2))</f>
        <v/>
      </c>
      <c r="L1115" s="9"/>
      <c r="M1115" s="10" t="str">
        <f aca="false">IF(A1115="","",IF((COUNTIF(Drain_Register!$A$5:$A$304,A1115)+COUNTIF(RW_Register!$A$5:$A$304,A1115)+COUNTIF(Embedded_Wall_Register!$A$5:$A$304,A1115)+COUNTIF(Manhole_Register!$A$5:$A$304,A1115)+COUNTIF(ERSS_Pit_Register!$A$5:$A$304,A1115)+COUNTIF(Linkway_Register!$A$5:$A$304,A1115)+COUNTIF(Other_Register!$A$5:$A$304,A1115))&gt;0,"OK","ID not in any register"))</f>
        <v/>
      </c>
    </row>
    <row r="1116" customFormat="false" ht="15" hidden="false" customHeight="false" outlineLevel="0" collapsed="false">
      <c r="A1116" s="9"/>
      <c r="B1116" s="9"/>
      <c r="C1116" s="9"/>
      <c r="D1116" s="9"/>
      <c r="E1116" s="9"/>
      <c r="F1116" s="9"/>
      <c r="G1116" s="9"/>
      <c r="H1116" s="9"/>
      <c r="I1116" s="9"/>
      <c r="J1116" s="10" t="str">
        <f aca="false">IF(A1116="","",IF(G1116&lt;&gt;"",G1116,IF(N(F1116)&gt;0,ROUND(1000/F1116,3),0)))</f>
        <v/>
      </c>
      <c r="K1116" s="10" t="str">
        <f aca="false">IF(OR(A1116="",E1116="",H1116=""),"",ROUND(0.00617*E1116^2*H1116*J1116,2))</f>
        <v/>
      </c>
      <c r="L1116" s="9"/>
      <c r="M1116" s="10" t="str">
        <f aca="false">IF(A1116="","",IF((COUNTIF(Drain_Register!$A$5:$A$304,A1116)+COUNTIF(RW_Register!$A$5:$A$304,A1116)+COUNTIF(Embedded_Wall_Register!$A$5:$A$304,A1116)+COUNTIF(Manhole_Register!$A$5:$A$304,A1116)+COUNTIF(ERSS_Pit_Register!$A$5:$A$304,A1116)+COUNTIF(Linkway_Register!$A$5:$A$304,A1116)+COUNTIF(Other_Register!$A$5:$A$304,A1116))&gt;0,"OK","ID not in any register"))</f>
        <v/>
      </c>
    </row>
    <row r="1117" customFormat="false" ht="15" hidden="false" customHeight="false" outlineLevel="0" collapsed="false">
      <c r="A1117" s="9"/>
      <c r="B1117" s="9"/>
      <c r="C1117" s="9"/>
      <c r="D1117" s="9"/>
      <c r="E1117" s="9"/>
      <c r="F1117" s="9"/>
      <c r="G1117" s="9"/>
      <c r="H1117" s="9"/>
      <c r="I1117" s="9"/>
      <c r="J1117" s="10" t="str">
        <f aca="false">IF(A1117="","",IF(G1117&lt;&gt;"",G1117,IF(N(F1117)&gt;0,ROUND(1000/F1117,3),0)))</f>
        <v/>
      </c>
      <c r="K1117" s="10" t="str">
        <f aca="false">IF(OR(A1117="",E1117="",H1117=""),"",ROUND(0.00617*E1117^2*H1117*J1117,2))</f>
        <v/>
      </c>
      <c r="L1117" s="9"/>
      <c r="M1117" s="10" t="str">
        <f aca="false">IF(A1117="","",IF((COUNTIF(Drain_Register!$A$5:$A$304,A1117)+COUNTIF(RW_Register!$A$5:$A$304,A1117)+COUNTIF(Embedded_Wall_Register!$A$5:$A$304,A1117)+COUNTIF(Manhole_Register!$A$5:$A$304,A1117)+COUNTIF(ERSS_Pit_Register!$A$5:$A$304,A1117)+COUNTIF(Linkway_Register!$A$5:$A$304,A1117)+COUNTIF(Other_Register!$A$5:$A$304,A1117))&gt;0,"OK","ID not in any register"))</f>
        <v/>
      </c>
    </row>
    <row r="1118" customFormat="false" ht="15" hidden="false" customHeight="false" outlineLevel="0" collapsed="false">
      <c r="A1118" s="9"/>
      <c r="B1118" s="9"/>
      <c r="C1118" s="9"/>
      <c r="D1118" s="9"/>
      <c r="E1118" s="9"/>
      <c r="F1118" s="9"/>
      <c r="G1118" s="9"/>
      <c r="H1118" s="9"/>
      <c r="I1118" s="9"/>
      <c r="J1118" s="10" t="str">
        <f aca="false">IF(A1118="","",IF(G1118&lt;&gt;"",G1118,IF(N(F1118)&gt;0,ROUND(1000/F1118,3),0)))</f>
        <v/>
      </c>
      <c r="K1118" s="10" t="str">
        <f aca="false">IF(OR(A1118="",E1118="",H1118=""),"",ROUND(0.00617*E1118^2*H1118*J1118,2))</f>
        <v/>
      </c>
      <c r="L1118" s="9"/>
      <c r="M1118" s="10" t="str">
        <f aca="false">IF(A1118="","",IF((COUNTIF(Drain_Register!$A$5:$A$304,A1118)+COUNTIF(RW_Register!$A$5:$A$304,A1118)+COUNTIF(Embedded_Wall_Register!$A$5:$A$304,A1118)+COUNTIF(Manhole_Register!$A$5:$A$304,A1118)+COUNTIF(ERSS_Pit_Register!$A$5:$A$304,A1118)+COUNTIF(Linkway_Register!$A$5:$A$304,A1118)+COUNTIF(Other_Register!$A$5:$A$304,A1118))&gt;0,"OK","ID not in any register"))</f>
        <v/>
      </c>
    </row>
    <row r="1119" customFormat="false" ht="15" hidden="false" customHeight="false" outlineLevel="0" collapsed="false">
      <c r="A1119" s="9"/>
      <c r="B1119" s="9"/>
      <c r="C1119" s="9"/>
      <c r="D1119" s="9"/>
      <c r="E1119" s="9"/>
      <c r="F1119" s="9"/>
      <c r="G1119" s="9"/>
      <c r="H1119" s="9"/>
      <c r="I1119" s="9"/>
      <c r="J1119" s="10" t="str">
        <f aca="false">IF(A1119="","",IF(G1119&lt;&gt;"",G1119,IF(N(F1119)&gt;0,ROUND(1000/F1119,3),0)))</f>
        <v/>
      </c>
      <c r="K1119" s="10" t="str">
        <f aca="false">IF(OR(A1119="",E1119="",H1119=""),"",ROUND(0.00617*E1119^2*H1119*J1119,2))</f>
        <v/>
      </c>
      <c r="L1119" s="9"/>
      <c r="M1119" s="10" t="str">
        <f aca="false">IF(A1119="","",IF((COUNTIF(Drain_Register!$A$5:$A$304,A1119)+COUNTIF(RW_Register!$A$5:$A$304,A1119)+COUNTIF(Embedded_Wall_Register!$A$5:$A$304,A1119)+COUNTIF(Manhole_Register!$A$5:$A$304,A1119)+COUNTIF(ERSS_Pit_Register!$A$5:$A$304,A1119)+COUNTIF(Linkway_Register!$A$5:$A$304,A1119)+COUNTIF(Other_Register!$A$5:$A$304,A1119))&gt;0,"OK","ID not in any register"))</f>
        <v/>
      </c>
    </row>
    <row r="1120" customFormat="false" ht="15" hidden="false" customHeight="false" outlineLevel="0" collapsed="false">
      <c r="A1120" s="9"/>
      <c r="B1120" s="9"/>
      <c r="C1120" s="9"/>
      <c r="D1120" s="9"/>
      <c r="E1120" s="9"/>
      <c r="F1120" s="9"/>
      <c r="G1120" s="9"/>
      <c r="H1120" s="9"/>
      <c r="I1120" s="9"/>
      <c r="J1120" s="10" t="str">
        <f aca="false">IF(A1120="","",IF(G1120&lt;&gt;"",G1120,IF(N(F1120)&gt;0,ROUND(1000/F1120,3),0)))</f>
        <v/>
      </c>
      <c r="K1120" s="10" t="str">
        <f aca="false">IF(OR(A1120="",E1120="",H1120=""),"",ROUND(0.00617*E1120^2*H1120*J1120,2))</f>
        <v/>
      </c>
      <c r="L1120" s="9"/>
      <c r="M1120" s="10" t="str">
        <f aca="false">IF(A1120="","",IF((COUNTIF(Drain_Register!$A$5:$A$304,A1120)+COUNTIF(RW_Register!$A$5:$A$304,A1120)+COUNTIF(Embedded_Wall_Register!$A$5:$A$304,A1120)+COUNTIF(Manhole_Register!$A$5:$A$304,A1120)+COUNTIF(ERSS_Pit_Register!$A$5:$A$304,A1120)+COUNTIF(Linkway_Register!$A$5:$A$304,A1120)+COUNTIF(Other_Register!$A$5:$A$304,A1120))&gt;0,"OK","ID not in any register"))</f>
        <v/>
      </c>
    </row>
    <row r="1121" customFormat="false" ht="15" hidden="false" customHeight="false" outlineLevel="0" collapsed="false">
      <c r="A1121" s="9"/>
      <c r="B1121" s="9"/>
      <c r="C1121" s="9"/>
      <c r="D1121" s="9"/>
      <c r="E1121" s="9"/>
      <c r="F1121" s="9"/>
      <c r="G1121" s="9"/>
      <c r="H1121" s="9"/>
      <c r="I1121" s="9"/>
      <c r="J1121" s="10" t="str">
        <f aca="false">IF(A1121="","",IF(G1121&lt;&gt;"",G1121,IF(N(F1121)&gt;0,ROUND(1000/F1121,3),0)))</f>
        <v/>
      </c>
      <c r="K1121" s="10" t="str">
        <f aca="false">IF(OR(A1121="",E1121="",H1121=""),"",ROUND(0.00617*E1121^2*H1121*J1121,2))</f>
        <v/>
      </c>
      <c r="L1121" s="9"/>
      <c r="M1121" s="10" t="str">
        <f aca="false">IF(A1121="","",IF((COUNTIF(Drain_Register!$A$5:$A$304,A1121)+COUNTIF(RW_Register!$A$5:$A$304,A1121)+COUNTIF(Embedded_Wall_Register!$A$5:$A$304,A1121)+COUNTIF(Manhole_Register!$A$5:$A$304,A1121)+COUNTIF(ERSS_Pit_Register!$A$5:$A$304,A1121)+COUNTIF(Linkway_Register!$A$5:$A$304,A1121)+COUNTIF(Other_Register!$A$5:$A$304,A1121))&gt;0,"OK","ID not in any register"))</f>
        <v/>
      </c>
    </row>
    <row r="1122" customFormat="false" ht="15" hidden="false" customHeight="false" outlineLevel="0" collapsed="false">
      <c r="A1122" s="9"/>
      <c r="B1122" s="9"/>
      <c r="C1122" s="9"/>
      <c r="D1122" s="9"/>
      <c r="E1122" s="9"/>
      <c r="F1122" s="9"/>
      <c r="G1122" s="9"/>
      <c r="H1122" s="9"/>
      <c r="I1122" s="9"/>
      <c r="J1122" s="10" t="str">
        <f aca="false">IF(A1122="","",IF(G1122&lt;&gt;"",G1122,IF(N(F1122)&gt;0,ROUND(1000/F1122,3),0)))</f>
        <v/>
      </c>
      <c r="K1122" s="10" t="str">
        <f aca="false">IF(OR(A1122="",E1122="",H1122=""),"",ROUND(0.00617*E1122^2*H1122*J1122,2))</f>
        <v/>
      </c>
      <c r="L1122" s="9"/>
      <c r="M1122" s="10" t="str">
        <f aca="false">IF(A1122="","",IF((COUNTIF(Drain_Register!$A$5:$A$304,A1122)+COUNTIF(RW_Register!$A$5:$A$304,A1122)+COUNTIF(Embedded_Wall_Register!$A$5:$A$304,A1122)+COUNTIF(Manhole_Register!$A$5:$A$304,A1122)+COUNTIF(ERSS_Pit_Register!$A$5:$A$304,A1122)+COUNTIF(Linkway_Register!$A$5:$A$304,A1122)+COUNTIF(Other_Register!$A$5:$A$304,A1122))&gt;0,"OK","ID not in any register"))</f>
        <v/>
      </c>
    </row>
    <row r="1123" customFormat="false" ht="15" hidden="false" customHeight="false" outlineLevel="0" collapsed="false">
      <c r="A1123" s="9"/>
      <c r="B1123" s="9"/>
      <c r="C1123" s="9"/>
      <c r="D1123" s="9"/>
      <c r="E1123" s="9"/>
      <c r="F1123" s="9"/>
      <c r="G1123" s="9"/>
      <c r="H1123" s="9"/>
      <c r="I1123" s="9"/>
      <c r="J1123" s="10" t="str">
        <f aca="false">IF(A1123="","",IF(G1123&lt;&gt;"",G1123,IF(N(F1123)&gt;0,ROUND(1000/F1123,3),0)))</f>
        <v/>
      </c>
      <c r="K1123" s="10" t="str">
        <f aca="false">IF(OR(A1123="",E1123="",H1123=""),"",ROUND(0.00617*E1123^2*H1123*J1123,2))</f>
        <v/>
      </c>
      <c r="L1123" s="9"/>
      <c r="M1123" s="10" t="str">
        <f aca="false">IF(A1123="","",IF((COUNTIF(Drain_Register!$A$5:$A$304,A1123)+COUNTIF(RW_Register!$A$5:$A$304,A1123)+COUNTIF(Embedded_Wall_Register!$A$5:$A$304,A1123)+COUNTIF(Manhole_Register!$A$5:$A$304,A1123)+COUNTIF(ERSS_Pit_Register!$A$5:$A$304,A1123)+COUNTIF(Linkway_Register!$A$5:$A$304,A1123)+COUNTIF(Other_Register!$A$5:$A$304,A1123))&gt;0,"OK","ID not in any register"))</f>
        <v/>
      </c>
    </row>
    <row r="1124" customFormat="false" ht="15" hidden="false" customHeight="false" outlineLevel="0" collapsed="false">
      <c r="A1124" s="9"/>
      <c r="B1124" s="9"/>
      <c r="C1124" s="9"/>
      <c r="D1124" s="9"/>
      <c r="E1124" s="9"/>
      <c r="F1124" s="9"/>
      <c r="G1124" s="9"/>
      <c r="H1124" s="9"/>
      <c r="I1124" s="9"/>
      <c r="J1124" s="10" t="str">
        <f aca="false">IF(A1124="","",IF(G1124&lt;&gt;"",G1124,IF(N(F1124)&gt;0,ROUND(1000/F1124,3),0)))</f>
        <v/>
      </c>
      <c r="K1124" s="10" t="str">
        <f aca="false">IF(OR(A1124="",E1124="",H1124=""),"",ROUND(0.00617*E1124^2*H1124*J1124,2))</f>
        <v/>
      </c>
      <c r="L1124" s="9"/>
      <c r="M1124" s="10" t="str">
        <f aca="false">IF(A1124="","",IF((COUNTIF(Drain_Register!$A$5:$A$304,A1124)+COUNTIF(RW_Register!$A$5:$A$304,A1124)+COUNTIF(Embedded_Wall_Register!$A$5:$A$304,A1124)+COUNTIF(Manhole_Register!$A$5:$A$304,A1124)+COUNTIF(ERSS_Pit_Register!$A$5:$A$304,A1124)+COUNTIF(Linkway_Register!$A$5:$A$304,A1124)+COUNTIF(Other_Register!$A$5:$A$304,A1124))&gt;0,"OK","ID not in any register"))</f>
        <v/>
      </c>
    </row>
    <row r="1125" customFormat="false" ht="15" hidden="false" customHeight="false" outlineLevel="0" collapsed="false">
      <c r="A1125" s="9"/>
      <c r="B1125" s="9"/>
      <c r="C1125" s="9"/>
      <c r="D1125" s="9"/>
      <c r="E1125" s="9"/>
      <c r="F1125" s="9"/>
      <c r="G1125" s="9"/>
      <c r="H1125" s="9"/>
      <c r="I1125" s="9"/>
      <c r="J1125" s="10" t="str">
        <f aca="false">IF(A1125="","",IF(G1125&lt;&gt;"",G1125,IF(N(F1125)&gt;0,ROUND(1000/F1125,3),0)))</f>
        <v/>
      </c>
      <c r="K1125" s="10" t="str">
        <f aca="false">IF(OR(A1125="",E1125="",H1125=""),"",ROUND(0.00617*E1125^2*H1125*J1125,2))</f>
        <v/>
      </c>
      <c r="L1125" s="9"/>
      <c r="M1125" s="10" t="str">
        <f aca="false">IF(A1125="","",IF((COUNTIF(Drain_Register!$A$5:$A$304,A1125)+COUNTIF(RW_Register!$A$5:$A$304,A1125)+COUNTIF(Embedded_Wall_Register!$A$5:$A$304,A1125)+COUNTIF(Manhole_Register!$A$5:$A$304,A1125)+COUNTIF(ERSS_Pit_Register!$A$5:$A$304,A1125)+COUNTIF(Linkway_Register!$A$5:$A$304,A1125)+COUNTIF(Other_Register!$A$5:$A$304,A1125))&gt;0,"OK","ID not in any register"))</f>
        <v/>
      </c>
    </row>
    <row r="1126" customFormat="false" ht="15" hidden="false" customHeight="false" outlineLevel="0" collapsed="false">
      <c r="A1126" s="9"/>
      <c r="B1126" s="9"/>
      <c r="C1126" s="9"/>
      <c r="D1126" s="9"/>
      <c r="E1126" s="9"/>
      <c r="F1126" s="9"/>
      <c r="G1126" s="9"/>
      <c r="H1126" s="9"/>
      <c r="I1126" s="9"/>
      <c r="J1126" s="10" t="str">
        <f aca="false">IF(A1126="","",IF(G1126&lt;&gt;"",G1126,IF(N(F1126)&gt;0,ROUND(1000/F1126,3),0)))</f>
        <v/>
      </c>
      <c r="K1126" s="10" t="str">
        <f aca="false">IF(OR(A1126="",E1126="",H1126=""),"",ROUND(0.00617*E1126^2*H1126*J1126,2))</f>
        <v/>
      </c>
      <c r="L1126" s="9"/>
      <c r="M1126" s="10" t="str">
        <f aca="false">IF(A1126="","",IF((COUNTIF(Drain_Register!$A$5:$A$304,A1126)+COUNTIF(RW_Register!$A$5:$A$304,A1126)+COUNTIF(Embedded_Wall_Register!$A$5:$A$304,A1126)+COUNTIF(Manhole_Register!$A$5:$A$304,A1126)+COUNTIF(ERSS_Pit_Register!$A$5:$A$304,A1126)+COUNTIF(Linkway_Register!$A$5:$A$304,A1126)+COUNTIF(Other_Register!$A$5:$A$304,A1126))&gt;0,"OK","ID not in any register"))</f>
        <v/>
      </c>
    </row>
    <row r="1127" customFormat="false" ht="15" hidden="false" customHeight="false" outlineLevel="0" collapsed="false">
      <c r="A1127" s="9"/>
      <c r="B1127" s="9"/>
      <c r="C1127" s="9"/>
      <c r="D1127" s="9"/>
      <c r="E1127" s="9"/>
      <c r="F1127" s="9"/>
      <c r="G1127" s="9"/>
      <c r="H1127" s="9"/>
      <c r="I1127" s="9"/>
      <c r="J1127" s="10" t="str">
        <f aca="false">IF(A1127="","",IF(G1127&lt;&gt;"",G1127,IF(N(F1127)&gt;0,ROUND(1000/F1127,3),0)))</f>
        <v/>
      </c>
      <c r="K1127" s="10" t="str">
        <f aca="false">IF(OR(A1127="",E1127="",H1127=""),"",ROUND(0.00617*E1127^2*H1127*J1127,2))</f>
        <v/>
      </c>
      <c r="L1127" s="9"/>
      <c r="M1127" s="10" t="str">
        <f aca="false">IF(A1127="","",IF((COUNTIF(Drain_Register!$A$5:$A$304,A1127)+COUNTIF(RW_Register!$A$5:$A$304,A1127)+COUNTIF(Embedded_Wall_Register!$A$5:$A$304,A1127)+COUNTIF(Manhole_Register!$A$5:$A$304,A1127)+COUNTIF(ERSS_Pit_Register!$A$5:$A$304,A1127)+COUNTIF(Linkway_Register!$A$5:$A$304,A1127)+COUNTIF(Other_Register!$A$5:$A$304,A1127))&gt;0,"OK","ID not in any register"))</f>
        <v/>
      </c>
    </row>
    <row r="1128" customFormat="false" ht="15" hidden="false" customHeight="false" outlineLevel="0" collapsed="false">
      <c r="A1128" s="9"/>
      <c r="B1128" s="9"/>
      <c r="C1128" s="9"/>
      <c r="D1128" s="9"/>
      <c r="E1128" s="9"/>
      <c r="F1128" s="9"/>
      <c r="G1128" s="9"/>
      <c r="H1128" s="9"/>
      <c r="I1128" s="9"/>
      <c r="J1128" s="10" t="str">
        <f aca="false">IF(A1128="","",IF(G1128&lt;&gt;"",G1128,IF(N(F1128)&gt;0,ROUND(1000/F1128,3),0)))</f>
        <v/>
      </c>
      <c r="K1128" s="10" t="str">
        <f aca="false">IF(OR(A1128="",E1128="",H1128=""),"",ROUND(0.00617*E1128^2*H1128*J1128,2))</f>
        <v/>
      </c>
      <c r="L1128" s="9"/>
      <c r="M1128" s="10" t="str">
        <f aca="false">IF(A1128="","",IF((COUNTIF(Drain_Register!$A$5:$A$304,A1128)+COUNTIF(RW_Register!$A$5:$A$304,A1128)+COUNTIF(Embedded_Wall_Register!$A$5:$A$304,A1128)+COUNTIF(Manhole_Register!$A$5:$A$304,A1128)+COUNTIF(ERSS_Pit_Register!$A$5:$A$304,A1128)+COUNTIF(Linkway_Register!$A$5:$A$304,A1128)+COUNTIF(Other_Register!$A$5:$A$304,A1128))&gt;0,"OK","ID not in any register"))</f>
        <v/>
      </c>
    </row>
    <row r="1129" customFormat="false" ht="15" hidden="false" customHeight="false" outlineLevel="0" collapsed="false">
      <c r="A1129" s="9"/>
      <c r="B1129" s="9"/>
      <c r="C1129" s="9"/>
      <c r="D1129" s="9"/>
      <c r="E1129" s="9"/>
      <c r="F1129" s="9"/>
      <c r="G1129" s="9"/>
      <c r="H1129" s="9"/>
      <c r="I1129" s="9"/>
      <c r="J1129" s="10" t="str">
        <f aca="false">IF(A1129="","",IF(G1129&lt;&gt;"",G1129,IF(N(F1129)&gt;0,ROUND(1000/F1129,3),0)))</f>
        <v/>
      </c>
      <c r="K1129" s="10" t="str">
        <f aca="false">IF(OR(A1129="",E1129="",H1129=""),"",ROUND(0.00617*E1129^2*H1129*J1129,2))</f>
        <v/>
      </c>
      <c r="L1129" s="9"/>
      <c r="M1129" s="10" t="str">
        <f aca="false">IF(A1129="","",IF((COUNTIF(Drain_Register!$A$5:$A$304,A1129)+COUNTIF(RW_Register!$A$5:$A$304,A1129)+COUNTIF(Embedded_Wall_Register!$A$5:$A$304,A1129)+COUNTIF(Manhole_Register!$A$5:$A$304,A1129)+COUNTIF(ERSS_Pit_Register!$A$5:$A$304,A1129)+COUNTIF(Linkway_Register!$A$5:$A$304,A1129)+COUNTIF(Other_Register!$A$5:$A$304,A1129))&gt;0,"OK","ID not in any register"))</f>
        <v/>
      </c>
    </row>
    <row r="1130" customFormat="false" ht="15" hidden="false" customHeight="false" outlineLevel="0" collapsed="false">
      <c r="A1130" s="9"/>
      <c r="B1130" s="9"/>
      <c r="C1130" s="9"/>
      <c r="D1130" s="9"/>
      <c r="E1130" s="9"/>
      <c r="F1130" s="9"/>
      <c r="G1130" s="9"/>
      <c r="H1130" s="9"/>
      <c r="I1130" s="9"/>
      <c r="J1130" s="10" t="str">
        <f aca="false">IF(A1130="","",IF(G1130&lt;&gt;"",G1130,IF(N(F1130)&gt;0,ROUND(1000/F1130,3),0)))</f>
        <v/>
      </c>
      <c r="K1130" s="10" t="str">
        <f aca="false">IF(OR(A1130="",E1130="",H1130=""),"",ROUND(0.00617*E1130^2*H1130*J1130,2))</f>
        <v/>
      </c>
      <c r="L1130" s="9"/>
      <c r="M1130" s="10" t="str">
        <f aca="false">IF(A1130="","",IF((COUNTIF(Drain_Register!$A$5:$A$304,A1130)+COUNTIF(RW_Register!$A$5:$A$304,A1130)+COUNTIF(Embedded_Wall_Register!$A$5:$A$304,A1130)+COUNTIF(Manhole_Register!$A$5:$A$304,A1130)+COUNTIF(ERSS_Pit_Register!$A$5:$A$304,A1130)+COUNTIF(Linkway_Register!$A$5:$A$304,A1130)+COUNTIF(Other_Register!$A$5:$A$304,A1130))&gt;0,"OK","ID not in any register"))</f>
        <v/>
      </c>
    </row>
    <row r="1131" customFormat="false" ht="15" hidden="false" customHeight="false" outlineLevel="0" collapsed="false">
      <c r="A1131" s="9"/>
      <c r="B1131" s="9"/>
      <c r="C1131" s="9"/>
      <c r="D1131" s="9"/>
      <c r="E1131" s="9"/>
      <c r="F1131" s="9"/>
      <c r="G1131" s="9"/>
      <c r="H1131" s="9"/>
      <c r="I1131" s="9"/>
      <c r="J1131" s="10" t="str">
        <f aca="false">IF(A1131="","",IF(G1131&lt;&gt;"",G1131,IF(N(F1131)&gt;0,ROUND(1000/F1131,3),0)))</f>
        <v/>
      </c>
      <c r="K1131" s="10" t="str">
        <f aca="false">IF(OR(A1131="",E1131="",H1131=""),"",ROUND(0.00617*E1131^2*H1131*J1131,2))</f>
        <v/>
      </c>
      <c r="L1131" s="9"/>
      <c r="M1131" s="10" t="str">
        <f aca="false">IF(A1131="","",IF((COUNTIF(Drain_Register!$A$5:$A$304,A1131)+COUNTIF(RW_Register!$A$5:$A$304,A1131)+COUNTIF(Embedded_Wall_Register!$A$5:$A$304,A1131)+COUNTIF(Manhole_Register!$A$5:$A$304,A1131)+COUNTIF(ERSS_Pit_Register!$A$5:$A$304,A1131)+COUNTIF(Linkway_Register!$A$5:$A$304,A1131)+COUNTIF(Other_Register!$A$5:$A$304,A1131))&gt;0,"OK","ID not in any register"))</f>
        <v/>
      </c>
    </row>
    <row r="1132" customFormat="false" ht="15" hidden="false" customHeight="false" outlineLevel="0" collapsed="false">
      <c r="A1132" s="9"/>
      <c r="B1132" s="9"/>
      <c r="C1132" s="9"/>
      <c r="D1132" s="9"/>
      <c r="E1132" s="9"/>
      <c r="F1132" s="9"/>
      <c r="G1132" s="9"/>
      <c r="H1132" s="9"/>
      <c r="I1132" s="9"/>
      <c r="J1132" s="10" t="str">
        <f aca="false">IF(A1132="","",IF(G1132&lt;&gt;"",G1132,IF(N(F1132)&gt;0,ROUND(1000/F1132,3),0)))</f>
        <v/>
      </c>
      <c r="K1132" s="10" t="str">
        <f aca="false">IF(OR(A1132="",E1132="",H1132=""),"",ROUND(0.00617*E1132^2*H1132*J1132,2))</f>
        <v/>
      </c>
      <c r="L1132" s="9"/>
      <c r="M1132" s="10" t="str">
        <f aca="false">IF(A1132="","",IF((COUNTIF(Drain_Register!$A$5:$A$304,A1132)+COUNTIF(RW_Register!$A$5:$A$304,A1132)+COUNTIF(Embedded_Wall_Register!$A$5:$A$304,A1132)+COUNTIF(Manhole_Register!$A$5:$A$304,A1132)+COUNTIF(ERSS_Pit_Register!$A$5:$A$304,A1132)+COUNTIF(Linkway_Register!$A$5:$A$304,A1132)+COUNTIF(Other_Register!$A$5:$A$304,A1132))&gt;0,"OK","ID not in any register"))</f>
        <v/>
      </c>
    </row>
    <row r="1133" customFormat="false" ht="15" hidden="false" customHeight="false" outlineLevel="0" collapsed="false">
      <c r="A1133" s="9"/>
      <c r="B1133" s="9"/>
      <c r="C1133" s="9"/>
      <c r="D1133" s="9"/>
      <c r="E1133" s="9"/>
      <c r="F1133" s="9"/>
      <c r="G1133" s="9"/>
      <c r="H1133" s="9"/>
      <c r="I1133" s="9"/>
      <c r="J1133" s="10" t="str">
        <f aca="false">IF(A1133="","",IF(G1133&lt;&gt;"",G1133,IF(N(F1133)&gt;0,ROUND(1000/F1133,3),0)))</f>
        <v/>
      </c>
      <c r="K1133" s="10" t="str">
        <f aca="false">IF(OR(A1133="",E1133="",H1133=""),"",ROUND(0.00617*E1133^2*H1133*J1133,2))</f>
        <v/>
      </c>
      <c r="L1133" s="9"/>
      <c r="M1133" s="10" t="str">
        <f aca="false">IF(A1133="","",IF((COUNTIF(Drain_Register!$A$5:$A$304,A1133)+COUNTIF(RW_Register!$A$5:$A$304,A1133)+COUNTIF(Embedded_Wall_Register!$A$5:$A$304,A1133)+COUNTIF(Manhole_Register!$A$5:$A$304,A1133)+COUNTIF(ERSS_Pit_Register!$A$5:$A$304,A1133)+COUNTIF(Linkway_Register!$A$5:$A$304,A1133)+COUNTIF(Other_Register!$A$5:$A$304,A1133))&gt;0,"OK","ID not in any register"))</f>
        <v/>
      </c>
    </row>
    <row r="1134" customFormat="false" ht="15" hidden="false" customHeight="false" outlineLevel="0" collapsed="false">
      <c r="A1134" s="9"/>
      <c r="B1134" s="9"/>
      <c r="C1134" s="9"/>
      <c r="D1134" s="9"/>
      <c r="E1134" s="9"/>
      <c r="F1134" s="9"/>
      <c r="G1134" s="9"/>
      <c r="H1134" s="9"/>
      <c r="I1134" s="9"/>
      <c r="J1134" s="10" t="str">
        <f aca="false">IF(A1134="","",IF(G1134&lt;&gt;"",G1134,IF(N(F1134)&gt;0,ROUND(1000/F1134,3),0)))</f>
        <v/>
      </c>
      <c r="K1134" s="10" t="str">
        <f aca="false">IF(OR(A1134="",E1134="",H1134=""),"",ROUND(0.00617*E1134^2*H1134*J1134,2))</f>
        <v/>
      </c>
      <c r="L1134" s="9"/>
      <c r="M1134" s="10" t="str">
        <f aca="false">IF(A1134="","",IF((COUNTIF(Drain_Register!$A$5:$A$304,A1134)+COUNTIF(RW_Register!$A$5:$A$304,A1134)+COUNTIF(Embedded_Wall_Register!$A$5:$A$304,A1134)+COUNTIF(Manhole_Register!$A$5:$A$304,A1134)+COUNTIF(ERSS_Pit_Register!$A$5:$A$304,A1134)+COUNTIF(Linkway_Register!$A$5:$A$304,A1134)+COUNTIF(Other_Register!$A$5:$A$304,A1134))&gt;0,"OK","ID not in any register"))</f>
        <v/>
      </c>
    </row>
    <row r="1135" customFormat="false" ht="15" hidden="false" customHeight="false" outlineLevel="0" collapsed="false">
      <c r="A1135" s="9"/>
      <c r="B1135" s="9"/>
      <c r="C1135" s="9"/>
      <c r="D1135" s="9"/>
      <c r="E1135" s="9"/>
      <c r="F1135" s="9"/>
      <c r="G1135" s="9"/>
      <c r="H1135" s="9"/>
      <c r="I1135" s="9"/>
      <c r="J1135" s="10" t="str">
        <f aca="false">IF(A1135="","",IF(G1135&lt;&gt;"",G1135,IF(N(F1135)&gt;0,ROUND(1000/F1135,3),0)))</f>
        <v/>
      </c>
      <c r="K1135" s="10" t="str">
        <f aca="false">IF(OR(A1135="",E1135="",H1135=""),"",ROUND(0.00617*E1135^2*H1135*J1135,2))</f>
        <v/>
      </c>
      <c r="L1135" s="9"/>
      <c r="M1135" s="10" t="str">
        <f aca="false">IF(A1135="","",IF((COUNTIF(Drain_Register!$A$5:$A$304,A1135)+COUNTIF(RW_Register!$A$5:$A$304,A1135)+COUNTIF(Embedded_Wall_Register!$A$5:$A$304,A1135)+COUNTIF(Manhole_Register!$A$5:$A$304,A1135)+COUNTIF(ERSS_Pit_Register!$A$5:$A$304,A1135)+COUNTIF(Linkway_Register!$A$5:$A$304,A1135)+COUNTIF(Other_Register!$A$5:$A$304,A1135))&gt;0,"OK","ID not in any register"))</f>
        <v/>
      </c>
    </row>
    <row r="1136" customFormat="false" ht="15" hidden="false" customHeight="false" outlineLevel="0" collapsed="false">
      <c r="A1136" s="9"/>
      <c r="B1136" s="9"/>
      <c r="C1136" s="9"/>
      <c r="D1136" s="9"/>
      <c r="E1136" s="9"/>
      <c r="F1136" s="9"/>
      <c r="G1136" s="9"/>
      <c r="H1136" s="9"/>
      <c r="I1136" s="9"/>
      <c r="J1136" s="10" t="str">
        <f aca="false">IF(A1136="","",IF(G1136&lt;&gt;"",G1136,IF(N(F1136)&gt;0,ROUND(1000/F1136,3),0)))</f>
        <v/>
      </c>
      <c r="K1136" s="10" t="str">
        <f aca="false">IF(OR(A1136="",E1136="",H1136=""),"",ROUND(0.00617*E1136^2*H1136*J1136,2))</f>
        <v/>
      </c>
      <c r="L1136" s="9"/>
      <c r="M1136" s="10" t="str">
        <f aca="false">IF(A1136="","",IF((COUNTIF(Drain_Register!$A$5:$A$304,A1136)+COUNTIF(RW_Register!$A$5:$A$304,A1136)+COUNTIF(Embedded_Wall_Register!$A$5:$A$304,A1136)+COUNTIF(Manhole_Register!$A$5:$A$304,A1136)+COUNTIF(ERSS_Pit_Register!$A$5:$A$304,A1136)+COUNTIF(Linkway_Register!$A$5:$A$304,A1136)+COUNTIF(Other_Register!$A$5:$A$304,A1136))&gt;0,"OK","ID not in any register"))</f>
        <v/>
      </c>
    </row>
    <row r="1137" customFormat="false" ht="15" hidden="false" customHeight="false" outlineLevel="0" collapsed="false">
      <c r="A1137" s="9"/>
      <c r="B1137" s="9"/>
      <c r="C1137" s="9"/>
      <c r="D1137" s="9"/>
      <c r="E1137" s="9"/>
      <c r="F1137" s="9"/>
      <c r="G1137" s="9"/>
      <c r="H1137" s="9"/>
      <c r="I1137" s="9"/>
      <c r="J1137" s="10" t="str">
        <f aca="false">IF(A1137="","",IF(G1137&lt;&gt;"",G1137,IF(N(F1137)&gt;0,ROUND(1000/F1137,3),0)))</f>
        <v/>
      </c>
      <c r="K1137" s="10" t="str">
        <f aca="false">IF(OR(A1137="",E1137="",H1137=""),"",ROUND(0.00617*E1137^2*H1137*J1137,2))</f>
        <v/>
      </c>
      <c r="L1137" s="9"/>
      <c r="M1137" s="10" t="str">
        <f aca="false">IF(A1137="","",IF((COUNTIF(Drain_Register!$A$5:$A$304,A1137)+COUNTIF(RW_Register!$A$5:$A$304,A1137)+COUNTIF(Embedded_Wall_Register!$A$5:$A$304,A1137)+COUNTIF(Manhole_Register!$A$5:$A$304,A1137)+COUNTIF(ERSS_Pit_Register!$A$5:$A$304,A1137)+COUNTIF(Linkway_Register!$A$5:$A$304,A1137)+COUNTIF(Other_Register!$A$5:$A$304,A1137))&gt;0,"OK","ID not in any register"))</f>
        <v/>
      </c>
    </row>
    <row r="1138" customFormat="false" ht="15" hidden="false" customHeight="false" outlineLevel="0" collapsed="false">
      <c r="A1138" s="9"/>
      <c r="B1138" s="9"/>
      <c r="C1138" s="9"/>
      <c r="D1138" s="9"/>
      <c r="E1138" s="9"/>
      <c r="F1138" s="9"/>
      <c r="G1138" s="9"/>
      <c r="H1138" s="9"/>
      <c r="I1138" s="9"/>
      <c r="J1138" s="10" t="str">
        <f aca="false">IF(A1138="","",IF(G1138&lt;&gt;"",G1138,IF(N(F1138)&gt;0,ROUND(1000/F1138,3),0)))</f>
        <v/>
      </c>
      <c r="K1138" s="10" t="str">
        <f aca="false">IF(OR(A1138="",E1138="",H1138=""),"",ROUND(0.00617*E1138^2*H1138*J1138,2))</f>
        <v/>
      </c>
      <c r="L1138" s="9"/>
      <c r="M1138" s="10" t="str">
        <f aca="false">IF(A1138="","",IF((COUNTIF(Drain_Register!$A$5:$A$304,A1138)+COUNTIF(RW_Register!$A$5:$A$304,A1138)+COUNTIF(Embedded_Wall_Register!$A$5:$A$304,A1138)+COUNTIF(Manhole_Register!$A$5:$A$304,A1138)+COUNTIF(ERSS_Pit_Register!$A$5:$A$304,A1138)+COUNTIF(Linkway_Register!$A$5:$A$304,A1138)+COUNTIF(Other_Register!$A$5:$A$304,A1138))&gt;0,"OK","ID not in any register"))</f>
        <v/>
      </c>
    </row>
    <row r="1139" customFormat="false" ht="15" hidden="false" customHeight="false" outlineLevel="0" collapsed="false">
      <c r="A1139" s="9"/>
      <c r="B1139" s="9"/>
      <c r="C1139" s="9"/>
      <c r="D1139" s="9"/>
      <c r="E1139" s="9"/>
      <c r="F1139" s="9"/>
      <c r="G1139" s="9"/>
      <c r="H1139" s="9"/>
      <c r="I1139" s="9"/>
      <c r="J1139" s="10" t="str">
        <f aca="false">IF(A1139="","",IF(G1139&lt;&gt;"",G1139,IF(N(F1139)&gt;0,ROUND(1000/F1139,3),0)))</f>
        <v/>
      </c>
      <c r="K1139" s="10" t="str">
        <f aca="false">IF(OR(A1139="",E1139="",H1139=""),"",ROUND(0.00617*E1139^2*H1139*J1139,2))</f>
        <v/>
      </c>
      <c r="L1139" s="9"/>
      <c r="M1139" s="10" t="str">
        <f aca="false">IF(A1139="","",IF((COUNTIF(Drain_Register!$A$5:$A$304,A1139)+COUNTIF(RW_Register!$A$5:$A$304,A1139)+COUNTIF(Embedded_Wall_Register!$A$5:$A$304,A1139)+COUNTIF(Manhole_Register!$A$5:$A$304,A1139)+COUNTIF(ERSS_Pit_Register!$A$5:$A$304,A1139)+COUNTIF(Linkway_Register!$A$5:$A$304,A1139)+COUNTIF(Other_Register!$A$5:$A$304,A1139))&gt;0,"OK","ID not in any register"))</f>
        <v/>
      </c>
    </row>
    <row r="1140" customFormat="false" ht="15" hidden="false" customHeight="false" outlineLevel="0" collapsed="false">
      <c r="A1140" s="9"/>
      <c r="B1140" s="9"/>
      <c r="C1140" s="9"/>
      <c r="D1140" s="9"/>
      <c r="E1140" s="9"/>
      <c r="F1140" s="9"/>
      <c r="G1140" s="9"/>
      <c r="H1140" s="9"/>
      <c r="I1140" s="9"/>
      <c r="J1140" s="10" t="str">
        <f aca="false">IF(A1140="","",IF(G1140&lt;&gt;"",G1140,IF(N(F1140)&gt;0,ROUND(1000/F1140,3),0)))</f>
        <v/>
      </c>
      <c r="K1140" s="10" t="str">
        <f aca="false">IF(OR(A1140="",E1140="",H1140=""),"",ROUND(0.00617*E1140^2*H1140*J1140,2))</f>
        <v/>
      </c>
      <c r="L1140" s="9"/>
      <c r="M1140" s="10" t="str">
        <f aca="false">IF(A1140="","",IF((COUNTIF(Drain_Register!$A$5:$A$304,A1140)+COUNTIF(RW_Register!$A$5:$A$304,A1140)+COUNTIF(Embedded_Wall_Register!$A$5:$A$304,A1140)+COUNTIF(Manhole_Register!$A$5:$A$304,A1140)+COUNTIF(ERSS_Pit_Register!$A$5:$A$304,A1140)+COUNTIF(Linkway_Register!$A$5:$A$304,A1140)+COUNTIF(Other_Register!$A$5:$A$304,A1140))&gt;0,"OK","ID not in any register"))</f>
        <v/>
      </c>
    </row>
    <row r="1141" customFormat="false" ht="15" hidden="false" customHeight="false" outlineLevel="0" collapsed="false">
      <c r="A1141" s="9"/>
      <c r="B1141" s="9"/>
      <c r="C1141" s="9"/>
      <c r="D1141" s="9"/>
      <c r="E1141" s="9"/>
      <c r="F1141" s="9"/>
      <c r="G1141" s="9"/>
      <c r="H1141" s="9"/>
      <c r="I1141" s="9"/>
      <c r="J1141" s="10" t="str">
        <f aca="false">IF(A1141="","",IF(G1141&lt;&gt;"",G1141,IF(N(F1141)&gt;0,ROUND(1000/F1141,3),0)))</f>
        <v/>
      </c>
      <c r="K1141" s="10" t="str">
        <f aca="false">IF(OR(A1141="",E1141="",H1141=""),"",ROUND(0.00617*E1141^2*H1141*J1141,2))</f>
        <v/>
      </c>
      <c r="L1141" s="9"/>
      <c r="M1141" s="10" t="str">
        <f aca="false">IF(A1141="","",IF((COUNTIF(Drain_Register!$A$5:$A$304,A1141)+COUNTIF(RW_Register!$A$5:$A$304,A1141)+COUNTIF(Embedded_Wall_Register!$A$5:$A$304,A1141)+COUNTIF(Manhole_Register!$A$5:$A$304,A1141)+COUNTIF(ERSS_Pit_Register!$A$5:$A$304,A1141)+COUNTIF(Linkway_Register!$A$5:$A$304,A1141)+COUNTIF(Other_Register!$A$5:$A$304,A1141))&gt;0,"OK","ID not in any register"))</f>
        <v/>
      </c>
    </row>
    <row r="1142" customFormat="false" ht="15" hidden="false" customHeight="false" outlineLevel="0" collapsed="false">
      <c r="A1142" s="9"/>
      <c r="B1142" s="9"/>
      <c r="C1142" s="9"/>
      <c r="D1142" s="9"/>
      <c r="E1142" s="9"/>
      <c r="F1142" s="9"/>
      <c r="G1142" s="9"/>
      <c r="H1142" s="9"/>
      <c r="I1142" s="9"/>
      <c r="J1142" s="10" t="str">
        <f aca="false">IF(A1142="","",IF(G1142&lt;&gt;"",G1142,IF(N(F1142)&gt;0,ROUND(1000/F1142,3),0)))</f>
        <v/>
      </c>
      <c r="K1142" s="10" t="str">
        <f aca="false">IF(OR(A1142="",E1142="",H1142=""),"",ROUND(0.00617*E1142^2*H1142*J1142,2))</f>
        <v/>
      </c>
      <c r="L1142" s="9"/>
      <c r="M1142" s="10" t="str">
        <f aca="false">IF(A1142="","",IF((COUNTIF(Drain_Register!$A$5:$A$304,A1142)+COUNTIF(RW_Register!$A$5:$A$304,A1142)+COUNTIF(Embedded_Wall_Register!$A$5:$A$304,A1142)+COUNTIF(Manhole_Register!$A$5:$A$304,A1142)+COUNTIF(ERSS_Pit_Register!$A$5:$A$304,A1142)+COUNTIF(Linkway_Register!$A$5:$A$304,A1142)+COUNTIF(Other_Register!$A$5:$A$304,A1142))&gt;0,"OK","ID not in any register"))</f>
        <v/>
      </c>
    </row>
    <row r="1143" customFormat="false" ht="15" hidden="false" customHeight="false" outlineLevel="0" collapsed="false">
      <c r="A1143" s="9"/>
      <c r="B1143" s="9"/>
      <c r="C1143" s="9"/>
      <c r="D1143" s="9"/>
      <c r="E1143" s="9"/>
      <c r="F1143" s="9"/>
      <c r="G1143" s="9"/>
      <c r="H1143" s="9"/>
      <c r="I1143" s="9"/>
      <c r="J1143" s="10" t="str">
        <f aca="false">IF(A1143="","",IF(G1143&lt;&gt;"",G1143,IF(N(F1143)&gt;0,ROUND(1000/F1143,3),0)))</f>
        <v/>
      </c>
      <c r="K1143" s="10" t="str">
        <f aca="false">IF(OR(A1143="",E1143="",H1143=""),"",ROUND(0.00617*E1143^2*H1143*J1143,2))</f>
        <v/>
      </c>
      <c r="L1143" s="9"/>
      <c r="M1143" s="10" t="str">
        <f aca="false">IF(A1143="","",IF((COUNTIF(Drain_Register!$A$5:$A$304,A1143)+COUNTIF(RW_Register!$A$5:$A$304,A1143)+COUNTIF(Embedded_Wall_Register!$A$5:$A$304,A1143)+COUNTIF(Manhole_Register!$A$5:$A$304,A1143)+COUNTIF(ERSS_Pit_Register!$A$5:$A$304,A1143)+COUNTIF(Linkway_Register!$A$5:$A$304,A1143)+COUNTIF(Other_Register!$A$5:$A$304,A1143))&gt;0,"OK","ID not in any register"))</f>
        <v/>
      </c>
    </row>
    <row r="1144" customFormat="false" ht="15" hidden="false" customHeight="false" outlineLevel="0" collapsed="false">
      <c r="A1144" s="9"/>
      <c r="B1144" s="9"/>
      <c r="C1144" s="9"/>
      <c r="D1144" s="9"/>
      <c r="E1144" s="9"/>
      <c r="F1144" s="9"/>
      <c r="G1144" s="9"/>
      <c r="H1144" s="9"/>
      <c r="I1144" s="9"/>
      <c r="J1144" s="10" t="str">
        <f aca="false">IF(A1144="","",IF(G1144&lt;&gt;"",G1144,IF(N(F1144)&gt;0,ROUND(1000/F1144,3),0)))</f>
        <v/>
      </c>
      <c r="K1144" s="10" t="str">
        <f aca="false">IF(OR(A1144="",E1144="",H1144=""),"",ROUND(0.00617*E1144^2*H1144*J1144,2))</f>
        <v/>
      </c>
      <c r="L1144" s="9"/>
      <c r="M1144" s="10" t="str">
        <f aca="false">IF(A1144="","",IF((COUNTIF(Drain_Register!$A$5:$A$304,A1144)+COUNTIF(RW_Register!$A$5:$A$304,A1144)+COUNTIF(Embedded_Wall_Register!$A$5:$A$304,A1144)+COUNTIF(Manhole_Register!$A$5:$A$304,A1144)+COUNTIF(ERSS_Pit_Register!$A$5:$A$304,A1144)+COUNTIF(Linkway_Register!$A$5:$A$304,A1144)+COUNTIF(Other_Register!$A$5:$A$304,A1144))&gt;0,"OK","ID not in any register"))</f>
        <v/>
      </c>
    </row>
    <row r="1145" customFormat="false" ht="15" hidden="false" customHeight="false" outlineLevel="0" collapsed="false">
      <c r="A1145" s="9"/>
      <c r="B1145" s="9"/>
      <c r="C1145" s="9"/>
      <c r="D1145" s="9"/>
      <c r="E1145" s="9"/>
      <c r="F1145" s="9"/>
      <c r="G1145" s="9"/>
      <c r="H1145" s="9"/>
      <c r="I1145" s="9"/>
      <c r="J1145" s="10" t="str">
        <f aca="false">IF(A1145="","",IF(G1145&lt;&gt;"",G1145,IF(N(F1145)&gt;0,ROUND(1000/F1145,3),0)))</f>
        <v/>
      </c>
      <c r="K1145" s="10" t="str">
        <f aca="false">IF(OR(A1145="",E1145="",H1145=""),"",ROUND(0.00617*E1145^2*H1145*J1145,2))</f>
        <v/>
      </c>
      <c r="L1145" s="9"/>
      <c r="M1145" s="10" t="str">
        <f aca="false">IF(A1145="","",IF((COUNTIF(Drain_Register!$A$5:$A$304,A1145)+COUNTIF(RW_Register!$A$5:$A$304,A1145)+COUNTIF(Embedded_Wall_Register!$A$5:$A$304,A1145)+COUNTIF(Manhole_Register!$A$5:$A$304,A1145)+COUNTIF(ERSS_Pit_Register!$A$5:$A$304,A1145)+COUNTIF(Linkway_Register!$A$5:$A$304,A1145)+COUNTIF(Other_Register!$A$5:$A$304,A1145))&gt;0,"OK","ID not in any register"))</f>
        <v/>
      </c>
    </row>
    <row r="1146" customFormat="false" ht="15" hidden="false" customHeight="false" outlineLevel="0" collapsed="false">
      <c r="A1146" s="9"/>
      <c r="B1146" s="9"/>
      <c r="C1146" s="9"/>
      <c r="D1146" s="9"/>
      <c r="E1146" s="9"/>
      <c r="F1146" s="9"/>
      <c r="G1146" s="9"/>
      <c r="H1146" s="9"/>
      <c r="I1146" s="9"/>
      <c r="J1146" s="10" t="str">
        <f aca="false">IF(A1146="","",IF(G1146&lt;&gt;"",G1146,IF(N(F1146)&gt;0,ROUND(1000/F1146,3),0)))</f>
        <v/>
      </c>
      <c r="K1146" s="10" t="str">
        <f aca="false">IF(OR(A1146="",E1146="",H1146=""),"",ROUND(0.00617*E1146^2*H1146*J1146,2))</f>
        <v/>
      </c>
      <c r="L1146" s="9"/>
      <c r="M1146" s="10" t="str">
        <f aca="false">IF(A1146="","",IF((COUNTIF(Drain_Register!$A$5:$A$304,A1146)+COUNTIF(RW_Register!$A$5:$A$304,A1146)+COUNTIF(Embedded_Wall_Register!$A$5:$A$304,A1146)+COUNTIF(Manhole_Register!$A$5:$A$304,A1146)+COUNTIF(ERSS_Pit_Register!$A$5:$A$304,A1146)+COUNTIF(Linkway_Register!$A$5:$A$304,A1146)+COUNTIF(Other_Register!$A$5:$A$304,A1146))&gt;0,"OK","ID not in any register"))</f>
        <v/>
      </c>
    </row>
    <row r="1147" customFormat="false" ht="15" hidden="false" customHeight="false" outlineLevel="0" collapsed="false">
      <c r="A1147" s="9"/>
      <c r="B1147" s="9"/>
      <c r="C1147" s="9"/>
      <c r="D1147" s="9"/>
      <c r="E1147" s="9"/>
      <c r="F1147" s="9"/>
      <c r="G1147" s="9"/>
      <c r="H1147" s="9"/>
      <c r="I1147" s="9"/>
      <c r="J1147" s="10" t="str">
        <f aca="false">IF(A1147="","",IF(G1147&lt;&gt;"",G1147,IF(N(F1147)&gt;0,ROUND(1000/F1147,3),0)))</f>
        <v/>
      </c>
      <c r="K1147" s="10" t="str">
        <f aca="false">IF(OR(A1147="",E1147="",H1147=""),"",ROUND(0.00617*E1147^2*H1147*J1147,2))</f>
        <v/>
      </c>
      <c r="L1147" s="9"/>
      <c r="M1147" s="10" t="str">
        <f aca="false">IF(A1147="","",IF((COUNTIF(Drain_Register!$A$5:$A$304,A1147)+COUNTIF(RW_Register!$A$5:$A$304,A1147)+COUNTIF(Embedded_Wall_Register!$A$5:$A$304,A1147)+COUNTIF(Manhole_Register!$A$5:$A$304,A1147)+COUNTIF(ERSS_Pit_Register!$A$5:$A$304,A1147)+COUNTIF(Linkway_Register!$A$5:$A$304,A1147)+COUNTIF(Other_Register!$A$5:$A$304,A1147))&gt;0,"OK","ID not in any register"))</f>
        <v/>
      </c>
    </row>
    <row r="1148" customFormat="false" ht="15" hidden="false" customHeight="false" outlineLevel="0" collapsed="false">
      <c r="A1148" s="9"/>
      <c r="B1148" s="9"/>
      <c r="C1148" s="9"/>
      <c r="D1148" s="9"/>
      <c r="E1148" s="9"/>
      <c r="F1148" s="9"/>
      <c r="G1148" s="9"/>
      <c r="H1148" s="9"/>
      <c r="I1148" s="9"/>
      <c r="J1148" s="10" t="str">
        <f aca="false">IF(A1148="","",IF(G1148&lt;&gt;"",G1148,IF(N(F1148)&gt;0,ROUND(1000/F1148,3),0)))</f>
        <v/>
      </c>
      <c r="K1148" s="10" t="str">
        <f aca="false">IF(OR(A1148="",E1148="",H1148=""),"",ROUND(0.00617*E1148^2*H1148*J1148,2))</f>
        <v/>
      </c>
      <c r="L1148" s="9"/>
      <c r="M1148" s="10" t="str">
        <f aca="false">IF(A1148="","",IF((COUNTIF(Drain_Register!$A$5:$A$304,A1148)+COUNTIF(RW_Register!$A$5:$A$304,A1148)+COUNTIF(Embedded_Wall_Register!$A$5:$A$304,A1148)+COUNTIF(Manhole_Register!$A$5:$A$304,A1148)+COUNTIF(ERSS_Pit_Register!$A$5:$A$304,A1148)+COUNTIF(Linkway_Register!$A$5:$A$304,A1148)+COUNTIF(Other_Register!$A$5:$A$304,A1148))&gt;0,"OK","ID not in any register"))</f>
        <v/>
      </c>
    </row>
    <row r="1149" customFormat="false" ht="15" hidden="false" customHeight="false" outlineLevel="0" collapsed="false">
      <c r="A1149" s="9"/>
      <c r="B1149" s="9"/>
      <c r="C1149" s="9"/>
      <c r="D1149" s="9"/>
      <c r="E1149" s="9"/>
      <c r="F1149" s="9"/>
      <c r="G1149" s="9"/>
      <c r="H1149" s="9"/>
      <c r="I1149" s="9"/>
      <c r="J1149" s="10" t="str">
        <f aca="false">IF(A1149="","",IF(G1149&lt;&gt;"",G1149,IF(N(F1149)&gt;0,ROUND(1000/F1149,3),0)))</f>
        <v/>
      </c>
      <c r="K1149" s="10" t="str">
        <f aca="false">IF(OR(A1149="",E1149="",H1149=""),"",ROUND(0.00617*E1149^2*H1149*J1149,2))</f>
        <v/>
      </c>
      <c r="L1149" s="9"/>
      <c r="M1149" s="10" t="str">
        <f aca="false">IF(A1149="","",IF((COUNTIF(Drain_Register!$A$5:$A$304,A1149)+COUNTIF(RW_Register!$A$5:$A$304,A1149)+COUNTIF(Embedded_Wall_Register!$A$5:$A$304,A1149)+COUNTIF(Manhole_Register!$A$5:$A$304,A1149)+COUNTIF(ERSS_Pit_Register!$A$5:$A$304,A1149)+COUNTIF(Linkway_Register!$A$5:$A$304,A1149)+COUNTIF(Other_Register!$A$5:$A$304,A1149))&gt;0,"OK","ID not in any register"))</f>
        <v/>
      </c>
    </row>
    <row r="1150" customFormat="false" ht="15" hidden="false" customHeight="false" outlineLevel="0" collapsed="false">
      <c r="A1150" s="9"/>
      <c r="B1150" s="9"/>
      <c r="C1150" s="9"/>
      <c r="D1150" s="9"/>
      <c r="E1150" s="9"/>
      <c r="F1150" s="9"/>
      <c r="G1150" s="9"/>
      <c r="H1150" s="9"/>
      <c r="I1150" s="9"/>
      <c r="J1150" s="10" t="str">
        <f aca="false">IF(A1150="","",IF(G1150&lt;&gt;"",G1150,IF(N(F1150)&gt;0,ROUND(1000/F1150,3),0)))</f>
        <v/>
      </c>
      <c r="K1150" s="10" t="str">
        <f aca="false">IF(OR(A1150="",E1150="",H1150=""),"",ROUND(0.00617*E1150^2*H1150*J1150,2))</f>
        <v/>
      </c>
      <c r="L1150" s="9"/>
      <c r="M1150" s="10" t="str">
        <f aca="false">IF(A1150="","",IF((COUNTIF(Drain_Register!$A$5:$A$304,A1150)+COUNTIF(RW_Register!$A$5:$A$304,A1150)+COUNTIF(Embedded_Wall_Register!$A$5:$A$304,A1150)+COUNTIF(Manhole_Register!$A$5:$A$304,A1150)+COUNTIF(ERSS_Pit_Register!$A$5:$A$304,A1150)+COUNTIF(Linkway_Register!$A$5:$A$304,A1150)+COUNTIF(Other_Register!$A$5:$A$304,A1150))&gt;0,"OK","ID not in any register"))</f>
        <v/>
      </c>
    </row>
    <row r="1151" customFormat="false" ht="15" hidden="false" customHeight="false" outlineLevel="0" collapsed="false">
      <c r="A1151" s="9"/>
      <c r="B1151" s="9"/>
      <c r="C1151" s="9"/>
      <c r="D1151" s="9"/>
      <c r="E1151" s="9"/>
      <c r="F1151" s="9"/>
      <c r="G1151" s="9"/>
      <c r="H1151" s="9"/>
      <c r="I1151" s="9"/>
      <c r="J1151" s="10" t="str">
        <f aca="false">IF(A1151="","",IF(G1151&lt;&gt;"",G1151,IF(N(F1151)&gt;0,ROUND(1000/F1151,3),0)))</f>
        <v/>
      </c>
      <c r="K1151" s="10" t="str">
        <f aca="false">IF(OR(A1151="",E1151="",H1151=""),"",ROUND(0.00617*E1151^2*H1151*J1151,2))</f>
        <v/>
      </c>
      <c r="L1151" s="9"/>
      <c r="M1151" s="10" t="str">
        <f aca="false">IF(A1151="","",IF((COUNTIF(Drain_Register!$A$5:$A$304,A1151)+COUNTIF(RW_Register!$A$5:$A$304,A1151)+COUNTIF(Embedded_Wall_Register!$A$5:$A$304,A1151)+COUNTIF(Manhole_Register!$A$5:$A$304,A1151)+COUNTIF(ERSS_Pit_Register!$A$5:$A$304,A1151)+COUNTIF(Linkway_Register!$A$5:$A$304,A1151)+COUNTIF(Other_Register!$A$5:$A$304,A1151))&gt;0,"OK","ID not in any register"))</f>
        <v/>
      </c>
    </row>
    <row r="1152" customFormat="false" ht="15" hidden="false" customHeight="false" outlineLevel="0" collapsed="false">
      <c r="A1152" s="9"/>
      <c r="B1152" s="9"/>
      <c r="C1152" s="9"/>
      <c r="D1152" s="9"/>
      <c r="E1152" s="9"/>
      <c r="F1152" s="9"/>
      <c r="G1152" s="9"/>
      <c r="H1152" s="9"/>
      <c r="I1152" s="9"/>
      <c r="J1152" s="10" t="str">
        <f aca="false">IF(A1152="","",IF(G1152&lt;&gt;"",G1152,IF(N(F1152)&gt;0,ROUND(1000/F1152,3),0)))</f>
        <v/>
      </c>
      <c r="K1152" s="10" t="str">
        <f aca="false">IF(OR(A1152="",E1152="",H1152=""),"",ROUND(0.00617*E1152^2*H1152*J1152,2))</f>
        <v/>
      </c>
      <c r="L1152" s="9"/>
      <c r="M1152" s="10" t="str">
        <f aca="false">IF(A1152="","",IF((COUNTIF(Drain_Register!$A$5:$A$304,A1152)+COUNTIF(RW_Register!$A$5:$A$304,A1152)+COUNTIF(Embedded_Wall_Register!$A$5:$A$304,A1152)+COUNTIF(Manhole_Register!$A$5:$A$304,A1152)+COUNTIF(ERSS_Pit_Register!$A$5:$A$304,A1152)+COUNTIF(Linkway_Register!$A$5:$A$304,A1152)+COUNTIF(Other_Register!$A$5:$A$304,A1152))&gt;0,"OK","ID not in any register"))</f>
        <v/>
      </c>
    </row>
    <row r="1153" customFormat="false" ht="15" hidden="false" customHeight="false" outlineLevel="0" collapsed="false">
      <c r="A1153" s="9"/>
      <c r="B1153" s="9"/>
      <c r="C1153" s="9"/>
      <c r="D1153" s="9"/>
      <c r="E1153" s="9"/>
      <c r="F1153" s="9"/>
      <c r="G1153" s="9"/>
      <c r="H1153" s="9"/>
      <c r="I1153" s="9"/>
      <c r="J1153" s="10" t="str">
        <f aca="false">IF(A1153="","",IF(G1153&lt;&gt;"",G1153,IF(N(F1153)&gt;0,ROUND(1000/F1153,3),0)))</f>
        <v/>
      </c>
      <c r="K1153" s="10" t="str">
        <f aca="false">IF(OR(A1153="",E1153="",H1153=""),"",ROUND(0.00617*E1153^2*H1153*J1153,2))</f>
        <v/>
      </c>
      <c r="L1153" s="9"/>
      <c r="M1153" s="10" t="str">
        <f aca="false">IF(A1153="","",IF((COUNTIF(Drain_Register!$A$5:$A$304,A1153)+COUNTIF(RW_Register!$A$5:$A$304,A1153)+COUNTIF(Embedded_Wall_Register!$A$5:$A$304,A1153)+COUNTIF(Manhole_Register!$A$5:$A$304,A1153)+COUNTIF(ERSS_Pit_Register!$A$5:$A$304,A1153)+COUNTIF(Linkway_Register!$A$5:$A$304,A1153)+COUNTIF(Other_Register!$A$5:$A$304,A1153))&gt;0,"OK","ID not in any register"))</f>
        <v/>
      </c>
    </row>
    <row r="1154" customFormat="false" ht="15" hidden="false" customHeight="false" outlineLevel="0" collapsed="false">
      <c r="A1154" s="9"/>
      <c r="B1154" s="9"/>
      <c r="C1154" s="9"/>
      <c r="D1154" s="9"/>
      <c r="E1154" s="9"/>
      <c r="F1154" s="9"/>
      <c r="G1154" s="9"/>
      <c r="H1154" s="9"/>
      <c r="I1154" s="9"/>
      <c r="J1154" s="10" t="str">
        <f aca="false">IF(A1154="","",IF(G1154&lt;&gt;"",G1154,IF(N(F1154)&gt;0,ROUND(1000/F1154,3),0)))</f>
        <v/>
      </c>
      <c r="K1154" s="10" t="str">
        <f aca="false">IF(OR(A1154="",E1154="",H1154=""),"",ROUND(0.00617*E1154^2*H1154*J1154,2))</f>
        <v/>
      </c>
      <c r="L1154" s="9"/>
      <c r="M1154" s="10" t="str">
        <f aca="false">IF(A1154="","",IF((COUNTIF(Drain_Register!$A$5:$A$304,A1154)+COUNTIF(RW_Register!$A$5:$A$304,A1154)+COUNTIF(Embedded_Wall_Register!$A$5:$A$304,A1154)+COUNTIF(Manhole_Register!$A$5:$A$304,A1154)+COUNTIF(ERSS_Pit_Register!$A$5:$A$304,A1154)+COUNTIF(Linkway_Register!$A$5:$A$304,A1154)+COUNTIF(Other_Register!$A$5:$A$304,A1154))&gt;0,"OK","ID not in any register"))</f>
        <v/>
      </c>
    </row>
    <row r="1155" customFormat="false" ht="15" hidden="false" customHeight="false" outlineLevel="0" collapsed="false">
      <c r="A1155" s="9"/>
      <c r="B1155" s="9"/>
      <c r="C1155" s="9"/>
      <c r="D1155" s="9"/>
      <c r="E1155" s="9"/>
      <c r="F1155" s="9"/>
      <c r="G1155" s="9"/>
      <c r="H1155" s="9"/>
      <c r="I1155" s="9"/>
      <c r="J1155" s="10" t="str">
        <f aca="false">IF(A1155="","",IF(G1155&lt;&gt;"",G1155,IF(N(F1155)&gt;0,ROUND(1000/F1155,3),0)))</f>
        <v/>
      </c>
      <c r="K1155" s="10" t="str">
        <f aca="false">IF(OR(A1155="",E1155="",H1155=""),"",ROUND(0.00617*E1155^2*H1155*J1155,2))</f>
        <v/>
      </c>
      <c r="L1155" s="9"/>
      <c r="M1155" s="10" t="str">
        <f aca="false">IF(A1155="","",IF((COUNTIF(Drain_Register!$A$5:$A$304,A1155)+COUNTIF(RW_Register!$A$5:$A$304,A1155)+COUNTIF(Embedded_Wall_Register!$A$5:$A$304,A1155)+COUNTIF(Manhole_Register!$A$5:$A$304,A1155)+COUNTIF(ERSS_Pit_Register!$A$5:$A$304,A1155)+COUNTIF(Linkway_Register!$A$5:$A$304,A1155)+COUNTIF(Other_Register!$A$5:$A$304,A1155))&gt;0,"OK","ID not in any register"))</f>
        <v/>
      </c>
    </row>
    <row r="1156" customFormat="false" ht="15" hidden="false" customHeight="false" outlineLevel="0" collapsed="false">
      <c r="A1156" s="9"/>
      <c r="B1156" s="9"/>
      <c r="C1156" s="9"/>
      <c r="D1156" s="9"/>
      <c r="E1156" s="9"/>
      <c r="F1156" s="9"/>
      <c r="G1156" s="9"/>
      <c r="H1156" s="9"/>
      <c r="I1156" s="9"/>
      <c r="J1156" s="10" t="str">
        <f aca="false">IF(A1156="","",IF(G1156&lt;&gt;"",G1156,IF(N(F1156)&gt;0,ROUND(1000/F1156,3),0)))</f>
        <v/>
      </c>
      <c r="K1156" s="10" t="str">
        <f aca="false">IF(OR(A1156="",E1156="",H1156=""),"",ROUND(0.00617*E1156^2*H1156*J1156,2))</f>
        <v/>
      </c>
      <c r="L1156" s="9"/>
      <c r="M1156" s="10" t="str">
        <f aca="false">IF(A1156="","",IF((COUNTIF(Drain_Register!$A$5:$A$304,A1156)+COUNTIF(RW_Register!$A$5:$A$304,A1156)+COUNTIF(Embedded_Wall_Register!$A$5:$A$304,A1156)+COUNTIF(Manhole_Register!$A$5:$A$304,A1156)+COUNTIF(ERSS_Pit_Register!$A$5:$A$304,A1156)+COUNTIF(Linkway_Register!$A$5:$A$304,A1156)+COUNTIF(Other_Register!$A$5:$A$304,A1156))&gt;0,"OK","ID not in any register"))</f>
        <v/>
      </c>
    </row>
    <row r="1157" customFormat="false" ht="15" hidden="false" customHeight="false" outlineLevel="0" collapsed="false">
      <c r="A1157" s="9"/>
      <c r="B1157" s="9"/>
      <c r="C1157" s="9"/>
      <c r="D1157" s="9"/>
      <c r="E1157" s="9"/>
      <c r="F1157" s="9"/>
      <c r="G1157" s="9"/>
      <c r="H1157" s="9"/>
      <c r="I1157" s="9"/>
      <c r="J1157" s="10" t="str">
        <f aca="false">IF(A1157="","",IF(G1157&lt;&gt;"",G1157,IF(N(F1157)&gt;0,ROUND(1000/F1157,3),0)))</f>
        <v/>
      </c>
      <c r="K1157" s="10" t="str">
        <f aca="false">IF(OR(A1157="",E1157="",H1157=""),"",ROUND(0.00617*E1157^2*H1157*J1157,2))</f>
        <v/>
      </c>
      <c r="L1157" s="9"/>
      <c r="M1157" s="10" t="str">
        <f aca="false">IF(A1157="","",IF((COUNTIF(Drain_Register!$A$5:$A$304,A1157)+COUNTIF(RW_Register!$A$5:$A$304,A1157)+COUNTIF(Embedded_Wall_Register!$A$5:$A$304,A1157)+COUNTIF(Manhole_Register!$A$5:$A$304,A1157)+COUNTIF(ERSS_Pit_Register!$A$5:$A$304,A1157)+COUNTIF(Linkway_Register!$A$5:$A$304,A1157)+COUNTIF(Other_Register!$A$5:$A$304,A1157))&gt;0,"OK","ID not in any register"))</f>
        <v/>
      </c>
    </row>
    <row r="1158" customFormat="false" ht="15" hidden="false" customHeight="false" outlineLevel="0" collapsed="false">
      <c r="A1158" s="9"/>
      <c r="B1158" s="9"/>
      <c r="C1158" s="9"/>
      <c r="D1158" s="9"/>
      <c r="E1158" s="9"/>
      <c r="F1158" s="9"/>
      <c r="G1158" s="9"/>
      <c r="H1158" s="9"/>
      <c r="I1158" s="9"/>
      <c r="J1158" s="10" t="str">
        <f aca="false">IF(A1158="","",IF(G1158&lt;&gt;"",G1158,IF(N(F1158)&gt;0,ROUND(1000/F1158,3),0)))</f>
        <v/>
      </c>
      <c r="K1158" s="10" t="str">
        <f aca="false">IF(OR(A1158="",E1158="",H1158=""),"",ROUND(0.00617*E1158^2*H1158*J1158,2))</f>
        <v/>
      </c>
      <c r="L1158" s="9"/>
      <c r="M1158" s="10" t="str">
        <f aca="false">IF(A1158="","",IF((COUNTIF(Drain_Register!$A$5:$A$304,A1158)+COUNTIF(RW_Register!$A$5:$A$304,A1158)+COUNTIF(Embedded_Wall_Register!$A$5:$A$304,A1158)+COUNTIF(Manhole_Register!$A$5:$A$304,A1158)+COUNTIF(ERSS_Pit_Register!$A$5:$A$304,A1158)+COUNTIF(Linkway_Register!$A$5:$A$304,A1158)+COUNTIF(Other_Register!$A$5:$A$304,A1158))&gt;0,"OK","ID not in any register"))</f>
        <v/>
      </c>
    </row>
    <row r="1159" customFormat="false" ht="15" hidden="false" customHeight="false" outlineLevel="0" collapsed="false">
      <c r="A1159" s="9"/>
      <c r="B1159" s="9"/>
      <c r="C1159" s="9"/>
      <c r="D1159" s="9"/>
      <c r="E1159" s="9"/>
      <c r="F1159" s="9"/>
      <c r="G1159" s="9"/>
      <c r="H1159" s="9"/>
      <c r="I1159" s="9"/>
      <c r="J1159" s="10" t="str">
        <f aca="false">IF(A1159="","",IF(G1159&lt;&gt;"",G1159,IF(N(F1159)&gt;0,ROUND(1000/F1159,3),0)))</f>
        <v/>
      </c>
      <c r="K1159" s="10" t="str">
        <f aca="false">IF(OR(A1159="",E1159="",H1159=""),"",ROUND(0.00617*E1159^2*H1159*J1159,2))</f>
        <v/>
      </c>
      <c r="L1159" s="9"/>
      <c r="M1159" s="10" t="str">
        <f aca="false">IF(A1159="","",IF((COUNTIF(Drain_Register!$A$5:$A$304,A1159)+COUNTIF(RW_Register!$A$5:$A$304,A1159)+COUNTIF(Embedded_Wall_Register!$A$5:$A$304,A1159)+COUNTIF(Manhole_Register!$A$5:$A$304,A1159)+COUNTIF(ERSS_Pit_Register!$A$5:$A$304,A1159)+COUNTIF(Linkway_Register!$A$5:$A$304,A1159)+COUNTIF(Other_Register!$A$5:$A$304,A1159))&gt;0,"OK","ID not in any register"))</f>
        <v/>
      </c>
    </row>
    <row r="1160" customFormat="false" ht="15" hidden="false" customHeight="false" outlineLevel="0" collapsed="false">
      <c r="A1160" s="9"/>
      <c r="B1160" s="9"/>
      <c r="C1160" s="9"/>
      <c r="D1160" s="9"/>
      <c r="E1160" s="9"/>
      <c r="F1160" s="9"/>
      <c r="G1160" s="9"/>
      <c r="H1160" s="9"/>
      <c r="I1160" s="9"/>
      <c r="J1160" s="10" t="str">
        <f aca="false">IF(A1160="","",IF(G1160&lt;&gt;"",G1160,IF(N(F1160)&gt;0,ROUND(1000/F1160,3),0)))</f>
        <v/>
      </c>
      <c r="K1160" s="10" t="str">
        <f aca="false">IF(OR(A1160="",E1160="",H1160=""),"",ROUND(0.00617*E1160^2*H1160*J1160,2))</f>
        <v/>
      </c>
      <c r="L1160" s="9"/>
      <c r="M1160" s="10" t="str">
        <f aca="false">IF(A1160="","",IF((COUNTIF(Drain_Register!$A$5:$A$304,A1160)+COUNTIF(RW_Register!$A$5:$A$304,A1160)+COUNTIF(Embedded_Wall_Register!$A$5:$A$304,A1160)+COUNTIF(Manhole_Register!$A$5:$A$304,A1160)+COUNTIF(ERSS_Pit_Register!$A$5:$A$304,A1160)+COUNTIF(Linkway_Register!$A$5:$A$304,A1160)+COUNTIF(Other_Register!$A$5:$A$304,A1160))&gt;0,"OK","ID not in any register"))</f>
        <v/>
      </c>
    </row>
    <row r="1161" customFormat="false" ht="15" hidden="false" customHeight="false" outlineLevel="0" collapsed="false">
      <c r="A1161" s="9"/>
      <c r="B1161" s="9"/>
      <c r="C1161" s="9"/>
      <c r="D1161" s="9"/>
      <c r="E1161" s="9"/>
      <c r="F1161" s="9"/>
      <c r="G1161" s="9"/>
      <c r="H1161" s="9"/>
      <c r="I1161" s="9"/>
      <c r="J1161" s="10" t="str">
        <f aca="false">IF(A1161="","",IF(G1161&lt;&gt;"",G1161,IF(N(F1161)&gt;0,ROUND(1000/F1161,3),0)))</f>
        <v/>
      </c>
      <c r="K1161" s="10" t="str">
        <f aca="false">IF(OR(A1161="",E1161="",H1161=""),"",ROUND(0.00617*E1161^2*H1161*J1161,2))</f>
        <v/>
      </c>
      <c r="L1161" s="9"/>
      <c r="M1161" s="10" t="str">
        <f aca="false">IF(A1161="","",IF((COUNTIF(Drain_Register!$A$5:$A$304,A1161)+COUNTIF(RW_Register!$A$5:$A$304,A1161)+COUNTIF(Embedded_Wall_Register!$A$5:$A$304,A1161)+COUNTIF(Manhole_Register!$A$5:$A$304,A1161)+COUNTIF(ERSS_Pit_Register!$A$5:$A$304,A1161)+COUNTIF(Linkway_Register!$A$5:$A$304,A1161)+COUNTIF(Other_Register!$A$5:$A$304,A1161))&gt;0,"OK","ID not in any register"))</f>
        <v/>
      </c>
    </row>
    <row r="1162" customFormat="false" ht="15" hidden="false" customHeight="false" outlineLevel="0" collapsed="false">
      <c r="A1162" s="9"/>
      <c r="B1162" s="9"/>
      <c r="C1162" s="9"/>
      <c r="D1162" s="9"/>
      <c r="E1162" s="9"/>
      <c r="F1162" s="9"/>
      <c r="G1162" s="9"/>
      <c r="H1162" s="9"/>
      <c r="I1162" s="9"/>
      <c r="J1162" s="10" t="str">
        <f aca="false">IF(A1162="","",IF(G1162&lt;&gt;"",G1162,IF(N(F1162)&gt;0,ROUND(1000/F1162,3),0)))</f>
        <v/>
      </c>
      <c r="K1162" s="10" t="str">
        <f aca="false">IF(OR(A1162="",E1162="",H1162=""),"",ROUND(0.00617*E1162^2*H1162*J1162,2))</f>
        <v/>
      </c>
      <c r="L1162" s="9"/>
      <c r="M1162" s="10" t="str">
        <f aca="false">IF(A1162="","",IF((COUNTIF(Drain_Register!$A$5:$A$304,A1162)+COUNTIF(RW_Register!$A$5:$A$304,A1162)+COUNTIF(Embedded_Wall_Register!$A$5:$A$304,A1162)+COUNTIF(Manhole_Register!$A$5:$A$304,A1162)+COUNTIF(ERSS_Pit_Register!$A$5:$A$304,A1162)+COUNTIF(Linkway_Register!$A$5:$A$304,A1162)+COUNTIF(Other_Register!$A$5:$A$304,A1162))&gt;0,"OK","ID not in any register"))</f>
        <v/>
      </c>
    </row>
    <row r="1163" customFormat="false" ht="15" hidden="false" customHeight="false" outlineLevel="0" collapsed="false">
      <c r="A1163" s="9"/>
      <c r="B1163" s="9"/>
      <c r="C1163" s="9"/>
      <c r="D1163" s="9"/>
      <c r="E1163" s="9"/>
      <c r="F1163" s="9"/>
      <c r="G1163" s="9"/>
      <c r="H1163" s="9"/>
      <c r="I1163" s="9"/>
      <c r="J1163" s="10" t="str">
        <f aca="false">IF(A1163="","",IF(G1163&lt;&gt;"",G1163,IF(N(F1163)&gt;0,ROUND(1000/F1163,3),0)))</f>
        <v/>
      </c>
      <c r="K1163" s="10" t="str">
        <f aca="false">IF(OR(A1163="",E1163="",H1163=""),"",ROUND(0.00617*E1163^2*H1163*J1163,2))</f>
        <v/>
      </c>
      <c r="L1163" s="9"/>
      <c r="M1163" s="10" t="str">
        <f aca="false">IF(A1163="","",IF((COUNTIF(Drain_Register!$A$5:$A$304,A1163)+COUNTIF(RW_Register!$A$5:$A$304,A1163)+COUNTIF(Embedded_Wall_Register!$A$5:$A$304,A1163)+COUNTIF(Manhole_Register!$A$5:$A$304,A1163)+COUNTIF(ERSS_Pit_Register!$A$5:$A$304,A1163)+COUNTIF(Linkway_Register!$A$5:$A$304,A1163)+COUNTIF(Other_Register!$A$5:$A$304,A1163))&gt;0,"OK","ID not in any register"))</f>
        <v/>
      </c>
    </row>
    <row r="1164" customFormat="false" ht="15" hidden="false" customHeight="false" outlineLevel="0" collapsed="false">
      <c r="A1164" s="9"/>
      <c r="B1164" s="9"/>
      <c r="C1164" s="9"/>
      <c r="D1164" s="9"/>
      <c r="E1164" s="9"/>
      <c r="F1164" s="9"/>
      <c r="G1164" s="9"/>
      <c r="H1164" s="9"/>
      <c r="I1164" s="9"/>
      <c r="J1164" s="10" t="str">
        <f aca="false">IF(A1164="","",IF(G1164&lt;&gt;"",G1164,IF(N(F1164)&gt;0,ROUND(1000/F1164,3),0)))</f>
        <v/>
      </c>
      <c r="K1164" s="10" t="str">
        <f aca="false">IF(OR(A1164="",E1164="",H1164=""),"",ROUND(0.00617*E1164^2*H1164*J1164,2))</f>
        <v/>
      </c>
      <c r="L1164" s="9"/>
      <c r="M1164" s="10" t="str">
        <f aca="false">IF(A1164="","",IF((COUNTIF(Drain_Register!$A$5:$A$304,A1164)+COUNTIF(RW_Register!$A$5:$A$304,A1164)+COUNTIF(Embedded_Wall_Register!$A$5:$A$304,A1164)+COUNTIF(Manhole_Register!$A$5:$A$304,A1164)+COUNTIF(ERSS_Pit_Register!$A$5:$A$304,A1164)+COUNTIF(Linkway_Register!$A$5:$A$304,A1164)+COUNTIF(Other_Register!$A$5:$A$304,A1164))&gt;0,"OK","ID not in any register"))</f>
        <v/>
      </c>
    </row>
    <row r="1165" customFormat="false" ht="15" hidden="false" customHeight="false" outlineLevel="0" collapsed="false">
      <c r="A1165" s="9"/>
      <c r="B1165" s="9"/>
      <c r="C1165" s="9"/>
      <c r="D1165" s="9"/>
      <c r="E1165" s="9"/>
      <c r="F1165" s="9"/>
      <c r="G1165" s="9"/>
      <c r="H1165" s="9"/>
      <c r="I1165" s="9"/>
      <c r="J1165" s="10" t="str">
        <f aca="false">IF(A1165="","",IF(G1165&lt;&gt;"",G1165,IF(N(F1165)&gt;0,ROUND(1000/F1165,3),0)))</f>
        <v/>
      </c>
      <c r="K1165" s="10" t="str">
        <f aca="false">IF(OR(A1165="",E1165="",H1165=""),"",ROUND(0.00617*E1165^2*H1165*J1165,2))</f>
        <v/>
      </c>
      <c r="L1165" s="9"/>
      <c r="M1165" s="10" t="str">
        <f aca="false">IF(A1165="","",IF((COUNTIF(Drain_Register!$A$5:$A$304,A1165)+COUNTIF(RW_Register!$A$5:$A$304,A1165)+COUNTIF(Embedded_Wall_Register!$A$5:$A$304,A1165)+COUNTIF(Manhole_Register!$A$5:$A$304,A1165)+COUNTIF(ERSS_Pit_Register!$A$5:$A$304,A1165)+COUNTIF(Linkway_Register!$A$5:$A$304,A1165)+COUNTIF(Other_Register!$A$5:$A$304,A1165))&gt;0,"OK","ID not in any register"))</f>
        <v/>
      </c>
    </row>
    <row r="1166" customFormat="false" ht="15" hidden="false" customHeight="false" outlineLevel="0" collapsed="false">
      <c r="A1166" s="9"/>
      <c r="B1166" s="9"/>
      <c r="C1166" s="9"/>
      <c r="D1166" s="9"/>
      <c r="E1166" s="9"/>
      <c r="F1166" s="9"/>
      <c r="G1166" s="9"/>
      <c r="H1166" s="9"/>
      <c r="I1166" s="9"/>
      <c r="J1166" s="10" t="str">
        <f aca="false">IF(A1166="","",IF(G1166&lt;&gt;"",G1166,IF(N(F1166)&gt;0,ROUND(1000/F1166,3),0)))</f>
        <v/>
      </c>
      <c r="K1166" s="10" t="str">
        <f aca="false">IF(OR(A1166="",E1166="",H1166=""),"",ROUND(0.00617*E1166^2*H1166*J1166,2))</f>
        <v/>
      </c>
      <c r="L1166" s="9"/>
      <c r="M1166" s="10" t="str">
        <f aca="false">IF(A1166="","",IF((COUNTIF(Drain_Register!$A$5:$A$304,A1166)+COUNTIF(RW_Register!$A$5:$A$304,A1166)+COUNTIF(Embedded_Wall_Register!$A$5:$A$304,A1166)+COUNTIF(Manhole_Register!$A$5:$A$304,A1166)+COUNTIF(ERSS_Pit_Register!$A$5:$A$304,A1166)+COUNTIF(Linkway_Register!$A$5:$A$304,A1166)+COUNTIF(Other_Register!$A$5:$A$304,A1166))&gt;0,"OK","ID not in any register"))</f>
        <v/>
      </c>
    </row>
    <row r="1167" customFormat="false" ht="15" hidden="false" customHeight="false" outlineLevel="0" collapsed="false">
      <c r="A1167" s="9"/>
      <c r="B1167" s="9"/>
      <c r="C1167" s="9"/>
      <c r="D1167" s="9"/>
      <c r="E1167" s="9"/>
      <c r="F1167" s="9"/>
      <c r="G1167" s="9"/>
      <c r="H1167" s="9"/>
      <c r="I1167" s="9"/>
      <c r="J1167" s="10" t="str">
        <f aca="false">IF(A1167="","",IF(G1167&lt;&gt;"",G1167,IF(N(F1167)&gt;0,ROUND(1000/F1167,3),0)))</f>
        <v/>
      </c>
      <c r="K1167" s="10" t="str">
        <f aca="false">IF(OR(A1167="",E1167="",H1167=""),"",ROUND(0.00617*E1167^2*H1167*J1167,2))</f>
        <v/>
      </c>
      <c r="L1167" s="9"/>
      <c r="M1167" s="10" t="str">
        <f aca="false">IF(A1167="","",IF((COUNTIF(Drain_Register!$A$5:$A$304,A1167)+COUNTIF(RW_Register!$A$5:$A$304,A1167)+COUNTIF(Embedded_Wall_Register!$A$5:$A$304,A1167)+COUNTIF(Manhole_Register!$A$5:$A$304,A1167)+COUNTIF(ERSS_Pit_Register!$A$5:$A$304,A1167)+COUNTIF(Linkway_Register!$A$5:$A$304,A1167)+COUNTIF(Other_Register!$A$5:$A$304,A1167))&gt;0,"OK","ID not in any register"))</f>
        <v/>
      </c>
    </row>
    <row r="1168" customFormat="false" ht="15" hidden="false" customHeight="false" outlineLevel="0" collapsed="false">
      <c r="A1168" s="9"/>
      <c r="B1168" s="9"/>
      <c r="C1168" s="9"/>
      <c r="D1168" s="9"/>
      <c r="E1168" s="9"/>
      <c r="F1168" s="9"/>
      <c r="G1168" s="9"/>
      <c r="H1168" s="9"/>
      <c r="I1168" s="9"/>
      <c r="J1168" s="10" t="str">
        <f aca="false">IF(A1168="","",IF(G1168&lt;&gt;"",G1168,IF(N(F1168)&gt;0,ROUND(1000/F1168,3),0)))</f>
        <v/>
      </c>
      <c r="K1168" s="10" t="str">
        <f aca="false">IF(OR(A1168="",E1168="",H1168=""),"",ROUND(0.00617*E1168^2*H1168*J1168,2))</f>
        <v/>
      </c>
      <c r="L1168" s="9"/>
      <c r="M1168" s="10" t="str">
        <f aca="false">IF(A1168="","",IF((COUNTIF(Drain_Register!$A$5:$A$304,A1168)+COUNTIF(RW_Register!$A$5:$A$304,A1168)+COUNTIF(Embedded_Wall_Register!$A$5:$A$304,A1168)+COUNTIF(Manhole_Register!$A$5:$A$304,A1168)+COUNTIF(ERSS_Pit_Register!$A$5:$A$304,A1168)+COUNTIF(Linkway_Register!$A$5:$A$304,A1168)+COUNTIF(Other_Register!$A$5:$A$304,A1168))&gt;0,"OK","ID not in any register"))</f>
        <v/>
      </c>
    </row>
    <row r="1169" customFormat="false" ht="15" hidden="false" customHeight="false" outlineLevel="0" collapsed="false">
      <c r="A1169" s="9"/>
      <c r="B1169" s="9"/>
      <c r="C1169" s="9"/>
      <c r="D1169" s="9"/>
      <c r="E1169" s="9"/>
      <c r="F1169" s="9"/>
      <c r="G1169" s="9"/>
      <c r="H1169" s="9"/>
      <c r="I1169" s="9"/>
      <c r="J1169" s="10" t="str">
        <f aca="false">IF(A1169="","",IF(G1169&lt;&gt;"",G1169,IF(N(F1169)&gt;0,ROUND(1000/F1169,3),0)))</f>
        <v/>
      </c>
      <c r="K1169" s="10" t="str">
        <f aca="false">IF(OR(A1169="",E1169="",H1169=""),"",ROUND(0.00617*E1169^2*H1169*J1169,2))</f>
        <v/>
      </c>
      <c r="L1169" s="9"/>
      <c r="M1169" s="10" t="str">
        <f aca="false">IF(A1169="","",IF((COUNTIF(Drain_Register!$A$5:$A$304,A1169)+COUNTIF(RW_Register!$A$5:$A$304,A1169)+COUNTIF(Embedded_Wall_Register!$A$5:$A$304,A1169)+COUNTIF(Manhole_Register!$A$5:$A$304,A1169)+COUNTIF(ERSS_Pit_Register!$A$5:$A$304,A1169)+COUNTIF(Linkway_Register!$A$5:$A$304,A1169)+COUNTIF(Other_Register!$A$5:$A$304,A1169))&gt;0,"OK","ID not in any register"))</f>
        <v/>
      </c>
    </row>
    <row r="1170" customFormat="false" ht="15" hidden="false" customHeight="false" outlineLevel="0" collapsed="false">
      <c r="A1170" s="9"/>
      <c r="B1170" s="9"/>
      <c r="C1170" s="9"/>
      <c r="D1170" s="9"/>
      <c r="E1170" s="9"/>
      <c r="F1170" s="9"/>
      <c r="G1170" s="9"/>
      <c r="H1170" s="9"/>
      <c r="I1170" s="9"/>
      <c r="J1170" s="10" t="str">
        <f aca="false">IF(A1170="","",IF(G1170&lt;&gt;"",G1170,IF(N(F1170)&gt;0,ROUND(1000/F1170,3),0)))</f>
        <v/>
      </c>
      <c r="K1170" s="10" t="str">
        <f aca="false">IF(OR(A1170="",E1170="",H1170=""),"",ROUND(0.00617*E1170^2*H1170*J1170,2))</f>
        <v/>
      </c>
      <c r="L1170" s="9"/>
      <c r="M1170" s="10" t="str">
        <f aca="false">IF(A1170="","",IF((COUNTIF(Drain_Register!$A$5:$A$304,A1170)+COUNTIF(RW_Register!$A$5:$A$304,A1170)+COUNTIF(Embedded_Wall_Register!$A$5:$A$304,A1170)+COUNTIF(Manhole_Register!$A$5:$A$304,A1170)+COUNTIF(ERSS_Pit_Register!$A$5:$A$304,A1170)+COUNTIF(Linkway_Register!$A$5:$A$304,A1170)+COUNTIF(Other_Register!$A$5:$A$304,A1170))&gt;0,"OK","ID not in any register"))</f>
        <v/>
      </c>
    </row>
    <row r="1171" customFormat="false" ht="15" hidden="false" customHeight="false" outlineLevel="0" collapsed="false">
      <c r="A1171" s="9"/>
      <c r="B1171" s="9"/>
      <c r="C1171" s="9"/>
      <c r="D1171" s="9"/>
      <c r="E1171" s="9"/>
      <c r="F1171" s="9"/>
      <c r="G1171" s="9"/>
      <c r="H1171" s="9"/>
      <c r="I1171" s="9"/>
      <c r="J1171" s="10" t="str">
        <f aca="false">IF(A1171="","",IF(G1171&lt;&gt;"",G1171,IF(N(F1171)&gt;0,ROUND(1000/F1171,3),0)))</f>
        <v/>
      </c>
      <c r="K1171" s="10" t="str">
        <f aca="false">IF(OR(A1171="",E1171="",H1171=""),"",ROUND(0.00617*E1171^2*H1171*J1171,2))</f>
        <v/>
      </c>
      <c r="L1171" s="9"/>
      <c r="M1171" s="10" t="str">
        <f aca="false">IF(A1171="","",IF((COUNTIF(Drain_Register!$A$5:$A$304,A1171)+COUNTIF(RW_Register!$A$5:$A$304,A1171)+COUNTIF(Embedded_Wall_Register!$A$5:$A$304,A1171)+COUNTIF(Manhole_Register!$A$5:$A$304,A1171)+COUNTIF(ERSS_Pit_Register!$A$5:$A$304,A1171)+COUNTIF(Linkway_Register!$A$5:$A$304,A1171)+COUNTIF(Other_Register!$A$5:$A$304,A1171))&gt;0,"OK","ID not in any register"))</f>
        <v/>
      </c>
    </row>
    <row r="1172" customFormat="false" ht="15" hidden="false" customHeight="false" outlineLevel="0" collapsed="false">
      <c r="A1172" s="9"/>
      <c r="B1172" s="9"/>
      <c r="C1172" s="9"/>
      <c r="D1172" s="9"/>
      <c r="E1172" s="9"/>
      <c r="F1172" s="9"/>
      <c r="G1172" s="9"/>
      <c r="H1172" s="9"/>
      <c r="I1172" s="9"/>
      <c r="J1172" s="10" t="str">
        <f aca="false">IF(A1172="","",IF(G1172&lt;&gt;"",G1172,IF(N(F1172)&gt;0,ROUND(1000/F1172,3),0)))</f>
        <v/>
      </c>
      <c r="K1172" s="10" t="str">
        <f aca="false">IF(OR(A1172="",E1172="",H1172=""),"",ROUND(0.00617*E1172^2*H1172*J1172,2))</f>
        <v/>
      </c>
      <c r="L1172" s="9"/>
      <c r="M1172" s="10" t="str">
        <f aca="false">IF(A1172="","",IF((COUNTIF(Drain_Register!$A$5:$A$304,A1172)+COUNTIF(RW_Register!$A$5:$A$304,A1172)+COUNTIF(Embedded_Wall_Register!$A$5:$A$304,A1172)+COUNTIF(Manhole_Register!$A$5:$A$304,A1172)+COUNTIF(ERSS_Pit_Register!$A$5:$A$304,A1172)+COUNTIF(Linkway_Register!$A$5:$A$304,A1172)+COUNTIF(Other_Register!$A$5:$A$304,A1172))&gt;0,"OK","ID not in any register"))</f>
        <v/>
      </c>
    </row>
    <row r="1173" customFormat="false" ht="15" hidden="false" customHeight="false" outlineLevel="0" collapsed="false">
      <c r="A1173" s="9"/>
      <c r="B1173" s="9"/>
      <c r="C1173" s="9"/>
      <c r="D1173" s="9"/>
      <c r="E1173" s="9"/>
      <c r="F1173" s="9"/>
      <c r="G1173" s="9"/>
      <c r="H1173" s="9"/>
      <c r="I1173" s="9"/>
      <c r="J1173" s="10" t="str">
        <f aca="false">IF(A1173="","",IF(G1173&lt;&gt;"",G1173,IF(N(F1173)&gt;0,ROUND(1000/F1173,3),0)))</f>
        <v/>
      </c>
      <c r="K1173" s="10" t="str">
        <f aca="false">IF(OR(A1173="",E1173="",H1173=""),"",ROUND(0.00617*E1173^2*H1173*J1173,2))</f>
        <v/>
      </c>
      <c r="L1173" s="9"/>
      <c r="M1173" s="10" t="str">
        <f aca="false">IF(A1173="","",IF((COUNTIF(Drain_Register!$A$5:$A$304,A1173)+COUNTIF(RW_Register!$A$5:$A$304,A1173)+COUNTIF(Embedded_Wall_Register!$A$5:$A$304,A1173)+COUNTIF(Manhole_Register!$A$5:$A$304,A1173)+COUNTIF(ERSS_Pit_Register!$A$5:$A$304,A1173)+COUNTIF(Linkway_Register!$A$5:$A$304,A1173)+COUNTIF(Other_Register!$A$5:$A$304,A1173))&gt;0,"OK","ID not in any register"))</f>
        <v/>
      </c>
    </row>
    <row r="1174" customFormat="false" ht="15" hidden="false" customHeight="false" outlineLevel="0" collapsed="false">
      <c r="A1174" s="9"/>
      <c r="B1174" s="9"/>
      <c r="C1174" s="9"/>
      <c r="D1174" s="9"/>
      <c r="E1174" s="9"/>
      <c r="F1174" s="9"/>
      <c r="G1174" s="9"/>
      <c r="H1174" s="9"/>
      <c r="I1174" s="9"/>
      <c r="J1174" s="10" t="str">
        <f aca="false">IF(A1174="","",IF(G1174&lt;&gt;"",G1174,IF(N(F1174)&gt;0,ROUND(1000/F1174,3),0)))</f>
        <v/>
      </c>
      <c r="K1174" s="10" t="str">
        <f aca="false">IF(OR(A1174="",E1174="",H1174=""),"",ROUND(0.00617*E1174^2*H1174*J1174,2))</f>
        <v/>
      </c>
      <c r="L1174" s="9"/>
      <c r="M1174" s="10" t="str">
        <f aca="false">IF(A1174="","",IF((COUNTIF(Drain_Register!$A$5:$A$304,A1174)+COUNTIF(RW_Register!$A$5:$A$304,A1174)+COUNTIF(Embedded_Wall_Register!$A$5:$A$304,A1174)+COUNTIF(Manhole_Register!$A$5:$A$304,A1174)+COUNTIF(ERSS_Pit_Register!$A$5:$A$304,A1174)+COUNTIF(Linkway_Register!$A$5:$A$304,A1174)+COUNTIF(Other_Register!$A$5:$A$304,A1174))&gt;0,"OK","ID not in any register"))</f>
        <v/>
      </c>
    </row>
    <row r="1175" customFormat="false" ht="15" hidden="false" customHeight="false" outlineLevel="0" collapsed="false">
      <c r="A1175" s="9"/>
      <c r="B1175" s="9"/>
      <c r="C1175" s="9"/>
      <c r="D1175" s="9"/>
      <c r="E1175" s="9"/>
      <c r="F1175" s="9"/>
      <c r="G1175" s="9"/>
      <c r="H1175" s="9"/>
      <c r="I1175" s="9"/>
      <c r="J1175" s="10" t="str">
        <f aca="false">IF(A1175="","",IF(G1175&lt;&gt;"",G1175,IF(N(F1175)&gt;0,ROUND(1000/F1175,3),0)))</f>
        <v/>
      </c>
      <c r="K1175" s="10" t="str">
        <f aca="false">IF(OR(A1175="",E1175="",H1175=""),"",ROUND(0.00617*E1175^2*H1175*J1175,2))</f>
        <v/>
      </c>
      <c r="L1175" s="9"/>
      <c r="M1175" s="10" t="str">
        <f aca="false">IF(A1175="","",IF((COUNTIF(Drain_Register!$A$5:$A$304,A1175)+COUNTIF(RW_Register!$A$5:$A$304,A1175)+COUNTIF(Embedded_Wall_Register!$A$5:$A$304,A1175)+COUNTIF(Manhole_Register!$A$5:$A$304,A1175)+COUNTIF(ERSS_Pit_Register!$A$5:$A$304,A1175)+COUNTIF(Linkway_Register!$A$5:$A$304,A1175)+COUNTIF(Other_Register!$A$5:$A$304,A1175))&gt;0,"OK","ID not in any register"))</f>
        <v/>
      </c>
    </row>
    <row r="1176" customFormat="false" ht="15" hidden="false" customHeight="false" outlineLevel="0" collapsed="false">
      <c r="A1176" s="9"/>
      <c r="B1176" s="9"/>
      <c r="C1176" s="9"/>
      <c r="D1176" s="9"/>
      <c r="E1176" s="9"/>
      <c r="F1176" s="9"/>
      <c r="G1176" s="9"/>
      <c r="H1176" s="9"/>
      <c r="I1176" s="9"/>
      <c r="J1176" s="10" t="str">
        <f aca="false">IF(A1176="","",IF(G1176&lt;&gt;"",G1176,IF(N(F1176)&gt;0,ROUND(1000/F1176,3),0)))</f>
        <v/>
      </c>
      <c r="K1176" s="10" t="str">
        <f aca="false">IF(OR(A1176="",E1176="",H1176=""),"",ROUND(0.00617*E1176^2*H1176*J1176,2))</f>
        <v/>
      </c>
      <c r="L1176" s="9"/>
      <c r="M1176" s="10" t="str">
        <f aca="false">IF(A1176="","",IF((COUNTIF(Drain_Register!$A$5:$A$304,A1176)+COUNTIF(RW_Register!$A$5:$A$304,A1176)+COUNTIF(Embedded_Wall_Register!$A$5:$A$304,A1176)+COUNTIF(Manhole_Register!$A$5:$A$304,A1176)+COUNTIF(ERSS_Pit_Register!$A$5:$A$304,A1176)+COUNTIF(Linkway_Register!$A$5:$A$304,A1176)+COUNTIF(Other_Register!$A$5:$A$304,A1176))&gt;0,"OK","ID not in any register"))</f>
        <v/>
      </c>
    </row>
    <row r="1177" customFormat="false" ht="15" hidden="false" customHeight="false" outlineLevel="0" collapsed="false">
      <c r="A1177" s="9"/>
      <c r="B1177" s="9"/>
      <c r="C1177" s="9"/>
      <c r="D1177" s="9"/>
      <c r="E1177" s="9"/>
      <c r="F1177" s="9"/>
      <c r="G1177" s="9"/>
      <c r="H1177" s="9"/>
      <c r="I1177" s="9"/>
      <c r="J1177" s="10" t="str">
        <f aca="false">IF(A1177="","",IF(G1177&lt;&gt;"",G1177,IF(N(F1177)&gt;0,ROUND(1000/F1177,3),0)))</f>
        <v/>
      </c>
      <c r="K1177" s="10" t="str">
        <f aca="false">IF(OR(A1177="",E1177="",H1177=""),"",ROUND(0.00617*E1177^2*H1177*J1177,2))</f>
        <v/>
      </c>
      <c r="L1177" s="9"/>
      <c r="M1177" s="10" t="str">
        <f aca="false">IF(A1177="","",IF((COUNTIF(Drain_Register!$A$5:$A$304,A1177)+COUNTIF(RW_Register!$A$5:$A$304,A1177)+COUNTIF(Embedded_Wall_Register!$A$5:$A$304,A1177)+COUNTIF(Manhole_Register!$A$5:$A$304,A1177)+COUNTIF(ERSS_Pit_Register!$A$5:$A$304,A1177)+COUNTIF(Linkway_Register!$A$5:$A$304,A1177)+COUNTIF(Other_Register!$A$5:$A$304,A1177))&gt;0,"OK","ID not in any register"))</f>
        <v/>
      </c>
    </row>
    <row r="1178" customFormat="false" ht="15" hidden="false" customHeight="false" outlineLevel="0" collapsed="false">
      <c r="A1178" s="9"/>
      <c r="B1178" s="9"/>
      <c r="C1178" s="9"/>
      <c r="D1178" s="9"/>
      <c r="E1178" s="9"/>
      <c r="F1178" s="9"/>
      <c r="G1178" s="9"/>
      <c r="H1178" s="9"/>
      <c r="I1178" s="9"/>
      <c r="J1178" s="10" t="str">
        <f aca="false">IF(A1178="","",IF(G1178&lt;&gt;"",G1178,IF(N(F1178)&gt;0,ROUND(1000/F1178,3),0)))</f>
        <v/>
      </c>
      <c r="K1178" s="10" t="str">
        <f aca="false">IF(OR(A1178="",E1178="",H1178=""),"",ROUND(0.00617*E1178^2*H1178*J1178,2))</f>
        <v/>
      </c>
      <c r="L1178" s="9"/>
      <c r="M1178" s="10" t="str">
        <f aca="false">IF(A1178="","",IF((COUNTIF(Drain_Register!$A$5:$A$304,A1178)+COUNTIF(RW_Register!$A$5:$A$304,A1178)+COUNTIF(Embedded_Wall_Register!$A$5:$A$304,A1178)+COUNTIF(Manhole_Register!$A$5:$A$304,A1178)+COUNTIF(ERSS_Pit_Register!$A$5:$A$304,A1178)+COUNTIF(Linkway_Register!$A$5:$A$304,A1178)+COUNTIF(Other_Register!$A$5:$A$304,A1178))&gt;0,"OK","ID not in any register"))</f>
        <v/>
      </c>
    </row>
    <row r="1179" customFormat="false" ht="15" hidden="false" customHeight="false" outlineLevel="0" collapsed="false">
      <c r="A1179" s="9"/>
      <c r="B1179" s="9"/>
      <c r="C1179" s="9"/>
      <c r="D1179" s="9"/>
      <c r="E1179" s="9"/>
      <c r="F1179" s="9"/>
      <c r="G1179" s="9"/>
      <c r="H1179" s="9"/>
      <c r="I1179" s="9"/>
      <c r="J1179" s="10" t="str">
        <f aca="false">IF(A1179="","",IF(G1179&lt;&gt;"",G1179,IF(N(F1179)&gt;0,ROUND(1000/F1179,3),0)))</f>
        <v/>
      </c>
      <c r="K1179" s="10" t="str">
        <f aca="false">IF(OR(A1179="",E1179="",H1179=""),"",ROUND(0.00617*E1179^2*H1179*J1179,2))</f>
        <v/>
      </c>
      <c r="L1179" s="9"/>
      <c r="M1179" s="10" t="str">
        <f aca="false">IF(A1179="","",IF((COUNTIF(Drain_Register!$A$5:$A$304,A1179)+COUNTIF(RW_Register!$A$5:$A$304,A1179)+COUNTIF(Embedded_Wall_Register!$A$5:$A$304,A1179)+COUNTIF(Manhole_Register!$A$5:$A$304,A1179)+COUNTIF(ERSS_Pit_Register!$A$5:$A$304,A1179)+COUNTIF(Linkway_Register!$A$5:$A$304,A1179)+COUNTIF(Other_Register!$A$5:$A$304,A1179))&gt;0,"OK","ID not in any register"))</f>
        <v/>
      </c>
    </row>
    <row r="1180" customFormat="false" ht="15" hidden="false" customHeight="false" outlineLevel="0" collapsed="false">
      <c r="A1180" s="9"/>
      <c r="B1180" s="9"/>
      <c r="C1180" s="9"/>
      <c r="D1180" s="9"/>
      <c r="E1180" s="9"/>
      <c r="F1180" s="9"/>
      <c r="G1180" s="9"/>
      <c r="H1180" s="9"/>
      <c r="I1180" s="9"/>
      <c r="J1180" s="10" t="str">
        <f aca="false">IF(A1180="","",IF(G1180&lt;&gt;"",G1180,IF(N(F1180)&gt;0,ROUND(1000/F1180,3),0)))</f>
        <v/>
      </c>
      <c r="K1180" s="10" t="str">
        <f aca="false">IF(OR(A1180="",E1180="",H1180=""),"",ROUND(0.00617*E1180^2*H1180*J1180,2))</f>
        <v/>
      </c>
      <c r="L1180" s="9"/>
      <c r="M1180" s="10" t="str">
        <f aca="false">IF(A1180="","",IF((COUNTIF(Drain_Register!$A$5:$A$304,A1180)+COUNTIF(RW_Register!$A$5:$A$304,A1180)+COUNTIF(Embedded_Wall_Register!$A$5:$A$304,A1180)+COUNTIF(Manhole_Register!$A$5:$A$304,A1180)+COUNTIF(ERSS_Pit_Register!$A$5:$A$304,A1180)+COUNTIF(Linkway_Register!$A$5:$A$304,A1180)+COUNTIF(Other_Register!$A$5:$A$304,A1180))&gt;0,"OK","ID not in any register"))</f>
        <v/>
      </c>
    </row>
    <row r="1181" customFormat="false" ht="15" hidden="false" customHeight="false" outlineLevel="0" collapsed="false">
      <c r="A1181" s="9"/>
      <c r="B1181" s="9"/>
      <c r="C1181" s="9"/>
      <c r="D1181" s="9"/>
      <c r="E1181" s="9"/>
      <c r="F1181" s="9"/>
      <c r="G1181" s="9"/>
      <c r="H1181" s="9"/>
      <c r="I1181" s="9"/>
      <c r="J1181" s="10" t="str">
        <f aca="false">IF(A1181="","",IF(G1181&lt;&gt;"",G1181,IF(N(F1181)&gt;0,ROUND(1000/F1181,3),0)))</f>
        <v/>
      </c>
      <c r="K1181" s="10" t="str">
        <f aca="false">IF(OR(A1181="",E1181="",H1181=""),"",ROUND(0.00617*E1181^2*H1181*J1181,2))</f>
        <v/>
      </c>
      <c r="L1181" s="9"/>
      <c r="M1181" s="10" t="str">
        <f aca="false">IF(A1181="","",IF((COUNTIF(Drain_Register!$A$5:$A$304,A1181)+COUNTIF(RW_Register!$A$5:$A$304,A1181)+COUNTIF(Embedded_Wall_Register!$A$5:$A$304,A1181)+COUNTIF(Manhole_Register!$A$5:$A$304,A1181)+COUNTIF(ERSS_Pit_Register!$A$5:$A$304,A1181)+COUNTIF(Linkway_Register!$A$5:$A$304,A1181)+COUNTIF(Other_Register!$A$5:$A$304,A1181))&gt;0,"OK","ID not in any register"))</f>
        <v/>
      </c>
    </row>
    <row r="1182" customFormat="false" ht="15" hidden="false" customHeight="false" outlineLevel="0" collapsed="false">
      <c r="A1182" s="9"/>
      <c r="B1182" s="9"/>
      <c r="C1182" s="9"/>
      <c r="D1182" s="9"/>
      <c r="E1182" s="9"/>
      <c r="F1182" s="9"/>
      <c r="G1182" s="9"/>
      <c r="H1182" s="9"/>
      <c r="I1182" s="9"/>
      <c r="J1182" s="10" t="str">
        <f aca="false">IF(A1182="","",IF(G1182&lt;&gt;"",G1182,IF(N(F1182)&gt;0,ROUND(1000/F1182,3),0)))</f>
        <v/>
      </c>
      <c r="K1182" s="10" t="str">
        <f aca="false">IF(OR(A1182="",E1182="",H1182=""),"",ROUND(0.00617*E1182^2*H1182*J1182,2))</f>
        <v/>
      </c>
      <c r="L1182" s="9"/>
      <c r="M1182" s="10" t="str">
        <f aca="false">IF(A1182="","",IF((COUNTIF(Drain_Register!$A$5:$A$304,A1182)+COUNTIF(RW_Register!$A$5:$A$304,A1182)+COUNTIF(Embedded_Wall_Register!$A$5:$A$304,A1182)+COUNTIF(Manhole_Register!$A$5:$A$304,A1182)+COUNTIF(ERSS_Pit_Register!$A$5:$A$304,A1182)+COUNTIF(Linkway_Register!$A$5:$A$304,A1182)+COUNTIF(Other_Register!$A$5:$A$304,A1182))&gt;0,"OK","ID not in any register"))</f>
        <v/>
      </c>
    </row>
    <row r="1183" customFormat="false" ht="15" hidden="false" customHeight="false" outlineLevel="0" collapsed="false">
      <c r="A1183" s="9"/>
      <c r="B1183" s="9"/>
      <c r="C1183" s="9"/>
      <c r="D1183" s="9"/>
      <c r="E1183" s="9"/>
      <c r="F1183" s="9"/>
      <c r="G1183" s="9"/>
      <c r="H1183" s="9"/>
      <c r="I1183" s="9"/>
      <c r="J1183" s="10" t="str">
        <f aca="false">IF(A1183="","",IF(G1183&lt;&gt;"",G1183,IF(N(F1183)&gt;0,ROUND(1000/F1183,3),0)))</f>
        <v/>
      </c>
      <c r="K1183" s="10" t="str">
        <f aca="false">IF(OR(A1183="",E1183="",H1183=""),"",ROUND(0.00617*E1183^2*H1183*J1183,2))</f>
        <v/>
      </c>
      <c r="L1183" s="9"/>
      <c r="M1183" s="10" t="str">
        <f aca="false">IF(A1183="","",IF((COUNTIF(Drain_Register!$A$5:$A$304,A1183)+COUNTIF(RW_Register!$A$5:$A$304,A1183)+COUNTIF(Embedded_Wall_Register!$A$5:$A$304,A1183)+COUNTIF(Manhole_Register!$A$5:$A$304,A1183)+COUNTIF(ERSS_Pit_Register!$A$5:$A$304,A1183)+COUNTIF(Linkway_Register!$A$5:$A$304,A1183)+COUNTIF(Other_Register!$A$5:$A$304,A1183))&gt;0,"OK","ID not in any register"))</f>
        <v/>
      </c>
    </row>
    <row r="1184" customFormat="false" ht="15" hidden="false" customHeight="false" outlineLevel="0" collapsed="false">
      <c r="A1184" s="9"/>
      <c r="B1184" s="9"/>
      <c r="C1184" s="9"/>
      <c r="D1184" s="9"/>
      <c r="E1184" s="9"/>
      <c r="F1184" s="9"/>
      <c r="G1184" s="9"/>
      <c r="H1184" s="9"/>
      <c r="I1184" s="9"/>
      <c r="J1184" s="10" t="str">
        <f aca="false">IF(A1184="","",IF(G1184&lt;&gt;"",G1184,IF(N(F1184)&gt;0,ROUND(1000/F1184,3),0)))</f>
        <v/>
      </c>
      <c r="K1184" s="10" t="str">
        <f aca="false">IF(OR(A1184="",E1184="",H1184=""),"",ROUND(0.00617*E1184^2*H1184*J1184,2))</f>
        <v/>
      </c>
      <c r="L1184" s="9"/>
      <c r="M1184" s="10" t="str">
        <f aca="false">IF(A1184="","",IF((COUNTIF(Drain_Register!$A$5:$A$304,A1184)+COUNTIF(RW_Register!$A$5:$A$304,A1184)+COUNTIF(Embedded_Wall_Register!$A$5:$A$304,A1184)+COUNTIF(Manhole_Register!$A$5:$A$304,A1184)+COUNTIF(ERSS_Pit_Register!$A$5:$A$304,A1184)+COUNTIF(Linkway_Register!$A$5:$A$304,A1184)+COUNTIF(Other_Register!$A$5:$A$304,A1184))&gt;0,"OK","ID not in any register"))</f>
        <v/>
      </c>
    </row>
    <row r="1185" customFormat="false" ht="15" hidden="false" customHeight="false" outlineLevel="0" collapsed="false">
      <c r="A1185" s="9"/>
      <c r="B1185" s="9"/>
      <c r="C1185" s="9"/>
      <c r="D1185" s="9"/>
      <c r="E1185" s="9"/>
      <c r="F1185" s="9"/>
      <c r="G1185" s="9"/>
      <c r="H1185" s="9"/>
      <c r="I1185" s="9"/>
      <c r="J1185" s="10" t="str">
        <f aca="false">IF(A1185="","",IF(G1185&lt;&gt;"",G1185,IF(N(F1185)&gt;0,ROUND(1000/F1185,3),0)))</f>
        <v/>
      </c>
      <c r="K1185" s="10" t="str">
        <f aca="false">IF(OR(A1185="",E1185="",H1185=""),"",ROUND(0.00617*E1185^2*H1185*J1185,2))</f>
        <v/>
      </c>
      <c r="L1185" s="9"/>
      <c r="M1185" s="10" t="str">
        <f aca="false">IF(A1185="","",IF((COUNTIF(Drain_Register!$A$5:$A$304,A1185)+COUNTIF(RW_Register!$A$5:$A$304,A1185)+COUNTIF(Embedded_Wall_Register!$A$5:$A$304,A1185)+COUNTIF(Manhole_Register!$A$5:$A$304,A1185)+COUNTIF(ERSS_Pit_Register!$A$5:$A$304,A1185)+COUNTIF(Linkway_Register!$A$5:$A$304,A1185)+COUNTIF(Other_Register!$A$5:$A$304,A1185))&gt;0,"OK","ID not in any register"))</f>
        <v/>
      </c>
    </row>
    <row r="1186" customFormat="false" ht="15" hidden="false" customHeight="false" outlineLevel="0" collapsed="false">
      <c r="A1186" s="9"/>
      <c r="B1186" s="9"/>
      <c r="C1186" s="9"/>
      <c r="D1186" s="9"/>
      <c r="E1186" s="9"/>
      <c r="F1186" s="9"/>
      <c r="G1186" s="9"/>
      <c r="H1186" s="9"/>
      <c r="I1186" s="9"/>
      <c r="J1186" s="10" t="str">
        <f aca="false">IF(A1186="","",IF(G1186&lt;&gt;"",G1186,IF(N(F1186)&gt;0,ROUND(1000/F1186,3),0)))</f>
        <v/>
      </c>
      <c r="K1186" s="10" t="str">
        <f aca="false">IF(OR(A1186="",E1186="",H1186=""),"",ROUND(0.00617*E1186^2*H1186*J1186,2))</f>
        <v/>
      </c>
      <c r="L1186" s="9"/>
      <c r="M1186" s="10" t="str">
        <f aca="false">IF(A1186="","",IF((COUNTIF(Drain_Register!$A$5:$A$304,A1186)+COUNTIF(RW_Register!$A$5:$A$304,A1186)+COUNTIF(Embedded_Wall_Register!$A$5:$A$304,A1186)+COUNTIF(Manhole_Register!$A$5:$A$304,A1186)+COUNTIF(ERSS_Pit_Register!$A$5:$A$304,A1186)+COUNTIF(Linkway_Register!$A$5:$A$304,A1186)+COUNTIF(Other_Register!$A$5:$A$304,A1186))&gt;0,"OK","ID not in any register"))</f>
        <v/>
      </c>
    </row>
    <row r="1187" customFormat="false" ht="15" hidden="false" customHeight="false" outlineLevel="0" collapsed="false">
      <c r="A1187" s="9"/>
      <c r="B1187" s="9"/>
      <c r="C1187" s="9"/>
      <c r="D1187" s="9"/>
      <c r="E1187" s="9"/>
      <c r="F1187" s="9"/>
      <c r="G1187" s="9"/>
      <c r="H1187" s="9"/>
      <c r="I1187" s="9"/>
      <c r="J1187" s="10" t="str">
        <f aca="false">IF(A1187="","",IF(G1187&lt;&gt;"",G1187,IF(N(F1187)&gt;0,ROUND(1000/F1187,3),0)))</f>
        <v/>
      </c>
      <c r="K1187" s="10" t="str">
        <f aca="false">IF(OR(A1187="",E1187="",H1187=""),"",ROUND(0.00617*E1187^2*H1187*J1187,2))</f>
        <v/>
      </c>
      <c r="L1187" s="9"/>
      <c r="M1187" s="10" t="str">
        <f aca="false">IF(A1187="","",IF((COUNTIF(Drain_Register!$A$5:$A$304,A1187)+COUNTIF(RW_Register!$A$5:$A$304,A1187)+COUNTIF(Embedded_Wall_Register!$A$5:$A$304,A1187)+COUNTIF(Manhole_Register!$A$5:$A$304,A1187)+COUNTIF(ERSS_Pit_Register!$A$5:$A$304,A1187)+COUNTIF(Linkway_Register!$A$5:$A$304,A1187)+COUNTIF(Other_Register!$A$5:$A$304,A1187))&gt;0,"OK","ID not in any register"))</f>
        <v/>
      </c>
    </row>
    <row r="1188" customFormat="false" ht="15" hidden="false" customHeight="false" outlineLevel="0" collapsed="false">
      <c r="A1188" s="9"/>
      <c r="B1188" s="9"/>
      <c r="C1188" s="9"/>
      <c r="D1188" s="9"/>
      <c r="E1188" s="9"/>
      <c r="F1188" s="9"/>
      <c r="G1188" s="9"/>
      <c r="H1188" s="9"/>
      <c r="I1188" s="9"/>
      <c r="J1188" s="10" t="str">
        <f aca="false">IF(A1188="","",IF(G1188&lt;&gt;"",G1188,IF(N(F1188)&gt;0,ROUND(1000/F1188,3),0)))</f>
        <v/>
      </c>
      <c r="K1188" s="10" t="str">
        <f aca="false">IF(OR(A1188="",E1188="",H1188=""),"",ROUND(0.00617*E1188^2*H1188*J1188,2))</f>
        <v/>
      </c>
      <c r="L1188" s="9"/>
      <c r="M1188" s="10" t="str">
        <f aca="false">IF(A1188="","",IF((COUNTIF(Drain_Register!$A$5:$A$304,A1188)+COUNTIF(RW_Register!$A$5:$A$304,A1188)+COUNTIF(Embedded_Wall_Register!$A$5:$A$304,A1188)+COUNTIF(Manhole_Register!$A$5:$A$304,A1188)+COUNTIF(ERSS_Pit_Register!$A$5:$A$304,A1188)+COUNTIF(Linkway_Register!$A$5:$A$304,A1188)+COUNTIF(Other_Register!$A$5:$A$304,A1188))&gt;0,"OK","ID not in any register"))</f>
        <v/>
      </c>
    </row>
    <row r="1189" customFormat="false" ht="15" hidden="false" customHeight="false" outlineLevel="0" collapsed="false">
      <c r="A1189" s="9"/>
      <c r="B1189" s="9"/>
      <c r="C1189" s="9"/>
      <c r="D1189" s="9"/>
      <c r="E1189" s="9"/>
      <c r="F1189" s="9"/>
      <c r="G1189" s="9"/>
      <c r="H1189" s="9"/>
      <c r="I1189" s="9"/>
      <c r="J1189" s="10" t="str">
        <f aca="false">IF(A1189="","",IF(G1189&lt;&gt;"",G1189,IF(N(F1189)&gt;0,ROUND(1000/F1189,3),0)))</f>
        <v/>
      </c>
      <c r="K1189" s="10" t="str">
        <f aca="false">IF(OR(A1189="",E1189="",H1189=""),"",ROUND(0.00617*E1189^2*H1189*J1189,2))</f>
        <v/>
      </c>
      <c r="L1189" s="9"/>
      <c r="M1189" s="10" t="str">
        <f aca="false">IF(A1189="","",IF((COUNTIF(Drain_Register!$A$5:$A$304,A1189)+COUNTIF(RW_Register!$A$5:$A$304,A1189)+COUNTIF(Embedded_Wall_Register!$A$5:$A$304,A1189)+COUNTIF(Manhole_Register!$A$5:$A$304,A1189)+COUNTIF(ERSS_Pit_Register!$A$5:$A$304,A1189)+COUNTIF(Linkway_Register!$A$5:$A$304,A1189)+COUNTIF(Other_Register!$A$5:$A$304,A1189))&gt;0,"OK","ID not in any register"))</f>
        <v/>
      </c>
    </row>
    <row r="1190" customFormat="false" ht="15" hidden="false" customHeight="false" outlineLevel="0" collapsed="false">
      <c r="A1190" s="9"/>
      <c r="B1190" s="9"/>
      <c r="C1190" s="9"/>
      <c r="D1190" s="9"/>
      <c r="E1190" s="9"/>
      <c r="F1190" s="9"/>
      <c r="G1190" s="9"/>
      <c r="H1190" s="9"/>
      <c r="I1190" s="9"/>
      <c r="J1190" s="10" t="str">
        <f aca="false">IF(A1190="","",IF(G1190&lt;&gt;"",G1190,IF(N(F1190)&gt;0,ROUND(1000/F1190,3),0)))</f>
        <v/>
      </c>
      <c r="K1190" s="10" t="str">
        <f aca="false">IF(OR(A1190="",E1190="",H1190=""),"",ROUND(0.00617*E1190^2*H1190*J1190,2))</f>
        <v/>
      </c>
      <c r="L1190" s="9"/>
      <c r="M1190" s="10" t="str">
        <f aca="false">IF(A1190="","",IF((COUNTIF(Drain_Register!$A$5:$A$304,A1190)+COUNTIF(RW_Register!$A$5:$A$304,A1190)+COUNTIF(Embedded_Wall_Register!$A$5:$A$304,A1190)+COUNTIF(Manhole_Register!$A$5:$A$304,A1190)+COUNTIF(ERSS_Pit_Register!$A$5:$A$304,A1190)+COUNTIF(Linkway_Register!$A$5:$A$304,A1190)+COUNTIF(Other_Register!$A$5:$A$304,A1190))&gt;0,"OK","ID not in any register"))</f>
        <v/>
      </c>
    </row>
    <row r="1191" customFormat="false" ht="15" hidden="false" customHeight="false" outlineLevel="0" collapsed="false">
      <c r="A1191" s="9"/>
      <c r="B1191" s="9"/>
      <c r="C1191" s="9"/>
      <c r="D1191" s="9"/>
      <c r="E1191" s="9"/>
      <c r="F1191" s="9"/>
      <c r="G1191" s="9"/>
      <c r="H1191" s="9"/>
      <c r="I1191" s="9"/>
      <c r="J1191" s="10" t="str">
        <f aca="false">IF(A1191="","",IF(G1191&lt;&gt;"",G1191,IF(N(F1191)&gt;0,ROUND(1000/F1191,3),0)))</f>
        <v/>
      </c>
      <c r="K1191" s="10" t="str">
        <f aca="false">IF(OR(A1191="",E1191="",H1191=""),"",ROUND(0.00617*E1191^2*H1191*J1191,2))</f>
        <v/>
      </c>
      <c r="L1191" s="9"/>
      <c r="M1191" s="10" t="str">
        <f aca="false">IF(A1191="","",IF((COUNTIF(Drain_Register!$A$5:$A$304,A1191)+COUNTIF(RW_Register!$A$5:$A$304,A1191)+COUNTIF(Embedded_Wall_Register!$A$5:$A$304,A1191)+COUNTIF(Manhole_Register!$A$5:$A$304,A1191)+COUNTIF(ERSS_Pit_Register!$A$5:$A$304,A1191)+COUNTIF(Linkway_Register!$A$5:$A$304,A1191)+COUNTIF(Other_Register!$A$5:$A$304,A1191))&gt;0,"OK","ID not in any register"))</f>
        <v/>
      </c>
    </row>
    <row r="1192" customFormat="false" ht="15" hidden="false" customHeight="false" outlineLevel="0" collapsed="false">
      <c r="A1192" s="9"/>
      <c r="B1192" s="9"/>
      <c r="C1192" s="9"/>
      <c r="D1192" s="9"/>
      <c r="E1192" s="9"/>
      <c r="F1192" s="9"/>
      <c r="G1192" s="9"/>
      <c r="H1192" s="9"/>
      <c r="I1192" s="9"/>
      <c r="J1192" s="10" t="str">
        <f aca="false">IF(A1192="","",IF(G1192&lt;&gt;"",G1192,IF(N(F1192)&gt;0,ROUND(1000/F1192,3),0)))</f>
        <v/>
      </c>
      <c r="K1192" s="10" t="str">
        <f aca="false">IF(OR(A1192="",E1192="",H1192=""),"",ROUND(0.00617*E1192^2*H1192*J1192,2))</f>
        <v/>
      </c>
      <c r="L1192" s="9"/>
      <c r="M1192" s="10" t="str">
        <f aca="false">IF(A1192="","",IF((COUNTIF(Drain_Register!$A$5:$A$304,A1192)+COUNTIF(RW_Register!$A$5:$A$304,A1192)+COUNTIF(Embedded_Wall_Register!$A$5:$A$304,A1192)+COUNTIF(Manhole_Register!$A$5:$A$304,A1192)+COUNTIF(ERSS_Pit_Register!$A$5:$A$304,A1192)+COUNTIF(Linkway_Register!$A$5:$A$304,A1192)+COUNTIF(Other_Register!$A$5:$A$304,A1192))&gt;0,"OK","ID not in any register"))</f>
        <v/>
      </c>
    </row>
    <row r="1193" customFormat="false" ht="15" hidden="false" customHeight="false" outlineLevel="0" collapsed="false">
      <c r="A1193" s="9"/>
      <c r="B1193" s="9"/>
      <c r="C1193" s="9"/>
      <c r="D1193" s="9"/>
      <c r="E1193" s="9"/>
      <c r="F1193" s="9"/>
      <c r="G1193" s="9"/>
      <c r="H1193" s="9"/>
      <c r="I1193" s="9"/>
      <c r="J1193" s="10" t="str">
        <f aca="false">IF(A1193="","",IF(G1193&lt;&gt;"",G1193,IF(N(F1193)&gt;0,ROUND(1000/F1193,3),0)))</f>
        <v/>
      </c>
      <c r="K1193" s="10" t="str">
        <f aca="false">IF(OR(A1193="",E1193="",H1193=""),"",ROUND(0.00617*E1193^2*H1193*J1193,2))</f>
        <v/>
      </c>
      <c r="L1193" s="9"/>
      <c r="M1193" s="10" t="str">
        <f aca="false">IF(A1193="","",IF((COUNTIF(Drain_Register!$A$5:$A$304,A1193)+COUNTIF(RW_Register!$A$5:$A$304,A1193)+COUNTIF(Embedded_Wall_Register!$A$5:$A$304,A1193)+COUNTIF(Manhole_Register!$A$5:$A$304,A1193)+COUNTIF(ERSS_Pit_Register!$A$5:$A$304,A1193)+COUNTIF(Linkway_Register!$A$5:$A$304,A1193)+COUNTIF(Other_Register!$A$5:$A$304,A1193))&gt;0,"OK","ID not in any register"))</f>
        <v/>
      </c>
    </row>
    <row r="1194" customFormat="false" ht="15" hidden="false" customHeight="false" outlineLevel="0" collapsed="false">
      <c r="A1194" s="9"/>
      <c r="B1194" s="9"/>
      <c r="C1194" s="9"/>
      <c r="D1194" s="9"/>
      <c r="E1194" s="9"/>
      <c r="F1194" s="9"/>
      <c r="G1194" s="9"/>
      <c r="H1194" s="9"/>
      <c r="I1194" s="9"/>
      <c r="J1194" s="10" t="str">
        <f aca="false">IF(A1194="","",IF(G1194&lt;&gt;"",G1194,IF(N(F1194)&gt;0,ROUND(1000/F1194,3),0)))</f>
        <v/>
      </c>
      <c r="K1194" s="10" t="str">
        <f aca="false">IF(OR(A1194="",E1194="",H1194=""),"",ROUND(0.00617*E1194^2*H1194*J1194,2))</f>
        <v/>
      </c>
      <c r="L1194" s="9"/>
      <c r="M1194" s="10" t="str">
        <f aca="false">IF(A1194="","",IF((COUNTIF(Drain_Register!$A$5:$A$304,A1194)+COUNTIF(RW_Register!$A$5:$A$304,A1194)+COUNTIF(Embedded_Wall_Register!$A$5:$A$304,A1194)+COUNTIF(Manhole_Register!$A$5:$A$304,A1194)+COUNTIF(ERSS_Pit_Register!$A$5:$A$304,A1194)+COUNTIF(Linkway_Register!$A$5:$A$304,A1194)+COUNTIF(Other_Register!$A$5:$A$304,A1194))&gt;0,"OK","ID not in any register"))</f>
        <v/>
      </c>
    </row>
    <row r="1195" customFormat="false" ht="15" hidden="false" customHeight="false" outlineLevel="0" collapsed="false">
      <c r="A1195" s="9"/>
      <c r="B1195" s="9"/>
      <c r="C1195" s="9"/>
      <c r="D1195" s="9"/>
      <c r="E1195" s="9"/>
      <c r="F1195" s="9"/>
      <c r="G1195" s="9"/>
      <c r="H1195" s="9"/>
      <c r="I1195" s="9"/>
      <c r="J1195" s="10" t="str">
        <f aca="false">IF(A1195="","",IF(G1195&lt;&gt;"",G1195,IF(N(F1195)&gt;0,ROUND(1000/F1195,3),0)))</f>
        <v/>
      </c>
      <c r="K1195" s="10" t="str">
        <f aca="false">IF(OR(A1195="",E1195="",H1195=""),"",ROUND(0.00617*E1195^2*H1195*J1195,2))</f>
        <v/>
      </c>
      <c r="L1195" s="9"/>
      <c r="M1195" s="10" t="str">
        <f aca="false">IF(A1195="","",IF((COUNTIF(Drain_Register!$A$5:$A$304,A1195)+COUNTIF(RW_Register!$A$5:$A$304,A1195)+COUNTIF(Embedded_Wall_Register!$A$5:$A$304,A1195)+COUNTIF(Manhole_Register!$A$5:$A$304,A1195)+COUNTIF(ERSS_Pit_Register!$A$5:$A$304,A1195)+COUNTIF(Linkway_Register!$A$5:$A$304,A1195)+COUNTIF(Other_Register!$A$5:$A$304,A1195))&gt;0,"OK","ID not in any register"))</f>
        <v/>
      </c>
    </row>
    <row r="1196" customFormat="false" ht="15" hidden="false" customHeight="false" outlineLevel="0" collapsed="false">
      <c r="A1196" s="9"/>
      <c r="B1196" s="9"/>
      <c r="C1196" s="9"/>
      <c r="D1196" s="9"/>
      <c r="E1196" s="9"/>
      <c r="F1196" s="9"/>
      <c r="G1196" s="9"/>
      <c r="H1196" s="9"/>
      <c r="I1196" s="9"/>
      <c r="J1196" s="10" t="str">
        <f aca="false">IF(A1196="","",IF(G1196&lt;&gt;"",G1196,IF(N(F1196)&gt;0,ROUND(1000/F1196,3),0)))</f>
        <v/>
      </c>
      <c r="K1196" s="10" t="str">
        <f aca="false">IF(OR(A1196="",E1196="",H1196=""),"",ROUND(0.00617*E1196^2*H1196*J1196,2))</f>
        <v/>
      </c>
      <c r="L1196" s="9"/>
      <c r="M1196" s="10" t="str">
        <f aca="false">IF(A1196="","",IF((COUNTIF(Drain_Register!$A$5:$A$304,A1196)+COUNTIF(RW_Register!$A$5:$A$304,A1196)+COUNTIF(Embedded_Wall_Register!$A$5:$A$304,A1196)+COUNTIF(Manhole_Register!$A$5:$A$304,A1196)+COUNTIF(ERSS_Pit_Register!$A$5:$A$304,A1196)+COUNTIF(Linkway_Register!$A$5:$A$304,A1196)+COUNTIF(Other_Register!$A$5:$A$304,A1196))&gt;0,"OK","ID not in any register"))</f>
        <v/>
      </c>
    </row>
    <row r="1197" customFormat="false" ht="15" hidden="false" customHeight="false" outlineLevel="0" collapsed="false">
      <c r="A1197" s="9"/>
      <c r="B1197" s="9"/>
      <c r="C1197" s="9"/>
      <c r="D1197" s="9"/>
      <c r="E1197" s="9"/>
      <c r="F1197" s="9"/>
      <c r="G1197" s="9"/>
      <c r="H1197" s="9"/>
      <c r="I1197" s="9"/>
      <c r="J1197" s="10" t="str">
        <f aca="false">IF(A1197="","",IF(G1197&lt;&gt;"",G1197,IF(N(F1197)&gt;0,ROUND(1000/F1197,3),0)))</f>
        <v/>
      </c>
      <c r="K1197" s="10" t="str">
        <f aca="false">IF(OR(A1197="",E1197="",H1197=""),"",ROUND(0.00617*E1197^2*H1197*J1197,2))</f>
        <v/>
      </c>
      <c r="L1197" s="9"/>
      <c r="M1197" s="10" t="str">
        <f aca="false">IF(A1197="","",IF((COUNTIF(Drain_Register!$A$5:$A$304,A1197)+COUNTIF(RW_Register!$A$5:$A$304,A1197)+COUNTIF(Embedded_Wall_Register!$A$5:$A$304,A1197)+COUNTIF(Manhole_Register!$A$5:$A$304,A1197)+COUNTIF(ERSS_Pit_Register!$A$5:$A$304,A1197)+COUNTIF(Linkway_Register!$A$5:$A$304,A1197)+COUNTIF(Other_Register!$A$5:$A$304,A1197))&gt;0,"OK","ID not in any register"))</f>
        <v/>
      </c>
    </row>
    <row r="1198" customFormat="false" ht="15" hidden="false" customHeight="false" outlineLevel="0" collapsed="false">
      <c r="A1198" s="9"/>
      <c r="B1198" s="9"/>
      <c r="C1198" s="9"/>
      <c r="D1198" s="9"/>
      <c r="E1198" s="9"/>
      <c r="F1198" s="9"/>
      <c r="G1198" s="9"/>
      <c r="H1198" s="9"/>
      <c r="I1198" s="9"/>
      <c r="J1198" s="10" t="str">
        <f aca="false">IF(A1198="","",IF(G1198&lt;&gt;"",G1198,IF(N(F1198)&gt;0,ROUND(1000/F1198,3),0)))</f>
        <v/>
      </c>
      <c r="K1198" s="10" t="str">
        <f aca="false">IF(OR(A1198="",E1198="",H1198=""),"",ROUND(0.00617*E1198^2*H1198*J1198,2))</f>
        <v/>
      </c>
      <c r="L1198" s="9"/>
      <c r="M1198" s="10" t="str">
        <f aca="false">IF(A1198="","",IF((COUNTIF(Drain_Register!$A$5:$A$304,A1198)+COUNTIF(RW_Register!$A$5:$A$304,A1198)+COUNTIF(Embedded_Wall_Register!$A$5:$A$304,A1198)+COUNTIF(Manhole_Register!$A$5:$A$304,A1198)+COUNTIF(ERSS_Pit_Register!$A$5:$A$304,A1198)+COUNTIF(Linkway_Register!$A$5:$A$304,A1198)+COUNTIF(Other_Register!$A$5:$A$304,A1198))&gt;0,"OK","ID not in any register"))</f>
        <v/>
      </c>
    </row>
    <row r="1199" customFormat="false" ht="15" hidden="false" customHeight="false" outlineLevel="0" collapsed="false">
      <c r="A1199" s="9"/>
      <c r="B1199" s="9"/>
      <c r="C1199" s="9"/>
      <c r="D1199" s="9"/>
      <c r="E1199" s="9"/>
      <c r="F1199" s="9"/>
      <c r="G1199" s="9"/>
      <c r="H1199" s="9"/>
      <c r="I1199" s="9"/>
      <c r="J1199" s="10" t="str">
        <f aca="false">IF(A1199="","",IF(G1199&lt;&gt;"",G1199,IF(N(F1199)&gt;0,ROUND(1000/F1199,3),0)))</f>
        <v/>
      </c>
      <c r="K1199" s="10" t="str">
        <f aca="false">IF(OR(A1199="",E1199="",H1199=""),"",ROUND(0.00617*E1199^2*H1199*J1199,2))</f>
        <v/>
      </c>
      <c r="L1199" s="9"/>
      <c r="M1199" s="10" t="str">
        <f aca="false">IF(A1199="","",IF((COUNTIF(Drain_Register!$A$5:$A$304,A1199)+COUNTIF(RW_Register!$A$5:$A$304,A1199)+COUNTIF(Embedded_Wall_Register!$A$5:$A$304,A1199)+COUNTIF(Manhole_Register!$A$5:$A$304,A1199)+COUNTIF(ERSS_Pit_Register!$A$5:$A$304,A1199)+COUNTIF(Linkway_Register!$A$5:$A$304,A1199)+COUNTIF(Other_Register!$A$5:$A$304,A1199))&gt;0,"OK","ID not in any register"))</f>
        <v/>
      </c>
    </row>
    <row r="1200" customFormat="false" ht="15" hidden="false" customHeight="false" outlineLevel="0" collapsed="false">
      <c r="A1200" s="9"/>
      <c r="B1200" s="9"/>
      <c r="C1200" s="9"/>
      <c r="D1200" s="9"/>
      <c r="E1200" s="9"/>
      <c r="F1200" s="9"/>
      <c r="G1200" s="9"/>
      <c r="H1200" s="9"/>
      <c r="I1200" s="9"/>
      <c r="J1200" s="10" t="str">
        <f aca="false">IF(A1200="","",IF(G1200&lt;&gt;"",G1200,IF(N(F1200)&gt;0,ROUND(1000/F1200,3),0)))</f>
        <v/>
      </c>
      <c r="K1200" s="10" t="str">
        <f aca="false">IF(OR(A1200="",E1200="",H1200=""),"",ROUND(0.00617*E1200^2*H1200*J1200,2))</f>
        <v/>
      </c>
      <c r="L1200" s="9"/>
      <c r="M1200" s="10" t="str">
        <f aca="false">IF(A1200="","",IF((COUNTIF(Drain_Register!$A$5:$A$304,A1200)+COUNTIF(RW_Register!$A$5:$A$304,A1200)+COUNTIF(Embedded_Wall_Register!$A$5:$A$304,A1200)+COUNTIF(Manhole_Register!$A$5:$A$304,A1200)+COUNTIF(ERSS_Pit_Register!$A$5:$A$304,A1200)+COUNTIF(Linkway_Register!$A$5:$A$304,A1200)+COUNTIF(Other_Register!$A$5:$A$304,A1200))&gt;0,"OK","ID not in any register"))</f>
        <v/>
      </c>
    </row>
    <row r="1201" customFormat="false" ht="15" hidden="false" customHeight="false" outlineLevel="0" collapsed="false">
      <c r="A1201" s="9"/>
      <c r="B1201" s="9"/>
      <c r="C1201" s="9"/>
      <c r="D1201" s="9"/>
      <c r="E1201" s="9"/>
      <c r="F1201" s="9"/>
      <c r="G1201" s="9"/>
      <c r="H1201" s="9"/>
      <c r="I1201" s="9"/>
      <c r="J1201" s="10" t="str">
        <f aca="false">IF(A1201="","",IF(G1201&lt;&gt;"",G1201,IF(N(F1201)&gt;0,ROUND(1000/F1201,3),0)))</f>
        <v/>
      </c>
      <c r="K1201" s="10" t="str">
        <f aca="false">IF(OR(A1201="",E1201="",H1201=""),"",ROUND(0.00617*E1201^2*H1201*J1201,2))</f>
        <v/>
      </c>
      <c r="L1201" s="9"/>
      <c r="M1201" s="10" t="str">
        <f aca="false">IF(A1201="","",IF((COUNTIF(Drain_Register!$A$5:$A$304,A1201)+COUNTIF(RW_Register!$A$5:$A$304,A1201)+COUNTIF(Embedded_Wall_Register!$A$5:$A$304,A1201)+COUNTIF(Manhole_Register!$A$5:$A$304,A1201)+COUNTIF(ERSS_Pit_Register!$A$5:$A$304,A1201)+COUNTIF(Linkway_Register!$A$5:$A$304,A1201)+COUNTIF(Other_Register!$A$5:$A$304,A1201))&gt;0,"OK","ID not in any register"))</f>
        <v/>
      </c>
    </row>
    <row r="1202" customFormat="false" ht="15" hidden="false" customHeight="false" outlineLevel="0" collapsed="false">
      <c r="A1202" s="9"/>
      <c r="B1202" s="9"/>
      <c r="C1202" s="9"/>
      <c r="D1202" s="9"/>
      <c r="E1202" s="9"/>
      <c r="F1202" s="9"/>
      <c r="G1202" s="9"/>
      <c r="H1202" s="9"/>
      <c r="I1202" s="9"/>
      <c r="J1202" s="10" t="str">
        <f aca="false">IF(A1202="","",IF(G1202&lt;&gt;"",G1202,IF(N(F1202)&gt;0,ROUND(1000/F1202,3),0)))</f>
        <v/>
      </c>
      <c r="K1202" s="10" t="str">
        <f aca="false">IF(OR(A1202="",E1202="",H1202=""),"",ROUND(0.00617*E1202^2*H1202*J1202,2))</f>
        <v/>
      </c>
      <c r="L1202" s="9"/>
      <c r="M1202" s="10" t="str">
        <f aca="false">IF(A1202="","",IF((COUNTIF(Drain_Register!$A$5:$A$304,A1202)+COUNTIF(RW_Register!$A$5:$A$304,A1202)+COUNTIF(Embedded_Wall_Register!$A$5:$A$304,A1202)+COUNTIF(Manhole_Register!$A$5:$A$304,A1202)+COUNTIF(ERSS_Pit_Register!$A$5:$A$304,A1202)+COUNTIF(Linkway_Register!$A$5:$A$304,A1202)+COUNTIF(Other_Register!$A$5:$A$304,A1202))&gt;0,"OK","ID not in any register"))</f>
        <v/>
      </c>
    </row>
    <row r="1203" customFormat="false" ht="15" hidden="false" customHeight="false" outlineLevel="0" collapsed="false">
      <c r="A1203" s="9"/>
      <c r="B1203" s="9"/>
      <c r="C1203" s="9"/>
      <c r="D1203" s="9"/>
      <c r="E1203" s="9"/>
      <c r="F1203" s="9"/>
      <c r="G1203" s="9"/>
      <c r="H1203" s="9"/>
      <c r="I1203" s="9"/>
      <c r="J1203" s="10" t="str">
        <f aca="false">IF(A1203="","",IF(G1203&lt;&gt;"",G1203,IF(N(F1203)&gt;0,ROUND(1000/F1203,3),0)))</f>
        <v/>
      </c>
      <c r="K1203" s="10" t="str">
        <f aca="false">IF(OR(A1203="",E1203="",H1203=""),"",ROUND(0.00617*E1203^2*H1203*J1203,2))</f>
        <v/>
      </c>
      <c r="L1203" s="9"/>
      <c r="M1203" s="10" t="str">
        <f aca="false">IF(A1203="","",IF((COUNTIF(Drain_Register!$A$5:$A$304,A1203)+COUNTIF(RW_Register!$A$5:$A$304,A1203)+COUNTIF(Embedded_Wall_Register!$A$5:$A$304,A1203)+COUNTIF(Manhole_Register!$A$5:$A$304,A1203)+COUNTIF(ERSS_Pit_Register!$A$5:$A$304,A1203)+COUNTIF(Linkway_Register!$A$5:$A$304,A1203)+COUNTIF(Other_Register!$A$5:$A$304,A1203))&gt;0,"OK","ID not in any register"))</f>
        <v/>
      </c>
    </row>
    <row r="1204" customFormat="false" ht="15" hidden="false" customHeight="false" outlineLevel="0" collapsed="false">
      <c r="A1204" s="9"/>
      <c r="B1204" s="9"/>
      <c r="C1204" s="9"/>
      <c r="D1204" s="9"/>
      <c r="E1204" s="9"/>
      <c r="F1204" s="9"/>
      <c r="G1204" s="9"/>
      <c r="H1204" s="9"/>
      <c r="I1204" s="9"/>
      <c r="J1204" s="10" t="str">
        <f aca="false">IF(A1204="","",IF(G1204&lt;&gt;"",G1204,IF(N(F1204)&gt;0,ROUND(1000/F1204,3),0)))</f>
        <v/>
      </c>
      <c r="K1204" s="10" t="str">
        <f aca="false">IF(OR(A1204="",E1204="",H1204=""),"",ROUND(0.00617*E1204^2*H1204*J1204,2))</f>
        <v/>
      </c>
      <c r="L1204" s="9"/>
      <c r="M1204" s="10" t="str">
        <f aca="false">IF(A1204="","",IF((COUNTIF(Drain_Register!$A$5:$A$304,A1204)+COUNTIF(RW_Register!$A$5:$A$304,A1204)+COUNTIF(Embedded_Wall_Register!$A$5:$A$304,A1204)+COUNTIF(Manhole_Register!$A$5:$A$304,A1204)+COUNTIF(ERSS_Pit_Register!$A$5:$A$304,A1204)+COUNTIF(Linkway_Register!$A$5:$A$304,A1204)+COUNTIF(Other_Register!$A$5:$A$304,A1204))&gt;0,"OK","ID not in any register"))</f>
        <v/>
      </c>
    </row>
    <row r="1205" customFormat="false" ht="15" hidden="false" customHeight="false" outlineLevel="0" collapsed="false">
      <c r="A1205" s="9"/>
      <c r="B1205" s="9"/>
      <c r="C1205" s="9"/>
      <c r="D1205" s="9"/>
      <c r="E1205" s="9"/>
      <c r="F1205" s="9"/>
      <c r="G1205" s="9"/>
      <c r="H1205" s="9"/>
      <c r="I1205" s="9"/>
      <c r="J1205" s="10" t="str">
        <f aca="false">IF(A1205="","",IF(G1205&lt;&gt;"",G1205,IF(N(F1205)&gt;0,ROUND(1000/F1205,3),0)))</f>
        <v/>
      </c>
      <c r="K1205" s="10" t="str">
        <f aca="false">IF(OR(A1205="",E1205="",H1205=""),"",ROUND(0.00617*E1205^2*H1205*J1205,2))</f>
        <v/>
      </c>
      <c r="L1205" s="9"/>
      <c r="M1205" s="10" t="str">
        <f aca="false">IF(A1205="","",IF((COUNTIF(Drain_Register!$A$5:$A$304,A1205)+COUNTIF(RW_Register!$A$5:$A$304,A1205)+COUNTIF(Embedded_Wall_Register!$A$5:$A$304,A1205)+COUNTIF(Manhole_Register!$A$5:$A$304,A1205)+COUNTIF(ERSS_Pit_Register!$A$5:$A$304,A1205)+COUNTIF(Linkway_Register!$A$5:$A$304,A1205)+COUNTIF(Other_Register!$A$5:$A$304,A1205))&gt;0,"OK","ID not in any register"))</f>
        <v/>
      </c>
    </row>
    <row r="1206" customFormat="false" ht="15" hidden="false" customHeight="false" outlineLevel="0" collapsed="false">
      <c r="A1206" s="9"/>
      <c r="B1206" s="9"/>
      <c r="C1206" s="9"/>
      <c r="D1206" s="9"/>
      <c r="E1206" s="9"/>
      <c r="F1206" s="9"/>
      <c r="G1206" s="9"/>
      <c r="H1206" s="9"/>
      <c r="I1206" s="9"/>
      <c r="J1206" s="10" t="str">
        <f aca="false">IF(A1206="","",IF(G1206&lt;&gt;"",G1206,IF(N(F1206)&gt;0,ROUND(1000/F1206,3),0)))</f>
        <v/>
      </c>
      <c r="K1206" s="10" t="str">
        <f aca="false">IF(OR(A1206="",E1206="",H1206=""),"",ROUND(0.00617*E1206^2*H1206*J1206,2))</f>
        <v/>
      </c>
      <c r="L1206" s="9"/>
      <c r="M1206" s="10" t="str">
        <f aca="false">IF(A1206="","",IF((COUNTIF(Drain_Register!$A$5:$A$304,A1206)+COUNTIF(RW_Register!$A$5:$A$304,A1206)+COUNTIF(Embedded_Wall_Register!$A$5:$A$304,A1206)+COUNTIF(Manhole_Register!$A$5:$A$304,A1206)+COUNTIF(ERSS_Pit_Register!$A$5:$A$304,A1206)+COUNTIF(Linkway_Register!$A$5:$A$304,A1206)+COUNTIF(Other_Register!$A$5:$A$304,A1206))&gt;0,"OK","ID not in any register"))</f>
        <v/>
      </c>
    </row>
    <row r="1207" customFormat="false" ht="15" hidden="false" customHeight="false" outlineLevel="0" collapsed="false">
      <c r="A1207" s="9"/>
      <c r="B1207" s="9"/>
      <c r="C1207" s="9"/>
      <c r="D1207" s="9"/>
      <c r="E1207" s="9"/>
      <c r="F1207" s="9"/>
      <c r="G1207" s="9"/>
      <c r="H1207" s="9"/>
      <c r="I1207" s="9"/>
      <c r="J1207" s="10" t="str">
        <f aca="false">IF(A1207="","",IF(G1207&lt;&gt;"",G1207,IF(N(F1207)&gt;0,ROUND(1000/F1207,3),0)))</f>
        <v/>
      </c>
      <c r="K1207" s="10" t="str">
        <f aca="false">IF(OR(A1207="",E1207="",H1207=""),"",ROUND(0.00617*E1207^2*H1207*J1207,2))</f>
        <v/>
      </c>
      <c r="L1207" s="9"/>
      <c r="M1207" s="10" t="str">
        <f aca="false">IF(A1207="","",IF((COUNTIF(Drain_Register!$A$5:$A$304,A1207)+COUNTIF(RW_Register!$A$5:$A$304,A1207)+COUNTIF(Embedded_Wall_Register!$A$5:$A$304,A1207)+COUNTIF(Manhole_Register!$A$5:$A$304,A1207)+COUNTIF(ERSS_Pit_Register!$A$5:$A$304,A1207)+COUNTIF(Linkway_Register!$A$5:$A$304,A1207)+COUNTIF(Other_Register!$A$5:$A$304,A1207))&gt;0,"OK","ID not in any register"))</f>
        <v/>
      </c>
    </row>
    <row r="1208" customFormat="false" ht="15" hidden="false" customHeight="false" outlineLevel="0" collapsed="false">
      <c r="A1208" s="9"/>
      <c r="B1208" s="9"/>
      <c r="C1208" s="9"/>
      <c r="D1208" s="9"/>
      <c r="E1208" s="9"/>
      <c r="F1208" s="9"/>
      <c r="G1208" s="9"/>
      <c r="H1208" s="9"/>
      <c r="I1208" s="9"/>
      <c r="J1208" s="10" t="str">
        <f aca="false">IF(A1208="","",IF(G1208&lt;&gt;"",G1208,IF(N(F1208)&gt;0,ROUND(1000/F1208,3),0)))</f>
        <v/>
      </c>
      <c r="K1208" s="10" t="str">
        <f aca="false">IF(OR(A1208="",E1208="",H1208=""),"",ROUND(0.00617*E1208^2*H1208*J1208,2))</f>
        <v/>
      </c>
      <c r="L1208" s="9"/>
      <c r="M1208" s="10" t="str">
        <f aca="false">IF(A1208="","",IF((COUNTIF(Drain_Register!$A$5:$A$304,A1208)+COUNTIF(RW_Register!$A$5:$A$304,A1208)+COUNTIF(Embedded_Wall_Register!$A$5:$A$304,A1208)+COUNTIF(Manhole_Register!$A$5:$A$304,A1208)+COUNTIF(ERSS_Pit_Register!$A$5:$A$304,A1208)+COUNTIF(Linkway_Register!$A$5:$A$304,A1208)+COUNTIF(Other_Register!$A$5:$A$304,A1208))&gt;0,"OK","ID not in any register"))</f>
        <v/>
      </c>
    </row>
    <row r="1209" customFormat="false" ht="15" hidden="false" customHeight="false" outlineLevel="0" collapsed="false">
      <c r="A1209" s="9"/>
      <c r="B1209" s="9"/>
      <c r="C1209" s="9"/>
      <c r="D1209" s="9"/>
      <c r="E1209" s="9"/>
      <c r="F1209" s="9"/>
      <c r="G1209" s="9"/>
      <c r="H1209" s="9"/>
      <c r="I1209" s="9"/>
      <c r="J1209" s="10" t="str">
        <f aca="false">IF(A1209="","",IF(G1209&lt;&gt;"",G1209,IF(N(F1209)&gt;0,ROUND(1000/F1209,3),0)))</f>
        <v/>
      </c>
      <c r="K1209" s="10" t="str">
        <f aca="false">IF(OR(A1209="",E1209="",H1209=""),"",ROUND(0.00617*E1209^2*H1209*J1209,2))</f>
        <v/>
      </c>
      <c r="L1209" s="9"/>
      <c r="M1209" s="10" t="str">
        <f aca="false">IF(A1209="","",IF((COUNTIF(Drain_Register!$A$5:$A$304,A1209)+COUNTIF(RW_Register!$A$5:$A$304,A1209)+COUNTIF(Embedded_Wall_Register!$A$5:$A$304,A1209)+COUNTIF(Manhole_Register!$A$5:$A$304,A1209)+COUNTIF(ERSS_Pit_Register!$A$5:$A$304,A1209)+COUNTIF(Linkway_Register!$A$5:$A$304,A1209)+COUNTIF(Other_Register!$A$5:$A$304,A1209))&gt;0,"OK","ID not in any register"))</f>
        <v/>
      </c>
    </row>
    <row r="1210" customFormat="false" ht="15" hidden="false" customHeight="false" outlineLevel="0" collapsed="false">
      <c r="A1210" s="9"/>
      <c r="B1210" s="9"/>
      <c r="C1210" s="9"/>
      <c r="D1210" s="9"/>
      <c r="E1210" s="9"/>
      <c r="F1210" s="9"/>
      <c r="G1210" s="9"/>
      <c r="H1210" s="9"/>
      <c r="I1210" s="9"/>
      <c r="J1210" s="10" t="str">
        <f aca="false">IF(A1210="","",IF(G1210&lt;&gt;"",G1210,IF(N(F1210)&gt;0,ROUND(1000/F1210,3),0)))</f>
        <v/>
      </c>
      <c r="K1210" s="10" t="str">
        <f aca="false">IF(OR(A1210="",E1210="",H1210=""),"",ROUND(0.00617*E1210^2*H1210*J1210,2))</f>
        <v/>
      </c>
      <c r="L1210" s="9"/>
      <c r="M1210" s="10" t="str">
        <f aca="false">IF(A1210="","",IF((COUNTIF(Drain_Register!$A$5:$A$304,A1210)+COUNTIF(RW_Register!$A$5:$A$304,A1210)+COUNTIF(Embedded_Wall_Register!$A$5:$A$304,A1210)+COUNTIF(Manhole_Register!$A$5:$A$304,A1210)+COUNTIF(ERSS_Pit_Register!$A$5:$A$304,A1210)+COUNTIF(Linkway_Register!$A$5:$A$304,A1210)+COUNTIF(Other_Register!$A$5:$A$304,A1210))&gt;0,"OK","ID not in any register"))</f>
        <v/>
      </c>
    </row>
    <row r="1211" customFormat="false" ht="15" hidden="false" customHeight="false" outlineLevel="0" collapsed="false">
      <c r="A1211" s="9"/>
      <c r="B1211" s="9"/>
      <c r="C1211" s="9"/>
      <c r="D1211" s="9"/>
      <c r="E1211" s="9"/>
      <c r="F1211" s="9"/>
      <c r="G1211" s="9"/>
      <c r="H1211" s="9"/>
      <c r="I1211" s="9"/>
      <c r="J1211" s="10" t="str">
        <f aca="false">IF(A1211="","",IF(G1211&lt;&gt;"",G1211,IF(N(F1211)&gt;0,ROUND(1000/F1211,3),0)))</f>
        <v/>
      </c>
      <c r="K1211" s="10" t="str">
        <f aca="false">IF(OR(A1211="",E1211="",H1211=""),"",ROUND(0.00617*E1211^2*H1211*J1211,2))</f>
        <v/>
      </c>
      <c r="L1211" s="9"/>
      <c r="M1211" s="10" t="str">
        <f aca="false">IF(A1211="","",IF((COUNTIF(Drain_Register!$A$5:$A$304,A1211)+COUNTIF(RW_Register!$A$5:$A$304,A1211)+COUNTIF(Embedded_Wall_Register!$A$5:$A$304,A1211)+COUNTIF(Manhole_Register!$A$5:$A$304,A1211)+COUNTIF(ERSS_Pit_Register!$A$5:$A$304,A1211)+COUNTIF(Linkway_Register!$A$5:$A$304,A1211)+COUNTIF(Other_Register!$A$5:$A$304,A1211))&gt;0,"OK","ID not in any register"))</f>
        <v/>
      </c>
    </row>
    <row r="1212" customFormat="false" ht="15" hidden="false" customHeight="false" outlineLevel="0" collapsed="false">
      <c r="A1212" s="9"/>
      <c r="B1212" s="9"/>
      <c r="C1212" s="9"/>
      <c r="D1212" s="9"/>
      <c r="E1212" s="9"/>
      <c r="F1212" s="9"/>
      <c r="G1212" s="9"/>
      <c r="H1212" s="9"/>
      <c r="I1212" s="9"/>
      <c r="J1212" s="10" t="str">
        <f aca="false">IF(A1212="","",IF(G1212&lt;&gt;"",G1212,IF(N(F1212)&gt;0,ROUND(1000/F1212,3),0)))</f>
        <v/>
      </c>
      <c r="K1212" s="10" t="str">
        <f aca="false">IF(OR(A1212="",E1212="",H1212=""),"",ROUND(0.00617*E1212^2*H1212*J1212,2))</f>
        <v/>
      </c>
      <c r="L1212" s="9"/>
      <c r="M1212" s="10" t="str">
        <f aca="false">IF(A1212="","",IF((COUNTIF(Drain_Register!$A$5:$A$304,A1212)+COUNTIF(RW_Register!$A$5:$A$304,A1212)+COUNTIF(Embedded_Wall_Register!$A$5:$A$304,A1212)+COUNTIF(Manhole_Register!$A$5:$A$304,A1212)+COUNTIF(ERSS_Pit_Register!$A$5:$A$304,A1212)+COUNTIF(Linkway_Register!$A$5:$A$304,A1212)+COUNTIF(Other_Register!$A$5:$A$304,A1212))&gt;0,"OK","ID not in any register"))</f>
        <v/>
      </c>
    </row>
    <row r="1213" customFormat="false" ht="15" hidden="false" customHeight="false" outlineLevel="0" collapsed="false">
      <c r="A1213" s="9"/>
      <c r="B1213" s="9"/>
      <c r="C1213" s="9"/>
      <c r="D1213" s="9"/>
      <c r="E1213" s="9"/>
      <c r="F1213" s="9"/>
      <c r="G1213" s="9"/>
      <c r="H1213" s="9"/>
      <c r="I1213" s="9"/>
      <c r="J1213" s="10" t="str">
        <f aca="false">IF(A1213="","",IF(G1213&lt;&gt;"",G1213,IF(N(F1213)&gt;0,ROUND(1000/F1213,3),0)))</f>
        <v/>
      </c>
      <c r="K1213" s="10" t="str">
        <f aca="false">IF(OR(A1213="",E1213="",H1213=""),"",ROUND(0.00617*E1213^2*H1213*J1213,2))</f>
        <v/>
      </c>
      <c r="L1213" s="9"/>
      <c r="M1213" s="10" t="str">
        <f aca="false">IF(A1213="","",IF((COUNTIF(Drain_Register!$A$5:$A$304,A1213)+COUNTIF(RW_Register!$A$5:$A$304,A1213)+COUNTIF(Embedded_Wall_Register!$A$5:$A$304,A1213)+COUNTIF(Manhole_Register!$A$5:$A$304,A1213)+COUNTIF(ERSS_Pit_Register!$A$5:$A$304,A1213)+COUNTIF(Linkway_Register!$A$5:$A$304,A1213)+COUNTIF(Other_Register!$A$5:$A$304,A1213))&gt;0,"OK","ID not in any register"))</f>
        <v/>
      </c>
    </row>
    <row r="1214" customFormat="false" ht="15" hidden="false" customHeight="false" outlineLevel="0" collapsed="false">
      <c r="A1214" s="9"/>
      <c r="B1214" s="9"/>
      <c r="C1214" s="9"/>
      <c r="D1214" s="9"/>
      <c r="E1214" s="9"/>
      <c r="F1214" s="9"/>
      <c r="G1214" s="9"/>
      <c r="H1214" s="9"/>
      <c r="I1214" s="9"/>
      <c r="J1214" s="10" t="str">
        <f aca="false">IF(A1214="","",IF(G1214&lt;&gt;"",G1214,IF(N(F1214)&gt;0,ROUND(1000/F1214,3),0)))</f>
        <v/>
      </c>
      <c r="K1214" s="10" t="str">
        <f aca="false">IF(OR(A1214="",E1214="",H1214=""),"",ROUND(0.00617*E1214^2*H1214*J1214,2))</f>
        <v/>
      </c>
      <c r="L1214" s="9"/>
      <c r="M1214" s="10" t="str">
        <f aca="false">IF(A1214="","",IF((COUNTIF(Drain_Register!$A$5:$A$304,A1214)+COUNTIF(RW_Register!$A$5:$A$304,A1214)+COUNTIF(Embedded_Wall_Register!$A$5:$A$304,A1214)+COUNTIF(Manhole_Register!$A$5:$A$304,A1214)+COUNTIF(ERSS_Pit_Register!$A$5:$A$304,A1214)+COUNTIF(Linkway_Register!$A$5:$A$304,A1214)+COUNTIF(Other_Register!$A$5:$A$304,A1214))&gt;0,"OK","ID not in any register"))</f>
        <v/>
      </c>
    </row>
    <row r="1215" customFormat="false" ht="15" hidden="false" customHeight="false" outlineLevel="0" collapsed="false">
      <c r="A1215" s="9"/>
      <c r="B1215" s="9"/>
      <c r="C1215" s="9"/>
      <c r="D1215" s="9"/>
      <c r="E1215" s="9"/>
      <c r="F1215" s="9"/>
      <c r="G1215" s="9"/>
      <c r="H1215" s="9"/>
      <c r="I1215" s="9"/>
      <c r="J1215" s="10" t="str">
        <f aca="false">IF(A1215="","",IF(G1215&lt;&gt;"",G1215,IF(N(F1215)&gt;0,ROUND(1000/F1215,3),0)))</f>
        <v/>
      </c>
      <c r="K1215" s="10" t="str">
        <f aca="false">IF(OR(A1215="",E1215="",H1215=""),"",ROUND(0.00617*E1215^2*H1215*J1215,2))</f>
        <v/>
      </c>
      <c r="L1215" s="9"/>
      <c r="M1215" s="10" t="str">
        <f aca="false">IF(A1215="","",IF((COUNTIF(Drain_Register!$A$5:$A$304,A1215)+COUNTIF(RW_Register!$A$5:$A$304,A1215)+COUNTIF(Embedded_Wall_Register!$A$5:$A$304,A1215)+COUNTIF(Manhole_Register!$A$5:$A$304,A1215)+COUNTIF(ERSS_Pit_Register!$A$5:$A$304,A1215)+COUNTIF(Linkway_Register!$A$5:$A$304,A1215)+COUNTIF(Other_Register!$A$5:$A$304,A1215))&gt;0,"OK","ID not in any register"))</f>
        <v/>
      </c>
    </row>
    <row r="1216" customFormat="false" ht="15" hidden="false" customHeight="false" outlineLevel="0" collapsed="false">
      <c r="A1216" s="9"/>
      <c r="B1216" s="9"/>
      <c r="C1216" s="9"/>
      <c r="D1216" s="9"/>
      <c r="E1216" s="9"/>
      <c r="F1216" s="9"/>
      <c r="G1216" s="9"/>
      <c r="H1216" s="9"/>
      <c r="I1216" s="9"/>
      <c r="J1216" s="10" t="str">
        <f aca="false">IF(A1216="","",IF(G1216&lt;&gt;"",G1216,IF(N(F1216)&gt;0,ROUND(1000/F1216,3),0)))</f>
        <v/>
      </c>
      <c r="K1216" s="10" t="str">
        <f aca="false">IF(OR(A1216="",E1216="",H1216=""),"",ROUND(0.00617*E1216^2*H1216*J1216,2))</f>
        <v/>
      </c>
      <c r="L1216" s="9"/>
      <c r="M1216" s="10" t="str">
        <f aca="false">IF(A1216="","",IF((COUNTIF(Drain_Register!$A$5:$A$304,A1216)+COUNTIF(RW_Register!$A$5:$A$304,A1216)+COUNTIF(Embedded_Wall_Register!$A$5:$A$304,A1216)+COUNTIF(Manhole_Register!$A$5:$A$304,A1216)+COUNTIF(ERSS_Pit_Register!$A$5:$A$304,A1216)+COUNTIF(Linkway_Register!$A$5:$A$304,A1216)+COUNTIF(Other_Register!$A$5:$A$304,A1216))&gt;0,"OK","ID not in any register"))</f>
        <v/>
      </c>
    </row>
    <row r="1217" customFormat="false" ht="15" hidden="false" customHeight="false" outlineLevel="0" collapsed="false">
      <c r="A1217" s="9"/>
      <c r="B1217" s="9"/>
      <c r="C1217" s="9"/>
      <c r="D1217" s="9"/>
      <c r="E1217" s="9"/>
      <c r="F1217" s="9"/>
      <c r="G1217" s="9"/>
      <c r="H1217" s="9"/>
      <c r="I1217" s="9"/>
      <c r="J1217" s="10" t="str">
        <f aca="false">IF(A1217="","",IF(G1217&lt;&gt;"",G1217,IF(N(F1217)&gt;0,ROUND(1000/F1217,3),0)))</f>
        <v/>
      </c>
      <c r="K1217" s="10" t="str">
        <f aca="false">IF(OR(A1217="",E1217="",H1217=""),"",ROUND(0.00617*E1217^2*H1217*J1217,2))</f>
        <v/>
      </c>
      <c r="L1217" s="9"/>
      <c r="M1217" s="10" t="str">
        <f aca="false">IF(A1217="","",IF((COUNTIF(Drain_Register!$A$5:$A$304,A1217)+COUNTIF(RW_Register!$A$5:$A$304,A1217)+COUNTIF(Embedded_Wall_Register!$A$5:$A$304,A1217)+COUNTIF(Manhole_Register!$A$5:$A$304,A1217)+COUNTIF(ERSS_Pit_Register!$A$5:$A$304,A1217)+COUNTIF(Linkway_Register!$A$5:$A$304,A1217)+COUNTIF(Other_Register!$A$5:$A$304,A1217))&gt;0,"OK","ID not in any register"))</f>
        <v/>
      </c>
    </row>
    <row r="1218" customFormat="false" ht="15" hidden="false" customHeight="false" outlineLevel="0" collapsed="false">
      <c r="A1218" s="9"/>
      <c r="B1218" s="9"/>
      <c r="C1218" s="9"/>
      <c r="D1218" s="9"/>
      <c r="E1218" s="9"/>
      <c r="F1218" s="9"/>
      <c r="G1218" s="9"/>
      <c r="H1218" s="9"/>
      <c r="I1218" s="9"/>
      <c r="J1218" s="10" t="str">
        <f aca="false">IF(A1218="","",IF(G1218&lt;&gt;"",G1218,IF(N(F1218)&gt;0,ROUND(1000/F1218,3),0)))</f>
        <v/>
      </c>
      <c r="K1218" s="10" t="str">
        <f aca="false">IF(OR(A1218="",E1218="",H1218=""),"",ROUND(0.00617*E1218^2*H1218*J1218,2))</f>
        <v/>
      </c>
      <c r="L1218" s="9"/>
      <c r="M1218" s="10" t="str">
        <f aca="false">IF(A1218="","",IF((COUNTIF(Drain_Register!$A$5:$A$304,A1218)+COUNTIF(RW_Register!$A$5:$A$304,A1218)+COUNTIF(Embedded_Wall_Register!$A$5:$A$304,A1218)+COUNTIF(Manhole_Register!$A$5:$A$304,A1218)+COUNTIF(ERSS_Pit_Register!$A$5:$A$304,A1218)+COUNTIF(Linkway_Register!$A$5:$A$304,A1218)+COUNTIF(Other_Register!$A$5:$A$304,A1218))&gt;0,"OK","ID not in any register"))</f>
        <v/>
      </c>
    </row>
    <row r="1219" customFormat="false" ht="15" hidden="false" customHeight="false" outlineLevel="0" collapsed="false">
      <c r="A1219" s="9"/>
      <c r="B1219" s="9"/>
      <c r="C1219" s="9"/>
      <c r="D1219" s="9"/>
      <c r="E1219" s="9"/>
      <c r="F1219" s="9"/>
      <c r="G1219" s="9"/>
      <c r="H1219" s="9"/>
      <c r="I1219" s="9"/>
      <c r="J1219" s="10" t="str">
        <f aca="false">IF(A1219="","",IF(G1219&lt;&gt;"",G1219,IF(N(F1219)&gt;0,ROUND(1000/F1219,3),0)))</f>
        <v/>
      </c>
      <c r="K1219" s="10" t="str">
        <f aca="false">IF(OR(A1219="",E1219="",H1219=""),"",ROUND(0.00617*E1219^2*H1219*J1219,2))</f>
        <v/>
      </c>
      <c r="L1219" s="9"/>
      <c r="M1219" s="10" t="str">
        <f aca="false">IF(A1219="","",IF((COUNTIF(Drain_Register!$A$5:$A$304,A1219)+COUNTIF(RW_Register!$A$5:$A$304,A1219)+COUNTIF(Embedded_Wall_Register!$A$5:$A$304,A1219)+COUNTIF(Manhole_Register!$A$5:$A$304,A1219)+COUNTIF(ERSS_Pit_Register!$A$5:$A$304,A1219)+COUNTIF(Linkway_Register!$A$5:$A$304,A1219)+COUNTIF(Other_Register!$A$5:$A$304,A1219))&gt;0,"OK","ID not in any register"))</f>
        <v/>
      </c>
    </row>
    <row r="1220" customFormat="false" ht="15" hidden="false" customHeight="false" outlineLevel="0" collapsed="false">
      <c r="A1220" s="9"/>
      <c r="B1220" s="9"/>
      <c r="C1220" s="9"/>
      <c r="D1220" s="9"/>
      <c r="E1220" s="9"/>
      <c r="F1220" s="9"/>
      <c r="G1220" s="9"/>
      <c r="H1220" s="9"/>
      <c r="I1220" s="9"/>
      <c r="J1220" s="10" t="str">
        <f aca="false">IF(A1220="","",IF(G1220&lt;&gt;"",G1220,IF(N(F1220)&gt;0,ROUND(1000/F1220,3),0)))</f>
        <v/>
      </c>
      <c r="K1220" s="10" t="str">
        <f aca="false">IF(OR(A1220="",E1220="",H1220=""),"",ROUND(0.00617*E1220^2*H1220*J1220,2))</f>
        <v/>
      </c>
      <c r="L1220" s="9"/>
      <c r="M1220" s="10" t="str">
        <f aca="false">IF(A1220="","",IF((COUNTIF(Drain_Register!$A$5:$A$304,A1220)+COUNTIF(RW_Register!$A$5:$A$304,A1220)+COUNTIF(Embedded_Wall_Register!$A$5:$A$304,A1220)+COUNTIF(Manhole_Register!$A$5:$A$304,A1220)+COUNTIF(ERSS_Pit_Register!$A$5:$A$304,A1220)+COUNTIF(Linkway_Register!$A$5:$A$304,A1220)+COUNTIF(Other_Register!$A$5:$A$304,A1220))&gt;0,"OK","ID not in any register"))</f>
        <v/>
      </c>
    </row>
    <row r="1221" customFormat="false" ht="15" hidden="false" customHeight="false" outlineLevel="0" collapsed="false">
      <c r="A1221" s="9"/>
      <c r="B1221" s="9"/>
      <c r="C1221" s="9"/>
      <c r="D1221" s="9"/>
      <c r="E1221" s="9"/>
      <c r="F1221" s="9"/>
      <c r="G1221" s="9"/>
      <c r="H1221" s="9"/>
      <c r="I1221" s="9"/>
      <c r="J1221" s="10" t="str">
        <f aca="false">IF(A1221="","",IF(G1221&lt;&gt;"",G1221,IF(N(F1221)&gt;0,ROUND(1000/F1221,3),0)))</f>
        <v/>
      </c>
      <c r="K1221" s="10" t="str">
        <f aca="false">IF(OR(A1221="",E1221="",H1221=""),"",ROUND(0.00617*E1221^2*H1221*J1221,2))</f>
        <v/>
      </c>
      <c r="L1221" s="9"/>
      <c r="M1221" s="10" t="str">
        <f aca="false">IF(A1221="","",IF((COUNTIF(Drain_Register!$A$5:$A$304,A1221)+COUNTIF(RW_Register!$A$5:$A$304,A1221)+COUNTIF(Embedded_Wall_Register!$A$5:$A$304,A1221)+COUNTIF(Manhole_Register!$A$5:$A$304,A1221)+COUNTIF(ERSS_Pit_Register!$A$5:$A$304,A1221)+COUNTIF(Linkway_Register!$A$5:$A$304,A1221)+COUNTIF(Other_Register!$A$5:$A$304,A1221))&gt;0,"OK","ID not in any register"))</f>
        <v/>
      </c>
    </row>
    <row r="1222" customFormat="false" ht="15" hidden="false" customHeight="false" outlineLevel="0" collapsed="false">
      <c r="A1222" s="9"/>
      <c r="B1222" s="9"/>
      <c r="C1222" s="9"/>
      <c r="D1222" s="9"/>
      <c r="E1222" s="9"/>
      <c r="F1222" s="9"/>
      <c r="G1222" s="9"/>
      <c r="H1222" s="9"/>
      <c r="I1222" s="9"/>
      <c r="J1222" s="10" t="str">
        <f aca="false">IF(A1222="","",IF(G1222&lt;&gt;"",G1222,IF(N(F1222)&gt;0,ROUND(1000/F1222,3),0)))</f>
        <v/>
      </c>
      <c r="K1222" s="10" t="str">
        <f aca="false">IF(OR(A1222="",E1222="",H1222=""),"",ROUND(0.00617*E1222^2*H1222*J1222,2))</f>
        <v/>
      </c>
      <c r="L1222" s="9"/>
      <c r="M1222" s="10" t="str">
        <f aca="false">IF(A1222="","",IF((COUNTIF(Drain_Register!$A$5:$A$304,A1222)+COUNTIF(RW_Register!$A$5:$A$304,A1222)+COUNTIF(Embedded_Wall_Register!$A$5:$A$304,A1222)+COUNTIF(Manhole_Register!$A$5:$A$304,A1222)+COUNTIF(ERSS_Pit_Register!$A$5:$A$304,A1222)+COUNTIF(Linkway_Register!$A$5:$A$304,A1222)+COUNTIF(Other_Register!$A$5:$A$304,A1222))&gt;0,"OK","ID not in any register"))</f>
        <v/>
      </c>
    </row>
    <row r="1223" customFormat="false" ht="15" hidden="false" customHeight="false" outlineLevel="0" collapsed="false">
      <c r="A1223" s="9"/>
      <c r="B1223" s="9"/>
      <c r="C1223" s="9"/>
      <c r="D1223" s="9"/>
      <c r="E1223" s="9"/>
      <c r="F1223" s="9"/>
      <c r="G1223" s="9"/>
      <c r="H1223" s="9"/>
      <c r="I1223" s="9"/>
      <c r="J1223" s="10" t="str">
        <f aca="false">IF(A1223="","",IF(G1223&lt;&gt;"",G1223,IF(N(F1223)&gt;0,ROUND(1000/F1223,3),0)))</f>
        <v/>
      </c>
      <c r="K1223" s="10" t="str">
        <f aca="false">IF(OR(A1223="",E1223="",H1223=""),"",ROUND(0.00617*E1223^2*H1223*J1223,2))</f>
        <v/>
      </c>
      <c r="L1223" s="9"/>
      <c r="M1223" s="10" t="str">
        <f aca="false">IF(A1223="","",IF((COUNTIF(Drain_Register!$A$5:$A$304,A1223)+COUNTIF(RW_Register!$A$5:$A$304,A1223)+COUNTIF(Embedded_Wall_Register!$A$5:$A$304,A1223)+COUNTIF(Manhole_Register!$A$5:$A$304,A1223)+COUNTIF(ERSS_Pit_Register!$A$5:$A$304,A1223)+COUNTIF(Linkway_Register!$A$5:$A$304,A1223)+COUNTIF(Other_Register!$A$5:$A$304,A1223))&gt;0,"OK","ID not in any register"))</f>
        <v/>
      </c>
    </row>
    <row r="1224" customFormat="false" ht="15" hidden="false" customHeight="false" outlineLevel="0" collapsed="false">
      <c r="A1224" s="9"/>
      <c r="B1224" s="9"/>
      <c r="C1224" s="9"/>
      <c r="D1224" s="9"/>
      <c r="E1224" s="9"/>
      <c r="F1224" s="9"/>
      <c r="G1224" s="9"/>
      <c r="H1224" s="9"/>
      <c r="I1224" s="9"/>
      <c r="J1224" s="10" t="str">
        <f aca="false">IF(A1224="","",IF(G1224&lt;&gt;"",G1224,IF(N(F1224)&gt;0,ROUND(1000/F1224,3),0)))</f>
        <v/>
      </c>
      <c r="K1224" s="10" t="str">
        <f aca="false">IF(OR(A1224="",E1224="",H1224=""),"",ROUND(0.00617*E1224^2*H1224*J1224,2))</f>
        <v/>
      </c>
      <c r="L1224" s="9"/>
      <c r="M1224" s="10" t="str">
        <f aca="false">IF(A1224="","",IF((COUNTIF(Drain_Register!$A$5:$A$304,A1224)+COUNTIF(RW_Register!$A$5:$A$304,A1224)+COUNTIF(Embedded_Wall_Register!$A$5:$A$304,A1224)+COUNTIF(Manhole_Register!$A$5:$A$304,A1224)+COUNTIF(ERSS_Pit_Register!$A$5:$A$304,A1224)+COUNTIF(Linkway_Register!$A$5:$A$304,A1224)+COUNTIF(Other_Register!$A$5:$A$304,A1224))&gt;0,"OK","ID not in any register"))</f>
        <v/>
      </c>
    </row>
    <row r="1225" customFormat="false" ht="15" hidden="false" customHeight="false" outlineLevel="0" collapsed="false">
      <c r="A1225" s="9"/>
      <c r="B1225" s="9"/>
      <c r="C1225" s="9"/>
      <c r="D1225" s="9"/>
      <c r="E1225" s="9"/>
      <c r="F1225" s="9"/>
      <c r="G1225" s="9"/>
      <c r="H1225" s="9"/>
      <c r="I1225" s="9"/>
      <c r="J1225" s="10" t="str">
        <f aca="false">IF(A1225="","",IF(G1225&lt;&gt;"",G1225,IF(N(F1225)&gt;0,ROUND(1000/F1225,3),0)))</f>
        <v/>
      </c>
      <c r="K1225" s="10" t="str">
        <f aca="false">IF(OR(A1225="",E1225="",H1225=""),"",ROUND(0.00617*E1225^2*H1225*J1225,2))</f>
        <v/>
      </c>
      <c r="L1225" s="9"/>
      <c r="M1225" s="10" t="str">
        <f aca="false">IF(A1225="","",IF((COUNTIF(Drain_Register!$A$5:$A$304,A1225)+COUNTIF(RW_Register!$A$5:$A$304,A1225)+COUNTIF(Embedded_Wall_Register!$A$5:$A$304,A1225)+COUNTIF(Manhole_Register!$A$5:$A$304,A1225)+COUNTIF(ERSS_Pit_Register!$A$5:$A$304,A1225)+COUNTIF(Linkway_Register!$A$5:$A$304,A1225)+COUNTIF(Other_Register!$A$5:$A$304,A1225))&gt;0,"OK","ID not in any register"))</f>
        <v/>
      </c>
    </row>
    <row r="1226" customFormat="false" ht="15" hidden="false" customHeight="false" outlineLevel="0" collapsed="false">
      <c r="A1226" s="9"/>
      <c r="B1226" s="9"/>
      <c r="C1226" s="9"/>
      <c r="D1226" s="9"/>
      <c r="E1226" s="9"/>
      <c r="F1226" s="9"/>
      <c r="G1226" s="9"/>
      <c r="H1226" s="9"/>
      <c r="I1226" s="9"/>
      <c r="J1226" s="10" t="str">
        <f aca="false">IF(A1226="","",IF(G1226&lt;&gt;"",G1226,IF(N(F1226)&gt;0,ROUND(1000/F1226,3),0)))</f>
        <v/>
      </c>
      <c r="K1226" s="10" t="str">
        <f aca="false">IF(OR(A1226="",E1226="",H1226=""),"",ROUND(0.00617*E1226^2*H1226*J1226,2))</f>
        <v/>
      </c>
      <c r="L1226" s="9"/>
      <c r="M1226" s="10" t="str">
        <f aca="false">IF(A1226="","",IF((COUNTIF(Drain_Register!$A$5:$A$304,A1226)+COUNTIF(RW_Register!$A$5:$A$304,A1226)+COUNTIF(Embedded_Wall_Register!$A$5:$A$304,A1226)+COUNTIF(Manhole_Register!$A$5:$A$304,A1226)+COUNTIF(ERSS_Pit_Register!$A$5:$A$304,A1226)+COUNTIF(Linkway_Register!$A$5:$A$304,A1226)+COUNTIF(Other_Register!$A$5:$A$304,A1226))&gt;0,"OK","ID not in any register"))</f>
        <v/>
      </c>
    </row>
    <row r="1227" customFormat="false" ht="15" hidden="false" customHeight="false" outlineLevel="0" collapsed="false">
      <c r="A1227" s="9"/>
      <c r="B1227" s="9"/>
      <c r="C1227" s="9"/>
      <c r="D1227" s="9"/>
      <c r="E1227" s="9"/>
      <c r="F1227" s="9"/>
      <c r="G1227" s="9"/>
      <c r="H1227" s="9"/>
      <c r="I1227" s="9"/>
      <c r="J1227" s="10" t="str">
        <f aca="false">IF(A1227="","",IF(G1227&lt;&gt;"",G1227,IF(N(F1227)&gt;0,ROUND(1000/F1227,3),0)))</f>
        <v/>
      </c>
      <c r="K1227" s="10" t="str">
        <f aca="false">IF(OR(A1227="",E1227="",H1227=""),"",ROUND(0.00617*E1227^2*H1227*J1227,2))</f>
        <v/>
      </c>
      <c r="L1227" s="9"/>
      <c r="M1227" s="10" t="str">
        <f aca="false">IF(A1227="","",IF((COUNTIF(Drain_Register!$A$5:$A$304,A1227)+COUNTIF(RW_Register!$A$5:$A$304,A1227)+COUNTIF(Embedded_Wall_Register!$A$5:$A$304,A1227)+COUNTIF(Manhole_Register!$A$5:$A$304,A1227)+COUNTIF(ERSS_Pit_Register!$A$5:$A$304,A1227)+COUNTIF(Linkway_Register!$A$5:$A$304,A1227)+COUNTIF(Other_Register!$A$5:$A$304,A1227))&gt;0,"OK","ID not in any register"))</f>
        <v/>
      </c>
    </row>
    <row r="1228" customFormat="false" ht="15" hidden="false" customHeight="false" outlineLevel="0" collapsed="false">
      <c r="A1228" s="9"/>
      <c r="B1228" s="9"/>
      <c r="C1228" s="9"/>
      <c r="D1228" s="9"/>
      <c r="E1228" s="9"/>
      <c r="F1228" s="9"/>
      <c r="G1228" s="9"/>
      <c r="H1228" s="9"/>
      <c r="I1228" s="9"/>
      <c r="J1228" s="10" t="str">
        <f aca="false">IF(A1228="","",IF(G1228&lt;&gt;"",G1228,IF(N(F1228)&gt;0,ROUND(1000/F1228,3),0)))</f>
        <v/>
      </c>
      <c r="K1228" s="10" t="str">
        <f aca="false">IF(OR(A1228="",E1228="",H1228=""),"",ROUND(0.00617*E1228^2*H1228*J1228,2))</f>
        <v/>
      </c>
      <c r="L1228" s="9"/>
      <c r="M1228" s="10" t="str">
        <f aca="false">IF(A1228="","",IF((COUNTIF(Drain_Register!$A$5:$A$304,A1228)+COUNTIF(RW_Register!$A$5:$A$304,A1228)+COUNTIF(Embedded_Wall_Register!$A$5:$A$304,A1228)+COUNTIF(Manhole_Register!$A$5:$A$304,A1228)+COUNTIF(ERSS_Pit_Register!$A$5:$A$304,A1228)+COUNTIF(Linkway_Register!$A$5:$A$304,A1228)+COUNTIF(Other_Register!$A$5:$A$304,A1228))&gt;0,"OK","ID not in any register"))</f>
        <v/>
      </c>
    </row>
    <row r="1229" customFormat="false" ht="15" hidden="false" customHeight="false" outlineLevel="0" collapsed="false">
      <c r="A1229" s="9"/>
      <c r="B1229" s="9"/>
      <c r="C1229" s="9"/>
      <c r="D1229" s="9"/>
      <c r="E1229" s="9"/>
      <c r="F1229" s="9"/>
      <c r="G1229" s="9"/>
      <c r="H1229" s="9"/>
      <c r="I1229" s="9"/>
      <c r="J1229" s="10" t="str">
        <f aca="false">IF(A1229="","",IF(G1229&lt;&gt;"",G1229,IF(N(F1229)&gt;0,ROUND(1000/F1229,3),0)))</f>
        <v/>
      </c>
      <c r="K1229" s="10" t="str">
        <f aca="false">IF(OR(A1229="",E1229="",H1229=""),"",ROUND(0.00617*E1229^2*H1229*J1229,2))</f>
        <v/>
      </c>
      <c r="L1229" s="9"/>
      <c r="M1229" s="10" t="str">
        <f aca="false">IF(A1229="","",IF((COUNTIF(Drain_Register!$A$5:$A$304,A1229)+COUNTIF(RW_Register!$A$5:$A$304,A1229)+COUNTIF(Embedded_Wall_Register!$A$5:$A$304,A1229)+COUNTIF(Manhole_Register!$A$5:$A$304,A1229)+COUNTIF(ERSS_Pit_Register!$A$5:$A$304,A1229)+COUNTIF(Linkway_Register!$A$5:$A$304,A1229)+COUNTIF(Other_Register!$A$5:$A$304,A1229))&gt;0,"OK","ID not in any register"))</f>
        <v/>
      </c>
    </row>
    <row r="1230" customFormat="false" ht="15" hidden="false" customHeight="false" outlineLevel="0" collapsed="false">
      <c r="A1230" s="9"/>
      <c r="B1230" s="9"/>
      <c r="C1230" s="9"/>
      <c r="D1230" s="9"/>
      <c r="E1230" s="9"/>
      <c r="F1230" s="9"/>
      <c r="G1230" s="9"/>
      <c r="H1230" s="9"/>
      <c r="I1230" s="9"/>
      <c r="J1230" s="10" t="str">
        <f aca="false">IF(A1230="","",IF(G1230&lt;&gt;"",G1230,IF(N(F1230)&gt;0,ROUND(1000/F1230,3),0)))</f>
        <v/>
      </c>
      <c r="K1230" s="10" t="str">
        <f aca="false">IF(OR(A1230="",E1230="",H1230=""),"",ROUND(0.00617*E1230^2*H1230*J1230,2))</f>
        <v/>
      </c>
      <c r="L1230" s="9"/>
      <c r="M1230" s="10" t="str">
        <f aca="false">IF(A1230="","",IF((COUNTIF(Drain_Register!$A$5:$A$304,A1230)+COUNTIF(RW_Register!$A$5:$A$304,A1230)+COUNTIF(Embedded_Wall_Register!$A$5:$A$304,A1230)+COUNTIF(Manhole_Register!$A$5:$A$304,A1230)+COUNTIF(ERSS_Pit_Register!$A$5:$A$304,A1230)+COUNTIF(Linkway_Register!$A$5:$A$304,A1230)+COUNTIF(Other_Register!$A$5:$A$304,A1230))&gt;0,"OK","ID not in any register"))</f>
        <v/>
      </c>
    </row>
    <row r="1231" customFormat="false" ht="15" hidden="false" customHeight="false" outlineLevel="0" collapsed="false">
      <c r="A1231" s="9"/>
      <c r="B1231" s="9"/>
      <c r="C1231" s="9"/>
      <c r="D1231" s="9"/>
      <c r="E1231" s="9"/>
      <c r="F1231" s="9"/>
      <c r="G1231" s="9"/>
      <c r="H1231" s="9"/>
      <c r="I1231" s="9"/>
      <c r="J1231" s="10" t="str">
        <f aca="false">IF(A1231="","",IF(G1231&lt;&gt;"",G1231,IF(N(F1231)&gt;0,ROUND(1000/F1231,3),0)))</f>
        <v/>
      </c>
      <c r="K1231" s="10" t="str">
        <f aca="false">IF(OR(A1231="",E1231="",H1231=""),"",ROUND(0.00617*E1231^2*H1231*J1231,2))</f>
        <v/>
      </c>
      <c r="L1231" s="9"/>
      <c r="M1231" s="10" t="str">
        <f aca="false">IF(A1231="","",IF((COUNTIF(Drain_Register!$A$5:$A$304,A1231)+COUNTIF(RW_Register!$A$5:$A$304,A1231)+COUNTIF(Embedded_Wall_Register!$A$5:$A$304,A1231)+COUNTIF(Manhole_Register!$A$5:$A$304,A1231)+COUNTIF(ERSS_Pit_Register!$A$5:$A$304,A1231)+COUNTIF(Linkway_Register!$A$5:$A$304,A1231)+COUNTIF(Other_Register!$A$5:$A$304,A1231))&gt;0,"OK","ID not in any register"))</f>
        <v/>
      </c>
    </row>
    <row r="1232" customFormat="false" ht="15" hidden="false" customHeight="false" outlineLevel="0" collapsed="false">
      <c r="A1232" s="9"/>
      <c r="B1232" s="9"/>
      <c r="C1232" s="9"/>
      <c r="D1232" s="9"/>
      <c r="E1232" s="9"/>
      <c r="F1232" s="9"/>
      <c r="G1232" s="9"/>
      <c r="H1232" s="9"/>
      <c r="I1232" s="9"/>
      <c r="J1232" s="10" t="str">
        <f aca="false">IF(A1232="","",IF(G1232&lt;&gt;"",G1232,IF(N(F1232)&gt;0,ROUND(1000/F1232,3),0)))</f>
        <v/>
      </c>
      <c r="K1232" s="10" t="str">
        <f aca="false">IF(OR(A1232="",E1232="",H1232=""),"",ROUND(0.00617*E1232^2*H1232*J1232,2))</f>
        <v/>
      </c>
      <c r="L1232" s="9"/>
      <c r="M1232" s="10" t="str">
        <f aca="false">IF(A1232="","",IF((COUNTIF(Drain_Register!$A$5:$A$304,A1232)+COUNTIF(RW_Register!$A$5:$A$304,A1232)+COUNTIF(Embedded_Wall_Register!$A$5:$A$304,A1232)+COUNTIF(Manhole_Register!$A$5:$A$304,A1232)+COUNTIF(ERSS_Pit_Register!$A$5:$A$304,A1232)+COUNTIF(Linkway_Register!$A$5:$A$304,A1232)+COUNTIF(Other_Register!$A$5:$A$304,A1232))&gt;0,"OK","ID not in any register"))</f>
        <v/>
      </c>
    </row>
    <row r="1233" customFormat="false" ht="15" hidden="false" customHeight="false" outlineLevel="0" collapsed="false">
      <c r="A1233" s="9"/>
      <c r="B1233" s="9"/>
      <c r="C1233" s="9"/>
      <c r="D1233" s="9"/>
      <c r="E1233" s="9"/>
      <c r="F1233" s="9"/>
      <c r="G1233" s="9"/>
      <c r="H1233" s="9"/>
      <c r="I1233" s="9"/>
      <c r="J1233" s="10" t="str">
        <f aca="false">IF(A1233="","",IF(G1233&lt;&gt;"",G1233,IF(N(F1233)&gt;0,ROUND(1000/F1233,3),0)))</f>
        <v/>
      </c>
      <c r="K1233" s="10" t="str">
        <f aca="false">IF(OR(A1233="",E1233="",H1233=""),"",ROUND(0.00617*E1233^2*H1233*J1233,2))</f>
        <v/>
      </c>
      <c r="L1233" s="9"/>
      <c r="M1233" s="10" t="str">
        <f aca="false">IF(A1233="","",IF((COUNTIF(Drain_Register!$A$5:$A$304,A1233)+COUNTIF(RW_Register!$A$5:$A$304,A1233)+COUNTIF(Embedded_Wall_Register!$A$5:$A$304,A1233)+COUNTIF(Manhole_Register!$A$5:$A$304,A1233)+COUNTIF(ERSS_Pit_Register!$A$5:$A$304,A1233)+COUNTIF(Linkway_Register!$A$5:$A$304,A1233)+COUNTIF(Other_Register!$A$5:$A$304,A1233))&gt;0,"OK","ID not in any register"))</f>
        <v/>
      </c>
    </row>
    <row r="1234" customFormat="false" ht="15" hidden="false" customHeight="false" outlineLevel="0" collapsed="false">
      <c r="A1234" s="9"/>
      <c r="B1234" s="9"/>
      <c r="C1234" s="9"/>
      <c r="D1234" s="9"/>
      <c r="E1234" s="9"/>
      <c r="F1234" s="9"/>
      <c r="G1234" s="9"/>
      <c r="H1234" s="9"/>
      <c r="I1234" s="9"/>
      <c r="J1234" s="10" t="str">
        <f aca="false">IF(A1234="","",IF(G1234&lt;&gt;"",G1234,IF(N(F1234)&gt;0,ROUND(1000/F1234,3),0)))</f>
        <v/>
      </c>
      <c r="K1234" s="10" t="str">
        <f aca="false">IF(OR(A1234="",E1234="",H1234=""),"",ROUND(0.00617*E1234^2*H1234*J1234,2))</f>
        <v/>
      </c>
      <c r="L1234" s="9"/>
      <c r="M1234" s="10" t="str">
        <f aca="false">IF(A1234="","",IF((COUNTIF(Drain_Register!$A$5:$A$304,A1234)+COUNTIF(RW_Register!$A$5:$A$304,A1234)+COUNTIF(Embedded_Wall_Register!$A$5:$A$304,A1234)+COUNTIF(Manhole_Register!$A$5:$A$304,A1234)+COUNTIF(ERSS_Pit_Register!$A$5:$A$304,A1234)+COUNTIF(Linkway_Register!$A$5:$A$304,A1234)+COUNTIF(Other_Register!$A$5:$A$304,A1234))&gt;0,"OK","ID not in any register"))</f>
        <v/>
      </c>
    </row>
    <row r="1235" customFormat="false" ht="15" hidden="false" customHeight="false" outlineLevel="0" collapsed="false">
      <c r="A1235" s="9"/>
      <c r="B1235" s="9"/>
      <c r="C1235" s="9"/>
      <c r="D1235" s="9"/>
      <c r="E1235" s="9"/>
      <c r="F1235" s="9"/>
      <c r="G1235" s="9"/>
      <c r="H1235" s="9"/>
      <c r="I1235" s="9"/>
      <c r="J1235" s="10" t="str">
        <f aca="false">IF(A1235="","",IF(G1235&lt;&gt;"",G1235,IF(N(F1235)&gt;0,ROUND(1000/F1235,3),0)))</f>
        <v/>
      </c>
      <c r="K1235" s="10" t="str">
        <f aca="false">IF(OR(A1235="",E1235="",H1235=""),"",ROUND(0.00617*E1235^2*H1235*J1235,2))</f>
        <v/>
      </c>
      <c r="L1235" s="9"/>
      <c r="M1235" s="10" t="str">
        <f aca="false">IF(A1235="","",IF((COUNTIF(Drain_Register!$A$5:$A$304,A1235)+COUNTIF(RW_Register!$A$5:$A$304,A1235)+COUNTIF(Embedded_Wall_Register!$A$5:$A$304,A1235)+COUNTIF(Manhole_Register!$A$5:$A$304,A1235)+COUNTIF(ERSS_Pit_Register!$A$5:$A$304,A1235)+COUNTIF(Linkway_Register!$A$5:$A$304,A1235)+COUNTIF(Other_Register!$A$5:$A$304,A1235))&gt;0,"OK","ID not in any register"))</f>
        <v/>
      </c>
    </row>
    <row r="1236" customFormat="false" ht="15" hidden="false" customHeight="false" outlineLevel="0" collapsed="false">
      <c r="A1236" s="9"/>
      <c r="B1236" s="9"/>
      <c r="C1236" s="9"/>
      <c r="D1236" s="9"/>
      <c r="E1236" s="9"/>
      <c r="F1236" s="9"/>
      <c r="G1236" s="9"/>
      <c r="H1236" s="9"/>
      <c r="I1236" s="9"/>
      <c r="J1236" s="10" t="str">
        <f aca="false">IF(A1236="","",IF(G1236&lt;&gt;"",G1236,IF(N(F1236)&gt;0,ROUND(1000/F1236,3),0)))</f>
        <v/>
      </c>
      <c r="K1236" s="10" t="str">
        <f aca="false">IF(OR(A1236="",E1236="",H1236=""),"",ROUND(0.00617*E1236^2*H1236*J1236,2))</f>
        <v/>
      </c>
      <c r="L1236" s="9"/>
      <c r="M1236" s="10" t="str">
        <f aca="false">IF(A1236="","",IF((COUNTIF(Drain_Register!$A$5:$A$304,A1236)+COUNTIF(RW_Register!$A$5:$A$304,A1236)+COUNTIF(Embedded_Wall_Register!$A$5:$A$304,A1236)+COUNTIF(Manhole_Register!$A$5:$A$304,A1236)+COUNTIF(ERSS_Pit_Register!$A$5:$A$304,A1236)+COUNTIF(Linkway_Register!$A$5:$A$304,A1236)+COUNTIF(Other_Register!$A$5:$A$304,A1236))&gt;0,"OK","ID not in any register"))</f>
        <v/>
      </c>
    </row>
    <row r="1237" customFormat="false" ht="15" hidden="false" customHeight="false" outlineLevel="0" collapsed="false">
      <c r="A1237" s="9"/>
      <c r="B1237" s="9"/>
      <c r="C1237" s="9"/>
      <c r="D1237" s="9"/>
      <c r="E1237" s="9"/>
      <c r="F1237" s="9"/>
      <c r="G1237" s="9"/>
      <c r="H1237" s="9"/>
      <c r="I1237" s="9"/>
      <c r="J1237" s="10" t="str">
        <f aca="false">IF(A1237="","",IF(G1237&lt;&gt;"",G1237,IF(N(F1237)&gt;0,ROUND(1000/F1237,3),0)))</f>
        <v/>
      </c>
      <c r="K1237" s="10" t="str">
        <f aca="false">IF(OR(A1237="",E1237="",H1237=""),"",ROUND(0.00617*E1237^2*H1237*J1237,2))</f>
        <v/>
      </c>
      <c r="L1237" s="9"/>
      <c r="M1237" s="10" t="str">
        <f aca="false">IF(A1237="","",IF((COUNTIF(Drain_Register!$A$5:$A$304,A1237)+COUNTIF(RW_Register!$A$5:$A$304,A1237)+COUNTIF(Embedded_Wall_Register!$A$5:$A$304,A1237)+COUNTIF(Manhole_Register!$A$5:$A$304,A1237)+COUNTIF(ERSS_Pit_Register!$A$5:$A$304,A1237)+COUNTIF(Linkway_Register!$A$5:$A$304,A1237)+COUNTIF(Other_Register!$A$5:$A$304,A1237))&gt;0,"OK","ID not in any register"))</f>
        <v/>
      </c>
    </row>
    <row r="1238" customFormat="false" ht="15" hidden="false" customHeight="false" outlineLevel="0" collapsed="false">
      <c r="A1238" s="9"/>
      <c r="B1238" s="9"/>
      <c r="C1238" s="9"/>
      <c r="D1238" s="9"/>
      <c r="E1238" s="9"/>
      <c r="F1238" s="9"/>
      <c r="G1238" s="9"/>
      <c r="H1238" s="9"/>
      <c r="I1238" s="9"/>
      <c r="J1238" s="10" t="str">
        <f aca="false">IF(A1238="","",IF(G1238&lt;&gt;"",G1238,IF(N(F1238)&gt;0,ROUND(1000/F1238,3),0)))</f>
        <v/>
      </c>
      <c r="K1238" s="10" t="str">
        <f aca="false">IF(OR(A1238="",E1238="",H1238=""),"",ROUND(0.00617*E1238^2*H1238*J1238,2))</f>
        <v/>
      </c>
      <c r="L1238" s="9"/>
      <c r="M1238" s="10" t="str">
        <f aca="false">IF(A1238="","",IF((COUNTIF(Drain_Register!$A$5:$A$304,A1238)+COUNTIF(RW_Register!$A$5:$A$304,A1238)+COUNTIF(Embedded_Wall_Register!$A$5:$A$304,A1238)+COUNTIF(Manhole_Register!$A$5:$A$304,A1238)+COUNTIF(ERSS_Pit_Register!$A$5:$A$304,A1238)+COUNTIF(Linkway_Register!$A$5:$A$304,A1238)+COUNTIF(Other_Register!$A$5:$A$304,A1238))&gt;0,"OK","ID not in any register"))</f>
        <v/>
      </c>
    </row>
    <row r="1239" customFormat="false" ht="15" hidden="false" customHeight="false" outlineLevel="0" collapsed="false">
      <c r="A1239" s="9"/>
      <c r="B1239" s="9"/>
      <c r="C1239" s="9"/>
      <c r="D1239" s="9"/>
      <c r="E1239" s="9"/>
      <c r="F1239" s="9"/>
      <c r="G1239" s="9"/>
      <c r="H1239" s="9"/>
      <c r="I1239" s="9"/>
      <c r="J1239" s="10" t="str">
        <f aca="false">IF(A1239="","",IF(G1239&lt;&gt;"",G1239,IF(N(F1239)&gt;0,ROUND(1000/F1239,3),0)))</f>
        <v/>
      </c>
      <c r="K1239" s="10" t="str">
        <f aca="false">IF(OR(A1239="",E1239="",H1239=""),"",ROUND(0.00617*E1239^2*H1239*J1239,2))</f>
        <v/>
      </c>
      <c r="L1239" s="9"/>
      <c r="M1239" s="10" t="str">
        <f aca="false">IF(A1239="","",IF((COUNTIF(Drain_Register!$A$5:$A$304,A1239)+COUNTIF(RW_Register!$A$5:$A$304,A1239)+COUNTIF(Embedded_Wall_Register!$A$5:$A$304,A1239)+COUNTIF(Manhole_Register!$A$5:$A$304,A1239)+COUNTIF(ERSS_Pit_Register!$A$5:$A$304,A1239)+COUNTIF(Linkway_Register!$A$5:$A$304,A1239)+COUNTIF(Other_Register!$A$5:$A$304,A1239))&gt;0,"OK","ID not in any register"))</f>
        <v/>
      </c>
    </row>
    <row r="1240" customFormat="false" ht="15" hidden="false" customHeight="false" outlineLevel="0" collapsed="false">
      <c r="A1240" s="9"/>
      <c r="B1240" s="9"/>
      <c r="C1240" s="9"/>
      <c r="D1240" s="9"/>
      <c r="E1240" s="9"/>
      <c r="F1240" s="9"/>
      <c r="G1240" s="9"/>
      <c r="H1240" s="9"/>
      <c r="I1240" s="9"/>
      <c r="J1240" s="10" t="str">
        <f aca="false">IF(A1240="","",IF(G1240&lt;&gt;"",G1240,IF(N(F1240)&gt;0,ROUND(1000/F1240,3),0)))</f>
        <v/>
      </c>
      <c r="K1240" s="10" t="str">
        <f aca="false">IF(OR(A1240="",E1240="",H1240=""),"",ROUND(0.00617*E1240^2*H1240*J1240,2))</f>
        <v/>
      </c>
      <c r="L1240" s="9"/>
      <c r="M1240" s="10" t="str">
        <f aca="false">IF(A1240="","",IF((COUNTIF(Drain_Register!$A$5:$A$304,A1240)+COUNTIF(RW_Register!$A$5:$A$304,A1240)+COUNTIF(Embedded_Wall_Register!$A$5:$A$304,A1240)+COUNTIF(Manhole_Register!$A$5:$A$304,A1240)+COUNTIF(ERSS_Pit_Register!$A$5:$A$304,A1240)+COUNTIF(Linkway_Register!$A$5:$A$304,A1240)+COUNTIF(Other_Register!$A$5:$A$304,A1240))&gt;0,"OK","ID not in any register"))</f>
        <v/>
      </c>
    </row>
    <row r="1241" customFormat="false" ht="15" hidden="false" customHeight="false" outlineLevel="0" collapsed="false">
      <c r="A1241" s="9"/>
      <c r="B1241" s="9"/>
      <c r="C1241" s="9"/>
      <c r="D1241" s="9"/>
      <c r="E1241" s="9"/>
      <c r="F1241" s="9"/>
      <c r="G1241" s="9"/>
      <c r="H1241" s="9"/>
      <c r="I1241" s="9"/>
      <c r="J1241" s="10" t="str">
        <f aca="false">IF(A1241="","",IF(G1241&lt;&gt;"",G1241,IF(N(F1241)&gt;0,ROUND(1000/F1241,3),0)))</f>
        <v/>
      </c>
      <c r="K1241" s="10" t="str">
        <f aca="false">IF(OR(A1241="",E1241="",H1241=""),"",ROUND(0.00617*E1241^2*H1241*J1241,2))</f>
        <v/>
      </c>
      <c r="L1241" s="9"/>
      <c r="M1241" s="10" t="str">
        <f aca="false">IF(A1241="","",IF((COUNTIF(Drain_Register!$A$5:$A$304,A1241)+COUNTIF(RW_Register!$A$5:$A$304,A1241)+COUNTIF(Embedded_Wall_Register!$A$5:$A$304,A1241)+COUNTIF(Manhole_Register!$A$5:$A$304,A1241)+COUNTIF(ERSS_Pit_Register!$A$5:$A$304,A1241)+COUNTIF(Linkway_Register!$A$5:$A$304,A1241)+COUNTIF(Other_Register!$A$5:$A$304,A1241))&gt;0,"OK","ID not in any register"))</f>
        <v/>
      </c>
    </row>
    <row r="1242" customFormat="false" ht="15" hidden="false" customHeight="false" outlineLevel="0" collapsed="false">
      <c r="A1242" s="9"/>
      <c r="B1242" s="9"/>
      <c r="C1242" s="9"/>
      <c r="D1242" s="9"/>
      <c r="E1242" s="9"/>
      <c r="F1242" s="9"/>
      <c r="G1242" s="9"/>
      <c r="H1242" s="9"/>
      <c r="I1242" s="9"/>
      <c r="J1242" s="10" t="str">
        <f aca="false">IF(A1242="","",IF(G1242&lt;&gt;"",G1242,IF(N(F1242)&gt;0,ROUND(1000/F1242,3),0)))</f>
        <v/>
      </c>
      <c r="K1242" s="10" t="str">
        <f aca="false">IF(OR(A1242="",E1242="",H1242=""),"",ROUND(0.00617*E1242^2*H1242*J1242,2))</f>
        <v/>
      </c>
      <c r="L1242" s="9"/>
      <c r="M1242" s="10" t="str">
        <f aca="false">IF(A1242="","",IF((COUNTIF(Drain_Register!$A$5:$A$304,A1242)+COUNTIF(RW_Register!$A$5:$A$304,A1242)+COUNTIF(Embedded_Wall_Register!$A$5:$A$304,A1242)+COUNTIF(Manhole_Register!$A$5:$A$304,A1242)+COUNTIF(ERSS_Pit_Register!$A$5:$A$304,A1242)+COUNTIF(Linkway_Register!$A$5:$A$304,A1242)+COUNTIF(Other_Register!$A$5:$A$304,A1242))&gt;0,"OK","ID not in any register"))</f>
        <v/>
      </c>
    </row>
    <row r="1243" customFormat="false" ht="15" hidden="false" customHeight="false" outlineLevel="0" collapsed="false">
      <c r="A1243" s="9"/>
      <c r="B1243" s="9"/>
      <c r="C1243" s="9"/>
      <c r="D1243" s="9"/>
      <c r="E1243" s="9"/>
      <c r="F1243" s="9"/>
      <c r="G1243" s="9"/>
      <c r="H1243" s="9"/>
      <c r="I1243" s="9"/>
      <c r="J1243" s="10" t="str">
        <f aca="false">IF(A1243="","",IF(G1243&lt;&gt;"",G1243,IF(N(F1243)&gt;0,ROUND(1000/F1243,3),0)))</f>
        <v/>
      </c>
      <c r="K1243" s="10" t="str">
        <f aca="false">IF(OR(A1243="",E1243="",H1243=""),"",ROUND(0.00617*E1243^2*H1243*J1243,2))</f>
        <v/>
      </c>
      <c r="L1243" s="9"/>
      <c r="M1243" s="10" t="str">
        <f aca="false">IF(A1243="","",IF((COUNTIF(Drain_Register!$A$5:$A$304,A1243)+COUNTIF(RW_Register!$A$5:$A$304,A1243)+COUNTIF(Embedded_Wall_Register!$A$5:$A$304,A1243)+COUNTIF(Manhole_Register!$A$5:$A$304,A1243)+COUNTIF(ERSS_Pit_Register!$A$5:$A$304,A1243)+COUNTIF(Linkway_Register!$A$5:$A$304,A1243)+COUNTIF(Other_Register!$A$5:$A$304,A1243))&gt;0,"OK","ID not in any register"))</f>
        <v/>
      </c>
    </row>
    <row r="1244" customFormat="false" ht="15" hidden="false" customHeight="false" outlineLevel="0" collapsed="false">
      <c r="A1244" s="9"/>
      <c r="B1244" s="9"/>
      <c r="C1244" s="9"/>
      <c r="D1244" s="9"/>
      <c r="E1244" s="9"/>
      <c r="F1244" s="9"/>
      <c r="G1244" s="9"/>
      <c r="H1244" s="9"/>
      <c r="I1244" s="9"/>
      <c r="J1244" s="10" t="str">
        <f aca="false">IF(A1244="","",IF(G1244&lt;&gt;"",G1244,IF(N(F1244)&gt;0,ROUND(1000/F1244,3),0)))</f>
        <v/>
      </c>
      <c r="K1244" s="10" t="str">
        <f aca="false">IF(OR(A1244="",E1244="",H1244=""),"",ROUND(0.00617*E1244^2*H1244*J1244,2))</f>
        <v/>
      </c>
      <c r="L1244" s="9"/>
      <c r="M1244" s="10" t="str">
        <f aca="false">IF(A1244="","",IF((COUNTIF(Drain_Register!$A$5:$A$304,A1244)+COUNTIF(RW_Register!$A$5:$A$304,A1244)+COUNTIF(Embedded_Wall_Register!$A$5:$A$304,A1244)+COUNTIF(Manhole_Register!$A$5:$A$304,A1244)+COUNTIF(ERSS_Pit_Register!$A$5:$A$304,A1244)+COUNTIF(Linkway_Register!$A$5:$A$304,A1244)+COUNTIF(Other_Register!$A$5:$A$304,A1244))&gt;0,"OK","ID not in any register"))</f>
        <v/>
      </c>
    </row>
    <row r="1245" customFormat="false" ht="15" hidden="false" customHeight="false" outlineLevel="0" collapsed="false">
      <c r="A1245" s="9"/>
      <c r="B1245" s="9"/>
      <c r="C1245" s="9"/>
      <c r="D1245" s="9"/>
      <c r="E1245" s="9"/>
      <c r="F1245" s="9"/>
      <c r="G1245" s="9"/>
      <c r="H1245" s="9"/>
      <c r="I1245" s="9"/>
      <c r="J1245" s="10" t="str">
        <f aca="false">IF(A1245="","",IF(G1245&lt;&gt;"",G1245,IF(N(F1245)&gt;0,ROUND(1000/F1245,3),0)))</f>
        <v/>
      </c>
      <c r="K1245" s="10" t="str">
        <f aca="false">IF(OR(A1245="",E1245="",H1245=""),"",ROUND(0.00617*E1245^2*H1245*J1245,2))</f>
        <v/>
      </c>
      <c r="L1245" s="9"/>
      <c r="M1245" s="10" t="str">
        <f aca="false">IF(A1245="","",IF((COUNTIF(Drain_Register!$A$5:$A$304,A1245)+COUNTIF(RW_Register!$A$5:$A$304,A1245)+COUNTIF(Embedded_Wall_Register!$A$5:$A$304,A1245)+COUNTIF(Manhole_Register!$A$5:$A$304,A1245)+COUNTIF(ERSS_Pit_Register!$A$5:$A$304,A1245)+COUNTIF(Linkway_Register!$A$5:$A$304,A1245)+COUNTIF(Other_Register!$A$5:$A$304,A1245))&gt;0,"OK","ID not in any register"))</f>
        <v/>
      </c>
    </row>
    <row r="1246" customFormat="false" ht="15" hidden="false" customHeight="false" outlineLevel="0" collapsed="false">
      <c r="A1246" s="9"/>
      <c r="B1246" s="9"/>
      <c r="C1246" s="9"/>
      <c r="D1246" s="9"/>
      <c r="E1246" s="9"/>
      <c r="F1246" s="9"/>
      <c r="G1246" s="9"/>
      <c r="H1246" s="9"/>
      <c r="I1246" s="9"/>
      <c r="J1246" s="10" t="str">
        <f aca="false">IF(A1246="","",IF(G1246&lt;&gt;"",G1246,IF(N(F1246)&gt;0,ROUND(1000/F1246,3),0)))</f>
        <v/>
      </c>
      <c r="K1246" s="10" t="str">
        <f aca="false">IF(OR(A1246="",E1246="",H1246=""),"",ROUND(0.00617*E1246^2*H1246*J1246,2))</f>
        <v/>
      </c>
      <c r="L1246" s="9"/>
      <c r="M1246" s="10" t="str">
        <f aca="false">IF(A1246="","",IF((COUNTIF(Drain_Register!$A$5:$A$304,A1246)+COUNTIF(RW_Register!$A$5:$A$304,A1246)+COUNTIF(Embedded_Wall_Register!$A$5:$A$304,A1246)+COUNTIF(Manhole_Register!$A$5:$A$304,A1246)+COUNTIF(ERSS_Pit_Register!$A$5:$A$304,A1246)+COUNTIF(Linkway_Register!$A$5:$A$304,A1246)+COUNTIF(Other_Register!$A$5:$A$304,A1246))&gt;0,"OK","ID not in any register"))</f>
        <v/>
      </c>
    </row>
    <row r="1247" customFormat="false" ht="15" hidden="false" customHeight="false" outlineLevel="0" collapsed="false">
      <c r="A1247" s="9"/>
      <c r="B1247" s="9"/>
      <c r="C1247" s="9"/>
      <c r="D1247" s="9"/>
      <c r="E1247" s="9"/>
      <c r="F1247" s="9"/>
      <c r="G1247" s="9"/>
      <c r="H1247" s="9"/>
      <c r="I1247" s="9"/>
      <c r="J1247" s="10" t="str">
        <f aca="false">IF(A1247="","",IF(G1247&lt;&gt;"",G1247,IF(N(F1247)&gt;0,ROUND(1000/F1247,3),0)))</f>
        <v/>
      </c>
      <c r="K1247" s="10" t="str">
        <f aca="false">IF(OR(A1247="",E1247="",H1247=""),"",ROUND(0.00617*E1247^2*H1247*J1247,2))</f>
        <v/>
      </c>
      <c r="L1247" s="9"/>
      <c r="M1247" s="10" t="str">
        <f aca="false">IF(A1247="","",IF((COUNTIF(Drain_Register!$A$5:$A$304,A1247)+COUNTIF(RW_Register!$A$5:$A$304,A1247)+COUNTIF(Embedded_Wall_Register!$A$5:$A$304,A1247)+COUNTIF(Manhole_Register!$A$5:$A$304,A1247)+COUNTIF(ERSS_Pit_Register!$A$5:$A$304,A1247)+COUNTIF(Linkway_Register!$A$5:$A$304,A1247)+COUNTIF(Other_Register!$A$5:$A$304,A1247))&gt;0,"OK","ID not in any register"))</f>
        <v/>
      </c>
    </row>
    <row r="1248" customFormat="false" ht="15" hidden="false" customHeight="false" outlineLevel="0" collapsed="false">
      <c r="A1248" s="9"/>
      <c r="B1248" s="9"/>
      <c r="C1248" s="9"/>
      <c r="D1248" s="9"/>
      <c r="E1248" s="9"/>
      <c r="F1248" s="9"/>
      <c r="G1248" s="9"/>
      <c r="H1248" s="9"/>
      <c r="I1248" s="9"/>
      <c r="J1248" s="10" t="str">
        <f aca="false">IF(A1248="","",IF(G1248&lt;&gt;"",G1248,IF(N(F1248)&gt;0,ROUND(1000/F1248,3),0)))</f>
        <v/>
      </c>
      <c r="K1248" s="10" t="str">
        <f aca="false">IF(OR(A1248="",E1248="",H1248=""),"",ROUND(0.00617*E1248^2*H1248*J1248,2))</f>
        <v/>
      </c>
      <c r="L1248" s="9"/>
      <c r="M1248" s="10" t="str">
        <f aca="false">IF(A1248="","",IF((COUNTIF(Drain_Register!$A$5:$A$304,A1248)+COUNTIF(RW_Register!$A$5:$A$304,A1248)+COUNTIF(Embedded_Wall_Register!$A$5:$A$304,A1248)+COUNTIF(Manhole_Register!$A$5:$A$304,A1248)+COUNTIF(ERSS_Pit_Register!$A$5:$A$304,A1248)+COUNTIF(Linkway_Register!$A$5:$A$304,A1248)+COUNTIF(Other_Register!$A$5:$A$304,A1248))&gt;0,"OK","ID not in any register"))</f>
        <v/>
      </c>
    </row>
    <row r="1249" customFormat="false" ht="15" hidden="false" customHeight="false" outlineLevel="0" collapsed="false">
      <c r="A1249" s="9"/>
      <c r="B1249" s="9"/>
      <c r="C1249" s="9"/>
      <c r="D1249" s="9"/>
      <c r="E1249" s="9"/>
      <c r="F1249" s="9"/>
      <c r="G1249" s="9"/>
      <c r="H1249" s="9"/>
      <c r="I1249" s="9"/>
      <c r="J1249" s="10" t="str">
        <f aca="false">IF(A1249="","",IF(G1249&lt;&gt;"",G1249,IF(N(F1249)&gt;0,ROUND(1000/F1249,3),0)))</f>
        <v/>
      </c>
      <c r="K1249" s="10" t="str">
        <f aca="false">IF(OR(A1249="",E1249="",H1249=""),"",ROUND(0.00617*E1249^2*H1249*J1249,2))</f>
        <v/>
      </c>
      <c r="L1249" s="9"/>
      <c r="M1249" s="10" t="str">
        <f aca="false">IF(A1249="","",IF((COUNTIF(Drain_Register!$A$5:$A$304,A1249)+COUNTIF(RW_Register!$A$5:$A$304,A1249)+COUNTIF(Embedded_Wall_Register!$A$5:$A$304,A1249)+COUNTIF(Manhole_Register!$A$5:$A$304,A1249)+COUNTIF(ERSS_Pit_Register!$A$5:$A$304,A1249)+COUNTIF(Linkway_Register!$A$5:$A$304,A1249)+COUNTIF(Other_Register!$A$5:$A$304,A1249))&gt;0,"OK","ID not in any register"))</f>
        <v/>
      </c>
    </row>
    <row r="1250" customFormat="false" ht="15" hidden="false" customHeight="false" outlineLevel="0" collapsed="false">
      <c r="A1250" s="9"/>
      <c r="B1250" s="9"/>
      <c r="C1250" s="9"/>
      <c r="D1250" s="9"/>
      <c r="E1250" s="9"/>
      <c r="F1250" s="9"/>
      <c r="G1250" s="9"/>
      <c r="H1250" s="9"/>
      <c r="I1250" s="9"/>
      <c r="J1250" s="10" t="str">
        <f aca="false">IF(A1250="","",IF(G1250&lt;&gt;"",G1250,IF(N(F1250)&gt;0,ROUND(1000/F1250,3),0)))</f>
        <v/>
      </c>
      <c r="K1250" s="10" t="str">
        <f aca="false">IF(OR(A1250="",E1250="",H1250=""),"",ROUND(0.00617*E1250^2*H1250*J1250,2))</f>
        <v/>
      </c>
      <c r="L1250" s="9"/>
      <c r="M1250" s="10" t="str">
        <f aca="false">IF(A1250="","",IF((COUNTIF(Drain_Register!$A$5:$A$304,A1250)+COUNTIF(RW_Register!$A$5:$A$304,A1250)+COUNTIF(Embedded_Wall_Register!$A$5:$A$304,A1250)+COUNTIF(Manhole_Register!$A$5:$A$304,A1250)+COUNTIF(ERSS_Pit_Register!$A$5:$A$304,A1250)+COUNTIF(Linkway_Register!$A$5:$A$304,A1250)+COUNTIF(Other_Register!$A$5:$A$304,A1250))&gt;0,"OK","ID not in any register"))</f>
        <v/>
      </c>
    </row>
    <row r="1251" customFormat="false" ht="15" hidden="false" customHeight="false" outlineLevel="0" collapsed="false">
      <c r="A1251" s="9"/>
      <c r="B1251" s="9"/>
      <c r="C1251" s="9"/>
      <c r="D1251" s="9"/>
      <c r="E1251" s="9"/>
      <c r="F1251" s="9"/>
      <c r="G1251" s="9"/>
      <c r="H1251" s="9"/>
      <c r="I1251" s="9"/>
      <c r="J1251" s="10" t="str">
        <f aca="false">IF(A1251="","",IF(G1251&lt;&gt;"",G1251,IF(N(F1251)&gt;0,ROUND(1000/F1251,3),0)))</f>
        <v/>
      </c>
      <c r="K1251" s="10" t="str">
        <f aca="false">IF(OR(A1251="",E1251="",H1251=""),"",ROUND(0.00617*E1251^2*H1251*J1251,2))</f>
        <v/>
      </c>
      <c r="L1251" s="9"/>
      <c r="M1251" s="10" t="str">
        <f aca="false">IF(A1251="","",IF((COUNTIF(Drain_Register!$A$5:$A$304,A1251)+COUNTIF(RW_Register!$A$5:$A$304,A1251)+COUNTIF(Embedded_Wall_Register!$A$5:$A$304,A1251)+COUNTIF(Manhole_Register!$A$5:$A$304,A1251)+COUNTIF(ERSS_Pit_Register!$A$5:$A$304,A1251)+COUNTIF(Linkway_Register!$A$5:$A$304,A1251)+COUNTIF(Other_Register!$A$5:$A$304,A1251))&gt;0,"OK","ID not in any register"))</f>
        <v/>
      </c>
    </row>
    <row r="1252" customFormat="false" ht="15" hidden="false" customHeight="false" outlineLevel="0" collapsed="false">
      <c r="A1252" s="9"/>
      <c r="B1252" s="9"/>
      <c r="C1252" s="9"/>
      <c r="D1252" s="9"/>
      <c r="E1252" s="9"/>
      <c r="F1252" s="9"/>
      <c r="G1252" s="9"/>
      <c r="H1252" s="9"/>
      <c r="I1252" s="9"/>
      <c r="J1252" s="10" t="str">
        <f aca="false">IF(A1252="","",IF(G1252&lt;&gt;"",G1252,IF(N(F1252)&gt;0,ROUND(1000/F1252,3),0)))</f>
        <v/>
      </c>
      <c r="K1252" s="10" t="str">
        <f aca="false">IF(OR(A1252="",E1252="",H1252=""),"",ROUND(0.00617*E1252^2*H1252*J1252,2))</f>
        <v/>
      </c>
      <c r="L1252" s="9"/>
      <c r="M1252" s="10" t="str">
        <f aca="false">IF(A1252="","",IF((COUNTIF(Drain_Register!$A$5:$A$304,A1252)+COUNTIF(RW_Register!$A$5:$A$304,A1252)+COUNTIF(Embedded_Wall_Register!$A$5:$A$304,A1252)+COUNTIF(Manhole_Register!$A$5:$A$304,A1252)+COUNTIF(ERSS_Pit_Register!$A$5:$A$304,A1252)+COUNTIF(Linkway_Register!$A$5:$A$304,A1252)+COUNTIF(Other_Register!$A$5:$A$304,A1252))&gt;0,"OK","ID not in any register"))</f>
        <v/>
      </c>
    </row>
    <row r="1253" customFormat="false" ht="15" hidden="false" customHeight="false" outlineLevel="0" collapsed="false">
      <c r="A1253" s="9"/>
      <c r="B1253" s="9"/>
      <c r="C1253" s="9"/>
      <c r="D1253" s="9"/>
      <c r="E1253" s="9"/>
      <c r="F1253" s="9"/>
      <c r="G1253" s="9"/>
      <c r="H1253" s="9"/>
      <c r="I1253" s="9"/>
      <c r="J1253" s="10" t="str">
        <f aca="false">IF(A1253="","",IF(G1253&lt;&gt;"",G1253,IF(N(F1253)&gt;0,ROUND(1000/F1253,3),0)))</f>
        <v/>
      </c>
      <c r="K1253" s="10" t="str">
        <f aca="false">IF(OR(A1253="",E1253="",H1253=""),"",ROUND(0.00617*E1253^2*H1253*J1253,2))</f>
        <v/>
      </c>
      <c r="L1253" s="9"/>
      <c r="M1253" s="10" t="str">
        <f aca="false">IF(A1253="","",IF((COUNTIF(Drain_Register!$A$5:$A$304,A1253)+COUNTIF(RW_Register!$A$5:$A$304,A1253)+COUNTIF(Embedded_Wall_Register!$A$5:$A$304,A1253)+COUNTIF(Manhole_Register!$A$5:$A$304,A1253)+COUNTIF(ERSS_Pit_Register!$A$5:$A$304,A1253)+COUNTIF(Linkway_Register!$A$5:$A$304,A1253)+COUNTIF(Other_Register!$A$5:$A$304,A1253))&gt;0,"OK","ID not in any register"))</f>
        <v/>
      </c>
    </row>
    <row r="1254" customFormat="false" ht="15" hidden="false" customHeight="false" outlineLevel="0" collapsed="false">
      <c r="A1254" s="9"/>
      <c r="B1254" s="9"/>
      <c r="C1254" s="9"/>
      <c r="D1254" s="9"/>
      <c r="E1254" s="9"/>
      <c r="F1254" s="9"/>
      <c r="G1254" s="9"/>
      <c r="H1254" s="9"/>
      <c r="I1254" s="9"/>
      <c r="J1254" s="10" t="str">
        <f aca="false">IF(A1254="","",IF(G1254&lt;&gt;"",G1254,IF(N(F1254)&gt;0,ROUND(1000/F1254,3),0)))</f>
        <v/>
      </c>
      <c r="K1254" s="10" t="str">
        <f aca="false">IF(OR(A1254="",E1254="",H1254=""),"",ROUND(0.00617*E1254^2*H1254*J1254,2))</f>
        <v/>
      </c>
      <c r="L1254" s="9"/>
      <c r="M1254" s="10" t="str">
        <f aca="false">IF(A1254="","",IF((COUNTIF(Drain_Register!$A$5:$A$304,A1254)+COUNTIF(RW_Register!$A$5:$A$304,A1254)+COUNTIF(Embedded_Wall_Register!$A$5:$A$304,A1254)+COUNTIF(Manhole_Register!$A$5:$A$304,A1254)+COUNTIF(ERSS_Pit_Register!$A$5:$A$304,A1254)+COUNTIF(Linkway_Register!$A$5:$A$304,A1254)+COUNTIF(Other_Register!$A$5:$A$304,A1254))&gt;0,"OK","ID not in any register"))</f>
        <v/>
      </c>
    </row>
    <row r="1255" customFormat="false" ht="15" hidden="false" customHeight="false" outlineLevel="0" collapsed="false">
      <c r="A1255" s="9"/>
      <c r="B1255" s="9"/>
      <c r="C1255" s="9"/>
      <c r="D1255" s="9"/>
      <c r="E1255" s="9"/>
      <c r="F1255" s="9"/>
      <c r="G1255" s="9"/>
      <c r="H1255" s="9"/>
      <c r="I1255" s="9"/>
      <c r="J1255" s="10" t="str">
        <f aca="false">IF(A1255="","",IF(G1255&lt;&gt;"",G1255,IF(N(F1255)&gt;0,ROUND(1000/F1255,3),0)))</f>
        <v/>
      </c>
      <c r="K1255" s="10" t="str">
        <f aca="false">IF(OR(A1255="",E1255="",H1255=""),"",ROUND(0.00617*E1255^2*H1255*J1255,2))</f>
        <v/>
      </c>
      <c r="L1255" s="9"/>
      <c r="M1255" s="10" t="str">
        <f aca="false">IF(A1255="","",IF((COUNTIF(Drain_Register!$A$5:$A$304,A1255)+COUNTIF(RW_Register!$A$5:$A$304,A1255)+COUNTIF(Embedded_Wall_Register!$A$5:$A$304,A1255)+COUNTIF(Manhole_Register!$A$5:$A$304,A1255)+COUNTIF(ERSS_Pit_Register!$A$5:$A$304,A1255)+COUNTIF(Linkway_Register!$A$5:$A$304,A1255)+COUNTIF(Other_Register!$A$5:$A$304,A1255))&gt;0,"OK","ID not in any register"))</f>
        <v/>
      </c>
    </row>
    <row r="1256" customFormat="false" ht="15" hidden="false" customHeight="false" outlineLevel="0" collapsed="false">
      <c r="A1256" s="9"/>
      <c r="B1256" s="9"/>
      <c r="C1256" s="9"/>
      <c r="D1256" s="9"/>
      <c r="E1256" s="9"/>
      <c r="F1256" s="9"/>
      <c r="G1256" s="9"/>
      <c r="H1256" s="9"/>
      <c r="I1256" s="9"/>
      <c r="J1256" s="10" t="str">
        <f aca="false">IF(A1256="","",IF(G1256&lt;&gt;"",G1256,IF(N(F1256)&gt;0,ROUND(1000/F1256,3),0)))</f>
        <v/>
      </c>
      <c r="K1256" s="10" t="str">
        <f aca="false">IF(OR(A1256="",E1256="",H1256=""),"",ROUND(0.00617*E1256^2*H1256*J1256,2))</f>
        <v/>
      </c>
      <c r="L1256" s="9"/>
      <c r="M1256" s="10" t="str">
        <f aca="false">IF(A1256="","",IF((COUNTIF(Drain_Register!$A$5:$A$304,A1256)+COUNTIF(RW_Register!$A$5:$A$304,A1256)+COUNTIF(Embedded_Wall_Register!$A$5:$A$304,A1256)+COUNTIF(Manhole_Register!$A$5:$A$304,A1256)+COUNTIF(ERSS_Pit_Register!$A$5:$A$304,A1256)+COUNTIF(Linkway_Register!$A$5:$A$304,A1256)+COUNTIF(Other_Register!$A$5:$A$304,A1256))&gt;0,"OK","ID not in any register"))</f>
        <v/>
      </c>
    </row>
    <row r="1257" customFormat="false" ht="15" hidden="false" customHeight="false" outlineLevel="0" collapsed="false">
      <c r="A1257" s="9"/>
      <c r="B1257" s="9"/>
      <c r="C1257" s="9"/>
      <c r="D1257" s="9"/>
      <c r="E1257" s="9"/>
      <c r="F1257" s="9"/>
      <c r="G1257" s="9"/>
      <c r="H1257" s="9"/>
      <c r="I1257" s="9"/>
      <c r="J1257" s="10" t="str">
        <f aca="false">IF(A1257="","",IF(G1257&lt;&gt;"",G1257,IF(N(F1257)&gt;0,ROUND(1000/F1257,3),0)))</f>
        <v/>
      </c>
      <c r="K1257" s="10" t="str">
        <f aca="false">IF(OR(A1257="",E1257="",H1257=""),"",ROUND(0.00617*E1257^2*H1257*J1257,2))</f>
        <v/>
      </c>
      <c r="L1257" s="9"/>
      <c r="M1257" s="10" t="str">
        <f aca="false">IF(A1257="","",IF((COUNTIF(Drain_Register!$A$5:$A$304,A1257)+COUNTIF(RW_Register!$A$5:$A$304,A1257)+COUNTIF(Embedded_Wall_Register!$A$5:$A$304,A1257)+COUNTIF(Manhole_Register!$A$5:$A$304,A1257)+COUNTIF(ERSS_Pit_Register!$A$5:$A$304,A1257)+COUNTIF(Linkway_Register!$A$5:$A$304,A1257)+COUNTIF(Other_Register!$A$5:$A$304,A1257))&gt;0,"OK","ID not in any register"))</f>
        <v/>
      </c>
    </row>
    <row r="1258" customFormat="false" ht="15" hidden="false" customHeight="false" outlineLevel="0" collapsed="false">
      <c r="A1258" s="9"/>
      <c r="B1258" s="9"/>
      <c r="C1258" s="9"/>
      <c r="D1258" s="9"/>
      <c r="E1258" s="9"/>
      <c r="F1258" s="9"/>
      <c r="G1258" s="9"/>
      <c r="H1258" s="9"/>
      <c r="I1258" s="9"/>
      <c r="J1258" s="10" t="str">
        <f aca="false">IF(A1258="","",IF(G1258&lt;&gt;"",G1258,IF(N(F1258)&gt;0,ROUND(1000/F1258,3),0)))</f>
        <v/>
      </c>
      <c r="K1258" s="10" t="str">
        <f aca="false">IF(OR(A1258="",E1258="",H1258=""),"",ROUND(0.00617*E1258^2*H1258*J1258,2))</f>
        <v/>
      </c>
      <c r="L1258" s="9"/>
      <c r="M1258" s="10" t="str">
        <f aca="false">IF(A1258="","",IF((COUNTIF(Drain_Register!$A$5:$A$304,A1258)+COUNTIF(RW_Register!$A$5:$A$304,A1258)+COUNTIF(Embedded_Wall_Register!$A$5:$A$304,A1258)+COUNTIF(Manhole_Register!$A$5:$A$304,A1258)+COUNTIF(ERSS_Pit_Register!$A$5:$A$304,A1258)+COUNTIF(Linkway_Register!$A$5:$A$304,A1258)+COUNTIF(Other_Register!$A$5:$A$304,A1258))&gt;0,"OK","ID not in any register"))</f>
        <v/>
      </c>
    </row>
    <row r="1259" customFormat="false" ht="15" hidden="false" customHeight="false" outlineLevel="0" collapsed="false">
      <c r="A1259" s="9"/>
      <c r="B1259" s="9"/>
      <c r="C1259" s="9"/>
      <c r="D1259" s="9"/>
      <c r="E1259" s="9"/>
      <c r="F1259" s="9"/>
      <c r="G1259" s="9"/>
      <c r="H1259" s="9"/>
      <c r="I1259" s="9"/>
      <c r="J1259" s="10" t="str">
        <f aca="false">IF(A1259="","",IF(G1259&lt;&gt;"",G1259,IF(N(F1259)&gt;0,ROUND(1000/F1259,3),0)))</f>
        <v/>
      </c>
      <c r="K1259" s="10" t="str">
        <f aca="false">IF(OR(A1259="",E1259="",H1259=""),"",ROUND(0.00617*E1259^2*H1259*J1259,2))</f>
        <v/>
      </c>
      <c r="L1259" s="9"/>
      <c r="M1259" s="10" t="str">
        <f aca="false">IF(A1259="","",IF((COUNTIF(Drain_Register!$A$5:$A$304,A1259)+COUNTIF(RW_Register!$A$5:$A$304,A1259)+COUNTIF(Embedded_Wall_Register!$A$5:$A$304,A1259)+COUNTIF(Manhole_Register!$A$5:$A$304,A1259)+COUNTIF(ERSS_Pit_Register!$A$5:$A$304,A1259)+COUNTIF(Linkway_Register!$A$5:$A$304,A1259)+COUNTIF(Other_Register!$A$5:$A$304,A1259))&gt;0,"OK","ID not in any register"))</f>
        <v/>
      </c>
    </row>
    <row r="1260" customFormat="false" ht="15" hidden="false" customHeight="false" outlineLevel="0" collapsed="false">
      <c r="A1260" s="9"/>
      <c r="B1260" s="9"/>
      <c r="C1260" s="9"/>
      <c r="D1260" s="9"/>
      <c r="E1260" s="9"/>
      <c r="F1260" s="9"/>
      <c r="G1260" s="9"/>
      <c r="H1260" s="9"/>
      <c r="I1260" s="9"/>
      <c r="J1260" s="10" t="str">
        <f aca="false">IF(A1260="","",IF(G1260&lt;&gt;"",G1260,IF(N(F1260)&gt;0,ROUND(1000/F1260,3),0)))</f>
        <v/>
      </c>
      <c r="K1260" s="10" t="str">
        <f aca="false">IF(OR(A1260="",E1260="",H1260=""),"",ROUND(0.00617*E1260^2*H1260*J1260,2))</f>
        <v/>
      </c>
      <c r="L1260" s="9"/>
      <c r="M1260" s="10" t="str">
        <f aca="false">IF(A1260="","",IF((COUNTIF(Drain_Register!$A$5:$A$304,A1260)+COUNTIF(RW_Register!$A$5:$A$304,A1260)+COUNTIF(Embedded_Wall_Register!$A$5:$A$304,A1260)+COUNTIF(Manhole_Register!$A$5:$A$304,A1260)+COUNTIF(ERSS_Pit_Register!$A$5:$A$304,A1260)+COUNTIF(Linkway_Register!$A$5:$A$304,A1260)+COUNTIF(Other_Register!$A$5:$A$304,A1260))&gt;0,"OK","ID not in any register"))</f>
        <v/>
      </c>
    </row>
    <row r="1261" customFormat="false" ht="15" hidden="false" customHeight="false" outlineLevel="0" collapsed="false">
      <c r="A1261" s="9"/>
      <c r="B1261" s="9"/>
      <c r="C1261" s="9"/>
      <c r="D1261" s="9"/>
      <c r="E1261" s="9"/>
      <c r="F1261" s="9"/>
      <c r="G1261" s="9"/>
      <c r="H1261" s="9"/>
      <c r="I1261" s="9"/>
      <c r="J1261" s="10" t="str">
        <f aca="false">IF(A1261="","",IF(G1261&lt;&gt;"",G1261,IF(N(F1261)&gt;0,ROUND(1000/F1261,3),0)))</f>
        <v/>
      </c>
      <c r="K1261" s="10" t="str">
        <f aca="false">IF(OR(A1261="",E1261="",H1261=""),"",ROUND(0.00617*E1261^2*H1261*J1261,2))</f>
        <v/>
      </c>
      <c r="L1261" s="9"/>
      <c r="M1261" s="10" t="str">
        <f aca="false">IF(A1261="","",IF((COUNTIF(Drain_Register!$A$5:$A$304,A1261)+COUNTIF(RW_Register!$A$5:$A$304,A1261)+COUNTIF(Embedded_Wall_Register!$A$5:$A$304,A1261)+COUNTIF(Manhole_Register!$A$5:$A$304,A1261)+COUNTIF(ERSS_Pit_Register!$A$5:$A$304,A1261)+COUNTIF(Linkway_Register!$A$5:$A$304,A1261)+COUNTIF(Other_Register!$A$5:$A$304,A1261))&gt;0,"OK","ID not in any register"))</f>
        <v/>
      </c>
    </row>
    <row r="1262" customFormat="false" ht="15" hidden="false" customHeight="false" outlineLevel="0" collapsed="false">
      <c r="A1262" s="9"/>
      <c r="B1262" s="9"/>
      <c r="C1262" s="9"/>
      <c r="D1262" s="9"/>
      <c r="E1262" s="9"/>
      <c r="F1262" s="9"/>
      <c r="G1262" s="9"/>
      <c r="H1262" s="9"/>
      <c r="I1262" s="9"/>
      <c r="J1262" s="10" t="str">
        <f aca="false">IF(A1262="","",IF(G1262&lt;&gt;"",G1262,IF(N(F1262)&gt;0,ROUND(1000/F1262,3),0)))</f>
        <v/>
      </c>
      <c r="K1262" s="10" t="str">
        <f aca="false">IF(OR(A1262="",E1262="",H1262=""),"",ROUND(0.00617*E1262^2*H1262*J1262,2))</f>
        <v/>
      </c>
      <c r="L1262" s="9"/>
      <c r="M1262" s="10" t="str">
        <f aca="false">IF(A1262="","",IF((COUNTIF(Drain_Register!$A$5:$A$304,A1262)+COUNTIF(RW_Register!$A$5:$A$304,A1262)+COUNTIF(Embedded_Wall_Register!$A$5:$A$304,A1262)+COUNTIF(Manhole_Register!$A$5:$A$304,A1262)+COUNTIF(ERSS_Pit_Register!$A$5:$A$304,A1262)+COUNTIF(Linkway_Register!$A$5:$A$304,A1262)+COUNTIF(Other_Register!$A$5:$A$304,A1262))&gt;0,"OK","ID not in any register"))</f>
        <v/>
      </c>
    </row>
    <row r="1263" customFormat="false" ht="15" hidden="false" customHeight="false" outlineLevel="0" collapsed="false">
      <c r="A1263" s="9"/>
      <c r="B1263" s="9"/>
      <c r="C1263" s="9"/>
      <c r="D1263" s="9"/>
      <c r="E1263" s="9"/>
      <c r="F1263" s="9"/>
      <c r="G1263" s="9"/>
      <c r="H1263" s="9"/>
      <c r="I1263" s="9"/>
      <c r="J1263" s="10" t="str">
        <f aca="false">IF(A1263="","",IF(G1263&lt;&gt;"",G1263,IF(N(F1263)&gt;0,ROUND(1000/F1263,3),0)))</f>
        <v/>
      </c>
      <c r="K1263" s="10" t="str">
        <f aca="false">IF(OR(A1263="",E1263="",H1263=""),"",ROUND(0.00617*E1263^2*H1263*J1263,2))</f>
        <v/>
      </c>
      <c r="L1263" s="9"/>
      <c r="M1263" s="10" t="str">
        <f aca="false">IF(A1263="","",IF((COUNTIF(Drain_Register!$A$5:$A$304,A1263)+COUNTIF(RW_Register!$A$5:$A$304,A1263)+COUNTIF(Embedded_Wall_Register!$A$5:$A$304,A1263)+COUNTIF(Manhole_Register!$A$5:$A$304,A1263)+COUNTIF(ERSS_Pit_Register!$A$5:$A$304,A1263)+COUNTIF(Linkway_Register!$A$5:$A$304,A1263)+COUNTIF(Other_Register!$A$5:$A$304,A1263))&gt;0,"OK","ID not in any register"))</f>
        <v/>
      </c>
    </row>
    <row r="1264" customFormat="false" ht="15" hidden="false" customHeight="false" outlineLevel="0" collapsed="false">
      <c r="A1264" s="9"/>
      <c r="B1264" s="9"/>
      <c r="C1264" s="9"/>
      <c r="D1264" s="9"/>
      <c r="E1264" s="9"/>
      <c r="F1264" s="9"/>
      <c r="G1264" s="9"/>
      <c r="H1264" s="9"/>
      <c r="I1264" s="9"/>
      <c r="J1264" s="10" t="str">
        <f aca="false">IF(A1264="","",IF(G1264&lt;&gt;"",G1264,IF(N(F1264)&gt;0,ROUND(1000/F1264,3),0)))</f>
        <v/>
      </c>
      <c r="K1264" s="10" t="str">
        <f aca="false">IF(OR(A1264="",E1264="",H1264=""),"",ROUND(0.00617*E1264^2*H1264*J1264,2))</f>
        <v/>
      </c>
      <c r="L1264" s="9"/>
      <c r="M1264" s="10" t="str">
        <f aca="false">IF(A1264="","",IF((COUNTIF(Drain_Register!$A$5:$A$304,A1264)+COUNTIF(RW_Register!$A$5:$A$304,A1264)+COUNTIF(Embedded_Wall_Register!$A$5:$A$304,A1264)+COUNTIF(Manhole_Register!$A$5:$A$304,A1264)+COUNTIF(ERSS_Pit_Register!$A$5:$A$304,A1264)+COUNTIF(Linkway_Register!$A$5:$A$304,A1264)+COUNTIF(Other_Register!$A$5:$A$304,A1264))&gt;0,"OK","ID not in any register"))</f>
        <v/>
      </c>
    </row>
    <row r="1265" customFormat="false" ht="15" hidden="false" customHeight="false" outlineLevel="0" collapsed="false">
      <c r="A1265" s="9"/>
      <c r="B1265" s="9"/>
      <c r="C1265" s="9"/>
      <c r="D1265" s="9"/>
      <c r="E1265" s="9"/>
      <c r="F1265" s="9"/>
      <c r="G1265" s="9"/>
      <c r="H1265" s="9"/>
      <c r="I1265" s="9"/>
      <c r="J1265" s="10" t="str">
        <f aca="false">IF(A1265="","",IF(G1265&lt;&gt;"",G1265,IF(N(F1265)&gt;0,ROUND(1000/F1265,3),0)))</f>
        <v/>
      </c>
      <c r="K1265" s="10" t="str">
        <f aca="false">IF(OR(A1265="",E1265="",H1265=""),"",ROUND(0.00617*E1265^2*H1265*J1265,2))</f>
        <v/>
      </c>
      <c r="L1265" s="9"/>
      <c r="M1265" s="10" t="str">
        <f aca="false">IF(A1265="","",IF((COUNTIF(Drain_Register!$A$5:$A$304,A1265)+COUNTIF(RW_Register!$A$5:$A$304,A1265)+COUNTIF(Embedded_Wall_Register!$A$5:$A$304,A1265)+COUNTIF(Manhole_Register!$A$5:$A$304,A1265)+COUNTIF(ERSS_Pit_Register!$A$5:$A$304,A1265)+COUNTIF(Linkway_Register!$A$5:$A$304,A1265)+COUNTIF(Other_Register!$A$5:$A$304,A1265))&gt;0,"OK","ID not in any register"))</f>
        <v/>
      </c>
    </row>
    <row r="1266" customFormat="false" ht="15" hidden="false" customHeight="false" outlineLevel="0" collapsed="false">
      <c r="A1266" s="9"/>
      <c r="B1266" s="9"/>
      <c r="C1266" s="9"/>
      <c r="D1266" s="9"/>
      <c r="E1266" s="9"/>
      <c r="F1266" s="9"/>
      <c r="G1266" s="9"/>
      <c r="H1266" s="9"/>
      <c r="I1266" s="9"/>
      <c r="J1266" s="10" t="str">
        <f aca="false">IF(A1266="","",IF(G1266&lt;&gt;"",G1266,IF(N(F1266)&gt;0,ROUND(1000/F1266,3),0)))</f>
        <v/>
      </c>
      <c r="K1266" s="10" t="str">
        <f aca="false">IF(OR(A1266="",E1266="",H1266=""),"",ROUND(0.00617*E1266^2*H1266*J1266,2))</f>
        <v/>
      </c>
      <c r="L1266" s="9"/>
      <c r="M1266" s="10" t="str">
        <f aca="false">IF(A1266="","",IF((COUNTIF(Drain_Register!$A$5:$A$304,A1266)+COUNTIF(RW_Register!$A$5:$A$304,A1266)+COUNTIF(Embedded_Wall_Register!$A$5:$A$304,A1266)+COUNTIF(Manhole_Register!$A$5:$A$304,A1266)+COUNTIF(ERSS_Pit_Register!$A$5:$A$304,A1266)+COUNTIF(Linkway_Register!$A$5:$A$304,A1266)+COUNTIF(Other_Register!$A$5:$A$304,A1266))&gt;0,"OK","ID not in any register"))</f>
        <v/>
      </c>
    </row>
    <row r="1267" customFormat="false" ht="15" hidden="false" customHeight="false" outlineLevel="0" collapsed="false">
      <c r="A1267" s="9"/>
      <c r="B1267" s="9"/>
      <c r="C1267" s="9"/>
      <c r="D1267" s="9"/>
      <c r="E1267" s="9"/>
      <c r="F1267" s="9"/>
      <c r="G1267" s="9"/>
      <c r="H1267" s="9"/>
      <c r="I1267" s="9"/>
      <c r="J1267" s="10" t="str">
        <f aca="false">IF(A1267="","",IF(G1267&lt;&gt;"",G1267,IF(N(F1267)&gt;0,ROUND(1000/F1267,3),0)))</f>
        <v/>
      </c>
      <c r="K1267" s="10" t="str">
        <f aca="false">IF(OR(A1267="",E1267="",H1267=""),"",ROUND(0.00617*E1267^2*H1267*J1267,2))</f>
        <v/>
      </c>
      <c r="L1267" s="9"/>
      <c r="M1267" s="10" t="str">
        <f aca="false">IF(A1267="","",IF((COUNTIF(Drain_Register!$A$5:$A$304,A1267)+COUNTIF(RW_Register!$A$5:$A$304,A1267)+COUNTIF(Embedded_Wall_Register!$A$5:$A$304,A1267)+COUNTIF(Manhole_Register!$A$5:$A$304,A1267)+COUNTIF(ERSS_Pit_Register!$A$5:$A$304,A1267)+COUNTIF(Linkway_Register!$A$5:$A$304,A1267)+COUNTIF(Other_Register!$A$5:$A$304,A1267))&gt;0,"OK","ID not in any register"))</f>
        <v/>
      </c>
    </row>
    <row r="1268" customFormat="false" ht="15" hidden="false" customHeight="false" outlineLevel="0" collapsed="false">
      <c r="A1268" s="9"/>
      <c r="B1268" s="9"/>
      <c r="C1268" s="9"/>
      <c r="D1268" s="9"/>
      <c r="E1268" s="9"/>
      <c r="F1268" s="9"/>
      <c r="G1268" s="9"/>
      <c r="H1268" s="9"/>
      <c r="I1268" s="9"/>
      <c r="J1268" s="10" t="str">
        <f aca="false">IF(A1268="","",IF(G1268&lt;&gt;"",G1268,IF(N(F1268)&gt;0,ROUND(1000/F1268,3),0)))</f>
        <v/>
      </c>
      <c r="K1268" s="10" t="str">
        <f aca="false">IF(OR(A1268="",E1268="",H1268=""),"",ROUND(0.00617*E1268^2*H1268*J1268,2))</f>
        <v/>
      </c>
      <c r="L1268" s="9"/>
      <c r="M1268" s="10" t="str">
        <f aca="false">IF(A1268="","",IF((COUNTIF(Drain_Register!$A$5:$A$304,A1268)+COUNTIF(RW_Register!$A$5:$A$304,A1268)+COUNTIF(Embedded_Wall_Register!$A$5:$A$304,A1268)+COUNTIF(Manhole_Register!$A$5:$A$304,A1268)+COUNTIF(ERSS_Pit_Register!$A$5:$A$304,A1268)+COUNTIF(Linkway_Register!$A$5:$A$304,A1268)+COUNTIF(Other_Register!$A$5:$A$304,A1268))&gt;0,"OK","ID not in any register"))</f>
        <v/>
      </c>
    </row>
    <row r="1269" customFormat="false" ht="15" hidden="false" customHeight="false" outlineLevel="0" collapsed="false">
      <c r="A1269" s="9"/>
      <c r="B1269" s="9"/>
      <c r="C1269" s="9"/>
      <c r="D1269" s="9"/>
      <c r="E1269" s="9"/>
      <c r="F1269" s="9"/>
      <c r="G1269" s="9"/>
      <c r="H1269" s="9"/>
      <c r="I1269" s="9"/>
      <c r="J1269" s="10" t="str">
        <f aca="false">IF(A1269="","",IF(G1269&lt;&gt;"",G1269,IF(N(F1269)&gt;0,ROUND(1000/F1269,3),0)))</f>
        <v/>
      </c>
      <c r="K1269" s="10" t="str">
        <f aca="false">IF(OR(A1269="",E1269="",H1269=""),"",ROUND(0.00617*E1269^2*H1269*J1269,2))</f>
        <v/>
      </c>
      <c r="L1269" s="9"/>
      <c r="M1269" s="10" t="str">
        <f aca="false">IF(A1269="","",IF((COUNTIF(Drain_Register!$A$5:$A$304,A1269)+COUNTIF(RW_Register!$A$5:$A$304,A1269)+COUNTIF(Embedded_Wall_Register!$A$5:$A$304,A1269)+COUNTIF(Manhole_Register!$A$5:$A$304,A1269)+COUNTIF(ERSS_Pit_Register!$A$5:$A$304,A1269)+COUNTIF(Linkway_Register!$A$5:$A$304,A1269)+COUNTIF(Other_Register!$A$5:$A$304,A1269))&gt;0,"OK","ID not in any register"))</f>
        <v/>
      </c>
    </row>
    <row r="1270" customFormat="false" ht="15" hidden="false" customHeight="false" outlineLevel="0" collapsed="false">
      <c r="A1270" s="9"/>
      <c r="B1270" s="9"/>
      <c r="C1270" s="9"/>
      <c r="D1270" s="9"/>
      <c r="E1270" s="9"/>
      <c r="F1270" s="9"/>
      <c r="G1270" s="9"/>
      <c r="H1270" s="9"/>
      <c r="I1270" s="9"/>
      <c r="J1270" s="10" t="str">
        <f aca="false">IF(A1270="","",IF(G1270&lt;&gt;"",G1270,IF(N(F1270)&gt;0,ROUND(1000/F1270,3),0)))</f>
        <v/>
      </c>
      <c r="K1270" s="10" t="str">
        <f aca="false">IF(OR(A1270="",E1270="",H1270=""),"",ROUND(0.00617*E1270^2*H1270*J1270,2))</f>
        <v/>
      </c>
      <c r="L1270" s="9"/>
      <c r="M1270" s="10" t="str">
        <f aca="false">IF(A1270="","",IF((COUNTIF(Drain_Register!$A$5:$A$304,A1270)+COUNTIF(RW_Register!$A$5:$A$304,A1270)+COUNTIF(Embedded_Wall_Register!$A$5:$A$304,A1270)+COUNTIF(Manhole_Register!$A$5:$A$304,A1270)+COUNTIF(ERSS_Pit_Register!$A$5:$A$304,A1270)+COUNTIF(Linkway_Register!$A$5:$A$304,A1270)+COUNTIF(Other_Register!$A$5:$A$304,A1270))&gt;0,"OK","ID not in any register"))</f>
        <v/>
      </c>
    </row>
    <row r="1271" customFormat="false" ht="15" hidden="false" customHeight="false" outlineLevel="0" collapsed="false">
      <c r="A1271" s="9"/>
      <c r="B1271" s="9"/>
      <c r="C1271" s="9"/>
      <c r="D1271" s="9"/>
      <c r="E1271" s="9"/>
      <c r="F1271" s="9"/>
      <c r="G1271" s="9"/>
      <c r="H1271" s="9"/>
      <c r="I1271" s="9"/>
      <c r="J1271" s="10" t="str">
        <f aca="false">IF(A1271="","",IF(G1271&lt;&gt;"",G1271,IF(N(F1271)&gt;0,ROUND(1000/F1271,3),0)))</f>
        <v/>
      </c>
      <c r="K1271" s="10" t="str">
        <f aca="false">IF(OR(A1271="",E1271="",H1271=""),"",ROUND(0.00617*E1271^2*H1271*J1271,2))</f>
        <v/>
      </c>
      <c r="L1271" s="9"/>
      <c r="M1271" s="10" t="str">
        <f aca="false">IF(A1271="","",IF((COUNTIF(Drain_Register!$A$5:$A$304,A1271)+COUNTIF(RW_Register!$A$5:$A$304,A1271)+COUNTIF(Embedded_Wall_Register!$A$5:$A$304,A1271)+COUNTIF(Manhole_Register!$A$5:$A$304,A1271)+COUNTIF(ERSS_Pit_Register!$A$5:$A$304,A1271)+COUNTIF(Linkway_Register!$A$5:$A$304,A1271)+COUNTIF(Other_Register!$A$5:$A$304,A1271))&gt;0,"OK","ID not in any register"))</f>
        <v/>
      </c>
    </row>
    <row r="1272" customFormat="false" ht="15" hidden="false" customHeight="false" outlineLevel="0" collapsed="false">
      <c r="A1272" s="9"/>
      <c r="B1272" s="9"/>
      <c r="C1272" s="9"/>
      <c r="D1272" s="9"/>
      <c r="E1272" s="9"/>
      <c r="F1272" s="9"/>
      <c r="G1272" s="9"/>
      <c r="H1272" s="9"/>
      <c r="I1272" s="9"/>
      <c r="J1272" s="10" t="str">
        <f aca="false">IF(A1272="","",IF(G1272&lt;&gt;"",G1272,IF(N(F1272)&gt;0,ROUND(1000/F1272,3),0)))</f>
        <v/>
      </c>
      <c r="K1272" s="10" t="str">
        <f aca="false">IF(OR(A1272="",E1272="",H1272=""),"",ROUND(0.00617*E1272^2*H1272*J1272,2))</f>
        <v/>
      </c>
      <c r="L1272" s="9"/>
      <c r="M1272" s="10" t="str">
        <f aca="false">IF(A1272="","",IF((COUNTIF(Drain_Register!$A$5:$A$304,A1272)+COUNTIF(RW_Register!$A$5:$A$304,A1272)+COUNTIF(Embedded_Wall_Register!$A$5:$A$304,A1272)+COUNTIF(Manhole_Register!$A$5:$A$304,A1272)+COUNTIF(ERSS_Pit_Register!$A$5:$A$304,A1272)+COUNTIF(Linkway_Register!$A$5:$A$304,A1272)+COUNTIF(Other_Register!$A$5:$A$304,A1272))&gt;0,"OK","ID not in any register"))</f>
        <v/>
      </c>
    </row>
    <row r="1273" customFormat="false" ht="15" hidden="false" customHeight="false" outlineLevel="0" collapsed="false">
      <c r="A1273" s="9"/>
      <c r="B1273" s="9"/>
      <c r="C1273" s="9"/>
      <c r="D1273" s="9"/>
      <c r="E1273" s="9"/>
      <c r="F1273" s="9"/>
      <c r="G1273" s="9"/>
      <c r="H1273" s="9"/>
      <c r="I1273" s="9"/>
      <c r="J1273" s="10" t="str">
        <f aca="false">IF(A1273="","",IF(G1273&lt;&gt;"",G1273,IF(N(F1273)&gt;0,ROUND(1000/F1273,3),0)))</f>
        <v/>
      </c>
      <c r="K1273" s="10" t="str">
        <f aca="false">IF(OR(A1273="",E1273="",H1273=""),"",ROUND(0.00617*E1273^2*H1273*J1273,2))</f>
        <v/>
      </c>
      <c r="L1273" s="9"/>
      <c r="M1273" s="10" t="str">
        <f aca="false">IF(A1273="","",IF((COUNTIF(Drain_Register!$A$5:$A$304,A1273)+COUNTIF(RW_Register!$A$5:$A$304,A1273)+COUNTIF(Embedded_Wall_Register!$A$5:$A$304,A1273)+COUNTIF(Manhole_Register!$A$5:$A$304,A1273)+COUNTIF(ERSS_Pit_Register!$A$5:$A$304,A1273)+COUNTIF(Linkway_Register!$A$5:$A$304,A1273)+COUNTIF(Other_Register!$A$5:$A$304,A1273))&gt;0,"OK","ID not in any register"))</f>
        <v/>
      </c>
    </row>
    <row r="1274" customFormat="false" ht="15" hidden="false" customHeight="false" outlineLevel="0" collapsed="false">
      <c r="A1274" s="9"/>
      <c r="B1274" s="9"/>
      <c r="C1274" s="9"/>
      <c r="D1274" s="9"/>
      <c r="E1274" s="9"/>
      <c r="F1274" s="9"/>
      <c r="G1274" s="9"/>
      <c r="H1274" s="9"/>
      <c r="I1274" s="9"/>
      <c r="J1274" s="10" t="str">
        <f aca="false">IF(A1274="","",IF(G1274&lt;&gt;"",G1274,IF(N(F1274)&gt;0,ROUND(1000/F1274,3),0)))</f>
        <v/>
      </c>
      <c r="K1274" s="10" t="str">
        <f aca="false">IF(OR(A1274="",E1274="",H1274=""),"",ROUND(0.00617*E1274^2*H1274*J1274,2))</f>
        <v/>
      </c>
      <c r="L1274" s="9"/>
      <c r="M1274" s="10" t="str">
        <f aca="false">IF(A1274="","",IF((COUNTIF(Drain_Register!$A$5:$A$304,A1274)+COUNTIF(RW_Register!$A$5:$A$304,A1274)+COUNTIF(Embedded_Wall_Register!$A$5:$A$304,A1274)+COUNTIF(Manhole_Register!$A$5:$A$304,A1274)+COUNTIF(ERSS_Pit_Register!$A$5:$A$304,A1274)+COUNTIF(Linkway_Register!$A$5:$A$304,A1274)+COUNTIF(Other_Register!$A$5:$A$304,A1274))&gt;0,"OK","ID not in any register"))</f>
        <v/>
      </c>
    </row>
    <row r="1275" customFormat="false" ht="15" hidden="false" customHeight="false" outlineLevel="0" collapsed="false">
      <c r="A1275" s="9"/>
      <c r="B1275" s="9"/>
      <c r="C1275" s="9"/>
      <c r="D1275" s="9"/>
      <c r="E1275" s="9"/>
      <c r="F1275" s="9"/>
      <c r="G1275" s="9"/>
      <c r="H1275" s="9"/>
      <c r="I1275" s="9"/>
      <c r="J1275" s="10" t="str">
        <f aca="false">IF(A1275="","",IF(G1275&lt;&gt;"",G1275,IF(N(F1275)&gt;0,ROUND(1000/F1275,3),0)))</f>
        <v/>
      </c>
      <c r="K1275" s="10" t="str">
        <f aca="false">IF(OR(A1275="",E1275="",H1275=""),"",ROUND(0.00617*E1275^2*H1275*J1275,2))</f>
        <v/>
      </c>
      <c r="L1275" s="9"/>
      <c r="M1275" s="10" t="str">
        <f aca="false">IF(A1275="","",IF((COUNTIF(Drain_Register!$A$5:$A$304,A1275)+COUNTIF(RW_Register!$A$5:$A$304,A1275)+COUNTIF(Embedded_Wall_Register!$A$5:$A$304,A1275)+COUNTIF(Manhole_Register!$A$5:$A$304,A1275)+COUNTIF(ERSS_Pit_Register!$A$5:$A$304,A1275)+COUNTIF(Linkway_Register!$A$5:$A$304,A1275)+COUNTIF(Other_Register!$A$5:$A$304,A1275))&gt;0,"OK","ID not in any register"))</f>
        <v/>
      </c>
    </row>
    <row r="1276" customFormat="false" ht="15" hidden="false" customHeight="false" outlineLevel="0" collapsed="false">
      <c r="A1276" s="9"/>
      <c r="B1276" s="9"/>
      <c r="C1276" s="9"/>
      <c r="D1276" s="9"/>
      <c r="E1276" s="9"/>
      <c r="F1276" s="9"/>
      <c r="G1276" s="9"/>
      <c r="H1276" s="9"/>
      <c r="I1276" s="9"/>
      <c r="J1276" s="10" t="str">
        <f aca="false">IF(A1276="","",IF(G1276&lt;&gt;"",G1276,IF(N(F1276)&gt;0,ROUND(1000/F1276,3),0)))</f>
        <v/>
      </c>
      <c r="K1276" s="10" t="str">
        <f aca="false">IF(OR(A1276="",E1276="",H1276=""),"",ROUND(0.00617*E1276^2*H1276*J1276,2))</f>
        <v/>
      </c>
      <c r="L1276" s="9"/>
      <c r="M1276" s="10" t="str">
        <f aca="false">IF(A1276="","",IF((COUNTIF(Drain_Register!$A$5:$A$304,A1276)+COUNTIF(RW_Register!$A$5:$A$304,A1276)+COUNTIF(Embedded_Wall_Register!$A$5:$A$304,A1276)+COUNTIF(Manhole_Register!$A$5:$A$304,A1276)+COUNTIF(ERSS_Pit_Register!$A$5:$A$304,A1276)+COUNTIF(Linkway_Register!$A$5:$A$304,A1276)+COUNTIF(Other_Register!$A$5:$A$304,A1276))&gt;0,"OK","ID not in any register"))</f>
        <v/>
      </c>
    </row>
    <row r="1277" customFormat="false" ht="15" hidden="false" customHeight="false" outlineLevel="0" collapsed="false">
      <c r="A1277" s="9"/>
      <c r="B1277" s="9"/>
      <c r="C1277" s="9"/>
      <c r="D1277" s="9"/>
      <c r="E1277" s="9"/>
      <c r="F1277" s="9"/>
      <c r="G1277" s="9"/>
      <c r="H1277" s="9"/>
      <c r="I1277" s="9"/>
      <c r="J1277" s="10" t="str">
        <f aca="false">IF(A1277="","",IF(G1277&lt;&gt;"",G1277,IF(N(F1277)&gt;0,ROUND(1000/F1277,3),0)))</f>
        <v/>
      </c>
      <c r="K1277" s="10" t="str">
        <f aca="false">IF(OR(A1277="",E1277="",H1277=""),"",ROUND(0.00617*E1277^2*H1277*J1277,2))</f>
        <v/>
      </c>
      <c r="L1277" s="9"/>
      <c r="M1277" s="10" t="str">
        <f aca="false">IF(A1277="","",IF((COUNTIF(Drain_Register!$A$5:$A$304,A1277)+COUNTIF(RW_Register!$A$5:$A$304,A1277)+COUNTIF(Embedded_Wall_Register!$A$5:$A$304,A1277)+COUNTIF(Manhole_Register!$A$5:$A$304,A1277)+COUNTIF(ERSS_Pit_Register!$A$5:$A$304,A1277)+COUNTIF(Linkway_Register!$A$5:$A$304,A1277)+COUNTIF(Other_Register!$A$5:$A$304,A1277))&gt;0,"OK","ID not in any register"))</f>
        <v/>
      </c>
    </row>
    <row r="1278" customFormat="false" ht="15" hidden="false" customHeight="false" outlineLevel="0" collapsed="false">
      <c r="A1278" s="9"/>
      <c r="B1278" s="9"/>
      <c r="C1278" s="9"/>
      <c r="D1278" s="9"/>
      <c r="E1278" s="9"/>
      <c r="F1278" s="9"/>
      <c r="G1278" s="9"/>
      <c r="H1278" s="9"/>
      <c r="I1278" s="9"/>
      <c r="J1278" s="10" t="str">
        <f aca="false">IF(A1278="","",IF(G1278&lt;&gt;"",G1278,IF(N(F1278)&gt;0,ROUND(1000/F1278,3),0)))</f>
        <v/>
      </c>
      <c r="K1278" s="10" t="str">
        <f aca="false">IF(OR(A1278="",E1278="",H1278=""),"",ROUND(0.00617*E1278^2*H1278*J1278,2))</f>
        <v/>
      </c>
      <c r="L1278" s="9"/>
      <c r="M1278" s="10" t="str">
        <f aca="false">IF(A1278="","",IF((COUNTIF(Drain_Register!$A$5:$A$304,A1278)+COUNTIF(RW_Register!$A$5:$A$304,A1278)+COUNTIF(Embedded_Wall_Register!$A$5:$A$304,A1278)+COUNTIF(Manhole_Register!$A$5:$A$304,A1278)+COUNTIF(ERSS_Pit_Register!$A$5:$A$304,A1278)+COUNTIF(Linkway_Register!$A$5:$A$304,A1278)+COUNTIF(Other_Register!$A$5:$A$304,A1278))&gt;0,"OK","ID not in any register"))</f>
        <v/>
      </c>
    </row>
    <row r="1279" customFormat="false" ht="15" hidden="false" customHeight="false" outlineLevel="0" collapsed="false">
      <c r="A1279" s="9"/>
      <c r="B1279" s="9"/>
      <c r="C1279" s="9"/>
      <c r="D1279" s="9"/>
      <c r="E1279" s="9"/>
      <c r="F1279" s="9"/>
      <c r="G1279" s="9"/>
      <c r="H1279" s="9"/>
      <c r="I1279" s="9"/>
      <c r="J1279" s="10" t="str">
        <f aca="false">IF(A1279="","",IF(G1279&lt;&gt;"",G1279,IF(N(F1279)&gt;0,ROUND(1000/F1279,3),0)))</f>
        <v/>
      </c>
      <c r="K1279" s="10" t="str">
        <f aca="false">IF(OR(A1279="",E1279="",H1279=""),"",ROUND(0.00617*E1279^2*H1279*J1279,2))</f>
        <v/>
      </c>
      <c r="L1279" s="9"/>
      <c r="M1279" s="10" t="str">
        <f aca="false">IF(A1279="","",IF((COUNTIF(Drain_Register!$A$5:$A$304,A1279)+COUNTIF(RW_Register!$A$5:$A$304,A1279)+COUNTIF(Embedded_Wall_Register!$A$5:$A$304,A1279)+COUNTIF(Manhole_Register!$A$5:$A$304,A1279)+COUNTIF(ERSS_Pit_Register!$A$5:$A$304,A1279)+COUNTIF(Linkway_Register!$A$5:$A$304,A1279)+COUNTIF(Other_Register!$A$5:$A$304,A1279))&gt;0,"OK","ID not in any register"))</f>
        <v/>
      </c>
    </row>
    <row r="1280" customFormat="false" ht="15" hidden="false" customHeight="false" outlineLevel="0" collapsed="false">
      <c r="A1280" s="9"/>
      <c r="B1280" s="9"/>
      <c r="C1280" s="9"/>
      <c r="D1280" s="9"/>
      <c r="E1280" s="9"/>
      <c r="F1280" s="9"/>
      <c r="G1280" s="9"/>
      <c r="H1280" s="9"/>
      <c r="I1280" s="9"/>
      <c r="J1280" s="10" t="str">
        <f aca="false">IF(A1280="","",IF(G1280&lt;&gt;"",G1280,IF(N(F1280)&gt;0,ROUND(1000/F1280,3),0)))</f>
        <v/>
      </c>
      <c r="K1280" s="10" t="str">
        <f aca="false">IF(OR(A1280="",E1280="",H1280=""),"",ROUND(0.00617*E1280^2*H1280*J1280,2))</f>
        <v/>
      </c>
      <c r="L1280" s="9"/>
      <c r="M1280" s="10" t="str">
        <f aca="false">IF(A1280="","",IF((COUNTIF(Drain_Register!$A$5:$A$304,A1280)+COUNTIF(RW_Register!$A$5:$A$304,A1280)+COUNTIF(Embedded_Wall_Register!$A$5:$A$304,A1280)+COUNTIF(Manhole_Register!$A$5:$A$304,A1280)+COUNTIF(ERSS_Pit_Register!$A$5:$A$304,A1280)+COUNTIF(Linkway_Register!$A$5:$A$304,A1280)+COUNTIF(Other_Register!$A$5:$A$304,A1280))&gt;0,"OK","ID not in any register"))</f>
        <v/>
      </c>
    </row>
    <row r="1281" customFormat="false" ht="15" hidden="false" customHeight="false" outlineLevel="0" collapsed="false">
      <c r="A1281" s="9"/>
      <c r="B1281" s="9"/>
      <c r="C1281" s="9"/>
      <c r="D1281" s="9"/>
      <c r="E1281" s="9"/>
      <c r="F1281" s="9"/>
      <c r="G1281" s="9"/>
      <c r="H1281" s="9"/>
      <c r="I1281" s="9"/>
      <c r="J1281" s="10" t="str">
        <f aca="false">IF(A1281="","",IF(G1281&lt;&gt;"",G1281,IF(N(F1281)&gt;0,ROUND(1000/F1281,3),0)))</f>
        <v/>
      </c>
      <c r="K1281" s="10" t="str">
        <f aca="false">IF(OR(A1281="",E1281="",H1281=""),"",ROUND(0.00617*E1281^2*H1281*J1281,2))</f>
        <v/>
      </c>
      <c r="L1281" s="9"/>
      <c r="M1281" s="10" t="str">
        <f aca="false">IF(A1281="","",IF((COUNTIF(Drain_Register!$A$5:$A$304,A1281)+COUNTIF(RW_Register!$A$5:$A$304,A1281)+COUNTIF(Embedded_Wall_Register!$A$5:$A$304,A1281)+COUNTIF(Manhole_Register!$A$5:$A$304,A1281)+COUNTIF(ERSS_Pit_Register!$A$5:$A$304,A1281)+COUNTIF(Linkway_Register!$A$5:$A$304,A1281)+COUNTIF(Other_Register!$A$5:$A$304,A1281))&gt;0,"OK","ID not in any register"))</f>
        <v/>
      </c>
    </row>
    <row r="1282" customFormat="false" ht="15" hidden="false" customHeight="false" outlineLevel="0" collapsed="false">
      <c r="A1282" s="9"/>
      <c r="B1282" s="9"/>
      <c r="C1282" s="9"/>
      <c r="D1282" s="9"/>
      <c r="E1282" s="9"/>
      <c r="F1282" s="9"/>
      <c r="G1282" s="9"/>
      <c r="H1282" s="9"/>
      <c r="I1282" s="9"/>
      <c r="J1282" s="10" t="str">
        <f aca="false">IF(A1282="","",IF(G1282&lt;&gt;"",G1282,IF(N(F1282)&gt;0,ROUND(1000/F1282,3),0)))</f>
        <v/>
      </c>
      <c r="K1282" s="10" t="str">
        <f aca="false">IF(OR(A1282="",E1282="",H1282=""),"",ROUND(0.00617*E1282^2*H1282*J1282,2))</f>
        <v/>
      </c>
      <c r="L1282" s="9"/>
      <c r="M1282" s="10" t="str">
        <f aca="false">IF(A1282="","",IF((COUNTIF(Drain_Register!$A$5:$A$304,A1282)+COUNTIF(RW_Register!$A$5:$A$304,A1282)+COUNTIF(Embedded_Wall_Register!$A$5:$A$304,A1282)+COUNTIF(Manhole_Register!$A$5:$A$304,A1282)+COUNTIF(ERSS_Pit_Register!$A$5:$A$304,A1282)+COUNTIF(Linkway_Register!$A$5:$A$304,A1282)+COUNTIF(Other_Register!$A$5:$A$304,A1282))&gt;0,"OK","ID not in any register"))</f>
        <v/>
      </c>
    </row>
    <row r="1283" customFormat="false" ht="15" hidden="false" customHeight="false" outlineLevel="0" collapsed="false">
      <c r="A1283" s="9"/>
      <c r="B1283" s="9"/>
      <c r="C1283" s="9"/>
      <c r="D1283" s="9"/>
      <c r="E1283" s="9"/>
      <c r="F1283" s="9"/>
      <c r="G1283" s="9"/>
      <c r="H1283" s="9"/>
      <c r="I1283" s="9"/>
      <c r="J1283" s="10" t="str">
        <f aca="false">IF(A1283="","",IF(G1283&lt;&gt;"",G1283,IF(N(F1283)&gt;0,ROUND(1000/F1283,3),0)))</f>
        <v/>
      </c>
      <c r="K1283" s="10" t="str">
        <f aca="false">IF(OR(A1283="",E1283="",H1283=""),"",ROUND(0.00617*E1283^2*H1283*J1283,2))</f>
        <v/>
      </c>
      <c r="L1283" s="9"/>
      <c r="M1283" s="10" t="str">
        <f aca="false">IF(A1283="","",IF((COUNTIF(Drain_Register!$A$5:$A$304,A1283)+COUNTIF(RW_Register!$A$5:$A$304,A1283)+COUNTIF(Embedded_Wall_Register!$A$5:$A$304,A1283)+COUNTIF(Manhole_Register!$A$5:$A$304,A1283)+COUNTIF(ERSS_Pit_Register!$A$5:$A$304,A1283)+COUNTIF(Linkway_Register!$A$5:$A$304,A1283)+COUNTIF(Other_Register!$A$5:$A$304,A1283))&gt;0,"OK","ID not in any register"))</f>
        <v/>
      </c>
    </row>
    <row r="1284" customFormat="false" ht="15" hidden="false" customHeight="false" outlineLevel="0" collapsed="false">
      <c r="A1284" s="9"/>
      <c r="B1284" s="9"/>
      <c r="C1284" s="9"/>
      <c r="D1284" s="9"/>
      <c r="E1284" s="9"/>
      <c r="F1284" s="9"/>
      <c r="G1284" s="9"/>
      <c r="H1284" s="9"/>
      <c r="I1284" s="9"/>
      <c r="J1284" s="10" t="str">
        <f aca="false">IF(A1284="","",IF(G1284&lt;&gt;"",G1284,IF(N(F1284)&gt;0,ROUND(1000/F1284,3),0)))</f>
        <v/>
      </c>
      <c r="K1284" s="10" t="str">
        <f aca="false">IF(OR(A1284="",E1284="",H1284=""),"",ROUND(0.00617*E1284^2*H1284*J1284,2))</f>
        <v/>
      </c>
      <c r="L1284" s="9"/>
      <c r="M1284" s="10" t="str">
        <f aca="false">IF(A1284="","",IF((COUNTIF(Drain_Register!$A$5:$A$304,A1284)+COUNTIF(RW_Register!$A$5:$A$304,A1284)+COUNTIF(Embedded_Wall_Register!$A$5:$A$304,A1284)+COUNTIF(Manhole_Register!$A$5:$A$304,A1284)+COUNTIF(ERSS_Pit_Register!$A$5:$A$304,A1284)+COUNTIF(Linkway_Register!$A$5:$A$304,A1284)+COUNTIF(Other_Register!$A$5:$A$304,A1284))&gt;0,"OK","ID not in any register"))</f>
        <v/>
      </c>
    </row>
    <row r="1285" customFormat="false" ht="15" hidden="false" customHeight="false" outlineLevel="0" collapsed="false">
      <c r="A1285" s="9"/>
      <c r="B1285" s="9"/>
      <c r="C1285" s="9"/>
      <c r="D1285" s="9"/>
      <c r="E1285" s="9"/>
      <c r="F1285" s="9"/>
      <c r="G1285" s="9"/>
      <c r="H1285" s="9"/>
      <c r="I1285" s="9"/>
      <c r="J1285" s="10" t="str">
        <f aca="false">IF(A1285="","",IF(G1285&lt;&gt;"",G1285,IF(N(F1285)&gt;0,ROUND(1000/F1285,3),0)))</f>
        <v/>
      </c>
      <c r="K1285" s="10" t="str">
        <f aca="false">IF(OR(A1285="",E1285="",H1285=""),"",ROUND(0.00617*E1285^2*H1285*J1285,2))</f>
        <v/>
      </c>
      <c r="L1285" s="9"/>
      <c r="M1285" s="10" t="str">
        <f aca="false">IF(A1285="","",IF((COUNTIF(Drain_Register!$A$5:$A$304,A1285)+COUNTIF(RW_Register!$A$5:$A$304,A1285)+COUNTIF(Embedded_Wall_Register!$A$5:$A$304,A1285)+COUNTIF(Manhole_Register!$A$5:$A$304,A1285)+COUNTIF(ERSS_Pit_Register!$A$5:$A$304,A1285)+COUNTIF(Linkway_Register!$A$5:$A$304,A1285)+COUNTIF(Other_Register!$A$5:$A$304,A1285))&gt;0,"OK","ID not in any register"))</f>
        <v/>
      </c>
    </row>
    <row r="1286" customFormat="false" ht="15" hidden="false" customHeight="false" outlineLevel="0" collapsed="false">
      <c r="A1286" s="9"/>
      <c r="B1286" s="9"/>
      <c r="C1286" s="9"/>
      <c r="D1286" s="9"/>
      <c r="E1286" s="9"/>
      <c r="F1286" s="9"/>
      <c r="G1286" s="9"/>
      <c r="H1286" s="9"/>
      <c r="I1286" s="9"/>
      <c r="J1286" s="10" t="str">
        <f aca="false">IF(A1286="","",IF(G1286&lt;&gt;"",G1286,IF(N(F1286)&gt;0,ROUND(1000/F1286,3),0)))</f>
        <v/>
      </c>
      <c r="K1286" s="10" t="str">
        <f aca="false">IF(OR(A1286="",E1286="",H1286=""),"",ROUND(0.00617*E1286^2*H1286*J1286,2))</f>
        <v/>
      </c>
      <c r="L1286" s="9"/>
      <c r="M1286" s="10" t="str">
        <f aca="false">IF(A1286="","",IF((COUNTIF(Drain_Register!$A$5:$A$304,A1286)+COUNTIF(RW_Register!$A$5:$A$304,A1286)+COUNTIF(Embedded_Wall_Register!$A$5:$A$304,A1286)+COUNTIF(Manhole_Register!$A$5:$A$304,A1286)+COUNTIF(ERSS_Pit_Register!$A$5:$A$304,A1286)+COUNTIF(Linkway_Register!$A$5:$A$304,A1286)+COUNTIF(Other_Register!$A$5:$A$304,A1286))&gt;0,"OK","ID not in any register"))</f>
        <v/>
      </c>
    </row>
    <row r="1287" customFormat="false" ht="15" hidden="false" customHeight="false" outlineLevel="0" collapsed="false">
      <c r="A1287" s="9"/>
      <c r="B1287" s="9"/>
      <c r="C1287" s="9"/>
      <c r="D1287" s="9"/>
      <c r="E1287" s="9"/>
      <c r="F1287" s="9"/>
      <c r="G1287" s="9"/>
      <c r="H1287" s="9"/>
      <c r="I1287" s="9"/>
      <c r="J1287" s="10" t="str">
        <f aca="false">IF(A1287="","",IF(G1287&lt;&gt;"",G1287,IF(N(F1287)&gt;0,ROUND(1000/F1287,3),0)))</f>
        <v/>
      </c>
      <c r="K1287" s="10" t="str">
        <f aca="false">IF(OR(A1287="",E1287="",H1287=""),"",ROUND(0.00617*E1287^2*H1287*J1287,2))</f>
        <v/>
      </c>
      <c r="L1287" s="9"/>
      <c r="M1287" s="10" t="str">
        <f aca="false">IF(A1287="","",IF((COUNTIF(Drain_Register!$A$5:$A$304,A1287)+COUNTIF(RW_Register!$A$5:$A$304,A1287)+COUNTIF(Embedded_Wall_Register!$A$5:$A$304,A1287)+COUNTIF(Manhole_Register!$A$5:$A$304,A1287)+COUNTIF(ERSS_Pit_Register!$A$5:$A$304,A1287)+COUNTIF(Linkway_Register!$A$5:$A$304,A1287)+COUNTIF(Other_Register!$A$5:$A$304,A1287))&gt;0,"OK","ID not in any register"))</f>
        <v/>
      </c>
    </row>
    <row r="1288" customFormat="false" ht="15" hidden="false" customHeight="false" outlineLevel="0" collapsed="false">
      <c r="A1288" s="9"/>
      <c r="B1288" s="9"/>
      <c r="C1288" s="9"/>
      <c r="D1288" s="9"/>
      <c r="E1288" s="9"/>
      <c r="F1288" s="9"/>
      <c r="G1288" s="9"/>
      <c r="H1288" s="9"/>
      <c r="I1288" s="9"/>
      <c r="J1288" s="10" t="str">
        <f aca="false">IF(A1288="","",IF(G1288&lt;&gt;"",G1288,IF(N(F1288)&gt;0,ROUND(1000/F1288,3),0)))</f>
        <v/>
      </c>
      <c r="K1288" s="10" t="str">
        <f aca="false">IF(OR(A1288="",E1288="",H1288=""),"",ROUND(0.00617*E1288^2*H1288*J1288,2))</f>
        <v/>
      </c>
      <c r="L1288" s="9"/>
      <c r="M1288" s="10" t="str">
        <f aca="false">IF(A1288="","",IF((COUNTIF(Drain_Register!$A$5:$A$304,A1288)+COUNTIF(RW_Register!$A$5:$A$304,A1288)+COUNTIF(Embedded_Wall_Register!$A$5:$A$304,A1288)+COUNTIF(Manhole_Register!$A$5:$A$304,A1288)+COUNTIF(ERSS_Pit_Register!$A$5:$A$304,A1288)+COUNTIF(Linkway_Register!$A$5:$A$304,A1288)+COUNTIF(Other_Register!$A$5:$A$304,A1288))&gt;0,"OK","ID not in any register"))</f>
        <v/>
      </c>
    </row>
    <row r="1289" customFormat="false" ht="15" hidden="false" customHeight="false" outlineLevel="0" collapsed="false">
      <c r="A1289" s="9"/>
      <c r="B1289" s="9"/>
      <c r="C1289" s="9"/>
      <c r="D1289" s="9"/>
      <c r="E1289" s="9"/>
      <c r="F1289" s="9"/>
      <c r="G1289" s="9"/>
      <c r="H1289" s="9"/>
      <c r="I1289" s="9"/>
      <c r="J1289" s="10" t="str">
        <f aca="false">IF(A1289="","",IF(G1289&lt;&gt;"",G1289,IF(N(F1289)&gt;0,ROUND(1000/F1289,3),0)))</f>
        <v/>
      </c>
      <c r="K1289" s="10" t="str">
        <f aca="false">IF(OR(A1289="",E1289="",H1289=""),"",ROUND(0.00617*E1289^2*H1289*J1289,2))</f>
        <v/>
      </c>
      <c r="L1289" s="9"/>
      <c r="M1289" s="10" t="str">
        <f aca="false">IF(A1289="","",IF((COUNTIF(Drain_Register!$A$5:$A$304,A1289)+COUNTIF(RW_Register!$A$5:$A$304,A1289)+COUNTIF(Embedded_Wall_Register!$A$5:$A$304,A1289)+COUNTIF(Manhole_Register!$A$5:$A$304,A1289)+COUNTIF(ERSS_Pit_Register!$A$5:$A$304,A1289)+COUNTIF(Linkway_Register!$A$5:$A$304,A1289)+COUNTIF(Other_Register!$A$5:$A$304,A1289))&gt;0,"OK","ID not in any register"))</f>
        <v/>
      </c>
    </row>
    <row r="1290" customFormat="false" ht="15" hidden="false" customHeight="false" outlineLevel="0" collapsed="false">
      <c r="A1290" s="9"/>
      <c r="B1290" s="9"/>
      <c r="C1290" s="9"/>
      <c r="D1290" s="9"/>
      <c r="E1290" s="9"/>
      <c r="F1290" s="9"/>
      <c r="G1290" s="9"/>
      <c r="H1290" s="9"/>
      <c r="I1290" s="9"/>
      <c r="J1290" s="10" t="str">
        <f aca="false">IF(A1290="","",IF(G1290&lt;&gt;"",G1290,IF(N(F1290)&gt;0,ROUND(1000/F1290,3),0)))</f>
        <v/>
      </c>
      <c r="K1290" s="10" t="str">
        <f aca="false">IF(OR(A1290="",E1290="",H1290=""),"",ROUND(0.00617*E1290^2*H1290*J1290,2))</f>
        <v/>
      </c>
      <c r="L1290" s="9"/>
      <c r="M1290" s="10" t="str">
        <f aca="false">IF(A1290="","",IF((COUNTIF(Drain_Register!$A$5:$A$304,A1290)+COUNTIF(RW_Register!$A$5:$A$304,A1290)+COUNTIF(Embedded_Wall_Register!$A$5:$A$304,A1290)+COUNTIF(Manhole_Register!$A$5:$A$304,A1290)+COUNTIF(ERSS_Pit_Register!$A$5:$A$304,A1290)+COUNTIF(Linkway_Register!$A$5:$A$304,A1290)+COUNTIF(Other_Register!$A$5:$A$304,A1290))&gt;0,"OK","ID not in any register"))</f>
        <v/>
      </c>
    </row>
    <row r="1291" customFormat="false" ht="15" hidden="false" customHeight="false" outlineLevel="0" collapsed="false">
      <c r="A1291" s="9"/>
      <c r="B1291" s="9"/>
      <c r="C1291" s="9"/>
      <c r="D1291" s="9"/>
      <c r="E1291" s="9"/>
      <c r="F1291" s="9"/>
      <c r="G1291" s="9"/>
      <c r="H1291" s="9"/>
      <c r="I1291" s="9"/>
      <c r="J1291" s="10" t="str">
        <f aca="false">IF(A1291="","",IF(G1291&lt;&gt;"",G1291,IF(N(F1291)&gt;0,ROUND(1000/F1291,3),0)))</f>
        <v/>
      </c>
      <c r="K1291" s="10" t="str">
        <f aca="false">IF(OR(A1291="",E1291="",H1291=""),"",ROUND(0.00617*E1291^2*H1291*J1291,2))</f>
        <v/>
      </c>
      <c r="L1291" s="9"/>
      <c r="M1291" s="10" t="str">
        <f aca="false">IF(A1291="","",IF((COUNTIF(Drain_Register!$A$5:$A$304,A1291)+COUNTIF(RW_Register!$A$5:$A$304,A1291)+COUNTIF(Embedded_Wall_Register!$A$5:$A$304,A1291)+COUNTIF(Manhole_Register!$A$5:$A$304,A1291)+COUNTIF(ERSS_Pit_Register!$A$5:$A$304,A1291)+COUNTIF(Linkway_Register!$A$5:$A$304,A1291)+COUNTIF(Other_Register!$A$5:$A$304,A1291))&gt;0,"OK","ID not in any register"))</f>
        <v/>
      </c>
    </row>
    <row r="1292" customFormat="false" ht="15" hidden="false" customHeight="false" outlineLevel="0" collapsed="false">
      <c r="A1292" s="9"/>
      <c r="B1292" s="9"/>
      <c r="C1292" s="9"/>
      <c r="D1292" s="9"/>
      <c r="E1292" s="9"/>
      <c r="F1292" s="9"/>
      <c r="G1292" s="9"/>
      <c r="H1292" s="9"/>
      <c r="I1292" s="9"/>
      <c r="J1292" s="10" t="str">
        <f aca="false">IF(A1292="","",IF(G1292&lt;&gt;"",G1292,IF(N(F1292)&gt;0,ROUND(1000/F1292,3),0)))</f>
        <v/>
      </c>
      <c r="K1292" s="10" t="str">
        <f aca="false">IF(OR(A1292="",E1292="",H1292=""),"",ROUND(0.00617*E1292^2*H1292*J1292,2))</f>
        <v/>
      </c>
      <c r="L1292" s="9"/>
      <c r="M1292" s="10" t="str">
        <f aca="false">IF(A1292="","",IF((COUNTIF(Drain_Register!$A$5:$A$304,A1292)+COUNTIF(RW_Register!$A$5:$A$304,A1292)+COUNTIF(Embedded_Wall_Register!$A$5:$A$304,A1292)+COUNTIF(Manhole_Register!$A$5:$A$304,A1292)+COUNTIF(ERSS_Pit_Register!$A$5:$A$304,A1292)+COUNTIF(Linkway_Register!$A$5:$A$304,A1292)+COUNTIF(Other_Register!$A$5:$A$304,A1292))&gt;0,"OK","ID not in any register"))</f>
        <v/>
      </c>
    </row>
    <row r="1293" customFormat="false" ht="15" hidden="false" customHeight="false" outlineLevel="0" collapsed="false">
      <c r="A1293" s="9"/>
      <c r="B1293" s="9"/>
      <c r="C1293" s="9"/>
      <c r="D1293" s="9"/>
      <c r="E1293" s="9"/>
      <c r="F1293" s="9"/>
      <c r="G1293" s="9"/>
      <c r="H1293" s="9"/>
      <c r="I1293" s="9"/>
      <c r="J1293" s="10" t="str">
        <f aca="false">IF(A1293="","",IF(G1293&lt;&gt;"",G1293,IF(N(F1293)&gt;0,ROUND(1000/F1293,3),0)))</f>
        <v/>
      </c>
      <c r="K1293" s="10" t="str">
        <f aca="false">IF(OR(A1293="",E1293="",H1293=""),"",ROUND(0.00617*E1293^2*H1293*J1293,2))</f>
        <v/>
      </c>
      <c r="L1293" s="9"/>
      <c r="M1293" s="10" t="str">
        <f aca="false">IF(A1293="","",IF((COUNTIF(Drain_Register!$A$5:$A$304,A1293)+COUNTIF(RW_Register!$A$5:$A$304,A1293)+COUNTIF(Embedded_Wall_Register!$A$5:$A$304,A1293)+COUNTIF(Manhole_Register!$A$5:$A$304,A1293)+COUNTIF(ERSS_Pit_Register!$A$5:$A$304,A1293)+COUNTIF(Linkway_Register!$A$5:$A$304,A1293)+COUNTIF(Other_Register!$A$5:$A$304,A1293))&gt;0,"OK","ID not in any register"))</f>
        <v/>
      </c>
    </row>
    <row r="1294" customFormat="false" ht="15" hidden="false" customHeight="false" outlineLevel="0" collapsed="false">
      <c r="A1294" s="9"/>
      <c r="B1294" s="9"/>
      <c r="C1294" s="9"/>
      <c r="D1294" s="9"/>
      <c r="E1294" s="9"/>
      <c r="F1294" s="9"/>
      <c r="G1294" s="9"/>
      <c r="H1294" s="9"/>
      <c r="I1294" s="9"/>
      <c r="J1294" s="10" t="str">
        <f aca="false">IF(A1294="","",IF(G1294&lt;&gt;"",G1294,IF(N(F1294)&gt;0,ROUND(1000/F1294,3),0)))</f>
        <v/>
      </c>
      <c r="K1294" s="10" t="str">
        <f aca="false">IF(OR(A1294="",E1294="",H1294=""),"",ROUND(0.00617*E1294^2*H1294*J1294,2))</f>
        <v/>
      </c>
      <c r="L1294" s="9"/>
      <c r="M1294" s="10" t="str">
        <f aca="false">IF(A1294="","",IF((COUNTIF(Drain_Register!$A$5:$A$304,A1294)+COUNTIF(RW_Register!$A$5:$A$304,A1294)+COUNTIF(Embedded_Wall_Register!$A$5:$A$304,A1294)+COUNTIF(Manhole_Register!$A$5:$A$304,A1294)+COUNTIF(ERSS_Pit_Register!$A$5:$A$304,A1294)+COUNTIF(Linkway_Register!$A$5:$A$304,A1294)+COUNTIF(Other_Register!$A$5:$A$304,A1294))&gt;0,"OK","ID not in any register"))</f>
        <v/>
      </c>
    </row>
    <row r="1295" customFormat="false" ht="15" hidden="false" customHeight="false" outlineLevel="0" collapsed="false">
      <c r="A1295" s="9"/>
      <c r="B1295" s="9"/>
      <c r="C1295" s="9"/>
      <c r="D1295" s="9"/>
      <c r="E1295" s="9"/>
      <c r="F1295" s="9"/>
      <c r="G1295" s="9"/>
      <c r="H1295" s="9"/>
      <c r="I1295" s="9"/>
      <c r="J1295" s="10" t="str">
        <f aca="false">IF(A1295="","",IF(G1295&lt;&gt;"",G1295,IF(N(F1295)&gt;0,ROUND(1000/F1295,3),0)))</f>
        <v/>
      </c>
      <c r="K1295" s="10" t="str">
        <f aca="false">IF(OR(A1295="",E1295="",H1295=""),"",ROUND(0.00617*E1295^2*H1295*J1295,2))</f>
        <v/>
      </c>
      <c r="L1295" s="9"/>
      <c r="M1295" s="10" t="str">
        <f aca="false">IF(A1295="","",IF((COUNTIF(Drain_Register!$A$5:$A$304,A1295)+COUNTIF(RW_Register!$A$5:$A$304,A1295)+COUNTIF(Embedded_Wall_Register!$A$5:$A$304,A1295)+COUNTIF(Manhole_Register!$A$5:$A$304,A1295)+COUNTIF(ERSS_Pit_Register!$A$5:$A$304,A1295)+COUNTIF(Linkway_Register!$A$5:$A$304,A1295)+COUNTIF(Other_Register!$A$5:$A$304,A1295))&gt;0,"OK","ID not in any register"))</f>
        <v/>
      </c>
    </row>
    <row r="1296" customFormat="false" ht="15" hidden="false" customHeight="false" outlineLevel="0" collapsed="false">
      <c r="A1296" s="9"/>
      <c r="B1296" s="9"/>
      <c r="C1296" s="9"/>
      <c r="D1296" s="9"/>
      <c r="E1296" s="9"/>
      <c r="F1296" s="9"/>
      <c r="G1296" s="9"/>
      <c r="H1296" s="9"/>
      <c r="I1296" s="9"/>
      <c r="J1296" s="10" t="str">
        <f aca="false">IF(A1296="","",IF(G1296&lt;&gt;"",G1296,IF(N(F1296)&gt;0,ROUND(1000/F1296,3),0)))</f>
        <v/>
      </c>
      <c r="K1296" s="10" t="str">
        <f aca="false">IF(OR(A1296="",E1296="",H1296=""),"",ROUND(0.00617*E1296^2*H1296*J1296,2))</f>
        <v/>
      </c>
      <c r="L1296" s="9"/>
      <c r="M1296" s="10" t="str">
        <f aca="false">IF(A1296="","",IF((COUNTIF(Drain_Register!$A$5:$A$304,A1296)+COUNTIF(RW_Register!$A$5:$A$304,A1296)+COUNTIF(Embedded_Wall_Register!$A$5:$A$304,A1296)+COUNTIF(Manhole_Register!$A$5:$A$304,A1296)+COUNTIF(ERSS_Pit_Register!$A$5:$A$304,A1296)+COUNTIF(Linkway_Register!$A$5:$A$304,A1296)+COUNTIF(Other_Register!$A$5:$A$304,A1296))&gt;0,"OK","ID not in any register"))</f>
        <v/>
      </c>
    </row>
    <row r="1297" customFormat="false" ht="15" hidden="false" customHeight="false" outlineLevel="0" collapsed="false">
      <c r="A1297" s="9"/>
      <c r="B1297" s="9"/>
      <c r="C1297" s="9"/>
      <c r="D1297" s="9"/>
      <c r="E1297" s="9"/>
      <c r="F1297" s="9"/>
      <c r="G1297" s="9"/>
      <c r="H1297" s="9"/>
      <c r="I1297" s="9"/>
      <c r="J1297" s="10" t="str">
        <f aca="false">IF(A1297="","",IF(G1297&lt;&gt;"",G1297,IF(N(F1297)&gt;0,ROUND(1000/F1297,3),0)))</f>
        <v/>
      </c>
      <c r="K1297" s="10" t="str">
        <f aca="false">IF(OR(A1297="",E1297="",H1297=""),"",ROUND(0.00617*E1297^2*H1297*J1297,2))</f>
        <v/>
      </c>
      <c r="L1297" s="9"/>
      <c r="M1297" s="10" t="str">
        <f aca="false">IF(A1297="","",IF((COUNTIF(Drain_Register!$A$5:$A$304,A1297)+COUNTIF(RW_Register!$A$5:$A$304,A1297)+COUNTIF(Embedded_Wall_Register!$A$5:$A$304,A1297)+COUNTIF(Manhole_Register!$A$5:$A$304,A1297)+COUNTIF(ERSS_Pit_Register!$A$5:$A$304,A1297)+COUNTIF(Linkway_Register!$A$5:$A$304,A1297)+COUNTIF(Other_Register!$A$5:$A$304,A1297))&gt;0,"OK","ID not in any register"))</f>
        <v/>
      </c>
    </row>
    <row r="1298" customFormat="false" ht="15" hidden="false" customHeight="false" outlineLevel="0" collapsed="false">
      <c r="A1298" s="9"/>
      <c r="B1298" s="9"/>
      <c r="C1298" s="9"/>
      <c r="D1298" s="9"/>
      <c r="E1298" s="9"/>
      <c r="F1298" s="9"/>
      <c r="G1298" s="9"/>
      <c r="H1298" s="9"/>
      <c r="I1298" s="9"/>
      <c r="J1298" s="10" t="str">
        <f aca="false">IF(A1298="","",IF(G1298&lt;&gt;"",G1298,IF(N(F1298)&gt;0,ROUND(1000/F1298,3),0)))</f>
        <v/>
      </c>
      <c r="K1298" s="10" t="str">
        <f aca="false">IF(OR(A1298="",E1298="",H1298=""),"",ROUND(0.00617*E1298^2*H1298*J1298,2))</f>
        <v/>
      </c>
      <c r="L1298" s="9"/>
      <c r="M1298" s="10" t="str">
        <f aca="false">IF(A1298="","",IF((COUNTIF(Drain_Register!$A$5:$A$304,A1298)+COUNTIF(RW_Register!$A$5:$A$304,A1298)+COUNTIF(Embedded_Wall_Register!$A$5:$A$304,A1298)+COUNTIF(Manhole_Register!$A$5:$A$304,A1298)+COUNTIF(ERSS_Pit_Register!$A$5:$A$304,A1298)+COUNTIF(Linkway_Register!$A$5:$A$304,A1298)+COUNTIF(Other_Register!$A$5:$A$304,A1298))&gt;0,"OK","ID not in any register"))</f>
        <v/>
      </c>
    </row>
    <row r="1299" customFormat="false" ht="15" hidden="false" customHeight="false" outlineLevel="0" collapsed="false">
      <c r="A1299" s="9"/>
      <c r="B1299" s="9"/>
      <c r="C1299" s="9"/>
      <c r="D1299" s="9"/>
      <c r="E1299" s="9"/>
      <c r="F1299" s="9"/>
      <c r="G1299" s="9"/>
      <c r="H1299" s="9"/>
      <c r="I1299" s="9"/>
      <c r="J1299" s="10" t="str">
        <f aca="false">IF(A1299="","",IF(G1299&lt;&gt;"",G1299,IF(N(F1299)&gt;0,ROUND(1000/F1299,3),0)))</f>
        <v/>
      </c>
      <c r="K1299" s="10" t="str">
        <f aca="false">IF(OR(A1299="",E1299="",H1299=""),"",ROUND(0.00617*E1299^2*H1299*J1299,2))</f>
        <v/>
      </c>
      <c r="L1299" s="9"/>
      <c r="M1299" s="10" t="str">
        <f aca="false">IF(A1299="","",IF((COUNTIF(Drain_Register!$A$5:$A$304,A1299)+COUNTIF(RW_Register!$A$5:$A$304,A1299)+COUNTIF(Embedded_Wall_Register!$A$5:$A$304,A1299)+COUNTIF(Manhole_Register!$A$5:$A$304,A1299)+COUNTIF(ERSS_Pit_Register!$A$5:$A$304,A1299)+COUNTIF(Linkway_Register!$A$5:$A$304,A1299)+COUNTIF(Other_Register!$A$5:$A$304,A1299))&gt;0,"OK","ID not in any register"))</f>
        <v/>
      </c>
    </row>
    <row r="1300" customFormat="false" ht="15" hidden="false" customHeight="false" outlineLevel="0" collapsed="false">
      <c r="A1300" s="9"/>
      <c r="B1300" s="9"/>
      <c r="C1300" s="9"/>
      <c r="D1300" s="9"/>
      <c r="E1300" s="9"/>
      <c r="F1300" s="9"/>
      <c r="G1300" s="9"/>
      <c r="H1300" s="9"/>
      <c r="I1300" s="9"/>
      <c r="J1300" s="10" t="str">
        <f aca="false">IF(A1300="","",IF(G1300&lt;&gt;"",G1300,IF(N(F1300)&gt;0,ROUND(1000/F1300,3),0)))</f>
        <v/>
      </c>
      <c r="K1300" s="10" t="str">
        <f aca="false">IF(OR(A1300="",E1300="",H1300=""),"",ROUND(0.00617*E1300^2*H1300*J1300,2))</f>
        <v/>
      </c>
      <c r="L1300" s="9"/>
      <c r="M1300" s="10" t="str">
        <f aca="false">IF(A1300="","",IF((COUNTIF(Drain_Register!$A$5:$A$304,A1300)+COUNTIF(RW_Register!$A$5:$A$304,A1300)+COUNTIF(Embedded_Wall_Register!$A$5:$A$304,A1300)+COUNTIF(Manhole_Register!$A$5:$A$304,A1300)+COUNTIF(ERSS_Pit_Register!$A$5:$A$304,A1300)+COUNTIF(Linkway_Register!$A$5:$A$304,A1300)+COUNTIF(Other_Register!$A$5:$A$304,A1300))&gt;0,"OK","ID not in any register"))</f>
        <v/>
      </c>
    </row>
    <row r="1301" customFormat="false" ht="15" hidden="false" customHeight="false" outlineLevel="0" collapsed="false">
      <c r="A1301" s="9"/>
      <c r="B1301" s="9"/>
      <c r="C1301" s="9"/>
      <c r="D1301" s="9"/>
      <c r="E1301" s="9"/>
      <c r="F1301" s="9"/>
      <c r="G1301" s="9"/>
      <c r="H1301" s="9"/>
      <c r="I1301" s="9"/>
      <c r="J1301" s="10" t="str">
        <f aca="false">IF(A1301="","",IF(G1301&lt;&gt;"",G1301,IF(N(F1301)&gt;0,ROUND(1000/F1301,3),0)))</f>
        <v/>
      </c>
      <c r="K1301" s="10" t="str">
        <f aca="false">IF(OR(A1301="",E1301="",H1301=""),"",ROUND(0.00617*E1301^2*H1301*J1301,2))</f>
        <v/>
      </c>
      <c r="L1301" s="9"/>
      <c r="M1301" s="10" t="str">
        <f aca="false">IF(A1301="","",IF((COUNTIF(Drain_Register!$A$5:$A$304,A1301)+COUNTIF(RW_Register!$A$5:$A$304,A1301)+COUNTIF(Embedded_Wall_Register!$A$5:$A$304,A1301)+COUNTIF(Manhole_Register!$A$5:$A$304,A1301)+COUNTIF(ERSS_Pit_Register!$A$5:$A$304,A1301)+COUNTIF(Linkway_Register!$A$5:$A$304,A1301)+COUNTIF(Other_Register!$A$5:$A$304,A1301))&gt;0,"OK","ID not in any register"))</f>
        <v/>
      </c>
    </row>
    <row r="1302" customFormat="false" ht="15" hidden="false" customHeight="false" outlineLevel="0" collapsed="false">
      <c r="A1302" s="9"/>
      <c r="B1302" s="9"/>
      <c r="C1302" s="9"/>
      <c r="D1302" s="9"/>
      <c r="E1302" s="9"/>
      <c r="F1302" s="9"/>
      <c r="G1302" s="9"/>
      <c r="H1302" s="9"/>
      <c r="I1302" s="9"/>
      <c r="J1302" s="10" t="str">
        <f aca="false">IF(A1302="","",IF(G1302&lt;&gt;"",G1302,IF(N(F1302)&gt;0,ROUND(1000/F1302,3),0)))</f>
        <v/>
      </c>
      <c r="K1302" s="10" t="str">
        <f aca="false">IF(OR(A1302="",E1302="",H1302=""),"",ROUND(0.00617*E1302^2*H1302*J1302,2))</f>
        <v/>
      </c>
      <c r="L1302" s="9"/>
      <c r="M1302" s="10" t="str">
        <f aca="false">IF(A1302="","",IF((COUNTIF(Drain_Register!$A$5:$A$304,A1302)+COUNTIF(RW_Register!$A$5:$A$304,A1302)+COUNTIF(Embedded_Wall_Register!$A$5:$A$304,A1302)+COUNTIF(Manhole_Register!$A$5:$A$304,A1302)+COUNTIF(ERSS_Pit_Register!$A$5:$A$304,A1302)+COUNTIF(Linkway_Register!$A$5:$A$304,A1302)+COUNTIF(Other_Register!$A$5:$A$304,A1302))&gt;0,"OK","ID not in any register"))</f>
        <v/>
      </c>
    </row>
    <row r="1303" customFormat="false" ht="15" hidden="false" customHeight="false" outlineLevel="0" collapsed="false">
      <c r="A1303" s="9"/>
      <c r="B1303" s="9"/>
      <c r="C1303" s="9"/>
      <c r="D1303" s="9"/>
      <c r="E1303" s="9"/>
      <c r="F1303" s="9"/>
      <c r="G1303" s="9"/>
      <c r="H1303" s="9"/>
      <c r="I1303" s="9"/>
      <c r="J1303" s="10" t="str">
        <f aca="false">IF(A1303="","",IF(G1303&lt;&gt;"",G1303,IF(N(F1303)&gt;0,ROUND(1000/F1303,3),0)))</f>
        <v/>
      </c>
      <c r="K1303" s="10" t="str">
        <f aca="false">IF(OR(A1303="",E1303="",H1303=""),"",ROUND(0.00617*E1303^2*H1303*J1303,2))</f>
        <v/>
      </c>
      <c r="L1303" s="9"/>
      <c r="M1303" s="10" t="str">
        <f aca="false">IF(A1303="","",IF((COUNTIF(Drain_Register!$A$5:$A$304,A1303)+COUNTIF(RW_Register!$A$5:$A$304,A1303)+COUNTIF(Embedded_Wall_Register!$A$5:$A$304,A1303)+COUNTIF(Manhole_Register!$A$5:$A$304,A1303)+COUNTIF(ERSS_Pit_Register!$A$5:$A$304,A1303)+COUNTIF(Linkway_Register!$A$5:$A$304,A1303)+COUNTIF(Other_Register!$A$5:$A$304,A1303))&gt;0,"OK","ID not in any register"))</f>
        <v/>
      </c>
    </row>
    <row r="1304" customFormat="false" ht="15" hidden="false" customHeight="false" outlineLevel="0" collapsed="false">
      <c r="A1304" s="9"/>
      <c r="B1304" s="9"/>
      <c r="C1304" s="9"/>
      <c r="D1304" s="9"/>
      <c r="E1304" s="9"/>
      <c r="F1304" s="9"/>
      <c r="G1304" s="9"/>
      <c r="H1304" s="9"/>
      <c r="I1304" s="9"/>
      <c r="J1304" s="10" t="str">
        <f aca="false">IF(A1304="","",IF(G1304&lt;&gt;"",G1304,IF(N(F1304)&gt;0,ROUND(1000/F1304,3),0)))</f>
        <v/>
      </c>
      <c r="K1304" s="10" t="str">
        <f aca="false">IF(OR(A1304="",E1304="",H1304=""),"",ROUND(0.00617*E1304^2*H1304*J1304,2))</f>
        <v/>
      </c>
      <c r="L1304" s="9"/>
      <c r="M1304" s="10" t="str">
        <f aca="false">IF(A1304="","",IF((COUNTIF(Drain_Register!$A$5:$A$304,A1304)+COUNTIF(RW_Register!$A$5:$A$304,A1304)+COUNTIF(Embedded_Wall_Register!$A$5:$A$304,A1304)+COUNTIF(Manhole_Register!$A$5:$A$304,A1304)+COUNTIF(ERSS_Pit_Register!$A$5:$A$304,A1304)+COUNTIF(Linkway_Register!$A$5:$A$304,A1304)+COUNTIF(Other_Register!$A$5:$A$304,A1304))&gt;0,"OK","ID not in any register"))</f>
        <v/>
      </c>
    </row>
    <row r="1305" customFormat="false" ht="15" hidden="false" customHeight="false" outlineLevel="0" collapsed="false">
      <c r="A1305" s="9"/>
      <c r="B1305" s="9"/>
      <c r="C1305" s="9"/>
      <c r="D1305" s="9"/>
      <c r="E1305" s="9"/>
      <c r="F1305" s="9"/>
      <c r="G1305" s="9"/>
      <c r="H1305" s="9"/>
      <c r="I1305" s="9"/>
      <c r="J1305" s="10" t="str">
        <f aca="false">IF(A1305="","",IF(G1305&lt;&gt;"",G1305,IF(N(F1305)&gt;0,ROUND(1000/F1305,3),0)))</f>
        <v/>
      </c>
      <c r="K1305" s="10" t="str">
        <f aca="false">IF(OR(A1305="",E1305="",H1305=""),"",ROUND(0.00617*E1305^2*H1305*J1305,2))</f>
        <v/>
      </c>
      <c r="L1305" s="9"/>
      <c r="M1305" s="10" t="str">
        <f aca="false">IF(A1305="","",IF((COUNTIF(Drain_Register!$A$5:$A$304,A1305)+COUNTIF(RW_Register!$A$5:$A$304,A1305)+COUNTIF(Embedded_Wall_Register!$A$5:$A$304,A1305)+COUNTIF(Manhole_Register!$A$5:$A$304,A1305)+COUNTIF(ERSS_Pit_Register!$A$5:$A$304,A1305)+COUNTIF(Linkway_Register!$A$5:$A$304,A1305)+COUNTIF(Other_Register!$A$5:$A$304,A1305))&gt;0,"OK","ID not in any register"))</f>
        <v/>
      </c>
    </row>
    <row r="1306" customFormat="false" ht="15" hidden="false" customHeight="false" outlineLevel="0" collapsed="false">
      <c r="A1306" s="9"/>
      <c r="B1306" s="9"/>
      <c r="C1306" s="9"/>
      <c r="D1306" s="9"/>
      <c r="E1306" s="9"/>
      <c r="F1306" s="9"/>
      <c r="G1306" s="9"/>
      <c r="H1306" s="9"/>
      <c r="I1306" s="9"/>
      <c r="J1306" s="10" t="str">
        <f aca="false">IF(A1306="","",IF(G1306&lt;&gt;"",G1306,IF(N(F1306)&gt;0,ROUND(1000/F1306,3),0)))</f>
        <v/>
      </c>
      <c r="K1306" s="10" t="str">
        <f aca="false">IF(OR(A1306="",E1306="",H1306=""),"",ROUND(0.00617*E1306^2*H1306*J1306,2))</f>
        <v/>
      </c>
      <c r="L1306" s="9"/>
      <c r="M1306" s="10" t="str">
        <f aca="false">IF(A1306="","",IF((COUNTIF(Drain_Register!$A$5:$A$304,A1306)+COUNTIF(RW_Register!$A$5:$A$304,A1306)+COUNTIF(Embedded_Wall_Register!$A$5:$A$304,A1306)+COUNTIF(Manhole_Register!$A$5:$A$304,A1306)+COUNTIF(ERSS_Pit_Register!$A$5:$A$304,A1306)+COUNTIF(Linkway_Register!$A$5:$A$304,A1306)+COUNTIF(Other_Register!$A$5:$A$304,A1306))&gt;0,"OK","ID not in any register"))</f>
        <v/>
      </c>
    </row>
    <row r="1307" customFormat="false" ht="15" hidden="false" customHeight="false" outlineLevel="0" collapsed="false">
      <c r="A1307" s="9"/>
      <c r="B1307" s="9"/>
      <c r="C1307" s="9"/>
      <c r="D1307" s="9"/>
      <c r="E1307" s="9"/>
      <c r="F1307" s="9"/>
      <c r="G1307" s="9"/>
      <c r="H1307" s="9"/>
      <c r="I1307" s="9"/>
      <c r="J1307" s="10" t="str">
        <f aca="false">IF(A1307="","",IF(G1307&lt;&gt;"",G1307,IF(N(F1307)&gt;0,ROUND(1000/F1307,3),0)))</f>
        <v/>
      </c>
      <c r="K1307" s="10" t="str">
        <f aca="false">IF(OR(A1307="",E1307="",H1307=""),"",ROUND(0.00617*E1307^2*H1307*J1307,2))</f>
        <v/>
      </c>
      <c r="L1307" s="9"/>
      <c r="M1307" s="10" t="str">
        <f aca="false">IF(A1307="","",IF((COUNTIF(Drain_Register!$A$5:$A$304,A1307)+COUNTIF(RW_Register!$A$5:$A$304,A1307)+COUNTIF(Embedded_Wall_Register!$A$5:$A$304,A1307)+COUNTIF(Manhole_Register!$A$5:$A$304,A1307)+COUNTIF(ERSS_Pit_Register!$A$5:$A$304,A1307)+COUNTIF(Linkway_Register!$A$5:$A$304,A1307)+COUNTIF(Other_Register!$A$5:$A$304,A1307))&gt;0,"OK","ID not in any register"))</f>
        <v/>
      </c>
    </row>
    <row r="1308" customFormat="false" ht="15" hidden="false" customHeight="false" outlineLevel="0" collapsed="false">
      <c r="A1308" s="9"/>
      <c r="B1308" s="9"/>
      <c r="C1308" s="9"/>
      <c r="D1308" s="9"/>
      <c r="E1308" s="9"/>
      <c r="F1308" s="9"/>
      <c r="G1308" s="9"/>
      <c r="H1308" s="9"/>
      <c r="I1308" s="9"/>
      <c r="J1308" s="10" t="str">
        <f aca="false">IF(A1308="","",IF(G1308&lt;&gt;"",G1308,IF(N(F1308)&gt;0,ROUND(1000/F1308,3),0)))</f>
        <v/>
      </c>
      <c r="K1308" s="10" t="str">
        <f aca="false">IF(OR(A1308="",E1308="",H1308=""),"",ROUND(0.00617*E1308^2*H1308*J1308,2))</f>
        <v/>
      </c>
      <c r="L1308" s="9"/>
      <c r="M1308" s="10" t="str">
        <f aca="false">IF(A1308="","",IF((COUNTIF(Drain_Register!$A$5:$A$304,A1308)+COUNTIF(RW_Register!$A$5:$A$304,A1308)+COUNTIF(Embedded_Wall_Register!$A$5:$A$304,A1308)+COUNTIF(Manhole_Register!$A$5:$A$304,A1308)+COUNTIF(ERSS_Pit_Register!$A$5:$A$304,A1308)+COUNTIF(Linkway_Register!$A$5:$A$304,A1308)+COUNTIF(Other_Register!$A$5:$A$304,A1308))&gt;0,"OK","ID not in any register"))</f>
        <v/>
      </c>
    </row>
    <row r="1309" customFormat="false" ht="15" hidden="false" customHeight="false" outlineLevel="0" collapsed="false">
      <c r="A1309" s="9"/>
      <c r="B1309" s="9"/>
      <c r="C1309" s="9"/>
      <c r="D1309" s="9"/>
      <c r="E1309" s="9"/>
      <c r="F1309" s="9"/>
      <c r="G1309" s="9"/>
      <c r="H1309" s="9"/>
      <c r="I1309" s="9"/>
      <c r="J1309" s="10" t="str">
        <f aca="false">IF(A1309="","",IF(G1309&lt;&gt;"",G1309,IF(N(F1309)&gt;0,ROUND(1000/F1309,3),0)))</f>
        <v/>
      </c>
      <c r="K1309" s="10" t="str">
        <f aca="false">IF(OR(A1309="",E1309="",H1309=""),"",ROUND(0.00617*E1309^2*H1309*J1309,2))</f>
        <v/>
      </c>
      <c r="L1309" s="9"/>
      <c r="M1309" s="10" t="str">
        <f aca="false">IF(A1309="","",IF((COUNTIF(Drain_Register!$A$5:$A$304,A1309)+COUNTIF(RW_Register!$A$5:$A$304,A1309)+COUNTIF(Embedded_Wall_Register!$A$5:$A$304,A1309)+COUNTIF(Manhole_Register!$A$5:$A$304,A1309)+COUNTIF(ERSS_Pit_Register!$A$5:$A$304,A1309)+COUNTIF(Linkway_Register!$A$5:$A$304,A1309)+COUNTIF(Other_Register!$A$5:$A$304,A1309))&gt;0,"OK","ID not in any register"))</f>
        <v/>
      </c>
    </row>
    <row r="1310" customFormat="false" ht="15" hidden="false" customHeight="false" outlineLevel="0" collapsed="false">
      <c r="A1310" s="9"/>
      <c r="B1310" s="9"/>
      <c r="C1310" s="9"/>
      <c r="D1310" s="9"/>
      <c r="E1310" s="9"/>
      <c r="F1310" s="9"/>
      <c r="G1310" s="9"/>
      <c r="H1310" s="9"/>
      <c r="I1310" s="9"/>
      <c r="J1310" s="10" t="str">
        <f aca="false">IF(A1310="","",IF(G1310&lt;&gt;"",G1310,IF(N(F1310)&gt;0,ROUND(1000/F1310,3),0)))</f>
        <v/>
      </c>
      <c r="K1310" s="10" t="str">
        <f aca="false">IF(OR(A1310="",E1310="",H1310=""),"",ROUND(0.00617*E1310^2*H1310*J1310,2))</f>
        <v/>
      </c>
      <c r="L1310" s="9"/>
      <c r="M1310" s="10" t="str">
        <f aca="false">IF(A1310="","",IF((COUNTIF(Drain_Register!$A$5:$A$304,A1310)+COUNTIF(RW_Register!$A$5:$A$304,A1310)+COUNTIF(Embedded_Wall_Register!$A$5:$A$304,A1310)+COUNTIF(Manhole_Register!$A$5:$A$304,A1310)+COUNTIF(ERSS_Pit_Register!$A$5:$A$304,A1310)+COUNTIF(Linkway_Register!$A$5:$A$304,A1310)+COUNTIF(Other_Register!$A$5:$A$304,A1310))&gt;0,"OK","ID not in any register"))</f>
        <v/>
      </c>
    </row>
    <row r="1311" customFormat="false" ht="15" hidden="false" customHeight="false" outlineLevel="0" collapsed="false">
      <c r="A1311" s="9"/>
      <c r="B1311" s="9"/>
      <c r="C1311" s="9"/>
      <c r="D1311" s="9"/>
      <c r="E1311" s="9"/>
      <c r="F1311" s="9"/>
      <c r="G1311" s="9"/>
      <c r="H1311" s="9"/>
      <c r="I1311" s="9"/>
      <c r="J1311" s="10" t="str">
        <f aca="false">IF(A1311="","",IF(G1311&lt;&gt;"",G1311,IF(N(F1311)&gt;0,ROUND(1000/F1311,3),0)))</f>
        <v/>
      </c>
      <c r="K1311" s="10" t="str">
        <f aca="false">IF(OR(A1311="",E1311="",H1311=""),"",ROUND(0.00617*E1311^2*H1311*J1311,2))</f>
        <v/>
      </c>
      <c r="L1311" s="9"/>
      <c r="M1311" s="10" t="str">
        <f aca="false">IF(A1311="","",IF((COUNTIF(Drain_Register!$A$5:$A$304,A1311)+COUNTIF(RW_Register!$A$5:$A$304,A1311)+COUNTIF(Embedded_Wall_Register!$A$5:$A$304,A1311)+COUNTIF(Manhole_Register!$A$5:$A$304,A1311)+COUNTIF(ERSS_Pit_Register!$A$5:$A$304,A1311)+COUNTIF(Linkway_Register!$A$5:$A$304,A1311)+COUNTIF(Other_Register!$A$5:$A$304,A1311))&gt;0,"OK","ID not in any register"))</f>
        <v/>
      </c>
    </row>
    <row r="1312" customFormat="false" ht="15" hidden="false" customHeight="false" outlineLevel="0" collapsed="false">
      <c r="A1312" s="9"/>
      <c r="B1312" s="9"/>
      <c r="C1312" s="9"/>
      <c r="D1312" s="9"/>
      <c r="E1312" s="9"/>
      <c r="F1312" s="9"/>
      <c r="G1312" s="9"/>
      <c r="H1312" s="9"/>
      <c r="I1312" s="9"/>
      <c r="J1312" s="10" t="str">
        <f aca="false">IF(A1312="","",IF(G1312&lt;&gt;"",G1312,IF(N(F1312)&gt;0,ROUND(1000/F1312,3),0)))</f>
        <v/>
      </c>
      <c r="K1312" s="10" t="str">
        <f aca="false">IF(OR(A1312="",E1312="",H1312=""),"",ROUND(0.00617*E1312^2*H1312*J1312,2))</f>
        <v/>
      </c>
      <c r="L1312" s="9"/>
      <c r="M1312" s="10" t="str">
        <f aca="false">IF(A1312="","",IF((COUNTIF(Drain_Register!$A$5:$A$304,A1312)+COUNTIF(RW_Register!$A$5:$A$304,A1312)+COUNTIF(Embedded_Wall_Register!$A$5:$A$304,A1312)+COUNTIF(Manhole_Register!$A$5:$A$304,A1312)+COUNTIF(ERSS_Pit_Register!$A$5:$A$304,A1312)+COUNTIF(Linkway_Register!$A$5:$A$304,A1312)+COUNTIF(Other_Register!$A$5:$A$304,A1312))&gt;0,"OK","ID not in any register"))</f>
        <v/>
      </c>
    </row>
    <row r="1313" customFormat="false" ht="15" hidden="false" customHeight="false" outlineLevel="0" collapsed="false">
      <c r="A1313" s="9"/>
      <c r="B1313" s="9"/>
      <c r="C1313" s="9"/>
      <c r="D1313" s="9"/>
      <c r="E1313" s="9"/>
      <c r="F1313" s="9"/>
      <c r="G1313" s="9"/>
      <c r="H1313" s="9"/>
      <c r="I1313" s="9"/>
      <c r="J1313" s="10" t="str">
        <f aca="false">IF(A1313="","",IF(G1313&lt;&gt;"",G1313,IF(N(F1313)&gt;0,ROUND(1000/F1313,3),0)))</f>
        <v/>
      </c>
      <c r="K1313" s="10" t="str">
        <f aca="false">IF(OR(A1313="",E1313="",H1313=""),"",ROUND(0.00617*E1313^2*H1313*J1313,2))</f>
        <v/>
      </c>
      <c r="L1313" s="9"/>
      <c r="M1313" s="10" t="str">
        <f aca="false">IF(A1313="","",IF((COUNTIF(Drain_Register!$A$5:$A$304,A1313)+COUNTIF(RW_Register!$A$5:$A$304,A1313)+COUNTIF(Embedded_Wall_Register!$A$5:$A$304,A1313)+COUNTIF(Manhole_Register!$A$5:$A$304,A1313)+COUNTIF(ERSS_Pit_Register!$A$5:$A$304,A1313)+COUNTIF(Linkway_Register!$A$5:$A$304,A1313)+COUNTIF(Other_Register!$A$5:$A$304,A1313))&gt;0,"OK","ID not in any register"))</f>
        <v/>
      </c>
    </row>
    <row r="1314" customFormat="false" ht="15" hidden="false" customHeight="false" outlineLevel="0" collapsed="false">
      <c r="A1314" s="9"/>
      <c r="B1314" s="9"/>
      <c r="C1314" s="9"/>
      <c r="D1314" s="9"/>
      <c r="E1314" s="9"/>
      <c r="F1314" s="9"/>
      <c r="G1314" s="9"/>
      <c r="H1314" s="9"/>
      <c r="I1314" s="9"/>
      <c r="J1314" s="10" t="str">
        <f aca="false">IF(A1314="","",IF(G1314&lt;&gt;"",G1314,IF(N(F1314)&gt;0,ROUND(1000/F1314,3),0)))</f>
        <v/>
      </c>
      <c r="K1314" s="10" t="str">
        <f aca="false">IF(OR(A1314="",E1314="",H1314=""),"",ROUND(0.00617*E1314^2*H1314*J1314,2))</f>
        <v/>
      </c>
      <c r="L1314" s="9"/>
      <c r="M1314" s="10" t="str">
        <f aca="false">IF(A1314="","",IF((COUNTIF(Drain_Register!$A$5:$A$304,A1314)+COUNTIF(RW_Register!$A$5:$A$304,A1314)+COUNTIF(Embedded_Wall_Register!$A$5:$A$304,A1314)+COUNTIF(Manhole_Register!$A$5:$A$304,A1314)+COUNTIF(ERSS_Pit_Register!$A$5:$A$304,A1314)+COUNTIF(Linkway_Register!$A$5:$A$304,A1314)+COUNTIF(Other_Register!$A$5:$A$304,A1314))&gt;0,"OK","ID not in any register"))</f>
        <v/>
      </c>
    </row>
    <row r="1315" customFormat="false" ht="15" hidden="false" customHeight="false" outlineLevel="0" collapsed="false">
      <c r="A1315" s="9"/>
      <c r="B1315" s="9"/>
      <c r="C1315" s="9"/>
      <c r="D1315" s="9"/>
      <c r="E1315" s="9"/>
      <c r="F1315" s="9"/>
      <c r="G1315" s="9"/>
      <c r="H1315" s="9"/>
      <c r="I1315" s="9"/>
      <c r="J1315" s="10" t="str">
        <f aca="false">IF(A1315="","",IF(G1315&lt;&gt;"",G1315,IF(N(F1315)&gt;0,ROUND(1000/F1315,3),0)))</f>
        <v/>
      </c>
      <c r="K1315" s="10" t="str">
        <f aca="false">IF(OR(A1315="",E1315="",H1315=""),"",ROUND(0.00617*E1315^2*H1315*J1315,2))</f>
        <v/>
      </c>
      <c r="L1315" s="9"/>
      <c r="M1315" s="10" t="str">
        <f aca="false">IF(A1315="","",IF((COUNTIF(Drain_Register!$A$5:$A$304,A1315)+COUNTIF(RW_Register!$A$5:$A$304,A1315)+COUNTIF(Embedded_Wall_Register!$A$5:$A$304,A1315)+COUNTIF(Manhole_Register!$A$5:$A$304,A1315)+COUNTIF(ERSS_Pit_Register!$A$5:$A$304,A1315)+COUNTIF(Linkway_Register!$A$5:$A$304,A1315)+COUNTIF(Other_Register!$A$5:$A$304,A1315))&gt;0,"OK","ID not in any register"))</f>
        <v/>
      </c>
    </row>
    <row r="1316" customFormat="false" ht="15" hidden="false" customHeight="false" outlineLevel="0" collapsed="false">
      <c r="A1316" s="9"/>
      <c r="B1316" s="9"/>
      <c r="C1316" s="9"/>
      <c r="D1316" s="9"/>
      <c r="E1316" s="9"/>
      <c r="F1316" s="9"/>
      <c r="G1316" s="9"/>
      <c r="H1316" s="9"/>
      <c r="I1316" s="9"/>
      <c r="J1316" s="10" t="str">
        <f aca="false">IF(A1316="","",IF(G1316&lt;&gt;"",G1316,IF(N(F1316)&gt;0,ROUND(1000/F1316,3),0)))</f>
        <v/>
      </c>
      <c r="K1316" s="10" t="str">
        <f aca="false">IF(OR(A1316="",E1316="",H1316=""),"",ROUND(0.00617*E1316^2*H1316*J1316,2))</f>
        <v/>
      </c>
      <c r="L1316" s="9"/>
      <c r="M1316" s="10" t="str">
        <f aca="false">IF(A1316="","",IF((COUNTIF(Drain_Register!$A$5:$A$304,A1316)+COUNTIF(RW_Register!$A$5:$A$304,A1316)+COUNTIF(Embedded_Wall_Register!$A$5:$A$304,A1316)+COUNTIF(Manhole_Register!$A$5:$A$304,A1316)+COUNTIF(ERSS_Pit_Register!$A$5:$A$304,A1316)+COUNTIF(Linkway_Register!$A$5:$A$304,A1316)+COUNTIF(Other_Register!$A$5:$A$304,A1316))&gt;0,"OK","ID not in any register"))</f>
        <v/>
      </c>
    </row>
    <row r="1317" customFormat="false" ht="15" hidden="false" customHeight="false" outlineLevel="0" collapsed="false">
      <c r="A1317" s="9"/>
      <c r="B1317" s="9"/>
      <c r="C1317" s="9"/>
      <c r="D1317" s="9"/>
      <c r="E1317" s="9"/>
      <c r="F1317" s="9"/>
      <c r="G1317" s="9"/>
      <c r="H1317" s="9"/>
      <c r="I1317" s="9"/>
      <c r="J1317" s="10" t="str">
        <f aca="false">IF(A1317="","",IF(G1317&lt;&gt;"",G1317,IF(N(F1317)&gt;0,ROUND(1000/F1317,3),0)))</f>
        <v/>
      </c>
      <c r="K1317" s="10" t="str">
        <f aca="false">IF(OR(A1317="",E1317="",H1317=""),"",ROUND(0.00617*E1317^2*H1317*J1317,2))</f>
        <v/>
      </c>
      <c r="L1317" s="9"/>
      <c r="M1317" s="10" t="str">
        <f aca="false">IF(A1317="","",IF((COUNTIF(Drain_Register!$A$5:$A$304,A1317)+COUNTIF(RW_Register!$A$5:$A$304,A1317)+COUNTIF(Embedded_Wall_Register!$A$5:$A$304,A1317)+COUNTIF(Manhole_Register!$A$5:$A$304,A1317)+COUNTIF(ERSS_Pit_Register!$A$5:$A$304,A1317)+COUNTIF(Linkway_Register!$A$5:$A$304,A1317)+COUNTIF(Other_Register!$A$5:$A$304,A1317))&gt;0,"OK","ID not in any register"))</f>
        <v/>
      </c>
    </row>
    <row r="1318" customFormat="false" ht="15" hidden="false" customHeight="false" outlineLevel="0" collapsed="false">
      <c r="A1318" s="9"/>
      <c r="B1318" s="9"/>
      <c r="C1318" s="9"/>
      <c r="D1318" s="9"/>
      <c r="E1318" s="9"/>
      <c r="F1318" s="9"/>
      <c r="G1318" s="9"/>
      <c r="H1318" s="9"/>
      <c r="I1318" s="9"/>
      <c r="J1318" s="10" t="str">
        <f aca="false">IF(A1318="","",IF(G1318&lt;&gt;"",G1318,IF(N(F1318)&gt;0,ROUND(1000/F1318,3),0)))</f>
        <v/>
      </c>
      <c r="K1318" s="10" t="str">
        <f aca="false">IF(OR(A1318="",E1318="",H1318=""),"",ROUND(0.00617*E1318^2*H1318*J1318,2))</f>
        <v/>
      </c>
      <c r="L1318" s="9"/>
      <c r="M1318" s="10" t="str">
        <f aca="false">IF(A1318="","",IF((COUNTIF(Drain_Register!$A$5:$A$304,A1318)+COUNTIF(RW_Register!$A$5:$A$304,A1318)+COUNTIF(Embedded_Wall_Register!$A$5:$A$304,A1318)+COUNTIF(Manhole_Register!$A$5:$A$304,A1318)+COUNTIF(ERSS_Pit_Register!$A$5:$A$304,A1318)+COUNTIF(Linkway_Register!$A$5:$A$304,A1318)+COUNTIF(Other_Register!$A$5:$A$304,A1318))&gt;0,"OK","ID not in any register"))</f>
        <v/>
      </c>
    </row>
    <row r="1319" customFormat="false" ht="15" hidden="false" customHeight="false" outlineLevel="0" collapsed="false">
      <c r="A1319" s="9"/>
      <c r="B1319" s="9"/>
      <c r="C1319" s="9"/>
      <c r="D1319" s="9"/>
      <c r="E1319" s="9"/>
      <c r="F1319" s="9"/>
      <c r="G1319" s="9"/>
      <c r="H1319" s="9"/>
      <c r="I1319" s="9"/>
      <c r="J1319" s="10" t="str">
        <f aca="false">IF(A1319="","",IF(G1319&lt;&gt;"",G1319,IF(N(F1319)&gt;0,ROUND(1000/F1319,3),0)))</f>
        <v/>
      </c>
      <c r="K1319" s="10" t="str">
        <f aca="false">IF(OR(A1319="",E1319="",H1319=""),"",ROUND(0.00617*E1319^2*H1319*J1319,2))</f>
        <v/>
      </c>
      <c r="L1319" s="9"/>
      <c r="M1319" s="10" t="str">
        <f aca="false">IF(A1319="","",IF((COUNTIF(Drain_Register!$A$5:$A$304,A1319)+COUNTIF(RW_Register!$A$5:$A$304,A1319)+COUNTIF(Embedded_Wall_Register!$A$5:$A$304,A1319)+COUNTIF(Manhole_Register!$A$5:$A$304,A1319)+COUNTIF(ERSS_Pit_Register!$A$5:$A$304,A1319)+COUNTIF(Linkway_Register!$A$5:$A$304,A1319)+COUNTIF(Other_Register!$A$5:$A$304,A1319))&gt;0,"OK","ID not in any register"))</f>
        <v/>
      </c>
    </row>
    <row r="1320" customFormat="false" ht="15" hidden="false" customHeight="false" outlineLevel="0" collapsed="false">
      <c r="A1320" s="9"/>
      <c r="B1320" s="9"/>
      <c r="C1320" s="9"/>
      <c r="D1320" s="9"/>
      <c r="E1320" s="9"/>
      <c r="F1320" s="9"/>
      <c r="G1320" s="9"/>
      <c r="H1320" s="9"/>
      <c r="I1320" s="9"/>
      <c r="J1320" s="10" t="str">
        <f aca="false">IF(A1320="","",IF(G1320&lt;&gt;"",G1320,IF(N(F1320)&gt;0,ROUND(1000/F1320,3),0)))</f>
        <v/>
      </c>
      <c r="K1320" s="10" t="str">
        <f aca="false">IF(OR(A1320="",E1320="",H1320=""),"",ROUND(0.00617*E1320^2*H1320*J1320,2))</f>
        <v/>
      </c>
      <c r="L1320" s="9"/>
      <c r="M1320" s="10" t="str">
        <f aca="false">IF(A1320="","",IF((COUNTIF(Drain_Register!$A$5:$A$304,A1320)+COUNTIF(RW_Register!$A$5:$A$304,A1320)+COUNTIF(Embedded_Wall_Register!$A$5:$A$304,A1320)+COUNTIF(Manhole_Register!$A$5:$A$304,A1320)+COUNTIF(ERSS_Pit_Register!$A$5:$A$304,A1320)+COUNTIF(Linkway_Register!$A$5:$A$304,A1320)+COUNTIF(Other_Register!$A$5:$A$304,A1320))&gt;0,"OK","ID not in any register"))</f>
        <v/>
      </c>
    </row>
    <row r="1321" customFormat="false" ht="15" hidden="false" customHeight="false" outlineLevel="0" collapsed="false">
      <c r="A1321" s="9"/>
      <c r="B1321" s="9"/>
      <c r="C1321" s="9"/>
      <c r="D1321" s="9"/>
      <c r="E1321" s="9"/>
      <c r="F1321" s="9"/>
      <c r="G1321" s="9"/>
      <c r="H1321" s="9"/>
      <c r="I1321" s="9"/>
      <c r="J1321" s="10" t="str">
        <f aca="false">IF(A1321="","",IF(G1321&lt;&gt;"",G1321,IF(N(F1321)&gt;0,ROUND(1000/F1321,3),0)))</f>
        <v/>
      </c>
      <c r="K1321" s="10" t="str">
        <f aca="false">IF(OR(A1321="",E1321="",H1321=""),"",ROUND(0.00617*E1321^2*H1321*J1321,2))</f>
        <v/>
      </c>
      <c r="L1321" s="9"/>
      <c r="M1321" s="10" t="str">
        <f aca="false">IF(A1321="","",IF((COUNTIF(Drain_Register!$A$5:$A$304,A1321)+COUNTIF(RW_Register!$A$5:$A$304,A1321)+COUNTIF(Embedded_Wall_Register!$A$5:$A$304,A1321)+COUNTIF(Manhole_Register!$A$5:$A$304,A1321)+COUNTIF(ERSS_Pit_Register!$A$5:$A$304,A1321)+COUNTIF(Linkway_Register!$A$5:$A$304,A1321)+COUNTIF(Other_Register!$A$5:$A$304,A1321))&gt;0,"OK","ID not in any register"))</f>
        <v/>
      </c>
    </row>
    <row r="1322" customFormat="false" ht="15" hidden="false" customHeight="false" outlineLevel="0" collapsed="false">
      <c r="A1322" s="9"/>
      <c r="B1322" s="9"/>
      <c r="C1322" s="9"/>
      <c r="D1322" s="9"/>
      <c r="E1322" s="9"/>
      <c r="F1322" s="9"/>
      <c r="G1322" s="9"/>
      <c r="H1322" s="9"/>
      <c r="I1322" s="9"/>
      <c r="J1322" s="10" t="str">
        <f aca="false">IF(A1322="","",IF(G1322&lt;&gt;"",G1322,IF(N(F1322)&gt;0,ROUND(1000/F1322,3),0)))</f>
        <v/>
      </c>
      <c r="K1322" s="10" t="str">
        <f aca="false">IF(OR(A1322="",E1322="",H1322=""),"",ROUND(0.00617*E1322^2*H1322*J1322,2))</f>
        <v/>
      </c>
      <c r="L1322" s="9"/>
      <c r="M1322" s="10" t="str">
        <f aca="false">IF(A1322="","",IF((COUNTIF(Drain_Register!$A$5:$A$304,A1322)+COUNTIF(RW_Register!$A$5:$A$304,A1322)+COUNTIF(Embedded_Wall_Register!$A$5:$A$304,A1322)+COUNTIF(Manhole_Register!$A$5:$A$304,A1322)+COUNTIF(ERSS_Pit_Register!$A$5:$A$304,A1322)+COUNTIF(Linkway_Register!$A$5:$A$304,A1322)+COUNTIF(Other_Register!$A$5:$A$304,A1322))&gt;0,"OK","ID not in any register"))</f>
        <v/>
      </c>
    </row>
    <row r="1323" customFormat="false" ht="15" hidden="false" customHeight="false" outlineLevel="0" collapsed="false">
      <c r="A1323" s="9"/>
      <c r="B1323" s="9"/>
      <c r="C1323" s="9"/>
      <c r="D1323" s="9"/>
      <c r="E1323" s="9"/>
      <c r="F1323" s="9"/>
      <c r="G1323" s="9"/>
      <c r="H1323" s="9"/>
      <c r="I1323" s="9"/>
      <c r="J1323" s="10" t="str">
        <f aca="false">IF(A1323="","",IF(G1323&lt;&gt;"",G1323,IF(N(F1323)&gt;0,ROUND(1000/F1323,3),0)))</f>
        <v/>
      </c>
      <c r="K1323" s="10" t="str">
        <f aca="false">IF(OR(A1323="",E1323="",H1323=""),"",ROUND(0.00617*E1323^2*H1323*J1323,2))</f>
        <v/>
      </c>
      <c r="L1323" s="9"/>
      <c r="M1323" s="10" t="str">
        <f aca="false">IF(A1323="","",IF((COUNTIF(Drain_Register!$A$5:$A$304,A1323)+COUNTIF(RW_Register!$A$5:$A$304,A1323)+COUNTIF(Embedded_Wall_Register!$A$5:$A$304,A1323)+COUNTIF(Manhole_Register!$A$5:$A$304,A1323)+COUNTIF(ERSS_Pit_Register!$A$5:$A$304,A1323)+COUNTIF(Linkway_Register!$A$5:$A$304,A1323)+COUNTIF(Other_Register!$A$5:$A$304,A1323))&gt;0,"OK","ID not in any register"))</f>
        <v/>
      </c>
    </row>
    <row r="1324" customFormat="false" ht="15" hidden="false" customHeight="false" outlineLevel="0" collapsed="false">
      <c r="A1324" s="9"/>
      <c r="B1324" s="9"/>
      <c r="C1324" s="9"/>
      <c r="D1324" s="9"/>
      <c r="E1324" s="9"/>
      <c r="F1324" s="9"/>
      <c r="G1324" s="9"/>
      <c r="H1324" s="9"/>
      <c r="I1324" s="9"/>
      <c r="J1324" s="10" t="str">
        <f aca="false">IF(A1324="","",IF(G1324&lt;&gt;"",G1324,IF(N(F1324)&gt;0,ROUND(1000/F1324,3),0)))</f>
        <v/>
      </c>
      <c r="K1324" s="10" t="str">
        <f aca="false">IF(OR(A1324="",E1324="",H1324=""),"",ROUND(0.00617*E1324^2*H1324*J1324,2))</f>
        <v/>
      </c>
      <c r="L1324" s="9"/>
      <c r="M1324" s="10" t="str">
        <f aca="false">IF(A1324="","",IF((COUNTIF(Drain_Register!$A$5:$A$304,A1324)+COUNTIF(RW_Register!$A$5:$A$304,A1324)+COUNTIF(Embedded_Wall_Register!$A$5:$A$304,A1324)+COUNTIF(Manhole_Register!$A$5:$A$304,A1324)+COUNTIF(ERSS_Pit_Register!$A$5:$A$304,A1324)+COUNTIF(Linkway_Register!$A$5:$A$304,A1324)+COUNTIF(Other_Register!$A$5:$A$304,A1324))&gt;0,"OK","ID not in any register"))</f>
        <v/>
      </c>
    </row>
    <row r="1325" customFormat="false" ht="15" hidden="false" customHeight="false" outlineLevel="0" collapsed="false">
      <c r="A1325" s="9"/>
      <c r="B1325" s="9"/>
      <c r="C1325" s="9"/>
      <c r="D1325" s="9"/>
      <c r="E1325" s="9"/>
      <c r="F1325" s="9"/>
      <c r="G1325" s="9"/>
      <c r="H1325" s="9"/>
      <c r="I1325" s="9"/>
      <c r="J1325" s="10" t="str">
        <f aca="false">IF(A1325="","",IF(G1325&lt;&gt;"",G1325,IF(N(F1325)&gt;0,ROUND(1000/F1325,3),0)))</f>
        <v/>
      </c>
      <c r="K1325" s="10" t="str">
        <f aca="false">IF(OR(A1325="",E1325="",H1325=""),"",ROUND(0.00617*E1325^2*H1325*J1325,2))</f>
        <v/>
      </c>
      <c r="L1325" s="9"/>
      <c r="M1325" s="10" t="str">
        <f aca="false">IF(A1325="","",IF((COUNTIF(Drain_Register!$A$5:$A$304,A1325)+COUNTIF(RW_Register!$A$5:$A$304,A1325)+COUNTIF(Embedded_Wall_Register!$A$5:$A$304,A1325)+COUNTIF(Manhole_Register!$A$5:$A$304,A1325)+COUNTIF(ERSS_Pit_Register!$A$5:$A$304,A1325)+COUNTIF(Linkway_Register!$A$5:$A$304,A1325)+COUNTIF(Other_Register!$A$5:$A$304,A1325))&gt;0,"OK","ID not in any register"))</f>
        <v/>
      </c>
    </row>
    <row r="1326" customFormat="false" ht="15" hidden="false" customHeight="false" outlineLevel="0" collapsed="false">
      <c r="A1326" s="9"/>
      <c r="B1326" s="9"/>
      <c r="C1326" s="9"/>
      <c r="D1326" s="9"/>
      <c r="E1326" s="9"/>
      <c r="F1326" s="9"/>
      <c r="G1326" s="9"/>
      <c r="H1326" s="9"/>
      <c r="I1326" s="9"/>
      <c r="J1326" s="10" t="str">
        <f aca="false">IF(A1326="","",IF(G1326&lt;&gt;"",G1326,IF(N(F1326)&gt;0,ROUND(1000/F1326,3),0)))</f>
        <v/>
      </c>
      <c r="K1326" s="10" t="str">
        <f aca="false">IF(OR(A1326="",E1326="",H1326=""),"",ROUND(0.00617*E1326^2*H1326*J1326,2))</f>
        <v/>
      </c>
      <c r="L1326" s="9"/>
      <c r="M1326" s="10" t="str">
        <f aca="false">IF(A1326="","",IF((COUNTIF(Drain_Register!$A$5:$A$304,A1326)+COUNTIF(RW_Register!$A$5:$A$304,A1326)+COUNTIF(Embedded_Wall_Register!$A$5:$A$304,A1326)+COUNTIF(Manhole_Register!$A$5:$A$304,A1326)+COUNTIF(ERSS_Pit_Register!$A$5:$A$304,A1326)+COUNTIF(Linkway_Register!$A$5:$A$304,A1326)+COUNTIF(Other_Register!$A$5:$A$304,A1326))&gt;0,"OK","ID not in any register"))</f>
        <v/>
      </c>
    </row>
    <row r="1327" customFormat="false" ht="15" hidden="false" customHeight="false" outlineLevel="0" collapsed="false">
      <c r="A1327" s="9"/>
      <c r="B1327" s="9"/>
      <c r="C1327" s="9"/>
      <c r="D1327" s="9"/>
      <c r="E1327" s="9"/>
      <c r="F1327" s="9"/>
      <c r="G1327" s="9"/>
      <c r="H1327" s="9"/>
      <c r="I1327" s="9"/>
      <c r="J1327" s="10" t="str">
        <f aca="false">IF(A1327="","",IF(G1327&lt;&gt;"",G1327,IF(N(F1327)&gt;0,ROUND(1000/F1327,3),0)))</f>
        <v/>
      </c>
      <c r="K1327" s="10" t="str">
        <f aca="false">IF(OR(A1327="",E1327="",H1327=""),"",ROUND(0.00617*E1327^2*H1327*J1327,2))</f>
        <v/>
      </c>
      <c r="L1327" s="9"/>
      <c r="M1327" s="10" t="str">
        <f aca="false">IF(A1327="","",IF((COUNTIF(Drain_Register!$A$5:$A$304,A1327)+COUNTIF(RW_Register!$A$5:$A$304,A1327)+COUNTIF(Embedded_Wall_Register!$A$5:$A$304,A1327)+COUNTIF(Manhole_Register!$A$5:$A$304,A1327)+COUNTIF(ERSS_Pit_Register!$A$5:$A$304,A1327)+COUNTIF(Linkway_Register!$A$5:$A$304,A1327)+COUNTIF(Other_Register!$A$5:$A$304,A1327))&gt;0,"OK","ID not in any register"))</f>
        <v/>
      </c>
    </row>
    <row r="1328" customFormat="false" ht="15" hidden="false" customHeight="false" outlineLevel="0" collapsed="false">
      <c r="A1328" s="9"/>
      <c r="B1328" s="9"/>
      <c r="C1328" s="9"/>
      <c r="D1328" s="9"/>
      <c r="E1328" s="9"/>
      <c r="F1328" s="9"/>
      <c r="G1328" s="9"/>
      <c r="H1328" s="9"/>
      <c r="I1328" s="9"/>
      <c r="J1328" s="10" t="str">
        <f aca="false">IF(A1328="","",IF(G1328&lt;&gt;"",G1328,IF(N(F1328)&gt;0,ROUND(1000/F1328,3),0)))</f>
        <v/>
      </c>
      <c r="K1328" s="10" t="str">
        <f aca="false">IF(OR(A1328="",E1328="",H1328=""),"",ROUND(0.00617*E1328^2*H1328*J1328,2))</f>
        <v/>
      </c>
      <c r="L1328" s="9"/>
      <c r="M1328" s="10" t="str">
        <f aca="false">IF(A1328="","",IF((COUNTIF(Drain_Register!$A$5:$A$304,A1328)+COUNTIF(RW_Register!$A$5:$A$304,A1328)+COUNTIF(Embedded_Wall_Register!$A$5:$A$304,A1328)+COUNTIF(Manhole_Register!$A$5:$A$304,A1328)+COUNTIF(ERSS_Pit_Register!$A$5:$A$304,A1328)+COUNTIF(Linkway_Register!$A$5:$A$304,A1328)+COUNTIF(Other_Register!$A$5:$A$304,A1328))&gt;0,"OK","ID not in any register"))</f>
        <v/>
      </c>
    </row>
    <row r="1329" customFormat="false" ht="15" hidden="false" customHeight="false" outlineLevel="0" collapsed="false">
      <c r="A1329" s="9"/>
      <c r="B1329" s="9"/>
      <c r="C1329" s="9"/>
      <c r="D1329" s="9"/>
      <c r="E1329" s="9"/>
      <c r="F1329" s="9"/>
      <c r="G1329" s="9"/>
      <c r="H1329" s="9"/>
      <c r="I1329" s="9"/>
      <c r="J1329" s="10" t="str">
        <f aca="false">IF(A1329="","",IF(G1329&lt;&gt;"",G1329,IF(N(F1329)&gt;0,ROUND(1000/F1329,3),0)))</f>
        <v/>
      </c>
      <c r="K1329" s="10" t="str">
        <f aca="false">IF(OR(A1329="",E1329="",H1329=""),"",ROUND(0.00617*E1329^2*H1329*J1329,2))</f>
        <v/>
      </c>
      <c r="L1329" s="9"/>
      <c r="M1329" s="10" t="str">
        <f aca="false">IF(A1329="","",IF((COUNTIF(Drain_Register!$A$5:$A$304,A1329)+COUNTIF(RW_Register!$A$5:$A$304,A1329)+COUNTIF(Embedded_Wall_Register!$A$5:$A$304,A1329)+COUNTIF(Manhole_Register!$A$5:$A$304,A1329)+COUNTIF(ERSS_Pit_Register!$A$5:$A$304,A1329)+COUNTIF(Linkway_Register!$A$5:$A$304,A1329)+COUNTIF(Other_Register!$A$5:$A$304,A1329))&gt;0,"OK","ID not in any register"))</f>
        <v/>
      </c>
    </row>
    <row r="1330" customFormat="false" ht="15" hidden="false" customHeight="false" outlineLevel="0" collapsed="false">
      <c r="A1330" s="9"/>
      <c r="B1330" s="9"/>
      <c r="C1330" s="9"/>
      <c r="D1330" s="9"/>
      <c r="E1330" s="9"/>
      <c r="F1330" s="9"/>
      <c r="G1330" s="9"/>
      <c r="H1330" s="9"/>
      <c r="I1330" s="9"/>
      <c r="J1330" s="10" t="str">
        <f aca="false">IF(A1330="","",IF(G1330&lt;&gt;"",G1330,IF(N(F1330)&gt;0,ROUND(1000/F1330,3),0)))</f>
        <v/>
      </c>
      <c r="K1330" s="10" t="str">
        <f aca="false">IF(OR(A1330="",E1330="",H1330=""),"",ROUND(0.00617*E1330^2*H1330*J1330,2))</f>
        <v/>
      </c>
      <c r="L1330" s="9"/>
      <c r="M1330" s="10" t="str">
        <f aca="false">IF(A1330="","",IF((COUNTIF(Drain_Register!$A$5:$A$304,A1330)+COUNTIF(RW_Register!$A$5:$A$304,A1330)+COUNTIF(Embedded_Wall_Register!$A$5:$A$304,A1330)+COUNTIF(Manhole_Register!$A$5:$A$304,A1330)+COUNTIF(ERSS_Pit_Register!$A$5:$A$304,A1330)+COUNTIF(Linkway_Register!$A$5:$A$304,A1330)+COUNTIF(Other_Register!$A$5:$A$304,A1330))&gt;0,"OK","ID not in any register"))</f>
        <v/>
      </c>
    </row>
    <row r="1331" customFormat="false" ht="15" hidden="false" customHeight="false" outlineLevel="0" collapsed="false">
      <c r="A1331" s="9"/>
      <c r="B1331" s="9"/>
      <c r="C1331" s="9"/>
      <c r="D1331" s="9"/>
      <c r="E1331" s="9"/>
      <c r="F1331" s="9"/>
      <c r="G1331" s="9"/>
      <c r="H1331" s="9"/>
      <c r="I1331" s="9"/>
      <c r="J1331" s="10" t="str">
        <f aca="false">IF(A1331="","",IF(G1331&lt;&gt;"",G1331,IF(N(F1331)&gt;0,ROUND(1000/F1331,3),0)))</f>
        <v/>
      </c>
      <c r="K1331" s="10" t="str">
        <f aca="false">IF(OR(A1331="",E1331="",H1331=""),"",ROUND(0.00617*E1331^2*H1331*J1331,2))</f>
        <v/>
      </c>
      <c r="L1331" s="9"/>
      <c r="M1331" s="10" t="str">
        <f aca="false">IF(A1331="","",IF((COUNTIF(Drain_Register!$A$5:$A$304,A1331)+COUNTIF(RW_Register!$A$5:$A$304,A1331)+COUNTIF(Embedded_Wall_Register!$A$5:$A$304,A1331)+COUNTIF(Manhole_Register!$A$5:$A$304,A1331)+COUNTIF(ERSS_Pit_Register!$A$5:$A$304,A1331)+COUNTIF(Linkway_Register!$A$5:$A$304,A1331)+COUNTIF(Other_Register!$A$5:$A$304,A1331))&gt;0,"OK","ID not in any register"))</f>
        <v/>
      </c>
    </row>
    <row r="1332" customFormat="false" ht="15" hidden="false" customHeight="false" outlineLevel="0" collapsed="false">
      <c r="A1332" s="9"/>
      <c r="B1332" s="9"/>
      <c r="C1332" s="9"/>
      <c r="D1332" s="9"/>
      <c r="E1332" s="9"/>
      <c r="F1332" s="9"/>
      <c r="G1332" s="9"/>
      <c r="H1332" s="9"/>
      <c r="I1332" s="9"/>
      <c r="J1332" s="10" t="str">
        <f aca="false">IF(A1332="","",IF(G1332&lt;&gt;"",G1332,IF(N(F1332)&gt;0,ROUND(1000/F1332,3),0)))</f>
        <v/>
      </c>
      <c r="K1332" s="10" t="str">
        <f aca="false">IF(OR(A1332="",E1332="",H1332=""),"",ROUND(0.00617*E1332^2*H1332*J1332,2))</f>
        <v/>
      </c>
      <c r="L1332" s="9"/>
      <c r="M1332" s="10" t="str">
        <f aca="false">IF(A1332="","",IF((COUNTIF(Drain_Register!$A$5:$A$304,A1332)+COUNTIF(RW_Register!$A$5:$A$304,A1332)+COUNTIF(Embedded_Wall_Register!$A$5:$A$304,A1332)+COUNTIF(Manhole_Register!$A$5:$A$304,A1332)+COUNTIF(ERSS_Pit_Register!$A$5:$A$304,A1332)+COUNTIF(Linkway_Register!$A$5:$A$304,A1332)+COUNTIF(Other_Register!$A$5:$A$304,A1332))&gt;0,"OK","ID not in any register"))</f>
        <v/>
      </c>
    </row>
    <row r="1333" customFormat="false" ht="15" hidden="false" customHeight="false" outlineLevel="0" collapsed="false">
      <c r="A1333" s="9"/>
      <c r="B1333" s="9"/>
      <c r="C1333" s="9"/>
      <c r="D1333" s="9"/>
      <c r="E1333" s="9"/>
      <c r="F1333" s="9"/>
      <c r="G1333" s="9"/>
      <c r="H1333" s="9"/>
      <c r="I1333" s="9"/>
      <c r="J1333" s="10" t="str">
        <f aca="false">IF(A1333="","",IF(G1333&lt;&gt;"",G1333,IF(N(F1333)&gt;0,ROUND(1000/F1333,3),0)))</f>
        <v/>
      </c>
      <c r="K1333" s="10" t="str">
        <f aca="false">IF(OR(A1333="",E1333="",H1333=""),"",ROUND(0.00617*E1333^2*H1333*J1333,2))</f>
        <v/>
      </c>
      <c r="L1333" s="9"/>
      <c r="M1333" s="10" t="str">
        <f aca="false">IF(A1333="","",IF((COUNTIF(Drain_Register!$A$5:$A$304,A1333)+COUNTIF(RW_Register!$A$5:$A$304,A1333)+COUNTIF(Embedded_Wall_Register!$A$5:$A$304,A1333)+COUNTIF(Manhole_Register!$A$5:$A$304,A1333)+COUNTIF(ERSS_Pit_Register!$A$5:$A$304,A1333)+COUNTIF(Linkway_Register!$A$5:$A$304,A1333)+COUNTIF(Other_Register!$A$5:$A$304,A1333))&gt;0,"OK","ID not in any register"))</f>
        <v/>
      </c>
    </row>
    <row r="1334" customFormat="false" ht="15" hidden="false" customHeight="false" outlineLevel="0" collapsed="false">
      <c r="A1334" s="9"/>
      <c r="B1334" s="9"/>
      <c r="C1334" s="9"/>
      <c r="D1334" s="9"/>
      <c r="E1334" s="9"/>
      <c r="F1334" s="9"/>
      <c r="G1334" s="9"/>
      <c r="H1334" s="9"/>
      <c r="I1334" s="9"/>
      <c r="J1334" s="10" t="str">
        <f aca="false">IF(A1334="","",IF(G1334&lt;&gt;"",G1334,IF(N(F1334)&gt;0,ROUND(1000/F1334,3),0)))</f>
        <v/>
      </c>
      <c r="K1334" s="10" t="str">
        <f aca="false">IF(OR(A1334="",E1334="",H1334=""),"",ROUND(0.00617*E1334^2*H1334*J1334,2))</f>
        <v/>
      </c>
      <c r="L1334" s="9"/>
      <c r="M1334" s="10" t="str">
        <f aca="false">IF(A1334="","",IF((COUNTIF(Drain_Register!$A$5:$A$304,A1334)+COUNTIF(RW_Register!$A$5:$A$304,A1334)+COUNTIF(Embedded_Wall_Register!$A$5:$A$304,A1334)+COUNTIF(Manhole_Register!$A$5:$A$304,A1334)+COUNTIF(ERSS_Pit_Register!$A$5:$A$304,A1334)+COUNTIF(Linkway_Register!$A$5:$A$304,A1334)+COUNTIF(Other_Register!$A$5:$A$304,A1334))&gt;0,"OK","ID not in any register"))</f>
        <v/>
      </c>
    </row>
    <row r="1335" customFormat="false" ht="15" hidden="false" customHeight="false" outlineLevel="0" collapsed="false">
      <c r="A1335" s="9"/>
      <c r="B1335" s="9"/>
      <c r="C1335" s="9"/>
      <c r="D1335" s="9"/>
      <c r="E1335" s="9"/>
      <c r="F1335" s="9"/>
      <c r="G1335" s="9"/>
      <c r="H1335" s="9"/>
      <c r="I1335" s="9"/>
      <c r="J1335" s="10" t="str">
        <f aca="false">IF(A1335="","",IF(G1335&lt;&gt;"",G1335,IF(N(F1335)&gt;0,ROUND(1000/F1335,3),0)))</f>
        <v/>
      </c>
      <c r="K1335" s="10" t="str">
        <f aca="false">IF(OR(A1335="",E1335="",H1335=""),"",ROUND(0.00617*E1335^2*H1335*J1335,2))</f>
        <v/>
      </c>
      <c r="L1335" s="9"/>
      <c r="M1335" s="10" t="str">
        <f aca="false">IF(A1335="","",IF((COUNTIF(Drain_Register!$A$5:$A$304,A1335)+COUNTIF(RW_Register!$A$5:$A$304,A1335)+COUNTIF(Embedded_Wall_Register!$A$5:$A$304,A1335)+COUNTIF(Manhole_Register!$A$5:$A$304,A1335)+COUNTIF(ERSS_Pit_Register!$A$5:$A$304,A1335)+COUNTIF(Linkway_Register!$A$5:$A$304,A1335)+COUNTIF(Other_Register!$A$5:$A$304,A1335))&gt;0,"OK","ID not in any register"))</f>
        <v/>
      </c>
    </row>
    <row r="1336" customFormat="false" ht="15" hidden="false" customHeight="false" outlineLevel="0" collapsed="false">
      <c r="A1336" s="9"/>
      <c r="B1336" s="9"/>
      <c r="C1336" s="9"/>
      <c r="D1336" s="9"/>
      <c r="E1336" s="9"/>
      <c r="F1336" s="9"/>
      <c r="G1336" s="9"/>
      <c r="H1336" s="9"/>
      <c r="I1336" s="9"/>
      <c r="J1336" s="10" t="str">
        <f aca="false">IF(A1336="","",IF(G1336&lt;&gt;"",G1336,IF(N(F1336)&gt;0,ROUND(1000/F1336,3),0)))</f>
        <v/>
      </c>
      <c r="K1336" s="10" t="str">
        <f aca="false">IF(OR(A1336="",E1336="",H1336=""),"",ROUND(0.00617*E1336^2*H1336*J1336,2))</f>
        <v/>
      </c>
      <c r="L1336" s="9"/>
      <c r="M1336" s="10" t="str">
        <f aca="false">IF(A1336="","",IF((COUNTIF(Drain_Register!$A$5:$A$304,A1336)+COUNTIF(RW_Register!$A$5:$A$304,A1336)+COUNTIF(Embedded_Wall_Register!$A$5:$A$304,A1336)+COUNTIF(Manhole_Register!$A$5:$A$304,A1336)+COUNTIF(ERSS_Pit_Register!$A$5:$A$304,A1336)+COUNTIF(Linkway_Register!$A$5:$A$304,A1336)+COUNTIF(Other_Register!$A$5:$A$304,A1336))&gt;0,"OK","ID not in any register"))</f>
        <v/>
      </c>
    </row>
    <row r="1337" customFormat="false" ht="15" hidden="false" customHeight="false" outlineLevel="0" collapsed="false">
      <c r="A1337" s="9"/>
      <c r="B1337" s="9"/>
      <c r="C1337" s="9"/>
      <c r="D1337" s="9"/>
      <c r="E1337" s="9"/>
      <c r="F1337" s="9"/>
      <c r="G1337" s="9"/>
      <c r="H1337" s="9"/>
      <c r="I1337" s="9"/>
      <c r="J1337" s="10" t="str">
        <f aca="false">IF(A1337="","",IF(G1337&lt;&gt;"",G1337,IF(N(F1337)&gt;0,ROUND(1000/F1337,3),0)))</f>
        <v/>
      </c>
      <c r="K1337" s="10" t="str">
        <f aca="false">IF(OR(A1337="",E1337="",H1337=""),"",ROUND(0.00617*E1337^2*H1337*J1337,2))</f>
        <v/>
      </c>
      <c r="L1337" s="9"/>
      <c r="M1337" s="10" t="str">
        <f aca="false">IF(A1337="","",IF((COUNTIF(Drain_Register!$A$5:$A$304,A1337)+COUNTIF(RW_Register!$A$5:$A$304,A1337)+COUNTIF(Embedded_Wall_Register!$A$5:$A$304,A1337)+COUNTIF(Manhole_Register!$A$5:$A$304,A1337)+COUNTIF(ERSS_Pit_Register!$A$5:$A$304,A1337)+COUNTIF(Linkway_Register!$A$5:$A$304,A1337)+COUNTIF(Other_Register!$A$5:$A$304,A1337))&gt;0,"OK","ID not in any register"))</f>
        <v/>
      </c>
    </row>
    <row r="1338" customFormat="false" ht="15" hidden="false" customHeight="false" outlineLevel="0" collapsed="false">
      <c r="A1338" s="9"/>
      <c r="B1338" s="9"/>
      <c r="C1338" s="9"/>
      <c r="D1338" s="9"/>
      <c r="E1338" s="9"/>
      <c r="F1338" s="9"/>
      <c r="G1338" s="9"/>
      <c r="H1338" s="9"/>
      <c r="I1338" s="9"/>
      <c r="J1338" s="10" t="str">
        <f aca="false">IF(A1338="","",IF(G1338&lt;&gt;"",G1338,IF(N(F1338)&gt;0,ROUND(1000/F1338,3),0)))</f>
        <v/>
      </c>
      <c r="K1338" s="10" t="str">
        <f aca="false">IF(OR(A1338="",E1338="",H1338=""),"",ROUND(0.00617*E1338^2*H1338*J1338,2))</f>
        <v/>
      </c>
      <c r="L1338" s="9"/>
      <c r="M1338" s="10" t="str">
        <f aca="false">IF(A1338="","",IF((COUNTIF(Drain_Register!$A$5:$A$304,A1338)+COUNTIF(RW_Register!$A$5:$A$304,A1338)+COUNTIF(Embedded_Wall_Register!$A$5:$A$304,A1338)+COUNTIF(Manhole_Register!$A$5:$A$304,A1338)+COUNTIF(ERSS_Pit_Register!$A$5:$A$304,A1338)+COUNTIF(Linkway_Register!$A$5:$A$304,A1338)+COUNTIF(Other_Register!$A$5:$A$304,A1338))&gt;0,"OK","ID not in any register"))</f>
        <v/>
      </c>
    </row>
    <row r="1339" customFormat="false" ht="15" hidden="false" customHeight="false" outlineLevel="0" collapsed="false">
      <c r="A1339" s="9"/>
      <c r="B1339" s="9"/>
      <c r="C1339" s="9"/>
      <c r="D1339" s="9"/>
      <c r="E1339" s="9"/>
      <c r="F1339" s="9"/>
      <c r="G1339" s="9"/>
      <c r="H1339" s="9"/>
      <c r="I1339" s="9"/>
      <c r="J1339" s="10" t="str">
        <f aca="false">IF(A1339="","",IF(G1339&lt;&gt;"",G1339,IF(N(F1339)&gt;0,ROUND(1000/F1339,3),0)))</f>
        <v/>
      </c>
      <c r="K1339" s="10" t="str">
        <f aca="false">IF(OR(A1339="",E1339="",H1339=""),"",ROUND(0.00617*E1339^2*H1339*J1339,2))</f>
        <v/>
      </c>
      <c r="L1339" s="9"/>
      <c r="M1339" s="10" t="str">
        <f aca="false">IF(A1339="","",IF((COUNTIF(Drain_Register!$A$5:$A$304,A1339)+COUNTIF(RW_Register!$A$5:$A$304,A1339)+COUNTIF(Embedded_Wall_Register!$A$5:$A$304,A1339)+COUNTIF(Manhole_Register!$A$5:$A$304,A1339)+COUNTIF(ERSS_Pit_Register!$A$5:$A$304,A1339)+COUNTIF(Linkway_Register!$A$5:$A$304,A1339)+COUNTIF(Other_Register!$A$5:$A$304,A1339))&gt;0,"OK","ID not in any register"))</f>
        <v/>
      </c>
    </row>
    <row r="1340" customFormat="false" ht="15" hidden="false" customHeight="false" outlineLevel="0" collapsed="false">
      <c r="A1340" s="9"/>
      <c r="B1340" s="9"/>
      <c r="C1340" s="9"/>
      <c r="D1340" s="9"/>
      <c r="E1340" s="9"/>
      <c r="F1340" s="9"/>
      <c r="G1340" s="9"/>
      <c r="H1340" s="9"/>
      <c r="I1340" s="9"/>
      <c r="J1340" s="10" t="str">
        <f aca="false">IF(A1340="","",IF(G1340&lt;&gt;"",G1340,IF(N(F1340)&gt;0,ROUND(1000/F1340,3),0)))</f>
        <v/>
      </c>
      <c r="K1340" s="10" t="str">
        <f aca="false">IF(OR(A1340="",E1340="",H1340=""),"",ROUND(0.00617*E1340^2*H1340*J1340,2))</f>
        <v/>
      </c>
      <c r="L1340" s="9"/>
      <c r="M1340" s="10" t="str">
        <f aca="false">IF(A1340="","",IF((COUNTIF(Drain_Register!$A$5:$A$304,A1340)+COUNTIF(RW_Register!$A$5:$A$304,A1340)+COUNTIF(Embedded_Wall_Register!$A$5:$A$304,A1340)+COUNTIF(Manhole_Register!$A$5:$A$304,A1340)+COUNTIF(ERSS_Pit_Register!$A$5:$A$304,A1340)+COUNTIF(Linkway_Register!$A$5:$A$304,A1340)+COUNTIF(Other_Register!$A$5:$A$304,A1340))&gt;0,"OK","ID not in any register"))</f>
        <v/>
      </c>
    </row>
    <row r="1341" customFormat="false" ht="15" hidden="false" customHeight="false" outlineLevel="0" collapsed="false">
      <c r="A1341" s="9"/>
      <c r="B1341" s="9"/>
      <c r="C1341" s="9"/>
      <c r="D1341" s="9"/>
      <c r="E1341" s="9"/>
      <c r="F1341" s="9"/>
      <c r="G1341" s="9"/>
      <c r="H1341" s="9"/>
      <c r="I1341" s="9"/>
      <c r="J1341" s="10" t="str">
        <f aca="false">IF(A1341="","",IF(G1341&lt;&gt;"",G1341,IF(N(F1341)&gt;0,ROUND(1000/F1341,3),0)))</f>
        <v/>
      </c>
      <c r="K1341" s="10" t="str">
        <f aca="false">IF(OR(A1341="",E1341="",H1341=""),"",ROUND(0.00617*E1341^2*H1341*J1341,2))</f>
        <v/>
      </c>
      <c r="L1341" s="9"/>
      <c r="M1341" s="10" t="str">
        <f aca="false">IF(A1341="","",IF((COUNTIF(Drain_Register!$A$5:$A$304,A1341)+COUNTIF(RW_Register!$A$5:$A$304,A1341)+COUNTIF(Embedded_Wall_Register!$A$5:$A$304,A1341)+COUNTIF(Manhole_Register!$A$5:$A$304,A1341)+COUNTIF(ERSS_Pit_Register!$A$5:$A$304,A1341)+COUNTIF(Linkway_Register!$A$5:$A$304,A1341)+COUNTIF(Other_Register!$A$5:$A$304,A1341))&gt;0,"OK","ID not in any register"))</f>
        <v/>
      </c>
    </row>
    <row r="1342" customFormat="false" ht="15" hidden="false" customHeight="false" outlineLevel="0" collapsed="false">
      <c r="A1342" s="9"/>
      <c r="B1342" s="9"/>
      <c r="C1342" s="9"/>
      <c r="D1342" s="9"/>
      <c r="E1342" s="9"/>
      <c r="F1342" s="9"/>
      <c r="G1342" s="9"/>
      <c r="H1342" s="9"/>
      <c r="I1342" s="9"/>
      <c r="J1342" s="10" t="str">
        <f aca="false">IF(A1342="","",IF(G1342&lt;&gt;"",G1342,IF(N(F1342)&gt;0,ROUND(1000/F1342,3),0)))</f>
        <v/>
      </c>
      <c r="K1342" s="10" t="str">
        <f aca="false">IF(OR(A1342="",E1342="",H1342=""),"",ROUND(0.00617*E1342^2*H1342*J1342,2))</f>
        <v/>
      </c>
      <c r="L1342" s="9"/>
      <c r="M1342" s="10" t="str">
        <f aca="false">IF(A1342="","",IF((COUNTIF(Drain_Register!$A$5:$A$304,A1342)+COUNTIF(RW_Register!$A$5:$A$304,A1342)+COUNTIF(Embedded_Wall_Register!$A$5:$A$304,A1342)+COUNTIF(Manhole_Register!$A$5:$A$304,A1342)+COUNTIF(ERSS_Pit_Register!$A$5:$A$304,A1342)+COUNTIF(Linkway_Register!$A$5:$A$304,A1342)+COUNTIF(Other_Register!$A$5:$A$304,A1342))&gt;0,"OK","ID not in any register"))</f>
        <v/>
      </c>
    </row>
    <row r="1343" customFormat="false" ht="15" hidden="false" customHeight="false" outlineLevel="0" collapsed="false">
      <c r="A1343" s="9"/>
      <c r="B1343" s="9"/>
      <c r="C1343" s="9"/>
      <c r="D1343" s="9"/>
      <c r="E1343" s="9"/>
      <c r="F1343" s="9"/>
      <c r="G1343" s="9"/>
      <c r="H1343" s="9"/>
      <c r="I1343" s="9"/>
      <c r="J1343" s="10" t="str">
        <f aca="false">IF(A1343="","",IF(G1343&lt;&gt;"",G1343,IF(N(F1343)&gt;0,ROUND(1000/F1343,3),0)))</f>
        <v/>
      </c>
      <c r="K1343" s="10" t="str">
        <f aca="false">IF(OR(A1343="",E1343="",H1343=""),"",ROUND(0.00617*E1343^2*H1343*J1343,2))</f>
        <v/>
      </c>
      <c r="L1343" s="9"/>
      <c r="M1343" s="10" t="str">
        <f aca="false">IF(A1343="","",IF((COUNTIF(Drain_Register!$A$5:$A$304,A1343)+COUNTIF(RW_Register!$A$5:$A$304,A1343)+COUNTIF(Embedded_Wall_Register!$A$5:$A$304,A1343)+COUNTIF(Manhole_Register!$A$5:$A$304,A1343)+COUNTIF(ERSS_Pit_Register!$A$5:$A$304,A1343)+COUNTIF(Linkway_Register!$A$5:$A$304,A1343)+COUNTIF(Other_Register!$A$5:$A$304,A1343))&gt;0,"OK","ID not in any register"))</f>
        <v/>
      </c>
    </row>
    <row r="1344" customFormat="false" ht="15" hidden="false" customHeight="false" outlineLevel="0" collapsed="false">
      <c r="A1344" s="9"/>
      <c r="B1344" s="9"/>
      <c r="C1344" s="9"/>
      <c r="D1344" s="9"/>
      <c r="E1344" s="9"/>
      <c r="F1344" s="9"/>
      <c r="G1344" s="9"/>
      <c r="H1344" s="9"/>
      <c r="I1344" s="9"/>
      <c r="J1344" s="10" t="str">
        <f aca="false">IF(A1344="","",IF(G1344&lt;&gt;"",G1344,IF(N(F1344)&gt;0,ROUND(1000/F1344,3),0)))</f>
        <v/>
      </c>
      <c r="K1344" s="10" t="str">
        <f aca="false">IF(OR(A1344="",E1344="",H1344=""),"",ROUND(0.00617*E1344^2*H1344*J1344,2))</f>
        <v/>
      </c>
      <c r="L1344" s="9"/>
      <c r="M1344" s="10" t="str">
        <f aca="false">IF(A1344="","",IF((COUNTIF(Drain_Register!$A$5:$A$304,A1344)+COUNTIF(RW_Register!$A$5:$A$304,A1344)+COUNTIF(Embedded_Wall_Register!$A$5:$A$304,A1344)+COUNTIF(Manhole_Register!$A$5:$A$304,A1344)+COUNTIF(ERSS_Pit_Register!$A$5:$A$304,A1344)+COUNTIF(Linkway_Register!$A$5:$A$304,A1344)+COUNTIF(Other_Register!$A$5:$A$304,A1344))&gt;0,"OK","ID not in any register"))</f>
        <v/>
      </c>
    </row>
    <row r="1345" customFormat="false" ht="15" hidden="false" customHeight="false" outlineLevel="0" collapsed="false">
      <c r="A1345" s="9"/>
      <c r="B1345" s="9"/>
      <c r="C1345" s="9"/>
      <c r="D1345" s="9"/>
      <c r="E1345" s="9"/>
      <c r="F1345" s="9"/>
      <c r="G1345" s="9"/>
      <c r="H1345" s="9"/>
      <c r="I1345" s="9"/>
      <c r="J1345" s="10" t="str">
        <f aca="false">IF(A1345="","",IF(G1345&lt;&gt;"",G1345,IF(N(F1345)&gt;0,ROUND(1000/F1345,3),0)))</f>
        <v/>
      </c>
      <c r="K1345" s="10" t="str">
        <f aca="false">IF(OR(A1345="",E1345="",H1345=""),"",ROUND(0.00617*E1345^2*H1345*J1345,2))</f>
        <v/>
      </c>
      <c r="L1345" s="9"/>
      <c r="M1345" s="10" t="str">
        <f aca="false">IF(A1345="","",IF((COUNTIF(Drain_Register!$A$5:$A$304,A1345)+COUNTIF(RW_Register!$A$5:$A$304,A1345)+COUNTIF(Embedded_Wall_Register!$A$5:$A$304,A1345)+COUNTIF(Manhole_Register!$A$5:$A$304,A1345)+COUNTIF(ERSS_Pit_Register!$A$5:$A$304,A1345)+COUNTIF(Linkway_Register!$A$5:$A$304,A1345)+COUNTIF(Other_Register!$A$5:$A$304,A1345))&gt;0,"OK","ID not in any register"))</f>
        <v/>
      </c>
    </row>
    <row r="1346" customFormat="false" ht="15" hidden="false" customHeight="false" outlineLevel="0" collapsed="false">
      <c r="A1346" s="9"/>
      <c r="B1346" s="9"/>
      <c r="C1346" s="9"/>
      <c r="D1346" s="9"/>
      <c r="E1346" s="9"/>
      <c r="F1346" s="9"/>
      <c r="G1346" s="9"/>
      <c r="H1346" s="9"/>
      <c r="I1346" s="9"/>
      <c r="J1346" s="10" t="str">
        <f aca="false">IF(A1346="","",IF(G1346&lt;&gt;"",G1346,IF(N(F1346)&gt;0,ROUND(1000/F1346,3),0)))</f>
        <v/>
      </c>
      <c r="K1346" s="10" t="str">
        <f aca="false">IF(OR(A1346="",E1346="",H1346=""),"",ROUND(0.00617*E1346^2*H1346*J1346,2))</f>
        <v/>
      </c>
      <c r="L1346" s="9"/>
      <c r="M1346" s="10" t="str">
        <f aca="false">IF(A1346="","",IF((COUNTIF(Drain_Register!$A$5:$A$304,A1346)+COUNTIF(RW_Register!$A$5:$A$304,A1346)+COUNTIF(Embedded_Wall_Register!$A$5:$A$304,A1346)+COUNTIF(Manhole_Register!$A$5:$A$304,A1346)+COUNTIF(ERSS_Pit_Register!$A$5:$A$304,A1346)+COUNTIF(Linkway_Register!$A$5:$A$304,A1346)+COUNTIF(Other_Register!$A$5:$A$304,A1346))&gt;0,"OK","ID not in any register"))</f>
        <v/>
      </c>
    </row>
    <row r="1347" customFormat="false" ht="15" hidden="false" customHeight="false" outlineLevel="0" collapsed="false">
      <c r="A1347" s="9"/>
      <c r="B1347" s="9"/>
      <c r="C1347" s="9"/>
      <c r="D1347" s="9"/>
      <c r="E1347" s="9"/>
      <c r="F1347" s="9"/>
      <c r="G1347" s="9"/>
      <c r="H1347" s="9"/>
      <c r="I1347" s="9"/>
      <c r="J1347" s="10" t="str">
        <f aca="false">IF(A1347="","",IF(G1347&lt;&gt;"",G1347,IF(N(F1347)&gt;0,ROUND(1000/F1347,3),0)))</f>
        <v/>
      </c>
      <c r="K1347" s="10" t="str">
        <f aca="false">IF(OR(A1347="",E1347="",H1347=""),"",ROUND(0.00617*E1347^2*H1347*J1347,2))</f>
        <v/>
      </c>
      <c r="L1347" s="9"/>
      <c r="M1347" s="10" t="str">
        <f aca="false">IF(A1347="","",IF((COUNTIF(Drain_Register!$A$5:$A$304,A1347)+COUNTIF(RW_Register!$A$5:$A$304,A1347)+COUNTIF(Embedded_Wall_Register!$A$5:$A$304,A1347)+COUNTIF(Manhole_Register!$A$5:$A$304,A1347)+COUNTIF(ERSS_Pit_Register!$A$5:$A$304,A1347)+COUNTIF(Linkway_Register!$A$5:$A$304,A1347)+COUNTIF(Other_Register!$A$5:$A$304,A1347))&gt;0,"OK","ID not in any register"))</f>
        <v/>
      </c>
    </row>
    <row r="1348" customFormat="false" ht="15" hidden="false" customHeight="false" outlineLevel="0" collapsed="false">
      <c r="A1348" s="9"/>
      <c r="B1348" s="9"/>
      <c r="C1348" s="9"/>
      <c r="D1348" s="9"/>
      <c r="E1348" s="9"/>
      <c r="F1348" s="9"/>
      <c r="G1348" s="9"/>
      <c r="H1348" s="9"/>
      <c r="I1348" s="9"/>
      <c r="J1348" s="10" t="str">
        <f aca="false">IF(A1348="","",IF(G1348&lt;&gt;"",G1348,IF(N(F1348)&gt;0,ROUND(1000/F1348,3),0)))</f>
        <v/>
      </c>
      <c r="K1348" s="10" t="str">
        <f aca="false">IF(OR(A1348="",E1348="",H1348=""),"",ROUND(0.00617*E1348^2*H1348*J1348,2))</f>
        <v/>
      </c>
      <c r="L1348" s="9"/>
      <c r="M1348" s="10" t="str">
        <f aca="false">IF(A1348="","",IF((COUNTIF(Drain_Register!$A$5:$A$304,A1348)+COUNTIF(RW_Register!$A$5:$A$304,A1348)+COUNTIF(Embedded_Wall_Register!$A$5:$A$304,A1348)+COUNTIF(Manhole_Register!$A$5:$A$304,A1348)+COUNTIF(ERSS_Pit_Register!$A$5:$A$304,A1348)+COUNTIF(Linkway_Register!$A$5:$A$304,A1348)+COUNTIF(Other_Register!$A$5:$A$304,A1348))&gt;0,"OK","ID not in any register"))</f>
        <v/>
      </c>
    </row>
    <row r="1349" customFormat="false" ht="15" hidden="false" customHeight="false" outlineLevel="0" collapsed="false">
      <c r="A1349" s="9"/>
      <c r="B1349" s="9"/>
      <c r="C1349" s="9"/>
      <c r="D1349" s="9"/>
      <c r="E1349" s="9"/>
      <c r="F1349" s="9"/>
      <c r="G1349" s="9"/>
      <c r="H1349" s="9"/>
      <c r="I1349" s="9"/>
      <c r="J1349" s="10" t="str">
        <f aca="false">IF(A1349="","",IF(G1349&lt;&gt;"",G1349,IF(N(F1349)&gt;0,ROUND(1000/F1349,3),0)))</f>
        <v/>
      </c>
      <c r="K1349" s="10" t="str">
        <f aca="false">IF(OR(A1349="",E1349="",H1349=""),"",ROUND(0.00617*E1349^2*H1349*J1349,2))</f>
        <v/>
      </c>
      <c r="L1349" s="9"/>
      <c r="M1349" s="10" t="str">
        <f aca="false">IF(A1349="","",IF((COUNTIF(Drain_Register!$A$5:$A$304,A1349)+COUNTIF(RW_Register!$A$5:$A$304,A1349)+COUNTIF(Embedded_Wall_Register!$A$5:$A$304,A1349)+COUNTIF(Manhole_Register!$A$5:$A$304,A1349)+COUNTIF(ERSS_Pit_Register!$A$5:$A$304,A1349)+COUNTIF(Linkway_Register!$A$5:$A$304,A1349)+COUNTIF(Other_Register!$A$5:$A$304,A1349))&gt;0,"OK","ID not in any register"))</f>
        <v/>
      </c>
    </row>
    <row r="1350" customFormat="false" ht="15" hidden="false" customHeight="false" outlineLevel="0" collapsed="false">
      <c r="A1350" s="9"/>
      <c r="B1350" s="9"/>
      <c r="C1350" s="9"/>
      <c r="D1350" s="9"/>
      <c r="E1350" s="9"/>
      <c r="F1350" s="9"/>
      <c r="G1350" s="9"/>
      <c r="H1350" s="9"/>
      <c r="I1350" s="9"/>
      <c r="J1350" s="10" t="str">
        <f aca="false">IF(A1350="","",IF(G1350&lt;&gt;"",G1350,IF(N(F1350)&gt;0,ROUND(1000/F1350,3),0)))</f>
        <v/>
      </c>
      <c r="K1350" s="10" t="str">
        <f aca="false">IF(OR(A1350="",E1350="",H1350=""),"",ROUND(0.00617*E1350^2*H1350*J1350,2))</f>
        <v/>
      </c>
      <c r="L1350" s="9"/>
      <c r="M1350" s="10" t="str">
        <f aca="false">IF(A1350="","",IF((COUNTIF(Drain_Register!$A$5:$A$304,A1350)+COUNTIF(RW_Register!$A$5:$A$304,A1350)+COUNTIF(Embedded_Wall_Register!$A$5:$A$304,A1350)+COUNTIF(Manhole_Register!$A$5:$A$304,A1350)+COUNTIF(ERSS_Pit_Register!$A$5:$A$304,A1350)+COUNTIF(Linkway_Register!$A$5:$A$304,A1350)+COUNTIF(Other_Register!$A$5:$A$304,A1350))&gt;0,"OK","ID not in any register"))</f>
        <v/>
      </c>
    </row>
    <row r="1351" customFormat="false" ht="15" hidden="false" customHeight="false" outlineLevel="0" collapsed="false">
      <c r="A1351" s="9"/>
      <c r="B1351" s="9"/>
      <c r="C1351" s="9"/>
      <c r="D1351" s="9"/>
      <c r="E1351" s="9"/>
      <c r="F1351" s="9"/>
      <c r="G1351" s="9"/>
      <c r="H1351" s="9"/>
      <c r="I1351" s="9"/>
      <c r="J1351" s="10" t="str">
        <f aca="false">IF(A1351="","",IF(G1351&lt;&gt;"",G1351,IF(N(F1351)&gt;0,ROUND(1000/F1351,3),0)))</f>
        <v/>
      </c>
      <c r="K1351" s="10" t="str">
        <f aca="false">IF(OR(A1351="",E1351="",H1351=""),"",ROUND(0.00617*E1351^2*H1351*J1351,2))</f>
        <v/>
      </c>
      <c r="L1351" s="9"/>
      <c r="M1351" s="10" t="str">
        <f aca="false">IF(A1351="","",IF((COUNTIF(Drain_Register!$A$5:$A$304,A1351)+COUNTIF(RW_Register!$A$5:$A$304,A1351)+COUNTIF(Embedded_Wall_Register!$A$5:$A$304,A1351)+COUNTIF(Manhole_Register!$A$5:$A$304,A1351)+COUNTIF(ERSS_Pit_Register!$A$5:$A$304,A1351)+COUNTIF(Linkway_Register!$A$5:$A$304,A1351)+COUNTIF(Other_Register!$A$5:$A$304,A1351))&gt;0,"OK","ID not in any register"))</f>
        <v/>
      </c>
    </row>
    <row r="1352" customFormat="false" ht="15" hidden="false" customHeight="false" outlineLevel="0" collapsed="false">
      <c r="A1352" s="9"/>
      <c r="B1352" s="9"/>
      <c r="C1352" s="9"/>
      <c r="D1352" s="9"/>
      <c r="E1352" s="9"/>
      <c r="F1352" s="9"/>
      <c r="G1352" s="9"/>
      <c r="H1352" s="9"/>
      <c r="I1352" s="9"/>
      <c r="J1352" s="10" t="str">
        <f aca="false">IF(A1352="","",IF(G1352&lt;&gt;"",G1352,IF(N(F1352)&gt;0,ROUND(1000/F1352,3),0)))</f>
        <v/>
      </c>
      <c r="K1352" s="10" t="str">
        <f aca="false">IF(OR(A1352="",E1352="",H1352=""),"",ROUND(0.00617*E1352^2*H1352*J1352,2))</f>
        <v/>
      </c>
      <c r="L1352" s="9"/>
      <c r="M1352" s="10" t="str">
        <f aca="false">IF(A1352="","",IF((COUNTIF(Drain_Register!$A$5:$A$304,A1352)+COUNTIF(RW_Register!$A$5:$A$304,A1352)+COUNTIF(Embedded_Wall_Register!$A$5:$A$304,A1352)+COUNTIF(Manhole_Register!$A$5:$A$304,A1352)+COUNTIF(ERSS_Pit_Register!$A$5:$A$304,A1352)+COUNTIF(Linkway_Register!$A$5:$A$304,A1352)+COUNTIF(Other_Register!$A$5:$A$304,A1352))&gt;0,"OK","ID not in any register"))</f>
        <v/>
      </c>
    </row>
    <row r="1353" customFormat="false" ht="15" hidden="false" customHeight="false" outlineLevel="0" collapsed="false">
      <c r="A1353" s="9"/>
      <c r="B1353" s="9"/>
      <c r="C1353" s="9"/>
      <c r="D1353" s="9"/>
      <c r="E1353" s="9"/>
      <c r="F1353" s="9"/>
      <c r="G1353" s="9"/>
      <c r="H1353" s="9"/>
      <c r="I1353" s="9"/>
      <c r="J1353" s="10" t="str">
        <f aca="false">IF(A1353="","",IF(G1353&lt;&gt;"",G1353,IF(N(F1353)&gt;0,ROUND(1000/F1353,3),0)))</f>
        <v/>
      </c>
      <c r="K1353" s="10" t="str">
        <f aca="false">IF(OR(A1353="",E1353="",H1353=""),"",ROUND(0.00617*E1353^2*H1353*J1353,2))</f>
        <v/>
      </c>
      <c r="L1353" s="9"/>
      <c r="M1353" s="10" t="str">
        <f aca="false">IF(A1353="","",IF((COUNTIF(Drain_Register!$A$5:$A$304,A1353)+COUNTIF(RW_Register!$A$5:$A$304,A1353)+COUNTIF(Embedded_Wall_Register!$A$5:$A$304,A1353)+COUNTIF(Manhole_Register!$A$5:$A$304,A1353)+COUNTIF(ERSS_Pit_Register!$A$5:$A$304,A1353)+COUNTIF(Linkway_Register!$A$5:$A$304,A1353)+COUNTIF(Other_Register!$A$5:$A$304,A1353))&gt;0,"OK","ID not in any register"))</f>
        <v/>
      </c>
    </row>
    <row r="1354" customFormat="false" ht="15" hidden="false" customHeight="false" outlineLevel="0" collapsed="false">
      <c r="A1354" s="9"/>
      <c r="B1354" s="9"/>
      <c r="C1354" s="9"/>
      <c r="D1354" s="9"/>
      <c r="E1354" s="9"/>
      <c r="F1354" s="9"/>
      <c r="G1354" s="9"/>
      <c r="H1354" s="9"/>
      <c r="I1354" s="9"/>
      <c r="J1354" s="10" t="str">
        <f aca="false">IF(A1354="","",IF(G1354&lt;&gt;"",G1354,IF(N(F1354)&gt;0,ROUND(1000/F1354,3),0)))</f>
        <v/>
      </c>
      <c r="K1354" s="10" t="str">
        <f aca="false">IF(OR(A1354="",E1354="",H1354=""),"",ROUND(0.00617*E1354^2*H1354*J1354,2))</f>
        <v/>
      </c>
      <c r="L1354" s="9"/>
      <c r="M1354" s="10" t="str">
        <f aca="false">IF(A1354="","",IF((COUNTIF(Drain_Register!$A$5:$A$304,A1354)+COUNTIF(RW_Register!$A$5:$A$304,A1354)+COUNTIF(Embedded_Wall_Register!$A$5:$A$304,A1354)+COUNTIF(Manhole_Register!$A$5:$A$304,A1354)+COUNTIF(ERSS_Pit_Register!$A$5:$A$304,A1354)+COUNTIF(Linkway_Register!$A$5:$A$304,A1354)+COUNTIF(Other_Register!$A$5:$A$304,A1354))&gt;0,"OK","ID not in any register"))</f>
        <v/>
      </c>
    </row>
    <row r="1355" customFormat="false" ht="15" hidden="false" customHeight="false" outlineLevel="0" collapsed="false">
      <c r="A1355" s="9"/>
      <c r="B1355" s="9"/>
      <c r="C1355" s="9"/>
      <c r="D1355" s="9"/>
      <c r="E1355" s="9"/>
      <c r="F1355" s="9"/>
      <c r="G1355" s="9"/>
      <c r="H1355" s="9"/>
      <c r="I1355" s="9"/>
      <c r="J1355" s="10" t="str">
        <f aca="false">IF(A1355="","",IF(G1355&lt;&gt;"",G1355,IF(N(F1355)&gt;0,ROUND(1000/F1355,3),0)))</f>
        <v/>
      </c>
      <c r="K1355" s="10" t="str">
        <f aca="false">IF(OR(A1355="",E1355="",H1355=""),"",ROUND(0.00617*E1355^2*H1355*J1355,2))</f>
        <v/>
      </c>
      <c r="L1355" s="9"/>
      <c r="M1355" s="10" t="str">
        <f aca="false">IF(A1355="","",IF((COUNTIF(Drain_Register!$A$5:$A$304,A1355)+COUNTIF(RW_Register!$A$5:$A$304,A1355)+COUNTIF(Embedded_Wall_Register!$A$5:$A$304,A1355)+COUNTIF(Manhole_Register!$A$5:$A$304,A1355)+COUNTIF(ERSS_Pit_Register!$A$5:$A$304,A1355)+COUNTIF(Linkway_Register!$A$5:$A$304,A1355)+COUNTIF(Other_Register!$A$5:$A$304,A1355))&gt;0,"OK","ID not in any register"))</f>
        <v/>
      </c>
    </row>
    <row r="1356" customFormat="false" ht="15" hidden="false" customHeight="false" outlineLevel="0" collapsed="false">
      <c r="A1356" s="9"/>
      <c r="B1356" s="9"/>
      <c r="C1356" s="9"/>
      <c r="D1356" s="9"/>
      <c r="E1356" s="9"/>
      <c r="F1356" s="9"/>
      <c r="G1356" s="9"/>
      <c r="H1356" s="9"/>
      <c r="I1356" s="9"/>
      <c r="J1356" s="10" t="str">
        <f aca="false">IF(A1356="","",IF(G1356&lt;&gt;"",G1356,IF(N(F1356)&gt;0,ROUND(1000/F1356,3),0)))</f>
        <v/>
      </c>
      <c r="K1356" s="10" t="str">
        <f aca="false">IF(OR(A1356="",E1356="",H1356=""),"",ROUND(0.00617*E1356^2*H1356*J1356,2))</f>
        <v/>
      </c>
      <c r="L1356" s="9"/>
      <c r="M1356" s="10" t="str">
        <f aca="false">IF(A1356="","",IF((COUNTIF(Drain_Register!$A$5:$A$304,A1356)+COUNTIF(RW_Register!$A$5:$A$304,A1356)+COUNTIF(Embedded_Wall_Register!$A$5:$A$304,A1356)+COUNTIF(Manhole_Register!$A$5:$A$304,A1356)+COUNTIF(ERSS_Pit_Register!$A$5:$A$304,A1356)+COUNTIF(Linkway_Register!$A$5:$A$304,A1356)+COUNTIF(Other_Register!$A$5:$A$304,A1356))&gt;0,"OK","ID not in any register"))</f>
        <v/>
      </c>
    </row>
    <row r="1357" customFormat="false" ht="15" hidden="false" customHeight="false" outlineLevel="0" collapsed="false">
      <c r="A1357" s="9"/>
      <c r="B1357" s="9"/>
      <c r="C1357" s="9"/>
      <c r="D1357" s="9"/>
      <c r="E1357" s="9"/>
      <c r="F1357" s="9"/>
      <c r="G1357" s="9"/>
      <c r="H1357" s="9"/>
      <c r="I1357" s="9"/>
      <c r="J1357" s="10" t="str">
        <f aca="false">IF(A1357="","",IF(G1357&lt;&gt;"",G1357,IF(N(F1357)&gt;0,ROUND(1000/F1357,3),0)))</f>
        <v/>
      </c>
      <c r="K1357" s="10" t="str">
        <f aca="false">IF(OR(A1357="",E1357="",H1357=""),"",ROUND(0.00617*E1357^2*H1357*J1357,2))</f>
        <v/>
      </c>
      <c r="L1357" s="9"/>
      <c r="M1357" s="10" t="str">
        <f aca="false">IF(A1357="","",IF((COUNTIF(Drain_Register!$A$5:$A$304,A1357)+COUNTIF(RW_Register!$A$5:$A$304,A1357)+COUNTIF(Embedded_Wall_Register!$A$5:$A$304,A1357)+COUNTIF(Manhole_Register!$A$5:$A$304,A1357)+COUNTIF(ERSS_Pit_Register!$A$5:$A$304,A1357)+COUNTIF(Linkway_Register!$A$5:$A$304,A1357)+COUNTIF(Other_Register!$A$5:$A$304,A1357))&gt;0,"OK","ID not in any register"))</f>
        <v/>
      </c>
    </row>
    <row r="1358" customFormat="false" ht="15" hidden="false" customHeight="false" outlineLevel="0" collapsed="false">
      <c r="A1358" s="9"/>
      <c r="B1358" s="9"/>
      <c r="C1358" s="9"/>
      <c r="D1358" s="9"/>
      <c r="E1358" s="9"/>
      <c r="F1358" s="9"/>
      <c r="G1358" s="9"/>
      <c r="H1358" s="9"/>
      <c r="I1358" s="9"/>
      <c r="J1358" s="10" t="str">
        <f aca="false">IF(A1358="","",IF(G1358&lt;&gt;"",G1358,IF(N(F1358)&gt;0,ROUND(1000/F1358,3),0)))</f>
        <v/>
      </c>
      <c r="K1358" s="10" t="str">
        <f aca="false">IF(OR(A1358="",E1358="",H1358=""),"",ROUND(0.00617*E1358^2*H1358*J1358,2))</f>
        <v/>
      </c>
      <c r="L1358" s="9"/>
      <c r="M1358" s="10" t="str">
        <f aca="false">IF(A1358="","",IF((COUNTIF(Drain_Register!$A$5:$A$304,A1358)+COUNTIF(RW_Register!$A$5:$A$304,A1358)+COUNTIF(Embedded_Wall_Register!$A$5:$A$304,A1358)+COUNTIF(Manhole_Register!$A$5:$A$304,A1358)+COUNTIF(ERSS_Pit_Register!$A$5:$A$304,A1358)+COUNTIF(Linkway_Register!$A$5:$A$304,A1358)+COUNTIF(Other_Register!$A$5:$A$304,A1358))&gt;0,"OK","ID not in any register"))</f>
        <v/>
      </c>
    </row>
    <row r="1359" customFormat="false" ht="15" hidden="false" customHeight="false" outlineLevel="0" collapsed="false">
      <c r="A1359" s="9"/>
      <c r="B1359" s="9"/>
      <c r="C1359" s="9"/>
      <c r="D1359" s="9"/>
      <c r="E1359" s="9"/>
      <c r="F1359" s="9"/>
      <c r="G1359" s="9"/>
      <c r="H1359" s="9"/>
      <c r="I1359" s="9"/>
      <c r="J1359" s="10" t="str">
        <f aca="false">IF(A1359="","",IF(G1359&lt;&gt;"",G1359,IF(N(F1359)&gt;0,ROUND(1000/F1359,3),0)))</f>
        <v/>
      </c>
      <c r="K1359" s="10" t="str">
        <f aca="false">IF(OR(A1359="",E1359="",H1359=""),"",ROUND(0.00617*E1359^2*H1359*J1359,2))</f>
        <v/>
      </c>
      <c r="L1359" s="9"/>
      <c r="M1359" s="10" t="str">
        <f aca="false">IF(A1359="","",IF((COUNTIF(Drain_Register!$A$5:$A$304,A1359)+COUNTIF(RW_Register!$A$5:$A$304,A1359)+COUNTIF(Embedded_Wall_Register!$A$5:$A$304,A1359)+COUNTIF(Manhole_Register!$A$5:$A$304,A1359)+COUNTIF(ERSS_Pit_Register!$A$5:$A$304,A1359)+COUNTIF(Linkway_Register!$A$5:$A$304,A1359)+COUNTIF(Other_Register!$A$5:$A$304,A1359))&gt;0,"OK","ID not in any register"))</f>
        <v/>
      </c>
    </row>
    <row r="1360" customFormat="false" ht="15" hidden="false" customHeight="false" outlineLevel="0" collapsed="false">
      <c r="A1360" s="9"/>
      <c r="B1360" s="9"/>
      <c r="C1360" s="9"/>
      <c r="D1360" s="9"/>
      <c r="E1360" s="9"/>
      <c r="F1360" s="9"/>
      <c r="G1360" s="9"/>
      <c r="H1360" s="9"/>
      <c r="I1360" s="9"/>
      <c r="J1360" s="10" t="str">
        <f aca="false">IF(A1360="","",IF(G1360&lt;&gt;"",G1360,IF(N(F1360)&gt;0,ROUND(1000/F1360,3),0)))</f>
        <v/>
      </c>
      <c r="K1360" s="10" t="str">
        <f aca="false">IF(OR(A1360="",E1360="",H1360=""),"",ROUND(0.00617*E1360^2*H1360*J1360,2))</f>
        <v/>
      </c>
      <c r="L1360" s="9"/>
      <c r="M1360" s="10" t="str">
        <f aca="false">IF(A1360="","",IF((COUNTIF(Drain_Register!$A$5:$A$304,A1360)+COUNTIF(RW_Register!$A$5:$A$304,A1360)+COUNTIF(Embedded_Wall_Register!$A$5:$A$304,A1360)+COUNTIF(Manhole_Register!$A$5:$A$304,A1360)+COUNTIF(ERSS_Pit_Register!$A$5:$A$304,A1360)+COUNTIF(Linkway_Register!$A$5:$A$304,A1360)+COUNTIF(Other_Register!$A$5:$A$304,A1360))&gt;0,"OK","ID not in any register"))</f>
        <v/>
      </c>
    </row>
    <row r="1361" customFormat="false" ht="15" hidden="false" customHeight="false" outlineLevel="0" collapsed="false">
      <c r="A1361" s="9"/>
      <c r="B1361" s="9"/>
      <c r="C1361" s="9"/>
      <c r="D1361" s="9"/>
      <c r="E1361" s="9"/>
      <c r="F1361" s="9"/>
      <c r="G1361" s="9"/>
      <c r="H1361" s="9"/>
      <c r="I1361" s="9"/>
      <c r="J1361" s="10" t="str">
        <f aca="false">IF(A1361="","",IF(G1361&lt;&gt;"",G1361,IF(N(F1361)&gt;0,ROUND(1000/F1361,3),0)))</f>
        <v/>
      </c>
      <c r="K1361" s="10" t="str">
        <f aca="false">IF(OR(A1361="",E1361="",H1361=""),"",ROUND(0.00617*E1361^2*H1361*J1361,2))</f>
        <v/>
      </c>
      <c r="L1361" s="9"/>
      <c r="M1361" s="10" t="str">
        <f aca="false">IF(A1361="","",IF((COUNTIF(Drain_Register!$A$5:$A$304,A1361)+COUNTIF(RW_Register!$A$5:$A$304,A1361)+COUNTIF(Embedded_Wall_Register!$A$5:$A$304,A1361)+COUNTIF(Manhole_Register!$A$5:$A$304,A1361)+COUNTIF(ERSS_Pit_Register!$A$5:$A$304,A1361)+COUNTIF(Linkway_Register!$A$5:$A$304,A1361)+COUNTIF(Other_Register!$A$5:$A$304,A1361))&gt;0,"OK","ID not in any register"))</f>
        <v/>
      </c>
    </row>
    <row r="1362" customFormat="false" ht="15" hidden="false" customHeight="false" outlineLevel="0" collapsed="false">
      <c r="A1362" s="9"/>
      <c r="B1362" s="9"/>
      <c r="C1362" s="9"/>
      <c r="D1362" s="9"/>
      <c r="E1362" s="9"/>
      <c r="F1362" s="9"/>
      <c r="G1362" s="9"/>
      <c r="H1362" s="9"/>
      <c r="I1362" s="9"/>
      <c r="J1362" s="10" t="str">
        <f aca="false">IF(A1362="","",IF(G1362&lt;&gt;"",G1362,IF(N(F1362)&gt;0,ROUND(1000/F1362,3),0)))</f>
        <v/>
      </c>
      <c r="K1362" s="10" t="str">
        <f aca="false">IF(OR(A1362="",E1362="",H1362=""),"",ROUND(0.00617*E1362^2*H1362*J1362,2))</f>
        <v/>
      </c>
      <c r="L1362" s="9"/>
      <c r="M1362" s="10" t="str">
        <f aca="false">IF(A1362="","",IF((COUNTIF(Drain_Register!$A$5:$A$304,A1362)+COUNTIF(RW_Register!$A$5:$A$304,A1362)+COUNTIF(Embedded_Wall_Register!$A$5:$A$304,A1362)+COUNTIF(Manhole_Register!$A$5:$A$304,A1362)+COUNTIF(ERSS_Pit_Register!$A$5:$A$304,A1362)+COUNTIF(Linkway_Register!$A$5:$A$304,A1362)+COUNTIF(Other_Register!$A$5:$A$304,A1362))&gt;0,"OK","ID not in any register"))</f>
        <v/>
      </c>
    </row>
    <row r="1363" customFormat="false" ht="15" hidden="false" customHeight="false" outlineLevel="0" collapsed="false">
      <c r="A1363" s="9"/>
      <c r="B1363" s="9"/>
      <c r="C1363" s="9"/>
      <c r="D1363" s="9"/>
      <c r="E1363" s="9"/>
      <c r="F1363" s="9"/>
      <c r="G1363" s="9"/>
      <c r="H1363" s="9"/>
      <c r="I1363" s="9"/>
      <c r="J1363" s="10" t="str">
        <f aca="false">IF(A1363="","",IF(G1363&lt;&gt;"",G1363,IF(N(F1363)&gt;0,ROUND(1000/F1363,3),0)))</f>
        <v/>
      </c>
      <c r="K1363" s="10" t="str">
        <f aca="false">IF(OR(A1363="",E1363="",H1363=""),"",ROUND(0.00617*E1363^2*H1363*J1363,2))</f>
        <v/>
      </c>
      <c r="L1363" s="9"/>
      <c r="M1363" s="10" t="str">
        <f aca="false">IF(A1363="","",IF((COUNTIF(Drain_Register!$A$5:$A$304,A1363)+COUNTIF(RW_Register!$A$5:$A$304,A1363)+COUNTIF(Embedded_Wall_Register!$A$5:$A$304,A1363)+COUNTIF(Manhole_Register!$A$5:$A$304,A1363)+COUNTIF(ERSS_Pit_Register!$A$5:$A$304,A1363)+COUNTIF(Linkway_Register!$A$5:$A$304,A1363)+COUNTIF(Other_Register!$A$5:$A$304,A1363))&gt;0,"OK","ID not in any register"))</f>
        <v/>
      </c>
    </row>
    <row r="1364" customFormat="false" ht="15" hidden="false" customHeight="false" outlineLevel="0" collapsed="false">
      <c r="A1364" s="9"/>
      <c r="B1364" s="9"/>
      <c r="C1364" s="9"/>
      <c r="D1364" s="9"/>
      <c r="E1364" s="9"/>
      <c r="F1364" s="9"/>
      <c r="G1364" s="9"/>
      <c r="H1364" s="9"/>
      <c r="I1364" s="9"/>
      <c r="J1364" s="10" t="str">
        <f aca="false">IF(A1364="","",IF(G1364&lt;&gt;"",G1364,IF(N(F1364)&gt;0,ROUND(1000/F1364,3),0)))</f>
        <v/>
      </c>
      <c r="K1364" s="10" t="str">
        <f aca="false">IF(OR(A1364="",E1364="",H1364=""),"",ROUND(0.00617*E1364^2*H1364*J1364,2))</f>
        <v/>
      </c>
      <c r="L1364" s="9"/>
      <c r="M1364" s="10" t="str">
        <f aca="false">IF(A1364="","",IF((COUNTIF(Drain_Register!$A$5:$A$304,A1364)+COUNTIF(RW_Register!$A$5:$A$304,A1364)+COUNTIF(Embedded_Wall_Register!$A$5:$A$304,A1364)+COUNTIF(Manhole_Register!$A$5:$A$304,A1364)+COUNTIF(ERSS_Pit_Register!$A$5:$A$304,A1364)+COUNTIF(Linkway_Register!$A$5:$A$304,A1364)+COUNTIF(Other_Register!$A$5:$A$304,A1364))&gt;0,"OK","ID not in any register"))</f>
        <v/>
      </c>
    </row>
    <row r="1365" customFormat="false" ht="15" hidden="false" customHeight="false" outlineLevel="0" collapsed="false">
      <c r="A1365" s="9"/>
      <c r="B1365" s="9"/>
      <c r="C1365" s="9"/>
      <c r="D1365" s="9"/>
      <c r="E1365" s="9"/>
      <c r="F1365" s="9"/>
      <c r="G1365" s="9"/>
      <c r="H1365" s="9"/>
      <c r="I1365" s="9"/>
      <c r="J1365" s="10" t="str">
        <f aca="false">IF(A1365="","",IF(G1365&lt;&gt;"",G1365,IF(N(F1365)&gt;0,ROUND(1000/F1365,3),0)))</f>
        <v/>
      </c>
      <c r="K1365" s="10" t="str">
        <f aca="false">IF(OR(A1365="",E1365="",H1365=""),"",ROUND(0.00617*E1365^2*H1365*J1365,2))</f>
        <v/>
      </c>
      <c r="L1365" s="9"/>
      <c r="M1365" s="10" t="str">
        <f aca="false">IF(A1365="","",IF((COUNTIF(Drain_Register!$A$5:$A$304,A1365)+COUNTIF(RW_Register!$A$5:$A$304,A1365)+COUNTIF(Embedded_Wall_Register!$A$5:$A$304,A1365)+COUNTIF(Manhole_Register!$A$5:$A$304,A1365)+COUNTIF(ERSS_Pit_Register!$A$5:$A$304,A1365)+COUNTIF(Linkway_Register!$A$5:$A$304,A1365)+COUNTIF(Other_Register!$A$5:$A$304,A1365))&gt;0,"OK","ID not in any register"))</f>
        <v/>
      </c>
    </row>
    <row r="1366" customFormat="false" ht="15" hidden="false" customHeight="false" outlineLevel="0" collapsed="false">
      <c r="A1366" s="9"/>
      <c r="B1366" s="9"/>
      <c r="C1366" s="9"/>
      <c r="D1366" s="9"/>
      <c r="E1366" s="9"/>
      <c r="F1366" s="9"/>
      <c r="G1366" s="9"/>
      <c r="H1366" s="9"/>
      <c r="I1366" s="9"/>
      <c r="J1366" s="10" t="str">
        <f aca="false">IF(A1366="","",IF(G1366&lt;&gt;"",G1366,IF(N(F1366)&gt;0,ROUND(1000/F1366,3),0)))</f>
        <v/>
      </c>
      <c r="K1366" s="10" t="str">
        <f aca="false">IF(OR(A1366="",E1366="",H1366=""),"",ROUND(0.00617*E1366^2*H1366*J1366,2))</f>
        <v/>
      </c>
      <c r="L1366" s="9"/>
      <c r="M1366" s="10" t="str">
        <f aca="false">IF(A1366="","",IF((COUNTIF(Drain_Register!$A$5:$A$304,A1366)+COUNTIF(RW_Register!$A$5:$A$304,A1366)+COUNTIF(Embedded_Wall_Register!$A$5:$A$304,A1366)+COUNTIF(Manhole_Register!$A$5:$A$304,A1366)+COUNTIF(ERSS_Pit_Register!$A$5:$A$304,A1366)+COUNTIF(Linkway_Register!$A$5:$A$304,A1366)+COUNTIF(Other_Register!$A$5:$A$304,A1366))&gt;0,"OK","ID not in any register"))</f>
        <v/>
      </c>
    </row>
    <row r="1367" customFormat="false" ht="15" hidden="false" customHeight="false" outlineLevel="0" collapsed="false">
      <c r="A1367" s="9"/>
      <c r="B1367" s="9"/>
      <c r="C1367" s="9"/>
      <c r="D1367" s="9"/>
      <c r="E1367" s="9"/>
      <c r="F1367" s="9"/>
      <c r="G1367" s="9"/>
      <c r="H1367" s="9"/>
      <c r="I1367" s="9"/>
      <c r="J1367" s="10" t="str">
        <f aca="false">IF(A1367="","",IF(G1367&lt;&gt;"",G1367,IF(N(F1367)&gt;0,ROUND(1000/F1367,3),0)))</f>
        <v/>
      </c>
      <c r="K1367" s="10" t="str">
        <f aca="false">IF(OR(A1367="",E1367="",H1367=""),"",ROUND(0.00617*E1367^2*H1367*J1367,2))</f>
        <v/>
      </c>
      <c r="L1367" s="9"/>
      <c r="M1367" s="10" t="str">
        <f aca="false">IF(A1367="","",IF((COUNTIF(Drain_Register!$A$5:$A$304,A1367)+COUNTIF(RW_Register!$A$5:$A$304,A1367)+COUNTIF(Embedded_Wall_Register!$A$5:$A$304,A1367)+COUNTIF(Manhole_Register!$A$5:$A$304,A1367)+COUNTIF(ERSS_Pit_Register!$A$5:$A$304,A1367)+COUNTIF(Linkway_Register!$A$5:$A$304,A1367)+COUNTIF(Other_Register!$A$5:$A$304,A1367))&gt;0,"OK","ID not in any register"))</f>
        <v/>
      </c>
    </row>
    <row r="1368" customFormat="false" ht="15" hidden="false" customHeight="false" outlineLevel="0" collapsed="false">
      <c r="A1368" s="9"/>
      <c r="B1368" s="9"/>
      <c r="C1368" s="9"/>
      <c r="D1368" s="9"/>
      <c r="E1368" s="9"/>
      <c r="F1368" s="9"/>
      <c r="G1368" s="9"/>
      <c r="H1368" s="9"/>
      <c r="I1368" s="9"/>
      <c r="J1368" s="10" t="str">
        <f aca="false">IF(A1368="","",IF(G1368&lt;&gt;"",G1368,IF(N(F1368)&gt;0,ROUND(1000/F1368,3),0)))</f>
        <v/>
      </c>
      <c r="K1368" s="10" t="str">
        <f aca="false">IF(OR(A1368="",E1368="",H1368=""),"",ROUND(0.00617*E1368^2*H1368*J1368,2))</f>
        <v/>
      </c>
      <c r="L1368" s="9"/>
      <c r="M1368" s="10" t="str">
        <f aca="false">IF(A1368="","",IF((COUNTIF(Drain_Register!$A$5:$A$304,A1368)+COUNTIF(RW_Register!$A$5:$A$304,A1368)+COUNTIF(Embedded_Wall_Register!$A$5:$A$304,A1368)+COUNTIF(Manhole_Register!$A$5:$A$304,A1368)+COUNTIF(ERSS_Pit_Register!$A$5:$A$304,A1368)+COUNTIF(Linkway_Register!$A$5:$A$304,A1368)+COUNTIF(Other_Register!$A$5:$A$304,A1368))&gt;0,"OK","ID not in any register"))</f>
        <v/>
      </c>
    </row>
    <row r="1369" customFormat="false" ht="15" hidden="false" customHeight="false" outlineLevel="0" collapsed="false">
      <c r="A1369" s="9"/>
      <c r="B1369" s="9"/>
      <c r="C1369" s="9"/>
      <c r="D1369" s="9"/>
      <c r="E1369" s="9"/>
      <c r="F1369" s="9"/>
      <c r="G1369" s="9"/>
      <c r="H1369" s="9"/>
      <c r="I1369" s="9"/>
      <c r="J1369" s="10" t="str">
        <f aca="false">IF(A1369="","",IF(G1369&lt;&gt;"",G1369,IF(N(F1369)&gt;0,ROUND(1000/F1369,3),0)))</f>
        <v/>
      </c>
      <c r="K1369" s="10" t="str">
        <f aca="false">IF(OR(A1369="",E1369="",H1369=""),"",ROUND(0.00617*E1369^2*H1369*J1369,2))</f>
        <v/>
      </c>
      <c r="L1369" s="9"/>
      <c r="M1369" s="10" t="str">
        <f aca="false">IF(A1369="","",IF((COUNTIF(Drain_Register!$A$5:$A$304,A1369)+COUNTIF(RW_Register!$A$5:$A$304,A1369)+COUNTIF(Embedded_Wall_Register!$A$5:$A$304,A1369)+COUNTIF(Manhole_Register!$A$5:$A$304,A1369)+COUNTIF(ERSS_Pit_Register!$A$5:$A$304,A1369)+COUNTIF(Linkway_Register!$A$5:$A$304,A1369)+COUNTIF(Other_Register!$A$5:$A$304,A1369))&gt;0,"OK","ID not in any register"))</f>
        <v/>
      </c>
    </row>
    <row r="1370" customFormat="false" ht="15" hidden="false" customHeight="false" outlineLevel="0" collapsed="false">
      <c r="A1370" s="9"/>
      <c r="B1370" s="9"/>
      <c r="C1370" s="9"/>
      <c r="D1370" s="9"/>
      <c r="E1370" s="9"/>
      <c r="F1370" s="9"/>
      <c r="G1370" s="9"/>
      <c r="H1370" s="9"/>
      <c r="I1370" s="9"/>
      <c r="J1370" s="10" t="str">
        <f aca="false">IF(A1370="","",IF(G1370&lt;&gt;"",G1370,IF(N(F1370)&gt;0,ROUND(1000/F1370,3),0)))</f>
        <v/>
      </c>
      <c r="K1370" s="10" t="str">
        <f aca="false">IF(OR(A1370="",E1370="",H1370=""),"",ROUND(0.00617*E1370^2*H1370*J1370,2))</f>
        <v/>
      </c>
      <c r="L1370" s="9"/>
      <c r="M1370" s="10" t="str">
        <f aca="false">IF(A1370="","",IF((COUNTIF(Drain_Register!$A$5:$A$304,A1370)+COUNTIF(RW_Register!$A$5:$A$304,A1370)+COUNTIF(Embedded_Wall_Register!$A$5:$A$304,A1370)+COUNTIF(Manhole_Register!$A$5:$A$304,A1370)+COUNTIF(ERSS_Pit_Register!$A$5:$A$304,A1370)+COUNTIF(Linkway_Register!$A$5:$A$304,A1370)+COUNTIF(Other_Register!$A$5:$A$304,A1370))&gt;0,"OK","ID not in any register"))</f>
        <v/>
      </c>
    </row>
    <row r="1371" customFormat="false" ht="15" hidden="false" customHeight="false" outlineLevel="0" collapsed="false">
      <c r="A1371" s="9"/>
      <c r="B1371" s="9"/>
      <c r="C1371" s="9"/>
      <c r="D1371" s="9"/>
      <c r="E1371" s="9"/>
      <c r="F1371" s="9"/>
      <c r="G1371" s="9"/>
      <c r="H1371" s="9"/>
      <c r="I1371" s="9"/>
      <c r="J1371" s="10" t="str">
        <f aca="false">IF(A1371="","",IF(G1371&lt;&gt;"",G1371,IF(N(F1371)&gt;0,ROUND(1000/F1371,3),0)))</f>
        <v/>
      </c>
      <c r="K1371" s="10" t="str">
        <f aca="false">IF(OR(A1371="",E1371="",H1371=""),"",ROUND(0.00617*E1371^2*H1371*J1371,2))</f>
        <v/>
      </c>
      <c r="L1371" s="9"/>
      <c r="M1371" s="10" t="str">
        <f aca="false">IF(A1371="","",IF((COUNTIF(Drain_Register!$A$5:$A$304,A1371)+COUNTIF(RW_Register!$A$5:$A$304,A1371)+COUNTIF(Embedded_Wall_Register!$A$5:$A$304,A1371)+COUNTIF(Manhole_Register!$A$5:$A$304,A1371)+COUNTIF(ERSS_Pit_Register!$A$5:$A$304,A1371)+COUNTIF(Linkway_Register!$A$5:$A$304,A1371)+COUNTIF(Other_Register!$A$5:$A$304,A1371))&gt;0,"OK","ID not in any register"))</f>
        <v/>
      </c>
    </row>
    <row r="1372" customFormat="false" ht="15" hidden="false" customHeight="false" outlineLevel="0" collapsed="false">
      <c r="A1372" s="9"/>
      <c r="B1372" s="9"/>
      <c r="C1372" s="9"/>
      <c r="D1372" s="9"/>
      <c r="E1372" s="9"/>
      <c r="F1372" s="9"/>
      <c r="G1372" s="9"/>
      <c r="H1372" s="9"/>
      <c r="I1372" s="9"/>
      <c r="J1372" s="10" t="str">
        <f aca="false">IF(A1372="","",IF(G1372&lt;&gt;"",G1372,IF(N(F1372)&gt;0,ROUND(1000/F1372,3),0)))</f>
        <v/>
      </c>
      <c r="K1372" s="10" t="str">
        <f aca="false">IF(OR(A1372="",E1372="",H1372=""),"",ROUND(0.00617*E1372^2*H1372*J1372,2))</f>
        <v/>
      </c>
      <c r="L1372" s="9"/>
      <c r="M1372" s="10" t="str">
        <f aca="false">IF(A1372="","",IF((COUNTIF(Drain_Register!$A$5:$A$304,A1372)+COUNTIF(RW_Register!$A$5:$A$304,A1372)+COUNTIF(Embedded_Wall_Register!$A$5:$A$304,A1372)+COUNTIF(Manhole_Register!$A$5:$A$304,A1372)+COUNTIF(ERSS_Pit_Register!$A$5:$A$304,A1372)+COUNTIF(Linkway_Register!$A$5:$A$304,A1372)+COUNTIF(Other_Register!$A$5:$A$304,A1372))&gt;0,"OK","ID not in any register"))</f>
        <v/>
      </c>
    </row>
    <row r="1373" customFormat="false" ht="15" hidden="false" customHeight="false" outlineLevel="0" collapsed="false">
      <c r="A1373" s="9"/>
      <c r="B1373" s="9"/>
      <c r="C1373" s="9"/>
      <c r="D1373" s="9"/>
      <c r="E1373" s="9"/>
      <c r="F1373" s="9"/>
      <c r="G1373" s="9"/>
      <c r="H1373" s="9"/>
      <c r="I1373" s="9"/>
      <c r="J1373" s="10" t="str">
        <f aca="false">IF(A1373="","",IF(G1373&lt;&gt;"",G1373,IF(N(F1373)&gt;0,ROUND(1000/F1373,3),0)))</f>
        <v/>
      </c>
      <c r="K1373" s="10" t="str">
        <f aca="false">IF(OR(A1373="",E1373="",H1373=""),"",ROUND(0.00617*E1373^2*H1373*J1373,2))</f>
        <v/>
      </c>
      <c r="L1373" s="9"/>
      <c r="M1373" s="10" t="str">
        <f aca="false">IF(A1373="","",IF((COUNTIF(Drain_Register!$A$5:$A$304,A1373)+COUNTIF(RW_Register!$A$5:$A$304,A1373)+COUNTIF(Embedded_Wall_Register!$A$5:$A$304,A1373)+COUNTIF(Manhole_Register!$A$5:$A$304,A1373)+COUNTIF(ERSS_Pit_Register!$A$5:$A$304,A1373)+COUNTIF(Linkway_Register!$A$5:$A$304,A1373)+COUNTIF(Other_Register!$A$5:$A$304,A1373))&gt;0,"OK","ID not in any register"))</f>
        <v/>
      </c>
    </row>
    <row r="1374" customFormat="false" ht="15" hidden="false" customHeight="false" outlineLevel="0" collapsed="false">
      <c r="A1374" s="9"/>
      <c r="B1374" s="9"/>
      <c r="C1374" s="9"/>
      <c r="D1374" s="9"/>
      <c r="E1374" s="9"/>
      <c r="F1374" s="9"/>
      <c r="G1374" s="9"/>
      <c r="H1374" s="9"/>
      <c r="I1374" s="9"/>
      <c r="J1374" s="10" t="str">
        <f aca="false">IF(A1374="","",IF(G1374&lt;&gt;"",G1374,IF(N(F1374)&gt;0,ROUND(1000/F1374,3),0)))</f>
        <v/>
      </c>
      <c r="K1374" s="10" t="str">
        <f aca="false">IF(OR(A1374="",E1374="",H1374=""),"",ROUND(0.00617*E1374^2*H1374*J1374,2))</f>
        <v/>
      </c>
      <c r="L1374" s="9"/>
      <c r="M1374" s="10" t="str">
        <f aca="false">IF(A1374="","",IF((COUNTIF(Drain_Register!$A$5:$A$304,A1374)+COUNTIF(RW_Register!$A$5:$A$304,A1374)+COUNTIF(Embedded_Wall_Register!$A$5:$A$304,A1374)+COUNTIF(Manhole_Register!$A$5:$A$304,A1374)+COUNTIF(ERSS_Pit_Register!$A$5:$A$304,A1374)+COUNTIF(Linkway_Register!$A$5:$A$304,A1374)+COUNTIF(Other_Register!$A$5:$A$304,A1374))&gt;0,"OK","ID not in any register"))</f>
        <v/>
      </c>
    </row>
    <row r="1375" customFormat="false" ht="15" hidden="false" customHeight="false" outlineLevel="0" collapsed="false">
      <c r="A1375" s="9"/>
      <c r="B1375" s="9"/>
      <c r="C1375" s="9"/>
      <c r="D1375" s="9"/>
      <c r="E1375" s="9"/>
      <c r="F1375" s="9"/>
      <c r="G1375" s="9"/>
      <c r="H1375" s="9"/>
      <c r="I1375" s="9"/>
      <c r="J1375" s="10" t="str">
        <f aca="false">IF(A1375="","",IF(G1375&lt;&gt;"",G1375,IF(N(F1375)&gt;0,ROUND(1000/F1375,3),0)))</f>
        <v/>
      </c>
      <c r="K1375" s="10" t="str">
        <f aca="false">IF(OR(A1375="",E1375="",H1375=""),"",ROUND(0.00617*E1375^2*H1375*J1375,2))</f>
        <v/>
      </c>
      <c r="L1375" s="9"/>
      <c r="M1375" s="10" t="str">
        <f aca="false">IF(A1375="","",IF((COUNTIF(Drain_Register!$A$5:$A$304,A1375)+COUNTIF(RW_Register!$A$5:$A$304,A1375)+COUNTIF(Embedded_Wall_Register!$A$5:$A$304,A1375)+COUNTIF(Manhole_Register!$A$5:$A$304,A1375)+COUNTIF(ERSS_Pit_Register!$A$5:$A$304,A1375)+COUNTIF(Linkway_Register!$A$5:$A$304,A1375)+COUNTIF(Other_Register!$A$5:$A$304,A1375))&gt;0,"OK","ID not in any register"))</f>
        <v/>
      </c>
    </row>
    <row r="1376" customFormat="false" ht="15" hidden="false" customHeight="false" outlineLevel="0" collapsed="false">
      <c r="A1376" s="9"/>
      <c r="B1376" s="9"/>
      <c r="C1376" s="9"/>
      <c r="D1376" s="9"/>
      <c r="E1376" s="9"/>
      <c r="F1376" s="9"/>
      <c r="G1376" s="9"/>
      <c r="H1376" s="9"/>
      <c r="I1376" s="9"/>
      <c r="J1376" s="10" t="str">
        <f aca="false">IF(A1376="","",IF(G1376&lt;&gt;"",G1376,IF(N(F1376)&gt;0,ROUND(1000/F1376,3),0)))</f>
        <v/>
      </c>
      <c r="K1376" s="10" t="str">
        <f aca="false">IF(OR(A1376="",E1376="",H1376=""),"",ROUND(0.00617*E1376^2*H1376*J1376,2))</f>
        <v/>
      </c>
      <c r="L1376" s="9"/>
      <c r="M1376" s="10" t="str">
        <f aca="false">IF(A1376="","",IF((COUNTIF(Drain_Register!$A$5:$A$304,A1376)+COUNTIF(RW_Register!$A$5:$A$304,A1376)+COUNTIF(Embedded_Wall_Register!$A$5:$A$304,A1376)+COUNTIF(Manhole_Register!$A$5:$A$304,A1376)+COUNTIF(ERSS_Pit_Register!$A$5:$A$304,A1376)+COUNTIF(Linkway_Register!$A$5:$A$304,A1376)+COUNTIF(Other_Register!$A$5:$A$304,A1376))&gt;0,"OK","ID not in any register"))</f>
        <v/>
      </c>
    </row>
    <row r="1377" customFormat="false" ht="15" hidden="false" customHeight="false" outlineLevel="0" collapsed="false">
      <c r="A1377" s="9"/>
      <c r="B1377" s="9"/>
      <c r="C1377" s="9"/>
      <c r="D1377" s="9"/>
      <c r="E1377" s="9"/>
      <c r="F1377" s="9"/>
      <c r="G1377" s="9"/>
      <c r="H1377" s="9"/>
      <c r="I1377" s="9"/>
      <c r="J1377" s="10" t="str">
        <f aca="false">IF(A1377="","",IF(G1377&lt;&gt;"",G1377,IF(N(F1377)&gt;0,ROUND(1000/F1377,3),0)))</f>
        <v/>
      </c>
      <c r="K1377" s="10" t="str">
        <f aca="false">IF(OR(A1377="",E1377="",H1377=""),"",ROUND(0.00617*E1377^2*H1377*J1377,2))</f>
        <v/>
      </c>
      <c r="L1377" s="9"/>
      <c r="M1377" s="10" t="str">
        <f aca="false">IF(A1377="","",IF((COUNTIF(Drain_Register!$A$5:$A$304,A1377)+COUNTIF(RW_Register!$A$5:$A$304,A1377)+COUNTIF(Embedded_Wall_Register!$A$5:$A$304,A1377)+COUNTIF(Manhole_Register!$A$5:$A$304,A1377)+COUNTIF(ERSS_Pit_Register!$A$5:$A$304,A1377)+COUNTIF(Linkway_Register!$A$5:$A$304,A1377)+COUNTIF(Other_Register!$A$5:$A$304,A1377))&gt;0,"OK","ID not in any register"))</f>
        <v/>
      </c>
    </row>
    <row r="1378" customFormat="false" ht="15" hidden="false" customHeight="false" outlineLevel="0" collapsed="false">
      <c r="A1378" s="9"/>
      <c r="B1378" s="9"/>
      <c r="C1378" s="9"/>
      <c r="D1378" s="9"/>
      <c r="E1378" s="9"/>
      <c r="F1378" s="9"/>
      <c r="G1378" s="9"/>
      <c r="H1378" s="9"/>
      <c r="I1378" s="9"/>
      <c r="J1378" s="10" t="str">
        <f aca="false">IF(A1378="","",IF(G1378&lt;&gt;"",G1378,IF(N(F1378)&gt;0,ROUND(1000/F1378,3),0)))</f>
        <v/>
      </c>
      <c r="K1378" s="10" t="str">
        <f aca="false">IF(OR(A1378="",E1378="",H1378=""),"",ROUND(0.00617*E1378^2*H1378*J1378,2))</f>
        <v/>
      </c>
      <c r="L1378" s="9"/>
      <c r="M1378" s="10" t="str">
        <f aca="false">IF(A1378="","",IF((COUNTIF(Drain_Register!$A$5:$A$304,A1378)+COUNTIF(RW_Register!$A$5:$A$304,A1378)+COUNTIF(Embedded_Wall_Register!$A$5:$A$304,A1378)+COUNTIF(Manhole_Register!$A$5:$A$304,A1378)+COUNTIF(ERSS_Pit_Register!$A$5:$A$304,A1378)+COUNTIF(Linkway_Register!$A$5:$A$304,A1378)+COUNTIF(Other_Register!$A$5:$A$304,A1378))&gt;0,"OK","ID not in any register"))</f>
        <v/>
      </c>
    </row>
    <row r="1379" customFormat="false" ht="15" hidden="false" customHeight="false" outlineLevel="0" collapsed="false">
      <c r="A1379" s="9"/>
      <c r="B1379" s="9"/>
      <c r="C1379" s="9"/>
      <c r="D1379" s="9"/>
      <c r="E1379" s="9"/>
      <c r="F1379" s="9"/>
      <c r="G1379" s="9"/>
      <c r="H1379" s="9"/>
      <c r="I1379" s="9"/>
      <c r="J1379" s="10" t="str">
        <f aca="false">IF(A1379="","",IF(G1379&lt;&gt;"",G1379,IF(N(F1379)&gt;0,ROUND(1000/F1379,3),0)))</f>
        <v/>
      </c>
      <c r="K1379" s="10" t="str">
        <f aca="false">IF(OR(A1379="",E1379="",H1379=""),"",ROUND(0.00617*E1379^2*H1379*J1379,2))</f>
        <v/>
      </c>
      <c r="L1379" s="9"/>
      <c r="M1379" s="10" t="str">
        <f aca="false">IF(A1379="","",IF((COUNTIF(Drain_Register!$A$5:$A$304,A1379)+COUNTIF(RW_Register!$A$5:$A$304,A1379)+COUNTIF(Embedded_Wall_Register!$A$5:$A$304,A1379)+COUNTIF(Manhole_Register!$A$5:$A$304,A1379)+COUNTIF(ERSS_Pit_Register!$A$5:$A$304,A1379)+COUNTIF(Linkway_Register!$A$5:$A$304,A1379)+COUNTIF(Other_Register!$A$5:$A$304,A1379))&gt;0,"OK","ID not in any register"))</f>
        <v/>
      </c>
    </row>
    <row r="1380" customFormat="false" ht="15" hidden="false" customHeight="false" outlineLevel="0" collapsed="false">
      <c r="A1380" s="9"/>
      <c r="B1380" s="9"/>
      <c r="C1380" s="9"/>
      <c r="D1380" s="9"/>
      <c r="E1380" s="9"/>
      <c r="F1380" s="9"/>
      <c r="G1380" s="9"/>
      <c r="H1380" s="9"/>
      <c r="I1380" s="9"/>
      <c r="J1380" s="10" t="str">
        <f aca="false">IF(A1380="","",IF(G1380&lt;&gt;"",G1380,IF(N(F1380)&gt;0,ROUND(1000/F1380,3),0)))</f>
        <v/>
      </c>
      <c r="K1380" s="10" t="str">
        <f aca="false">IF(OR(A1380="",E1380="",H1380=""),"",ROUND(0.00617*E1380^2*H1380*J1380,2))</f>
        <v/>
      </c>
      <c r="L1380" s="9"/>
      <c r="M1380" s="10" t="str">
        <f aca="false">IF(A1380="","",IF((COUNTIF(Drain_Register!$A$5:$A$304,A1380)+COUNTIF(RW_Register!$A$5:$A$304,A1380)+COUNTIF(Embedded_Wall_Register!$A$5:$A$304,A1380)+COUNTIF(Manhole_Register!$A$5:$A$304,A1380)+COUNTIF(ERSS_Pit_Register!$A$5:$A$304,A1380)+COUNTIF(Linkway_Register!$A$5:$A$304,A1380)+COUNTIF(Other_Register!$A$5:$A$304,A1380))&gt;0,"OK","ID not in any register"))</f>
        <v/>
      </c>
    </row>
    <row r="1381" customFormat="false" ht="15" hidden="false" customHeight="false" outlineLevel="0" collapsed="false">
      <c r="A1381" s="9"/>
      <c r="B1381" s="9"/>
      <c r="C1381" s="9"/>
      <c r="D1381" s="9"/>
      <c r="E1381" s="9"/>
      <c r="F1381" s="9"/>
      <c r="G1381" s="9"/>
      <c r="H1381" s="9"/>
      <c r="I1381" s="9"/>
      <c r="J1381" s="10" t="str">
        <f aca="false">IF(A1381="","",IF(G1381&lt;&gt;"",G1381,IF(N(F1381)&gt;0,ROUND(1000/F1381,3),0)))</f>
        <v/>
      </c>
      <c r="K1381" s="10" t="str">
        <f aca="false">IF(OR(A1381="",E1381="",H1381=""),"",ROUND(0.00617*E1381^2*H1381*J1381,2))</f>
        <v/>
      </c>
      <c r="L1381" s="9"/>
      <c r="M1381" s="10" t="str">
        <f aca="false">IF(A1381="","",IF((COUNTIF(Drain_Register!$A$5:$A$304,A1381)+COUNTIF(RW_Register!$A$5:$A$304,A1381)+COUNTIF(Embedded_Wall_Register!$A$5:$A$304,A1381)+COUNTIF(Manhole_Register!$A$5:$A$304,A1381)+COUNTIF(ERSS_Pit_Register!$A$5:$A$304,A1381)+COUNTIF(Linkway_Register!$A$5:$A$304,A1381)+COUNTIF(Other_Register!$A$5:$A$304,A1381))&gt;0,"OK","ID not in any register"))</f>
        <v/>
      </c>
    </row>
    <row r="1382" customFormat="false" ht="15" hidden="false" customHeight="false" outlineLevel="0" collapsed="false">
      <c r="A1382" s="9"/>
      <c r="B1382" s="9"/>
      <c r="C1382" s="9"/>
      <c r="D1382" s="9"/>
      <c r="E1382" s="9"/>
      <c r="F1382" s="9"/>
      <c r="G1382" s="9"/>
      <c r="H1382" s="9"/>
      <c r="I1382" s="9"/>
      <c r="J1382" s="10" t="str">
        <f aca="false">IF(A1382="","",IF(G1382&lt;&gt;"",G1382,IF(N(F1382)&gt;0,ROUND(1000/F1382,3),0)))</f>
        <v/>
      </c>
      <c r="K1382" s="10" t="str">
        <f aca="false">IF(OR(A1382="",E1382="",H1382=""),"",ROUND(0.00617*E1382^2*H1382*J1382,2))</f>
        <v/>
      </c>
      <c r="L1382" s="9"/>
      <c r="M1382" s="10" t="str">
        <f aca="false">IF(A1382="","",IF((COUNTIF(Drain_Register!$A$5:$A$304,A1382)+COUNTIF(RW_Register!$A$5:$A$304,A1382)+COUNTIF(Embedded_Wall_Register!$A$5:$A$304,A1382)+COUNTIF(Manhole_Register!$A$5:$A$304,A1382)+COUNTIF(ERSS_Pit_Register!$A$5:$A$304,A1382)+COUNTIF(Linkway_Register!$A$5:$A$304,A1382)+COUNTIF(Other_Register!$A$5:$A$304,A1382))&gt;0,"OK","ID not in any register"))</f>
        <v/>
      </c>
    </row>
    <row r="1383" customFormat="false" ht="15" hidden="false" customHeight="false" outlineLevel="0" collapsed="false">
      <c r="A1383" s="9"/>
      <c r="B1383" s="9"/>
      <c r="C1383" s="9"/>
      <c r="D1383" s="9"/>
      <c r="E1383" s="9"/>
      <c r="F1383" s="9"/>
      <c r="G1383" s="9"/>
      <c r="H1383" s="9"/>
      <c r="I1383" s="9"/>
      <c r="J1383" s="10" t="str">
        <f aca="false">IF(A1383="","",IF(G1383&lt;&gt;"",G1383,IF(N(F1383)&gt;0,ROUND(1000/F1383,3),0)))</f>
        <v/>
      </c>
      <c r="K1383" s="10" t="str">
        <f aca="false">IF(OR(A1383="",E1383="",H1383=""),"",ROUND(0.00617*E1383^2*H1383*J1383,2))</f>
        <v/>
      </c>
      <c r="L1383" s="9"/>
      <c r="M1383" s="10" t="str">
        <f aca="false">IF(A1383="","",IF((COUNTIF(Drain_Register!$A$5:$A$304,A1383)+COUNTIF(RW_Register!$A$5:$A$304,A1383)+COUNTIF(Embedded_Wall_Register!$A$5:$A$304,A1383)+COUNTIF(Manhole_Register!$A$5:$A$304,A1383)+COUNTIF(ERSS_Pit_Register!$A$5:$A$304,A1383)+COUNTIF(Linkway_Register!$A$5:$A$304,A1383)+COUNTIF(Other_Register!$A$5:$A$304,A1383))&gt;0,"OK","ID not in any register"))</f>
        <v/>
      </c>
    </row>
    <row r="1384" customFormat="false" ht="15" hidden="false" customHeight="false" outlineLevel="0" collapsed="false">
      <c r="A1384" s="9"/>
      <c r="B1384" s="9"/>
      <c r="C1384" s="9"/>
      <c r="D1384" s="9"/>
      <c r="E1384" s="9"/>
      <c r="F1384" s="9"/>
      <c r="G1384" s="9"/>
      <c r="H1384" s="9"/>
      <c r="I1384" s="9"/>
      <c r="J1384" s="10" t="str">
        <f aca="false">IF(A1384="","",IF(G1384&lt;&gt;"",G1384,IF(N(F1384)&gt;0,ROUND(1000/F1384,3),0)))</f>
        <v/>
      </c>
      <c r="K1384" s="10" t="str">
        <f aca="false">IF(OR(A1384="",E1384="",H1384=""),"",ROUND(0.00617*E1384^2*H1384*J1384,2))</f>
        <v/>
      </c>
      <c r="L1384" s="9"/>
      <c r="M1384" s="10" t="str">
        <f aca="false">IF(A1384="","",IF((COUNTIF(Drain_Register!$A$5:$A$304,A1384)+COUNTIF(RW_Register!$A$5:$A$304,A1384)+COUNTIF(Embedded_Wall_Register!$A$5:$A$304,A1384)+COUNTIF(Manhole_Register!$A$5:$A$304,A1384)+COUNTIF(ERSS_Pit_Register!$A$5:$A$304,A1384)+COUNTIF(Linkway_Register!$A$5:$A$304,A1384)+COUNTIF(Other_Register!$A$5:$A$304,A1384))&gt;0,"OK","ID not in any register"))</f>
        <v/>
      </c>
    </row>
    <row r="1385" customFormat="false" ht="15" hidden="false" customHeight="false" outlineLevel="0" collapsed="false">
      <c r="A1385" s="9"/>
      <c r="B1385" s="9"/>
      <c r="C1385" s="9"/>
      <c r="D1385" s="9"/>
      <c r="E1385" s="9"/>
      <c r="F1385" s="9"/>
      <c r="G1385" s="9"/>
      <c r="H1385" s="9"/>
      <c r="I1385" s="9"/>
      <c r="J1385" s="10" t="str">
        <f aca="false">IF(A1385="","",IF(G1385&lt;&gt;"",G1385,IF(N(F1385)&gt;0,ROUND(1000/F1385,3),0)))</f>
        <v/>
      </c>
      <c r="K1385" s="10" t="str">
        <f aca="false">IF(OR(A1385="",E1385="",H1385=""),"",ROUND(0.00617*E1385^2*H1385*J1385,2))</f>
        <v/>
      </c>
      <c r="L1385" s="9"/>
      <c r="M1385" s="10" t="str">
        <f aca="false">IF(A1385="","",IF((COUNTIF(Drain_Register!$A$5:$A$304,A1385)+COUNTIF(RW_Register!$A$5:$A$304,A1385)+COUNTIF(Embedded_Wall_Register!$A$5:$A$304,A1385)+COUNTIF(Manhole_Register!$A$5:$A$304,A1385)+COUNTIF(ERSS_Pit_Register!$A$5:$A$304,A1385)+COUNTIF(Linkway_Register!$A$5:$A$304,A1385)+COUNTIF(Other_Register!$A$5:$A$304,A1385))&gt;0,"OK","ID not in any register"))</f>
        <v/>
      </c>
    </row>
    <row r="1386" customFormat="false" ht="15" hidden="false" customHeight="false" outlineLevel="0" collapsed="false">
      <c r="A1386" s="9"/>
      <c r="B1386" s="9"/>
      <c r="C1386" s="9"/>
      <c r="D1386" s="9"/>
      <c r="E1386" s="9"/>
      <c r="F1386" s="9"/>
      <c r="G1386" s="9"/>
      <c r="H1386" s="9"/>
      <c r="I1386" s="9"/>
      <c r="J1386" s="10" t="str">
        <f aca="false">IF(A1386="","",IF(G1386&lt;&gt;"",G1386,IF(N(F1386)&gt;0,ROUND(1000/F1386,3),0)))</f>
        <v/>
      </c>
      <c r="K1386" s="10" t="str">
        <f aca="false">IF(OR(A1386="",E1386="",H1386=""),"",ROUND(0.00617*E1386^2*H1386*J1386,2))</f>
        <v/>
      </c>
      <c r="L1386" s="9"/>
      <c r="M1386" s="10" t="str">
        <f aca="false">IF(A1386="","",IF((COUNTIF(Drain_Register!$A$5:$A$304,A1386)+COUNTIF(RW_Register!$A$5:$A$304,A1386)+COUNTIF(Embedded_Wall_Register!$A$5:$A$304,A1386)+COUNTIF(Manhole_Register!$A$5:$A$304,A1386)+COUNTIF(ERSS_Pit_Register!$A$5:$A$304,A1386)+COUNTIF(Linkway_Register!$A$5:$A$304,A1386)+COUNTIF(Other_Register!$A$5:$A$304,A1386))&gt;0,"OK","ID not in any register"))</f>
        <v/>
      </c>
    </row>
    <row r="1387" customFormat="false" ht="15" hidden="false" customHeight="false" outlineLevel="0" collapsed="false">
      <c r="A1387" s="9"/>
      <c r="B1387" s="9"/>
      <c r="C1387" s="9"/>
      <c r="D1387" s="9"/>
      <c r="E1387" s="9"/>
      <c r="F1387" s="9"/>
      <c r="G1387" s="9"/>
      <c r="H1387" s="9"/>
      <c r="I1387" s="9"/>
      <c r="J1387" s="10" t="str">
        <f aca="false">IF(A1387="","",IF(G1387&lt;&gt;"",G1387,IF(N(F1387)&gt;0,ROUND(1000/F1387,3),0)))</f>
        <v/>
      </c>
      <c r="K1387" s="10" t="str">
        <f aca="false">IF(OR(A1387="",E1387="",H1387=""),"",ROUND(0.00617*E1387^2*H1387*J1387,2))</f>
        <v/>
      </c>
      <c r="L1387" s="9"/>
      <c r="M1387" s="10" t="str">
        <f aca="false">IF(A1387="","",IF((COUNTIF(Drain_Register!$A$5:$A$304,A1387)+COUNTIF(RW_Register!$A$5:$A$304,A1387)+COUNTIF(Embedded_Wall_Register!$A$5:$A$304,A1387)+COUNTIF(Manhole_Register!$A$5:$A$304,A1387)+COUNTIF(ERSS_Pit_Register!$A$5:$A$304,A1387)+COUNTIF(Linkway_Register!$A$5:$A$304,A1387)+COUNTIF(Other_Register!$A$5:$A$304,A1387))&gt;0,"OK","ID not in any register"))</f>
        <v/>
      </c>
    </row>
    <row r="1388" customFormat="false" ht="15" hidden="false" customHeight="false" outlineLevel="0" collapsed="false">
      <c r="A1388" s="9"/>
      <c r="B1388" s="9"/>
      <c r="C1388" s="9"/>
      <c r="D1388" s="9"/>
      <c r="E1388" s="9"/>
      <c r="F1388" s="9"/>
      <c r="G1388" s="9"/>
      <c r="H1388" s="9"/>
      <c r="I1388" s="9"/>
      <c r="J1388" s="10" t="str">
        <f aca="false">IF(A1388="","",IF(G1388&lt;&gt;"",G1388,IF(N(F1388)&gt;0,ROUND(1000/F1388,3),0)))</f>
        <v/>
      </c>
      <c r="K1388" s="10" t="str">
        <f aca="false">IF(OR(A1388="",E1388="",H1388=""),"",ROUND(0.00617*E1388^2*H1388*J1388,2))</f>
        <v/>
      </c>
      <c r="L1388" s="9"/>
      <c r="M1388" s="10" t="str">
        <f aca="false">IF(A1388="","",IF((COUNTIF(Drain_Register!$A$5:$A$304,A1388)+COUNTIF(RW_Register!$A$5:$A$304,A1388)+COUNTIF(Embedded_Wall_Register!$A$5:$A$304,A1388)+COUNTIF(Manhole_Register!$A$5:$A$304,A1388)+COUNTIF(ERSS_Pit_Register!$A$5:$A$304,A1388)+COUNTIF(Linkway_Register!$A$5:$A$304,A1388)+COUNTIF(Other_Register!$A$5:$A$304,A1388))&gt;0,"OK","ID not in any register"))</f>
        <v/>
      </c>
    </row>
    <row r="1389" customFormat="false" ht="15" hidden="false" customHeight="false" outlineLevel="0" collapsed="false">
      <c r="A1389" s="9"/>
      <c r="B1389" s="9"/>
      <c r="C1389" s="9"/>
      <c r="D1389" s="9"/>
      <c r="E1389" s="9"/>
      <c r="F1389" s="9"/>
      <c r="G1389" s="9"/>
      <c r="H1389" s="9"/>
      <c r="I1389" s="9"/>
      <c r="J1389" s="10" t="str">
        <f aca="false">IF(A1389="","",IF(G1389&lt;&gt;"",G1389,IF(N(F1389)&gt;0,ROUND(1000/F1389,3),0)))</f>
        <v/>
      </c>
      <c r="K1389" s="10" t="str">
        <f aca="false">IF(OR(A1389="",E1389="",H1389=""),"",ROUND(0.00617*E1389^2*H1389*J1389,2))</f>
        <v/>
      </c>
      <c r="L1389" s="9"/>
      <c r="M1389" s="10" t="str">
        <f aca="false">IF(A1389="","",IF((COUNTIF(Drain_Register!$A$5:$A$304,A1389)+COUNTIF(RW_Register!$A$5:$A$304,A1389)+COUNTIF(Embedded_Wall_Register!$A$5:$A$304,A1389)+COUNTIF(Manhole_Register!$A$5:$A$304,A1389)+COUNTIF(ERSS_Pit_Register!$A$5:$A$304,A1389)+COUNTIF(Linkway_Register!$A$5:$A$304,A1389)+COUNTIF(Other_Register!$A$5:$A$304,A1389))&gt;0,"OK","ID not in any register"))</f>
        <v/>
      </c>
    </row>
    <row r="1390" customFormat="false" ht="15" hidden="false" customHeight="false" outlineLevel="0" collapsed="false">
      <c r="A1390" s="9"/>
      <c r="B1390" s="9"/>
      <c r="C1390" s="9"/>
      <c r="D1390" s="9"/>
      <c r="E1390" s="9"/>
      <c r="F1390" s="9"/>
      <c r="G1390" s="9"/>
      <c r="H1390" s="9"/>
      <c r="I1390" s="9"/>
      <c r="J1390" s="10" t="str">
        <f aca="false">IF(A1390="","",IF(G1390&lt;&gt;"",G1390,IF(N(F1390)&gt;0,ROUND(1000/F1390,3),0)))</f>
        <v/>
      </c>
      <c r="K1390" s="10" t="str">
        <f aca="false">IF(OR(A1390="",E1390="",H1390=""),"",ROUND(0.00617*E1390^2*H1390*J1390,2))</f>
        <v/>
      </c>
      <c r="L1390" s="9"/>
      <c r="M1390" s="10" t="str">
        <f aca="false">IF(A1390="","",IF((COUNTIF(Drain_Register!$A$5:$A$304,A1390)+COUNTIF(RW_Register!$A$5:$A$304,A1390)+COUNTIF(Embedded_Wall_Register!$A$5:$A$304,A1390)+COUNTIF(Manhole_Register!$A$5:$A$304,A1390)+COUNTIF(ERSS_Pit_Register!$A$5:$A$304,A1390)+COUNTIF(Linkway_Register!$A$5:$A$304,A1390)+COUNTIF(Other_Register!$A$5:$A$304,A1390))&gt;0,"OK","ID not in any register"))</f>
        <v/>
      </c>
    </row>
    <row r="1391" customFormat="false" ht="15" hidden="false" customHeight="false" outlineLevel="0" collapsed="false">
      <c r="A1391" s="9"/>
      <c r="B1391" s="9"/>
      <c r="C1391" s="9"/>
      <c r="D1391" s="9"/>
      <c r="E1391" s="9"/>
      <c r="F1391" s="9"/>
      <c r="G1391" s="9"/>
      <c r="H1391" s="9"/>
      <c r="I1391" s="9"/>
      <c r="J1391" s="10" t="str">
        <f aca="false">IF(A1391="","",IF(G1391&lt;&gt;"",G1391,IF(N(F1391)&gt;0,ROUND(1000/F1391,3),0)))</f>
        <v/>
      </c>
      <c r="K1391" s="10" t="str">
        <f aca="false">IF(OR(A1391="",E1391="",H1391=""),"",ROUND(0.00617*E1391^2*H1391*J1391,2))</f>
        <v/>
      </c>
      <c r="L1391" s="9"/>
      <c r="M1391" s="10" t="str">
        <f aca="false">IF(A1391="","",IF((COUNTIF(Drain_Register!$A$5:$A$304,A1391)+COUNTIF(RW_Register!$A$5:$A$304,A1391)+COUNTIF(Embedded_Wall_Register!$A$5:$A$304,A1391)+COUNTIF(Manhole_Register!$A$5:$A$304,A1391)+COUNTIF(ERSS_Pit_Register!$A$5:$A$304,A1391)+COUNTIF(Linkway_Register!$A$5:$A$304,A1391)+COUNTIF(Other_Register!$A$5:$A$304,A1391))&gt;0,"OK","ID not in any register"))</f>
        <v/>
      </c>
    </row>
    <row r="1392" customFormat="false" ht="15" hidden="false" customHeight="false" outlineLevel="0" collapsed="false">
      <c r="A1392" s="9"/>
      <c r="B1392" s="9"/>
      <c r="C1392" s="9"/>
      <c r="D1392" s="9"/>
      <c r="E1392" s="9"/>
      <c r="F1392" s="9"/>
      <c r="G1392" s="9"/>
      <c r="H1392" s="9"/>
      <c r="I1392" s="9"/>
      <c r="J1392" s="10" t="str">
        <f aca="false">IF(A1392="","",IF(G1392&lt;&gt;"",G1392,IF(N(F1392)&gt;0,ROUND(1000/F1392,3),0)))</f>
        <v/>
      </c>
      <c r="K1392" s="10" t="str">
        <f aca="false">IF(OR(A1392="",E1392="",H1392=""),"",ROUND(0.00617*E1392^2*H1392*J1392,2))</f>
        <v/>
      </c>
      <c r="L1392" s="9"/>
      <c r="M1392" s="10" t="str">
        <f aca="false">IF(A1392="","",IF((COUNTIF(Drain_Register!$A$5:$A$304,A1392)+COUNTIF(RW_Register!$A$5:$A$304,A1392)+COUNTIF(Embedded_Wall_Register!$A$5:$A$304,A1392)+COUNTIF(Manhole_Register!$A$5:$A$304,A1392)+COUNTIF(ERSS_Pit_Register!$A$5:$A$304,A1392)+COUNTIF(Linkway_Register!$A$5:$A$304,A1392)+COUNTIF(Other_Register!$A$5:$A$304,A1392))&gt;0,"OK","ID not in any register"))</f>
        <v/>
      </c>
    </row>
    <row r="1393" customFormat="false" ht="15" hidden="false" customHeight="false" outlineLevel="0" collapsed="false">
      <c r="A1393" s="9"/>
      <c r="B1393" s="9"/>
      <c r="C1393" s="9"/>
      <c r="D1393" s="9"/>
      <c r="E1393" s="9"/>
      <c r="F1393" s="9"/>
      <c r="G1393" s="9"/>
      <c r="H1393" s="9"/>
      <c r="I1393" s="9"/>
      <c r="J1393" s="10" t="str">
        <f aca="false">IF(A1393="","",IF(G1393&lt;&gt;"",G1393,IF(N(F1393)&gt;0,ROUND(1000/F1393,3),0)))</f>
        <v/>
      </c>
      <c r="K1393" s="10" t="str">
        <f aca="false">IF(OR(A1393="",E1393="",H1393=""),"",ROUND(0.00617*E1393^2*H1393*J1393,2))</f>
        <v/>
      </c>
      <c r="L1393" s="9"/>
      <c r="M1393" s="10" t="str">
        <f aca="false">IF(A1393="","",IF((COUNTIF(Drain_Register!$A$5:$A$304,A1393)+COUNTIF(RW_Register!$A$5:$A$304,A1393)+COUNTIF(Embedded_Wall_Register!$A$5:$A$304,A1393)+COUNTIF(Manhole_Register!$A$5:$A$304,A1393)+COUNTIF(ERSS_Pit_Register!$A$5:$A$304,A1393)+COUNTIF(Linkway_Register!$A$5:$A$304,A1393)+COUNTIF(Other_Register!$A$5:$A$304,A1393))&gt;0,"OK","ID not in any register"))</f>
        <v/>
      </c>
    </row>
    <row r="1394" customFormat="false" ht="15" hidden="false" customHeight="false" outlineLevel="0" collapsed="false">
      <c r="A1394" s="9"/>
      <c r="B1394" s="9"/>
      <c r="C1394" s="9"/>
      <c r="D1394" s="9"/>
      <c r="E1394" s="9"/>
      <c r="F1394" s="9"/>
      <c r="G1394" s="9"/>
      <c r="H1394" s="9"/>
      <c r="I1394" s="9"/>
      <c r="J1394" s="10" t="str">
        <f aca="false">IF(A1394="","",IF(G1394&lt;&gt;"",G1394,IF(N(F1394)&gt;0,ROUND(1000/F1394,3),0)))</f>
        <v/>
      </c>
      <c r="K1394" s="10" t="str">
        <f aca="false">IF(OR(A1394="",E1394="",H1394=""),"",ROUND(0.00617*E1394^2*H1394*J1394,2))</f>
        <v/>
      </c>
      <c r="L1394" s="9"/>
      <c r="M1394" s="10" t="str">
        <f aca="false">IF(A1394="","",IF((COUNTIF(Drain_Register!$A$5:$A$304,A1394)+COUNTIF(RW_Register!$A$5:$A$304,A1394)+COUNTIF(Embedded_Wall_Register!$A$5:$A$304,A1394)+COUNTIF(Manhole_Register!$A$5:$A$304,A1394)+COUNTIF(ERSS_Pit_Register!$A$5:$A$304,A1394)+COUNTIF(Linkway_Register!$A$5:$A$304,A1394)+COUNTIF(Other_Register!$A$5:$A$304,A1394))&gt;0,"OK","ID not in any register"))</f>
        <v/>
      </c>
    </row>
    <row r="1395" customFormat="false" ht="15" hidden="false" customHeight="false" outlineLevel="0" collapsed="false">
      <c r="A1395" s="9"/>
      <c r="B1395" s="9"/>
      <c r="C1395" s="9"/>
      <c r="D1395" s="9"/>
      <c r="E1395" s="9"/>
      <c r="F1395" s="9"/>
      <c r="G1395" s="9"/>
      <c r="H1395" s="9"/>
      <c r="I1395" s="9"/>
      <c r="J1395" s="10" t="str">
        <f aca="false">IF(A1395="","",IF(G1395&lt;&gt;"",G1395,IF(N(F1395)&gt;0,ROUND(1000/F1395,3),0)))</f>
        <v/>
      </c>
      <c r="K1395" s="10" t="str">
        <f aca="false">IF(OR(A1395="",E1395="",H1395=""),"",ROUND(0.00617*E1395^2*H1395*J1395,2))</f>
        <v/>
      </c>
      <c r="L1395" s="9"/>
      <c r="M1395" s="10" t="str">
        <f aca="false">IF(A1395="","",IF((COUNTIF(Drain_Register!$A$5:$A$304,A1395)+COUNTIF(RW_Register!$A$5:$A$304,A1395)+COUNTIF(Embedded_Wall_Register!$A$5:$A$304,A1395)+COUNTIF(Manhole_Register!$A$5:$A$304,A1395)+COUNTIF(ERSS_Pit_Register!$A$5:$A$304,A1395)+COUNTIF(Linkway_Register!$A$5:$A$304,A1395)+COUNTIF(Other_Register!$A$5:$A$304,A1395))&gt;0,"OK","ID not in any register"))</f>
        <v/>
      </c>
    </row>
    <row r="1396" customFormat="false" ht="15" hidden="false" customHeight="false" outlineLevel="0" collapsed="false">
      <c r="A1396" s="9"/>
      <c r="B1396" s="9"/>
      <c r="C1396" s="9"/>
      <c r="D1396" s="9"/>
      <c r="E1396" s="9"/>
      <c r="F1396" s="9"/>
      <c r="G1396" s="9"/>
      <c r="H1396" s="9"/>
      <c r="I1396" s="9"/>
      <c r="J1396" s="10" t="str">
        <f aca="false">IF(A1396="","",IF(G1396&lt;&gt;"",G1396,IF(N(F1396)&gt;0,ROUND(1000/F1396,3),0)))</f>
        <v/>
      </c>
      <c r="K1396" s="10" t="str">
        <f aca="false">IF(OR(A1396="",E1396="",H1396=""),"",ROUND(0.00617*E1396^2*H1396*J1396,2))</f>
        <v/>
      </c>
      <c r="L1396" s="9"/>
      <c r="M1396" s="10" t="str">
        <f aca="false">IF(A1396="","",IF((COUNTIF(Drain_Register!$A$5:$A$304,A1396)+COUNTIF(RW_Register!$A$5:$A$304,A1396)+COUNTIF(Embedded_Wall_Register!$A$5:$A$304,A1396)+COUNTIF(Manhole_Register!$A$5:$A$304,A1396)+COUNTIF(ERSS_Pit_Register!$A$5:$A$304,A1396)+COUNTIF(Linkway_Register!$A$5:$A$304,A1396)+COUNTIF(Other_Register!$A$5:$A$304,A1396))&gt;0,"OK","ID not in any register"))</f>
        <v/>
      </c>
    </row>
    <row r="1397" customFormat="false" ht="15" hidden="false" customHeight="false" outlineLevel="0" collapsed="false">
      <c r="A1397" s="9"/>
      <c r="B1397" s="9"/>
      <c r="C1397" s="9"/>
      <c r="D1397" s="9"/>
      <c r="E1397" s="9"/>
      <c r="F1397" s="9"/>
      <c r="G1397" s="9"/>
      <c r="H1397" s="9"/>
      <c r="I1397" s="9"/>
      <c r="J1397" s="10" t="str">
        <f aca="false">IF(A1397="","",IF(G1397&lt;&gt;"",G1397,IF(N(F1397)&gt;0,ROUND(1000/F1397,3),0)))</f>
        <v/>
      </c>
      <c r="K1397" s="10" t="str">
        <f aca="false">IF(OR(A1397="",E1397="",H1397=""),"",ROUND(0.00617*E1397^2*H1397*J1397,2))</f>
        <v/>
      </c>
      <c r="L1397" s="9"/>
      <c r="M1397" s="10" t="str">
        <f aca="false">IF(A1397="","",IF((COUNTIF(Drain_Register!$A$5:$A$304,A1397)+COUNTIF(RW_Register!$A$5:$A$304,A1397)+COUNTIF(Embedded_Wall_Register!$A$5:$A$304,A1397)+COUNTIF(Manhole_Register!$A$5:$A$304,A1397)+COUNTIF(ERSS_Pit_Register!$A$5:$A$304,A1397)+COUNTIF(Linkway_Register!$A$5:$A$304,A1397)+COUNTIF(Other_Register!$A$5:$A$304,A1397))&gt;0,"OK","ID not in any register"))</f>
        <v/>
      </c>
    </row>
    <row r="1398" customFormat="false" ht="15" hidden="false" customHeight="false" outlineLevel="0" collapsed="false">
      <c r="A1398" s="9"/>
      <c r="B1398" s="9"/>
      <c r="C1398" s="9"/>
      <c r="D1398" s="9"/>
      <c r="E1398" s="9"/>
      <c r="F1398" s="9"/>
      <c r="G1398" s="9"/>
      <c r="H1398" s="9"/>
      <c r="I1398" s="9"/>
      <c r="J1398" s="10" t="str">
        <f aca="false">IF(A1398="","",IF(G1398&lt;&gt;"",G1398,IF(N(F1398)&gt;0,ROUND(1000/F1398,3),0)))</f>
        <v/>
      </c>
      <c r="K1398" s="10" t="str">
        <f aca="false">IF(OR(A1398="",E1398="",H1398=""),"",ROUND(0.00617*E1398^2*H1398*J1398,2))</f>
        <v/>
      </c>
      <c r="L1398" s="9"/>
      <c r="M1398" s="10" t="str">
        <f aca="false">IF(A1398="","",IF((COUNTIF(Drain_Register!$A$5:$A$304,A1398)+COUNTIF(RW_Register!$A$5:$A$304,A1398)+COUNTIF(Embedded_Wall_Register!$A$5:$A$304,A1398)+COUNTIF(Manhole_Register!$A$5:$A$304,A1398)+COUNTIF(ERSS_Pit_Register!$A$5:$A$304,A1398)+COUNTIF(Linkway_Register!$A$5:$A$304,A1398)+COUNTIF(Other_Register!$A$5:$A$304,A1398))&gt;0,"OK","ID not in any register"))</f>
        <v/>
      </c>
    </row>
    <row r="1399" customFormat="false" ht="15" hidden="false" customHeight="false" outlineLevel="0" collapsed="false">
      <c r="A1399" s="9"/>
      <c r="B1399" s="9"/>
      <c r="C1399" s="9"/>
      <c r="D1399" s="9"/>
      <c r="E1399" s="9"/>
      <c r="F1399" s="9"/>
      <c r="G1399" s="9"/>
      <c r="H1399" s="9"/>
      <c r="I1399" s="9"/>
      <c r="J1399" s="10" t="str">
        <f aca="false">IF(A1399="","",IF(G1399&lt;&gt;"",G1399,IF(N(F1399)&gt;0,ROUND(1000/F1399,3),0)))</f>
        <v/>
      </c>
      <c r="K1399" s="10" t="str">
        <f aca="false">IF(OR(A1399="",E1399="",H1399=""),"",ROUND(0.00617*E1399^2*H1399*J1399,2))</f>
        <v/>
      </c>
      <c r="L1399" s="9"/>
      <c r="M1399" s="10" t="str">
        <f aca="false">IF(A1399="","",IF((COUNTIF(Drain_Register!$A$5:$A$304,A1399)+COUNTIF(RW_Register!$A$5:$A$304,A1399)+COUNTIF(Embedded_Wall_Register!$A$5:$A$304,A1399)+COUNTIF(Manhole_Register!$A$5:$A$304,A1399)+COUNTIF(ERSS_Pit_Register!$A$5:$A$304,A1399)+COUNTIF(Linkway_Register!$A$5:$A$304,A1399)+COUNTIF(Other_Register!$A$5:$A$304,A1399))&gt;0,"OK","ID not in any register"))</f>
        <v/>
      </c>
    </row>
    <row r="1400" customFormat="false" ht="15" hidden="false" customHeight="false" outlineLevel="0" collapsed="false">
      <c r="A1400" s="9"/>
      <c r="B1400" s="9"/>
      <c r="C1400" s="9"/>
      <c r="D1400" s="9"/>
      <c r="E1400" s="9"/>
      <c r="F1400" s="9"/>
      <c r="G1400" s="9"/>
      <c r="H1400" s="9"/>
      <c r="I1400" s="9"/>
      <c r="J1400" s="10" t="str">
        <f aca="false">IF(A1400="","",IF(G1400&lt;&gt;"",G1400,IF(N(F1400)&gt;0,ROUND(1000/F1400,3),0)))</f>
        <v/>
      </c>
      <c r="K1400" s="10" t="str">
        <f aca="false">IF(OR(A1400="",E1400="",H1400=""),"",ROUND(0.00617*E1400^2*H1400*J1400,2))</f>
        <v/>
      </c>
      <c r="L1400" s="9"/>
      <c r="M1400" s="10" t="str">
        <f aca="false">IF(A1400="","",IF((COUNTIF(Drain_Register!$A$5:$A$304,A1400)+COUNTIF(RW_Register!$A$5:$A$304,A1400)+COUNTIF(Embedded_Wall_Register!$A$5:$A$304,A1400)+COUNTIF(Manhole_Register!$A$5:$A$304,A1400)+COUNTIF(ERSS_Pit_Register!$A$5:$A$304,A1400)+COUNTIF(Linkway_Register!$A$5:$A$304,A1400)+COUNTIF(Other_Register!$A$5:$A$304,A1400))&gt;0,"OK","ID not in any register"))</f>
        <v/>
      </c>
    </row>
    <row r="1401" customFormat="false" ht="15" hidden="false" customHeight="false" outlineLevel="0" collapsed="false">
      <c r="A1401" s="9"/>
      <c r="B1401" s="9"/>
      <c r="C1401" s="9"/>
      <c r="D1401" s="9"/>
      <c r="E1401" s="9"/>
      <c r="F1401" s="9"/>
      <c r="G1401" s="9"/>
      <c r="H1401" s="9"/>
      <c r="I1401" s="9"/>
      <c r="J1401" s="10" t="str">
        <f aca="false">IF(A1401="","",IF(G1401&lt;&gt;"",G1401,IF(N(F1401)&gt;0,ROUND(1000/F1401,3),0)))</f>
        <v/>
      </c>
      <c r="K1401" s="10" t="str">
        <f aca="false">IF(OR(A1401="",E1401="",H1401=""),"",ROUND(0.00617*E1401^2*H1401*J1401,2))</f>
        <v/>
      </c>
      <c r="L1401" s="9"/>
      <c r="M1401" s="10" t="str">
        <f aca="false">IF(A1401="","",IF((COUNTIF(Drain_Register!$A$5:$A$304,A1401)+COUNTIF(RW_Register!$A$5:$A$304,A1401)+COUNTIF(Embedded_Wall_Register!$A$5:$A$304,A1401)+COUNTIF(Manhole_Register!$A$5:$A$304,A1401)+COUNTIF(ERSS_Pit_Register!$A$5:$A$304,A1401)+COUNTIF(Linkway_Register!$A$5:$A$304,A1401)+COUNTIF(Other_Register!$A$5:$A$304,A1401))&gt;0,"OK","ID not in any register"))</f>
        <v/>
      </c>
    </row>
    <row r="1402" customFormat="false" ht="15" hidden="false" customHeight="false" outlineLevel="0" collapsed="false">
      <c r="A1402" s="9"/>
      <c r="B1402" s="9"/>
      <c r="C1402" s="9"/>
      <c r="D1402" s="9"/>
      <c r="E1402" s="9"/>
      <c r="F1402" s="9"/>
      <c r="G1402" s="9"/>
      <c r="H1402" s="9"/>
      <c r="I1402" s="9"/>
      <c r="J1402" s="10" t="str">
        <f aca="false">IF(A1402="","",IF(G1402&lt;&gt;"",G1402,IF(N(F1402)&gt;0,ROUND(1000/F1402,3),0)))</f>
        <v/>
      </c>
      <c r="K1402" s="10" t="str">
        <f aca="false">IF(OR(A1402="",E1402="",H1402=""),"",ROUND(0.00617*E1402^2*H1402*J1402,2))</f>
        <v/>
      </c>
      <c r="L1402" s="9"/>
      <c r="M1402" s="10" t="str">
        <f aca="false">IF(A1402="","",IF((COUNTIF(Drain_Register!$A$5:$A$304,A1402)+COUNTIF(RW_Register!$A$5:$A$304,A1402)+COUNTIF(Embedded_Wall_Register!$A$5:$A$304,A1402)+COUNTIF(Manhole_Register!$A$5:$A$304,A1402)+COUNTIF(ERSS_Pit_Register!$A$5:$A$304,A1402)+COUNTIF(Linkway_Register!$A$5:$A$304,A1402)+COUNTIF(Other_Register!$A$5:$A$304,A1402))&gt;0,"OK","ID not in any register"))</f>
        <v/>
      </c>
    </row>
    <row r="1403" customFormat="false" ht="15" hidden="false" customHeight="false" outlineLevel="0" collapsed="false">
      <c r="A1403" s="9"/>
      <c r="B1403" s="9"/>
      <c r="C1403" s="9"/>
      <c r="D1403" s="9"/>
      <c r="E1403" s="9"/>
      <c r="F1403" s="9"/>
      <c r="G1403" s="9"/>
      <c r="H1403" s="9"/>
      <c r="I1403" s="9"/>
      <c r="J1403" s="10" t="str">
        <f aca="false">IF(A1403="","",IF(G1403&lt;&gt;"",G1403,IF(N(F1403)&gt;0,ROUND(1000/F1403,3),0)))</f>
        <v/>
      </c>
      <c r="K1403" s="10" t="str">
        <f aca="false">IF(OR(A1403="",E1403="",H1403=""),"",ROUND(0.00617*E1403^2*H1403*J1403,2))</f>
        <v/>
      </c>
      <c r="L1403" s="9"/>
      <c r="M1403" s="10" t="str">
        <f aca="false">IF(A1403="","",IF((COUNTIF(Drain_Register!$A$5:$A$304,A1403)+COUNTIF(RW_Register!$A$5:$A$304,A1403)+COUNTIF(Embedded_Wall_Register!$A$5:$A$304,A1403)+COUNTIF(Manhole_Register!$A$5:$A$304,A1403)+COUNTIF(ERSS_Pit_Register!$A$5:$A$304,A1403)+COUNTIF(Linkway_Register!$A$5:$A$304,A1403)+COUNTIF(Other_Register!$A$5:$A$304,A1403))&gt;0,"OK","ID not in any register"))</f>
        <v/>
      </c>
    </row>
    <row r="1404" customFormat="false" ht="15" hidden="false" customHeight="false" outlineLevel="0" collapsed="false">
      <c r="A1404" s="9"/>
      <c r="B1404" s="9"/>
      <c r="C1404" s="9"/>
      <c r="D1404" s="9"/>
      <c r="E1404" s="9"/>
      <c r="F1404" s="9"/>
      <c r="G1404" s="9"/>
      <c r="H1404" s="9"/>
      <c r="I1404" s="9"/>
      <c r="J1404" s="10" t="str">
        <f aca="false">IF(A1404="","",IF(G1404&lt;&gt;"",G1404,IF(N(F1404)&gt;0,ROUND(1000/F1404,3),0)))</f>
        <v/>
      </c>
      <c r="K1404" s="10" t="str">
        <f aca="false">IF(OR(A1404="",E1404="",H1404=""),"",ROUND(0.00617*E1404^2*H1404*J1404,2))</f>
        <v/>
      </c>
      <c r="L1404" s="9"/>
      <c r="M1404" s="10" t="str">
        <f aca="false">IF(A1404="","",IF((COUNTIF(Drain_Register!$A$5:$A$304,A1404)+COUNTIF(RW_Register!$A$5:$A$304,A1404)+COUNTIF(Embedded_Wall_Register!$A$5:$A$304,A1404)+COUNTIF(Manhole_Register!$A$5:$A$304,A1404)+COUNTIF(ERSS_Pit_Register!$A$5:$A$304,A1404)+COUNTIF(Linkway_Register!$A$5:$A$304,A1404)+COUNTIF(Other_Register!$A$5:$A$304,A1404))&gt;0,"OK","ID not in any register"))</f>
        <v/>
      </c>
    </row>
    <row r="1405" customFormat="false" ht="15" hidden="false" customHeight="false" outlineLevel="0" collapsed="false">
      <c r="A1405" s="9"/>
      <c r="B1405" s="9"/>
      <c r="C1405" s="9"/>
      <c r="D1405" s="9"/>
      <c r="E1405" s="9"/>
      <c r="F1405" s="9"/>
      <c r="G1405" s="9"/>
      <c r="H1405" s="9"/>
      <c r="I1405" s="9"/>
      <c r="J1405" s="10" t="str">
        <f aca="false">IF(A1405="","",IF(G1405&lt;&gt;"",G1405,IF(N(F1405)&gt;0,ROUND(1000/F1405,3),0)))</f>
        <v/>
      </c>
      <c r="K1405" s="10" t="str">
        <f aca="false">IF(OR(A1405="",E1405="",H1405=""),"",ROUND(0.00617*E1405^2*H1405*J1405,2))</f>
        <v/>
      </c>
      <c r="L1405" s="9"/>
      <c r="M1405" s="10" t="str">
        <f aca="false">IF(A1405="","",IF((COUNTIF(Drain_Register!$A$5:$A$304,A1405)+COUNTIF(RW_Register!$A$5:$A$304,A1405)+COUNTIF(Embedded_Wall_Register!$A$5:$A$304,A1405)+COUNTIF(Manhole_Register!$A$5:$A$304,A1405)+COUNTIF(ERSS_Pit_Register!$A$5:$A$304,A1405)+COUNTIF(Linkway_Register!$A$5:$A$304,A1405)+COUNTIF(Other_Register!$A$5:$A$304,A1405))&gt;0,"OK","ID not in any register"))</f>
        <v/>
      </c>
    </row>
    <row r="1406" customFormat="false" ht="15" hidden="false" customHeight="false" outlineLevel="0" collapsed="false">
      <c r="A1406" s="9"/>
      <c r="B1406" s="9"/>
      <c r="C1406" s="9"/>
      <c r="D1406" s="9"/>
      <c r="E1406" s="9"/>
      <c r="F1406" s="9"/>
      <c r="G1406" s="9"/>
      <c r="H1406" s="9"/>
      <c r="I1406" s="9"/>
      <c r="J1406" s="10" t="str">
        <f aca="false">IF(A1406="","",IF(G1406&lt;&gt;"",G1406,IF(N(F1406)&gt;0,ROUND(1000/F1406,3),0)))</f>
        <v/>
      </c>
      <c r="K1406" s="10" t="str">
        <f aca="false">IF(OR(A1406="",E1406="",H1406=""),"",ROUND(0.00617*E1406^2*H1406*J1406,2))</f>
        <v/>
      </c>
      <c r="L1406" s="9"/>
      <c r="M1406" s="10" t="str">
        <f aca="false">IF(A1406="","",IF((COUNTIF(Drain_Register!$A$5:$A$304,A1406)+COUNTIF(RW_Register!$A$5:$A$304,A1406)+COUNTIF(Embedded_Wall_Register!$A$5:$A$304,A1406)+COUNTIF(Manhole_Register!$A$5:$A$304,A1406)+COUNTIF(ERSS_Pit_Register!$A$5:$A$304,A1406)+COUNTIF(Linkway_Register!$A$5:$A$304,A1406)+COUNTIF(Other_Register!$A$5:$A$304,A1406))&gt;0,"OK","ID not in any register"))</f>
        <v/>
      </c>
    </row>
    <row r="1407" customFormat="false" ht="15" hidden="false" customHeight="false" outlineLevel="0" collapsed="false">
      <c r="A1407" s="9"/>
      <c r="B1407" s="9"/>
      <c r="C1407" s="9"/>
      <c r="D1407" s="9"/>
      <c r="E1407" s="9"/>
      <c r="F1407" s="9"/>
      <c r="G1407" s="9"/>
      <c r="H1407" s="9"/>
      <c r="I1407" s="9"/>
      <c r="J1407" s="10" t="str">
        <f aca="false">IF(A1407="","",IF(G1407&lt;&gt;"",G1407,IF(N(F1407)&gt;0,ROUND(1000/F1407,3),0)))</f>
        <v/>
      </c>
      <c r="K1407" s="10" t="str">
        <f aca="false">IF(OR(A1407="",E1407="",H1407=""),"",ROUND(0.00617*E1407^2*H1407*J1407,2))</f>
        <v/>
      </c>
      <c r="L1407" s="9"/>
      <c r="M1407" s="10" t="str">
        <f aca="false">IF(A1407="","",IF((COUNTIF(Drain_Register!$A$5:$A$304,A1407)+COUNTIF(RW_Register!$A$5:$A$304,A1407)+COUNTIF(Embedded_Wall_Register!$A$5:$A$304,A1407)+COUNTIF(Manhole_Register!$A$5:$A$304,A1407)+COUNTIF(ERSS_Pit_Register!$A$5:$A$304,A1407)+COUNTIF(Linkway_Register!$A$5:$A$304,A1407)+COUNTIF(Other_Register!$A$5:$A$304,A1407))&gt;0,"OK","ID not in any register"))</f>
        <v/>
      </c>
    </row>
    <row r="1408" customFormat="false" ht="15" hidden="false" customHeight="false" outlineLevel="0" collapsed="false">
      <c r="A1408" s="9"/>
      <c r="B1408" s="9"/>
      <c r="C1408" s="9"/>
      <c r="D1408" s="9"/>
      <c r="E1408" s="9"/>
      <c r="F1408" s="9"/>
      <c r="G1408" s="9"/>
      <c r="H1408" s="9"/>
      <c r="I1408" s="9"/>
      <c r="J1408" s="10" t="str">
        <f aca="false">IF(A1408="","",IF(G1408&lt;&gt;"",G1408,IF(N(F1408)&gt;0,ROUND(1000/F1408,3),0)))</f>
        <v/>
      </c>
      <c r="K1408" s="10" t="str">
        <f aca="false">IF(OR(A1408="",E1408="",H1408=""),"",ROUND(0.00617*E1408^2*H1408*J1408,2))</f>
        <v/>
      </c>
      <c r="L1408" s="9"/>
      <c r="M1408" s="10" t="str">
        <f aca="false">IF(A1408="","",IF((COUNTIF(Drain_Register!$A$5:$A$304,A1408)+COUNTIF(RW_Register!$A$5:$A$304,A1408)+COUNTIF(Embedded_Wall_Register!$A$5:$A$304,A1408)+COUNTIF(Manhole_Register!$A$5:$A$304,A1408)+COUNTIF(ERSS_Pit_Register!$A$5:$A$304,A1408)+COUNTIF(Linkway_Register!$A$5:$A$304,A1408)+COUNTIF(Other_Register!$A$5:$A$304,A1408))&gt;0,"OK","ID not in any register"))</f>
        <v/>
      </c>
    </row>
    <row r="1409" customFormat="false" ht="15" hidden="false" customHeight="false" outlineLevel="0" collapsed="false">
      <c r="A1409" s="9"/>
      <c r="B1409" s="9"/>
      <c r="C1409" s="9"/>
      <c r="D1409" s="9"/>
      <c r="E1409" s="9"/>
      <c r="F1409" s="9"/>
      <c r="G1409" s="9"/>
      <c r="H1409" s="9"/>
      <c r="I1409" s="9"/>
      <c r="J1409" s="10" t="str">
        <f aca="false">IF(A1409="","",IF(G1409&lt;&gt;"",G1409,IF(N(F1409)&gt;0,ROUND(1000/F1409,3),0)))</f>
        <v/>
      </c>
      <c r="K1409" s="10" t="str">
        <f aca="false">IF(OR(A1409="",E1409="",H1409=""),"",ROUND(0.00617*E1409^2*H1409*J1409,2))</f>
        <v/>
      </c>
      <c r="L1409" s="9"/>
      <c r="M1409" s="10" t="str">
        <f aca="false">IF(A1409="","",IF((COUNTIF(Drain_Register!$A$5:$A$304,A1409)+COUNTIF(RW_Register!$A$5:$A$304,A1409)+COUNTIF(Embedded_Wall_Register!$A$5:$A$304,A1409)+COUNTIF(Manhole_Register!$A$5:$A$304,A1409)+COUNTIF(ERSS_Pit_Register!$A$5:$A$304,A1409)+COUNTIF(Linkway_Register!$A$5:$A$304,A1409)+COUNTIF(Other_Register!$A$5:$A$304,A1409))&gt;0,"OK","ID not in any register"))</f>
        <v/>
      </c>
    </row>
    <row r="1410" customFormat="false" ht="15" hidden="false" customHeight="false" outlineLevel="0" collapsed="false">
      <c r="A1410" s="9"/>
      <c r="B1410" s="9"/>
      <c r="C1410" s="9"/>
      <c r="D1410" s="9"/>
      <c r="E1410" s="9"/>
      <c r="F1410" s="9"/>
      <c r="G1410" s="9"/>
      <c r="H1410" s="9"/>
      <c r="I1410" s="9"/>
      <c r="J1410" s="10" t="str">
        <f aca="false">IF(A1410="","",IF(G1410&lt;&gt;"",G1410,IF(N(F1410)&gt;0,ROUND(1000/F1410,3),0)))</f>
        <v/>
      </c>
      <c r="K1410" s="10" t="str">
        <f aca="false">IF(OR(A1410="",E1410="",H1410=""),"",ROUND(0.00617*E1410^2*H1410*J1410,2))</f>
        <v/>
      </c>
      <c r="L1410" s="9"/>
      <c r="M1410" s="10" t="str">
        <f aca="false">IF(A1410="","",IF((COUNTIF(Drain_Register!$A$5:$A$304,A1410)+COUNTIF(RW_Register!$A$5:$A$304,A1410)+COUNTIF(Embedded_Wall_Register!$A$5:$A$304,A1410)+COUNTIF(Manhole_Register!$A$5:$A$304,A1410)+COUNTIF(ERSS_Pit_Register!$A$5:$A$304,A1410)+COUNTIF(Linkway_Register!$A$5:$A$304,A1410)+COUNTIF(Other_Register!$A$5:$A$304,A1410))&gt;0,"OK","ID not in any register"))</f>
        <v/>
      </c>
    </row>
    <row r="1411" customFormat="false" ht="15" hidden="false" customHeight="false" outlineLevel="0" collapsed="false">
      <c r="A1411" s="9"/>
      <c r="B1411" s="9"/>
      <c r="C1411" s="9"/>
      <c r="D1411" s="9"/>
      <c r="E1411" s="9"/>
      <c r="F1411" s="9"/>
      <c r="G1411" s="9"/>
      <c r="H1411" s="9"/>
      <c r="I1411" s="9"/>
      <c r="J1411" s="10" t="str">
        <f aca="false">IF(A1411="","",IF(G1411&lt;&gt;"",G1411,IF(N(F1411)&gt;0,ROUND(1000/F1411,3),0)))</f>
        <v/>
      </c>
      <c r="K1411" s="10" t="str">
        <f aca="false">IF(OR(A1411="",E1411="",H1411=""),"",ROUND(0.00617*E1411^2*H1411*J1411,2))</f>
        <v/>
      </c>
      <c r="L1411" s="9"/>
      <c r="M1411" s="10" t="str">
        <f aca="false">IF(A1411="","",IF((COUNTIF(Drain_Register!$A$5:$A$304,A1411)+COUNTIF(RW_Register!$A$5:$A$304,A1411)+COUNTIF(Embedded_Wall_Register!$A$5:$A$304,A1411)+COUNTIF(Manhole_Register!$A$5:$A$304,A1411)+COUNTIF(ERSS_Pit_Register!$A$5:$A$304,A1411)+COUNTIF(Linkway_Register!$A$5:$A$304,A1411)+COUNTIF(Other_Register!$A$5:$A$304,A1411))&gt;0,"OK","ID not in any register"))</f>
        <v/>
      </c>
    </row>
    <row r="1412" customFormat="false" ht="15" hidden="false" customHeight="false" outlineLevel="0" collapsed="false">
      <c r="A1412" s="9"/>
      <c r="B1412" s="9"/>
      <c r="C1412" s="9"/>
      <c r="D1412" s="9"/>
      <c r="E1412" s="9"/>
      <c r="F1412" s="9"/>
      <c r="G1412" s="9"/>
      <c r="H1412" s="9"/>
      <c r="I1412" s="9"/>
      <c r="J1412" s="10" t="str">
        <f aca="false">IF(A1412="","",IF(G1412&lt;&gt;"",G1412,IF(N(F1412)&gt;0,ROUND(1000/F1412,3),0)))</f>
        <v/>
      </c>
      <c r="K1412" s="10" t="str">
        <f aca="false">IF(OR(A1412="",E1412="",H1412=""),"",ROUND(0.00617*E1412^2*H1412*J1412,2))</f>
        <v/>
      </c>
      <c r="L1412" s="9"/>
      <c r="M1412" s="10" t="str">
        <f aca="false">IF(A1412="","",IF((COUNTIF(Drain_Register!$A$5:$A$304,A1412)+COUNTIF(RW_Register!$A$5:$A$304,A1412)+COUNTIF(Embedded_Wall_Register!$A$5:$A$304,A1412)+COUNTIF(Manhole_Register!$A$5:$A$304,A1412)+COUNTIF(ERSS_Pit_Register!$A$5:$A$304,A1412)+COUNTIF(Linkway_Register!$A$5:$A$304,A1412)+COUNTIF(Other_Register!$A$5:$A$304,A1412))&gt;0,"OK","ID not in any register"))</f>
        <v/>
      </c>
    </row>
    <row r="1413" customFormat="false" ht="15" hidden="false" customHeight="false" outlineLevel="0" collapsed="false">
      <c r="A1413" s="9"/>
      <c r="B1413" s="9"/>
      <c r="C1413" s="9"/>
      <c r="D1413" s="9"/>
      <c r="E1413" s="9"/>
      <c r="F1413" s="9"/>
      <c r="G1413" s="9"/>
      <c r="H1413" s="9"/>
      <c r="I1413" s="9"/>
      <c r="J1413" s="10" t="str">
        <f aca="false">IF(A1413="","",IF(G1413&lt;&gt;"",G1413,IF(N(F1413)&gt;0,ROUND(1000/F1413,3),0)))</f>
        <v/>
      </c>
      <c r="K1413" s="10" t="str">
        <f aca="false">IF(OR(A1413="",E1413="",H1413=""),"",ROUND(0.00617*E1413^2*H1413*J1413,2))</f>
        <v/>
      </c>
      <c r="L1413" s="9"/>
      <c r="M1413" s="10" t="str">
        <f aca="false">IF(A1413="","",IF((COUNTIF(Drain_Register!$A$5:$A$304,A1413)+COUNTIF(RW_Register!$A$5:$A$304,A1413)+COUNTIF(Embedded_Wall_Register!$A$5:$A$304,A1413)+COUNTIF(Manhole_Register!$A$5:$A$304,A1413)+COUNTIF(ERSS_Pit_Register!$A$5:$A$304,A1413)+COUNTIF(Linkway_Register!$A$5:$A$304,A1413)+COUNTIF(Other_Register!$A$5:$A$304,A1413))&gt;0,"OK","ID not in any register"))</f>
        <v/>
      </c>
    </row>
    <row r="1414" customFormat="false" ht="15" hidden="false" customHeight="false" outlineLevel="0" collapsed="false">
      <c r="A1414" s="9"/>
      <c r="B1414" s="9"/>
      <c r="C1414" s="9"/>
      <c r="D1414" s="9"/>
      <c r="E1414" s="9"/>
      <c r="F1414" s="9"/>
      <c r="G1414" s="9"/>
      <c r="H1414" s="9"/>
      <c r="I1414" s="9"/>
      <c r="J1414" s="10" t="str">
        <f aca="false">IF(A1414="","",IF(G1414&lt;&gt;"",G1414,IF(N(F1414)&gt;0,ROUND(1000/F1414,3),0)))</f>
        <v/>
      </c>
      <c r="K1414" s="10" t="str">
        <f aca="false">IF(OR(A1414="",E1414="",H1414=""),"",ROUND(0.00617*E1414^2*H1414*J1414,2))</f>
        <v/>
      </c>
      <c r="L1414" s="9"/>
      <c r="M1414" s="10" t="str">
        <f aca="false">IF(A1414="","",IF((COUNTIF(Drain_Register!$A$5:$A$304,A1414)+COUNTIF(RW_Register!$A$5:$A$304,A1414)+COUNTIF(Embedded_Wall_Register!$A$5:$A$304,A1414)+COUNTIF(Manhole_Register!$A$5:$A$304,A1414)+COUNTIF(ERSS_Pit_Register!$A$5:$A$304,A1414)+COUNTIF(Linkway_Register!$A$5:$A$304,A1414)+COUNTIF(Other_Register!$A$5:$A$304,A1414))&gt;0,"OK","ID not in any register"))</f>
        <v/>
      </c>
    </row>
    <row r="1415" customFormat="false" ht="15" hidden="false" customHeight="false" outlineLevel="0" collapsed="false">
      <c r="A1415" s="9"/>
      <c r="B1415" s="9"/>
      <c r="C1415" s="9"/>
      <c r="D1415" s="9"/>
      <c r="E1415" s="9"/>
      <c r="F1415" s="9"/>
      <c r="G1415" s="9"/>
      <c r="H1415" s="9"/>
      <c r="I1415" s="9"/>
      <c r="J1415" s="10" t="str">
        <f aca="false">IF(A1415="","",IF(G1415&lt;&gt;"",G1415,IF(N(F1415)&gt;0,ROUND(1000/F1415,3),0)))</f>
        <v/>
      </c>
      <c r="K1415" s="10" t="str">
        <f aca="false">IF(OR(A1415="",E1415="",H1415=""),"",ROUND(0.00617*E1415^2*H1415*J1415,2))</f>
        <v/>
      </c>
      <c r="L1415" s="9"/>
      <c r="M1415" s="10" t="str">
        <f aca="false">IF(A1415="","",IF((COUNTIF(Drain_Register!$A$5:$A$304,A1415)+COUNTIF(RW_Register!$A$5:$A$304,A1415)+COUNTIF(Embedded_Wall_Register!$A$5:$A$304,A1415)+COUNTIF(Manhole_Register!$A$5:$A$304,A1415)+COUNTIF(ERSS_Pit_Register!$A$5:$A$304,A1415)+COUNTIF(Linkway_Register!$A$5:$A$304,A1415)+COUNTIF(Other_Register!$A$5:$A$304,A1415))&gt;0,"OK","ID not in any register"))</f>
        <v/>
      </c>
    </row>
    <row r="1416" customFormat="false" ht="15" hidden="false" customHeight="false" outlineLevel="0" collapsed="false">
      <c r="A1416" s="9"/>
      <c r="B1416" s="9"/>
      <c r="C1416" s="9"/>
      <c r="D1416" s="9"/>
      <c r="E1416" s="9"/>
      <c r="F1416" s="9"/>
      <c r="G1416" s="9"/>
      <c r="H1416" s="9"/>
      <c r="I1416" s="9"/>
      <c r="J1416" s="10" t="str">
        <f aca="false">IF(A1416="","",IF(G1416&lt;&gt;"",G1416,IF(N(F1416)&gt;0,ROUND(1000/F1416,3),0)))</f>
        <v/>
      </c>
      <c r="K1416" s="10" t="str">
        <f aca="false">IF(OR(A1416="",E1416="",H1416=""),"",ROUND(0.00617*E1416^2*H1416*J1416,2))</f>
        <v/>
      </c>
      <c r="L1416" s="9"/>
      <c r="M1416" s="10" t="str">
        <f aca="false">IF(A1416="","",IF((COUNTIF(Drain_Register!$A$5:$A$304,A1416)+COUNTIF(RW_Register!$A$5:$A$304,A1416)+COUNTIF(Embedded_Wall_Register!$A$5:$A$304,A1416)+COUNTIF(Manhole_Register!$A$5:$A$304,A1416)+COUNTIF(ERSS_Pit_Register!$A$5:$A$304,A1416)+COUNTIF(Linkway_Register!$A$5:$A$304,A1416)+COUNTIF(Other_Register!$A$5:$A$304,A1416))&gt;0,"OK","ID not in any register"))</f>
        <v/>
      </c>
    </row>
    <row r="1417" customFormat="false" ht="15" hidden="false" customHeight="false" outlineLevel="0" collapsed="false">
      <c r="A1417" s="9"/>
      <c r="B1417" s="9"/>
      <c r="C1417" s="9"/>
      <c r="D1417" s="9"/>
      <c r="E1417" s="9"/>
      <c r="F1417" s="9"/>
      <c r="G1417" s="9"/>
      <c r="H1417" s="9"/>
      <c r="I1417" s="9"/>
      <c r="J1417" s="10" t="str">
        <f aca="false">IF(A1417="","",IF(G1417&lt;&gt;"",G1417,IF(N(F1417)&gt;0,ROUND(1000/F1417,3),0)))</f>
        <v/>
      </c>
      <c r="K1417" s="10" t="str">
        <f aca="false">IF(OR(A1417="",E1417="",H1417=""),"",ROUND(0.00617*E1417^2*H1417*J1417,2))</f>
        <v/>
      </c>
      <c r="L1417" s="9"/>
      <c r="M1417" s="10" t="str">
        <f aca="false">IF(A1417="","",IF((COUNTIF(Drain_Register!$A$5:$A$304,A1417)+COUNTIF(RW_Register!$A$5:$A$304,A1417)+COUNTIF(Embedded_Wall_Register!$A$5:$A$304,A1417)+COUNTIF(Manhole_Register!$A$5:$A$304,A1417)+COUNTIF(ERSS_Pit_Register!$A$5:$A$304,A1417)+COUNTIF(Linkway_Register!$A$5:$A$304,A1417)+COUNTIF(Other_Register!$A$5:$A$304,A1417))&gt;0,"OK","ID not in any register"))</f>
        <v/>
      </c>
    </row>
    <row r="1418" customFormat="false" ht="15" hidden="false" customHeight="false" outlineLevel="0" collapsed="false">
      <c r="A1418" s="9"/>
      <c r="B1418" s="9"/>
      <c r="C1418" s="9"/>
      <c r="D1418" s="9"/>
      <c r="E1418" s="9"/>
      <c r="F1418" s="9"/>
      <c r="G1418" s="9"/>
      <c r="H1418" s="9"/>
      <c r="I1418" s="9"/>
      <c r="J1418" s="10" t="str">
        <f aca="false">IF(A1418="","",IF(G1418&lt;&gt;"",G1418,IF(N(F1418)&gt;0,ROUND(1000/F1418,3),0)))</f>
        <v/>
      </c>
      <c r="K1418" s="10" t="str">
        <f aca="false">IF(OR(A1418="",E1418="",H1418=""),"",ROUND(0.00617*E1418^2*H1418*J1418,2))</f>
        <v/>
      </c>
      <c r="L1418" s="9"/>
      <c r="M1418" s="10" t="str">
        <f aca="false">IF(A1418="","",IF((COUNTIF(Drain_Register!$A$5:$A$304,A1418)+COUNTIF(RW_Register!$A$5:$A$304,A1418)+COUNTIF(Embedded_Wall_Register!$A$5:$A$304,A1418)+COUNTIF(Manhole_Register!$A$5:$A$304,A1418)+COUNTIF(ERSS_Pit_Register!$A$5:$A$304,A1418)+COUNTIF(Linkway_Register!$A$5:$A$304,A1418)+COUNTIF(Other_Register!$A$5:$A$304,A1418))&gt;0,"OK","ID not in any register"))</f>
        <v/>
      </c>
    </row>
    <row r="1419" customFormat="false" ht="15" hidden="false" customHeight="false" outlineLevel="0" collapsed="false">
      <c r="A1419" s="9"/>
      <c r="B1419" s="9"/>
      <c r="C1419" s="9"/>
      <c r="D1419" s="9"/>
      <c r="E1419" s="9"/>
      <c r="F1419" s="9"/>
      <c r="G1419" s="9"/>
      <c r="H1419" s="9"/>
      <c r="I1419" s="9"/>
      <c r="J1419" s="10" t="str">
        <f aca="false">IF(A1419="","",IF(G1419&lt;&gt;"",G1419,IF(N(F1419)&gt;0,ROUND(1000/F1419,3),0)))</f>
        <v/>
      </c>
      <c r="K1419" s="10" t="str">
        <f aca="false">IF(OR(A1419="",E1419="",H1419=""),"",ROUND(0.00617*E1419^2*H1419*J1419,2))</f>
        <v/>
      </c>
      <c r="L1419" s="9"/>
      <c r="M1419" s="10" t="str">
        <f aca="false">IF(A1419="","",IF((COUNTIF(Drain_Register!$A$5:$A$304,A1419)+COUNTIF(RW_Register!$A$5:$A$304,A1419)+COUNTIF(Embedded_Wall_Register!$A$5:$A$304,A1419)+COUNTIF(Manhole_Register!$A$5:$A$304,A1419)+COUNTIF(ERSS_Pit_Register!$A$5:$A$304,A1419)+COUNTIF(Linkway_Register!$A$5:$A$304,A1419)+COUNTIF(Other_Register!$A$5:$A$304,A1419))&gt;0,"OK","ID not in any register"))</f>
        <v/>
      </c>
    </row>
    <row r="1420" customFormat="false" ht="15" hidden="false" customHeight="false" outlineLevel="0" collapsed="false">
      <c r="A1420" s="9"/>
      <c r="B1420" s="9"/>
      <c r="C1420" s="9"/>
      <c r="D1420" s="9"/>
      <c r="E1420" s="9"/>
      <c r="F1420" s="9"/>
      <c r="G1420" s="9"/>
      <c r="H1420" s="9"/>
      <c r="I1420" s="9"/>
      <c r="J1420" s="10" t="str">
        <f aca="false">IF(A1420="","",IF(G1420&lt;&gt;"",G1420,IF(N(F1420)&gt;0,ROUND(1000/F1420,3),0)))</f>
        <v/>
      </c>
      <c r="K1420" s="10" t="str">
        <f aca="false">IF(OR(A1420="",E1420="",H1420=""),"",ROUND(0.00617*E1420^2*H1420*J1420,2))</f>
        <v/>
      </c>
      <c r="L1420" s="9"/>
      <c r="M1420" s="10" t="str">
        <f aca="false">IF(A1420="","",IF((COUNTIF(Drain_Register!$A$5:$A$304,A1420)+COUNTIF(RW_Register!$A$5:$A$304,A1420)+COUNTIF(Embedded_Wall_Register!$A$5:$A$304,A1420)+COUNTIF(Manhole_Register!$A$5:$A$304,A1420)+COUNTIF(ERSS_Pit_Register!$A$5:$A$304,A1420)+COUNTIF(Linkway_Register!$A$5:$A$304,A1420)+COUNTIF(Other_Register!$A$5:$A$304,A1420))&gt;0,"OK","ID not in any register"))</f>
        <v/>
      </c>
    </row>
    <row r="1421" customFormat="false" ht="15" hidden="false" customHeight="false" outlineLevel="0" collapsed="false">
      <c r="A1421" s="9"/>
      <c r="B1421" s="9"/>
      <c r="C1421" s="9"/>
      <c r="D1421" s="9"/>
      <c r="E1421" s="9"/>
      <c r="F1421" s="9"/>
      <c r="G1421" s="9"/>
      <c r="H1421" s="9"/>
      <c r="I1421" s="9"/>
      <c r="J1421" s="10" t="str">
        <f aca="false">IF(A1421="","",IF(G1421&lt;&gt;"",G1421,IF(N(F1421)&gt;0,ROUND(1000/F1421,3),0)))</f>
        <v/>
      </c>
      <c r="K1421" s="10" t="str">
        <f aca="false">IF(OR(A1421="",E1421="",H1421=""),"",ROUND(0.00617*E1421^2*H1421*J1421,2))</f>
        <v/>
      </c>
      <c r="L1421" s="9"/>
      <c r="M1421" s="10" t="str">
        <f aca="false">IF(A1421="","",IF((COUNTIF(Drain_Register!$A$5:$A$304,A1421)+COUNTIF(RW_Register!$A$5:$A$304,A1421)+COUNTIF(Embedded_Wall_Register!$A$5:$A$304,A1421)+COUNTIF(Manhole_Register!$A$5:$A$304,A1421)+COUNTIF(ERSS_Pit_Register!$A$5:$A$304,A1421)+COUNTIF(Linkway_Register!$A$5:$A$304,A1421)+COUNTIF(Other_Register!$A$5:$A$304,A1421))&gt;0,"OK","ID not in any register"))</f>
        <v/>
      </c>
    </row>
    <row r="1422" customFormat="false" ht="15" hidden="false" customHeight="false" outlineLevel="0" collapsed="false">
      <c r="A1422" s="9"/>
      <c r="B1422" s="9"/>
      <c r="C1422" s="9"/>
      <c r="D1422" s="9"/>
      <c r="E1422" s="9"/>
      <c r="F1422" s="9"/>
      <c r="G1422" s="9"/>
      <c r="H1422" s="9"/>
      <c r="I1422" s="9"/>
      <c r="J1422" s="10" t="str">
        <f aca="false">IF(A1422="","",IF(G1422&lt;&gt;"",G1422,IF(N(F1422)&gt;0,ROUND(1000/F1422,3),0)))</f>
        <v/>
      </c>
      <c r="K1422" s="10" t="str">
        <f aca="false">IF(OR(A1422="",E1422="",H1422=""),"",ROUND(0.00617*E1422^2*H1422*J1422,2))</f>
        <v/>
      </c>
      <c r="L1422" s="9"/>
      <c r="M1422" s="10" t="str">
        <f aca="false">IF(A1422="","",IF((COUNTIF(Drain_Register!$A$5:$A$304,A1422)+COUNTIF(RW_Register!$A$5:$A$304,A1422)+COUNTIF(Embedded_Wall_Register!$A$5:$A$304,A1422)+COUNTIF(Manhole_Register!$A$5:$A$304,A1422)+COUNTIF(ERSS_Pit_Register!$A$5:$A$304,A1422)+COUNTIF(Linkway_Register!$A$5:$A$304,A1422)+COUNTIF(Other_Register!$A$5:$A$304,A1422))&gt;0,"OK","ID not in any register"))</f>
        <v/>
      </c>
    </row>
    <row r="1423" customFormat="false" ht="15" hidden="false" customHeight="false" outlineLevel="0" collapsed="false">
      <c r="A1423" s="9"/>
      <c r="B1423" s="9"/>
      <c r="C1423" s="9"/>
      <c r="D1423" s="9"/>
      <c r="E1423" s="9"/>
      <c r="F1423" s="9"/>
      <c r="G1423" s="9"/>
      <c r="H1423" s="9"/>
      <c r="I1423" s="9"/>
      <c r="J1423" s="10" t="str">
        <f aca="false">IF(A1423="","",IF(G1423&lt;&gt;"",G1423,IF(N(F1423)&gt;0,ROUND(1000/F1423,3),0)))</f>
        <v/>
      </c>
      <c r="K1423" s="10" t="str">
        <f aca="false">IF(OR(A1423="",E1423="",H1423=""),"",ROUND(0.00617*E1423^2*H1423*J1423,2))</f>
        <v/>
      </c>
      <c r="L1423" s="9"/>
      <c r="M1423" s="10" t="str">
        <f aca="false">IF(A1423="","",IF((COUNTIF(Drain_Register!$A$5:$A$304,A1423)+COUNTIF(RW_Register!$A$5:$A$304,A1423)+COUNTIF(Embedded_Wall_Register!$A$5:$A$304,A1423)+COUNTIF(Manhole_Register!$A$5:$A$304,A1423)+COUNTIF(ERSS_Pit_Register!$A$5:$A$304,A1423)+COUNTIF(Linkway_Register!$A$5:$A$304,A1423)+COUNTIF(Other_Register!$A$5:$A$304,A1423))&gt;0,"OK","ID not in any register"))</f>
        <v/>
      </c>
    </row>
    <row r="1424" customFormat="false" ht="15" hidden="false" customHeight="false" outlineLevel="0" collapsed="false">
      <c r="A1424" s="9"/>
      <c r="B1424" s="9"/>
      <c r="C1424" s="9"/>
      <c r="D1424" s="9"/>
      <c r="E1424" s="9"/>
      <c r="F1424" s="9"/>
      <c r="G1424" s="9"/>
      <c r="H1424" s="9"/>
      <c r="I1424" s="9"/>
      <c r="J1424" s="10" t="str">
        <f aca="false">IF(A1424="","",IF(G1424&lt;&gt;"",G1424,IF(N(F1424)&gt;0,ROUND(1000/F1424,3),0)))</f>
        <v/>
      </c>
      <c r="K1424" s="10" t="str">
        <f aca="false">IF(OR(A1424="",E1424="",H1424=""),"",ROUND(0.00617*E1424^2*H1424*J1424,2))</f>
        <v/>
      </c>
      <c r="L1424" s="9"/>
      <c r="M1424" s="10" t="str">
        <f aca="false">IF(A1424="","",IF((COUNTIF(Drain_Register!$A$5:$A$304,A1424)+COUNTIF(RW_Register!$A$5:$A$304,A1424)+COUNTIF(Embedded_Wall_Register!$A$5:$A$304,A1424)+COUNTIF(Manhole_Register!$A$5:$A$304,A1424)+COUNTIF(ERSS_Pit_Register!$A$5:$A$304,A1424)+COUNTIF(Linkway_Register!$A$5:$A$304,A1424)+COUNTIF(Other_Register!$A$5:$A$304,A1424))&gt;0,"OK","ID not in any register"))</f>
        <v/>
      </c>
    </row>
    <row r="1425" customFormat="false" ht="15" hidden="false" customHeight="false" outlineLevel="0" collapsed="false">
      <c r="A1425" s="9"/>
      <c r="B1425" s="9"/>
      <c r="C1425" s="9"/>
      <c r="D1425" s="9"/>
      <c r="E1425" s="9"/>
      <c r="F1425" s="9"/>
      <c r="G1425" s="9"/>
      <c r="H1425" s="9"/>
      <c r="I1425" s="9"/>
      <c r="J1425" s="10" t="str">
        <f aca="false">IF(A1425="","",IF(G1425&lt;&gt;"",G1425,IF(N(F1425)&gt;0,ROUND(1000/F1425,3),0)))</f>
        <v/>
      </c>
      <c r="K1425" s="10" t="str">
        <f aca="false">IF(OR(A1425="",E1425="",H1425=""),"",ROUND(0.00617*E1425^2*H1425*J1425,2))</f>
        <v/>
      </c>
      <c r="L1425" s="9"/>
      <c r="M1425" s="10" t="str">
        <f aca="false">IF(A1425="","",IF((COUNTIF(Drain_Register!$A$5:$A$304,A1425)+COUNTIF(RW_Register!$A$5:$A$304,A1425)+COUNTIF(Embedded_Wall_Register!$A$5:$A$304,A1425)+COUNTIF(Manhole_Register!$A$5:$A$304,A1425)+COUNTIF(ERSS_Pit_Register!$A$5:$A$304,A1425)+COUNTIF(Linkway_Register!$A$5:$A$304,A1425)+COUNTIF(Other_Register!$A$5:$A$304,A1425))&gt;0,"OK","ID not in any register"))</f>
        <v/>
      </c>
    </row>
    <row r="1426" customFormat="false" ht="15" hidden="false" customHeight="false" outlineLevel="0" collapsed="false">
      <c r="A1426" s="9"/>
      <c r="B1426" s="9"/>
      <c r="C1426" s="9"/>
      <c r="D1426" s="9"/>
      <c r="E1426" s="9"/>
      <c r="F1426" s="9"/>
      <c r="G1426" s="9"/>
      <c r="H1426" s="9"/>
      <c r="I1426" s="9"/>
      <c r="J1426" s="10" t="str">
        <f aca="false">IF(A1426="","",IF(G1426&lt;&gt;"",G1426,IF(N(F1426)&gt;0,ROUND(1000/F1426,3),0)))</f>
        <v/>
      </c>
      <c r="K1426" s="10" t="str">
        <f aca="false">IF(OR(A1426="",E1426="",H1426=""),"",ROUND(0.00617*E1426^2*H1426*J1426,2))</f>
        <v/>
      </c>
      <c r="L1426" s="9"/>
      <c r="M1426" s="10" t="str">
        <f aca="false">IF(A1426="","",IF((COUNTIF(Drain_Register!$A$5:$A$304,A1426)+COUNTIF(RW_Register!$A$5:$A$304,A1426)+COUNTIF(Embedded_Wall_Register!$A$5:$A$304,A1426)+COUNTIF(Manhole_Register!$A$5:$A$304,A1426)+COUNTIF(ERSS_Pit_Register!$A$5:$A$304,A1426)+COUNTIF(Linkway_Register!$A$5:$A$304,A1426)+COUNTIF(Other_Register!$A$5:$A$304,A1426))&gt;0,"OK","ID not in any register"))</f>
        <v/>
      </c>
    </row>
    <row r="1427" customFormat="false" ht="15" hidden="false" customHeight="false" outlineLevel="0" collapsed="false">
      <c r="A1427" s="9"/>
      <c r="B1427" s="9"/>
      <c r="C1427" s="9"/>
      <c r="D1427" s="9"/>
      <c r="E1427" s="9"/>
      <c r="F1427" s="9"/>
      <c r="G1427" s="9"/>
      <c r="H1427" s="9"/>
      <c r="I1427" s="9"/>
      <c r="J1427" s="10" t="str">
        <f aca="false">IF(A1427="","",IF(G1427&lt;&gt;"",G1427,IF(N(F1427)&gt;0,ROUND(1000/F1427,3),0)))</f>
        <v/>
      </c>
      <c r="K1427" s="10" t="str">
        <f aca="false">IF(OR(A1427="",E1427="",H1427=""),"",ROUND(0.00617*E1427^2*H1427*J1427,2))</f>
        <v/>
      </c>
      <c r="L1427" s="9"/>
      <c r="M1427" s="10" t="str">
        <f aca="false">IF(A1427="","",IF((COUNTIF(Drain_Register!$A$5:$A$304,A1427)+COUNTIF(RW_Register!$A$5:$A$304,A1427)+COUNTIF(Embedded_Wall_Register!$A$5:$A$304,A1427)+COUNTIF(Manhole_Register!$A$5:$A$304,A1427)+COUNTIF(ERSS_Pit_Register!$A$5:$A$304,A1427)+COUNTIF(Linkway_Register!$A$5:$A$304,A1427)+COUNTIF(Other_Register!$A$5:$A$304,A1427))&gt;0,"OK","ID not in any register"))</f>
        <v/>
      </c>
    </row>
    <row r="1428" customFormat="false" ht="15" hidden="false" customHeight="false" outlineLevel="0" collapsed="false">
      <c r="A1428" s="9"/>
      <c r="B1428" s="9"/>
      <c r="C1428" s="9"/>
      <c r="D1428" s="9"/>
      <c r="E1428" s="9"/>
      <c r="F1428" s="9"/>
      <c r="G1428" s="9"/>
      <c r="H1428" s="9"/>
      <c r="I1428" s="9"/>
      <c r="J1428" s="10" t="str">
        <f aca="false">IF(A1428="","",IF(G1428&lt;&gt;"",G1428,IF(N(F1428)&gt;0,ROUND(1000/F1428,3),0)))</f>
        <v/>
      </c>
      <c r="K1428" s="10" t="str">
        <f aca="false">IF(OR(A1428="",E1428="",H1428=""),"",ROUND(0.00617*E1428^2*H1428*J1428,2))</f>
        <v/>
      </c>
      <c r="L1428" s="9"/>
      <c r="M1428" s="10" t="str">
        <f aca="false">IF(A1428="","",IF((COUNTIF(Drain_Register!$A$5:$A$304,A1428)+COUNTIF(RW_Register!$A$5:$A$304,A1428)+COUNTIF(Embedded_Wall_Register!$A$5:$A$304,A1428)+COUNTIF(Manhole_Register!$A$5:$A$304,A1428)+COUNTIF(ERSS_Pit_Register!$A$5:$A$304,A1428)+COUNTIF(Linkway_Register!$A$5:$A$304,A1428)+COUNTIF(Other_Register!$A$5:$A$304,A1428))&gt;0,"OK","ID not in any register"))</f>
        <v/>
      </c>
    </row>
    <row r="1429" customFormat="false" ht="15" hidden="false" customHeight="false" outlineLevel="0" collapsed="false">
      <c r="A1429" s="9"/>
      <c r="B1429" s="9"/>
      <c r="C1429" s="9"/>
      <c r="D1429" s="9"/>
      <c r="E1429" s="9"/>
      <c r="F1429" s="9"/>
      <c r="G1429" s="9"/>
      <c r="H1429" s="9"/>
      <c r="I1429" s="9"/>
      <c r="J1429" s="10" t="str">
        <f aca="false">IF(A1429="","",IF(G1429&lt;&gt;"",G1429,IF(N(F1429)&gt;0,ROUND(1000/F1429,3),0)))</f>
        <v/>
      </c>
      <c r="K1429" s="10" t="str">
        <f aca="false">IF(OR(A1429="",E1429="",H1429=""),"",ROUND(0.00617*E1429^2*H1429*J1429,2))</f>
        <v/>
      </c>
      <c r="L1429" s="9"/>
      <c r="M1429" s="10" t="str">
        <f aca="false">IF(A1429="","",IF((COUNTIF(Drain_Register!$A$5:$A$304,A1429)+COUNTIF(RW_Register!$A$5:$A$304,A1429)+COUNTIF(Embedded_Wall_Register!$A$5:$A$304,A1429)+COUNTIF(Manhole_Register!$A$5:$A$304,A1429)+COUNTIF(ERSS_Pit_Register!$A$5:$A$304,A1429)+COUNTIF(Linkway_Register!$A$5:$A$304,A1429)+COUNTIF(Other_Register!$A$5:$A$304,A1429))&gt;0,"OK","ID not in any register"))</f>
        <v/>
      </c>
    </row>
    <row r="1430" customFormat="false" ht="15" hidden="false" customHeight="false" outlineLevel="0" collapsed="false">
      <c r="A1430" s="9"/>
      <c r="B1430" s="9"/>
      <c r="C1430" s="9"/>
      <c r="D1430" s="9"/>
      <c r="E1430" s="9"/>
      <c r="F1430" s="9"/>
      <c r="G1430" s="9"/>
      <c r="H1430" s="9"/>
      <c r="I1430" s="9"/>
      <c r="J1430" s="10" t="str">
        <f aca="false">IF(A1430="","",IF(G1430&lt;&gt;"",G1430,IF(N(F1430)&gt;0,ROUND(1000/F1430,3),0)))</f>
        <v/>
      </c>
      <c r="K1430" s="10" t="str">
        <f aca="false">IF(OR(A1430="",E1430="",H1430=""),"",ROUND(0.00617*E1430^2*H1430*J1430,2))</f>
        <v/>
      </c>
      <c r="L1430" s="9"/>
      <c r="M1430" s="10" t="str">
        <f aca="false">IF(A1430="","",IF((COUNTIF(Drain_Register!$A$5:$A$304,A1430)+COUNTIF(RW_Register!$A$5:$A$304,A1430)+COUNTIF(Embedded_Wall_Register!$A$5:$A$304,A1430)+COUNTIF(Manhole_Register!$A$5:$A$304,A1430)+COUNTIF(ERSS_Pit_Register!$A$5:$A$304,A1430)+COUNTIF(Linkway_Register!$A$5:$A$304,A1430)+COUNTIF(Other_Register!$A$5:$A$304,A1430))&gt;0,"OK","ID not in any register"))</f>
        <v/>
      </c>
    </row>
    <row r="1431" customFormat="false" ht="15" hidden="false" customHeight="false" outlineLevel="0" collapsed="false">
      <c r="A1431" s="9"/>
      <c r="B1431" s="9"/>
      <c r="C1431" s="9"/>
      <c r="D1431" s="9"/>
      <c r="E1431" s="9"/>
      <c r="F1431" s="9"/>
      <c r="G1431" s="9"/>
      <c r="H1431" s="9"/>
      <c r="I1431" s="9"/>
      <c r="J1431" s="10" t="str">
        <f aca="false">IF(A1431="","",IF(G1431&lt;&gt;"",G1431,IF(N(F1431)&gt;0,ROUND(1000/F1431,3),0)))</f>
        <v/>
      </c>
      <c r="K1431" s="10" t="str">
        <f aca="false">IF(OR(A1431="",E1431="",H1431=""),"",ROUND(0.00617*E1431^2*H1431*J1431,2))</f>
        <v/>
      </c>
      <c r="L1431" s="9"/>
      <c r="M1431" s="10" t="str">
        <f aca="false">IF(A1431="","",IF((COUNTIF(Drain_Register!$A$5:$A$304,A1431)+COUNTIF(RW_Register!$A$5:$A$304,A1431)+COUNTIF(Embedded_Wall_Register!$A$5:$A$304,A1431)+COUNTIF(Manhole_Register!$A$5:$A$304,A1431)+COUNTIF(ERSS_Pit_Register!$A$5:$A$304,A1431)+COUNTIF(Linkway_Register!$A$5:$A$304,A1431)+COUNTIF(Other_Register!$A$5:$A$304,A1431))&gt;0,"OK","ID not in any register"))</f>
        <v/>
      </c>
    </row>
    <row r="1432" customFormat="false" ht="15" hidden="false" customHeight="false" outlineLevel="0" collapsed="false">
      <c r="A1432" s="9"/>
      <c r="B1432" s="9"/>
      <c r="C1432" s="9"/>
      <c r="D1432" s="9"/>
      <c r="E1432" s="9"/>
      <c r="F1432" s="9"/>
      <c r="G1432" s="9"/>
      <c r="H1432" s="9"/>
      <c r="I1432" s="9"/>
      <c r="J1432" s="10" t="str">
        <f aca="false">IF(A1432="","",IF(G1432&lt;&gt;"",G1432,IF(N(F1432)&gt;0,ROUND(1000/F1432,3),0)))</f>
        <v/>
      </c>
      <c r="K1432" s="10" t="str">
        <f aca="false">IF(OR(A1432="",E1432="",H1432=""),"",ROUND(0.00617*E1432^2*H1432*J1432,2))</f>
        <v/>
      </c>
      <c r="L1432" s="9"/>
      <c r="M1432" s="10" t="str">
        <f aca="false">IF(A1432="","",IF((COUNTIF(Drain_Register!$A$5:$A$304,A1432)+COUNTIF(RW_Register!$A$5:$A$304,A1432)+COUNTIF(Embedded_Wall_Register!$A$5:$A$304,A1432)+COUNTIF(Manhole_Register!$A$5:$A$304,A1432)+COUNTIF(ERSS_Pit_Register!$A$5:$A$304,A1432)+COUNTIF(Linkway_Register!$A$5:$A$304,A1432)+COUNTIF(Other_Register!$A$5:$A$304,A1432))&gt;0,"OK","ID not in any register"))</f>
        <v/>
      </c>
    </row>
    <row r="1433" customFormat="false" ht="15" hidden="false" customHeight="false" outlineLevel="0" collapsed="false">
      <c r="A1433" s="9"/>
      <c r="B1433" s="9"/>
      <c r="C1433" s="9"/>
      <c r="D1433" s="9"/>
      <c r="E1433" s="9"/>
      <c r="F1433" s="9"/>
      <c r="G1433" s="9"/>
      <c r="H1433" s="9"/>
      <c r="I1433" s="9"/>
      <c r="J1433" s="10" t="str">
        <f aca="false">IF(A1433="","",IF(G1433&lt;&gt;"",G1433,IF(N(F1433)&gt;0,ROUND(1000/F1433,3),0)))</f>
        <v/>
      </c>
      <c r="K1433" s="10" t="str">
        <f aca="false">IF(OR(A1433="",E1433="",H1433=""),"",ROUND(0.00617*E1433^2*H1433*J1433,2))</f>
        <v/>
      </c>
      <c r="L1433" s="9"/>
      <c r="M1433" s="10" t="str">
        <f aca="false">IF(A1433="","",IF((COUNTIF(Drain_Register!$A$5:$A$304,A1433)+COUNTIF(RW_Register!$A$5:$A$304,A1433)+COUNTIF(Embedded_Wall_Register!$A$5:$A$304,A1433)+COUNTIF(Manhole_Register!$A$5:$A$304,A1433)+COUNTIF(ERSS_Pit_Register!$A$5:$A$304,A1433)+COUNTIF(Linkway_Register!$A$5:$A$304,A1433)+COUNTIF(Other_Register!$A$5:$A$304,A1433))&gt;0,"OK","ID not in any register"))</f>
        <v/>
      </c>
    </row>
    <row r="1434" customFormat="false" ht="15" hidden="false" customHeight="false" outlineLevel="0" collapsed="false">
      <c r="A1434" s="9"/>
      <c r="B1434" s="9"/>
      <c r="C1434" s="9"/>
      <c r="D1434" s="9"/>
      <c r="E1434" s="9"/>
      <c r="F1434" s="9"/>
      <c r="G1434" s="9"/>
      <c r="H1434" s="9"/>
      <c r="I1434" s="9"/>
      <c r="J1434" s="10" t="str">
        <f aca="false">IF(A1434="","",IF(G1434&lt;&gt;"",G1434,IF(N(F1434)&gt;0,ROUND(1000/F1434,3),0)))</f>
        <v/>
      </c>
      <c r="K1434" s="10" t="str">
        <f aca="false">IF(OR(A1434="",E1434="",H1434=""),"",ROUND(0.00617*E1434^2*H1434*J1434,2))</f>
        <v/>
      </c>
      <c r="L1434" s="9"/>
      <c r="M1434" s="10" t="str">
        <f aca="false">IF(A1434="","",IF((COUNTIF(Drain_Register!$A$5:$A$304,A1434)+COUNTIF(RW_Register!$A$5:$A$304,A1434)+COUNTIF(Embedded_Wall_Register!$A$5:$A$304,A1434)+COUNTIF(Manhole_Register!$A$5:$A$304,A1434)+COUNTIF(ERSS_Pit_Register!$A$5:$A$304,A1434)+COUNTIF(Linkway_Register!$A$5:$A$304,A1434)+COUNTIF(Other_Register!$A$5:$A$304,A1434))&gt;0,"OK","ID not in any register"))</f>
        <v/>
      </c>
    </row>
    <row r="1435" customFormat="false" ht="15" hidden="false" customHeight="false" outlineLevel="0" collapsed="false">
      <c r="A1435" s="9"/>
      <c r="B1435" s="9"/>
      <c r="C1435" s="9"/>
      <c r="D1435" s="9"/>
      <c r="E1435" s="9"/>
      <c r="F1435" s="9"/>
      <c r="G1435" s="9"/>
      <c r="H1435" s="9"/>
      <c r="I1435" s="9"/>
      <c r="J1435" s="10" t="str">
        <f aca="false">IF(A1435="","",IF(G1435&lt;&gt;"",G1435,IF(N(F1435)&gt;0,ROUND(1000/F1435,3),0)))</f>
        <v/>
      </c>
      <c r="K1435" s="10" t="str">
        <f aca="false">IF(OR(A1435="",E1435="",H1435=""),"",ROUND(0.00617*E1435^2*H1435*J1435,2))</f>
        <v/>
      </c>
      <c r="L1435" s="9"/>
      <c r="M1435" s="10" t="str">
        <f aca="false">IF(A1435="","",IF((COUNTIF(Drain_Register!$A$5:$A$304,A1435)+COUNTIF(RW_Register!$A$5:$A$304,A1435)+COUNTIF(Embedded_Wall_Register!$A$5:$A$304,A1435)+COUNTIF(Manhole_Register!$A$5:$A$304,A1435)+COUNTIF(ERSS_Pit_Register!$A$5:$A$304,A1435)+COUNTIF(Linkway_Register!$A$5:$A$304,A1435)+COUNTIF(Other_Register!$A$5:$A$304,A1435))&gt;0,"OK","ID not in any register"))</f>
        <v/>
      </c>
    </row>
    <row r="1436" customFormat="false" ht="15" hidden="false" customHeight="false" outlineLevel="0" collapsed="false">
      <c r="A1436" s="9"/>
      <c r="B1436" s="9"/>
      <c r="C1436" s="9"/>
      <c r="D1436" s="9"/>
      <c r="E1436" s="9"/>
      <c r="F1436" s="9"/>
      <c r="G1436" s="9"/>
      <c r="H1436" s="9"/>
      <c r="I1436" s="9"/>
      <c r="J1436" s="10" t="str">
        <f aca="false">IF(A1436="","",IF(G1436&lt;&gt;"",G1436,IF(N(F1436)&gt;0,ROUND(1000/F1436,3),0)))</f>
        <v/>
      </c>
      <c r="K1436" s="10" t="str">
        <f aca="false">IF(OR(A1436="",E1436="",H1436=""),"",ROUND(0.00617*E1436^2*H1436*J1436,2))</f>
        <v/>
      </c>
      <c r="L1436" s="9"/>
      <c r="M1436" s="10" t="str">
        <f aca="false">IF(A1436="","",IF((COUNTIF(Drain_Register!$A$5:$A$304,A1436)+COUNTIF(RW_Register!$A$5:$A$304,A1436)+COUNTIF(Embedded_Wall_Register!$A$5:$A$304,A1436)+COUNTIF(Manhole_Register!$A$5:$A$304,A1436)+COUNTIF(ERSS_Pit_Register!$A$5:$A$304,A1436)+COUNTIF(Linkway_Register!$A$5:$A$304,A1436)+COUNTIF(Other_Register!$A$5:$A$304,A1436))&gt;0,"OK","ID not in any register"))</f>
        <v/>
      </c>
    </row>
    <row r="1437" customFormat="false" ht="15" hidden="false" customHeight="false" outlineLevel="0" collapsed="false">
      <c r="A1437" s="9"/>
      <c r="B1437" s="9"/>
      <c r="C1437" s="9"/>
      <c r="D1437" s="9"/>
      <c r="E1437" s="9"/>
      <c r="F1437" s="9"/>
      <c r="G1437" s="9"/>
      <c r="H1437" s="9"/>
      <c r="I1437" s="9"/>
      <c r="J1437" s="10" t="str">
        <f aca="false">IF(A1437="","",IF(G1437&lt;&gt;"",G1437,IF(N(F1437)&gt;0,ROUND(1000/F1437,3),0)))</f>
        <v/>
      </c>
      <c r="K1437" s="10" t="str">
        <f aca="false">IF(OR(A1437="",E1437="",H1437=""),"",ROUND(0.00617*E1437^2*H1437*J1437,2))</f>
        <v/>
      </c>
      <c r="L1437" s="9"/>
      <c r="M1437" s="10" t="str">
        <f aca="false">IF(A1437="","",IF((COUNTIF(Drain_Register!$A$5:$A$304,A1437)+COUNTIF(RW_Register!$A$5:$A$304,A1437)+COUNTIF(Embedded_Wall_Register!$A$5:$A$304,A1437)+COUNTIF(Manhole_Register!$A$5:$A$304,A1437)+COUNTIF(ERSS_Pit_Register!$A$5:$A$304,A1437)+COUNTIF(Linkway_Register!$A$5:$A$304,A1437)+COUNTIF(Other_Register!$A$5:$A$304,A1437))&gt;0,"OK","ID not in any register"))</f>
        <v/>
      </c>
    </row>
    <row r="1438" customFormat="false" ht="15" hidden="false" customHeight="false" outlineLevel="0" collapsed="false">
      <c r="A1438" s="9"/>
      <c r="B1438" s="9"/>
      <c r="C1438" s="9"/>
      <c r="D1438" s="9"/>
      <c r="E1438" s="9"/>
      <c r="F1438" s="9"/>
      <c r="G1438" s="9"/>
      <c r="H1438" s="9"/>
      <c r="I1438" s="9"/>
      <c r="J1438" s="10" t="str">
        <f aca="false">IF(A1438="","",IF(G1438&lt;&gt;"",G1438,IF(N(F1438)&gt;0,ROUND(1000/F1438,3),0)))</f>
        <v/>
      </c>
      <c r="K1438" s="10" t="str">
        <f aca="false">IF(OR(A1438="",E1438="",H1438=""),"",ROUND(0.00617*E1438^2*H1438*J1438,2))</f>
        <v/>
      </c>
      <c r="L1438" s="9"/>
      <c r="M1438" s="10" t="str">
        <f aca="false">IF(A1438="","",IF((COUNTIF(Drain_Register!$A$5:$A$304,A1438)+COUNTIF(RW_Register!$A$5:$A$304,A1438)+COUNTIF(Embedded_Wall_Register!$A$5:$A$304,A1438)+COUNTIF(Manhole_Register!$A$5:$A$304,A1438)+COUNTIF(ERSS_Pit_Register!$A$5:$A$304,A1438)+COUNTIF(Linkway_Register!$A$5:$A$304,A1438)+COUNTIF(Other_Register!$A$5:$A$304,A1438))&gt;0,"OK","ID not in any register"))</f>
        <v/>
      </c>
    </row>
    <row r="1439" customFormat="false" ht="15" hidden="false" customHeight="false" outlineLevel="0" collapsed="false">
      <c r="A1439" s="9"/>
      <c r="B1439" s="9"/>
      <c r="C1439" s="9"/>
      <c r="D1439" s="9"/>
      <c r="E1439" s="9"/>
      <c r="F1439" s="9"/>
      <c r="G1439" s="9"/>
      <c r="H1439" s="9"/>
      <c r="I1439" s="9"/>
      <c r="J1439" s="10" t="str">
        <f aca="false">IF(A1439="","",IF(G1439&lt;&gt;"",G1439,IF(N(F1439)&gt;0,ROUND(1000/F1439,3),0)))</f>
        <v/>
      </c>
      <c r="K1439" s="10" t="str">
        <f aca="false">IF(OR(A1439="",E1439="",H1439=""),"",ROUND(0.00617*E1439^2*H1439*J1439,2))</f>
        <v/>
      </c>
      <c r="L1439" s="9"/>
      <c r="M1439" s="10" t="str">
        <f aca="false">IF(A1439="","",IF((COUNTIF(Drain_Register!$A$5:$A$304,A1439)+COUNTIF(RW_Register!$A$5:$A$304,A1439)+COUNTIF(Embedded_Wall_Register!$A$5:$A$304,A1439)+COUNTIF(Manhole_Register!$A$5:$A$304,A1439)+COUNTIF(ERSS_Pit_Register!$A$5:$A$304,A1439)+COUNTIF(Linkway_Register!$A$5:$A$304,A1439)+COUNTIF(Other_Register!$A$5:$A$304,A1439))&gt;0,"OK","ID not in any register"))</f>
        <v/>
      </c>
    </row>
    <row r="1440" customFormat="false" ht="15" hidden="false" customHeight="false" outlineLevel="0" collapsed="false">
      <c r="A1440" s="9"/>
      <c r="B1440" s="9"/>
      <c r="C1440" s="9"/>
      <c r="D1440" s="9"/>
      <c r="E1440" s="9"/>
      <c r="F1440" s="9"/>
      <c r="G1440" s="9"/>
      <c r="H1440" s="9"/>
      <c r="I1440" s="9"/>
      <c r="J1440" s="10" t="str">
        <f aca="false">IF(A1440="","",IF(G1440&lt;&gt;"",G1440,IF(N(F1440)&gt;0,ROUND(1000/F1440,3),0)))</f>
        <v/>
      </c>
      <c r="K1440" s="10" t="str">
        <f aca="false">IF(OR(A1440="",E1440="",H1440=""),"",ROUND(0.00617*E1440^2*H1440*J1440,2))</f>
        <v/>
      </c>
      <c r="L1440" s="9"/>
      <c r="M1440" s="10" t="str">
        <f aca="false">IF(A1440="","",IF((COUNTIF(Drain_Register!$A$5:$A$304,A1440)+COUNTIF(RW_Register!$A$5:$A$304,A1440)+COUNTIF(Embedded_Wall_Register!$A$5:$A$304,A1440)+COUNTIF(Manhole_Register!$A$5:$A$304,A1440)+COUNTIF(ERSS_Pit_Register!$A$5:$A$304,A1440)+COUNTIF(Linkway_Register!$A$5:$A$304,A1440)+COUNTIF(Other_Register!$A$5:$A$304,A1440))&gt;0,"OK","ID not in any register"))</f>
        <v/>
      </c>
    </row>
    <row r="1441" customFormat="false" ht="15" hidden="false" customHeight="false" outlineLevel="0" collapsed="false">
      <c r="A1441" s="9"/>
      <c r="B1441" s="9"/>
      <c r="C1441" s="9"/>
      <c r="D1441" s="9"/>
      <c r="E1441" s="9"/>
      <c r="F1441" s="9"/>
      <c r="G1441" s="9"/>
      <c r="H1441" s="9"/>
      <c r="I1441" s="9"/>
      <c r="J1441" s="10" t="str">
        <f aca="false">IF(A1441="","",IF(G1441&lt;&gt;"",G1441,IF(N(F1441)&gt;0,ROUND(1000/F1441,3),0)))</f>
        <v/>
      </c>
      <c r="K1441" s="10" t="str">
        <f aca="false">IF(OR(A1441="",E1441="",H1441=""),"",ROUND(0.00617*E1441^2*H1441*J1441,2))</f>
        <v/>
      </c>
      <c r="L1441" s="9"/>
      <c r="M1441" s="10" t="str">
        <f aca="false">IF(A1441="","",IF((COUNTIF(Drain_Register!$A$5:$A$304,A1441)+COUNTIF(RW_Register!$A$5:$A$304,A1441)+COUNTIF(Embedded_Wall_Register!$A$5:$A$304,A1441)+COUNTIF(Manhole_Register!$A$5:$A$304,A1441)+COUNTIF(ERSS_Pit_Register!$A$5:$A$304,A1441)+COUNTIF(Linkway_Register!$A$5:$A$304,A1441)+COUNTIF(Other_Register!$A$5:$A$304,A1441))&gt;0,"OK","ID not in any register"))</f>
        <v/>
      </c>
    </row>
    <row r="1442" customFormat="false" ht="15" hidden="false" customHeight="false" outlineLevel="0" collapsed="false">
      <c r="A1442" s="9"/>
      <c r="B1442" s="9"/>
      <c r="C1442" s="9"/>
      <c r="D1442" s="9"/>
      <c r="E1442" s="9"/>
      <c r="F1442" s="9"/>
      <c r="G1442" s="9"/>
      <c r="H1442" s="9"/>
      <c r="I1442" s="9"/>
      <c r="J1442" s="10" t="str">
        <f aca="false">IF(A1442="","",IF(G1442&lt;&gt;"",G1442,IF(N(F1442)&gt;0,ROUND(1000/F1442,3),0)))</f>
        <v/>
      </c>
      <c r="K1442" s="10" t="str">
        <f aca="false">IF(OR(A1442="",E1442="",H1442=""),"",ROUND(0.00617*E1442^2*H1442*J1442,2))</f>
        <v/>
      </c>
      <c r="L1442" s="9"/>
      <c r="M1442" s="10" t="str">
        <f aca="false">IF(A1442="","",IF((COUNTIF(Drain_Register!$A$5:$A$304,A1442)+COUNTIF(RW_Register!$A$5:$A$304,A1442)+COUNTIF(Embedded_Wall_Register!$A$5:$A$304,A1442)+COUNTIF(Manhole_Register!$A$5:$A$304,A1442)+COUNTIF(ERSS_Pit_Register!$A$5:$A$304,A1442)+COUNTIF(Linkway_Register!$A$5:$A$304,A1442)+COUNTIF(Other_Register!$A$5:$A$304,A1442))&gt;0,"OK","ID not in any register"))</f>
        <v/>
      </c>
    </row>
    <row r="1443" customFormat="false" ht="15" hidden="false" customHeight="false" outlineLevel="0" collapsed="false">
      <c r="A1443" s="9"/>
      <c r="B1443" s="9"/>
      <c r="C1443" s="9"/>
      <c r="D1443" s="9"/>
      <c r="E1443" s="9"/>
      <c r="F1443" s="9"/>
      <c r="G1443" s="9"/>
      <c r="H1443" s="9"/>
      <c r="I1443" s="9"/>
      <c r="J1443" s="10" t="str">
        <f aca="false">IF(A1443="","",IF(G1443&lt;&gt;"",G1443,IF(N(F1443)&gt;0,ROUND(1000/F1443,3),0)))</f>
        <v/>
      </c>
      <c r="K1443" s="10" t="str">
        <f aca="false">IF(OR(A1443="",E1443="",H1443=""),"",ROUND(0.00617*E1443^2*H1443*J1443,2))</f>
        <v/>
      </c>
      <c r="L1443" s="9"/>
      <c r="M1443" s="10" t="str">
        <f aca="false">IF(A1443="","",IF((COUNTIF(Drain_Register!$A$5:$A$304,A1443)+COUNTIF(RW_Register!$A$5:$A$304,A1443)+COUNTIF(Embedded_Wall_Register!$A$5:$A$304,A1443)+COUNTIF(Manhole_Register!$A$5:$A$304,A1443)+COUNTIF(ERSS_Pit_Register!$A$5:$A$304,A1443)+COUNTIF(Linkway_Register!$A$5:$A$304,A1443)+COUNTIF(Other_Register!$A$5:$A$304,A1443))&gt;0,"OK","ID not in any register"))</f>
        <v/>
      </c>
    </row>
    <row r="1444" customFormat="false" ht="15" hidden="false" customHeight="false" outlineLevel="0" collapsed="false">
      <c r="A1444" s="9"/>
      <c r="B1444" s="9"/>
      <c r="C1444" s="9"/>
      <c r="D1444" s="9"/>
      <c r="E1444" s="9"/>
      <c r="F1444" s="9"/>
      <c r="G1444" s="9"/>
      <c r="H1444" s="9"/>
      <c r="I1444" s="9"/>
      <c r="J1444" s="10" t="str">
        <f aca="false">IF(A1444="","",IF(G1444&lt;&gt;"",G1444,IF(N(F1444)&gt;0,ROUND(1000/F1444,3),0)))</f>
        <v/>
      </c>
      <c r="K1444" s="10" t="str">
        <f aca="false">IF(OR(A1444="",E1444="",H1444=""),"",ROUND(0.00617*E1444^2*H1444*J1444,2))</f>
        <v/>
      </c>
      <c r="L1444" s="9"/>
      <c r="M1444" s="10" t="str">
        <f aca="false">IF(A1444="","",IF((COUNTIF(Drain_Register!$A$5:$A$304,A1444)+COUNTIF(RW_Register!$A$5:$A$304,A1444)+COUNTIF(Embedded_Wall_Register!$A$5:$A$304,A1444)+COUNTIF(Manhole_Register!$A$5:$A$304,A1444)+COUNTIF(ERSS_Pit_Register!$A$5:$A$304,A1444)+COUNTIF(Linkway_Register!$A$5:$A$304,A1444)+COUNTIF(Other_Register!$A$5:$A$304,A1444))&gt;0,"OK","ID not in any register"))</f>
        <v/>
      </c>
    </row>
    <row r="1445" customFormat="false" ht="15" hidden="false" customHeight="false" outlineLevel="0" collapsed="false">
      <c r="A1445" s="9"/>
      <c r="B1445" s="9"/>
      <c r="C1445" s="9"/>
      <c r="D1445" s="9"/>
      <c r="E1445" s="9"/>
      <c r="F1445" s="9"/>
      <c r="G1445" s="9"/>
      <c r="H1445" s="9"/>
      <c r="I1445" s="9"/>
      <c r="J1445" s="10" t="str">
        <f aca="false">IF(A1445="","",IF(G1445&lt;&gt;"",G1445,IF(N(F1445)&gt;0,ROUND(1000/F1445,3),0)))</f>
        <v/>
      </c>
      <c r="K1445" s="10" t="str">
        <f aca="false">IF(OR(A1445="",E1445="",H1445=""),"",ROUND(0.00617*E1445^2*H1445*J1445,2))</f>
        <v/>
      </c>
      <c r="L1445" s="9"/>
      <c r="M1445" s="10" t="str">
        <f aca="false">IF(A1445="","",IF((COUNTIF(Drain_Register!$A$5:$A$304,A1445)+COUNTIF(RW_Register!$A$5:$A$304,A1445)+COUNTIF(Embedded_Wall_Register!$A$5:$A$304,A1445)+COUNTIF(Manhole_Register!$A$5:$A$304,A1445)+COUNTIF(ERSS_Pit_Register!$A$5:$A$304,A1445)+COUNTIF(Linkway_Register!$A$5:$A$304,A1445)+COUNTIF(Other_Register!$A$5:$A$304,A1445))&gt;0,"OK","ID not in any register"))</f>
        <v/>
      </c>
    </row>
    <row r="1446" customFormat="false" ht="15" hidden="false" customHeight="false" outlineLevel="0" collapsed="false">
      <c r="A1446" s="9"/>
      <c r="B1446" s="9"/>
      <c r="C1446" s="9"/>
      <c r="D1446" s="9"/>
      <c r="E1446" s="9"/>
      <c r="F1446" s="9"/>
      <c r="G1446" s="9"/>
      <c r="H1446" s="9"/>
      <c r="I1446" s="9"/>
      <c r="J1446" s="10" t="str">
        <f aca="false">IF(A1446="","",IF(G1446&lt;&gt;"",G1446,IF(N(F1446)&gt;0,ROUND(1000/F1446,3),0)))</f>
        <v/>
      </c>
      <c r="K1446" s="10" t="str">
        <f aca="false">IF(OR(A1446="",E1446="",H1446=""),"",ROUND(0.00617*E1446^2*H1446*J1446,2))</f>
        <v/>
      </c>
      <c r="L1446" s="9"/>
      <c r="M1446" s="10" t="str">
        <f aca="false">IF(A1446="","",IF((COUNTIF(Drain_Register!$A$5:$A$304,A1446)+COUNTIF(RW_Register!$A$5:$A$304,A1446)+COUNTIF(Embedded_Wall_Register!$A$5:$A$304,A1446)+COUNTIF(Manhole_Register!$A$5:$A$304,A1446)+COUNTIF(ERSS_Pit_Register!$A$5:$A$304,A1446)+COUNTIF(Linkway_Register!$A$5:$A$304,A1446)+COUNTIF(Other_Register!$A$5:$A$304,A1446))&gt;0,"OK","ID not in any register"))</f>
        <v/>
      </c>
    </row>
    <row r="1447" customFormat="false" ht="15" hidden="false" customHeight="false" outlineLevel="0" collapsed="false">
      <c r="A1447" s="9"/>
      <c r="B1447" s="9"/>
      <c r="C1447" s="9"/>
      <c r="D1447" s="9"/>
      <c r="E1447" s="9"/>
      <c r="F1447" s="9"/>
      <c r="G1447" s="9"/>
      <c r="H1447" s="9"/>
      <c r="I1447" s="9"/>
      <c r="J1447" s="10" t="str">
        <f aca="false">IF(A1447="","",IF(G1447&lt;&gt;"",G1447,IF(N(F1447)&gt;0,ROUND(1000/F1447,3),0)))</f>
        <v/>
      </c>
      <c r="K1447" s="10" t="str">
        <f aca="false">IF(OR(A1447="",E1447="",H1447=""),"",ROUND(0.00617*E1447^2*H1447*J1447,2))</f>
        <v/>
      </c>
      <c r="L1447" s="9"/>
      <c r="M1447" s="10" t="str">
        <f aca="false">IF(A1447="","",IF((COUNTIF(Drain_Register!$A$5:$A$304,A1447)+COUNTIF(RW_Register!$A$5:$A$304,A1447)+COUNTIF(Embedded_Wall_Register!$A$5:$A$304,A1447)+COUNTIF(Manhole_Register!$A$5:$A$304,A1447)+COUNTIF(ERSS_Pit_Register!$A$5:$A$304,A1447)+COUNTIF(Linkway_Register!$A$5:$A$304,A1447)+COUNTIF(Other_Register!$A$5:$A$304,A1447))&gt;0,"OK","ID not in any register"))</f>
        <v/>
      </c>
    </row>
    <row r="1448" customFormat="false" ht="15" hidden="false" customHeight="false" outlineLevel="0" collapsed="false">
      <c r="A1448" s="9"/>
      <c r="B1448" s="9"/>
      <c r="C1448" s="9"/>
      <c r="D1448" s="9"/>
      <c r="E1448" s="9"/>
      <c r="F1448" s="9"/>
      <c r="G1448" s="9"/>
      <c r="H1448" s="9"/>
      <c r="I1448" s="9"/>
      <c r="J1448" s="10" t="str">
        <f aca="false">IF(A1448="","",IF(G1448&lt;&gt;"",G1448,IF(N(F1448)&gt;0,ROUND(1000/F1448,3),0)))</f>
        <v/>
      </c>
      <c r="K1448" s="10" t="str">
        <f aca="false">IF(OR(A1448="",E1448="",H1448=""),"",ROUND(0.00617*E1448^2*H1448*J1448,2))</f>
        <v/>
      </c>
      <c r="L1448" s="9"/>
      <c r="M1448" s="10" t="str">
        <f aca="false">IF(A1448="","",IF((COUNTIF(Drain_Register!$A$5:$A$304,A1448)+COUNTIF(RW_Register!$A$5:$A$304,A1448)+COUNTIF(Embedded_Wall_Register!$A$5:$A$304,A1448)+COUNTIF(Manhole_Register!$A$5:$A$304,A1448)+COUNTIF(ERSS_Pit_Register!$A$5:$A$304,A1448)+COUNTIF(Linkway_Register!$A$5:$A$304,A1448)+COUNTIF(Other_Register!$A$5:$A$304,A1448))&gt;0,"OK","ID not in any register"))</f>
        <v/>
      </c>
    </row>
    <row r="1449" customFormat="false" ht="15" hidden="false" customHeight="false" outlineLevel="0" collapsed="false">
      <c r="A1449" s="9"/>
      <c r="B1449" s="9"/>
      <c r="C1449" s="9"/>
      <c r="D1449" s="9"/>
      <c r="E1449" s="9"/>
      <c r="F1449" s="9"/>
      <c r="G1449" s="9"/>
      <c r="H1449" s="9"/>
      <c r="I1449" s="9"/>
      <c r="J1449" s="10" t="str">
        <f aca="false">IF(A1449="","",IF(G1449&lt;&gt;"",G1449,IF(N(F1449)&gt;0,ROUND(1000/F1449,3),0)))</f>
        <v/>
      </c>
      <c r="K1449" s="10" t="str">
        <f aca="false">IF(OR(A1449="",E1449="",H1449=""),"",ROUND(0.00617*E1449^2*H1449*J1449,2))</f>
        <v/>
      </c>
      <c r="L1449" s="9"/>
      <c r="M1449" s="10" t="str">
        <f aca="false">IF(A1449="","",IF((COUNTIF(Drain_Register!$A$5:$A$304,A1449)+COUNTIF(RW_Register!$A$5:$A$304,A1449)+COUNTIF(Embedded_Wall_Register!$A$5:$A$304,A1449)+COUNTIF(Manhole_Register!$A$5:$A$304,A1449)+COUNTIF(ERSS_Pit_Register!$A$5:$A$304,A1449)+COUNTIF(Linkway_Register!$A$5:$A$304,A1449)+COUNTIF(Other_Register!$A$5:$A$304,A1449))&gt;0,"OK","ID not in any register"))</f>
        <v/>
      </c>
    </row>
    <row r="1450" customFormat="false" ht="15" hidden="false" customHeight="false" outlineLevel="0" collapsed="false">
      <c r="A1450" s="9"/>
      <c r="B1450" s="9"/>
      <c r="C1450" s="9"/>
      <c r="D1450" s="9"/>
      <c r="E1450" s="9"/>
      <c r="F1450" s="9"/>
      <c r="G1450" s="9"/>
      <c r="H1450" s="9"/>
      <c r="I1450" s="9"/>
      <c r="J1450" s="10" t="str">
        <f aca="false">IF(A1450="","",IF(G1450&lt;&gt;"",G1450,IF(N(F1450)&gt;0,ROUND(1000/F1450,3),0)))</f>
        <v/>
      </c>
      <c r="K1450" s="10" t="str">
        <f aca="false">IF(OR(A1450="",E1450="",H1450=""),"",ROUND(0.00617*E1450^2*H1450*J1450,2))</f>
        <v/>
      </c>
      <c r="L1450" s="9"/>
      <c r="M1450" s="10" t="str">
        <f aca="false">IF(A1450="","",IF((COUNTIF(Drain_Register!$A$5:$A$304,A1450)+COUNTIF(RW_Register!$A$5:$A$304,A1450)+COUNTIF(Embedded_Wall_Register!$A$5:$A$304,A1450)+COUNTIF(Manhole_Register!$A$5:$A$304,A1450)+COUNTIF(ERSS_Pit_Register!$A$5:$A$304,A1450)+COUNTIF(Linkway_Register!$A$5:$A$304,A1450)+COUNTIF(Other_Register!$A$5:$A$304,A1450))&gt;0,"OK","ID not in any register"))</f>
        <v/>
      </c>
    </row>
    <row r="1451" customFormat="false" ht="15" hidden="false" customHeight="false" outlineLevel="0" collapsed="false">
      <c r="A1451" s="9"/>
      <c r="B1451" s="9"/>
      <c r="C1451" s="9"/>
      <c r="D1451" s="9"/>
      <c r="E1451" s="9"/>
      <c r="F1451" s="9"/>
      <c r="G1451" s="9"/>
      <c r="H1451" s="9"/>
      <c r="I1451" s="9"/>
      <c r="J1451" s="10" t="str">
        <f aca="false">IF(A1451="","",IF(G1451&lt;&gt;"",G1451,IF(N(F1451)&gt;0,ROUND(1000/F1451,3),0)))</f>
        <v/>
      </c>
      <c r="K1451" s="10" t="str">
        <f aca="false">IF(OR(A1451="",E1451="",H1451=""),"",ROUND(0.00617*E1451^2*H1451*J1451,2))</f>
        <v/>
      </c>
      <c r="L1451" s="9"/>
      <c r="M1451" s="10" t="str">
        <f aca="false">IF(A1451="","",IF((COUNTIF(Drain_Register!$A$5:$A$304,A1451)+COUNTIF(RW_Register!$A$5:$A$304,A1451)+COUNTIF(Embedded_Wall_Register!$A$5:$A$304,A1451)+COUNTIF(Manhole_Register!$A$5:$A$304,A1451)+COUNTIF(ERSS_Pit_Register!$A$5:$A$304,A1451)+COUNTIF(Linkway_Register!$A$5:$A$304,A1451)+COUNTIF(Other_Register!$A$5:$A$304,A1451))&gt;0,"OK","ID not in any register"))</f>
        <v/>
      </c>
    </row>
    <row r="1452" customFormat="false" ht="15" hidden="false" customHeight="false" outlineLevel="0" collapsed="false">
      <c r="A1452" s="9"/>
      <c r="B1452" s="9"/>
      <c r="C1452" s="9"/>
      <c r="D1452" s="9"/>
      <c r="E1452" s="9"/>
      <c r="F1452" s="9"/>
      <c r="G1452" s="9"/>
      <c r="H1452" s="9"/>
      <c r="I1452" s="9"/>
      <c r="J1452" s="10" t="str">
        <f aca="false">IF(A1452="","",IF(G1452&lt;&gt;"",G1452,IF(N(F1452)&gt;0,ROUND(1000/F1452,3),0)))</f>
        <v/>
      </c>
      <c r="K1452" s="10" t="str">
        <f aca="false">IF(OR(A1452="",E1452="",H1452=""),"",ROUND(0.00617*E1452^2*H1452*J1452,2))</f>
        <v/>
      </c>
      <c r="L1452" s="9"/>
      <c r="M1452" s="10" t="str">
        <f aca="false">IF(A1452="","",IF((COUNTIF(Drain_Register!$A$5:$A$304,A1452)+COUNTIF(RW_Register!$A$5:$A$304,A1452)+COUNTIF(Embedded_Wall_Register!$A$5:$A$304,A1452)+COUNTIF(Manhole_Register!$A$5:$A$304,A1452)+COUNTIF(ERSS_Pit_Register!$A$5:$A$304,A1452)+COUNTIF(Linkway_Register!$A$5:$A$304,A1452)+COUNTIF(Other_Register!$A$5:$A$304,A1452))&gt;0,"OK","ID not in any register"))</f>
        <v/>
      </c>
    </row>
    <row r="1453" customFormat="false" ht="15" hidden="false" customHeight="false" outlineLevel="0" collapsed="false">
      <c r="A1453" s="9"/>
      <c r="B1453" s="9"/>
      <c r="C1453" s="9"/>
      <c r="D1453" s="9"/>
      <c r="E1453" s="9"/>
      <c r="F1453" s="9"/>
      <c r="G1453" s="9"/>
      <c r="H1453" s="9"/>
      <c r="I1453" s="9"/>
      <c r="J1453" s="10" t="str">
        <f aca="false">IF(A1453="","",IF(G1453&lt;&gt;"",G1453,IF(N(F1453)&gt;0,ROUND(1000/F1453,3),0)))</f>
        <v/>
      </c>
      <c r="K1453" s="10" t="str">
        <f aca="false">IF(OR(A1453="",E1453="",H1453=""),"",ROUND(0.00617*E1453^2*H1453*J1453,2))</f>
        <v/>
      </c>
      <c r="L1453" s="9"/>
      <c r="M1453" s="10" t="str">
        <f aca="false">IF(A1453="","",IF((COUNTIF(Drain_Register!$A$5:$A$304,A1453)+COUNTIF(RW_Register!$A$5:$A$304,A1453)+COUNTIF(Embedded_Wall_Register!$A$5:$A$304,A1453)+COUNTIF(Manhole_Register!$A$5:$A$304,A1453)+COUNTIF(ERSS_Pit_Register!$A$5:$A$304,A1453)+COUNTIF(Linkway_Register!$A$5:$A$304,A1453)+COUNTIF(Other_Register!$A$5:$A$304,A1453))&gt;0,"OK","ID not in any register"))</f>
        <v/>
      </c>
    </row>
    <row r="1454" customFormat="false" ht="15" hidden="false" customHeight="false" outlineLevel="0" collapsed="false">
      <c r="A1454" s="9"/>
      <c r="B1454" s="9"/>
      <c r="C1454" s="9"/>
      <c r="D1454" s="9"/>
      <c r="E1454" s="9"/>
      <c r="F1454" s="9"/>
      <c r="G1454" s="9"/>
      <c r="H1454" s="9"/>
      <c r="I1454" s="9"/>
      <c r="J1454" s="10" t="str">
        <f aca="false">IF(A1454="","",IF(G1454&lt;&gt;"",G1454,IF(N(F1454)&gt;0,ROUND(1000/F1454,3),0)))</f>
        <v/>
      </c>
      <c r="K1454" s="10" t="str">
        <f aca="false">IF(OR(A1454="",E1454="",H1454=""),"",ROUND(0.00617*E1454^2*H1454*J1454,2))</f>
        <v/>
      </c>
      <c r="L1454" s="9"/>
      <c r="M1454" s="10" t="str">
        <f aca="false">IF(A1454="","",IF((COUNTIF(Drain_Register!$A$5:$A$304,A1454)+COUNTIF(RW_Register!$A$5:$A$304,A1454)+COUNTIF(Embedded_Wall_Register!$A$5:$A$304,A1454)+COUNTIF(Manhole_Register!$A$5:$A$304,A1454)+COUNTIF(ERSS_Pit_Register!$A$5:$A$304,A1454)+COUNTIF(Linkway_Register!$A$5:$A$304,A1454)+COUNTIF(Other_Register!$A$5:$A$304,A1454))&gt;0,"OK","ID not in any register"))</f>
        <v/>
      </c>
    </row>
    <row r="1455" customFormat="false" ht="15" hidden="false" customHeight="false" outlineLevel="0" collapsed="false">
      <c r="A1455" s="9"/>
      <c r="B1455" s="9"/>
      <c r="C1455" s="9"/>
      <c r="D1455" s="9"/>
      <c r="E1455" s="9"/>
      <c r="F1455" s="9"/>
      <c r="G1455" s="9"/>
      <c r="H1455" s="9"/>
      <c r="I1455" s="9"/>
      <c r="J1455" s="10" t="str">
        <f aca="false">IF(A1455="","",IF(G1455&lt;&gt;"",G1455,IF(N(F1455)&gt;0,ROUND(1000/F1455,3),0)))</f>
        <v/>
      </c>
      <c r="K1455" s="10" t="str">
        <f aca="false">IF(OR(A1455="",E1455="",H1455=""),"",ROUND(0.00617*E1455^2*H1455*J1455,2))</f>
        <v/>
      </c>
      <c r="L1455" s="9"/>
      <c r="M1455" s="10" t="str">
        <f aca="false">IF(A1455="","",IF((COUNTIF(Drain_Register!$A$5:$A$304,A1455)+COUNTIF(RW_Register!$A$5:$A$304,A1455)+COUNTIF(Embedded_Wall_Register!$A$5:$A$304,A1455)+COUNTIF(Manhole_Register!$A$5:$A$304,A1455)+COUNTIF(ERSS_Pit_Register!$A$5:$A$304,A1455)+COUNTIF(Linkway_Register!$A$5:$A$304,A1455)+COUNTIF(Other_Register!$A$5:$A$304,A1455))&gt;0,"OK","ID not in any register"))</f>
        <v/>
      </c>
    </row>
    <row r="1456" customFormat="false" ht="15" hidden="false" customHeight="false" outlineLevel="0" collapsed="false">
      <c r="A1456" s="9"/>
      <c r="B1456" s="9"/>
      <c r="C1456" s="9"/>
      <c r="D1456" s="9"/>
      <c r="E1456" s="9"/>
      <c r="F1456" s="9"/>
      <c r="G1456" s="9"/>
      <c r="H1456" s="9"/>
      <c r="I1456" s="9"/>
      <c r="J1456" s="10" t="str">
        <f aca="false">IF(A1456="","",IF(G1456&lt;&gt;"",G1456,IF(N(F1456)&gt;0,ROUND(1000/F1456,3),0)))</f>
        <v/>
      </c>
      <c r="K1456" s="10" t="str">
        <f aca="false">IF(OR(A1456="",E1456="",H1456=""),"",ROUND(0.00617*E1456^2*H1456*J1456,2))</f>
        <v/>
      </c>
      <c r="L1456" s="9"/>
      <c r="M1456" s="10" t="str">
        <f aca="false">IF(A1456="","",IF((COUNTIF(Drain_Register!$A$5:$A$304,A1456)+COUNTIF(RW_Register!$A$5:$A$304,A1456)+COUNTIF(Embedded_Wall_Register!$A$5:$A$304,A1456)+COUNTIF(Manhole_Register!$A$5:$A$304,A1456)+COUNTIF(ERSS_Pit_Register!$A$5:$A$304,A1456)+COUNTIF(Linkway_Register!$A$5:$A$304,A1456)+COUNTIF(Other_Register!$A$5:$A$304,A1456))&gt;0,"OK","ID not in any register"))</f>
        <v/>
      </c>
    </row>
    <row r="1457" customFormat="false" ht="15" hidden="false" customHeight="false" outlineLevel="0" collapsed="false">
      <c r="A1457" s="9"/>
      <c r="B1457" s="9"/>
      <c r="C1457" s="9"/>
      <c r="D1457" s="9"/>
      <c r="E1457" s="9"/>
      <c r="F1457" s="9"/>
      <c r="G1457" s="9"/>
      <c r="H1457" s="9"/>
      <c r="I1457" s="9"/>
      <c r="J1457" s="10" t="str">
        <f aca="false">IF(A1457="","",IF(G1457&lt;&gt;"",G1457,IF(N(F1457)&gt;0,ROUND(1000/F1457,3),0)))</f>
        <v/>
      </c>
      <c r="K1457" s="10" t="str">
        <f aca="false">IF(OR(A1457="",E1457="",H1457=""),"",ROUND(0.00617*E1457^2*H1457*J1457,2))</f>
        <v/>
      </c>
      <c r="L1457" s="9"/>
      <c r="M1457" s="10" t="str">
        <f aca="false">IF(A1457="","",IF((COUNTIF(Drain_Register!$A$5:$A$304,A1457)+COUNTIF(RW_Register!$A$5:$A$304,A1457)+COUNTIF(Embedded_Wall_Register!$A$5:$A$304,A1457)+COUNTIF(Manhole_Register!$A$5:$A$304,A1457)+COUNTIF(ERSS_Pit_Register!$A$5:$A$304,A1457)+COUNTIF(Linkway_Register!$A$5:$A$304,A1457)+COUNTIF(Other_Register!$A$5:$A$304,A1457))&gt;0,"OK","ID not in any register"))</f>
        <v/>
      </c>
    </row>
    <row r="1458" customFormat="false" ht="15" hidden="false" customHeight="false" outlineLevel="0" collapsed="false">
      <c r="A1458" s="9"/>
      <c r="B1458" s="9"/>
      <c r="C1458" s="9"/>
      <c r="D1458" s="9"/>
      <c r="E1458" s="9"/>
      <c r="F1458" s="9"/>
      <c r="G1458" s="9"/>
      <c r="H1458" s="9"/>
      <c r="I1458" s="9"/>
      <c r="J1458" s="10" t="str">
        <f aca="false">IF(A1458="","",IF(G1458&lt;&gt;"",G1458,IF(N(F1458)&gt;0,ROUND(1000/F1458,3),0)))</f>
        <v/>
      </c>
      <c r="K1458" s="10" t="str">
        <f aca="false">IF(OR(A1458="",E1458="",H1458=""),"",ROUND(0.00617*E1458^2*H1458*J1458,2))</f>
        <v/>
      </c>
      <c r="L1458" s="9"/>
      <c r="M1458" s="10" t="str">
        <f aca="false">IF(A1458="","",IF((COUNTIF(Drain_Register!$A$5:$A$304,A1458)+COUNTIF(RW_Register!$A$5:$A$304,A1458)+COUNTIF(Embedded_Wall_Register!$A$5:$A$304,A1458)+COUNTIF(Manhole_Register!$A$5:$A$304,A1458)+COUNTIF(ERSS_Pit_Register!$A$5:$A$304,A1458)+COUNTIF(Linkway_Register!$A$5:$A$304,A1458)+COUNTIF(Other_Register!$A$5:$A$304,A1458))&gt;0,"OK","ID not in any register"))</f>
        <v/>
      </c>
    </row>
    <row r="1459" customFormat="false" ht="15" hidden="false" customHeight="false" outlineLevel="0" collapsed="false">
      <c r="A1459" s="9"/>
      <c r="B1459" s="9"/>
      <c r="C1459" s="9"/>
      <c r="D1459" s="9"/>
      <c r="E1459" s="9"/>
      <c r="F1459" s="9"/>
      <c r="G1459" s="9"/>
      <c r="H1459" s="9"/>
      <c r="I1459" s="9"/>
      <c r="J1459" s="10" t="str">
        <f aca="false">IF(A1459="","",IF(G1459&lt;&gt;"",G1459,IF(N(F1459)&gt;0,ROUND(1000/F1459,3),0)))</f>
        <v/>
      </c>
      <c r="K1459" s="10" t="str">
        <f aca="false">IF(OR(A1459="",E1459="",H1459=""),"",ROUND(0.00617*E1459^2*H1459*J1459,2))</f>
        <v/>
      </c>
      <c r="L1459" s="9"/>
      <c r="M1459" s="10" t="str">
        <f aca="false">IF(A1459="","",IF((COUNTIF(Drain_Register!$A$5:$A$304,A1459)+COUNTIF(RW_Register!$A$5:$A$304,A1459)+COUNTIF(Embedded_Wall_Register!$A$5:$A$304,A1459)+COUNTIF(Manhole_Register!$A$5:$A$304,A1459)+COUNTIF(ERSS_Pit_Register!$A$5:$A$304,A1459)+COUNTIF(Linkway_Register!$A$5:$A$304,A1459)+COUNTIF(Other_Register!$A$5:$A$304,A1459))&gt;0,"OK","ID not in any register"))</f>
        <v/>
      </c>
    </row>
    <row r="1460" customFormat="false" ht="15" hidden="false" customHeight="false" outlineLevel="0" collapsed="false">
      <c r="A1460" s="9"/>
      <c r="B1460" s="9"/>
      <c r="C1460" s="9"/>
      <c r="D1460" s="9"/>
      <c r="E1460" s="9"/>
      <c r="F1460" s="9"/>
      <c r="G1460" s="9"/>
      <c r="H1460" s="9"/>
      <c r="I1460" s="9"/>
      <c r="J1460" s="10" t="str">
        <f aca="false">IF(A1460="","",IF(G1460&lt;&gt;"",G1460,IF(N(F1460)&gt;0,ROUND(1000/F1460,3),0)))</f>
        <v/>
      </c>
      <c r="K1460" s="10" t="str">
        <f aca="false">IF(OR(A1460="",E1460="",H1460=""),"",ROUND(0.00617*E1460^2*H1460*J1460,2))</f>
        <v/>
      </c>
      <c r="L1460" s="9"/>
      <c r="M1460" s="10" t="str">
        <f aca="false">IF(A1460="","",IF((COUNTIF(Drain_Register!$A$5:$A$304,A1460)+COUNTIF(RW_Register!$A$5:$A$304,A1460)+COUNTIF(Embedded_Wall_Register!$A$5:$A$304,A1460)+COUNTIF(Manhole_Register!$A$5:$A$304,A1460)+COUNTIF(ERSS_Pit_Register!$A$5:$A$304,A1460)+COUNTIF(Linkway_Register!$A$5:$A$304,A1460)+COUNTIF(Other_Register!$A$5:$A$304,A1460))&gt;0,"OK","ID not in any register"))</f>
        <v/>
      </c>
    </row>
    <row r="1461" customFormat="false" ht="15" hidden="false" customHeight="false" outlineLevel="0" collapsed="false">
      <c r="A1461" s="9"/>
      <c r="B1461" s="9"/>
      <c r="C1461" s="9"/>
      <c r="D1461" s="9"/>
      <c r="E1461" s="9"/>
      <c r="F1461" s="9"/>
      <c r="G1461" s="9"/>
      <c r="H1461" s="9"/>
      <c r="I1461" s="9"/>
      <c r="J1461" s="10" t="str">
        <f aca="false">IF(A1461="","",IF(G1461&lt;&gt;"",G1461,IF(N(F1461)&gt;0,ROUND(1000/F1461,3),0)))</f>
        <v/>
      </c>
      <c r="K1461" s="10" t="str">
        <f aca="false">IF(OR(A1461="",E1461="",H1461=""),"",ROUND(0.00617*E1461^2*H1461*J1461,2))</f>
        <v/>
      </c>
      <c r="L1461" s="9"/>
      <c r="M1461" s="10" t="str">
        <f aca="false">IF(A1461="","",IF((COUNTIF(Drain_Register!$A$5:$A$304,A1461)+COUNTIF(RW_Register!$A$5:$A$304,A1461)+COUNTIF(Embedded_Wall_Register!$A$5:$A$304,A1461)+COUNTIF(Manhole_Register!$A$5:$A$304,A1461)+COUNTIF(ERSS_Pit_Register!$A$5:$A$304,A1461)+COUNTIF(Linkway_Register!$A$5:$A$304,A1461)+COUNTIF(Other_Register!$A$5:$A$304,A1461))&gt;0,"OK","ID not in any register"))</f>
        <v/>
      </c>
    </row>
    <row r="1462" customFormat="false" ht="15" hidden="false" customHeight="false" outlineLevel="0" collapsed="false">
      <c r="A1462" s="9"/>
      <c r="B1462" s="9"/>
      <c r="C1462" s="9"/>
      <c r="D1462" s="9"/>
      <c r="E1462" s="9"/>
      <c r="F1462" s="9"/>
      <c r="G1462" s="9"/>
      <c r="H1462" s="9"/>
      <c r="I1462" s="9"/>
      <c r="J1462" s="10" t="str">
        <f aca="false">IF(A1462="","",IF(G1462&lt;&gt;"",G1462,IF(N(F1462)&gt;0,ROUND(1000/F1462,3),0)))</f>
        <v/>
      </c>
      <c r="K1462" s="10" t="str">
        <f aca="false">IF(OR(A1462="",E1462="",H1462=""),"",ROUND(0.00617*E1462^2*H1462*J1462,2))</f>
        <v/>
      </c>
      <c r="L1462" s="9"/>
      <c r="M1462" s="10" t="str">
        <f aca="false">IF(A1462="","",IF((COUNTIF(Drain_Register!$A$5:$A$304,A1462)+COUNTIF(RW_Register!$A$5:$A$304,A1462)+COUNTIF(Embedded_Wall_Register!$A$5:$A$304,A1462)+COUNTIF(Manhole_Register!$A$5:$A$304,A1462)+COUNTIF(ERSS_Pit_Register!$A$5:$A$304,A1462)+COUNTIF(Linkway_Register!$A$5:$A$304,A1462)+COUNTIF(Other_Register!$A$5:$A$304,A1462))&gt;0,"OK","ID not in any register"))</f>
        <v/>
      </c>
    </row>
    <row r="1463" customFormat="false" ht="15" hidden="false" customHeight="false" outlineLevel="0" collapsed="false">
      <c r="A1463" s="9"/>
      <c r="B1463" s="9"/>
      <c r="C1463" s="9"/>
      <c r="D1463" s="9"/>
      <c r="E1463" s="9"/>
      <c r="F1463" s="9"/>
      <c r="G1463" s="9"/>
      <c r="H1463" s="9"/>
      <c r="I1463" s="9"/>
      <c r="J1463" s="10" t="str">
        <f aca="false">IF(A1463="","",IF(G1463&lt;&gt;"",G1463,IF(N(F1463)&gt;0,ROUND(1000/F1463,3),0)))</f>
        <v/>
      </c>
      <c r="K1463" s="10" t="str">
        <f aca="false">IF(OR(A1463="",E1463="",H1463=""),"",ROUND(0.00617*E1463^2*H1463*J1463,2))</f>
        <v/>
      </c>
      <c r="L1463" s="9"/>
      <c r="M1463" s="10" t="str">
        <f aca="false">IF(A1463="","",IF((COUNTIF(Drain_Register!$A$5:$A$304,A1463)+COUNTIF(RW_Register!$A$5:$A$304,A1463)+COUNTIF(Embedded_Wall_Register!$A$5:$A$304,A1463)+COUNTIF(Manhole_Register!$A$5:$A$304,A1463)+COUNTIF(ERSS_Pit_Register!$A$5:$A$304,A1463)+COUNTIF(Linkway_Register!$A$5:$A$304,A1463)+COUNTIF(Other_Register!$A$5:$A$304,A1463))&gt;0,"OK","ID not in any register"))</f>
        <v/>
      </c>
    </row>
    <row r="1464" customFormat="false" ht="15" hidden="false" customHeight="false" outlineLevel="0" collapsed="false">
      <c r="A1464" s="9"/>
      <c r="B1464" s="9"/>
      <c r="C1464" s="9"/>
      <c r="D1464" s="9"/>
      <c r="E1464" s="9"/>
      <c r="F1464" s="9"/>
      <c r="G1464" s="9"/>
      <c r="H1464" s="9"/>
      <c r="I1464" s="9"/>
      <c r="J1464" s="10" t="str">
        <f aca="false">IF(A1464="","",IF(G1464&lt;&gt;"",G1464,IF(N(F1464)&gt;0,ROUND(1000/F1464,3),0)))</f>
        <v/>
      </c>
      <c r="K1464" s="10" t="str">
        <f aca="false">IF(OR(A1464="",E1464="",H1464=""),"",ROUND(0.00617*E1464^2*H1464*J1464,2))</f>
        <v/>
      </c>
      <c r="L1464" s="9"/>
      <c r="M1464" s="10" t="str">
        <f aca="false">IF(A1464="","",IF((COUNTIF(Drain_Register!$A$5:$A$304,A1464)+COUNTIF(RW_Register!$A$5:$A$304,A1464)+COUNTIF(Embedded_Wall_Register!$A$5:$A$304,A1464)+COUNTIF(Manhole_Register!$A$5:$A$304,A1464)+COUNTIF(ERSS_Pit_Register!$A$5:$A$304,A1464)+COUNTIF(Linkway_Register!$A$5:$A$304,A1464)+COUNTIF(Other_Register!$A$5:$A$304,A1464))&gt;0,"OK","ID not in any register"))</f>
        <v/>
      </c>
    </row>
    <row r="1465" customFormat="false" ht="15" hidden="false" customHeight="false" outlineLevel="0" collapsed="false">
      <c r="A1465" s="9"/>
      <c r="B1465" s="9"/>
      <c r="C1465" s="9"/>
      <c r="D1465" s="9"/>
      <c r="E1465" s="9"/>
      <c r="F1465" s="9"/>
      <c r="G1465" s="9"/>
      <c r="H1465" s="9"/>
      <c r="I1465" s="9"/>
      <c r="J1465" s="10" t="str">
        <f aca="false">IF(A1465="","",IF(G1465&lt;&gt;"",G1465,IF(N(F1465)&gt;0,ROUND(1000/F1465,3),0)))</f>
        <v/>
      </c>
      <c r="K1465" s="10" t="str">
        <f aca="false">IF(OR(A1465="",E1465="",H1465=""),"",ROUND(0.00617*E1465^2*H1465*J1465,2))</f>
        <v/>
      </c>
      <c r="L1465" s="9"/>
      <c r="M1465" s="10" t="str">
        <f aca="false">IF(A1465="","",IF((COUNTIF(Drain_Register!$A$5:$A$304,A1465)+COUNTIF(RW_Register!$A$5:$A$304,A1465)+COUNTIF(Embedded_Wall_Register!$A$5:$A$304,A1465)+COUNTIF(Manhole_Register!$A$5:$A$304,A1465)+COUNTIF(ERSS_Pit_Register!$A$5:$A$304,A1465)+COUNTIF(Linkway_Register!$A$5:$A$304,A1465)+COUNTIF(Other_Register!$A$5:$A$304,A1465))&gt;0,"OK","ID not in any register"))</f>
        <v/>
      </c>
    </row>
    <row r="1466" customFormat="false" ht="15" hidden="false" customHeight="false" outlineLevel="0" collapsed="false">
      <c r="A1466" s="9"/>
      <c r="B1466" s="9"/>
      <c r="C1466" s="9"/>
      <c r="D1466" s="9"/>
      <c r="E1466" s="9"/>
      <c r="F1466" s="9"/>
      <c r="G1466" s="9"/>
      <c r="H1466" s="9"/>
      <c r="I1466" s="9"/>
      <c r="J1466" s="10" t="str">
        <f aca="false">IF(A1466="","",IF(G1466&lt;&gt;"",G1466,IF(N(F1466)&gt;0,ROUND(1000/F1466,3),0)))</f>
        <v/>
      </c>
      <c r="K1466" s="10" t="str">
        <f aca="false">IF(OR(A1466="",E1466="",H1466=""),"",ROUND(0.00617*E1466^2*H1466*J1466,2))</f>
        <v/>
      </c>
      <c r="L1466" s="9"/>
      <c r="M1466" s="10" t="str">
        <f aca="false">IF(A1466="","",IF((COUNTIF(Drain_Register!$A$5:$A$304,A1466)+COUNTIF(RW_Register!$A$5:$A$304,A1466)+COUNTIF(Embedded_Wall_Register!$A$5:$A$304,A1466)+COUNTIF(Manhole_Register!$A$5:$A$304,A1466)+COUNTIF(ERSS_Pit_Register!$A$5:$A$304,A1466)+COUNTIF(Linkway_Register!$A$5:$A$304,A1466)+COUNTIF(Other_Register!$A$5:$A$304,A1466))&gt;0,"OK","ID not in any register"))</f>
        <v/>
      </c>
    </row>
    <row r="1467" customFormat="false" ht="15" hidden="false" customHeight="false" outlineLevel="0" collapsed="false">
      <c r="A1467" s="9"/>
      <c r="B1467" s="9"/>
      <c r="C1467" s="9"/>
      <c r="D1467" s="9"/>
      <c r="E1467" s="9"/>
      <c r="F1467" s="9"/>
      <c r="G1467" s="9"/>
      <c r="H1467" s="9"/>
      <c r="I1467" s="9"/>
      <c r="J1467" s="10" t="str">
        <f aca="false">IF(A1467="","",IF(G1467&lt;&gt;"",G1467,IF(N(F1467)&gt;0,ROUND(1000/F1467,3),0)))</f>
        <v/>
      </c>
      <c r="K1467" s="10" t="str">
        <f aca="false">IF(OR(A1467="",E1467="",H1467=""),"",ROUND(0.00617*E1467^2*H1467*J1467,2))</f>
        <v/>
      </c>
      <c r="L1467" s="9"/>
      <c r="M1467" s="10" t="str">
        <f aca="false">IF(A1467="","",IF((COUNTIF(Drain_Register!$A$5:$A$304,A1467)+COUNTIF(RW_Register!$A$5:$A$304,A1467)+COUNTIF(Embedded_Wall_Register!$A$5:$A$304,A1467)+COUNTIF(Manhole_Register!$A$5:$A$304,A1467)+COUNTIF(ERSS_Pit_Register!$A$5:$A$304,A1467)+COUNTIF(Linkway_Register!$A$5:$A$304,A1467)+COUNTIF(Other_Register!$A$5:$A$304,A1467))&gt;0,"OK","ID not in any register"))</f>
        <v/>
      </c>
    </row>
    <row r="1468" customFormat="false" ht="15" hidden="false" customHeight="false" outlineLevel="0" collapsed="false">
      <c r="A1468" s="9"/>
      <c r="B1468" s="9"/>
      <c r="C1468" s="9"/>
      <c r="D1468" s="9"/>
      <c r="E1468" s="9"/>
      <c r="F1468" s="9"/>
      <c r="G1468" s="9"/>
      <c r="H1468" s="9"/>
      <c r="I1468" s="9"/>
      <c r="J1468" s="10" t="str">
        <f aca="false">IF(A1468="","",IF(G1468&lt;&gt;"",G1468,IF(N(F1468)&gt;0,ROUND(1000/F1468,3),0)))</f>
        <v/>
      </c>
      <c r="K1468" s="10" t="str">
        <f aca="false">IF(OR(A1468="",E1468="",H1468=""),"",ROUND(0.00617*E1468^2*H1468*J1468,2))</f>
        <v/>
      </c>
      <c r="L1468" s="9"/>
      <c r="M1468" s="10" t="str">
        <f aca="false">IF(A1468="","",IF((COUNTIF(Drain_Register!$A$5:$A$304,A1468)+COUNTIF(RW_Register!$A$5:$A$304,A1468)+COUNTIF(Embedded_Wall_Register!$A$5:$A$304,A1468)+COUNTIF(Manhole_Register!$A$5:$A$304,A1468)+COUNTIF(ERSS_Pit_Register!$A$5:$A$304,A1468)+COUNTIF(Linkway_Register!$A$5:$A$304,A1468)+COUNTIF(Other_Register!$A$5:$A$304,A1468))&gt;0,"OK","ID not in any register"))</f>
        <v/>
      </c>
    </row>
    <row r="1469" customFormat="false" ht="15" hidden="false" customHeight="false" outlineLevel="0" collapsed="false">
      <c r="A1469" s="9"/>
      <c r="B1469" s="9"/>
      <c r="C1469" s="9"/>
      <c r="D1469" s="9"/>
      <c r="E1469" s="9"/>
      <c r="F1469" s="9"/>
      <c r="G1469" s="9"/>
      <c r="H1469" s="9"/>
      <c r="I1469" s="9"/>
      <c r="J1469" s="10" t="str">
        <f aca="false">IF(A1469="","",IF(G1469&lt;&gt;"",G1469,IF(N(F1469)&gt;0,ROUND(1000/F1469,3),0)))</f>
        <v/>
      </c>
      <c r="K1469" s="10" t="str">
        <f aca="false">IF(OR(A1469="",E1469="",H1469=""),"",ROUND(0.00617*E1469^2*H1469*J1469,2))</f>
        <v/>
      </c>
      <c r="L1469" s="9"/>
      <c r="M1469" s="10" t="str">
        <f aca="false">IF(A1469="","",IF((COUNTIF(Drain_Register!$A$5:$A$304,A1469)+COUNTIF(RW_Register!$A$5:$A$304,A1469)+COUNTIF(Embedded_Wall_Register!$A$5:$A$304,A1469)+COUNTIF(Manhole_Register!$A$5:$A$304,A1469)+COUNTIF(ERSS_Pit_Register!$A$5:$A$304,A1469)+COUNTIF(Linkway_Register!$A$5:$A$304,A1469)+COUNTIF(Other_Register!$A$5:$A$304,A1469))&gt;0,"OK","ID not in any register"))</f>
        <v/>
      </c>
    </row>
    <row r="1470" customFormat="false" ht="15" hidden="false" customHeight="false" outlineLevel="0" collapsed="false">
      <c r="A1470" s="9"/>
      <c r="B1470" s="9"/>
      <c r="C1470" s="9"/>
      <c r="D1470" s="9"/>
      <c r="E1470" s="9"/>
      <c r="F1470" s="9"/>
      <c r="G1470" s="9"/>
      <c r="H1470" s="9"/>
      <c r="I1470" s="9"/>
      <c r="J1470" s="10" t="str">
        <f aca="false">IF(A1470="","",IF(G1470&lt;&gt;"",G1470,IF(N(F1470)&gt;0,ROUND(1000/F1470,3),0)))</f>
        <v/>
      </c>
      <c r="K1470" s="10" t="str">
        <f aca="false">IF(OR(A1470="",E1470="",H1470=""),"",ROUND(0.00617*E1470^2*H1470*J1470,2))</f>
        <v/>
      </c>
      <c r="L1470" s="9"/>
      <c r="M1470" s="10" t="str">
        <f aca="false">IF(A1470="","",IF((COUNTIF(Drain_Register!$A$5:$A$304,A1470)+COUNTIF(RW_Register!$A$5:$A$304,A1470)+COUNTIF(Embedded_Wall_Register!$A$5:$A$304,A1470)+COUNTIF(Manhole_Register!$A$5:$A$304,A1470)+COUNTIF(ERSS_Pit_Register!$A$5:$A$304,A1470)+COUNTIF(Linkway_Register!$A$5:$A$304,A1470)+COUNTIF(Other_Register!$A$5:$A$304,A1470))&gt;0,"OK","ID not in any register"))</f>
        <v/>
      </c>
    </row>
    <row r="1471" customFormat="false" ht="15" hidden="false" customHeight="false" outlineLevel="0" collapsed="false">
      <c r="A1471" s="9"/>
      <c r="B1471" s="9"/>
      <c r="C1471" s="9"/>
      <c r="D1471" s="9"/>
      <c r="E1471" s="9"/>
      <c r="F1471" s="9"/>
      <c r="G1471" s="9"/>
      <c r="H1471" s="9"/>
      <c r="I1471" s="9"/>
      <c r="J1471" s="10" t="str">
        <f aca="false">IF(A1471="","",IF(G1471&lt;&gt;"",G1471,IF(N(F1471)&gt;0,ROUND(1000/F1471,3),0)))</f>
        <v/>
      </c>
      <c r="K1471" s="10" t="str">
        <f aca="false">IF(OR(A1471="",E1471="",H1471=""),"",ROUND(0.00617*E1471^2*H1471*J1471,2))</f>
        <v/>
      </c>
      <c r="L1471" s="9"/>
      <c r="M1471" s="10" t="str">
        <f aca="false">IF(A1471="","",IF((COUNTIF(Drain_Register!$A$5:$A$304,A1471)+COUNTIF(RW_Register!$A$5:$A$304,A1471)+COUNTIF(Embedded_Wall_Register!$A$5:$A$304,A1471)+COUNTIF(Manhole_Register!$A$5:$A$304,A1471)+COUNTIF(ERSS_Pit_Register!$A$5:$A$304,A1471)+COUNTIF(Linkway_Register!$A$5:$A$304,A1471)+COUNTIF(Other_Register!$A$5:$A$304,A1471))&gt;0,"OK","ID not in any register"))</f>
        <v/>
      </c>
    </row>
    <row r="1472" customFormat="false" ht="15" hidden="false" customHeight="false" outlineLevel="0" collapsed="false">
      <c r="A1472" s="9"/>
      <c r="B1472" s="9"/>
      <c r="C1472" s="9"/>
      <c r="D1472" s="9"/>
      <c r="E1472" s="9"/>
      <c r="F1472" s="9"/>
      <c r="G1472" s="9"/>
      <c r="H1472" s="9"/>
      <c r="I1472" s="9"/>
      <c r="J1472" s="10" t="str">
        <f aca="false">IF(A1472="","",IF(G1472&lt;&gt;"",G1472,IF(N(F1472)&gt;0,ROUND(1000/F1472,3),0)))</f>
        <v/>
      </c>
      <c r="K1472" s="10" t="str">
        <f aca="false">IF(OR(A1472="",E1472="",H1472=""),"",ROUND(0.00617*E1472^2*H1472*J1472,2))</f>
        <v/>
      </c>
      <c r="L1472" s="9"/>
      <c r="M1472" s="10" t="str">
        <f aca="false">IF(A1472="","",IF((COUNTIF(Drain_Register!$A$5:$A$304,A1472)+COUNTIF(RW_Register!$A$5:$A$304,A1472)+COUNTIF(Embedded_Wall_Register!$A$5:$A$304,A1472)+COUNTIF(Manhole_Register!$A$5:$A$304,A1472)+COUNTIF(ERSS_Pit_Register!$A$5:$A$304,A1472)+COUNTIF(Linkway_Register!$A$5:$A$304,A1472)+COUNTIF(Other_Register!$A$5:$A$304,A1472))&gt;0,"OK","ID not in any register"))</f>
        <v/>
      </c>
    </row>
    <row r="1473" customFormat="false" ht="15" hidden="false" customHeight="false" outlineLevel="0" collapsed="false">
      <c r="A1473" s="9"/>
      <c r="B1473" s="9"/>
      <c r="C1473" s="9"/>
      <c r="D1473" s="9"/>
      <c r="E1473" s="9"/>
      <c r="F1473" s="9"/>
      <c r="G1473" s="9"/>
      <c r="H1473" s="9"/>
      <c r="I1473" s="9"/>
      <c r="J1473" s="10" t="str">
        <f aca="false">IF(A1473="","",IF(G1473&lt;&gt;"",G1473,IF(N(F1473)&gt;0,ROUND(1000/F1473,3),0)))</f>
        <v/>
      </c>
      <c r="K1473" s="10" t="str">
        <f aca="false">IF(OR(A1473="",E1473="",H1473=""),"",ROUND(0.00617*E1473^2*H1473*J1473,2))</f>
        <v/>
      </c>
      <c r="L1473" s="9"/>
      <c r="M1473" s="10" t="str">
        <f aca="false">IF(A1473="","",IF((COUNTIF(Drain_Register!$A$5:$A$304,A1473)+COUNTIF(RW_Register!$A$5:$A$304,A1473)+COUNTIF(Embedded_Wall_Register!$A$5:$A$304,A1473)+COUNTIF(Manhole_Register!$A$5:$A$304,A1473)+COUNTIF(ERSS_Pit_Register!$A$5:$A$304,A1473)+COUNTIF(Linkway_Register!$A$5:$A$304,A1473)+COUNTIF(Other_Register!$A$5:$A$304,A1473))&gt;0,"OK","ID not in any register"))</f>
        <v/>
      </c>
    </row>
    <row r="1474" customFormat="false" ht="15" hidden="false" customHeight="false" outlineLevel="0" collapsed="false">
      <c r="A1474" s="9"/>
      <c r="B1474" s="9"/>
      <c r="C1474" s="9"/>
      <c r="D1474" s="9"/>
      <c r="E1474" s="9"/>
      <c r="F1474" s="9"/>
      <c r="G1474" s="9"/>
      <c r="H1474" s="9"/>
      <c r="I1474" s="9"/>
      <c r="J1474" s="10" t="str">
        <f aca="false">IF(A1474="","",IF(G1474&lt;&gt;"",G1474,IF(N(F1474)&gt;0,ROUND(1000/F1474,3),0)))</f>
        <v/>
      </c>
      <c r="K1474" s="10" t="str">
        <f aca="false">IF(OR(A1474="",E1474="",H1474=""),"",ROUND(0.00617*E1474^2*H1474*J1474,2))</f>
        <v/>
      </c>
      <c r="L1474" s="9"/>
      <c r="M1474" s="10" t="str">
        <f aca="false">IF(A1474="","",IF((COUNTIF(Drain_Register!$A$5:$A$304,A1474)+COUNTIF(RW_Register!$A$5:$A$304,A1474)+COUNTIF(Embedded_Wall_Register!$A$5:$A$304,A1474)+COUNTIF(Manhole_Register!$A$5:$A$304,A1474)+COUNTIF(ERSS_Pit_Register!$A$5:$A$304,A1474)+COUNTIF(Linkway_Register!$A$5:$A$304,A1474)+COUNTIF(Other_Register!$A$5:$A$304,A1474))&gt;0,"OK","ID not in any register"))</f>
        <v/>
      </c>
    </row>
    <row r="1475" customFormat="false" ht="15" hidden="false" customHeight="false" outlineLevel="0" collapsed="false">
      <c r="A1475" s="9"/>
      <c r="B1475" s="9"/>
      <c r="C1475" s="9"/>
      <c r="D1475" s="9"/>
      <c r="E1475" s="9"/>
      <c r="F1475" s="9"/>
      <c r="G1475" s="9"/>
      <c r="H1475" s="9"/>
      <c r="I1475" s="9"/>
      <c r="J1475" s="10" t="str">
        <f aca="false">IF(A1475="","",IF(G1475&lt;&gt;"",G1475,IF(N(F1475)&gt;0,ROUND(1000/F1475,3),0)))</f>
        <v/>
      </c>
      <c r="K1475" s="10" t="str">
        <f aca="false">IF(OR(A1475="",E1475="",H1475=""),"",ROUND(0.00617*E1475^2*H1475*J1475,2))</f>
        <v/>
      </c>
      <c r="L1475" s="9"/>
      <c r="M1475" s="10" t="str">
        <f aca="false">IF(A1475="","",IF((COUNTIF(Drain_Register!$A$5:$A$304,A1475)+COUNTIF(RW_Register!$A$5:$A$304,A1475)+COUNTIF(Embedded_Wall_Register!$A$5:$A$304,A1475)+COUNTIF(Manhole_Register!$A$5:$A$304,A1475)+COUNTIF(ERSS_Pit_Register!$A$5:$A$304,A1475)+COUNTIF(Linkway_Register!$A$5:$A$304,A1475)+COUNTIF(Other_Register!$A$5:$A$304,A1475))&gt;0,"OK","ID not in any register"))</f>
        <v/>
      </c>
    </row>
    <row r="1476" customFormat="false" ht="15" hidden="false" customHeight="false" outlineLevel="0" collapsed="false">
      <c r="A1476" s="9"/>
      <c r="B1476" s="9"/>
      <c r="C1476" s="9"/>
      <c r="D1476" s="9"/>
      <c r="E1476" s="9"/>
      <c r="F1476" s="9"/>
      <c r="G1476" s="9"/>
      <c r="H1476" s="9"/>
      <c r="I1476" s="9"/>
      <c r="J1476" s="10" t="str">
        <f aca="false">IF(A1476="","",IF(G1476&lt;&gt;"",G1476,IF(N(F1476)&gt;0,ROUND(1000/F1476,3),0)))</f>
        <v/>
      </c>
      <c r="K1476" s="10" t="str">
        <f aca="false">IF(OR(A1476="",E1476="",H1476=""),"",ROUND(0.00617*E1476^2*H1476*J1476,2))</f>
        <v/>
      </c>
      <c r="L1476" s="9"/>
      <c r="M1476" s="10" t="str">
        <f aca="false">IF(A1476="","",IF((COUNTIF(Drain_Register!$A$5:$A$304,A1476)+COUNTIF(RW_Register!$A$5:$A$304,A1476)+COUNTIF(Embedded_Wall_Register!$A$5:$A$304,A1476)+COUNTIF(Manhole_Register!$A$5:$A$304,A1476)+COUNTIF(ERSS_Pit_Register!$A$5:$A$304,A1476)+COUNTIF(Linkway_Register!$A$5:$A$304,A1476)+COUNTIF(Other_Register!$A$5:$A$304,A1476))&gt;0,"OK","ID not in any register"))</f>
        <v/>
      </c>
    </row>
    <row r="1477" customFormat="false" ht="15" hidden="false" customHeight="false" outlineLevel="0" collapsed="false">
      <c r="A1477" s="9"/>
      <c r="B1477" s="9"/>
      <c r="C1477" s="9"/>
      <c r="D1477" s="9"/>
      <c r="E1477" s="9"/>
      <c r="F1477" s="9"/>
      <c r="G1477" s="9"/>
      <c r="H1477" s="9"/>
      <c r="I1477" s="9"/>
      <c r="J1477" s="10" t="str">
        <f aca="false">IF(A1477="","",IF(G1477&lt;&gt;"",G1477,IF(N(F1477)&gt;0,ROUND(1000/F1477,3),0)))</f>
        <v/>
      </c>
      <c r="K1477" s="10" t="str">
        <f aca="false">IF(OR(A1477="",E1477="",H1477=""),"",ROUND(0.00617*E1477^2*H1477*J1477,2))</f>
        <v/>
      </c>
      <c r="L1477" s="9"/>
      <c r="M1477" s="10" t="str">
        <f aca="false">IF(A1477="","",IF((COUNTIF(Drain_Register!$A$5:$A$304,A1477)+COUNTIF(RW_Register!$A$5:$A$304,A1477)+COUNTIF(Embedded_Wall_Register!$A$5:$A$304,A1477)+COUNTIF(Manhole_Register!$A$5:$A$304,A1477)+COUNTIF(ERSS_Pit_Register!$A$5:$A$304,A1477)+COUNTIF(Linkway_Register!$A$5:$A$304,A1477)+COUNTIF(Other_Register!$A$5:$A$304,A1477))&gt;0,"OK","ID not in any register"))</f>
        <v/>
      </c>
    </row>
    <row r="1478" customFormat="false" ht="15" hidden="false" customHeight="false" outlineLevel="0" collapsed="false">
      <c r="A1478" s="9"/>
      <c r="B1478" s="9"/>
      <c r="C1478" s="9"/>
      <c r="D1478" s="9"/>
      <c r="E1478" s="9"/>
      <c r="F1478" s="9"/>
      <c r="G1478" s="9"/>
      <c r="H1478" s="9"/>
      <c r="I1478" s="9"/>
      <c r="J1478" s="10" t="str">
        <f aca="false">IF(A1478="","",IF(G1478&lt;&gt;"",G1478,IF(N(F1478)&gt;0,ROUND(1000/F1478,3),0)))</f>
        <v/>
      </c>
      <c r="K1478" s="10" t="str">
        <f aca="false">IF(OR(A1478="",E1478="",H1478=""),"",ROUND(0.00617*E1478^2*H1478*J1478,2))</f>
        <v/>
      </c>
      <c r="L1478" s="9"/>
      <c r="M1478" s="10" t="str">
        <f aca="false">IF(A1478="","",IF((COUNTIF(Drain_Register!$A$5:$A$304,A1478)+COUNTIF(RW_Register!$A$5:$A$304,A1478)+COUNTIF(Embedded_Wall_Register!$A$5:$A$304,A1478)+COUNTIF(Manhole_Register!$A$5:$A$304,A1478)+COUNTIF(ERSS_Pit_Register!$A$5:$A$304,A1478)+COUNTIF(Linkway_Register!$A$5:$A$304,A1478)+COUNTIF(Other_Register!$A$5:$A$304,A1478))&gt;0,"OK","ID not in any register"))</f>
        <v/>
      </c>
    </row>
    <row r="1479" customFormat="false" ht="15" hidden="false" customHeight="false" outlineLevel="0" collapsed="false">
      <c r="A1479" s="9"/>
      <c r="B1479" s="9"/>
      <c r="C1479" s="9"/>
      <c r="D1479" s="9"/>
      <c r="E1479" s="9"/>
      <c r="F1479" s="9"/>
      <c r="G1479" s="9"/>
      <c r="H1479" s="9"/>
      <c r="I1479" s="9"/>
      <c r="J1479" s="10" t="str">
        <f aca="false">IF(A1479="","",IF(G1479&lt;&gt;"",G1479,IF(N(F1479)&gt;0,ROUND(1000/F1479,3),0)))</f>
        <v/>
      </c>
      <c r="K1479" s="10" t="str">
        <f aca="false">IF(OR(A1479="",E1479="",H1479=""),"",ROUND(0.00617*E1479^2*H1479*J1479,2))</f>
        <v/>
      </c>
      <c r="L1479" s="9"/>
      <c r="M1479" s="10" t="str">
        <f aca="false">IF(A1479="","",IF((COUNTIF(Drain_Register!$A$5:$A$304,A1479)+COUNTIF(RW_Register!$A$5:$A$304,A1479)+COUNTIF(Embedded_Wall_Register!$A$5:$A$304,A1479)+COUNTIF(Manhole_Register!$A$5:$A$304,A1479)+COUNTIF(ERSS_Pit_Register!$A$5:$A$304,A1479)+COUNTIF(Linkway_Register!$A$5:$A$304,A1479)+COUNTIF(Other_Register!$A$5:$A$304,A1479))&gt;0,"OK","ID not in any register"))</f>
        <v/>
      </c>
    </row>
    <row r="1480" customFormat="false" ht="15" hidden="false" customHeight="false" outlineLevel="0" collapsed="false">
      <c r="A1480" s="9"/>
      <c r="B1480" s="9"/>
      <c r="C1480" s="9"/>
      <c r="D1480" s="9"/>
      <c r="E1480" s="9"/>
      <c r="F1480" s="9"/>
      <c r="G1480" s="9"/>
      <c r="H1480" s="9"/>
      <c r="I1480" s="9"/>
      <c r="J1480" s="10" t="str">
        <f aca="false">IF(A1480="","",IF(G1480&lt;&gt;"",G1480,IF(N(F1480)&gt;0,ROUND(1000/F1480,3),0)))</f>
        <v/>
      </c>
      <c r="K1480" s="10" t="str">
        <f aca="false">IF(OR(A1480="",E1480="",H1480=""),"",ROUND(0.00617*E1480^2*H1480*J1480,2))</f>
        <v/>
      </c>
      <c r="L1480" s="9"/>
      <c r="M1480" s="10" t="str">
        <f aca="false">IF(A1480="","",IF((COUNTIF(Drain_Register!$A$5:$A$304,A1480)+COUNTIF(RW_Register!$A$5:$A$304,A1480)+COUNTIF(Embedded_Wall_Register!$A$5:$A$304,A1480)+COUNTIF(Manhole_Register!$A$5:$A$304,A1480)+COUNTIF(ERSS_Pit_Register!$A$5:$A$304,A1480)+COUNTIF(Linkway_Register!$A$5:$A$304,A1480)+COUNTIF(Other_Register!$A$5:$A$304,A1480))&gt;0,"OK","ID not in any register"))</f>
        <v/>
      </c>
    </row>
    <row r="1481" customFormat="false" ht="15" hidden="false" customHeight="false" outlineLevel="0" collapsed="false">
      <c r="A1481" s="9"/>
      <c r="B1481" s="9"/>
      <c r="C1481" s="9"/>
      <c r="D1481" s="9"/>
      <c r="E1481" s="9"/>
      <c r="F1481" s="9"/>
      <c r="G1481" s="9"/>
      <c r="H1481" s="9"/>
      <c r="I1481" s="9"/>
      <c r="J1481" s="10" t="str">
        <f aca="false">IF(A1481="","",IF(G1481&lt;&gt;"",G1481,IF(N(F1481)&gt;0,ROUND(1000/F1481,3),0)))</f>
        <v/>
      </c>
      <c r="K1481" s="10" t="str">
        <f aca="false">IF(OR(A1481="",E1481="",H1481=""),"",ROUND(0.00617*E1481^2*H1481*J1481,2))</f>
        <v/>
      </c>
      <c r="L1481" s="9"/>
      <c r="M1481" s="10" t="str">
        <f aca="false">IF(A1481="","",IF((COUNTIF(Drain_Register!$A$5:$A$304,A1481)+COUNTIF(RW_Register!$A$5:$A$304,A1481)+COUNTIF(Embedded_Wall_Register!$A$5:$A$304,A1481)+COUNTIF(Manhole_Register!$A$5:$A$304,A1481)+COUNTIF(ERSS_Pit_Register!$A$5:$A$304,A1481)+COUNTIF(Linkway_Register!$A$5:$A$304,A1481)+COUNTIF(Other_Register!$A$5:$A$304,A1481))&gt;0,"OK","ID not in any register"))</f>
        <v/>
      </c>
    </row>
    <row r="1482" customFormat="false" ht="15" hidden="false" customHeight="false" outlineLevel="0" collapsed="false">
      <c r="A1482" s="9"/>
      <c r="B1482" s="9"/>
      <c r="C1482" s="9"/>
      <c r="D1482" s="9"/>
      <c r="E1482" s="9"/>
      <c r="F1482" s="9"/>
      <c r="G1482" s="9"/>
      <c r="H1482" s="9"/>
      <c r="I1482" s="9"/>
      <c r="J1482" s="10" t="str">
        <f aca="false">IF(A1482="","",IF(G1482&lt;&gt;"",G1482,IF(N(F1482)&gt;0,ROUND(1000/F1482,3),0)))</f>
        <v/>
      </c>
      <c r="K1482" s="10" t="str">
        <f aca="false">IF(OR(A1482="",E1482="",H1482=""),"",ROUND(0.00617*E1482^2*H1482*J1482,2))</f>
        <v/>
      </c>
      <c r="L1482" s="9"/>
      <c r="M1482" s="10" t="str">
        <f aca="false">IF(A1482="","",IF((COUNTIF(Drain_Register!$A$5:$A$304,A1482)+COUNTIF(RW_Register!$A$5:$A$304,A1482)+COUNTIF(Embedded_Wall_Register!$A$5:$A$304,A1482)+COUNTIF(Manhole_Register!$A$5:$A$304,A1482)+COUNTIF(ERSS_Pit_Register!$A$5:$A$304,A1482)+COUNTIF(Linkway_Register!$A$5:$A$304,A1482)+COUNTIF(Other_Register!$A$5:$A$304,A1482))&gt;0,"OK","ID not in any register"))</f>
        <v/>
      </c>
    </row>
    <row r="1483" customFormat="false" ht="15" hidden="false" customHeight="false" outlineLevel="0" collapsed="false">
      <c r="A1483" s="9"/>
      <c r="B1483" s="9"/>
      <c r="C1483" s="9"/>
      <c r="D1483" s="9"/>
      <c r="E1483" s="9"/>
      <c r="F1483" s="9"/>
      <c r="G1483" s="9"/>
      <c r="H1483" s="9"/>
      <c r="I1483" s="9"/>
      <c r="J1483" s="10" t="str">
        <f aca="false">IF(A1483="","",IF(G1483&lt;&gt;"",G1483,IF(N(F1483)&gt;0,ROUND(1000/F1483,3),0)))</f>
        <v/>
      </c>
      <c r="K1483" s="10" t="str">
        <f aca="false">IF(OR(A1483="",E1483="",H1483=""),"",ROUND(0.00617*E1483^2*H1483*J1483,2))</f>
        <v/>
      </c>
      <c r="L1483" s="9"/>
      <c r="M1483" s="10" t="str">
        <f aca="false">IF(A1483="","",IF((COUNTIF(Drain_Register!$A$5:$A$304,A1483)+COUNTIF(RW_Register!$A$5:$A$304,A1483)+COUNTIF(Embedded_Wall_Register!$A$5:$A$304,A1483)+COUNTIF(Manhole_Register!$A$5:$A$304,A1483)+COUNTIF(ERSS_Pit_Register!$A$5:$A$304,A1483)+COUNTIF(Linkway_Register!$A$5:$A$304,A1483)+COUNTIF(Other_Register!$A$5:$A$304,A1483))&gt;0,"OK","ID not in any register"))</f>
        <v/>
      </c>
    </row>
    <row r="1484" customFormat="false" ht="15" hidden="false" customHeight="false" outlineLevel="0" collapsed="false">
      <c r="A1484" s="9"/>
      <c r="B1484" s="9"/>
      <c r="C1484" s="9"/>
      <c r="D1484" s="9"/>
      <c r="E1484" s="9"/>
      <c r="F1484" s="9"/>
      <c r="G1484" s="9"/>
      <c r="H1484" s="9"/>
      <c r="I1484" s="9"/>
      <c r="J1484" s="10" t="str">
        <f aca="false">IF(A1484="","",IF(G1484&lt;&gt;"",G1484,IF(N(F1484)&gt;0,ROUND(1000/F1484,3),0)))</f>
        <v/>
      </c>
      <c r="K1484" s="10" t="str">
        <f aca="false">IF(OR(A1484="",E1484="",H1484=""),"",ROUND(0.00617*E1484^2*H1484*J1484,2))</f>
        <v/>
      </c>
      <c r="L1484" s="9"/>
      <c r="M1484" s="10" t="str">
        <f aca="false">IF(A1484="","",IF((COUNTIF(Drain_Register!$A$5:$A$304,A1484)+COUNTIF(RW_Register!$A$5:$A$304,A1484)+COUNTIF(Embedded_Wall_Register!$A$5:$A$304,A1484)+COUNTIF(Manhole_Register!$A$5:$A$304,A1484)+COUNTIF(ERSS_Pit_Register!$A$5:$A$304,A1484)+COUNTIF(Linkway_Register!$A$5:$A$304,A1484)+COUNTIF(Other_Register!$A$5:$A$304,A1484))&gt;0,"OK","ID not in any register"))</f>
        <v/>
      </c>
    </row>
    <row r="1485" customFormat="false" ht="15" hidden="false" customHeight="false" outlineLevel="0" collapsed="false">
      <c r="A1485" s="9"/>
      <c r="B1485" s="9"/>
      <c r="C1485" s="9"/>
      <c r="D1485" s="9"/>
      <c r="E1485" s="9"/>
      <c r="F1485" s="9"/>
      <c r="G1485" s="9"/>
      <c r="H1485" s="9"/>
      <c r="I1485" s="9"/>
      <c r="J1485" s="10" t="str">
        <f aca="false">IF(A1485="","",IF(G1485&lt;&gt;"",G1485,IF(N(F1485)&gt;0,ROUND(1000/F1485,3),0)))</f>
        <v/>
      </c>
      <c r="K1485" s="10" t="str">
        <f aca="false">IF(OR(A1485="",E1485="",H1485=""),"",ROUND(0.00617*E1485^2*H1485*J1485,2))</f>
        <v/>
      </c>
      <c r="L1485" s="9"/>
      <c r="M1485" s="10" t="str">
        <f aca="false">IF(A1485="","",IF((COUNTIF(Drain_Register!$A$5:$A$304,A1485)+COUNTIF(RW_Register!$A$5:$A$304,A1485)+COUNTIF(Embedded_Wall_Register!$A$5:$A$304,A1485)+COUNTIF(Manhole_Register!$A$5:$A$304,A1485)+COUNTIF(ERSS_Pit_Register!$A$5:$A$304,A1485)+COUNTIF(Linkway_Register!$A$5:$A$304,A1485)+COUNTIF(Other_Register!$A$5:$A$304,A1485))&gt;0,"OK","ID not in any register"))</f>
        <v/>
      </c>
    </row>
    <row r="1486" customFormat="false" ht="15" hidden="false" customHeight="false" outlineLevel="0" collapsed="false">
      <c r="A1486" s="9"/>
      <c r="B1486" s="9"/>
      <c r="C1486" s="9"/>
      <c r="D1486" s="9"/>
      <c r="E1486" s="9"/>
      <c r="F1486" s="9"/>
      <c r="G1486" s="9"/>
      <c r="H1486" s="9"/>
      <c r="I1486" s="9"/>
      <c r="J1486" s="10" t="str">
        <f aca="false">IF(A1486="","",IF(G1486&lt;&gt;"",G1486,IF(N(F1486)&gt;0,ROUND(1000/F1486,3),0)))</f>
        <v/>
      </c>
      <c r="K1486" s="10" t="str">
        <f aca="false">IF(OR(A1486="",E1486="",H1486=""),"",ROUND(0.00617*E1486^2*H1486*J1486,2))</f>
        <v/>
      </c>
      <c r="L1486" s="9"/>
      <c r="M1486" s="10" t="str">
        <f aca="false">IF(A1486="","",IF((COUNTIF(Drain_Register!$A$5:$A$304,A1486)+COUNTIF(RW_Register!$A$5:$A$304,A1486)+COUNTIF(Embedded_Wall_Register!$A$5:$A$304,A1486)+COUNTIF(Manhole_Register!$A$5:$A$304,A1486)+COUNTIF(ERSS_Pit_Register!$A$5:$A$304,A1486)+COUNTIF(Linkway_Register!$A$5:$A$304,A1486)+COUNTIF(Other_Register!$A$5:$A$304,A1486))&gt;0,"OK","ID not in any register"))</f>
        <v/>
      </c>
    </row>
    <row r="1487" customFormat="false" ht="15" hidden="false" customHeight="false" outlineLevel="0" collapsed="false">
      <c r="A1487" s="9"/>
      <c r="B1487" s="9"/>
      <c r="C1487" s="9"/>
      <c r="D1487" s="9"/>
      <c r="E1487" s="9"/>
      <c r="F1487" s="9"/>
      <c r="G1487" s="9"/>
      <c r="H1487" s="9"/>
      <c r="I1487" s="9"/>
      <c r="J1487" s="10" t="str">
        <f aca="false">IF(A1487="","",IF(G1487&lt;&gt;"",G1487,IF(N(F1487)&gt;0,ROUND(1000/F1487,3),0)))</f>
        <v/>
      </c>
      <c r="K1487" s="10" t="str">
        <f aca="false">IF(OR(A1487="",E1487="",H1487=""),"",ROUND(0.00617*E1487^2*H1487*J1487,2))</f>
        <v/>
      </c>
      <c r="L1487" s="9"/>
      <c r="M1487" s="10" t="str">
        <f aca="false">IF(A1487="","",IF((COUNTIF(Drain_Register!$A$5:$A$304,A1487)+COUNTIF(RW_Register!$A$5:$A$304,A1487)+COUNTIF(Embedded_Wall_Register!$A$5:$A$304,A1487)+COUNTIF(Manhole_Register!$A$5:$A$304,A1487)+COUNTIF(ERSS_Pit_Register!$A$5:$A$304,A1487)+COUNTIF(Linkway_Register!$A$5:$A$304,A1487)+COUNTIF(Other_Register!$A$5:$A$304,A1487))&gt;0,"OK","ID not in any register"))</f>
        <v/>
      </c>
    </row>
    <row r="1488" customFormat="false" ht="15" hidden="false" customHeight="false" outlineLevel="0" collapsed="false">
      <c r="A1488" s="9"/>
      <c r="B1488" s="9"/>
      <c r="C1488" s="9"/>
      <c r="D1488" s="9"/>
      <c r="E1488" s="9"/>
      <c r="F1488" s="9"/>
      <c r="G1488" s="9"/>
      <c r="H1488" s="9"/>
      <c r="I1488" s="9"/>
      <c r="J1488" s="10" t="str">
        <f aca="false">IF(A1488="","",IF(G1488&lt;&gt;"",G1488,IF(N(F1488)&gt;0,ROUND(1000/F1488,3),0)))</f>
        <v/>
      </c>
      <c r="K1488" s="10" t="str">
        <f aca="false">IF(OR(A1488="",E1488="",H1488=""),"",ROUND(0.00617*E1488^2*H1488*J1488,2))</f>
        <v/>
      </c>
      <c r="L1488" s="9"/>
      <c r="M1488" s="10" t="str">
        <f aca="false">IF(A1488="","",IF((COUNTIF(Drain_Register!$A$5:$A$304,A1488)+COUNTIF(RW_Register!$A$5:$A$304,A1488)+COUNTIF(Embedded_Wall_Register!$A$5:$A$304,A1488)+COUNTIF(Manhole_Register!$A$5:$A$304,A1488)+COUNTIF(ERSS_Pit_Register!$A$5:$A$304,A1488)+COUNTIF(Linkway_Register!$A$5:$A$304,A1488)+COUNTIF(Other_Register!$A$5:$A$304,A1488))&gt;0,"OK","ID not in any register"))</f>
        <v/>
      </c>
    </row>
    <row r="1489" customFormat="false" ht="15" hidden="false" customHeight="false" outlineLevel="0" collapsed="false">
      <c r="A1489" s="9"/>
      <c r="B1489" s="9"/>
      <c r="C1489" s="9"/>
      <c r="D1489" s="9"/>
      <c r="E1489" s="9"/>
      <c r="F1489" s="9"/>
      <c r="G1489" s="9"/>
      <c r="H1489" s="9"/>
      <c r="I1489" s="9"/>
      <c r="J1489" s="10" t="str">
        <f aca="false">IF(A1489="","",IF(G1489&lt;&gt;"",G1489,IF(N(F1489)&gt;0,ROUND(1000/F1489,3),0)))</f>
        <v/>
      </c>
      <c r="K1489" s="10" t="str">
        <f aca="false">IF(OR(A1489="",E1489="",H1489=""),"",ROUND(0.00617*E1489^2*H1489*J1489,2))</f>
        <v/>
      </c>
      <c r="L1489" s="9"/>
      <c r="M1489" s="10" t="str">
        <f aca="false">IF(A1489="","",IF((COUNTIF(Drain_Register!$A$5:$A$304,A1489)+COUNTIF(RW_Register!$A$5:$A$304,A1489)+COUNTIF(Embedded_Wall_Register!$A$5:$A$304,A1489)+COUNTIF(Manhole_Register!$A$5:$A$304,A1489)+COUNTIF(ERSS_Pit_Register!$A$5:$A$304,A1489)+COUNTIF(Linkway_Register!$A$5:$A$304,A1489)+COUNTIF(Other_Register!$A$5:$A$304,A1489))&gt;0,"OK","ID not in any register"))</f>
        <v/>
      </c>
    </row>
    <row r="1490" customFormat="false" ht="15" hidden="false" customHeight="false" outlineLevel="0" collapsed="false">
      <c r="A1490" s="9"/>
      <c r="B1490" s="9"/>
      <c r="C1490" s="9"/>
      <c r="D1490" s="9"/>
      <c r="E1490" s="9"/>
      <c r="F1490" s="9"/>
      <c r="G1490" s="9"/>
      <c r="H1490" s="9"/>
      <c r="I1490" s="9"/>
      <c r="J1490" s="10" t="str">
        <f aca="false">IF(A1490="","",IF(G1490&lt;&gt;"",G1490,IF(N(F1490)&gt;0,ROUND(1000/F1490,3),0)))</f>
        <v/>
      </c>
      <c r="K1490" s="10" t="str">
        <f aca="false">IF(OR(A1490="",E1490="",H1490=""),"",ROUND(0.00617*E1490^2*H1490*J1490,2))</f>
        <v/>
      </c>
      <c r="L1490" s="9"/>
      <c r="M1490" s="10" t="str">
        <f aca="false">IF(A1490="","",IF((COUNTIF(Drain_Register!$A$5:$A$304,A1490)+COUNTIF(RW_Register!$A$5:$A$304,A1490)+COUNTIF(Embedded_Wall_Register!$A$5:$A$304,A1490)+COUNTIF(Manhole_Register!$A$5:$A$304,A1490)+COUNTIF(ERSS_Pit_Register!$A$5:$A$304,A1490)+COUNTIF(Linkway_Register!$A$5:$A$304,A1490)+COUNTIF(Other_Register!$A$5:$A$304,A1490))&gt;0,"OK","ID not in any register"))</f>
        <v/>
      </c>
    </row>
    <row r="1491" customFormat="false" ht="15" hidden="false" customHeight="false" outlineLevel="0" collapsed="false">
      <c r="A1491" s="9"/>
      <c r="B1491" s="9"/>
      <c r="C1491" s="9"/>
      <c r="D1491" s="9"/>
      <c r="E1491" s="9"/>
      <c r="F1491" s="9"/>
      <c r="G1491" s="9"/>
      <c r="H1491" s="9"/>
      <c r="I1491" s="9"/>
      <c r="J1491" s="10" t="str">
        <f aca="false">IF(A1491="","",IF(G1491&lt;&gt;"",G1491,IF(N(F1491)&gt;0,ROUND(1000/F1491,3),0)))</f>
        <v/>
      </c>
      <c r="K1491" s="10" t="str">
        <f aca="false">IF(OR(A1491="",E1491="",H1491=""),"",ROUND(0.00617*E1491^2*H1491*J1491,2))</f>
        <v/>
      </c>
      <c r="L1491" s="9"/>
      <c r="M1491" s="10" t="str">
        <f aca="false">IF(A1491="","",IF((COUNTIF(Drain_Register!$A$5:$A$304,A1491)+COUNTIF(RW_Register!$A$5:$A$304,A1491)+COUNTIF(Embedded_Wall_Register!$A$5:$A$304,A1491)+COUNTIF(Manhole_Register!$A$5:$A$304,A1491)+COUNTIF(ERSS_Pit_Register!$A$5:$A$304,A1491)+COUNTIF(Linkway_Register!$A$5:$A$304,A1491)+COUNTIF(Other_Register!$A$5:$A$304,A1491))&gt;0,"OK","ID not in any register"))</f>
        <v/>
      </c>
    </row>
    <row r="1492" customFormat="false" ht="15" hidden="false" customHeight="false" outlineLevel="0" collapsed="false">
      <c r="A1492" s="9"/>
      <c r="B1492" s="9"/>
      <c r="C1492" s="9"/>
      <c r="D1492" s="9"/>
      <c r="E1492" s="9"/>
      <c r="F1492" s="9"/>
      <c r="G1492" s="9"/>
      <c r="H1492" s="9"/>
      <c r="I1492" s="9"/>
      <c r="J1492" s="10" t="str">
        <f aca="false">IF(A1492="","",IF(G1492&lt;&gt;"",G1492,IF(N(F1492)&gt;0,ROUND(1000/F1492,3),0)))</f>
        <v/>
      </c>
      <c r="K1492" s="10" t="str">
        <f aca="false">IF(OR(A1492="",E1492="",H1492=""),"",ROUND(0.00617*E1492^2*H1492*J1492,2))</f>
        <v/>
      </c>
      <c r="L1492" s="9"/>
      <c r="M1492" s="10" t="str">
        <f aca="false">IF(A1492="","",IF((COUNTIF(Drain_Register!$A$5:$A$304,A1492)+COUNTIF(RW_Register!$A$5:$A$304,A1492)+COUNTIF(Embedded_Wall_Register!$A$5:$A$304,A1492)+COUNTIF(Manhole_Register!$A$5:$A$304,A1492)+COUNTIF(ERSS_Pit_Register!$A$5:$A$304,A1492)+COUNTIF(Linkway_Register!$A$5:$A$304,A1492)+COUNTIF(Other_Register!$A$5:$A$304,A1492))&gt;0,"OK","ID not in any register"))</f>
        <v/>
      </c>
    </row>
    <row r="1493" customFormat="false" ht="15" hidden="false" customHeight="false" outlineLevel="0" collapsed="false">
      <c r="A1493" s="9"/>
      <c r="B1493" s="9"/>
      <c r="C1493" s="9"/>
      <c r="D1493" s="9"/>
      <c r="E1493" s="9"/>
      <c r="F1493" s="9"/>
      <c r="G1493" s="9"/>
      <c r="H1493" s="9"/>
      <c r="I1493" s="9"/>
      <c r="J1493" s="10" t="str">
        <f aca="false">IF(A1493="","",IF(G1493&lt;&gt;"",G1493,IF(N(F1493)&gt;0,ROUND(1000/F1493,3),0)))</f>
        <v/>
      </c>
      <c r="K1493" s="10" t="str">
        <f aca="false">IF(OR(A1493="",E1493="",H1493=""),"",ROUND(0.00617*E1493^2*H1493*J1493,2))</f>
        <v/>
      </c>
      <c r="L1493" s="9"/>
      <c r="M1493" s="10" t="str">
        <f aca="false">IF(A1493="","",IF((COUNTIF(Drain_Register!$A$5:$A$304,A1493)+COUNTIF(RW_Register!$A$5:$A$304,A1493)+COUNTIF(Embedded_Wall_Register!$A$5:$A$304,A1493)+COUNTIF(Manhole_Register!$A$5:$A$304,A1493)+COUNTIF(ERSS_Pit_Register!$A$5:$A$304,A1493)+COUNTIF(Linkway_Register!$A$5:$A$304,A1493)+COUNTIF(Other_Register!$A$5:$A$304,A1493))&gt;0,"OK","ID not in any register"))</f>
        <v/>
      </c>
    </row>
    <row r="1494" customFormat="false" ht="15" hidden="false" customHeight="false" outlineLevel="0" collapsed="false">
      <c r="A1494" s="9"/>
      <c r="B1494" s="9"/>
      <c r="C1494" s="9"/>
      <c r="D1494" s="9"/>
      <c r="E1494" s="9"/>
      <c r="F1494" s="9"/>
      <c r="G1494" s="9"/>
      <c r="H1494" s="9"/>
      <c r="I1494" s="9"/>
      <c r="J1494" s="10" t="str">
        <f aca="false">IF(A1494="","",IF(G1494&lt;&gt;"",G1494,IF(N(F1494)&gt;0,ROUND(1000/F1494,3),0)))</f>
        <v/>
      </c>
      <c r="K1494" s="10" t="str">
        <f aca="false">IF(OR(A1494="",E1494="",H1494=""),"",ROUND(0.00617*E1494^2*H1494*J1494,2))</f>
        <v/>
      </c>
      <c r="L1494" s="9"/>
      <c r="M1494" s="10" t="str">
        <f aca="false">IF(A1494="","",IF((COUNTIF(Drain_Register!$A$5:$A$304,A1494)+COUNTIF(RW_Register!$A$5:$A$304,A1494)+COUNTIF(Embedded_Wall_Register!$A$5:$A$304,A1494)+COUNTIF(Manhole_Register!$A$5:$A$304,A1494)+COUNTIF(ERSS_Pit_Register!$A$5:$A$304,A1494)+COUNTIF(Linkway_Register!$A$5:$A$304,A1494)+COUNTIF(Other_Register!$A$5:$A$304,A1494))&gt;0,"OK","ID not in any register"))</f>
        <v/>
      </c>
    </row>
    <row r="1495" customFormat="false" ht="15" hidden="false" customHeight="false" outlineLevel="0" collapsed="false">
      <c r="A1495" s="9"/>
      <c r="B1495" s="9"/>
      <c r="C1495" s="9"/>
      <c r="D1495" s="9"/>
      <c r="E1495" s="9"/>
      <c r="F1495" s="9"/>
      <c r="G1495" s="9"/>
      <c r="H1495" s="9"/>
      <c r="I1495" s="9"/>
      <c r="J1495" s="10" t="str">
        <f aca="false">IF(A1495="","",IF(G1495&lt;&gt;"",G1495,IF(N(F1495)&gt;0,ROUND(1000/F1495,3),0)))</f>
        <v/>
      </c>
      <c r="K1495" s="10" t="str">
        <f aca="false">IF(OR(A1495="",E1495="",H1495=""),"",ROUND(0.00617*E1495^2*H1495*J1495,2))</f>
        <v/>
      </c>
      <c r="L1495" s="9"/>
      <c r="M1495" s="10" t="str">
        <f aca="false">IF(A1495="","",IF((COUNTIF(Drain_Register!$A$5:$A$304,A1495)+COUNTIF(RW_Register!$A$5:$A$304,A1495)+COUNTIF(Embedded_Wall_Register!$A$5:$A$304,A1495)+COUNTIF(Manhole_Register!$A$5:$A$304,A1495)+COUNTIF(ERSS_Pit_Register!$A$5:$A$304,A1495)+COUNTIF(Linkway_Register!$A$5:$A$304,A1495)+COUNTIF(Other_Register!$A$5:$A$304,A1495))&gt;0,"OK","ID not in any register"))</f>
        <v/>
      </c>
    </row>
    <row r="1496" customFormat="false" ht="15" hidden="false" customHeight="false" outlineLevel="0" collapsed="false">
      <c r="A1496" s="9"/>
      <c r="B1496" s="9"/>
      <c r="C1496" s="9"/>
      <c r="D1496" s="9"/>
      <c r="E1496" s="9"/>
      <c r="F1496" s="9"/>
      <c r="G1496" s="9"/>
      <c r="H1496" s="9"/>
      <c r="I1496" s="9"/>
      <c r="J1496" s="10" t="str">
        <f aca="false">IF(A1496="","",IF(G1496&lt;&gt;"",G1496,IF(N(F1496)&gt;0,ROUND(1000/F1496,3),0)))</f>
        <v/>
      </c>
      <c r="K1496" s="10" t="str">
        <f aca="false">IF(OR(A1496="",E1496="",H1496=""),"",ROUND(0.00617*E1496^2*H1496*J1496,2))</f>
        <v/>
      </c>
      <c r="L1496" s="9"/>
      <c r="M1496" s="10" t="str">
        <f aca="false">IF(A1496="","",IF((COUNTIF(Drain_Register!$A$5:$A$304,A1496)+COUNTIF(RW_Register!$A$5:$A$304,A1496)+COUNTIF(Embedded_Wall_Register!$A$5:$A$304,A1496)+COUNTIF(Manhole_Register!$A$5:$A$304,A1496)+COUNTIF(ERSS_Pit_Register!$A$5:$A$304,A1496)+COUNTIF(Linkway_Register!$A$5:$A$304,A1496)+COUNTIF(Other_Register!$A$5:$A$304,A1496))&gt;0,"OK","ID not in any register"))</f>
        <v/>
      </c>
    </row>
    <row r="1497" customFormat="false" ht="15" hidden="false" customHeight="false" outlineLevel="0" collapsed="false">
      <c r="A1497" s="9"/>
      <c r="B1497" s="9"/>
      <c r="C1497" s="9"/>
      <c r="D1497" s="9"/>
      <c r="E1497" s="9"/>
      <c r="F1497" s="9"/>
      <c r="G1497" s="9"/>
      <c r="H1497" s="9"/>
      <c r="I1497" s="9"/>
      <c r="J1497" s="10" t="str">
        <f aca="false">IF(A1497="","",IF(G1497&lt;&gt;"",G1497,IF(N(F1497)&gt;0,ROUND(1000/F1497,3),0)))</f>
        <v/>
      </c>
      <c r="K1497" s="10" t="str">
        <f aca="false">IF(OR(A1497="",E1497="",H1497=""),"",ROUND(0.00617*E1497^2*H1497*J1497,2))</f>
        <v/>
      </c>
      <c r="L1497" s="9"/>
      <c r="M1497" s="10" t="str">
        <f aca="false">IF(A1497="","",IF((COUNTIF(Drain_Register!$A$5:$A$304,A1497)+COUNTIF(RW_Register!$A$5:$A$304,A1497)+COUNTIF(Embedded_Wall_Register!$A$5:$A$304,A1497)+COUNTIF(Manhole_Register!$A$5:$A$304,A1497)+COUNTIF(ERSS_Pit_Register!$A$5:$A$304,A1497)+COUNTIF(Linkway_Register!$A$5:$A$304,A1497)+COUNTIF(Other_Register!$A$5:$A$304,A1497))&gt;0,"OK","ID not in any register"))</f>
        <v/>
      </c>
    </row>
    <row r="1498" customFormat="false" ht="15" hidden="false" customHeight="false" outlineLevel="0" collapsed="false">
      <c r="A1498" s="9"/>
      <c r="B1498" s="9"/>
      <c r="C1498" s="9"/>
      <c r="D1498" s="9"/>
      <c r="E1498" s="9"/>
      <c r="F1498" s="9"/>
      <c r="G1498" s="9"/>
      <c r="H1498" s="9"/>
      <c r="I1498" s="9"/>
      <c r="J1498" s="10" t="str">
        <f aca="false">IF(A1498="","",IF(G1498&lt;&gt;"",G1498,IF(N(F1498)&gt;0,ROUND(1000/F1498,3),0)))</f>
        <v/>
      </c>
      <c r="K1498" s="10" t="str">
        <f aca="false">IF(OR(A1498="",E1498="",H1498=""),"",ROUND(0.00617*E1498^2*H1498*J1498,2))</f>
        <v/>
      </c>
      <c r="L1498" s="9"/>
      <c r="M1498" s="10" t="str">
        <f aca="false">IF(A1498="","",IF((COUNTIF(Drain_Register!$A$5:$A$304,A1498)+COUNTIF(RW_Register!$A$5:$A$304,A1498)+COUNTIF(Embedded_Wall_Register!$A$5:$A$304,A1498)+COUNTIF(Manhole_Register!$A$5:$A$304,A1498)+COUNTIF(ERSS_Pit_Register!$A$5:$A$304,A1498)+COUNTIF(Linkway_Register!$A$5:$A$304,A1498)+COUNTIF(Other_Register!$A$5:$A$304,A1498))&gt;0,"OK","ID not in any register"))</f>
        <v/>
      </c>
    </row>
    <row r="1499" customFormat="false" ht="15" hidden="false" customHeight="false" outlineLevel="0" collapsed="false">
      <c r="A1499" s="9"/>
      <c r="B1499" s="9"/>
      <c r="C1499" s="9"/>
      <c r="D1499" s="9"/>
      <c r="E1499" s="9"/>
      <c r="F1499" s="9"/>
      <c r="G1499" s="9"/>
      <c r="H1499" s="9"/>
      <c r="I1499" s="9"/>
      <c r="J1499" s="10" t="str">
        <f aca="false">IF(A1499="","",IF(G1499&lt;&gt;"",G1499,IF(N(F1499)&gt;0,ROUND(1000/F1499,3),0)))</f>
        <v/>
      </c>
      <c r="K1499" s="10" t="str">
        <f aca="false">IF(OR(A1499="",E1499="",H1499=""),"",ROUND(0.00617*E1499^2*H1499*J1499,2))</f>
        <v/>
      </c>
      <c r="L1499" s="9"/>
      <c r="M1499" s="10" t="str">
        <f aca="false">IF(A1499="","",IF((COUNTIF(Drain_Register!$A$5:$A$304,A1499)+COUNTIF(RW_Register!$A$5:$A$304,A1499)+COUNTIF(Embedded_Wall_Register!$A$5:$A$304,A1499)+COUNTIF(Manhole_Register!$A$5:$A$304,A1499)+COUNTIF(ERSS_Pit_Register!$A$5:$A$304,A1499)+COUNTIF(Linkway_Register!$A$5:$A$304,A1499)+COUNTIF(Other_Register!$A$5:$A$304,A1499))&gt;0,"OK","ID not in any register"))</f>
        <v/>
      </c>
    </row>
    <row r="1500" customFormat="false" ht="15" hidden="false" customHeight="false" outlineLevel="0" collapsed="false">
      <c r="A1500" s="9"/>
      <c r="B1500" s="9"/>
      <c r="C1500" s="9"/>
      <c r="D1500" s="9"/>
      <c r="E1500" s="9"/>
      <c r="F1500" s="9"/>
      <c r="G1500" s="9"/>
      <c r="H1500" s="9"/>
      <c r="I1500" s="9"/>
      <c r="J1500" s="10" t="str">
        <f aca="false">IF(A1500="","",IF(G1500&lt;&gt;"",G1500,IF(N(F1500)&gt;0,ROUND(1000/F1500,3),0)))</f>
        <v/>
      </c>
      <c r="K1500" s="10" t="str">
        <f aca="false">IF(OR(A1500="",E1500="",H1500=""),"",ROUND(0.00617*E1500^2*H1500*J1500,2))</f>
        <v/>
      </c>
      <c r="L1500" s="9"/>
      <c r="M1500" s="10" t="str">
        <f aca="false">IF(A1500="","",IF((COUNTIF(Drain_Register!$A$5:$A$304,A1500)+COUNTIF(RW_Register!$A$5:$A$304,A1500)+COUNTIF(Embedded_Wall_Register!$A$5:$A$304,A1500)+COUNTIF(Manhole_Register!$A$5:$A$304,A1500)+COUNTIF(ERSS_Pit_Register!$A$5:$A$304,A1500)+COUNTIF(Linkway_Register!$A$5:$A$304,A1500)+COUNTIF(Other_Register!$A$5:$A$304,A1500))&gt;0,"OK","ID not in any register"))</f>
        <v/>
      </c>
    </row>
    <row r="1501" customFormat="false" ht="15" hidden="false" customHeight="false" outlineLevel="0" collapsed="false">
      <c r="A1501" s="9"/>
      <c r="B1501" s="9"/>
      <c r="C1501" s="9"/>
      <c r="D1501" s="9"/>
      <c r="E1501" s="9"/>
      <c r="F1501" s="9"/>
      <c r="G1501" s="9"/>
      <c r="H1501" s="9"/>
      <c r="I1501" s="9"/>
      <c r="J1501" s="10" t="str">
        <f aca="false">IF(A1501="","",IF(G1501&lt;&gt;"",G1501,IF(N(F1501)&gt;0,ROUND(1000/F1501,3),0)))</f>
        <v/>
      </c>
      <c r="K1501" s="10" t="str">
        <f aca="false">IF(OR(A1501="",E1501="",H1501=""),"",ROUND(0.00617*E1501^2*H1501*J1501,2))</f>
        <v/>
      </c>
      <c r="L1501" s="9"/>
      <c r="M1501" s="10" t="str">
        <f aca="false">IF(A1501="","",IF((COUNTIF(Drain_Register!$A$5:$A$304,A1501)+COUNTIF(RW_Register!$A$5:$A$304,A1501)+COUNTIF(Embedded_Wall_Register!$A$5:$A$304,A1501)+COUNTIF(Manhole_Register!$A$5:$A$304,A1501)+COUNTIF(ERSS_Pit_Register!$A$5:$A$304,A1501)+COUNTIF(Linkway_Register!$A$5:$A$304,A1501)+COUNTIF(Other_Register!$A$5:$A$304,A1501))&gt;0,"OK","ID not in any register"))</f>
        <v/>
      </c>
    </row>
    <row r="1502" customFormat="false" ht="15" hidden="false" customHeight="false" outlineLevel="0" collapsed="false">
      <c r="A1502" s="9"/>
      <c r="B1502" s="9"/>
      <c r="C1502" s="9"/>
      <c r="D1502" s="9"/>
      <c r="E1502" s="9"/>
      <c r="F1502" s="9"/>
      <c r="G1502" s="9"/>
      <c r="H1502" s="9"/>
      <c r="I1502" s="9"/>
      <c r="J1502" s="10" t="str">
        <f aca="false">IF(A1502="","",IF(G1502&lt;&gt;"",G1502,IF(N(F1502)&gt;0,ROUND(1000/F1502,3),0)))</f>
        <v/>
      </c>
      <c r="K1502" s="10" t="str">
        <f aca="false">IF(OR(A1502="",E1502="",H1502=""),"",ROUND(0.00617*E1502^2*H1502*J1502,2))</f>
        <v/>
      </c>
      <c r="L1502" s="9"/>
      <c r="M1502" s="10" t="str">
        <f aca="false">IF(A1502="","",IF((COUNTIF(Drain_Register!$A$5:$A$304,A1502)+COUNTIF(RW_Register!$A$5:$A$304,A1502)+COUNTIF(Embedded_Wall_Register!$A$5:$A$304,A1502)+COUNTIF(Manhole_Register!$A$5:$A$304,A1502)+COUNTIF(ERSS_Pit_Register!$A$5:$A$304,A1502)+COUNTIF(Linkway_Register!$A$5:$A$304,A1502)+COUNTIF(Other_Register!$A$5:$A$304,A1502))&gt;0,"OK","ID not in any register"))</f>
        <v/>
      </c>
    </row>
    <row r="1503" customFormat="false" ht="15" hidden="false" customHeight="false" outlineLevel="0" collapsed="false">
      <c r="A1503" s="9"/>
      <c r="B1503" s="9"/>
      <c r="C1503" s="9"/>
      <c r="D1503" s="9"/>
      <c r="E1503" s="9"/>
      <c r="F1503" s="9"/>
      <c r="G1503" s="9"/>
      <c r="H1503" s="9"/>
      <c r="I1503" s="9"/>
      <c r="J1503" s="10" t="str">
        <f aca="false">IF(A1503="","",IF(G1503&lt;&gt;"",G1503,IF(N(F1503)&gt;0,ROUND(1000/F1503,3),0)))</f>
        <v/>
      </c>
      <c r="K1503" s="10" t="str">
        <f aca="false">IF(OR(A1503="",E1503="",H1503=""),"",ROUND(0.00617*E1503^2*H1503*J1503,2))</f>
        <v/>
      </c>
      <c r="L1503" s="9"/>
      <c r="M1503" s="10" t="str">
        <f aca="false">IF(A1503="","",IF((COUNTIF(Drain_Register!$A$5:$A$304,A1503)+COUNTIF(RW_Register!$A$5:$A$304,A1503)+COUNTIF(Embedded_Wall_Register!$A$5:$A$304,A1503)+COUNTIF(Manhole_Register!$A$5:$A$304,A1503)+COUNTIF(ERSS_Pit_Register!$A$5:$A$304,A1503)+COUNTIF(Linkway_Register!$A$5:$A$304,A1503)+COUNTIF(Other_Register!$A$5:$A$304,A1503))&gt;0,"OK","ID not in any register"))</f>
        <v/>
      </c>
    </row>
    <row r="1504" customFormat="false" ht="15" hidden="false" customHeight="false" outlineLevel="0" collapsed="false">
      <c r="A1504" s="9"/>
      <c r="B1504" s="9"/>
      <c r="C1504" s="9"/>
      <c r="D1504" s="9"/>
      <c r="E1504" s="9"/>
      <c r="F1504" s="9"/>
      <c r="G1504" s="9"/>
      <c r="H1504" s="9"/>
      <c r="I1504" s="9"/>
      <c r="J1504" s="10" t="str">
        <f aca="false">IF(A1504="","",IF(G1504&lt;&gt;"",G1504,IF(N(F1504)&gt;0,ROUND(1000/F1504,3),0)))</f>
        <v/>
      </c>
      <c r="K1504" s="10" t="str">
        <f aca="false">IF(OR(A1504="",E1504="",H1504=""),"",ROUND(0.00617*E1504^2*H1504*J1504,2))</f>
        <v/>
      </c>
      <c r="L1504" s="9"/>
      <c r="M1504" s="10" t="str">
        <f aca="false">IF(A1504="","",IF((COUNTIF(Drain_Register!$A$5:$A$304,A1504)+COUNTIF(RW_Register!$A$5:$A$304,A1504)+COUNTIF(Embedded_Wall_Register!$A$5:$A$304,A1504)+COUNTIF(Manhole_Register!$A$5:$A$304,A1504)+COUNTIF(ERSS_Pit_Register!$A$5:$A$304,A1504)+COUNTIF(Linkway_Register!$A$5:$A$304,A1504)+COUNTIF(Other_Register!$A$5:$A$304,A1504))&gt;0,"OK","ID not in any register"))</f>
        <v/>
      </c>
    </row>
    <row r="1505" customFormat="false" ht="15" hidden="false" customHeight="false" outlineLevel="0" collapsed="false">
      <c r="A1505" s="9"/>
      <c r="B1505" s="9"/>
      <c r="C1505" s="9"/>
      <c r="D1505" s="9"/>
      <c r="E1505" s="9"/>
      <c r="F1505" s="9"/>
      <c r="G1505" s="9"/>
      <c r="H1505" s="9"/>
      <c r="I1505" s="9"/>
      <c r="J1505" s="10" t="str">
        <f aca="false">IF(A1505="","",IF(G1505&lt;&gt;"",G1505,IF(N(F1505)&gt;0,ROUND(1000/F1505,3),0)))</f>
        <v/>
      </c>
      <c r="K1505" s="10" t="str">
        <f aca="false">IF(OR(A1505="",E1505="",H1505=""),"",ROUND(0.00617*E1505^2*H1505*J1505,2))</f>
        <v/>
      </c>
      <c r="L1505" s="9"/>
      <c r="M1505" s="10" t="str">
        <f aca="false">IF(A1505="","",IF((COUNTIF(Drain_Register!$A$5:$A$304,A1505)+COUNTIF(RW_Register!$A$5:$A$304,A1505)+COUNTIF(Embedded_Wall_Register!$A$5:$A$304,A1505)+COUNTIF(Manhole_Register!$A$5:$A$304,A1505)+COUNTIF(ERSS_Pit_Register!$A$5:$A$304,A1505)+COUNTIF(Linkway_Register!$A$5:$A$304,A1505)+COUNTIF(Other_Register!$A$5:$A$304,A1505))&gt;0,"OK","ID not in any register"))</f>
        <v/>
      </c>
    </row>
    <row r="1506" customFormat="false" ht="15" hidden="false" customHeight="false" outlineLevel="0" collapsed="false">
      <c r="A1506" s="9"/>
      <c r="B1506" s="9"/>
      <c r="C1506" s="9"/>
      <c r="D1506" s="9"/>
      <c r="E1506" s="9"/>
      <c r="F1506" s="9"/>
      <c r="G1506" s="9"/>
      <c r="H1506" s="9"/>
      <c r="I1506" s="9"/>
      <c r="J1506" s="10" t="str">
        <f aca="false">IF(A1506="","",IF(G1506&lt;&gt;"",G1506,IF(N(F1506)&gt;0,ROUND(1000/F1506,3),0)))</f>
        <v/>
      </c>
      <c r="K1506" s="10" t="str">
        <f aca="false">IF(OR(A1506="",E1506="",H1506=""),"",ROUND(0.00617*E1506^2*H1506*J1506,2))</f>
        <v/>
      </c>
      <c r="L1506" s="9"/>
      <c r="M1506" s="10" t="str">
        <f aca="false">IF(A1506="","",IF((COUNTIF(Drain_Register!$A$5:$A$304,A1506)+COUNTIF(RW_Register!$A$5:$A$304,A1506)+COUNTIF(Embedded_Wall_Register!$A$5:$A$304,A1506)+COUNTIF(Manhole_Register!$A$5:$A$304,A1506)+COUNTIF(ERSS_Pit_Register!$A$5:$A$304,A1506)+COUNTIF(Linkway_Register!$A$5:$A$304,A1506)+COUNTIF(Other_Register!$A$5:$A$304,A1506))&gt;0,"OK","ID not in any register"))</f>
        <v/>
      </c>
    </row>
    <row r="1507" customFormat="false" ht="15" hidden="false" customHeight="false" outlineLevel="0" collapsed="false">
      <c r="A1507" s="9"/>
      <c r="B1507" s="9"/>
      <c r="C1507" s="9"/>
      <c r="D1507" s="9"/>
      <c r="E1507" s="9"/>
      <c r="F1507" s="9"/>
      <c r="G1507" s="9"/>
      <c r="H1507" s="9"/>
      <c r="I1507" s="9"/>
      <c r="J1507" s="10" t="str">
        <f aca="false">IF(A1507="","",IF(G1507&lt;&gt;"",G1507,IF(N(F1507)&gt;0,ROUND(1000/F1507,3),0)))</f>
        <v/>
      </c>
      <c r="K1507" s="10" t="str">
        <f aca="false">IF(OR(A1507="",E1507="",H1507=""),"",ROUND(0.00617*E1507^2*H1507*J1507,2))</f>
        <v/>
      </c>
      <c r="L1507" s="9"/>
      <c r="M1507" s="10" t="str">
        <f aca="false">IF(A1507="","",IF((COUNTIF(Drain_Register!$A$5:$A$304,A1507)+COUNTIF(RW_Register!$A$5:$A$304,A1507)+COUNTIF(Embedded_Wall_Register!$A$5:$A$304,A1507)+COUNTIF(Manhole_Register!$A$5:$A$304,A1507)+COUNTIF(ERSS_Pit_Register!$A$5:$A$304,A1507)+COUNTIF(Linkway_Register!$A$5:$A$304,A1507)+COUNTIF(Other_Register!$A$5:$A$304,A1507))&gt;0,"OK","ID not in any register"))</f>
        <v/>
      </c>
    </row>
    <row r="1508" customFormat="false" ht="15" hidden="false" customHeight="false" outlineLevel="0" collapsed="false">
      <c r="A1508" s="9"/>
      <c r="B1508" s="9"/>
      <c r="C1508" s="9"/>
      <c r="D1508" s="9"/>
      <c r="E1508" s="9"/>
      <c r="F1508" s="9"/>
      <c r="G1508" s="9"/>
      <c r="H1508" s="9"/>
      <c r="I1508" s="9"/>
      <c r="J1508" s="10" t="str">
        <f aca="false">IF(A1508="","",IF(G1508&lt;&gt;"",G1508,IF(N(F1508)&gt;0,ROUND(1000/F1508,3),0)))</f>
        <v/>
      </c>
      <c r="K1508" s="10" t="str">
        <f aca="false">IF(OR(A1508="",E1508="",H1508=""),"",ROUND(0.00617*E1508^2*H1508*J1508,2))</f>
        <v/>
      </c>
      <c r="L1508" s="9"/>
      <c r="M1508" s="10" t="str">
        <f aca="false">IF(A1508="","",IF((COUNTIF(Drain_Register!$A$5:$A$304,A1508)+COUNTIF(RW_Register!$A$5:$A$304,A1508)+COUNTIF(Embedded_Wall_Register!$A$5:$A$304,A1508)+COUNTIF(Manhole_Register!$A$5:$A$304,A1508)+COUNTIF(ERSS_Pit_Register!$A$5:$A$304,A1508)+COUNTIF(Linkway_Register!$A$5:$A$304,A1508)+COUNTIF(Other_Register!$A$5:$A$304,A1508))&gt;0,"OK","ID not in any register"))</f>
        <v/>
      </c>
    </row>
    <row r="1509" customFormat="false" ht="15" hidden="false" customHeight="false" outlineLevel="0" collapsed="false">
      <c r="A1509" s="9"/>
      <c r="B1509" s="9"/>
      <c r="C1509" s="9"/>
      <c r="D1509" s="9"/>
      <c r="E1509" s="9"/>
      <c r="F1509" s="9"/>
      <c r="G1509" s="9"/>
      <c r="H1509" s="9"/>
      <c r="I1509" s="9"/>
      <c r="J1509" s="10" t="str">
        <f aca="false">IF(A1509="","",IF(G1509&lt;&gt;"",G1509,IF(N(F1509)&gt;0,ROUND(1000/F1509,3),0)))</f>
        <v/>
      </c>
      <c r="K1509" s="10" t="str">
        <f aca="false">IF(OR(A1509="",E1509="",H1509=""),"",ROUND(0.00617*E1509^2*H1509*J1509,2))</f>
        <v/>
      </c>
      <c r="L1509" s="9"/>
      <c r="M1509" s="10" t="str">
        <f aca="false">IF(A1509="","",IF((COUNTIF(Drain_Register!$A$5:$A$304,A1509)+COUNTIF(RW_Register!$A$5:$A$304,A1509)+COUNTIF(Embedded_Wall_Register!$A$5:$A$304,A1509)+COUNTIF(Manhole_Register!$A$5:$A$304,A1509)+COUNTIF(ERSS_Pit_Register!$A$5:$A$304,A1509)+COUNTIF(Linkway_Register!$A$5:$A$304,A1509)+COUNTIF(Other_Register!$A$5:$A$304,A1509))&gt;0,"OK","ID not in any register"))</f>
        <v/>
      </c>
    </row>
    <row r="1510" customFormat="false" ht="15" hidden="false" customHeight="false" outlineLevel="0" collapsed="false">
      <c r="A1510" s="9"/>
      <c r="B1510" s="9"/>
      <c r="C1510" s="9"/>
      <c r="D1510" s="9"/>
      <c r="E1510" s="9"/>
      <c r="F1510" s="9"/>
      <c r="G1510" s="9"/>
      <c r="H1510" s="9"/>
      <c r="I1510" s="9"/>
      <c r="J1510" s="10" t="str">
        <f aca="false">IF(A1510="","",IF(G1510&lt;&gt;"",G1510,IF(N(F1510)&gt;0,ROUND(1000/F1510,3),0)))</f>
        <v/>
      </c>
      <c r="K1510" s="10" t="str">
        <f aca="false">IF(OR(A1510="",E1510="",H1510=""),"",ROUND(0.00617*E1510^2*H1510*J1510,2))</f>
        <v/>
      </c>
      <c r="L1510" s="9"/>
      <c r="M1510" s="10" t="str">
        <f aca="false">IF(A1510="","",IF((COUNTIF(Drain_Register!$A$5:$A$304,A1510)+COUNTIF(RW_Register!$A$5:$A$304,A1510)+COUNTIF(Embedded_Wall_Register!$A$5:$A$304,A1510)+COUNTIF(Manhole_Register!$A$5:$A$304,A1510)+COUNTIF(ERSS_Pit_Register!$A$5:$A$304,A1510)+COUNTIF(Linkway_Register!$A$5:$A$304,A1510)+COUNTIF(Other_Register!$A$5:$A$304,A1510))&gt;0,"OK","ID not in any register"))</f>
        <v/>
      </c>
    </row>
    <row r="1511" customFormat="false" ht="15" hidden="false" customHeight="false" outlineLevel="0" collapsed="false">
      <c r="A1511" s="9"/>
      <c r="B1511" s="9"/>
      <c r="C1511" s="9"/>
      <c r="D1511" s="9"/>
      <c r="E1511" s="9"/>
      <c r="F1511" s="9"/>
      <c r="G1511" s="9"/>
      <c r="H1511" s="9"/>
      <c r="I1511" s="9"/>
      <c r="J1511" s="10" t="str">
        <f aca="false">IF(A1511="","",IF(G1511&lt;&gt;"",G1511,IF(N(F1511)&gt;0,ROUND(1000/F1511,3),0)))</f>
        <v/>
      </c>
      <c r="K1511" s="10" t="str">
        <f aca="false">IF(OR(A1511="",E1511="",H1511=""),"",ROUND(0.00617*E1511^2*H1511*J1511,2))</f>
        <v/>
      </c>
      <c r="L1511" s="9"/>
      <c r="M1511" s="10" t="str">
        <f aca="false">IF(A1511="","",IF((COUNTIF(Drain_Register!$A$5:$A$304,A1511)+COUNTIF(RW_Register!$A$5:$A$304,A1511)+COUNTIF(Embedded_Wall_Register!$A$5:$A$304,A1511)+COUNTIF(Manhole_Register!$A$5:$A$304,A1511)+COUNTIF(ERSS_Pit_Register!$A$5:$A$304,A1511)+COUNTIF(Linkway_Register!$A$5:$A$304,A1511)+COUNTIF(Other_Register!$A$5:$A$304,A1511))&gt;0,"OK","ID not in any register"))</f>
        <v/>
      </c>
    </row>
    <row r="1512" customFormat="false" ht="15" hidden="false" customHeight="false" outlineLevel="0" collapsed="false">
      <c r="A1512" s="9"/>
      <c r="B1512" s="9"/>
      <c r="C1512" s="9"/>
      <c r="D1512" s="9"/>
      <c r="E1512" s="9"/>
      <c r="F1512" s="9"/>
      <c r="G1512" s="9"/>
      <c r="H1512" s="9"/>
      <c r="I1512" s="9"/>
      <c r="J1512" s="10" t="str">
        <f aca="false">IF(A1512="","",IF(G1512&lt;&gt;"",G1512,IF(N(F1512)&gt;0,ROUND(1000/F1512,3),0)))</f>
        <v/>
      </c>
      <c r="K1512" s="10" t="str">
        <f aca="false">IF(OR(A1512="",E1512="",H1512=""),"",ROUND(0.00617*E1512^2*H1512*J1512,2))</f>
        <v/>
      </c>
      <c r="L1512" s="9"/>
      <c r="M1512" s="10" t="str">
        <f aca="false">IF(A1512="","",IF((COUNTIF(Drain_Register!$A$5:$A$304,A1512)+COUNTIF(RW_Register!$A$5:$A$304,A1512)+COUNTIF(Embedded_Wall_Register!$A$5:$A$304,A1512)+COUNTIF(Manhole_Register!$A$5:$A$304,A1512)+COUNTIF(ERSS_Pit_Register!$A$5:$A$304,A1512)+COUNTIF(Linkway_Register!$A$5:$A$304,A1512)+COUNTIF(Other_Register!$A$5:$A$304,A1512))&gt;0,"OK","ID not in any register"))</f>
        <v/>
      </c>
    </row>
    <row r="1513" customFormat="false" ht="15" hidden="false" customHeight="false" outlineLevel="0" collapsed="false">
      <c r="A1513" s="9"/>
      <c r="B1513" s="9"/>
      <c r="C1513" s="9"/>
      <c r="D1513" s="9"/>
      <c r="E1513" s="9"/>
      <c r="F1513" s="9"/>
      <c r="G1513" s="9"/>
      <c r="H1513" s="9"/>
      <c r="I1513" s="9"/>
      <c r="J1513" s="10" t="str">
        <f aca="false">IF(A1513="","",IF(G1513&lt;&gt;"",G1513,IF(N(F1513)&gt;0,ROUND(1000/F1513,3),0)))</f>
        <v/>
      </c>
      <c r="K1513" s="10" t="str">
        <f aca="false">IF(OR(A1513="",E1513="",H1513=""),"",ROUND(0.00617*E1513^2*H1513*J1513,2))</f>
        <v/>
      </c>
      <c r="L1513" s="9"/>
      <c r="M1513" s="10" t="str">
        <f aca="false">IF(A1513="","",IF((COUNTIF(Drain_Register!$A$5:$A$304,A1513)+COUNTIF(RW_Register!$A$5:$A$304,A1513)+COUNTIF(Embedded_Wall_Register!$A$5:$A$304,A1513)+COUNTIF(Manhole_Register!$A$5:$A$304,A1513)+COUNTIF(ERSS_Pit_Register!$A$5:$A$304,A1513)+COUNTIF(Linkway_Register!$A$5:$A$304,A1513)+COUNTIF(Other_Register!$A$5:$A$304,A1513))&gt;0,"OK","ID not in any register"))</f>
        <v/>
      </c>
    </row>
    <row r="1514" customFormat="false" ht="15" hidden="false" customHeight="false" outlineLevel="0" collapsed="false">
      <c r="A1514" s="9"/>
      <c r="B1514" s="9"/>
      <c r="C1514" s="9"/>
      <c r="D1514" s="9"/>
      <c r="E1514" s="9"/>
      <c r="F1514" s="9"/>
      <c r="G1514" s="9"/>
      <c r="H1514" s="9"/>
      <c r="I1514" s="9"/>
      <c r="J1514" s="10" t="str">
        <f aca="false">IF(A1514="","",IF(G1514&lt;&gt;"",G1514,IF(N(F1514)&gt;0,ROUND(1000/F1514,3),0)))</f>
        <v/>
      </c>
      <c r="K1514" s="10" t="str">
        <f aca="false">IF(OR(A1514="",E1514="",H1514=""),"",ROUND(0.00617*E1514^2*H1514*J1514,2))</f>
        <v/>
      </c>
      <c r="L1514" s="9"/>
      <c r="M1514" s="10" t="str">
        <f aca="false">IF(A1514="","",IF((COUNTIF(Drain_Register!$A$5:$A$304,A1514)+COUNTIF(RW_Register!$A$5:$A$304,A1514)+COUNTIF(Embedded_Wall_Register!$A$5:$A$304,A1514)+COUNTIF(Manhole_Register!$A$5:$A$304,A1514)+COUNTIF(ERSS_Pit_Register!$A$5:$A$304,A1514)+COUNTIF(Linkway_Register!$A$5:$A$304,A1514)+COUNTIF(Other_Register!$A$5:$A$304,A1514))&gt;0,"OK","ID not in any register"))</f>
        <v/>
      </c>
    </row>
    <row r="1515" customFormat="false" ht="15" hidden="false" customHeight="false" outlineLevel="0" collapsed="false">
      <c r="A1515" s="9"/>
      <c r="B1515" s="9"/>
      <c r="C1515" s="9"/>
      <c r="D1515" s="9"/>
      <c r="E1515" s="9"/>
      <c r="F1515" s="9"/>
      <c r="G1515" s="9"/>
      <c r="H1515" s="9"/>
      <c r="I1515" s="9"/>
      <c r="J1515" s="10" t="str">
        <f aca="false">IF(A1515="","",IF(G1515&lt;&gt;"",G1515,IF(N(F1515)&gt;0,ROUND(1000/F1515,3),0)))</f>
        <v/>
      </c>
      <c r="K1515" s="10" t="str">
        <f aca="false">IF(OR(A1515="",E1515="",H1515=""),"",ROUND(0.00617*E1515^2*H1515*J1515,2))</f>
        <v/>
      </c>
      <c r="L1515" s="9"/>
      <c r="M1515" s="10" t="str">
        <f aca="false">IF(A1515="","",IF((COUNTIF(Drain_Register!$A$5:$A$304,A1515)+COUNTIF(RW_Register!$A$5:$A$304,A1515)+COUNTIF(Embedded_Wall_Register!$A$5:$A$304,A1515)+COUNTIF(Manhole_Register!$A$5:$A$304,A1515)+COUNTIF(ERSS_Pit_Register!$A$5:$A$304,A1515)+COUNTIF(Linkway_Register!$A$5:$A$304,A1515)+COUNTIF(Other_Register!$A$5:$A$304,A1515))&gt;0,"OK","ID not in any register"))</f>
        <v/>
      </c>
    </row>
    <row r="1516" customFormat="false" ht="15" hidden="false" customHeight="false" outlineLevel="0" collapsed="false">
      <c r="A1516" s="9"/>
      <c r="B1516" s="9"/>
      <c r="C1516" s="9"/>
      <c r="D1516" s="9"/>
      <c r="E1516" s="9"/>
      <c r="F1516" s="9"/>
      <c r="G1516" s="9"/>
      <c r="H1516" s="9"/>
      <c r="I1516" s="9"/>
      <c r="J1516" s="10" t="str">
        <f aca="false">IF(A1516="","",IF(G1516&lt;&gt;"",G1516,IF(N(F1516)&gt;0,ROUND(1000/F1516,3),0)))</f>
        <v/>
      </c>
      <c r="K1516" s="10" t="str">
        <f aca="false">IF(OR(A1516="",E1516="",H1516=""),"",ROUND(0.00617*E1516^2*H1516*J1516,2))</f>
        <v/>
      </c>
      <c r="L1516" s="9"/>
      <c r="M1516" s="10" t="str">
        <f aca="false">IF(A1516="","",IF((COUNTIF(Drain_Register!$A$5:$A$304,A1516)+COUNTIF(RW_Register!$A$5:$A$304,A1516)+COUNTIF(Embedded_Wall_Register!$A$5:$A$304,A1516)+COUNTIF(Manhole_Register!$A$5:$A$304,A1516)+COUNTIF(ERSS_Pit_Register!$A$5:$A$304,A1516)+COUNTIF(Linkway_Register!$A$5:$A$304,A1516)+COUNTIF(Other_Register!$A$5:$A$304,A1516))&gt;0,"OK","ID not in any register"))</f>
        <v/>
      </c>
    </row>
    <row r="1517" customFormat="false" ht="15" hidden="false" customHeight="false" outlineLevel="0" collapsed="false">
      <c r="A1517" s="9"/>
      <c r="B1517" s="9"/>
      <c r="C1517" s="9"/>
      <c r="D1517" s="9"/>
      <c r="E1517" s="9"/>
      <c r="F1517" s="9"/>
      <c r="G1517" s="9"/>
      <c r="H1517" s="9"/>
      <c r="I1517" s="9"/>
      <c r="J1517" s="10" t="str">
        <f aca="false">IF(A1517="","",IF(G1517&lt;&gt;"",G1517,IF(N(F1517)&gt;0,ROUND(1000/F1517,3),0)))</f>
        <v/>
      </c>
      <c r="K1517" s="10" t="str">
        <f aca="false">IF(OR(A1517="",E1517="",H1517=""),"",ROUND(0.00617*E1517^2*H1517*J1517,2))</f>
        <v/>
      </c>
      <c r="L1517" s="9"/>
      <c r="M1517" s="10" t="str">
        <f aca="false">IF(A1517="","",IF((COUNTIF(Drain_Register!$A$5:$A$304,A1517)+COUNTIF(RW_Register!$A$5:$A$304,A1517)+COUNTIF(Embedded_Wall_Register!$A$5:$A$304,A1517)+COUNTIF(Manhole_Register!$A$5:$A$304,A1517)+COUNTIF(ERSS_Pit_Register!$A$5:$A$304,A1517)+COUNTIF(Linkway_Register!$A$5:$A$304,A1517)+COUNTIF(Other_Register!$A$5:$A$304,A1517))&gt;0,"OK","ID not in any register"))</f>
        <v/>
      </c>
    </row>
    <row r="1518" customFormat="false" ht="15" hidden="false" customHeight="false" outlineLevel="0" collapsed="false">
      <c r="A1518" s="9"/>
      <c r="B1518" s="9"/>
      <c r="C1518" s="9"/>
      <c r="D1518" s="9"/>
      <c r="E1518" s="9"/>
      <c r="F1518" s="9"/>
      <c r="G1518" s="9"/>
      <c r="H1518" s="9"/>
      <c r="I1518" s="9"/>
      <c r="J1518" s="10" t="str">
        <f aca="false">IF(A1518="","",IF(G1518&lt;&gt;"",G1518,IF(N(F1518)&gt;0,ROUND(1000/F1518,3),0)))</f>
        <v/>
      </c>
      <c r="K1518" s="10" t="str">
        <f aca="false">IF(OR(A1518="",E1518="",H1518=""),"",ROUND(0.00617*E1518^2*H1518*J1518,2))</f>
        <v/>
      </c>
      <c r="L1518" s="9"/>
      <c r="M1518" s="10" t="str">
        <f aca="false">IF(A1518="","",IF((COUNTIF(Drain_Register!$A$5:$A$304,A1518)+COUNTIF(RW_Register!$A$5:$A$304,A1518)+COUNTIF(Embedded_Wall_Register!$A$5:$A$304,A1518)+COUNTIF(Manhole_Register!$A$5:$A$304,A1518)+COUNTIF(ERSS_Pit_Register!$A$5:$A$304,A1518)+COUNTIF(Linkway_Register!$A$5:$A$304,A1518)+COUNTIF(Other_Register!$A$5:$A$304,A1518))&gt;0,"OK","ID not in any register"))</f>
        <v/>
      </c>
    </row>
    <row r="1519" customFormat="false" ht="15" hidden="false" customHeight="false" outlineLevel="0" collapsed="false">
      <c r="A1519" s="9"/>
      <c r="B1519" s="9"/>
      <c r="C1519" s="9"/>
      <c r="D1519" s="9"/>
      <c r="E1519" s="9"/>
      <c r="F1519" s="9"/>
      <c r="G1519" s="9"/>
      <c r="H1519" s="9"/>
      <c r="I1519" s="9"/>
      <c r="J1519" s="10" t="str">
        <f aca="false">IF(A1519="","",IF(G1519&lt;&gt;"",G1519,IF(N(F1519)&gt;0,ROUND(1000/F1519,3),0)))</f>
        <v/>
      </c>
      <c r="K1519" s="10" t="str">
        <f aca="false">IF(OR(A1519="",E1519="",H1519=""),"",ROUND(0.00617*E1519^2*H1519*J1519,2))</f>
        <v/>
      </c>
      <c r="L1519" s="9"/>
      <c r="M1519" s="10" t="str">
        <f aca="false">IF(A1519="","",IF((COUNTIF(Drain_Register!$A$5:$A$304,A1519)+COUNTIF(RW_Register!$A$5:$A$304,A1519)+COUNTIF(Embedded_Wall_Register!$A$5:$A$304,A1519)+COUNTIF(Manhole_Register!$A$5:$A$304,A1519)+COUNTIF(ERSS_Pit_Register!$A$5:$A$304,A1519)+COUNTIF(Linkway_Register!$A$5:$A$304,A1519)+COUNTIF(Other_Register!$A$5:$A$304,A1519))&gt;0,"OK","ID not in any register"))</f>
        <v/>
      </c>
    </row>
    <row r="1520" customFormat="false" ht="15" hidden="false" customHeight="false" outlineLevel="0" collapsed="false">
      <c r="A1520" s="9"/>
      <c r="B1520" s="9"/>
      <c r="C1520" s="9"/>
      <c r="D1520" s="9"/>
      <c r="E1520" s="9"/>
      <c r="F1520" s="9"/>
      <c r="G1520" s="9"/>
      <c r="H1520" s="9"/>
      <c r="I1520" s="9"/>
      <c r="J1520" s="10" t="str">
        <f aca="false">IF(A1520="","",IF(G1520&lt;&gt;"",G1520,IF(N(F1520)&gt;0,ROUND(1000/F1520,3),0)))</f>
        <v/>
      </c>
      <c r="K1520" s="10" t="str">
        <f aca="false">IF(OR(A1520="",E1520="",H1520=""),"",ROUND(0.00617*E1520^2*H1520*J1520,2))</f>
        <v/>
      </c>
      <c r="L1520" s="9"/>
      <c r="M1520" s="10" t="str">
        <f aca="false">IF(A1520="","",IF((COUNTIF(Drain_Register!$A$5:$A$304,A1520)+COUNTIF(RW_Register!$A$5:$A$304,A1520)+COUNTIF(Embedded_Wall_Register!$A$5:$A$304,A1520)+COUNTIF(Manhole_Register!$A$5:$A$304,A1520)+COUNTIF(ERSS_Pit_Register!$A$5:$A$304,A1520)+COUNTIF(Linkway_Register!$A$5:$A$304,A1520)+COUNTIF(Other_Register!$A$5:$A$304,A1520))&gt;0,"OK","ID not in any register"))</f>
        <v/>
      </c>
    </row>
    <row r="1521" customFormat="false" ht="15" hidden="false" customHeight="false" outlineLevel="0" collapsed="false">
      <c r="A1521" s="9"/>
      <c r="B1521" s="9"/>
      <c r="C1521" s="9"/>
      <c r="D1521" s="9"/>
      <c r="E1521" s="9"/>
      <c r="F1521" s="9"/>
      <c r="G1521" s="9"/>
      <c r="H1521" s="9"/>
      <c r="I1521" s="9"/>
      <c r="J1521" s="10" t="str">
        <f aca="false">IF(A1521="","",IF(G1521&lt;&gt;"",G1521,IF(N(F1521)&gt;0,ROUND(1000/F1521,3),0)))</f>
        <v/>
      </c>
      <c r="K1521" s="10" t="str">
        <f aca="false">IF(OR(A1521="",E1521="",H1521=""),"",ROUND(0.00617*E1521^2*H1521*J1521,2))</f>
        <v/>
      </c>
      <c r="L1521" s="9"/>
      <c r="M1521" s="10" t="str">
        <f aca="false">IF(A1521="","",IF((COUNTIF(Drain_Register!$A$5:$A$304,A1521)+COUNTIF(RW_Register!$A$5:$A$304,A1521)+COUNTIF(Embedded_Wall_Register!$A$5:$A$304,A1521)+COUNTIF(Manhole_Register!$A$5:$A$304,A1521)+COUNTIF(ERSS_Pit_Register!$A$5:$A$304,A1521)+COUNTIF(Linkway_Register!$A$5:$A$304,A1521)+COUNTIF(Other_Register!$A$5:$A$304,A1521))&gt;0,"OK","ID not in any register"))</f>
        <v/>
      </c>
    </row>
    <row r="1522" customFormat="false" ht="15" hidden="false" customHeight="false" outlineLevel="0" collapsed="false">
      <c r="A1522" s="9"/>
      <c r="B1522" s="9"/>
      <c r="C1522" s="9"/>
      <c r="D1522" s="9"/>
      <c r="E1522" s="9"/>
      <c r="F1522" s="9"/>
      <c r="G1522" s="9"/>
      <c r="H1522" s="9"/>
      <c r="I1522" s="9"/>
      <c r="J1522" s="10" t="str">
        <f aca="false">IF(A1522="","",IF(G1522&lt;&gt;"",G1522,IF(N(F1522)&gt;0,ROUND(1000/F1522,3),0)))</f>
        <v/>
      </c>
      <c r="K1522" s="10" t="str">
        <f aca="false">IF(OR(A1522="",E1522="",H1522=""),"",ROUND(0.00617*E1522^2*H1522*J1522,2))</f>
        <v/>
      </c>
      <c r="L1522" s="9"/>
      <c r="M1522" s="10" t="str">
        <f aca="false">IF(A1522="","",IF((COUNTIF(Drain_Register!$A$5:$A$304,A1522)+COUNTIF(RW_Register!$A$5:$A$304,A1522)+COUNTIF(Embedded_Wall_Register!$A$5:$A$304,A1522)+COUNTIF(Manhole_Register!$A$5:$A$304,A1522)+COUNTIF(ERSS_Pit_Register!$A$5:$A$304,A1522)+COUNTIF(Linkway_Register!$A$5:$A$304,A1522)+COUNTIF(Other_Register!$A$5:$A$304,A1522))&gt;0,"OK","ID not in any register"))</f>
        <v/>
      </c>
    </row>
    <row r="1523" customFormat="false" ht="15" hidden="false" customHeight="false" outlineLevel="0" collapsed="false">
      <c r="A1523" s="9"/>
      <c r="B1523" s="9"/>
      <c r="C1523" s="9"/>
      <c r="D1523" s="9"/>
      <c r="E1523" s="9"/>
      <c r="F1523" s="9"/>
      <c r="G1523" s="9"/>
      <c r="H1523" s="9"/>
      <c r="I1523" s="9"/>
      <c r="J1523" s="10" t="str">
        <f aca="false">IF(A1523="","",IF(G1523&lt;&gt;"",G1523,IF(N(F1523)&gt;0,ROUND(1000/F1523,3),0)))</f>
        <v/>
      </c>
      <c r="K1523" s="10" t="str">
        <f aca="false">IF(OR(A1523="",E1523="",H1523=""),"",ROUND(0.00617*E1523^2*H1523*J1523,2))</f>
        <v/>
      </c>
      <c r="L1523" s="9"/>
      <c r="M1523" s="10" t="str">
        <f aca="false">IF(A1523="","",IF((COUNTIF(Drain_Register!$A$5:$A$304,A1523)+COUNTIF(RW_Register!$A$5:$A$304,A1523)+COUNTIF(Embedded_Wall_Register!$A$5:$A$304,A1523)+COUNTIF(Manhole_Register!$A$5:$A$304,A1523)+COUNTIF(ERSS_Pit_Register!$A$5:$A$304,A1523)+COUNTIF(Linkway_Register!$A$5:$A$304,A1523)+COUNTIF(Other_Register!$A$5:$A$304,A1523))&gt;0,"OK","ID not in any register"))</f>
        <v/>
      </c>
    </row>
    <row r="1524" customFormat="false" ht="15" hidden="false" customHeight="false" outlineLevel="0" collapsed="false">
      <c r="A1524" s="9"/>
      <c r="B1524" s="9"/>
      <c r="C1524" s="9"/>
      <c r="D1524" s="9"/>
      <c r="E1524" s="9"/>
      <c r="F1524" s="9"/>
      <c r="G1524" s="9"/>
      <c r="H1524" s="9"/>
      <c r="I1524" s="9"/>
      <c r="J1524" s="10" t="str">
        <f aca="false">IF(A1524="","",IF(G1524&lt;&gt;"",G1524,IF(N(F1524)&gt;0,ROUND(1000/F1524,3),0)))</f>
        <v/>
      </c>
      <c r="K1524" s="10" t="str">
        <f aca="false">IF(OR(A1524="",E1524="",H1524=""),"",ROUND(0.00617*E1524^2*H1524*J1524,2))</f>
        <v/>
      </c>
      <c r="L1524" s="9"/>
      <c r="M1524" s="10" t="str">
        <f aca="false">IF(A1524="","",IF((COUNTIF(Drain_Register!$A$5:$A$304,A1524)+COUNTIF(RW_Register!$A$5:$A$304,A1524)+COUNTIF(Embedded_Wall_Register!$A$5:$A$304,A1524)+COUNTIF(Manhole_Register!$A$5:$A$304,A1524)+COUNTIF(ERSS_Pit_Register!$A$5:$A$304,A1524)+COUNTIF(Linkway_Register!$A$5:$A$304,A1524)+COUNTIF(Other_Register!$A$5:$A$304,A1524))&gt;0,"OK","ID not in any register"))</f>
        <v/>
      </c>
    </row>
    <row r="1525" customFormat="false" ht="15" hidden="false" customHeight="false" outlineLevel="0" collapsed="false">
      <c r="A1525" s="9"/>
      <c r="B1525" s="9"/>
      <c r="C1525" s="9"/>
      <c r="D1525" s="9"/>
      <c r="E1525" s="9"/>
      <c r="F1525" s="9"/>
      <c r="G1525" s="9"/>
      <c r="H1525" s="9"/>
      <c r="I1525" s="9"/>
      <c r="J1525" s="10" t="str">
        <f aca="false">IF(A1525="","",IF(G1525&lt;&gt;"",G1525,IF(N(F1525)&gt;0,ROUND(1000/F1525,3),0)))</f>
        <v/>
      </c>
      <c r="K1525" s="10" t="str">
        <f aca="false">IF(OR(A1525="",E1525="",H1525=""),"",ROUND(0.00617*E1525^2*H1525*J1525,2))</f>
        <v/>
      </c>
      <c r="L1525" s="9"/>
      <c r="M1525" s="10" t="str">
        <f aca="false">IF(A1525="","",IF((COUNTIF(Drain_Register!$A$5:$A$304,A1525)+COUNTIF(RW_Register!$A$5:$A$304,A1525)+COUNTIF(Embedded_Wall_Register!$A$5:$A$304,A1525)+COUNTIF(Manhole_Register!$A$5:$A$304,A1525)+COUNTIF(ERSS_Pit_Register!$A$5:$A$304,A1525)+COUNTIF(Linkway_Register!$A$5:$A$304,A1525)+COUNTIF(Other_Register!$A$5:$A$304,A1525))&gt;0,"OK","ID not in any register"))</f>
        <v/>
      </c>
    </row>
    <row r="1526" customFormat="false" ht="15" hidden="false" customHeight="false" outlineLevel="0" collapsed="false">
      <c r="A1526" s="9"/>
      <c r="B1526" s="9"/>
      <c r="C1526" s="9"/>
      <c r="D1526" s="9"/>
      <c r="E1526" s="9"/>
      <c r="F1526" s="9"/>
      <c r="G1526" s="9"/>
      <c r="H1526" s="9"/>
      <c r="I1526" s="9"/>
      <c r="J1526" s="10" t="str">
        <f aca="false">IF(A1526="","",IF(G1526&lt;&gt;"",G1526,IF(N(F1526)&gt;0,ROUND(1000/F1526,3),0)))</f>
        <v/>
      </c>
      <c r="K1526" s="10" t="str">
        <f aca="false">IF(OR(A1526="",E1526="",H1526=""),"",ROUND(0.00617*E1526^2*H1526*J1526,2))</f>
        <v/>
      </c>
      <c r="L1526" s="9"/>
      <c r="M1526" s="10" t="str">
        <f aca="false">IF(A1526="","",IF((COUNTIF(Drain_Register!$A$5:$A$304,A1526)+COUNTIF(RW_Register!$A$5:$A$304,A1526)+COUNTIF(Embedded_Wall_Register!$A$5:$A$304,A1526)+COUNTIF(Manhole_Register!$A$5:$A$304,A1526)+COUNTIF(ERSS_Pit_Register!$A$5:$A$304,A1526)+COUNTIF(Linkway_Register!$A$5:$A$304,A1526)+COUNTIF(Other_Register!$A$5:$A$304,A1526))&gt;0,"OK","ID not in any register"))</f>
        <v/>
      </c>
    </row>
    <row r="1527" customFormat="false" ht="15" hidden="false" customHeight="false" outlineLevel="0" collapsed="false">
      <c r="A1527" s="9"/>
      <c r="B1527" s="9"/>
      <c r="C1527" s="9"/>
      <c r="D1527" s="9"/>
      <c r="E1527" s="9"/>
      <c r="F1527" s="9"/>
      <c r="G1527" s="9"/>
      <c r="H1527" s="9"/>
      <c r="I1527" s="9"/>
      <c r="J1527" s="10" t="str">
        <f aca="false">IF(A1527="","",IF(G1527&lt;&gt;"",G1527,IF(N(F1527)&gt;0,ROUND(1000/F1527,3),0)))</f>
        <v/>
      </c>
      <c r="K1527" s="10" t="str">
        <f aca="false">IF(OR(A1527="",E1527="",H1527=""),"",ROUND(0.00617*E1527^2*H1527*J1527,2))</f>
        <v/>
      </c>
      <c r="L1527" s="9"/>
      <c r="M1527" s="10" t="str">
        <f aca="false">IF(A1527="","",IF((COUNTIF(Drain_Register!$A$5:$A$304,A1527)+COUNTIF(RW_Register!$A$5:$A$304,A1527)+COUNTIF(Embedded_Wall_Register!$A$5:$A$304,A1527)+COUNTIF(Manhole_Register!$A$5:$A$304,A1527)+COUNTIF(ERSS_Pit_Register!$A$5:$A$304,A1527)+COUNTIF(Linkway_Register!$A$5:$A$304,A1527)+COUNTIF(Other_Register!$A$5:$A$304,A1527))&gt;0,"OK","ID not in any register"))</f>
        <v/>
      </c>
    </row>
    <row r="1528" customFormat="false" ht="15" hidden="false" customHeight="false" outlineLevel="0" collapsed="false">
      <c r="A1528" s="9"/>
      <c r="B1528" s="9"/>
      <c r="C1528" s="9"/>
      <c r="D1528" s="9"/>
      <c r="E1528" s="9"/>
      <c r="F1528" s="9"/>
      <c r="G1528" s="9"/>
      <c r="H1528" s="9"/>
      <c r="I1528" s="9"/>
      <c r="J1528" s="10" t="str">
        <f aca="false">IF(A1528="","",IF(G1528&lt;&gt;"",G1528,IF(N(F1528)&gt;0,ROUND(1000/F1528,3),0)))</f>
        <v/>
      </c>
      <c r="K1528" s="10" t="str">
        <f aca="false">IF(OR(A1528="",E1528="",H1528=""),"",ROUND(0.00617*E1528^2*H1528*J1528,2))</f>
        <v/>
      </c>
      <c r="L1528" s="9"/>
      <c r="M1528" s="10" t="str">
        <f aca="false">IF(A1528="","",IF((COUNTIF(Drain_Register!$A$5:$A$304,A1528)+COUNTIF(RW_Register!$A$5:$A$304,A1528)+COUNTIF(Embedded_Wall_Register!$A$5:$A$304,A1528)+COUNTIF(Manhole_Register!$A$5:$A$304,A1528)+COUNTIF(ERSS_Pit_Register!$A$5:$A$304,A1528)+COUNTIF(Linkway_Register!$A$5:$A$304,A1528)+COUNTIF(Other_Register!$A$5:$A$304,A1528))&gt;0,"OK","ID not in any register"))</f>
        <v/>
      </c>
    </row>
    <row r="1529" customFormat="false" ht="15" hidden="false" customHeight="false" outlineLevel="0" collapsed="false">
      <c r="A1529" s="9"/>
      <c r="B1529" s="9"/>
      <c r="C1529" s="9"/>
      <c r="D1529" s="9"/>
      <c r="E1529" s="9"/>
      <c r="F1529" s="9"/>
      <c r="G1529" s="9"/>
      <c r="H1529" s="9"/>
      <c r="I1529" s="9"/>
      <c r="J1529" s="10" t="str">
        <f aca="false">IF(A1529="","",IF(G1529&lt;&gt;"",G1529,IF(N(F1529)&gt;0,ROUND(1000/F1529,3),0)))</f>
        <v/>
      </c>
      <c r="K1529" s="10" t="str">
        <f aca="false">IF(OR(A1529="",E1529="",H1529=""),"",ROUND(0.00617*E1529^2*H1529*J1529,2))</f>
        <v/>
      </c>
      <c r="L1529" s="9"/>
      <c r="M1529" s="10" t="str">
        <f aca="false">IF(A1529="","",IF((COUNTIF(Drain_Register!$A$5:$A$304,A1529)+COUNTIF(RW_Register!$A$5:$A$304,A1529)+COUNTIF(Embedded_Wall_Register!$A$5:$A$304,A1529)+COUNTIF(Manhole_Register!$A$5:$A$304,A1529)+COUNTIF(ERSS_Pit_Register!$A$5:$A$304,A1529)+COUNTIF(Linkway_Register!$A$5:$A$304,A1529)+COUNTIF(Other_Register!$A$5:$A$304,A1529))&gt;0,"OK","ID not in any register"))</f>
        <v/>
      </c>
    </row>
    <row r="1530" customFormat="false" ht="15" hidden="false" customHeight="false" outlineLevel="0" collapsed="false">
      <c r="A1530" s="9"/>
      <c r="B1530" s="9"/>
      <c r="C1530" s="9"/>
      <c r="D1530" s="9"/>
      <c r="E1530" s="9"/>
      <c r="F1530" s="9"/>
      <c r="G1530" s="9"/>
      <c r="H1530" s="9"/>
      <c r="I1530" s="9"/>
      <c r="J1530" s="10" t="str">
        <f aca="false">IF(A1530="","",IF(G1530&lt;&gt;"",G1530,IF(N(F1530)&gt;0,ROUND(1000/F1530,3),0)))</f>
        <v/>
      </c>
      <c r="K1530" s="10" t="str">
        <f aca="false">IF(OR(A1530="",E1530="",H1530=""),"",ROUND(0.00617*E1530^2*H1530*J1530,2))</f>
        <v/>
      </c>
      <c r="L1530" s="9"/>
      <c r="M1530" s="10" t="str">
        <f aca="false">IF(A1530="","",IF((COUNTIF(Drain_Register!$A$5:$A$304,A1530)+COUNTIF(RW_Register!$A$5:$A$304,A1530)+COUNTIF(Embedded_Wall_Register!$A$5:$A$304,A1530)+COUNTIF(Manhole_Register!$A$5:$A$304,A1530)+COUNTIF(ERSS_Pit_Register!$A$5:$A$304,A1530)+COUNTIF(Linkway_Register!$A$5:$A$304,A1530)+COUNTIF(Other_Register!$A$5:$A$304,A1530))&gt;0,"OK","ID not in any register"))</f>
        <v/>
      </c>
    </row>
    <row r="1531" customFormat="false" ht="15" hidden="false" customHeight="false" outlineLevel="0" collapsed="false">
      <c r="A1531" s="9"/>
      <c r="B1531" s="9"/>
      <c r="C1531" s="9"/>
      <c r="D1531" s="9"/>
      <c r="E1531" s="9"/>
      <c r="F1531" s="9"/>
      <c r="G1531" s="9"/>
      <c r="H1531" s="9"/>
      <c r="I1531" s="9"/>
      <c r="J1531" s="10" t="str">
        <f aca="false">IF(A1531="","",IF(G1531&lt;&gt;"",G1531,IF(N(F1531)&gt;0,ROUND(1000/F1531,3),0)))</f>
        <v/>
      </c>
      <c r="K1531" s="10" t="str">
        <f aca="false">IF(OR(A1531="",E1531="",H1531=""),"",ROUND(0.00617*E1531^2*H1531*J1531,2))</f>
        <v/>
      </c>
      <c r="L1531" s="9"/>
      <c r="M1531" s="10" t="str">
        <f aca="false">IF(A1531="","",IF((COUNTIF(Drain_Register!$A$5:$A$304,A1531)+COUNTIF(RW_Register!$A$5:$A$304,A1531)+COUNTIF(Embedded_Wall_Register!$A$5:$A$304,A1531)+COUNTIF(Manhole_Register!$A$5:$A$304,A1531)+COUNTIF(ERSS_Pit_Register!$A$5:$A$304,A1531)+COUNTIF(Linkway_Register!$A$5:$A$304,A1531)+COUNTIF(Other_Register!$A$5:$A$304,A1531))&gt;0,"OK","ID not in any register"))</f>
        <v/>
      </c>
    </row>
    <row r="1532" customFormat="false" ht="15" hidden="false" customHeight="false" outlineLevel="0" collapsed="false">
      <c r="A1532" s="9"/>
      <c r="B1532" s="9"/>
      <c r="C1532" s="9"/>
      <c r="D1532" s="9"/>
      <c r="E1532" s="9"/>
      <c r="F1532" s="9"/>
      <c r="G1532" s="9"/>
      <c r="H1532" s="9"/>
      <c r="I1532" s="9"/>
      <c r="J1532" s="10" t="str">
        <f aca="false">IF(A1532="","",IF(G1532&lt;&gt;"",G1532,IF(N(F1532)&gt;0,ROUND(1000/F1532,3),0)))</f>
        <v/>
      </c>
      <c r="K1532" s="10" t="str">
        <f aca="false">IF(OR(A1532="",E1532="",H1532=""),"",ROUND(0.00617*E1532^2*H1532*J1532,2))</f>
        <v/>
      </c>
      <c r="L1532" s="9"/>
      <c r="M1532" s="10" t="str">
        <f aca="false">IF(A1532="","",IF((COUNTIF(Drain_Register!$A$5:$A$304,A1532)+COUNTIF(RW_Register!$A$5:$A$304,A1532)+COUNTIF(Embedded_Wall_Register!$A$5:$A$304,A1532)+COUNTIF(Manhole_Register!$A$5:$A$304,A1532)+COUNTIF(ERSS_Pit_Register!$A$5:$A$304,A1532)+COUNTIF(Linkway_Register!$A$5:$A$304,A1532)+COUNTIF(Other_Register!$A$5:$A$304,A1532))&gt;0,"OK","ID not in any register"))</f>
        <v/>
      </c>
    </row>
    <row r="1533" customFormat="false" ht="15" hidden="false" customHeight="false" outlineLevel="0" collapsed="false">
      <c r="A1533" s="9"/>
      <c r="B1533" s="9"/>
      <c r="C1533" s="9"/>
      <c r="D1533" s="9"/>
      <c r="E1533" s="9"/>
      <c r="F1533" s="9"/>
      <c r="G1533" s="9"/>
      <c r="H1533" s="9"/>
      <c r="I1533" s="9"/>
      <c r="J1533" s="10" t="str">
        <f aca="false">IF(A1533="","",IF(G1533&lt;&gt;"",G1533,IF(N(F1533)&gt;0,ROUND(1000/F1533,3),0)))</f>
        <v/>
      </c>
      <c r="K1533" s="10" t="str">
        <f aca="false">IF(OR(A1533="",E1533="",H1533=""),"",ROUND(0.00617*E1533^2*H1533*J1533,2))</f>
        <v/>
      </c>
      <c r="L1533" s="9"/>
      <c r="M1533" s="10" t="str">
        <f aca="false">IF(A1533="","",IF((COUNTIF(Drain_Register!$A$5:$A$304,A1533)+COUNTIF(RW_Register!$A$5:$A$304,A1533)+COUNTIF(Embedded_Wall_Register!$A$5:$A$304,A1533)+COUNTIF(Manhole_Register!$A$5:$A$304,A1533)+COUNTIF(ERSS_Pit_Register!$A$5:$A$304,A1533)+COUNTIF(Linkway_Register!$A$5:$A$304,A1533)+COUNTIF(Other_Register!$A$5:$A$304,A1533))&gt;0,"OK","ID not in any register"))</f>
        <v/>
      </c>
    </row>
    <row r="1534" customFormat="false" ht="15" hidden="false" customHeight="false" outlineLevel="0" collapsed="false">
      <c r="A1534" s="9"/>
      <c r="B1534" s="9"/>
      <c r="C1534" s="9"/>
      <c r="D1534" s="9"/>
      <c r="E1534" s="9"/>
      <c r="F1534" s="9"/>
      <c r="G1534" s="9"/>
      <c r="H1534" s="9"/>
      <c r="I1534" s="9"/>
      <c r="J1534" s="10" t="str">
        <f aca="false">IF(A1534="","",IF(G1534&lt;&gt;"",G1534,IF(N(F1534)&gt;0,ROUND(1000/F1534,3),0)))</f>
        <v/>
      </c>
      <c r="K1534" s="10" t="str">
        <f aca="false">IF(OR(A1534="",E1534="",H1534=""),"",ROUND(0.00617*E1534^2*H1534*J1534,2))</f>
        <v/>
      </c>
      <c r="L1534" s="9"/>
      <c r="M1534" s="10" t="str">
        <f aca="false">IF(A1534="","",IF((COUNTIF(Drain_Register!$A$5:$A$304,A1534)+COUNTIF(RW_Register!$A$5:$A$304,A1534)+COUNTIF(Embedded_Wall_Register!$A$5:$A$304,A1534)+COUNTIF(Manhole_Register!$A$5:$A$304,A1534)+COUNTIF(ERSS_Pit_Register!$A$5:$A$304,A1534)+COUNTIF(Linkway_Register!$A$5:$A$304,A1534)+COUNTIF(Other_Register!$A$5:$A$304,A1534))&gt;0,"OK","ID not in any register"))</f>
        <v/>
      </c>
    </row>
    <row r="1535" customFormat="false" ht="15" hidden="false" customHeight="false" outlineLevel="0" collapsed="false">
      <c r="A1535" s="9"/>
      <c r="B1535" s="9"/>
      <c r="C1535" s="9"/>
      <c r="D1535" s="9"/>
      <c r="E1535" s="9"/>
      <c r="F1535" s="9"/>
      <c r="G1535" s="9"/>
      <c r="H1535" s="9"/>
      <c r="I1535" s="9"/>
      <c r="J1535" s="10" t="str">
        <f aca="false">IF(A1535="","",IF(G1535&lt;&gt;"",G1535,IF(N(F1535)&gt;0,ROUND(1000/F1535,3),0)))</f>
        <v/>
      </c>
      <c r="K1535" s="10" t="str">
        <f aca="false">IF(OR(A1535="",E1535="",H1535=""),"",ROUND(0.00617*E1535^2*H1535*J1535,2))</f>
        <v/>
      </c>
      <c r="L1535" s="9"/>
      <c r="M1535" s="10" t="str">
        <f aca="false">IF(A1535="","",IF((COUNTIF(Drain_Register!$A$5:$A$304,A1535)+COUNTIF(RW_Register!$A$5:$A$304,A1535)+COUNTIF(Embedded_Wall_Register!$A$5:$A$304,A1535)+COUNTIF(Manhole_Register!$A$5:$A$304,A1535)+COUNTIF(ERSS_Pit_Register!$A$5:$A$304,A1535)+COUNTIF(Linkway_Register!$A$5:$A$304,A1535)+COUNTIF(Other_Register!$A$5:$A$304,A1535))&gt;0,"OK","ID not in any register"))</f>
        <v/>
      </c>
    </row>
    <row r="1536" customFormat="false" ht="15" hidden="false" customHeight="false" outlineLevel="0" collapsed="false">
      <c r="A1536" s="9"/>
      <c r="B1536" s="9"/>
      <c r="C1536" s="9"/>
      <c r="D1536" s="9"/>
      <c r="E1536" s="9"/>
      <c r="F1536" s="9"/>
      <c r="G1536" s="9"/>
      <c r="H1536" s="9"/>
      <c r="I1536" s="9"/>
      <c r="J1536" s="10" t="str">
        <f aca="false">IF(A1536="","",IF(G1536&lt;&gt;"",G1536,IF(N(F1536)&gt;0,ROUND(1000/F1536,3),0)))</f>
        <v/>
      </c>
      <c r="K1536" s="10" t="str">
        <f aca="false">IF(OR(A1536="",E1536="",H1536=""),"",ROUND(0.00617*E1536^2*H1536*J1536,2))</f>
        <v/>
      </c>
      <c r="L1536" s="9"/>
      <c r="M1536" s="10" t="str">
        <f aca="false">IF(A1536="","",IF((COUNTIF(Drain_Register!$A$5:$A$304,A1536)+COUNTIF(RW_Register!$A$5:$A$304,A1536)+COUNTIF(Embedded_Wall_Register!$A$5:$A$304,A1536)+COUNTIF(Manhole_Register!$A$5:$A$304,A1536)+COUNTIF(ERSS_Pit_Register!$A$5:$A$304,A1536)+COUNTIF(Linkway_Register!$A$5:$A$304,A1536)+COUNTIF(Other_Register!$A$5:$A$304,A1536))&gt;0,"OK","ID not in any register"))</f>
        <v/>
      </c>
    </row>
    <row r="1537" customFormat="false" ht="15" hidden="false" customHeight="false" outlineLevel="0" collapsed="false">
      <c r="A1537" s="9"/>
      <c r="B1537" s="9"/>
      <c r="C1537" s="9"/>
      <c r="D1537" s="9"/>
      <c r="E1537" s="9"/>
      <c r="F1537" s="9"/>
      <c r="G1537" s="9"/>
      <c r="H1537" s="9"/>
      <c r="I1537" s="9"/>
      <c r="J1537" s="10" t="str">
        <f aca="false">IF(A1537="","",IF(G1537&lt;&gt;"",G1537,IF(N(F1537)&gt;0,ROUND(1000/F1537,3),0)))</f>
        <v/>
      </c>
      <c r="K1537" s="10" t="str">
        <f aca="false">IF(OR(A1537="",E1537="",H1537=""),"",ROUND(0.00617*E1537^2*H1537*J1537,2))</f>
        <v/>
      </c>
      <c r="L1537" s="9"/>
      <c r="M1537" s="10" t="str">
        <f aca="false">IF(A1537="","",IF((COUNTIF(Drain_Register!$A$5:$A$304,A1537)+COUNTIF(RW_Register!$A$5:$A$304,A1537)+COUNTIF(Embedded_Wall_Register!$A$5:$A$304,A1537)+COUNTIF(Manhole_Register!$A$5:$A$304,A1537)+COUNTIF(ERSS_Pit_Register!$A$5:$A$304,A1537)+COUNTIF(Linkway_Register!$A$5:$A$304,A1537)+COUNTIF(Other_Register!$A$5:$A$304,A1537))&gt;0,"OK","ID not in any register"))</f>
        <v/>
      </c>
    </row>
    <row r="1538" customFormat="false" ht="15" hidden="false" customHeight="false" outlineLevel="0" collapsed="false">
      <c r="A1538" s="9"/>
      <c r="B1538" s="9"/>
      <c r="C1538" s="9"/>
      <c r="D1538" s="9"/>
      <c r="E1538" s="9"/>
      <c r="F1538" s="9"/>
      <c r="G1538" s="9"/>
      <c r="H1538" s="9"/>
      <c r="I1538" s="9"/>
      <c r="J1538" s="10" t="str">
        <f aca="false">IF(A1538="","",IF(G1538&lt;&gt;"",G1538,IF(N(F1538)&gt;0,ROUND(1000/F1538,3),0)))</f>
        <v/>
      </c>
      <c r="K1538" s="10" t="str">
        <f aca="false">IF(OR(A1538="",E1538="",H1538=""),"",ROUND(0.00617*E1538^2*H1538*J1538,2))</f>
        <v/>
      </c>
      <c r="L1538" s="9"/>
      <c r="M1538" s="10" t="str">
        <f aca="false">IF(A1538="","",IF((COUNTIF(Drain_Register!$A$5:$A$304,A1538)+COUNTIF(RW_Register!$A$5:$A$304,A1538)+COUNTIF(Embedded_Wall_Register!$A$5:$A$304,A1538)+COUNTIF(Manhole_Register!$A$5:$A$304,A1538)+COUNTIF(ERSS_Pit_Register!$A$5:$A$304,A1538)+COUNTIF(Linkway_Register!$A$5:$A$304,A1538)+COUNTIF(Other_Register!$A$5:$A$304,A1538))&gt;0,"OK","ID not in any register"))</f>
        <v/>
      </c>
    </row>
    <row r="1539" customFormat="false" ht="15" hidden="false" customHeight="false" outlineLevel="0" collapsed="false">
      <c r="A1539" s="9"/>
      <c r="B1539" s="9"/>
      <c r="C1539" s="9"/>
      <c r="D1539" s="9"/>
      <c r="E1539" s="9"/>
      <c r="F1539" s="9"/>
      <c r="G1539" s="9"/>
      <c r="H1539" s="9"/>
      <c r="I1539" s="9"/>
      <c r="J1539" s="10" t="str">
        <f aca="false">IF(A1539="","",IF(G1539&lt;&gt;"",G1539,IF(N(F1539)&gt;0,ROUND(1000/F1539,3),0)))</f>
        <v/>
      </c>
      <c r="K1539" s="10" t="str">
        <f aca="false">IF(OR(A1539="",E1539="",H1539=""),"",ROUND(0.00617*E1539^2*H1539*J1539,2))</f>
        <v/>
      </c>
      <c r="L1539" s="9"/>
      <c r="M1539" s="10" t="str">
        <f aca="false">IF(A1539="","",IF((COUNTIF(Drain_Register!$A$5:$A$304,A1539)+COUNTIF(RW_Register!$A$5:$A$304,A1539)+COUNTIF(Embedded_Wall_Register!$A$5:$A$304,A1539)+COUNTIF(Manhole_Register!$A$5:$A$304,A1539)+COUNTIF(ERSS_Pit_Register!$A$5:$A$304,A1539)+COUNTIF(Linkway_Register!$A$5:$A$304,A1539)+COUNTIF(Other_Register!$A$5:$A$304,A1539))&gt;0,"OK","ID not in any register"))</f>
        <v/>
      </c>
    </row>
    <row r="1540" customFormat="false" ht="15" hidden="false" customHeight="false" outlineLevel="0" collapsed="false">
      <c r="A1540" s="9"/>
      <c r="B1540" s="9"/>
      <c r="C1540" s="9"/>
      <c r="D1540" s="9"/>
      <c r="E1540" s="9"/>
      <c r="F1540" s="9"/>
      <c r="G1540" s="9"/>
      <c r="H1540" s="9"/>
      <c r="I1540" s="9"/>
      <c r="J1540" s="10" t="str">
        <f aca="false">IF(A1540="","",IF(G1540&lt;&gt;"",G1540,IF(N(F1540)&gt;0,ROUND(1000/F1540,3),0)))</f>
        <v/>
      </c>
      <c r="K1540" s="10" t="str">
        <f aca="false">IF(OR(A1540="",E1540="",H1540=""),"",ROUND(0.00617*E1540^2*H1540*J1540,2))</f>
        <v/>
      </c>
      <c r="L1540" s="9"/>
      <c r="M1540" s="10" t="str">
        <f aca="false">IF(A1540="","",IF((COUNTIF(Drain_Register!$A$5:$A$304,A1540)+COUNTIF(RW_Register!$A$5:$A$304,A1540)+COUNTIF(Embedded_Wall_Register!$A$5:$A$304,A1540)+COUNTIF(Manhole_Register!$A$5:$A$304,A1540)+COUNTIF(ERSS_Pit_Register!$A$5:$A$304,A1540)+COUNTIF(Linkway_Register!$A$5:$A$304,A1540)+COUNTIF(Other_Register!$A$5:$A$304,A1540))&gt;0,"OK","ID not in any register"))</f>
        <v/>
      </c>
    </row>
    <row r="1541" customFormat="false" ht="15" hidden="false" customHeight="false" outlineLevel="0" collapsed="false">
      <c r="A1541" s="9"/>
      <c r="B1541" s="9"/>
      <c r="C1541" s="9"/>
      <c r="D1541" s="9"/>
      <c r="E1541" s="9"/>
      <c r="F1541" s="9"/>
      <c r="G1541" s="9"/>
      <c r="H1541" s="9"/>
      <c r="I1541" s="9"/>
      <c r="J1541" s="10" t="str">
        <f aca="false">IF(A1541="","",IF(G1541&lt;&gt;"",G1541,IF(N(F1541)&gt;0,ROUND(1000/F1541,3),0)))</f>
        <v/>
      </c>
      <c r="K1541" s="10" t="str">
        <f aca="false">IF(OR(A1541="",E1541="",H1541=""),"",ROUND(0.00617*E1541^2*H1541*J1541,2))</f>
        <v/>
      </c>
      <c r="L1541" s="9"/>
      <c r="M1541" s="10" t="str">
        <f aca="false">IF(A1541="","",IF((COUNTIF(Drain_Register!$A$5:$A$304,A1541)+COUNTIF(RW_Register!$A$5:$A$304,A1541)+COUNTIF(Embedded_Wall_Register!$A$5:$A$304,A1541)+COUNTIF(Manhole_Register!$A$5:$A$304,A1541)+COUNTIF(ERSS_Pit_Register!$A$5:$A$304,A1541)+COUNTIF(Linkway_Register!$A$5:$A$304,A1541)+COUNTIF(Other_Register!$A$5:$A$304,A1541))&gt;0,"OK","ID not in any register"))</f>
        <v/>
      </c>
    </row>
    <row r="1542" customFormat="false" ht="15" hidden="false" customHeight="false" outlineLevel="0" collapsed="false">
      <c r="A1542" s="9"/>
      <c r="B1542" s="9"/>
      <c r="C1542" s="9"/>
      <c r="D1542" s="9"/>
      <c r="E1542" s="9"/>
      <c r="F1542" s="9"/>
      <c r="G1542" s="9"/>
      <c r="H1542" s="9"/>
      <c r="I1542" s="9"/>
      <c r="J1542" s="10" t="str">
        <f aca="false">IF(A1542="","",IF(G1542&lt;&gt;"",G1542,IF(N(F1542)&gt;0,ROUND(1000/F1542,3),0)))</f>
        <v/>
      </c>
      <c r="K1542" s="10" t="str">
        <f aca="false">IF(OR(A1542="",E1542="",H1542=""),"",ROUND(0.00617*E1542^2*H1542*J1542,2))</f>
        <v/>
      </c>
      <c r="L1542" s="9"/>
      <c r="M1542" s="10" t="str">
        <f aca="false">IF(A1542="","",IF((COUNTIF(Drain_Register!$A$5:$A$304,A1542)+COUNTIF(RW_Register!$A$5:$A$304,A1542)+COUNTIF(Embedded_Wall_Register!$A$5:$A$304,A1542)+COUNTIF(Manhole_Register!$A$5:$A$304,A1542)+COUNTIF(ERSS_Pit_Register!$A$5:$A$304,A1542)+COUNTIF(Linkway_Register!$A$5:$A$304,A1542)+COUNTIF(Other_Register!$A$5:$A$304,A1542))&gt;0,"OK","ID not in any register"))</f>
        <v/>
      </c>
    </row>
    <row r="1543" customFormat="false" ht="15" hidden="false" customHeight="false" outlineLevel="0" collapsed="false">
      <c r="A1543" s="9"/>
      <c r="B1543" s="9"/>
      <c r="C1543" s="9"/>
      <c r="D1543" s="9"/>
      <c r="E1543" s="9"/>
      <c r="F1543" s="9"/>
      <c r="G1543" s="9"/>
      <c r="H1543" s="9"/>
      <c r="I1543" s="9"/>
      <c r="J1543" s="10" t="str">
        <f aca="false">IF(A1543="","",IF(G1543&lt;&gt;"",G1543,IF(N(F1543)&gt;0,ROUND(1000/F1543,3),0)))</f>
        <v/>
      </c>
      <c r="K1543" s="10" t="str">
        <f aca="false">IF(OR(A1543="",E1543="",H1543=""),"",ROUND(0.00617*E1543^2*H1543*J1543,2))</f>
        <v/>
      </c>
      <c r="L1543" s="9"/>
      <c r="M1543" s="10" t="str">
        <f aca="false">IF(A1543="","",IF((COUNTIF(Drain_Register!$A$5:$A$304,A1543)+COUNTIF(RW_Register!$A$5:$A$304,A1543)+COUNTIF(Embedded_Wall_Register!$A$5:$A$304,A1543)+COUNTIF(Manhole_Register!$A$5:$A$304,A1543)+COUNTIF(ERSS_Pit_Register!$A$5:$A$304,A1543)+COUNTIF(Linkway_Register!$A$5:$A$304,A1543)+COUNTIF(Other_Register!$A$5:$A$304,A1543))&gt;0,"OK","ID not in any register"))</f>
        <v/>
      </c>
    </row>
    <row r="1544" customFormat="false" ht="15" hidden="false" customHeight="false" outlineLevel="0" collapsed="false">
      <c r="A1544" s="9"/>
      <c r="B1544" s="9"/>
      <c r="C1544" s="9"/>
      <c r="D1544" s="9"/>
      <c r="E1544" s="9"/>
      <c r="F1544" s="9"/>
      <c r="G1544" s="9"/>
      <c r="H1544" s="9"/>
      <c r="I1544" s="9"/>
      <c r="J1544" s="10" t="str">
        <f aca="false">IF(A1544="","",IF(G1544&lt;&gt;"",G1544,IF(N(F1544)&gt;0,ROUND(1000/F1544,3),0)))</f>
        <v/>
      </c>
      <c r="K1544" s="10" t="str">
        <f aca="false">IF(OR(A1544="",E1544="",H1544=""),"",ROUND(0.00617*E1544^2*H1544*J1544,2))</f>
        <v/>
      </c>
      <c r="L1544" s="9"/>
      <c r="M1544" s="10" t="str">
        <f aca="false">IF(A1544="","",IF((COUNTIF(Drain_Register!$A$5:$A$304,A1544)+COUNTIF(RW_Register!$A$5:$A$304,A1544)+COUNTIF(Embedded_Wall_Register!$A$5:$A$304,A1544)+COUNTIF(Manhole_Register!$A$5:$A$304,A1544)+COUNTIF(ERSS_Pit_Register!$A$5:$A$304,A1544)+COUNTIF(Linkway_Register!$A$5:$A$304,A1544)+COUNTIF(Other_Register!$A$5:$A$304,A1544))&gt;0,"OK","ID not in any register"))</f>
        <v/>
      </c>
    </row>
    <row r="1545" customFormat="false" ht="15" hidden="false" customHeight="false" outlineLevel="0" collapsed="false">
      <c r="A1545" s="9"/>
      <c r="B1545" s="9"/>
      <c r="C1545" s="9"/>
      <c r="D1545" s="9"/>
      <c r="E1545" s="9"/>
      <c r="F1545" s="9"/>
      <c r="G1545" s="9"/>
      <c r="H1545" s="9"/>
      <c r="I1545" s="9"/>
      <c r="J1545" s="10" t="str">
        <f aca="false">IF(A1545="","",IF(G1545&lt;&gt;"",G1545,IF(N(F1545)&gt;0,ROUND(1000/F1545,3),0)))</f>
        <v/>
      </c>
      <c r="K1545" s="10" t="str">
        <f aca="false">IF(OR(A1545="",E1545="",H1545=""),"",ROUND(0.00617*E1545^2*H1545*J1545,2))</f>
        <v/>
      </c>
      <c r="L1545" s="9"/>
      <c r="M1545" s="10" t="str">
        <f aca="false">IF(A1545="","",IF((COUNTIF(Drain_Register!$A$5:$A$304,A1545)+COUNTIF(RW_Register!$A$5:$A$304,A1545)+COUNTIF(Embedded_Wall_Register!$A$5:$A$304,A1545)+COUNTIF(Manhole_Register!$A$5:$A$304,A1545)+COUNTIF(ERSS_Pit_Register!$A$5:$A$304,A1545)+COUNTIF(Linkway_Register!$A$5:$A$304,A1545)+COUNTIF(Other_Register!$A$5:$A$304,A1545))&gt;0,"OK","ID not in any register"))</f>
        <v/>
      </c>
    </row>
    <row r="1546" customFormat="false" ht="15" hidden="false" customHeight="false" outlineLevel="0" collapsed="false">
      <c r="A1546" s="9"/>
      <c r="B1546" s="9"/>
      <c r="C1546" s="9"/>
      <c r="D1546" s="9"/>
      <c r="E1546" s="9"/>
      <c r="F1546" s="9"/>
      <c r="G1546" s="9"/>
      <c r="H1546" s="9"/>
      <c r="I1546" s="9"/>
      <c r="J1546" s="10" t="str">
        <f aca="false">IF(A1546="","",IF(G1546&lt;&gt;"",G1546,IF(N(F1546)&gt;0,ROUND(1000/F1546,3),0)))</f>
        <v/>
      </c>
      <c r="K1546" s="10" t="str">
        <f aca="false">IF(OR(A1546="",E1546="",H1546=""),"",ROUND(0.00617*E1546^2*H1546*J1546,2))</f>
        <v/>
      </c>
      <c r="L1546" s="9"/>
      <c r="M1546" s="10" t="str">
        <f aca="false">IF(A1546="","",IF((COUNTIF(Drain_Register!$A$5:$A$304,A1546)+COUNTIF(RW_Register!$A$5:$A$304,A1546)+COUNTIF(Embedded_Wall_Register!$A$5:$A$304,A1546)+COUNTIF(Manhole_Register!$A$5:$A$304,A1546)+COUNTIF(ERSS_Pit_Register!$A$5:$A$304,A1546)+COUNTIF(Linkway_Register!$A$5:$A$304,A1546)+COUNTIF(Other_Register!$A$5:$A$304,A1546))&gt;0,"OK","ID not in any register"))</f>
        <v/>
      </c>
    </row>
    <row r="1547" customFormat="false" ht="15" hidden="false" customHeight="false" outlineLevel="0" collapsed="false">
      <c r="A1547" s="9"/>
      <c r="B1547" s="9"/>
      <c r="C1547" s="9"/>
      <c r="D1547" s="9"/>
      <c r="E1547" s="9"/>
      <c r="F1547" s="9"/>
      <c r="G1547" s="9"/>
      <c r="H1547" s="9"/>
      <c r="I1547" s="9"/>
      <c r="J1547" s="10" t="str">
        <f aca="false">IF(A1547="","",IF(G1547&lt;&gt;"",G1547,IF(N(F1547)&gt;0,ROUND(1000/F1547,3),0)))</f>
        <v/>
      </c>
      <c r="K1547" s="10" t="str">
        <f aca="false">IF(OR(A1547="",E1547="",H1547=""),"",ROUND(0.00617*E1547^2*H1547*J1547,2))</f>
        <v/>
      </c>
      <c r="L1547" s="9"/>
      <c r="M1547" s="10" t="str">
        <f aca="false">IF(A1547="","",IF((COUNTIF(Drain_Register!$A$5:$A$304,A1547)+COUNTIF(RW_Register!$A$5:$A$304,A1547)+COUNTIF(Embedded_Wall_Register!$A$5:$A$304,A1547)+COUNTIF(Manhole_Register!$A$5:$A$304,A1547)+COUNTIF(ERSS_Pit_Register!$A$5:$A$304,A1547)+COUNTIF(Linkway_Register!$A$5:$A$304,A1547)+COUNTIF(Other_Register!$A$5:$A$304,A1547))&gt;0,"OK","ID not in any register"))</f>
        <v/>
      </c>
    </row>
    <row r="1548" customFormat="false" ht="15" hidden="false" customHeight="false" outlineLevel="0" collapsed="false">
      <c r="A1548" s="9"/>
      <c r="B1548" s="9"/>
      <c r="C1548" s="9"/>
      <c r="D1548" s="9"/>
      <c r="E1548" s="9"/>
      <c r="F1548" s="9"/>
      <c r="G1548" s="9"/>
      <c r="H1548" s="9"/>
      <c r="I1548" s="9"/>
      <c r="J1548" s="10" t="str">
        <f aca="false">IF(A1548="","",IF(G1548&lt;&gt;"",G1548,IF(N(F1548)&gt;0,ROUND(1000/F1548,3),0)))</f>
        <v/>
      </c>
      <c r="K1548" s="10" t="str">
        <f aca="false">IF(OR(A1548="",E1548="",H1548=""),"",ROUND(0.00617*E1548^2*H1548*J1548,2))</f>
        <v/>
      </c>
      <c r="L1548" s="9"/>
      <c r="M1548" s="10" t="str">
        <f aca="false">IF(A1548="","",IF((COUNTIF(Drain_Register!$A$5:$A$304,A1548)+COUNTIF(RW_Register!$A$5:$A$304,A1548)+COUNTIF(Embedded_Wall_Register!$A$5:$A$304,A1548)+COUNTIF(Manhole_Register!$A$5:$A$304,A1548)+COUNTIF(ERSS_Pit_Register!$A$5:$A$304,A1548)+COUNTIF(Linkway_Register!$A$5:$A$304,A1548)+COUNTIF(Other_Register!$A$5:$A$304,A1548))&gt;0,"OK","ID not in any register"))</f>
        <v/>
      </c>
    </row>
    <row r="1549" customFormat="false" ht="15" hidden="false" customHeight="false" outlineLevel="0" collapsed="false">
      <c r="A1549" s="9"/>
      <c r="B1549" s="9"/>
      <c r="C1549" s="9"/>
      <c r="D1549" s="9"/>
      <c r="E1549" s="9"/>
      <c r="F1549" s="9"/>
      <c r="G1549" s="9"/>
      <c r="H1549" s="9"/>
      <c r="I1549" s="9"/>
      <c r="J1549" s="10" t="str">
        <f aca="false">IF(A1549="","",IF(G1549&lt;&gt;"",G1549,IF(N(F1549)&gt;0,ROUND(1000/F1549,3),0)))</f>
        <v/>
      </c>
      <c r="K1549" s="10" t="str">
        <f aca="false">IF(OR(A1549="",E1549="",H1549=""),"",ROUND(0.00617*E1549^2*H1549*J1549,2))</f>
        <v/>
      </c>
      <c r="L1549" s="9"/>
      <c r="M1549" s="10" t="str">
        <f aca="false">IF(A1549="","",IF((COUNTIF(Drain_Register!$A$5:$A$304,A1549)+COUNTIF(RW_Register!$A$5:$A$304,A1549)+COUNTIF(Embedded_Wall_Register!$A$5:$A$304,A1549)+COUNTIF(Manhole_Register!$A$5:$A$304,A1549)+COUNTIF(ERSS_Pit_Register!$A$5:$A$304,A1549)+COUNTIF(Linkway_Register!$A$5:$A$304,A1549)+COUNTIF(Other_Register!$A$5:$A$304,A1549))&gt;0,"OK","ID not in any register"))</f>
        <v/>
      </c>
    </row>
    <row r="1550" customFormat="false" ht="15" hidden="false" customHeight="false" outlineLevel="0" collapsed="false">
      <c r="A1550" s="9"/>
      <c r="B1550" s="9"/>
      <c r="C1550" s="9"/>
      <c r="D1550" s="9"/>
      <c r="E1550" s="9"/>
      <c r="F1550" s="9"/>
      <c r="G1550" s="9"/>
      <c r="H1550" s="9"/>
      <c r="I1550" s="9"/>
      <c r="J1550" s="10" t="str">
        <f aca="false">IF(A1550="","",IF(G1550&lt;&gt;"",G1550,IF(N(F1550)&gt;0,ROUND(1000/F1550,3),0)))</f>
        <v/>
      </c>
      <c r="K1550" s="10" t="str">
        <f aca="false">IF(OR(A1550="",E1550="",H1550=""),"",ROUND(0.00617*E1550^2*H1550*J1550,2))</f>
        <v/>
      </c>
      <c r="L1550" s="9"/>
      <c r="M1550" s="10" t="str">
        <f aca="false">IF(A1550="","",IF((COUNTIF(Drain_Register!$A$5:$A$304,A1550)+COUNTIF(RW_Register!$A$5:$A$304,A1550)+COUNTIF(Embedded_Wall_Register!$A$5:$A$304,A1550)+COUNTIF(Manhole_Register!$A$5:$A$304,A1550)+COUNTIF(ERSS_Pit_Register!$A$5:$A$304,A1550)+COUNTIF(Linkway_Register!$A$5:$A$304,A1550)+COUNTIF(Other_Register!$A$5:$A$304,A1550))&gt;0,"OK","ID not in any register"))</f>
        <v/>
      </c>
    </row>
    <row r="1551" customFormat="false" ht="15" hidden="false" customHeight="false" outlineLevel="0" collapsed="false">
      <c r="A1551" s="9"/>
      <c r="B1551" s="9"/>
      <c r="C1551" s="9"/>
      <c r="D1551" s="9"/>
      <c r="E1551" s="9"/>
      <c r="F1551" s="9"/>
      <c r="G1551" s="9"/>
      <c r="H1551" s="9"/>
      <c r="I1551" s="9"/>
      <c r="J1551" s="10" t="str">
        <f aca="false">IF(A1551="","",IF(G1551&lt;&gt;"",G1551,IF(N(F1551)&gt;0,ROUND(1000/F1551,3),0)))</f>
        <v/>
      </c>
      <c r="K1551" s="10" t="str">
        <f aca="false">IF(OR(A1551="",E1551="",H1551=""),"",ROUND(0.00617*E1551^2*H1551*J1551,2))</f>
        <v/>
      </c>
      <c r="L1551" s="9"/>
      <c r="M1551" s="10" t="str">
        <f aca="false">IF(A1551="","",IF((COUNTIF(Drain_Register!$A$5:$A$304,A1551)+COUNTIF(RW_Register!$A$5:$A$304,A1551)+COUNTIF(Embedded_Wall_Register!$A$5:$A$304,A1551)+COUNTIF(Manhole_Register!$A$5:$A$304,A1551)+COUNTIF(ERSS_Pit_Register!$A$5:$A$304,A1551)+COUNTIF(Linkway_Register!$A$5:$A$304,A1551)+COUNTIF(Other_Register!$A$5:$A$304,A1551))&gt;0,"OK","ID not in any register"))</f>
        <v/>
      </c>
    </row>
    <row r="1552" customFormat="false" ht="15" hidden="false" customHeight="false" outlineLevel="0" collapsed="false">
      <c r="A1552" s="9"/>
      <c r="B1552" s="9"/>
      <c r="C1552" s="9"/>
      <c r="D1552" s="9"/>
      <c r="E1552" s="9"/>
      <c r="F1552" s="9"/>
      <c r="G1552" s="9"/>
      <c r="H1552" s="9"/>
      <c r="I1552" s="9"/>
      <c r="J1552" s="10" t="str">
        <f aca="false">IF(A1552="","",IF(G1552&lt;&gt;"",G1552,IF(N(F1552)&gt;0,ROUND(1000/F1552,3),0)))</f>
        <v/>
      </c>
      <c r="K1552" s="10" t="str">
        <f aca="false">IF(OR(A1552="",E1552="",H1552=""),"",ROUND(0.00617*E1552^2*H1552*J1552,2))</f>
        <v/>
      </c>
      <c r="L1552" s="9"/>
      <c r="M1552" s="10" t="str">
        <f aca="false">IF(A1552="","",IF((COUNTIF(Drain_Register!$A$5:$A$304,A1552)+COUNTIF(RW_Register!$A$5:$A$304,A1552)+COUNTIF(Embedded_Wall_Register!$A$5:$A$304,A1552)+COUNTIF(Manhole_Register!$A$5:$A$304,A1552)+COUNTIF(ERSS_Pit_Register!$A$5:$A$304,A1552)+COUNTIF(Linkway_Register!$A$5:$A$304,A1552)+COUNTIF(Other_Register!$A$5:$A$304,A1552))&gt;0,"OK","ID not in any register"))</f>
        <v/>
      </c>
    </row>
    <row r="1553" customFormat="false" ht="15" hidden="false" customHeight="false" outlineLevel="0" collapsed="false">
      <c r="A1553" s="9"/>
      <c r="B1553" s="9"/>
      <c r="C1553" s="9"/>
      <c r="D1553" s="9"/>
      <c r="E1553" s="9"/>
      <c r="F1553" s="9"/>
      <c r="G1553" s="9"/>
      <c r="H1553" s="9"/>
      <c r="I1553" s="9"/>
      <c r="J1553" s="10" t="str">
        <f aca="false">IF(A1553="","",IF(G1553&lt;&gt;"",G1553,IF(N(F1553)&gt;0,ROUND(1000/F1553,3),0)))</f>
        <v/>
      </c>
      <c r="K1553" s="10" t="str">
        <f aca="false">IF(OR(A1553="",E1553="",H1553=""),"",ROUND(0.00617*E1553^2*H1553*J1553,2))</f>
        <v/>
      </c>
      <c r="L1553" s="9"/>
      <c r="M1553" s="10" t="str">
        <f aca="false">IF(A1553="","",IF((COUNTIF(Drain_Register!$A$5:$A$304,A1553)+COUNTIF(RW_Register!$A$5:$A$304,A1553)+COUNTIF(Embedded_Wall_Register!$A$5:$A$304,A1553)+COUNTIF(Manhole_Register!$A$5:$A$304,A1553)+COUNTIF(ERSS_Pit_Register!$A$5:$A$304,A1553)+COUNTIF(Linkway_Register!$A$5:$A$304,A1553)+COUNTIF(Other_Register!$A$5:$A$304,A1553))&gt;0,"OK","ID not in any register"))</f>
        <v/>
      </c>
    </row>
    <row r="1554" customFormat="false" ht="15" hidden="false" customHeight="false" outlineLevel="0" collapsed="false">
      <c r="A1554" s="9"/>
      <c r="B1554" s="9"/>
      <c r="C1554" s="9"/>
      <c r="D1554" s="9"/>
      <c r="E1554" s="9"/>
      <c r="F1554" s="9"/>
      <c r="G1554" s="9"/>
      <c r="H1554" s="9"/>
      <c r="I1554" s="9"/>
      <c r="J1554" s="10" t="str">
        <f aca="false">IF(A1554="","",IF(G1554&lt;&gt;"",G1554,IF(N(F1554)&gt;0,ROUND(1000/F1554,3),0)))</f>
        <v/>
      </c>
      <c r="K1554" s="10" t="str">
        <f aca="false">IF(OR(A1554="",E1554="",H1554=""),"",ROUND(0.00617*E1554^2*H1554*J1554,2))</f>
        <v/>
      </c>
      <c r="L1554" s="9"/>
      <c r="M1554" s="10" t="str">
        <f aca="false">IF(A1554="","",IF((COUNTIF(Drain_Register!$A$5:$A$304,A1554)+COUNTIF(RW_Register!$A$5:$A$304,A1554)+COUNTIF(Embedded_Wall_Register!$A$5:$A$304,A1554)+COUNTIF(Manhole_Register!$A$5:$A$304,A1554)+COUNTIF(ERSS_Pit_Register!$A$5:$A$304,A1554)+COUNTIF(Linkway_Register!$A$5:$A$304,A1554)+COUNTIF(Other_Register!$A$5:$A$304,A1554))&gt;0,"OK","ID not in any register"))</f>
        <v/>
      </c>
    </row>
    <row r="1555" customFormat="false" ht="15" hidden="false" customHeight="false" outlineLevel="0" collapsed="false">
      <c r="A1555" s="9"/>
      <c r="B1555" s="9"/>
      <c r="C1555" s="9"/>
      <c r="D1555" s="9"/>
      <c r="E1555" s="9"/>
      <c r="F1555" s="9"/>
      <c r="G1555" s="9"/>
      <c r="H1555" s="9"/>
      <c r="I1555" s="9"/>
      <c r="J1555" s="10" t="str">
        <f aca="false">IF(A1555="","",IF(G1555&lt;&gt;"",G1555,IF(N(F1555)&gt;0,ROUND(1000/F1555,3),0)))</f>
        <v/>
      </c>
      <c r="K1555" s="10" t="str">
        <f aca="false">IF(OR(A1555="",E1555="",H1555=""),"",ROUND(0.00617*E1555^2*H1555*J1555,2))</f>
        <v/>
      </c>
      <c r="L1555" s="9"/>
      <c r="M1555" s="10" t="str">
        <f aca="false">IF(A1555="","",IF((COUNTIF(Drain_Register!$A$5:$A$304,A1555)+COUNTIF(RW_Register!$A$5:$A$304,A1555)+COUNTIF(Embedded_Wall_Register!$A$5:$A$304,A1555)+COUNTIF(Manhole_Register!$A$5:$A$304,A1555)+COUNTIF(ERSS_Pit_Register!$A$5:$A$304,A1555)+COUNTIF(Linkway_Register!$A$5:$A$304,A1555)+COUNTIF(Other_Register!$A$5:$A$304,A1555))&gt;0,"OK","ID not in any register"))</f>
        <v/>
      </c>
    </row>
    <row r="1556" customFormat="false" ht="15" hidden="false" customHeight="false" outlineLevel="0" collapsed="false">
      <c r="A1556" s="9"/>
      <c r="B1556" s="9"/>
      <c r="C1556" s="9"/>
      <c r="D1556" s="9"/>
      <c r="E1556" s="9"/>
      <c r="F1556" s="9"/>
      <c r="G1556" s="9"/>
      <c r="H1556" s="9"/>
      <c r="I1556" s="9"/>
      <c r="J1556" s="10" t="str">
        <f aca="false">IF(A1556="","",IF(G1556&lt;&gt;"",G1556,IF(N(F1556)&gt;0,ROUND(1000/F1556,3),0)))</f>
        <v/>
      </c>
      <c r="K1556" s="10" t="str">
        <f aca="false">IF(OR(A1556="",E1556="",H1556=""),"",ROUND(0.00617*E1556^2*H1556*J1556,2))</f>
        <v/>
      </c>
      <c r="L1556" s="9"/>
      <c r="M1556" s="10" t="str">
        <f aca="false">IF(A1556="","",IF((COUNTIF(Drain_Register!$A$5:$A$304,A1556)+COUNTIF(RW_Register!$A$5:$A$304,A1556)+COUNTIF(Embedded_Wall_Register!$A$5:$A$304,A1556)+COUNTIF(Manhole_Register!$A$5:$A$304,A1556)+COUNTIF(ERSS_Pit_Register!$A$5:$A$304,A1556)+COUNTIF(Linkway_Register!$A$5:$A$304,A1556)+COUNTIF(Other_Register!$A$5:$A$304,A1556))&gt;0,"OK","ID not in any register"))</f>
        <v/>
      </c>
    </row>
    <row r="1557" customFormat="false" ht="15" hidden="false" customHeight="false" outlineLevel="0" collapsed="false">
      <c r="A1557" s="9"/>
      <c r="B1557" s="9"/>
      <c r="C1557" s="9"/>
      <c r="D1557" s="9"/>
      <c r="E1557" s="9"/>
      <c r="F1557" s="9"/>
      <c r="G1557" s="9"/>
      <c r="H1557" s="9"/>
      <c r="I1557" s="9"/>
      <c r="J1557" s="10" t="str">
        <f aca="false">IF(A1557="","",IF(G1557&lt;&gt;"",G1557,IF(N(F1557)&gt;0,ROUND(1000/F1557,3),0)))</f>
        <v/>
      </c>
      <c r="K1557" s="10" t="str">
        <f aca="false">IF(OR(A1557="",E1557="",H1557=""),"",ROUND(0.00617*E1557^2*H1557*J1557,2))</f>
        <v/>
      </c>
      <c r="L1557" s="9"/>
      <c r="M1557" s="10" t="str">
        <f aca="false">IF(A1557="","",IF((COUNTIF(Drain_Register!$A$5:$A$304,A1557)+COUNTIF(RW_Register!$A$5:$A$304,A1557)+COUNTIF(Embedded_Wall_Register!$A$5:$A$304,A1557)+COUNTIF(Manhole_Register!$A$5:$A$304,A1557)+COUNTIF(ERSS_Pit_Register!$A$5:$A$304,A1557)+COUNTIF(Linkway_Register!$A$5:$A$304,A1557)+COUNTIF(Other_Register!$A$5:$A$304,A1557))&gt;0,"OK","ID not in any register"))</f>
        <v/>
      </c>
    </row>
    <row r="1558" customFormat="false" ht="15" hidden="false" customHeight="false" outlineLevel="0" collapsed="false">
      <c r="A1558" s="9"/>
      <c r="B1558" s="9"/>
      <c r="C1558" s="9"/>
      <c r="D1558" s="9"/>
      <c r="E1558" s="9"/>
      <c r="F1558" s="9"/>
      <c r="G1558" s="9"/>
      <c r="H1558" s="9"/>
      <c r="I1558" s="9"/>
      <c r="J1558" s="10" t="str">
        <f aca="false">IF(A1558="","",IF(G1558&lt;&gt;"",G1558,IF(N(F1558)&gt;0,ROUND(1000/F1558,3),0)))</f>
        <v/>
      </c>
      <c r="K1558" s="10" t="str">
        <f aca="false">IF(OR(A1558="",E1558="",H1558=""),"",ROUND(0.00617*E1558^2*H1558*J1558,2))</f>
        <v/>
      </c>
      <c r="L1558" s="9"/>
      <c r="M1558" s="10" t="str">
        <f aca="false">IF(A1558="","",IF((COUNTIF(Drain_Register!$A$5:$A$304,A1558)+COUNTIF(RW_Register!$A$5:$A$304,A1558)+COUNTIF(Embedded_Wall_Register!$A$5:$A$304,A1558)+COUNTIF(Manhole_Register!$A$5:$A$304,A1558)+COUNTIF(ERSS_Pit_Register!$A$5:$A$304,A1558)+COUNTIF(Linkway_Register!$A$5:$A$304,A1558)+COUNTIF(Other_Register!$A$5:$A$304,A1558))&gt;0,"OK","ID not in any register"))</f>
        <v/>
      </c>
    </row>
    <row r="1559" customFormat="false" ht="15" hidden="false" customHeight="false" outlineLevel="0" collapsed="false">
      <c r="A1559" s="9"/>
      <c r="B1559" s="9"/>
      <c r="C1559" s="9"/>
      <c r="D1559" s="9"/>
      <c r="E1559" s="9"/>
      <c r="F1559" s="9"/>
      <c r="G1559" s="9"/>
      <c r="H1559" s="9"/>
      <c r="I1559" s="9"/>
      <c r="J1559" s="10" t="str">
        <f aca="false">IF(A1559="","",IF(G1559&lt;&gt;"",G1559,IF(N(F1559)&gt;0,ROUND(1000/F1559,3),0)))</f>
        <v/>
      </c>
      <c r="K1559" s="10" t="str">
        <f aca="false">IF(OR(A1559="",E1559="",H1559=""),"",ROUND(0.00617*E1559^2*H1559*J1559,2))</f>
        <v/>
      </c>
      <c r="L1559" s="9"/>
      <c r="M1559" s="10" t="str">
        <f aca="false">IF(A1559="","",IF((COUNTIF(Drain_Register!$A$5:$A$304,A1559)+COUNTIF(RW_Register!$A$5:$A$304,A1559)+COUNTIF(Embedded_Wall_Register!$A$5:$A$304,A1559)+COUNTIF(Manhole_Register!$A$5:$A$304,A1559)+COUNTIF(ERSS_Pit_Register!$A$5:$A$304,A1559)+COUNTIF(Linkway_Register!$A$5:$A$304,A1559)+COUNTIF(Other_Register!$A$5:$A$304,A1559))&gt;0,"OK","ID not in any register"))</f>
        <v/>
      </c>
    </row>
    <row r="1560" customFormat="false" ht="15" hidden="false" customHeight="false" outlineLevel="0" collapsed="false">
      <c r="A1560" s="9"/>
      <c r="B1560" s="9"/>
      <c r="C1560" s="9"/>
      <c r="D1560" s="9"/>
      <c r="E1560" s="9"/>
      <c r="F1560" s="9"/>
      <c r="G1560" s="9"/>
      <c r="H1560" s="9"/>
      <c r="I1560" s="9"/>
      <c r="J1560" s="10" t="str">
        <f aca="false">IF(A1560="","",IF(G1560&lt;&gt;"",G1560,IF(N(F1560)&gt;0,ROUND(1000/F1560,3),0)))</f>
        <v/>
      </c>
      <c r="K1560" s="10" t="str">
        <f aca="false">IF(OR(A1560="",E1560="",H1560=""),"",ROUND(0.00617*E1560^2*H1560*J1560,2))</f>
        <v/>
      </c>
      <c r="L1560" s="9"/>
      <c r="M1560" s="10" t="str">
        <f aca="false">IF(A1560="","",IF((COUNTIF(Drain_Register!$A$5:$A$304,A1560)+COUNTIF(RW_Register!$A$5:$A$304,A1560)+COUNTIF(Embedded_Wall_Register!$A$5:$A$304,A1560)+COUNTIF(Manhole_Register!$A$5:$A$304,A1560)+COUNTIF(ERSS_Pit_Register!$A$5:$A$304,A1560)+COUNTIF(Linkway_Register!$A$5:$A$304,A1560)+COUNTIF(Other_Register!$A$5:$A$304,A1560))&gt;0,"OK","ID not in any register"))</f>
        <v/>
      </c>
    </row>
    <row r="1561" customFormat="false" ht="15" hidden="false" customHeight="false" outlineLevel="0" collapsed="false">
      <c r="A1561" s="9"/>
      <c r="B1561" s="9"/>
      <c r="C1561" s="9"/>
      <c r="D1561" s="9"/>
      <c r="E1561" s="9"/>
      <c r="F1561" s="9"/>
      <c r="G1561" s="9"/>
      <c r="H1561" s="9"/>
      <c r="I1561" s="9"/>
      <c r="J1561" s="10" t="str">
        <f aca="false">IF(A1561="","",IF(G1561&lt;&gt;"",G1561,IF(N(F1561)&gt;0,ROUND(1000/F1561,3),0)))</f>
        <v/>
      </c>
      <c r="K1561" s="10" t="str">
        <f aca="false">IF(OR(A1561="",E1561="",H1561=""),"",ROUND(0.00617*E1561^2*H1561*J1561,2))</f>
        <v/>
      </c>
      <c r="L1561" s="9"/>
      <c r="M1561" s="10" t="str">
        <f aca="false">IF(A1561="","",IF((COUNTIF(Drain_Register!$A$5:$A$304,A1561)+COUNTIF(RW_Register!$A$5:$A$304,A1561)+COUNTIF(Embedded_Wall_Register!$A$5:$A$304,A1561)+COUNTIF(Manhole_Register!$A$5:$A$304,A1561)+COUNTIF(ERSS_Pit_Register!$A$5:$A$304,A1561)+COUNTIF(Linkway_Register!$A$5:$A$304,A1561)+COUNTIF(Other_Register!$A$5:$A$304,A1561))&gt;0,"OK","ID not in any register"))</f>
        <v/>
      </c>
    </row>
    <row r="1562" customFormat="false" ht="15" hidden="false" customHeight="false" outlineLevel="0" collapsed="false">
      <c r="A1562" s="9"/>
      <c r="B1562" s="9"/>
      <c r="C1562" s="9"/>
      <c r="D1562" s="9"/>
      <c r="E1562" s="9"/>
      <c r="F1562" s="9"/>
      <c r="G1562" s="9"/>
      <c r="H1562" s="9"/>
      <c r="I1562" s="9"/>
      <c r="J1562" s="10" t="str">
        <f aca="false">IF(A1562="","",IF(G1562&lt;&gt;"",G1562,IF(N(F1562)&gt;0,ROUND(1000/F1562,3),0)))</f>
        <v/>
      </c>
      <c r="K1562" s="10" t="str">
        <f aca="false">IF(OR(A1562="",E1562="",H1562=""),"",ROUND(0.00617*E1562^2*H1562*J1562,2))</f>
        <v/>
      </c>
      <c r="L1562" s="9"/>
      <c r="M1562" s="10" t="str">
        <f aca="false">IF(A1562="","",IF((COUNTIF(Drain_Register!$A$5:$A$304,A1562)+COUNTIF(RW_Register!$A$5:$A$304,A1562)+COUNTIF(Embedded_Wall_Register!$A$5:$A$304,A1562)+COUNTIF(Manhole_Register!$A$5:$A$304,A1562)+COUNTIF(ERSS_Pit_Register!$A$5:$A$304,A1562)+COUNTIF(Linkway_Register!$A$5:$A$304,A1562)+COUNTIF(Other_Register!$A$5:$A$304,A1562))&gt;0,"OK","ID not in any register"))</f>
        <v/>
      </c>
    </row>
    <row r="1563" customFormat="false" ht="15" hidden="false" customHeight="false" outlineLevel="0" collapsed="false">
      <c r="A1563" s="9"/>
      <c r="B1563" s="9"/>
      <c r="C1563" s="9"/>
      <c r="D1563" s="9"/>
      <c r="E1563" s="9"/>
      <c r="F1563" s="9"/>
      <c r="G1563" s="9"/>
      <c r="H1563" s="9"/>
      <c r="I1563" s="9"/>
      <c r="J1563" s="10" t="str">
        <f aca="false">IF(A1563="","",IF(G1563&lt;&gt;"",G1563,IF(N(F1563)&gt;0,ROUND(1000/F1563,3),0)))</f>
        <v/>
      </c>
      <c r="K1563" s="10" t="str">
        <f aca="false">IF(OR(A1563="",E1563="",H1563=""),"",ROUND(0.00617*E1563^2*H1563*J1563,2))</f>
        <v/>
      </c>
      <c r="L1563" s="9"/>
      <c r="M1563" s="10" t="str">
        <f aca="false">IF(A1563="","",IF((COUNTIF(Drain_Register!$A$5:$A$304,A1563)+COUNTIF(RW_Register!$A$5:$A$304,A1563)+COUNTIF(Embedded_Wall_Register!$A$5:$A$304,A1563)+COUNTIF(Manhole_Register!$A$5:$A$304,A1563)+COUNTIF(ERSS_Pit_Register!$A$5:$A$304,A1563)+COUNTIF(Linkway_Register!$A$5:$A$304,A1563)+COUNTIF(Other_Register!$A$5:$A$304,A1563))&gt;0,"OK","ID not in any register"))</f>
        <v/>
      </c>
    </row>
    <row r="1564" customFormat="false" ht="15" hidden="false" customHeight="false" outlineLevel="0" collapsed="false">
      <c r="A1564" s="9"/>
      <c r="B1564" s="9"/>
      <c r="C1564" s="9"/>
      <c r="D1564" s="9"/>
      <c r="E1564" s="9"/>
      <c r="F1564" s="9"/>
      <c r="G1564" s="9"/>
      <c r="H1564" s="9"/>
      <c r="I1564" s="9"/>
      <c r="J1564" s="10" t="str">
        <f aca="false">IF(A1564="","",IF(G1564&lt;&gt;"",G1564,IF(N(F1564)&gt;0,ROUND(1000/F1564,3),0)))</f>
        <v/>
      </c>
      <c r="K1564" s="10" t="str">
        <f aca="false">IF(OR(A1564="",E1564="",H1564=""),"",ROUND(0.00617*E1564^2*H1564*J1564,2))</f>
        <v/>
      </c>
      <c r="L1564" s="9"/>
      <c r="M1564" s="10" t="str">
        <f aca="false">IF(A1564="","",IF((COUNTIF(Drain_Register!$A$5:$A$304,A1564)+COUNTIF(RW_Register!$A$5:$A$304,A1564)+COUNTIF(Embedded_Wall_Register!$A$5:$A$304,A1564)+COUNTIF(Manhole_Register!$A$5:$A$304,A1564)+COUNTIF(ERSS_Pit_Register!$A$5:$A$304,A1564)+COUNTIF(Linkway_Register!$A$5:$A$304,A1564)+COUNTIF(Other_Register!$A$5:$A$304,A1564))&gt;0,"OK","ID not in any register"))</f>
        <v/>
      </c>
    </row>
    <row r="1565" customFormat="false" ht="15" hidden="false" customHeight="false" outlineLevel="0" collapsed="false">
      <c r="A1565" s="9"/>
      <c r="B1565" s="9"/>
      <c r="C1565" s="9"/>
      <c r="D1565" s="9"/>
      <c r="E1565" s="9"/>
      <c r="F1565" s="9"/>
      <c r="G1565" s="9"/>
      <c r="H1565" s="9"/>
      <c r="I1565" s="9"/>
      <c r="J1565" s="10" t="str">
        <f aca="false">IF(A1565="","",IF(G1565&lt;&gt;"",G1565,IF(N(F1565)&gt;0,ROUND(1000/F1565,3),0)))</f>
        <v/>
      </c>
      <c r="K1565" s="10" t="str">
        <f aca="false">IF(OR(A1565="",E1565="",H1565=""),"",ROUND(0.00617*E1565^2*H1565*J1565,2))</f>
        <v/>
      </c>
      <c r="L1565" s="9"/>
      <c r="M1565" s="10" t="str">
        <f aca="false">IF(A1565="","",IF((COUNTIF(Drain_Register!$A$5:$A$304,A1565)+COUNTIF(RW_Register!$A$5:$A$304,A1565)+COUNTIF(Embedded_Wall_Register!$A$5:$A$304,A1565)+COUNTIF(Manhole_Register!$A$5:$A$304,A1565)+COUNTIF(ERSS_Pit_Register!$A$5:$A$304,A1565)+COUNTIF(Linkway_Register!$A$5:$A$304,A1565)+COUNTIF(Other_Register!$A$5:$A$304,A1565))&gt;0,"OK","ID not in any register"))</f>
        <v/>
      </c>
    </row>
    <row r="1566" customFormat="false" ht="15" hidden="false" customHeight="false" outlineLevel="0" collapsed="false">
      <c r="A1566" s="9"/>
      <c r="B1566" s="9"/>
      <c r="C1566" s="9"/>
      <c r="D1566" s="9"/>
      <c r="E1566" s="9"/>
      <c r="F1566" s="9"/>
      <c r="G1566" s="9"/>
      <c r="H1566" s="9"/>
      <c r="I1566" s="9"/>
      <c r="J1566" s="10" t="str">
        <f aca="false">IF(A1566="","",IF(G1566&lt;&gt;"",G1566,IF(N(F1566)&gt;0,ROUND(1000/F1566,3),0)))</f>
        <v/>
      </c>
      <c r="K1566" s="10" t="str">
        <f aca="false">IF(OR(A1566="",E1566="",H1566=""),"",ROUND(0.00617*E1566^2*H1566*J1566,2))</f>
        <v/>
      </c>
      <c r="L1566" s="9"/>
      <c r="M1566" s="10" t="str">
        <f aca="false">IF(A1566="","",IF((COUNTIF(Drain_Register!$A$5:$A$304,A1566)+COUNTIF(RW_Register!$A$5:$A$304,A1566)+COUNTIF(Embedded_Wall_Register!$A$5:$A$304,A1566)+COUNTIF(Manhole_Register!$A$5:$A$304,A1566)+COUNTIF(ERSS_Pit_Register!$A$5:$A$304,A1566)+COUNTIF(Linkway_Register!$A$5:$A$304,A1566)+COUNTIF(Other_Register!$A$5:$A$304,A1566))&gt;0,"OK","ID not in any register"))</f>
        <v/>
      </c>
    </row>
    <row r="1567" customFormat="false" ht="15" hidden="false" customHeight="false" outlineLevel="0" collapsed="false">
      <c r="A1567" s="9"/>
      <c r="B1567" s="9"/>
      <c r="C1567" s="9"/>
      <c r="D1567" s="9"/>
      <c r="E1567" s="9"/>
      <c r="F1567" s="9"/>
      <c r="G1567" s="9"/>
      <c r="H1567" s="9"/>
      <c r="I1567" s="9"/>
      <c r="J1567" s="10" t="str">
        <f aca="false">IF(A1567="","",IF(G1567&lt;&gt;"",G1567,IF(N(F1567)&gt;0,ROUND(1000/F1567,3),0)))</f>
        <v/>
      </c>
      <c r="K1567" s="10" t="str">
        <f aca="false">IF(OR(A1567="",E1567="",H1567=""),"",ROUND(0.00617*E1567^2*H1567*J1567,2))</f>
        <v/>
      </c>
      <c r="L1567" s="9"/>
      <c r="M1567" s="10" t="str">
        <f aca="false">IF(A1567="","",IF((COUNTIF(Drain_Register!$A$5:$A$304,A1567)+COUNTIF(RW_Register!$A$5:$A$304,A1567)+COUNTIF(Embedded_Wall_Register!$A$5:$A$304,A1567)+COUNTIF(Manhole_Register!$A$5:$A$304,A1567)+COUNTIF(ERSS_Pit_Register!$A$5:$A$304,A1567)+COUNTIF(Linkway_Register!$A$5:$A$304,A1567)+COUNTIF(Other_Register!$A$5:$A$304,A1567))&gt;0,"OK","ID not in any register"))</f>
        <v/>
      </c>
    </row>
    <row r="1568" customFormat="false" ht="15" hidden="false" customHeight="false" outlineLevel="0" collapsed="false">
      <c r="A1568" s="9"/>
      <c r="B1568" s="9"/>
      <c r="C1568" s="9"/>
      <c r="D1568" s="9"/>
      <c r="E1568" s="9"/>
      <c r="F1568" s="9"/>
      <c r="G1568" s="9"/>
      <c r="H1568" s="9"/>
      <c r="I1568" s="9"/>
      <c r="J1568" s="10" t="str">
        <f aca="false">IF(A1568="","",IF(G1568&lt;&gt;"",G1568,IF(N(F1568)&gt;0,ROUND(1000/F1568,3),0)))</f>
        <v/>
      </c>
      <c r="K1568" s="10" t="str">
        <f aca="false">IF(OR(A1568="",E1568="",H1568=""),"",ROUND(0.00617*E1568^2*H1568*J1568,2))</f>
        <v/>
      </c>
      <c r="L1568" s="9"/>
      <c r="M1568" s="10" t="str">
        <f aca="false">IF(A1568="","",IF((COUNTIF(Drain_Register!$A$5:$A$304,A1568)+COUNTIF(RW_Register!$A$5:$A$304,A1568)+COUNTIF(Embedded_Wall_Register!$A$5:$A$304,A1568)+COUNTIF(Manhole_Register!$A$5:$A$304,A1568)+COUNTIF(ERSS_Pit_Register!$A$5:$A$304,A1568)+COUNTIF(Linkway_Register!$A$5:$A$304,A1568)+COUNTIF(Other_Register!$A$5:$A$304,A1568))&gt;0,"OK","ID not in any register"))</f>
        <v/>
      </c>
    </row>
    <row r="1569" customFormat="false" ht="15" hidden="false" customHeight="false" outlineLevel="0" collapsed="false">
      <c r="A1569" s="9"/>
      <c r="B1569" s="9"/>
      <c r="C1569" s="9"/>
      <c r="D1569" s="9"/>
      <c r="E1569" s="9"/>
      <c r="F1569" s="9"/>
      <c r="G1569" s="9"/>
      <c r="H1569" s="9"/>
      <c r="I1569" s="9"/>
      <c r="J1569" s="10" t="str">
        <f aca="false">IF(A1569="","",IF(G1569&lt;&gt;"",G1569,IF(N(F1569)&gt;0,ROUND(1000/F1569,3),0)))</f>
        <v/>
      </c>
      <c r="K1569" s="10" t="str">
        <f aca="false">IF(OR(A1569="",E1569="",H1569=""),"",ROUND(0.00617*E1569^2*H1569*J1569,2))</f>
        <v/>
      </c>
      <c r="L1569" s="9"/>
      <c r="M1569" s="10" t="str">
        <f aca="false">IF(A1569="","",IF((COUNTIF(Drain_Register!$A$5:$A$304,A1569)+COUNTIF(RW_Register!$A$5:$A$304,A1569)+COUNTIF(Embedded_Wall_Register!$A$5:$A$304,A1569)+COUNTIF(Manhole_Register!$A$5:$A$304,A1569)+COUNTIF(ERSS_Pit_Register!$A$5:$A$304,A1569)+COUNTIF(Linkway_Register!$A$5:$A$304,A1569)+COUNTIF(Other_Register!$A$5:$A$304,A1569))&gt;0,"OK","ID not in any register"))</f>
        <v/>
      </c>
    </row>
    <row r="1570" customFormat="false" ht="15" hidden="false" customHeight="false" outlineLevel="0" collapsed="false">
      <c r="A1570" s="9"/>
      <c r="B1570" s="9"/>
      <c r="C1570" s="9"/>
      <c r="D1570" s="9"/>
      <c r="E1570" s="9"/>
      <c r="F1570" s="9"/>
      <c r="G1570" s="9"/>
      <c r="H1570" s="9"/>
      <c r="I1570" s="9"/>
      <c r="J1570" s="10" t="str">
        <f aca="false">IF(A1570="","",IF(G1570&lt;&gt;"",G1570,IF(N(F1570)&gt;0,ROUND(1000/F1570,3),0)))</f>
        <v/>
      </c>
      <c r="K1570" s="10" t="str">
        <f aca="false">IF(OR(A1570="",E1570="",H1570=""),"",ROUND(0.00617*E1570^2*H1570*J1570,2))</f>
        <v/>
      </c>
      <c r="L1570" s="9"/>
      <c r="M1570" s="10" t="str">
        <f aca="false">IF(A1570="","",IF((COUNTIF(Drain_Register!$A$5:$A$304,A1570)+COUNTIF(RW_Register!$A$5:$A$304,A1570)+COUNTIF(Embedded_Wall_Register!$A$5:$A$304,A1570)+COUNTIF(Manhole_Register!$A$5:$A$304,A1570)+COUNTIF(ERSS_Pit_Register!$A$5:$A$304,A1570)+COUNTIF(Linkway_Register!$A$5:$A$304,A1570)+COUNTIF(Other_Register!$A$5:$A$304,A1570))&gt;0,"OK","ID not in any register"))</f>
        <v/>
      </c>
    </row>
    <row r="1571" customFormat="false" ht="15" hidden="false" customHeight="false" outlineLevel="0" collapsed="false">
      <c r="A1571" s="9"/>
      <c r="B1571" s="9"/>
      <c r="C1571" s="9"/>
      <c r="D1571" s="9"/>
      <c r="E1571" s="9"/>
      <c r="F1571" s="9"/>
      <c r="G1571" s="9"/>
      <c r="H1571" s="9"/>
      <c r="I1571" s="9"/>
      <c r="J1571" s="10" t="str">
        <f aca="false">IF(A1571="","",IF(G1571&lt;&gt;"",G1571,IF(N(F1571)&gt;0,ROUND(1000/F1571,3),0)))</f>
        <v/>
      </c>
      <c r="K1571" s="10" t="str">
        <f aca="false">IF(OR(A1571="",E1571="",H1571=""),"",ROUND(0.00617*E1571^2*H1571*J1571,2))</f>
        <v/>
      </c>
      <c r="L1571" s="9"/>
      <c r="M1571" s="10" t="str">
        <f aca="false">IF(A1571="","",IF((COUNTIF(Drain_Register!$A$5:$A$304,A1571)+COUNTIF(RW_Register!$A$5:$A$304,A1571)+COUNTIF(Embedded_Wall_Register!$A$5:$A$304,A1571)+COUNTIF(Manhole_Register!$A$5:$A$304,A1571)+COUNTIF(ERSS_Pit_Register!$A$5:$A$304,A1571)+COUNTIF(Linkway_Register!$A$5:$A$304,A1571)+COUNTIF(Other_Register!$A$5:$A$304,A1571))&gt;0,"OK","ID not in any register"))</f>
        <v/>
      </c>
    </row>
    <row r="1572" customFormat="false" ht="15" hidden="false" customHeight="false" outlineLevel="0" collapsed="false">
      <c r="A1572" s="9"/>
      <c r="B1572" s="9"/>
      <c r="C1572" s="9"/>
      <c r="D1572" s="9"/>
      <c r="E1572" s="9"/>
      <c r="F1572" s="9"/>
      <c r="G1572" s="9"/>
      <c r="H1572" s="9"/>
      <c r="I1572" s="9"/>
      <c r="J1572" s="10" t="str">
        <f aca="false">IF(A1572="","",IF(G1572&lt;&gt;"",G1572,IF(N(F1572)&gt;0,ROUND(1000/F1572,3),0)))</f>
        <v/>
      </c>
      <c r="K1572" s="10" t="str">
        <f aca="false">IF(OR(A1572="",E1572="",H1572=""),"",ROUND(0.00617*E1572^2*H1572*J1572,2))</f>
        <v/>
      </c>
      <c r="L1572" s="9"/>
      <c r="M1572" s="10" t="str">
        <f aca="false">IF(A1572="","",IF((COUNTIF(Drain_Register!$A$5:$A$304,A1572)+COUNTIF(RW_Register!$A$5:$A$304,A1572)+COUNTIF(Embedded_Wall_Register!$A$5:$A$304,A1572)+COUNTIF(Manhole_Register!$A$5:$A$304,A1572)+COUNTIF(ERSS_Pit_Register!$A$5:$A$304,A1572)+COUNTIF(Linkway_Register!$A$5:$A$304,A1572)+COUNTIF(Other_Register!$A$5:$A$304,A1572))&gt;0,"OK","ID not in any register"))</f>
        <v/>
      </c>
    </row>
    <row r="1573" customFormat="false" ht="15" hidden="false" customHeight="false" outlineLevel="0" collapsed="false">
      <c r="A1573" s="9"/>
      <c r="B1573" s="9"/>
      <c r="C1573" s="9"/>
      <c r="D1573" s="9"/>
      <c r="E1573" s="9"/>
      <c r="F1573" s="9"/>
      <c r="G1573" s="9"/>
      <c r="H1573" s="9"/>
      <c r="I1573" s="9"/>
      <c r="J1573" s="10" t="str">
        <f aca="false">IF(A1573="","",IF(G1573&lt;&gt;"",G1573,IF(N(F1573)&gt;0,ROUND(1000/F1573,3),0)))</f>
        <v/>
      </c>
      <c r="K1573" s="10" t="str">
        <f aca="false">IF(OR(A1573="",E1573="",H1573=""),"",ROUND(0.00617*E1573^2*H1573*J1573,2))</f>
        <v/>
      </c>
      <c r="L1573" s="9"/>
      <c r="M1573" s="10" t="str">
        <f aca="false">IF(A1573="","",IF((COUNTIF(Drain_Register!$A$5:$A$304,A1573)+COUNTIF(RW_Register!$A$5:$A$304,A1573)+COUNTIF(Embedded_Wall_Register!$A$5:$A$304,A1573)+COUNTIF(Manhole_Register!$A$5:$A$304,A1573)+COUNTIF(ERSS_Pit_Register!$A$5:$A$304,A1573)+COUNTIF(Linkway_Register!$A$5:$A$304,A1573)+COUNTIF(Other_Register!$A$5:$A$304,A1573))&gt;0,"OK","ID not in any register"))</f>
        <v/>
      </c>
    </row>
    <row r="1574" customFormat="false" ht="15" hidden="false" customHeight="false" outlineLevel="0" collapsed="false">
      <c r="A1574" s="9"/>
      <c r="B1574" s="9"/>
      <c r="C1574" s="9"/>
      <c r="D1574" s="9"/>
      <c r="E1574" s="9"/>
      <c r="F1574" s="9"/>
      <c r="G1574" s="9"/>
      <c r="H1574" s="9"/>
      <c r="I1574" s="9"/>
      <c r="J1574" s="10" t="str">
        <f aca="false">IF(A1574="","",IF(G1574&lt;&gt;"",G1574,IF(N(F1574)&gt;0,ROUND(1000/F1574,3),0)))</f>
        <v/>
      </c>
      <c r="K1574" s="10" t="str">
        <f aca="false">IF(OR(A1574="",E1574="",H1574=""),"",ROUND(0.00617*E1574^2*H1574*J1574,2))</f>
        <v/>
      </c>
      <c r="L1574" s="9"/>
      <c r="M1574" s="10" t="str">
        <f aca="false">IF(A1574="","",IF((COUNTIF(Drain_Register!$A$5:$A$304,A1574)+COUNTIF(RW_Register!$A$5:$A$304,A1574)+COUNTIF(Embedded_Wall_Register!$A$5:$A$304,A1574)+COUNTIF(Manhole_Register!$A$5:$A$304,A1574)+COUNTIF(ERSS_Pit_Register!$A$5:$A$304,A1574)+COUNTIF(Linkway_Register!$A$5:$A$304,A1574)+COUNTIF(Other_Register!$A$5:$A$304,A1574))&gt;0,"OK","ID not in any register"))</f>
        <v/>
      </c>
    </row>
    <row r="1575" customFormat="false" ht="15" hidden="false" customHeight="false" outlineLevel="0" collapsed="false">
      <c r="A1575" s="9"/>
      <c r="B1575" s="9"/>
      <c r="C1575" s="9"/>
      <c r="D1575" s="9"/>
      <c r="E1575" s="9"/>
      <c r="F1575" s="9"/>
      <c r="G1575" s="9"/>
      <c r="H1575" s="9"/>
      <c r="I1575" s="9"/>
      <c r="J1575" s="10" t="str">
        <f aca="false">IF(A1575="","",IF(G1575&lt;&gt;"",G1575,IF(N(F1575)&gt;0,ROUND(1000/F1575,3),0)))</f>
        <v/>
      </c>
      <c r="K1575" s="10" t="str">
        <f aca="false">IF(OR(A1575="",E1575="",H1575=""),"",ROUND(0.00617*E1575^2*H1575*J1575,2))</f>
        <v/>
      </c>
      <c r="L1575" s="9"/>
      <c r="M1575" s="10" t="str">
        <f aca="false">IF(A1575="","",IF((COUNTIF(Drain_Register!$A$5:$A$304,A1575)+COUNTIF(RW_Register!$A$5:$A$304,A1575)+COUNTIF(Embedded_Wall_Register!$A$5:$A$304,A1575)+COUNTIF(Manhole_Register!$A$5:$A$304,A1575)+COUNTIF(ERSS_Pit_Register!$A$5:$A$304,A1575)+COUNTIF(Linkway_Register!$A$5:$A$304,A1575)+COUNTIF(Other_Register!$A$5:$A$304,A1575))&gt;0,"OK","ID not in any register"))</f>
        <v/>
      </c>
    </row>
    <row r="1576" customFormat="false" ht="15" hidden="false" customHeight="false" outlineLevel="0" collapsed="false">
      <c r="A1576" s="9"/>
      <c r="B1576" s="9"/>
      <c r="C1576" s="9"/>
      <c r="D1576" s="9"/>
      <c r="E1576" s="9"/>
      <c r="F1576" s="9"/>
      <c r="G1576" s="9"/>
      <c r="H1576" s="9"/>
      <c r="I1576" s="9"/>
      <c r="J1576" s="10" t="str">
        <f aca="false">IF(A1576="","",IF(G1576&lt;&gt;"",G1576,IF(N(F1576)&gt;0,ROUND(1000/F1576,3),0)))</f>
        <v/>
      </c>
      <c r="K1576" s="10" t="str">
        <f aca="false">IF(OR(A1576="",E1576="",H1576=""),"",ROUND(0.00617*E1576^2*H1576*J1576,2))</f>
        <v/>
      </c>
      <c r="L1576" s="9"/>
      <c r="M1576" s="10" t="str">
        <f aca="false">IF(A1576="","",IF((COUNTIF(Drain_Register!$A$5:$A$304,A1576)+COUNTIF(RW_Register!$A$5:$A$304,A1576)+COUNTIF(Embedded_Wall_Register!$A$5:$A$304,A1576)+COUNTIF(Manhole_Register!$A$5:$A$304,A1576)+COUNTIF(ERSS_Pit_Register!$A$5:$A$304,A1576)+COUNTIF(Linkway_Register!$A$5:$A$304,A1576)+COUNTIF(Other_Register!$A$5:$A$304,A1576))&gt;0,"OK","ID not in any register"))</f>
        <v/>
      </c>
    </row>
    <row r="1577" customFormat="false" ht="15" hidden="false" customHeight="false" outlineLevel="0" collapsed="false">
      <c r="A1577" s="9"/>
      <c r="B1577" s="9"/>
      <c r="C1577" s="9"/>
      <c r="D1577" s="9"/>
      <c r="E1577" s="9"/>
      <c r="F1577" s="9"/>
      <c r="G1577" s="9"/>
      <c r="H1577" s="9"/>
      <c r="I1577" s="9"/>
      <c r="J1577" s="10" t="str">
        <f aca="false">IF(A1577="","",IF(G1577&lt;&gt;"",G1577,IF(N(F1577)&gt;0,ROUND(1000/F1577,3),0)))</f>
        <v/>
      </c>
      <c r="K1577" s="10" t="str">
        <f aca="false">IF(OR(A1577="",E1577="",H1577=""),"",ROUND(0.00617*E1577^2*H1577*J1577,2))</f>
        <v/>
      </c>
      <c r="L1577" s="9"/>
      <c r="M1577" s="10" t="str">
        <f aca="false">IF(A1577="","",IF((COUNTIF(Drain_Register!$A$5:$A$304,A1577)+COUNTIF(RW_Register!$A$5:$A$304,A1577)+COUNTIF(Embedded_Wall_Register!$A$5:$A$304,A1577)+COUNTIF(Manhole_Register!$A$5:$A$304,A1577)+COUNTIF(ERSS_Pit_Register!$A$5:$A$304,A1577)+COUNTIF(Linkway_Register!$A$5:$A$304,A1577)+COUNTIF(Other_Register!$A$5:$A$304,A1577))&gt;0,"OK","ID not in any register"))</f>
        <v/>
      </c>
    </row>
    <row r="1578" customFormat="false" ht="15" hidden="false" customHeight="false" outlineLevel="0" collapsed="false">
      <c r="A1578" s="9"/>
      <c r="B1578" s="9"/>
      <c r="C1578" s="9"/>
      <c r="D1578" s="9"/>
      <c r="E1578" s="9"/>
      <c r="F1578" s="9"/>
      <c r="G1578" s="9"/>
      <c r="H1578" s="9"/>
      <c r="I1578" s="9"/>
      <c r="J1578" s="10" t="str">
        <f aca="false">IF(A1578="","",IF(G1578&lt;&gt;"",G1578,IF(N(F1578)&gt;0,ROUND(1000/F1578,3),0)))</f>
        <v/>
      </c>
      <c r="K1578" s="10" t="str">
        <f aca="false">IF(OR(A1578="",E1578="",H1578=""),"",ROUND(0.00617*E1578^2*H1578*J1578,2))</f>
        <v/>
      </c>
      <c r="L1578" s="9"/>
      <c r="M1578" s="10" t="str">
        <f aca="false">IF(A1578="","",IF((COUNTIF(Drain_Register!$A$5:$A$304,A1578)+COUNTIF(RW_Register!$A$5:$A$304,A1578)+COUNTIF(Embedded_Wall_Register!$A$5:$A$304,A1578)+COUNTIF(Manhole_Register!$A$5:$A$304,A1578)+COUNTIF(ERSS_Pit_Register!$A$5:$A$304,A1578)+COUNTIF(Linkway_Register!$A$5:$A$304,A1578)+COUNTIF(Other_Register!$A$5:$A$304,A1578))&gt;0,"OK","ID not in any register"))</f>
        <v/>
      </c>
    </row>
    <row r="1579" customFormat="false" ht="15" hidden="false" customHeight="false" outlineLevel="0" collapsed="false">
      <c r="A1579" s="9"/>
      <c r="B1579" s="9"/>
      <c r="C1579" s="9"/>
      <c r="D1579" s="9"/>
      <c r="E1579" s="9"/>
      <c r="F1579" s="9"/>
      <c r="G1579" s="9"/>
      <c r="H1579" s="9"/>
      <c r="I1579" s="9"/>
      <c r="J1579" s="10" t="str">
        <f aca="false">IF(A1579="","",IF(G1579&lt;&gt;"",G1579,IF(N(F1579)&gt;0,ROUND(1000/F1579,3),0)))</f>
        <v/>
      </c>
      <c r="K1579" s="10" t="str">
        <f aca="false">IF(OR(A1579="",E1579="",H1579=""),"",ROUND(0.00617*E1579^2*H1579*J1579,2))</f>
        <v/>
      </c>
      <c r="L1579" s="9"/>
      <c r="M1579" s="10" t="str">
        <f aca="false">IF(A1579="","",IF((COUNTIF(Drain_Register!$A$5:$A$304,A1579)+COUNTIF(RW_Register!$A$5:$A$304,A1579)+COUNTIF(Embedded_Wall_Register!$A$5:$A$304,A1579)+COUNTIF(Manhole_Register!$A$5:$A$304,A1579)+COUNTIF(ERSS_Pit_Register!$A$5:$A$304,A1579)+COUNTIF(Linkway_Register!$A$5:$A$304,A1579)+COUNTIF(Other_Register!$A$5:$A$304,A1579))&gt;0,"OK","ID not in any register"))</f>
        <v/>
      </c>
    </row>
    <row r="1580" customFormat="false" ht="15" hidden="false" customHeight="false" outlineLevel="0" collapsed="false">
      <c r="A1580" s="9"/>
      <c r="B1580" s="9"/>
      <c r="C1580" s="9"/>
      <c r="D1580" s="9"/>
      <c r="E1580" s="9"/>
      <c r="F1580" s="9"/>
      <c r="G1580" s="9"/>
      <c r="H1580" s="9"/>
      <c r="I1580" s="9"/>
      <c r="J1580" s="10" t="str">
        <f aca="false">IF(A1580="","",IF(G1580&lt;&gt;"",G1580,IF(N(F1580)&gt;0,ROUND(1000/F1580,3),0)))</f>
        <v/>
      </c>
      <c r="K1580" s="10" t="str">
        <f aca="false">IF(OR(A1580="",E1580="",H1580=""),"",ROUND(0.00617*E1580^2*H1580*J1580,2))</f>
        <v/>
      </c>
      <c r="L1580" s="9"/>
      <c r="M1580" s="10" t="str">
        <f aca="false">IF(A1580="","",IF((COUNTIF(Drain_Register!$A$5:$A$304,A1580)+COUNTIF(RW_Register!$A$5:$A$304,A1580)+COUNTIF(Embedded_Wall_Register!$A$5:$A$304,A1580)+COUNTIF(Manhole_Register!$A$5:$A$304,A1580)+COUNTIF(ERSS_Pit_Register!$A$5:$A$304,A1580)+COUNTIF(Linkway_Register!$A$5:$A$304,A1580)+COUNTIF(Other_Register!$A$5:$A$304,A1580))&gt;0,"OK","ID not in any register"))</f>
        <v/>
      </c>
    </row>
    <row r="1581" customFormat="false" ht="15" hidden="false" customHeight="false" outlineLevel="0" collapsed="false">
      <c r="A1581" s="9"/>
      <c r="B1581" s="9"/>
      <c r="C1581" s="9"/>
      <c r="D1581" s="9"/>
      <c r="E1581" s="9"/>
      <c r="F1581" s="9"/>
      <c r="G1581" s="9"/>
      <c r="H1581" s="9"/>
      <c r="I1581" s="9"/>
      <c r="J1581" s="10" t="str">
        <f aca="false">IF(A1581="","",IF(G1581&lt;&gt;"",G1581,IF(N(F1581)&gt;0,ROUND(1000/F1581,3),0)))</f>
        <v/>
      </c>
      <c r="K1581" s="10" t="str">
        <f aca="false">IF(OR(A1581="",E1581="",H1581=""),"",ROUND(0.00617*E1581^2*H1581*J1581,2))</f>
        <v/>
      </c>
      <c r="L1581" s="9"/>
      <c r="M1581" s="10" t="str">
        <f aca="false">IF(A1581="","",IF((COUNTIF(Drain_Register!$A$5:$A$304,A1581)+COUNTIF(RW_Register!$A$5:$A$304,A1581)+COUNTIF(Embedded_Wall_Register!$A$5:$A$304,A1581)+COUNTIF(Manhole_Register!$A$5:$A$304,A1581)+COUNTIF(ERSS_Pit_Register!$A$5:$A$304,A1581)+COUNTIF(Linkway_Register!$A$5:$A$304,A1581)+COUNTIF(Other_Register!$A$5:$A$304,A1581))&gt;0,"OK","ID not in any register"))</f>
        <v/>
      </c>
    </row>
    <row r="1582" customFormat="false" ht="15" hidden="false" customHeight="false" outlineLevel="0" collapsed="false">
      <c r="A1582" s="9"/>
      <c r="B1582" s="9"/>
      <c r="C1582" s="9"/>
      <c r="D1582" s="9"/>
      <c r="E1582" s="9"/>
      <c r="F1582" s="9"/>
      <c r="G1582" s="9"/>
      <c r="H1582" s="9"/>
      <c r="I1582" s="9"/>
      <c r="J1582" s="10" t="str">
        <f aca="false">IF(A1582="","",IF(G1582&lt;&gt;"",G1582,IF(N(F1582)&gt;0,ROUND(1000/F1582,3),0)))</f>
        <v/>
      </c>
      <c r="K1582" s="10" t="str">
        <f aca="false">IF(OR(A1582="",E1582="",H1582=""),"",ROUND(0.00617*E1582^2*H1582*J1582,2))</f>
        <v/>
      </c>
      <c r="L1582" s="9"/>
      <c r="M1582" s="10" t="str">
        <f aca="false">IF(A1582="","",IF((COUNTIF(Drain_Register!$A$5:$A$304,A1582)+COUNTIF(RW_Register!$A$5:$A$304,A1582)+COUNTIF(Embedded_Wall_Register!$A$5:$A$304,A1582)+COUNTIF(Manhole_Register!$A$5:$A$304,A1582)+COUNTIF(ERSS_Pit_Register!$A$5:$A$304,A1582)+COUNTIF(Linkway_Register!$A$5:$A$304,A1582)+COUNTIF(Other_Register!$A$5:$A$304,A1582))&gt;0,"OK","ID not in any register"))</f>
        <v/>
      </c>
    </row>
    <row r="1583" customFormat="false" ht="15" hidden="false" customHeight="false" outlineLevel="0" collapsed="false">
      <c r="A1583" s="9"/>
      <c r="B1583" s="9"/>
      <c r="C1583" s="9"/>
      <c r="D1583" s="9"/>
      <c r="E1583" s="9"/>
      <c r="F1583" s="9"/>
      <c r="G1583" s="9"/>
      <c r="H1583" s="9"/>
      <c r="I1583" s="9"/>
      <c r="J1583" s="10" t="str">
        <f aca="false">IF(A1583="","",IF(G1583&lt;&gt;"",G1583,IF(N(F1583)&gt;0,ROUND(1000/F1583,3),0)))</f>
        <v/>
      </c>
      <c r="K1583" s="10" t="str">
        <f aca="false">IF(OR(A1583="",E1583="",H1583=""),"",ROUND(0.00617*E1583^2*H1583*J1583,2))</f>
        <v/>
      </c>
      <c r="L1583" s="9"/>
      <c r="M1583" s="10" t="str">
        <f aca="false">IF(A1583="","",IF((COUNTIF(Drain_Register!$A$5:$A$304,A1583)+COUNTIF(RW_Register!$A$5:$A$304,A1583)+COUNTIF(Embedded_Wall_Register!$A$5:$A$304,A1583)+COUNTIF(Manhole_Register!$A$5:$A$304,A1583)+COUNTIF(ERSS_Pit_Register!$A$5:$A$304,A1583)+COUNTIF(Linkway_Register!$A$5:$A$304,A1583)+COUNTIF(Other_Register!$A$5:$A$304,A1583))&gt;0,"OK","ID not in any register"))</f>
        <v/>
      </c>
    </row>
    <row r="1584" customFormat="false" ht="15" hidden="false" customHeight="false" outlineLevel="0" collapsed="false">
      <c r="A1584" s="9"/>
      <c r="B1584" s="9"/>
      <c r="C1584" s="9"/>
      <c r="D1584" s="9"/>
      <c r="E1584" s="9"/>
      <c r="F1584" s="9"/>
      <c r="G1584" s="9"/>
      <c r="H1584" s="9"/>
      <c r="I1584" s="9"/>
      <c r="J1584" s="10" t="str">
        <f aca="false">IF(A1584="","",IF(G1584&lt;&gt;"",G1584,IF(N(F1584)&gt;0,ROUND(1000/F1584,3),0)))</f>
        <v/>
      </c>
      <c r="K1584" s="10" t="str">
        <f aca="false">IF(OR(A1584="",E1584="",H1584=""),"",ROUND(0.00617*E1584^2*H1584*J1584,2))</f>
        <v/>
      </c>
      <c r="L1584" s="9"/>
      <c r="M1584" s="10" t="str">
        <f aca="false">IF(A1584="","",IF((COUNTIF(Drain_Register!$A$5:$A$304,A1584)+COUNTIF(RW_Register!$A$5:$A$304,A1584)+COUNTIF(Embedded_Wall_Register!$A$5:$A$304,A1584)+COUNTIF(Manhole_Register!$A$5:$A$304,A1584)+COUNTIF(ERSS_Pit_Register!$A$5:$A$304,A1584)+COUNTIF(Linkway_Register!$A$5:$A$304,A1584)+COUNTIF(Other_Register!$A$5:$A$304,A1584))&gt;0,"OK","ID not in any register"))</f>
        <v/>
      </c>
    </row>
    <row r="1585" customFormat="false" ht="15" hidden="false" customHeight="false" outlineLevel="0" collapsed="false">
      <c r="A1585" s="9"/>
      <c r="B1585" s="9"/>
      <c r="C1585" s="9"/>
      <c r="D1585" s="9"/>
      <c r="E1585" s="9"/>
      <c r="F1585" s="9"/>
      <c r="G1585" s="9"/>
      <c r="H1585" s="9"/>
      <c r="I1585" s="9"/>
      <c r="J1585" s="10" t="str">
        <f aca="false">IF(A1585="","",IF(G1585&lt;&gt;"",G1585,IF(N(F1585)&gt;0,ROUND(1000/F1585,3),0)))</f>
        <v/>
      </c>
      <c r="K1585" s="10" t="str">
        <f aca="false">IF(OR(A1585="",E1585="",H1585=""),"",ROUND(0.00617*E1585^2*H1585*J1585,2))</f>
        <v/>
      </c>
      <c r="L1585" s="9"/>
      <c r="M1585" s="10" t="str">
        <f aca="false">IF(A1585="","",IF((COUNTIF(Drain_Register!$A$5:$A$304,A1585)+COUNTIF(RW_Register!$A$5:$A$304,A1585)+COUNTIF(Embedded_Wall_Register!$A$5:$A$304,A1585)+COUNTIF(Manhole_Register!$A$5:$A$304,A1585)+COUNTIF(ERSS_Pit_Register!$A$5:$A$304,A1585)+COUNTIF(Linkway_Register!$A$5:$A$304,A1585)+COUNTIF(Other_Register!$A$5:$A$304,A1585))&gt;0,"OK","ID not in any register"))</f>
        <v/>
      </c>
    </row>
    <row r="1586" customFormat="false" ht="15" hidden="false" customHeight="false" outlineLevel="0" collapsed="false">
      <c r="A1586" s="9"/>
      <c r="B1586" s="9"/>
      <c r="C1586" s="9"/>
      <c r="D1586" s="9"/>
      <c r="E1586" s="9"/>
      <c r="F1586" s="9"/>
      <c r="G1586" s="9"/>
      <c r="H1586" s="9"/>
      <c r="I1586" s="9"/>
      <c r="J1586" s="10" t="str">
        <f aca="false">IF(A1586="","",IF(G1586&lt;&gt;"",G1586,IF(N(F1586)&gt;0,ROUND(1000/F1586,3),0)))</f>
        <v/>
      </c>
      <c r="K1586" s="10" t="str">
        <f aca="false">IF(OR(A1586="",E1586="",H1586=""),"",ROUND(0.00617*E1586^2*H1586*J1586,2))</f>
        <v/>
      </c>
      <c r="L1586" s="9"/>
      <c r="M1586" s="10" t="str">
        <f aca="false">IF(A1586="","",IF((COUNTIF(Drain_Register!$A$5:$A$304,A1586)+COUNTIF(RW_Register!$A$5:$A$304,A1586)+COUNTIF(Embedded_Wall_Register!$A$5:$A$304,A1586)+COUNTIF(Manhole_Register!$A$5:$A$304,A1586)+COUNTIF(ERSS_Pit_Register!$A$5:$A$304,A1586)+COUNTIF(Linkway_Register!$A$5:$A$304,A1586)+COUNTIF(Other_Register!$A$5:$A$304,A1586))&gt;0,"OK","ID not in any register"))</f>
        <v/>
      </c>
    </row>
    <row r="1587" customFormat="false" ht="15" hidden="false" customHeight="false" outlineLevel="0" collapsed="false">
      <c r="A1587" s="9"/>
      <c r="B1587" s="9"/>
      <c r="C1587" s="9"/>
      <c r="D1587" s="9"/>
      <c r="E1587" s="9"/>
      <c r="F1587" s="9"/>
      <c r="G1587" s="9"/>
      <c r="H1587" s="9"/>
      <c r="I1587" s="9"/>
      <c r="J1587" s="10" t="str">
        <f aca="false">IF(A1587="","",IF(G1587&lt;&gt;"",G1587,IF(N(F1587)&gt;0,ROUND(1000/F1587,3),0)))</f>
        <v/>
      </c>
      <c r="K1587" s="10" t="str">
        <f aca="false">IF(OR(A1587="",E1587="",H1587=""),"",ROUND(0.00617*E1587^2*H1587*J1587,2))</f>
        <v/>
      </c>
      <c r="L1587" s="9"/>
      <c r="M1587" s="10" t="str">
        <f aca="false">IF(A1587="","",IF((COUNTIF(Drain_Register!$A$5:$A$304,A1587)+COUNTIF(RW_Register!$A$5:$A$304,A1587)+COUNTIF(Embedded_Wall_Register!$A$5:$A$304,A1587)+COUNTIF(Manhole_Register!$A$5:$A$304,A1587)+COUNTIF(ERSS_Pit_Register!$A$5:$A$304,A1587)+COUNTIF(Linkway_Register!$A$5:$A$304,A1587)+COUNTIF(Other_Register!$A$5:$A$304,A1587))&gt;0,"OK","ID not in any register"))</f>
        <v/>
      </c>
    </row>
    <row r="1588" customFormat="false" ht="15" hidden="false" customHeight="false" outlineLevel="0" collapsed="false">
      <c r="A1588" s="9"/>
      <c r="B1588" s="9"/>
      <c r="C1588" s="9"/>
      <c r="D1588" s="9"/>
      <c r="E1588" s="9"/>
      <c r="F1588" s="9"/>
      <c r="G1588" s="9"/>
      <c r="H1588" s="9"/>
      <c r="I1588" s="9"/>
      <c r="J1588" s="10" t="str">
        <f aca="false">IF(A1588="","",IF(G1588&lt;&gt;"",G1588,IF(N(F1588)&gt;0,ROUND(1000/F1588,3),0)))</f>
        <v/>
      </c>
      <c r="K1588" s="10" t="str">
        <f aca="false">IF(OR(A1588="",E1588="",H1588=""),"",ROUND(0.00617*E1588^2*H1588*J1588,2))</f>
        <v/>
      </c>
      <c r="L1588" s="9"/>
      <c r="M1588" s="10" t="str">
        <f aca="false">IF(A1588="","",IF((COUNTIF(Drain_Register!$A$5:$A$304,A1588)+COUNTIF(RW_Register!$A$5:$A$304,A1588)+COUNTIF(Embedded_Wall_Register!$A$5:$A$304,A1588)+COUNTIF(Manhole_Register!$A$5:$A$304,A1588)+COUNTIF(ERSS_Pit_Register!$A$5:$A$304,A1588)+COUNTIF(Linkway_Register!$A$5:$A$304,A1588)+COUNTIF(Other_Register!$A$5:$A$304,A1588))&gt;0,"OK","ID not in any register"))</f>
        <v/>
      </c>
    </row>
    <row r="1589" customFormat="false" ht="15" hidden="false" customHeight="false" outlineLevel="0" collapsed="false">
      <c r="A1589" s="9"/>
      <c r="B1589" s="9"/>
      <c r="C1589" s="9"/>
      <c r="D1589" s="9"/>
      <c r="E1589" s="9"/>
      <c r="F1589" s="9"/>
      <c r="G1589" s="9"/>
      <c r="H1589" s="9"/>
      <c r="I1589" s="9"/>
      <c r="J1589" s="10" t="str">
        <f aca="false">IF(A1589="","",IF(G1589&lt;&gt;"",G1589,IF(N(F1589)&gt;0,ROUND(1000/F1589,3),0)))</f>
        <v/>
      </c>
      <c r="K1589" s="10" t="str">
        <f aca="false">IF(OR(A1589="",E1589="",H1589=""),"",ROUND(0.00617*E1589^2*H1589*J1589,2))</f>
        <v/>
      </c>
      <c r="L1589" s="9"/>
      <c r="M1589" s="10" t="str">
        <f aca="false">IF(A1589="","",IF((COUNTIF(Drain_Register!$A$5:$A$304,A1589)+COUNTIF(RW_Register!$A$5:$A$304,A1589)+COUNTIF(Embedded_Wall_Register!$A$5:$A$304,A1589)+COUNTIF(Manhole_Register!$A$5:$A$304,A1589)+COUNTIF(ERSS_Pit_Register!$A$5:$A$304,A1589)+COUNTIF(Linkway_Register!$A$5:$A$304,A1589)+COUNTIF(Other_Register!$A$5:$A$304,A1589))&gt;0,"OK","ID not in any register"))</f>
        <v/>
      </c>
    </row>
    <row r="1590" customFormat="false" ht="15" hidden="false" customHeight="false" outlineLevel="0" collapsed="false">
      <c r="A1590" s="9"/>
      <c r="B1590" s="9"/>
      <c r="C1590" s="9"/>
      <c r="D1590" s="9"/>
      <c r="E1590" s="9"/>
      <c r="F1590" s="9"/>
      <c r="G1590" s="9"/>
      <c r="H1590" s="9"/>
      <c r="I1590" s="9"/>
      <c r="J1590" s="10" t="str">
        <f aca="false">IF(A1590="","",IF(G1590&lt;&gt;"",G1590,IF(N(F1590)&gt;0,ROUND(1000/F1590,3),0)))</f>
        <v/>
      </c>
      <c r="K1590" s="10" t="str">
        <f aca="false">IF(OR(A1590="",E1590="",H1590=""),"",ROUND(0.00617*E1590^2*H1590*J1590,2))</f>
        <v/>
      </c>
      <c r="L1590" s="9"/>
      <c r="M1590" s="10" t="str">
        <f aca="false">IF(A1590="","",IF((COUNTIF(Drain_Register!$A$5:$A$304,A1590)+COUNTIF(RW_Register!$A$5:$A$304,A1590)+COUNTIF(Embedded_Wall_Register!$A$5:$A$304,A1590)+COUNTIF(Manhole_Register!$A$5:$A$304,A1590)+COUNTIF(ERSS_Pit_Register!$A$5:$A$304,A1590)+COUNTIF(Linkway_Register!$A$5:$A$304,A1590)+COUNTIF(Other_Register!$A$5:$A$304,A1590))&gt;0,"OK","ID not in any register"))</f>
        <v/>
      </c>
    </row>
    <row r="1591" customFormat="false" ht="15" hidden="false" customHeight="false" outlineLevel="0" collapsed="false">
      <c r="A1591" s="9"/>
      <c r="B1591" s="9"/>
      <c r="C1591" s="9"/>
      <c r="D1591" s="9"/>
      <c r="E1591" s="9"/>
      <c r="F1591" s="9"/>
      <c r="G1591" s="9"/>
      <c r="H1591" s="9"/>
      <c r="I1591" s="9"/>
      <c r="J1591" s="10" t="str">
        <f aca="false">IF(A1591="","",IF(G1591&lt;&gt;"",G1591,IF(N(F1591)&gt;0,ROUND(1000/F1591,3),0)))</f>
        <v/>
      </c>
      <c r="K1591" s="10" t="str">
        <f aca="false">IF(OR(A1591="",E1591="",H1591=""),"",ROUND(0.00617*E1591^2*H1591*J1591,2))</f>
        <v/>
      </c>
      <c r="L1591" s="9"/>
      <c r="M1591" s="10" t="str">
        <f aca="false">IF(A1591="","",IF((COUNTIF(Drain_Register!$A$5:$A$304,A1591)+COUNTIF(RW_Register!$A$5:$A$304,A1591)+COUNTIF(Embedded_Wall_Register!$A$5:$A$304,A1591)+COUNTIF(Manhole_Register!$A$5:$A$304,A1591)+COUNTIF(ERSS_Pit_Register!$A$5:$A$304,A1591)+COUNTIF(Linkway_Register!$A$5:$A$304,A1591)+COUNTIF(Other_Register!$A$5:$A$304,A1591))&gt;0,"OK","ID not in any register"))</f>
        <v/>
      </c>
    </row>
    <row r="1592" customFormat="false" ht="15" hidden="false" customHeight="false" outlineLevel="0" collapsed="false">
      <c r="A1592" s="9"/>
      <c r="B1592" s="9"/>
      <c r="C1592" s="9"/>
      <c r="D1592" s="9"/>
      <c r="E1592" s="9"/>
      <c r="F1592" s="9"/>
      <c r="G1592" s="9"/>
      <c r="H1592" s="9"/>
      <c r="I1592" s="9"/>
      <c r="J1592" s="10" t="str">
        <f aca="false">IF(A1592="","",IF(G1592&lt;&gt;"",G1592,IF(N(F1592)&gt;0,ROUND(1000/F1592,3),0)))</f>
        <v/>
      </c>
      <c r="K1592" s="10" t="str">
        <f aca="false">IF(OR(A1592="",E1592="",H1592=""),"",ROUND(0.00617*E1592^2*H1592*J1592,2))</f>
        <v/>
      </c>
      <c r="L1592" s="9"/>
      <c r="M1592" s="10" t="str">
        <f aca="false">IF(A1592="","",IF((COUNTIF(Drain_Register!$A$5:$A$304,A1592)+COUNTIF(RW_Register!$A$5:$A$304,A1592)+COUNTIF(Embedded_Wall_Register!$A$5:$A$304,A1592)+COUNTIF(Manhole_Register!$A$5:$A$304,A1592)+COUNTIF(ERSS_Pit_Register!$A$5:$A$304,A1592)+COUNTIF(Linkway_Register!$A$5:$A$304,A1592)+COUNTIF(Other_Register!$A$5:$A$304,A1592))&gt;0,"OK","ID not in any register"))</f>
        <v/>
      </c>
    </row>
    <row r="1593" customFormat="false" ht="15" hidden="false" customHeight="false" outlineLevel="0" collapsed="false">
      <c r="A1593" s="9"/>
      <c r="B1593" s="9"/>
      <c r="C1593" s="9"/>
      <c r="D1593" s="9"/>
      <c r="E1593" s="9"/>
      <c r="F1593" s="9"/>
      <c r="G1593" s="9"/>
      <c r="H1593" s="9"/>
      <c r="I1593" s="9"/>
      <c r="J1593" s="10" t="str">
        <f aca="false">IF(A1593="","",IF(G1593&lt;&gt;"",G1593,IF(N(F1593)&gt;0,ROUND(1000/F1593,3),0)))</f>
        <v/>
      </c>
      <c r="K1593" s="10" t="str">
        <f aca="false">IF(OR(A1593="",E1593="",H1593=""),"",ROUND(0.00617*E1593^2*H1593*J1593,2))</f>
        <v/>
      </c>
      <c r="L1593" s="9"/>
      <c r="M1593" s="10" t="str">
        <f aca="false">IF(A1593="","",IF((COUNTIF(Drain_Register!$A$5:$A$304,A1593)+COUNTIF(RW_Register!$A$5:$A$304,A1593)+COUNTIF(Embedded_Wall_Register!$A$5:$A$304,A1593)+COUNTIF(Manhole_Register!$A$5:$A$304,A1593)+COUNTIF(ERSS_Pit_Register!$A$5:$A$304,A1593)+COUNTIF(Linkway_Register!$A$5:$A$304,A1593)+COUNTIF(Other_Register!$A$5:$A$304,A1593))&gt;0,"OK","ID not in any register"))</f>
        <v/>
      </c>
    </row>
    <row r="1594" customFormat="false" ht="15" hidden="false" customHeight="false" outlineLevel="0" collapsed="false">
      <c r="A1594" s="9"/>
      <c r="B1594" s="9"/>
      <c r="C1594" s="9"/>
      <c r="D1594" s="9"/>
      <c r="E1594" s="9"/>
      <c r="F1594" s="9"/>
      <c r="G1594" s="9"/>
      <c r="H1594" s="9"/>
      <c r="I1594" s="9"/>
      <c r="J1594" s="10" t="str">
        <f aca="false">IF(A1594="","",IF(G1594&lt;&gt;"",G1594,IF(N(F1594)&gt;0,ROUND(1000/F1594,3),0)))</f>
        <v/>
      </c>
      <c r="K1594" s="10" t="str">
        <f aca="false">IF(OR(A1594="",E1594="",H1594=""),"",ROUND(0.00617*E1594^2*H1594*J1594,2))</f>
        <v/>
      </c>
      <c r="L1594" s="9"/>
      <c r="M1594" s="10" t="str">
        <f aca="false">IF(A1594="","",IF((COUNTIF(Drain_Register!$A$5:$A$304,A1594)+COUNTIF(RW_Register!$A$5:$A$304,A1594)+COUNTIF(Embedded_Wall_Register!$A$5:$A$304,A1594)+COUNTIF(Manhole_Register!$A$5:$A$304,A1594)+COUNTIF(ERSS_Pit_Register!$A$5:$A$304,A1594)+COUNTIF(Linkway_Register!$A$5:$A$304,A1594)+COUNTIF(Other_Register!$A$5:$A$304,A1594))&gt;0,"OK","ID not in any register"))</f>
        <v/>
      </c>
    </row>
    <row r="1595" customFormat="false" ht="15" hidden="false" customHeight="false" outlineLevel="0" collapsed="false">
      <c r="A1595" s="9"/>
      <c r="B1595" s="9"/>
      <c r="C1595" s="9"/>
      <c r="D1595" s="9"/>
      <c r="E1595" s="9"/>
      <c r="F1595" s="9"/>
      <c r="G1595" s="9"/>
      <c r="H1595" s="9"/>
      <c r="I1595" s="9"/>
      <c r="J1595" s="10" t="str">
        <f aca="false">IF(A1595="","",IF(G1595&lt;&gt;"",G1595,IF(N(F1595)&gt;0,ROUND(1000/F1595,3),0)))</f>
        <v/>
      </c>
      <c r="K1595" s="10" t="str">
        <f aca="false">IF(OR(A1595="",E1595="",H1595=""),"",ROUND(0.00617*E1595^2*H1595*J1595,2))</f>
        <v/>
      </c>
      <c r="L1595" s="9"/>
      <c r="M1595" s="10" t="str">
        <f aca="false">IF(A1595="","",IF((COUNTIF(Drain_Register!$A$5:$A$304,A1595)+COUNTIF(RW_Register!$A$5:$A$304,A1595)+COUNTIF(Embedded_Wall_Register!$A$5:$A$304,A1595)+COUNTIF(Manhole_Register!$A$5:$A$304,A1595)+COUNTIF(ERSS_Pit_Register!$A$5:$A$304,A1595)+COUNTIF(Linkway_Register!$A$5:$A$304,A1595)+COUNTIF(Other_Register!$A$5:$A$304,A1595))&gt;0,"OK","ID not in any register"))</f>
        <v/>
      </c>
    </row>
    <row r="1596" customFormat="false" ht="15" hidden="false" customHeight="false" outlineLevel="0" collapsed="false">
      <c r="A1596" s="9"/>
      <c r="B1596" s="9"/>
      <c r="C1596" s="9"/>
      <c r="D1596" s="9"/>
      <c r="E1596" s="9"/>
      <c r="F1596" s="9"/>
      <c r="G1596" s="9"/>
      <c r="H1596" s="9"/>
      <c r="I1596" s="9"/>
      <c r="J1596" s="10" t="str">
        <f aca="false">IF(A1596="","",IF(G1596&lt;&gt;"",G1596,IF(N(F1596)&gt;0,ROUND(1000/F1596,3),0)))</f>
        <v/>
      </c>
      <c r="K1596" s="10" t="str">
        <f aca="false">IF(OR(A1596="",E1596="",H1596=""),"",ROUND(0.00617*E1596^2*H1596*J1596,2))</f>
        <v/>
      </c>
      <c r="L1596" s="9"/>
      <c r="M1596" s="10" t="str">
        <f aca="false">IF(A1596="","",IF((COUNTIF(Drain_Register!$A$5:$A$304,A1596)+COUNTIF(RW_Register!$A$5:$A$304,A1596)+COUNTIF(Embedded_Wall_Register!$A$5:$A$304,A1596)+COUNTIF(Manhole_Register!$A$5:$A$304,A1596)+COUNTIF(ERSS_Pit_Register!$A$5:$A$304,A1596)+COUNTIF(Linkway_Register!$A$5:$A$304,A1596)+COUNTIF(Other_Register!$A$5:$A$304,A1596))&gt;0,"OK","ID not in any register"))</f>
        <v/>
      </c>
    </row>
    <row r="1597" customFormat="false" ht="15" hidden="false" customHeight="false" outlineLevel="0" collapsed="false">
      <c r="A1597" s="9"/>
      <c r="B1597" s="9"/>
      <c r="C1597" s="9"/>
      <c r="D1597" s="9"/>
      <c r="E1597" s="9"/>
      <c r="F1597" s="9"/>
      <c r="G1597" s="9"/>
      <c r="H1597" s="9"/>
      <c r="I1597" s="9"/>
      <c r="J1597" s="10" t="str">
        <f aca="false">IF(A1597="","",IF(G1597&lt;&gt;"",G1597,IF(N(F1597)&gt;0,ROUND(1000/F1597,3),0)))</f>
        <v/>
      </c>
      <c r="K1597" s="10" t="str">
        <f aca="false">IF(OR(A1597="",E1597="",H1597=""),"",ROUND(0.00617*E1597^2*H1597*J1597,2))</f>
        <v/>
      </c>
      <c r="L1597" s="9"/>
      <c r="M1597" s="10" t="str">
        <f aca="false">IF(A1597="","",IF((COUNTIF(Drain_Register!$A$5:$A$304,A1597)+COUNTIF(RW_Register!$A$5:$A$304,A1597)+COUNTIF(Embedded_Wall_Register!$A$5:$A$304,A1597)+COUNTIF(Manhole_Register!$A$5:$A$304,A1597)+COUNTIF(ERSS_Pit_Register!$A$5:$A$304,A1597)+COUNTIF(Linkway_Register!$A$5:$A$304,A1597)+COUNTIF(Other_Register!$A$5:$A$304,A1597))&gt;0,"OK","ID not in any register"))</f>
        <v/>
      </c>
    </row>
    <row r="1598" customFormat="false" ht="15" hidden="false" customHeight="false" outlineLevel="0" collapsed="false">
      <c r="A1598" s="9"/>
      <c r="B1598" s="9"/>
      <c r="C1598" s="9"/>
      <c r="D1598" s="9"/>
      <c r="E1598" s="9"/>
      <c r="F1598" s="9"/>
      <c r="G1598" s="9"/>
      <c r="H1598" s="9"/>
      <c r="I1598" s="9"/>
      <c r="J1598" s="10" t="str">
        <f aca="false">IF(A1598="","",IF(G1598&lt;&gt;"",G1598,IF(N(F1598)&gt;0,ROUND(1000/F1598,3),0)))</f>
        <v/>
      </c>
      <c r="K1598" s="10" t="str">
        <f aca="false">IF(OR(A1598="",E1598="",H1598=""),"",ROUND(0.00617*E1598^2*H1598*J1598,2))</f>
        <v/>
      </c>
      <c r="L1598" s="9"/>
      <c r="M1598" s="10" t="str">
        <f aca="false">IF(A1598="","",IF((COUNTIF(Drain_Register!$A$5:$A$304,A1598)+COUNTIF(RW_Register!$A$5:$A$304,A1598)+COUNTIF(Embedded_Wall_Register!$A$5:$A$304,A1598)+COUNTIF(Manhole_Register!$A$5:$A$304,A1598)+COUNTIF(ERSS_Pit_Register!$A$5:$A$304,A1598)+COUNTIF(Linkway_Register!$A$5:$A$304,A1598)+COUNTIF(Other_Register!$A$5:$A$304,A1598))&gt;0,"OK","ID not in any register"))</f>
        <v/>
      </c>
    </row>
    <row r="1599" customFormat="false" ht="15" hidden="false" customHeight="false" outlineLevel="0" collapsed="false">
      <c r="A1599" s="9"/>
      <c r="B1599" s="9"/>
      <c r="C1599" s="9"/>
      <c r="D1599" s="9"/>
      <c r="E1599" s="9"/>
      <c r="F1599" s="9"/>
      <c r="G1599" s="9"/>
      <c r="H1599" s="9"/>
      <c r="I1599" s="9"/>
      <c r="J1599" s="10" t="str">
        <f aca="false">IF(A1599="","",IF(G1599&lt;&gt;"",G1599,IF(N(F1599)&gt;0,ROUND(1000/F1599,3),0)))</f>
        <v/>
      </c>
      <c r="K1599" s="10" t="str">
        <f aca="false">IF(OR(A1599="",E1599="",H1599=""),"",ROUND(0.00617*E1599^2*H1599*J1599,2))</f>
        <v/>
      </c>
      <c r="L1599" s="9"/>
      <c r="M1599" s="10" t="str">
        <f aca="false">IF(A1599="","",IF((COUNTIF(Drain_Register!$A$5:$A$304,A1599)+COUNTIF(RW_Register!$A$5:$A$304,A1599)+COUNTIF(Embedded_Wall_Register!$A$5:$A$304,A1599)+COUNTIF(Manhole_Register!$A$5:$A$304,A1599)+COUNTIF(ERSS_Pit_Register!$A$5:$A$304,A1599)+COUNTIF(Linkway_Register!$A$5:$A$304,A1599)+COUNTIF(Other_Register!$A$5:$A$304,A1599))&gt;0,"OK","ID not in any register"))</f>
        <v/>
      </c>
    </row>
    <row r="1600" customFormat="false" ht="15" hidden="false" customHeight="false" outlineLevel="0" collapsed="false">
      <c r="A1600" s="9"/>
      <c r="B1600" s="9"/>
      <c r="C1600" s="9"/>
      <c r="D1600" s="9"/>
      <c r="E1600" s="9"/>
      <c r="F1600" s="9"/>
      <c r="G1600" s="9"/>
      <c r="H1600" s="9"/>
      <c r="I1600" s="9"/>
      <c r="J1600" s="10" t="str">
        <f aca="false">IF(A1600="","",IF(G1600&lt;&gt;"",G1600,IF(N(F1600)&gt;0,ROUND(1000/F1600,3),0)))</f>
        <v/>
      </c>
      <c r="K1600" s="10" t="str">
        <f aca="false">IF(OR(A1600="",E1600="",H1600=""),"",ROUND(0.00617*E1600^2*H1600*J1600,2))</f>
        <v/>
      </c>
      <c r="L1600" s="9"/>
      <c r="M1600" s="10" t="str">
        <f aca="false">IF(A1600="","",IF((COUNTIF(Drain_Register!$A$5:$A$304,A1600)+COUNTIF(RW_Register!$A$5:$A$304,A1600)+COUNTIF(Embedded_Wall_Register!$A$5:$A$304,A1600)+COUNTIF(Manhole_Register!$A$5:$A$304,A1600)+COUNTIF(ERSS_Pit_Register!$A$5:$A$304,A1600)+COUNTIF(Linkway_Register!$A$5:$A$304,A1600)+COUNTIF(Other_Register!$A$5:$A$304,A1600))&gt;0,"OK","ID not in any register"))</f>
        <v/>
      </c>
    </row>
    <row r="1601" customFormat="false" ht="15" hidden="false" customHeight="false" outlineLevel="0" collapsed="false">
      <c r="A1601" s="9"/>
      <c r="B1601" s="9"/>
      <c r="C1601" s="9"/>
      <c r="D1601" s="9"/>
      <c r="E1601" s="9"/>
      <c r="F1601" s="9"/>
      <c r="G1601" s="9"/>
      <c r="H1601" s="9"/>
      <c r="I1601" s="9"/>
      <c r="J1601" s="10" t="str">
        <f aca="false">IF(A1601="","",IF(G1601&lt;&gt;"",G1601,IF(N(F1601)&gt;0,ROUND(1000/F1601,3),0)))</f>
        <v/>
      </c>
      <c r="K1601" s="10" t="str">
        <f aca="false">IF(OR(A1601="",E1601="",H1601=""),"",ROUND(0.00617*E1601^2*H1601*J1601,2))</f>
        <v/>
      </c>
      <c r="L1601" s="9"/>
      <c r="M1601" s="10" t="str">
        <f aca="false">IF(A1601="","",IF((COUNTIF(Drain_Register!$A$5:$A$304,A1601)+COUNTIF(RW_Register!$A$5:$A$304,A1601)+COUNTIF(Embedded_Wall_Register!$A$5:$A$304,A1601)+COUNTIF(Manhole_Register!$A$5:$A$304,A1601)+COUNTIF(ERSS_Pit_Register!$A$5:$A$304,A1601)+COUNTIF(Linkway_Register!$A$5:$A$304,A1601)+COUNTIF(Other_Register!$A$5:$A$304,A1601))&gt;0,"OK","ID not in any register"))</f>
        <v/>
      </c>
    </row>
    <row r="1602" customFormat="false" ht="15" hidden="false" customHeight="false" outlineLevel="0" collapsed="false">
      <c r="A1602" s="9"/>
      <c r="B1602" s="9"/>
      <c r="C1602" s="9"/>
      <c r="D1602" s="9"/>
      <c r="E1602" s="9"/>
      <c r="F1602" s="9"/>
      <c r="G1602" s="9"/>
      <c r="H1602" s="9"/>
      <c r="I1602" s="9"/>
      <c r="J1602" s="10" t="str">
        <f aca="false">IF(A1602="","",IF(G1602&lt;&gt;"",G1602,IF(N(F1602)&gt;0,ROUND(1000/F1602,3),0)))</f>
        <v/>
      </c>
      <c r="K1602" s="10" t="str">
        <f aca="false">IF(OR(A1602="",E1602="",H1602=""),"",ROUND(0.00617*E1602^2*H1602*J1602,2))</f>
        <v/>
      </c>
      <c r="L1602" s="9"/>
      <c r="M1602" s="10" t="str">
        <f aca="false">IF(A1602="","",IF((COUNTIF(Drain_Register!$A$5:$A$304,A1602)+COUNTIF(RW_Register!$A$5:$A$304,A1602)+COUNTIF(Embedded_Wall_Register!$A$5:$A$304,A1602)+COUNTIF(Manhole_Register!$A$5:$A$304,A1602)+COUNTIF(ERSS_Pit_Register!$A$5:$A$304,A1602)+COUNTIF(Linkway_Register!$A$5:$A$304,A1602)+COUNTIF(Other_Register!$A$5:$A$304,A1602))&gt;0,"OK","ID not in any register"))</f>
        <v/>
      </c>
    </row>
    <row r="1603" customFormat="false" ht="15" hidden="false" customHeight="false" outlineLevel="0" collapsed="false">
      <c r="A1603" s="9"/>
      <c r="B1603" s="9"/>
      <c r="C1603" s="9"/>
      <c r="D1603" s="9"/>
      <c r="E1603" s="9"/>
      <c r="F1603" s="9"/>
      <c r="G1603" s="9"/>
      <c r="H1603" s="9"/>
      <c r="I1603" s="9"/>
      <c r="J1603" s="10" t="str">
        <f aca="false">IF(A1603="","",IF(G1603&lt;&gt;"",G1603,IF(N(F1603)&gt;0,ROUND(1000/F1603,3),0)))</f>
        <v/>
      </c>
      <c r="K1603" s="10" t="str">
        <f aca="false">IF(OR(A1603="",E1603="",H1603=""),"",ROUND(0.00617*E1603^2*H1603*J1603,2))</f>
        <v/>
      </c>
      <c r="L1603" s="9"/>
      <c r="M1603" s="10" t="str">
        <f aca="false">IF(A1603="","",IF((COUNTIF(Drain_Register!$A$5:$A$304,A1603)+COUNTIF(RW_Register!$A$5:$A$304,A1603)+COUNTIF(Embedded_Wall_Register!$A$5:$A$304,A1603)+COUNTIF(Manhole_Register!$A$5:$A$304,A1603)+COUNTIF(ERSS_Pit_Register!$A$5:$A$304,A1603)+COUNTIF(Linkway_Register!$A$5:$A$304,A1603)+COUNTIF(Other_Register!$A$5:$A$304,A1603))&gt;0,"OK","ID not in any register"))</f>
        <v/>
      </c>
    </row>
    <row r="1604" customFormat="false" ht="15" hidden="false" customHeight="false" outlineLevel="0" collapsed="false">
      <c r="A1604" s="9"/>
      <c r="B1604" s="9"/>
      <c r="C1604" s="9"/>
      <c r="D1604" s="9"/>
      <c r="E1604" s="9"/>
      <c r="F1604" s="9"/>
      <c r="G1604" s="9"/>
      <c r="H1604" s="9"/>
      <c r="I1604" s="9"/>
      <c r="J1604" s="10" t="str">
        <f aca="false">IF(A1604="","",IF(G1604&lt;&gt;"",G1604,IF(N(F1604)&gt;0,ROUND(1000/F1604,3),0)))</f>
        <v/>
      </c>
      <c r="K1604" s="10" t="str">
        <f aca="false">IF(OR(A1604="",E1604="",H1604=""),"",ROUND(0.00617*E1604^2*H1604*J1604,2))</f>
        <v/>
      </c>
      <c r="L1604" s="9"/>
      <c r="M1604" s="10" t="str">
        <f aca="false">IF(A1604="","",IF((COUNTIF(Drain_Register!$A$5:$A$304,A1604)+COUNTIF(RW_Register!$A$5:$A$304,A1604)+COUNTIF(Embedded_Wall_Register!$A$5:$A$304,A1604)+COUNTIF(Manhole_Register!$A$5:$A$304,A1604)+COUNTIF(ERSS_Pit_Register!$A$5:$A$304,A1604)+COUNTIF(Linkway_Register!$A$5:$A$304,A1604)+COUNTIF(Other_Register!$A$5:$A$304,A1604))&gt;0,"OK","ID not in any register"))</f>
        <v/>
      </c>
    </row>
    <row r="1605" customFormat="false" ht="15" hidden="false" customHeight="false" outlineLevel="0" collapsed="false">
      <c r="A1605" s="9"/>
      <c r="B1605" s="9"/>
      <c r="C1605" s="9"/>
      <c r="D1605" s="9"/>
      <c r="E1605" s="9"/>
      <c r="F1605" s="9"/>
      <c r="G1605" s="9"/>
      <c r="H1605" s="9"/>
      <c r="I1605" s="9"/>
      <c r="J1605" s="10" t="str">
        <f aca="false">IF(A1605="","",IF(G1605&lt;&gt;"",G1605,IF(N(F1605)&gt;0,ROUND(1000/F1605,3),0)))</f>
        <v/>
      </c>
      <c r="K1605" s="10" t="str">
        <f aca="false">IF(OR(A1605="",E1605="",H1605=""),"",ROUND(0.00617*E1605^2*H1605*J1605,2))</f>
        <v/>
      </c>
      <c r="L1605" s="9"/>
      <c r="M1605" s="10" t="str">
        <f aca="false">IF(A1605="","",IF((COUNTIF(Drain_Register!$A$5:$A$304,A1605)+COUNTIF(RW_Register!$A$5:$A$304,A1605)+COUNTIF(Embedded_Wall_Register!$A$5:$A$304,A1605)+COUNTIF(Manhole_Register!$A$5:$A$304,A1605)+COUNTIF(ERSS_Pit_Register!$A$5:$A$304,A1605)+COUNTIF(Linkway_Register!$A$5:$A$304,A1605)+COUNTIF(Other_Register!$A$5:$A$304,A1605))&gt;0,"OK","ID not in any register"))</f>
        <v/>
      </c>
    </row>
    <row r="1606" customFormat="false" ht="15" hidden="false" customHeight="false" outlineLevel="0" collapsed="false">
      <c r="A1606" s="9"/>
      <c r="B1606" s="9"/>
      <c r="C1606" s="9"/>
      <c r="D1606" s="9"/>
      <c r="E1606" s="9"/>
      <c r="F1606" s="9"/>
      <c r="G1606" s="9"/>
      <c r="H1606" s="9"/>
      <c r="I1606" s="9"/>
      <c r="J1606" s="10" t="str">
        <f aca="false">IF(A1606="","",IF(G1606&lt;&gt;"",G1606,IF(N(F1606)&gt;0,ROUND(1000/F1606,3),0)))</f>
        <v/>
      </c>
      <c r="K1606" s="10" t="str">
        <f aca="false">IF(OR(A1606="",E1606="",H1606=""),"",ROUND(0.00617*E1606^2*H1606*J1606,2))</f>
        <v/>
      </c>
      <c r="L1606" s="9"/>
      <c r="M1606" s="10" t="str">
        <f aca="false">IF(A1606="","",IF((COUNTIF(Drain_Register!$A$5:$A$304,A1606)+COUNTIF(RW_Register!$A$5:$A$304,A1606)+COUNTIF(Embedded_Wall_Register!$A$5:$A$304,A1606)+COUNTIF(Manhole_Register!$A$5:$A$304,A1606)+COUNTIF(ERSS_Pit_Register!$A$5:$A$304,A1606)+COUNTIF(Linkway_Register!$A$5:$A$304,A1606)+COUNTIF(Other_Register!$A$5:$A$304,A1606))&gt;0,"OK","ID not in any register"))</f>
        <v/>
      </c>
    </row>
    <row r="1607" customFormat="false" ht="15" hidden="false" customHeight="false" outlineLevel="0" collapsed="false">
      <c r="A1607" s="9"/>
      <c r="B1607" s="9"/>
      <c r="C1607" s="9"/>
      <c r="D1607" s="9"/>
      <c r="E1607" s="9"/>
      <c r="F1607" s="9"/>
      <c r="G1607" s="9"/>
      <c r="H1607" s="9"/>
      <c r="I1607" s="9"/>
      <c r="J1607" s="10" t="str">
        <f aca="false">IF(A1607="","",IF(G1607&lt;&gt;"",G1607,IF(N(F1607)&gt;0,ROUND(1000/F1607,3),0)))</f>
        <v/>
      </c>
      <c r="K1607" s="10" t="str">
        <f aca="false">IF(OR(A1607="",E1607="",H1607=""),"",ROUND(0.00617*E1607^2*H1607*J1607,2))</f>
        <v/>
      </c>
      <c r="L1607" s="9"/>
      <c r="M1607" s="10" t="str">
        <f aca="false">IF(A1607="","",IF((COUNTIF(Drain_Register!$A$5:$A$304,A1607)+COUNTIF(RW_Register!$A$5:$A$304,A1607)+COUNTIF(Embedded_Wall_Register!$A$5:$A$304,A1607)+COUNTIF(Manhole_Register!$A$5:$A$304,A1607)+COUNTIF(ERSS_Pit_Register!$A$5:$A$304,A1607)+COUNTIF(Linkway_Register!$A$5:$A$304,A1607)+COUNTIF(Other_Register!$A$5:$A$304,A1607))&gt;0,"OK","ID not in any register"))</f>
        <v/>
      </c>
    </row>
    <row r="1608" customFormat="false" ht="15" hidden="false" customHeight="false" outlineLevel="0" collapsed="false">
      <c r="A1608" s="9"/>
      <c r="B1608" s="9"/>
      <c r="C1608" s="9"/>
      <c r="D1608" s="9"/>
      <c r="E1608" s="9"/>
      <c r="F1608" s="9"/>
      <c r="G1608" s="9"/>
      <c r="H1608" s="9"/>
      <c r="I1608" s="9"/>
      <c r="J1608" s="10" t="str">
        <f aca="false">IF(A1608="","",IF(G1608&lt;&gt;"",G1608,IF(N(F1608)&gt;0,ROUND(1000/F1608,3),0)))</f>
        <v/>
      </c>
      <c r="K1608" s="10" t="str">
        <f aca="false">IF(OR(A1608="",E1608="",H1608=""),"",ROUND(0.00617*E1608^2*H1608*J1608,2))</f>
        <v/>
      </c>
      <c r="L1608" s="9"/>
      <c r="M1608" s="10" t="str">
        <f aca="false">IF(A1608="","",IF((COUNTIF(Drain_Register!$A$5:$A$304,A1608)+COUNTIF(RW_Register!$A$5:$A$304,A1608)+COUNTIF(Embedded_Wall_Register!$A$5:$A$304,A1608)+COUNTIF(Manhole_Register!$A$5:$A$304,A1608)+COUNTIF(ERSS_Pit_Register!$A$5:$A$304,A1608)+COUNTIF(Linkway_Register!$A$5:$A$304,A1608)+COUNTIF(Other_Register!$A$5:$A$304,A1608))&gt;0,"OK","ID not in any register"))</f>
        <v/>
      </c>
    </row>
    <row r="1609" customFormat="false" ht="15" hidden="false" customHeight="false" outlineLevel="0" collapsed="false">
      <c r="A1609" s="9"/>
      <c r="B1609" s="9"/>
      <c r="C1609" s="9"/>
      <c r="D1609" s="9"/>
      <c r="E1609" s="9"/>
      <c r="F1609" s="9"/>
      <c r="G1609" s="9"/>
      <c r="H1609" s="9"/>
      <c r="I1609" s="9"/>
      <c r="J1609" s="10" t="str">
        <f aca="false">IF(A1609="","",IF(G1609&lt;&gt;"",G1609,IF(N(F1609)&gt;0,ROUND(1000/F1609,3),0)))</f>
        <v/>
      </c>
      <c r="K1609" s="10" t="str">
        <f aca="false">IF(OR(A1609="",E1609="",H1609=""),"",ROUND(0.00617*E1609^2*H1609*J1609,2))</f>
        <v/>
      </c>
      <c r="L1609" s="9"/>
      <c r="M1609" s="10" t="str">
        <f aca="false">IF(A1609="","",IF((COUNTIF(Drain_Register!$A$5:$A$304,A1609)+COUNTIF(RW_Register!$A$5:$A$304,A1609)+COUNTIF(Embedded_Wall_Register!$A$5:$A$304,A1609)+COUNTIF(Manhole_Register!$A$5:$A$304,A1609)+COUNTIF(ERSS_Pit_Register!$A$5:$A$304,A1609)+COUNTIF(Linkway_Register!$A$5:$A$304,A1609)+COUNTIF(Other_Register!$A$5:$A$304,A1609))&gt;0,"OK","ID not in any register"))</f>
        <v/>
      </c>
    </row>
    <row r="1610" customFormat="false" ht="15" hidden="false" customHeight="false" outlineLevel="0" collapsed="false">
      <c r="A1610" s="9"/>
      <c r="B1610" s="9"/>
      <c r="C1610" s="9"/>
      <c r="D1610" s="9"/>
      <c r="E1610" s="9"/>
      <c r="F1610" s="9"/>
      <c r="G1610" s="9"/>
      <c r="H1610" s="9"/>
      <c r="I1610" s="9"/>
      <c r="J1610" s="10" t="str">
        <f aca="false">IF(A1610="","",IF(G1610&lt;&gt;"",G1610,IF(N(F1610)&gt;0,ROUND(1000/F1610,3),0)))</f>
        <v/>
      </c>
      <c r="K1610" s="10" t="str">
        <f aca="false">IF(OR(A1610="",E1610="",H1610=""),"",ROUND(0.00617*E1610^2*H1610*J1610,2))</f>
        <v/>
      </c>
      <c r="L1610" s="9"/>
      <c r="M1610" s="10" t="str">
        <f aca="false">IF(A1610="","",IF((COUNTIF(Drain_Register!$A$5:$A$304,A1610)+COUNTIF(RW_Register!$A$5:$A$304,A1610)+COUNTIF(Embedded_Wall_Register!$A$5:$A$304,A1610)+COUNTIF(Manhole_Register!$A$5:$A$304,A1610)+COUNTIF(ERSS_Pit_Register!$A$5:$A$304,A1610)+COUNTIF(Linkway_Register!$A$5:$A$304,A1610)+COUNTIF(Other_Register!$A$5:$A$304,A1610))&gt;0,"OK","ID not in any register"))</f>
        <v/>
      </c>
    </row>
    <row r="1611" customFormat="false" ht="15" hidden="false" customHeight="false" outlineLevel="0" collapsed="false">
      <c r="A1611" s="9"/>
      <c r="B1611" s="9"/>
      <c r="C1611" s="9"/>
      <c r="D1611" s="9"/>
      <c r="E1611" s="9"/>
      <c r="F1611" s="9"/>
      <c r="G1611" s="9"/>
      <c r="H1611" s="9"/>
      <c r="I1611" s="9"/>
      <c r="J1611" s="10" t="str">
        <f aca="false">IF(A1611="","",IF(G1611&lt;&gt;"",G1611,IF(N(F1611)&gt;0,ROUND(1000/F1611,3),0)))</f>
        <v/>
      </c>
      <c r="K1611" s="10" t="str">
        <f aca="false">IF(OR(A1611="",E1611="",H1611=""),"",ROUND(0.00617*E1611^2*H1611*J1611,2))</f>
        <v/>
      </c>
      <c r="L1611" s="9"/>
      <c r="M1611" s="10" t="str">
        <f aca="false">IF(A1611="","",IF((COUNTIF(Drain_Register!$A$5:$A$304,A1611)+COUNTIF(RW_Register!$A$5:$A$304,A1611)+COUNTIF(Embedded_Wall_Register!$A$5:$A$304,A1611)+COUNTIF(Manhole_Register!$A$5:$A$304,A1611)+COUNTIF(ERSS_Pit_Register!$A$5:$A$304,A1611)+COUNTIF(Linkway_Register!$A$5:$A$304,A1611)+COUNTIF(Other_Register!$A$5:$A$304,A1611))&gt;0,"OK","ID not in any register"))</f>
        <v/>
      </c>
    </row>
    <row r="1612" customFormat="false" ht="15" hidden="false" customHeight="false" outlineLevel="0" collapsed="false">
      <c r="A1612" s="9"/>
      <c r="B1612" s="9"/>
      <c r="C1612" s="9"/>
      <c r="D1612" s="9"/>
      <c r="E1612" s="9"/>
      <c r="F1612" s="9"/>
      <c r="G1612" s="9"/>
      <c r="H1612" s="9"/>
      <c r="I1612" s="9"/>
      <c r="J1612" s="10" t="str">
        <f aca="false">IF(A1612="","",IF(G1612&lt;&gt;"",G1612,IF(N(F1612)&gt;0,ROUND(1000/F1612,3),0)))</f>
        <v/>
      </c>
      <c r="K1612" s="10" t="str">
        <f aca="false">IF(OR(A1612="",E1612="",H1612=""),"",ROUND(0.00617*E1612^2*H1612*J1612,2))</f>
        <v/>
      </c>
      <c r="L1612" s="9"/>
      <c r="M1612" s="10" t="str">
        <f aca="false">IF(A1612="","",IF((COUNTIF(Drain_Register!$A$5:$A$304,A1612)+COUNTIF(RW_Register!$A$5:$A$304,A1612)+COUNTIF(Embedded_Wall_Register!$A$5:$A$304,A1612)+COUNTIF(Manhole_Register!$A$5:$A$304,A1612)+COUNTIF(ERSS_Pit_Register!$A$5:$A$304,A1612)+COUNTIF(Linkway_Register!$A$5:$A$304,A1612)+COUNTIF(Other_Register!$A$5:$A$304,A1612))&gt;0,"OK","ID not in any register"))</f>
        <v/>
      </c>
    </row>
    <row r="1613" customFormat="false" ht="15" hidden="false" customHeight="false" outlineLevel="0" collapsed="false">
      <c r="A1613" s="9"/>
      <c r="B1613" s="9"/>
      <c r="C1613" s="9"/>
      <c r="D1613" s="9"/>
      <c r="E1613" s="9"/>
      <c r="F1613" s="9"/>
      <c r="G1613" s="9"/>
      <c r="H1613" s="9"/>
      <c r="I1613" s="9"/>
      <c r="J1613" s="10" t="str">
        <f aca="false">IF(A1613="","",IF(G1613&lt;&gt;"",G1613,IF(N(F1613)&gt;0,ROUND(1000/F1613,3),0)))</f>
        <v/>
      </c>
      <c r="K1613" s="10" t="str">
        <f aca="false">IF(OR(A1613="",E1613="",H1613=""),"",ROUND(0.00617*E1613^2*H1613*J1613,2))</f>
        <v/>
      </c>
      <c r="L1613" s="9"/>
      <c r="M1613" s="10" t="str">
        <f aca="false">IF(A1613="","",IF((COUNTIF(Drain_Register!$A$5:$A$304,A1613)+COUNTIF(RW_Register!$A$5:$A$304,A1613)+COUNTIF(Embedded_Wall_Register!$A$5:$A$304,A1613)+COUNTIF(Manhole_Register!$A$5:$A$304,A1613)+COUNTIF(ERSS_Pit_Register!$A$5:$A$304,A1613)+COUNTIF(Linkway_Register!$A$5:$A$304,A1613)+COUNTIF(Other_Register!$A$5:$A$304,A1613))&gt;0,"OK","ID not in any register"))</f>
        <v/>
      </c>
    </row>
    <row r="1614" customFormat="false" ht="15" hidden="false" customHeight="false" outlineLevel="0" collapsed="false">
      <c r="A1614" s="9"/>
      <c r="B1614" s="9"/>
      <c r="C1614" s="9"/>
      <c r="D1614" s="9"/>
      <c r="E1614" s="9"/>
      <c r="F1614" s="9"/>
      <c r="G1614" s="9"/>
      <c r="H1614" s="9"/>
      <c r="I1614" s="9"/>
      <c r="J1614" s="10" t="str">
        <f aca="false">IF(A1614="","",IF(G1614&lt;&gt;"",G1614,IF(N(F1614)&gt;0,ROUND(1000/F1614,3),0)))</f>
        <v/>
      </c>
      <c r="K1614" s="10" t="str">
        <f aca="false">IF(OR(A1614="",E1614="",H1614=""),"",ROUND(0.00617*E1614^2*H1614*J1614,2))</f>
        <v/>
      </c>
      <c r="L1614" s="9"/>
      <c r="M1614" s="10" t="str">
        <f aca="false">IF(A1614="","",IF((COUNTIF(Drain_Register!$A$5:$A$304,A1614)+COUNTIF(RW_Register!$A$5:$A$304,A1614)+COUNTIF(Embedded_Wall_Register!$A$5:$A$304,A1614)+COUNTIF(Manhole_Register!$A$5:$A$304,A1614)+COUNTIF(ERSS_Pit_Register!$A$5:$A$304,A1614)+COUNTIF(Linkway_Register!$A$5:$A$304,A1614)+COUNTIF(Other_Register!$A$5:$A$304,A1614))&gt;0,"OK","ID not in any register"))</f>
        <v/>
      </c>
    </row>
    <row r="1615" customFormat="false" ht="15" hidden="false" customHeight="false" outlineLevel="0" collapsed="false">
      <c r="A1615" s="9"/>
      <c r="B1615" s="9"/>
      <c r="C1615" s="9"/>
      <c r="D1615" s="9"/>
      <c r="E1615" s="9"/>
      <c r="F1615" s="9"/>
      <c r="G1615" s="9"/>
      <c r="H1615" s="9"/>
      <c r="I1615" s="9"/>
      <c r="J1615" s="10" t="str">
        <f aca="false">IF(A1615="","",IF(G1615&lt;&gt;"",G1615,IF(N(F1615)&gt;0,ROUND(1000/F1615,3),0)))</f>
        <v/>
      </c>
      <c r="K1615" s="10" t="str">
        <f aca="false">IF(OR(A1615="",E1615="",H1615=""),"",ROUND(0.00617*E1615^2*H1615*J1615,2))</f>
        <v/>
      </c>
      <c r="L1615" s="9"/>
      <c r="M1615" s="10" t="str">
        <f aca="false">IF(A1615="","",IF((COUNTIF(Drain_Register!$A$5:$A$304,A1615)+COUNTIF(RW_Register!$A$5:$A$304,A1615)+COUNTIF(Embedded_Wall_Register!$A$5:$A$304,A1615)+COUNTIF(Manhole_Register!$A$5:$A$304,A1615)+COUNTIF(ERSS_Pit_Register!$A$5:$A$304,A1615)+COUNTIF(Linkway_Register!$A$5:$A$304,A1615)+COUNTIF(Other_Register!$A$5:$A$304,A1615))&gt;0,"OK","ID not in any register"))</f>
        <v/>
      </c>
    </row>
    <row r="1616" customFormat="false" ht="15" hidden="false" customHeight="false" outlineLevel="0" collapsed="false">
      <c r="A1616" s="9"/>
      <c r="B1616" s="9"/>
      <c r="C1616" s="9"/>
      <c r="D1616" s="9"/>
      <c r="E1616" s="9"/>
      <c r="F1616" s="9"/>
      <c r="G1616" s="9"/>
      <c r="H1616" s="9"/>
      <c r="I1616" s="9"/>
      <c r="J1616" s="10" t="str">
        <f aca="false">IF(A1616="","",IF(G1616&lt;&gt;"",G1616,IF(N(F1616)&gt;0,ROUND(1000/F1616,3),0)))</f>
        <v/>
      </c>
      <c r="K1616" s="10" t="str">
        <f aca="false">IF(OR(A1616="",E1616="",H1616=""),"",ROUND(0.00617*E1616^2*H1616*J1616,2))</f>
        <v/>
      </c>
      <c r="L1616" s="9"/>
      <c r="M1616" s="10" t="str">
        <f aca="false">IF(A1616="","",IF((COUNTIF(Drain_Register!$A$5:$A$304,A1616)+COUNTIF(RW_Register!$A$5:$A$304,A1616)+COUNTIF(Embedded_Wall_Register!$A$5:$A$304,A1616)+COUNTIF(Manhole_Register!$A$5:$A$304,A1616)+COUNTIF(ERSS_Pit_Register!$A$5:$A$304,A1616)+COUNTIF(Linkway_Register!$A$5:$A$304,A1616)+COUNTIF(Other_Register!$A$5:$A$304,A1616))&gt;0,"OK","ID not in any register"))</f>
        <v/>
      </c>
    </row>
    <row r="1617" customFormat="false" ht="15" hidden="false" customHeight="false" outlineLevel="0" collapsed="false">
      <c r="A1617" s="9"/>
      <c r="B1617" s="9"/>
      <c r="C1617" s="9"/>
      <c r="D1617" s="9"/>
      <c r="E1617" s="9"/>
      <c r="F1617" s="9"/>
      <c r="G1617" s="9"/>
      <c r="H1617" s="9"/>
      <c r="I1617" s="9"/>
      <c r="J1617" s="10" t="str">
        <f aca="false">IF(A1617="","",IF(G1617&lt;&gt;"",G1617,IF(N(F1617)&gt;0,ROUND(1000/F1617,3),0)))</f>
        <v/>
      </c>
      <c r="K1617" s="10" t="str">
        <f aca="false">IF(OR(A1617="",E1617="",H1617=""),"",ROUND(0.00617*E1617^2*H1617*J1617,2))</f>
        <v/>
      </c>
      <c r="L1617" s="9"/>
      <c r="M1617" s="10" t="str">
        <f aca="false">IF(A1617="","",IF((COUNTIF(Drain_Register!$A$5:$A$304,A1617)+COUNTIF(RW_Register!$A$5:$A$304,A1617)+COUNTIF(Embedded_Wall_Register!$A$5:$A$304,A1617)+COUNTIF(Manhole_Register!$A$5:$A$304,A1617)+COUNTIF(ERSS_Pit_Register!$A$5:$A$304,A1617)+COUNTIF(Linkway_Register!$A$5:$A$304,A1617)+COUNTIF(Other_Register!$A$5:$A$304,A1617))&gt;0,"OK","ID not in any register"))</f>
        <v/>
      </c>
    </row>
    <row r="1618" customFormat="false" ht="15" hidden="false" customHeight="false" outlineLevel="0" collapsed="false">
      <c r="A1618" s="9"/>
      <c r="B1618" s="9"/>
      <c r="C1618" s="9"/>
      <c r="D1618" s="9"/>
      <c r="E1618" s="9"/>
      <c r="F1618" s="9"/>
      <c r="G1618" s="9"/>
      <c r="H1618" s="9"/>
      <c r="I1618" s="9"/>
      <c r="J1618" s="10" t="str">
        <f aca="false">IF(A1618="","",IF(G1618&lt;&gt;"",G1618,IF(N(F1618)&gt;0,ROUND(1000/F1618,3),0)))</f>
        <v/>
      </c>
      <c r="K1618" s="10" t="str">
        <f aca="false">IF(OR(A1618="",E1618="",H1618=""),"",ROUND(0.00617*E1618^2*H1618*J1618,2))</f>
        <v/>
      </c>
      <c r="L1618" s="9"/>
      <c r="M1618" s="10" t="str">
        <f aca="false">IF(A1618="","",IF((COUNTIF(Drain_Register!$A$5:$A$304,A1618)+COUNTIF(RW_Register!$A$5:$A$304,A1618)+COUNTIF(Embedded_Wall_Register!$A$5:$A$304,A1618)+COUNTIF(Manhole_Register!$A$5:$A$304,A1618)+COUNTIF(ERSS_Pit_Register!$A$5:$A$304,A1618)+COUNTIF(Linkway_Register!$A$5:$A$304,A1618)+COUNTIF(Other_Register!$A$5:$A$304,A1618))&gt;0,"OK","ID not in any register"))</f>
        <v/>
      </c>
    </row>
    <row r="1619" customFormat="false" ht="15" hidden="false" customHeight="false" outlineLevel="0" collapsed="false">
      <c r="A1619" s="9"/>
      <c r="B1619" s="9"/>
      <c r="C1619" s="9"/>
      <c r="D1619" s="9"/>
      <c r="E1619" s="9"/>
      <c r="F1619" s="9"/>
      <c r="G1619" s="9"/>
      <c r="H1619" s="9"/>
      <c r="I1619" s="9"/>
      <c r="J1619" s="10" t="str">
        <f aca="false">IF(A1619="","",IF(G1619&lt;&gt;"",G1619,IF(N(F1619)&gt;0,ROUND(1000/F1619,3),0)))</f>
        <v/>
      </c>
      <c r="K1619" s="10" t="str">
        <f aca="false">IF(OR(A1619="",E1619="",H1619=""),"",ROUND(0.00617*E1619^2*H1619*J1619,2))</f>
        <v/>
      </c>
      <c r="L1619" s="9"/>
      <c r="M1619" s="10" t="str">
        <f aca="false">IF(A1619="","",IF((COUNTIF(Drain_Register!$A$5:$A$304,A1619)+COUNTIF(RW_Register!$A$5:$A$304,A1619)+COUNTIF(Embedded_Wall_Register!$A$5:$A$304,A1619)+COUNTIF(Manhole_Register!$A$5:$A$304,A1619)+COUNTIF(ERSS_Pit_Register!$A$5:$A$304,A1619)+COUNTIF(Linkway_Register!$A$5:$A$304,A1619)+COUNTIF(Other_Register!$A$5:$A$304,A1619))&gt;0,"OK","ID not in any register"))</f>
        <v/>
      </c>
    </row>
    <row r="1620" customFormat="false" ht="15" hidden="false" customHeight="false" outlineLevel="0" collapsed="false">
      <c r="A1620" s="9"/>
      <c r="B1620" s="9"/>
      <c r="C1620" s="9"/>
      <c r="D1620" s="9"/>
      <c r="E1620" s="9"/>
      <c r="F1620" s="9"/>
      <c r="G1620" s="9"/>
      <c r="H1620" s="9"/>
      <c r="I1620" s="9"/>
      <c r="J1620" s="10" t="str">
        <f aca="false">IF(A1620="","",IF(G1620&lt;&gt;"",G1620,IF(N(F1620)&gt;0,ROUND(1000/F1620,3),0)))</f>
        <v/>
      </c>
      <c r="K1620" s="10" t="str">
        <f aca="false">IF(OR(A1620="",E1620="",H1620=""),"",ROUND(0.00617*E1620^2*H1620*J1620,2))</f>
        <v/>
      </c>
      <c r="L1620" s="9"/>
      <c r="M1620" s="10" t="str">
        <f aca="false">IF(A1620="","",IF((COUNTIF(Drain_Register!$A$5:$A$304,A1620)+COUNTIF(RW_Register!$A$5:$A$304,A1620)+COUNTIF(Embedded_Wall_Register!$A$5:$A$304,A1620)+COUNTIF(Manhole_Register!$A$5:$A$304,A1620)+COUNTIF(ERSS_Pit_Register!$A$5:$A$304,A1620)+COUNTIF(Linkway_Register!$A$5:$A$304,A1620)+COUNTIF(Other_Register!$A$5:$A$304,A1620))&gt;0,"OK","ID not in any register"))</f>
        <v/>
      </c>
    </row>
    <row r="1621" customFormat="false" ht="15" hidden="false" customHeight="false" outlineLevel="0" collapsed="false">
      <c r="A1621" s="9"/>
      <c r="B1621" s="9"/>
      <c r="C1621" s="9"/>
      <c r="D1621" s="9"/>
      <c r="E1621" s="9"/>
      <c r="F1621" s="9"/>
      <c r="G1621" s="9"/>
      <c r="H1621" s="9"/>
      <c r="I1621" s="9"/>
      <c r="J1621" s="10" t="str">
        <f aca="false">IF(A1621="","",IF(G1621&lt;&gt;"",G1621,IF(N(F1621)&gt;0,ROUND(1000/F1621,3),0)))</f>
        <v/>
      </c>
      <c r="K1621" s="10" t="str">
        <f aca="false">IF(OR(A1621="",E1621="",H1621=""),"",ROUND(0.00617*E1621^2*H1621*J1621,2))</f>
        <v/>
      </c>
      <c r="L1621" s="9"/>
      <c r="M1621" s="10" t="str">
        <f aca="false">IF(A1621="","",IF((COUNTIF(Drain_Register!$A$5:$A$304,A1621)+COUNTIF(RW_Register!$A$5:$A$304,A1621)+COUNTIF(Embedded_Wall_Register!$A$5:$A$304,A1621)+COUNTIF(Manhole_Register!$A$5:$A$304,A1621)+COUNTIF(ERSS_Pit_Register!$A$5:$A$304,A1621)+COUNTIF(Linkway_Register!$A$5:$A$304,A1621)+COUNTIF(Other_Register!$A$5:$A$304,A1621))&gt;0,"OK","ID not in any register"))</f>
        <v/>
      </c>
    </row>
    <row r="1622" customFormat="false" ht="15" hidden="false" customHeight="false" outlineLevel="0" collapsed="false">
      <c r="A1622" s="9"/>
      <c r="B1622" s="9"/>
      <c r="C1622" s="9"/>
      <c r="D1622" s="9"/>
      <c r="E1622" s="9"/>
      <c r="F1622" s="9"/>
      <c r="G1622" s="9"/>
      <c r="H1622" s="9"/>
      <c r="I1622" s="9"/>
      <c r="J1622" s="10" t="str">
        <f aca="false">IF(A1622="","",IF(G1622&lt;&gt;"",G1622,IF(N(F1622)&gt;0,ROUND(1000/F1622,3),0)))</f>
        <v/>
      </c>
      <c r="K1622" s="10" t="str">
        <f aca="false">IF(OR(A1622="",E1622="",H1622=""),"",ROUND(0.00617*E1622^2*H1622*J1622,2))</f>
        <v/>
      </c>
      <c r="L1622" s="9"/>
      <c r="M1622" s="10" t="str">
        <f aca="false">IF(A1622="","",IF((COUNTIF(Drain_Register!$A$5:$A$304,A1622)+COUNTIF(RW_Register!$A$5:$A$304,A1622)+COUNTIF(Embedded_Wall_Register!$A$5:$A$304,A1622)+COUNTIF(Manhole_Register!$A$5:$A$304,A1622)+COUNTIF(ERSS_Pit_Register!$A$5:$A$304,A1622)+COUNTIF(Linkway_Register!$A$5:$A$304,A1622)+COUNTIF(Other_Register!$A$5:$A$304,A1622))&gt;0,"OK","ID not in any register"))</f>
        <v/>
      </c>
    </row>
    <row r="1623" customFormat="false" ht="15" hidden="false" customHeight="false" outlineLevel="0" collapsed="false">
      <c r="A1623" s="9"/>
      <c r="B1623" s="9"/>
      <c r="C1623" s="9"/>
      <c r="D1623" s="9"/>
      <c r="E1623" s="9"/>
      <c r="F1623" s="9"/>
      <c r="G1623" s="9"/>
      <c r="H1623" s="9"/>
      <c r="I1623" s="9"/>
      <c r="J1623" s="10" t="str">
        <f aca="false">IF(A1623="","",IF(G1623&lt;&gt;"",G1623,IF(N(F1623)&gt;0,ROUND(1000/F1623,3),0)))</f>
        <v/>
      </c>
      <c r="K1623" s="10" t="str">
        <f aca="false">IF(OR(A1623="",E1623="",H1623=""),"",ROUND(0.00617*E1623^2*H1623*J1623,2))</f>
        <v/>
      </c>
      <c r="L1623" s="9"/>
      <c r="M1623" s="10" t="str">
        <f aca="false">IF(A1623="","",IF((COUNTIF(Drain_Register!$A$5:$A$304,A1623)+COUNTIF(RW_Register!$A$5:$A$304,A1623)+COUNTIF(Embedded_Wall_Register!$A$5:$A$304,A1623)+COUNTIF(Manhole_Register!$A$5:$A$304,A1623)+COUNTIF(ERSS_Pit_Register!$A$5:$A$304,A1623)+COUNTIF(Linkway_Register!$A$5:$A$304,A1623)+COUNTIF(Other_Register!$A$5:$A$304,A1623))&gt;0,"OK","ID not in any register"))</f>
        <v/>
      </c>
    </row>
    <row r="1624" customFormat="false" ht="15" hidden="false" customHeight="false" outlineLevel="0" collapsed="false">
      <c r="A1624" s="9"/>
      <c r="B1624" s="9"/>
      <c r="C1624" s="9"/>
      <c r="D1624" s="9"/>
      <c r="E1624" s="9"/>
      <c r="F1624" s="9"/>
      <c r="G1624" s="9"/>
      <c r="H1624" s="9"/>
      <c r="I1624" s="9"/>
      <c r="J1624" s="10" t="str">
        <f aca="false">IF(A1624="","",IF(G1624&lt;&gt;"",G1624,IF(N(F1624)&gt;0,ROUND(1000/F1624,3),0)))</f>
        <v/>
      </c>
      <c r="K1624" s="10" t="str">
        <f aca="false">IF(OR(A1624="",E1624="",H1624=""),"",ROUND(0.00617*E1624^2*H1624*J1624,2))</f>
        <v/>
      </c>
      <c r="L1624" s="9"/>
      <c r="M1624" s="10" t="str">
        <f aca="false">IF(A1624="","",IF((COUNTIF(Drain_Register!$A$5:$A$304,A1624)+COUNTIF(RW_Register!$A$5:$A$304,A1624)+COUNTIF(Embedded_Wall_Register!$A$5:$A$304,A1624)+COUNTIF(Manhole_Register!$A$5:$A$304,A1624)+COUNTIF(ERSS_Pit_Register!$A$5:$A$304,A1624)+COUNTIF(Linkway_Register!$A$5:$A$304,A1624)+COUNTIF(Other_Register!$A$5:$A$304,A1624))&gt;0,"OK","ID not in any register"))</f>
        <v/>
      </c>
    </row>
    <row r="1625" customFormat="false" ht="15" hidden="false" customHeight="false" outlineLevel="0" collapsed="false">
      <c r="A1625" s="9"/>
      <c r="B1625" s="9"/>
      <c r="C1625" s="9"/>
      <c r="D1625" s="9"/>
      <c r="E1625" s="9"/>
      <c r="F1625" s="9"/>
      <c r="G1625" s="9"/>
      <c r="H1625" s="9"/>
      <c r="I1625" s="9"/>
      <c r="J1625" s="10" t="str">
        <f aca="false">IF(A1625="","",IF(G1625&lt;&gt;"",G1625,IF(N(F1625)&gt;0,ROUND(1000/F1625,3),0)))</f>
        <v/>
      </c>
      <c r="K1625" s="10" t="str">
        <f aca="false">IF(OR(A1625="",E1625="",H1625=""),"",ROUND(0.00617*E1625^2*H1625*J1625,2))</f>
        <v/>
      </c>
      <c r="L1625" s="9"/>
      <c r="M1625" s="10" t="str">
        <f aca="false">IF(A1625="","",IF((COUNTIF(Drain_Register!$A$5:$A$304,A1625)+COUNTIF(RW_Register!$A$5:$A$304,A1625)+COUNTIF(Embedded_Wall_Register!$A$5:$A$304,A1625)+COUNTIF(Manhole_Register!$A$5:$A$304,A1625)+COUNTIF(ERSS_Pit_Register!$A$5:$A$304,A1625)+COUNTIF(Linkway_Register!$A$5:$A$304,A1625)+COUNTIF(Other_Register!$A$5:$A$304,A1625))&gt;0,"OK","ID not in any register"))</f>
        <v/>
      </c>
    </row>
    <row r="1626" customFormat="false" ht="15" hidden="false" customHeight="false" outlineLevel="0" collapsed="false">
      <c r="A1626" s="9"/>
      <c r="B1626" s="9"/>
      <c r="C1626" s="9"/>
      <c r="D1626" s="9"/>
      <c r="E1626" s="9"/>
      <c r="F1626" s="9"/>
      <c r="G1626" s="9"/>
      <c r="H1626" s="9"/>
      <c r="I1626" s="9"/>
      <c r="J1626" s="10" t="str">
        <f aca="false">IF(A1626="","",IF(G1626&lt;&gt;"",G1626,IF(N(F1626)&gt;0,ROUND(1000/F1626,3),0)))</f>
        <v/>
      </c>
      <c r="K1626" s="10" t="str">
        <f aca="false">IF(OR(A1626="",E1626="",H1626=""),"",ROUND(0.00617*E1626^2*H1626*J1626,2))</f>
        <v/>
      </c>
      <c r="L1626" s="9"/>
      <c r="M1626" s="10" t="str">
        <f aca="false">IF(A1626="","",IF((COUNTIF(Drain_Register!$A$5:$A$304,A1626)+COUNTIF(RW_Register!$A$5:$A$304,A1626)+COUNTIF(Embedded_Wall_Register!$A$5:$A$304,A1626)+COUNTIF(Manhole_Register!$A$5:$A$304,A1626)+COUNTIF(ERSS_Pit_Register!$A$5:$A$304,A1626)+COUNTIF(Linkway_Register!$A$5:$A$304,A1626)+COUNTIF(Other_Register!$A$5:$A$304,A1626))&gt;0,"OK","ID not in any register"))</f>
        <v/>
      </c>
    </row>
    <row r="1627" customFormat="false" ht="15" hidden="false" customHeight="false" outlineLevel="0" collapsed="false">
      <c r="A1627" s="9"/>
      <c r="B1627" s="9"/>
      <c r="C1627" s="9"/>
      <c r="D1627" s="9"/>
      <c r="E1627" s="9"/>
      <c r="F1627" s="9"/>
      <c r="G1627" s="9"/>
      <c r="H1627" s="9"/>
      <c r="I1627" s="9"/>
      <c r="J1627" s="10" t="str">
        <f aca="false">IF(A1627="","",IF(G1627&lt;&gt;"",G1627,IF(N(F1627)&gt;0,ROUND(1000/F1627,3),0)))</f>
        <v/>
      </c>
      <c r="K1627" s="10" t="str">
        <f aca="false">IF(OR(A1627="",E1627="",H1627=""),"",ROUND(0.00617*E1627^2*H1627*J1627,2))</f>
        <v/>
      </c>
      <c r="L1627" s="9"/>
      <c r="M1627" s="10" t="str">
        <f aca="false">IF(A1627="","",IF((COUNTIF(Drain_Register!$A$5:$A$304,A1627)+COUNTIF(RW_Register!$A$5:$A$304,A1627)+COUNTIF(Embedded_Wall_Register!$A$5:$A$304,A1627)+COUNTIF(Manhole_Register!$A$5:$A$304,A1627)+COUNTIF(ERSS_Pit_Register!$A$5:$A$304,A1627)+COUNTIF(Linkway_Register!$A$5:$A$304,A1627)+COUNTIF(Other_Register!$A$5:$A$304,A1627))&gt;0,"OK","ID not in any register"))</f>
        <v/>
      </c>
    </row>
    <row r="1628" customFormat="false" ht="15" hidden="false" customHeight="false" outlineLevel="0" collapsed="false">
      <c r="A1628" s="9"/>
      <c r="B1628" s="9"/>
      <c r="C1628" s="9"/>
      <c r="D1628" s="9"/>
      <c r="E1628" s="9"/>
      <c r="F1628" s="9"/>
      <c r="G1628" s="9"/>
      <c r="H1628" s="9"/>
      <c r="I1628" s="9"/>
      <c r="J1628" s="10" t="str">
        <f aca="false">IF(A1628="","",IF(G1628&lt;&gt;"",G1628,IF(N(F1628)&gt;0,ROUND(1000/F1628,3),0)))</f>
        <v/>
      </c>
      <c r="K1628" s="10" t="str">
        <f aca="false">IF(OR(A1628="",E1628="",H1628=""),"",ROUND(0.00617*E1628^2*H1628*J1628,2))</f>
        <v/>
      </c>
      <c r="L1628" s="9"/>
      <c r="M1628" s="10" t="str">
        <f aca="false">IF(A1628="","",IF((COUNTIF(Drain_Register!$A$5:$A$304,A1628)+COUNTIF(RW_Register!$A$5:$A$304,A1628)+COUNTIF(Embedded_Wall_Register!$A$5:$A$304,A1628)+COUNTIF(Manhole_Register!$A$5:$A$304,A1628)+COUNTIF(ERSS_Pit_Register!$A$5:$A$304,A1628)+COUNTIF(Linkway_Register!$A$5:$A$304,A1628)+COUNTIF(Other_Register!$A$5:$A$304,A1628))&gt;0,"OK","ID not in any register"))</f>
        <v/>
      </c>
    </row>
    <row r="1629" customFormat="false" ht="15" hidden="false" customHeight="false" outlineLevel="0" collapsed="false">
      <c r="A1629" s="9"/>
      <c r="B1629" s="9"/>
      <c r="C1629" s="9"/>
      <c r="D1629" s="9"/>
      <c r="E1629" s="9"/>
      <c r="F1629" s="9"/>
      <c r="G1629" s="9"/>
      <c r="H1629" s="9"/>
      <c r="I1629" s="9"/>
      <c r="J1629" s="10" t="str">
        <f aca="false">IF(A1629="","",IF(G1629&lt;&gt;"",G1629,IF(N(F1629)&gt;0,ROUND(1000/F1629,3),0)))</f>
        <v/>
      </c>
      <c r="K1629" s="10" t="str">
        <f aca="false">IF(OR(A1629="",E1629="",H1629=""),"",ROUND(0.00617*E1629^2*H1629*J1629,2))</f>
        <v/>
      </c>
      <c r="L1629" s="9"/>
      <c r="M1629" s="10" t="str">
        <f aca="false">IF(A1629="","",IF((COUNTIF(Drain_Register!$A$5:$A$304,A1629)+COUNTIF(RW_Register!$A$5:$A$304,A1629)+COUNTIF(Embedded_Wall_Register!$A$5:$A$304,A1629)+COUNTIF(Manhole_Register!$A$5:$A$304,A1629)+COUNTIF(ERSS_Pit_Register!$A$5:$A$304,A1629)+COUNTIF(Linkway_Register!$A$5:$A$304,A1629)+COUNTIF(Other_Register!$A$5:$A$304,A1629))&gt;0,"OK","ID not in any register"))</f>
        <v/>
      </c>
    </row>
    <row r="1630" customFormat="false" ht="15" hidden="false" customHeight="false" outlineLevel="0" collapsed="false">
      <c r="A1630" s="9"/>
      <c r="B1630" s="9"/>
      <c r="C1630" s="9"/>
      <c r="D1630" s="9"/>
      <c r="E1630" s="9"/>
      <c r="F1630" s="9"/>
      <c r="G1630" s="9"/>
      <c r="H1630" s="9"/>
      <c r="I1630" s="9"/>
      <c r="J1630" s="10" t="str">
        <f aca="false">IF(A1630="","",IF(G1630&lt;&gt;"",G1630,IF(N(F1630)&gt;0,ROUND(1000/F1630,3),0)))</f>
        <v/>
      </c>
      <c r="K1630" s="10" t="str">
        <f aca="false">IF(OR(A1630="",E1630="",H1630=""),"",ROUND(0.00617*E1630^2*H1630*J1630,2))</f>
        <v/>
      </c>
      <c r="L1630" s="9"/>
      <c r="M1630" s="10" t="str">
        <f aca="false">IF(A1630="","",IF((COUNTIF(Drain_Register!$A$5:$A$304,A1630)+COUNTIF(RW_Register!$A$5:$A$304,A1630)+COUNTIF(Embedded_Wall_Register!$A$5:$A$304,A1630)+COUNTIF(Manhole_Register!$A$5:$A$304,A1630)+COUNTIF(ERSS_Pit_Register!$A$5:$A$304,A1630)+COUNTIF(Linkway_Register!$A$5:$A$304,A1630)+COUNTIF(Other_Register!$A$5:$A$304,A1630))&gt;0,"OK","ID not in any register"))</f>
        <v/>
      </c>
    </row>
    <row r="1631" customFormat="false" ht="15" hidden="false" customHeight="false" outlineLevel="0" collapsed="false">
      <c r="A1631" s="9"/>
      <c r="B1631" s="9"/>
      <c r="C1631" s="9"/>
      <c r="D1631" s="9"/>
      <c r="E1631" s="9"/>
      <c r="F1631" s="9"/>
      <c r="G1631" s="9"/>
      <c r="H1631" s="9"/>
      <c r="I1631" s="9"/>
      <c r="J1631" s="10" t="str">
        <f aca="false">IF(A1631="","",IF(G1631&lt;&gt;"",G1631,IF(N(F1631)&gt;0,ROUND(1000/F1631,3),0)))</f>
        <v/>
      </c>
      <c r="K1631" s="10" t="str">
        <f aca="false">IF(OR(A1631="",E1631="",H1631=""),"",ROUND(0.00617*E1631^2*H1631*J1631,2))</f>
        <v/>
      </c>
      <c r="L1631" s="9"/>
      <c r="M1631" s="10" t="str">
        <f aca="false">IF(A1631="","",IF((COUNTIF(Drain_Register!$A$5:$A$304,A1631)+COUNTIF(RW_Register!$A$5:$A$304,A1631)+COUNTIF(Embedded_Wall_Register!$A$5:$A$304,A1631)+COUNTIF(Manhole_Register!$A$5:$A$304,A1631)+COUNTIF(ERSS_Pit_Register!$A$5:$A$304,A1631)+COUNTIF(Linkway_Register!$A$5:$A$304,A1631)+COUNTIF(Other_Register!$A$5:$A$304,A1631))&gt;0,"OK","ID not in any register"))</f>
        <v/>
      </c>
    </row>
    <row r="1632" customFormat="false" ht="15" hidden="false" customHeight="false" outlineLevel="0" collapsed="false">
      <c r="A1632" s="9"/>
      <c r="B1632" s="9"/>
      <c r="C1632" s="9"/>
      <c r="D1632" s="9"/>
      <c r="E1632" s="9"/>
      <c r="F1632" s="9"/>
      <c r="G1632" s="9"/>
      <c r="H1632" s="9"/>
      <c r="I1632" s="9"/>
      <c r="J1632" s="10" t="str">
        <f aca="false">IF(A1632="","",IF(G1632&lt;&gt;"",G1632,IF(N(F1632)&gt;0,ROUND(1000/F1632,3),0)))</f>
        <v/>
      </c>
      <c r="K1632" s="10" t="str">
        <f aca="false">IF(OR(A1632="",E1632="",H1632=""),"",ROUND(0.00617*E1632^2*H1632*J1632,2))</f>
        <v/>
      </c>
      <c r="L1632" s="9"/>
      <c r="M1632" s="10" t="str">
        <f aca="false">IF(A1632="","",IF((COUNTIF(Drain_Register!$A$5:$A$304,A1632)+COUNTIF(RW_Register!$A$5:$A$304,A1632)+COUNTIF(Embedded_Wall_Register!$A$5:$A$304,A1632)+COUNTIF(Manhole_Register!$A$5:$A$304,A1632)+COUNTIF(ERSS_Pit_Register!$A$5:$A$304,A1632)+COUNTIF(Linkway_Register!$A$5:$A$304,A1632)+COUNTIF(Other_Register!$A$5:$A$304,A1632))&gt;0,"OK","ID not in any register"))</f>
        <v/>
      </c>
    </row>
    <row r="1633" customFormat="false" ht="15" hidden="false" customHeight="false" outlineLevel="0" collapsed="false">
      <c r="A1633" s="9"/>
      <c r="B1633" s="9"/>
      <c r="C1633" s="9"/>
      <c r="D1633" s="9"/>
      <c r="E1633" s="9"/>
      <c r="F1633" s="9"/>
      <c r="G1633" s="9"/>
      <c r="H1633" s="9"/>
      <c r="I1633" s="9"/>
      <c r="J1633" s="10" t="str">
        <f aca="false">IF(A1633="","",IF(G1633&lt;&gt;"",G1633,IF(N(F1633)&gt;0,ROUND(1000/F1633,3),0)))</f>
        <v/>
      </c>
      <c r="K1633" s="10" t="str">
        <f aca="false">IF(OR(A1633="",E1633="",H1633=""),"",ROUND(0.00617*E1633^2*H1633*J1633,2))</f>
        <v/>
      </c>
      <c r="L1633" s="9"/>
      <c r="M1633" s="10" t="str">
        <f aca="false">IF(A1633="","",IF((COUNTIF(Drain_Register!$A$5:$A$304,A1633)+COUNTIF(RW_Register!$A$5:$A$304,A1633)+COUNTIF(Embedded_Wall_Register!$A$5:$A$304,A1633)+COUNTIF(Manhole_Register!$A$5:$A$304,A1633)+COUNTIF(ERSS_Pit_Register!$A$5:$A$304,A1633)+COUNTIF(Linkway_Register!$A$5:$A$304,A1633)+COUNTIF(Other_Register!$A$5:$A$304,A1633))&gt;0,"OK","ID not in any register"))</f>
        <v/>
      </c>
    </row>
    <row r="1634" customFormat="false" ht="15" hidden="false" customHeight="false" outlineLevel="0" collapsed="false">
      <c r="A1634" s="9"/>
      <c r="B1634" s="9"/>
      <c r="C1634" s="9"/>
      <c r="D1634" s="9"/>
      <c r="E1634" s="9"/>
      <c r="F1634" s="9"/>
      <c r="G1634" s="9"/>
      <c r="H1634" s="9"/>
      <c r="I1634" s="9"/>
      <c r="J1634" s="10" t="str">
        <f aca="false">IF(A1634="","",IF(G1634&lt;&gt;"",G1634,IF(N(F1634)&gt;0,ROUND(1000/F1634,3),0)))</f>
        <v/>
      </c>
      <c r="K1634" s="10" t="str">
        <f aca="false">IF(OR(A1634="",E1634="",H1634=""),"",ROUND(0.00617*E1634^2*H1634*J1634,2))</f>
        <v/>
      </c>
      <c r="L1634" s="9"/>
      <c r="M1634" s="10" t="str">
        <f aca="false">IF(A1634="","",IF((COUNTIF(Drain_Register!$A$5:$A$304,A1634)+COUNTIF(RW_Register!$A$5:$A$304,A1634)+COUNTIF(Embedded_Wall_Register!$A$5:$A$304,A1634)+COUNTIF(Manhole_Register!$A$5:$A$304,A1634)+COUNTIF(ERSS_Pit_Register!$A$5:$A$304,A1634)+COUNTIF(Linkway_Register!$A$5:$A$304,A1634)+COUNTIF(Other_Register!$A$5:$A$304,A1634))&gt;0,"OK","ID not in any register"))</f>
        <v/>
      </c>
    </row>
    <row r="1635" customFormat="false" ht="15" hidden="false" customHeight="false" outlineLevel="0" collapsed="false">
      <c r="A1635" s="9"/>
      <c r="B1635" s="9"/>
      <c r="C1635" s="9"/>
      <c r="D1635" s="9"/>
      <c r="E1635" s="9"/>
      <c r="F1635" s="9"/>
      <c r="G1635" s="9"/>
      <c r="H1635" s="9"/>
      <c r="I1635" s="9"/>
      <c r="J1635" s="10" t="str">
        <f aca="false">IF(A1635="","",IF(G1635&lt;&gt;"",G1635,IF(N(F1635)&gt;0,ROUND(1000/F1635,3),0)))</f>
        <v/>
      </c>
      <c r="K1635" s="10" t="str">
        <f aca="false">IF(OR(A1635="",E1635="",H1635=""),"",ROUND(0.00617*E1635^2*H1635*J1635,2))</f>
        <v/>
      </c>
      <c r="L1635" s="9"/>
      <c r="M1635" s="10" t="str">
        <f aca="false">IF(A1635="","",IF((COUNTIF(Drain_Register!$A$5:$A$304,A1635)+COUNTIF(RW_Register!$A$5:$A$304,A1635)+COUNTIF(Embedded_Wall_Register!$A$5:$A$304,A1635)+COUNTIF(Manhole_Register!$A$5:$A$304,A1635)+COUNTIF(ERSS_Pit_Register!$A$5:$A$304,A1635)+COUNTIF(Linkway_Register!$A$5:$A$304,A1635)+COUNTIF(Other_Register!$A$5:$A$304,A1635))&gt;0,"OK","ID not in any register"))</f>
        <v/>
      </c>
    </row>
    <row r="1636" customFormat="false" ht="15" hidden="false" customHeight="false" outlineLevel="0" collapsed="false">
      <c r="A1636" s="9"/>
      <c r="B1636" s="9"/>
      <c r="C1636" s="9"/>
      <c r="D1636" s="9"/>
      <c r="E1636" s="9"/>
      <c r="F1636" s="9"/>
      <c r="G1636" s="9"/>
      <c r="H1636" s="9"/>
      <c r="I1636" s="9"/>
      <c r="J1636" s="10" t="str">
        <f aca="false">IF(A1636="","",IF(G1636&lt;&gt;"",G1636,IF(N(F1636)&gt;0,ROUND(1000/F1636,3),0)))</f>
        <v/>
      </c>
      <c r="K1636" s="10" t="str">
        <f aca="false">IF(OR(A1636="",E1636="",H1636=""),"",ROUND(0.00617*E1636^2*H1636*J1636,2))</f>
        <v/>
      </c>
      <c r="L1636" s="9"/>
      <c r="M1636" s="10" t="str">
        <f aca="false">IF(A1636="","",IF((COUNTIF(Drain_Register!$A$5:$A$304,A1636)+COUNTIF(RW_Register!$A$5:$A$304,A1636)+COUNTIF(Embedded_Wall_Register!$A$5:$A$304,A1636)+COUNTIF(Manhole_Register!$A$5:$A$304,A1636)+COUNTIF(ERSS_Pit_Register!$A$5:$A$304,A1636)+COUNTIF(Linkway_Register!$A$5:$A$304,A1636)+COUNTIF(Other_Register!$A$5:$A$304,A1636))&gt;0,"OK","ID not in any register"))</f>
        <v/>
      </c>
    </row>
    <row r="1637" customFormat="false" ht="15" hidden="false" customHeight="false" outlineLevel="0" collapsed="false">
      <c r="A1637" s="9"/>
      <c r="B1637" s="9"/>
      <c r="C1637" s="9"/>
      <c r="D1637" s="9"/>
      <c r="E1637" s="9"/>
      <c r="F1637" s="9"/>
      <c r="G1637" s="9"/>
      <c r="H1637" s="9"/>
      <c r="I1637" s="9"/>
      <c r="J1637" s="10" t="str">
        <f aca="false">IF(A1637="","",IF(G1637&lt;&gt;"",G1637,IF(N(F1637)&gt;0,ROUND(1000/F1637,3),0)))</f>
        <v/>
      </c>
      <c r="K1637" s="10" t="str">
        <f aca="false">IF(OR(A1637="",E1637="",H1637=""),"",ROUND(0.00617*E1637^2*H1637*J1637,2))</f>
        <v/>
      </c>
      <c r="L1637" s="9"/>
      <c r="M1637" s="10" t="str">
        <f aca="false">IF(A1637="","",IF((COUNTIF(Drain_Register!$A$5:$A$304,A1637)+COUNTIF(RW_Register!$A$5:$A$304,A1637)+COUNTIF(Embedded_Wall_Register!$A$5:$A$304,A1637)+COUNTIF(Manhole_Register!$A$5:$A$304,A1637)+COUNTIF(ERSS_Pit_Register!$A$5:$A$304,A1637)+COUNTIF(Linkway_Register!$A$5:$A$304,A1637)+COUNTIF(Other_Register!$A$5:$A$304,A1637))&gt;0,"OK","ID not in any register"))</f>
        <v/>
      </c>
    </row>
    <row r="1638" customFormat="false" ht="15" hidden="false" customHeight="false" outlineLevel="0" collapsed="false">
      <c r="A1638" s="9"/>
      <c r="B1638" s="9"/>
      <c r="C1638" s="9"/>
      <c r="D1638" s="9"/>
      <c r="E1638" s="9"/>
      <c r="F1638" s="9"/>
      <c r="G1638" s="9"/>
      <c r="H1638" s="9"/>
      <c r="I1638" s="9"/>
      <c r="J1638" s="10" t="str">
        <f aca="false">IF(A1638="","",IF(G1638&lt;&gt;"",G1638,IF(N(F1638)&gt;0,ROUND(1000/F1638,3),0)))</f>
        <v/>
      </c>
      <c r="K1638" s="10" t="str">
        <f aca="false">IF(OR(A1638="",E1638="",H1638=""),"",ROUND(0.00617*E1638^2*H1638*J1638,2))</f>
        <v/>
      </c>
      <c r="L1638" s="9"/>
      <c r="M1638" s="10" t="str">
        <f aca="false">IF(A1638="","",IF((COUNTIF(Drain_Register!$A$5:$A$304,A1638)+COUNTIF(RW_Register!$A$5:$A$304,A1638)+COUNTIF(Embedded_Wall_Register!$A$5:$A$304,A1638)+COUNTIF(Manhole_Register!$A$5:$A$304,A1638)+COUNTIF(ERSS_Pit_Register!$A$5:$A$304,A1638)+COUNTIF(Linkway_Register!$A$5:$A$304,A1638)+COUNTIF(Other_Register!$A$5:$A$304,A1638))&gt;0,"OK","ID not in any register"))</f>
        <v/>
      </c>
    </row>
    <row r="1639" customFormat="false" ht="15" hidden="false" customHeight="false" outlineLevel="0" collapsed="false">
      <c r="A1639" s="9"/>
      <c r="B1639" s="9"/>
      <c r="C1639" s="9"/>
      <c r="D1639" s="9"/>
      <c r="E1639" s="9"/>
      <c r="F1639" s="9"/>
      <c r="G1639" s="9"/>
      <c r="H1639" s="9"/>
      <c r="I1639" s="9"/>
      <c r="J1639" s="10" t="str">
        <f aca="false">IF(A1639="","",IF(G1639&lt;&gt;"",G1639,IF(N(F1639)&gt;0,ROUND(1000/F1639,3),0)))</f>
        <v/>
      </c>
      <c r="K1639" s="10" t="str">
        <f aca="false">IF(OR(A1639="",E1639="",H1639=""),"",ROUND(0.00617*E1639^2*H1639*J1639,2))</f>
        <v/>
      </c>
      <c r="L1639" s="9"/>
      <c r="M1639" s="10" t="str">
        <f aca="false">IF(A1639="","",IF((COUNTIF(Drain_Register!$A$5:$A$304,A1639)+COUNTIF(RW_Register!$A$5:$A$304,A1639)+COUNTIF(Embedded_Wall_Register!$A$5:$A$304,A1639)+COUNTIF(Manhole_Register!$A$5:$A$304,A1639)+COUNTIF(ERSS_Pit_Register!$A$5:$A$304,A1639)+COUNTIF(Linkway_Register!$A$5:$A$304,A1639)+COUNTIF(Other_Register!$A$5:$A$304,A1639))&gt;0,"OK","ID not in any register"))</f>
        <v/>
      </c>
    </row>
    <row r="1640" customFormat="false" ht="15" hidden="false" customHeight="false" outlineLevel="0" collapsed="false">
      <c r="A1640" s="9"/>
      <c r="B1640" s="9"/>
      <c r="C1640" s="9"/>
      <c r="D1640" s="9"/>
      <c r="E1640" s="9"/>
      <c r="F1640" s="9"/>
      <c r="G1640" s="9"/>
      <c r="H1640" s="9"/>
      <c r="I1640" s="9"/>
      <c r="J1640" s="10" t="str">
        <f aca="false">IF(A1640="","",IF(G1640&lt;&gt;"",G1640,IF(N(F1640)&gt;0,ROUND(1000/F1640,3),0)))</f>
        <v/>
      </c>
      <c r="K1640" s="10" t="str">
        <f aca="false">IF(OR(A1640="",E1640="",H1640=""),"",ROUND(0.00617*E1640^2*H1640*J1640,2))</f>
        <v/>
      </c>
      <c r="L1640" s="9"/>
      <c r="M1640" s="10" t="str">
        <f aca="false">IF(A1640="","",IF((COUNTIF(Drain_Register!$A$5:$A$304,A1640)+COUNTIF(RW_Register!$A$5:$A$304,A1640)+COUNTIF(Embedded_Wall_Register!$A$5:$A$304,A1640)+COUNTIF(Manhole_Register!$A$5:$A$304,A1640)+COUNTIF(ERSS_Pit_Register!$A$5:$A$304,A1640)+COUNTIF(Linkway_Register!$A$5:$A$304,A1640)+COUNTIF(Other_Register!$A$5:$A$304,A1640))&gt;0,"OK","ID not in any register"))</f>
        <v/>
      </c>
    </row>
    <row r="1641" customFormat="false" ht="15" hidden="false" customHeight="false" outlineLevel="0" collapsed="false">
      <c r="A1641" s="9"/>
      <c r="B1641" s="9"/>
      <c r="C1641" s="9"/>
      <c r="D1641" s="9"/>
      <c r="E1641" s="9"/>
      <c r="F1641" s="9"/>
      <c r="G1641" s="9"/>
      <c r="H1641" s="9"/>
      <c r="I1641" s="9"/>
      <c r="J1641" s="10" t="str">
        <f aca="false">IF(A1641="","",IF(G1641&lt;&gt;"",G1641,IF(N(F1641)&gt;0,ROUND(1000/F1641,3),0)))</f>
        <v/>
      </c>
      <c r="K1641" s="10" t="str">
        <f aca="false">IF(OR(A1641="",E1641="",H1641=""),"",ROUND(0.00617*E1641^2*H1641*J1641,2))</f>
        <v/>
      </c>
      <c r="L1641" s="9"/>
      <c r="M1641" s="10" t="str">
        <f aca="false">IF(A1641="","",IF((COUNTIF(Drain_Register!$A$5:$A$304,A1641)+COUNTIF(RW_Register!$A$5:$A$304,A1641)+COUNTIF(Embedded_Wall_Register!$A$5:$A$304,A1641)+COUNTIF(Manhole_Register!$A$5:$A$304,A1641)+COUNTIF(ERSS_Pit_Register!$A$5:$A$304,A1641)+COUNTIF(Linkway_Register!$A$5:$A$304,A1641)+COUNTIF(Other_Register!$A$5:$A$304,A1641))&gt;0,"OK","ID not in any register"))</f>
        <v/>
      </c>
    </row>
    <row r="1642" customFormat="false" ht="15" hidden="false" customHeight="false" outlineLevel="0" collapsed="false">
      <c r="A1642" s="9"/>
      <c r="B1642" s="9"/>
      <c r="C1642" s="9"/>
      <c r="D1642" s="9"/>
      <c r="E1642" s="9"/>
      <c r="F1642" s="9"/>
      <c r="G1642" s="9"/>
      <c r="H1642" s="9"/>
      <c r="I1642" s="9"/>
      <c r="J1642" s="10" t="str">
        <f aca="false">IF(A1642="","",IF(G1642&lt;&gt;"",G1642,IF(N(F1642)&gt;0,ROUND(1000/F1642,3),0)))</f>
        <v/>
      </c>
      <c r="K1642" s="10" t="str">
        <f aca="false">IF(OR(A1642="",E1642="",H1642=""),"",ROUND(0.00617*E1642^2*H1642*J1642,2))</f>
        <v/>
      </c>
      <c r="L1642" s="9"/>
      <c r="M1642" s="10" t="str">
        <f aca="false">IF(A1642="","",IF((COUNTIF(Drain_Register!$A$5:$A$304,A1642)+COUNTIF(RW_Register!$A$5:$A$304,A1642)+COUNTIF(Embedded_Wall_Register!$A$5:$A$304,A1642)+COUNTIF(Manhole_Register!$A$5:$A$304,A1642)+COUNTIF(ERSS_Pit_Register!$A$5:$A$304,A1642)+COUNTIF(Linkway_Register!$A$5:$A$304,A1642)+COUNTIF(Other_Register!$A$5:$A$304,A1642))&gt;0,"OK","ID not in any register"))</f>
        <v/>
      </c>
    </row>
    <row r="1643" customFormat="false" ht="15" hidden="false" customHeight="false" outlineLevel="0" collapsed="false">
      <c r="A1643" s="9"/>
      <c r="B1643" s="9"/>
      <c r="C1643" s="9"/>
      <c r="D1643" s="9"/>
      <c r="E1643" s="9"/>
      <c r="F1643" s="9"/>
      <c r="G1643" s="9"/>
      <c r="H1643" s="9"/>
      <c r="I1643" s="9"/>
      <c r="J1643" s="10" t="str">
        <f aca="false">IF(A1643="","",IF(G1643&lt;&gt;"",G1643,IF(N(F1643)&gt;0,ROUND(1000/F1643,3),0)))</f>
        <v/>
      </c>
      <c r="K1643" s="10" t="str">
        <f aca="false">IF(OR(A1643="",E1643="",H1643=""),"",ROUND(0.00617*E1643^2*H1643*J1643,2))</f>
        <v/>
      </c>
      <c r="L1643" s="9"/>
      <c r="M1643" s="10" t="str">
        <f aca="false">IF(A1643="","",IF((COUNTIF(Drain_Register!$A$5:$A$304,A1643)+COUNTIF(RW_Register!$A$5:$A$304,A1643)+COUNTIF(Embedded_Wall_Register!$A$5:$A$304,A1643)+COUNTIF(Manhole_Register!$A$5:$A$304,A1643)+COUNTIF(ERSS_Pit_Register!$A$5:$A$304,A1643)+COUNTIF(Linkway_Register!$A$5:$A$304,A1643)+COUNTIF(Other_Register!$A$5:$A$304,A1643))&gt;0,"OK","ID not in any register"))</f>
        <v/>
      </c>
    </row>
    <row r="1644" customFormat="false" ht="15" hidden="false" customHeight="false" outlineLevel="0" collapsed="false">
      <c r="A1644" s="9"/>
      <c r="B1644" s="9"/>
      <c r="C1644" s="9"/>
      <c r="D1644" s="9"/>
      <c r="E1644" s="9"/>
      <c r="F1644" s="9"/>
      <c r="G1644" s="9"/>
      <c r="H1644" s="9"/>
      <c r="I1644" s="9"/>
      <c r="J1644" s="10" t="str">
        <f aca="false">IF(A1644="","",IF(G1644&lt;&gt;"",G1644,IF(N(F1644)&gt;0,ROUND(1000/F1644,3),0)))</f>
        <v/>
      </c>
      <c r="K1644" s="10" t="str">
        <f aca="false">IF(OR(A1644="",E1644="",H1644=""),"",ROUND(0.00617*E1644^2*H1644*J1644,2))</f>
        <v/>
      </c>
      <c r="L1644" s="9"/>
      <c r="M1644" s="10" t="str">
        <f aca="false">IF(A1644="","",IF((COUNTIF(Drain_Register!$A$5:$A$304,A1644)+COUNTIF(RW_Register!$A$5:$A$304,A1644)+COUNTIF(Embedded_Wall_Register!$A$5:$A$304,A1644)+COUNTIF(Manhole_Register!$A$5:$A$304,A1644)+COUNTIF(ERSS_Pit_Register!$A$5:$A$304,A1644)+COUNTIF(Linkway_Register!$A$5:$A$304,A1644)+COUNTIF(Other_Register!$A$5:$A$304,A1644))&gt;0,"OK","ID not in any register"))</f>
        <v/>
      </c>
    </row>
    <row r="1645" customFormat="false" ht="15" hidden="false" customHeight="false" outlineLevel="0" collapsed="false">
      <c r="A1645" s="9"/>
      <c r="B1645" s="9"/>
      <c r="C1645" s="9"/>
      <c r="D1645" s="9"/>
      <c r="E1645" s="9"/>
      <c r="F1645" s="9"/>
      <c r="G1645" s="9"/>
      <c r="H1645" s="9"/>
      <c r="I1645" s="9"/>
      <c r="J1645" s="10" t="str">
        <f aca="false">IF(A1645="","",IF(G1645&lt;&gt;"",G1645,IF(N(F1645)&gt;0,ROUND(1000/F1645,3),0)))</f>
        <v/>
      </c>
      <c r="K1645" s="10" t="str">
        <f aca="false">IF(OR(A1645="",E1645="",H1645=""),"",ROUND(0.00617*E1645^2*H1645*J1645,2))</f>
        <v/>
      </c>
      <c r="L1645" s="9"/>
      <c r="M1645" s="10" t="str">
        <f aca="false">IF(A1645="","",IF((COUNTIF(Drain_Register!$A$5:$A$304,A1645)+COUNTIF(RW_Register!$A$5:$A$304,A1645)+COUNTIF(Embedded_Wall_Register!$A$5:$A$304,A1645)+COUNTIF(Manhole_Register!$A$5:$A$304,A1645)+COUNTIF(ERSS_Pit_Register!$A$5:$A$304,A1645)+COUNTIF(Linkway_Register!$A$5:$A$304,A1645)+COUNTIF(Other_Register!$A$5:$A$304,A1645))&gt;0,"OK","ID not in any register"))</f>
        <v/>
      </c>
    </row>
    <row r="1646" customFormat="false" ht="15" hidden="false" customHeight="false" outlineLevel="0" collapsed="false">
      <c r="A1646" s="9"/>
      <c r="B1646" s="9"/>
      <c r="C1646" s="9"/>
      <c r="D1646" s="9"/>
      <c r="E1646" s="9"/>
      <c r="F1646" s="9"/>
      <c r="G1646" s="9"/>
      <c r="H1646" s="9"/>
      <c r="I1646" s="9"/>
      <c r="J1646" s="10" t="str">
        <f aca="false">IF(A1646="","",IF(G1646&lt;&gt;"",G1646,IF(N(F1646)&gt;0,ROUND(1000/F1646,3),0)))</f>
        <v/>
      </c>
      <c r="K1646" s="10" t="str">
        <f aca="false">IF(OR(A1646="",E1646="",H1646=""),"",ROUND(0.00617*E1646^2*H1646*J1646,2))</f>
        <v/>
      </c>
      <c r="L1646" s="9"/>
      <c r="M1646" s="10" t="str">
        <f aca="false">IF(A1646="","",IF((COUNTIF(Drain_Register!$A$5:$A$304,A1646)+COUNTIF(RW_Register!$A$5:$A$304,A1646)+COUNTIF(Embedded_Wall_Register!$A$5:$A$304,A1646)+COUNTIF(Manhole_Register!$A$5:$A$304,A1646)+COUNTIF(ERSS_Pit_Register!$A$5:$A$304,A1646)+COUNTIF(Linkway_Register!$A$5:$A$304,A1646)+COUNTIF(Other_Register!$A$5:$A$304,A1646))&gt;0,"OK","ID not in any register"))</f>
        <v/>
      </c>
    </row>
    <row r="1647" customFormat="false" ht="15" hidden="false" customHeight="false" outlineLevel="0" collapsed="false">
      <c r="A1647" s="9"/>
      <c r="B1647" s="9"/>
      <c r="C1647" s="9"/>
      <c r="D1647" s="9"/>
      <c r="E1647" s="9"/>
      <c r="F1647" s="9"/>
      <c r="G1647" s="9"/>
      <c r="H1647" s="9"/>
      <c r="I1647" s="9"/>
      <c r="J1647" s="10" t="str">
        <f aca="false">IF(A1647="","",IF(G1647&lt;&gt;"",G1647,IF(N(F1647)&gt;0,ROUND(1000/F1647,3),0)))</f>
        <v/>
      </c>
      <c r="K1647" s="10" t="str">
        <f aca="false">IF(OR(A1647="",E1647="",H1647=""),"",ROUND(0.00617*E1647^2*H1647*J1647,2))</f>
        <v/>
      </c>
      <c r="L1647" s="9"/>
      <c r="M1647" s="10" t="str">
        <f aca="false">IF(A1647="","",IF((COUNTIF(Drain_Register!$A$5:$A$304,A1647)+COUNTIF(RW_Register!$A$5:$A$304,A1647)+COUNTIF(Embedded_Wall_Register!$A$5:$A$304,A1647)+COUNTIF(Manhole_Register!$A$5:$A$304,A1647)+COUNTIF(ERSS_Pit_Register!$A$5:$A$304,A1647)+COUNTIF(Linkway_Register!$A$5:$A$304,A1647)+COUNTIF(Other_Register!$A$5:$A$304,A1647))&gt;0,"OK","ID not in any register"))</f>
        <v/>
      </c>
    </row>
    <row r="1648" customFormat="false" ht="15" hidden="false" customHeight="false" outlineLevel="0" collapsed="false">
      <c r="A1648" s="9"/>
      <c r="B1648" s="9"/>
      <c r="C1648" s="9"/>
      <c r="D1648" s="9"/>
      <c r="E1648" s="9"/>
      <c r="F1648" s="9"/>
      <c r="G1648" s="9"/>
      <c r="H1648" s="9"/>
      <c r="I1648" s="9"/>
      <c r="J1648" s="10" t="str">
        <f aca="false">IF(A1648="","",IF(G1648&lt;&gt;"",G1648,IF(N(F1648)&gt;0,ROUND(1000/F1648,3),0)))</f>
        <v/>
      </c>
      <c r="K1648" s="10" t="str">
        <f aca="false">IF(OR(A1648="",E1648="",H1648=""),"",ROUND(0.00617*E1648^2*H1648*J1648,2))</f>
        <v/>
      </c>
      <c r="L1648" s="9"/>
      <c r="M1648" s="10" t="str">
        <f aca="false">IF(A1648="","",IF((COUNTIF(Drain_Register!$A$5:$A$304,A1648)+COUNTIF(RW_Register!$A$5:$A$304,A1648)+COUNTIF(Embedded_Wall_Register!$A$5:$A$304,A1648)+COUNTIF(Manhole_Register!$A$5:$A$304,A1648)+COUNTIF(ERSS_Pit_Register!$A$5:$A$304,A1648)+COUNTIF(Linkway_Register!$A$5:$A$304,A1648)+COUNTIF(Other_Register!$A$5:$A$304,A1648))&gt;0,"OK","ID not in any register"))</f>
        <v/>
      </c>
    </row>
    <row r="1649" customFormat="false" ht="15" hidden="false" customHeight="false" outlineLevel="0" collapsed="false">
      <c r="A1649" s="9"/>
      <c r="B1649" s="9"/>
      <c r="C1649" s="9"/>
      <c r="D1649" s="9"/>
      <c r="E1649" s="9"/>
      <c r="F1649" s="9"/>
      <c r="G1649" s="9"/>
      <c r="H1649" s="9"/>
      <c r="I1649" s="9"/>
      <c r="J1649" s="10" t="str">
        <f aca="false">IF(A1649="","",IF(G1649&lt;&gt;"",G1649,IF(N(F1649)&gt;0,ROUND(1000/F1649,3),0)))</f>
        <v/>
      </c>
      <c r="K1649" s="10" t="str">
        <f aca="false">IF(OR(A1649="",E1649="",H1649=""),"",ROUND(0.00617*E1649^2*H1649*J1649,2))</f>
        <v/>
      </c>
      <c r="L1649" s="9"/>
      <c r="M1649" s="10" t="str">
        <f aca="false">IF(A1649="","",IF((COUNTIF(Drain_Register!$A$5:$A$304,A1649)+COUNTIF(RW_Register!$A$5:$A$304,A1649)+COUNTIF(Embedded_Wall_Register!$A$5:$A$304,A1649)+COUNTIF(Manhole_Register!$A$5:$A$304,A1649)+COUNTIF(ERSS_Pit_Register!$A$5:$A$304,A1649)+COUNTIF(Linkway_Register!$A$5:$A$304,A1649)+COUNTIF(Other_Register!$A$5:$A$304,A1649))&gt;0,"OK","ID not in any register"))</f>
        <v/>
      </c>
    </row>
    <row r="1650" customFormat="false" ht="15" hidden="false" customHeight="false" outlineLevel="0" collapsed="false">
      <c r="A1650" s="9"/>
      <c r="B1650" s="9"/>
      <c r="C1650" s="9"/>
      <c r="D1650" s="9"/>
      <c r="E1650" s="9"/>
      <c r="F1650" s="9"/>
      <c r="G1650" s="9"/>
      <c r="H1650" s="9"/>
      <c r="I1650" s="9"/>
      <c r="J1650" s="10" t="str">
        <f aca="false">IF(A1650="","",IF(G1650&lt;&gt;"",G1650,IF(N(F1650)&gt;0,ROUND(1000/F1650,3),0)))</f>
        <v/>
      </c>
      <c r="K1650" s="10" t="str">
        <f aca="false">IF(OR(A1650="",E1650="",H1650=""),"",ROUND(0.00617*E1650^2*H1650*J1650,2))</f>
        <v/>
      </c>
      <c r="L1650" s="9"/>
      <c r="M1650" s="10" t="str">
        <f aca="false">IF(A1650="","",IF((COUNTIF(Drain_Register!$A$5:$A$304,A1650)+COUNTIF(RW_Register!$A$5:$A$304,A1650)+COUNTIF(Embedded_Wall_Register!$A$5:$A$304,A1650)+COUNTIF(Manhole_Register!$A$5:$A$304,A1650)+COUNTIF(ERSS_Pit_Register!$A$5:$A$304,A1650)+COUNTIF(Linkway_Register!$A$5:$A$304,A1650)+COUNTIF(Other_Register!$A$5:$A$304,A1650))&gt;0,"OK","ID not in any register"))</f>
        <v/>
      </c>
    </row>
    <row r="1651" customFormat="false" ht="15" hidden="false" customHeight="false" outlineLevel="0" collapsed="false">
      <c r="A1651" s="9"/>
      <c r="B1651" s="9"/>
      <c r="C1651" s="9"/>
      <c r="D1651" s="9"/>
      <c r="E1651" s="9"/>
      <c r="F1651" s="9"/>
      <c r="G1651" s="9"/>
      <c r="H1651" s="9"/>
      <c r="I1651" s="9"/>
      <c r="J1651" s="10" t="str">
        <f aca="false">IF(A1651="","",IF(G1651&lt;&gt;"",G1651,IF(N(F1651)&gt;0,ROUND(1000/F1651,3),0)))</f>
        <v/>
      </c>
      <c r="K1651" s="10" t="str">
        <f aca="false">IF(OR(A1651="",E1651="",H1651=""),"",ROUND(0.00617*E1651^2*H1651*J1651,2))</f>
        <v/>
      </c>
      <c r="L1651" s="9"/>
      <c r="M1651" s="10" t="str">
        <f aca="false">IF(A1651="","",IF((COUNTIF(Drain_Register!$A$5:$A$304,A1651)+COUNTIF(RW_Register!$A$5:$A$304,A1651)+COUNTIF(Embedded_Wall_Register!$A$5:$A$304,A1651)+COUNTIF(Manhole_Register!$A$5:$A$304,A1651)+COUNTIF(ERSS_Pit_Register!$A$5:$A$304,A1651)+COUNTIF(Linkway_Register!$A$5:$A$304,A1651)+COUNTIF(Other_Register!$A$5:$A$304,A1651))&gt;0,"OK","ID not in any register"))</f>
        <v/>
      </c>
    </row>
    <row r="1652" customFormat="false" ht="15" hidden="false" customHeight="false" outlineLevel="0" collapsed="false">
      <c r="A1652" s="9"/>
      <c r="B1652" s="9"/>
      <c r="C1652" s="9"/>
      <c r="D1652" s="9"/>
      <c r="E1652" s="9"/>
      <c r="F1652" s="9"/>
      <c r="G1652" s="9"/>
      <c r="H1652" s="9"/>
      <c r="I1652" s="9"/>
      <c r="J1652" s="10" t="str">
        <f aca="false">IF(A1652="","",IF(G1652&lt;&gt;"",G1652,IF(N(F1652)&gt;0,ROUND(1000/F1652,3),0)))</f>
        <v/>
      </c>
      <c r="K1652" s="10" t="str">
        <f aca="false">IF(OR(A1652="",E1652="",H1652=""),"",ROUND(0.00617*E1652^2*H1652*J1652,2))</f>
        <v/>
      </c>
      <c r="L1652" s="9"/>
      <c r="M1652" s="10" t="str">
        <f aca="false">IF(A1652="","",IF((COUNTIF(Drain_Register!$A$5:$A$304,A1652)+COUNTIF(RW_Register!$A$5:$A$304,A1652)+COUNTIF(Embedded_Wall_Register!$A$5:$A$304,A1652)+COUNTIF(Manhole_Register!$A$5:$A$304,A1652)+COUNTIF(ERSS_Pit_Register!$A$5:$A$304,A1652)+COUNTIF(Linkway_Register!$A$5:$A$304,A1652)+COUNTIF(Other_Register!$A$5:$A$304,A1652))&gt;0,"OK","ID not in any register"))</f>
        <v/>
      </c>
    </row>
    <row r="1653" customFormat="false" ht="15" hidden="false" customHeight="false" outlineLevel="0" collapsed="false">
      <c r="A1653" s="9"/>
      <c r="B1653" s="9"/>
      <c r="C1653" s="9"/>
      <c r="D1653" s="9"/>
      <c r="E1653" s="9"/>
      <c r="F1653" s="9"/>
      <c r="G1653" s="9"/>
      <c r="H1653" s="9"/>
      <c r="I1653" s="9"/>
      <c r="J1653" s="10" t="str">
        <f aca="false">IF(A1653="","",IF(G1653&lt;&gt;"",G1653,IF(N(F1653)&gt;0,ROUND(1000/F1653,3),0)))</f>
        <v/>
      </c>
      <c r="K1653" s="10" t="str">
        <f aca="false">IF(OR(A1653="",E1653="",H1653=""),"",ROUND(0.00617*E1653^2*H1653*J1653,2))</f>
        <v/>
      </c>
      <c r="L1653" s="9"/>
      <c r="M1653" s="10" t="str">
        <f aca="false">IF(A1653="","",IF((COUNTIF(Drain_Register!$A$5:$A$304,A1653)+COUNTIF(RW_Register!$A$5:$A$304,A1653)+COUNTIF(Embedded_Wall_Register!$A$5:$A$304,A1653)+COUNTIF(Manhole_Register!$A$5:$A$304,A1653)+COUNTIF(ERSS_Pit_Register!$A$5:$A$304,A1653)+COUNTIF(Linkway_Register!$A$5:$A$304,A1653)+COUNTIF(Other_Register!$A$5:$A$304,A1653))&gt;0,"OK","ID not in any register"))</f>
        <v/>
      </c>
    </row>
    <row r="1654" customFormat="false" ht="15" hidden="false" customHeight="false" outlineLevel="0" collapsed="false">
      <c r="A1654" s="9"/>
      <c r="B1654" s="9"/>
      <c r="C1654" s="9"/>
      <c r="D1654" s="9"/>
      <c r="E1654" s="9"/>
      <c r="F1654" s="9"/>
      <c r="G1654" s="9"/>
      <c r="H1654" s="9"/>
      <c r="I1654" s="9"/>
      <c r="J1654" s="10" t="str">
        <f aca="false">IF(A1654="","",IF(G1654&lt;&gt;"",G1654,IF(N(F1654)&gt;0,ROUND(1000/F1654,3),0)))</f>
        <v/>
      </c>
      <c r="K1654" s="10" t="str">
        <f aca="false">IF(OR(A1654="",E1654="",H1654=""),"",ROUND(0.00617*E1654^2*H1654*J1654,2))</f>
        <v/>
      </c>
      <c r="L1654" s="9"/>
      <c r="M1654" s="10" t="str">
        <f aca="false">IF(A1654="","",IF((COUNTIF(Drain_Register!$A$5:$A$304,A1654)+COUNTIF(RW_Register!$A$5:$A$304,A1654)+COUNTIF(Embedded_Wall_Register!$A$5:$A$304,A1654)+COUNTIF(Manhole_Register!$A$5:$A$304,A1654)+COUNTIF(ERSS_Pit_Register!$A$5:$A$304,A1654)+COUNTIF(Linkway_Register!$A$5:$A$304,A1654)+COUNTIF(Other_Register!$A$5:$A$304,A1654))&gt;0,"OK","ID not in any register"))</f>
        <v/>
      </c>
    </row>
    <row r="1655" customFormat="false" ht="15" hidden="false" customHeight="false" outlineLevel="0" collapsed="false">
      <c r="A1655" s="9"/>
      <c r="B1655" s="9"/>
      <c r="C1655" s="9"/>
      <c r="D1655" s="9"/>
      <c r="E1655" s="9"/>
      <c r="F1655" s="9"/>
      <c r="G1655" s="9"/>
      <c r="H1655" s="9"/>
      <c r="I1655" s="9"/>
      <c r="J1655" s="10" t="str">
        <f aca="false">IF(A1655="","",IF(G1655&lt;&gt;"",G1655,IF(N(F1655)&gt;0,ROUND(1000/F1655,3),0)))</f>
        <v/>
      </c>
      <c r="K1655" s="10" t="str">
        <f aca="false">IF(OR(A1655="",E1655="",H1655=""),"",ROUND(0.00617*E1655^2*H1655*J1655,2))</f>
        <v/>
      </c>
      <c r="L1655" s="9"/>
      <c r="M1655" s="10" t="str">
        <f aca="false">IF(A1655="","",IF((COUNTIF(Drain_Register!$A$5:$A$304,A1655)+COUNTIF(RW_Register!$A$5:$A$304,A1655)+COUNTIF(Embedded_Wall_Register!$A$5:$A$304,A1655)+COUNTIF(Manhole_Register!$A$5:$A$304,A1655)+COUNTIF(ERSS_Pit_Register!$A$5:$A$304,A1655)+COUNTIF(Linkway_Register!$A$5:$A$304,A1655)+COUNTIF(Other_Register!$A$5:$A$304,A1655))&gt;0,"OK","ID not in any register"))</f>
        <v/>
      </c>
    </row>
    <row r="1656" customFormat="false" ht="15" hidden="false" customHeight="false" outlineLevel="0" collapsed="false">
      <c r="A1656" s="9"/>
      <c r="B1656" s="9"/>
      <c r="C1656" s="9"/>
      <c r="D1656" s="9"/>
      <c r="E1656" s="9"/>
      <c r="F1656" s="9"/>
      <c r="G1656" s="9"/>
      <c r="H1656" s="9"/>
      <c r="I1656" s="9"/>
      <c r="J1656" s="10" t="str">
        <f aca="false">IF(A1656="","",IF(G1656&lt;&gt;"",G1656,IF(N(F1656)&gt;0,ROUND(1000/F1656,3),0)))</f>
        <v/>
      </c>
      <c r="K1656" s="10" t="str">
        <f aca="false">IF(OR(A1656="",E1656="",H1656=""),"",ROUND(0.00617*E1656^2*H1656*J1656,2))</f>
        <v/>
      </c>
      <c r="L1656" s="9"/>
      <c r="M1656" s="10" t="str">
        <f aca="false">IF(A1656="","",IF((COUNTIF(Drain_Register!$A$5:$A$304,A1656)+COUNTIF(RW_Register!$A$5:$A$304,A1656)+COUNTIF(Embedded_Wall_Register!$A$5:$A$304,A1656)+COUNTIF(Manhole_Register!$A$5:$A$304,A1656)+COUNTIF(ERSS_Pit_Register!$A$5:$A$304,A1656)+COUNTIF(Linkway_Register!$A$5:$A$304,A1656)+COUNTIF(Other_Register!$A$5:$A$304,A1656))&gt;0,"OK","ID not in any register"))</f>
        <v/>
      </c>
    </row>
    <row r="1657" customFormat="false" ht="15" hidden="false" customHeight="false" outlineLevel="0" collapsed="false">
      <c r="A1657" s="9"/>
      <c r="B1657" s="9"/>
      <c r="C1657" s="9"/>
      <c r="D1657" s="9"/>
      <c r="E1657" s="9"/>
      <c r="F1657" s="9"/>
      <c r="G1657" s="9"/>
      <c r="H1657" s="9"/>
      <c r="I1657" s="9"/>
      <c r="J1657" s="10" t="str">
        <f aca="false">IF(A1657="","",IF(G1657&lt;&gt;"",G1657,IF(N(F1657)&gt;0,ROUND(1000/F1657,3),0)))</f>
        <v/>
      </c>
      <c r="K1657" s="10" t="str">
        <f aca="false">IF(OR(A1657="",E1657="",H1657=""),"",ROUND(0.00617*E1657^2*H1657*J1657,2))</f>
        <v/>
      </c>
      <c r="L1657" s="9"/>
      <c r="M1657" s="10" t="str">
        <f aca="false">IF(A1657="","",IF((COUNTIF(Drain_Register!$A$5:$A$304,A1657)+COUNTIF(RW_Register!$A$5:$A$304,A1657)+COUNTIF(Embedded_Wall_Register!$A$5:$A$304,A1657)+COUNTIF(Manhole_Register!$A$5:$A$304,A1657)+COUNTIF(ERSS_Pit_Register!$A$5:$A$304,A1657)+COUNTIF(Linkway_Register!$A$5:$A$304,A1657)+COUNTIF(Other_Register!$A$5:$A$304,A1657))&gt;0,"OK","ID not in any register"))</f>
        <v/>
      </c>
    </row>
    <row r="1658" customFormat="false" ht="15" hidden="false" customHeight="false" outlineLevel="0" collapsed="false">
      <c r="A1658" s="9"/>
      <c r="B1658" s="9"/>
      <c r="C1658" s="9"/>
      <c r="D1658" s="9"/>
      <c r="E1658" s="9"/>
      <c r="F1658" s="9"/>
      <c r="G1658" s="9"/>
      <c r="H1658" s="9"/>
      <c r="I1658" s="9"/>
      <c r="J1658" s="10" t="str">
        <f aca="false">IF(A1658="","",IF(G1658&lt;&gt;"",G1658,IF(N(F1658)&gt;0,ROUND(1000/F1658,3),0)))</f>
        <v/>
      </c>
      <c r="K1658" s="10" t="str">
        <f aca="false">IF(OR(A1658="",E1658="",H1658=""),"",ROUND(0.00617*E1658^2*H1658*J1658,2))</f>
        <v/>
      </c>
      <c r="L1658" s="9"/>
      <c r="M1658" s="10" t="str">
        <f aca="false">IF(A1658="","",IF((COUNTIF(Drain_Register!$A$5:$A$304,A1658)+COUNTIF(RW_Register!$A$5:$A$304,A1658)+COUNTIF(Embedded_Wall_Register!$A$5:$A$304,A1658)+COUNTIF(Manhole_Register!$A$5:$A$304,A1658)+COUNTIF(ERSS_Pit_Register!$A$5:$A$304,A1658)+COUNTIF(Linkway_Register!$A$5:$A$304,A1658)+COUNTIF(Other_Register!$A$5:$A$304,A1658))&gt;0,"OK","ID not in any register"))</f>
        <v/>
      </c>
    </row>
    <row r="1659" customFormat="false" ht="15" hidden="false" customHeight="false" outlineLevel="0" collapsed="false">
      <c r="A1659" s="9"/>
      <c r="B1659" s="9"/>
      <c r="C1659" s="9"/>
      <c r="D1659" s="9"/>
      <c r="E1659" s="9"/>
      <c r="F1659" s="9"/>
      <c r="G1659" s="9"/>
      <c r="H1659" s="9"/>
      <c r="I1659" s="9"/>
      <c r="J1659" s="10" t="str">
        <f aca="false">IF(A1659="","",IF(G1659&lt;&gt;"",G1659,IF(N(F1659)&gt;0,ROUND(1000/F1659,3),0)))</f>
        <v/>
      </c>
      <c r="K1659" s="10" t="str">
        <f aca="false">IF(OR(A1659="",E1659="",H1659=""),"",ROUND(0.00617*E1659^2*H1659*J1659,2))</f>
        <v/>
      </c>
      <c r="L1659" s="9"/>
      <c r="M1659" s="10" t="str">
        <f aca="false">IF(A1659="","",IF((COUNTIF(Drain_Register!$A$5:$A$304,A1659)+COUNTIF(RW_Register!$A$5:$A$304,A1659)+COUNTIF(Embedded_Wall_Register!$A$5:$A$304,A1659)+COUNTIF(Manhole_Register!$A$5:$A$304,A1659)+COUNTIF(ERSS_Pit_Register!$A$5:$A$304,A1659)+COUNTIF(Linkway_Register!$A$5:$A$304,A1659)+COUNTIF(Other_Register!$A$5:$A$304,A1659))&gt;0,"OK","ID not in any register"))</f>
        <v/>
      </c>
    </row>
    <row r="1660" customFormat="false" ht="15" hidden="false" customHeight="false" outlineLevel="0" collapsed="false">
      <c r="A1660" s="9"/>
      <c r="B1660" s="9"/>
      <c r="C1660" s="9"/>
      <c r="D1660" s="9"/>
      <c r="E1660" s="9"/>
      <c r="F1660" s="9"/>
      <c r="G1660" s="9"/>
      <c r="H1660" s="9"/>
      <c r="I1660" s="9"/>
      <c r="J1660" s="10" t="str">
        <f aca="false">IF(A1660="","",IF(G1660&lt;&gt;"",G1660,IF(N(F1660)&gt;0,ROUND(1000/F1660,3),0)))</f>
        <v/>
      </c>
      <c r="K1660" s="10" t="str">
        <f aca="false">IF(OR(A1660="",E1660="",H1660=""),"",ROUND(0.00617*E1660^2*H1660*J1660,2))</f>
        <v/>
      </c>
      <c r="L1660" s="9"/>
      <c r="M1660" s="10" t="str">
        <f aca="false">IF(A1660="","",IF((COUNTIF(Drain_Register!$A$5:$A$304,A1660)+COUNTIF(RW_Register!$A$5:$A$304,A1660)+COUNTIF(Embedded_Wall_Register!$A$5:$A$304,A1660)+COUNTIF(Manhole_Register!$A$5:$A$304,A1660)+COUNTIF(ERSS_Pit_Register!$A$5:$A$304,A1660)+COUNTIF(Linkway_Register!$A$5:$A$304,A1660)+COUNTIF(Other_Register!$A$5:$A$304,A1660))&gt;0,"OK","ID not in any register"))</f>
        <v/>
      </c>
    </row>
    <row r="1661" customFormat="false" ht="15" hidden="false" customHeight="false" outlineLevel="0" collapsed="false">
      <c r="A1661" s="9"/>
      <c r="B1661" s="9"/>
      <c r="C1661" s="9"/>
      <c r="D1661" s="9"/>
      <c r="E1661" s="9"/>
      <c r="F1661" s="9"/>
      <c r="G1661" s="9"/>
      <c r="H1661" s="9"/>
      <c r="I1661" s="9"/>
      <c r="J1661" s="10" t="str">
        <f aca="false">IF(A1661="","",IF(G1661&lt;&gt;"",G1661,IF(N(F1661)&gt;0,ROUND(1000/F1661,3),0)))</f>
        <v/>
      </c>
      <c r="K1661" s="10" t="str">
        <f aca="false">IF(OR(A1661="",E1661="",H1661=""),"",ROUND(0.00617*E1661^2*H1661*J1661,2))</f>
        <v/>
      </c>
      <c r="L1661" s="9"/>
      <c r="M1661" s="10" t="str">
        <f aca="false">IF(A1661="","",IF((COUNTIF(Drain_Register!$A$5:$A$304,A1661)+COUNTIF(RW_Register!$A$5:$A$304,A1661)+COUNTIF(Embedded_Wall_Register!$A$5:$A$304,A1661)+COUNTIF(Manhole_Register!$A$5:$A$304,A1661)+COUNTIF(ERSS_Pit_Register!$A$5:$A$304,A1661)+COUNTIF(Linkway_Register!$A$5:$A$304,A1661)+COUNTIF(Other_Register!$A$5:$A$304,A1661))&gt;0,"OK","ID not in any register"))</f>
        <v/>
      </c>
    </row>
    <row r="1662" customFormat="false" ht="15" hidden="false" customHeight="false" outlineLevel="0" collapsed="false">
      <c r="A1662" s="9"/>
      <c r="B1662" s="9"/>
      <c r="C1662" s="9"/>
      <c r="D1662" s="9"/>
      <c r="E1662" s="9"/>
      <c r="F1662" s="9"/>
      <c r="G1662" s="9"/>
      <c r="H1662" s="9"/>
      <c r="I1662" s="9"/>
      <c r="J1662" s="10" t="str">
        <f aca="false">IF(A1662="","",IF(G1662&lt;&gt;"",G1662,IF(N(F1662)&gt;0,ROUND(1000/F1662,3),0)))</f>
        <v/>
      </c>
      <c r="K1662" s="10" t="str">
        <f aca="false">IF(OR(A1662="",E1662="",H1662=""),"",ROUND(0.00617*E1662^2*H1662*J1662,2))</f>
        <v/>
      </c>
      <c r="L1662" s="9"/>
      <c r="M1662" s="10" t="str">
        <f aca="false">IF(A1662="","",IF((COUNTIF(Drain_Register!$A$5:$A$304,A1662)+COUNTIF(RW_Register!$A$5:$A$304,A1662)+COUNTIF(Embedded_Wall_Register!$A$5:$A$304,A1662)+COUNTIF(Manhole_Register!$A$5:$A$304,A1662)+COUNTIF(ERSS_Pit_Register!$A$5:$A$304,A1662)+COUNTIF(Linkway_Register!$A$5:$A$304,A1662)+COUNTIF(Other_Register!$A$5:$A$304,A1662))&gt;0,"OK","ID not in any register"))</f>
        <v/>
      </c>
    </row>
    <row r="1663" customFormat="false" ht="15" hidden="false" customHeight="false" outlineLevel="0" collapsed="false">
      <c r="A1663" s="9"/>
      <c r="B1663" s="9"/>
      <c r="C1663" s="9"/>
      <c r="D1663" s="9"/>
      <c r="E1663" s="9"/>
      <c r="F1663" s="9"/>
      <c r="G1663" s="9"/>
      <c r="H1663" s="9"/>
      <c r="I1663" s="9"/>
      <c r="J1663" s="10" t="str">
        <f aca="false">IF(A1663="","",IF(G1663&lt;&gt;"",G1663,IF(N(F1663)&gt;0,ROUND(1000/F1663,3),0)))</f>
        <v/>
      </c>
      <c r="K1663" s="10" t="str">
        <f aca="false">IF(OR(A1663="",E1663="",H1663=""),"",ROUND(0.00617*E1663^2*H1663*J1663,2))</f>
        <v/>
      </c>
      <c r="L1663" s="9"/>
      <c r="M1663" s="10" t="str">
        <f aca="false">IF(A1663="","",IF((COUNTIF(Drain_Register!$A$5:$A$304,A1663)+COUNTIF(RW_Register!$A$5:$A$304,A1663)+COUNTIF(Embedded_Wall_Register!$A$5:$A$304,A1663)+COUNTIF(Manhole_Register!$A$5:$A$304,A1663)+COUNTIF(ERSS_Pit_Register!$A$5:$A$304,A1663)+COUNTIF(Linkway_Register!$A$5:$A$304,A1663)+COUNTIF(Other_Register!$A$5:$A$304,A1663))&gt;0,"OK","ID not in any register"))</f>
        <v/>
      </c>
    </row>
    <row r="1664" customFormat="false" ht="15" hidden="false" customHeight="false" outlineLevel="0" collapsed="false">
      <c r="A1664" s="9"/>
      <c r="B1664" s="9"/>
      <c r="C1664" s="9"/>
      <c r="D1664" s="9"/>
      <c r="E1664" s="9"/>
      <c r="F1664" s="9"/>
      <c r="G1664" s="9"/>
      <c r="H1664" s="9"/>
      <c r="I1664" s="9"/>
      <c r="J1664" s="10" t="str">
        <f aca="false">IF(A1664="","",IF(G1664&lt;&gt;"",G1664,IF(N(F1664)&gt;0,ROUND(1000/F1664,3),0)))</f>
        <v/>
      </c>
      <c r="K1664" s="10" t="str">
        <f aca="false">IF(OR(A1664="",E1664="",H1664=""),"",ROUND(0.00617*E1664^2*H1664*J1664,2))</f>
        <v/>
      </c>
      <c r="L1664" s="9"/>
      <c r="M1664" s="10" t="str">
        <f aca="false">IF(A1664="","",IF((COUNTIF(Drain_Register!$A$5:$A$304,A1664)+COUNTIF(RW_Register!$A$5:$A$304,A1664)+COUNTIF(Embedded_Wall_Register!$A$5:$A$304,A1664)+COUNTIF(Manhole_Register!$A$5:$A$304,A1664)+COUNTIF(ERSS_Pit_Register!$A$5:$A$304,A1664)+COUNTIF(Linkway_Register!$A$5:$A$304,A1664)+COUNTIF(Other_Register!$A$5:$A$304,A1664))&gt;0,"OK","ID not in any register"))</f>
        <v/>
      </c>
    </row>
    <row r="1665" customFormat="false" ht="15" hidden="false" customHeight="false" outlineLevel="0" collapsed="false">
      <c r="A1665" s="9"/>
      <c r="B1665" s="9"/>
      <c r="C1665" s="9"/>
      <c r="D1665" s="9"/>
      <c r="E1665" s="9"/>
      <c r="F1665" s="9"/>
      <c r="G1665" s="9"/>
      <c r="H1665" s="9"/>
      <c r="I1665" s="9"/>
      <c r="J1665" s="10" t="str">
        <f aca="false">IF(A1665="","",IF(G1665&lt;&gt;"",G1665,IF(N(F1665)&gt;0,ROUND(1000/F1665,3),0)))</f>
        <v/>
      </c>
      <c r="K1665" s="10" t="str">
        <f aca="false">IF(OR(A1665="",E1665="",H1665=""),"",ROUND(0.00617*E1665^2*H1665*J1665,2))</f>
        <v/>
      </c>
      <c r="L1665" s="9"/>
      <c r="M1665" s="10" t="str">
        <f aca="false">IF(A1665="","",IF((COUNTIF(Drain_Register!$A$5:$A$304,A1665)+COUNTIF(RW_Register!$A$5:$A$304,A1665)+COUNTIF(Embedded_Wall_Register!$A$5:$A$304,A1665)+COUNTIF(Manhole_Register!$A$5:$A$304,A1665)+COUNTIF(ERSS_Pit_Register!$A$5:$A$304,A1665)+COUNTIF(Linkway_Register!$A$5:$A$304,A1665)+COUNTIF(Other_Register!$A$5:$A$304,A1665))&gt;0,"OK","ID not in any register"))</f>
        <v/>
      </c>
    </row>
    <row r="1666" customFormat="false" ht="15" hidden="false" customHeight="false" outlineLevel="0" collapsed="false">
      <c r="A1666" s="9"/>
      <c r="B1666" s="9"/>
      <c r="C1666" s="9"/>
      <c r="D1666" s="9"/>
      <c r="E1666" s="9"/>
      <c r="F1666" s="9"/>
      <c r="G1666" s="9"/>
      <c r="H1666" s="9"/>
      <c r="I1666" s="9"/>
      <c r="J1666" s="10" t="str">
        <f aca="false">IF(A1666="","",IF(G1666&lt;&gt;"",G1666,IF(N(F1666)&gt;0,ROUND(1000/F1666,3),0)))</f>
        <v/>
      </c>
      <c r="K1666" s="10" t="str">
        <f aca="false">IF(OR(A1666="",E1666="",H1666=""),"",ROUND(0.00617*E1666^2*H1666*J1666,2))</f>
        <v/>
      </c>
      <c r="L1666" s="9"/>
      <c r="M1666" s="10" t="str">
        <f aca="false">IF(A1666="","",IF((COUNTIF(Drain_Register!$A$5:$A$304,A1666)+COUNTIF(RW_Register!$A$5:$A$304,A1666)+COUNTIF(Embedded_Wall_Register!$A$5:$A$304,A1666)+COUNTIF(Manhole_Register!$A$5:$A$304,A1666)+COUNTIF(ERSS_Pit_Register!$A$5:$A$304,A1666)+COUNTIF(Linkway_Register!$A$5:$A$304,A1666)+COUNTIF(Other_Register!$A$5:$A$304,A1666))&gt;0,"OK","ID not in any register"))</f>
        <v/>
      </c>
    </row>
    <row r="1667" customFormat="false" ht="15" hidden="false" customHeight="false" outlineLevel="0" collapsed="false">
      <c r="A1667" s="9"/>
      <c r="B1667" s="9"/>
      <c r="C1667" s="9"/>
      <c r="D1667" s="9"/>
      <c r="E1667" s="9"/>
      <c r="F1667" s="9"/>
      <c r="G1667" s="9"/>
      <c r="H1667" s="9"/>
      <c r="I1667" s="9"/>
      <c r="J1667" s="10" t="str">
        <f aca="false">IF(A1667="","",IF(G1667&lt;&gt;"",G1667,IF(N(F1667)&gt;0,ROUND(1000/F1667,3),0)))</f>
        <v/>
      </c>
      <c r="K1667" s="10" t="str">
        <f aca="false">IF(OR(A1667="",E1667="",H1667=""),"",ROUND(0.00617*E1667^2*H1667*J1667,2))</f>
        <v/>
      </c>
      <c r="L1667" s="9"/>
      <c r="M1667" s="10" t="str">
        <f aca="false">IF(A1667="","",IF((COUNTIF(Drain_Register!$A$5:$A$304,A1667)+COUNTIF(RW_Register!$A$5:$A$304,A1667)+COUNTIF(Embedded_Wall_Register!$A$5:$A$304,A1667)+COUNTIF(Manhole_Register!$A$5:$A$304,A1667)+COUNTIF(ERSS_Pit_Register!$A$5:$A$304,A1667)+COUNTIF(Linkway_Register!$A$5:$A$304,A1667)+COUNTIF(Other_Register!$A$5:$A$304,A1667))&gt;0,"OK","ID not in any register"))</f>
        <v/>
      </c>
    </row>
    <row r="1668" customFormat="false" ht="15" hidden="false" customHeight="false" outlineLevel="0" collapsed="false">
      <c r="A1668" s="9"/>
      <c r="B1668" s="9"/>
      <c r="C1668" s="9"/>
      <c r="D1668" s="9"/>
      <c r="E1668" s="9"/>
      <c r="F1668" s="9"/>
      <c r="G1668" s="9"/>
      <c r="H1668" s="9"/>
      <c r="I1668" s="9"/>
      <c r="J1668" s="10" t="str">
        <f aca="false">IF(A1668="","",IF(G1668&lt;&gt;"",G1668,IF(N(F1668)&gt;0,ROUND(1000/F1668,3),0)))</f>
        <v/>
      </c>
      <c r="K1668" s="10" t="str">
        <f aca="false">IF(OR(A1668="",E1668="",H1668=""),"",ROUND(0.00617*E1668^2*H1668*J1668,2))</f>
        <v/>
      </c>
      <c r="L1668" s="9"/>
      <c r="M1668" s="10" t="str">
        <f aca="false">IF(A1668="","",IF((COUNTIF(Drain_Register!$A$5:$A$304,A1668)+COUNTIF(RW_Register!$A$5:$A$304,A1668)+COUNTIF(Embedded_Wall_Register!$A$5:$A$304,A1668)+COUNTIF(Manhole_Register!$A$5:$A$304,A1668)+COUNTIF(ERSS_Pit_Register!$A$5:$A$304,A1668)+COUNTIF(Linkway_Register!$A$5:$A$304,A1668)+COUNTIF(Other_Register!$A$5:$A$304,A1668))&gt;0,"OK","ID not in any register"))</f>
        <v/>
      </c>
    </row>
    <row r="1669" customFormat="false" ht="15" hidden="false" customHeight="false" outlineLevel="0" collapsed="false">
      <c r="A1669" s="9"/>
      <c r="B1669" s="9"/>
      <c r="C1669" s="9"/>
      <c r="D1669" s="9"/>
      <c r="E1669" s="9"/>
      <c r="F1669" s="9"/>
      <c r="G1669" s="9"/>
      <c r="H1669" s="9"/>
      <c r="I1669" s="9"/>
      <c r="J1669" s="10" t="str">
        <f aca="false">IF(A1669="","",IF(G1669&lt;&gt;"",G1669,IF(N(F1669)&gt;0,ROUND(1000/F1669,3),0)))</f>
        <v/>
      </c>
      <c r="K1669" s="10" t="str">
        <f aca="false">IF(OR(A1669="",E1669="",H1669=""),"",ROUND(0.00617*E1669^2*H1669*J1669,2))</f>
        <v/>
      </c>
      <c r="L1669" s="9"/>
      <c r="M1669" s="10" t="str">
        <f aca="false">IF(A1669="","",IF((COUNTIF(Drain_Register!$A$5:$A$304,A1669)+COUNTIF(RW_Register!$A$5:$A$304,A1669)+COUNTIF(Embedded_Wall_Register!$A$5:$A$304,A1669)+COUNTIF(Manhole_Register!$A$5:$A$304,A1669)+COUNTIF(ERSS_Pit_Register!$A$5:$A$304,A1669)+COUNTIF(Linkway_Register!$A$5:$A$304,A1669)+COUNTIF(Other_Register!$A$5:$A$304,A1669))&gt;0,"OK","ID not in any register"))</f>
        <v/>
      </c>
    </row>
    <row r="1670" customFormat="false" ht="15" hidden="false" customHeight="false" outlineLevel="0" collapsed="false">
      <c r="A1670" s="9"/>
      <c r="B1670" s="9"/>
      <c r="C1670" s="9"/>
      <c r="D1670" s="9"/>
      <c r="E1670" s="9"/>
      <c r="F1670" s="9"/>
      <c r="G1670" s="9"/>
      <c r="H1670" s="9"/>
      <c r="I1670" s="9"/>
      <c r="J1670" s="10" t="str">
        <f aca="false">IF(A1670="","",IF(G1670&lt;&gt;"",G1670,IF(N(F1670)&gt;0,ROUND(1000/F1670,3),0)))</f>
        <v/>
      </c>
      <c r="K1670" s="10" t="str">
        <f aca="false">IF(OR(A1670="",E1670="",H1670=""),"",ROUND(0.00617*E1670^2*H1670*J1670,2))</f>
        <v/>
      </c>
      <c r="L1670" s="9"/>
      <c r="M1670" s="10" t="str">
        <f aca="false">IF(A1670="","",IF((COUNTIF(Drain_Register!$A$5:$A$304,A1670)+COUNTIF(RW_Register!$A$5:$A$304,A1670)+COUNTIF(Embedded_Wall_Register!$A$5:$A$304,A1670)+COUNTIF(Manhole_Register!$A$5:$A$304,A1670)+COUNTIF(ERSS_Pit_Register!$A$5:$A$304,A1670)+COUNTIF(Linkway_Register!$A$5:$A$304,A1670)+COUNTIF(Other_Register!$A$5:$A$304,A1670))&gt;0,"OK","ID not in any register"))</f>
        <v/>
      </c>
    </row>
    <row r="1671" customFormat="false" ht="15" hidden="false" customHeight="false" outlineLevel="0" collapsed="false">
      <c r="A1671" s="9"/>
      <c r="B1671" s="9"/>
      <c r="C1671" s="9"/>
      <c r="D1671" s="9"/>
      <c r="E1671" s="9"/>
      <c r="F1671" s="9"/>
      <c r="G1671" s="9"/>
      <c r="H1671" s="9"/>
      <c r="I1671" s="9"/>
      <c r="J1671" s="10" t="str">
        <f aca="false">IF(A1671="","",IF(G1671&lt;&gt;"",G1671,IF(N(F1671)&gt;0,ROUND(1000/F1671,3),0)))</f>
        <v/>
      </c>
      <c r="K1671" s="10" t="str">
        <f aca="false">IF(OR(A1671="",E1671="",H1671=""),"",ROUND(0.00617*E1671^2*H1671*J1671,2))</f>
        <v/>
      </c>
      <c r="L1671" s="9"/>
      <c r="M1671" s="10" t="str">
        <f aca="false">IF(A1671="","",IF((COUNTIF(Drain_Register!$A$5:$A$304,A1671)+COUNTIF(RW_Register!$A$5:$A$304,A1671)+COUNTIF(Embedded_Wall_Register!$A$5:$A$304,A1671)+COUNTIF(Manhole_Register!$A$5:$A$304,A1671)+COUNTIF(ERSS_Pit_Register!$A$5:$A$304,A1671)+COUNTIF(Linkway_Register!$A$5:$A$304,A1671)+COUNTIF(Other_Register!$A$5:$A$304,A1671))&gt;0,"OK","ID not in any register"))</f>
        <v/>
      </c>
    </row>
    <row r="1672" customFormat="false" ht="15" hidden="false" customHeight="false" outlineLevel="0" collapsed="false">
      <c r="A1672" s="9"/>
      <c r="B1672" s="9"/>
      <c r="C1672" s="9"/>
      <c r="D1672" s="9"/>
      <c r="E1672" s="9"/>
      <c r="F1672" s="9"/>
      <c r="G1672" s="9"/>
      <c r="H1672" s="9"/>
      <c r="I1672" s="9"/>
      <c r="J1672" s="10" t="str">
        <f aca="false">IF(A1672="","",IF(G1672&lt;&gt;"",G1672,IF(N(F1672)&gt;0,ROUND(1000/F1672,3),0)))</f>
        <v/>
      </c>
      <c r="K1672" s="10" t="str">
        <f aca="false">IF(OR(A1672="",E1672="",H1672=""),"",ROUND(0.00617*E1672^2*H1672*J1672,2))</f>
        <v/>
      </c>
      <c r="L1672" s="9"/>
      <c r="M1672" s="10" t="str">
        <f aca="false">IF(A1672="","",IF((COUNTIF(Drain_Register!$A$5:$A$304,A1672)+COUNTIF(RW_Register!$A$5:$A$304,A1672)+COUNTIF(Embedded_Wall_Register!$A$5:$A$304,A1672)+COUNTIF(Manhole_Register!$A$5:$A$304,A1672)+COUNTIF(ERSS_Pit_Register!$A$5:$A$304,A1672)+COUNTIF(Linkway_Register!$A$5:$A$304,A1672)+COUNTIF(Other_Register!$A$5:$A$304,A1672))&gt;0,"OK","ID not in any register"))</f>
        <v/>
      </c>
    </row>
    <row r="1673" customFormat="false" ht="15" hidden="false" customHeight="false" outlineLevel="0" collapsed="false">
      <c r="A1673" s="9"/>
      <c r="B1673" s="9"/>
      <c r="C1673" s="9"/>
      <c r="D1673" s="9"/>
      <c r="E1673" s="9"/>
      <c r="F1673" s="9"/>
      <c r="G1673" s="9"/>
      <c r="H1673" s="9"/>
      <c r="I1673" s="9"/>
      <c r="J1673" s="10" t="str">
        <f aca="false">IF(A1673="","",IF(G1673&lt;&gt;"",G1673,IF(N(F1673)&gt;0,ROUND(1000/F1673,3),0)))</f>
        <v/>
      </c>
      <c r="K1673" s="10" t="str">
        <f aca="false">IF(OR(A1673="",E1673="",H1673=""),"",ROUND(0.00617*E1673^2*H1673*J1673,2))</f>
        <v/>
      </c>
      <c r="L1673" s="9"/>
      <c r="M1673" s="10" t="str">
        <f aca="false">IF(A1673="","",IF((COUNTIF(Drain_Register!$A$5:$A$304,A1673)+COUNTIF(RW_Register!$A$5:$A$304,A1673)+COUNTIF(Embedded_Wall_Register!$A$5:$A$304,A1673)+COUNTIF(Manhole_Register!$A$5:$A$304,A1673)+COUNTIF(ERSS_Pit_Register!$A$5:$A$304,A1673)+COUNTIF(Linkway_Register!$A$5:$A$304,A1673)+COUNTIF(Other_Register!$A$5:$A$304,A1673))&gt;0,"OK","ID not in any register"))</f>
        <v/>
      </c>
    </row>
    <row r="1674" customFormat="false" ht="15" hidden="false" customHeight="false" outlineLevel="0" collapsed="false">
      <c r="A1674" s="9"/>
      <c r="B1674" s="9"/>
      <c r="C1674" s="9"/>
      <c r="D1674" s="9"/>
      <c r="E1674" s="9"/>
      <c r="F1674" s="9"/>
      <c r="G1674" s="9"/>
      <c r="H1674" s="9"/>
      <c r="I1674" s="9"/>
      <c r="J1674" s="10" t="str">
        <f aca="false">IF(A1674="","",IF(G1674&lt;&gt;"",G1674,IF(N(F1674)&gt;0,ROUND(1000/F1674,3),0)))</f>
        <v/>
      </c>
      <c r="K1674" s="10" t="str">
        <f aca="false">IF(OR(A1674="",E1674="",H1674=""),"",ROUND(0.00617*E1674^2*H1674*J1674,2))</f>
        <v/>
      </c>
      <c r="L1674" s="9"/>
      <c r="M1674" s="10" t="str">
        <f aca="false">IF(A1674="","",IF((COUNTIF(Drain_Register!$A$5:$A$304,A1674)+COUNTIF(RW_Register!$A$5:$A$304,A1674)+COUNTIF(Embedded_Wall_Register!$A$5:$A$304,A1674)+COUNTIF(Manhole_Register!$A$5:$A$304,A1674)+COUNTIF(ERSS_Pit_Register!$A$5:$A$304,A1674)+COUNTIF(Linkway_Register!$A$5:$A$304,A1674)+COUNTIF(Other_Register!$A$5:$A$304,A1674))&gt;0,"OK","ID not in any register"))</f>
        <v/>
      </c>
    </row>
    <row r="1675" customFormat="false" ht="15" hidden="false" customHeight="false" outlineLevel="0" collapsed="false">
      <c r="A1675" s="9"/>
      <c r="B1675" s="9"/>
      <c r="C1675" s="9"/>
      <c r="D1675" s="9"/>
      <c r="E1675" s="9"/>
      <c r="F1675" s="9"/>
      <c r="G1675" s="9"/>
      <c r="H1675" s="9"/>
      <c r="I1675" s="9"/>
      <c r="J1675" s="10" t="str">
        <f aca="false">IF(A1675="","",IF(G1675&lt;&gt;"",G1675,IF(N(F1675)&gt;0,ROUND(1000/F1675,3),0)))</f>
        <v/>
      </c>
      <c r="K1675" s="10" t="str">
        <f aca="false">IF(OR(A1675="",E1675="",H1675=""),"",ROUND(0.00617*E1675^2*H1675*J1675,2))</f>
        <v/>
      </c>
      <c r="L1675" s="9"/>
      <c r="M1675" s="10" t="str">
        <f aca="false">IF(A1675="","",IF((COUNTIF(Drain_Register!$A$5:$A$304,A1675)+COUNTIF(RW_Register!$A$5:$A$304,A1675)+COUNTIF(Embedded_Wall_Register!$A$5:$A$304,A1675)+COUNTIF(Manhole_Register!$A$5:$A$304,A1675)+COUNTIF(ERSS_Pit_Register!$A$5:$A$304,A1675)+COUNTIF(Linkway_Register!$A$5:$A$304,A1675)+COUNTIF(Other_Register!$A$5:$A$304,A1675))&gt;0,"OK","ID not in any register"))</f>
        <v/>
      </c>
    </row>
    <row r="1676" customFormat="false" ht="15" hidden="false" customHeight="false" outlineLevel="0" collapsed="false">
      <c r="A1676" s="9"/>
      <c r="B1676" s="9"/>
      <c r="C1676" s="9"/>
      <c r="D1676" s="9"/>
      <c r="E1676" s="9"/>
      <c r="F1676" s="9"/>
      <c r="G1676" s="9"/>
      <c r="H1676" s="9"/>
      <c r="I1676" s="9"/>
      <c r="J1676" s="10" t="str">
        <f aca="false">IF(A1676="","",IF(G1676&lt;&gt;"",G1676,IF(N(F1676)&gt;0,ROUND(1000/F1676,3),0)))</f>
        <v/>
      </c>
      <c r="K1676" s="10" t="str">
        <f aca="false">IF(OR(A1676="",E1676="",H1676=""),"",ROUND(0.00617*E1676^2*H1676*J1676,2))</f>
        <v/>
      </c>
      <c r="L1676" s="9"/>
      <c r="M1676" s="10" t="str">
        <f aca="false">IF(A1676="","",IF((COUNTIF(Drain_Register!$A$5:$A$304,A1676)+COUNTIF(RW_Register!$A$5:$A$304,A1676)+COUNTIF(Embedded_Wall_Register!$A$5:$A$304,A1676)+COUNTIF(Manhole_Register!$A$5:$A$304,A1676)+COUNTIF(ERSS_Pit_Register!$A$5:$A$304,A1676)+COUNTIF(Linkway_Register!$A$5:$A$304,A1676)+COUNTIF(Other_Register!$A$5:$A$304,A1676))&gt;0,"OK","ID not in any register"))</f>
        <v/>
      </c>
    </row>
    <row r="1677" customFormat="false" ht="15" hidden="false" customHeight="false" outlineLevel="0" collapsed="false">
      <c r="A1677" s="9"/>
      <c r="B1677" s="9"/>
      <c r="C1677" s="9"/>
      <c r="D1677" s="9"/>
      <c r="E1677" s="9"/>
      <c r="F1677" s="9"/>
      <c r="G1677" s="9"/>
      <c r="H1677" s="9"/>
      <c r="I1677" s="9"/>
      <c r="J1677" s="10" t="str">
        <f aca="false">IF(A1677="","",IF(G1677&lt;&gt;"",G1677,IF(N(F1677)&gt;0,ROUND(1000/F1677,3),0)))</f>
        <v/>
      </c>
      <c r="K1677" s="10" t="str">
        <f aca="false">IF(OR(A1677="",E1677="",H1677=""),"",ROUND(0.00617*E1677^2*H1677*J1677,2))</f>
        <v/>
      </c>
      <c r="L1677" s="9"/>
      <c r="M1677" s="10" t="str">
        <f aca="false">IF(A1677="","",IF((COUNTIF(Drain_Register!$A$5:$A$304,A1677)+COUNTIF(RW_Register!$A$5:$A$304,A1677)+COUNTIF(Embedded_Wall_Register!$A$5:$A$304,A1677)+COUNTIF(Manhole_Register!$A$5:$A$304,A1677)+COUNTIF(ERSS_Pit_Register!$A$5:$A$304,A1677)+COUNTIF(Linkway_Register!$A$5:$A$304,A1677)+COUNTIF(Other_Register!$A$5:$A$304,A1677))&gt;0,"OK","ID not in any register"))</f>
        <v/>
      </c>
    </row>
    <row r="1678" customFormat="false" ht="15" hidden="false" customHeight="false" outlineLevel="0" collapsed="false">
      <c r="A1678" s="9"/>
      <c r="B1678" s="9"/>
      <c r="C1678" s="9"/>
      <c r="D1678" s="9"/>
      <c r="E1678" s="9"/>
      <c r="F1678" s="9"/>
      <c r="G1678" s="9"/>
      <c r="H1678" s="9"/>
      <c r="I1678" s="9"/>
      <c r="J1678" s="10" t="str">
        <f aca="false">IF(A1678="","",IF(G1678&lt;&gt;"",G1678,IF(N(F1678)&gt;0,ROUND(1000/F1678,3),0)))</f>
        <v/>
      </c>
      <c r="K1678" s="10" t="str">
        <f aca="false">IF(OR(A1678="",E1678="",H1678=""),"",ROUND(0.00617*E1678^2*H1678*J1678,2))</f>
        <v/>
      </c>
      <c r="L1678" s="9"/>
      <c r="M1678" s="10" t="str">
        <f aca="false">IF(A1678="","",IF((COUNTIF(Drain_Register!$A$5:$A$304,A1678)+COUNTIF(RW_Register!$A$5:$A$304,A1678)+COUNTIF(Embedded_Wall_Register!$A$5:$A$304,A1678)+COUNTIF(Manhole_Register!$A$5:$A$304,A1678)+COUNTIF(ERSS_Pit_Register!$A$5:$A$304,A1678)+COUNTIF(Linkway_Register!$A$5:$A$304,A1678)+COUNTIF(Other_Register!$A$5:$A$304,A1678))&gt;0,"OK","ID not in any register"))</f>
        <v/>
      </c>
    </row>
    <row r="1679" customFormat="false" ht="15" hidden="false" customHeight="false" outlineLevel="0" collapsed="false">
      <c r="A1679" s="9"/>
      <c r="B1679" s="9"/>
      <c r="C1679" s="9"/>
      <c r="D1679" s="9"/>
      <c r="E1679" s="9"/>
      <c r="F1679" s="9"/>
      <c r="G1679" s="9"/>
      <c r="H1679" s="9"/>
      <c r="I1679" s="9"/>
      <c r="J1679" s="10" t="str">
        <f aca="false">IF(A1679="","",IF(G1679&lt;&gt;"",G1679,IF(N(F1679)&gt;0,ROUND(1000/F1679,3),0)))</f>
        <v/>
      </c>
      <c r="K1679" s="10" t="str">
        <f aca="false">IF(OR(A1679="",E1679="",H1679=""),"",ROUND(0.00617*E1679^2*H1679*J1679,2))</f>
        <v/>
      </c>
      <c r="L1679" s="9"/>
      <c r="M1679" s="10" t="str">
        <f aca="false">IF(A1679="","",IF((COUNTIF(Drain_Register!$A$5:$A$304,A1679)+COUNTIF(RW_Register!$A$5:$A$304,A1679)+COUNTIF(Embedded_Wall_Register!$A$5:$A$304,A1679)+COUNTIF(Manhole_Register!$A$5:$A$304,A1679)+COUNTIF(ERSS_Pit_Register!$A$5:$A$304,A1679)+COUNTIF(Linkway_Register!$A$5:$A$304,A1679)+COUNTIF(Other_Register!$A$5:$A$304,A1679))&gt;0,"OK","ID not in any register"))</f>
        <v/>
      </c>
    </row>
    <row r="1680" customFormat="false" ht="15" hidden="false" customHeight="false" outlineLevel="0" collapsed="false">
      <c r="A1680" s="9"/>
      <c r="B1680" s="9"/>
      <c r="C1680" s="9"/>
      <c r="D1680" s="9"/>
      <c r="E1680" s="9"/>
      <c r="F1680" s="9"/>
      <c r="G1680" s="9"/>
      <c r="H1680" s="9"/>
      <c r="I1680" s="9"/>
      <c r="J1680" s="10" t="str">
        <f aca="false">IF(A1680="","",IF(G1680&lt;&gt;"",G1680,IF(N(F1680)&gt;0,ROUND(1000/F1680,3),0)))</f>
        <v/>
      </c>
      <c r="K1680" s="10" t="str">
        <f aca="false">IF(OR(A1680="",E1680="",H1680=""),"",ROUND(0.00617*E1680^2*H1680*J1680,2))</f>
        <v/>
      </c>
      <c r="L1680" s="9"/>
      <c r="M1680" s="10" t="str">
        <f aca="false">IF(A1680="","",IF((COUNTIF(Drain_Register!$A$5:$A$304,A1680)+COUNTIF(RW_Register!$A$5:$A$304,A1680)+COUNTIF(Embedded_Wall_Register!$A$5:$A$304,A1680)+COUNTIF(Manhole_Register!$A$5:$A$304,A1680)+COUNTIF(ERSS_Pit_Register!$A$5:$A$304,A1680)+COUNTIF(Linkway_Register!$A$5:$A$304,A1680)+COUNTIF(Other_Register!$A$5:$A$304,A1680))&gt;0,"OK","ID not in any register"))</f>
        <v/>
      </c>
    </row>
    <row r="1681" customFormat="false" ht="15" hidden="false" customHeight="false" outlineLevel="0" collapsed="false">
      <c r="A1681" s="9"/>
      <c r="B1681" s="9"/>
      <c r="C1681" s="9"/>
      <c r="D1681" s="9"/>
      <c r="E1681" s="9"/>
      <c r="F1681" s="9"/>
      <c r="G1681" s="9"/>
      <c r="H1681" s="9"/>
      <c r="I1681" s="9"/>
      <c r="J1681" s="10" t="str">
        <f aca="false">IF(A1681="","",IF(G1681&lt;&gt;"",G1681,IF(N(F1681)&gt;0,ROUND(1000/F1681,3),0)))</f>
        <v/>
      </c>
      <c r="K1681" s="10" t="str">
        <f aca="false">IF(OR(A1681="",E1681="",H1681=""),"",ROUND(0.00617*E1681^2*H1681*J1681,2))</f>
        <v/>
      </c>
      <c r="L1681" s="9"/>
      <c r="M1681" s="10" t="str">
        <f aca="false">IF(A1681="","",IF((COUNTIF(Drain_Register!$A$5:$A$304,A1681)+COUNTIF(RW_Register!$A$5:$A$304,A1681)+COUNTIF(Embedded_Wall_Register!$A$5:$A$304,A1681)+COUNTIF(Manhole_Register!$A$5:$A$304,A1681)+COUNTIF(ERSS_Pit_Register!$A$5:$A$304,A1681)+COUNTIF(Linkway_Register!$A$5:$A$304,A1681)+COUNTIF(Other_Register!$A$5:$A$304,A1681))&gt;0,"OK","ID not in any register"))</f>
        <v/>
      </c>
    </row>
    <row r="1682" customFormat="false" ht="15" hidden="false" customHeight="false" outlineLevel="0" collapsed="false">
      <c r="A1682" s="9"/>
      <c r="B1682" s="9"/>
      <c r="C1682" s="9"/>
      <c r="D1682" s="9"/>
      <c r="E1682" s="9"/>
      <c r="F1682" s="9"/>
      <c r="G1682" s="9"/>
      <c r="H1682" s="9"/>
      <c r="I1682" s="9"/>
      <c r="J1682" s="10" t="str">
        <f aca="false">IF(A1682="","",IF(G1682&lt;&gt;"",G1682,IF(N(F1682)&gt;0,ROUND(1000/F1682,3),0)))</f>
        <v/>
      </c>
      <c r="K1682" s="10" t="str">
        <f aca="false">IF(OR(A1682="",E1682="",H1682=""),"",ROUND(0.00617*E1682^2*H1682*J1682,2))</f>
        <v/>
      </c>
      <c r="L1682" s="9"/>
      <c r="M1682" s="10" t="str">
        <f aca="false">IF(A1682="","",IF((COUNTIF(Drain_Register!$A$5:$A$304,A1682)+COUNTIF(RW_Register!$A$5:$A$304,A1682)+COUNTIF(Embedded_Wall_Register!$A$5:$A$304,A1682)+COUNTIF(Manhole_Register!$A$5:$A$304,A1682)+COUNTIF(ERSS_Pit_Register!$A$5:$A$304,A1682)+COUNTIF(Linkway_Register!$A$5:$A$304,A1682)+COUNTIF(Other_Register!$A$5:$A$304,A1682))&gt;0,"OK","ID not in any register"))</f>
        <v/>
      </c>
    </row>
    <row r="1683" customFormat="false" ht="15" hidden="false" customHeight="false" outlineLevel="0" collapsed="false">
      <c r="A1683" s="9"/>
      <c r="B1683" s="9"/>
      <c r="C1683" s="9"/>
      <c r="D1683" s="9"/>
      <c r="E1683" s="9"/>
      <c r="F1683" s="9"/>
      <c r="G1683" s="9"/>
      <c r="H1683" s="9"/>
      <c r="I1683" s="9"/>
      <c r="J1683" s="10" t="str">
        <f aca="false">IF(A1683="","",IF(G1683&lt;&gt;"",G1683,IF(N(F1683)&gt;0,ROUND(1000/F1683,3),0)))</f>
        <v/>
      </c>
      <c r="K1683" s="10" t="str">
        <f aca="false">IF(OR(A1683="",E1683="",H1683=""),"",ROUND(0.00617*E1683^2*H1683*J1683,2))</f>
        <v/>
      </c>
      <c r="L1683" s="9"/>
      <c r="M1683" s="10" t="str">
        <f aca="false">IF(A1683="","",IF((COUNTIF(Drain_Register!$A$5:$A$304,A1683)+COUNTIF(RW_Register!$A$5:$A$304,A1683)+COUNTIF(Embedded_Wall_Register!$A$5:$A$304,A1683)+COUNTIF(Manhole_Register!$A$5:$A$304,A1683)+COUNTIF(ERSS_Pit_Register!$A$5:$A$304,A1683)+COUNTIF(Linkway_Register!$A$5:$A$304,A1683)+COUNTIF(Other_Register!$A$5:$A$304,A1683))&gt;0,"OK","ID not in any register"))</f>
        <v/>
      </c>
    </row>
    <row r="1684" customFormat="false" ht="15" hidden="false" customHeight="false" outlineLevel="0" collapsed="false">
      <c r="A1684" s="9"/>
      <c r="B1684" s="9"/>
      <c r="C1684" s="9"/>
      <c r="D1684" s="9"/>
      <c r="E1684" s="9"/>
      <c r="F1684" s="9"/>
      <c r="G1684" s="9"/>
      <c r="H1684" s="9"/>
      <c r="I1684" s="9"/>
      <c r="J1684" s="10" t="str">
        <f aca="false">IF(A1684="","",IF(G1684&lt;&gt;"",G1684,IF(N(F1684)&gt;0,ROUND(1000/F1684,3),0)))</f>
        <v/>
      </c>
      <c r="K1684" s="10" t="str">
        <f aca="false">IF(OR(A1684="",E1684="",H1684=""),"",ROUND(0.00617*E1684^2*H1684*J1684,2))</f>
        <v/>
      </c>
      <c r="L1684" s="9"/>
      <c r="M1684" s="10" t="str">
        <f aca="false">IF(A1684="","",IF((COUNTIF(Drain_Register!$A$5:$A$304,A1684)+COUNTIF(RW_Register!$A$5:$A$304,A1684)+COUNTIF(Embedded_Wall_Register!$A$5:$A$304,A1684)+COUNTIF(Manhole_Register!$A$5:$A$304,A1684)+COUNTIF(ERSS_Pit_Register!$A$5:$A$304,A1684)+COUNTIF(Linkway_Register!$A$5:$A$304,A1684)+COUNTIF(Other_Register!$A$5:$A$304,A1684))&gt;0,"OK","ID not in any register"))</f>
        <v/>
      </c>
    </row>
    <row r="1685" customFormat="false" ht="15" hidden="false" customHeight="false" outlineLevel="0" collapsed="false">
      <c r="A1685" s="9"/>
      <c r="B1685" s="9"/>
      <c r="C1685" s="9"/>
      <c r="D1685" s="9"/>
      <c r="E1685" s="9"/>
      <c r="F1685" s="9"/>
      <c r="G1685" s="9"/>
      <c r="H1685" s="9"/>
      <c r="I1685" s="9"/>
      <c r="J1685" s="10" t="str">
        <f aca="false">IF(A1685="","",IF(G1685&lt;&gt;"",G1685,IF(N(F1685)&gt;0,ROUND(1000/F1685,3),0)))</f>
        <v/>
      </c>
      <c r="K1685" s="10" t="str">
        <f aca="false">IF(OR(A1685="",E1685="",H1685=""),"",ROUND(0.00617*E1685^2*H1685*J1685,2))</f>
        <v/>
      </c>
      <c r="L1685" s="9"/>
      <c r="M1685" s="10" t="str">
        <f aca="false">IF(A1685="","",IF((COUNTIF(Drain_Register!$A$5:$A$304,A1685)+COUNTIF(RW_Register!$A$5:$A$304,A1685)+COUNTIF(Embedded_Wall_Register!$A$5:$A$304,A1685)+COUNTIF(Manhole_Register!$A$5:$A$304,A1685)+COUNTIF(ERSS_Pit_Register!$A$5:$A$304,A1685)+COUNTIF(Linkway_Register!$A$5:$A$304,A1685)+COUNTIF(Other_Register!$A$5:$A$304,A1685))&gt;0,"OK","ID not in any register"))</f>
        <v/>
      </c>
    </row>
    <row r="1686" customFormat="false" ht="15" hidden="false" customHeight="false" outlineLevel="0" collapsed="false">
      <c r="A1686" s="9"/>
      <c r="B1686" s="9"/>
      <c r="C1686" s="9"/>
      <c r="D1686" s="9"/>
      <c r="E1686" s="9"/>
      <c r="F1686" s="9"/>
      <c r="G1686" s="9"/>
      <c r="H1686" s="9"/>
      <c r="I1686" s="9"/>
      <c r="J1686" s="10" t="str">
        <f aca="false">IF(A1686="","",IF(G1686&lt;&gt;"",G1686,IF(N(F1686)&gt;0,ROUND(1000/F1686,3),0)))</f>
        <v/>
      </c>
      <c r="K1686" s="10" t="str">
        <f aca="false">IF(OR(A1686="",E1686="",H1686=""),"",ROUND(0.00617*E1686^2*H1686*J1686,2))</f>
        <v/>
      </c>
      <c r="L1686" s="9"/>
      <c r="M1686" s="10" t="str">
        <f aca="false">IF(A1686="","",IF((COUNTIF(Drain_Register!$A$5:$A$304,A1686)+COUNTIF(RW_Register!$A$5:$A$304,A1686)+COUNTIF(Embedded_Wall_Register!$A$5:$A$304,A1686)+COUNTIF(Manhole_Register!$A$5:$A$304,A1686)+COUNTIF(ERSS_Pit_Register!$A$5:$A$304,A1686)+COUNTIF(Linkway_Register!$A$5:$A$304,A1686)+COUNTIF(Other_Register!$A$5:$A$304,A1686))&gt;0,"OK","ID not in any register"))</f>
        <v/>
      </c>
    </row>
    <row r="1687" customFormat="false" ht="15" hidden="false" customHeight="false" outlineLevel="0" collapsed="false">
      <c r="A1687" s="9"/>
      <c r="B1687" s="9"/>
      <c r="C1687" s="9"/>
      <c r="D1687" s="9"/>
      <c r="E1687" s="9"/>
      <c r="F1687" s="9"/>
      <c r="G1687" s="9"/>
      <c r="H1687" s="9"/>
      <c r="I1687" s="9"/>
      <c r="J1687" s="10" t="str">
        <f aca="false">IF(A1687="","",IF(G1687&lt;&gt;"",G1687,IF(N(F1687)&gt;0,ROUND(1000/F1687,3),0)))</f>
        <v/>
      </c>
      <c r="K1687" s="10" t="str">
        <f aca="false">IF(OR(A1687="",E1687="",H1687=""),"",ROUND(0.00617*E1687^2*H1687*J1687,2))</f>
        <v/>
      </c>
      <c r="L1687" s="9"/>
      <c r="M1687" s="10" t="str">
        <f aca="false">IF(A1687="","",IF((COUNTIF(Drain_Register!$A$5:$A$304,A1687)+COUNTIF(RW_Register!$A$5:$A$304,A1687)+COUNTIF(Embedded_Wall_Register!$A$5:$A$304,A1687)+COUNTIF(Manhole_Register!$A$5:$A$304,A1687)+COUNTIF(ERSS_Pit_Register!$A$5:$A$304,A1687)+COUNTIF(Linkway_Register!$A$5:$A$304,A1687)+COUNTIF(Other_Register!$A$5:$A$304,A1687))&gt;0,"OK","ID not in any register"))</f>
        <v/>
      </c>
    </row>
    <row r="1688" customFormat="false" ht="15" hidden="false" customHeight="false" outlineLevel="0" collapsed="false">
      <c r="A1688" s="9"/>
      <c r="B1688" s="9"/>
      <c r="C1688" s="9"/>
      <c r="D1688" s="9"/>
      <c r="E1688" s="9"/>
      <c r="F1688" s="9"/>
      <c r="G1688" s="9"/>
      <c r="H1688" s="9"/>
      <c r="I1688" s="9"/>
      <c r="J1688" s="10" t="str">
        <f aca="false">IF(A1688="","",IF(G1688&lt;&gt;"",G1688,IF(N(F1688)&gt;0,ROUND(1000/F1688,3),0)))</f>
        <v/>
      </c>
      <c r="K1688" s="10" t="str">
        <f aca="false">IF(OR(A1688="",E1688="",H1688=""),"",ROUND(0.00617*E1688^2*H1688*J1688,2))</f>
        <v/>
      </c>
      <c r="L1688" s="9"/>
      <c r="M1688" s="10" t="str">
        <f aca="false">IF(A1688="","",IF((COUNTIF(Drain_Register!$A$5:$A$304,A1688)+COUNTIF(RW_Register!$A$5:$A$304,A1688)+COUNTIF(Embedded_Wall_Register!$A$5:$A$304,A1688)+COUNTIF(Manhole_Register!$A$5:$A$304,A1688)+COUNTIF(ERSS_Pit_Register!$A$5:$A$304,A1688)+COUNTIF(Linkway_Register!$A$5:$A$304,A1688)+COUNTIF(Other_Register!$A$5:$A$304,A1688))&gt;0,"OK","ID not in any register"))</f>
        <v/>
      </c>
    </row>
    <row r="1689" customFormat="false" ht="15" hidden="false" customHeight="false" outlineLevel="0" collapsed="false">
      <c r="A1689" s="9"/>
      <c r="B1689" s="9"/>
      <c r="C1689" s="9"/>
      <c r="D1689" s="9"/>
      <c r="E1689" s="9"/>
      <c r="F1689" s="9"/>
      <c r="G1689" s="9"/>
      <c r="H1689" s="9"/>
      <c r="I1689" s="9"/>
      <c r="J1689" s="10" t="str">
        <f aca="false">IF(A1689="","",IF(G1689&lt;&gt;"",G1689,IF(N(F1689)&gt;0,ROUND(1000/F1689,3),0)))</f>
        <v/>
      </c>
      <c r="K1689" s="10" t="str">
        <f aca="false">IF(OR(A1689="",E1689="",H1689=""),"",ROUND(0.00617*E1689^2*H1689*J1689,2))</f>
        <v/>
      </c>
      <c r="L1689" s="9"/>
      <c r="M1689" s="10" t="str">
        <f aca="false">IF(A1689="","",IF((COUNTIF(Drain_Register!$A$5:$A$304,A1689)+COUNTIF(RW_Register!$A$5:$A$304,A1689)+COUNTIF(Embedded_Wall_Register!$A$5:$A$304,A1689)+COUNTIF(Manhole_Register!$A$5:$A$304,A1689)+COUNTIF(ERSS_Pit_Register!$A$5:$A$304,A1689)+COUNTIF(Linkway_Register!$A$5:$A$304,A1689)+COUNTIF(Other_Register!$A$5:$A$304,A1689))&gt;0,"OK","ID not in any register"))</f>
        <v/>
      </c>
    </row>
    <row r="1690" customFormat="false" ht="15" hidden="false" customHeight="false" outlineLevel="0" collapsed="false">
      <c r="A1690" s="9"/>
      <c r="B1690" s="9"/>
      <c r="C1690" s="9"/>
      <c r="D1690" s="9"/>
      <c r="E1690" s="9"/>
      <c r="F1690" s="9"/>
      <c r="G1690" s="9"/>
      <c r="H1690" s="9"/>
      <c r="I1690" s="9"/>
      <c r="J1690" s="10" t="str">
        <f aca="false">IF(A1690="","",IF(G1690&lt;&gt;"",G1690,IF(N(F1690)&gt;0,ROUND(1000/F1690,3),0)))</f>
        <v/>
      </c>
      <c r="K1690" s="10" t="str">
        <f aca="false">IF(OR(A1690="",E1690="",H1690=""),"",ROUND(0.00617*E1690^2*H1690*J1690,2))</f>
        <v/>
      </c>
      <c r="L1690" s="9"/>
      <c r="M1690" s="10" t="str">
        <f aca="false">IF(A1690="","",IF((COUNTIF(Drain_Register!$A$5:$A$304,A1690)+COUNTIF(RW_Register!$A$5:$A$304,A1690)+COUNTIF(Embedded_Wall_Register!$A$5:$A$304,A1690)+COUNTIF(Manhole_Register!$A$5:$A$304,A1690)+COUNTIF(ERSS_Pit_Register!$A$5:$A$304,A1690)+COUNTIF(Linkway_Register!$A$5:$A$304,A1690)+COUNTIF(Other_Register!$A$5:$A$304,A1690))&gt;0,"OK","ID not in any register"))</f>
        <v/>
      </c>
    </row>
    <row r="1691" customFormat="false" ht="15" hidden="false" customHeight="false" outlineLevel="0" collapsed="false">
      <c r="A1691" s="9"/>
      <c r="B1691" s="9"/>
      <c r="C1691" s="9"/>
      <c r="D1691" s="9"/>
      <c r="E1691" s="9"/>
      <c r="F1691" s="9"/>
      <c r="G1691" s="9"/>
      <c r="H1691" s="9"/>
      <c r="I1691" s="9"/>
      <c r="J1691" s="10" t="str">
        <f aca="false">IF(A1691="","",IF(G1691&lt;&gt;"",G1691,IF(N(F1691)&gt;0,ROUND(1000/F1691,3),0)))</f>
        <v/>
      </c>
      <c r="K1691" s="10" t="str">
        <f aca="false">IF(OR(A1691="",E1691="",H1691=""),"",ROUND(0.00617*E1691^2*H1691*J1691,2))</f>
        <v/>
      </c>
      <c r="L1691" s="9"/>
      <c r="M1691" s="10" t="str">
        <f aca="false">IF(A1691="","",IF((COUNTIF(Drain_Register!$A$5:$A$304,A1691)+COUNTIF(RW_Register!$A$5:$A$304,A1691)+COUNTIF(Embedded_Wall_Register!$A$5:$A$304,A1691)+COUNTIF(Manhole_Register!$A$5:$A$304,A1691)+COUNTIF(ERSS_Pit_Register!$A$5:$A$304,A1691)+COUNTIF(Linkway_Register!$A$5:$A$304,A1691)+COUNTIF(Other_Register!$A$5:$A$304,A1691))&gt;0,"OK","ID not in any register"))</f>
        <v/>
      </c>
    </row>
    <row r="1692" customFormat="false" ht="15" hidden="false" customHeight="false" outlineLevel="0" collapsed="false">
      <c r="A1692" s="9"/>
      <c r="B1692" s="9"/>
      <c r="C1692" s="9"/>
      <c r="D1692" s="9"/>
      <c r="E1692" s="9"/>
      <c r="F1692" s="9"/>
      <c r="G1692" s="9"/>
      <c r="H1692" s="9"/>
      <c r="I1692" s="9"/>
      <c r="J1692" s="10" t="str">
        <f aca="false">IF(A1692="","",IF(G1692&lt;&gt;"",G1692,IF(N(F1692)&gt;0,ROUND(1000/F1692,3),0)))</f>
        <v/>
      </c>
      <c r="K1692" s="10" t="str">
        <f aca="false">IF(OR(A1692="",E1692="",H1692=""),"",ROUND(0.00617*E1692^2*H1692*J1692,2))</f>
        <v/>
      </c>
      <c r="L1692" s="9"/>
      <c r="M1692" s="10" t="str">
        <f aca="false">IF(A1692="","",IF((COUNTIF(Drain_Register!$A$5:$A$304,A1692)+COUNTIF(RW_Register!$A$5:$A$304,A1692)+COUNTIF(Embedded_Wall_Register!$A$5:$A$304,A1692)+COUNTIF(Manhole_Register!$A$5:$A$304,A1692)+COUNTIF(ERSS_Pit_Register!$A$5:$A$304,A1692)+COUNTIF(Linkway_Register!$A$5:$A$304,A1692)+COUNTIF(Other_Register!$A$5:$A$304,A1692))&gt;0,"OK","ID not in any register"))</f>
        <v/>
      </c>
    </row>
    <row r="1693" customFormat="false" ht="15" hidden="false" customHeight="false" outlineLevel="0" collapsed="false">
      <c r="A1693" s="9"/>
      <c r="B1693" s="9"/>
      <c r="C1693" s="9"/>
      <c r="D1693" s="9"/>
      <c r="E1693" s="9"/>
      <c r="F1693" s="9"/>
      <c r="G1693" s="9"/>
      <c r="H1693" s="9"/>
      <c r="I1693" s="9"/>
      <c r="J1693" s="10" t="str">
        <f aca="false">IF(A1693="","",IF(G1693&lt;&gt;"",G1693,IF(N(F1693)&gt;0,ROUND(1000/F1693,3),0)))</f>
        <v/>
      </c>
      <c r="K1693" s="10" t="str">
        <f aca="false">IF(OR(A1693="",E1693="",H1693=""),"",ROUND(0.00617*E1693^2*H1693*J1693,2))</f>
        <v/>
      </c>
      <c r="L1693" s="9"/>
      <c r="M1693" s="10" t="str">
        <f aca="false">IF(A1693="","",IF((COUNTIF(Drain_Register!$A$5:$A$304,A1693)+COUNTIF(RW_Register!$A$5:$A$304,A1693)+COUNTIF(Embedded_Wall_Register!$A$5:$A$304,A1693)+COUNTIF(Manhole_Register!$A$5:$A$304,A1693)+COUNTIF(ERSS_Pit_Register!$A$5:$A$304,A1693)+COUNTIF(Linkway_Register!$A$5:$A$304,A1693)+COUNTIF(Other_Register!$A$5:$A$304,A1693))&gt;0,"OK","ID not in any register"))</f>
        <v/>
      </c>
    </row>
    <row r="1694" customFormat="false" ht="15" hidden="false" customHeight="false" outlineLevel="0" collapsed="false">
      <c r="A1694" s="9"/>
      <c r="B1694" s="9"/>
      <c r="C1694" s="9"/>
      <c r="D1694" s="9"/>
      <c r="E1694" s="9"/>
      <c r="F1694" s="9"/>
      <c r="G1694" s="9"/>
      <c r="H1694" s="9"/>
      <c r="I1694" s="9"/>
      <c r="J1694" s="10" t="str">
        <f aca="false">IF(A1694="","",IF(G1694&lt;&gt;"",G1694,IF(N(F1694)&gt;0,ROUND(1000/F1694,3),0)))</f>
        <v/>
      </c>
      <c r="K1694" s="10" t="str">
        <f aca="false">IF(OR(A1694="",E1694="",H1694=""),"",ROUND(0.00617*E1694^2*H1694*J1694,2))</f>
        <v/>
      </c>
      <c r="L1694" s="9"/>
      <c r="M1694" s="10" t="str">
        <f aca="false">IF(A1694="","",IF((COUNTIF(Drain_Register!$A$5:$A$304,A1694)+COUNTIF(RW_Register!$A$5:$A$304,A1694)+COUNTIF(Embedded_Wall_Register!$A$5:$A$304,A1694)+COUNTIF(Manhole_Register!$A$5:$A$304,A1694)+COUNTIF(ERSS_Pit_Register!$A$5:$A$304,A1694)+COUNTIF(Linkway_Register!$A$5:$A$304,A1694)+COUNTIF(Other_Register!$A$5:$A$304,A1694))&gt;0,"OK","ID not in any register"))</f>
        <v/>
      </c>
    </row>
    <row r="1695" customFormat="false" ht="15" hidden="false" customHeight="false" outlineLevel="0" collapsed="false">
      <c r="A1695" s="9"/>
      <c r="B1695" s="9"/>
      <c r="C1695" s="9"/>
      <c r="D1695" s="9"/>
      <c r="E1695" s="9"/>
      <c r="F1695" s="9"/>
      <c r="G1695" s="9"/>
      <c r="H1695" s="9"/>
      <c r="I1695" s="9"/>
      <c r="J1695" s="10" t="str">
        <f aca="false">IF(A1695="","",IF(G1695&lt;&gt;"",G1695,IF(N(F1695)&gt;0,ROUND(1000/F1695,3),0)))</f>
        <v/>
      </c>
      <c r="K1695" s="10" t="str">
        <f aca="false">IF(OR(A1695="",E1695="",H1695=""),"",ROUND(0.00617*E1695^2*H1695*J1695,2))</f>
        <v/>
      </c>
      <c r="L1695" s="9"/>
      <c r="M1695" s="10" t="str">
        <f aca="false">IF(A1695="","",IF((COUNTIF(Drain_Register!$A$5:$A$304,A1695)+COUNTIF(RW_Register!$A$5:$A$304,A1695)+COUNTIF(Embedded_Wall_Register!$A$5:$A$304,A1695)+COUNTIF(Manhole_Register!$A$5:$A$304,A1695)+COUNTIF(ERSS_Pit_Register!$A$5:$A$304,A1695)+COUNTIF(Linkway_Register!$A$5:$A$304,A1695)+COUNTIF(Other_Register!$A$5:$A$304,A1695))&gt;0,"OK","ID not in any register"))</f>
        <v/>
      </c>
    </row>
    <row r="1696" customFormat="false" ht="15" hidden="false" customHeight="false" outlineLevel="0" collapsed="false">
      <c r="A1696" s="9"/>
      <c r="B1696" s="9"/>
      <c r="C1696" s="9"/>
      <c r="D1696" s="9"/>
      <c r="E1696" s="9"/>
      <c r="F1696" s="9"/>
      <c r="G1696" s="9"/>
      <c r="H1696" s="9"/>
      <c r="I1696" s="9"/>
      <c r="J1696" s="10" t="str">
        <f aca="false">IF(A1696="","",IF(G1696&lt;&gt;"",G1696,IF(N(F1696)&gt;0,ROUND(1000/F1696,3),0)))</f>
        <v/>
      </c>
      <c r="K1696" s="10" t="str">
        <f aca="false">IF(OR(A1696="",E1696="",H1696=""),"",ROUND(0.00617*E1696^2*H1696*J1696,2))</f>
        <v/>
      </c>
      <c r="L1696" s="9"/>
      <c r="M1696" s="10" t="str">
        <f aca="false">IF(A1696="","",IF((COUNTIF(Drain_Register!$A$5:$A$304,A1696)+COUNTIF(RW_Register!$A$5:$A$304,A1696)+COUNTIF(Embedded_Wall_Register!$A$5:$A$304,A1696)+COUNTIF(Manhole_Register!$A$5:$A$304,A1696)+COUNTIF(ERSS_Pit_Register!$A$5:$A$304,A1696)+COUNTIF(Linkway_Register!$A$5:$A$304,A1696)+COUNTIF(Other_Register!$A$5:$A$304,A1696))&gt;0,"OK","ID not in any register"))</f>
        <v/>
      </c>
    </row>
    <row r="1697" customFormat="false" ht="15" hidden="false" customHeight="false" outlineLevel="0" collapsed="false">
      <c r="A1697" s="9"/>
      <c r="B1697" s="9"/>
      <c r="C1697" s="9"/>
      <c r="D1697" s="9"/>
      <c r="E1697" s="9"/>
      <c r="F1697" s="9"/>
      <c r="G1697" s="9"/>
      <c r="H1697" s="9"/>
      <c r="I1697" s="9"/>
      <c r="J1697" s="10" t="str">
        <f aca="false">IF(A1697="","",IF(G1697&lt;&gt;"",G1697,IF(N(F1697)&gt;0,ROUND(1000/F1697,3),0)))</f>
        <v/>
      </c>
      <c r="K1697" s="10" t="str">
        <f aca="false">IF(OR(A1697="",E1697="",H1697=""),"",ROUND(0.00617*E1697^2*H1697*J1697,2))</f>
        <v/>
      </c>
      <c r="L1697" s="9"/>
      <c r="M1697" s="10" t="str">
        <f aca="false">IF(A1697="","",IF((COUNTIF(Drain_Register!$A$5:$A$304,A1697)+COUNTIF(RW_Register!$A$5:$A$304,A1697)+COUNTIF(Embedded_Wall_Register!$A$5:$A$304,A1697)+COUNTIF(Manhole_Register!$A$5:$A$304,A1697)+COUNTIF(ERSS_Pit_Register!$A$5:$A$304,A1697)+COUNTIF(Linkway_Register!$A$5:$A$304,A1697)+COUNTIF(Other_Register!$A$5:$A$304,A1697))&gt;0,"OK","ID not in any register"))</f>
        <v/>
      </c>
    </row>
    <row r="1698" customFormat="false" ht="15" hidden="false" customHeight="false" outlineLevel="0" collapsed="false">
      <c r="A1698" s="9"/>
      <c r="B1698" s="9"/>
      <c r="C1698" s="9"/>
      <c r="D1698" s="9"/>
      <c r="E1698" s="9"/>
      <c r="F1698" s="9"/>
      <c r="G1698" s="9"/>
      <c r="H1698" s="9"/>
      <c r="I1698" s="9"/>
      <c r="J1698" s="10" t="str">
        <f aca="false">IF(A1698="","",IF(G1698&lt;&gt;"",G1698,IF(N(F1698)&gt;0,ROUND(1000/F1698,3),0)))</f>
        <v/>
      </c>
      <c r="K1698" s="10" t="str">
        <f aca="false">IF(OR(A1698="",E1698="",H1698=""),"",ROUND(0.00617*E1698^2*H1698*J1698,2))</f>
        <v/>
      </c>
      <c r="L1698" s="9"/>
      <c r="M1698" s="10" t="str">
        <f aca="false">IF(A1698="","",IF((COUNTIF(Drain_Register!$A$5:$A$304,A1698)+COUNTIF(RW_Register!$A$5:$A$304,A1698)+COUNTIF(Embedded_Wall_Register!$A$5:$A$304,A1698)+COUNTIF(Manhole_Register!$A$5:$A$304,A1698)+COUNTIF(ERSS_Pit_Register!$A$5:$A$304,A1698)+COUNTIF(Linkway_Register!$A$5:$A$304,A1698)+COUNTIF(Other_Register!$A$5:$A$304,A1698))&gt;0,"OK","ID not in any register"))</f>
        <v/>
      </c>
    </row>
    <row r="1699" customFormat="false" ht="15" hidden="false" customHeight="false" outlineLevel="0" collapsed="false">
      <c r="A1699" s="9"/>
      <c r="B1699" s="9"/>
      <c r="C1699" s="9"/>
      <c r="D1699" s="9"/>
      <c r="E1699" s="9"/>
      <c r="F1699" s="9"/>
      <c r="G1699" s="9"/>
      <c r="H1699" s="9"/>
      <c r="I1699" s="9"/>
      <c r="J1699" s="10" t="str">
        <f aca="false">IF(A1699="","",IF(G1699&lt;&gt;"",G1699,IF(N(F1699)&gt;0,ROUND(1000/F1699,3),0)))</f>
        <v/>
      </c>
      <c r="K1699" s="10" t="str">
        <f aca="false">IF(OR(A1699="",E1699="",H1699=""),"",ROUND(0.00617*E1699^2*H1699*J1699,2))</f>
        <v/>
      </c>
      <c r="L1699" s="9"/>
      <c r="M1699" s="10" t="str">
        <f aca="false">IF(A1699="","",IF((COUNTIF(Drain_Register!$A$5:$A$304,A1699)+COUNTIF(RW_Register!$A$5:$A$304,A1699)+COUNTIF(Embedded_Wall_Register!$A$5:$A$304,A1699)+COUNTIF(Manhole_Register!$A$5:$A$304,A1699)+COUNTIF(ERSS_Pit_Register!$A$5:$A$304,A1699)+COUNTIF(Linkway_Register!$A$5:$A$304,A1699)+COUNTIF(Other_Register!$A$5:$A$304,A1699))&gt;0,"OK","ID not in any register"))</f>
        <v/>
      </c>
    </row>
    <row r="1700" customFormat="false" ht="15" hidden="false" customHeight="false" outlineLevel="0" collapsed="false">
      <c r="A1700" s="9"/>
      <c r="B1700" s="9"/>
      <c r="C1700" s="9"/>
      <c r="D1700" s="9"/>
      <c r="E1700" s="9"/>
      <c r="F1700" s="9"/>
      <c r="G1700" s="9"/>
      <c r="H1700" s="9"/>
      <c r="I1700" s="9"/>
      <c r="J1700" s="10" t="str">
        <f aca="false">IF(A1700="","",IF(G1700&lt;&gt;"",G1700,IF(N(F1700)&gt;0,ROUND(1000/F1700,3),0)))</f>
        <v/>
      </c>
      <c r="K1700" s="10" t="str">
        <f aca="false">IF(OR(A1700="",E1700="",H1700=""),"",ROUND(0.00617*E1700^2*H1700*J1700,2))</f>
        <v/>
      </c>
      <c r="L1700" s="9"/>
      <c r="M1700" s="10" t="str">
        <f aca="false">IF(A1700="","",IF((COUNTIF(Drain_Register!$A$5:$A$304,A1700)+COUNTIF(RW_Register!$A$5:$A$304,A1700)+COUNTIF(Embedded_Wall_Register!$A$5:$A$304,A1700)+COUNTIF(Manhole_Register!$A$5:$A$304,A1700)+COUNTIF(ERSS_Pit_Register!$A$5:$A$304,A1700)+COUNTIF(Linkway_Register!$A$5:$A$304,A1700)+COUNTIF(Other_Register!$A$5:$A$304,A1700))&gt;0,"OK","ID not in any register"))</f>
        <v/>
      </c>
    </row>
    <row r="1701" customFormat="false" ht="15" hidden="false" customHeight="false" outlineLevel="0" collapsed="false">
      <c r="A1701" s="9"/>
      <c r="B1701" s="9"/>
      <c r="C1701" s="9"/>
      <c r="D1701" s="9"/>
      <c r="E1701" s="9"/>
      <c r="F1701" s="9"/>
      <c r="G1701" s="9"/>
      <c r="H1701" s="9"/>
      <c r="I1701" s="9"/>
      <c r="J1701" s="10" t="str">
        <f aca="false">IF(A1701="","",IF(G1701&lt;&gt;"",G1701,IF(N(F1701)&gt;0,ROUND(1000/F1701,3),0)))</f>
        <v/>
      </c>
      <c r="K1701" s="10" t="str">
        <f aca="false">IF(OR(A1701="",E1701="",H1701=""),"",ROUND(0.00617*E1701^2*H1701*J1701,2))</f>
        <v/>
      </c>
      <c r="L1701" s="9"/>
      <c r="M1701" s="10" t="str">
        <f aca="false">IF(A1701="","",IF((COUNTIF(Drain_Register!$A$5:$A$304,A1701)+COUNTIF(RW_Register!$A$5:$A$304,A1701)+COUNTIF(Embedded_Wall_Register!$A$5:$A$304,A1701)+COUNTIF(Manhole_Register!$A$5:$A$304,A1701)+COUNTIF(ERSS_Pit_Register!$A$5:$A$304,A1701)+COUNTIF(Linkway_Register!$A$5:$A$304,A1701)+COUNTIF(Other_Register!$A$5:$A$304,A1701))&gt;0,"OK","ID not in any register"))</f>
        <v/>
      </c>
    </row>
    <row r="1702" customFormat="false" ht="15" hidden="false" customHeight="false" outlineLevel="0" collapsed="false">
      <c r="A1702" s="9"/>
      <c r="B1702" s="9"/>
      <c r="C1702" s="9"/>
      <c r="D1702" s="9"/>
      <c r="E1702" s="9"/>
      <c r="F1702" s="9"/>
      <c r="G1702" s="9"/>
      <c r="H1702" s="9"/>
      <c r="I1702" s="9"/>
      <c r="J1702" s="10" t="str">
        <f aca="false">IF(A1702="","",IF(G1702&lt;&gt;"",G1702,IF(N(F1702)&gt;0,ROUND(1000/F1702,3),0)))</f>
        <v/>
      </c>
      <c r="K1702" s="10" t="str">
        <f aca="false">IF(OR(A1702="",E1702="",H1702=""),"",ROUND(0.00617*E1702^2*H1702*J1702,2))</f>
        <v/>
      </c>
      <c r="L1702" s="9"/>
      <c r="M1702" s="10" t="str">
        <f aca="false">IF(A1702="","",IF((COUNTIF(Drain_Register!$A$5:$A$304,A1702)+COUNTIF(RW_Register!$A$5:$A$304,A1702)+COUNTIF(Embedded_Wall_Register!$A$5:$A$304,A1702)+COUNTIF(Manhole_Register!$A$5:$A$304,A1702)+COUNTIF(ERSS_Pit_Register!$A$5:$A$304,A1702)+COUNTIF(Linkway_Register!$A$5:$A$304,A1702)+COUNTIF(Other_Register!$A$5:$A$304,A1702))&gt;0,"OK","ID not in any register"))</f>
        <v/>
      </c>
    </row>
    <row r="1703" customFormat="false" ht="15" hidden="false" customHeight="false" outlineLevel="0" collapsed="false">
      <c r="A1703" s="9"/>
      <c r="B1703" s="9"/>
      <c r="C1703" s="9"/>
      <c r="D1703" s="9"/>
      <c r="E1703" s="9"/>
      <c r="F1703" s="9"/>
      <c r="G1703" s="9"/>
      <c r="H1703" s="9"/>
      <c r="I1703" s="9"/>
      <c r="J1703" s="10" t="str">
        <f aca="false">IF(A1703="","",IF(G1703&lt;&gt;"",G1703,IF(N(F1703)&gt;0,ROUND(1000/F1703,3),0)))</f>
        <v/>
      </c>
      <c r="K1703" s="10" t="str">
        <f aca="false">IF(OR(A1703="",E1703="",H1703=""),"",ROUND(0.00617*E1703^2*H1703*J1703,2))</f>
        <v/>
      </c>
      <c r="L1703" s="9"/>
      <c r="M1703" s="10" t="str">
        <f aca="false">IF(A1703="","",IF((COUNTIF(Drain_Register!$A$5:$A$304,A1703)+COUNTIF(RW_Register!$A$5:$A$304,A1703)+COUNTIF(Embedded_Wall_Register!$A$5:$A$304,A1703)+COUNTIF(Manhole_Register!$A$5:$A$304,A1703)+COUNTIF(ERSS_Pit_Register!$A$5:$A$304,A1703)+COUNTIF(Linkway_Register!$A$5:$A$304,A1703)+COUNTIF(Other_Register!$A$5:$A$304,A1703))&gt;0,"OK","ID not in any register"))</f>
        <v/>
      </c>
    </row>
    <row r="1704" customFormat="false" ht="15" hidden="false" customHeight="false" outlineLevel="0" collapsed="false">
      <c r="A1704" s="9"/>
      <c r="B1704" s="9"/>
      <c r="C1704" s="9"/>
      <c r="D1704" s="9"/>
      <c r="E1704" s="9"/>
      <c r="F1704" s="9"/>
      <c r="G1704" s="9"/>
      <c r="H1704" s="9"/>
      <c r="I1704" s="9"/>
      <c r="J1704" s="10" t="str">
        <f aca="false">IF(A1704="","",IF(G1704&lt;&gt;"",G1704,IF(N(F1704)&gt;0,ROUND(1000/F1704,3),0)))</f>
        <v/>
      </c>
      <c r="K1704" s="10" t="str">
        <f aca="false">IF(OR(A1704="",E1704="",H1704=""),"",ROUND(0.00617*E1704^2*H1704*J1704,2))</f>
        <v/>
      </c>
      <c r="L1704" s="9"/>
      <c r="M1704" s="10" t="str">
        <f aca="false">IF(A1704="","",IF((COUNTIF(Drain_Register!$A$5:$A$304,A1704)+COUNTIF(RW_Register!$A$5:$A$304,A1704)+COUNTIF(Embedded_Wall_Register!$A$5:$A$304,A1704)+COUNTIF(Manhole_Register!$A$5:$A$304,A1704)+COUNTIF(ERSS_Pit_Register!$A$5:$A$304,A1704)+COUNTIF(Linkway_Register!$A$5:$A$304,A1704)+COUNTIF(Other_Register!$A$5:$A$304,A1704))&gt;0,"OK","ID not in any register"))</f>
        <v/>
      </c>
    </row>
    <row r="1705" customFormat="false" ht="15" hidden="false" customHeight="false" outlineLevel="0" collapsed="false">
      <c r="A1705" s="9"/>
      <c r="B1705" s="9"/>
      <c r="C1705" s="9"/>
      <c r="D1705" s="9"/>
      <c r="E1705" s="9"/>
      <c r="F1705" s="9"/>
      <c r="G1705" s="9"/>
      <c r="H1705" s="9"/>
      <c r="I1705" s="9"/>
      <c r="J1705" s="10" t="str">
        <f aca="false">IF(A1705="","",IF(G1705&lt;&gt;"",G1705,IF(N(F1705)&gt;0,ROUND(1000/F1705,3),0)))</f>
        <v/>
      </c>
      <c r="K1705" s="10" t="str">
        <f aca="false">IF(OR(A1705="",E1705="",H1705=""),"",ROUND(0.00617*E1705^2*H1705*J1705,2))</f>
        <v/>
      </c>
      <c r="L1705" s="9"/>
      <c r="M1705" s="10" t="str">
        <f aca="false">IF(A1705="","",IF((COUNTIF(Drain_Register!$A$5:$A$304,A1705)+COUNTIF(RW_Register!$A$5:$A$304,A1705)+COUNTIF(Embedded_Wall_Register!$A$5:$A$304,A1705)+COUNTIF(Manhole_Register!$A$5:$A$304,A1705)+COUNTIF(ERSS_Pit_Register!$A$5:$A$304,A1705)+COUNTIF(Linkway_Register!$A$5:$A$304,A1705)+COUNTIF(Other_Register!$A$5:$A$304,A1705))&gt;0,"OK","ID not in any register"))</f>
        <v/>
      </c>
    </row>
    <row r="1706" customFormat="false" ht="15" hidden="false" customHeight="false" outlineLevel="0" collapsed="false">
      <c r="A1706" s="9"/>
      <c r="B1706" s="9"/>
      <c r="C1706" s="9"/>
      <c r="D1706" s="9"/>
      <c r="E1706" s="9"/>
      <c r="F1706" s="9"/>
      <c r="G1706" s="9"/>
      <c r="H1706" s="9"/>
      <c r="I1706" s="9"/>
      <c r="J1706" s="10" t="str">
        <f aca="false">IF(A1706="","",IF(G1706&lt;&gt;"",G1706,IF(N(F1706)&gt;0,ROUND(1000/F1706,3),0)))</f>
        <v/>
      </c>
      <c r="K1706" s="10" t="str">
        <f aca="false">IF(OR(A1706="",E1706="",H1706=""),"",ROUND(0.00617*E1706^2*H1706*J1706,2))</f>
        <v/>
      </c>
      <c r="L1706" s="9"/>
      <c r="M1706" s="10" t="str">
        <f aca="false">IF(A1706="","",IF((COUNTIF(Drain_Register!$A$5:$A$304,A1706)+COUNTIF(RW_Register!$A$5:$A$304,A1706)+COUNTIF(Embedded_Wall_Register!$A$5:$A$304,A1706)+COUNTIF(Manhole_Register!$A$5:$A$304,A1706)+COUNTIF(ERSS_Pit_Register!$A$5:$A$304,A1706)+COUNTIF(Linkway_Register!$A$5:$A$304,A1706)+COUNTIF(Other_Register!$A$5:$A$304,A1706))&gt;0,"OK","ID not in any register"))</f>
        <v/>
      </c>
    </row>
    <row r="1707" customFormat="false" ht="15" hidden="false" customHeight="false" outlineLevel="0" collapsed="false">
      <c r="A1707" s="9"/>
      <c r="B1707" s="9"/>
      <c r="C1707" s="9"/>
      <c r="D1707" s="9"/>
      <c r="E1707" s="9"/>
      <c r="F1707" s="9"/>
      <c r="G1707" s="9"/>
      <c r="H1707" s="9"/>
      <c r="I1707" s="9"/>
      <c r="J1707" s="10" t="str">
        <f aca="false">IF(A1707="","",IF(G1707&lt;&gt;"",G1707,IF(N(F1707)&gt;0,ROUND(1000/F1707,3),0)))</f>
        <v/>
      </c>
      <c r="K1707" s="10" t="str">
        <f aca="false">IF(OR(A1707="",E1707="",H1707=""),"",ROUND(0.00617*E1707^2*H1707*J1707,2))</f>
        <v/>
      </c>
      <c r="L1707" s="9"/>
      <c r="M1707" s="10" t="str">
        <f aca="false">IF(A1707="","",IF((COUNTIF(Drain_Register!$A$5:$A$304,A1707)+COUNTIF(RW_Register!$A$5:$A$304,A1707)+COUNTIF(Embedded_Wall_Register!$A$5:$A$304,A1707)+COUNTIF(Manhole_Register!$A$5:$A$304,A1707)+COUNTIF(ERSS_Pit_Register!$A$5:$A$304,A1707)+COUNTIF(Linkway_Register!$A$5:$A$304,A1707)+COUNTIF(Other_Register!$A$5:$A$304,A1707))&gt;0,"OK","ID not in any register"))</f>
        <v/>
      </c>
    </row>
    <row r="1708" customFormat="false" ht="15" hidden="false" customHeight="false" outlineLevel="0" collapsed="false">
      <c r="A1708" s="9"/>
      <c r="B1708" s="9"/>
      <c r="C1708" s="9"/>
      <c r="D1708" s="9"/>
      <c r="E1708" s="9"/>
      <c r="F1708" s="9"/>
      <c r="G1708" s="9"/>
      <c r="H1708" s="9"/>
      <c r="I1708" s="9"/>
      <c r="J1708" s="10" t="str">
        <f aca="false">IF(A1708="","",IF(G1708&lt;&gt;"",G1708,IF(N(F1708)&gt;0,ROUND(1000/F1708,3),0)))</f>
        <v/>
      </c>
      <c r="K1708" s="10" t="str">
        <f aca="false">IF(OR(A1708="",E1708="",H1708=""),"",ROUND(0.00617*E1708^2*H1708*J1708,2))</f>
        <v/>
      </c>
      <c r="L1708" s="9"/>
      <c r="M1708" s="10" t="str">
        <f aca="false">IF(A1708="","",IF((COUNTIF(Drain_Register!$A$5:$A$304,A1708)+COUNTIF(RW_Register!$A$5:$A$304,A1708)+COUNTIF(Embedded_Wall_Register!$A$5:$A$304,A1708)+COUNTIF(Manhole_Register!$A$5:$A$304,A1708)+COUNTIF(ERSS_Pit_Register!$A$5:$A$304,A1708)+COUNTIF(Linkway_Register!$A$5:$A$304,A1708)+COUNTIF(Other_Register!$A$5:$A$304,A1708))&gt;0,"OK","ID not in any register"))</f>
        <v/>
      </c>
    </row>
    <row r="1709" customFormat="false" ht="15" hidden="false" customHeight="false" outlineLevel="0" collapsed="false">
      <c r="A1709" s="9"/>
      <c r="B1709" s="9"/>
      <c r="C1709" s="9"/>
      <c r="D1709" s="9"/>
      <c r="E1709" s="9"/>
      <c r="F1709" s="9"/>
      <c r="G1709" s="9"/>
      <c r="H1709" s="9"/>
      <c r="I1709" s="9"/>
      <c r="J1709" s="10" t="str">
        <f aca="false">IF(A1709="","",IF(G1709&lt;&gt;"",G1709,IF(N(F1709)&gt;0,ROUND(1000/F1709,3),0)))</f>
        <v/>
      </c>
      <c r="K1709" s="10" t="str">
        <f aca="false">IF(OR(A1709="",E1709="",H1709=""),"",ROUND(0.00617*E1709^2*H1709*J1709,2))</f>
        <v/>
      </c>
      <c r="L1709" s="9"/>
      <c r="M1709" s="10" t="str">
        <f aca="false">IF(A1709="","",IF((COUNTIF(Drain_Register!$A$5:$A$304,A1709)+COUNTIF(RW_Register!$A$5:$A$304,A1709)+COUNTIF(Embedded_Wall_Register!$A$5:$A$304,A1709)+COUNTIF(Manhole_Register!$A$5:$A$304,A1709)+COUNTIF(ERSS_Pit_Register!$A$5:$A$304,A1709)+COUNTIF(Linkway_Register!$A$5:$A$304,A1709)+COUNTIF(Other_Register!$A$5:$A$304,A1709))&gt;0,"OK","ID not in any register"))</f>
        <v/>
      </c>
    </row>
    <row r="1710" customFormat="false" ht="15" hidden="false" customHeight="false" outlineLevel="0" collapsed="false">
      <c r="A1710" s="9"/>
      <c r="B1710" s="9"/>
      <c r="C1710" s="9"/>
      <c r="D1710" s="9"/>
      <c r="E1710" s="9"/>
      <c r="F1710" s="9"/>
      <c r="G1710" s="9"/>
      <c r="H1710" s="9"/>
      <c r="I1710" s="9"/>
      <c r="J1710" s="10" t="str">
        <f aca="false">IF(A1710="","",IF(G1710&lt;&gt;"",G1710,IF(N(F1710)&gt;0,ROUND(1000/F1710,3),0)))</f>
        <v/>
      </c>
      <c r="K1710" s="10" t="str">
        <f aca="false">IF(OR(A1710="",E1710="",H1710=""),"",ROUND(0.00617*E1710^2*H1710*J1710,2))</f>
        <v/>
      </c>
      <c r="L1710" s="9"/>
      <c r="M1710" s="10" t="str">
        <f aca="false">IF(A1710="","",IF((COUNTIF(Drain_Register!$A$5:$A$304,A1710)+COUNTIF(RW_Register!$A$5:$A$304,A1710)+COUNTIF(Embedded_Wall_Register!$A$5:$A$304,A1710)+COUNTIF(Manhole_Register!$A$5:$A$304,A1710)+COUNTIF(ERSS_Pit_Register!$A$5:$A$304,A1710)+COUNTIF(Linkway_Register!$A$5:$A$304,A1710)+COUNTIF(Other_Register!$A$5:$A$304,A1710))&gt;0,"OK","ID not in any register"))</f>
        <v/>
      </c>
    </row>
    <row r="1711" customFormat="false" ht="15" hidden="false" customHeight="false" outlineLevel="0" collapsed="false">
      <c r="A1711" s="9"/>
      <c r="B1711" s="9"/>
      <c r="C1711" s="9"/>
      <c r="D1711" s="9"/>
      <c r="E1711" s="9"/>
      <c r="F1711" s="9"/>
      <c r="G1711" s="9"/>
      <c r="H1711" s="9"/>
      <c r="I1711" s="9"/>
      <c r="J1711" s="10" t="str">
        <f aca="false">IF(A1711="","",IF(G1711&lt;&gt;"",G1711,IF(N(F1711)&gt;0,ROUND(1000/F1711,3),0)))</f>
        <v/>
      </c>
      <c r="K1711" s="10" t="str">
        <f aca="false">IF(OR(A1711="",E1711="",H1711=""),"",ROUND(0.00617*E1711^2*H1711*J1711,2))</f>
        <v/>
      </c>
      <c r="L1711" s="9"/>
      <c r="M1711" s="10" t="str">
        <f aca="false">IF(A1711="","",IF((COUNTIF(Drain_Register!$A$5:$A$304,A1711)+COUNTIF(RW_Register!$A$5:$A$304,A1711)+COUNTIF(Embedded_Wall_Register!$A$5:$A$304,A1711)+COUNTIF(Manhole_Register!$A$5:$A$304,A1711)+COUNTIF(ERSS_Pit_Register!$A$5:$A$304,A1711)+COUNTIF(Linkway_Register!$A$5:$A$304,A1711)+COUNTIF(Other_Register!$A$5:$A$304,A1711))&gt;0,"OK","ID not in any register"))</f>
        <v/>
      </c>
    </row>
    <row r="1712" customFormat="false" ht="15" hidden="false" customHeight="false" outlineLevel="0" collapsed="false">
      <c r="A1712" s="9"/>
      <c r="B1712" s="9"/>
      <c r="C1712" s="9"/>
      <c r="D1712" s="9"/>
      <c r="E1712" s="9"/>
      <c r="F1712" s="9"/>
      <c r="G1712" s="9"/>
      <c r="H1712" s="9"/>
      <c r="I1712" s="9"/>
      <c r="J1712" s="10" t="str">
        <f aca="false">IF(A1712="","",IF(G1712&lt;&gt;"",G1712,IF(N(F1712)&gt;0,ROUND(1000/F1712,3),0)))</f>
        <v/>
      </c>
      <c r="K1712" s="10" t="str">
        <f aca="false">IF(OR(A1712="",E1712="",H1712=""),"",ROUND(0.00617*E1712^2*H1712*J1712,2))</f>
        <v/>
      </c>
      <c r="L1712" s="9"/>
      <c r="M1712" s="10" t="str">
        <f aca="false">IF(A1712="","",IF((COUNTIF(Drain_Register!$A$5:$A$304,A1712)+COUNTIF(RW_Register!$A$5:$A$304,A1712)+COUNTIF(Embedded_Wall_Register!$A$5:$A$304,A1712)+COUNTIF(Manhole_Register!$A$5:$A$304,A1712)+COUNTIF(ERSS_Pit_Register!$A$5:$A$304,A1712)+COUNTIF(Linkway_Register!$A$5:$A$304,A1712)+COUNTIF(Other_Register!$A$5:$A$304,A1712))&gt;0,"OK","ID not in any register"))</f>
        <v/>
      </c>
    </row>
    <row r="1713" customFormat="false" ht="15" hidden="false" customHeight="false" outlineLevel="0" collapsed="false">
      <c r="A1713" s="9"/>
      <c r="B1713" s="9"/>
      <c r="C1713" s="9"/>
      <c r="D1713" s="9"/>
      <c r="E1713" s="9"/>
      <c r="F1713" s="9"/>
      <c r="G1713" s="9"/>
      <c r="H1713" s="9"/>
      <c r="I1713" s="9"/>
      <c r="J1713" s="10" t="str">
        <f aca="false">IF(A1713="","",IF(G1713&lt;&gt;"",G1713,IF(N(F1713)&gt;0,ROUND(1000/F1713,3),0)))</f>
        <v/>
      </c>
      <c r="K1713" s="10" t="str">
        <f aca="false">IF(OR(A1713="",E1713="",H1713=""),"",ROUND(0.00617*E1713^2*H1713*J1713,2))</f>
        <v/>
      </c>
      <c r="L1713" s="9"/>
      <c r="M1713" s="10" t="str">
        <f aca="false">IF(A1713="","",IF((COUNTIF(Drain_Register!$A$5:$A$304,A1713)+COUNTIF(RW_Register!$A$5:$A$304,A1713)+COUNTIF(Embedded_Wall_Register!$A$5:$A$304,A1713)+COUNTIF(Manhole_Register!$A$5:$A$304,A1713)+COUNTIF(ERSS_Pit_Register!$A$5:$A$304,A1713)+COUNTIF(Linkway_Register!$A$5:$A$304,A1713)+COUNTIF(Other_Register!$A$5:$A$304,A1713))&gt;0,"OK","ID not in any register"))</f>
        <v/>
      </c>
    </row>
    <row r="1714" customFormat="false" ht="15" hidden="false" customHeight="false" outlineLevel="0" collapsed="false">
      <c r="A1714" s="9"/>
      <c r="B1714" s="9"/>
      <c r="C1714" s="9"/>
      <c r="D1714" s="9"/>
      <c r="E1714" s="9"/>
      <c r="F1714" s="9"/>
      <c r="G1714" s="9"/>
      <c r="H1714" s="9"/>
      <c r="I1714" s="9"/>
      <c r="J1714" s="10" t="str">
        <f aca="false">IF(A1714="","",IF(G1714&lt;&gt;"",G1714,IF(N(F1714)&gt;0,ROUND(1000/F1714,3),0)))</f>
        <v/>
      </c>
      <c r="K1714" s="10" t="str">
        <f aca="false">IF(OR(A1714="",E1714="",H1714=""),"",ROUND(0.00617*E1714^2*H1714*J1714,2))</f>
        <v/>
      </c>
      <c r="L1714" s="9"/>
      <c r="M1714" s="10" t="str">
        <f aca="false">IF(A1714="","",IF((COUNTIF(Drain_Register!$A$5:$A$304,A1714)+COUNTIF(RW_Register!$A$5:$A$304,A1714)+COUNTIF(Embedded_Wall_Register!$A$5:$A$304,A1714)+COUNTIF(Manhole_Register!$A$5:$A$304,A1714)+COUNTIF(ERSS_Pit_Register!$A$5:$A$304,A1714)+COUNTIF(Linkway_Register!$A$5:$A$304,A1714)+COUNTIF(Other_Register!$A$5:$A$304,A1714))&gt;0,"OK","ID not in any register"))</f>
        <v/>
      </c>
    </row>
    <row r="1715" customFormat="false" ht="15" hidden="false" customHeight="false" outlineLevel="0" collapsed="false">
      <c r="A1715" s="9"/>
      <c r="B1715" s="9"/>
      <c r="C1715" s="9"/>
      <c r="D1715" s="9"/>
      <c r="E1715" s="9"/>
      <c r="F1715" s="9"/>
      <c r="G1715" s="9"/>
      <c r="H1715" s="9"/>
      <c r="I1715" s="9"/>
      <c r="J1715" s="10" t="str">
        <f aca="false">IF(A1715="","",IF(G1715&lt;&gt;"",G1715,IF(N(F1715)&gt;0,ROUND(1000/F1715,3),0)))</f>
        <v/>
      </c>
      <c r="K1715" s="10" t="str">
        <f aca="false">IF(OR(A1715="",E1715="",H1715=""),"",ROUND(0.00617*E1715^2*H1715*J1715,2))</f>
        <v/>
      </c>
      <c r="L1715" s="9"/>
      <c r="M1715" s="10" t="str">
        <f aca="false">IF(A1715="","",IF((COUNTIF(Drain_Register!$A$5:$A$304,A1715)+COUNTIF(RW_Register!$A$5:$A$304,A1715)+COUNTIF(Embedded_Wall_Register!$A$5:$A$304,A1715)+COUNTIF(Manhole_Register!$A$5:$A$304,A1715)+COUNTIF(ERSS_Pit_Register!$A$5:$A$304,A1715)+COUNTIF(Linkway_Register!$A$5:$A$304,A1715)+COUNTIF(Other_Register!$A$5:$A$304,A1715))&gt;0,"OK","ID not in any register"))</f>
        <v/>
      </c>
    </row>
    <row r="1716" customFormat="false" ht="15" hidden="false" customHeight="false" outlineLevel="0" collapsed="false">
      <c r="A1716" s="9"/>
      <c r="B1716" s="9"/>
      <c r="C1716" s="9"/>
      <c r="D1716" s="9"/>
      <c r="E1716" s="9"/>
      <c r="F1716" s="9"/>
      <c r="G1716" s="9"/>
      <c r="H1716" s="9"/>
      <c r="I1716" s="9"/>
      <c r="J1716" s="10" t="str">
        <f aca="false">IF(A1716="","",IF(G1716&lt;&gt;"",G1716,IF(N(F1716)&gt;0,ROUND(1000/F1716,3),0)))</f>
        <v/>
      </c>
      <c r="K1716" s="10" t="str">
        <f aca="false">IF(OR(A1716="",E1716="",H1716=""),"",ROUND(0.00617*E1716^2*H1716*J1716,2))</f>
        <v/>
      </c>
      <c r="L1716" s="9"/>
      <c r="M1716" s="10" t="str">
        <f aca="false">IF(A1716="","",IF((COUNTIF(Drain_Register!$A$5:$A$304,A1716)+COUNTIF(RW_Register!$A$5:$A$304,A1716)+COUNTIF(Embedded_Wall_Register!$A$5:$A$304,A1716)+COUNTIF(Manhole_Register!$A$5:$A$304,A1716)+COUNTIF(ERSS_Pit_Register!$A$5:$A$304,A1716)+COUNTIF(Linkway_Register!$A$5:$A$304,A1716)+COUNTIF(Other_Register!$A$5:$A$304,A1716))&gt;0,"OK","ID not in any register"))</f>
        <v/>
      </c>
    </row>
    <row r="1717" customFormat="false" ht="15" hidden="false" customHeight="false" outlineLevel="0" collapsed="false">
      <c r="A1717" s="9"/>
      <c r="B1717" s="9"/>
      <c r="C1717" s="9"/>
      <c r="D1717" s="9"/>
      <c r="E1717" s="9"/>
      <c r="F1717" s="9"/>
      <c r="G1717" s="9"/>
      <c r="H1717" s="9"/>
      <c r="I1717" s="9"/>
      <c r="J1717" s="10" t="str">
        <f aca="false">IF(A1717="","",IF(G1717&lt;&gt;"",G1717,IF(N(F1717)&gt;0,ROUND(1000/F1717,3),0)))</f>
        <v/>
      </c>
      <c r="K1717" s="10" t="str">
        <f aca="false">IF(OR(A1717="",E1717="",H1717=""),"",ROUND(0.00617*E1717^2*H1717*J1717,2))</f>
        <v/>
      </c>
      <c r="L1717" s="9"/>
      <c r="M1717" s="10" t="str">
        <f aca="false">IF(A1717="","",IF((COUNTIF(Drain_Register!$A$5:$A$304,A1717)+COUNTIF(RW_Register!$A$5:$A$304,A1717)+COUNTIF(Embedded_Wall_Register!$A$5:$A$304,A1717)+COUNTIF(Manhole_Register!$A$5:$A$304,A1717)+COUNTIF(ERSS_Pit_Register!$A$5:$A$304,A1717)+COUNTIF(Linkway_Register!$A$5:$A$304,A1717)+COUNTIF(Other_Register!$A$5:$A$304,A1717))&gt;0,"OK","ID not in any register"))</f>
        <v/>
      </c>
    </row>
    <row r="1718" customFormat="false" ht="15" hidden="false" customHeight="false" outlineLevel="0" collapsed="false">
      <c r="A1718" s="9"/>
      <c r="B1718" s="9"/>
      <c r="C1718" s="9"/>
      <c r="D1718" s="9"/>
      <c r="E1718" s="9"/>
      <c r="F1718" s="9"/>
      <c r="G1718" s="9"/>
      <c r="H1718" s="9"/>
      <c r="I1718" s="9"/>
      <c r="J1718" s="10" t="str">
        <f aca="false">IF(A1718="","",IF(G1718&lt;&gt;"",G1718,IF(N(F1718)&gt;0,ROUND(1000/F1718,3),0)))</f>
        <v/>
      </c>
      <c r="K1718" s="10" t="str">
        <f aca="false">IF(OR(A1718="",E1718="",H1718=""),"",ROUND(0.00617*E1718^2*H1718*J1718,2))</f>
        <v/>
      </c>
      <c r="L1718" s="9"/>
      <c r="M1718" s="10" t="str">
        <f aca="false">IF(A1718="","",IF((COUNTIF(Drain_Register!$A$5:$A$304,A1718)+COUNTIF(RW_Register!$A$5:$A$304,A1718)+COUNTIF(Embedded_Wall_Register!$A$5:$A$304,A1718)+COUNTIF(Manhole_Register!$A$5:$A$304,A1718)+COUNTIF(ERSS_Pit_Register!$A$5:$A$304,A1718)+COUNTIF(Linkway_Register!$A$5:$A$304,A1718)+COUNTIF(Other_Register!$A$5:$A$304,A1718))&gt;0,"OK","ID not in any register"))</f>
        <v/>
      </c>
    </row>
    <row r="1719" customFormat="false" ht="15" hidden="false" customHeight="false" outlineLevel="0" collapsed="false">
      <c r="A1719" s="9"/>
      <c r="B1719" s="9"/>
      <c r="C1719" s="9"/>
      <c r="D1719" s="9"/>
      <c r="E1719" s="9"/>
      <c r="F1719" s="9"/>
      <c r="G1719" s="9"/>
      <c r="H1719" s="9"/>
      <c r="I1719" s="9"/>
      <c r="J1719" s="10" t="str">
        <f aca="false">IF(A1719="","",IF(G1719&lt;&gt;"",G1719,IF(N(F1719)&gt;0,ROUND(1000/F1719,3),0)))</f>
        <v/>
      </c>
      <c r="K1719" s="10" t="str">
        <f aca="false">IF(OR(A1719="",E1719="",H1719=""),"",ROUND(0.00617*E1719^2*H1719*J1719,2))</f>
        <v/>
      </c>
      <c r="L1719" s="9"/>
      <c r="M1719" s="10" t="str">
        <f aca="false">IF(A1719="","",IF((COUNTIF(Drain_Register!$A$5:$A$304,A1719)+COUNTIF(RW_Register!$A$5:$A$304,A1719)+COUNTIF(Embedded_Wall_Register!$A$5:$A$304,A1719)+COUNTIF(Manhole_Register!$A$5:$A$304,A1719)+COUNTIF(ERSS_Pit_Register!$A$5:$A$304,A1719)+COUNTIF(Linkway_Register!$A$5:$A$304,A1719)+COUNTIF(Other_Register!$A$5:$A$304,A1719))&gt;0,"OK","ID not in any register"))</f>
        <v/>
      </c>
    </row>
    <row r="1720" customFormat="false" ht="15" hidden="false" customHeight="false" outlineLevel="0" collapsed="false">
      <c r="A1720" s="9"/>
      <c r="B1720" s="9"/>
      <c r="C1720" s="9"/>
      <c r="D1720" s="9"/>
      <c r="E1720" s="9"/>
      <c r="F1720" s="9"/>
      <c r="G1720" s="9"/>
      <c r="H1720" s="9"/>
      <c r="I1720" s="9"/>
      <c r="J1720" s="10" t="str">
        <f aca="false">IF(A1720="","",IF(G1720&lt;&gt;"",G1720,IF(N(F1720)&gt;0,ROUND(1000/F1720,3),0)))</f>
        <v/>
      </c>
      <c r="K1720" s="10" t="str">
        <f aca="false">IF(OR(A1720="",E1720="",H1720=""),"",ROUND(0.00617*E1720^2*H1720*J1720,2))</f>
        <v/>
      </c>
      <c r="L1720" s="9"/>
      <c r="M1720" s="10" t="str">
        <f aca="false">IF(A1720="","",IF((COUNTIF(Drain_Register!$A$5:$A$304,A1720)+COUNTIF(RW_Register!$A$5:$A$304,A1720)+COUNTIF(Embedded_Wall_Register!$A$5:$A$304,A1720)+COUNTIF(Manhole_Register!$A$5:$A$304,A1720)+COUNTIF(ERSS_Pit_Register!$A$5:$A$304,A1720)+COUNTIF(Linkway_Register!$A$5:$A$304,A1720)+COUNTIF(Other_Register!$A$5:$A$304,A1720))&gt;0,"OK","ID not in any register"))</f>
        <v/>
      </c>
    </row>
    <row r="1721" customFormat="false" ht="15" hidden="false" customHeight="false" outlineLevel="0" collapsed="false">
      <c r="A1721" s="9"/>
      <c r="B1721" s="9"/>
      <c r="C1721" s="9"/>
      <c r="D1721" s="9"/>
      <c r="E1721" s="9"/>
      <c r="F1721" s="9"/>
      <c r="G1721" s="9"/>
      <c r="H1721" s="9"/>
      <c r="I1721" s="9"/>
      <c r="J1721" s="10" t="str">
        <f aca="false">IF(A1721="","",IF(G1721&lt;&gt;"",G1721,IF(N(F1721)&gt;0,ROUND(1000/F1721,3),0)))</f>
        <v/>
      </c>
      <c r="K1721" s="10" t="str">
        <f aca="false">IF(OR(A1721="",E1721="",H1721=""),"",ROUND(0.00617*E1721^2*H1721*J1721,2))</f>
        <v/>
      </c>
      <c r="L1721" s="9"/>
      <c r="M1721" s="10" t="str">
        <f aca="false">IF(A1721="","",IF((COUNTIF(Drain_Register!$A$5:$A$304,A1721)+COUNTIF(RW_Register!$A$5:$A$304,A1721)+COUNTIF(Embedded_Wall_Register!$A$5:$A$304,A1721)+COUNTIF(Manhole_Register!$A$5:$A$304,A1721)+COUNTIF(ERSS_Pit_Register!$A$5:$A$304,A1721)+COUNTIF(Linkway_Register!$A$5:$A$304,A1721)+COUNTIF(Other_Register!$A$5:$A$304,A1721))&gt;0,"OK","ID not in any register"))</f>
        <v/>
      </c>
    </row>
    <row r="1722" customFormat="false" ht="15" hidden="false" customHeight="false" outlineLevel="0" collapsed="false">
      <c r="A1722" s="9"/>
      <c r="B1722" s="9"/>
      <c r="C1722" s="9"/>
      <c r="D1722" s="9"/>
      <c r="E1722" s="9"/>
      <c r="F1722" s="9"/>
      <c r="G1722" s="9"/>
      <c r="H1722" s="9"/>
      <c r="I1722" s="9"/>
      <c r="J1722" s="10" t="str">
        <f aca="false">IF(A1722="","",IF(G1722&lt;&gt;"",G1722,IF(N(F1722)&gt;0,ROUND(1000/F1722,3),0)))</f>
        <v/>
      </c>
      <c r="K1722" s="10" t="str">
        <f aca="false">IF(OR(A1722="",E1722="",H1722=""),"",ROUND(0.00617*E1722^2*H1722*J1722,2))</f>
        <v/>
      </c>
      <c r="L1722" s="9"/>
      <c r="M1722" s="10" t="str">
        <f aca="false">IF(A1722="","",IF((COUNTIF(Drain_Register!$A$5:$A$304,A1722)+COUNTIF(RW_Register!$A$5:$A$304,A1722)+COUNTIF(Embedded_Wall_Register!$A$5:$A$304,A1722)+COUNTIF(Manhole_Register!$A$5:$A$304,A1722)+COUNTIF(ERSS_Pit_Register!$A$5:$A$304,A1722)+COUNTIF(Linkway_Register!$A$5:$A$304,A1722)+COUNTIF(Other_Register!$A$5:$A$304,A1722))&gt;0,"OK","ID not in any register"))</f>
        <v/>
      </c>
    </row>
    <row r="1723" customFormat="false" ht="15" hidden="false" customHeight="false" outlineLevel="0" collapsed="false">
      <c r="A1723" s="9"/>
      <c r="B1723" s="9"/>
      <c r="C1723" s="9"/>
      <c r="D1723" s="9"/>
      <c r="E1723" s="9"/>
      <c r="F1723" s="9"/>
      <c r="G1723" s="9"/>
      <c r="H1723" s="9"/>
      <c r="I1723" s="9"/>
      <c r="J1723" s="10" t="str">
        <f aca="false">IF(A1723="","",IF(G1723&lt;&gt;"",G1723,IF(N(F1723)&gt;0,ROUND(1000/F1723,3),0)))</f>
        <v/>
      </c>
      <c r="K1723" s="10" t="str">
        <f aca="false">IF(OR(A1723="",E1723="",H1723=""),"",ROUND(0.00617*E1723^2*H1723*J1723,2))</f>
        <v/>
      </c>
      <c r="L1723" s="9"/>
      <c r="M1723" s="10" t="str">
        <f aca="false">IF(A1723="","",IF((COUNTIF(Drain_Register!$A$5:$A$304,A1723)+COUNTIF(RW_Register!$A$5:$A$304,A1723)+COUNTIF(Embedded_Wall_Register!$A$5:$A$304,A1723)+COUNTIF(Manhole_Register!$A$5:$A$304,A1723)+COUNTIF(ERSS_Pit_Register!$A$5:$A$304,A1723)+COUNTIF(Linkway_Register!$A$5:$A$304,A1723)+COUNTIF(Other_Register!$A$5:$A$304,A1723))&gt;0,"OK","ID not in any register"))</f>
        <v/>
      </c>
    </row>
    <row r="1724" customFormat="false" ht="15" hidden="false" customHeight="false" outlineLevel="0" collapsed="false">
      <c r="A1724" s="9"/>
      <c r="B1724" s="9"/>
      <c r="C1724" s="9"/>
      <c r="D1724" s="9"/>
      <c r="E1724" s="9"/>
      <c r="F1724" s="9"/>
      <c r="G1724" s="9"/>
      <c r="H1724" s="9"/>
      <c r="I1724" s="9"/>
      <c r="J1724" s="10" t="str">
        <f aca="false">IF(A1724="","",IF(G1724&lt;&gt;"",G1724,IF(N(F1724)&gt;0,ROUND(1000/F1724,3),0)))</f>
        <v/>
      </c>
      <c r="K1724" s="10" t="str">
        <f aca="false">IF(OR(A1724="",E1724="",H1724=""),"",ROUND(0.00617*E1724^2*H1724*J1724,2))</f>
        <v/>
      </c>
      <c r="L1724" s="9"/>
      <c r="M1724" s="10" t="str">
        <f aca="false">IF(A1724="","",IF((COUNTIF(Drain_Register!$A$5:$A$304,A1724)+COUNTIF(RW_Register!$A$5:$A$304,A1724)+COUNTIF(Embedded_Wall_Register!$A$5:$A$304,A1724)+COUNTIF(Manhole_Register!$A$5:$A$304,A1724)+COUNTIF(ERSS_Pit_Register!$A$5:$A$304,A1724)+COUNTIF(Linkway_Register!$A$5:$A$304,A1724)+COUNTIF(Other_Register!$A$5:$A$304,A1724))&gt;0,"OK","ID not in any register"))</f>
        <v/>
      </c>
    </row>
    <row r="1725" customFormat="false" ht="15" hidden="false" customHeight="false" outlineLevel="0" collapsed="false">
      <c r="A1725" s="9"/>
      <c r="B1725" s="9"/>
      <c r="C1725" s="9"/>
      <c r="D1725" s="9"/>
      <c r="E1725" s="9"/>
      <c r="F1725" s="9"/>
      <c r="G1725" s="9"/>
      <c r="H1725" s="9"/>
      <c r="I1725" s="9"/>
      <c r="J1725" s="10" t="str">
        <f aca="false">IF(A1725="","",IF(G1725&lt;&gt;"",G1725,IF(N(F1725)&gt;0,ROUND(1000/F1725,3),0)))</f>
        <v/>
      </c>
      <c r="K1725" s="10" t="str">
        <f aca="false">IF(OR(A1725="",E1725="",H1725=""),"",ROUND(0.00617*E1725^2*H1725*J1725,2))</f>
        <v/>
      </c>
      <c r="L1725" s="9"/>
      <c r="M1725" s="10" t="str">
        <f aca="false">IF(A1725="","",IF((COUNTIF(Drain_Register!$A$5:$A$304,A1725)+COUNTIF(RW_Register!$A$5:$A$304,A1725)+COUNTIF(Embedded_Wall_Register!$A$5:$A$304,A1725)+COUNTIF(Manhole_Register!$A$5:$A$304,A1725)+COUNTIF(ERSS_Pit_Register!$A$5:$A$304,A1725)+COUNTIF(Linkway_Register!$A$5:$A$304,A1725)+COUNTIF(Other_Register!$A$5:$A$304,A1725))&gt;0,"OK","ID not in any register"))</f>
        <v/>
      </c>
    </row>
    <row r="1726" customFormat="false" ht="15" hidden="false" customHeight="false" outlineLevel="0" collapsed="false">
      <c r="A1726" s="9"/>
      <c r="B1726" s="9"/>
      <c r="C1726" s="9"/>
      <c r="D1726" s="9"/>
      <c r="E1726" s="9"/>
      <c r="F1726" s="9"/>
      <c r="G1726" s="9"/>
      <c r="H1726" s="9"/>
      <c r="I1726" s="9"/>
      <c r="J1726" s="10" t="str">
        <f aca="false">IF(A1726="","",IF(G1726&lt;&gt;"",G1726,IF(N(F1726)&gt;0,ROUND(1000/F1726,3),0)))</f>
        <v/>
      </c>
      <c r="K1726" s="10" t="str">
        <f aca="false">IF(OR(A1726="",E1726="",H1726=""),"",ROUND(0.00617*E1726^2*H1726*J1726,2))</f>
        <v/>
      </c>
      <c r="L1726" s="9"/>
      <c r="M1726" s="10" t="str">
        <f aca="false">IF(A1726="","",IF((COUNTIF(Drain_Register!$A$5:$A$304,A1726)+COUNTIF(RW_Register!$A$5:$A$304,A1726)+COUNTIF(Embedded_Wall_Register!$A$5:$A$304,A1726)+COUNTIF(Manhole_Register!$A$5:$A$304,A1726)+COUNTIF(ERSS_Pit_Register!$A$5:$A$304,A1726)+COUNTIF(Linkway_Register!$A$5:$A$304,A1726)+COUNTIF(Other_Register!$A$5:$A$304,A1726))&gt;0,"OK","ID not in any register"))</f>
        <v/>
      </c>
    </row>
    <row r="1727" customFormat="false" ht="15" hidden="false" customHeight="false" outlineLevel="0" collapsed="false">
      <c r="A1727" s="9"/>
      <c r="B1727" s="9"/>
      <c r="C1727" s="9"/>
      <c r="D1727" s="9"/>
      <c r="E1727" s="9"/>
      <c r="F1727" s="9"/>
      <c r="G1727" s="9"/>
      <c r="H1727" s="9"/>
      <c r="I1727" s="9"/>
      <c r="J1727" s="10" t="str">
        <f aca="false">IF(A1727="","",IF(G1727&lt;&gt;"",G1727,IF(N(F1727)&gt;0,ROUND(1000/F1727,3),0)))</f>
        <v/>
      </c>
      <c r="K1727" s="10" t="str">
        <f aca="false">IF(OR(A1727="",E1727="",H1727=""),"",ROUND(0.00617*E1727^2*H1727*J1727,2))</f>
        <v/>
      </c>
      <c r="L1727" s="9"/>
      <c r="M1727" s="10" t="str">
        <f aca="false">IF(A1727="","",IF((COUNTIF(Drain_Register!$A$5:$A$304,A1727)+COUNTIF(RW_Register!$A$5:$A$304,A1727)+COUNTIF(Embedded_Wall_Register!$A$5:$A$304,A1727)+COUNTIF(Manhole_Register!$A$5:$A$304,A1727)+COUNTIF(ERSS_Pit_Register!$A$5:$A$304,A1727)+COUNTIF(Linkway_Register!$A$5:$A$304,A1727)+COUNTIF(Other_Register!$A$5:$A$304,A1727))&gt;0,"OK","ID not in any register"))</f>
        <v/>
      </c>
    </row>
    <row r="1728" customFormat="false" ht="15" hidden="false" customHeight="false" outlineLevel="0" collapsed="false">
      <c r="A1728" s="9"/>
      <c r="B1728" s="9"/>
      <c r="C1728" s="9"/>
      <c r="D1728" s="9"/>
      <c r="E1728" s="9"/>
      <c r="F1728" s="9"/>
      <c r="G1728" s="9"/>
      <c r="H1728" s="9"/>
      <c r="I1728" s="9"/>
      <c r="J1728" s="10" t="str">
        <f aca="false">IF(A1728="","",IF(G1728&lt;&gt;"",G1728,IF(N(F1728)&gt;0,ROUND(1000/F1728,3),0)))</f>
        <v/>
      </c>
      <c r="K1728" s="10" t="str">
        <f aca="false">IF(OR(A1728="",E1728="",H1728=""),"",ROUND(0.00617*E1728^2*H1728*J1728,2))</f>
        <v/>
      </c>
      <c r="L1728" s="9"/>
      <c r="M1728" s="10" t="str">
        <f aca="false">IF(A1728="","",IF((COUNTIF(Drain_Register!$A$5:$A$304,A1728)+COUNTIF(RW_Register!$A$5:$A$304,A1728)+COUNTIF(Embedded_Wall_Register!$A$5:$A$304,A1728)+COUNTIF(Manhole_Register!$A$5:$A$304,A1728)+COUNTIF(ERSS_Pit_Register!$A$5:$A$304,A1728)+COUNTIF(Linkway_Register!$A$5:$A$304,A1728)+COUNTIF(Other_Register!$A$5:$A$304,A1728))&gt;0,"OK","ID not in any register"))</f>
        <v/>
      </c>
    </row>
    <row r="1729" customFormat="false" ht="15" hidden="false" customHeight="false" outlineLevel="0" collapsed="false">
      <c r="A1729" s="9"/>
      <c r="B1729" s="9"/>
      <c r="C1729" s="9"/>
      <c r="D1729" s="9"/>
      <c r="E1729" s="9"/>
      <c r="F1729" s="9"/>
      <c r="G1729" s="9"/>
      <c r="H1729" s="9"/>
      <c r="I1729" s="9"/>
      <c r="J1729" s="10" t="str">
        <f aca="false">IF(A1729="","",IF(G1729&lt;&gt;"",G1729,IF(N(F1729)&gt;0,ROUND(1000/F1729,3),0)))</f>
        <v/>
      </c>
      <c r="K1729" s="10" t="str">
        <f aca="false">IF(OR(A1729="",E1729="",H1729=""),"",ROUND(0.00617*E1729^2*H1729*J1729,2))</f>
        <v/>
      </c>
      <c r="L1729" s="9"/>
      <c r="M1729" s="10" t="str">
        <f aca="false">IF(A1729="","",IF((COUNTIF(Drain_Register!$A$5:$A$304,A1729)+COUNTIF(RW_Register!$A$5:$A$304,A1729)+COUNTIF(Embedded_Wall_Register!$A$5:$A$304,A1729)+COUNTIF(Manhole_Register!$A$5:$A$304,A1729)+COUNTIF(ERSS_Pit_Register!$A$5:$A$304,A1729)+COUNTIF(Linkway_Register!$A$5:$A$304,A1729)+COUNTIF(Other_Register!$A$5:$A$304,A1729))&gt;0,"OK","ID not in any register"))</f>
        <v/>
      </c>
    </row>
    <row r="1730" customFormat="false" ht="15" hidden="false" customHeight="false" outlineLevel="0" collapsed="false">
      <c r="A1730" s="9"/>
      <c r="B1730" s="9"/>
      <c r="C1730" s="9"/>
      <c r="D1730" s="9"/>
      <c r="E1730" s="9"/>
      <c r="F1730" s="9"/>
      <c r="G1730" s="9"/>
      <c r="H1730" s="9"/>
      <c r="I1730" s="9"/>
      <c r="J1730" s="10" t="str">
        <f aca="false">IF(A1730="","",IF(G1730&lt;&gt;"",G1730,IF(N(F1730)&gt;0,ROUND(1000/F1730,3),0)))</f>
        <v/>
      </c>
      <c r="K1730" s="10" t="str">
        <f aca="false">IF(OR(A1730="",E1730="",H1730=""),"",ROUND(0.00617*E1730^2*H1730*J1730,2))</f>
        <v/>
      </c>
      <c r="L1730" s="9"/>
      <c r="M1730" s="10" t="str">
        <f aca="false">IF(A1730="","",IF((COUNTIF(Drain_Register!$A$5:$A$304,A1730)+COUNTIF(RW_Register!$A$5:$A$304,A1730)+COUNTIF(Embedded_Wall_Register!$A$5:$A$304,A1730)+COUNTIF(Manhole_Register!$A$5:$A$304,A1730)+COUNTIF(ERSS_Pit_Register!$A$5:$A$304,A1730)+COUNTIF(Linkway_Register!$A$5:$A$304,A1730)+COUNTIF(Other_Register!$A$5:$A$304,A1730))&gt;0,"OK","ID not in any register"))</f>
        <v/>
      </c>
    </row>
    <row r="1731" customFormat="false" ht="15" hidden="false" customHeight="false" outlineLevel="0" collapsed="false">
      <c r="A1731" s="9"/>
      <c r="B1731" s="9"/>
      <c r="C1731" s="9"/>
      <c r="D1731" s="9"/>
      <c r="E1731" s="9"/>
      <c r="F1731" s="9"/>
      <c r="G1731" s="9"/>
      <c r="H1731" s="9"/>
      <c r="I1731" s="9"/>
      <c r="J1731" s="10" t="str">
        <f aca="false">IF(A1731="","",IF(G1731&lt;&gt;"",G1731,IF(N(F1731)&gt;0,ROUND(1000/F1731,3),0)))</f>
        <v/>
      </c>
      <c r="K1731" s="10" t="str">
        <f aca="false">IF(OR(A1731="",E1731="",H1731=""),"",ROUND(0.00617*E1731^2*H1731*J1731,2))</f>
        <v/>
      </c>
      <c r="L1731" s="9"/>
      <c r="M1731" s="10" t="str">
        <f aca="false">IF(A1731="","",IF((COUNTIF(Drain_Register!$A$5:$A$304,A1731)+COUNTIF(RW_Register!$A$5:$A$304,A1731)+COUNTIF(Embedded_Wall_Register!$A$5:$A$304,A1731)+COUNTIF(Manhole_Register!$A$5:$A$304,A1731)+COUNTIF(ERSS_Pit_Register!$A$5:$A$304,A1731)+COUNTIF(Linkway_Register!$A$5:$A$304,A1731)+COUNTIF(Other_Register!$A$5:$A$304,A1731))&gt;0,"OK","ID not in any register"))</f>
        <v/>
      </c>
    </row>
    <row r="1732" customFormat="false" ht="15" hidden="false" customHeight="false" outlineLevel="0" collapsed="false">
      <c r="A1732" s="9"/>
      <c r="B1732" s="9"/>
      <c r="C1732" s="9"/>
      <c r="D1732" s="9"/>
      <c r="E1732" s="9"/>
      <c r="F1732" s="9"/>
      <c r="G1732" s="9"/>
      <c r="H1732" s="9"/>
      <c r="I1732" s="9"/>
      <c r="J1732" s="10" t="str">
        <f aca="false">IF(A1732="","",IF(G1732&lt;&gt;"",G1732,IF(N(F1732)&gt;0,ROUND(1000/F1732,3),0)))</f>
        <v/>
      </c>
      <c r="K1732" s="10" t="str">
        <f aca="false">IF(OR(A1732="",E1732="",H1732=""),"",ROUND(0.00617*E1732^2*H1732*J1732,2))</f>
        <v/>
      </c>
      <c r="L1732" s="9"/>
      <c r="M1732" s="10" t="str">
        <f aca="false">IF(A1732="","",IF((COUNTIF(Drain_Register!$A$5:$A$304,A1732)+COUNTIF(RW_Register!$A$5:$A$304,A1732)+COUNTIF(Embedded_Wall_Register!$A$5:$A$304,A1732)+COUNTIF(Manhole_Register!$A$5:$A$304,A1732)+COUNTIF(ERSS_Pit_Register!$A$5:$A$304,A1732)+COUNTIF(Linkway_Register!$A$5:$A$304,A1732)+COUNTIF(Other_Register!$A$5:$A$304,A1732))&gt;0,"OK","ID not in any register"))</f>
        <v/>
      </c>
    </row>
    <row r="1733" customFormat="false" ht="15" hidden="false" customHeight="false" outlineLevel="0" collapsed="false">
      <c r="A1733" s="9"/>
      <c r="B1733" s="9"/>
      <c r="C1733" s="9"/>
      <c r="D1733" s="9"/>
      <c r="E1733" s="9"/>
      <c r="F1733" s="9"/>
      <c r="G1733" s="9"/>
      <c r="H1733" s="9"/>
      <c r="I1733" s="9"/>
      <c r="J1733" s="10" t="str">
        <f aca="false">IF(A1733="","",IF(G1733&lt;&gt;"",G1733,IF(N(F1733)&gt;0,ROUND(1000/F1733,3),0)))</f>
        <v/>
      </c>
      <c r="K1733" s="10" t="str">
        <f aca="false">IF(OR(A1733="",E1733="",H1733=""),"",ROUND(0.00617*E1733^2*H1733*J1733,2))</f>
        <v/>
      </c>
      <c r="L1733" s="9"/>
      <c r="M1733" s="10" t="str">
        <f aca="false">IF(A1733="","",IF((COUNTIF(Drain_Register!$A$5:$A$304,A1733)+COUNTIF(RW_Register!$A$5:$A$304,A1733)+COUNTIF(Embedded_Wall_Register!$A$5:$A$304,A1733)+COUNTIF(Manhole_Register!$A$5:$A$304,A1733)+COUNTIF(ERSS_Pit_Register!$A$5:$A$304,A1733)+COUNTIF(Linkway_Register!$A$5:$A$304,A1733)+COUNTIF(Other_Register!$A$5:$A$304,A1733))&gt;0,"OK","ID not in any register"))</f>
        <v/>
      </c>
    </row>
    <row r="1734" customFormat="false" ht="15" hidden="false" customHeight="false" outlineLevel="0" collapsed="false">
      <c r="A1734" s="9"/>
      <c r="B1734" s="9"/>
      <c r="C1734" s="9"/>
      <c r="D1734" s="9"/>
      <c r="E1734" s="9"/>
      <c r="F1734" s="9"/>
      <c r="G1734" s="9"/>
      <c r="H1734" s="9"/>
      <c r="I1734" s="9"/>
      <c r="J1734" s="10" t="str">
        <f aca="false">IF(A1734="","",IF(G1734&lt;&gt;"",G1734,IF(N(F1734)&gt;0,ROUND(1000/F1734,3),0)))</f>
        <v/>
      </c>
      <c r="K1734" s="10" t="str">
        <f aca="false">IF(OR(A1734="",E1734="",H1734=""),"",ROUND(0.00617*E1734^2*H1734*J1734,2))</f>
        <v/>
      </c>
      <c r="L1734" s="9"/>
      <c r="M1734" s="10" t="str">
        <f aca="false">IF(A1734="","",IF((COUNTIF(Drain_Register!$A$5:$A$304,A1734)+COUNTIF(RW_Register!$A$5:$A$304,A1734)+COUNTIF(Embedded_Wall_Register!$A$5:$A$304,A1734)+COUNTIF(Manhole_Register!$A$5:$A$304,A1734)+COUNTIF(ERSS_Pit_Register!$A$5:$A$304,A1734)+COUNTIF(Linkway_Register!$A$5:$A$304,A1734)+COUNTIF(Other_Register!$A$5:$A$304,A1734))&gt;0,"OK","ID not in any register"))</f>
        <v/>
      </c>
    </row>
    <row r="1735" customFormat="false" ht="15" hidden="false" customHeight="false" outlineLevel="0" collapsed="false">
      <c r="A1735" s="9"/>
      <c r="B1735" s="9"/>
      <c r="C1735" s="9"/>
      <c r="D1735" s="9"/>
      <c r="E1735" s="9"/>
      <c r="F1735" s="9"/>
      <c r="G1735" s="9"/>
      <c r="H1735" s="9"/>
      <c r="I1735" s="9"/>
      <c r="J1735" s="10" t="str">
        <f aca="false">IF(A1735="","",IF(G1735&lt;&gt;"",G1735,IF(N(F1735)&gt;0,ROUND(1000/F1735,3),0)))</f>
        <v/>
      </c>
      <c r="K1735" s="10" t="str">
        <f aca="false">IF(OR(A1735="",E1735="",H1735=""),"",ROUND(0.00617*E1735^2*H1735*J1735,2))</f>
        <v/>
      </c>
      <c r="L1735" s="9"/>
      <c r="M1735" s="10" t="str">
        <f aca="false">IF(A1735="","",IF((COUNTIF(Drain_Register!$A$5:$A$304,A1735)+COUNTIF(RW_Register!$A$5:$A$304,A1735)+COUNTIF(Embedded_Wall_Register!$A$5:$A$304,A1735)+COUNTIF(Manhole_Register!$A$5:$A$304,A1735)+COUNTIF(ERSS_Pit_Register!$A$5:$A$304,A1735)+COUNTIF(Linkway_Register!$A$5:$A$304,A1735)+COUNTIF(Other_Register!$A$5:$A$304,A1735))&gt;0,"OK","ID not in any register"))</f>
        <v/>
      </c>
    </row>
    <row r="1736" customFormat="false" ht="15" hidden="false" customHeight="false" outlineLevel="0" collapsed="false">
      <c r="A1736" s="9"/>
      <c r="B1736" s="9"/>
      <c r="C1736" s="9"/>
      <c r="D1736" s="9"/>
      <c r="E1736" s="9"/>
      <c r="F1736" s="9"/>
      <c r="G1736" s="9"/>
      <c r="H1736" s="9"/>
      <c r="I1736" s="9"/>
      <c r="J1736" s="10" t="str">
        <f aca="false">IF(A1736="","",IF(G1736&lt;&gt;"",G1736,IF(N(F1736)&gt;0,ROUND(1000/F1736,3),0)))</f>
        <v/>
      </c>
      <c r="K1736" s="10" t="str">
        <f aca="false">IF(OR(A1736="",E1736="",H1736=""),"",ROUND(0.00617*E1736^2*H1736*J1736,2))</f>
        <v/>
      </c>
      <c r="L1736" s="9"/>
      <c r="M1736" s="10" t="str">
        <f aca="false">IF(A1736="","",IF((COUNTIF(Drain_Register!$A$5:$A$304,A1736)+COUNTIF(RW_Register!$A$5:$A$304,A1736)+COUNTIF(Embedded_Wall_Register!$A$5:$A$304,A1736)+COUNTIF(Manhole_Register!$A$5:$A$304,A1736)+COUNTIF(ERSS_Pit_Register!$A$5:$A$304,A1736)+COUNTIF(Linkway_Register!$A$5:$A$304,A1736)+COUNTIF(Other_Register!$A$5:$A$304,A1736))&gt;0,"OK","ID not in any register"))</f>
        <v/>
      </c>
    </row>
    <row r="1737" customFormat="false" ht="15" hidden="false" customHeight="false" outlineLevel="0" collapsed="false">
      <c r="A1737" s="9"/>
      <c r="B1737" s="9"/>
      <c r="C1737" s="9"/>
      <c r="D1737" s="9"/>
      <c r="E1737" s="9"/>
      <c r="F1737" s="9"/>
      <c r="G1737" s="9"/>
      <c r="H1737" s="9"/>
      <c r="I1737" s="9"/>
      <c r="J1737" s="10" t="str">
        <f aca="false">IF(A1737="","",IF(G1737&lt;&gt;"",G1737,IF(N(F1737)&gt;0,ROUND(1000/F1737,3),0)))</f>
        <v/>
      </c>
      <c r="K1737" s="10" t="str">
        <f aca="false">IF(OR(A1737="",E1737="",H1737=""),"",ROUND(0.00617*E1737^2*H1737*J1737,2))</f>
        <v/>
      </c>
      <c r="L1737" s="9"/>
      <c r="M1737" s="10" t="str">
        <f aca="false">IF(A1737="","",IF((COUNTIF(Drain_Register!$A$5:$A$304,A1737)+COUNTIF(RW_Register!$A$5:$A$304,A1737)+COUNTIF(Embedded_Wall_Register!$A$5:$A$304,A1737)+COUNTIF(Manhole_Register!$A$5:$A$304,A1737)+COUNTIF(ERSS_Pit_Register!$A$5:$A$304,A1737)+COUNTIF(Linkway_Register!$A$5:$A$304,A1737)+COUNTIF(Other_Register!$A$5:$A$304,A1737))&gt;0,"OK","ID not in any register"))</f>
        <v/>
      </c>
    </row>
    <row r="1738" customFormat="false" ht="15" hidden="false" customHeight="false" outlineLevel="0" collapsed="false">
      <c r="A1738" s="9"/>
      <c r="B1738" s="9"/>
      <c r="C1738" s="9"/>
      <c r="D1738" s="9"/>
      <c r="E1738" s="9"/>
      <c r="F1738" s="9"/>
      <c r="G1738" s="9"/>
      <c r="H1738" s="9"/>
      <c r="I1738" s="9"/>
      <c r="J1738" s="10" t="str">
        <f aca="false">IF(A1738="","",IF(G1738&lt;&gt;"",G1738,IF(N(F1738)&gt;0,ROUND(1000/F1738,3),0)))</f>
        <v/>
      </c>
      <c r="K1738" s="10" t="str">
        <f aca="false">IF(OR(A1738="",E1738="",H1738=""),"",ROUND(0.00617*E1738^2*H1738*J1738,2))</f>
        <v/>
      </c>
      <c r="L1738" s="9"/>
      <c r="M1738" s="10" t="str">
        <f aca="false">IF(A1738="","",IF((COUNTIF(Drain_Register!$A$5:$A$304,A1738)+COUNTIF(RW_Register!$A$5:$A$304,A1738)+COUNTIF(Embedded_Wall_Register!$A$5:$A$304,A1738)+COUNTIF(Manhole_Register!$A$5:$A$304,A1738)+COUNTIF(ERSS_Pit_Register!$A$5:$A$304,A1738)+COUNTIF(Linkway_Register!$A$5:$A$304,A1738)+COUNTIF(Other_Register!$A$5:$A$304,A1738))&gt;0,"OK","ID not in any register"))</f>
        <v/>
      </c>
    </row>
    <row r="1739" customFormat="false" ht="15" hidden="false" customHeight="false" outlineLevel="0" collapsed="false">
      <c r="A1739" s="9"/>
      <c r="B1739" s="9"/>
      <c r="C1739" s="9"/>
      <c r="D1739" s="9"/>
      <c r="E1739" s="9"/>
      <c r="F1739" s="9"/>
      <c r="G1739" s="9"/>
      <c r="H1739" s="9"/>
      <c r="I1739" s="9"/>
      <c r="J1739" s="10" t="str">
        <f aca="false">IF(A1739="","",IF(G1739&lt;&gt;"",G1739,IF(N(F1739)&gt;0,ROUND(1000/F1739,3),0)))</f>
        <v/>
      </c>
      <c r="K1739" s="10" t="str">
        <f aca="false">IF(OR(A1739="",E1739="",H1739=""),"",ROUND(0.00617*E1739^2*H1739*J1739,2))</f>
        <v/>
      </c>
      <c r="L1739" s="9"/>
      <c r="M1739" s="10" t="str">
        <f aca="false">IF(A1739="","",IF((COUNTIF(Drain_Register!$A$5:$A$304,A1739)+COUNTIF(RW_Register!$A$5:$A$304,A1739)+COUNTIF(Embedded_Wall_Register!$A$5:$A$304,A1739)+COUNTIF(Manhole_Register!$A$5:$A$304,A1739)+COUNTIF(ERSS_Pit_Register!$A$5:$A$304,A1739)+COUNTIF(Linkway_Register!$A$5:$A$304,A1739)+COUNTIF(Other_Register!$A$5:$A$304,A1739))&gt;0,"OK","ID not in any register"))</f>
        <v/>
      </c>
    </row>
    <row r="1740" customFormat="false" ht="15" hidden="false" customHeight="false" outlineLevel="0" collapsed="false">
      <c r="A1740" s="9"/>
      <c r="B1740" s="9"/>
      <c r="C1740" s="9"/>
      <c r="D1740" s="9"/>
      <c r="E1740" s="9"/>
      <c r="F1740" s="9"/>
      <c r="G1740" s="9"/>
      <c r="H1740" s="9"/>
      <c r="I1740" s="9"/>
      <c r="J1740" s="10" t="str">
        <f aca="false">IF(A1740="","",IF(G1740&lt;&gt;"",G1740,IF(N(F1740)&gt;0,ROUND(1000/F1740,3),0)))</f>
        <v/>
      </c>
      <c r="K1740" s="10" t="str">
        <f aca="false">IF(OR(A1740="",E1740="",H1740=""),"",ROUND(0.00617*E1740^2*H1740*J1740,2))</f>
        <v/>
      </c>
      <c r="L1740" s="9"/>
      <c r="M1740" s="10" t="str">
        <f aca="false">IF(A1740="","",IF((COUNTIF(Drain_Register!$A$5:$A$304,A1740)+COUNTIF(RW_Register!$A$5:$A$304,A1740)+COUNTIF(Embedded_Wall_Register!$A$5:$A$304,A1740)+COUNTIF(Manhole_Register!$A$5:$A$304,A1740)+COUNTIF(ERSS_Pit_Register!$A$5:$A$304,A1740)+COUNTIF(Linkway_Register!$A$5:$A$304,A1740)+COUNTIF(Other_Register!$A$5:$A$304,A1740))&gt;0,"OK","ID not in any register"))</f>
        <v/>
      </c>
    </row>
    <row r="1741" customFormat="false" ht="15" hidden="false" customHeight="false" outlineLevel="0" collapsed="false">
      <c r="A1741" s="9"/>
      <c r="B1741" s="9"/>
      <c r="C1741" s="9"/>
      <c r="D1741" s="9"/>
      <c r="E1741" s="9"/>
      <c r="F1741" s="9"/>
      <c r="G1741" s="9"/>
      <c r="H1741" s="9"/>
      <c r="I1741" s="9"/>
      <c r="J1741" s="10" t="str">
        <f aca="false">IF(A1741="","",IF(G1741&lt;&gt;"",G1741,IF(N(F1741)&gt;0,ROUND(1000/F1741,3),0)))</f>
        <v/>
      </c>
      <c r="K1741" s="10" t="str">
        <f aca="false">IF(OR(A1741="",E1741="",H1741=""),"",ROUND(0.00617*E1741^2*H1741*J1741,2))</f>
        <v/>
      </c>
      <c r="L1741" s="9"/>
      <c r="M1741" s="10" t="str">
        <f aca="false">IF(A1741="","",IF((COUNTIF(Drain_Register!$A$5:$A$304,A1741)+COUNTIF(RW_Register!$A$5:$A$304,A1741)+COUNTIF(Embedded_Wall_Register!$A$5:$A$304,A1741)+COUNTIF(Manhole_Register!$A$5:$A$304,A1741)+COUNTIF(ERSS_Pit_Register!$A$5:$A$304,A1741)+COUNTIF(Linkway_Register!$A$5:$A$304,A1741)+COUNTIF(Other_Register!$A$5:$A$304,A1741))&gt;0,"OK","ID not in any register"))</f>
        <v/>
      </c>
    </row>
    <row r="1742" customFormat="false" ht="15" hidden="false" customHeight="false" outlineLevel="0" collapsed="false">
      <c r="A1742" s="9"/>
      <c r="B1742" s="9"/>
      <c r="C1742" s="9"/>
      <c r="D1742" s="9"/>
      <c r="E1742" s="9"/>
      <c r="F1742" s="9"/>
      <c r="G1742" s="9"/>
      <c r="H1742" s="9"/>
      <c r="I1742" s="9"/>
      <c r="J1742" s="10" t="str">
        <f aca="false">IF(A1742="","",IF(G1742&lt;&gt;"",G1742,IF(N(F1742)&gt;0,ROUND(1000/F1742,3),0)))</f>
        <v/>
      </c>
      <c r="K1742" s="10" t="str">
        <f aca="false">IF(OR(A1742="",E1742="",H1742=""),"",ROUND(0.00617*E1742^2*H1742*J1742,2))</f>
        <v/>
      </c>
      <c r="L1742" s="9"/>
      <c r="M1742" s="10" t="str">
        <f aca="false">IF(A1742="","",IF((COUNTIF(Drain_Register!$A$5:$A$304,A1742)+COUNTIF(RW_Register!$A$5:$A$304,A1742)+COUNTIF(Embedded_Wall_Register!$A$5:$A$304,A1742)+COUNTIF(Manhole_Register!$A$5:$A$304,A1742)+COUNTIF(ERSS_Pit_Register!$A$5:$A$304,A1742)+COUNTIF(Linkway_Register!$A$5:$A$304,A1742)+COUNTIF(Other_Register!$A$5:$A$304,A1742))&gt;0,"OK","ID not in any register"))</f>
        <v/>
      </c>
    </row>
    <row r="1743" customFormat="false" ht="15" hidden="false" customHeight="false" outlineLevel="0" collapsed="false">
      <c r="A1743" s="9"/>
      <c r="B1743" s="9"/>
      <c r="C1743" s="9"/>
      <c r="D1743" s="9"/>
      <c r="E1743" s="9"/>
      <c r="F1743" s="9"/>
      <c r="G1743" s="9"/>
      <c r="H1743" s="9"/>
      <c r="I1743" s="9"/>
      <c r="J1743" s="10" t="str">
        <f aca="false">IF(A1743="","",IF(G1743&lt;&gt;"",G1743,IF(N(F1743)&gt;0,ROUND(1000/F1743,3),0)))</f>
        <v/>
      </c>
      <c r="K1743" s="10" t="str">
        <f aca="false">IF(OR(A1743="",E1743="",H1743=""),"",ROUND(0.00617*E1743^2*H1743*J1743,2))</f>
        <v/>
      </c>
      <c r="L1743" s="9"/>
      <c r="M1743" s="10" t="str">
        <f aca="false">IF(A1743="","",IF((COUNTIF(Drain_Register!$A$5:$A$304,A1743)+COUNTIF(RW_Register!$A$5:$A$304,A1743)+COUNTIF(Embedded_Wall_Register!$A$5:$A$304,A1743)+COUNTIF(Manhole_Register!$A$5:$A$304,A1743)+COUNTIF(ERSS_Pit_Register!$A$5:$A$304,A1743)+COUNTIF(Linkway_Register!$A$5:$A$304,A1743)+COUNTIF(Other_Register!$A$5:$A$304,A1743))&gt;0,"OK","ID not in any register"))</f>
        <v/>
      </c>
    </row>
    <row r="1744" customFormat="false" ht="15" hidden="false" customHeight="false" outlineLevel="0" collapsed="false">
      <c r="A1744" s="9"/>
      <c r="B1744" s="9"/>
      <c r="C1744" s="9"/>
      <c r="D1744" s="9"/>
      <c r="E1744" s="9"/>
      <c r="F1744" s="9"/>
      <c r="G1744" s="9"/>
      <c r="H1744" s="9"/>
      <c r="I1744" s="9"/>
      <c r="J1744" s="10" t="str">
        <f aca="false">IF(A1744="","",IF(G1744&lt;&gt;"",G1744,IF(N(F1744)&gt;0,ROUND(1000/F1744,3),0)))</f>
        <v/>
      </c>
      <c r="K1744" s="10" t="str">
        <f aca="false">IF(OR(A1744="",E1744="",H1744=""),"",ROUND(0.00617*E1744^2*H1744*J1744,2))</f>
        <v/>
      </c>
      <c r="L1744" s="9"/>
      <c r="M1744" s="10" t="str">
        <f aca="false">IF(A1744="","",IF((COUNTIF(Drain_Register!$A$5:$A$304,A1744)+COUNTIF(RW_Register!$A$5:$A$304,A1744)+COUNTIF(Embedded_Wall_Register!$A$5:$A$304,A1744)+COUNTIF(Manhole_Register!$A$5:$A$304,A1744)+COUNTIF(ERSS_Pit_Register!$A$5:$A$304,A1744)+COUNTIF(Linkway_Register!$A$5:$A$304,A1744)+COUNTIF(Other_Register!$A$5:$A$304,A1744))&gt;0,"OK","ID not in any register"))</f>
        <v/>
      </c>
    </row>
    <row r="1745" customFormat="false" ht="15" hidden="false" customHeight="false" outlineLevel="0" collapsed="false">
      <c r="A1745" s="9"/>
      <c r="B1745" s="9"/>
      <c r="C1745" s="9"/>
      <c r="D1745" s="9"/>
      <c r="E1745" s="9"/>
      <c r="F1745" s="9"/>
      <c r="G1745" s="9"/>
      <c r="H1745" s="9"/>
      <c r="I1745" s="9"/>
      <c r="J1745" s="10" t="str">
        <f aca="false">IF(A1745="","",IF(G1745&lt;&gt;"",G1745,IF(N(F1745)&gt;0,ROUND(1000/F1745,3),0)))</f>
        <v/>
      </c>
      <c r="K1745" s="10" t="str">
        <f aca="false">IF(OR(A1745="",E1745="",H1745=""),"",ROUND(0.00617*E1745^2*H1745*J1745,2))</f>
        <v/>
      </c>
      <c r="L1745" s="9"/>
      <c r="M1745" s="10" t="str">
        <f aca="false">IF(A1745="","",IF((COUNTIF(Drain_Register!$A$5:$A$304,A1745)+COUNTIF(RW_Register!$A$5:$A$304,A1745)+COUNTIF(Embedded_Wall_Register!$A$5:$A$304,A1745)+COUNTIF(Manhole_Register!$A$5:$A$304,A1745)+COUNTIF(ERSS_Pit_Register!$A$5:$A$304,A1745)+COUNTIF(Linkway_Register!$A$5:$A$304,A1745)+COUNTIF(Other_Register!$A$5:$A$304,A1745))&gt;0,"OK","ID not in any register"))</f>
        <v/>
      </c>
    </row>
    <row r="1746" customFormat="false" ht="15" hidden="false" customHeight="false" outlineLevel="0" collapsed="false">
      <c r="A1746" s="9"/>
      <c r="B1746" s="9"/>
      <c r="C1746" s="9"/>
      <c r="D1746" s="9"/>
      <c r="E1746" s="9"/>
      <c r="F1746" s="9"/>
      <c r="G1746" s="9"/>
      <c r="H1746" s="9"/>
      <c r="I1746" s="9"/>
      <c r="J1746" s="10" t="str">
        <f aca="false">IF(A1746="","",IF(G1746&lt;&gt;"",G1746,IF(N(F1746)&gt;0,ROUND(1000/F1746,3),0)))</f>
        <v/>
      </c>
      <c r="K1746" s="10" t="str">
        <f aca="false">IF(OR(A1746="",E1746="",H1746=""),"",ROUND(0.00617*E1746^2*H1746*J1746,2))</f>
        <v/>
      </c>
      <c r="L1746" s="9"/>
      <c r="M1746" s="10" t="str">
        <f aca="false">IF(A1746="","",IF((COUNTIF(Drain_Register!$A$5:$A$304,A1746)+COUNTIF(RW_Register!$A$5:$A$304,A1746)+COUNTIF(Embedded_Wall_Register!$A$5:$A$304,A1746)+COUNTIF(Manhole_Register!$A$5:$A$304,A1746)+COUNTIF(ERSS_Pit_Register!$A$5:$A$304,A1746)+COUNTIF(Linkway_Register!$A$5:$A$304,A1746)+COUNTIF(Other_Register!$A$5:$A$304,A1746))&gt;0,"OK","ID not in any register"))</f>
        <v/>
      </c>
    </row>
    <row r="1747" customFormat="false" ht="15" hidden="false" customHeight="false" outlineLevel="0" collapsed="false">
      <c r="A1747" s="9"/>
      <c r="B1747" s="9"/>
      <c r="C1747" s="9"/>
      <c r="D1747" s="9"/>
      <c r="E1747" s="9"/>
      <c r="F1747" s="9"/>
      <c r="G1747" s="9"/>
      <c r="H1747" s="9"/>
      <c r="I1747" s="9"/>
      <c r="J1747" s="10" t="str">
        <f aca="false">IF(A1747="","",IF(G1747&lt;&gt;"",G1747,IF(N(F1747)&gt;0,ROUND(1000/F1747,3),0)))</f>
        <v/>
      </c>
      <c r="K1747" s="10" t="str">
        <f aca="false">IF(OR(A1747="",E1747="",H1747=""),"",ROUND(0.00617*E1747^2*H1747*J1747,2))</f>
        <v/>
      </c>
      <c r="L1747" s="9"/>
      <c r="M1747" s="10" t="str">
        <f aca="false">IF(A1747="","",IF((COUNTIF(Drain_Register!$A$5:$A$304,A1747)+COUNTIF(RW_Register!$A$5:$A$304,A1747)+COUNTIF(Embedded_Wall_Register!$A$5:$A$304,A1747)+COUNTIF(Manhole_Register!$A$5:$A$304,A1747)+COUNTIF(ERSS_Pit_Register!$A$5:$A$304,A1747)+COUNTIF(Linkway_Register!$A$5:$A$304,A1747)+COUNTIF(Other_Register!$A$5:$A$304,A1747))&gt;0,"OK","ID not in any register"))</f>
        <v/>
      </c>
    </row>
    <row r="1748" customFormat="false" ht="15" hidden="false" customHeight="false" outlineLevel="0" collapsed="false">
      <c r="A1748" s="9"/>
      <c r="B1748" s="9"/>
      <c r="C1748" s="9"/>
      <c r="D1748" s="9"/>
      <c r="E1748" s="9"/>
      <c r="F1748" s="9"/>
      <c r="G1748" s="9"/>
      <c r="H1748" s="9"/>
      <c r="I1748" s="9"/>
      <c r="J1748" s="10" t="str">
        <f aca="false">IF(A1748="","",IF(G1748&lt;&gt;"",G1748,IF(N(F1748)&gt;0,ROUND(1000/F1748,3),0)))</f>
        <v/>
      </c>
      <c r="K1748" s="10" t="str">
        <f aca="false">IF(OR(A1748="",E1748="",H1748=""),"",ROUND(0.00617*E1748^2*H1748*J1748,2))</f>
        <v/>
      </c>
      <c r="L1748" s="9"/>
      <c r="M1748" s="10" t="str">
        <f aca="false">IF(A1748="","",IF((COUNTIF(Drain_Register!$A$5:$A$304,A1748)+COUNTIF(RW_Register!$A$5:$A$304,A1748)+COUNTIF(Embedded_Wall_Register!$A$5:$A$304,A1748)+COUNTIF(Manhole_Register!$A$5:$A$304,A1748)+COUNTIF(ERSS_Pit_Register!$A$5:$A$304,A1748)+COUNTIF(Linkway_Register!$A$5:$A$304,A1748)+COUNTIF(Other_Register!$A$5:$A$304,A1748))&gt;0,"OK","ID not in any register"))</f>
        <v/>
      </c>
    </row>
    <row r="1749" customFormat="false" ht="15" hidden="false" customHeight="false" outlineLevel="0" collapsed="false">
      <c r="A1749" s="9"/>
      <c r="B1749" s="9"/>
      <c r="C1749" s="9"/>
      <c r="D1749" s="9"/>
      <c r="E1749" s="9"/>
      <c r="F1749" s="9"/>
      <c r="G1749" s="9"/>
      <c r="H1749" s="9"/>
      <c r="I1749" s="9"/>
      <c r="J1749" s="10" t="str">
        <f aca="false">IF(A1749="","",IF(G1749&lt;&gt;"",G1749,IF(N(F1749)&gt;0,ROUND(1000/F1749,3),0)))</f>
        <v/>
      </c>
      <c r="K1749" s="10" t="str">
        <f aca="false">IF(OR(A1749="",E1749="",H1749=""),"",ROUND(0.00617*E1749^2*H1749*J1749,2))</f>
        <v/>
      </c>
      <c r="L1749" s="9"/>
      <c r="M1749" s="10" t="str">
        <f aca="false">IF(A1749="","",IF((COUNTIF(Drain_Register!$A$5:$A$304,A1749)+COUNTIF(RW_Register!$A$5:$A$304,A1749)+COUNTIF(Embedded_Wall_Register!$A$5:$A$304,A1749)+COUNTIF(Manhole_Register!$A$5:$A$304,A1749)+COUNTIF(ERSS_Pit_Register!$A$5:$A$304,A1749)+COUNTIF(Linkway_Register!$A$5:$A$304,A1749)+COUNTIF(Other_Register!$A$5:$A$304,A1749))&gt;0,"OK","ID not in any register"))</f>
        <v/>
      </c>
    </row>
    <row r="1750" customFormat="false" ht="15" hidden="false" customHeight="false" outlineLevel="0" collapsed="false">
      <c r="A1750" s="9"/>
      <c r="B1750" s="9"/>
      <c r="C1750" s="9"/>
      <c r="D1750" s="9"/>
      <c r="E1750" s="9"/>
      <c r="F1750" s="9"/>
      <c r="G1750" s="9"/>
      <c r="H1750" s="9"/>
      <c r="I1750" s="9"/>
      <c r="J1750" s="10" t="str">
        <f aca="false">IF(A1750="","",IF(G1750&lt;&gt;"",G1750,IF(N(F1750)&gt;0,ROUND(1000/F1750,3),0)))</f>
        <v/>
      </c>
      <c r="K1750" s="10" t="str">
        <f aca="false">IF(OR(A1750="",E1750="",H1750=""),"",ROUND(0.00617*E1750^2*H1750*J1750,2))</f>
        <v/>
      </c>
      <c r="L1750" s="9"/>
      <c r="M1750" s="10" t="str">
        <f aca="false">IF(A1750="","",IF((COUNTIF(Drain_Register!$A$5:$A$304,A1750)+COUNTIF(RW_Register!$A$5:$A$304,A1750)+COUNTIF(Embedded_Wall_Register!$A$5:$A$304,A1750)+COUNTIF(Manhole_Register!$A$5:$A$304,A1750)+COUNTIF(ERSS_Pit_Register!$A$5:$A$304,A1750)+COUNTIF(Linkway_Register!$A$5:$A$304,A1750)+COUNTIF(Other_Register!$A$5:$A$304,A1750))&gt;0,"OK","ID not in any register"))</f>
        <v/>
      </c>
    </row>
    <row r="1751" customFormat="false" ht="15" hidden="false" customHeight="false" outlineLevel="0" collapsed="false">
      <c r="A1751" s="9"/>
      <c r="B1751" s="9"/>
      <c r="C1751" s="9"/>
      <c r="D1751" s="9"/>
      <c r="E1751" s="9"/>
      <c r="F1751" s="9"/>
      <c r="G1751" s="9"/>
      <c r="H1751" s="9"/>
      <c r="I1751" s="9"/>
      <c r="J1751" s="10" t="str">
        <f aca="false">IF(A1751="","",IF(G1751&lt;&gt;"",G1751,IF(N(F1751)&gt;0,ROUND(1000/F1751,3),0)))</f>
        <v/>
      </c>
      <c r="K1751" s="10" t="str">
        <f aca="false">IF(OR(A1751="",E1751="",H1751=""),"",ROUND(0.00617*E1751^2*H1751*J1751,2))</f>
        <v/>
      </c>
      <c r="L1751" s="9"/>
      <c r="M1751" s="10" t="str">
        <f aca="false">IF(A1751="","",IF((COUNTIF(Drain_Register!$A$5:$A$304,A1751)+COUNTIF(RW_Register!$A$5:$A$304,A1751)+COUNTIF(Embedded_Wall_Register!$A$5:$A$304,A1751)+COUNTIF(Manhole_Register!$A$5:$A$304,A1751)+COUNTIF(ERSS_Pit_Register!$A$5:$A$304,A1751)+COUNTIF(Linkway_Register!$A$5:$A$304,A1751)+COUNTIF(Other_Register!$A$5:$A$304,A1751))&gt;0,"OK","ID not in any register"))</f>
        <v/>
      </c>
    </row>
    <row r="1752" customFormat="false" ht="15" hidden="false" customHeight="false" outlineLevel="0" collapsed="false">
      <c r="A1752" s="9"/>
      <c r="B1752" s="9"/>
      <c r="C1752" s="9"/>
      <c r="D1752" s="9"/>
      <c r="E1752" s="9"/>
      <c r="F1752" s="9"/>
      <c r="G1752" s="9"/>
      <c r="H1752" s="9"/>
      <c r="I1752" s="9"/>
      <c r="J1752" s="10" t="str">
        <f aca="false">IF(A1752="","",IF(G1752&lt;&gt;"",G1752,IF(N(F1752)&gt;0,ROUND(1000/F1752,3),0)))</f>
        <v/>
      </c>
      <c r="K1752" s="10" t="str">
        <f aca="false">IF(OR(A1752="",E1752="",H1752=""),"",ROUND(0.00617*E1752^2*H1752*J1752,2))</f>
        <v/>
      </c>
      <c r="L1752" s="9"/>
      <c r="M1752" s="10" t="str">
        <f aca="false">IF(A1752="","",IF((COUNTIF(Drain_Register!$A$5:$A$304,A1752)+COUNTIF(RW_Register!$A$5:$A$304,A1752)+COUNTIF(Embedded_Wall_Register!$A$5:$A$304,A1752)+COUNTIF(Manhole_Register!$A$5:$A$304,A1752)+COUNTIF(ERSS_Pit_Register!$A$5:$A$304,A1752)+COUNTIF(Linkway_Register!$A$5:$A$304,A1752)+COUNTIF(Other_Register!$A$5:$A$304,A1752))&gt;0,"OK","ID not in any register"))</f>
        <v/>
      </c>
    </row>
    <row r="1753" customFormat="false" ht="15" hidden="false" customHeight="false" outlineLevel="0" collapsed="false">
      <c r="A1753" s="9"/>
      <c r="B1753" s="9"/>
      <c r="C1753" s="9"/>
      <c r="D1753" s="9"/>
      <c r="E1753" s="9"/>
      <c r="F1753" s="9"/>
      <c r="G1753" s="9"/>
      <c r="H1753" s="9"/>
      <c r="I1753" s="9"/>
      <c r="J1753" s="10" t="str">
        <f aca="false">IF(A1753="","",IF(G1753&lt;&gt;"",G1753,IF(N(F1753)&gt;0,ROUND(1000/F1753,3),0)))</f>
        <v/>
      </c>
      <c r="K1753" s="10" t="str">
        <f aca="false">IF(OR(A1753="",E1753="",H1753=""),"",ROUND(0.00617*E1753^2*H1753*J1753,2))</f>
        <v/>
      </c>
      <c r="L1753" s="9"/>
      <c r="M1753" s="10" t="str">
        <f aca="false">IF(A1753="","",IF((COUNTIF(Drain_Register!$A$5:$A$304,A1753)+COUNTIF(RW_Register!$A$5:$A$304,A1753)+COUNTIF(Embedded_Wall_Register!$A$5:$A$304,A1753)+COUNTIF(Manhole_Register!$A$5:$A$304,A1753)+COUNTIF(ERSS_Pit_Register!$A$5:$A$304,A1753)+COUNTIF(Linkway_Register!$A$5:$A$304,A1753)+COUNTIF(Other_Register!$A$5:$A$304,A1753))&gt;0,"OK","ID not in any register"))</f>
        <v/>
      </c>
    </row>
    <row r="1754" customFormat="false" ht="15" hidden="false" customHeight="false" outlineLevel="0" collapsed="false">
      <c r="A1754" s="9"/>
      <c r="B1754" s="9"/>
      <c r="C1754" s="9"/>
      <c r="D1754" s="9"/>
      <c r="E1754" s="9"/>
      <c r="F1754" s="9"/>
      <c r="G1754" s="9"/>
      <c r="H1754" s="9"/>
      <c r="I1754" s="9"/>
      <c r="J1754" s="10" t="str">
        <f aca="false">IF(A1754="","",IF(G1754&lt;&gt;"",G1754,IF(N(F1754)&gt;0,ROUND(1000/F1754,3),0)))</f>
        <v/>
      </c>
      <c r="K1754" s="10" t="str">
        <f aca="false">IF(OR(A1754="",E1754="",H1754=""),"",ROUND(0.00617*E1754^2*H1754*J1754,2))</f>
        <v/>
      </c>
      <c r="L1754" s="9"/>
      <c r="M1754" s="10" t="str">
        <f aca="false">IF(A1754="","",IF((COUNTIF(Drain_Register!$A$5:$A$304,A1754)+COUNTIF(RW_Register!$A$5:$A$304,A1754)+COUNTIF(Embedded_Wall_Register!$A$5:$A$304,A1754)+COUNTIF(Manhole_Register!$A$5:$A$304,A1754)+COUNTIF(ERSS_Pit_Register!$A$5:$A$304,A1754)+COUNTIF(Linkway_Register!$A$5:$A$304,A1754)+COUNTIF(Other_Register!$A$5:$A$304,A1754))&gt;0,"OK","ID not in any register"))</f>
        <v/>
      </c>
    </row>
    <row r="1755" customFormat="false" ht="15" hidden="false" customHeight="false" outlineLevel="0" collapsed="false">
      <c r="A1755" s="9"/>
      <c r="B1755" s="9"/>
      <c r="C1755" s="9"/>
      <c r="D1755" s="9"/>
      <c r="E1755" s="9"/>
      <c r="F1755" s="9"/>
      <c r="G1755" s="9"/>
      <c r="H1755" s="9"/>
      <c r="I1755" s="9"/>
      <c r="J1755" s="10" t="str">
        <f aca="false">IF(A1755="","",IF(G1755&lt;&gt;"",G1755,IF(N(F1755)&gt;0,ROUND(1000/F1755,3),0)))</f>
        <v/>
      </c>
      <c r="K1755" s="10" t="str">
        <f aca="false">IF(OR(A1755="",E1755="",H1755=""),"",ROUND(0.00617*E1755^2*H1755*J1755,2))</f>
        <v/>
      </c>
      <c r="L1755" s="9"/>
      <c r="M1755" s="10" t="str">
        <f aca="false">IF(A1755="","",IF((COUNTIF(Drain_Register!$A$5:$A$304,A1755)+COUNTIF(RW_Register!$A$5:$A$304,A1755)+COUNTIF(Embedded_Wall_Register!$A$5:$A$304,A1755)+COUNTIF(Manhole_Register!$A$5:$A$304,A1755)+COUNTIF(ERSS_Pit_Register!$A$5:$A$304,A1755)+COUNTIF(Linkway_Register!$A$5:$A$304,A1755)+COUNTIF(Other_Register!$A$5:$A$304,A1755))&gt;0,"OK","ID not in any register"))</f>
        <v/>
      </c>
    </row>
    <row r="1756" customFormat="false" ht="15" hidden="false" customHeight="false" outlineLevel="0" collapsed="false">
      <c r="A1756" s="9"/>
      <c r="B1756" s="9"/>
      <c r="C1756" s="9"/>
      <c r="D1756" s="9"/>
      <c r="E1756" s="9"/>
      <c r="F1756" s="9"/>
      <c r="G1756" s="9"/>
      <c r="H1756" s="9"/>
      <c r="I1756" s="9"/>
      <c r="J1756" s="10" t="str">
        <f aca="false">IF(A1756="","",IF(G1756&lt;&gt;"",G1756,IF(N(F1756)&gt;0,ROUND(1000/F1756,3),0)))</f>
        <v/>
      </c>
      <c r="K1756" s="10" t="str">
        <f aca="false">IF(OR(A1756="",E1756="",H1756=""),"",ROUND(0.00617*E1756^2*H1756*J1756,2))</f>
        <v/>
      </c>
      <c r="L1756" s="9"/>
      <c r="M1756" s="10" t="str">
        <f aca="false">IF(A1756="","",IF((COUNTIF(Drain_Register!$A$5:$A$304,A1756)+COUNTIF(RW_Register!$A$5:$A$304,A1756)+COUNTIF(Embedded_Wall_Register!$A$5:$A$304,A1756)+COUNTIF(Manhole_Register!$A$5:$A$304,A1756)+COUNTIF(ERSS_Pit_Register!$A$5:$A$304,A1756)+COUNTIF(Linkway_Register!$A$5:$A$304,A1756)+COUNTIF(Other_Register!$A$5:$A$304,A1756))&gt;0,"OK","ID not in any register"))</f>
        <v/>
      </c>
    </row>
    <row r="1757" customFormat="false" ht="15" hidden="false" customHeight="false" outlineLevel="0" collapsed="false">
      <c r="A1757" s="9"/>
      <c r="B1757" s="9"/>
      <c r="C1757" s="9"/>
      <c r="D1757" s="9"/>
      <c r="E1757" s="9"/>
      <c r="F1757" s="9"/>
      <c r="G1757" s="9"/>
      <c r="H1757" s="9"/>
      <c r="I1757" s="9"/>
      <c r="J1757" s="10" t="str">
        <f aca="false">IF(A1757="","",IF(G1757&lt;&gt;"",G1757,IF(N(F1757)&gt;0,ROUND(1000/F1757,3),0)))</f>
        <v/>
      </c>
      <c r="K1757" s="10" t="str">
        <f aca="false">IF(OR(A1757="",E1757="",H1757=""),"",ROUND(0.00617*E1757^2*H1757*J1757,2))</f>
        <v/>
      </c>
      <c r="L1757" s="9"/>
      <c r="M1757" s="10" t="str">
        <f aca="false">IF(A1757="","",IF((COUNTIF(Drain_Register!$A$5:$A$304,A1757)+COUNTIF(RW_Register!$A$5:$A$304,A1757)+COUNTIF(Embedded_Wall_Register!$A$5:$A$304,A1757)+COUNTIF(Manhole_Register!$A$5:$A$304,A1757)+COUNTIF(ERSS_Pit_Register!$A$5:$A$304,A1757)+COUNTIF(Linkway_Register!$A$5:$A$304,A1757)+COUNTIF(Other_Register!$A$5:$A$304,A1757))&gt;0,"OK","ID not in any register"))</f>
        <v/>
      </c>
    </row>
    <row r="1758" customFormat="false" ht="15" hidden="false" customHeight="false" outlineLevel="0" collapsed="false">
      <c r="A1758" s="9"/>
      <c r="B1758" s="9"/>
      <c r="C1758" s="9"/>
      <c r="D1758" s="9"/>
      <c r="E1758" s="9"/>
      <c r="F1758" s="9"/>
      <c r="G1758" s="9"/>
      <c r="H1758" s="9"/>
      <c r="I1758" s="9"/>
      <c r="J1758" s="10" t="str">
        <f aca="false">IF(A1758="","",IF(G1758&lt;&gt;"",G1758,IF(N(F1758)&gt;0,ROUND(1000/F1758,3),0)))</f>
        <v/>
      </c>
      <c r="K1758" s="10" t="str">
        <f aca="false">IF(OR(A1758="",E1758="",H1758=""),"",ROUND(0.00617*E1758^2*H1758*J1758,2))</f>
        <v/>
      </c>
      <c r="L1758" s="9"/>
      <c r="M1758" s="10" t="str">
        <f aca="false">IF(A1758="","",IF((COUNTIF(Drain_Register!$A$5:$A$304,A1758)+COUNTIF(RW_Register!$A$5:$A$304,A1758)+COUNTIF(Embedded_Wall_Register!$A$5:$A$304,A1758)+COUNTIF(Manhole_Register!$A$5:$A$304,A1758)+COUNTIF(ERSS_Pit_Register!$A$5:$A$304,A1758)+COUNTIF(Linkway_Register!$A$5:$A$304,A1758)+COUNTIF(Other_Register!$A$5:$A$304,A1758))&gt;0,"OK","ID not in any register"))</f>
        <v/>
      </c>
    </row>
    <row r="1759" customFormat="false" ht="15" hidden="false" customHeight="false" outlineLevel="0" collapsed="false">
      <c r="A1759" s="9"/>
      <c r="B1759" s="9"/>
      <c r="C1759" s="9"/>
      <c r="D1759" s="9"/>
      <c r="E1759" s="9"/>
      <c r="F1759" s="9"/>
      <c r="G1759" s="9"/>
      <c r="H1759" s="9"/>
      <c r="I1759" s="9"/>
      <c r="J1759" s="10" t="str">
        <f aca="false">IF(A1759="","",IF(G1759&lt;&gt;"",G1759,IF(N(F1759)&gt;0,ROUND(1000/F1759,3),0)))</f>
        <v/>
      </c>
      <c r="K1759" s="10" t="str">
        <f aca="false">IF(OR(A1759="",E1759="",H1759=""),"",ROUND(0.00617*E1759^2*H1759*J1759,2))</f>
        <v/>
      </c>
      <c r="L1759" s="9"/>
      <c r="M1759" s="10" t="str">
        <f aca="false">IF(A1759="","",IF((COUNTIF(Drain_Register!$A$5:$A$304,A1759)+COUNTIF(RW_Register!$A$5:$A$304,A1759)+COUNTIF(Embedded_Wall_Register!$A$5:$A$304,A1759)+COUNTIF(Manhole_Register!$A$5:$A$304,A1759)+COUNTIF(ERSS_Pit_Register!$A$5:$A$304,A1759)+COUNTIF(Linkway_Register!$A$5:$A$304,A1759)+COUNTIF(Other_Register!$A$5:$A$304,A1759))&gt;0,"OK","ID not in any register"))</f>
        <v/>
      </c>
    </row>
    <row r="1760" customFormat="false" ht="15" hidden="false" customHeight="false" outlineLevel="0" collapsed="false">
      <c r="A1760" s="9"/>
      <c r="B1760" s="9"/>
      <c r="C1760" s="9"/>
      <c r="D1760" s="9"/>
      <c r="E1760" s="9"/>
      <c r="F1760" s="9"/>
      <c r="G1760" s="9"/>
      <c r="H1760" s="9"/>
      <c r="I1760" s="9"/>
      <c r="J1760" s="10" t="str">
        <f aca="false">IF(A1760="","",IF(G1760&lt;&gt;"",G1760,IF(N(F1760)&gt;0,ROUND(1000/F1760,3),0)))</f>
        <v/>
      </c>
      <c r="K1760" s="10" t="str">
        <f aca="false">IF(OR(A1760="",E1760="",H1760=""),"",ROUND(0.00617*E1760^2*H1760*J1760,2))</f>
        <v/>
      </c>
      <c r="L1760" s="9"/>
      <c r="M1760" s="10" t="str">
        <f aca="false">IF(A1760="","",IF((COUNTIF(Drain_Register!$A$5:$A$304,A1760)+COUNTIF(RW_Register!$A$5:$A$304,A1760)+COUNTIF(Embedded_Wall_Register!$A$5:$A$304,A1760)+COUNTIF(Manhole_Register!$A$5:$A$304,A1760)+COUNTIF(ERSS_Pit_Register!$A$5:$A$304,A1760)+COUNTIF(Linkway_Register!$A$5:$A$304,A1760)+COUNTIF(Other_Register!$A$5:$A$304,A1760))&gt;0,"OK","ID not in any register"))</f>
        <v/>
      </c>
    </row>
    <row r="1761" customFormat="false" ht="15" hidden="false" customHeight="false" outlineLevel="0" collapsed="false">
      <c r="A1761" s="9"/>
      <c r="B1761" s="9"/>
      <c r="C1761" s="9"/>
      <c r="D1761" s="9"/>
      <c r="E1761" s="9"/>
      <c r="F1761" s="9"/>
      <c r="G1761" s="9"/>
      <c r="H1761" s="9"/>
      <c r="I1761" s="9"/>
      <c r="J1761" s="10" t="str">
        <f aca="false">IF(A1761="","",IF(G1761&lt;&gt;"",G1761,IF(N(F1761)&gt;0,ROUND(1000/F1761,3),0)))</f>
        <v/>
      </c>
      <c r="K1761" s="10" t="str">
        <f aca="false">IF(OR(A1761="",E1761="",H1761=""),"",ROUND(0.00617*E1761^2*H1761*J1761,2))</f>
        <v/>
      </c>
      <c r="L1761" s="9"/>
      <c r="M1761" s="10" t="str">
        <f aca="false">IF(A1761="","",IF((COUNTIF(Drain_Register!$A$5:$A$304,A1761)+COUNTIF(RW_Register!$A$5:$A$304,A1761)+COUNTIF(Embedded_Wall_Register!$A$5:$A$304,A1761)+COUNTIF(Manhole_Register!$A$5:$A$304,A1761)+COUNTIF(ERSS_Pit_Register!$A$5:$A$304,A1761)+COUNTIF(Linkway_Register!$A$5:$A$304,A1761)+COUNTIF(Other_Register!$A$5:$A$304,A1761))&gt;0,"OK","ID not in any register"))</f>
        <v/>
      </c>
    </row>
    <row r="1762" customFormat="false" ht="15" hidden="false" customHeight="false" outlineLevel="0" collapsed="false">
      <c r="A1762" s="9"/>
      <c r="B1762" s="9"/>
      <c r="C1762" s="9"/>
      <c r="D1762" s="9"/>
      <c r="E1762" s="9"/>
      <c r="F1762" s="9"/>
      <c r="G1762" s="9"/>
      <c r="H1762" s="9"/>
      <c r="I1762" s="9"/>
      <c r="J1762" s="10" t="str">
        <f aca="false">IF(A1762="","",IF(G1762&lt;&gt;"",G1762,IF(N(F1762)&gt;0,ROUND(1000/F1762,3),0)))</f>
        <v/>
      </c>
      <c r="K1762" s="10" t="str">
        <f aca="false">IF(OR(A1762="",E1762="",H1762=""),"",ROUND(0.00617*E1762^2*H1762*J1762,2))</f>
        <v/>
      </c>
      <c r="L1762" s="9"/>
      <c r="M1762" s="10" t="str">
        <f aca="false">IF(A1762="","",IF((COUNTIF(Drain_Register!$A$5:$A$304,A1762)+COUNTIF(RW_Register!$A$5:$A$304,A1762)+COUNTIF(Embedded_Wall_Register!$A$5:$A$304,A1762)+COUNTIF(Manhole_Register!$A$5:$A$304,A1762)+COUNTIF(ERSS_Pit_Register!$A$5:$A$304,A1762)+COUNTIF(Linkway_Register!$A$5:$A$304,A1762)+COUNTIF(Other_Register!$A$5:$A$304,A1762))&gt;0,"OK","ID not in any register"))</f>
        <v/>
      </c>
    </row>
    <row r="1763" customFormat="false" ht="15" hidden="false" customHeight="false" outlineLevel="0" collapsed="false">
      <c r="A1763" s="9"/>
      <c r="B1763" s="9"/>
      <c r="C1763" s="9"/>
      <c r="D1763" s="9"/>
      <c r="E1763" s="9"/>
      <c r="F1763" s="9"/>
      <c r="G1763" s="9"/>
      <c r="H1763" s="9"/>
      <c r="I1763" s="9"/>
      <c r="J1763" s="10" t="str">
        <f aca="false">IF(A1763="","",IF(G1763&lt;&gt;"",G1763,IF(N(F1763)&gt;0,ROUND(1000/F1763,3),0)))</f>
        <v/>
      </c>
      <c r="K1763" s="10" t="str">
        <f aca="false">IF(OR(A1763="",E1763="",H1763=""),"",ROUND(0.00617*E1763^2*H1763*J1763,2))</f>
        <v/>
      </c>
      <c r="L1763" s="9"/>
      <c r="M1763" s="10" t="str">
        <f aca="false">IF(A1763="","",IF((COUNTIF(Drain_Register!$A$5:$A$304,A1763)+COUNTIF(RW_Register!$A$5:$A$304,A1763)+COUNTIF(Embedded_Wall_Register!$A$5:$A$304,A1763)+COUNTIF(Manhole_Register!$A$5:$A$304,A1763)+COUNTIF(ERSS_Pit_Register!$A$5:$A$304,A1763)+COUNTIF(Linkway_Register!$A$5:$A$304,A1763)+COUNTIF(Other_Register!$A$5:$A$304,A1763))&gt;0,"OK","ID not in any register"))</f>
        <v/>
      </c>
    </row>
    <row r="1764" customFormat="false" ht="15" hidden="false" customHeight="false" outlineLevel="0" collapsed="false">
      <c r="A1764" s="9"/>
      <c r="B1764" s="9"/>
      <c r="C1764" s="9"/>
      <c r="D1764" s="9"/>
      <c r="E1764" s="9"/>
      <c r="F1764" s="9"/>
      <c r="G1764" s="9"/>
      <c r="H1764" s="9"/>
      <c r="I1764" s="9"/>
      <c r="J1764" s="10" t="str">
        <f aca="false">IF(A1764="","",IF(G1764&lt;&gt;"",G1764,IF(N(F1764)&gt;0,ROUND(1000/F1764,3),0)))</f>
        <v/>
      </c>
      <c r="K1764" s="10" t="str">
        <f aca="false">IF(OR(A1764="",E1764="",H1764=""),"",ROUND(0.00617*E1764^2*H1764*J1764,2))</f>
        <v/>
      </c>
      <c r="L1764" s="9"/>
      <c r="M1764" s="10" t="str">
        <f aca="false">IF(A1764="","",IF((COUNTIF(Drain_Register!$A$5:$A$304,A1764)+COUNTIF(RW_Register!$A$5:$A$304,A1764)+COUNTIF(Embedded_Wall_Register!$A$5:$A$304,A1764)+COUNTIF(Manhole_Register!$A$5:$A$304,A1764)+COUNTIF(ERSS_Pit_Register!$A$5:$A$304,A1764)+COUNTIF(Linkway_Register!$A$5:$A$304,A1764)+COUNTIF(Other_Register!$A$5:$A$304,A1764))&gt;0,"OK","ID not in any register"))</f>
        <v/>
      </c>
    </row>
    <row r="1765" customFormat="false" ht="15" hidden="false" customHeight="false" outlineLevel="0" collapsed="false">
      <c r="A1765" s="9"/>
      <c r="B1765" s="9"/>
      <c r="C1765" s="9"/>
      <c r="D1765" s="9"/>
      <c r="E1765" s="9"/>
      <c r="F1765" s="9"/>
      <c r="G1765" s="9"/>
      <c r="H1765" s="9"/>
      <c r="I1765" s="9"/>
      <c r="J1765" s="10" t="str">
        <f aca="false">IF(A1765="","",IF(G1765&lt;&gt;"",G1765,IF(N(F1765)&gt;0,ROUND(1000/F1765,3),0)))</f>
        <v/>
      </c>
      <c r="K1765" s="10" t="str">
        <f aca="false">IF(OR(A1765="",E1765="",H1765=""),"",ROUND(0.00617*E1765^2*H1765*J1765,2))</f>
        <v/>
      </c>
      <c r="L1765" s="9"/>
      <c r="M1765" s="10" t="str">
        <f aca="false">IF(A1765="","",IF((COUNTIF(Drain_Register!$A$5:$A$304,A1765)+COUNTIF(RW_Register!$A$5:$A$304,A1765)+COUNTIF(Embedded_Wall_Register!$A$5:$A$304,A1765)+COUNTIF(Manhole_Register!$A$5:$A$304,A1765)+COUNTIF(ERSS_Pit_Register!$A$5:$A$304,A1765)+COUNTIF(Linkway_Register!$A$5:$A$304,A1765)+COUNTIF(Other_Register!$A$5:$A$304,A1765))&gt;0,"OK","ID not in any register"))</f>
        <v/>
      </c>
    </row>
    <row r="1766" customFormat="false" ht="15" hidden="false" customHeight="false" outlineLevel="0" collapsed="false">
      <c r="A1766" s="9"/>
      <c r="B1766" s="9"/>
      <c r="C1766" s="9"/>
      <c r="D1766" s="9"/>
      <c r="E1766" s="9"/>
      <c r="F1766" s="9"/>
      <c r="G1766" s="9"/>
      <c r="H1766" s="9"/>
      <c r="I1766" s="9"/>
      <c r="J1766" s="10" t="str">
        <f aca="false">IF(A1766="","",IF(G1766&lt;&gt;"",G1766,IF(N(F1766)&gt;0,ROUND(1000/F1766,3),0)))</f>
        <v/>
      </c>
      <c r="K1766" s="10" t="str">
        <f aca="false">IF(OR(A1766="",E1766="",H1766=""),"",ROUND(0.00617*E1766^2*H1766*J1766,2))</f>
        <v/>
      </c>
      <c r="L1766" s="9"/>
      <c r="M1766" s="10" t="str">
        <f aca="false">IF(A1766="","",IF((COUNTIF(Drain_Register!$A$5:$A$304,A1766)+COUNTIF(RW_Register!$A$5:$A$304,A1766)+COUNTIF(Embedded_Wall_Register!$A$5:$A$304,A1766)+COUNTIF(Manhole_Register!$A$5:$A$304,A1766)+COUNTIF(ERSS_Pit_Register!$A$5:$A$304,A1766)+COUNTIF(Linkway_Register!$A$5:$A$304,A1766)+COUNTIF(Other_Register!$A$5:$A$304,A1766))&gt;0,"OK","ID not in any register"))</f>
        <v/>
      </c>
    </row>
    <row r="1767" customFormat="false" ht="15" hidden="false" customHeight="false" outlineLevel="0" collapsed="false">
      <c r="A1767" s="9"/>
      <c r="B1767" s="9"/>
      <c r="C1767" s="9"/>
      <c r="D1767" s="9"/>
      <c r="E1767" s="9"/>
      <c r="F1767" s="9"/>
      <c r="G1767" s="9"/>
      <c r="H1767" s="9"/>
      <c r="I1767" s="9"/>
      <c r="J1767" s="10" t="str">
        <f aca="false">IF(A1767="","",IF(G1767&lt;&gt;"",G1767,IF(N(F1767)&gt;0,ROUND(1000/F1767,3),0)))</f>
        <v/>
      </c>
      <c r="K1767" s="10" t="str">
        <f aca="false">IF(OR(A1767="",E1767="",H1767=""),"",ROUND(0.00617*E1767^2*H1767*J1767,2))</f>
        <v/>
      </c>
      <c r="L1767" s="9"/>
      <c r="M1767" s="10" t="str">
        <f aca="false">IF(A1767="","",IF((COUNTIF(Drain_Register!$A$5:$A$304,A1767)+COUNTIF(RW_Register!$A$5:$A$304,A1767)+COUNTIF(Embedded_Wall_Register!$A$5:$A$304,A1767)+COUNTIF(Manhole_Register!$A$5:$A$304,A1767)+COUNTIF(ERSS_Pit_Register!$A$5:$A$304,A1767)+COUNTIF(Linkway_Register!$A$5:$A$304,A1767)+COUNTIF(Other_Register!$A$5:$A$304,A1767))&gt;0,"OK","ID not in any register"))</f>
        <v/>
      </c>
    </row>
    <row r="1768" customFormat="false" ht="15" hidden="false" customHeight="false" outlineLevel="0" collapsed="false">
      <c r="A1768" s="9"/>
      <c r="B1768" s="9"/>
      <c r="C1768" s="9"/>
      <c r="D1768" s="9"/>
      <c r="E1768" s="9"/>
      <c r="F1768" s="9"/>
      <c r="G1768" s="9"/>
      <c r="H1768" s="9"/>
      <c r="I1768" s="9"/>
      <c r="J1768" s="10" t="str">
        <f aca="false">IF(A1768="","",IF(G1768&lt;&gt;"",G1768,IF(N(F1768)&gt;0,ROUND(1000/F1768,3),0)))</f>
        <v/>
      </c>
      <c r="K1768" s="10" t="str">
        <f aca="false">IF(OR(A1768="",E1768="",H1768=""),"",ROUND(0.00617*E1768^2*H1768*J1768,2))</f>
        <v/>
      </c>
      <c r="L1768" s="9"/>
      <c r="M1768" s="10" t="str">
        <f aca="false">IF(A1768="","",IF((COUNTIF(Drain_Register!$A$5:$A$304,A1768)+COUNTIF(RW_Register!$A$5:$A$304,A1768)+COUNTIF(Embedded_Wall_Register!$A$5:$A$304,A1768)+COUNTIF(Manhole_Register!$A$5:$A$304,A1768)+COUNTIF(ERSS_Pit_Register!$A$5:$A$304,A1768)+COUNTIF(Linkway_Register!$A$5:$A$304,A1768)+COUNTIF(Other_Register!$A$5:$A$304,A1768))&gt;0,"OK","ID not in any register"))</f>
        <v/>
      </c>
    </row>
    <row r="1769" customFormat="false" ht="15" hidden="false" customHeight="false" outlineLevel="0" collapsed="false">
      <c r="A1769" s="9"/>
      <c r="B1769" s="9"/>
      <c r="C1769" s="9"/>
      <c r="D1769" s="9"/>
      <c r="E1769" s="9"/>
      <c r="F1769" s="9"/>
      <c r="G1769" s="9"/>
      <c r="H1769" s="9"/>
      <c r="I1769" s="9"/>
      <c r="J1769" s="10" t="str">
        <f aca="false">IF(A1769="","",IF(G1769&lt;&gt;"",G1769,IF(N(F1769)&gt;0,ROUND(1000/F1769,3),0)))</f>
        <v/>
      </c>
      <c r="K1769" s="10" t="str">
        <f aca="false">IF(OR(A1769="",E1769="",H1769=""),"",ROUND(0.00617*E1769^2*H1769*J1769,2))</f>
        <v/>
      </c>
      <c r="L1769" s="9"/>
      <c r="M1769" s="10" t="str">
        <f aca="false">IF(A1769="","",IF((COUNTIF(Drain_Register!$A$5:$A$304,A1769)+COUNTIF(RW_Register!$A$5:$A$304,A1769)+COUNTIF(Embedded_Wall_Register!$A$5:$A$304,A1769)+COUNTIF(Manhole_Register!$A$5:$A$304,A1769)+COUNTIF(ERSS_Pit_Register!$A$5:$A$304,A1769)+COUNTIF(Linkway_Register!$A$5:$A$304,A1769)+COUNTIF(Other_Register!$A$5:$A$304,A1769))&gt;0,"OK","ID not in any register"))</f>
        <v/>
      </c>
    </row>
    <row r="1770" customFormat="false" ht="15" hidden="false" customHeight="false" outlineLevel="0" collapsed="false">
      <c r="A1770" s="9"/>
      <c r="B1770" s="9"/>
      <c r="C1770" s="9"/>
      <c r="D1770" s="9"/>
      <c r="E1770" s="9"/>
      <c r="F1770" s="9"/>
      <c r="G1770" s="9"/>
      <c r="H1770" s="9"/>
      <c r="I1770" s="9"/>
      <c r="J1770" s="10" t="str">
        <f aca="false">IF(A1770="","",IF(G1770&lt;&gt;"",G1770,IF(N(F1770)&gt;0,ROUND(1000/F1770,3),0)))</f>
        <v/>
      </c>
      <c r="K1770" s="10" t="str">
        <f aca="false">IF(OR(A1770="",E1770="",H1770=""),"",ROUND(0.00617*E1770^2*H1770*J1770,2))</f>
        <v/>
      </c>
      <c r="L1770" s="9"/>
      <c r="M1770" s="10" t="str">
        <f aca="false">IF(A1770="","",IF((COUNTIF(Drain_Register!$A$5:$A$304,A1770)+COUNTIF(RW_Register!$A$5:$A$304,A1770)+COUNTIF(Embedded_Wall_Register!$A$5:$A$304,A1770)+COUNTIF(Manhole_Register!$A$5:$A$304,A1770)+COUNTIF(ERSS_Pit_Register!$A$5:$A$304,A1770)+COUNTIF(Linkway_Register!$A$5:$A$304,A1770)+COUNTIF(Other_Register!$A$5:$A$304,A1770))&gt;0,"OK","ID not in any register"))</f>
        <v/>
      </c>
    </row>
    <row r="1771" customFormat="false" ht="15" hidden="false" customHeight="false" outlineLevel="0" collapsed="false">
      <c r="A1771" s="9"/>
      <c r="B1771" s="9"/>
      <c r="C1771" s="9"/>
      <c r="D1771" s="9"/>
      <c r="E1771" s="9"/>
      <c r="F1771" s="9"/>
      <c r="G1771" s="9"/>
      <c r="H1771" s="9"/>
      <c r="I1771" s="9"/>
      <c r="J1771" s="10" t="str">
        <f aca="false">IF(A1771="","",IF(G1771&lt;&gt;"",G1771,IF(N(F1771)&gt;0,ROUND(1000/F1771,3),0)))</f>
        <v/>
      </c>
      <c r="K1771" s="10" t="str">
        <f aca="false">IF(OR(A1771="",E1771="",H1771=""),"",ROUND(0.00617*E1771^2*H1771*J1771,2))</f>
        <v/>
      </c>
      <c r="L1771" s="9"/>
      <c r="M1771" s="10" t="str">
        <f aca="false">IF(A1771="","",IF((COUNTIF(Drain_Register!$A$5:$A$304,A1771)+COUNTIF(RW_Register!$A$5:$A$304,A1771)+COUNTIF(Embedded_Wall_Register!$A$5:$A$304,A1771)+COUNTIF(Manhole_Register!$A$5:$A$304,A1771)+COUNTIF(ERSS_Pit_Register!$A$5:$A$304,A1771)+COUNTIF(Linkway_Register!$A$5:$A$304,A1771)+COUNTIF(Other_Register!$A$5:$A$304,A1771))&gt;0,"OK","ID not in any register"))</f>
        <v/>
      </c>
    </row>
    <row r="1772" customFormat="false" ht="15" hidden="false" customHeight="false" outlineLevel="0" collapsed="false">
      <c r="A1772" s="9"/>
      <c r="B1772" s="9"/>
      <c r="C1772" s="9"/>
      <c r="D1772" s="9"/>
      <c r="E1772" s="9"/>
      <c r="F1772" s="9"/>
      <c r="G1772" s="9"/>
      <c r="H1772" s="9"/>
      <c r="I1772" s="9"/>
      <c r="J1772" s="10" t="str">
        <f aca="false">IF(A1772="","",IF(G1772&lt;&gt;"",G1772,IF(N(F1772)&gt;0,ROUND(1000/F1772,3),0)))</f>
        <v/>
      </c>
      <c r="K1772" s="10" t="str">
        <f aca="false">IF(OR(A1772="",E1772="",H1772=""),"",ROUND(0.00617*E1772^2*H1772*J1772,2))</f>
        <v/>
      </c>
      <c r="L1772" s="9"/>
      <c r="M1772" s="10" t="str">
        <f aca="false">IF(A1772="","",IF((COUNTIF(Drain_Register!$A$5:$A$304,A1772)+COUNTIF(RW_Register!$A$5:$A$304,A1772)+COUNTIF(Embedded_Wall_Register!$A$5:$A$304,A1772)+COUNTIF(Manhole_Register!$A$5:$A$304,A1772)+COUNTIF(ERSS_Pit_Register!$A$5:$A$304,A1772)+COUNTIF(Linkway_Register!$A$5:$A$304,A1772)+COUNTIF(Other_Register!$A$5:$A$304,A1772))&gt;0,"OK","ID not in any register"))</f>
        <v/>
      </c>
    </row>
    <row r="1773" customFormat="false" ht="15" hidden="false" customHeight="false" outlineLevel="0" collapsed="false">
      <c r="A1773" s="9"/>
      <c r="B1773" s="9"/>
      <c r="C1773" s="9"/>
      <c r="D1773" s="9"/>
      <c r="E1773" s="9"/>
      <c r="F1773" s="9"/>
      <c r="G1773" s="9"/>
      <c r="H1773" s="9"/>
      <c r="I1773" s="9"/>
      <c r="J1773" s="10" t="str">
        <f aca="false">IF(A1773="","",IF(G1773&lt;&gt;"",G1773,IF(N(F1773)&gt;0,ROUND(1000/F1773,3),0)))</f>
        <v/>
      </c>
      <c r="K1773" s="10" t="str">
        <f aca="false">IF(OR(A1773="",E1773="",H1773=""),"",ROUND(0.00617*E1773^2*H1773*J1773,2))</f>
        <v/>
      </c>
      <c r="L1773" s="9"/>
      <c r="M1773" s="10" t="str">
        <f aca="false">IF(A1773="","",IF((COUNTIF(Drain_Register!$A$5:$A$304,A1773)+COUNTIF(RW_Register!$A$5:$A$304,A1773)+COUNTIF(Embedded_Wall_Register!$A$5:$A$304,A1773)+COUNTIF(Manhole_Register!$A$5:$A$304,A1773)+COUNTIF(ERSS_Pit_Register!$A$5:$A$304,A1773)+COUNTIF(Linkway_Register!$A$5:$A$304,A1773)+COUNTIF(Other_Register!$A$5:$A$304,A1773))&gt;0,"OK","ID not in any register"))</f>
        <v/>
      </c>
    </row>
    <row r="1774" customFormat="false" ht="15" hidden="false" customHeight="false" outlineLevel="0" collapsed="false">
      <c r="A1774" s="9"/>
      <c r="B1774" s="9"/>
      <c r="C1774" s="9"/>
      <c r="D1774" s="9"/>
      <c r="E1774" s="9"/>
      <c r="F1774" s="9"/>
      <c r="G1774" s="9"/>
      <c r="H1774" s="9"/>
      <c r="I1774" s="9"/>
      <c r="J1774" s="10" t="str">
        <f aca="false">IF(A1774="","",IF(G1774&lt;&gt;"",G1774,IF(N(F1774)&gt;0,ROUND(1000/F1774,3),0)))</f>
        <v/>
      </c>
      <c r="K1774" s="10" t="str">
        <f aca="false">IF(OR(A1774="",E1774="",H1774=""),"",ROUND(0.00617*E1774^2*H1774*J1774,2))</f>
        <v/>
      </c>
      <c r="L1774" s="9"/>
      <c r="M1774" s="10" t="str">
        <f aca="false">IF(A1774="","",IF((COUNTIF(Drain_Register!$A$5:$A$304,A1774)+COUNTIF(RW_Register!$A$5:$A$304,A1774)+COUNTIF(Embedded_Wall_Register!$A$5:$A$304,A1774)+COUNTIF(Manhole_Register!$A$5:$A$304,A1774)+COUNTIF(ERSS_Pit_Register!$A$5:$A$304,A1774)+COUNTIF(Linkway_Register!$A$5:$A$304,A1774)+COUNTIF(Other_Register!$A$5:$A$304,A1774))&gt;0,"OK","ID not in any register"))</f>
        <v/>
      </c>
    </row>
    <row r="1775" customFormat="false" ht="15" hidden="false" customHeight="false" outlineLevel="0" collapsed="false">
      <c r="A1775" s="9"/>
      <c r="B1775" s="9"/>
      <c r="C1775" s="9"/>
      <c r="D1775" s="9"/>
      <c r="E1775" s="9"/>
      <c r="F1775" s="9"/>
      <c r="G1775" s="9"/>
      <c r="H1775" s="9"/>
      <c r="I1775" s="9"/>
      <c r="J1775" s="10" t="str">
        <f aca="false">IF(A1775="","",IF(G1775&lt;&gt;"",G1775,IF(N(F1775)&gt;0,ROUND(1000/F1775,3),0)))</f>
        <v/>
      </c>
      <c r="K1775" s="10" t="str">
        <f aca="false">IF(OR(A1775="",E1775="",H1775=""),"",ROUND(0.00617*E1775^2*H1775*J1775,2))</f>
        <v/>
      </c>
      <c r="L1775" s="9"/>
      <c r="M1775" s="10" t="str">
        <f aca="false">IF(A1775="","",IF((COUNTIF(Drain_Register!$A$5:$A$304,A1775)+COUNTIF(RW_Register!$A$5:$A$304,A1775)+COUNTIF(Embedded_Wall_Register!$A$5:$A$304,A1775)+COUNTIF(Manhole_Register!$A$5:$A$304,A1775)+COUNTIF(ERSS_Pit_Register!$A$5:$A$304,A1775)+COUNTIF(Linkway_Register!$A$5:$A$304,A1775)+COUNTIF(Other_Register!$A$5:$A$304,A1775))&gt;0,"OK","ID not in any register"))</f>
        <v/>
      </c>
    </row>
    <row r="1776" customFormat="false" ht="15" hidden="false" customHeight="false" outlineLevel="0" collapsed="false">
      <c r="A1776" s="9"/>
      <c r="B1776" s="9"/>
      <c r="C1776" s="9"/>
      <c r="D1776" s="9"/>
      <c r="E1776" s="9"/>
      <c r="F1776" s="9"/>
      <c r="G1776" s="9"/>
      <c r="H1776" s="9"/>
      <c r="I1776" s="9"/>
      <c r="J1776" s="10" t="str">
        <f aca="false">IF(A1776="","",IF(G1776&lt;&gt;"",G1776,IF(N(F1776)&gt;0,ROUND(1000/F1776,3),0)))</f>
        <v/>
      </c>
      <c r="K1776" s="10" t="str">
        <f aca="false">IF(OR(A1776="",E1776="",H1776=""),"",ROUND(0.00617*E1776^2*H1776*J1776,2))</f>
        <v/>
      </c>
      <c r="L1776" s="9"/>
      <c r="M1776" s="10" t="str">
        <f aca="false">IF(A1776="","",IF((COUNTIF(Drain_Register!$A$5:$A$304,A1776)+COUNTIF(RW_Register!$A$5:$A$304,A1776)+COUNTIF(Embedded_Wall_Register!$A$5:$A$304,A1776)+COUNTIF(Manhole_Register!$A$5:$A$304,A1776)+COUNTIF(ERSS_Pit_Register!$A$5:$A$304,A1776)+COUNTIF(Linkway_Register!$A$5:$A$304,A1776)+COUNTIF(Other_Register!$A$5:$A$304,A1776))&gt;0,"OK","ID not in any register"))</f>
        <v/>
      </c>
    </row>
    <row r="1777" customFormat="false" ht="15" hidden="false" customHeight="false" outlineLevel="0" collapsed="false">
      <c r="A1777" s="9"/>
      <c r="B1777" s="9"/>
      <c r="C1777" s="9"/>
      <c r="D1777" s="9"/>
      <c r="E1777" s="9"/>
      <c r="F1777" s="9"/>
      <c r="G1777" s="9"/>
      <c r="H1777" s="9"/>
      <c r="I1777" s="9"/>
      <c r="J1777" s="10" t="str">
        <f aca="false">IF(A1777="","",IF(G1777&lt;&gt;"",G1777,IF(N(F1777)&gt;0,ROUND(1000/F1777,3),0)))</f>
        <v/>
      </c>
      <c r="K1777" s="10" t="str">
        <f aca="false">IF(OR(A1777="",E1777="",H1777=""),"",ROUND(0.00617*E1777^2*H1777*J1777,2))</f>
        <v/>
      </c>
      <c r="L1777" s="9"/>
      <c r="M1777" s="10" t="str">
        <f aca="false">IF(A1777="","",IF((COUNTIF(Drain_Register!$A$5:$A$304,A1777)+COUNTIF(RW_Register!$A$5:$A$304,A1777)+COUNTIF(Embedded_Wall_Register!$A$5:$A$304,A1777)+COUNTIF(Manhole_Register!$A$5:$A$304,A1777)+COUNTIF(ERSS_Pit_Register!$A$5:$A$304,A1777)+COUNTIF(Linkway_Register!$A$5:$A$304,A1777)+COUNTIF(Other_Register!$A$5:$A$304,A1777))&gt;0,"OK","ID not in any register"))</f>
        <v/>
      </c>
    </row>
    <row r="1778" customFormat="false" ht="15" hidden="false" customHeight="false" outlineLevel="0" collapsed="false">
      <c r="A1778" s="9"/>
      <c r="B1778" s="9"/>
      <c r="C1778" s="9"/>
      <c r="D1778" s="9"/>
      <c r="E1778" s="9"/>
      <c r="F1778" s="9"/>
      <c r="G1778" s="9"/>
      <c r="H1778" s="9"/>
      <c r="I1778" s="9"/>
      <c r="J1778" s="10" t="str">
        <f aca="false">IF(A1778="","",IF(G1778&lt;&gt;"",G1778,IF(N(F1778)&gt;0,ROUND(1000/F1778,3),0)))</f>
        <v/>
      </c>
      <c r="K1778" s="10" t="str">
        <f aca="false">IF(OR(A1778="",E1778="",H1778=""),"",ROUND(0.00617*E1778^2*H1778*J1778,2))</f>
        <v/>
      </c>
      <c r="L1778" s="9"/>
      <c r="M1778" s="10" t="str">
        <f aca="false">IF(A1778="","",IF((COUNTIF(Drain_Register!$A$5:$A$304,A1778)+COUNTIF(RW_Register!$A$5:$A$304,A1778)+COUNTIF(Embedded_Wall_Register!$A$5:$A$304,A1778)+COUNTIF(Manhole_Register!$A$5:$A$304,A1778)+COUNTIF(ERSS_Pit_Register!$A$5:$A$304,A1778)+COUNTIF(Linkway_Register!$A$5:$A$304,A1778)+COUNTIF(Other_Register!$A$5:$A$304,A1778))&gt;0,"OK","ID not in any register"))</f>
        <v/>
      </c>
    </row>
    <row r="1779" customFormat="false" ht="15" hidden="false" customHeight="false" outlineLevel="0" collapsed="false">
      <c r="A1779" s="9"/>
      <c r="B1779" s="9"/>
      <c r="C1779" s="9"/>
      <c r="D1779" s="9"/>
      <c r="E1779" s="9"/>
      <c r="F1779" s="9"/>
      <c r="G1779" s="9"/>
      <c r="H1779" s="9"/>
      <c r="I1779" s="9"/>
      <c r="J1779" s="10" t="str">
        <f aca="false">IF(A1779="","",IF(G1779&lt;&gt;"",G1779,IF(N(F1779)&gt;0,ROUND(1000/F1779,3),0)))</f>
        <v/>
      </c>
      <c r="K1779" s="10" t="str">
        <f aca="false">IF(OR(A1779="",E1779="",H1779=""),"",ROUND(0.00617*E1779^2*H1779*J1779,2))</f>
        <v/>
      </c>
      <c r="L1779" s="9"/>
      <c r="M1779" s="10" t="str">
        <f aca="false">IF(A1779="","",IF((COUNTIF(Drain_Register!$A$5:$A$304,A1779)+COUNTIF(RW_Register!$A$5:$A$304,A1779)+COUNTIF(Embedded_Wall_Register!$A$5:$A$304,A1779)+COUNTIF(Manhole_Register!$A$5:$A$304,A1779)+COUNTIF(ERSS_Pit_Register!$A$5:$A$304,A1779)+COUNTIF(Linkway_Register!$A$5:$A$304,A1779)+COUNTIF(Other_Register!$A$5:$A$304,A1779))&gt;0,"OK","ID not in any register"))</f>
        <v/>
      </c>
    </row>
    <row r="1780" customFormat="false" ht="15" hidden="false" customHeight="false" outlineLevel="0" collapsed="false">
      <c r="A1780" s="9"/>
      <c r="B1780" s="9"/>
      <c r="C1780" s="9"/>
      <c r="D1780" s="9"/>
      <c r="E1780" s="9"/>
      <c r="F1780" s="9"/>
      <c r="G1780" s="9"/>
      <c r="H1780" s="9"/>
      <c r="I1780" s="9"/>
      <c r="J1780" s="10" t="str">
        <f aca="false">IF(A1780="","",IF(G1780&lt;&gt;"",G1780,IF(N(F1780)&gt;0,ROUND(1000/F1780,3),0)))</f>
        <v/>
      </c>
      <c r="K1780" s="10" t="str">
        <f aca="false">IF(OR(A1780="",E1780="",H1780=""),"",ROUND(0.00617*E1780^2*H1780*J1780,2))</f>
        <v/>
      </c>
      <c r="L1780" s="9"/>
      <c r="M1780" s="10" t="str">
        <f aca="false">IF(A1780="","",IF((COUNTIF(Drain_Register!$A$5:$A$304,A1780)+COUNTIF(RW_Register!$A$5:$A$304,A1780)+COUNTIF(Embedded_Wall_Register!$A$5:$A$304,A1780)+COUNTIF(Manhole_Register!$A$5:$A$304,A1780)+COUNTIF(ERSS_Pit_Register!$A$5:$A$304,A1780)+COUNTIF(Linkway_Register!$A$5:$A$304,A1780)+COUNTIF(Other_Register!$A$5:$A$304,A1780))&gt;0,"OK","ID not in any register"))</f>
        <v/>
      </c>
    </row>
    <row r="1781" customFormat="false" ht="15" hidden="false" customHeight="false" outlineLevel="0" collapsed="false">
      <c r="A1781" s="9"/>
      <c r="B1781" s="9"/>
      <c r="C1781" s="9"/>
      <c r="D1781" s="9"/>
      <c r="E1781" s="9"/>
      <c r="F1781" s="9"/>
      <c r="G1781" s="9"/>
      <c r="H1781" s="9"/>
      <c r="I1781" s="9"/>
      <c r="J1781" s="10" t="str">
        <f aca="false">IF(A1781="","",IF(G1781&lt;&gt;"",G1781,IF(N(F1781)&gt;0,ROUND(1000/F1781,3),0)))</f>
        <v/>
      </c>
      <c r="K1781" s="10" t="str">
        <f aca="false">IF(OR(A1781="",E1781="",H1781=""),"",ROUND(0.00617*E1781^2*H1781*J1781,2))</f>
        <v/>
      </c>
      <c r="L1781" s="9"/>
      <c r="M1781" s="10" t="str">
        <f aca="false">IF(A1781="","",IF((COUNTIF(Drain_Register!$A$5:$A$304,A1781)+COUNTIF(RW_Register!$A$5:$A$304,A1781)+COUNTIF(Embedded_Wall_Register!$A$5:$A$304,A1781)+COUNTIF(Manhole_Register!$A$5:$A$304,A1781)+COUNTIF(ERSS_Pit_Register!$A$5:$A$304,A1781)+COUNTIF(Linkway_Register!$A$5:$A$304,A1781)+COUNTIF(Other_Register!$A$5:$A$304,A1781))&gt;0,"OK","ID not in any register"))</f>
        <v/>
      </c>
    </row>
    <row r="1782" customFormat="false" ht="15" hidden="false" customHeight="false" outlineLevel="0" collapsed="false">
      <c r="A1782" s="9"/>
      <c r="B1782" s="9"/>
      <c r="C1782" s="9"/>
      <c r="D1782" s="9"/>
      <c r="E1782" s="9"/>
      <c r="F1782" s="9"/>
      <c r="G1782" s="9"/>
      <c r="H1782" s="9"/>
      <c r="I1782" s="9"/>
      <c r="J1782" s="10" t="str">
        <f aca="false">IF(A1782="","",IF(G1782&lt;&gt;"",G1782,IF(N(F1782)&gt;0,ROUND(1000/F1782,3),0)))</f>
        <v/>
      </c>
      <c r="K1782" s="10" t="str">
        <f aca="false">IF(OR(A1782="",E1782="",H1782=""),"",ROUND(0.00617*E1782^2*H1782*J1782,2))</f>
        <v/>
      </c>
      <c r="L1782" s="9"/>
      <c r="M1782" s="10" t="str">
        <f aca="false">IF(A1782="","",IF((COUNTIF(Drain_Register!$A$5:$A$304,A1782)+COUNTIF(RW_Register!$A$5:$A$304,A1782)+COUNTIF(Embedded_Wall_Register!$A$5:$A$304,A1782)+COUNTIF(Manhole_Register!$A$5:$A$304,A1782)+COUNTIF(ERSS_Pit_Register!$A$5:$A$304,A1782)+COUNTIF(Linkway_Register!$A$5:$A$304,A1782)+COUNTIF(Other_Register!$A$5:$A$304,A1782))&gt;0,"OK","ID not in any register"))</f>
        <v/>
      </c>
    </row>
    <row r="1783" customFormat="false" ht="15" hidden="false" customHeight="false" outlineLevel="0" collapsed="false">
      <c r="A1783" s="9"/>
      <c r="B1783" s="9"/>
      <c r="C1783" s="9"/>
      <c r="D1783" s="9"/>
      <c r="E1783" s="9"/>
      <c r="F1783" s="9"/>
      <c r="G1783" s="9"/>
      <c r="H1783" s="9"/>
      <c r="I1783" s="9"/>
      <c r="J1783" s="10" t="str">
        <f aca="false">IF(A1783="","",IF(G1783&lt;&gt;"",G1783,IF(N(F1783)&gt;0,ROUND(1000/F1783,3),0)))</f>
        <v/>
      </c>
      <c r="K1783" s="10" t="str">
        <f aca="false">IF(OR(A1783="",E1783="",H1783=""),"",ROUND(0.00617*E1783^2*H1783*J1783,2))</f>
        <v/>
      </c>
      <c r="L1783" s="9"/>
      <c r="M1783" s="10" t="str">
        <f aca="false">IF(A1783="","",IF((COUNTIF(Drain_Register!$A$5:$A$304,A1783)+COUNTIF(RW_Register!$A$5:$A$304,A1783)+COUNTIF(Embedded_Wall_Register!$A$5:$A$304,A1783)+COUNTIF(Manhole_Register!$A$5:$A$304,A1783)+COUNTIF(ERSS_Pit_Register!$A$5:$A$304,A1783)+COUNTIF(Linkway_Register!$A$5:$A$304,A1783)+COUNTIF(Other_Register!$A$5:$A$304,A1783))&gt;0,"OK","ID not in any register"))</f>
        <v/>
      </c>
    </row>
    <row r="1784" customFormat="false" ht="15" hidden="false" customHeight="false" outlineLevel="0" collapsed="false">
      <c r="A1784" s="9"/>
      <c r="B1784" s="9"/>
      <c r="C1784" s="9"/>
      <c r="D1784" s="9"/>
      <c r="E1784" s="9"/>
      <c r="F1784" s="9"/>
      <c r="G1784" s="9"/>
      <c r="H1784" s="9"/>
      <c r="I1784" s="9"/>
      <c r="J1784" s="10" t="str">
        <f aca="false">IF(A1784="","",IF(G1784&lt;&gt;"",G1784,IF(N(F1784)&gt;0,ROUND(1000/F1784,3),0)))</f>
        <v/>
      </c>
      <c r="K1784" s="10" t="str">
        <f aca="false">IF(OR(A1784="",E1784="",H1784=""),"",ROUND(0.00617*E1784^2*H1784*J1784,2))</f>
        <v/>
      </c>
      <c r="L1784" s="9"/>
      <c r="M1784" s="10" t="str">
        <f aca="false">IF(A1784="","",IF((COUNTIF(Drain_Register!$A$5:$A$304,A1784)+COUNTIF(RW_Register!$A$5:$A$304,A1784)+COUNTIF(Embedded_Wall_Register!$A$5:$A$304,A1784)+COUNTIF(Manhole_Register!$A$5:$A$304,A1784)+COUNTIF(ERSS_Pit_Register!$A$5:$A$304,A1784)+COUNTIF(Linkway_Register!$A$5:$A$304,A1784)+COUNTIF(Other_Register!$A$5:$A$304,A1784))&gt;0,"OK","ID not in any register"))</f>
        <v/>
      </c>
    </row>
    <row r="1785" customFormat="false" ht="15" hidden="false" customHeight="false" outlineLevel="0" collapsed="false">
      <c r="A1785" s="9"/>
      <c r="B1785" s="9"/>
      <c r="C1785" s="9"/>
      <c r="D1785" s="9"/>
      <c r="E1785" s="9"/>
      <c r="F1785" s="9"/>
      <c r="G1785" s="9"/>
      <c r="H1785" s="9"/>
      <c r="I1785" s="9"/>
      <c r="J1785" s="10" t="str">
        <f aca="false">IF(A1785="","",IF(G1785&lt;&gt;"",G1785,IF(N(F1785)&gt;0,ROUND(1000/F1785,3),0)))</f>
        <v/>
      </c>
      <c r="K1785" s="10" t="str">
        <f aca="false">IF(OR(A1785="",E1785="",H1785=""),"",ROUND(0.00617*E1785^2*H1785*J1785,2))</f>
        <v/>
      </c>
      <c r="L1785" s="9"/>
      <c r="M1785" s="10" t="str">
        <f aca="false">IF(A1785="","",IF((COUNTIF(Drain_Register!$A$5:$A$304,A1785)+COUNTIF(RW_Register!$A$5:$A$304,A1785)+COUNTIF(Embedded_Wall_Register!$A$5:$A$304,A1785)+COUNTIF(Manhole_Register!$A$5:$A$304,A1785)+COUNTIF(ERSS_Pit_Register!$A$5:$A$304,A1785)+COUNTIF(Linkway_Register!$A$5:$A$304,A1785)+COUNTIF(Other_Register!$A$5:$A$304,A1785))&gt;0,"OK","ID not in any register"))</f>
        <v/>
      </c>
    </row>
    <row r="1786" customFormat="false" ht="15" hidden="false" customHeight="false" outlineLevel="0" collapsed="false">
      <c r="A1786" s="9"/>
      <c r="B1786" s="9"/>
      <c r="C1786" s="9"/>
      <c r="D1786" s="9"/>
      <c r="E1786" s="9"/>
      <c r="F1786" s="9"/>
      <c r="G1786" s="9"/>
      <c r="H1786" s="9"/>
      <c r="I1786" s="9"/>
      <c r="J1786" s="10" t="str">
        <f aca="false">IF(A1786="","",IF(G1786&lt;&gt;"",G1786,IF(N(F1786)&gt;0,ROUND(1000/F1786,3),0)))</f>
        <v/>
      </c>
      <c r="K1786" s="10" t="str">
        <f aca="false">IF(OR(A1786="",E1786="",H1786=""),"",ROUND(0.00617*E1786^2*H1786*J1786,2))</f>
        <v/>
      </c>
      <c r="L1786" s="9"/>
      <c r="M1786" s="10" t="str">
        <f aca="false">IF(A1786="","",IF((COUNTIF(Drain_Register!$A$5:$A$304,A1786)+COUNTIF(RW_Register!$A$5:$A$304,A1786)+COUNTIF(Embedded_Wall_Register!$A$5:$A$304,A1786)+COUNTIF(Manhole_Register!$A$5:$A$304,A1786)+COUNTIF(ERSS_Pit_Register!$A$5:$A$304,A1786)+COUNTIF(Linkway_Register!$A$5:$A$304,A1786)+COUNTIF(Other_Register!$A$5:$A$304,A1786))&gt;0,"OK","ID not in any register"))</f>
        <v/>
      </c>
    </row>
    <row r="1787" customFormat="false" ht="15" hidden="false" customHeight="false" outlineLevel="0" collapsed="false">
      <c r="A1787" s="9"/>
      <c r="B1787" s="9"/>
      <c r="C1787" s="9"/>
      <c r="D1787" s="9"/>
      <c r="E1787" s="9"/>
      <c r="F1787" s="9"/>
      <c r="G1787" s="9"/>
      <c r="H1787" s="9"/>
      <c r="I1787" s="9"/>
      <c r="J1787" s="10" t="str">
        <f aca="false">IF(A1787="","",IF(G1787&lt;&gt;"",G1787,IF(N(F1787)&gt;0,ROUND(1000/F1787,3),0)))</f>
        <v/>
      </c>
      <c r="K1787" s="10" t="str">
        <f aca="false">IF(OR(A1787="",E1787="",H1787=""),"",ROUND(0.00617*E1787^2*H1787*J1787,2))</f>
        <v/>
      </c>
      <c r="L1787" s="9"/>
      <c r="M1787" s="10" t="str">
        <f aca="false">IF(A1787="","",IF((COUNTIF(Drain_Register!$A$5:$A$304,A1787)+COUNTIF(RW_Register!$A$5:$A$304,A1787)+COUNTIF(Embedded_Wall_Register!$A$5:$A$304,A1787)+COUNTIF(Manhole_Register!$A$5:$A$304,A1787)+COUNTIF(ERSS_Pit_Register!$A$5:$A$304,A1787)+COUNTIF(Linkway_Register!$A$5:$A$304,A1787)+COUNTIF(Other_Register!$A$5:$A$304,A1787))&gt;0,"OK","ID not in any register"))</f>
        <v/>
      </c>
    </row>
    <row r="1788" customFormat="false" ht="15" hidden="false" customHeight="false" outlineLevel="0" collapsed="false">
      <c r="A1788" s="9"/>
      <c r="B1788" s="9"/>
      <c r="C1788" s="9"/>
      <c r="D1788" s="9"/>
      <c r="E1788" s="9"/>
      <c r="F1788" s="9"/>
      <c r="G1788" s="9"/>
      <c r="H1788" s="9"/>
      <c r="I1788" s="9"/>
      <c r="J1788" s="10" t="str">
        <f aca="false">IF(A1788="","",IF(G1788&lt;&gt;"",G1788,IF(N(F1788)&gt;0,ROUND(1000/F1788,3),0)))</f>
        <v/>
      </c>
      <c r="K1788" s="10" t="str">
        <f aca="false">IF(OR(A1788="",E1788="",H1788=""),"",ROUND(0.00617*E1788^2*H1788*J1788,2))</f>
        <v/>
      </c>
      <c r="L1788" s="9"/>
      <c r="M1788" s="10" t="str">
        <f aca="false">IF(A1788="","",IF((COUNTIF(Drain_Register!$A$5:$A$304,A1788)+COUNTIF(RW_Register!$A$5:$A$304,A1788)+COUNTIF(Embedded_Wall_Register!$A$5:$A$304,A1788)+COUNTIF(Manhole_Register!$A$5:$A$304,A1788)+COUNTIF(ERSS_Pit_Register!$A$5:$A$304,A1788)+COUNTIF(Linkway_Register!$A$5:$A$304,A1788)+COUNTIF(Other_Register!$A$5:$A$304,A1788))&gt;0,"OK","ID not in any register"))</f>
        <v/>
      </c>
    </row>
    <row r="1789" customFormat="false" ht="15" hidden="false" customHeight="false" outlineLevel="0" collapsed="false">
      <c r="A1789" s="9"/>
      <c r="B1789" s="9"/>
      <c r="C1789" s="9"/>
      <c r="D1789" s="9"/>
      <c r="E1789" s="9"/>
      <c r="F1789" s="9"/>
      <c r="G1789" s="9"/>
      <c r="H1789" s="9"/>
      <c r="I1789" s="9"/>
      <c r="J1789" s="10" t="str">
        <f aca="false">IF(A1789="","",IF(G1789&lt;&gt;"",G1789,IF(N(F1789)&gt;0,ROUND(1000/F1789,3),0)))</f>
        <v/>
      </c>
      <c r="K1789" s="10" t="str">
        <f aca="false">IF(OR(A1789="",E1789="",H1789=""),"",ROUND(0.00617*E1789^2*H1789*J1789,2))</f>
        <v/>
      </c>
      <c r="L1789" s="9"/>
      <c r="M1789" s="10" t="str">
        <f aca="false">IF(A1789="","",IF((COUNTIF(Drain_Register!$A$5:$A$304,A1789)+COUNTIF(RW_Register!$A$5:$A$304,A1789)+COUNTIF(Embedded_Wall_Register!$A$5:$A$304,A1789)+COUNTIF(Manhole_Register!$A$5:$A$304,A1789)+COUNTIF(ERSS_Pit_Register!$A$5:$A$304,A1789)+COUNTIF(Linkway_Register!$A$5:$A$304,A1789)+COUNTIF(Other_Register!$A$5:$A$304,A1789))&gt;0,"OK","ID not in any register"))</f>
        <v/>
      </c>
    </row>
    <row r="1790" customFormat="false" ht="15" hidden="false" customHeight="false" outlineLevel="0" collapsed="false">
      <c r="A1790" s="9"/>
      <c r="B1790" s="9"/>
      <c r="C1790" s="9"/>
      <c r="D1790" s="9"/>
      <c r="E1790" s="9"/>
      <c r="F1790" s="9"/>
      <c r="G1790" s="9"/>
      <c r="H1790" s="9"/>
      <c r="I1790" s="9"/>
      <c r="J1790" s="10" t="str">
        <f aca="false">IF(A1790="","",IF(G1790&lt;&gt;"",G1790,IF(N(F1790)&gt;0,ROUND(1000/F1790,3),0)))</f>
        <v/>
      </c>
      <c r="K1790" s="10" t="str">
        <f aca="false">IF(OR(A1790="",E1790="",H1790=""),"",ROUND(0.00617*E1790^2*H1790*J1790,2))</f>
        <v/>
      </c>
      <c r="L1790" s="9"/>
      <c r="M1790" s="10" t="str">
        <f aca="false">IF(A1790="","",IF((COUNTIF(Drain_Register!$A$5:$A$304,A1790)+COUNTIF(RW_Register!$A$5:$A$304,A1790)+COUNTIF(Embedded_Wall_Register!$A$5:$A$304,A1790)+COUNTIF(Manhole_Register!$A$5:$A$304,A1790)+COUNTIF(ERSS_Pit_Register!$A$5:$A$304,A1790)+COUNTIF(Linkway_Register!$A$5:$A$304,A1790)+COUNTIF(Other_Register!$A$5:$A$304,A1790))&gt;0,"OK","ID not in any register"))</f>
        <v/>
      </c>
    </row>
    <row r="1791" customFormat="false" ht="15" hidden="false" customHeight="false" outlineLevel="0" collapsed="false">
      <c r="A1791" s="9"/>
      <c r="B1791" s="9"/>
      <c r="C1791" s="9"/>
      <c r="D1791" s="9"/>
      <c r="E1791" s="9"/>
      <c r="F1791" s="9"/>
      <c r="G1791" s="9"/>
      <c r="H1791" s="9"/>
      <c r="I1791" s="9"/>
      <c r="J1791" s="10" t="str">
        <f aca="false">IF(A1791="","",IF(G1791&lt;&gt;"",G1791,IF(N(F1791)&gt;0,ROUND(1000/F1791,3),0)))</f>
        <v/>
      </c>
      <c r="K1791" s="10" t="str">
        <f aca="false">IF(OR(A1791="",E1791="",H1791=""),"",ROUND(0.00617*E1791^2*H1791*J1791,2))</f>
        <v/>
      </c>
      <c r="L1791" s="9"/>
      <c r="M1791" s="10" t="str">
        <f aca="false">IF(A1791="","",IF((COUNTIF(Drain_Register!$A$5:$A$304,A1791)+COUNTIF(RW_Register!$A$5:$A$304,A1791)+COUNTIF(Embedded_Wall_Register!$A$5:$A$304,A1791)+COUNTIF(Manhole_Register!$A$5:$A$304,A1791)+COUNTIF(ERSS_Pit_Register!$A$5:$A$304,A1791)+COUNTIF(Linkway_Register!$A$5:$A$304,A1791)+COUNTIF(Other_Register!$A$5:$A$304,A1791))&gt;0,"OK","ID not in any register"))</f>
        <v/>
      </c>
    </row>
    <row r="1792" customFormat="false" ht="15" hidden="false" customHeight="false" outlineLevel="0" collapsed="false">
      <c r="A1792" s="9"/>
      <c r="B1792" s="9"/>
      <c r="C1792" s="9"/>
      <c r="D1792" s="9"/>
      <c r="E1792" s="9"/>
      <c r="F1792" s="9"/>
      <c r="G1792" s="9"/>
      <c r="H1792" s="9"/>
      <c r="I1792" s="9"/>
      <c r="J1792" s="10" t="str">
        <f aca="false">IF(A1792="","",IF(G1792&lt;&gt;"",G1792,IF(N(F1792)&gt;0,ROUND(1000/F1792,3),0)))</f>
        <v/>
      </c>
      <c r="K1792" s="10" t="str">
        <f aca="false">IF(OR(A1792="",E1792="",H1792=""),"",ROUND(0.00617*E1792^2*H1792*J1792,2))</f>
        <v/>
      </c>
      <c r="L1792" s="9"/>
      <c r="M1792" s="10" t="str">
        <f aca="false">IF(A1792="","",IF((COUNTIF(Drain_Register!$A$5:$A$304,A1792)+COUNTIF(RW_Register!$A$5:$A$304,A1792)+COUNTIF(Embedded_Wall_Register!$A$5:$A$304,A1792)+COUNTIF(Manhole_Register!$A$5:$A$304,A1792)+COUNTIF(ERSS_Pit_Register!$A$5:$A$304,A1792)+COUNTIF(Linkway_Register!$A$5:$A$304,A1792)+COUNTIF(Other_Register!$A$5:$A$304,A1792))&gt;0,"OK","ID not in any register"))</f>
        <v/>
      </c>
    </row>
    <row r="1793" customFormat="false" ht="15" hidden="false" customHeight="false" outlineLevel="0" collapsed="false">
      <c r="A1793" s="9"/>
      <c r="B1793" s="9"/>
      <c r="C1793" s="9"/>
      <c r="D1793" s="9"/>
      <c r="E1793" s="9"/>
      <c r="F1793" s="9"/>
      <c r="G1793" s="9"/>
      <c r="H1793" s="9"/>
      <c r="I1793" s="9"/>
      <c r="J1793" s="10" t="str">
        <f aca="false">IF(A1793="","",IF(G1793&lt;&gt;"",G1793,IF(N(F1793)&gt;0,ROUND(1000/F1793,3),0)))</f>
        <v/>
      </c>
      <c r="K1793" s="10" t="str">
        <f aca="false">IF(OR(A1793="",E1793="",H1793=""),"",ROUND(0.00617*E1793^2*H1793*J1793,2))</f>
        <v/>
      </c>
      <c r="L1793" s="9"/>
      <c r="M1793" s="10" t="str">
        <f aca="false">IF(A1793="","",IF((COUNTIF(Drain_Register!$A$5:$A$304,A1793)+COUNTIF(RW_Register!$A$5:$A$304,A1793)+COUNTIF(Embedded_Wall_Register!$A$5:$A$304,A1793)+COUNTIF(Manhole_Register!$A$5:$A$304,A1793)+COUNTIF(ERSS_Pit_Register!$A$5:$A$304,A1793)+COUNTIF(Linkway_Register!$A$5:$A$304,A1793)+COUNTIF(Other_Register!$A$5:$A$304,A1793))&gt;0,"OK","ID not in any register"))</f>
        <v/>
      </c>
    </row>
    <row r="1794" customFormat="false" ht="15" hidden="false" customHeight="false" outlineLevel="0" collapsed="false">
      <c r="A1794" s="9"/>
      <c r="B1794" s="9"/>
      <c r="C1794" s="9"/>
      <c r="D1794" s="9"/>
      <c r="E1794" s="9"/>
      <c r="F1794" s="9"/>
      <c r="G1794" s="9"/>
      <c r="H1794" s="9"/>
      <c r="I1794" s="9"/>
      <c r="J1794" s="10" t="str">
        <f aca="false">IF(A1794="","",IF(G1794&lt;&gt;"",G1794,IF(N(F1794)&gt;0,ROUND(1000/F1794,3),0)))</f>
        <v/>
      </c>
      <c r="K1794" s="10" t="str">
        <f aca="false">IF(OR(A1794="",E1794="",H1794=""),"",ROUND(0.00617*E1794^2*H1794*J1794,2))</f>
        <v/>
      </c>
      <c r="L1794" s="9"/>
      <c r="M1794" s="10" t="str">
        <f aca="false">IF(A1794="","",IF((COUNTIF(Drain_Register!$A$5:$A$304,A1794)+COUNTIF(RW_Register!$A$5:$A$304,A1794)+COUNTIF(Embedded_Wall_Register!$A$5:$A$304,A1794)+COUNTIF(Manhole_Register!$A$5:$A$304,A1794)+COUNTIF(ERSS_Pit_Register!$A$5:$A$304,A1794)+COUNTIF(Linkway_Register!$A$5:$A$304,A1794)+COUNTIF(Other_Register!$A$5:$A$304,A1794))&gt;0,"OK","ID not in any register"))</f>
        <v/>
      </c>
    </row>
    <row r="1795" customFormat="false" ht="15" hidden="false" customHeight="false" outlineLevel="0" collapsed="false">
      <c r="A1795" s="9"/>
      <c r="B1795" s="9"/>
      <c r="C1795" s="9"/>
      <c r="D1795" s="9"/>
      <c r="E1795" s="9"/>
      <c r="F1795" s="9"/>
      <c r="G1795" s="9"/>
      <c r="H1795" s="9"/>
      <c r="I1795" s="9"/>
      <c r="J1795" s="10" t="str">
        <f aca="false">IF(A1795="","",IF(G1795&lt;&gt;"",G1795,IF(N(F1795)&gt;0,ROUND(1000/F1795,3),0)))</f>
        <v/>
      </c>
      <c r="K1795" s="10" t="str">
        <f aca="false">IF(OR(A1795="",E1795="",H1795=""),"",ROUND(0.00617*E1795^2*H1795*J1795,2))</f>
        <v/>
      </c>
      <c r="L1795" s="9"/>
      <c r="M1795" s="10" t="str">
        <f aca="false">IF(A1795="","",IF((COUNTIF(Drain_Register!$A$5:$A$304,A1795)+COUNTIF(RW_Register!$A$5:$A$304,A1795)+COUNTIF(Embedded_Wall_Register!$A$5:$A$304,A1795)+COUNTIF(Manhole_Register!$A$5:$A$304,A1795)+COUNTIF(ERSS_Pit_Register!$A$5:$A$304,A1795)+COUNTIF(Linkway_Register!$A$5:$A$304,A1795)+COUNTIF(Other_Register!$A$5:$A$304,A1795))&gt;0,"OK","ID not in any register"))</f>
        <v/>
      </c>
    </row>
    <row r="1796" customFormat="false" ht="15" hidden="false" customHeight="false" outlineLevel="0" collapsed="false">
      <c r="A1796" s="9"/>
      <c r="B1796" s="9"/>
      <c r="C1796" s="9"/>
      <c r="D1796" s="9"/>
      <c r="E1796" s="9"/>
      <c r="F1796" s="9"/>
      <c r="G1796" s="9"/>
      <c r="H1796" s="9"/>
      <c r="I1796" s="9"/>
      <c r="J1796" s="10" t="str">
        <f aca="false">IF(A1796="","",IF(G1796&lt;&gt;"",G1796,IF(N(F1796)&gt;0,ROUND(1000/F1796,3),0)))</f>
        <v/>
      </c>
      <c r="K1796" s="10" t="str">
        <f aca="false">IF(OR(A1796="",E1796="",H1796=""),"",ROUND(0.00617*E1796^2*H1796*J1796,2))</f>
        <v/>
      </c>
      <c r="L1796" s="9"/>
      <c r="M1796" s="10" t="str">
        <f aca="false">IF(A1796="","",IF((COUNTIF(Drain_Register!$A$5:$A$304,A1796)+COUNTIF(RW_Register!$A$5:$A$304,A1796)+COUNTIF(Embedded_Wall_Register!$A$5:$A$304,A1796)+COUNTIF(Manhole_Register!$A$5:$A$304,A1796)+COUNTIF(ERSS_Pit_Register!$A$5:$A$304,A1796)+COUNTIF(Linkway_Register!$A$5:$A$304,A1796)+COUNTIF(Other_Register!$A$5:$A$304,A1796))&gt;0,"OK","ID not in any register"))</f>
        <v/>
      </c>
    </row>
    <row r="1797" customFormat="false" ht="15" hidden="false" customHeight="false" outlineLevel="0" collapsed="false">
      <c r="A1797" s="9"/>
      <c r="B1797" s="9"/>
      <c r="C1797" s="9"/>
      <c r="D1797" s="9"/>
      <c r="E1797" s="9"/>
      <c r="F1797" s="9"/>
      <c r="G1797" s="9"/>
      <c r="H1797" s="9"/>
      <c r="I1797" s="9"/>
      <c r="J1797" s="10" t="str">
        <f aca="false">IF(A1797="","",IF(G1797&lt;&gt;"",G1797,IF(N(F1797)&gt;0,ROUND(1000/F1797,3),0)))</f>
        <v/>
      </c>
      <c r="K1797" s="10" t="str">
        <f aca="false">IF(OR(A1797="",E1797="",H1797=""),"",ROUND(0.00617*E1797^2*H1797*J1797,2))</f>
        <v/>
      </c>
      <c r="L1797" s="9"/>
      <c r="M1797" s="10" t="str">
        <f aca="false">IF(A1797="","",IF((COUNTIF(Drain_Register!$A$5:$A$304,A1797)+COUNTIF(RW_Register!$A$5:$A$304,A1797)+COUNTIF(Embedded_Wall_Register!$A$5:$A$304,A1797)+COUNTIF(Manhole_Register!$A$5:$A$304,A1797)+COUNTIF(ERSS_Pit_Register!$A$5:$A$304,A1797)+COUNTIF(Linkway_Register!$A$5:$A$304,A1797)+COUNTIF(Other_Register!$A$5:$A$304,A1797))&gt;0,"OK","ID not in any register"))</f>
        <v/>
      </c>
    </row>
    <row r="1798" customFormat="false" ht="15" hidden="false" customHeight="false" outlineLevel="0" collapsed="false">
      <c r="A1798" s="9"/>
      <c r="B1798" s="9"/>
      <c r="C1798" s="9"/>
      <c r="D1798" s="9"/>
      <c r="E1798" s="9"/>
      <c r="F1798" s="9"/>
      <c r="G1798" s="9"/>
      <c r="H1798" s="9"/>
      <c r="I1798" s="9"/>
      <c r="J1798" s="10" t="str">
        <f aca="false">IF(A1798="","",IF(G1798&lt;&gt;"",G1798,IF(N(F1798)&gt;0,ROUND(1000/F1798,3),0)))</f>
        <v/>
      </c>
      <c r="K1798" s="10" t="str">
        <f aca="false">IF(OR(A1798="",E1798="",H1798=""),"",ROUND(0.00617*E1798^2*H1798*J1798,2))</f>
        <v/>
      </c>
      <c r="L1798" s="9"/>
      <c r="M1798" s="10" t="str">
        <f aca="false">IF(A1798="","",IF((COUNTIF(Drain_Register!$A$5:$A$304,A1798)+COUNTIF(RW_Register!$A$5:$A$304,A1798)+COUNTIF(Embedded_Wall_Register!$A$5:$A$304,A1798)+COUNTIF(Manhole_Register!$A$5:$A$304,A1798)+COUNTIF(ERSS_Pit_Register!$A$5:$A$304,A1798)+COUNTIF(Linkway_Register!$A$5:$A$304,A1798)+COUNTIF(Other_Register!$A$5:$A$304,A1798))&gt;0,"OK","ID not in any register"))</f>
        <v/>
      </c>
    </row>
    <row r="1799" customFormat="false" ht="15" hidden="false" customHeight="false" outlineLevel="0" collapsed="false">
      <c r="A1799" s="9"/>
      <c r="B1799" s="9"/>
      <c r="C1799" s="9"/>
      <c r="D1799" s="9"/>
      <c r="E1799" s="9"/>
      <c r="F1799" s="9"/>
      <c r="G1799" s="9"/>
      <c r="H1799" s="9"/>
      <c r="I1799" s="9"/>
      <c r="J1799" s="10" t="str">
        <f aca="false">IF(A1799="","",IF(G1799&lt;&gt;"",G1799,IF(N(F1799)&gt;0,ROUND(1000/F1799,3),0)))</f>
        <v/>
      </c>
      <c r="K1799" s="10" t="str">
        <f aca="false">IF(OR(A1799="",E1799="",H1799=""),"",ROUND(0.00617*E1799^2*H1799*J1799,2))</f>
        <v/>
      </c>
      <c r="L1799" s="9"/>
      <c r="M1799" s="10" t="str">
        <f aca="false">IF(A1799="","",IF((COUNTIF(Drain_Register!$A$5:$A$304,A1799)+COUNTIF(RW_Register!$A$5:$A$304,A1799)+COUNTIF(Embedded_Wall_Register!$A$5:$A$304,A1799)+COUNTIF(Manhole_Register!$A$5:$A$304,A1799)+COUNTIF(ERSS_Pit_Register!$A$5:$A$304,A1799)+COUNTIF(Linkway_Register!$A$5:$A$304,A1799)+COUNTIF(Other_Register!$A$5:$A$304,A1799))&gt;0,"OK","ID not in any register"))</f>
        <v/>
      </c>
    </row>
    <row r="1800" customFormat="false" ht="15" hidden="false" customHeight="false" outlineLevel="0" collapsed="false">
      <c r="A1800" s="9"/>
      <c r="B1800" s="9"/>
      <c r="C1800" s="9"/>
      <c r="D1800" s="9"/>
      <c r="E1800" s="9"/>
      <c r="F1800" s="9"/>
      <c r="G1800" s="9"/>
      <c r="H1800" s="9"/>
      <c r="I1800" s="9"/>
      <c r="J1800" s="10" t="str">
        <f aca="false">IF(A1800="","",IF(G1800&lt;&gt;"",G1800,IF(N(F1800)&gt;0,ROUND(1000/F1800,3),0)))</f>
        <v/>
      </c>
      <c r="K1800" s="10" t="str">
        <f aca="false">IF(OR(A1800="",E1800="",H1800=""),"",ROUND(0.00617*E1800^2*H1800*J1800,2))</f>
        <v/>
      </c>
      <c r="L1800" s="9"/>
      <c r="M1800" s="10" t="str">
        <f aca="false">IF(A1800="","",IF((COUNTIF(Drain_Register!$A$5:$A$304,A1800)+COUNTIF(RW_Register!$A$5:$A$304,A1800)+COUNTIF(Embedded_Wall_Register!$A$5:$A$304,A1800)+COUNTIF(Manhole_Register!$A$5:$A$304,A1800)+COUNTIF(ERSS_Pit_Register!$A$5:$A$304,A1800)+COUNTIF(Linkway_Register!$A$5:$A$304,A1800)+COUNTIF(Other_Register!$A$5:$A$304,A1800))&gt;0,"OK","ID not in any register"))</f>
        <v/>
      </c>
    </row>
    <row r="1801" customFormat="false" ht="15" hidden="false" customHeight="false" outlineLevel="0" collapsed="false">
      <c r="A1801" s="9"/>
      <c r="B1801" s="9"/>
      <c r="C1801" s="9"/>
      <c r="D1801" s="9"/>
      <c r="E1801" s="9"/>
      <c r="F1801" s="9"/>
      <c r="G1801" s="9"/>
      <c r="H1801" s="9"/>
      <c r="I1801" s="9"/>
      <c r="J1801" s="10" t="str">
        <f aca="false">IF(A1801="","",IF(G1801&lt;&gt;"",G1801,IF(N(F1801)&gt;0,ROUND(1000/F1801,3),0)))</f>
        <v/>
      </c>
      <c r="K1801" s="10" t="str">
        <f aca="false">IF(OR(A1801="",E1801="",H1801=""),"",ROUND(0.00617*E1801^2*H1801*J1801,2))</f>
        <v/>
      </c>
      <c r="L1801" s="9"/>
      <c r="M1801" s="10" t="str">
        <f aca="false">IF(A1801="","",IF((COUNTIF(Drain_Register!$A$5:$A$304,A1801)+COUNTIF(RW_Register!$A$5:$A$304,A1801)+COUNTIF(Embedded_Wall_Register!$A$5:$A$304,A1801)+COUNTIF(Manhole_Register!$A$5:$A$304,A1801)+COUNTIF(ERSS_Pit_Register!$A$5:$A$304,A1801)+COUNTIF(Linkway_Register!$A$5:$A$304,A1801)+COUNTIF(Other_Register!$A$5:$A$304,A1801))&gt;0,"OK","ID not in any register"))</f>
        <v/>
      </c>
    </row>
    <row r="1802" customFormat="false" ht="15" hidden="false" customHeight="false" outlineLevel="0" collapsed="false">
      <c r="A1802" s="9"/>
      <c r="B1802" s="9"/>
      <c r="C1802" s="9"/>
      <c r="D1802" s="9"/>
      <c r="E1802" s="9"/>
      <c r="F1802" s="9"/>
      <c r="G1802" s="9"/>
      <c r="H1802" s="9"/>
      <c r="I1802" s="9"/>
      <c r="J1802" s="10" t="str">
        <f aca="false">IF(A1802="","",IF(G1802&lt;&gt;"",G1802,IF(N(F1802)&gt;0,ROUND(1000/F1802,3),0)))</f>
        <v/>
      </c>
      <c r="K1802" s="10" t="str">
        <f aca="false">IF(OR(A1802="",E1802="",H1802=""),"",ROUND(0.00617*E1802^2*H1802*J1802,2))</f>
        <v/>
      </c>
      <c r="L1802" s="9"/>
      <c r="M1802" s="10" t="str">
        <f aca="false">IF(A1802="","",IF((COUNTIF(Drain_Register!$A$5:$A$304,A1802)+COUNTIF(RW_Register!$A$5:$A$304,A1802)+COUNTIF(Embedded_Wall_Register!$A$5:$A$304,A1802)+COUNTIF(Manhole_Register!$A$5:$A$304,A1802)+COUNTIF(ERSS_Pit_Register!$A$5:$A$304,A1802)+COUNTIF(Linkway_Register!$A$5:$A$304,A1802)+COUNTIF(Other_Register!$A$5:$A$304,A1802))&gt;0,"OK","ID not in any register"))</f>
        <v/>
      </c>
    </row>
    <row r="1803" customFormat="false" ht="15" hidden="false" customHeight="false" outlineLevel="0" collapsed="false">
      <c r="A1803" s="9"/>
      <c r="B1803" s="9"/>
      <c r="C1803" s="9"/>
      <c r="D1803" s="9"/>
      <c r="E1803" s="9"/>
      <c r="F1803" s="9"/>
      <c r="G1803" s="9"/>
      <c r="H1803" s="9"/>
      <c r="I1803" s="9"/>
      <c r="J1803" s="10" t="str">
        <f aca="false">IF(A1803="","",IF(G1803&lt;&gt;"",G1803,IF(N(F1803)&gt;0,ROUND(1000/F1803,3),0)))</f>
        <v/>
      </c>
      <c r="K1803" s="10" t="str">
        <f aca="false">IF(OR(A1803="",E1803="",H1803=""),"",ROUND(0.00617*E1803^2*H1803*J1803,2))</f>
        <v/>
      </c>
      <c r="L1803" s="9"/>
      <c r="M1803" s="10" t="str">
        <f aca="false">IF(A1803="","",IF((COUNTIF(Drain_Register!$A$5:$A$304,A1803)+COUNTIF(RW_Register!$A$5:$A$304,A1803)+COUNTIF(Embedded_Wall_Register!$A$5:$A$304,A1803)+COUNTIF(Manhole_Register!$A$5:$A$304,A1803)+COUNTIF(ERSS_Pit_Register!$A$5:$A$304,A1803)+COUNTIF(Linkway_Register!$A$5:$A$304,A1803)+COUNTIF(Other_Register!$A$5:$A$304,A1803))&gt;0,"OK","ID not in any register"))</f>
        <v/>
      </c>
    </row>
    <row r="1804" customFormat="false" ht="15" hidden="false" customHeight="false" outlineLevel="0" collapsed="false">
      <c r="A1804" s="9"/>
      <c r="B1804" s="9"/>
      <c r="C1804" s="9"/>
      <c r="D1804" s="9"/>
      <c r="E1804" s="9"/>
      <c r="F1804" s="9"/>
      <c r="G1804" s="9"/>
      <c r="H1804" s="9"/>
      <c r="I1804" s="9"/>
      <c r="J1804" s="10" t="str">
        <f aca="false">IF(A1804="","",IF(G1804&lt;&gt;"",G1804,IF(N(F1804)&gt;0,ROUND(1000/F1804,3),0)))</f>
        <v/>
      </c>
      <c r="K1804" s="10" t="str">
        <f aca="false">IF(OR(A1804="",E1804="",H1804=""),"",ROUND(0.00617*E1804^2*H1804*J1804,2))</f>
        <v/>
      </c>
      <c r="L1804" s="9"/>
      <c r="M1804" s="10" t="str">
        <f aca="false">IF(A1804="","",IF((COUNTIF(Drain_Register!$A$5:$A$304,A1804)+COUNTIF(RW_Register!$A$5:$A$304,A1804)+COUNTIF(Embedded_Wall_Register!$A$5:$A$304,A1804)+COUNTIF(Manhole_Register!$A$5:$A$304,A1804)+COUNTIF(ERSS_Pit_Register!$A$5:$A$304,A1804)+COUNTIF(Linkway_Register!$A$5:$A$304,A1804)+COUNTIF(Other_Register!$A$5:$A$304,A1804))&gt;0,"OK","ID not in any register"))</f>
        <v/>
      </c>
    </row>
    <row r="1805" customFormat="false" ht="15" hidden="false" customHeight="false" outlineLevel="0" collapsed="false">
      <c r="A1805" s="9"/>
      <c r="B1805" s="9"/>
      <c r="C1805" s="9"/>
      <c r="D1805" s="9"/>
      <c r="E1805" s="9"/>
      <c r="F1805" s="9"/>
      <c r="G1805" s="9"/>
      <c r="H1805" s="9"/>
      <c r="I1805" s="9"/>
      <c r="J1805" s="10" t="str">
        <f aca="false">IF(A1805="","",IF(G1805&lt;&gt;"",G1805,IF(N(F1805)&gt;0,ROUND(1000/F1805,3),0)))</f>
        <v/>
      </c>
      <c r="K1805" s="10" t="str">
        <f aca="false">IF(OR(A1805="",E1805="",H1805=""),"",ROUND(0.00617*E1805^2*H1805*J1805,2))</f>
        <v/>
      </c>
      <c r="L1805" s="9"/>
      <c r="M1805" s="10" t="str">
        <f aca="false">IF(A1805="","",IF((COUNTIF(Drain_Register!$A$5:$A$304,A1805)+COUNTIF(RW_Register!$A$5:$A$304,A1805)+COUNTIF(Embedded_Wall_Register!$A$5:$A$304,A1805)+COUNTIF(Manhole_Register!$A$5:$A$304,A1805)+COUNTIF(ERSS_Pit_Register!$A$5:$A$304,A1805)+COUNTIF(Linkway_Register!$A$5:$A$304,A1805)+COUNTIF(Other_Register!$A$5:$A$304,A1805))&gt;0,"OK","ID not in any register"))</f>
        <v/>
      </c>
    </row>
    <row r="1806" customFormat="false" ht="15" hidden="false" customHeight="false" outlineLevel="0" collapsed="false">
      <c r="A1806" s="9"/>
      <c r="B1806" s="9"/>
      <c r="C1806" s="9"/>
      <c r="D1806" s="9"/>
      <c r="E1806" s="9"/>
      <c r="F1806" s="9"/>
      <c r="G1806" s="9"/>
      <c r="H1806" s="9"/>
      <c r="I1806" s="9"/>
      <c r="J1806" s="10" t="str">
        <f aca="false">IF(A1806="","",IF(G1806&lt;&gt;"",G1806,IF(N(F1806)&gt;0,ROUND(1000/F1806,3),0)))</f>
        <v/>
      </c>
      <c r="K1806" s="10" t="str">
        <f aca="false">IF(OR(A1806="",E1806="",H1806=""),"",ROUND(0.00617*E1806^2*H1806*J1806,2))</f>
        <v/>
      </c>
      <c r="L1806" s="9"/>
      <c r="M1806" s="10" t="str">
        <f aca="false">IF(A1806="","",IF((COUNTIF(Drain_Register!$A$5:$A$304,A1806)+COUNTIF(RW_Register!$A$5:$A$304,A1806)+COUNTIF(Embedded_Wall_Register!$A$5:$A$304,A1806)+COUNTIF(Manhole_Register!$A$5:$A$304,A1806)+COUNTIF(ERSS_Pit_Register!$A$5:$A$304,A1806)+COUNTIF(Linkway_Register!$A$5:$A$304,A1806)+COUNTIF(Other_Register!$A$5:$A$304,A1806))&gt;0,"OK","ID not in any register"))</f>
        <v/>
      </c>
    </row>
    <row r="1807" customFormat="false" ht="15" hidden="false" customHeight="false" outlineLevel="0" collapsed="false">
      <c r="A1807" s="9"/>
      <c r="B1807" s="9"/>
      <c r="C1807" s="9"/>
      <c r="D1807" s="9"/>
      <c r="E1807" s="9"/>
      <c r="F1807" s="9"/>
      <c r="G1807" s="9"/>
      <c r="H1807" s="9"/>
      <c r="I1807" s="9"/>
      <c r="J1807" s="10" t="str">
        <f aca="false">IF(A1807="","",IF(G1807&lt;&gt;"",G1807,IF(N(F1807)&gt;0,ROUND(1000/F1807,3),0)))</f>
        <v/>
      </c>
      <c r="K1807" s="10" t="str">
        <f aca="false">IF(OR(A1807="",E1807="",H1807=""),"",ROUND(0.00617*E1807^2*H1807*J1807,2))</f>
        <v/>
      </c>
      <c r="L1807" s="9"/>
      <c r="M1807" s="10" t="str">
        <f aca="false">IF(A1807="","",IF((COUNTIF(Drain_Register!$A$5:$A$304,A1807)+COUNTIF(RW_Register!$A$5:$A$304,A1807)+COUNTIF(Embedded_Wall_Register!$A$5:$A$304,A1807)+COUNTIF(Manhole_Register!$A$5:$A$304,A1807)+COUNTIF(ERSS_Pit_Register!$A$5:$A$304,A1807)+COUNTIF(Linkway_Register!$A$5:$A$304,A1807)+COUNTIF(Other_Register!$A$5:$A$304,A1807))&gt;0,"OK","ID not in any register"))</f>
        <v/>
      </c>
    </row>
    <row r="1808" customFormat="false" ht="15" hidden="false" customHeight="false" outlineLevel="0" collapsed="false">
      <c r="A1808" s="9"/>
      <c r="B1808" s="9"/>
      <c r="C1808" s="9"/>
      <c r="D1808" s="9"/>
      <c r="E1808" s="9"/>
      <c r="F1808" s="9"/>
      <c r="G1808" s="9"/>
      <c r="H1808" s="9"/>
      <c r="I1808" s="9"/>
      <c r="J1808" s="10" t="str">
        <f aca="false">IF(A1808="","",IF(G1808&lt;&gt;"",G1808,IF(N(F1808)&gt;0,ROUND(1000/F1808,3),0)))</f>
        <v/>
      </c>
      <c r="K1808" s="10" t="str">
        <f aca="false">IF(OR(A1808="",E1808="",H1808=""),"",ROUND(0.00617*E1808^2*H1808*J1808,2))</f>
        <v/>
      </c>
      <c r="L1808" s="9"/>
      <c r="M1808" s="10" t="str">
        <f aca="false">IF(A1808="","",IF((COUNTIF(Drain_Register!$A$5:$A$304,A1808)+COUNTIF(RW_Register!$A$5:$A$304,A1808)+COUNTIF(Embedded_Wall_Register!$A$5:$A$304,A1808)+COUNTIF(Manhole_Register!$A$5:$A$304,A1808)+COUNTIF(ERSS_Pit_Register!$A$5:$A$304,A1808)+COUNTIF(Linkway_Register!$A$5:$A$304,A1808)+COUNTIF(Other_Register!$A$5:$A$304,A1808))&gt;0,"OK","ID not in any register"))</f>
        <v/>
      </c>
    </row>
    <row r="1809" customFormat="false" ht="15" hidden="false" customHeight="false" outlineLevel="0" collapsed="false">
      <c r="A1809" s="9"/>
      <c r="B1809" s="9"/>
      <c r="C1809" s="9"/>
      <c r="D1809" s="9"/>
      <c r="E1809" s="9"/>
      <c r="F1809" s="9"/>
      <c r="G1809" s="9"/>
      <c r="H1809" s="9"/>
      <c r="I1809" s="9"/>
      <c r="J1809" s="10" t="str">
        <f aca="false">IF(A1809="","",IF(G1809&lt;&gt;"",G1809,IF(N(F1809)&gt;0,ROUND(1000/F1809,3),0)))</f>
        <v/>
      </c>
      <c r="K1809" s="10" t="str">
        <f aca="false">IF(OR(A1809="",E1809="",H1809=""),"",ROUND(0.00617*E1809^2*H1809*J1809,2))</f>
        <v/>
      </c>
      <c r="L1809" s="9"/>
      <c r="M1809" s="10" t="str">
        <f aca="false">IF(A1809="","",IF((COUNTIF(Drain_Register!$A$5:$A$304,A1809)+COUNTIF(RW_Register!$A$5:$A$304,A1809)+COUNTIF(Embedded_Wall_Register!$A$5:$A$304,A1809)+COUNTIF(Manhole_Register!$A$5:$A$304,A1809)+COUNTIF(ERSS_Pit_Register!$A$5:$A$304,A1809)+COUNTIF(Linkway_Register!$A$5:$A$304,A1809)+COUNTIF(Other_Register!$A$5:$A$304,A1809))&gt;0,"OK","ID not in any register"))</f>
        <v/>
      </c>
    </row>
    <row r="1810" customFormat="false" ht="15" hidden="false" customHeight="false" outlineLevel="0" collapsed="false">
      <c r="A1810" s="9"/>
      <c r="B1810" s="9"/>
      <c r="C1810" s="9"/>
      <c r="D1810" s="9"/>
      <c r="E1810" s="9"/>
      <c r="F1810" s="9"/>
      <c r="G1810" s="9"/>
      <c r="H1810" s="9"/>
      <c r="I1810" s="9"/>
      <c r="J1810" s="10" t="str">
        <f aca="false">IF(A1810="","",IF(G1810&lt;&gt;"",G1810,IF(N(F1810)&gt;0,ROUND(1000/F1810,3),0)))</f>
        <v/>
      </c>
      <c r="K1810" s="10" t="str">
        <f aca="false">IF(OR(A1810="",E1810="",H1810=""),"",ROUND(0.00617*E1810^2*H1810*J1810,2))</f>
        <v/>
      </c>
      <c r="L1810" s="9"/>
      <c r="M1810" s="10" t="str">
        <f aca="false">IF(A1810="","",IF((COUNTIF(Drain_Register!$A$5:$A$304,A1810)+COUNTIF(RW_Register!$A$5:$A$304,A1810)+COUNTIF(Embedded_Wall_Register!$A$5:$A$304,A1810)+COUNTIF(Manhole_Register!$A$5:$A$304,A1810)+COUNTIF(ERSS_Pit_Register!$A$5:$A$304,A1810)+COUNTIF(Linkway_Register!$A$5:$A$304,A1810)+COUNTIF(Other_Register!$A$5:$A$304,A1810))&gt;0,"OK","ID not in any register"))</f>
        <v/>
      </c>
    </row>
    <row r="1811" customFormat="false" ht="15" hidden="false" customHeight="false" outlineLevel="0" collapsed="false">
      <c r="A1811" s="9"/>
      <c r="B1811" s="9"/>
      <c r="C1811" s="9"/>
      <c r="D1811" s="9"/>
      <c r="E1811" s="9"/>
      <c r="F1811" s="9"/>
      <c r="G1811" s="9"/>
      <c r="H1811" s="9"/>
      <c r="I1811" s="9"/>
      <c r="J1811" s="10" t="str">
        <f aca="false">IF(A1811="","",IF(G1811&lt;&gt;"",G1811,IF(N(F1811)&gt;0,ROUND(1000/F1811,3),0)))</f>
        <v/>
      </c>
      <c r="K1811" s="10" t="str">
        <f aca="false">IF(OR(A1811="",E1811="",H1811=""),"",ROUND(0.00617*E1811^2*H1811*J1811,2))</f>
        <v/>
      </c>
      <c r="L1811" s="9"/>
      <c r="M1811" s="10" t="str">
        <f aca="false">IF(A1811="","",IF((COUNTIF(Drain_Register!$A$5:$A$304,A1811)+COUNTIF(RW_Register!$A$5:$A$304,A1811)+COUNTIF(Embedded_Wall_Register!$A$5:$A$304,A1811)+COUNTIF(Manhole_Register!$A$5:$A$304,A1811)+COUNTIF(ERSS_Pit_Register!$A$5:$A$304,A1811)+COUNTIF(Linkway_Register!$A$5:$A$304,A1811)+COUNTIF(Other_Register!$A$5:$A$304,A1811))&gt;0,"OK","ID not in any register"))</f>
        <v/>
      </c>
    </row>
    <row r="1812" customFormat="false" ht="15" hidden="false" customHeight="false" outlineLevel="0" collapsed="false">
      <c r="A1812" s="9"/>
      <c r="B1812" s="9"/>
      <c r="C1812" s="9"/>
      <c r="D1812" s="9"/>
      <c r="E1812" s="9"/>
      <c r="F1812" s="9"/>
      <c r="G1812" s="9"/>
      <c r="H1812" s="9"/>
      <c r="I1812" s="9"/>
      <c r="J1812" s="10" t="str">
        <f aca="false">IF(A1812="","",IF(G1812&lt;&gt;"",G1812,IF(N(F1812)&gt;0,ROUND(1000/F1812,3),0)))</f>
        <v/>
      </c>
      <c r="K1812" s="10" t="str">
        <f aca="false">IF(OR(A1812="",E1812="",H1812=""),"",ROUND(0.00617*E1812^2*H1812*J1812,2))</f>
        <v/>
      </c>
      <c r="L1812" s="9"/>
      <c r="M1812" s="10" t="str">
        <f aca="false">IF(A1812="","",IF((COUNTIF(Drain_Register!$A$5:$A$304,A1812)+COUNTIF(RW_Register!$A$5:$A$304,A1812)+COUNTIF(Embedded_Wall_Register!$A$5:$A$304,A1812)+COUNTIF(Manhole_Register!$A$5:$A$304,A1812)+COUNTIF(ERSS_Pit_Register!$A$5:$A$304,A1812)+COUNTIF(Linkway_Register!$A$5:$A$304,A1812)+COUNTIF(Other_Register!$A$5:$A$304,A1812))&gt;0,"OK","ID not in any register"))</f>
        <v/>
      </c>
    </row>
    <row r="1813" customFormat="false" ht="15" hidden="false" customHeight="false" outlineLevel="0" collapsed="false">
      <c r="A1813" s="9"/>
      <c r="B1813" s="9"/>
      <c r="C1813" s="9"/>
      <c r="D1813" s="9"/>
      <c r="E1813" s="9"/>
      <c r="F1813" s="9"/>
      <c r="G1813" s="9"/>
      <c r="H1813" s="9"/>
      <c r="I1813" s="9"/>
      <c r="J1813" s="10" t="str">
        <f aca="false">IF(A1813="","",IF(G1813&lt;&gt;"",G1813,IF(N(F1813)&gt;0,ROUND(1000/F1813,3),0)))</f>
        <v/>
      </c>
      <c r="K1813" s="10" t="str">
        <f aca="false">IF(OR(A1813="",E1813="",H1813=""),"",ROUND(0.00617*E1813^2*H1813*J1813,2))</f>
        <v/>
      </c>
      <c r="L1813" s="9"/>
      <c r="M1813" s="10" t="str">
        <f aca="false">IF(A1813="","",IF((COUNTIF(Drain_Register!$A$5:$A$304,A1813)+COUNTIF(RW_Register!$A$5:$A$304,A1813)+COUNTIF(Embedded_Wall_Register!$A$5:$A$304,A1813)+COUNTIF(Manhole_Register!$A$5:$A$304,A1813)+COUNTIF(ERSS_Pit_Register!$A$5:$A$304,A1813)+COUNTIF(Linkway_Register!$A$5:$A$304,A1813)+COUNTIF(Other_Register!$A$5:$A$304,A1813))&gt;0,"OK","ID not in any register"))</f>
        <v/>
      </c>
    </row>
    <row r="1814" customFormat="false" ht="15" hidden="false" customHeight="false" outlineLevel="0" collapsed="false">
      <c r="A1814" s="9"/>
      <c r="B1814" s="9"/>
      <c r="C1814" s="9"/>
      <c r="D1814" s="9"/>
      <c r="E1814" s="9"/>
      <c r="F1814" s="9"/>
      <c r="G1814" s="9"/>
      <c r="H1814" s="9"/>
      <c r="I1814" s="9"/>
      <c r="J1814" s="10" t="str">
        <f aca="false">IF(A1814="","",IF(G1814&lt;&gt;"",G1814,IF(N(F1814)&gt;0,ROUND(1000/F1814,3),0)))</f>
        <v/>
      </c>
      <c r="K1814" s="10" t="str">
        <f aca="false">IF(OR(A1814="",E1814="",H1814=""),"",ROUND(0.00617*E1814^2*H1814*J1814,2))</f>
        <v/>
      </c>
      <c r="L1814" s="9"/>
      <c r="M1814" s="10" t="str">
        <f aca="false">IF(A1814="","",IF((COUNTIF(Drain_Register!$A$5:$A$304,A1814)+COUNTIF(RW_Register!$A$5:$A$304,A1814)+COUNTIF(Embedded_Wall_Register!$A$5:$A$304,A1814)+COUNTIF(Manhole_Register!$A$5:$A$304,A1814)+COUNTIF(ERSS_Pit_Register!$A$5:$A$304,A1814)+COUNTIF(Linkway_Register!$A$5:$A$304,A1814)+COUNTIF(Other_Register!$A$5:$A$304,A1814))&gt;0,"OK","ID not in any register"))</f>
        <v/>
      </c>
    </row>
    <row r="1815" customFormat="false" ht="15" hidden="false" customHeight="false" outlineLevel="0" collapsed="false">
      <c r="A1815" s="9"/>
      <c r="B1815" s="9"/>
      <c r="C1815" s="9"/>
      <c r="D1815" s="9"/>
      <c r="E1815" s="9"/>
      <c r="F1815" s="9"/>
      <c r="G1815" s="9"/>
      <c r="H1815" s="9"/>
      <c r="I1815" s="9"/>
      <c r="J1815" s="10" t="str">
        <f aca="false">IF(A1815="","",IF(G1815&lt;&gt;"",G1815,IF(N(F1815)&gt;0,ROUND(1000/F1815,3),0)))</f>
        <v/>
      </c>
      <c r="K1815" s="10" t="str">
        <f aca="false">IF(OR(A1815="",E1815="",H1815=""),"",ROUND(0.00617*E1815^2*H1815*J1815,2))</f>
        <v/>
      </c>
      <c r="L1815" s="9"/>
      <c r="M1815" s="10" t="str">
        <f aca="false">IF(A1815="","",IF((COUNTIF(Drain_Register!$A$5:$A$304,A1815)+COUNTIF(RW_Register!$A$5:$A$304,A1815)+COUNTIF(Embedded_Wall_Register!$A$5:$A$304,A1815)+COUNTIF(Manhole_Register!$A$5:$A$304,A1815)+COUNTIF(ERSS_Pit_Register!$A$5:$A$304,A1815)+COUNTIF(Linkway_Register!$A$5:$A$304,A1815)+COUNTIF(Other_Register!$A$5:$A$304,A1815))&gt;0,"OK","ID not in any register"))</f>
        <v/>
      </c>
    </row>
    <row r="1816" customFormat="false" ht="15" hidden="false" customHeight="false" outlineLevel="0" collapsed="false">
      <c r="A1816" s="9"/>
      <c r="B1816" s="9"/>
      <c r="C1816" s="9"/>
      <c r="D1816" s="9"/>
      <c r="E1816" s="9"/>
      <c r="F1816" s="9"/>
      <c r="G1816" s="9"/>
      <c r="H1816" s="9"/>
      <c r="I1816" s="9"/>
      <c r="J1816" s="10" t="str">
        <f aca="false">IF(A1816="","",IF(G1816&lt;&gt;"",G1816,IF(N(F1816)&gt;0,ROUND(1000/F1816,3),0)))</f>
        <v/>
      </c>
      <c r="K1816" s="10" t="str">
        <f aca="false">IF(OR(A1816="",E1816="",H1816=""),"",ROUND(0.00617*E1816^2*H1816*J1816,2))</f>
        <v/>
      </c>
      <c r="L1816" s="9"/>
      <c r="M1816" s="10" t="str">
        <f aca="false">IF(A1816="","",IF((COUNTIF(Drain_Register!$A$5:$A$304,A1816)+COUNTIF(RW_Register!$A$5:$A$304,A1816)+COUNTIF(Embedded_Wall_Register!$A$5:$A$304,A1816)+COUNTIF(Manhole_Register!$A$5:$A$304,A1816)+COUNTIF(ERSS_Pit_Register!$A$5:$A$304,A1816)+COUNTIF(Linkway_Register!$A$5:$A$304,A1816)+COUNTIF(Other_Register!$A$5:$A$304,A1816))&gt;0,"OK","ID not in any register"))</f>
        <v/>
      </c>
    </row>
    <row r="1817" customFormat="false" ht="15" hidden="false" customHeight="false" outlineLevel="0" collapsed="false">
      <c r="A1817" s="9"/>
      <c r="B1817" s="9"/>
      <c r="C1817" s="9"/>
      <c r="D1817" s="9"/>
      <c r="E1817" s="9"/>
      <c r="F1817" s="9"/>
      <c r="G1817" s="9"/>
      <c r="H1817" s="9"/>
      <c r="I1817" s="9"/>
      <c r="J1817" s="10" t="str">
        <f aca="false">IF(A1817="","",IF(G1817&lt;&gt;"",G1817,IF(N(F1817)&gt;0,ROUND(1000/F1817,3),0)))</f>
        <v/>
      </c>
      <c r="K1817" s="10" t="str">
        <f aca="false">IF(OR(A1817="",E1817="",H1817=""),"",ROUND(0.00617*E1817^2*H1817*J1817,2))</f>
        <v/>
      </c>
      <c r="L1817" s="9"/>
      <c r="M1817" s="10" t="str">
        <f aca="false">IF(A1817="","",IF((COUNTIF(Drain_Register!$A$5:$A$304,A1817)+COUNTIF(RW_Register!$A$5:$A$304,A1817)+COUNTIF(Embedded_Wall_Register!$A$5:$A$304,A1817)+COUNTIF(Manhole_Register!$A$5:$A$304,A1817)+COUNTIF(ERSS_Pit_Register!$A$5:$A$304,A1817)+COUNTIF(Linkway_Register!$A$5:$A$304,A1817)+COUNTIF(Other_Register!$A$5:$A$304,A1817))&gt;0,"OK","ID not in any register"))</f>
        <v/>
      </c>
    </row>
    <row r="1818" customFormat="false" ht="15" hidden="false" customHeight="false" outlineLevel="0" collapsed="false">
      <c r="A1818" s="9"/>
      <c r="B1818" s="9"/>
      <c r="C1818" s="9"/>
      <c r="D1818" s="9"/>
      <c r="E1818" s="9"/>
      <c r="F1818" s="9"/>
      <c r="G1818" s="9"/>
      <c r="H1818" s="9"/>
      <c r="I1818" s="9"/>
      <c r="J1818" s="10" t="str">
        <f aca="false">IF(A1818="","",IF(G1818&lt;&gt;"",G1818,IF(N(F1818)&gt;0,ROUND(1000/F1818,3),0)))</f>
        <v/>
      </c>
      <c r="K1818" s="10" t="str">
        <f aca="false">IF(OR(A1818="",E1818="",H1818=""),"",ROUND(0.00617*E1818^2*H1818*J1818,2))</f>
        <v/>
      </c>
      <c r="L1818" s="9"/>
      <c r="M1818" s="10" t="str">
        <f aca="false">IF(A1818="","",IF((COUNTIF(Drain_Register!$A$5:$A$304,A1818)+COUNTIF(RW_Register!$A$5:$A$304,A1818)+COUNTIF(Embedded_Wall_Register!$A$5:$A$304,A1818)+COUNTIF(Manhole_Register!$A$5:$A$304,A1818)+COUNTIF(ERSS_Pit_Register!$A$5:$A$304,A1818)+COUNTIF(Linkway_Register!$A$5:$A$304,A1818)+COUNTIF(Other_Register!$A$5:$A$304,A1818))&gt;0,"OK","ID not in any register"))</f>
        <v/>
      </c>
    </row>
    <row r="1819" customFormat="false" ht="15" hidden="false" customHeight="false" outlineLevel="0" collapsed="false">
      <c r="A1819" s="9"/>
      <c r="B1819" s="9"/>
      <c r="C1819" s="9"/>
      <c r="D1819" s="9"/>
      <c r="E1819" s="9"/>
      <c r="F1819" s="9"/>
      <c r="G1819" s="9"/>
      <c r="H1819" s="9"/>
      <c r="I1819" s="9"/>
      <c r="J1819" s="10" t="str">
        <f aca="false">IF(A1819="","",IF(G1819&lt;&gt;"",G1819,IF(N(F1819)&gt;0,ROUND(1000/F1819,3),0)))</f>
        <v/>
      </c>
      <c r="K1819" s="10" t="str">
        <f aca="false">IF(OR(A1819="",E1819="",H1819=""),"",ROUND(0.00617*E1819^2*H1819*J1819,2))</f>
        <v/>
      </c>
      <c r="L1819" s="9"/>
      <c r="M1819" s="10" t="str">
        <f aca="false">IF(A1819="","",IF((COUNTIF(Drain_Register!$A$5:$A$304,A1819)+COUNTIF(RW_Register!$A$5:$A$304,A1819)+COUNTIF(Embedded_Wall_Register!$A$5:$A$304,A1819)+COUNTIF(Manhole_Register!$A$5:$A$304,A1819)+COUNTIF(ERSS_Pit_Register!$A$5:$A$304,A1819)+COUNTIF(Linkway_Register!$A$5:$A$304,A1819)+COUNTIF(Other_Register!$A$5:$A$304,A1819))&gt;0,"OK","ID not in any register"))</f>
        <v/>
      </c>
    </row>
    <row r="1820" customFormat="false" ht="15" hidden="false" customHeight="false" outlineLevel="0" collapsed="false">
      <c r="A1820" s="9"/>
      <c r="B1820" s="9"/>
      <c r="C1820" s="9"/>
      <c r="D1820" s="9"/>
      <c r="E1820" s="9"/>
      <c r="F1820" s="9"/>
      <c r="G1820" s="9"/>
      <c r="H1820" s="9"/>
      <c r="I1820" s="9"/>
      <c r="J1820" s="10" t="str">
        <f aca="false">IF(A1820="","",IF(G1820&lt;&gt;"",G1820,IF(N(F1820)&gt;0,ROUND(1000/F1820,3),0)))</f>
        <v/>
      </c>
      <c r="K1820" s="10" t="str">
        <f aca="false">IF(OR(A1820="",E1820="",H1820=""),"",ROUND(0.00617*E1820^2*H1820*J1820,2))</f>
        <v/>
      </c>
      <c r="L1820" s="9"/>
      <c r="M1820" s="10" t="str">
        <f aca="false">IF(A1820="","",IF((COUNTIF(Drain_Register!$A$5:$A$304,A1820)+COUNTIF(RW_Register!$A$5:$A$304,A1820)+COUNTIF(Embedded_Wall_Register!$A$5:$A$304,A1820)+COUNTIF(Manhole_Register!$A$5:$A$304,A1820)+COUNTIF(ERSS_Pit_Register!$A$5:$A$304,A1820)+COUNTIF(Linkway_Register!$A$5:$A$304,A1820)+COUNTIF(Other_Register!$A$5:$A$304,A1820))&gt;0,"OK","ID not in any register"))</f>
        <v/>
      </c>
    </row>
    <row r="1821" customFormat="false" ht="15" hidden="false" customHeight="false" outlineLevel="0" collapsed="false">
      <c r="A1821" s="9"/>
      <c r="B1821" s="9"/>
      <c r="C1821" s="9"/>
      <c r="D1821" s="9"/>
      <c r="E1821" s="9"/>
      <c r="F1821" s="9"/>
      <c r="G1821" s="9"/>
      <c r="H1821" s="9"/>
      <c r="I1821" s="9"/>
      <c r="J1821" s="10" t="str">
        <f aca="false">IF(A1821="","",IF(G1821&lt;&gt;"",G1821,IF(N(F1821)&gt;0,ROUND(1000/F1821,3),0)))</f>
        <v/>
      </c>
      <c r="K1821" s="10" t="str">
        <f aca="false">IF(OR(A1821="",E1821="",H1821=""),"",ROUND(0.00617*E1821^2*H1821*J1821,2))</f>
        <v/>
      </c>
      <c r="L1821" s="9"/>
      <c r="M1821" s="10" t="str">
        <f aca="false">IF(A1821="","",IF((COUNTIF(Drain_Register!$A$5:$A$304,A1821)+COUNTIF(RW_Register!$A$5:$A$304,A1821)+COUNTIF(Embedded_Wall_Register!$A$5:$A$304,A1821)+COUNTIF(Manhole_Register!$A$5:$A$304,A1821)+COUNTIF(ERSS_Pit_Register!$A$5:$A$304,A1821)+COUNTIF(Linkway_Register!$A$5:$A$304,A1821)+COUNTIF(Other_Register!$A$5:$A$304,A1821))&gt;0,"OK","ID not in any register"))</f>
        <v/>
      </c>
    </row>
    <row r="1822" customFormat="false" ht="15" hidden="false" customHeight="false" outlineLevel="0" collapsed="false">
      <c r="A1822" s="9"/>
      <c r="B1822" s="9"/>
      <c r="C1822" s="9"/>
      <c r="D1822" s="9"/>
      <c r="E1822" s="9"/>
      <c r="F1822" s="9"/>
      <c r="G1822" s="9"/>
      <c r="H1822" s="9"/>
      <c r="I1822" s="9"/>
      <c r="J1822" s="10" t="str">
        <f aca="false">IF(A1822="","",IF(G1822&lt;&gt;"",G1822,IF(N(F1822)&gt;0,ROUND(1000/F1822,3),0)))</f>
        <v/>
      </c>
      <c r="K1822" s="10" t="str">
        <f aca="false">IF(OR(A1822="",E1822="",H1822=""),"",ROUND(0.00617*E1822^2*H1822*J1822,2))</f>
        <v/>
      </c>
      <c r="L1822" s="9"/>
      <c r="M1822" s="10" t="str">
        <f aca="false">IF(A1822="","",IF((COUNTIF(Drain_Register!$A$5:$A$304,A1822)+COUNTIF(RW_Register!$A$5:$A$304,A1822)+COUNTIF(Embedded_Wall_Register!$A$5:$A$304,A1822)+COUNTIF(Manhole_Register!$A$5:$A$304,A1822)+COUNTIF(ERSS_Pit_Register!$A$5:$A$304,A1822)+COUNTIF(Linkway_Register!$A$5:$A$304,A1822)+COUNTIF(Other_Register!$A$5:$A$304,A1822))&gt;0,"OK","ID not in any register"))</f>
        <v/>
      </c>
    </row>
    <row r="1823" customFormat="false" ht="15" hidden="false" customHeight="false" outlineLevel="0" collapsed="false">
      <c r="A1823" s="9"/>
      <c r="B1823" s="9"/>
      <c r="C1823" s="9"/>
      <c r="D1823" s="9"/>
      <c r="E1823" s="9"/>
      <c r="F1823" s="9"/>
      <c r="G1823" s="9"/>
      <c r="H1823" s="9"/>
      <c r="I1823" s="9"/>
      <c r="J1823" s="10" t="str">
        <f aca="false">IF(A1823="","",IF(G1823&lt;&gt;"",G1823,IF(N(F1823)&gt;0,ROUND(1000/F1823,3),0)))</f>
        <v/>
      </c>
      <c r="K1823" s="10" t="str">
        <f aca="false">IF(OR(A1823="",E1823="",H1823=""),"",ROUND(0.00617*E1823^2*H1823*J1823,2))</f>
        <v/>
      </c>
      <c r="L1823" s="9"/>
      <c r="M1823" s="10" t="str">
        <f aca="false">IF(A1823="","",IF((COUNTIF(Drain_Register!$A$5:$A$304,A1823)+COUNTIF(RW_Register!$A$5:$A$304,A1823)+COUNTIF(Embedded_Wall_Register!$A$5:$A$304,A1823)+COUNTIF(Manhole_Register!$A$5:$A$304,A1823)+COUNTIF(ERSS_Pit_Register!$A$5:$A$304,A1823)+COUNTIF(Linkway_Register!$A$5:$A$304,A1823)+COUNTIF(Other_Register!$A$5:$A$304,A1823))&gt;0,"OK","ID not in any register"))</f>
        <v/>
      </c>
    </row>
    <row r="1824" customFormat="false" ht="15" hidden="false" customHeight="false" outlineLevel="0" collapsed="false">
      <c r="A1824" s="9"/>
      <c r="B1824" s="9"/>
      <c r="C1824" s="9"/>
      <c r="D1824" s="9"/>
      <c r="E1824" s="9"/>
      <c r="F1824" s="9"/>
      <c r="G1824" s="9"/>
      <c r="H1824" s="9"/>
      <c r="I1824" s="9"/>
      <c r="J1824" s="10" t="str">
        <f aca="false">IF(A1824="","",IF(G1824&lt;&gt;"",G1824,IF(N(F1824)&gt;0,ROUND(1000/F1824,3),0)))</f>
        <v/>
      </c>
      <c r="K1824" s="10" t="str">
        <f aca="false">IF(OR(A1824="",E1824="",H1824=""),"",ROUND(0.00617*E1824^2*H1824*J1824,2))</f>
        <v/>
      </c>
      <c r="L1824" s="9"/>
      <c r="M1824" s="10" t="str">
        <f aca="false">IF(A1824="","",IF((COUNTIF(Drain_Register!$A$5:$A$304,A1824)+COUNTIF(RW_Register!$A$5:$A$304,A1824)+COUNTIF(Embedded_Wall_Register!$A$5:$A$304,A1824)+COUNTIF(Manhole_Register!$A$5:$A$304,A1824)+COUNTIF(ERSS_Pit_Register!$A$5:$A$304,A1824)+COUNTIF(Linkway_Register!$A$5:$A$304,A1824)+COUNTIF(Other_Register!$A$5:$A$304,A1824))&gt;0,"OK","ID not in any register"))</f>
        <v/>
      </c>
    </row>
    <row r="1825" customFormat="false" ht="15" hidden="false" customHeight="false" outlineLevel="0" collapsed="false">
      <c r="A1825" s="9"/>
      <c r="B1825" s="9"/>
      <c r="C1825" s="9"/>
      <c r="D1825" s="9"/>
      <c r="E1825" s="9"/>
      <c r="F1825" s="9"/>
      <c r="G1825" s="9"/>
      <c r="H1825" s="9"/>
      <c r="I1825" s="9"/>
      <c r="J1825" s="10" t="str">
        <f aca="false">IF(A1825="","",IF(G1825&lt;&gt;"",G1825,IF(N(F1825)&gt;0,ROUND(1000/F1825,3),0)))</f>
        <v/>
      </c>
      <c r="K1825" s="10" t="str">
        <f aca="false">IF(OR(A1825="",E1825="",H1825=""),"",ROUND(0.00617*E1825^2*H1825*J1825,2))</f>
        <v/>
      </c>
      <c r="L1825" s="9"/>
      <c r="M1825" s="10" t="str">
        <f aca="false">IF(A1825="","",IF((COUNTIF(Drain_Register!$A$5:$A$304,A1825)+COUNTIF(RW_Register!$A$5:$A$304,A1825)+COUNTIF(Embedded_Wall_Register!$A$5:$A$304,A1825)+COUNTIF(Manhole_Register!$A$5:$A$304,A1825)+COUNTIF(ERSS_Pit_Register!$A$5:$A$304,A1825)+COUNTIF(Linkway_Register!$A$5:$A$304,A1825)+COUNTIF(Other_Register!$A$5:$A$304,A1825))&gt;0,"OK","ID not in any register"))</f>
        <v/>
      </c>
    </row>
    <row r="1826" customFormat="false" ht="15" hidden="false" customHeight="false" outlineLevel="0" collapsed="false">
      <c r="A1826" s="9"/>
      <c r="B1826" s="9"/>
      <c r="C1826" s="9"/>
      <c r="D1826" s="9"/>
      <c r="E1826" s="9"/>
      <c r="F1826" s="9"/>
      <c r="G1826" s="9"/>
      <c r="H1826" s="9"/>
      <c r="I1826" s="9"/>
      <c r="J1826" s="10" t="str">
        <f aca="false">IF(A1826="","",IF(G1826&lt;&gt;"",G1826,IF(N(F1826)&gt;0,ROUND(1000/F1826,3),0)))</f>
        <v/>
      </c>
      <c r="K1826" s="10" t="str">
        <f aca="false">IF(OR(A1826="",E1826="",H1826=""),"",ROUND(0.00617*E1826^2*H1826*J1826,2))</f>
        <v/>
      </c>
      <c r="L1826" s="9"/>
      <c r="M1826" s="10" t="str">
        <f aca="false">IF(A1826="","",IF((COUNTIF(Drain_Register!$A$5:$A$304,A1826)+COUNTIF(RW_Register!$A$5:$A$304,A1826)+COUNTIF(Embedded_Wall_Register!$A$5:$A$304,A1826)+COUNTIF(Manhole_Register!$A$5:$A$304,A1826)+COUNTIF(ERSS_Pit_Register!$A$5:$A$304,A1826)+COUNTIF(Linkway_Register!$A$5:$A$304,A1826)+COUNTIF(Other_Register!$A$5:$A$304,A1826))&gt;0,"OK","ID not in any register"))</f>
        <v/>
      </c>
    </row>
    <row r="1827" customFormat="false" ht="15" hidden="false" customHeight="false" outlineLevel="0" collapsed="false">
      <c r="A1827" s="9"/>
      <c r="B1827" s="9"/>
      <c r="C1827" s="9"/>
      <c r="D1827" s="9"/>
      <c r="E1827" s="9"/>
      <c r="F1827" s="9"/>
      <c r="G1827" s="9"/>
      <c r="H1827" s="9"/>
      <c r="I1827" s="9"/>
      <c r="J1827" s="10" t="str">
        <f aca="false">IF(A1827="","",IF(G1827&lt;&gt;"",G1827,IF(N(F1827)&gt;0,ROUND(1000/F1827,3),0)))</f>
        <v/>
      </c>
      <c r="K1827" s="10" t="str">
        <f aca="false">IF(OR(A1827="",E1827="",H1827=""),"",ROUND(0.00617*E1827^2*H1827*J1827,2))</f>
        <v/>
      </c>
      <c r="L1827" s="9"/>
      <c r="M1827" s="10" t="str">
        <f aca="false">IF(A1827="","",IF((COUNTIF(Drain_Register!$A$5:$A$304,A1827)+COUNTIF(RW_Register!$A$5:$A$304,A1827)+COUNTIF(Embedded_Wall_Register!$A$5:$A$304,A1827)+COUNTIF(Manhole_Register!$A$5:$A$304,A1827)+COUNTIF(ERSS_Pit_Register!$A$5:$A$304,A1827)+COUNTIF(Linkway_Register!$A$5:$A$304,A1827)+COUNTIF(Other_Register!$A$5:$A$304,A1827))&gt;0,"OK","ID not in any register"))</f>
        <v/>
      </c>
    </row>
    <row r="1828" customFormat="false" ht="15" hidden="false" customHeight="false" outlineLevel="0" collapsed="false">
      <c r="A1828" s="9"/>
      <c r="B1828" s="9"/>
      <c r="C1828" s="9"/>
      <c r="D1828" s="9"/>
      <c r="E1828" s="9"/>
      <c r="F1828" s="9"/>
      <c r="G1828" s="9"/>
      <c r="H1828" s="9"/>
      <c r="I1828" s="9"/>
      <c r="J1828" s="10" t="str">
        <f aca="false">IF(A1828="","",IF(G1828&lt;&gt;"",G1828,IF(N(F1828)&gt;0,ROUND(1000/F1828,3),0)))</f>
        <v/>
      </c>
      <c r="K1828" s="10" t="str">
        <f aca="false">IF(OR(A1828="",E1828="",H1828=""),"",ROUND(0.00617*E1828^2*H1828*J1828,2))</f>
        <v/>
      </c>
      <c r="L1828" s="9"/>
      <c r="M1828" s="10" t="str">
        <f aca="false">IF(A1828="","",IF((COUNTIF(Drain_Register!$A$5:$A$304,A1828)+COUNTIF(RW_Register!$A$5:$A$304,A1828)+COUNTIF(Embedded_Wall_Register!$A$5:$A$304,A1828)+COUNTIF(Manhole_Register!$A$5:$A$304,A1828)+COUNTIF(ERSS_Pit_Register!$A$5:$A$304,A1828)+COUNTIF(Linkway_Register!$A$5:$A$304,A1828)+COUNTIF(Other_Register!$A$5:$A$304,A1828))&gt;0,"OK","ID not in any register"))</f>
        <v/>
      </c>
    </row>
    <row r="1829" customFormat="false" ht="15" hidden="false" customHeight="false" outlineLevel="0" collapsed="false">
      <c r="A1829" s="9"/>
      <c r="B1829" s="9"/>
      <c r="C1829" s="9"/>
      <c r="D1829" s="9"/>
      <c r="E1829" s="9"/>
      <c r="F1829" s="9"/>
      <c r="G1829" s="9"/>
      <c r="H1829" s="9"/>
      <c r="I1829" s="9"/>
      <c r="J1829" s="10" t="str">
        <f aca="false">IF(A1829="","",IF(G1829&lt;&gt;"",G1829,IF(N(F1829)&gt;0,ROUND(1000/F1829,3),0)))</f>
        <v/>
      </c>
      <c r="K1829" s="10" t="str">
        <f aca="false">IF(OR(A1829="",E1829="",H1829=""),"",ROUND(0.00617*E1829^2*H1829*J1829,2))</f>
        <v/>
      </c>
      <c r="L1829" s="9"/>
      <c r="M1829" s="10" t="str">
        <f aca="false">IF(A1829="","",IF((COUNTIF(Drain_Register!$A$5:$A$304,A1829)+COUNTIF(RW_Register!$A$5:$A$304,A1829)+COUNTIF(Embedded_Wall_Register!$A$5:$A$304,A1829)+COUNTIF(Manhole_Register!$A$5:$A$304,A1829)+COUNTIF(ERSS_Pit_Register!$A$5:$A$304,A1829)+COUNTIF(Linkway_Register!$A$5:$A$304,A1829)+COUNTIF(Other_Register!$A$5:$A$304,A1829))&gt;0,"OK","ID not in any register"))</f>
        <v/>
      </c>
    </row>
    <row r="1830" customFormat="false" ht="15" hidden="false" customHeight="false" outlineLevel="0" collapsed="false">
      <c r="A1830" s="9"/>
      <c r="B1830" s="9"/>
      <c r="C1830" s="9"/>
      <c r="D1830" s="9"/>
      <c r="E1830" s="9"/>
      <c r="F1830" s="9"/>
      <c r="G1830" s="9"/>
      <c r="H1830" s="9"/>
      <c r="I1830" s="9"/>
      <c r="J1830" s="10" t="str">
        <f aca="false">IF(A1830="","",IF(G1830&lt;&gt;"",G1830,IF(N(F1830)&gt;0,ROUND(1000/F1830,3),0)))</f>
        <v/>
      </c>
      <c r="K1830" s="10" t="str">
        <f aca="false">IF(OR(A1830="",E1830="",H1830=""),"",ROUND(0.00617*E1830^2*H1830*J1830,2))</f>
        <v/>
      </c>
      <c r="L1830" s="9"/>
      <c r="M1830" s="10" t="str">
        <f aca="false">IF(A1830="","",IF((COUNTIF(Drain_Register!$A$5:$A$304,A1830)+COUNTIF(RW_Register!$A$5:$A$304,A1830)+COUNTIF(Embedded_Wall_Register!$A$5:$A$304,A1830)+COUNTIF(Manhole_Register!$A$5:$A$304,A1830)+COUNTIF(ERSS_Pit_Register!$A$5:$A$304,A1830)+COUNTIF(Linkway_Register!$A$5:$A$304,A1830)+COUNTIF(Other_Register!$A$5:$A$304,A1830))&gt;0,"OK","ID not in any register"))</f>
        <v/>
      </c>
    </row>
    <row r="1831" customFormat="false" ht="15" hidden="false" customHeight="false" outlineLevel="0" collapsed="false">
      <c r="A1831" s="9"/>
      <c r="B1831" s="9"/>
      <c r="C1831" s="9"/>
      <c r="D1831" s="9"/>
      <c r="E1831" s="9"/>
      <c r="F1831" s="9"/>
      <c r="G1831" s="9"/>
      <c r="H1831" s="9"/>
      <c r="I1831" s="9"/>
      <c r="J1831" s="10" t="str">
        <f aca="false">IF(A1831="","",IF(G1831&lt;&gt;"",G1831,IF(N(F1831)&gt;0,ROUND(1000/F1831,3),0)))</f>
        <v/>
      </c>
      <c r="K1831" s="10" t="str">
        <f aca="false">IF(OR(A1831="",E1831="",H1831=""),"",ROUND(0.00617*E1831^2*H1831*J1831,2))</f>
        <v/>
      </c>
      <c r="L1831" s="9"/>
      <c r="M1831" s="10" t="str">
        <f aca="false">IF(A1831="","",IF((COUNTIF(Drain_Register!$A$5:$A$304,A1831)+COUNTIF(RW_Register!$A$5:$A$304,A1831)+COUNTIF(Embedded_Wall_Register!$A$5:$A$304,A1831)+COUNTIF(Manhole_Register!$A$5:$A$304,A1831)+COUNTIF(ERSS_Pit_Register!$A$5:$A$304,A1831)+COUNTIF(Linkway_Register!$A$5:$A$304,A1831)+COUNTIF(Other_Register!$A$5:$A$304,A1831))&gt;0,"OK","ID not in any register"))</f>
        <v/>
      </c>
    </row>
    <row r="1832" customFormat="false" ht="15" hidden="false" customHeight="false" outlineLevel="0" collapsed="false">
      <c r="A1832" s="9"/>
      <c r="B1832" s="9"/>
      <c r="C1832" s="9"/>
      <c r="D1832" s="9"/>
      <c r="E1832" s="9"/>
      <c r="F1832" s="9"/>
      <c r="G1832" s="9"/>
      <c r="H1832" s="9"/>
      <c r="I1832" s="9"/>
      <c r="J1832" s="10" t="str">
        <f aca="false">IF(A1832="","",IF(G1832&lt;&gt;"",G1832,IF(N(F1832)&gt;0,ROUND(1000/F1832,3),0)))</f>
        <v/>
      </c>
      <c r="K1832" s="10" t="str">
        <f aca="false">IF(OR(A1832="",E1832="",H1832=""),"",ROUND(0.00617*E1832^2*H1832*J1832,2))</f>
        <v/>
      </c>
      <c r="L1832" s="9"/>
      <c r="M1832" s="10" t="str">
        <f aca="false">IF(A1832="","",IF((COUNTIF(Drain_Register!$A$5:$A$304,A1832)+COUNTIF(RW_Register!$A$5:$A$304,A1832)+COUNTIF(Embedded_Wall_Register!$A$5:$A$304,A1832)+COUNTIF(Manhole_Register!$A$5:$A$304,A1832)+COUNTIF(ERSS_Pit_Register!$A$5:$A$304,A1832)+COUNTIF(Linkway_Register!$A$5:$A$304,A1832)+COUNTIF(Other_Register!$A$5:$A$304,A1832))&gt;0,"OK","ID not in any register"))</f>
        <v/>
      </c>
    </row>
    <row r="1833" customFormat="false" ht="15" hidden="false" customHeight="false" outlineLevel="0" collapsed="false">
      <c r="A1833" s="9"/>
      <c r="B1833" s="9"/>
      <c r="C1833" s="9"/>
      <c r="D1833" s="9"/>
      <c r="E1833" s="9"/>
      <c r="F1833" s="9"/>
      <c r="G1833" s="9"/>
      <c r="H1833" s="9"/>
      <c r="I1833" s="9"/>
      <c r="J1833" s="10" t="str">
        <f aca="false">IF(A1833="","",IF(G1833&lt;&gt;"",G1833,IF(N(F1833)&gt;0,ROUND(1000/F1833,3),0)))</f>
        <v/>
      </c>
      <c r="K1833" s="10" t="str">
        <f aca="false">IF(OR(A1833="",E1833="",H1833=""),"",ROUND(0.00617*E1833^2*H1833*J1833,2))</f>
        <v/>
      </c>
      <c r="L1833" s="9"/>
      <c r="M1833" s="10" t="str">
        <f aca="false">IF(A1833="","",IF((COUNTIF(Drain_Register!$A$5:$A$304,A1833)+COUNTIF(RW_Register!$A$5:$A$304,A1833)+COUNTIF(Embedded_Wall_Register!$A$5:$A$304,A1833)+COUNTIF(Manhole_Register!$A$5:$A$304,A1833)+COUNTIF(ERSS_Pit_Register!$A$5:$A$304,A1833)+COUNTIF(Linkway_Register!$A$5:$A$304,A1833)+COUNTIF(Other_Register!$A$5:$A$304,A1833))&gt;0,"OK","ID not in any register"))</f>
        <v/>
      </c>
    </row>
    <row r="1834" customFormat="false" ht="15" hidden="false" customHeight="false" outlineLevel="0" collapsed="false">
      <c r="A1834" s="9"/>
      <c r="B1834" s="9"/>
      <c r="C1834" s="9"/>
      <c r="D1834" s="9"/>
      <c r="E1834" s="9"/>
      <c r="F1834" s="9"/>
      <c r="G1834" s="9"/>
      <c r="H1834" s="9"/>
      <c r="I1834" s="9"/>
      <c r="J1834" s="10" t="str">
        <f aca="false">IF(A1834="","",IF(G1834&lt;&gt;"",G1834,IF(N(F1834)&gt;0,ROUND(1000/F1834,3),0)))</f>
        <v/>
      </c>
      <c r="K1834" s="10" t="str">
        <f aca="false">IF(OR(A1834="",E1834="",H1834=""),"",ROUND(0.00617*E1834^2*H1834*J1834,2))</f>
        <v/>
      </c>
      <c r="L1834" s="9"/>
      <c r="M1834" s="10" t="str">
        <f aca="false">IF(A1834="","",IF((COUNTIF(Drain_Register!$A$5:$A$304,A1834)+COUNTIF(RW_Register!$A$5:$A$304,A1834)+COUNTIF(Embedded_Wall_Register!$A$5:$A$304,A1834)+COUNTIF(Manhole_Register!$A$5:$A$304,A1834)+COUNTIF(ERSS_Pit_Register!$A$5:$A$304,A1834)+COUNTIF(Linkway_Register!$A$5:$A$304,A1834)+COUNTIF(Other_Register!$A$5:$A$304,A1834))&gt;0,"OK","ID not in any register"))</f>
        <v/>
      </c>
    </row>
    <row r="1835" customFormat="false" ht="15" hidden="false" customHeight="false" outlineLevel="0" collapsed="false">
      <c r="A1835" s="9"/>
      <c r="B1835" s="9"/>
      <c r="C1835" s="9"/>
      <c r="D1835" s="9"/>
      <c r="E1835" s="9"/>
      <c r="F1835" s="9"/>
      <c r="G1835" s="9"/>
      <c r="H1835" s="9"/>
      <c r="I1835" s="9"/>
      <c r="J1835" s="10" t="str">
        <f aca="false">IF(A1835="","",IF(G1835&lt;&gt;"",G1835,IF(N(F1835)&gt;0,ROUND(1000/F1835,3),0)))</f>
        <v/>
      </c>
      <c r="K1835" s="10" t="str">
        <f aca="false">IF(OR(A1835="",E1835="",H1835=""),"",ROUND(0.00617*E1835^2*H1835*J1835,2))</f>
        <v/>
      </c>
      <c r="L1835" s="9"/>
      <c r="M1835" s="10" t="str">
        <f aca="false">IF(A1835="","",IF((COUNTIF(Drain_Register!$A$5:$A$304,A1835)+COUNTIF(RW_Register!$A$5:$A$304,A1835)+COUNTIF(Embedded_Wall_Register!$A$5:$A$304,A1835)+COUNTIF(Manhole_Register!$A$5:$A$304,A1835)+COUNTIF(ERSS_Pit_Register!$A$5:$A$304,A1835)+COUNTIF(Linkway_Register!$A$5:$A$304,A1835)+COUNTIF(Other_Register!$A$5:$A$304,A1835))&gt;0,"OK","ID not in any register"))</f>
        <v/>
      </c>
    </row>
    <row r="1836" customFormat="false" ht="15" hidden="false" customHeight="false" outlineLevel="0" collapsed="false">
      <c r="A1836" s="9"/>
      <c r="B1836" s="9"/>
      <c r="C1836" s="9"/>
      <c r="D1836" s="9"/>
      <c r="E1836" s="9"/>
      <c r="F1836" s="9"/>
      <c r="G1836" s="9"/>
      <c r="H1836" s="9"/>
      <c r="I1836" s="9"/>
      <c r="J1836" s="10" t="str">
        <f aca="false">IF(A1836="","",IF(G1836&lt;&gt;"",G1836,IF(N(F1836)&gt;0,ROUND(1000/F1836,3),0)))</f>
        <v/>
      </c>
      <c r="K1836" s="10" t="str">
        <f aca="false">IF(OR(A1836="",E1836="",H1836=""),"",ROUND(0.00617*E1836^2*H1836*J1836,2))</f>
        <v/>
      </c>
      <c r="L1836" s="9"/>
      <c r="M1836" s="10" t="str">
        <f aca="false">IF(A1836="","",IF((COUNTIF(Drain_Register!$A$5:$A$304,A1836)+COUNTIF(RW_Register!$A$5:$A$304,A1836)+COUNTIF(Embedded_Wall_Register!$A$5:$A$304,A1836)+COUNTIF(Manhole_Register!$A$5:$A$304,A1836)+COUNTIF(ERSS_Pit_Register!$A$5:$A$304,A1836)+COUNTIF(Linkway_Register!$A$5:$A$304,A1836)+COUNTIF(Other_Register!$A$5:$A$304,A1836))&gt;0,"OK","ID not in any register"))</f>
        <v/>
      </c>
    </row>
    <row r="1837" customFormat="false" ht="15" hidden="false" customHeight="false" outlineLevel="0" collapsed="false">
      <c r="A1837" s="9"/>
      <c r="B1837" s="9"/>
      <c r="C1837" s="9"/>
      <c r="D1837" s="9"/>
      <c r="E1837" s="9"/>
      <c r="F1837" s="9"/>
      <c r="G1837" s="9"/>
      <c r="H1837" s="9"/>
      <c r="I1837" s="9"/>
      <c r="J1837" s="10" t="str">
        <f aca="false">IF(A1837="","",IF(G1837&lt;&gt;"",G1837,IF(N(F1837)&gt;0,ROUND(1000/F1837,3),0)))</f>
        <v/>
      </c>
      <c r="K1837" s="10" t="str">
        <f aca="false">IF(OR(A1837="",E1837="",H1837=""),"",ROUND(0.00617*E1837^2*H1837*J1837,2))</f>
        <v/>
      </c>
      <c r="L1837" s="9"/>
      <c r="M1837" s="10" t="str">
        <f aca="false">IF(A1837="","",IF((COUNTIF(Drain_Register!$A$5:$A$304,A1837)+COUNTIF(RW_Register!$A$5:$A$304,A1837)+COUNTIF(Embedded_Wall_Register!$A$5:$A$304,A1837)+COUNTIF(Manhole_Register!$A$5:$A$304,A1837)+COUNTIF(ERSS_Pit_Register!$A$5:$A$304,A1837)+COUNTIF(Linkway_Register!$A$5:$A$304,A1837)+COUNTIF(Other_Register!$A$5:$A$304,A1837))&gt;0,"OK","ID not in any register"))</f>
        <v/>
      </c>
    </row>
    <row r="1838" customFormat="false" ht="15" hidden="false" customHeight="false" outlineLevel="0" collapsed="false">
      <c r="A1838" s="9"/>
      <c r="B1838" s="9"/>
      <c r="C1838" s="9"/>
      <c r="D1838" s="9"/>
      <c r="E1838" s="9"/>
      <c r="F1838" s="9"/>
      <c r="G1838" s="9"/>
      <c r="H1838" s="9"/>
      <c r="I1838" s="9"/>
      <c r="J1838" s="10" t="str">
        <f aca="false">IF(A1838="","",IF(G1838&lt;&gt;"",G1838,IF(N(F1838)&gt;0,ROUND(1000/F1838,3),0)))</f>
        <v/>
      </c>
      <c r="K1838" s="10" t="str">
        <f aca="false">IF(OR(A1838="",E1838="",H1838=""),"",ROUND(0.00617*E1838^2*H1838*J1838,2))</f>
        <v/>
      </c>
      <c r="L1838" s="9"/>
      <c r="M1838" s="10" t="str">
        <f aca="false">IF(A1838="","",IF((COUNTIF(Drain_Register!$A$5:$A$304,A1838)+COUNTIF(RW_Register!$A$5:$A$304,A1838)+COUNTIF(Embedded_Wall_Register!$A$5:$A$304,A1838)+COUNTIF(Manhole_Register!$A$5:$A$304,A1838)+COUNTIF(ERSS_Pit_Register!$A$5:$A$304,A1838)+COUNTIF(Linkway_Register!$A$5:$A$304,A1838)+COUNTIF(Other_Register!$A$5:$A$304,A1838))&gt;0,"OK","ID not in any register"))</f>
        <v/>
      </c>
    </row>
    <row r="1839" customFormat="false" ht="15" hidden="false" customHeight="false" outlineLevel="0" collapsed="false">
      <c r="A1839" s="9"/>
      <c r="B1839" s="9"/>
      <c r="C1839" s="9"/>
      <c r="D1839" s="9"/>
      <c r="E1839" s="9"/>
      <c r="F1839" s="9"/>
      <c r="G1839" s="9"/>
      <c r="H1839" s="9"/>
      <c r="I1839" s="9"/>
      <c r="J1839" s="10" t="str">
        <f aca="false">IF(A1839="","",IF(G1839&lt;&gt;"",G1839,IF(N(F1839)&gt;0,ROUND(1000/F1839,3),0)))</f>
        <v/>
      </c>
      <c r="K1839" s="10" t="str">
        <f aca="false">IF(OR(A1839="",E1839="",H1839=""),"",ROUND(0.00617*E1839^2*H1839*J1839,2))</f>
        <v/>
      </c>
      <c r="L1839" s="9"/>
      <c r="M1839" s="10" t="str">
        <f aca="false">IF(A1839="","",IF((COUNTIF(Drain_Register!$A$5:$A$304,A1839)+COUNTIF(RW_Register!$A$5:$A$304,A1839)+COUNTIF(Embedded_Wall_Register!$A$5:$A$304,A1839)+COUNTIF(Manhole_Register!$A$5:$A$304,A1839)+COUNTIF(ERSS_Pit_Register!$A$5:$A$304,A1839)+COUNTIF(Linkway_Register!$A$5:$A$304,A1839)+COUNTIF(Other_Register!$A$5:$A$304,A1839))&gt;0,"OK","ID not in any register"))</f>
        <v/>
      </c>
    </row>
    <row r="1840" customFormat="false" ht="15" hidden="false" customHeight="false" outlineLevel="0" collapsed="false">
      <c r="A1840" s="9"/>
      <c r="B1840" s="9"/>
      <c r="C1840" s="9"/>
      <c r="D1840" s="9"/>
      <c r="E1840" s="9"/>
      <c r="F1840" s="9"/>
      <c r="G1840" s="9"/>
      <c r="H1840" s="9"/>
      <c r="I1840" s="9"/>
      <c r="J1840" s="10" t="str">
        <f aca="false">IF(A1840="","",IF(G1840&lt;&gt;"",G1840,IF(N(F1840)&gt;0,ROUND(1000/F1840,3),0)))</f>
        <v/>
      </c>
      <c r="K1840" s="10" t="str">
        <f aca="false">IF(OR(A1840="",E1840="",H1840=""),"",ROUND(0.00617*E1840^2*H1840*J1840,2))</f>
        <v/>
      </c>
      <c r="L1840" s="9"/>
      <c r="M1840" s="10" t="str">
        <f aca="false">IF(A1840="","",IF((COUNTIF(Drain_Register!$A$5:$A$304,A1840)+COUNTIF(RW_Register!$A$5:$A$304,A1840)+COUNTIF(Embedded_Wall_Register!$A$5:$A$304,A1840)+COUNTIF(Manhole_Register!$A$5:$A$304,A1840)+COUNTIF(ERSS_Pit_Register!$A$5:$A$304,A1840)+COUNTIF(Linkway_Register!$A$5:$A$304,A1840)+COUNTIF(Other_Register!$A$5:$A$304,A1840))&gt;0,"OK","ID not in any register"))</f>
        <v/>
      </c>
    </row>
    <row r="1841" customFormat="false" ht="15" hidden="false" customHeight="false" outlineLevel="0" collapsed="false">
      <c r="A1841" s="9"/>
      <c r="B1841" s="9"/>
      <c r="C1841" s="9"/>
      <c r="D1841" s="9"/>
      <c r="E1841" s="9"/>
      <c r="F1841" s="9"/>
      <c r="G1841" s="9"/>
      <c r="H1841" s="9"/>
      <c r="I1841" s="9"/>
      <c r="J1841" s="10" t="str">
        <f aca="false">IF(A1841="","",IF(G1841&lt;&gt;"",G1841,IF(N(F1841)&gt;0,ROUND(1000/F1841,3),0)))</f>
        <v/>
      </c>
      <c r="K1841" s="10" t="str">
        <f aca="false">IF(OR(A1841="",E1841="",H1841=""),"",ROUND(0.00617*E1841^2*H1841*J1841,2))</f>
        <v/>
      </c>
      <c r="L1841" s="9"/>
      <c r="M1841" s="10" t="str">
        <f aca="false">IF(A1841="","",IF((COUNTIF(Drain_Register!$A$5:$A$304,A1841)+COUNTIF(RW_Register!$A$5:$A$304,A1841)+COUNTIF(Embedded_Wall_Register!$A$5:$A$304,A1841)+COUNTIF(Manhole_Register!$A$5:$A$304,A1841)+COUNTIF(ERSS_Pit_Register!$A$5:$A$304,A1841)+COUNTIF(Linkway_Register!$A$5:$A$304,A1841)+COUNTIF(Other_Register!$A$5:$A$304,A1841))&gt;0,"OK","ID not in any register"))</f>
        <v/>
      </c>
    </row>
    <row r="1842" customFormat="false" ht="15" hidden="false" customHeight="false" outlineLevel="0" collapsed="false">
      <c r="A1842" s="9"/>
      <c r="B1842" s="9"/>
      <c r="C1842" s="9"/>
      <c r="D1842" s="9"/>
      <c r="E1842" s="9"/>
      <c r="F1842" s="9"/>
      <c r="G1842" s="9"/>
      <c r="H1842" s="9"/>
      <c r="I1842" s="9"/>
      <c r="J1842" s="10" t="str">
        <f aca="false">IF(A1842="","",IF(G1842&lt;&gt;"",G1842,IF(N(F1842)&gt;0,ROUND(1000/F1842,3),0)))</f>
        <v/>
      </c>
      <c r="K1842" s="10" t="str">
        <f aca="false">IF(OR(A1842="",E1842="",H1842=""),"",ROUND(0.00617*E1842^2*H1842*J1842,2))</f>
        <v/>
      </c>
      <c r="L1842" s="9"/>
      <c r="M1842" s="10" t="str">
        <f aca="false">IF(A1842="","",IF((COUNTIF(Drain_Register!$A$5:$A$304,A1842)+COUNTIF(RW_Register!$A$5:$A$304,A1842)+COUNTIF(Embedded_Wall_Register!$A$5:$A$304,A1842)+COUNTIF(Manhole_Register!$A$5:$A$304,A1842)+COUNTIF(ERSS_Pit_Register!$A$5:$A$304,A1842)+COUNTIF(Linkway_Register!$A$5:$A$304,A1842)+COUNTIF(Other_Register!$A$5:$A$304,A1842))&gt;0,"OK","ID not in any register"))</f>
        <v/>
      </c>
    </row>
    <row r="1843" customFormat="false" ht="15" hidden="false" customHeight="false" outlineLevel="0" collapsed="false">
      <c r="A1843" s="9"/>
      <c r="B1843" s="9"/>
      <c r="C1843" s="9"/>
      <c r="D1843" s="9"/>
      <c r="E1843" s="9"/>
      <c r="F1843" s="9"/>
      <c r="G1843" s="9"/>
      <c r="H1843" s="9"/>
      <c r="I1843" s="9"/>
      <c r="J1843" s="10" t="str">
        <f aca="false">IF(A1843="","",IF(G1843&lt;&gt;"",G1843,IF(N(F1843)&gt;0,ROUND(1000/F1843,3),0)))</f>
        <v/>
      </c>
      <c r="K1843" s="10" t="str">
        <f aca="false">IF(OR(A1843="",E1843="",H1843=""),"",ROUND(0.00617*E1843^2*H1843*J1843,2))</f>
        <v/>
      </c>
      <c r="L1843" s="9"/>
      <c r="M1843" s="10" t="str">
        <f aca="false">IF(A1843="","",IF((COUNTIF(Drain_Register!$A$5:$A$304,A1843)+COUNTIF(RW_Register!$A$5:$A$304,A1843)+COUNTIF(Embedded_Wall_Register!$A$5:$A$304,A1843)+COUNTIF(Manhole_Register!$A$5:$A$304,A1843)+COUNTIF(ERSS_Pit_Register!$A$5:$A$304,A1843)+COUNTIF(Linkway_Register!$A$5:$A$304,A1843)+COUNTIF(Other_Register!$A$5:$A$304,A1843))&gt;0,"OK","ID not in any register"))</f>
        <v/>
      </c>
    </row>
    <row r="1844" customFormat="false" ht="15" hidden="false" customHeight="false" outlineLevel="0" collapsed="false">
      <c r="A1844" s="9"/>
      <c r="B1844" s="9"/>
      <c r="C1844" s="9"/>
      <c r="D1844" s="9"/>
      <c r="E1844" s="9"/>
      <c r="F1844" s="9"/>
      <c r="G1844" s="9"/>
      <c r="H1844" s="9"/>
      <c r="I1844" s="9"/>
      <c r="J1844" s="10" t="str">
        <f aca="false">IF(A1844="","",IF(G1844&lt;&gt;"",G1844,IF(N(F1844)&gt;0,ROUND(1000/F1844,3),0)))</f>
        <v/>
      </c>
      <c r="K1844" s="10" t="str">
        <f aca="false">IF(OR(A1844="",E1844="",H1844=""),"",ROUND(0.00617*E1844^2*H1844*J1844,2))</f>
        <v/>
      </c>
      <c r="L1844" s="9"/>
      <c r="M1844" s="10" t="str">
        <f aca="false">IF(A1844="","",IF((COUNTIF(Drain_Register!$A$5:$A$304,A1844)+COUNTIF(RW_Register!$A$5:$A$304,A1844)+COUNTIF(Embedded_Wall_Register!$A$5:$A$304,A1844)+COUNTIF(Manhole_Register!$A$5:$A$304,A1844)+COUNTIF(ERSS_Pit_Register!$A$5:$A$304,A1844)+COUNTIF(Linkway_Register!$A$5:$A$304,A1844)+COUNTIF(Other_Register!$A$5:$A$304,A1844))&gt;0,"OK","ID not in any register"))</f>
        <v/>
      </c>
    </row>
    <row r="1845" customFormat="false" ht="15" hidden="false" customHeight="false" outlineLevel="0" collapsed="false">
      <c r="A1845" s="9"/>
      <c r="B1845" s="9"/>
      <c r="C1845" s="9"/>
      <c r="D1845" s="9"/>
      <c r="E1845" s="9"/>
      <c r="F1845" s="9"/>
      <c r="G1845" s="9"/>
      <c r="H1845" s="9"/>
      <c r="I1845" s="9"/>
      <c r="J1845" s="10" t="str">
        <f aca="false">IF(A1845="","",IF(G1845&lt;&gt;"",G1845,IF(N(F1845)&gt;0,ROUND(1000/F1845,3),0)))</f>
        <v/>
      </c>
      <c r="K1845" s="10" t="str">
        <f aca="false">IF(OR(A1845="",E1845="",H1845=""),"",ROUND(0.00617*E1845^2*H1845*J1845,2))</f>
        <v/>
      </c>
      <c r="L1845" s="9"/>
      <c r="M1845" s="10" t="str">
        <f aca="false">IF(A1845="","",IF((COUNTIF(Drain_Register!$A$5:$A$304,A1845)+COUNTIF(RW_Register!$A$5:$A$304,A1845)+COUNTIF(Embedded_Wall_Register!$A$5:$A$304,A1845)+COUNTIF(Manhole_Register!$A$5:$A$304,A1845)+COUNTIF(ERSS_Pit_Register!$A$5:$A$304,A1845)+COUNTIF(Linkway_Register!$A$5:$A$304,A1845)+COUNTIF(Other_Register!$A$5:$A$304,A1845))&gt;0,"OK","ID not in any register"))</f>
        <v/>
      </c>
    </row>
    <row r="1846" customFormat="false" ht="15" hidden="false" customHeight="false" outlineLevel="0" collapsed="false">
      <c r="A1846" s="9"/>
      <c r="B1846" s="9"/>
      <c r="C1846" s="9"/>
      <c r="D1846" s="9"/>
      <c r="E1846" s="9"/>
      <c r="F1846" s="9"/>
      <c r="G1846" s="9"/>
      <c r="H1846" s="9"/>
      <c r="I1846" s="9"/>
      <c r="J1846" s="10" t="str">
        <f aca="false">IF(A1846="","",IF(G1846&lt;&gt;"",G1846,IF(N(F1846)&gt;0,ROUND(1000/F1846,3),0)))</f>
        <v/>
      </c>
      <c r="K1846" s="10" t="str">
        <f aca="false">IF(OR(A1846="",E1846="",H1846=""),"",ROUND(0.00617*E1846^2*H1846*J1846,2))</f>
        <v/>
      </c>
      <c r="L1846" s="9"/>
      <c r="M1846" s="10" t="str">
        <f aca="false">IF(A1846="","",IF((COUNTIF(Drain_Register!$A$5:$A$304,A1846)+COUNTIF(RW_Register!$A$5:$A$304,A1846)+COUNTIF(Embedded_Wall_Register!$A$5:$A$304,A1846)+COUNTIF(Manhole_Register!$A$5:$A$304,A1846)+COUNTIF(ERSS_Pit_Register!$A$5:$A$304,A1846)+COUNTIF(Linkway_Register!$A$5:$A$304,A1846)+COUNTIF(Other_Register!$A$5:$A$304,A1846))&gt;0,"OK","ID not in any register"))</f>
        <v/>
      </c>
    </row>
    <row r="1847" customFormat="false" ht="15" hidden="false" customHeight="false" outlineLevel="0" collapsed="false">
      <c r="A1847" s="9"/>
      <c r="B1847" s="9"/>
      <c r="C1847" s="9"/>
      <c r="D1847" s="9"/>
      <c r="E1847" s="9"/>
      <c r="F1847" s="9"/>
      <c r="G1847" s="9"/>
      <c r="H1847" s="9"/>
      <c r="I1847" s="9"/>
      <c r="J1847" s="10" t="str">
        <f aca="false">IF(A1847="","",IF(G1847&lt;&gt;"",G1847,IF(N(F1847)&gt;0,ROUND(1000/F1847,3),0)))</f>
        <v/>
      </c>
      <c r="K1847" s="10" t="str">
        <f aca="false">IF(OR(A1847="",E1847="",H1847=""),"",ROUND(0.00617*E1847^2*H1847*J1847,2))</f>
        <v/>
      </c>
      <c r="L1847" s="9"/>
      <c r="M1847" s="10" t="str">
        <f aca="false">IF(A1847="","",IF((COUNTIF(Drain_Register!$A$5:$A$304,A1847)+COUNTIF(RW_Register!$A$5:$A$304,A1847)+COUNTIF(Embedded_Wall_Register!$A$5:$A$304,A1847)+COUNTIF(Manhole_Register!$A$5:$A$304,A1847)+COUNTIF(ERSS_Pit_Register!$A$5:$A$304,A1847)+COUNTIF(Linkway_Register!$A$5:$A$304,A1847)+COUNTIF(Other_Register!$A$5:$A$304,A1847))&gt;0,"OK","ID not in any register"))</f>
        <v/>
      </c>
    </row>
    <row r="1848" customFormat="false" ht="15" hidden="false" customHeight="false" outlineLevel="0" collapsed="false">
      <c r="A1848" s="9"/>
      <c r="B1848" s="9"/>
      <c r="C1848" s="9"/>
      <c r="D1848" s="9"/>
      <c r="E1848" s="9"/>
      <c r="F1848" s="9"/>
      <c r="G1848" s="9"/>
      <c r="H1848" s="9"/>
      <c r="I1848" s="9"/>
      <c r="J1848" s="10" t="str">
        <f aca="false">IF(A1848="","",IF(G1848&lt;&gt;"",G1848,IF(N(F1848)&gt;0,ROUND(1000/F1848,3),0)))</f>
        <v/>
      </c>
      <c r="K1848" s="10" t="str">
        <f aca="false">IF(OR(A1848="",E1848="",H1848=""),"",ROUND(0.00617*E1848^2*H1848*J1848,2))</f>
        <v/>
      </c>
      <c r="L1848" s="9"/>
      <c r="M1848" s="10" t="str">
        <f aca="false">IF(A1848="","",IF((COUNTIF(Drain_Register!$A$5:$A$304,A1848)+COUNTIF(RW_Register!$A$5:$A$304,A1848)+COUNTIF(Embedded_Wall_Register!$A$5:$A$304,A1848)+COUNTIF(Manhole_Register!$A$5:$A$304,A1848)+COUNTIF(ERSS_Pit_Register!$A$5:$A$304,A1848)+COUNTIF(Linkway_Register!$A$5:$A$304,A1848)+COUNTIF(Other_Register!$A$5:$A$304,A1848))&gt;0,"OK","ID not in any register"))</f>
        <v/>
      </c>
    </row>
    <row r="1849" customFormat="false" ht="15" hidden="false" customHeight="false" outlineLevel="0" collapsed="false">
      <c r="A1849" s="9"/>
      <c r="B1849" s="9"/>
      <c r="C1849" s="9"/>
      <c r="D1849" s="9"/>
      <c r="E1849" s="9"/>
      <c r="F1849" s="9"/>
      <c r="G1849" s="9"/>
      <c r="H1849" s="9"/>
      <c r="I1849" s="9"/>
      <c r="J1849" s="10" t="str">
        <f aca="false">IF(A1849="","",IF(G1849&lt;&gt;"",G1849,IF(N(F1849)&gt;0,ROUND(1000/F1849,3),0)))</f>
        <v/>
      </c>
      <c r="K1849" s="10" t="str">
        <f aca="false">IF(OR(A1849="",E1849="",H1849=""),"",ROUND(0.00617*E1849^2*H1849*J1849,2))</f>
        <v/>
      </c>
      <c r="L1849" s="9"/>
      <c r="M1849" s="10" t="str">
        <f aca="false">IF(A1849="","",IF((COUNTIF(Drain_Register!$A$5:$A$304,A1849)+COUNTIF(RW_Register!$A$5:$A$304,A1849)+COUNTIF(Embedded_Wall_Register!$A$5:$A$304,A1849)+COUNTIF(Manhole_Register!$A$5:$A$304,A1849)+COUNTIF(ERSS_Pit_Register!$A$5:$A$304,A1849)+COUNTIF(Linkway_Register!$A$5:$A$304,A1849)+COUNTIF(Other_Register!$A$5:$A$304,A1849))&gt;0,"OK","ID not in any register"))</f>
        <v/>
      </c>
    </row>
    <row r="1850" customFormat="false" ht="15" hidden="false" customHeight="false" outlineLevel="0" collapsed="false">
      <c r="A1850" s="9"/>
      <c r="B1850" s="9"/>
      <c r="C1850" s="9"/>
      <c r="D1850" s="9"/>
      <c r="E1850" s="9"/>
      <c r="F1850" s="9"/>
      <c r="G1850" s="9"/>
      <c r="H1850" s="9"/>
      <c r="I1850" s="9"/>
      <c r="J1850" s="10" t="str">
        <f aca="false">IF(A1850="","",IF(G1850&lt;&gt;"",G1850,IF(N(F1850)&gt;0,ROUND(1000/F1850,3),0)))</f>
        <v/>
      </c>
      <c r="K1850" s="10" t="str">
        <f aca="false">IF(OR(A1850="",E1850="",H1850=""),"",ROUND(0.00617*E1850^2*H1850*J1850,2))</f>
        <v/>
      </c>
      <c r="L1850" s="9"/>
      <c r="M1850" s="10" t="str">
        <f aca="false">IF(A1850="","",IF((COUNTIF(Drain_Register!$A$5:$A$304,A1850)+COUNTIF(RW_Register!$A$5:$A$304,A1850)+COUNTIF(Embedded_Wall_Register!$A$5:$A$304,A1850)+COUNTIF(Manhole_Register!$A$5:$A$304,A1850)+COUNTIF(ERSS_Pit_Register!$A$5:$A$304,A1850)+COUNTIF(Linkway_Register!$A$5:$A$304,A1850)+COUNTIF(Other_Register!$A$5:$A$304,A1850))&gt;0,"OK","ID not in any register"))</f>
        <v/>
      </c>
    </row>
    <row r="1851" customFormat="false" ht="15" hidden="false" customHeight="false" outlineLevel="0" collapsed="false">
      <c r="A1851" s="9"/>
      <c r="B1851" s="9"/>
      <c r="C1851" s="9"/>
      <c r="D1851" s="9"/>
      <c r="E1851" s="9"/>
      <c r="F1851" s="9"/>
      <c r="G1851" s="9"/>
      <c r="H1851" s="9"/>
      <c r="I1851" s="9"/>
      <c r="J1851" s="10" t="str">
        <f aca="false">IF(A1851="","",IF(G1851&lt;&gt;"",G1851,IF(N(F1851)&gt;0,ROUND(1000/F1851,3),0)))</f>
        <v/>
      </c>
      <c r="K1851" s="10" t="str">
        <f aca="false">IF(OR(A1851="",E1851="",H1851=""),"",ROUND(0.00617*E1851^2*H1851*J1851,2))</f>
        <v/>
      </c>
      <c r="L1851" s="9"/>
      <c r="M1851" s="10" t="str">
        <f aca="false">IF(A1851="","",IF((COUNTIF(Drain_Register!$A$5:$A$304,A1851)+COUNTIF(RW_Register!$A$5:$A$304,A1851)+COUNTIF(Embedded_Wall_Register!$A$5:$A$304,A1851)+COUNTIF(Manhole_Register!$A$5:$A$304,A1851)+COUNTIF(ERSS_Pit_Register!$A$5:$A$304,A1851)+COUNTIF(Linkway_Register!$A$5:$A$304,A1851)+COUNTIF(Other_Register!$A$5:$A$304,A1851))&gt;0,"OK","ID not in any register"))</f>
        <v/>
      </c>
    </row>
    <row r="1852" customFormat="false" ht="15" hidden="false" customHeight="false" outlineLevel="0" collapsed="false">
      <c r="A1852" s="9"/>
      <c r="B1852" s="9"/>
      <c r="C1852" s="9"/>
      <c r="D1852" s="9"/>
      <c r="E1852" s="9"/>
      <c r="F1852" s="9"/>
      <c r="G1852" s="9"/>
      <c r="H1852" s="9"/>
      <c r="I1852" s="9"/>
      <c r="J1852" s="10" t="str">
        <f aca="false">IF(A1852="","",IF(G1852&lt;&gt;"",G1852,IF(N(F1852)&gt;0,ROUND(1000/F1852,3),0)))</f>
        <v/>
      </c>
      <c r="K1852" s="10" t="str">
        <f aca="false">IF(OR(A1852="",E1852="",H1852=""),"",ROUND(0.00617*E1852^2*H1852*J1852,2))</f>
        <v/>
      </c>
      <c r="L1852" s="9"/>
      <c r="M1852" s="10" t="str">
        <f aca="false">IF(A1852="","",IF((COUNTIF(Drain_Register!$A$5:$A$304,A1852)+COUNTIF(RW_Register!$A$5:$A$304,A1852)+COUNTIF(Embedded_Wall_Register!$A$5:$A$304,A1852)+COUNTIF(Manhole_Register!$A$5:$A$304,A1852)+COUNTIF(ERSS_Pit_Register!$A$5:$A$304,A1852)+COUNTIF(Linkway_Register!$A$5:$A$304,A1852)+COUNTIF(Other_Register!$A$5:$A$304,A1852))&gt;0,"OK","ID not in any register"))</f>
        <v/>
      </c>
    </row>
    <row r="1853" customFormat="false" ht="15" hidden="false" customHeight="false" outlineLevel="0" collapsed="false">
      <c r="A1853" s="9"/>
      <c r="B1853" s="9"/>
      <c r="C1853" s="9"/>
      <c r="D1853" s="9"/>
      <c r="E1853" s="9"/>
      <c r="F1853" s="9"/>
      <c r="G1853" s="9"/>
      <c r="H1853" s="9"/>
      <c r="I1853" s="9"/>
      <c r="J1853" s="10" t="str">
        <f aca="false">IF(A1853="","",IF(G1853&lt;&gt;"",G1853,IF(N(F1853)&gt;0,ROUND(1000/F1853,3),0)))</f>
        <v/>
      </c>
      <c r="K1853" s="10" t="str">
        <f aca="false">IF(OR(A1853="",E1853="",H1853=""),"",ROUND(0.00617*E1853^2*H1853*J1853,2))</f>
        <v/>
      </c>
      <c r="L1853" s="9"/>
      <c r="M1853" s="10" t="str">
        <f aca="false">IF(A1853="","",IF((COUNTIF(Drain_Register!$A$5:$A$304,A1853)+COUNTIF(RW_Register!$A$5:$A$304,A1853)+COUNTIF(Embedded_Wall_Register!$A$5:$A$304,A1853)+COUNTIF(Manhole_Register!$A$5:$A$304,A1853)+COUNTIF(ERSS_Pit_Register!$A$5:$A$304,A1853)+COUNTIF(Linkway_Register!$A$5:$A$304,A1853)+COUNTIF(Other_Register!$A$5:$A$304,A1853))&gt;0,"OK","ID not in any register"))</f>
        <v/>
      </c>
    </row>
    <row r="1854" customFormat="false" ht="15" hidden="false" customHeight="false" outlineLevel="0" collapsed="false">
      <c r="A1854" s="9"/>
      <c r="B1854" s="9"/>
      <c r="C1854" s="9"/>
      <c r="D1854" s="9"/>
      <c r="E1854" s="9"/>
      <c r="F1854" s="9"/>
      <c r="G1854" s="9"/>
      <c r="H1854" s="9"/>
      <c r="I1854" s="9"/>
      <c r="J1854" s="10" t="str">
        <f aca="false">IF(A1854="","",IF(G1854&lt;&gt;"",G1854,IF(N(F1854)&gt;0,ROUND(1000/F1854,3),0)))</f>
        <v/>
      </c>
      <c r="K1854" s="10" t="str">
        <f aca="false">IF(OR(A1854="",E1854="",H1854=""),"",ROUND(0.00617*E1854^2*H1854*J1854,2))</f>
        <v/>
      </c>
      <c r="L1854" s="9"/>
      <c r="M1854" s="10" t="str">
        <f aca="false">IF(A1854="","",IF((COUNTIF(Drain_Register!$A$5:$A$304,A1854)+COUNTIF(RW_Register!$A$5:$A$304,A1854)+COUNTIF(Embedded_Wall_Register!$A$5:$A$304,A1854)+COUNTIF(Manhole_Register!$A$5:$A$304,A1854)+COUNTIF(ERSS_Pit_Register!$A$5:$A$304,A1854)+COUNTIF(Linkway_Register!$A$5:$A$304,A1854)+COUNTIF(Other_Register!$A$5:$A$304,A1854))&gt;0,"OK","ID not in any register"))</f>
        <v/>
      </c>
    </row>
    <row r="1855" customFormat="false" ht="15" hidden="false" customHeight="false" outlineLevel="0" collapsed="false">
      <c r="A1855" s="9"/>
      <c r="B1855" s="9"/>
      <c r="C1855" s="9"/>
      <c r="D1855" s="9"/>
      <c r="E1855" s="9"/>
      <c r="F1855" s="9"/>
      <c r="G1855" s="9"/>
      <c r="H1855" s="9"/>
      <c r="I1855" s="9"/>
      <c r="J1855" s="10" t="str">
        <f aca="false">IF(A1855="","",IF(G1855&lt;&gt;"",G1855,IF(N(F1855)&gt;0,ROUND(1000/F1855,3),0)))</f>
        <v/>
      </c>
      <c r="K1855" s="10" t="str">
        <f aca="false">IF(OR(A1855="",E1855="",H1855=""),"",ROUND(0.00617*E1855^2*H1855*J1855,2))</f>
        <v/>
      </c>
      <c r="L1855" s="9"/>
      <c r="M1855" s="10" t="str">
        <f aca="false">IF(A1855="","",IF((COUNTIF(Drain_Register!$A$5:$A$304,A1855)+COUNTIF(RW_Register!$A$5:$A$304,A1855)+COUNTIF(Embedded_Wall_Register!$A$5:$A$304,A1855)+COUNTIF(Manhole_Register!$A$5:$A$304,A1855)+COUNTIF(ERSS_Pit_Register!$A$5:$A$304,A1855)+COUNTIF(Linkway_Register!$A$5:$A$304,A1855)+COUNTIF(Other_Register!$A$5:$A$304,A1855))&gt;0,"OK","ID not in any register"))</f>
        <v/>
      </c>
    </row>
    <row r="1856" customFormat="false" ht="15" hidden="false" customHeight="false" outlineLevel="0" collapsed="false">
      <c r="A1856" s="9"/>
      <c r="B1856" s="9"/>
      <c r="C1856" s="9"/>
      <c r="D1856" s="9"/>
      <c r="E1856" s="9"/>
      <c r="F1856" s="9"/>
      <c r="G1856" s="9"/>
      <c r="H1856" s="9"/>
      <c r="I1856" s="9"/>
      <c r="J1856" s="10" t="str">
        <f aca="false">IF(A1856="","",IF(G1856&lt;&gt;"",G1856,IF(N(F1856)&gt;0,ROUND(1000/F1856,3),0)))</f>
        <v/>
      </c>
      <c r="K1856" s="10" t="str">
        <f aca="false">IF(OR(A1856="",E1856="",H1856=""),"",ROUND(0.00617*E1856^2*H1856*J1856,2))</f>
        <v/>
      </c>
      <c r="L1856" s="9"/>
      <c r="M1856" s="10" t="str">
        <f aca="false">IF(A1856="","",IF((COUNTIF(Drain_Register!$A$5:$A$304,A1856)+COUNTIF(RW_Register!$A$5:$A$304,A1856)+COUNTIF(Embedded_Wall_Register!$A$5:$A$304,A1856)+COUNTIF(Manhole_Register!$A$5:$A$304,A1856)+COUNTIF(ERSS_Pit_Register!$A$5:$A$304,A1856)+COUNTIF(Linkway_Register!$A$5:$A$304,A1856)+COUNTIF(Other_Register!$A$5:$A$304,A1856))&gt;0,"OK","ID not in any register"))</f>
        <v/>
      </c>
    </row>
    <row r="1857" customFormat="false" ht="15" hidden="false" customHeight="false" outlineLevel="0" collapsed="false">
      <c r="A1857" s="9"/>
      <c r="B1857" s="9"/>
      <c r="C1857" s="9"/>
      <c r="D1857" s="9"/>
      <c r="E1857" s="9"/>
      <c r="F1857" s="9"/>
      <c r="G1857" s="9"/>
      <c r="H1857" s="9"/>
      <c r="I1857" s="9"/>
      <c r="J1857" s="10" t="str">
        <f aca="false">IF(A1857="","",IF(G1857&lt;&gt;"",G1857,IF(N(F1857)&gt;0,ROUND(1000/F1857,3),0)))</f>
        <v/>
      </c>
      <c r="K1857" s="10" t="str">
        <f aca="false">IF(OR(A1857="",E1857="",H1857=""),"",ROUND(0.00617*E1857^2*H1857*J1857,2))</f>
        <v/>
      </c>
      <c r="L1857" s="9"/>
      <c r="M1857" s="10" t="str">
        <f aca="false">IF(A1857="","",IF((COUNTIF(Drain_Register!$A$5:$A$304,A1857)+COUNTIF(RW_Register!$A$5:$A$304,A1857)+COUNTIF(Embedded_Wall_Register!$A$5:$A$304,A1857)+COUNTIF(Manhole_Register!$A$5:$A$304,A1857)+COUNTIF(ERSS_Pit_Register!$A$5:$A$304,A1857)+COUNTIF(Linkway_Register!$A$5:$A$304,A1857)+COUNTIF(Other_Register!$A$5:$A$304,A1857))&gt;0,"OK","ID not in any register"))</f>
        <v/>
      </c>
    </row>
    <row r="1858" customFormat="false" ht="15" hidden="false" customHeight="false" outlineLevel="0" collapsed="false">
      <c r="A1858" s="9"/>
      <c r="B1858" s="9"/>
      <c r="C1858" s="9"/>
      <c r="D1858" s="9"/>
      <c r="E1858" s="9"/>
      <c r="F1858" s="9"/>
      <c r="G1858" s="9"/>
      <c r="H1858" s="9"/>
      <c r="I1858" s="9"/>
      <c r="J1858" s="10" t="str">
        <f aca="false">IF(A1858="","",IF(G1858&lt;&gt;"",G1858,IF(N(F1858)&gt;0,ROUND(1000/F1858,3),0)))</f>
        <v/>
      </c>
      <c r="K1858" s="10" t="str">
        <f aca="false">IF(OR(A1858="",E1858="",H1858=""),"",ROUND(0.00617*E1858^2*H1858*J1858,2))</f>
        <v/>
      </c>
      <c r="L1858" s="9"/>
      <c r="M1858" s="10" t="str">
        <f aca="false">IF(A1858="","",IF((COUNTIF(Drain_Register!$A$5:$A$304,A1858)+COUNTIF(RW_Register!$A$5:$A$304,A1858)+COUNTIF(Embedded_Wall_Register!$A$5:$A$304,A1858)+COUNTIF(Manhole_Register!$A$5:$A$304,A1858)+COUNTIF(ERSS_Pit_Register!$A$5:$A$304,A1858)+COUNTIF(Linkway_Register!$A$5:$A$304,A1858)+COUNTIF(Other_Register!$A$5:$A$304,A1858))&gt;0,"OK","ID not in any register"))</f>
        <v/>
      </c>
    </row>
    <row r="1859" customFormat="false" ht="15" hidden="false" customHeight="false" outlineLevel="0" collapsed="false">
      <c r="A1859" s="9"/>
      <c r="B1859" s="9"/>
      <c r="C1859" s="9"/>
      <c r="D1859" s="9"/>
      <c r="E1859" s="9"/>
      <c r="F1859" s="9"/>
      <c r="G1859" s="9"/>
      <c r="H1859" s="9"/>
      <c r="I1859" s="9"/>
      <c r="J1859" s="10" t="str">
        <f aca="false">IF(A1859="","",IF(G1859&lt;&gt;"",G1859,IF(N(F1859)&gt;0,ROUND(1000/F1859,3),0)))</f>
        <v/>
      </c>
      <c r="K1859" s="10" t="str">
        <f aca="false">IF(OR(A1859="",E1859="",H1859=""),"",ROUND(0.00617*E1859^2*H1859*J1859,2))</f>
        <v/>
      </c>
      <c r="L1859" s="9"/>
      <c r="M1859" s="10" t="str">
        <f aca="false">IF(A1859="","",IF((COUNTIF(Drain_Register!$A$5:$A$304,A1859)+COUNTIF(RW_Register!$A$5:$A$304,A1859)+COUNTIF(Embedded_Wall_Register!$A$5:$A$304,A1859)+COUNTIF(Manhole_Register!$A$5:$A$304,A1859)+COUNTIF(ERSS_Pit_Register!$A$5:$A$304,A1859)+COUNTIF(Linkway_Register!$A$5:$A$304,A1859)+COUNTIF(Other_Register!$A$5:$A$304,A1859))&gt;0,"OK","ID not in any register"))</f>
        <v/>
      </c>
    </row>
    <row r="1860" customFormat="false" ht="15" hidden="false" customHeight="false" outlineLevel="0" collapsed="false">
      <c r="A1860" s="9"/>
      <c r="B1860" s="9"/>
      <c r="C1860" s="9"/>
      <c r="D1860" s="9"/>
      <c r="E1860" s="9"/>
      <c r="F1860" s="9"/>
      <c r="G1860" s="9"/>
      <c r="H1860" s="9"/>
      <c r="I1860" s="9"/>
      <c r="J1860" s="10" t="str">
        <f aca="false">IF(A1860="","",IF(G1860&lt;&gt;"",G1860,IF(N(F1860)&gt;0,ROUND(1000/F1860,3),0)))</f>
        <v/>
      </c>
      <c r="K1860" s="10" t="str">
        <f aca="false">IF(OR(A1860="",E1860="",H1860=""),"",ROUND(0.00617*E1860^2*H1860*J1860,2))</f>
        <v/>
      </c>
      <c r="L1860" s="9"/>
      <c r="M1860" s="10" t="str">
        <f aca="false">IF(A1860="","",IF((COUNTIF(Drain_Register!$A$5:$A$304,A1860)+COUNTIF(RW_Register!$A$5:$A$304,A1860)+COUNTIF(Embedded_Wall_Register!$A$5:$A$304,A1860)+COUNTIF(Manhole_Register!$A$5:$A$304,A1860)+COUNTIF(ERSS_Pit_Register!$A$5:$A$304,A1860)+COUNTIF(Linkway_Register!$A$5:$A$304,A1860)+COUNTIF(Other_Register!$A$5:$A$304,A1860))&gt;0,"OK","ID not in any register"))</f>
        <v/>
      </c>
    </row>
    <row r="1861" customFormat="false" ht="15" hidden="false" customHeight="false" outlineLevel="0" collapsed="false">
      <c r="A1861" s="9"/>
      <c r="B1861" s="9"/>
      <c r="C1861" s="9"/>
      <c r="D1861" s="9"/>
      <c r="E1861" s="9"/>
      <c r="F1861" s="9"/>
      <c r="G1861" s="9"/>
      <c r="H1861" s="9"/>
      <c r="I1861" s="9"/>
      <c r="J1861" s="10" t="str">
        <f aca="false">IF(A1861="","",IF(G1861&lt;&gt;"",G1861,IF(N(F1861)&gt;0,ROUND(1000/F1861,3),0)))</f>
        <v/>
      </c>
      <c r="K1861" s="10" t="str">
        <f aca="false">IF(OR(A1861="",E1861="",H1861=""),"",ROUND(0.00617*E1861^2*H1861*J1861,2))</f>
        <v/>
      </c>
      <c r="L1861" s="9"/>
      <c r="M1861" s="10" t="str">
        <f aca="false">IF(A1861="","",IF((COUNTIF(Drain_Register!$A$5:$A$304,A1861)+COUNTIF(RW_Register!$A$5:$A$304,A1861)+COUNTIF(Embedded_Wall_Register!$A$5:$A$304,A1861)+COUNTIF(Manhole_Register!$A$5:$A$304,A1861)+COUNTIF(ERSS_Pit_Register!$A$5:$A$304,A1861)+COUNTIF(Linkway_Register!$A$5:$A$304,A1861)+COUNTIF(Other_Register!$A$5:$A$304,A1861))&gt;0,"OK","ID not in any register"))</f>
        <v/>
      </c>
    </row>
    <row r="1862" customFormat="false" ht="15" hidden="false" customHeight="false" outlineLevel="0" collapsed="false">
      <c r="A1862" s="9"/>
      <c r="B1862" s="9"/>
      <c r="C1862" s="9"/>
      <c r="D1862" s="9"/>
      <c r="E1862" s="9"/>
      <c r="F1862" s="9"/>
      <c r="G1862" s="9"/>
      <c r="H1862" s="9"/>
      <c r="I1862" s="9"/>
      <c r="J1862" s="10" t="str">
        <f aca="false">IF(A1862="","",IF(G1862&lt;&gt;"",G1862,IF(N(F1862)&gt;0,ROUND(1000/F1862,3),0)))</f>
        <v/>
      </c>
      <c r="K1862" s="10" t="str">
        <f aca="false">IF(OR(A1862="",E1862="",H1862=""),"",ROUND(0.00617*E1862^2*H1862*J1862,2))</f>
        <v/>
      </c>
      <c r="L1862" s="9"/>
      <c r="M1862" s="10" t="str">
        <f aca="false">IF(A1862="","",IF((COUNTIF(Drain_Register!$A$5:$A$304,A1862)+COUNTIF(RW_Register!$A$5:$A$304,A1862)+COUNTIF(Embedded_Wall_Register!$A$5:$A$304,A1862)+COUNTIF(Manhole_Register!$A$5:$A$304,A1862)+COUNTIF(ERSS_Pit_Register!$A$5:$A$304,A1862)+COUNTIF(Linkway_Register!$A$5:$A$304,A1862)+COUNTIF(Other_Register!$A$5:$A$304,A1862))&gt;0,"OK","ID not in any register"))</f>
        <v/>
      </c>
    </row>
    <row r="1863" customFormat="false" ht="15" hidden="false" customHeight="false" outlineLevel="0" collapsed="false">
      <c r="A1863" s="9"/>
      <c r="B1863" s="9"/>
      <c r="C1863" s="9"/>
      <c r="D1863" s="9"/>
      <c r="E1863" s="9"/>
      <c r="F1863" s="9"/>
      <c r="G1863" s="9"/>
      <c r="H1863" s="9"/>
      <c r="I1863" s="9"/>
      <c r="J1863" s="10" t="str">
        <f aca="false">IF(A1863="","",IF(G1863&lt;&gt;"",G1863,IF(N(F1863)&gt;0,ROUND(1000/F1863,3),0)))</f>
        <v/>
      </c>
      <c r="K1863" s="10" t="str">
        <f aca="false">IF(OR(A1863="",E1863="",H1863=""),"",ROUND(0.00617*E1863^2*H1863*J1863,2))</f>
        <v/>
      </c>
      <c r="L1863" s="9"/>
      <c r="M1863" s="10" t="str">
        <f aca="false">IF(A1863="","",IF((COUNTIF(Drain_Register!$A$5:$A$304,A1863)+COUNTIF(RW_Register!$A$5:$A$304,A1863)+COUNTIF(Embedded_Wall_Register!$A$5:$A$304,A1863)+COUNTIF(Manhole_Register!$A$5:$A$304,A1863)+COUNTIF(ERSS_Pit_Register!$A$5:$A$304,A1863)+COUNTIF(Linkway_Register!$A$5:$A$304,A1863)+COUNTIF(Other_Register!$A$5:$A$304,A1863))&gt;0,"OK","ID not in any register"))</f>
        <v/>
      </c>
    </row>
    <row r="1864" customFormat="false" ht="15" hidden="false" customHeight="false" outlineLevel="0" collapsed="false">
      <c r="A1864" s="9"/>
      <c r="B1864" s="9"/>
      <c r="C1864" s="9"/>
      <c r="D1864" s="9"/>
      <c r="E1864" s="9"/>
      <c r="F1864" s="9"/>
      <c r="G1864" s="9"/>
      <c r="H1864" s="9"/>
      <c r="I1864" s="9"/>
      <c r="J1864" s="10" t="str">
        <f aca="false">IF(A1864="","",IF(G1864&lt;&gt;"",G1864,IF(N(F1864)&gt;0,ROUND(1000/F1864,3),0)))</f>
        <v/>
      </c>
      <c r="K1864" s="10" t="str">
        <f aca="false">IF(OR(A1864="",E1864="",H1864=""),"",ROUND(0.00617*E1864^2*H1864*J1864,2))</f>
        <v/>
      </c>
      <c r="L1864" s="9"/>
      <c r="M1864" s="10" t="str">
        <f aca="false">IF(A1864="","",IF((COUNTIF(Drain_Register!$A$5:$A$304,A1864)+COUNTIF(RW_Register!$A$5:$A$304,A1864)+COUNTIF(Embedded_Wall_Register!$A$5:$A$304,A1864)+COUNTIF(Manhole_Register!$A$5:$A$304,A1864)+COUNTIF(ERSS_Pit_Register!$A$5:$A$304,A1864)+COUNTIF(Linkway_Register!$A$5:$A$304,A1864)+COUNTIF(Other_Register!$A$5:$A$304,A1864))&gt;0,"OK","ID not in any register"))</f>
        <v/>
      </c>
    </row>
    <row r="1865" customFormat="false" ht="15" hidden="false" customHeight="false" outlineLevel="0" collapsed="false">
      <c r="A1865" s="9"/>
      <c r="B1865" s="9"/>
      <c r="C1865" s="9"/>
      <c r="D1865" s="9"/>
      <c r="E1865" s="9"/>
      <c r="F1865" s="9"/>
      <c r="G1865" s="9"/>
      <c r="H1865" s="9"/>
      <c r="I1865" s="9"/>
      <c r="J1865" s="10" t="str">
        <f aca="false">IF(A1865="","",IF(G1865&lt;&gt;"",G1865,IF(N(F1865)&gt;0,ROUND(1000/F1865,3),0)))</f>
        <v/>
      </c>
      <c r="K1865" s="10" t="str">
        <f aca="false">IF(OR(A1865="",E1865="",H1865=""),"",ROUND(0.00617*E1865^2*H1865*J1865,2))</f>
        <v/>
      </c>
      <c r="L1865" s="9"/>
      <c r="M1865" s="10" t="str">
        <f aca="false">IF(A1865="","",IF((COUNTIF(Drain_Register!$A$5:$A$304,A1865)+COUNTIF(RW_Register!$A$5:$A$304,A1865)+COUNTIF(Embedded_Wall_Register!$A$5:$A$304,A1865)+COUNTIF(Manhole_Register!$A$5:$A$304,A1865)+COUNTIF(ERSS_Pit_Register!$A$5:$A$304,A1865)+COUNTIF(Linkway_Register!$A$5:$A$304,A1865)+COUNTIF(Other_Register!$A$5:$A$304,A1865))&gt;0,"OK","ID not in any register"))</f>
        <v/>
      </c>
    </row>
    <row r="1866" customFormat="false" ht="15" hidden="false" customHeight="false" outlineLevel="0" collapsed="false">
      <c r="A1866" s="9"/>
      <c r="B1866" s="9"/>
      <c r="C1866" s="9"/>
      <c r="D1866" s="9"/>
      <c r="E1866" s="9"/>
      <c r="F1866" s="9"/>
      <c r="G1866" s="9"/>
      <c r="H1866" s="9"/>
      <c r="I1866" s="9"/>
      <c r="J1866" s="10" t="str">
        <f aca="false">IF(A1866="","",IF(G1866&lt;&gt;"",G1866,IF(N(F1866)&gt;0,ROUND(1000/F1866,3),0)))</f>
        <v/>
      </c>
      <c r="K1866" s="10" t="str">
        <f aca="false">IF(OR(A1866="",E1866="",H1866=""),"",ROUND(0.00617*E1866^2*H1866*J1866,2))</f>
        <v/>
      </c>
      <c r="L1866" s="9"/>
      <c r="M1866" s="10" t="str">
        <f aca="false">IF(A1866="","",IF((COUNTIF(Drain_Register!$A$5:$A$304,A1866)+COUNTIF(RW_Register!$A$5:$A$304,A1866)+COUNTIF(Embedded_Wall_Register!$A$5:$A$304,A1866)+COUNTIF(Manhole_Register!$A$5:$A$304,A1866)+COUNTIF(ERSS_Pit_Register!$A$5:$A$304,A1866)+COUNTIF(Linkway_Register!$A$5:$A$304,A1866)+COUNTIF(Other_Register!$A$5:$A$304,A1866))&gt;0,"OK","ID not in any register"))</f>
        <v/>
      </c>
    </row>
    <row r="1867" customFormat="false" ht="15" hidden="false" customHeight="false" outlineLevel="0" collapsed="false">
      <c r="A1867" s="9"/>
      <c r="B1867" s="9"/>
      <c r="C1867" s="9"/>
      <c r="D1867" s="9"/>
      <c r="E1867" s="9"/>
      <c r="F1867" s="9"/>
      <c r="G1867" s="9"/>
      <c r="H1867" s="9"/>
      <c r="I1867" s="9"/>
      <c r="J1867" s="10" t="str">
        <f aca="false">IF(A1867="","",IF(G1867&lt;&gt;"",G1867,IF(N(F1867)&gt;0,ROUND(1000/F1867,3),0)))</f>
        <v/>
      </c>
      <c r="K1867" s="10" t="str">
        <f aca="false">IF(OR(A1867="",E1867="",H1867=""),"",ROUND(0.00617*E1867^2*H1867*J1867,2))</f>
        <v/>
      </c>
      <c r="L1867" s="9"/>
      <c r="M1867" s="10" t="str">
        <f aca="false">IF(A1867="","",IF((COUNTIF(Drain_Register!$A$5:$A$304,A1867)+COUNTIF(RW_Register!$A$5:$A$304,A1867)+COUNTIF(Embedded_Wall_Register!$A$5:$A$304,A1867)+COUNTIF(Manhole_Register!$A$5:$A$304,A1867)+COUNTIF(ERSS_Pit_Register!$A$5:$A$304,A1867)+COUNTIF(Linkway_Register!$A$5:$A$304,A1867)+COUNTIF(Other_Register!$A$5:$A$304,A1867))&gt;0,"OK","ID not in any register"))</f>
        <v/>
      </c>
    </row>
    <row r="1868" customFormat="false" ht="15" hidden="false" customHeight="false" outlineLevel="0" collapsed="false">
      <c r="A1868" s="9"/>
      <c r="B1868" s="9"/>
      <c r="C1868" s="9"/>
      <c r="D1868" s="9"/>
      <c r="E1868" s="9"/>
      <c r="F1868" s="9"/>
      <c r="G1868" s="9"/>
      <c r="H1868" s="9"/>
      <c r="I1868" s="9"/>
      <c r="J1868" s="10" t="str">
        <f aca="false">IF(A1868="","",IF(G1868&lt;&gt;"",G1868,IF(N(F1868)&gt;0,ROUND(1000/F1868,3),0)))</f>
        <v/>
      </c>
      <c r="K1868" s="10" t="str">
        <f aca="false">IF(OR(A1868="",E1868="",H1868=""),"",ROUND(0.00617*E1868^2*H1868*J1868,2))</f>
        <v/>
      </c>
      <c r="L1868" s="9"/>
      <c r="M1868" s="10" t="str">
        <f aca="false">IF(A1868="","",IF((COUNTIF(Drain_Register!$A$5:$A$304,A1868)+COUNTIF(RW_Register!$A$5:$A$304,A1868)+COUNTIF(Embedded_Wall_Register!$A$5:$A$304,A1868)+COUNTIF(Manhole_Register!$A$5:$A$304,A1868)+COUNTIF(ERSS_Pit_Register!$A$5:$A$304,A1868)+COUNTIF(Linkway_Register!$A$5:$A$304,A1868)+COUNTIF(Other_Register!$A$5:$A$304,A1868))&gt;0,"OK","ID not in any register"))</f>
        <v/>
      </c>
    </row>
    <row r="1869" customFormat="false" ht="15" hidden="false" customHeight="false" outlineLevel="0" collapsed="false">
      <c r="A1869" s="9"/>
      <c r="B1869" s="9"/>
      <c r="C1869" s="9"/>
      <c r="D1869" s="9"/>
      <c r="E1869" s="9"/>
      <c r="F1869" s="9"/>
      <c r="G1869" s="9"/>
      <c r="H1869" s="9"/>
      <c r="I1869" s="9"/>
      <c r="J1869" s="10" t="str">
        <f aca="false">IF(A1869="","",IF(G1869&lt;&gt;"",G1869,IF(N(F1869)&gt;0,ROUND(1000/F1869,3),0)))</f>
        <v/>
      </c>
      <c r="K1869" s="10" t="str">
        <f aca="false">IF(OR(A1869="",E1869="",H1869=""),"",ROUND(0.00617*E1869^2*H1869*J1869,2))</f>
        <v/>
      </c>
      <c r="L1869" s="9"/>
      <c r="M1869" s="10" t="str">
        <f aca="false">IF(A1869="","",IF((COUNTIF(Drain_Register!$A$5:$A$304,A1869)+COUNTIF(RW_Register!$A$5:$A$304,A1869)+COUNTIF(Embedded_Wall_Register!$A$5:$A$304,A1869)+COUNTIF(Manhole_Register!$A$5:$A$304,A1869)+COUNTIF(ERSS_Pit_Register!$A$5:$A$304,A1869)+COUNTIF(Linkway_Register!$A$5:$A$304,A1869)+COUNTIF(Other_Register!$A$5:$A$304,A1869))&gt;0,"OK","ID not in any register"))</f>
        <v/>
      </c>
    </row>
    <row r="1870" customFormat="false" ht="15" hidden="false" customHeight="false" outlineLevel="0" collapsed="false">
      <c r="A1870" s="9"/>
      <c r="B1870" s="9"/>
      <c r="C1870" s="9"/>
      <c r="D1870" s="9"/>
      <c r="E1870" s="9"/>
      <c r="F1870" s="9"/>
      <c r="G1870" s="9"/>
      <c r="H1870" s="9"/>
      <c r="I1870" s="9"/>
      <c r="J1870" s="10" t="str">
        <f aca="false">IF(A1870="","",IF(G1870&lt;&gt;"",G1870,IF(N(F1870)&gt;0,ROUND(1000/F1870,3),0)))</f>
        <v/>
      </c>
      <c r="K1870" s="10" t="str">
        <f aca="false">IF(OR(A1870="",E1870="",H1870=""),"",ROUND(0.00617*E1870^2*H1870*J1870,2))</f>
        <v/>
      </c>
      <c r="L1870" s="9"/>
      <c r="M1870" s="10" t="str">
        <f aca="false">IF(A1870="","",IF((COUNTIF(Drain_Register!$A$5:$A$304,A1870)+COUNTIF(RW_Register!$A$5:$A$304,A1870)+COUNTIF(Embedded_Wall_Register!$A$5:$A$304,A1870)+COUNTIF(Manhole_Register!$A$5:$A$304,A1870)+COUNTIF(ERSS_Pit_Register!$A$5:$A$304,A1870)+COUNTIF(Linkway_Register!$A$5:$A$304,A1870)+COUNTIF(Other_Register!$A$5:$A$304,A1870))&gt;0,"OK","ID not in any register"))</f>
        <v/>
      </c>
    </row>
    <row r="1871" customFormat="false" ht="15" hidden="false" customHeight="false" outlineLevel="0" collapsed="false">
      <c r="A1871" s="9"/>
      <c r="B1871" s="9"/>
      <c r="C1871" s="9"/>
      <c r="D1871" s="9"/>
      <c r="E1871" s="9"/>
      <c r="F1871" s="9"/>
      <c r="G1871" s="9"/>
      <c r="H1871" s="9"/>
      <c r="I1871" s="9"/>
      <c r="J1871" s="10" t="str">
        <f aca="false">IF(A1871="","",IF(G1871&lt;&gt;"",G1871,IF(N(F1871)&gt;0,ROUND(1000/F1871,3),0)))</f>
        <v/>
      </c>
      <c r="K1871" s="10" t="str">
        <f aca="false">IF(OR(A1871="",E1871="",H1871=""),"",ROUND(0.00617*E1871^2*H1871*J1871,2))</f>
        <v/>
      </c>
      <c r="L1871" s="9"/>
      <c r="M1871" s="10" t="str">
        <f aca="false">IF(A1871="","",IF((COUNTIF(Drain_Register!$A$5:$A$304,A1871)+COUNTIF(RW_Register!$A$5:$A$304,A1871)+COUNTIF(Embedded_Wall_Register!$A$5:$A$304,A1871)+COUNTIF(Manhole_Register!$A$5:$A$304,A1871)+COUNTIF(ERSS_Pit_Register!$A$5:$A$304,A1871)+COUNTIF(Linkway_Register!$A$5:$A$304,A1871)+COUNTIF(Other_Register!$A$5:$A$304,A1871))&gt;0,"OK","ID not in any register"))</f>
        <v/>
      </c>
    </row>
    <row r="1872" customFormat="false" ht="15" hidden="false" customHeight="false" outlineLevel="0" collapsed="false">
      <c r="A1872" s="9"/>
      <c r="B1872" s="9"/>
      <c r="C1872" s="9"/>
      <c r="D1872" s="9"/>
      <c r="E1872" s="9"/>
      <c r="F1872" s="9"/>
      <c r="G1872" s="9"/>
      <c r="H1872" s="9"/>
      <c r="I1872" s="9"/>
      <c r="J1872" s="10" t="str">
        <f aca="false">IF(A1872="","",IF(G1872&lt;&gt;"",G1872,IF(N(F1872)&gt;0,ROUND(1000/F1872,3),0)))</f>
        <v/>
      </c>
      <c r="K1872" s="10" t="str">
        <f aca="false">IF(OR(A1872="",E1872="",H1872=""),"",ROUND(0.00617*E1872^2*H1872*J1872,2))</f>
        <v/>
      </c>
      <c r="L1872" s="9"/>
      <c r="M1872" s="10" t="str">
        <f aca="false">IF(A1872="","",IF((COUNTIF(Drain_Register!$A$5:$A$304,A1872)+COUNTIF(RW_Register!$A$5:$A$304,A1872)+COUNTIF(Embedded_Wall_Register!$A$5:$A$304,A1872)+COUNTIF(Manhole_Register!$A$5:$A$304,A1872)+COUNTIF(ERSS_Pit_Register!$A$5:$A$304,A1872)+COUNTIF(Linkway_Register!$A$5:$A$304,A1872)+COUNTIF(Other_Register!$A$5:$A$304,A1872))&gt;0,"OK","ID not in any register"))</f>
        <v/>
      </c>
    </row>
    <row r="1873" customFormat="false" ht="15" hidden="false" customHeight="false" outlineLevel="0" collapsed="false">
      <c r="A1873" s="9"/>
      <c r="B1873" s="9"/>
      <c r="C1873" s="9"/>
      <c r="D1873" s="9"/>
      <c r="E1873" s="9"/>
      <c r="F1873" s="9"/>
      <c r="G1873" s="9"/>
      <c r="H1873" s="9"/>
      <c r="I1873" s="9"/>
      <c r="J1873" s="10" t="str">
        <f aca="false">IF(A1873="","",IF(G1873&lt;&gt;"",G1873,IF(N(F1873)&gt;0,ROUND(1000/F1873,3),0)))</f>
        <v/>
      </c>
      <c r="K1873" s="10" t="str">
        <f aca="false">IF(OR(A1873="",E1873="",H1873=""),"",ROUND(0.00617*E1873^2*H1873*J1873,2))</f>
        <v/>
      </c>
      <c r="L1873" s="9"/>
      <c r="M1873" s="10" t="str">
        <f aca="false">IF(A1873="","",IF((COUNTIF(Drain_Register!$A$5:$A$304,A1873)+COUNTIF(RW_Register!$A$5:$A$304,A1873)+COUNTIF(Embedded_Wall_Register!$A$5:$A$304,A1873)+COUNTIF(Manhole_Register!$A$5:$A$304,A1873)+COUNTIF(ERSS_Pit_Register!$A$5:$A$304,A1873)+COUNTIF(Linkway_Register!$A$5:$A$304,A1873)+COUNTIF(Other_Register!$A$5:$A$304,A1873))&gt;0,"OK","ID not in any register"))</f>
        <v/>
      </c>
    </row>
    <row r="1874" customFormat="false" ht="15" hidden="false" customHeight="false" outlineLevel="0" collapsed="false">
      <c r="A1874" s="9"/>
      <c r="B1874" s="9"/>
      <c r="C1874" s="9"/>
      <c r="D1874" s="9"/>
      <c r="E1874" s="9"/>
      <c r="F1874" s="9"/>
      <c r="G1874" s="9"/>
      <c r="H1874" s="9"/>
      <c r="I1874" s="9"/>
      <c r="J1874" s="10" t="str">
        <f aca="false">IF(A1874="","",IF(G1874&lt;&gt;"",G1874,IF(N(F1874)&gt;0,ROUND(1000/F1874,3),0)))</f>
        <v/>
      </c>
      <c r="K1874" s="10" t="str">
        <f aca="false">IF(OR(A1874="",E1874="",H1874=""),"",ROUND(0.00617*E1874^2*H1874*J1874,2))</f>
        <v/>
      </c>
      <c r="L1874" s="9"/>
      <c r="M1874" s="10" t="str">
        <f aca="false">IF(A1874="","",IF((COUNTIF(Drain_Register!$A$5:$A$304,A1874)+COUNTIF(RW_Register!$A$5:$A$304,A1874)+COUNTIF(Embedded_Wall_Register!$A$5:$A$304,A1874)+COUNTIF(Manhole_Register!$A$5:$A$304,A1874)+COUNTIF(ERSS_Pit_Register!$A$5:$A$304,A1874)+COUNTIF(Linkway_Register!$A$5:$A$304,A1874)+COUNTIF(Other_Register!$A$5:$A$304,A1874))&gt;0,"OK","ID not in any register"))</f>
        <v/>
      </c>
    </row>
    <row r="1875" customFormat="false" ht="15" hidden="false" customHeight="false" outlineLevel="0" collapsed="false">
      <c r="A1875" s="9"/>
      <c r="B1875" s="9"/>
      <c r="C1875" s="9"/>
      <c r="D1875" s="9"/>
      <c r="E1875" s="9"/>
      <c r="F1875" s="9"/>
      <c r="G1875" s="9"/>
      <c r="H1875" s="9"/>
      <c r="I1875" s="9"/>
      <c r="J1875" s="10" t="str">
        <f aca="false">IF(A1875="","",IF(G1875&lt;&gt;"",G1875,IF(N(F1875)&gt;0,ROUND(1000/F1875,3),0)))</f>
        <v/>
      </c>
      <c r="K1875" s="10" t="str">
        <f aca="false">IF(OR(A1875="",E1875="",H1875=""),"",ROUND(0.00617*E1875^2*H1875*J1875,2))</f>
        <v/>
      </c>
      <c r="L1875" s="9"/>
      <c r="M1875" s="10" t="str">
        <f aca="false">IF(A1875="","",IF((COUNTIF(Drain_Register!$A$5:$A$304,A1875)+COUNTIF(RW_Register!$A$5:$A$304,A1875)+COUNTIF(Embedded_Wall_Register!$A$5:$A$304,A1875)+COUNTIF(Manhole_Register!$A$5:$A$304,A1875)+COUNTIF(ERSS_Pit_Register!$A$5:$A$304,A1875)+COUNTIF(Linkway_Register!$A$5:$A$304,A1875)+COUNTIF(Other_Register!$A$5:$A$304,A1875))&gt;0,"OK","ID not in any register"))</f>
        <v/>
      </c>
    </row>
    <row r="1876" customFormat="false" ht="15" hidden="false" customHeight="false" outlineLevel="0" collapsed="false">
      <c r="A1876" s="9"/>
      <c r="B1876" s="9"/>
      <c r="C1876" s="9"/>
      <c r="D1876" s="9"/>
      <c r="E1876" s="9"/>
      <c r="F1876" s="9"/>
      <c r="G1876" s="9"/>
      <c r="H1876" s="9"/>
      <c r="I1876" s="9"/>
      <c r="J1876" s="10" t="str">
        <f aca="false">IF(A1876="","",IF(G1876&lt;&gt;"",G1876,IF(N(F1876)&gt;0,ROUND(1000/F1876,3),0)))</f>
        <v/>
      </c>
      <c r="K1876" s="10" t="str">
        <f aca="false">IF(OR(A1876="",E1876="",H1876=""),"",ROUND(0.00617*E1876^2*H1876*J1876,2))</f>
        <v/>
      </c>
      <c r="L1876" s="9"/>
      <c r="M1876" s="10" t="str">
        <f aca="false">IF(A1876="","",IF((COUNTIF(Drain_Register!$A$5:$A$304,A1876)+COUNTIF(RW_Register!$A$5:$A$304,A1876)+COUNTIF(Embedded_Wall_Register!$A$5:$A$304,A1876)+COUNTIF(Manhole_Register!$A$5:$A$304,A1876)+COUNTIF(ERSS_Pit_Register!$A$5:$A$304,A1876)+COUNTIF(Linkway_Register!$A$5:$A$304,A1876)+COUNTIF(Other_Register!$A$5:$A$304,A1876))&gt;0,"OK","ID not in any register"))</f>
        <v/>
      </c>
    </row>
    <row r="1877" customFormat="false" ht="15" hidden="false" customHeight="false" outlineLevel="0" collapsed="false">
      <c r="A1877" s="9"/>
      <c r="B1877" s="9"/>
      <c r="C1877" s="9"/>
      <c r="D1877" s="9"/>
      <c r="E1877" s="9"/>
      <c r="F1877" s="9"/>
      <c r="G1877" s="9"/>
      <c r="H1877" s="9"/>
      <c r="I1877" s="9"/>
      <c r="J1877" s="10" t="str">
        <f aca="false">IF(A1877="","",IF(G1877&lt;&gt;"",G1877,IF(N(F1877)&gt;0,ROUND(1000/F1877,3),0)))</f>
        <v/>
      </c>
      <c r="K1877" s="10" t="str">
        <f aca="false">IF(OR(A1877="",E1877="",H1877=""),"",ROUND(0.00617*E1877^2*H1877*J1877,2))</f>
        <v/>
      </c>
      <c r="L1877" s="9"/>
      <c r="M1877" s="10" t="str">
        <f aca="false">IF(A1877="","",IF((COUNTIF(Drain_Register!$A$5:$A$304,A1877)+COUNTIF(RW_Register!$A$5:$A$304,A1877)+COUNTIF(Embedded_Wall_Register!$A$5:$A$304,A1877)+COUNTIF(Manhole_Register!$A$5:$A$304,A1877)+COUNTIF(ERSS_Pit_Register!$A$5:$A$304,A1877)+COUNTIF(Linkway_Register!$A$5:$A$304,A1877)+COUNTIF(Other_Register!$A$5:$A$304,A1877))&gt;0,"OK","ID not in any register"))</f>
        <v/>
      </c>
    </row>
    <row r="1878" customFormat="false" ht="15" hidden="false" customHeight="false" outlineLevel="0" collapsed="false">
      <c r="A1878" s="9"/>
      <c r="B1878" s="9"/>
      <c r="C1878" s="9"/>
      <c r="D1878" s="9"/>
      <c r="E1878" s="9"/>
      <c r="F1878" s="9"/>
      <c r="G1878" s="9"/>
      <c r="H1878" s="9"/>
      <c r="I1878" s="9"/>
      <c r="J1878" s="10" t="str">
        <f aca="false">IF(A1878="","",IF(G1878&lt;&gt;"",G1878,IF(N(F1878)&gt;0,ROUND(1000/F1878,3),0)))</f>
        <v/>
      </c>
      <c r="K1878" s="10" t="str">
        <f aca="false">IF(OR(A1878="",E1878="",H1878=""),"",ROUND(0.00617*E1878^2*H1878*J1878,2))</f>
        <v/>
      </c>
      <c r="L1878" s="9"/>
      <c r="M1878" s="10" t="str">
        <f aca="false">IF(A1878="","",IF((COUNTIF(Drain_Register!$A$5:$A$304,A1878)+COUNTIF(RW_Register!$A$5:$A$304,A1878)+COUNTIF(Embedded_Wall_Register!$A$5:$A$304,A1878)+COUNTIF(Manhole_Register!$A$5:$A$304,A1878)+COUNTIF(ERSS_Pit_Register!$A$5:$A$304,A1878)+COUNTIF(Linkway_Register!$A$5:$A$304,A1878)+COUNTIF(Other_Register!$A$5:$A$304,A1878))&gt;0,"OK","ID not in any register"))</f>
        <v/>
      </c>
    </row>
    <row r="1879" customFormat="false" ht="15" hidden="false" customHeight="false" outlineLevel="0" collapsed="false">
      <c r="A1879" s="9"/>
      <c r="B1879" s="9"/>
      <c r="C1879" s="9"/>
      <c r="D1879" s="9"/>
      <c r="E1879" s="9"/>
      <c r="F1879" s="9"/>
      <c r="G1879" s="9"/>
      <c r="H1879" s="9"/>
      <c r="I1879" s="9"/>
      <c r="J1879" s="10" t="str">
        <f aca="false">IF(A1879="","",IF(G1879&lt;&gt;"",G1879,IF(N(F1879)&gt;0,ROUND(1000/F1879,3),0)))</f>
        <v/>
      </c>
      <c r="K1879" s="10" t="str">
        <f aca="false">IF(OR(A1879="",E1879="",H1879=""),"",ROUND(0.00617*E1879^2*H1879*J1879,2))</f>
        <v/>
      </c>
      <c r="L1879" s="9"/>
      <c r="M1879" s="10" t="str">
        <f aca="false">IF(A1879="","",IF((COUNTIF(Drain_Register!$A$5:$A$304,A1879)+COUNTIF(RW_Register!$A$5:$A$304,A1879)+COUNTIF(Embedded_Wall_Register!$A$5:$A$304,A1879)+COUNTIF(Manhole_Register!$A$5:$A$304,A1879)+COUNTIF(ERSS_Pit_Register!$A$5:$A$304,A1879)+COUNTIF(Linkway_Register!$A$5:$A$304,A1879)+COUNTIF(Other_Register!$A$5:$A$304,A1879))&gt;0,"OK","ID not in any register"))</f>
        <v/>
      </c>
    </row>
    <row r="1880" customFormat="false" ht="15" hidden="false" customHeight="false" outlineLevel="0" collapsed="false">
      <c r="A1880" s="9"/>
      <c r="B1880" s="9"/>
      <c r="C1880" s="9"/>
      <c r="D1880" s="9"/>
      <c r="E1880" s="9"/>
      <c r="F1880" s="9"/>
      <c r="G1880" s="9"/>
      <c r="H1880" s="9"/>
      <c r="I1880" s="9"/>
      <c r="J1880" s="10" t="str">
        <f aca="false">IF(A1880="","",IF(G1880&lt;&gt;"",G1880,IF(N(F1880)&gt;0,ROUND(1000/F1880,3),0)))</f>
        <v/>
      </c>
      <c r="K1880" s="10" t="str">
        <f aca="false">IF(OR(A1880="",E1880="",H1880=""),"",ROUND(0.00617*E1880^2*H1880*J1880,2))</f>
        <v/>
      </c>
      <c r="L1880" s="9"/>
      <c r="M1880" s="10" t="str">
        <f aca="false">IF(A1880="","",IF((COUNTIF(Drain_Register!$A$5:$A$304,A1880)+COUNTIF(RW_Register!$A$5:$A$304,A1880)+COUNTIF(Embedded_Wall_Register!$A$5:$A$304,A1880)+COUNTIF(Manhole_Register!$A$5:$A$304,A1880)+COUNTIF(ERSS_Pit_Register!$A$5:$A$304,A1880)+COUNTIF(Linkway_Register!$A$5:$A$304,A1880)+COUNTIF(Other_Register!$A$5:$A$304,A1880))&gt;0,"OK","ID not in any register"))</f>
        <v/>
      </c>
    </row>
    <row r="1881" customFormat="false" ht="15" hidden="false" customHeight="false" outlineLevel="0" collapsed="false">
      <c r="A1881" s="9"/>
      <c r="B1881" s="9"/>
      <c r="C1881" s="9"/>
      <c r="D1881" s="9"/>
      <c r="E1881" s="9"/>
      <c r="F1881" s="9"/>
      <c r="G1881" s="9"/>
      <c r="H1881" s="9"/>
      <c r="I1881" s="9"/>
      <c r="J1881" s="10" t="str">
        <f aca="false">IF(A1881="","",IF(G1881&lt;&gt;"",G1881,IF(N(F1881)&gt;0,ROUND(1000/F1881,3),0)))</f>
        <v/>
      </c>
      <c r="K1881" s="10" t="str">
        <f aca="false">IF(OR(A1881="",E1881="",H1881=""),"",ROUND(0.00617*E1881^2*H1881*J1881,2))</f>
        <v/>
      </c>
      <c r="L1881" s="9"/>
      <c r="M1881" s="10" t="str">
        <f aca="false">IF(A1881="","",IF((COUNTIF(Drain_Register!$A$5:$A$304,A1881)+COUNTIF(RW_Register!$A$5:$A$304,A1881)+COUNTIF(Embedded_Wall_Register!$A$5:$A$304,A1881)+COUNTIF(Manhole_Register!$A$5:$A$304,A1881)+COUNTIF(ERSS_Pit_Register!$A$5:$A$304,A1881)+COUNTIF(Linkway_Register!$A$5:$A$304,A1881)+COUNTIF(Other_Register!$A$5:$A$304,A1881))&gt;0,"OK","ID not in any register"))</f>
        <v/>
      </c>
    </row>
    <row r="1882" customFormat="false" ht="15" hidden="false" customHeight="false" outlineLevel="0" collapsed="false">
      <c r="A1882" s="9"/>
      <c r="B1882" s="9"/>
      <c r="C1882" s="9"/>
      <c r="D1882" s="9"/>
      <c r="E1882" s="9"/>
      <c r="F1882" s="9"/>
      <c r="G1882" s="9"/>
      <c r="H1882" s="9"/>
      <c r="I1882" s="9"/>
      <c r="J1882" s="10" t="str">
        <f aca="false">IF(A1882="","",IF(G1882&lt;&gt;"",G1882,IF(N(F1882)&gt;0,ROUND(1000/F1882,3),0)))</f>
        <v/>
      </c>
      <c r="K1882" s="10" t="str">
        <f aca="false">IF(OR(A1882="",E1882="",H1882=""),"",ROUND(0.00617*E1882^2*H1882*J1882,2))</f>
        <v/>
      </c>
      <c r="L1882" s="9"/>
      <c r="M1882" s="10" t="str">
        <f aca="false">IF(A1882="","",IF((COUNTIF(Drain_Register!$A$5:$A$304,A1882)+COUNTIF(RW_Register!$A$5:$A$304,A1882)+COUNTIF(Embedded_Wall_Register!$A$5:$A$304,A1882)+COUNTIF(Manhole_Register!$A$5:$A$304,A1882)+COUNTIF(ERSS_Pit_Register!$A$5:$A$304,A1882)+COUNTIF(Linkway_Register!$A$5:$A$304,A1882)+COUNTIF(Other_Register!$A$5:$A$304,A1882))&gt;0,"OK","ID not in any register"))</f>
        <v/>
      </c>
    </row>
    <row r="1883" customFormat="false" ht="15" hidden="false" customHeight="false" outlineLevel="0" collapsed="false">
      <c r="A1883" s="9"/>
      <c r="B1883" s="9"/>
      <c r="C1883" s="9"/>
      <c r="D1883" s="9"/>
      <c r="E1883" s="9"/>
      <c r="F1883" s="9"/>
      <c r="G1883" s="9"/>
      <c r="H1883" s="9"/>
      <c r="I1883" s="9"/>
      <c r="J1883" s="10" t="str">
        <f aca="false">IF(A1883="","",IF(G1883&lt;&gt;"",G1883,IF(N(F1883)&gt;0,ROUND(1000/F1883,3),0)))</f>
        <v/>
      </c>
      <c r="K1883" s="10" t="str">
        <f aca="false">IF(OR(A1883="",E1883="",H1883=""),"",ROUND(0.00617*E1883^2*H1883*J1883,2))</f>
        <v/>
      </c>
      <c r="L1883" s="9"/>
      <c r="M1883" s="10" t="str">
        <f aca="false">IF(A1883="","",IF((COUNTIF(Drain_Register!$A$5:$A$304,A1883)+COUNTIF(RW_Register!$A$5:$A$304,A1883)+COUNTIF(Embedded_Wall_Register!$A$5:$A$304,A1883)+COUNTIF(Manhole_Register!$A$5:$A$304,A1883)+COUNTIF(ERSS_Pit_Register!$A$5:$A$304,A1883)+COUNTIF(Linkway_Register!$A$5:$A$304,A1883)+COUNTIF(Other_Register!$A$5:$A$304,A1883))&gt;0,"OK","ID not in any register"))</f>
        <v/>
      </c>
    </row>
    <row r="1884" customFormat="false" ht="15" hidden="false" customHeight="false" outlineLevel="0" collapsed="false">
      <c r="A1884" s="9"/>
      <c r="B1884" s="9"/>
      <c r="C1884" s="9"/>
      <c r="D1884" s="9"/>
      <c r="E1884" s="9"/>
      <c r="F1884" s="9"/>
      <c r="G1884" s="9"/>
      <c r="H1884" s="9"/>
      <c r="I1884" s="9"/>
      <c r="J1884" s="10" t="str">
        <f aca="false">IF(A1884="","",IF(G1884&lt;&gt;"",G1884,IF(N(F1884)&gt;0,ROUND(1000/F1884,3),0)))</f>
        <v/>
      </c>
      <c r="K1884" s="10" t="str">
        <f aca="false">IF(OR(A1884="",E1884="",H1884=""),"",ROUND(0.00617*E1884^2*H1884*J1884,2))</f>
        <v/>
      </c>
      <c r="L1884" s="9"/>
      <c r="M1884" s="10" t="str">
        <f aca="false">IF(A1884="","",IF((COUNTIF(Drain_Register!$A$5:$A$304,A1884)+COUNTIF(RW_Register!$A$5:$A$304,A1884)+COUNTIF(Embedded_Wall_Register!$A$5:$A$304,A1884)+COUNTIF(Manhole_Register!$A$5:$A$304,A1884)+COUNTIF(ERSS_Pit_Register!$A$5:$A$304,A1884)+COUNTIF(Linkway_Register!$A$5:$A$304,A1884)+COUNTIF(Other_Register!$A$5:$A$304,A1884))&gt;0,"OK","ID not in any register"))</f>
        <v/>
      </c>
    </row>
    <row r="1885" customFormat="false" ht="15" hidden="false" customHeight="false" outlineLevel="0" collapsed="false">
      <c r="A1885" s="9"/>
      <c r="B1885" s="9"/>
      <c r="C1885" s="9"/>
      <c r="D1885" s="9"/>
      <c r="E1885" s="9"/>
      <c r="F1885" s="9"/>
      <c r="G1885" s="9"/>
      <c r="H1885" s="9"/>
      <c r="I1885" s="9"/>
      <c r="J1885" s="10" t="str">
        <f aca="false">IF(A1885="","",IF(G1885&lt;&gt;"",G1885,IF(N(F1885)&gt;0,ROUND(1000/F1885,3),0)))</f>
        <v/>
      </c>
      <c r="K1885" s="10" t="str">
        <f aca="false">IF(OR(A1885="",E1885="",H1885=""),"",ROUND(0.00617*E1885^2*H1885*J1885,2))</f>
        <v/>
      </c>
      <c r="L1885" s="9"/>
      <c r="M1885" s="10" t="str">
        <f aca="false">IF(A1885="","",IF((COUNTIF(Drain_Register!$A$5:$A$304,A1885)+COUNTIF(RW_Register!$A$5:$A$304,A1885)+COUNTIF(Embedded_Wall_Register!$A$5:$A$304,A1885)+COUNTIF(Manhole_Register!$A$5:$A$304,A1885)+COUNTIF(ERSS_Pit_Register!$A$5:$A$304,A1885)+COUNTIF(Linkway_Register!$A$5:$A$304,A1885)+COUNTIF(Other_Register!$A$5:$A$304,A1885))&gt;0,"OK","ID not in any register"))</f>
        <v/>
      </c>
    </row>
    <row r="1886" customFormat="false" ht="15" hidden="false" customHeight="false" outlineLevel="0" collapsed="false">
      <c r="A1886" s="9"/>
      <c r="B1886" s="9"/>
      <c r="C1886" s="9"/>
      <c r="D1886" s="9"/>
      <c r="E1886" s="9"/>
      <c r="F1886" s="9"/>
      <c r="G1886" s="9"/>
      <c r="H1886" s="9"/>
      <c r="I1886" s="9"/>
      <c r="J1886" s="10" t="str">
        <f aca="false">IF(A1886="","",IF(G1886&lt;&gt;"",G1886,IF(N(F1886)&gt;0,ROUND(1000/F1886,3),0)))</f>
        <v/>
      </c>
      <c r="K1886" s="10" t="str">
        <f aca="false">IF(OR(A1886="",E1886="",H1886=""),"",ROUND(0.00617*E1886^2*H1886*J1886,2))</f>
        <v/>
      </c>
      <c r="L1886" s="9"/>
      <c r="M1886" s="10" t="str">
        <f aca="false">IF(A1886="","",IF((COUNTIF(Drain_Register!$A$5:$A$304,A1886)+COUNTIF(RW_Register!$A$5:$A$304,A1886)+COUNTIF(Embedded_Wall_Register!$A$5:$A$304,A1886)+COUNTIF(Manhole_Register!$A$5:$A$304,A1886)+COUNTIF(ERSS_Pit_Register!$A$5:$A$304,A1886)+COUNTIF(Linkway_Register!$A$5:$A$304,A1886)+COUNTIF(Other_Register!$A$5:$A$304,A1886))&gt;0,"OK","ID not in any register"))</f>
        <v/>
      </c>
    </row>
    <row r="1887" customFormat="false" ht="15" hidden="false" customHeight="false" outlineLevel="0" collapsed="false">
      <c r="A1887" s="9"/>
      <c r="B1887" s="9"/>
      <c r="C1887" s="9"/>
      <c r="D1887" s="9"/>
      <c r="E1887" s="9"/>
      <c r="F1887" s="9"/>
      <c r="G1887" s="9"/>
      <c r="H1887" s="9"/>
      <c r="I1887" s="9"/>
      <c r="J1887" s="10" t="str">
        <f aca="false">IF(A1887="","",IF(G1887&lt;&gt;"",G1887,IF(N(F1887)&gt;0,ROUND(1000/F1887,3),0)))</f>
        <v/>
      </c>
      <c r="K1887" s="10" t="str">
        <f aca="false">IF(OR(A1887="",E1887="",H1887=""),"",ROUND(0.00617*E1887^2*H1887*J1887,2))</f>
        <v/>
      </c>
      <c r="L1887" s="9"/>
      <c r="M1887" s="10" t="str">
        <f aca="false">IF(A1887="","",IF((COUNTIF(Drain_Register!$A$5:$A$304,A1887)+COUNTIF(RW_Register!$A$5:$A$304,A1887)+COUNTIF(Embedded_Wall_Register!$A$5:$A$304,A1887)+COUNTIF(Manhole_Register!$A$5:$A$304,A1887)+COUNTIF(ERSS_Pit_Register!$A$5:$A$304,A1887)+COUNTIF(Linkway_Register!$A$5:$A$304,A1887)+COUNTIF(Other_Register!$A$5:$A$304,A1887))&gt;0,"OK","ID not in any register"))</f>
        <v/>
      </c>
    </row>
    <row r="1888" customFormat="false" ht="15" hidden="false" customHeight="false" outlineLevel="0" collapsed="false">
      <c r="A1888" s="9"/>
      <c r="B1888" s="9"/>
      <c r="C1888" s="9"/>
      <c r="D1888" s="9"/>
      <c r="E1888" s="9"/>
      <c r="F1888" s="9"/>
      <c r="G1888" s="9"/>
      <c r="H1888" s="9"/>
      <c r="I1888" s="9"/>
      <c r="J1888" s="10" t="str">
        <f aca="false">IF(A1888="","",IF(G1888&lt;&gt;"",G1888,IF(N(F1888)&gt;0,ROUND(1000/F1888,3),0)))</f>
        <v/>
      </c>
      <c r="K1888" s="10" t="str">
        <f aca="false">IF(OR(A1888="",E1888="",H1888=""),"",ROUND(0.00617*E1888^2*H1888*J1888,2))</f>
        <v/>
      </c>
      <c r="L1888" s="9"/>
      <c r="M1888" s="10" t="str">
        <f aca="false">IF(A1888="","",IF((COUNTIF(Drain_Register!$A$5:$A$304,A1888)+COUNTIF(RW_Register!$A$5:$A$304,A1888)+COUNTIF(Embedded_Wall_Register!$A$5:$A$304,A1888)+COUNTIF(Manhole_Register!$A$5:$A$304,A1888)+COUNTIF(ERSS_Pit_Register!$A$5:$A$304,A1888)+COUNTIF(Linkway_Register!$A$5:$A$304,A1888)+COUNTIF(Other_Register!$A$5:$A$304,A1888))&gt;0,"OK","ID not in any register"))</f>
        <v/>
      </c>
    </row>
    <row r="1889" customFormat="false" ht="15" hidden="false" customHeight="false" outlineLevel="0" collapsed="false">
      <c r="A1889" s="9"/>
      <c r="B1889" s="9"/>
      <c r="C1889" s="9"/>
      <c r="D1889" s="9"/>
      <c r="E1889" s="9"/>
      <c r="F1889" s="9"/>
      <c r="G1889" s="9"/>
      <c r="H1889" s="9"/>
      <c r="I1889" s="9"/>
      <c r="J1889" s="10" t="str">
        <f aca="false">IF(A1889="","",IF(G1889&lt;&gt;"",G1889,IF(N(F1889)&gt;0,ROUND(1000/F1889,3),0)))</f>
        <v/>
      </c>
      <c r="K1889" s="10" t="str">
        <f aca="false">IF(OR(A1889="",E1889="",H1889=""),"",ROUND(0.00617*E1889^2*H1889*J1889,2))</f>
        <v/>
      </c>
      <c r="L1889" s="9"/>
      <c r="M1889" s="10" t="str">
        <f aca="false">IF(A1889="","",IF((COUNTIF(Drain_Register!$A$5:$A$304,A1889)+COUNTIF(RW_Register!$A$5:$A$304,A1889)+COUNTIF(Embedded_Wall_Register!$A$5:$A$304,A1889)+COUNTIF(Manhole_Register!$A$5:$A$304,A1889)+COUNTIF(ERSS_Pit_Register!$A$5:$A$304,A1889)+COUNTIF(Linkway_Register!$A$5:$A$304,A1889)+COUNTIF(Other_Register!$A$5:$A$304,A1889))&gt;0,"OK","ID not in any register"))</f>
        <v/>
      </c>
    </row>
    <row r="1890" customFormat="false" ht="15" hidden="false" customHeight="false" outlineLevel="0" collapsed="false">
      <c r="A1890" s="9"/>
      <c r="B1890" s="9"/>
      <c r="C1890" s="9"/>
      <c r="D1890" s="9"/>
      <c r="E1890" s="9"/>
      <c r="F1890" s="9"/>
      <c r="G1890" s="9"/>
      <c r="H1890" s="9"/>
      <c r="I1890" s="9"/>
      <c r="J1890" s="10" t="str">
        <f aca="false">IF(A1890="","",IF(G1890&lt;&gt;"",G1890,IF(N(F1890)&gt;0,ROUND(1000/F1890,3),0)))</f>
        <v/>
      </c>
      <c r="K1890" s="10" t="str">
        <f aca="false">IF(OR(A1890="",E1890="",H1890=""),"",ROUND(0.00617*E1890^2*H1890*J1890,2))</f>
        <v/>
      </c>
      <c r="L1890" s="9"/>
      <c r="M1890" s="10" t="str">
        <f aca="false">IF(A1890="","",IF((COUNTIF(Drain_Register!$A$5:$A$304,A1890)+COUNTIF(RW_Register!$A$5:$A$304,A1890)+COUNTIF(Embedded_Wall_Register!$A$5:$A$304,A1890)+COUNTIF(Manhole_Register!$A$5:$A$304,A1890)+COUNTIF(ERSS_Pit_Register!$A$5:$A$304,A1890)+COUNTIF(Linkway_Register!$A$5:$A$304,A1890)+COUNTIF(Other_Register!$A$5:$A$304,A1890))&gt;0,"OK","ID not in any register"))</f>
        <v/>
      </c>
    </row>
    <row r="1891" customFormat="false" ht="15" hidden="false" customHeight="false" outlineLevel="0" collapsed="false">
      <c r="A1891" s="9"/>
      <c r="B1891" s="9"/>
      <c r="C1891" s="9"/>
      <c r="D1891" s="9"/>
      <c r="E1891" s="9"/>
      <c r="F1891" s="9"/>
      <c r="G1891" s="9"/>
      <c r="H1891" s="9"/>
      <c r="I1891" s="9"/>
      <c r="J1891" s="10" t="str">
        <f aca="false">IF(A1891="","",IF(G1891&lt;&gt;"",G1891,IF(N(F1891)&gt;0,ROUND(1000/F1891,3),0)))</f>
        <v/>
      </c>
      <c r="K1891" s="10" t="str">
        <f aca="false">IF(OR(A1891="",E1891="",H1891=""),"",ROUND(0.00617*E1891^2*H1891*J1891,2))</f>
        <v/>
      </c>
      <c r="L1891" s="9"/>
      <c r="M1891" s="10" t="str">
        <f aca="false">IF(A1891="","",IF((COUNTIF(Drain_Register!$A$5:$A$304,A1891)+COUNTIF(RW_Register!$A$5:$A$304,A1891)+COUNTIF(Embedded_Wall_Register!$A$5:$A$304,A1891)+COUNTIF(Manhole_Register!$A$5:$A$304,A1891)+COUNTIF(ERSS_Pit_Register!$A$5:$A$304,A1891)+COUNTIF(Linkway_Register!$A$5:$A$304,A1891)+COUNTIF(Other_Register!$A$5:$A$304,A1891))&gt;0,"OK","ID not in any register"))</f>
        <v/>
      </c>
    </row>
    <row r="1892" customFormat="false" ht="15" hidden="false" customHeight="false" outlineLevel="0" collapsed="false">
      <c r="A1892" s="9"/>
      <c r="B1892" s="9"/>
      <c r="C1892" s="9"/>
      <c r="D1892" s="9"/>
      <c r="E1892" s="9"/>
      <c r="F1892" s="9"/>
      <c r="G1892" s="9"/>
      <c r="H1892" s="9"/>
      <c r="I1892" s="9"/>
      <c r="J1892" s="10" t="str">
        <f aca="false">IF(A1892="","",IF(G1892&lt;&gt;"",G1892,IF(N(F1892)&gt;0,ROUND(1000/F1892,3),0)))</f>
        <v/>
      </c>
      <c r="K1892" s="10" t="str">
        <f aca="false">IF(OR(A1892="",E1892="",H1892=""),"",ROUND(0.00617*E1892^2*H1892*J1892,2))</f>
        <v/>
      </c>
      <c r="L1892" s="9"/>
      <c r="M1892" s="10" t="str">
        <f aca="false">IF(A1892="","",IF((COUNTIF(Drain_Register!$A$5:$A$304,A1892)+COUNTIF(RW_Register!$A$5:$A$304,A1892)+COUNTIF(Embedded_Wall_Register!$A$5:$A$304,A1892)+COUNTIF(Manhole_Register!$A$5:$A$304,A1892)+COUNTIF(ERSS_Pit_Register!$A$5:$A$304,A1892)+COUNTIF(Linkway_Register!$A$5:$A$304,A1892)+COUNTIF(Other_Register!$A$5:$A$304,A1892))&gt;0,"OK","ID not in any register"))</f>
        <v/>
      </c>
    </row>
    <row r="1893" customFormat="false" ht="15" hidden="false" customHeight="false" outlineLevel="0" collapsed="false">
      <c r="A1893" s="9"/>
      <c r="B1893" s="9"/>
      <c r="C1893" s="9"/>
      <c r="D1893" s="9"/>
      <c r="E1893" s="9"/>
      <c r="F1893" s="9"/>
      <c r="G1893" s="9"/>
      <c r="H1893" s="9"/>
      <c r="I1893" s="9"/>
      <c r="J1893" s="10" t="str">
        <f aca="false">IF(A1893="","",IF(G1893&lt;&gt;"",G1893,IF(N(F1893)&gt;0,ROUND(1000/F1893,3),0)))</f>
        <v/>
      </c>
      <c r="K1893" s="10" t="str">
        <f aca="false">IF(OR(A1893="",E1893="",H1893=""),"",ROUND(0.00617*E1893^2*H1893*J1893,2))</f>
        <v/>
      </c>
      <c r="L1893" s="9"/>
      <c r="M1893" s="10" t="str">
        <f aca="false">IF(A1893="","",IF((COUNTIF(Drain_Register!$A$5:$A$304,A1893)+COUNTIF(RW_Register!$A$5:$A$304,A1893)+COUNTIF(Embedded_Wall_Register!$A$5:$A$304,A1893)+COUNTIF(Manhole_Register!$A$5:$A$304,A1893)+COUNTIF(ERSS_Pit_Register!$A$5:$A$304,A1893)+COUNTIF(Linkway_Register!$A$5:$A$304,A1893)+COUNTIF(Other_Register!$A$5:$A$304,A1893))&gt;0,"OK","ID not in any register"))</f>
        <v/>
      </c>
    </row>
    <row r="1894" customFormat="false" ht="15" hidden="false" customHeight="false" outlineLevel="0" collapsed="false">
      <c r="A1894" s="9"/>
      <c r="B1894" s="9"/>
      <c r="C1894" s="9"/>
      <c r="D1894" s="9"/>
      <c r="E1894" s="9"/>
      <c r="F1894" s="9"/>
      <c r="G1894" s="9"/>
      <c r="H1894" s="9"/>
      <c r="I1894" s="9"/>
      <c r="J1894" s="10" t="str">
        <f aca="false">IF(A1894="","",IF(G1894&lt;&gt;"",G1894,IF(N(F1894)&gt;0,ROUND(1000/F1894,3),0)))</f>
        <v/>
      </c>
      <c r="K1894" s="10" t="str">
        <f aca="false">IF(OR(A1894="",E1894="",H1894=""),"",ROUND(0.00617*E1894^2*H1894*J1894,2))</f>
        <v/>
      </c>
      <c r="L1894" s="9"/>
      <c r="M1894" s="10" t="str">
        <f aca="false">IF(A1894="","",IF((COUNTIF(Drain_Register!$A$5:$A$304,A1894)+COUNTIF(RW_Register!$A$5:$A$304,A1894)+COUNTIF(Embedded_Wall_Register!$A$5:$A$304,A1894)+COUNTIF(Manhole_Register!$A$5:$A$304,A1894)+COUNTIF(ERSS_Pit_Register!$A$5:$A$304,A1894)+COUNTIF(Linkway_Register!$A$5:$A$304,A1894)+COUNTIF(Other_Register!$A$5:$A$304,A1894))&gt;0,"OK","ID not in any register"))</f>
        <v/>
      </c>
    </row>
    <row r="1895" customFormat="false" ht="15" hidden="false" customHeight="false" outlineLevel="0" collapsed="false">
      <c r="A1895" s="9"/>
      <c r="B1895" s="9"/>
      <c r="C1895" s="9"/>
      <c r="D1895" s="9"/>
      <c r="E1895" s="9"/>
      <c r="F1895" s="9"/>
      <c r="G1895" s="9"/>
      <c r="H1895" s="9"/>
      <c r="I1895" s="9"/>
      <c r="J1895" s="10" t="str">
        <f aca="false">IF(A1895="","",IF(G1895&lt;&gt;"",G1895,IF(N(F1895)&gt;0,ROUND(1000/F1895,3),0)))</f>
        <v/>
      </c>
      <c r="K1895" s="10" t="str">
        <f aca="false">IF(OR(A1895="",E1895="",H1895=""),"",ROUND(0.00617*E1895^2*H1895*J1895,2))</f>
        <v/>
      </c>
      <c r="L1895" s="9"/>
      <c r="M1895" s="10" t="str">
        <f aca="false">IF(A1895="","",IF((COUNTIF(Drain_Register!$A$5:$A$304,A1895)+COUNTIF(RW_Register!$A$5:$A$304,A1895)+COUNTIF(Embedded_Wall_Register!$A$5:$A$304,A1895)+COUNTIF(Manhole_Register!$A$5:$A$304,A1895)+COUNTIF(ERSS_Pit_Register!$A$5:$A$304,A1895)+COUNTIF(Linkway_Register!$A$5:$A$304,A1895)+COUNTIF(Other_Register!$A$5:$A$304,A1895))&gt;0,"OK","ID not in any register"))</f>
        <v/>
      </c>
    </row>
    <row r="1896" customFormat="false" ht="15" hidden="false" customHeight="false" outlineLevel="0" collapsed="false">
      <c r="A1896" s="9"/>
      <c r="B1896" s="9"/>
      <c r="C1896" s="9"/>
      <c r="D1896" s="9"/>
      <c r="E1896" s="9"/>
      <c r="F1896" s="9"/>
      <c r="G1896" s="9"/>
      <c r="H1896" s="9"/>
      <c r="I1896" s="9"/>
      <c r="J1896" s="10" t="str">
        <f aca="false">IF(A1896="","",IF(G1896&lt;&gt;"",G1896,IF(N(F1896)&gt;0,ROUND(1000/F1896,3),0)))</f>
        <v/>
      </c>
      <c r="K1896" s="10" t="str">
        <f aca="false">IF(OR(A1896="",E1896="",H1896=""),"",ROUND(0.00617*E1896^2*H1896*J1896,2))</f>
        <v/>
      </c>
      <c r="L1896" s="9"/>
      <c r="M1896" s="10" t="str">
        <f aca="false">IF(A1896="","",IF((COUNTIF(Drain_Register!$A$5:$A$304,A1896)+COUNTIF(RW_Register!$A$5:$A$304,A1896)+COUNTIF(Embedded_Wall_Register!$A$5:$A$304,A1896)+COUNTIF(Manhole_Register!$A$5:$A$304,A1896)+COUNTIF(ERSS_Pit_Register!$A$5:$A$304,A1896)+COUNTIF(Linkway_Register!$A$5:$A$304,A1896)+COUNTIF(Other_Register!$A$5:$A$304,A1896))&gt;0,"OK","ID not in any register"))</f>
        <v/>
      </c>
    </row>
    <row r="1897" customFormat="false" ht="15" hidden="false" customHeight="false" outlineLevel="0" collapsed="false">
      <c r="A1897" s="9"/>
      <c r="B1897" s="9"/>
      <c r="C1897" s="9"/>
      <c r="D1897" s="9"/>
      <c r="E1897" s="9"/>
      <c r="F1897" s="9"/>
      <c r="G1897" s="9"/>
      <c r="H1897" s="9"/>
      <c r="I1897" s="9"/>
      <c r="J1897" s="10" t="str">
        <f aca="false">IF(A1897="","",IF(G1897&lt;&gt;"",G1897,IF(N(F1897)&gt;0,ROUND(1000/F1897,3),0)))</f>
        <v/>
      </c>
      <c r="K1897" s="10" t="str">
        <f aca="false">IF(OR(A1897="",E1897="",H1897=""),"",ROUND(0.00617*E1897^2*H1897*J1897,2))</f>
        <v/>
      </c>
      <c r="L1897" s="9"/>
      <c r="M1897" s="10" t="str">
        <f aca="false">IF(A1897="","",IF((COUNTIF(Drain_Register!$A$5:$A$304,A1897)+COUNTIF(RW_Register!$A$5:$A$304,A1897)+COUNTIF(Embedded_Wall_Register!$A$5:$A$304,A1897)+COUNTIF(Manhole_Register!$A$5:$A$304,A1897)+COUNTIF(ERSS_Pit_Register!$A$5:$A$304,A1897)+COUNTIF(Linkway_Register!$A$5:$A$304,A1897)+COUNTIF(Other_Register!$A$5:$A$304,A1897))&gt;0,"OK","ID not in any register"))</f>
        <v/>
      </c>
    </row>
    <row r="1898" customFormat="false" ht="15" hidden="false" customHeight="false" outlineLevel="0" collapsed="false">
      <c r="A1898" s="9"/>
      <c r="B1898" s="9"/>
      <c r="C1898" s="9"/>
      <c r="D1898" s="9"/>
      <c r="E1898" s="9"/>
      <c r="F1898" s="9"/>
      <c r="G1898" s="9"/>
      <c r="H1898" s="9"/>
      <c r="I1898" s="9"/>
      <c r="J1898" s="10" t="str">
        <f aca="false">IF(A1898="","",IF(G1898&lt;&gt;"",G1898,IF(N(F1898)&gt;0,ROUND(1000/F1898,3),0)))</f>
        <v/>
      </c>
      <c r="K1898" s="10" t="str">
        <f aca="false">IF(OR(A1898="",E1898="",H1898=""),"",ROUND(0.00617*E1898^2*H1898*J1898,2))</f>
        <v/>
      </c>
      <c r="L1898" s="9"/>
      <c r="M1898" s="10" t="str">
        <f aca="false">IF(A1898="","",IF((COUNTIF(Drain_Register!$A$5:$A$304,A1898)+COUNTIF(RW_Register!$A$5:$A$304,A1898)+COUNTIF(Embedded_Wall_Register!$A$5:$A$304,A1898)+COUNTIF(Manhole_Register!$A$5:$A$304,A1898)+COUNTIF(ERSS_Pit_Register!$A$5:$A$304,A1898)+COUNTIF(Linkway_Register!$A$5:$A$304,A1898)+COUNTIF(Other_Register!$A$5:$A$304,A1898))&gt;0,"OK","ID not in any register"))</f>
        <v/>
      </c>
    </row>
    <row r="1899" customFormat="false" ht="15" hidden="false" customHeight="false" outlineLevel="0" collapsed="false">
      <c r="A1899" s="9"/>
      <c r="B1899" s="9"/>
      <c r="C1899" s="9"/>
      <c r="D1899" s="9"/>
      <c r="E1899" s="9"/>
      <c r="F1899" s="9"/>
      <c r="G1899" s="9"/>
      <c r="H1899" s="9"/>
      <c r="I1899" s="9"/>
      <c r="J1899" s="10" t="str">
        <f aca="false">IF(A1899="","",IF(G1899&lt;&gt;"",G1899,IF(N(F1899)&gt;0,ROUND(1000/F1899,3),0)))</f>
        <v/>
      </c>
      <c r="K1899" s="10" t="str">
        <f aca="false">IF(OR(A1899="",E1899="",H1899=""),"",ROUND(0.00617*E1899^2*H1899*J1899,2))</f>
        <v/>
      </c>
      <c r="L1899" s="9"/>
      <c r="M1899" s="10" t="str">
        <f aca="false">IF(A1899="","",IF((COUNTIF(Drain_Register!$A$5:$A$304,A1899)+COUNTIF(RW_Register!$A$5:$A$304,A1899)+COUNTIF(Embedded_Wall_Register!$A$5:$A$304,A1899)+COUNTIF(Manhole_Register!$A$5:$A$304,A1899)+COUNTIF(ERSS_Pit_Register!$A$5:$A$304,A1899)+COUNTIF(Linkway_Register!$A$5:$A$304,A1899)+COUNTIF(Other_Register!$A$5:$A$304,A1899))&gt;0,"OK","ID not in any register"))</f>
        <v/>
      </c>
    </row>
    <row r="1900" customFormat="false" ht="15" hidden="false" customHeight="false" outlineLevel="0" collapsed="false">
      <c r="A1900" s="9"/>
      <c r="B1900" s="9"/>
      <c r="C1900" s="9"/>
      <c r="D1900" s="9"/>
      <c r="E1900" s="9"/>
      <c r="F1900" s="9"/>
      <c r="G1900" s="9"/>
      <c r="H1900" s="9"/>
      <c r="I1900" s="9"/>
      <c r="J1900" s="10" t="str">
        <f aca="false">IF(A1900="","",IF(G1900&lt;&gt;"",G1900,IF(N(F1900)&gt;0,ROUND(1000/F1900,3),0)))</f>
        <v/>
      </c>
      <c r="K1900" s="10" t="str">
        <f aca="false">IF(OR(A1900="",E1900="",H1900=""),"",ROUND(0.00617*E1900^2*H1900*J1900,2))</f>
        <v/>
      </c>
      <c r="L1900" s="9"/>
      <c r="M1900" s="10" t="str">
        <f aca="false">IF(A1900="","",IF((COUNTIF(Drain_Register!$A$5:$A$304,A1900)+COUNTIF(RW_Register!$A$5:$A$304,A1900)+COUNTIF(Embedded_Wall_Register!$A$5:$A$304,A1900)+COUNTIF(Manhole_Register!$A$5:$A$304,A1900)+COUNTIF(ERSS_Pit_Register!$A$5:$A$304,A1900)+COUNTIF(Linkway_Register!$A$5:$A$304,A1900)+COUNTIF(Other_Register!$A$5:$A$304,A1900))&gt;0,"OK","ID not in any register"))</f>
        <v/>
      </c>
    </row>
    <row r="1901" customFormat="false" ht="15" hidden="false" customHeight="false" outlineLevel="0" collapsed="false">
      <c r="A1901" s="9"/>
      <c r="B1901" s="9"/>
      <c r="C1901" s="9"/>
      <c r="D1901" s="9"/>
      <c r="E1901" s="9"/>
      <c r="F1901" s="9"/>
      <c r="G1901" s="9"/>
      <c r="H1901" s="9"/>
      <c r="I1901" s="9"/>
      <c r="J1901" s="10" t="str">
        <f aca="false">IF(A1901="","",IF(G1901&lt;&gt;"",G1901,IF(N(F1901)&gt;0,ROUND(1000/F1901,3),0)))</f>
        <v/>
      </c>
      <c r="K1901" s="10" t="str">
        <f aca="false">IF(OR(A1901="",E1901="",H1901=""),"",ROUND(0.00617*E1901^2*H1901*J1901,2))</f>
        <v/>
      </c>
      <c r="L1901" s="9"/>
      <c r="M1901" s="10" t="str">
        <f aca="false">IF(A1901="","",IF((COUNTIF(Drain_Register!$A$5:$A$304,A1901)+COUNTIF(RW_Register!$A$5:$A$304,A1901)+COUNTIF(Embedded_Wall_Register!$A$5:$A$304,A1901)+COUNTIF(Manhole_Register!$A$5:$A$304,A1901)+COUNTIF(ERSS_Pit_Register!$A$5:$A$304,A1901)+COUNTIF(Linkway_Register!$A$5:$A$304,A1901)+COUNTIF(Other_Register!$A$5:$A$304,A1901))&gt;0,"OK","ID not in any register"))</f>
        <v/>
      </c>
    </row>
    <row r="1902" customFormat="false" ht="15" hidden="false" customHeight="false" outlineLevel="0" collapsed="false">
      <c r="A1902" s="9"/>
      <c r="B1902" s="9"/>
      <c r="C1902" s="9"/>
      <c r="D1902" s="9"/>
      <c r="E1902" s="9"/>
      <c r="F1902" s="9"/>
      <c r="G1902" s="9"/>
      <c r="H1902" s="9"/>
      <c r="I1902" s="9"/>
      <c r="J1902" s="10" t="str">
        <f aca="false">IF(A1902="","",IF(G1902&lt;&gt;"",G1902,IF(N(F1902)&gt;0,ROUND(1000/F1902,3),0)))</f>
        <v/>
      </c>
      <c r="K1902" s="10" t="str">
        <f aca="false">IF(OR(A1902="",E1902="",H1902=""),"",ROUND(0.00617*E1902^2*H1902*J1902,2))</f>
        <v/>
      </c>
      <c r="L1902" s="9"/>
      <c r="M1902" s="10" t="str">
        <f aca="false">IF(A1902="","",IF((COUNTIF(Drain_Register!$A$5:$A$304,A1902)+COUNTIF(RW_Register!$A$5:$A$304,A1902)+COUNTIF(Embedded_Wall_Register!$A$5:$A$304,A1902)+COUNTIF(Manhole_Register!$A$5:$A$304,A1902)+COUNTIF(ERSS_Pit_Register!$A$5:$A$304,A1902)+COUNTIF(Linkway_Register!$A$5:$A$304,A1902)+COUNTIF(Other_Register!$A$5:$A$304,A1902))&gt;0,"OK","ID not in any register"))</f>
        <v/>
      </c>
    </row>
    <row r="1903" customFormat="false" ht="15" hidden="false" customHeight="false" outlineLevel="0" collapsed="false">
      <c r="A1903" s="9"/>
      <c r="B1903" s="9"/>
      <c r="C1903" s="9"/>
      <c r="D1903" s="9"/>
      <c r="E1903" s="9"/>
      <c r="F1903" s="9"/>
      <c r="G1903" s="9"/>
      <c r="H1903" s="9"/>
      <c r="I1903" s="9"/>
      <c r="J1903" s="10" t="str">
        <f aca="false">IF(A1903="","",IF(G1903&lt;&gt;"",G1903,IF(N(F1903)&gt;0,ROUND(1000/F1903,3),0)))</f>
        <v/>
      </c>
      <c r="K1903" s="10" t="str">
        <f aca="false">IF(OR(A1903="",E1903="",H1903=""),"",ROUND(0.00617*E1903^2*H1903*J1903,2))</f>
        <v/>
      </c>
      <c r="L1903" s="9"/>
      <c r="M1903" s="10" t="str">
        <f aca="false">IF(A1903="","",IF((COUNTIF(Drain_Register!$A$5:$A$304,A1903)+COUNTIF(RW_Register!$A$5:$A$304,A1903)+COUNTIF(Embedded_Wall_Register!$A$5:$A$304,A1903)+COUNTIF(Manhole_Register!$A$5:$A$304,A1903)+COUNTIF(ERSS_Pit_Register!$A$5:$A$304,A1903)+COUNTIF(Linkway_Register!$A$5:$A$304,A1903)+COUNTIF(Other_Register!$A$5:$A$304,A1903))&gt;0,"OK","ID not in any register"))</f>
        <v/>
      </c>
    </row>
    <row r="1904" customFormat="false" ht="15" hidden="false" customHeight="false" outlineLevel="0" collapsed="false">
      <c r="A1904" s="9"/>
      <c r="B1904" s="9"/>
      <c r="C1904" s="9"/>
      <c r="D1904" s="9"/>
      <c r="E1904" s="9"/>
      <c r="F1904" s="9"/>
      <c r="G1904" s="9"/>
      <c r="H1904" s="9"/>
      <c r="I1904" s="9"/>
      <c r="J1904" s="10" t="str">
        <f aca="false">IF(A1904="","",IF(G1904&lt;&gt;"",G1904,IF(N(F1904)&gt;0,ROUND(1000/F1904,3),0)))</f>
        <v/>
      </c>
      <c r="K1904" s="10" t="str">
        <f aca="false">IF(OR(A1904="",E1904="",H1904=""),"",ROUND(0.00617*E1904^2*H1904*J1904,2))</f>
        <v/>
      </c>
      <c r="L1904" s="9"/>
      <c r="M1904" s="10" t="str">
        <f aca="false">IF(A1904="","",IF((COUNTIF(Drain_Register!$A$5:$A$304,A1904)+COUNTIF(RW_Register!$A$5:$A$304,A1904)+COUNTIF(Embedded_Wall_Register!$A$5:$A$304,A1904)+COUNTIF(Manhole_Register!$A$5:$A$304,A1904)+COUNTIF(ERSS_Pit_Register!$A$5:$A$304,A1904)+COUNTIF(Linkway_Register!$A$5:$A$304,A1904)+COUNTIF(Other_Register!$A$5:$A$304,A1904))&gt;0,"OK","ID not in any register"))</f>
        <v/>
      </c>
    </row>
    <row r="1905" customFormat="false" ht="15" hidden="false" customHeight="false" outlineLevel="0" collapsed="false">
      <c r="A1905" s="9"/>
      <c r="B1905" s="9"/>
      <c r="C1905" s="9"/>
      <c r="D1905" s="9"/>
      <c r="E1905" s="9"/>
      <c r="F1905" s="9"/>
      <c r="G1905" s="9"/>
      <c r="H1905" s="9"/>
      <c r="I1905" s="9"/>
      <c r="J1905" s="10" t="str">
        <f aca="false">IF(A1905="","",IF(G1905&lt;&gt;"",G1905,IF(N(F1905)&gt;0,ROUND(1000/F1905,3),0)))</f>
        <v/>
      </c>
      <c r="K1905" s="10" t="str">
        <f aca="false">IF(OR(A1905="",E1905="",H1905=""),"",ROUND(0.00617*E1905^2*H1905*J1905,2))</f>
        <v/>
      </c>
      <c r="L1905" s="9"/>
      <c r="M1905" s="10" t="str">
        <f aca="false">IF(A1905="","",IF((COUNTIF(Drain_Register!$A$5:$A$304,A1905)+COUNTIF(RW_Register!$A$5:$A$304,A1905)+COUNTIF(Embedded_Wall_Register!$A$5:$A$304,A1905)+COUNTIF(Manhole_Register!$A$5:$A$304,A1905)+COUNTIF(ERSS_Pit_Register!$A$5:$A$304,A1905)+COUNTIF(Linkway_Register!$A$5:$A$304,A1905)+COUNTIF(Other_Register!$A$5:$A$304,A1905))&gt;0,"OK","ID not in any register"))</f>
        <v/>
      </c>
    </row>
    <row r="1906" customFormat="false" ht="15" hidden="false" customHeight="false" outlineLevel="0" collapsed="false">
      <c r="A1906" s="9"/>
      <c r="B1906" s="9"/>
      <c r="C1906" s="9"/>
      <c r="D1906" s="9"/>
      <c r="E1906" s="9"/>
      <c r="F1906" s="9"/>
      <c r="G1906" s="9"/>
      <c r="H1906" s="9"/>
      <c r="I1906" s="9"/>
      <c r="J1906" s="10" t="str">
        <f aca="false">IF(A1906="","",IF(G1906&lt;&gt;"",G1906,IF(N(F1906)&gt;0,ROUND(1000/F1906,3),0)))</f>
        <v/>
      </c>
      <c r="K1906" s="10" t="str">
        <f aca="false">IF(OR(A1906="",E1906="",H1906=""),"",ROUND(0.00617*E1906^2*H1906*J1906,2))</f>
        <v/>
      </c>
      <c r="L1906" s="9"/>
      <c r="M1906" s="10" t="str">
        <f aca="false">IF(A1906="","",IF((COUNTIF(Drain_Register!$A$5:$A$304,A1906)+COUNTIF(RW_Register!$A$5:$A$304,A1906)+COUNTIF(Embedded_Wall_Register!$A$5:$A$304,A1906)+COUNTIF(Manhole_Register!$A$5:$A$304,A1906)+COUNTIF(ERSS_Pit_Register!$A$5:$A$304,A1906)+COUNTIF(Linkway_Register!$A$5:$A$304,A1906)+COUNTIF(Other_Register!$A$5:$A$304,A1906))&gt;0,"OK","ID not in any register"))</f>
        <v/>
      </c>
    </row>
    <row r="1907" customFormat="false" ht="15" hidden="false" customHeight="false" outlineLevel="0" collapsed="false">
      <c r="A1907" s="9"/>
      <c r="B1907" s="9"/>
      <c r="C1907" s="9"/>
      <c r="D1907" s="9"/>
      <c r="E1907" s="9"/>
      <c r="F1907" s="9"/>
      <c r="G1907" s="9"/>
      <c r="H1907" s="9"/>
      <c r="I1907" s="9"/>
      <c r="J1907" s="10" t="str">
        <f aca="false">IF(A1907="","",IF(G1907&lt;&gt;"",G1907,IF(N(F1907)&gt;0,ROUND(1000/F1907,3),0)))</f>
        <v/>
      </c>
      <c r="K1907" s="10" t="str">
        <f aca="false">IF(OR(A1907="",E1907="",H1907=""),"",ROUND(0.00617*E1907^2*H1907*J1907,2))</f>
        <v/>
      </c>
      <c r="L1907" s="9"/>
      <c r="M1907" s="10" t="str">
        <f aca="false">IF(A1907="","",IF((COUNTIF(Drain_Register!$A$5:$A$304,A1907)+COUNTIF(RW_Register!$A$5:$A$304,A1907)+COUNTIF(Embedded_Wall_Register!$A$5:$A$304,A1907)+COUNTIF(Manhole_Register!$A$5:$A$304,A1907)+COUNTIF(ERSS_Pit_Register!$A$5:$A$304,A1907)+COUNTIF(Linkway_Register!$A$5:$A$304,A1907)+COUNTIF(Other_Register!$A$5:$A$304,A1907))&gt;0,"OK","ID not in any register"))</f>
        <v/>
      </c>
    </row>
    <row r="1908" customFormat="false" ht="15" hidden="false" customHeight="false" outlineLevel="0" collapsed="false">
      <c r="A1908" s="9"/>
      <c r="B1908" s="9"/>
      <c r="C1908" s="9"/>
      <c r="D1908" s="9"/>
      <c r="E1908" s="9"/>
      <c r="F1908" s="9"/>
      <c r="G1908" s="9"/>
      <c r="H1908" s="9"/>
      <c r="I1908" s="9"/>
      <c r="J1908" s="10" t="str">
        <f aca="false">IF(A1908="","",IF(G1908&lt;&gt;"",G1908,IF(N(F1908)&gt;0,ROUND(1000/F1908,3),0)))</f>
        <v/>
      </c>
      <c r="K1908" s="10" t="str">
        <f aca="false">IF(OR(A1908="",E1908="",H1908=""),"",ROUND(0.00617*E1908^2*H1908*J1908,2))</f>
        <v/>
      </c>
      <c r="L1908" s="9"/>
      <c r="M1908" s="10" t="str">
        <f aca="false">IF(A1908="","",IF((COUNTIF(Drain_Register!$A$5:$A$304,A1908)+COUNTIF(RW_Register!$A$5:$A$304,A1908)+COUNTIF(Embedded_Wall_Register!$A$5:$A$304,A1908)+COUNTIF(Manhole_Register!$A$5:$A$304,A1908)+COUNTIF(ERSS_Pit_Register!$A$5:$A$304,A1908)+COUNTIF(Linkway_Register!$A$5:$A$304,A1908)+COUNTIF(Other_Register!$A$5:$A$304,A1908))&gt;0,"OK","ID not in any register"))</f>
        <v/>
      </c>
    </row>
    <row r="1909" customFormat="false" ht="15" hidden="false" customHeight="false" outlineLevel="0" collapsed="false">
      <c r="A1909" s="9"/>
      <c r="B1909" s="9"/>
      <c r="C1909" s="9"/>
      <c r="D1909" s="9"/>
      <c r="E1909" s="9"/>
      <c r="F1909" s="9"/>
      <c r="G1909" s="9"/>
      <c r="H1909" s="9"/>
      <c r="I1909" s="9"/>
      <c r="J1909" s="10" t="str">
        <f aca="false">IF(A1909="","",IF(G1909&lt;&gt;"",G1909,IF(N(F1909)&gt;0,ROUND(1000/F1909,3),0)))</f>
        <v/>
      </c>
      <c r="K1909" s="10" t="str">
        <f aca="false">IF(OR(A1909="",E1909="",H1909=""),"",ROUND(0.00617*E1909^2*H1909*J1909,2))</f>
        <v/>
      </c>
      <c r="L1909" s="9"/>
      <c r="M1909" s="10" t="str">
        <f aca="false">IF(A1909="","",IF((COUNTIF(Drain_Register!$A$5:$A$304,A1909)+COUNTIF(RW_Register!$A$5:$A$304,A1909)+COUNTIF(Embedded_Wall_Register!$A$5:$A$304,A1909)+COUNTIF(Manhole_Register!$A$5:$A$304,A1909)+COUNTIF(ERSS_Pit_Register!$A$5:$A$304,A1909)+COUNTIF(Linkway_Register!$A$5:$A$304,A1909)+COUNTIF(Other_Register!$A$5:$A$304,A1909))&gt;0,"OK","ID not in any register"))</f>
        <v/>
      </c>
    </row>
    <row r="1910" customFormat="false" ht="15" hidden="false" customHeight="false" outlineLevel="0" collapsed="false">
      <c r="A1910" s="9"/>
      <c r="B1910" s="9"/>
      <c r="C1910" s="9"/>
      <c r="D1910" s="9"/>
      <c r="E1910" s="9"/>
      <c r="F1910" s="9"/>
      <c r="G1910" s="9"/>
      <c r="H1910" s="9"/>
      <c r="I1910" s="9"/>
      <c r="J1910" s="10" t="str">
        <f aca="false">IF(A1910="","",IF(G1910&lt;&gt;"",G1910,IF(N(F1910)&gt;0,ROUND(1000/F1910,3),0)))</f>
        <v/>
      </c>
      <c r="K1910" s="10" t="str">
        <f aca="false">IF(OR(A1910="",E1910="",H1910=""),"",ROUND(0.00617*E1910^2*H1910*J1910,2))</f>
        <v/>
      </c>
      <c r="L1910" s="9"/>
      <c r="M1910" s="10" t="str">
        <f aca="false">IF(A1910="","",IF((COUNTIF(Drain_Register!$A$5:$A$304,A1910)+COUNTIF(RW_Register!$A$5:$A$304,A1910)+COUNTIF(Embedded_Wall_Register!$A$5:$A$304,A1910)+COUNTIF(Manhole_Register!$A$5:$A$304,A1910)+COUNTIF(ERSS_Pit_Register!$A$5:$A$304,A1910)+COUNTIF(Linkway_Register!$A$5:$A$304,A1910)+COUNTIF(Other_Register!$A$5:$A$304,A1910))&gt;0,"OK","ID not in any register"))</f>
        <v/>
      </c>
    </row>
    <row r="1911" customFormat="false" ht="15" hidden="false" customHeight="false" outlineLevel="0" collapsed="false">
      <c r="A1911" s="9"/>
      <c r="B1911" s="9"/>
      <c r="C1911" s="9"/>
      <c r="D1911" s="9"/>
      <c r="E1911" s="9"/>
      <c r="F1911" s="9"/>
      <c r="G1911" s="9"/>
      <c r="H1911" s="9"/>
      <c r="I1911" s="9"/>
      <c r="J1911" s="10" t="str">
        <f aca="false">IF(A1911="","",IF(G1911&lt;&gt;"",G1911,IF(N(F1911)&gt;0,ROUND(1000/F1911,3),0)))</f>
        <v/>
      </c>
      <c r="K1911" s="10" t="str">
        <f aca="false">IF(OR(A1911="",E1911="",H1911=""),"",ROUND(0.00617*E1911^2*H1911*J1911,2))</f>
        <v/>
      </c>
      <c r="L1911" s="9"/>
      <c r="M1911" s="10" t="str">
        <f aca="false">IF(A1911="","",IF((COUNTIF(Drain_Register!$A$5:$A$304,A1911)+COUNTIF(RW_Register!$A$5:$A$304,A1911)+COUNTIF(Embedded_Wall_Register!$A$5:$A$304,A1911)+COUNTIF(Manhole_Register!$A$5:$A$304,A1911)+COUNTIF(ERSS_Pit_Register!$A$5:$A$304,A1911)+COUNTIF(Linkway_Register!$A$5:$A$304,A1911)+COUNTIF(Other_Register!$A$5:$A$304,A1911))&gt;0,"OK","ID not in any register"))</f>
        <v/>
      </c>
    </row>
    <row r="1912" customFormat="false" ht="15" hidden="false" customHeight="false" outlineLevel="0" collapsed="false">
      <c r="A1912" s="9"/>
      <c r="B1912" s="9"/>
      <c r="C1912" s="9"/>
      <c r="D1912" s="9"/>
      <c r="E1912" s="9"/>
      <c r="F1912" s="9"/>
      <c r="G1912" s="9"/>
      <c r="H1912" s="9"/>
      <c r="I1912" s="9"/>
      <c r="J1912" s="10" t="str">
        <f aca="false">IF(A1912="","",IF(G1912&lt;&gt;"",G1912,IF(N(F1912)&gt;0,ROUND(1000/F1912,3),0)))</f>
        <v/>
      </c>
      <c r="K1912" s="10" t="str">
        <f aca="false">IF(OR(A1912="",E1912="",H1912=""),"",ROUND(0.00617*E1912^2*H1912*J1912,2))</f>
        <v/>
      </c>
      <c r="L1912" s="9"/>
      <c r="M1912" s="10" t="str">
        <f aca="false">IF(A1912="","",IF((COUNTIF(Drain_Register!$A$5:$A$304,A1912)+COUNTIF(RW_Register!$A$5:$A$304,A1912)+COUNTIF(Embedded_Wall_Register!$A$5:$A$304,A1912)+COUNTIF(Manhole_Register!$A$5:$A$304,A1912)+COUNTIF(ERSS_Pit_Register!$A$5:$A$304,A1912)+COUNTIF(Linkway_Register!$A$5:$A$304,A1912)+COUNTIF(Other_Register!$A$5:$A$304,A1912))&gt;0,"OK","ID not in any register"))</f>
        <v/>
      </c>
    </row>
    <row r="1913" customFormat="false" ht="15" hidden="false" customHeight="false" outlineLevel="0" collapsed="false">
      <c r="A1913" s="9"/>
      <c r="B1913" s="9"/>
      <c r="C1913" s="9"/>
      <c r="D1913" s="9"/>
      <c r="E1913" s="9"/>
      <c r="F1913" s="9"/>
      <c r="G1913" s="9"/>
      <c r="H1913" s="9"/>
      <c r="I1913" s="9"/>
      <c r="J1913" s="10" t="str">
        <f aca="false">IF(A1913="","",IF(G1913&lt;&gt;"",G1913,IF(N(F1913)&gt;0,ROUND(1000/F1913,3),0)))</f>
        <v/>
      </c>
      <c r="K1913" s="10" t="str">
        <f aca="false">IF(OR(A1913="",E1913="",H1913=""),"",ROUND(0.00617*E1913^2*H1913*J1913,2))</f>
        <v/>
      </c>
      <c r="L1913" s="9"/>
      <c r="M1913" s="10" t="str">
        <f aca="false">IF(A1913="","",IF((COUNTIF(Drain_Register!$A$5:$A$304,A1913)+COUNTIF(RW_Register!$A$5:$A$304,A1913)+COUNTIF(Embedded_Wall_Register!$A$5:$A$304,A1913)+COUNTIF(Manhole_Register!$A$5:$A$304,A1913)+COUNTIF(ERSS_Pit_Register!$A$5:$A$304,A1913)+COUNTIF(Linkway_Register!$A$5:$A$304,A1913)+COUNTIF(Other_Register!$A$5:$A$304,A1913))&gt;0,"OK","ID not in any register"))</f>
        <v/>
      </c>
    </row>
    <row r="1914" customFormat="false" ht="15" hidden="false" customHeight="false" outlineLevel="0" collapsed="false">
      <c r="A1914" s="9"/>
      <c r="B1914" s="9"/>
      <c r="C1914" s="9"/>
      <c r="D1914" s="9"/>
      <c r="E1914" s="9"/>
      <c r="F1914" s="9"/>
      <c r="G1914" s="9"/>
      <c r="H1914" s="9"/>
      <c r="I1914" s="9"/>
      <c r="J1914" s="10" t="str">
        <f aca="false">IF(A1914="","",IF(G1914&lt;&gt;"",G1914,IF(N(F1914)&gt;0,ROUND(1000/F1914,3),0)))</f>
        <v/>
      </c>
      <c r="K1914" s="10" t="str">
        <f aca="false">IF(OR(A1914="",E1914="",H1914=""),"",ROUND(0.00617*E1914^2*H1914*J1914,2))</f>
        <v/>
      </c>
      <c r="L1914" s="9"/>
      <c r="M1914" s="10" t="str">
        <f aca="false">IF(A1914="","",IF((COUNTIF(Drain_Register!$A$5:$A$304,A1914)+COUNTIF(RW_Register!$A$5:$A$304,A1914)+COUNTIF(Embedded_Wall_Register!$A$5:$A$304,A1914)+COUNTIF(Manhole_Register!$A$5:$A$304,A1914)+COUNTIF(ERSS_Pit_Register!$A$5:$A$304,A1914)+COUNTIF(Linkway_Register!$A$5:$A$304,A1914)+COUNTIF(Other_Register!$A$5:$A$304,A1914))&gt;0,"OK","ID not in any register"))</f>
        <v/>
      </c>
    </row>
    <row r="1915" customFormat="false" ht="15" hidden="false" customHeight="false" outlineLevel="0" collapsed="false">
      <c r="A1915" s="9"/>
      <c r="B1915" s="9"/>
      <c r="C1915" s="9"/>
      <c r="D1915" s="9"/>
      <c r="E1915" s="9"/>
      <c r="F1915" s="9"/>
      <c r="G1915" s="9"/>
      <c r="H1915" s="9"/>
      <c r="I1915" s="9"/>
      <c r="J1915" s="10" t="str">
        <f aca="false">IF(A1915="","",IF(G1915&lt;&gt;"",G1915,IF(N(F1915)&gt;0,ROUND(1000/F1915,3),0)))</f>
        <v/>
      </c>
      <c r="K1915" s="10" t="str">
        <f aca="false">IF(OR(A1915="",E1915="",H1915=""),"",ROUND(0.00617*E1915^2*H1915*J1915,2))</f>
        <v/>
      </c>
      <c r="L1915" s="9"/>
      <c r="M1915" s="10" t="str">
        <f aca="false">IF(A1915="","",IF((COUNTIF(Drain_Register!$A$5:$A$304,A1915)+COUNTIF(RW_Register!$A$5:$A$304,A1915)+COUNTIF(Embedded_Wall_Register!$A$5:$A$304,A1915)+COUNTIF(Manhole_Register!$A$5:$A$304,A1915)+COUNTIF(ERSS_Pit_Register!$A$5:$A$304,A1915)+COUNTIF(Linkway_Register!$A$5:$A$304,A1915)+COUNTIF(Other_Register!$A$5:$A$304,A1915))&gt;0,"OK","ID not in any register"))</f>
        <v/>
      </c>
    </row>
    <row r="1916" customFormat="false" ht="15" hidden="false" customHeight="false" outlineLevel="0" collapsed="false">
      <c r="A1916" s="9"/>
      <c r="B1916" s="9"/>
      <c r="C1916" s="9"/>
      <c r="D1916" s="9"/>
      <c r="E1916" s="9"/>
      <c r="F1916" s="9"/>
      <c r="G1916" s="9"/>
      <c r="H1916" s="9"/>
      <c r="I1916" s="9"/>
      <c r="J1916" s="10" t="str">
        <f aca="false">IF(A1916="","",IF(G1916&lt;&gt;"",G1916,IF(N(F1916)&gt;0,ROUND(1000/F1916,3),0)))</f>
        <v/>
      </c>
      <c r="K1916" s="10" t="str">
        <f aca="false">IF(OR(A1916="",E1916="",H1916=""),"",ROUND(0.00617*E1916^2*H1916*J1916,2))</f>
        <v/>
      </c>
      <c r="L1916" s="9"/>
      <c r="M1916" s="10" t="str">
        <f aca="false">IF(A1916="","",IF((COUNTIF(Drain_Register!$A$5:$A$304,A1916)+COUNTIF(RW_Register!$A$5:$A$304,A1916)+COUNTIF(Embedded_Wall_Register!$A$5:$A$304,A1916)+COUNTIF(Manhole_Register!$A$5:$A$304,A1916)+COUNTIF(ERSS_Pit_Register!$A$5:$A$304,A1916)+COUNTIF(Linkway_Register!$A$5:$A$304,A1916)+COUNTIF(Other_Register!$A$5:$A$304,A1916))&gt;0,"OK","ID not in any register"))</f>
        <v/>
      </c>
    </row>
    <row r="1917" customFormat="false" ht="15" hidden="false" customHeight="false" outlineLevel="0" collapsed="false">
      <c r="A1917" s="9"/>
      <c r="B1917" s="9"/>
      <c r="C1917" s="9"/>
      <c r="D1917" s="9"/>
      <c r="E1917" s="9"/>
      <c r="F1917" s="9"/>
      <c r="G1917" s="9"/>
      <c r="H1917" s="9"/>
      <c r="I1917" s="9"/>
      <c r="J1917" s="10" t="str">
        <f aca="false">IF(A1917="","",IF(G1917&lt;&gt;"",G1917,IF(N(F1917)&gt;0,ROUND(1000/F1917,3),0)))</f>
        <v/>
      </c>
      <c r="K1917" s="10" t="str">
        <f aca="false">IF(OR(A1917="",E1917="",H1917=""),"",ROUND(0.00617*E1917^2*H1917*J1917,2))</f>
        <v/>
      </c>
      <c r="L1917" s="9"/>
      <c r="M1917" s="10" t="str">
        <f aca="false">IF(A1917="","",IF((COUNTIF(Drain_Register!$A$5:$A$304,A1917)+COUNTIF(RW_Register!$A$5:$A$304,A1917)+COUNTIF(Embedded_Wall_Register!$A$5:$A$304,A1917)+COUNTIF(Manhole_Register!$A$5:$A$304,A1917)+COUNTIF(ERSS_Pit_Register!$A$5:$A$304,A1917)+COUNTIF(Linkway_Register!$A$5:$A$304,A1917)+COUNTIF(Other_Register!$A$5:$A$304,A1917))&gt;0,"OK","ID not in any register"))</f>
        <v/>
      </c>
    </row>
    <row r="1918" customFormat="false" ht="15" hidden="false" customHeight="false" outlineLevel="0" collapsed="false">
      <c r="A1918" s="9"/>
      <c r="B1918" s="9"/>
      <c r="C1918" s="9"/>
      <c r="D1918" s="9"/>
      <c r="E1918" s="9"/>
      <c r="F1918" s="9"/>
      <c r="G1918" s="9"/>
      <c r="H1918" s="9"/>
      <c r="I1918" s="9"/>
      <c r="J1918" s="10" t="str">
        <f aca="false">IF(A1918="","",IF(G1918&lt;&gt;"",G1918,IF(N(F1918)&gt;0,ROUND(1000/F1918,3),0)))</f>
        <v/>
      </c>
      <c r="K1918" s="10" t="str">
        <f aca="false">IF(OR(A1918="",E1918="",H1918=""),"",ROUND(0.00617*E1918^2*H1918*J1918,2))</f>
        <v/>
      </c>
      <c r="L1918" s="9"/>
      <c r="M1918" s="10" t="str">
        <f aca="false">IF(A1918="","",IF((COUNTIF(Drain_Register!$A$5:$A$304,A1918)+COUNTIF(RW_Register!$A$5:$A$304,A1918)+COUNTIF(Embedded_Wall_Register!$A$5:$A$304,A1918)+COUNTIF(Manhole_Register!$A$5:$A$304,A1918)+COUNTIF(ERSS_Pit_Register!$A$5:$A$304,A1918)+COUNTIF(Linkway_Register!$A$5:$A$304,A1918)+COUNTIF(Other_Register!$A$5:$A$304,A1918))&gt;0,"OK","ID not in any register"))</f>
        <v/>
      </c>
    </row>
    <row r="1919" customFormat="false" ht="15" hidden="false" customHeight="false" outlineLevel="0" collapsed="false">
      <c r="A1919" s="9"/>
      <c r="B1919" s="9"/>
      <c r="C1919" s="9"/>
      <c r="D1919" s="9"/>
      <c r="E1919" s="9"/>
      <c r="F1919" s="9"/>
      <c r="G1919" s="9"/>
      <c r="H1919" s="9"/>
      <c r="I1919" s="9"/>
      <c r="J1919" s="10" t="str">
        <f aca="false">IF(A1919="","",IF(G1919&lt;&gt;"",G1919,IF(N(F1919)&gt;0,ROUND(1000/F1919,3),0)))</f>
        <v/>
      </c>
      <c r="K1919" s="10" t="str">
        <f aca="false">IF(OR(A1919="",E1919="",H1919=""),"",ROUND(0.00617*E1919^2*H1919*J1919,2))</f>
        <v/>
      </c>
      <c r="L1919" s="9"/>
      <c r="M1919" s="10" t="str">
        <f aca="false">IF(A1919="","",IF((COUNTIF(Drain_Register!$A$5:$A$304,A1919)+COUNTIF(RW_Register!$A$5:$A$304,A1919)+COUNTIF(Embedded_Wall_Register!$A$5:$A$304,A1919)+COUNTIF(Manhole_Register!$A$5:$A$304,A1919)+COUNTIF(ERSS_Pit_Register!$A$5:$A$304,A1919)+COUNTIF(Linkway_Register!$A$5:$A$304,A1919)+COUNTIF(Other_Register!$A$5:$A$304,A1919))&gt;0,"OK","ID not in any register"))</f>
        <v/>
      </c>
    </row>
    <row r="1920" customFormat="false" ht="15" hidden="false" customHeight="false" outlineLevel="0" collapsed="false">
      <c r="A1920" s="9"/>
      <c r="B1920" s="9"/>
      <c r="C1920" s="9"/>
      <c r="D1920" s="9"/>
      <c r="E1920" s="9"/>
      <c r="F1920" s="9"/>
      <c r="G1920" s="9"/>
      <c r="H1920" s="9"/>
      <c r="I1920" s="9"/>
      <c r="J1920" s="10" t="str">
        <f aca="false">IF(A1920="","",IF(G1920&lt;&gt;"",G1920,IF(N(F1920)&gt;0,ROUND(1000/F1920,3),0)))</f>
        <v/>
      </c>
      <c r="K1920" s="10" t="str">
        <f aca="false">IF(OR(A1920="",E1920="",H1920=""),"",ROUND(0.00617*E1920^2*H1920*J1920,2))</f>
        <v/>
      </c>
      <c r="L1920" s="9"/>
      <c r="M1920" s="10" t="str">
        <f aca="false">IF(A1920="","",IF((COUNTIF(Drain_Register!$A$5:$A$304,A1920)+COUNTIF(RW_Register!$A$5:$A$304,A1920)+COUNTIF(Embedded_Wall_Register!$A$5:$A$304,A1920)+COUNTIF(Manhole_Register!$A$5:$A$304,A1920)+COUNTIF(ERSS_Pit_Register!$A$5:$A$304,A1920)+COUNTIF(Linkway_Register!$A$5:$A$304,A1920)+COUNTIF(Other_Register!$A$5:$A$304,A1920))&gt;0,"OK","ID not in any register"))</f>
        <v/>
      </c>
    </row>
    <row r="1921" customFormat="false" ht="15" hidden="false" customHeight="false" outlineLevel="0" collapsed="false">
      <c r="A1921" s="9"/>
      <c r="B1921" s="9"/>
      <c r="C1921" s="9"/>
      <c r="D1921" s="9"/>
      <c r="E1921" s="9"/>
      <c r="F1921" s="9"/>
      <c r="G1921" s="9"/>
      <c r="H1921" s="9"/>
      <c r="I1921" s="9"/>
      <c r="J1921" s="10" t="str">
        <f aca="false">IF(A1921="","",IF(G1921&lt;&gt;"",G1921,IF(N(F1921)&gt;0,ROUND(1000/F1921,3),0)))</f>
        <v/>
      </c>
      <c r="K1921" s="10" t="str">
        <f aca="false">IF(OR(A1921="",E1921="",H1921=""),"",ROUND(0.00617*E1921^2*H1921*J1921,2))</f>
        <v/>
      </c>
      <c r="L1921" s="9"/>
      <c r="M1921" s="10" t="str">
        <f aca="false">IF(A1921="","",IF((COUNTIF(Drain_Register!$A$5:$A$304,A1921)+COUNTIF(RW_Register!$A$5:$A$304,A1921)+COUNTIF(Embedded_Wall_Register!$A$5:$A$304,A1921)+COUNTIF(Manhole_Register!$A$5:$A$304,A1921)+COUNTIF(ERSS_Pit_Register!$A$5:$A$304,A1921)+COUNTIF(Linkway_Register!$A$5:$A$304,A1921)+COUNTIF(Other_Register!$A$5:$A$304,A1921))&gt;0,"OK","ID not in any register"))</f>
        <v/>
      </c>
    </row>
    <row r="1922" customFormat="false" ht="15" hidden="false" customHeight="false" outlineLevel="0" collapsed="false">
      <c r="A1922" s="9"/>
      <c r="B1922" s="9"/>
      <c r="C1922" s="9"/>
      <c r="D1922" s="9"/>
      <c r="E1922" s="9"/>
      <c r="F1922" s="9"/>
      <c r="G1922" s="9"/>
      <c r="H1922" s="9"/>
      <c r="I1922" s="9"/>
      <c r="J1922" s="10" t="str">
        <f aca="false">IF(A1922="","",IF(G1922&lt;&gt;"",G1922,IF(N(F1922)&gt;0,ROUND(1000/F1922,3),0)))</f>
        <v/>
      </c>
      <c r="K1922" s="10" t="str">
        <f aca="false">IF(OR(A1922="",E1922="",H1922=""),"",ROUND(0.00617*E1922^2*H1922*J1922,2))</f>
        <v/>
      </c>
      <c r="L1922" s="9"/>
      <c r="M1922" s="10" t="str">
        <f aca="false">IF(A1922="","",IF((COUNTIF(Drain_Register!$A$5:$A$304,A1922)+COUNTIF(RW_Register!$A$5:$A$304,A1922)+COUNTIF(Embedded_Wall_Register!$A$5:$A$304,A1922)+COUNTIF(Manhole_Register!$A$5:$A$304,A1922)+COUNTIF(ERSS_Pit_Register!$A$5:$A$304,A1922)+COUNTIF(Linkway_Register!$A$5:$A$304,A1922)+COUNTIF(Other_Register!$A$5:$A$304,A1922))&gt;0,"OK","ID not in any register"))</f>
        <v/>
      </c>
    </row>
    <row r="1923" customFormat="false" ht="15" hidden="false" customHeight="false" outlineLevel="0" collapsed="false">
      <c r="A1923" s="9"/>
      <c r="B1923" s="9"/>
      <c r="C1923" s="9"/>
      <c r="D1923" s="9"/>
      <c r="E1923" s="9"/>
      <c r="F1923" s="9"/>
      <c r="G1923" s="9"/>
      <c r="H1923" s="9"/>
      <c r="I1923" s="9"/>
      <c r="J1923" s="10" t="str">
        <f aca="false">IF(A1923="","",IF(G1923&lt;&gt;"",G1923,IF(N(F1923)&gt;0,ROUND(1000/F1923,3),0)))</f>
        <v/>
      </c>
      <c r="K1923" s="10" t="str">
        <f aca="false">IF(OR(A1923="",E1923="",H1923=""),"",ROUND(0.00617*E1923^2*H1923*J1923,2))</f>
        <v/>
      </c>
      <c r="L1923" s="9"/>
      <c r="M1923" s="10" t="str">
        <f aca="false">IF(A1923="","",IF((COUNTIF(Drain_Register!$A$5:$A$304,A1923)+COUNTIF(RW_Register!$A$5:$A$304,A1923)+COUNTIF(Embedded_Wall_Register!$A$5:$A$304,A1923)+COUNTIF(Manhole_Register!$A$5:$A$304,A1923)+COUNTIF(ERSS_Pit_Register!$A$5:$A$304,A1923)+COUNTIF(Linkway_Register!$A$5:$A$304,A1923)+COUNTIF(Other_Register!$A$5:$A$304,A1923))&gt;0,"OK","ID not in any register"))</f>
        <v/>
      </c>
    </row>
    <row r="1924" customFormat="false" ht="15" hidden="false" customHeight="false" outlineLevel="0" collapsed="false">
      <c r="A1924" s="9"/>
      <c r="B1924" s="9"/>
      <c r="C1924" s="9"/>
      <c r="D1924" s="9"/>
      <c r="E1924" s="9"/>
      <c r="F1924" s="9"/>
      <c r="G1924" s="9"/>
      <c r="H1924" s="9"/>
      <c r="I1924" s="9"/>
      <c r="J1924" s="10" t="str">
        <f aca="false">IF(A1924="","",IF(G1924&lt;&gt;"",G1924,IF(N(F1924)&gt;0,ROUND(1000/F1924,3),0)))</f>
        <v/>
      </c>
      <c r="K1924" s="10" t="str">
        <f aca="false">IF(OR(A1924="",E1924="",H1924=""),"",ROUND(0.00617*E1924^2*H1924*J1924,2))</f>
        <v/>
      </c>
      <c r="L1924" s="9"/>
      <c r="M1924" s="10" t="str">
        <f aca="false">IF(A1924="","",IF((COUNTIF(Drain_Register!$A$5:$A$304,A1924)+COUNTIF(RW_Register!$A$5:$A$304,A1924)+COUNTIF(Embedded_Wall_Register!$A$5:$A$304,A1924)+COUNTIF(Manhole_Register!$A$5:$A$304,A1924)+COUNTIF(ERSS_Pit_Register!$A$5:$A$304,A1924)+COUNTIF(Linkway_Register!$A$5:$A$304,A1924)+COUNTIF(Other_Register!$A$5:$A$304,A1924))&gt;0,"OK","ID not in any register"))</f>
        <v/>
      </c>
    </row>
    <row r="1925" customFormat="false" ht="15" hidden="false" customHeight="false" outlineLevel="0" collapsed="false">
      <c r="A1925" s="9"/>
      <c r="B1925" s="9"/>
      <c r="C1925" s="9"/>
      <c r="D1925" s="9"/>
      <c r="E1925" s="9"/>
      <c r="F1925" s="9"/>
      <c r="G1925" s="9"/>
      <c r="H1925" s="9"/>
      <c r="I1925" s="9"/>
      <c r="J1925" s="10" t="str">
        <f aca="false">IF(A1925="","",IF(G1925&lt;&gt;"",G1925,IF(N(F1925)&gt;0,ROUND(1000/F1925,3),0)))</f>
        <v/>
      </c>
      <c r="K1925" s="10" t="str">
        <f aca="false">IF(OR(A1925="",E1925="",H1925=""),"",ROUND(0.00617*E1925^2*H1925*J1925,2))</f>
        <v/>
      </c>
      <c r="L1925" s="9"/>
      <c r="M1925" s="10" t="str">
        <f aca="false">IF(A1925="","",IF((COUNTIF(Drain_Register!$A$5:$A$304,A1925)+COUNTIF(RW_Register!$A$5:$A$304,A1925)+COUNTIF(Embedded_Wall_Register!$A$5:$A$304,A1925)+COUNTIF(Manhole_Register!$A$5:$A$304,A1925)+COUNTIF(ERSS_Pit_Register!$A$5:$A$304,A1925)+COUNTIF(Linkway_Register!$A$5:$A$304,A1925)+COUNTIF(Other_Register!$A$5:$A$304,A1925))&gt;0,"OK","ID not in any register"))</f>
        <v/>
      </c>
    </row>
    <row r="1926" customFormat="false" ht="15" hidden="false" customHeight="false" outlineLevel="0" collapsed="false">
      <c r="A1926" s="9"/>
      <c r="B1926" s="9"/>
      <c r="C1926" s="9"/>
      <c r="D1926" s="9"/>
      <c r="E1926" s="9"/>
      <c r="F1926" s="9"/>
      <c r="G1926" s="9"/>
      <c r="H1926" s="9"/>
      <c r="I1926" s="9"/>
      <c r="J1926" s="10" t="str">
        <f aca="false">IF(A1926="","",IF(G1926&lt;&gt;"",G1926,IF(N(F1926)&gt;0,ROUND(1000/F1926,3),0)))</f>
        <v/>
      </c>
      <c r="K1926" s="10" t="str">
        <f aca="false">IF(OR(A1926="",E1926="",H1926=""),"",ROUND(0.00617*E1926^2*H1926*J1926,2))</f>
        <v/>
      </c>
      <c r="L1926" s="9"/>
      <c r="M1926" s="10" t="str">
        <f aca="false">IF(A1926="","",IF((COUNTIF(Drain_Register!$A$5:$A$304,A1926)+COUNTIF(RW_Register!$A$5:$A$304,A1926)+COUNTIF(Embedded_Wall_Register!$A$5:$A$304,A1926)+COUNTIF(Manhole_Register!$A$5:$A$304,A1926)+COUNTIF(ERSS_Pit_Register!$A$5:$A$304,A1926)+COUNTIF(Linkway_Register!$A$5:$A$304,A1926)+COUNTIF(Other_Register!$A$5:$A$304,A1926))&gt;0,"OK","ID not in any register"))</f>
        <v/>
      </c>
    </row>
    <row r="1927" customFormat="false" ht="15" hidden="false" customHeight="false" outlineLevel="0" collapsed="false">
      <c r="A1927" s="9"/>
      <c r="B1927" s="9"/>
      <c r="C1927" s="9"/>
      <c r="D1927" s="9"/>
      <c r="E1927" s="9"/>
      <c r="F1927" s="9"/>
      <c r="G1927" s="9"/>
      <c r="H1927" s="9"/>
      <c r="I1927" s="9"/>
      <c r="J1927" s="10" t="str">
        <f aca="false">IF(A1927="","",IF(G1927&lt;&gt;"",G1927,IF(N(F1927)&gt;0,ROUND(1000/F1927,3),0)))</f>
        <v/>
      </c>
      <c r="K1927" s="10" t="str">
        <f aca="false">IF(OR(A1927="",E1927="",H1927=""),"",ROUND(0.00617*E1927^2*H1927*J1927,2))</f>
        <v/>
      </c>
      <c r="L1927" s="9"/>
      <c r="M1927" s="10" t="str">
        <f aca="false">IF(A1927="","",IF((COUNTIF(Drain_Register!$A$5:$A$304,A1927)+COUNTIF(RW_Register!$A$5:$A$304,A1927)+COUNTIF(Embedded_Wall_Register!$A$5:$A$304,A1927)+COUNTIF(Manhole_Register!$A$5:$A$304,A1927)+COUNTIF(ERSS_Pit_Register!$A$5:$A$304,A1927)+COUNTIF(Linkway_Register!$A$5:$A$304,A1927)+COUNTIF(Other_Register!$A$5:$A$304,A1927))&gt;0,"OK","ID not in any register"))</f>
        <v/>
      </c>
    </row>
    <row r="1928" customFormat="false" ht="15" hidden="false" customHeight="false" outlineLevel="0" collapsed="false">
      <c r="A1928" s="9"/>
      <c r="B1928" s="9"/>
      <c r="C1928" s="9"/>
      <c r="D1928" s="9"/>
      <c r="E1928" s="9"/>
      <c r="F1928" s="9"/>
      <c r="G1928" s="9"/>
      <c r="H1928" s="9"/>
      <c r="I1928" s="9"/>
      <c r="J1928" s="10" t="str">
        <f aca="false">IF(A1928="","",IF(G1928&lt;&gt;"",G1928,IF(N(F1928)&gt;0,ROUND(1000/F1928,3),0)))</f>
        <v/>
      </c>
      <c r="K1928" s="10" t="str">
        <f aca="false">IF(OR(A1928="",E1928="",H1928=""),"",ROUND(0.00617*E1928^2*H1928*J1928,2))</f>
        <v/>
      </c>
      <c r="L1928" s="9"/>
      <c r="M1928" s="10" t="str">
        <f aca="false">IF(A1928="","",IF((COUNTIF(Drain_Register!$A$5:$A$304,A1928)+COUNTIF(RW_Register!$A$5:$A$304,A1928)+COUNTIF(Embedded_Wall_Register!$A$5:$A$304,A1928)+COUNTIF(Manhole_Register!$A$5:$A$304,A1928)+COUNTIF(ERSS_Pit_Register!$A$5:$A$304,A1928)+COUNTIF(Linkway_Register!$A$5:$A$304,A1928)+COUNTIF(Other_Register!$A$5:$A$304,A1928))&gt;0,"OK","ID not in any register"))</f>
        <v/>
      </c>
    </row>
    <row r="1929" customFormat="false" ht="15" hidden="false" customHeight="false" outlineLevel="0" collapsed="false">
      <c r="A1929" s="9"/>
      <c r="B1929" s="9"/>
      <c r="C1929" s="9"/>
      <c r="D1929" s="9"/>
      <c r="E1929" s="9"/>
      <c r="F1929" s="9"/>
      <c r="G1929" s="9"/>
      <c r="H1929" s="9"/>
      <c r="I1929" s="9"/>
      <c r="J1929" s="10" t="str">
        <f aca="false">IF(A1929="","",IF(G1929&lt;&gt;"",G1929,IF(N(F1929)&gt;0,ROUND(1000/F1929,3),0)))</f>
        <v/>
      </c>
      <c r="K1929" s="10" t="str">
        <f aca="false">IF(OR(A1929="",E1929="",H1929=""),"",ROUND(0.00617*E1929^2*H1929*J1929,2))</f>
        <v/>
      </c>
      <c r="L1929" s="9"/>
      <c r="M1929" s="10" t="str">
        <f aca="false">IF(A1929="","",IF((COUNTIF(Drain_Register!$A$5:$A$304,A1929)+COUNTIF(RW_Register!$A$5:$A$304,A1929)+COUNTIF(Embedded_Wall_Register!$A$5:$A$304,A1929)+COUNTIF(Manhole_Register!$A$5:$A$304,A1929)+COUNTIF(ERSS_Pit_Register!$A$5:$A$304,A1929)+COUNTIF(Linkway_Register!$A$5:$A$304,A1929)+COUNTIF(Other_Register!$A$5:$A$304,A1929))&gt;0,"OK","ID not in any register"))</f>
        <v/>
      </c>
    </row>
    <row r="1930" customFormat="false" ht="15" hidden="false" customHeight="false" outlineLevel="0" collapsed="false">
      <c r="A1930" s="9"/>
      <c r="B1930" s="9"/>
      <c r="C1930" s="9"/>
      <c r="D1930" s="9"/>
      <c r="E1930" s="9"/>
      <c r="F1930" s="9"/>
      <c r="G1930" s="9"/>
      <c r="H1930" s="9"/>
      <c r="I1930" s="9"/>
      <c r="J1930" s="10" t="str">
        <f aca="false">IF(A1930="","",IF(G1930&lt;&gt;"",G1930,IF(N(F1930)&gt;0,ROUND(1000/F1930,3),0)))</f>
        <v/>
      </c>
      <c r="K1930" s="10" t="str">
        <f aca="false">IF(OR(A1930="",E1930="",H1930=""),"",ROUND(0.00617*E1930^2*H1930*J1930,2))</f>
        <v/>
      </c>
      <c r="L1930" s="9"/>
      <c r="M1930" s="10" t="str">
        <f aca="false">IF(A1930="","",IF((COUNTIF(Drain_Register!$A$5:$A$304,A1930)+COUNTIF(RW_Register!$A$5:$A$304,A1930)+COUNTIF(Embedded_Wall_Register!$A$5:$A$304,A1930)+COUNTIF(Manhole_Register!$A$5:$A$304,A1930)+COUNTIF(ERSS_Pit_Register!$A$5:$A$304,A1930)+COUNTIF(Linkway_Register!$A$5:$A$304,A1930)+COUNTIF(Other_Register!$A$5:$A$304,A1930))&gt;0,"OK","ID not in any register"))</f>
        <v/>
      </c>
    </row>
    <row r="1931" customFormat="false" ht="15" hidden="false" customHeight="false" outlineLevel="0" collapsed="false">
      <c r="A1931" s="9"/>
      <c r="B1931" s="9"/>
      <c r="C1931" s="9"/>
      <c r="D1931" s="9"/>
      <c r="E1931" s="9"/>
      <c r="F1931" s="9"/>
      <c r="G1931" s="9"/>
      <c r="H1931" s="9"/>
      <c r="I1931" s="9"/>
      <c r="J1931" s="10" t="str">
        <f aca="false">IF(A1931="","",IF(G1931&lt;&gt;"",G1931,IF(N(F1931)&gt;0,ROUND(1000/F1931,3),0)))</f>
        <v/>
      </c>
      <c r="K1931" s="10" t="str">
        <f aca="false">IF(OR(A1931="",E1931="",H1931=""),"",ROUND(0.00617*E1931^2*H1931*J1931,2))</f>
        <v/>
      </c>
      <c r="L1931" s="9"/>
      <c r="M1931" s="10" t="str">
        <f aca="false">IF(A1931="","",IF((COUNTIF(Drain_Register!$A$5:$A$304,A1931)+COUNTIF(RW_Register!$A$5:$A$304,A1931)+COUNTIF(Embedded_Wall_Register!$A$5:$A$304,A1931)+COUNTIF(Manhole_Register!$A$5:$A$304,A1931)+COUNTIF(ERSS_Pit_Register!$A$5:$A$304,A1931)+COUNTIF(Linkway_Register!$A$5:$A$304,A1931)+COUNTIF(Other_Register!$A$5:$A$304,A1931))&gt;0,"OK","ID not in any register"))</f>
        <v/>
      </c>
    </row>
    <row r="1932" customFormat="false" ht="15" hidden="false" customHeight="false" outlineLevel="0" collapsed="false">
      <c r="A1932" s="9"/>
      <c r="B1932" s="9"/>
      <c r="C1932" s="9"/>
      <c r="D1932" s="9"/>
      <c r="E1932" s="9"/>
      <c r="F1932" s="9"/>
      <c r="G1932" s="9"/>
      <c r="H1932" s="9"/>
      <c r="I1932" s="9"/>
      <c r="J1932" s="10" t="str">
        <f aca="false">IF(A1932="","",IF(G1932&lt;&gt;"",G1932,IF(N(F1932)&gt;0,ROUND(1000/F1932,3),0)))</f>
        <v/>
      </c>
      <c r="K1932" s="10" t="str">
        <f aca="false">IF(OR(A1932="",E1932="",H1932=""),"",ROUND(0.00617*E1932^2*H1932*J1932,2))</f>
        <v/>
      </c>
      <c r="L1932" s="9"/>
      <c r="M1932" s="10" t="str">
        <f aca="false">IF(A1932="","",IF((COUNTIF(Drain_Register!$A$5:$A$304,A1932)+COUNTIF(RW_Register!$A$5:$A$304,A1932)+COUNTIF(Embedded_Wall_Register!$A$5:$A$304,A1932)+COUNTIF(Manhole_Register!$A$5:$A$304,A1932)+COUNTIF(ERSS_Pit_Register!$A$5:$A$304,A1932)+COUNTIF(Linkway_Register!$A$5:$A$304,A1932)+COUNTIF(Other_Register!$A$5:$A$304,A1932))&gt;0,"OK","ID not in any register"))</f>
        <v/>
      </c>
    </row>
    <row r="1933" customFormat="false" ht="15" hidden="false" customHeight="false" outlineLevel="0" collapsed="false">
      <c r="A1933" s="9"/>
      <c r="B1933" s="9"/>
      <c r="C1933" s="9"/>
      <c r="D1933" s="9"/>
      <c r="E1933" s="9"/>
      <c r="F1933" s="9"/>
      <c r="G1933" s="9"/>
      <c r="H1933" s="9"/>
      <c r="I1933" s="9"/>
      <c r="J1933" s="10" t="str">
        <f aca="false">IF(A1933="","",IF(G1933&lt;&gt;"",G1933,IF(N(F1933)&gt;0,ROUND(1000/F1933,3),0)))</f>
        <v/>
      </c>
      <c r="K1933" s="10" t="str">
        <f aca="false">IF(OR(A1933="",E1933="",H1933=""),"",ROUND(0.00617*E1933^2*H1933*J1933,2))</f>
        <v/>
      </c>
      <c r="L1933" s="9"/>
      <c r="M1933" s="10" t="str">
        <f aca="false">IF(A1933="","",IF((COUNTIF(Drain_Register!$A$5:$A$304,A1933)+COUNTIF(RW_Register!$A$5:$A$304,A1933)+COUNTIF(Embedded_Wall_Register!$A$5:$A$304,A1933)+COUNTIF(Manhole_Register!$A$5:$A$304,A1933)+COUNTIF(ERSS_Pit_Register!$A$5:$A$304,A1933)+COUNTIF(Linkway_Register!$A$5:$A$304,A1933)+COUNTIF(Other_Register!$A$5:$A$304,A1933))&gt;0,"OK","ID not in any register"))</f>
        <v/>
      </c>
    </row>
    <row r="1934" customFormat="false" ht="15" hidden="false" customHeight="false" outlineLevel="0" collapsed="false">
      <c r="A1934" s="9"/>
      <c r="B1934" s="9"/>
      <c r="C1934" s="9"/>
      <c r="D1934" s="9"/>
      <c r="E1934" s="9"/>
      <c r="F1934" s="9"/>
      <c r="G1934" s="9"/>
      <c r="H1934" s="9"/>
      <c r="I1934" s="9"/>
      <c r="J1934" s="10" t="str">
        <f aca="false">IF(A1934="","",IF(G1934&lt;&gt;"",G1934,IF(N(F1934)&gt;0,ROUND(1000/F1934,3),0)))</f>
        <v/>
      </c>
      <c r="K1934" s="10" t="str">
        <f aca="false">IF(OR(A1934="",E1934="",H1934=""),"",ROUND(0.00617*E1934^2*H1934*J1934,2))</f>
        <v/>
      </c>
      <c r="L1934" s="9"/>
      <c r="M1934" s="10" t="str">
        <f aca="false">IF(A1934="","",IF((COUNTIF(Drain_Register!$A$5:$A$304,A1934)+COUNTIF(RW_Register!$A$5:$A$304,A1934)+COUNTIF(Embedded_Wall_Register!$A$5:$A$304,A1934)+COUNTIF(Manhole_Register!$A$5:$A$304,A1934)+COUNTIF(ERSS_Pit_Register!$A$5:$A$304,A1934)+COUNTIF(Linkway_Register!$A$5:$A$304,A1934)+COUNTIF(Other_Register!$A$5:$A$304,A1934))&gt;0,"OK","ID not in any register"))</f>
        <v/>
      </c>
    </row>
    <row r="1935" customFormat="false" ht="15" hidden="false" customHeight="false" outlineLevel="0" collapsed="false">
      <c r="A1935" s="9"/>
      <c r="B1935" s="9"/>
      <c r="C1935" s="9"/>
      <c r="D1935" s="9"/>
      <c r="E1935" s="9"/>
      <c r="F1935" s="9"/>
      <c r="G1935" s="9"/>
      <c r="H1935" s="9"/>
      <c r="I1935" s="9"/>
      <c r="J1935" s="10" t="str">
        <f aca="false">IF(A1935="","",IF(G1935&lt;&gt;"",G1935,IF(N(F1935)&gt;0,ROUND(1000/F1935,3),0)))</f>
        <v/>
      </c>
      <c r="K1935" s="10" t="str">
        <f aca="false">IF(OR(A1935="",E1935="",H1935=""),"",ROUND(0.00617*E1935^2*H1935*J1935,2))</f>
        <v/>
      </c>
      <c r="L1935" s="9"/>
      <c r="M1935" s="10" t="str">
        <f aca="false">IF(A1935="","",IF((COUNTIF(Drain_Register!$A$5:$A$304,A1935)+COUNTIF(RW_Register!$A$5:$A$304,A1935)+COUNTIF(Embedded_Wall_Register!$A$5:$A$304,A1935)+COUNTIF(Manhole_Register!$A$5:$A$304,A1935)+COUNTIF(ERSS_Pit_Register!$A$5:$A$304,A1935)+COUNTIF(Linkway_Register!$A$5:$A$304,A1935)+COUNTIF(Other_Register!$A$5:$A$304,A1935))&gt;0,"OK","ID not in any register"))</f>
        <v/>
      </c>
    </row>
    <row r="1936" customFormat="false" ht="15" hidden="false" customHeight="false" outlineLevel="0" collapsed="false">
      <c r="A1936" s="9"/>
      <c r="B1936" s="9"/>
      <c r="C1936" s="9"/>
      <c r="D1936" s="9"/>
      <c r="E1936" s="9"/>
      <c r="F1936" s="9"/>
      <c r="G1936" s="9"/>
      <c r="H1936" s="9"/>
      <c r="I1936" s="9"/>
      <c r="J1936" s="10" t="str">
        <f aca="false">IF(A1936="","",IF(G1936&lt;&gt;"",G1936,IF(N(F1936)&gt;0,ROUND(1000/F1936,3),0)))</f>
        <v/>
      </c>
      <c r="K1936" s="10" t="str">
        <f aca="false">IF(OR(A1936="",E1936="",H1936=""),"",ROUND(0.00617*E1936^2*H1936*J1936,2))</f>
        <v/>
      </c>
      <c r="L1936" s="9"/>
      <c r="M1936" s="10" t="str">
        <f aca="false">IF(A1936="","",IF((COUNTIF(Drain_Register!$A$5:$A$304,A1936)+COUNTIF(RW_Register!$A$5:$A$304,A1936)+COUNTIF(Embedded_Wall_Register!$A$5:$A$304,A1936)+COUNTIF(Manhole_Register!$A$5:$A$304,A1936)+COUNTIF(ERSS_Pit_Register!$A$5:$A$304,A1936)+COUNTIF(Linkway_Register!$A$5:$A$304,A1936)+COUNTIF(Other_Register!$A$5:$A$304,A1936))&gt;0,"OK","ID not in any register"))</f>
        <v/>
      </c>
    </row>
    <row r="1937" customFormat="false" ht="15" hidden="false" customHeight="false" outlineLevel="0" collapsed="false">
      <c r="A1937" s="9"/>
      <c r="B1937" s="9"/>
      <c r="C1937" s="9"/>
      <c r="D1937" s="9"/>
      <c r="E1937" s="9"/>
      <c r="F1937" s="9"/>
      <c r="G1937" s="9"/>
      <c r="H1937" s="9"/>
      <c r="I1937" s="9"/>
      <c r="J1937" s="10" t="str">
        <f aca="false">IF(A1937="","",IF(G1937&lt;&gt;"",G1937,IF(N(F1937)&gt;0,ROUND(1000/F1937,3),0)))</f>
        <v/>
      </c>
      <c r="K1937" s="10" t="str">
        <f aca="false">IF(OR(A1937="",E1937="",H1937=""),"",ROUND(0.00617*E1937^2*H1937*J1937,2))</f>
        <v/>
      </c>
      <c r="L1937" s="9"/>
      <c r="M1937" s="10" t="str">
        <f aca="false">IF(A1937="","",IF((COUNTIF(Drain_Register!$A$5:$A$304,A1937)+COUNTIF(RW_Register!$A$5:$A$304,A1937)+COUNTIF(Embedded_Wall_Register!$A$5:$A$304,A1937)+COUNTIF(Manhole_Register!$A$5:$A$304,A1937)+COUNTIF(ERSS_Pit_Register!$A$5:$A$304,A1937)+COUNTIF(Linkway_Register!$A$5:$A$304,A1937)+COUNTIF(Other_Register!$A$5:$A$304,A1937))&gt;0,"OK","ID not in any register"))</f>
        <v/>
      </c>
    </row>
    <row r="1938" customFormat="false" ht="15" hidden="false" customHeight="false" outlineLevel="0" collapsed="false">
      <c r="A1938" s="9"/>
      <c r="B1938" s="9"/>
      <c r="C1938" s="9"/>
      <c r="D1938" s="9"/>
      <c r="E1938" s="9"/>
      <c r="F1938" s="9"/>
      <c r="G1938" s="9"/>
      <c r="H1938" s="9"/>
      <c r="I1938" s="9"/>
      <c r="J1938" s="10" t="str">
        <f aca="false">IF(A1938="","",IF(G1938&lt;&gt;"",G1938,IF(N(F1938)&gt;0,ROUND(1000/F1938,3),0)))</f>
        <v/>
      </c>
      <c r="K1938" s="10" t="str">
        <f aca="false">IF(OR(A1938="",E1938="",H1938=""),"",ROUND(0.00617*E1938^2*H1938*J1938,2))</f>
        <v/>
      </c>
      <c r="L1938" s="9"/>
      <c r="M1938" s="10" t="str">
        <f aca="false">IF(A1938="","",IF((COUNTIF(Drain_Register!$A$5:$A$304,A1938)+COUNTIF(RW_Register!$A$5:$A$304,A1938)+COUNTIF(Embedded_Wall_Register!$A$5:$A$304,A1938)+COUNTIF(Manhole_Register!$A$5:$A$304,A1938)+COUNTIF(ERSS_Pit_Register!$A$5:$A$304,A1938)+COUNTIF(Linkway_Register!$A$5:$A$304,A1938)+COUNTIF(Other_Register!$A$5:$A$304,A1938))&gt;0,"OK","ID not in any register"))</f>
        <v/>
      </c>
    </row>
    <row r="1939" customFormat="false" ht="15" hidden="false" customHeight="false" outlineLevel="0" collapsed="false">
      <c r="A1939" s="9"/>
      <c r="B1939" s="9"/>
      <c r="C1939" s="9"/>
      <c r="D1939" s="9"/>
      <c r="E1939" s="9"/>
      <c r="F1939" s="9"/>
      <c r="G1939" s="9"/>
      <c r="H1939" s="9"/>
      <c r="I1939" s="9"/>
      <c r="J1939" s="10" t="str">
        <f aca="false">IF(A1939="","",IF(G1939&lt;&gt;"",G1939,IF(N(F1939)&gt;0,ROUND(1000/F1939,3),0)))</f>
        <v/>
      </c>
      <c r="K1939" s="10" t="str">
        <f aca="false">IF(OR(A1939="",E1939="",H1939=""),"",ROUND(0.00617*E1939^2*H1939*J1939,2))</f>
        <v/>
      </c>
      <c r="L1939" s="9"/>
      <c r="M1939" s="10" t="str">
        <f aca="false">IF(A1939="","",IF((COUNTIF(Drain_Register!$A$5:$A$304,A1939)+COUNTIF(RW_Register!$A$5:$A$304,A1939)+COUNTIF(Embedded_Wall_Register!$A$5:$A$304,A1939)+COUNTIF(Manhole_Register!$A$5:$A$304,A1939)+COUNTIF(ERSS_Pit_Register!$A$5:$A$304,A1939)+COUNTIF(Linkway_Register!$A$5:$A$304,A1939)+COUNTIF(Other_Register!$A$5:$A$304,A1939))&gt;0,"OK","ID not in any register"))</f>
        <v/>
      </c>
    </row>
    <row r="1940" customFormat="false" ht="15" hidden="false" customHeight="false" outlineLevel="0" collapsed="false">
      <c r="A1940" s="9"/>
      <c r="B1940" s="9"/>
      <c r="C1940" s="9"/>
      <c r="D1940" s="9"/>
      <c r="E1940" s="9"/>
      <c r="F1940" s="9"/>
      <c r="G1940" s="9"/>
      <c r="H1940" s="9"/>
      <c r="I1940" s="9"/>
      <c r="J1940" s="10" t="str">
        <f aca="false">IF(A1940="","",IF(G1940&lt;&gt;"",G1940,IF(N(F1940)&gt;0,ROUND(1000/F1940,3),0)))</f>
        <v/>
      </c>
      <c r="K1940" s="10" t="str">
        <f aca="false">IF(OR(A1940="",E1940="",H1940=""),"",ROUND(0.00617*E1940^2*H1940*J1940,2))</f>
        <v/>
      </c>
      <c r="L1940" s="9"/>
      <c r="M1940" s="10" t="str">
        <f aca="false">IF(A1940="","",IF((COUNTIF(Drain_Register!$A$5:$A$304,A1940)+COUNTIF(RW_Register!$A$5:$A$304,A1940)+COUNTIF(Embedded_Wall_Register!$A$5:$A$304,A1940)+COUNTIF(Manhole_Register!$A$5:$A$304,A1940)+COUNTIF(ERSS_Pit_Register!$A$5:$A$304,A1940)+COUNTIF(Linkway_Register!$A$5:$A$304,A1940)+COUNTIF(Other_Register!$A$5:$A$304,A1940))&gt;0,"OK","ID not in any register"))</f>
        <v/>
      </c>
    </row>
    <row r="1941" customFormat="false" ht="15" hidden="false" customHeight="false" outlineLevel="0" collapsed="false">
      <c r="A1941" s="9"/>
      <c r="B1941" s="9"/>
      <c r="C1941" s="9"/>
      <c r="D1941" s="9"/>
      <c r="E1941" s="9"/>
      <c r="F1941" s="9"/>
      <c r="G1941" s="9"/>
      <c r="H1941" s="9"/>
      <c r="I1941" s="9"/>
      <c r="J1941" s="10" t="str">
        <f aca="false">IF(A1941="","",IF(G1941&lt;&gt;"",G1941,IF(N(F1941)&gt;0,ROUND(1000/F1941,3),0)))</f>
        <v/>
      </c>
      <c r="K1941" s="10" t="str">
        <f aca="false">IF(OR(A1941="",E1941="",H1941=""),"",ROUND(0.00617*E1941^2*H1941*J1941,2))</f>
        <v/>
      </c>
      <c r="L1941" s="9"/>
      <c r="M1941" s="10" t="str">
        <f aca="false">IF(A1941="","",IF((COUNTIF(Drain_Register!$A$5:$A$304,A1941)+COUNTIF(RW_Register!$A$5:$A$304,A1941)+COUNTIF(Embedded_Wall_Register!$A$5:$A$304,A1941)+COUNTIF(Manhole_Register!$A$5:$A$304,A1941)+COUNTIF(ERSS_Pit_Register!$A$5:$A$304,A1941)+COUNTIF(Linkway_Register!$A$5:$A$304,A1941)+COUNTIF(Other_Register!$A$5:$A$304,A1941))&gt;0,"OK","ID not in any register"))</f>
        <v/>
      </c>
    </row>
    <row r="1942" customFormat="false" ht="15" hidden="false" customHeight="false" outlineLevel="0" collapsed="false">
      <c r="A1942" s="9"/>
      <c r="B1942" s="9"/>
      <c r="C1942" s="9"/>
      <c r="D1942" s="9"/>
      <c r="E1942" s="9"/>
      <c r="F1942" s="9"/>
      <c r="G1942" s="9"/>
      <c r="H1942" s="9"/>
      <c r="I1942" s="9"/>
      <c r="J1942" s="10" t="str">
        <f aca="false">IF(A1942="","",IF(G1942&lt;&gt;"",G1942,IF(N(F1942)&gt;0,ROUND(1000/F1942,3),0)))</f>
        <v/>
      </c>
      <c r="K1942" s="10" t="str">
        <f aca="false">IF(OR(A1942="",E1942="",H1942=""),"",ROUND(0.00617*E1942^2*H1942*J1942,2))</f>
        <v/>
      </c>
      <c r="L1942" s="9"/>
      <c r="M1942" s="10" t="str">
        <f aca="false">IF(A1942="","",IF((COUNTIF(Drain_Register!$A$5:$A$304,A1942)+COUNTIF(RW_Register!$A$5:$A$304,A1942)+COUNTIF(Embedded_Wall_Register!$A$5:$A$304,A1942)+COUNTIF(Manhole_Register!$A$5:$A$304,A1942)+COUNTIF(ERSS_Pit_Register!$A$5:$A$304,A1942)+COUNTIF(Linkway_Register!$A$5:$A$304,A1942)+COUNTIF(Other_Register!$A$5:$A$304,A1942))&gt;0,"OK","ID not in any register"))</f>
        <v/>
      </c>
    </row>
    <row r="1943" customFormat="false" ht="15" hidden="false" customHeight="false" outlineLevel="0" collapsed="false">
      <c r="A1943" s="9"/>
      <c r="B1943" s="9"/>
      <c r="C1943" s="9"/>
      <c r="D1943" s="9"/>
      <c r="E1943" s="9"/>
      <c r="F1943" s="9"/>
      <c r="G1943" s="9"/>
      <c r="H1943" s="9"/>
      <c r="I1943" s="9"/>
      <c r="J1943" s="10" t="str">
        <f aca="false">IF(A1943="","",IF(G1943&lt;&gt;"",G1943,IF(N(F1943)&gt;0,ROUND(1000/F1943,3),0)))</f>
        <v/>
      </c>
      <c r="K1943" s="10" t="str">
        <f aca="false">IF(OR(A1943="",E1943="",H1943=""),"",ROUND(0.00617*E1943^2*H1943*J1943,2))</f>
        <v/>
      </c>
      <c r="L1943" s="9"/>
      <c r="M1943" s="10" t="str">
        <f aca="false">IF(A1943="","",IF((COUNTIF(Drain_Register!$A$5:$A$304,A1943)+COUNTIF(RW_Register!$A$5:$A$304,A1943)+COUNTIF(Embedded_Wall_Register!$A$5:$A$304,A1943)+COUNTIF(Manhole_Register!$A$5:$A$304,A1943)+COUNTIF(ERSS_Pit_Register!$A$5:$A$304,A1943)+COUNTIF(Linkway_Register!$A$5:$A$304,A1943)+COUNTIF(Other_Register!$A$5:$A$304,A1943))&gt;0,"OK","ID not in any register"))</f>
        <v/>
      </c>
    </row>
    <row r="1944" customFormat="false" ht="15" hidden="false" customHeight="false" outlineLevel="0" collapsed="false">
      <c r="A1944" s="9"/>
      <c r="B1944" s="9"/>
      <c r="C1944" s="9"/>
      <c r="D1944" s="9"/>
      <c r="E1944" s="9"/>
      <c r="F1944" s="9"/>
      <c r="G1944" s="9"/>
      <c r="H1944" s="9"/>
      <c r="I1944" s="9"/>
      <c r="J1944" s="10" t="str">
        <f aca="false">IF(A1944="","",IF(G1944&lt;&gt;"",G1944,IF(N(F1944)&gt;0,ROUND(1000/F1944,3),0)))</f>
        <v/>
      </c>
      <c r="K1944" s="10" t="str">
        <f aca="false">IF(OR(A1944="",E1944="",H1944=""),"",ROUND(0.00617*E1944^2*H1944*J1944,2))</f>
        <v/>
      </c>
      <c r="L1944" s="9"/>
      <c r="M1944" s="10" t="str">
        <f aca="false">IF(A1944="","",IF((COUNTIF(Drain_Register!$A$5:$A$304,A1944)+COUNTIF(RW_Register!$A$5:$A$304,A1944)+COUNTIF(Embedded_Wall_Register!$A$5:$A$304,A1944)+COUNTIF(Manhole_Register!$A$5:$A$304,A1944)+COUNTIF(ERSS_Pit_Register!$A$5:$A$304,A1944)+COUNTIF(Linkway_Register!$A$5:$A$304,A1944)+COUNTIF(Other_Register!$A$5:$A$304,A1944))&gt;0,"OK","ID not in any register"))</f>
        <v/>
      </c>
    </row>
    <row r="1945" customFormat="false" ht="15" hidden="false" customHeight="false" outlineLevel="0" collapsed="false">
      <c r="A1945" s="9"/>
      <c r="B1945" s="9"/>
      <c r="C1945" s="9"/>
      <c r="D1945" s="9"/>
      <c r="E1945" s="9"/>
      <c r="F1945" s="9"/>
      <c r="G1945" s="9"/>
      <c r="H1945" s="9"/>
      <c r="I1945" s="9"/>
      <c r="J1945" s="10" t="str">
        <f aca="false">IF(A1945="","",IF(G1945&lt;&gt;"",G1945,IF(N(F1945)&gt;0,ROUND(1000/F1945,3),0)))</f>
        <v/>
      </c>
      <c r="K1945" s="10" t="str">
        <f aca="false">IF(OR(A1945="",E1945="",H1945=""),"",ROUND(0.00617*E1945^2*H1945*J1945,2))</f>
        <v/>
      </c>
      <c r="L1945" s="9"/>
      <c r="M1945" s="10" t="str">
        <f aca="false">IF(A1945="","",IF((COUNTIF(Drain_Register!$A$5:$A$304,A1945)+COUNTIF(RW_Register!$A$5:$A$304,A1945)+COUNTIF(Embedded_Wall_Register!$A$5:$A$304,A1945)+COUNTIF(Manhole_Register!$A$5:$A$304,A1945)+COUNTIF(ERSS_Pit_Register!$A$5:$A$304,A1945)+COUNTIF(Linkway_Register!$A$5:$A$304,A1945)+COUNTIF(Other_Register!$A$5:$A$304,A1945))&gt;0,"OK","ID not in any register"))</f>
        <v/>
      </c>
    </row>
    <row r="1946" customFormat="false" ht="15" hidden="false" customHeight="false" outlineLevel="0" collapsed="false">
      <c r="A1946" s="9"/>
      <c r="B1946" s="9"/>
      <c r="C1946" s="9"/>
      <c r="D1946" s="9"/>
      <c r="E1946" s="9"/>
      <c r="F1946" s="9"/>
      <c r="G1946" s="9"/>
      <c r="H1946" s="9"/>
      <c r="I1946" s="9"/>
      <c r="J1946" s="10" t="str">
        <f aca="false">IF(A1946="","",IF(G1946&lt;&gt;"",G1946,IF(N(F1946)&gt;0,ROUND(1000/F1946,3),0)))</f>
        <v/>
      </c>
      <c r="K1946" s="10" t="str">
        <f aca="false">IF(OR(A1946="",E1946="",H1946=""),"",ROUND(0.00617*E1946^2*H1946*J1946,2))</f>
        <v/>
      </c>
      <c r="L1946" s="9"/>
      <c r="M1946" s="10" t="str">
        <f aca="false">IF(A1946="","",IF((COUNTIF(Drain_Register!$A$5:$A$304,A1946)+COUNTIF(RW_Register!$A$5:$A$304,A1946)+COUNTIF(Embedded_Wall_Register!$A$5:$A$304,A1946)+COUNTIF(Manhole_Register!$A$5:$A$304,A1946)+COUNTIF(ERSS_Pit_Register!$A$5:$A$304,A1946)+COUNTIF(Linkway_Register!$A$5:$A$304,A1946)+COUNTIF(Other_Register!$A$5:$A$304,A1946))&gt;0,"OK","ID not in any register"))</f>
        <v/>
      </c>
    </row>
    <row r="1947" customFormat="false" ht="15" hidden="false" customHeight="false" outlineLevel="0" collapsed="false">
      <c r="A1947" s="9"/>
      <c r="B1947" s="9"/>
      <c r="C1947" s="9"/>
      <c r="D1947" s="9"/>
      <c r="E1947" s="9"/>
      <c r="F1947" s="9"/>
      <c r="G1947" s="9"/>
      <c r="H1947" s="9"/>
      <c r="I1947" s="9"/>
      <c r="J1947" s="10" t="str">
        <f aca="false">IF(A1947="","",IF(G1947&lt;&gt;"",G1947,IF(N(F1947)&gt;0,ROUND(1000/F1947,3),0)))</f>
        <v/>
      </c>
      <c r="K1947" s="10" t="str">
        <f aca="false">IF(OR(A1947="",E1947="",H1947=""),"",ROUND(0.00617*E1947^2*H1947*J1947,2))</f>
        <v/>
      </c>
      <c r="L1947" s="9"/>
      <c r="M1947" s="10" t="str">
        <f aca="false">IF(A1947="","",IF((COUNTIF(Drain_Register!$A$5:$A$304,A1947)+COUNTIF(RW_Register!$A$5:$A$304,A1947)+COUNTIF(Embedded_Wall_Register!$A$5:$A$304,A1947)+COUNTIF(Manhole_Register!$A$5:$A$304,A1947)+COUNTIF(ERSS_Pit_Register!$A$5:$A$304,A1947)+COUNTIF(Linkway_Register!$A$5:$A$304,A1947)+COUNTIF(Other_Register!$A$5:$A$304,A1947))&gt;0,"OK","ID not in any register"))</f>
        <v/>
      </c>
    </row>
    <row r="1948" customFormat="false" ht="15" hidden="false" customHeight="false" outlineLevel="0" collapsed="false">
      <c r="A1948" s="9"/>
      <c r="B1948" s="9"/>
      <c r="C1948" s="9"/>
      <c r="D1948" s="9"/>
      <c r="E1948" s="9"/>
      <c r="F1948" s="9"/>
      <c r="G1948" s="9"/>
      <c r="H1948" s="9"/>
      <c r="I1948" s="9"/>
      <c r="J1948" s="10" t="str">
        <f aca="false">IF(A1948="","",IF(G1948&lt;&gt;"",G1948,IF(N(F1948)&gt;0,ROUND(1000/F1948,3),0)))</f>
        <v/>
      </c>
      <c r="K1948" s="10" t="str">
        <f aca="false">IF(OR(A1948="",E1948="",H1948=""),"",ROUND(0.00617*E1948^2*H1948*J1948,2))</f>
        <v/>
      </c>
      <c r="L1948" s="9"/>
      <c r="M1948" s="10" t="str">
        <f aca="false">IF(A1948="","",IF((COUNTIF(Drain_Register!$A$5:$A$304,A1948)+COUNTIF(RW_Register!$A$5:$A$304,A1948)+COUNTIF(Embedded_Wall_Register!$A$5:$A$304,A1948)+COUNTIF(Manhole_Register!$A$5:$A$304,A1948)+COUNTIF(ERSS_Pit_Register!$A$5:$A$304,A1948)+COUNTIF(Linkway_Register!$A$5:$A$304,A1948)+COUNTIF(Other_Register!$A$5:$A$304,A1948))&gt;0,"OK","ID not in any register"))</f>
        <v/>
      </c>
    </row>
    <row r="1949" customFormat="false" ht="15" hidden="false" customHeight="false" outlineLevel="0" collapsed="false">
      <c r="A1949" s="9"/>
      <c r="B1949" s="9"/>
      <c r="C1949" s="9"/>
      <c r="D1949" s="9"/>
      <c r="E1949" s="9"/>
      <c r="F1949" s="9"/>
      <c r="G1949" s="9"/>
      <c r="H1949" s="9"/>
      <c r="I1949" s="9"/>
      <c r="J1949" s="10" t="str">
        <f aca="false">IF(A1949="","",IF(G1949&lt;&gt;"",G1949,IF(N(F1949)&gt;0,ROUND(1000/F1949,3),0)))</f>
        <v/>
      </c>
      <c r="K1949" s="10" t="str">
        <f aca="false">IF(OR(A1949="",E1949="",H1949=""),"",ROUND(0.00617*E1949^2*H1949*J1949,2))</f>
        <v/>
      </c>
      <c r="L1949" s="9"/>
      <c r="M1949" s="10" t="str">
        <f aca="false">IF(A1949="","",IF((COUNTIF(Drain_Register!$A$5:$A$304,A1949)+COUNTIF(RW_Register!$A$5:$A$304,A1949)+COUNTIF(Embedded_Wall_Register!$A$5:$A$304,A1949)+COUNTIF(Manhole_Register!$A$5:$A$304,A1949)+COUNTIF(ERSS_Pit_Register!$A$5:$A$304,A1949)+COUNTIF(Linkway_Register!$A$5:$A$304,A1949)+COUNTIF(Other_Register!$A$5:$A$304,A1949))&gt;0,"OK","ID not in any register"))</f>
        <v/>
      </c>
    </row>
    <row r="1950" customFormat="false" ht="15" hidden="false" customHeight="false" outlineLevel="0" collapsed="false">
      <c r="A1950" s="9"/>
      <c r="B1950" s="9"/>
      <c r="C1950" s="9"/>
      <c r="D1950" s="9"/>
      <c r="E1950" s="9"/>
      <c r="F1950" s="9"/>
      <c r="G1950" s="9"/>
      <c r="H1950" s="9"/>
      <c r="I1950" s="9"/>
      <c r="J1950" s="10" t="str">
        <f aca="false">IF(A1950="","",IF(G1950&lt;&gt;"",G1950,IF(N(F1950)&gt;0,ROUND(1000/F1950,3),0)))</f>
        <v/>
      </c>
      <c r="K1950" s="10" t="str">
        <f aca="false">IF(OR(A1950="",E1950="",H1950=""),"",ROUND(0.00617*E1950^2*H1950*J1950,2))</f>
        <v/>
      </c>
      <c r="L1950" s="9"/>
      <c r="M1950" s="10" t="str">
        <f aca="false">IF(A1950="","",IF((COUNTIF(Drain_Register!$A$5:$A$304,A1950)+COUNTIF(RW_Register!$A$5:$A$304,A1950)+COUNTIF(Embedded_Wall_Register!$A$5:$A$304,A1950)+COUNTIF(Manhole_Register!$A$5:$A$304,A1950)+COUNTIF(ERSS_Pit_Register!$A$5:$A$304,A1950)+COUNTIF(Linkway_Register!$A$5:$A$304,A1950)+COUNTIF(Other_Register!$A$5:$A$304,A1950))&gt;0,"OK","ID not in any register"))</f>
        <v/>
      </c>
    </row>
    <row r="1951" customFormat="false" ht="15" hidden="false" customHeight="false" outlineLevel="0" collapsed="false">
      <c r="A1951" s="9"/>
      <c r="B1951" s="9"/>
      <c r="C1951" s="9"/>
      <c r="D1951" s="9"/>
      <c r="E1951" s="9"/>
      <c r="F1951" s="9"/>
      <c r="G1951" s="9"/>
      <c r="H1951" s="9"/>
      <c r="I1951" s="9"/>
      <c r="J1951" s="10" t="str">
        <f aca="false">IF(A1951="","",IF(G1951&lt;&gt;"",G1951,IF(N(F1951)&gt;0,ROUND(1000/F1951,3),0)))</f>
        <v/>
      </c>
      <c r="K1951" s="10" t="str">
        <f aca="false">IF(OR(A1951="",E1951="",H1951=""),"",ROUND(0.00617*E1951^2*H1951*J1951,2))</f>
        <v/>
      </c>
      <c r="L1951" s="9"/>
      <c r="M1951" s="10" t="str">
        <f aca="false">IF(A1951="","",IF((COUNTIF(Drain_Register!$A$5:$A$304,A1951)+COUNTIF(RW_Register!$A$5:$A$304,A1951)+COUNTIF(Embedded_Wall_Register!$A$5:$A$304,A1951)+COUNTIF(Manhole_Register!$A$5:$A$304,A1951)+COUNTIF(ERSS_Pit_Register!$A$5:$A$304,A1951)+COUNTIF(Linkway_Register!$A$5:$A$304,A1951)+COUNTIF(Other_Register!$A$5:$A$304,A1951))&gt;0,"OK","ID not in any register"))</f>
        <v/>
      </c>
    </row>
    <row r="1952" customFormat="false" ht="15" hidden="false" customHeight="false" outlineLevel="0" collapsed="false">
      <c r="A1952" s="9"/>
      <c r="B1952" s="9"/>
      <c r="C1952" s="9"/>
      <c r="D1952" s="9"/>
      <c r="E1952" s="9"/>
      <c r="F1952" s="9"/>
      <c r="G1952" s="9"/>
      <c r="H1952" s="9"/>
      <c r="I1952" s="9"/>
      <c r="J1952" s="10" t="str">
        <f aca="false">IF(A1952="","",IF(G1952&lt;&gt;"",G1952,IF(N(F1952)&gt;0,ROUND(1000/F1952,3),0)))</f>
        <v/>
      </c>
      <c r="K1952" s="10" t="str">
        <f aca="false">IF(OR(A1952="",E1952="",H1952=""),"",ROUND(0.00617*E1952^2*H1952*J1952,2))</f>
        <v/>
      </c>
      <c r="L1952" s="9"/>
      <c r="M1952" s="10" t="str">
        <f aca="false">IF(A1952="","",IF((COUNTIF(Drain_Register!$A$5:$A$304,A1952)+COUNTIF(RW_Register!$A$5:$A$304,A1952)+COUNTIF(Embedded_Wall_Register!$A$5:$A$304,A1952)+COUNTIF(Manhole_Register!$A$5:$A$304,A1952)+COUNTIF(ERSS_Pit_Register!$A$5:$A$304,A1952)+COUNTIF(Linkway_Register!$A$5:$A$304,A1952)+COUNTIF(Other_Register!$A$5:$A$304,A1952))&gt;0,"OK","ID not in any register"))</f>
        <v/>
      </c>
    </row>
    <row r="1953" customFormat="false" ht="15" hidden="false" customHeight="false" outlineLevel="0" collapsed="false">
      <c r="A1953" s="9"/>
      <c r="B1953" s="9"/>
      <c r="C1953" s="9"/>
      <c r="D1953" s="9"/>
      <c r="E1953" s="9"/>
      <c r="F1953" s="9"/>
      <c r="G1953" s="9"/>
      <c r="H1953" s="9"/>
      <c r="I1953" s="9"/>
      <c r="J1953" s="10" t="str">
        <f aca="false">IF(A1953="","",IF(G1953&lt;&gt;"",G1953,IF(N(F1953)&gt;0,ROUND(1000/F1953,3),0)))</f>
        <v/>
      </c>
      <c r="K1953" s="10" t="str">
        <f aca="false">IF(OR(A1953="",E1953="",H1953=""),"",ROUND(0.00617*E1953^2*H1953*J1953,2))</f>
        <v/>
      </c>
      <c r="L1953" s="9"/>
      <c r="M1953" s="10" t="str">
        <f aca="false">IF(A1953="","",IF((COUNTIF(Drain_Register!$A$5:$A$304,A1953)+COUNTIF(RW_Register!$A$5:$A$304,A1953)+COUNTIF(Embedded_Wall_Register!$A$5:$A$304,A1953)+COUNTIF(Manhole_Register!$A$5:$A$304,A1953)+COUNTIF(ERSS_Pit_Register!$A$5:$A$304,A1953)+COUNTIF(Linkway_Register!$A$5:$A$304,A1953)+COUNTIF(Other_Register!$A$5:$A$304,A1953))&gt;0,"OK","ID not in any register"))</f>
        <v/>
      </c>
    </row>
    <row r="1954" customFormat="false" ht="15" hidden="false" customHeight="false" outlineLevel="0" collapsed="false">
      <c r="A1954" s="9"/>
      <c r="B1954" s="9"/>
      <c r="C1954" s="9"/>
      <c r="D1954" s="9"/>
      <c r="E1954" s="9"/>
      <c r="F1954" s="9"/>
      <c r="G1954" s="9"/>
      <c r="H1954" s="9"/>
      <c r="I1954" s="9"/>
      <c r="J1954" s="10" t="str">
        <f aca="false">IF(A1954="","",IF(G1954&lt;&gt;"",G1954,IF(N(F1954)&gt;0,ROUND(1000/F1954,3),0)))</f>
        <v/>
      </c>
      <c r="K1954" s="10" t="str">
        <f aca="false">IF(OR(A1954="",E1954="",H1954=""),"",ROUND(0.00617*E1954^2*H1954*J1954,2))</f>
        <v/>
      </c>
      <c r="L1954" s="9"/>
      <c r="M1954" s="10" t="str">
        <f aca="false">IF(A1954="","",IF((COUNTIF(Drain_Register!$A$5:$A$304,A1954)+COUNTIF(RW_Register!$A$5:$A$304,A1954)+COUNTIF(Embedded_Wall_Register!$A$5:$A$304,A1954)+COUNTIF(Manhole_Register!$A$5:$A$304,A1954)+COUNTIF(ERSS_Pit_Register!$A$5:$A$304,A1954)+COUNTIF(Linkway_Register!$A$5:$A$304,A1954)+COUNTIF(Other_Register!$A$5:$A$304,A1954))&gt;0,"OK","ID not in any register"))</f>
        <v/>
      </c>
    </row>
    <row r="1955" customFormat="false" ht="15" hidden="false" customHeight="false" outlineLevel="0" collapsed="false">
      <c r="A1955" s="9"/>
      <c r="B1955" s="9"/>
      <c r="C1955" s="9"/>
      <c r="D1955" s="9"/>
      <c r="E1955" s="9"/>
      <c r="F1955" s="9"/>
      <c r="G1955" s="9"/>
      <c r="H1955" s="9"/>
      <c r="I1955" s="9"/>
      <c r="J1955" s="10" t="str">
        <f aca="false">IF(A1955="","",IF(G1955&lt;&gt;"",G1955,IF(N(F1955)&gt;0,ROUND(1000/F1955,3),0)))</f>
        <v/>
      </c>
      <c r="K1955" s="10" t="str">
        <f aca="false">IF(OR(A1955="",E1955="",H1955=""),"",ROUND(0.00617*E1955^2*H1955*J1955,2))</f>
        <v/>
      </c>
      <c r="L1955" s="9"/>
      <c r="M1955" s="10" t="str">
        <f aca="false">IF(A1955="","",IF((COUNTIF(Drain_Register!$A$5:$A$304,A1955)+COUNTIF(RW_Register!$A$5:$A$304,A1955)+COUNTIF(Embedded_Wall_Register!$A$5:$A$304,A1955)+COUNTIF(Manhole_Register!$A$5:$A$304,A1955)+COUNTIF(ERSS_Pit_Register!$A$5:$A$304,A1955)+COUNTIF(Linkway_Register!$A$5:$A$304,A1955)+COUNTIF(Other_Register!$A$5:$A$304,A1955))&gt;0,"OK","ID not in any register"))</f>
        <v/>
      </c>
    </row>
    <row r="1956" customFormat="false" ht="15" hidden="false" customHeight="false" outlineLevel="0" collapsed="false">
      <c r="A1956" s="9"/>
      <c r="B1956" s="9"/>
      <c r="C1956" s="9"/>
      <c r="D1956" s="9"/>
      <c r="E1956" s="9"/>
      <c r="F1956" s="9"/>
      <c r="G1956" s="9"/>
      <c r="H1956" s="9"/>
      <c r="I1956" s="9"/>
      <c r="J1956" s="10" t="str">
        <f aca="false">IF(A1956="","",IF(G1956&lt;&gt;"",G1956,IF(N(F1956)&gt;0,ROUND(1000/F1956,3),0)))</f>
        <v/>
      </c>
      <c r="K1956" s="10" t="str">
        <f aca="false">IF(OR(A1956="",E1956="",H1956=""),"",ROUND(0.00617*E1956^2*H1956*J1956,2))</f>
        <v/>
      </c>
      <c r="L1956" s="9"/>
      <c r="M1956" s="10" t="str">
        <f aca="false">IF(A1956="","",IF((COUNTIF(Drain_Register!$A$5:$A$304,A1956)+COUNTIF(RW_Register!$A$5:$A$304,A1956)+COUNTIF(Embedded_Wall_Register!$A$5:$A$304,A1956)+COUNTIF(Manhole_Register!$A$5:$A$304,A1956)+COUNTIF(ERSS_Pit_Register!$A$5:$A$304,A1956)+COUNTIF(Linkway_Register!$A$5:$A$304,A1956)+COUNTIF(Other_Register!$A$5:$A$304,A1956))&gt;0,"OK","ID not in any register"))</f>
        <v/>
      </c>
    </row>
    <row r="1957" customFormat="false" ht="15" hidden="false" customHeight="false" outlineLevel="0" collapsed="false">
      <c r="A1957" s="9"/>
      <c r="B1957" s="9"/>
      <c r="C1957" s="9"/>
      <c r="D1957" s="9"/>
      <c r="E1957" s="9"/>
      <c r="F1957" s="9"/>
      <c r="G1957" s="9"/>
      <c r="H1957" s="9"/>
      <c r="I1957" s="9"/>
      <c r="J1957" s="10" t="str">
        <f aca="false">IF(A1957="","",IF(G1957&lt;&gt;"",G1957,IF(N(F1957)&gt;0,ROUND(1000/F1957,3),0)))</f>
        <v/>
      </c>
      <c r="K1957" s="10" t="str">
        <f aca="false">IF(OR(A1957="",E1957="",H1957=""),"",ROUND(0.00617*E1957^2*H1957*J1957,2))</f>
        <v/>
      </c>
      <c r="L1957" s="9"/>
      <c r="M1957" s="10" t="str">
        <f aca="false">IF(A1957="","",IF((COUNTIF(Drain_Register!$A$5:$A$304,A1957)+COUNTIF(RW_Register!$A$5:$A$304,A1957)+COUNTIF(Embedded_Wall_Register!$A$5:$A$304,A1957)+COUNTIF(Manhole_Register!$A$5:$A$304,A1957)+COUNTIF(ERSS_Pit_Register!$A$5:$A$304,A1957)+COUNTIF(Linkway_Register!$A$5:$A$304,A1957)+COUNTIF(Other_Register!$A$5:$A$304,A1957))&gt;0,"OK","ID not in any register"))</f>
        <v/>
      </c>
    </row>
    <row r="1958" customFormat="false" ht="15" hidden="false" customHeight="false" outlineLevel="0" collapsed="false">
      <c r="A1958" s="9"/>
      <c r="B1958" s="9"/>
      <c r="C1958" s="9"/>
      <c r="D1958" s="9"/>
      <c r="E1958" s="9"/>
      <c r="F1958" s="9"/>
      <c r="G1958" s="9"/>
      <c r="H1958" s="9"/>
      <c r="I1958" s="9"/>
      <c r="J1958" s="10" t="str">
        <f aca="false">IF(A1958="","",IF(G1958&lt;&gt;"",G1958,IF(N(F1958)&gt;0,ROUND(1000/F1958,3),0)))</f>
        <v/>
      </c>
      <c r="K1958" s="10" t="str">
        <f aca="false">IF(OR(A1958="",E1958="",H1958=""),"",ROUND(0.00617*E1958^2*H1958*J1958,2))</f>
        <v/>
      </c>
      <c r="L1958" s="9"/>
      <c r="M1958" s="10" t="str">
        <f aca="false">IF(A1958="","",IF((COUNTIF(Drain_Register!$A$5:$A$304,A1958)+COUNTIF(RW_Register!$A$5:$A$304,A1958)+COUNTIF(Embedded_Wall_Register!$A$5:$A$304,A1958)+COUNTIF(Manhole_Register!$A$5:$A$304,A1958)+COUNTIF(ERSS_Pit_Register!$A$5:$A$304,A1958)+COUNTIF(Linkway_Register!$A$5:$A$304,A1958)+COUNTIF(Other_Register!$A$5:$A$304,A1958))&gt;0,"OK","ID not in any register"))</f>
        <v/>
      </c>
    </row>
    <row r="1959" customFormat="false" ht="15" hidden="false" customHeight="false" outlineLevel="0" collapsed="false">
      <c r="A1959" s="9"/>
      <c r="B1959" s="9"/>
      <c r="C1959" s="9"/>
      <c r="D1959" s="9"/>
      <c r="E1959" s="9"/>
      <c r="F1959" s="9"/>
      <c r="G1959" s="9"/>
      <c r="H1959" s="9"/>
      <c r="I1959" s="9"/>
      <c r="J1959" s="10" t="str">
        <f aca="false">IF(A1959="","",IF(G1959&lt;&gt;"",G1959,IF(N(F1959)&gt;0,ROUND(1000/F1959,3),0)))</f>
        <v/>
      </c>
      <c r="K1959" s="10" t="str">
        <f aca="false">IF(OR(A1959="",E1959="",H1959=""),"",ROUND(0.00617*E1959^2*H1959*J1959,2))</f>
        <v/>
      </c>
      <c r="L1959" s="9"/>
      <c r="M1959" s="10" t="str">
        <f aca="false">IF(A1959="","",IF((COUNTIF(Drain_Register!$A$5:$A$304,A1959)+COUNTIF(RW_Register!$A$5:$A$304,A1959)+COUNTIF(Embedded_Wall_Register!$A$5:$A$304,A1959)+COUNTIF(Manhole_Register!$A$5:$A$304,A1959)+COUNTIF(ERSS_Pit_Register!$A$5:$A$304,A1959)+COUNTIF(Linkway_Register!$A$5:$A$304,A1959)+COUNTIF(Other_Register!$A$5:$A$304,A1959))&gt;0,"OK","ID not in any register"))</f>
        <v/>
      </c>
    </row>
    <row r="1960" customFormat="false" ht="15" hidden="false" customHeight="false" outlineLevel="0" collapsed="false">
      <c r="A1960" s="9"/>
      <c r="B1960" s="9"/>
      <c r="C1960" s="9"/>
      <c r="D1960" s="9"/>
      <c r="E1960" s="9"/>
      <c r="F1960" s="9"/>
      <c r="G1960" s="9"/>
      <c r="H1960" s="9"/>
      <c r="I1960" s="9"/>
      <c r="J1960" s="10" t="str">
        <f aca="false">IF(A1960="","",IF(G1960&lt;&gt;"",G1960,IF(N(F1960)&gt;0,ROUND(1000/F1960,3),0)))</f>
        <v/>
      </c>
      <c r="K1960" s="10" t="str">
        <f aca="false">IF(OR(A1960="",E1960="",H1960=""),"",ROUND(0.00617*E1960^2*H1960*J1960,2))</f>
        <v/>
      </c>
      <c r="L1960" s="9"/>
      <c r="M1960" s="10" t="str">
        <f aca="false">IF(A1960="","",IF((COUNTIF(Drain_Register!$A$5:$A$304,A1960)+COUNTIF(RW_Register!$A$5:$A$304,A1960)+COUNTIF(Embedded_Wall_Register!$A$5:$A$304,A1960)+COUNTIF(Manhole_Register!$A$5:$A$304,A1960)+COUNTIF(ERSS_Pit_Register!$A$5:$A$304,A1960)+COUNTIF(Linkway_Register!$A$5:$A$304,A1960)+COUNTIF(Other_Register!$A$5:$A$304,A1960))&gt;0,"OK","ID not in any register"))</f>
        <v/>
      </c>
    </row>
    <row r="1961" customFormat="false" ht="15" hidden="false" customHeight="false" outlineLevel="0" collapsed="false">
      <c r="A1961" s="9"/>
      <c r="B1961" s="9"/>
      <c r="C1961" s="9"/>
      <c r="D1961" s="9"/>
      <c r="E1961" s="9"/>
      <c r="F1961" s="9"/>
      <c r="G1961" s="9"/>
      <c r="H1961" s="9"/>
      <c r="I1961" s="9"/>
      <c r="J1961" s="10" t="str">
        <f aca="false">IF(A1961="","",IF(G1961&lt;&gt;"",G1961,IF(N(F1961)&gt;0,ROUND(1000/F1961,3),0)))</f>
        <v/>
      </c>
      <c r="K1961" s="10" t="str">
        <f aca="false">IF(OR(A1961="",E1961="",H1961=""),"",ROUND(0.00617*E1961^2*H1961*J1961,2))</f>
        <v/>
      </c>
      <c r="L1961" s="9"/>
      <c r="M1961" s="10" t="str">
        <f aca="false">IF(A1961="","",IF((COUNTIF(Drain_Register!$A$5:$A$304,A1961)+COUNTIF(RW_Register!$A$5:$A$304,A1961)+COUNTIF(Embedded_Wall_Register!$A$5:$A$304,A1961)+COUNTIF(Manhole_Register!$A$5:$A$304,A1961)+COUNTIF(ERSS_Pit_Register!$A$5:$A$304,A1961)+COUNTIF(Linkway_Register!$A$5:$A$304,A1961)+COUNTIF(Other_Register!$A$5:$A$304,A1961))&gt;0,"OK","ID not in any register"))</f>
        <v/>
      </c>
    </row>
    <row r="1962" customFormat="false" ht="15" hidden="false" customHeight="false" outlineLevel="0" collapsed="false">
      <c r="A1962" s="9"/>
      <c r="B1962" s="9"/>
      <c r="C1962" s="9"/>
      <c r="D1962" s="9"/>
      <c r="E1962" s="9"/>
      <c r="F1962" s="9"/>
      <c r="G1962" s="9"/>
      <c r="H1962" s="9"/>
      <c r="I1962" s="9"/>
      <c r="J1962" s="10" t="str">
        <f aca="false">IF(A1962="","",IF(G1962&lt;&gt;"",G1962,IF(N(F1962)&gt;0,ROUND(1000/F1962,3),0)))</f>
        <v/>
      </c>
      <c r="K1962" s="10" t="str">
        <f aca="false">IF(OR(A1962="",E1962="",H1962=""),"",ROUND(0.00617*E1962^2*H1962*J1962,2))</f>
        <v/>
      </c>
      <c r="L1962" s="9"/>
      <c r="M1962" s="10" t="str">
        <f aca="false">IF(A1962="","",IF((COUNTIF(Drain_Register!$A$5:$A$304,A1962)+COUNTIF(RW_Register!$A$5:$A$304,A1962)+COUNTIF(Embedded_Wall_Register!$A$5:$A$304,A1962)+COUNTIF(Manhole_Register!$A$5:$A$304,A1962)+COUNTIF(ERSS_Pit_Register!$A$5:$A$304,A1962)+COUNTIF(Linkway_Register!$A$5:$A$304,A1962)+COUNTIF(Other_Register!$A$5:$A$304,A1962))&gt;0,"OK","ID not in any register"))</f>
        <v/>
      </c>
    </row>
    <row r="1963" customFormat="false" ht="15" hidden="false" customHeight="false" outlineLevel="0" collapsed="false">
      <c r="A1963" s="9"/>
      <c r="B1963" s="9"/>
      <c r="C1963" s="9"/>
      <c r="D1963" s="9"/>
      <c r="E1963" s="9"/>
      <c r="F1963" s="9"/>
      <c r="G1963" s="9"/>
      <c r="H1963" s="9"/>
      <c r="I1963" s="9"/>
      <c r="J1963" s="10" t="str">
        <f aca="false">IF(A1963="","",IF(G1963&lt;&gt;"",G1963,IF(N(F1963)&gt;0,ROUND(1000/F1963,3),0)))</f>
        <v/>
      </c>
      <c r="K1963" s="10" t="str">
        <f aca="false">IF(OR(A1963="",E1963="",H1963=""),"",ROUND(0.00617*E1963^2*H1963*J1963,2))</f>
        <v/>
      </c>
      <c r="L1963" s="9"/>
      <c r="M1963" s="10" t="str">
        <f aca="false">IF(A1963="","",IF((COUNTIF(Drain_Register!$A$5:$A$304,A1963)+COUNTIF(RW_Register!$A$5:$A$304,A1963)+COUNTIF(Embedded_Wall_Register!$A$5:$A$304,A1963)+COUNTIF(Manhole_Register!$A$5:$A$304,A1963)+COUNTIF(ERSS_Pit_Register!$A$5:$A$304,A1963)+COUNTIF(Linkway_Register!$A$5:$A$304,A1963)+COUNTIF(Other_Register!$A$5:$A$304,A1963))&gt;0,"OK","ID not in any register"))</f>
        <v/>
      </c>
    </row>
    <row r="1964" customFormat="false" ht="15" hidden="false" customHeight="false" outlineLevel="0" collapsed="false">
      <c r="A1964" s="9"/>
      <c r="B1964" s="9"/>
      <c r="C1964" s="9"/>
      <c r="D1964" s="9"/>
      <c r="E1964" s="9"/>
      <c r="F1964" s="9"/>
      <c r="G1964" s="9"/>
      <c r="H1964" s="9"/>
      <c r="I1964" s="9"/>
      <c r="J1964" s="10" t="str">
        <f aca="false">IF(A1964="","",IF(G1964&lt;&gt;"",G1964,IF(N(F1964)&gt;0,ROUND(1000/F1964,3),0)))</f>
        <v/>
      </c>
      <c r="K1964" s="10" t="str">
        <f aca="false">IF(OR(A1964="",E1964="",H1964=""),"",ROUND(0.00617*E1964^2*H1964*J1964,2))</f>
        <v/>
      </c>
      <c r="L1964" s="9"/>
      <c r="M1964" s="10" t="str">
        <f aca="false">IF(A1964="","",IF((COUNTIF(Drain_Register!$A$5:$A$304,A1964)+COUNTIF(RW_Register!$A$5:$A$304,A1964)+COUNTIF(Embedded_Wall_Register!$A$5:$A$304,A1964)+COUNTIF(Manhole_Register!$A$5:$A$304,A1964)+COUNTIF(ERSS_Pit_Register!$A$5:$A$304,A1964)+COUNTIF(Linkway_Register!$A$5:$A$304,A1964)+COUNTIF(Other_Register!$A$5:$A$304,A1964))&gt;0,"OK","ID not in any register"))</f>
        <v/>
      </c>
    </row>
    <row r="1965" customFormat="false" ht="15" hidden="false" customHeight="false" outlineLevel="0" collapsed="false">
      <c r="A1965" s="9"/>
      <c r="B1965" s="9"/>
      <c r="C1965" s="9"/>
      <c r="D1965" s="9"/>
      <c r="E1965" s="9"/>
      <c r="F1965" s="9"/>
      <c r="G1965" s="9"/>
      <c r="H1965" s="9"/>
      <c r="I1965" s="9"/>
      <c r="J1965" s="10" t="str">
        <f aca="false">IF(A1965="","",IF(G1965&lt;&gt;"",G1965,IF(N(F1965)&gt;0,ROUND(1000/F1965,3),0)))</f>
        <v/>
      </c>
      <c r="K1965" s="10" t="str">
        <f aca="false">IF(OR(A1965="",E1965="",H1965=""),"",ROUND(0.00617*E1965^2*H1965*J1965,2))</f>
        <v/>
      </c>
      <c r="L1965" s="9"/>
      <c r="M1965" s="10" t="str">
        <f aca="false">IF(A1965="","",IF((COUNTIF(Drain_Register!$A$5:$A$304,A1965)+COUNTIF(RW_Register!$A$5:$A$304,A1965)+COUNTIF(Embedded_Wall_Register!$A$5:$A$304,A1965)+COUNTIF(Manhole_Register!$A$5:$A$304,A1965)+COUNTIF(ERSS_Pit_Register!$A$5:$A$304,A1965)+COUNTIF(Linkway_Register!$A$5:$A$304,A1965)+COUNTIF(Other_Register!$A$5:$A$304,A1965))&gt;0,"OK","ID not in any register"))</f>
        <v/>
      </c>
    </row>
    <row r="1966" customFormat="false" ht="15" hidden="false" customHeight="false" outlineLevel="0" collapsed="false">
      <c r="A1966" s="9"/>
      <c r="B1966" s="9"/>
      <c r="C1966" s="9"/>
      <c r="D1966" s="9"/>
      <c r="E1966" s="9"/>
      <c r="F1966" s="9"/>
      <c r="G1966" s="9"/>
      <c r="H1966" s="9"/>
      <c r="I1966" s="9"/>
      <c r="J1966" s="10" t="str">
        <f aca="false">IF(A1966="","",IF(G1966&lt;&gt;"",G1966,IF(N(F1966)&gt;0,ROUND(1000/F1966,3),0)))</f>
        <v/>
      </c>
      <c r="K1966" s="10" t="str">
        <f aca="false">IF(OR(A1966="",E1966="",H1966=""),"",ROUND(0.00617*E1966^2*H1966*J1966,2))</f>
        <v/>
      </c>
      <c r="L1966" s="9"/>
      <c r="M1966" s="10" t="str">
        <f aca="false">IF(A1966="","",IF((COUNTIF(Drain_Register!$A$5:$A$304,A1966)+COUNTIF(RW_Register!$A$5:$A$304,A1966)+COUNTIF(Embedded_Wall_Register!$A$5:$A$304,A1966)+COUNTIF(Manhole_Register!$A$5:$A$304,A1966)+COUNTIF(ERSS_Pit_Register!$A$5:$A$304,A1966)+COUNTIF(Linkway_Register!$A$5:$A$304,A1966)+COUNTIF(Other_Register!$A$5:$A$304,A1966))&gt;0,"OK","ID not in any register"))</f>
        <v/>
      </c>
    </row>
    <row r="1967" customFormat="false" ht="15" hidden="false" customHeight="false" outlineLevel="0" collapsed="false">
      <c r="A1967" s="9"/>
      <c r="B1967" s="9"/>
      <c r="C1967" s="9"/>
      <c r="D1967" s="9"/>
      <c r="E1967" s="9"/>
      <c r="F1967" s="9"/>
      <c r="G1967" s="9"/>
      <c r="H1967" s="9"/>
      <c r="I1967" s="9"/>
      <c r="J1967" s="10" t="str">
        <f aca="false">IF(A1967="","",IF(G1967&lt;&gt;"",G1967,IF(N(F1967)&gt;0,ROUND(1000/F1967,3),0)))</f>
        <v/>
      </c>
      <c r="K1967" s="10" t="str">
        <f aca="false">IF(OR(A1967="",E1967="",H1967=""),"",ROUND(0.00617*E1967^2*H1967*J1967,2))</f>
        <v/>
      </c>
      <c r="L1967" s="9"/>
      <c r="M1967" s="10" t="str">
        <f aca="false">IF(A1967="","",IF((COUNTIF(Drain_Register!$A$5:$A$304,A1967)+COUNTIF(RW_Register!$A$5:$A$304,A1967)+COUNTIF(Embedded_Wall_Register!$A$5:$A$304,A1967)+COUNTIF(Manhole_Register!$A$5:$A$304,A1967)+COUNTIF(ERSS_Pit_Register!$A$5:$A$304,A1967)+COUNTIF(Linkway_Register!$A$5:$A$304,A1967)+COUNTIF(Other_Register!$A$5:$A$304,A1967))&gt;0,"OK","ID not in any register"))</f>
        <v/>
      </c>
    </row>
    <row r="1968" customFormat="false" ht="15" hidden="false" customHeight="false" outlineLevel="0" collapsed="false">
      <c r="A1968" s="9"/>
      <c r="B1968" s="9"/>
      <c r="C1968" s="9"/>
      <c r="D1968" s="9"/>
      <c r="E1968" s="9"/>
      <c r="F1968" s="9"/>
      <c r="G1968" s="9"/>
      <c r="H1968" s="9"/>
      <c r="I1968" s="9"/>
      <c r="J1968" s="10" t="str">
        <f aca="false">IF(A1968="","",IF(G1968&lt;&gt;"",G1968,IF(N(F1968)&gt;0,ROUND(1000/F1968,3),0)))</f>
        <v/>
      </c>
      <c r="K1968" s="10" t="str">
        <f aca="false">IF(OR(A1968="",E1968="",H1968=""),"",ROUND(0.00617*E1968^2*H1968*J1968,2))</f>
        <v/>
      </c>
      <c r="L1968" s="9"/>
      <c r="M1968" s="10" t="str">
        <f aca="false">IF(A1968="","",IF((COUNTIF(Drain_Register!$A$5:$A$304,A1968)+COUNTIF(RW_Register!$A$5:$A$304,A1968)+COUNTIF(Embedded_Wall_Register!$A$5:$A$304,A1968)+COUNTIF(Manhole_Register!$A$5:$A$304,A1968)+COUNTIF(ERSS_Pit_Register!$A$5:$A$304,A1968)+COUNTIF(Linkway_Register!$A$5:$A$304,A1968)+COUNTIF(Other_Register!$A$5:$A$304,A1968))&gt;0,"OK","ID not in any register"))</f>
        <v/>
      </c>
    </row>
    <row r="1969" customFormat="false" ht="15" hidden="false" customHeight="false" outlineLevel="0" collapsed="false">
      <c r="A1969" s="9"/>
      <c r="B1969" s="9"/>
      <c r="C1969" s="9"/>
      <c r="D1969" s="9"/>
      <c r="E1969" s="9"/>
      <c r="F1969" s="9"/>
      <c r="G1969" s="9"/>
      <c r="H1969" s="9"/>
      <c r="I1969" s="9"/>
      <c r="J1969" s="10" t="str">
        <f aca="false">IF(A1969="","",IF(G1969&lt;&gt;"",G1969,IF(N(F1969)&gt;0,ROUND(1000/F1969,3),0)))</f>
        <v/>
      </c>
      <c r="K1969" s="10" t="str">
        <f aca="false">IF(OR(A1969="",E1969="",H1969=""),"",ROUND(0.00617*E1969^2*H1969*J1969,2))</f>
        <v/>
      </c>
      <c r="L1969" s="9"/>
      <c r="M1969" s="10" t="str">
        <f aca="false">IF(A1969="","",IF((COUNTIF(Drain_Register!$A$5:$A$304,A1969)+COUNTIF(RW_Register!$A$5:$A$304,A1969)+COUNTIF(Embedded_Wall_Register!$A$5:$A$304,A1969)+COUNTIF(Manhole_Register!$A$5:$A$304,A1969)+COUNTIF(ERSS_Pit_Register!$A$5:$A$304,A1969)+COUNTIF(Linkway_Register!$A$5:$A$304,A1969)+COUNTIF(Other_Register!$A$5:$A$304,A1969))&gt;0,"OK","ID not in any register"))</f>
        <v/>
      </c>
    </row>
    <row r="1970" customFormat="false" ht="15" hidden="false" customHeight="false" outlineLevel="0" collapsed="false">
      <c r="A1970" s="9"/>
      <c r="B1970" s="9"/>
      <c r="C1970" s="9"/>
      <c r="D1970" s="9"/>
      <c r="E1970" s="9"/>
      <c r="F1970" s="9"/>
      <c r="G1970" s="9"/>
      <c r="H1970" s="9"/>
      <c r="I1970" s="9"/>
      <c r="J1970" s="10" t="str">
        <f aca="false">IF(A1970="","",IF(G1970&lt;&gt;"",G1970,IF(N(F1970)&gt;0,ROUND(1000/F1970,3),0)))</f>
        <v/>
      </c>
      <c r="K1970" s="10" t="str">
        <f aca="false">IF(OR(A1970="",E1970="",H1970=""),"",ROUND(0.00617*E1970^2*H1970*J1970,2))</f>
        <v/>
      </c>
      <c r="L1970" s="9"/>
      <c r="M1970" s="10" t="str">
        <f aca="false">IF(A1970="","",IF((COUNTIF(Drain_Register!$A$5:$A$304,A1970)+COUNTIF(RW_Register!$A$5:$A$304,A1970)+COUNTIF(Embedded_Wall_Register!$A$5:$A$304,A1970)+COUNTIF(Manhole_Register!$A$5:$A$304,A1970)+COUNTIF(ERSS_Pit_Register!$A$5:$A$304,A1970)+COUNTIF(Linkway_Register!$A$5:$A$304,A1970)+COUNTIF(Other_Register!$A$5:$A$304,A1970))&gt;0,"OK","ID not in any register"))</f>
        <v/>
      </c>
    </row>
    <row r="1971" customFormat="false" ht="15" hidden="false" customHeight="false" outlineLevel="0" collapsed="false">
      <c r="A1971" s="9"/>
      <c r="B1971" s="9"/>
      <c r="C1971" s="9"/>
      <c r="D1971" s="9"/>
      <c r="E1971" s="9"/>
      <c r="F1971" s="9"/>
      <c r="G1971" s="9"/>
      <c r="H1971" s="9"/>
      <c r="I1971" s="9"/>
      <c r="J1971" s="10" t="str">
        <f aca="false">IF(A1971="","",IF(G1971&lt;&gt;"",G1971,IF(N(F1971)&gt;0,ROUND(1000/F1971,3),0)))</f>
        <v/>
      </c>
      <c r="K1971" s="10" t="str">
        <f aca="false">IF(OR(A1971="",E1971="",H1971=""),"",ROUND(0.00617*E1971^2*H1971*J1971,2))</f>
        <v/>
      </c>
      <c r="L1971" s="9"/>
      <c r="M1971" s="10" t="str">
        <f aca="false">IF(A1971="","",IF((COUNTIF(Drain_Register!$A$5:$A$304,A1971)+COUNTIF(RW_Register!$A$5:$A$304,A1971)+COUNTIF(Embedded_Wall_Register!$A$5:$A$304,A1971)+COUNTIF(Manhole_Register!$A$5:$A$304,A1971)+COUNTIF(ERSS_Pit_Register!$A$5:$A$304,A1971)+COUNTIF(Linkway_Register!$A$5:$A$304,A1971)+COUNTIF(Other_Register!$A$5:$A$304,A1971))&gt;0,"OK","ID not in any register"))</f>
        <v/>
      </c>
    </row>
    <row r="1972" customFormat="false" ht="15" hidden="false" customHeight="false" outlineLevel="0" collapsed="false">
      <c r="A1972" s="9"/>
      <c r="B1972" s="9"/>
      <c r="C1972" s="9"/>
      <c r="D1972" s="9"/>
      <c r="E1972" s="9"/>
      <c r="F1972" s="9"/>
      <c r="G1972" s="9"/>
      <c r="H1972" s="9"/>
      <c r="I1972" s="9"/>
      <c r="J1972" s="10" t="str">
        <f aca="false">IF(A1972="","",IF(G1972&lt;&gt;"",G1972,IF(N(F1972)&gt;0,ROUND(1000/F1972,3),0)))</f>
        <v/>
      </c>
      <c r="K1972" s="10" t="str">
        <f aca="false">IF(OR(A1972="",E1972="",H1972=""),"",ROUND(0.00617*E1972^2*H1972*J1972,2))</f>
        <v/>
      </c>
      <c r="L1972" s="9"/>
      <c r="M1972" s="10" t="str">
        <f aca="false">IF(A1972="","",IF((COUNTIF(Drain_Register!$A$5:$A$304,A1972)+COUNTIF(RW_Register!$A$5:$A$304,A1972)+COUNTIF(Embedded_Wall_Register!$A$5:$A$304,A1972)+COUNTIF(Manhole_Register!$A$5:$A$304,A1972)+COUNTIF(ERSS_Pit_Register!$A$5:$A$304,A1972)+COUNTIF(Linkway_Register!$A$5:$A$304,A1972)+COUNTIF(Other_Register!$A$5:$A$304,A1972))&gt;0,"OK","ID not in any register"))</f>
        <v/>
      </c>
    </row>
    <row r="1973" customFormat="false" ht="15" hidden="false" customHeight="false" outlineLevel="0" collapsed="false">
      <c r="A1973" s="9"/>
      <c r="B1973" s="9"/>
      <c r="C1973" s="9"/>
      <c r="D1973" s="9"/>
      <c r="E1973" s="9"/>
      <c r="F1973" s="9"/>
      <c r="G1973" s="9"/>
      <c r="H1973" s="9"/>
      <c r="I1973" s="9"/>
      <c r="J1973" s="10" t="str">
        <f aca="false">IF(A1973="","",IF(G1973&lt;&gt;"",G1973,IF(N(F1973)&gt;0,ROUND(1000/F1973,3),0)))</f>
        <v/>
      </c>
      <c r="K1973" s="10" t="str">
        <f aca="false">IF(OR(A1973="",E1973="",H1973=""),"",ROUND(0.00617*E1973^2*H1973*J1973,2))</f>
        <v/>
      </c>
      <c r="L1973" s="9"/>
      <c r="M1973" s="10" t="str">
        <f aca="false">IF(A1973="","",IF((COUNTIF(Drain_Register!$A$5:$A$304,A1973)+COUNTIF(RW_Register!$A$5:$A$304,A1973)+COUNTIF(Embedded_Wall_Register!$A$5:$A$304,A1973)+COUNTIF(Manhole_Register!$A$5:$A$304,A1973)+COUNTIF(ERSS_Pit_Register!$A$5:$A$304,A1973)+COUNTIF(Linkway_Register!$A$5:$A$304,A1973)+COUNTIF(Other_Register!$A$5:$A$304,A1973))&gt;0,"OK","ID not in any register"))</f>
        <v/>
      </c>
    </row>
    <row r="1974" customFormat="false" ht="15" hidden="false" customHeight="false" outlineLevel="0" collapsed="false">
      <c r="A1974" s="9"/>
      <c r="B1974" s="9"/>
      <c r="C1974" s="9"/>
      <c r="D1974" s="9"/>
      <c r="E1974" s="9"/>
      <c r="F1974" s="9"/>
      <c r="G1974" s="9"/>
      <c r="H1974" s="9"/>
      <c r="I1974" s="9"/>
      <c r="J1974" s="10" t="str">
        <f aca="false">IF(A1974="","",IF(G1974&lt;&gt;"",G1974,IF(N(F1974)&gt;0,ROUND(1000/F1974,3),0)))</f>
        <v/>
      </c>
      <c r="K1974" s="10" t="str">
        <f aca="false">IF(OR(A1974="",E1974="",H1974=""),"",ROUND(0.00617*E1974^2*H1974*J1974,2))</f>
        <v/>
      </c>
      <c r="L1974" s="9"/>
      <c r="M1974" s="10" t="str">
        <f aca="false">IF(A1974="","",IF((COUNTIF(Drain_Register!$A$5:$A$304,A1974)+COUNTIF(RW_Register!$A$5:$A$304,A1974)+COUNTIF(Embedded_Wall_Register!$A$5:$A$304,A1974)+COUNTIF(Manhole_Register!$A$5:$A$304,A1974)+COUNTIF(ERSS_Pit_Register!$A$5:$A$304,A1974)+COUNTIF(Linkway_Register!$A$5:$A$304,A1974)+COUNTIF(Other_Register!$A$5:$A$304,A1974))&gt;0,"OK","ID not in any register"))</f>
        <v/>
      </c>
    </row>
    <row r="1975" customFormat="false" ht="15" hidden="false" customHeight="false" outlineLevel="0" collapsed="false">
      <c r="A1975" s="9"/>
      <c r="B1975" s="9"/>
      <c r="C1975" s="9"/>
      <c r="D1975" s="9"/>
      <c r="E1975" s="9"/>
      <c r="F1975" s="9"/>
      <c r="G1975" s="9"/>
      <c r="H1975" s="9"/>
      <c r="I1975" s="9"/>
      <c r="J1975" s="10" t="str">
        <f aca="false">IF(A1975="","",IF(G1975&lt;&gt;"",G1975,IF(N(F1975)&gt;0,ROUND(1000/F1975,3),0)))</f>
        <v/>
      </c>
      <c r="K1975" s="10" t="str">
        <f aca="false">IF(OR(A1975="",E1975="",H1975=""),"",ROUND(0.00617*E1975^2*H1975*J1975,2))</f>
        <v/>
      </c>
      <c r="L1975" s="9"/>
      <c r="M1975" s="10" t="str">
        <f aca="false">IF(A1975="","",IF((COUNTIF(Drain_Register!$A$5:$A$304,A1975)+COUNTIF(RW_Register!$A$5:$A$304,A1975)+COUNTIF(Embedded_Wall_Register!$A$5:$A$304,A1975)+COUNTIF(Manhole_Register!$A$5:$A$304,A1975)+COUNTIF(ERSS_Pit_Register!$A$5:$A$304,A1975)+COUNTIF(Linkway_Register!$A$5:$A$304,A1975)+COUNTIF(Other_Register!$A$5:$A$304,A1975))&gt;0,"OK","ID not in any register"))</f>
        <v/>
      </c>
    </row>
    <row r="1976" customFormat="false" ht="15" hidden="false" customHeight="false" outlineLevel="0" collapsed="false">
      <c r="A1976" s="9"/>
      <c r="B1976" s="9"/>
      <c r="C1976" s="9"/>
      <c r="D1976" s="9"/>
      <c r="E1976" s="9"/>
      <c r="F1976" s="9"/>
      <c r="G1976" s="9"/>
      <c r="H1976" s="9"/>
      <c r="I1976" s="9"/>
      <c r="J1976" s="10" t="str">
        <f aca="false">IF(A1976="","",IF(G1976&lt;&gt;"",G1976,IF(N(F1976)&gt;0,ROUND(1000/F1976,3),0)))</f>
        <v/>
      </c>
      <c r="K1976" s="10" t="str">
        <f aca="false">IF(OR(A1976="",E1976="",H1976=""),"",ROUND(0.00617*E1976^2*H1976*J1976,2))</f>
        <v/>
      </c>
      <c r="L1976" s="9"/>
      <c r="M1976" s="10" t="str">
        <f aca="false">IF(A1976="","",IF((COUNTIF(Drain_Register!$A$5:$A$304,A1976)+COUNTIF(RW_Register!$A$5:$A$304,A1976)+COUNTIF(Embedded_Wall_Register!$A$5:$A$304,A1976)+COUNTIF(Manhole_Register!$A$5:$A$304,A1976)+COUNTIF(ERSS_Pit_Register!$A$5:$A$304,A1976)+COUNTIF(Linkway_Register!$A$5:$A$304,A1976)+COUNTIF(Other_Register!$A$5:$A$304,A1976))&gt;0,"OK","ID not in any register"))</f>
        <v/>
      </c>
    </row>
    <row r="1977" customFormat="false" ht="15" hidden="false" customHeight="false" outlineLevel="0" collapsed="false">
      <c r="A1977" s="9"/>
      <c r="B1977" s="9"/>
      <c r="C1977" s="9"/>
      <c r="D1977" s="9"/>
      <c r="E1977" s="9"/>
      <c r="F1977" s="9"/>
      <c r="G1977" s="9"/>
      <c r="H1977" s="9"/>
      <c r="I1977" s="9"/>
      <c r="J1977" s="10" t="str">
        <f aca="false">IF(A1977="","",IF(G1977&lt;&gt;"",G1977,IF(N(F1977)&gt;0,ROUND(1000/F1977,3),0)))</f>
        <v/>
      </c>
      <c r="K1977" s="10" t="str">
        <f aca="false">IF(OR(A1977="",E1977="",H1977=""),"",ROUND(0.00617*E1977^2*H1977*J1977,2))</f>
        <v/>
      </c>
      <c r="L1977" s="9"/>
      <c r="M1977" s="10" t="str">
        <f aca="false">IF(A1977="","",IF((COUNTIF(Drain_Register!$A$5:$A$304,A1977)+COUNTIF(RW_Register!$A$5:$A$304,A1977)+COUNTIF(Embedded_Wall_Register!$A$5:$A$304,A1977)+COUNTIF(Manhole_Register!$A$5:$A$304,A1977)+COUNTIF(ERSS_Pit_Register!$A$5:$A$304,A1977)+COUNTIF(Linkway_Register!$A$5:$A$304,A1977)+COUNTIF(Other_Register!$A$5:$A$304,A1977))&gt;0,"OK","ID not in any register"))</f>
        <v/>
      </c>
    </row>
    <row r="1978" customFormat="false" ht="15" hidden="false" customHeight="false" outlineLevel="0" collapsed="false">
      <c r="A1978" s="9"/>
      <c r="B1978" s="9"/>
      <c r="C1978" s="9"/>
      <c r="D1978" s="9"/>
      <c r="E1978" s="9"/>
      <c r="F1978" s="9"/>
      <c r="G1978" s="9"/>
      <c r="H1978" s="9"/>
      <c r="I1978" s="9"/>
      <c r="J1978" s="10" t="str">
        <f aca="false">IF(A1978="","",IF(G1978&lt;&gt;"",G1978,IF(N(F1978)&gt;0,ROUND(1000/F1978,3),0)))</f>
        <v/>
      </c>
      <c r="K1978" s="10" t="str">
        <f aca="false">IF(OR(A1978="",E1978="",H1978=""),"",ROUND(0.00617*E1978^2*H1978*J1978,2))</f>
        <v/>
      </c>
      <c r="L1978" s="9"/>
      <c r="M1978" s="10" t="str">
        <f aca="false">IF(A1978="","",IF((COUNTIF(Drain_Register!$A$5:$A$304,A1978)+COUNTIF(RW_Register!$A$5:$A$304,A1978)+COUNTIF(Embedded_Wall_Register!$A$5:$A$304,A1978)+COUNTIF(Manhole_Register!$A$5:$A$304,A1978)+COUNTIF(ERSS_Pit_Register!$A$5:$A$304,A1978)+COUNTIF(Linkway_Register!$A$5:$A$304,A1978)+COUNTIF(Other_Register!$A$5:$A$304,A1978))&gt;0,"OK","ID not in any register"))</f>
        <v/>
      </c>
    </row>
    <row r="1979" customFormat="false" ht="15" hidden="false" customHeight="false" outlineLevel="0" collapsed="false">
      <c r="A1979" s="9"/>
      <c r="B1979" s="9"/>
      <c r="C1979" s="9"/>
      <c r="D1979" s="9"/>
      <c r="E1979" s="9"/>
      <c r="F1979" s="9"/>
      <c r="G1979" s="9"/>
      <c r="H1979" s="9"/>
      <c r="I1979" s="9"/>
      <c r="J1979" s="10" t="str">
        <f aca="false">IF(A1979="","",IF(G1979&lt;&gt;"",G1979,IF(N(F1979)&gt;0,ROUND(1000/F1979,3),0)))</f>
        <v/>
      </c>
      <c r="K1979" s="10" t="str">
        <f aca="false">IF(OR(A1979="",E1979="",H1979=""),"",ROUND(0.00617*E1979^2*H1979*J1979,2))</f>
        <v/>
      </c>
      <c r="L1979" s="9"/>
      <c r="M1979" s="10" t="str">
        <f aca="false">IF(A1979="","",IF((COUNTIF(Drain_Register!$A$5:$A$304,A1979)+COUNTIF(RW_Register!$A$5:$A$304,A1979)+COUNTIF(Embedded_Wall_Register!$A$5:$A$304,A1979)+COUNTIF(Manhole_Register!$A$5:$A$304,A1979)+COUNTIF(ERSS_Pit_Register!$A$5:$A$304,A1979)+COUNTIF(Linkway_Register!$A$5:$A$304,A1979)+COUNTIF(Other_Register!$A$5:$A$304,A1979))&gt;0,"OK","ID not in any register"))</f>
        <v/>
      </c>
    </row>
    <row r="1980" customFormat="false" ht="15" hidden="false" customHeight="false" outlineLevel="0" collapsed="false">
      <c r="A1980" s="9"/>
      <c r="B1980" s="9"/>
      <c r="C1980" s="9"/>
      <c r="D1980" s="9"/>
      <c r="E1980" s="9"/>
      <c r="F1980" s="9"/>
      <c r="G1980" s="9"/>
      <c r="H1980" s="9"/>
      <c r="I1980" s="9"/>
      <c r="J1980" s="10" t="str">
        <f aca="false">IF(A1980="","",IF(G1980&lt;&gt;"",G1980,IF(N(F1980)&gt;0,ROUND(1000/F1980,3),0)))</f>
        <v/>
      </c>
      <c r="K1980" s="10" t="str">
        <f aca="false">IF(OR(A1980="",E1980="",H1980=""),"",ROUND(0.00617*E1980^2*H1980*J1980,2))</f>
        <v/>
      </c>
      <c r="L1980" s="9"/>
      <c r="M1980" s="10" t="str">
        <f aca="false">IF(A1980="","",IF((COUNTIF(Drain_Register!$A$5:$A$304,A1980)+COUNTIF(RW_Register!$A$5:$A$304,A1980)+COUNTIF(Embedded_Wall_Register!$A$5:$A$304,A1980)+COUNTIF(Manhole_Register!$A$5:$A$304,A1980)+COUNTIF(ERSS_Pit_Register!$A$5:$A$304,A1980)+COUNTIF(Linkway_Register!$A$5:$A$304,A1980)+COUNTIF(Other_Register!$A$5:$A$304,A1980))&gt;0,"OK","ID not in any register"))</f>
        <v/>
      </c>
    </row>
    <row r="1981" customFormat="false" ht="15" hidden="false" customHeight="false" outlineLevel="0" collapsed="false">
      <c r="A1981" s="9"/>
      <c r="B1981" s="9"/>
      <c r="C1981" s="9"/>
      <c r="D1981" s="9"/>
      <c r="E1981" s="9"/>
      <c r="F1981" s="9"/>
      <c r="G1981" s="9"/>
      <c r="H1981" s="9"/>
      <c r="I1981" s="9"/>
      <c r="J1981" s="10" t="str">
        <f aca="false">IF(A1981="","",IF(G1981&lt;&gt;"",G1981,IF(N(F1981)&gt;0,ROUND(1000/F1981,3),0)))</f>
        <v/>
      </c>
      <c r="K1981" s="10" t="str">
        <f aca="false">IF(OR(A1981="",E1981="",H1981=""),"",ROUND(0.00617*E1981^2*H1981*J1981,2))</f>
        <v/>
      </c>
      <c r="L1981" s="9"/>
      <c r="M1981" s="10" t="str">
        <f aca="false">IF(A1981="","",IF((COUNTIF(Drain_Register!$A$5:$A$304,A1981)+COUNTIF(RW_Register!$A$5:$A$304,A1981)+COUNTIF(Embedded_Wall_Register!$A$5:$A$304,A1981)+COUNTIF(Manhole_Register!$A$5:$A$304,A1981)+COUNTIF(ERSS_Pit_Register!$A$5:$A$304,A1981)+COUNTIF(Linkway_Register!$A$5:$A$304,A1981)+COUNTIF(Other_Register!$A$5:$A$304,A1981))&gt;0,"OK","ID not in any register"))</f>
        <v/>
      </c>
    </row>
    <row r="1982" customFormat="false" ht="15" hidden="false" customHeight="false" outlineLevel="0" collapsed="false">
      <c r="A1982" s="9"/>
      <c r="B1982" s="9"/>
      <c r="C1982" s="9"/>
      <c r="D1982" s="9"/>
      <c r="E1982" s="9"/>
      <c r="F1982" s="9"/>
      <c r="G1982" s="9"/>
      <c r="H1982" s="9"/>
      <c r="I1982" s="9"/>
      <c r="J1982" s="10" t="str">
        <f aca="false">IF(A1982="","",IF(G1982&lt;&gt;"",G1982,IF(N(F1982)&gt;0,ROUND(1000/F1982,3),0)))</f>
        <v/>
      </c>
      <c r="K1982" s="10" t="str">
        <f aca="false">IF(OR(A1982="",E1982="",H1982=""),"",ROUND(0.00617*E1982^2*H1982*J1982,2))</f>
        <v/>
      </c>
      <c r="L1982" s="9"/>
      <c r="M1982" s="10" t="str">
        <f aca="false">IF(A1982="","",IF((COUNTIF(Drain_Register!$A$5:$A$304,A1982)+COUNTIF(RW_Register!$A$5:$A$304,A1982)+COUNTIF(Embedded_Wall_Register!$A$5:$A$304,A1982)+COUNTIF(Manhole_Register!$A$5:$A$304,A1982)+COUNTIF(ERSS_Pit_Register!$A$5:$A$304,A1982)+COUNTIF(Linkway_Register!$A$5:$A$304,A1982)+COUNTIF(Other_Register!$A$5:$A$304,A1982))&gt;0,"OK","ID not in any register"))</f>
        <v/>
      </c>
    </row>
    <row r="1983" customFormat="false" ht="15" hidden="false" customHeight="false" outlineLevel="0" collapsed="false">
      <c r="A1983" s="9"/>
      <c r="B1983" s="9"/>
      <c r="C1983" s="9"/>
      <c r="D1983" s="9"/>
      <c r="E1983" s="9"/>
      <c r="F1983" s="9"/>
      <c r="G1983" s="9"/>
      <c r="H1983" s="9"/>
      <c r="I1983" s="9"/>
      <c r="J1983" s="10" t="str">
        <f aca="false">IF(A1983="","",IF(G1983&lt;&gt;"",G1983,IF(N(F1983)&gt;0,ROUND(1000/F1983,3),0)))</f>
        <v/>
      </c>
      <c r="K1983" s="10" t="str">
        <f aca="false">IF(OR(A1983="",E1983="",H1983=""),"",ROUND(0.00617*E1983^2*H1983*J1983,2))</f>
        <v/>
      </c>
      <c r="L1983" s="9"/>
      <c r="M1983" s="10" t="str">
        <f aca="false">IF(A1983="","",IF((COUNTIF(Drain_Register!$A$5:$A$304,A1983)+COUNTIF(RW_Register!$A$5:$A$304,A1983)+COUNTIF(Embedded_Wall_Register!$A$5:$A$304,A1983)+COUNTIF(Manhole_Register!$A$5:$A$304,A1983)+COUNTIF(ERSS_Pit_Register!$A$5:$A$304,A1983)+COUNTIF(Linkway_Register!$A$5:$A$304,A1983)+COUNTIF(Other_Register!$A$5:$A$304,A1983))&gt;0,"OK","ID not in any register"))</f>
        <v/>
      </c>
    </row>
    <row r="1984" customFormat="false" ht="15" hidden="false" customHeight="false" outlineLevel="0" collapsed="false">
      <c r="A1984" s="9"/>
      <c r="B1984" s="9"/>
      <c r="C1984" s="9"/>
      <c r="D1984" s="9"/>
      <c r="E1984" s="9"/>
      <c r="F1984" s="9"/>
      <c r="G1984" s="9"/>
      <c r="H1984" s="9"/>
      <c r="I1984" s="9"/>
      <c r="J1984" s="10" t="str">
        <f aca="false">IF(A1984="","",IF(G1984&lt;&gt;"",G1984,IF(N(F1984)&gt;0,ROUND(1000/F1984,3),0)))</f>
        <v/>
      </c>
      <c r="K1984" s="10" t="str">
        <f aca="false">IF(OR(A1984="",E1984="",H1984=""),"",ROUND(0.00617*E1984^2*H1984*J1984,2))</f>
        <v/>
      </c>
      <c r="L1984" s="9"/>
      <c r="M1984" s="10" t="str">
        <f aca="false">IF(A1984="","",IF((COUNTIF(Drain_Register!$A$5:$A$304,A1984)+COUNTIF(RW_Register!$A$5:$A$304,A1984)+COUNTIF(Embedded_Wall_Register!$A$5:$A$304,A1984)+COUNTIF(Manhole_Register!$A$5:$A$304,A1984)+COUNTIF(ERSS_Pit_Register!$A$5:$A$304,A1984)+COUNTIF(Linkway_Register!$A$5:$A$304,A1984)+COUNTIF(Other_Register!$A$5:$A$304,A1984))&gt;0,"OK","ID not in any register"))</f>
        <v/>
      </c>
    </row>
    <row r="1985" customFormat="false" ht="15" hidden="false" customHeight="false" outlineLevel="0" collapsed="false">
      <c r="A1985" s="9"/>
      <c r="B1985" s="9"/>
      <c r="C1985" s="9"/>
      <c r="D1985" s="9"/>
      <c r="E1985" s="9"/>
      <c r="F1985" s="9"/>
      <c r="G1985" s="9"/>
      <c r="H1985" s="9"/>
      <c r="I1985" s="9"/>
      <c r="J1985" s="10" t="str">
        <f aca="false">IF(A1985="","",IF(G1985&lt;&gt;"",G1985,IF(N(F1985)&gt;0,ROUND(1000/F1985,3),0)))</f>
        <v/>
      </c>
      <c r="K1985" s="10" t="str">
        <f aca="false">IF(OR(A1985="",E1985="",H1985=""),"",ROUND(0.00617*E1985^2*H1985*J1985,2))</f>
        <v/>
      </c>
      <c r="L1985" s="9"/>
      <c r="M1985" s="10" t="str">
        <f aca="false">IF(A1985="","",IF((COUNTIF(Drain_Register!$A$5:$A$304,A1985)+COUNTIF(RW_Register!$A$5:$A$304,A1985)+COUNTIF(Embedded_Wall_Register!$A$5:$A$304,A1985)+COUNTIF(Manhole_Register!$A$5:$A$304,A1985)+COUNTIF(ERSS_Pit_Register!$A$5:$A$304,A1985)+COUNTIF(Linkway_Register!$A$5:$A$304,A1985)+COUNTIF(Other_Register!$A$5:$A$304,A1985))&gt;0,"OK","ID not in any register"))</f>
        <v/>
      </c>
    </row>
    <row r="1986" customFormat="false" ht="15" hidden="false" customHeight="false" outlineLevel="0" collapsed="false">
      <c r="A1986" s="9"/>
      <c r="B1986" s="9"/>
      <c r="C1986" s="9"/>
      <c r="D1986" s="9"/>
      <c r="E1986" s="9"/>
      <c r="F1986" s="9"/>
      <c r="G1986" s="9"/>
      <c r="H1986" s="9"/>
      <c r="I1986" s="9"/>
      <c r="J1986" s="10" t="str">
        <f aca="false">IF(A1986="","",IF(G1986&lt;&gt;"",G1986,IF(N(F1986)&gt;0,ROUND(1000/F1986,3),0)))</f>
        <v/>
      </c>
      <c r="K1986" s="10" t="str">
        <f aca="false">IF(OR(A1986="",E1986="",H1986=""),"",ROUND(0.00617*E1986^2*H1986*J1986,2))</f>
        <v/>
      </c>
      <c r="L1986" s="9"/>
      <c r="M1986" s="10" t="str">
        <f aca="false">IF(A1986="","",IF((COUNTIF(Drain_Register!$A$5:$A$304,A1986)+COUNTIF(RW_Register!$A$5:$A$304,A1986)+COUNTIF(Embedded_Wall_Register!$A$5:$A$304,A1986)+COUNTIF(Manhole_Register!$A$5:$A$304,A1986)+COUNTIF(ERSS_Pit_Register!$A$5:$A$304,A1986)+COUNTIF(Linkway_Register!$A$5:$A$304,A1986)+COUNTIF(Other_Register!$A$5:$A$304,A1986))&gt;0,"OK","ID not in any register"))</f>
        <v/>
      </c>
    </row>
    <row r="1987" customFormat="false" ht="15" hidden="false" customHeight="false" outlineLevel="0" collapsed="false">
      <c r="A1987" s="9"/>
      <c r="B1987" s="9"/>
      <c r="C1987" s="9"/>
      <c r="D1987" s="9"/>
      <c r="E1987" s="9"/>
      <c r="F1987" s="9"/>
      <c r="G1987" s="9"/>
      <c r="H1987" s="9"/>
      <c r="I1987" s="9"/>
      <c r="J1987" s="10" t="str">
        <f aca="false">IF(A1987="","",IF(G1987&lt;&gt;"",G1987,IF(N(F1987)&gt;0,ROUND(1000/F1987,3),0)))</f>
        <v/>
      </c>
      <c r="K1987" s="10" t="str">
        <f aca="false">IF(OR(A1987="",E1987="",H1987=""),"",ROUND(0.00617*E1987^2*H1987*J1987,2))</f>
        <v/>
      </c>
      <c r="L1987" s="9"/>
      <c r="M1987" s="10" t="str">
        <f aca="false">IF(A1987="","",IF((COUNTIF(Drain_Register!$A$5:$A$304,A1987)+COUNTIF(RW_Register!$A$5:$A$304,A1987)+COUNTIF(Embedded_Wall_Register!$A$5:$A$304,A1987)+COUNTIF(Manhole_Register!$A$5:$A$304,A1987)+COUNTIF(ERSS_Pit_Register!$A$5:$A$304,A1987)+COUNTIF(Linkway_Register!$A$5:$A$304,A1987)+COUNTIF(Other_Register!$A$5:$A$304,A1987))&gt;0,"OK","ID not in any register"))</f>
        <v/>
      </c>
    </row>
    <row r="1988" customFormat="false" ht="15" hidden="false" customHeight="false" outlineLevel="0" collapsed="false">
      <c r="A1988" s="9"/>
      <c r="B1988" s="9"/>
      <c r="C1988" s="9"/>
      <c r="D1988" s="9"/>
      <c r="E1988" s="9"/>
      <c r="F1988" s="9"/>
      <c r="G1988" s="9"/>
      <c r="H1988" s="9"/>
      <c r="I1988" s="9"/>
      <c r="J1988" s="10" t="str">
        <f aca="false">IF(A1988="","",IF(G1988&lt;&gt;"",G1988,IF(N(F1988)&gt;0,ROUND(1000/F1988,3),0)))</f>
        <v/>
      </c>
      <c r="K1988" s="10" t="str">
        <f aca="false">IF(OR(A1988="",E1988="",H1988=""),"",ROUND(0.00617*E1988^2*H1988*J1988,2))</f>
        <v/>
      </c>
      <c r="L1988" s="9"/>
      <c r="M1988" s="10" t="str">
        <f aca="false">IF(A1988="","",IF((COUNTIF(Drain_Register!$A$5:$A$304,A1988)+COUNTIF(RW_Register!$A$5:$A$304,A1988)+COUNTIF(Embedded_Wall_Register!$A$5:$A$304,A1988)+COUNTIF(Manhole_Register!$A$5:$A$304,A1988)+COUNTIF(ERSS_Pit_Register!$A$5:$A$304,A1988)+COUNTIF(Linkway_Register!$A$5:$A$304,A1988)+COUNTIF(Other_Register!$A$5:$A$304,A1988))&gt;0,"OK","ID not in any register"))</f>
        <v/>
      </c>
    </row>
    <row r="1989" customFormat="false" ht="15" hidden="false" customHeight="false" outlineLevel="0" collapsed="false">
      <c r="A1989" s="9"/>
      <c r="B1989" s="9"/>
      <c r="C1989" s="9"/>
      <c r="D1989" s="9"/>
      <c r="E1989" s="9"/>
      <c r="F1989" s="9"/>
      <c r="G1989" s="9"/>
      <c r="H1989" s="9"/>
      <c r="I1989" s="9"/>
      <c r="J1989" s="10" t="str">
        <f aca="false">IF(A1989="","",IF(G1989&lt;&gt;"",G1989,IF(N(F1989)&gt;0,ROUND(1000/F1989,3),0)))</f>
        <v/>
      </c>
      <c r="K1989" s="10" t="str">
        <f aca="false">IF(OR(A1989="",E1989="",H1989=""),"",ROUND(0.00617*E1989^2*H1989*J1989,2))</f>
        <v/>
      </c>
      <c r="L1989" s="9"/>
      <c r="M1989" s="10" t="str">
        <f aca="false">IF(A1989="","",IF((COUNTIF(Drain_Register!$A$5:$A$304,A1989)+COUNTIF(RW_Register!$A$5:$A$304,A1989)+COUNTIF(Embedded_Wall_Register!$A$5:$A$304,A1989)+COUNTIF(Manhole_Register!$A$5:$A$304,A1989)+COUNTIF(ERSS_Pit_Register!$A$5:$A$304,A1989)+COUNTIF(Linkway_Register!$A$5:$A$304,A1989)+COUNTIF(Other_Register!$A$5:$A$304,A1989))&gt;0,"OK","ID not in any register"))</f>
        <v/>
      </c>
    </row>
    <row r="1990" customFormat="false" ht="15" hidden="false" customHeight="false" outlineLevel="0" collapsed="false">
      <c r="A1990" s="9"/>
      <c r="B1990" s="9"/>
      <c r="C1990" s="9"/>
      <c r="D1990" s="9"/>
      <c r="E1990" s="9"/>
      <c r="F1990" s="9"/>
      <c r="G1990" s="9"/>
      <c r="H1990" s="9"/>
      <c r="I1990" s="9"/>
      <c r="J1990" s="10" t="str">
        <f aca="false">IF(A1990="","",IF(G1990&lt;&gt;"",G1990,IF(N(F1990)&gt;0,ROUND(1000/F1990,3),0)))</f>
        <v/>
      </c>
      <c r="K1990" s="10" t="str">
        <f aca="false">IF(OR(A1990="",E1990="",H1990=""),"",ROUND(0.00617*E1990^2*H1990*J1990,2))</f>
        <v/>
      </c>
      <c r="L1990" s="9"/>
      <c r="M1990" s="10" t="str">
        <f aca="false">IF(A1990="","",IF((COUNTIF(Drain_Register!$A$5:$A$304,A1990)+COUNTIF(RW_Register!$A$5:$A$304,A1990)+COUNTIF(Embedded_Wall_Register!$A$5:$A$304,A1990)+COUNTIF(Manhole_Register!$A$5:$A$304,A1990)+COUNTIF(ERSS_Pit_Register!$A$5:$A$304,A1990)+COUNTIF(Linkway_Register!$A$5:$A$304,A1990)+COUNTIF(Other_Register!$A$5:$A$304,A1990))&gt;0,"OK","ID not in any register"))</f>
        <v/>
      </c>
    </row>
    <row r="1991" customFormat="false" ht="15" hidden="false" customHeight="false" outlineLevel="0" collapsed="false">
      <c r="A1991" s="9"/>
      <c r="B1991" s="9"/>
      <c r="C1991" s="9"/>
      <c r="D1991" s="9"/>
      <c r="E1991" s="9"/>
      <c r="F1991" s="9"/>
      <c r="G1991" s="9"/>
      <c r="H1991" s="9"/>
      <c r="I1991" s="9"/>
      <c r="J1991" s="10" t="str">
        <f aca="false">IF(A1991="","",IF(G1991&lt;&gt;"",G1991,IF(N(F1991)&gt;0,ROUND(1000/F1991,3),0)))</f>
        <v/>
      </c>
      <c r="K1991" s="10" t="str">
        <f aca="false">IF(OR(A1991="",E1991="",H1991=""),"",ROUND(0.00617*E1991^2*H1991*J1991,2))</f>
        <v/>
      </c>
      <c r="L1991" s="9"/>
      <c r="M1991" s="10" t="str">
        <f aca="false">IF(A1991="","",IF((COUNTIF(Drain_Register!$A$5:$A$304,A1991)+COUNTIF(RW_Register!$A$5:$A$304,A1991)+COUNTIF(Embedded_Wall_Register!$A$5:$A$304,A1991)+COUNTIF(Manhole_Register!$A$5:$A$304,A1991)+COUNTIF(ERSS_Pit_Register!$A$5:$A$304,A1991)+COUNTIF(Linkway_Register!$A$5:$A$304,A1991)+COUNTIF(Other_Register!$A$5:$A$304,A1991))&gt;0,"OK","ID not in any register"))</f>
        <v/>
      </c>
    </row>
    <row r="1992" customFormat="false" ht="15" hidden="false" customHeight="false" outlineLevel="0" collapsed="false">
      <c r="A1992" s="9"/>
      <c r="B1992" s="9"/>
      <c r="C1992" s="9"/>
      <c r="D1992" s="9"/>
      <c r="E1992" s="9"/>
      <c r="F1992" s="9"/>
      <c r="G1992" s="9"/>
      <c r="H1992" s="9"/>
      <c r="I1992" s="9"/>
      <c r="J1992" s="10" t="str">
        <f aca="false">IF(A1992="","",IF(G1992&lt;&gt;"",G1992,IF(N(F1992)&gt;0,ROUND(1000/F1992,3),0)))</f>
        <v/>
      </c>
      <c r="K1992" s="10" t="str">
        <f aca="false">IF(OR(A1992="",E1992="",H1992=""),"",ROUND(0.00617*E1992^2*H1992*J1992,2))</f>
        <v/>
      </c>
      <c r="L1992" s="9"/>
      <c r="M1992" s="10" t="str">
        <f aca="false">IF(A1992="","",IF((COUNTIF(Drain_Register!$A$5:$A$304,A1992)+COUNTIF(RW_Register!$A$5:$A$304,A1992)+COUNTIF(Embedded_Wall_Register!$A$5:$A$304,A1992)+COUNTIF(Manhole_Register!$A$5:$A$304,A1992)+COUNTIF(ERSS_Pit_Register!$A$5:$A$304,A1992)+COUNTIF(Linkway_Register!$A$5:$A$304,A1992)+COUNTIF(Other_Register!$A$5:$A$304,A1992))&gt;0,"OK","ID not in any register"))</f>
        <v/>
      </c>
    </row>
    <row r="1993" customFormat="false" ht="15" hidden="false" customHeight="false" outlineLevel="0" collapsed="false">
      <c r="A1993" s="9"/>
      <c r="B1993" s="9"/>
      <c r="C1993" s="9"/>
      <c r="D1993" s="9"/>
      <c r="E1993" s="9"/>
      <c r="F1993" s="9"/>
      <c r="G1993" s="9"/>
      <c r="H1993" s="9"/>
      <c r="I1993" s="9"/>
      <c r="J1993" s="10" t="str">
        <f aca="false">IF(A1993="","",IF(G1993&lt;&gt;"",G1993,IF(N(F1993)&gt;0,ROUND(1000/F1993,3),0)))</f>
        <v/>
      </c>
      <c r="K1993" s="10" t="str">
        <f aca="false">IF(OR(A1993="",E1993="",H1993=""),"",ROUND(0.00617*E1993^2*H1993*J1993,2))</f>
        <v/>
      </c>
      <c r="L1993" s="9"/>
      <c r="M1993" s="10" t="str">
        <f aca="false">IF(A1993="","",IF((COUNTIF(Drain_Register!$A$5:$A$304,A1993)+COUNTIF(RW_Register!$A$5:$A$304,A1993)+COUNTIF(Embedded_Wall_Register!$A$5:$A$304,A1993)+COUNTIF(Manhole_Register!$A$5:$A$304,A1993)+COUNTIF(ERSS_Pit_Register!$A$5:$A$304,A1993)+COUNTIF(Linkway_Register!$A$5:$A$304,A1993)+COUNTIF(Other_Register!$A$5:$A$304,A1993))&gt;0,"OK","ID not in any register"))</f>
        <v/>
      </c>
    </row>
    <row r="1994" customFormat="false" ht="15" hidden="false" customHeight="false" outlineLevel="0" collapsed="false">
      <c r="A1994" s="9"/>
      <c r="B1994" s="9"/>
      <c r="C1994" s="9"/>
      <c r="D1994" s="9"/>
      <c r="E1994" s="9"/>
      <c r="F1994" s="9"/>
      <c r="G1994" s="9"/>
      <c r="H1994" s="9"/>
      <c r="I1994" s="9"/>
      <c r="J1994" s="10" t="str">
        <f aca="false">IF(A1994="","",IF(G1994&lt;&gt;"",G1994,IF(N(F1994)&gt;0,ROUND(1000/F1994,3),0)))</f>
        <v/>
      </c>
      <c r="K1994" s="10" t="str">
        <f aca="false">IF(OR(A1994="",E1994="",H1994=""),"",ROUND(0.00617*E1994^2*H1994*J1994,2))</f>
        <v/>
      </c>
      <c r="L1994" s="9"/>
      <c r="M1994" s="10" t="str">
        <f aca="false">IF(A1994="","",IF((COUNTIF(Drain_Register!$A$5:$A$304,A1994)+COUNTIF(RW_Register!$A$5:$A$304,A1994)+COUNTIF(Embedded_Wall_Register!$A$5:$A$304,A1994)+COUNTIF(Manhole_Register!$A$5:$A$304,A1994)+COUNTIF(ERSS_Pit_Register!$A$5:$A$304,A1994)+COUNTIF(Linkway_Register!$A$5:$A$304,A1994)+COUNTIF(Other_Register!$A$5:$A$304,A1994))&gt;0,"OK","ID not in any register"))</f>
        <v/>
      </c>
    </row>
    <row r="1995" customFormat="false" ht="15" hidden="false" customHeight="false" outlineLevel="0" collapsed="false">
      <c r="A1995" s="9"/>
      <c r="B1995" s="9"/>
      <c r="C1995" s="9"/>
      <c r="D1995" s="9"/>
      <c r="E1995" s="9"/>
      <c r="F1995" s="9"/>
      <c r="G1995" s="9"/>
      <c r="H1995" s="9"/>
      <c r="I1995" s="9"/>
      <c r="J1995" s="10" t="str">
        <f aca="false">IF(A1995="","",IF(G1995&lt;&gt;"",G1995,IF(N(F1995)&gt;0,ROUND(1000/F1995,3),0)))</f>
        <v/>
      </c>
      <c r="K1995" s="10" t="str">
        <f aca="false">IF(OR(A1995="",E1995="",H1995=""),"",ROUND(0.00617*E1995^2*H1995*J1995,2))</f>
        <v/>
      </c>
      <c r="L1995" s="9"/>
      <c r="M1995" s="10" t="str">
        <f aca="false">IF(A1995="","",IF((COUNTIF(Drain_Register!$A$5:$A$304,A1995)+COUNTIF(RW_Register!$A$5:$A$304,A1995)+COUNTIF(Embedded_Wall_Register!$A$5:$A$304,A1995)+COUNTIF(Manhole_Register!$A$5:$A$304,A1995)+COUNTIF(ERSS_Pit_Register!$A$5:$A$304,A1995)+COUNTIF(Linkway_Register!$A$5:$A$304,A1995)+COUNTIF(Other_Register!$A$5:$A$304,A1995))&gt;0,"OK","ID not in any register"))</f>
        <v/>
      </c>
    </row>
    <row r="1996" customFormat="false" ht="15" hidden="false" customHeight="false" outlineLevel="0" collapsed="false">
      <c r="A1996" s="9"/>
      <c r="B1996" s="9"/>
      <c r="C1996" s="9"/>
      <c r="D1996" s="9"/>
      <c r="E1996" s="9"/>
      <c r="F1996" s="9"/>
      <c r="G1996" s="9"/>
      <c r="H1996" s="9"/>
      <c r="I1996" s="9"/>
      <c r="J1996" s="10" t="str">
        <f aca="false">IF(A1996="","",IF(G1996&lt;&gt;"",G1996,IF(N(F1996)&gt;0,ROUND(1000/F1996,3),0)))</f>
        <v/>
      </c>
      <c r="K1996" s="10" t="str">
        <f aca="false">IF(OR(A1996="",E1996="",H1996=""),"",ROUND(0.00617*E1996^2*H1996*J1996,2))</f>
        <v/>
      </c>
      <c r="L1996" s="9"/>
      <c r="M1996" s="10" t="str">
        <f aca="false">IF(A1996="","",IF((COUNTIF(Drain_Register!$A$5:$A$304,A1996)+COUNTIF(RW_Register!$A$5:$A$304,A1996)+COUNTIF(Embedded_Wall_Register!$A$5:$A$304,A1996)+COUNTIF(Manhole_Register!$A$5:$A$304,A1996)+COUNTIF(ERSS_Pit_Register!$A$5:$A$304,A1996)+COUNTIF(Linkway_Register!$A$5:$A$304,A1996)+COUNTIF(Other_Register!$A$5:$A$304,A1996))&gt;0,"OK","ID not in any register"))</f>
        <v/>
      </c>
    </row>
    <row r="1997" customFormat="false" ht="15" hidden="false" customHeight="false" outlineLevel="0" collapsed="false">
      <c r="A1997" s="9"/>
      <c r="B1997" s="9"/>
      <c r="C1997" s="9"/>
      <c r="D1997" s="9"/>
      <c r="E1997" s="9"/>
      <c r="F1997" s="9"/>
      <c r="G1997" s="9"/>
      <c r="H1997" s="9"/>
      <c r="I1997" s="9"/>
      <c r="J1997" s="10" t="str">
        <f aca="false">IF(A1997="","",IF(G1997&lt;&gt;"",G1997,IF(N(F1997)&gt;0,ROUND(1000/F1997,3),0)))</f>
        <v/>
      </c>
      <c r="K1997" s="10" t="str">
        <f aca="false">IF(OR(A1997="",E1997="",H1997=""),"",ROUND(0.00617*E1997^2*H1997*J1997,2))</f>
        <v/>
      </c>
      <c r="L1997" s="9"/>
      <c r="M1997" s="10" t="str">
        <f aca="false">IF(A1997="","",IF((COUNTIF(Drain_Register!$A$5:$A$304,A1997)+COUNTIF(RW_Register!$A$5:$A$304,A1997)+COUNTIF(Embedded_Wall_Register!$A$5:$A$304,A1997)+COUNTIF(Manhole_Register!$A$5:$A$304,A1997)+COUNTIF(ERSS_Pit_Register!$A$5:$A$304,A1997)+COUNTIF(Linkway_Register!$A$5:$A$304,A1997)+COUNTIF(Other_Register!$A$5:$A$304,A1997))&gt;0,"OK","ID not in any register"))</f>
        <v/>
      </c>
    </row>
    <row r="1998" customFormat="false" ht="15" hidden="false" customHeight="false" outlineLevel="0" collapsed="false">
      <c r="A1998" s="9"/>
      <c r="B1998" s="9"/>
      <c r="C1998" s="9"/>
      <c r="D1998" s="9"/>
      <c r="E1998" s="9"/>
      <c r="F1998" s="9"/>
      <c r="G1998" s="9"/>
      <c r="H1998" s="9"/>
      <c r="I1998" s="9"/>
      <c r="J1998" s="10" t="str">
        <f aca="false">IF(A1998="","",IF(G1998&lt;&gt;"",G1998,IF(N(F1998)&gt;0,ROUND(1000/F1998,3),0)))</f>
        <v/>
      </c>
      <c r="K1998" s="10" t="str">
        <f aca="false">IF(OR(A1998="",E1998="",H1998=""),"",ROUND(0.00617*E1998^2*H1998*J1998,2))</f>
        <v/>
      </c>
      <c r="L1998" s="9"/>
      <c r="M1998" s="10" t="str">
        <f aca="false">IF(A1998="","",IF((COUNTIF(Drain_Register!$A$5:$A$304,A1998)+COUNTIF(RW_Register!$A$5:$A$304,A1998)+COUNTIF(Embedded_Wall_Register!$A$5:$A$304,A1998)+COUNTIF(Manhole_Register!$A$5:$A$304,A1998)+COUNTIF(ERSS_Pit_Register!$A$5:$A$304,A1998)+COUNTIF(Linkway_Register!$A$5:$A$304,A1998)+COUNTIF(Other_Register!$A$5:$A$304,A1998))&gt;0,"OK","ID not in any register"))</f>
        <v/>
      </c>
    </row>
    <row r="1999" customFormat="false" ht="15" hidden="false" customHeight="false" outlineLevel="0" collapsed="false">
      <c r="A1999" s="9"/>
      <c r="B1999" s="9"/>
      <c r="C1999" s="9"/>
      <c r="D1999" s="9"/>
      <c r="E1999" s="9"/>
      <c r="F1999" s="9"/>
      <c r="G1999" s="9"/>
      <c r="H1999" s="9"/>
      <c r="I1999" s="9"/>
      <c r="J1999" s="10" t="str">
        <f aca="false">IF(A1999="","",IF(G1999&lt;&gt;"",G1999,IF(N(F1999)&gt;0,ROUND(1000/F1999,3),0)))</f>
        <v/>
      </c>
      <c r="K1999" s="10" t="str">
        <f aca="false">IF(OR(A1999="",E1999="",H1999=""),"",ROUND(0.00617*E1999^2*H1999*J1999,2))</f>
        <v/>
      </c>
      <c r="L1999" s="9"/>
      <c r="M1999" s="10" t="str">
        <f aca="false">IF(A1999="","",IF((COUNTIF(Drain_Register!$A$5:$A$304,A1999)+COUNTIF(RW_Register!$A$5:$A$304,A1999)+COUNTIF(Embedded_Wall_Register!$A$5:$A$304,A1999)+COUNTIF(Manhole_Register!$A$5:$A$304,A1999)+COUNTIF(ERSS_Pit_Register!$A$5:$A$304,A1999)+COUNTIF(Linkway_Register!$A$5:$A$304,A1999)+COUNTIF(Other_Register!$A$5:$A$304,A1999))&gt;0,"OK","ID not in any register"))</f>
        <v/>
      </c>
    </row>
    <row r="2000" customFormat="false" ht="15" hidden="false" customHeight="false" outlineLevel="0" collapsed="false">
      <c r="A2000" s="9"/>
      <c r="B2000" s="9"/>
      <c r="C2000" s="9"/>
      <c r="D2000" s="9"/>
      <c r="E2000" s="9"/>
      <c r="F2000" s="9"/>
      <c r="G2000" s="9"/>
      <c r="H2000" s="9"/>
      <c r="I2000" s="9"/>
      <c r="J2000" s="10" t="str">
        <f aca="false">IF(A2000="","",IF(G2000&lt;&gt;"",G2000,IF(N(F2000)&gt;0,ROUND(1000/F2000,3),0)))</f>
        <v/>
      </c>
      <c r="K2000" s="10" t="str">
        <f aca="false">IF(OR(A2000="",E2000="",H2000=""),"",ROUND(0.00617*E2000^2*H2000*J2000,2))</f>
        <v/>
      </c>
      <c r="L2000" s="9"/>
      <c r="M2000" s="10" t="str">
        <f aca="false">IF(A2000="","",IF((COUNTIF(Drain_Register!$A$5:$A$304,A2000)+COUNTIF(RW_Register!$A$5:$A$304,A2000)+COUNTIF(Embedded_Wall_Register!$A$5:$A$304,A2000)+COUNTIF(Manhole_Register!$A$5:$A$304,A2000)+COUNTIF(ERSS_Pit_Register!$A$5:$A$304,A2000)+COUNTIF(Linkway_Register!$A$5:$A$304,A2000)+COUNTIF(Other_Register!$A$5:$A$304,A2000))&gt;0,"OK","ID not in any register"))</f>
        <v/>
      </c>
    </row>
    <row r="2001" customFormat="false" ht="15" hidden="false" customHeight="false" outlineLevel="0" collapsed="false">
      <c r="A2001" s="9"/>
      <c r="B2001" s="9"/>
      <c r="C2001" s="9"/>
      <c r="D2001" s="9"/>
      <c r="E2001" s="9"/>
      <c r="F2001" s="9"/>
      <c r="G2001" s="9"/>
      <c r="H2001" s="9"/>
      <c r="I2001" s="9"/>
      <c r="J2001" s="10" t="str">
        <f aca="false">IF(A2001="","",IF(G2001&lt;&gt;"",G2001,IF(N(F2001)&gt;0,ROUND(1000/F2001,3),0)))</f>
        <v/>
      </c>
      <c r="K2001" s="10" t="str">
        <f aca="false">IF(OR(A2001="",E2001="",H2001=""),"",ROUND(0.00617*E2001^2*H2001*J2001,2))</f>
        <v/>
      </c>
      <c r="L2001" s="9"/>
      <c r="M2001" s="10" t="str">
        <f aca="false">IF(A2001="","",IF((COUNTIF(Drain_Register!$A$5:$A$304,A2001)+COUNTIF(RW_Register!$A$5:$A$304,A2001)+COUNTIF(Embedded_Wall_Register!$A$5:$A$304,A2001)+COUNTIF(Manhole_Register!$A$5:$A$304,A2001)+COUNTIF(ERSS_Pit_Register!$A$5:$A$304,A2001)+COUNTIF(Linkway_Register!$A$5:$A$304,A2001)+COUNTIF(Other_Register!$A$5:$A$304,A2001))&gt;0,"OK","ID not in any register"))</f>
        <v/>
      </c>
    </row>
    <row r="2002" customFormat="false" ht="15" hidden="false" customHeight="false" outlineLevel="0" collapsed="false">
      <c r="A2002" s="9"/>
      <c r="B2002" s="9"/>
      <c r="C2002" s="9"/>
      <c r="D2002" s="9"/>
      <c r="E2002" s="9"/>
      <c r="F2002" s="9"/>
      <c r="G2002" s="9"/>
      <c r="H2002" s="9"/>
      <c r="I2002" s="9"/>
      <c r="J2002" s="10" t="str">
        <f aca="false">IF(A2002="","",IF(G2002&lt;&gt;"",G2002,IF(N(F2002)&gt;0,ROUND(1000/F2002,3),0)))</f>
        <v/>
      </c>
      <c r="K2002" s="10" t="str">
        <f aca="false">IF(OR(A2002="",E2002="",H2002=""),"",ROUND(0.00617*E2002^2*H2002*J2002,2))</f>
        <v/>
      </c>
      <c r="L2002" s="9"/>
      <c r="M2002" s="10" t="str">
        <f aca="false">IF(A2002="","",IF((COUNTIF(Drain_Register!$A$5:$A$304,A2002)+COUNTIF(RW_Register!$A$5:$A$304,A2002)+COUNTIF(Embedded_Wall_Register!$A$5:$A$304,A2002)+COUNTIF(Manhole_Register!$A$5:$A$304,A2002)+COUNTIF(ERSS_Pit_Register!$A$5:$A$304,A2002)+COUNTIF(Linkway_Register!$A$5:$A$304,A2002)+COUNTIF(Other_Register!$A$5:$A$304,A2002))&gt;0,"OK","ID not in any register"))</f>
        <v/>
      </c>
    </row>
    <row r="2003" customFormat="false" ht="15" hidden="false" customHeight="false" outlineLevel="0" collapsed="false">
      <c r="A2003" s="9"/>
      <c r="B2003" s="9"/>
      <c r="C2003" s="9"/>
      <c r="D2003" s="9"/>
      <c r="E2003" s="9"/>
      <c r="F2003" s="9"/>
      <c r="G2003" s="9"/>
      <c r="H2003" s="9"/>
      <c r="I2003" s="9"/>
      <c r="J2003" s="10" t="str">
        <f aca="false">IF(A2003="","",IF(G2003&lt;&gt;"",G2003,IF(N(F2003)&gt;0,ROUND(1000/F2003,3),0)))</f>
        <v/>
      </c>
      <c r="K2003" s="10" t="str">
        <f aca="false">IF(OR(A2003="",E2003="",H2003=""),"",ROUND(0.00617*E2003^2*H2003*J2003,2))</f>
        <v/>
      </c>
      <c r="L2003" s="9"/>
      <c r="M2003" s="10" t="str">
        <f aca="false">IF(A2003="","",IF((COUNTIF(Drain_Register!$A$5:$A$304,A2003)+COUNTIF(RW_Register!$A$5:$A$304,A2003)+COUNTIF(Embedded_Wall_Register!$A$5:$A$304,A2003)+COUNTIF(Manhole_Register!$A$5:$A$304,A2003)+COUNTIF(ERSS_Pit_Register!$A$5:$A$304,A2003)+COUNTIF(Linkway_Register!$A$5:$A$304,A2003)+COUNTIF(Other_Register!$A$5:$A$304,A2003))&gt;0,"OK","ID not in any register"))</f>
        <v/>
      </c>
    </row>
    <row r="2004" customFormat="false" ht="15" hidden="false" customHeight="false" outlineLevel="0" collapsed="false">
      <c r="A2004" s="9"/>
      <c r="B2004" s="9"/>
      <c r="C2004" s="9"/>
      <c r="D2004" s="9"/>
      <c r="E2004" s="9"/>
      <c r="F2004" s="9"/>
      <c r="G2004" s="9"/>
      <c r="H2004" s="9"/>
      <c r="I2004" s="9"/>
      <c r="J2004" s="10" t="str">
        <f aca="false">IF(A2004="","",IF(G2004&lt;&gt;"",G2004,IF(N(F2004)&gt;0,ROUND(1000/F2004,3),0)))</f>
        <v/>
      </c>
      <c r="K2004" s="10" t="str">
        <f aca="false">IF(OR(A2004="",E2004="",H2004=""),"",ROUND(0.00617*E2004^2*H2004*J2004,2))</f>
        <v/>
      </c>
      <c r="L2004" s="9"/>
      <c r="M2004" s="10" t="str">
        <f aca="false">IF(A2004="","",IF((COUNTIF(Drain_Register!$A$5:$A$304,A2004)+COUNTIF(RW_Register!$A$5:$A$304,A2004)+COUNTIF(Embedded_Wall_Register!$A$5:$A$304,A2004)+COUNTIF(Manhole_Register!$A$5:$A$304,A2004)+COUNTIF(ERSS_Pit_Register!$A$5:$A$304,A2004)+COUNTIF(Linkway_Register!$A$5:$A$304,A2004)+COUNTIF(Other_Register!$A$5:$A$304,A2004))&gt;0,"OK","ID not in any register"))</f>
        <v/>
      </c>
    </row>
  </sheetData>
  <dataValidations count="2">
    <dataValidation allowBlank="true" error="Pick a value from the list (add new values on the Lists sheet)." errorStyle="stop" errorTitle="Not in list" operator="between" showDropDown="false" showErrorMessage="false" showInputMessage="false" sqref="C5:C2004" type="list">
      <formula1>Lists!$CM$4:$CM$30</formula1>
      <formula2>0</formula2>
    </dataValidation>
    <dataValidation allowBlank="true" error="Pick a value from the list (add new values on the Lists sheet)." errorStyle="stop" errorTitle="Not in list" operator="between" showDropDown="false" showErrorMessage="false" showInputMessage="false" sqref="D5:D2004" type="list">
      <formula1>Lists!$CP$4:$CP$17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I5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34"/>
    <col collapsed="false" customWidth="true" hidden="false" outlineLevel="0" max="3" min="3" style="0" width="5"/>
    <col collapsed="false" customWidth="true" hidden="false" outlineLevel="0" max="4" min="4" style="0" width="11"/>
    <col collapsed="false" customWidth="true" hidden="false" outlineLevel="0" max="5" min="5" style="0" width="50"/>
    <col collapsed="false" customWidth="true" hidden="false" outlineLevel="0" max="6" min="6" style="0" width="26"/>
    <col collapsed="false" customWidth="true" hidden="false" outlineLevel="0" max="8" min="7" style="0" width="12"/>
    <col collapsed="false" customWidth="true" hidden="false" outlineLevel="0" max="9" min="9" style="0" width="14"/>
  </cols>
  <sheetData>
    <row r="1" customFormat="false" ht="17.35" hidden="false" customHeight="false" outlineLevel="0" collapsed="false">
      <c r="A1" s="5" t="s">
        <v>952</v>
      </c>
    </row>
    <row r="2" customFormat="false" ht="15" hidden="false" customHeight="false" outlineLevel="0" collapsed="false">
      <c r="A2" s="6" t="s">
        <v>953</v>
      </c>
    </row>
    <row r="4" customFormat="false" ht="22.35" hidden="false" customHeight="false" outlineLevel="0" collapsed="false">
      <c r="A4" s="15" t="s">
        <v>563</v>
      </c>
      <c r="B4" s="15" t="s">
        <v>565</v>
      </c>
      <c r="C4" s="15" t="s">
        <v>131</v>
      </c>
      <c r="D4" s="15" t="s">
        <v>566</v>
      </c>
      <c r="E4" s="15" t="s">
        <v>567</v>
      </c>
      <c r="F4" s="15" t="s">
        <v>568</v>
      </c>
      <c r="G4" s="15" t="s">
        <v>569</v>
      </c>
      <c r="H4" s="15" t="s">
        <v>570</v>
      </c>
      <c r="I4" s="15" t="s">
        <v>395</v>
      </c>
    </row>
    <row r="5" customFormat="false" ht="15" hidden="false" customHeight="false" outlineLevel="0" collapsed="false">
      <c r="A5" s="18" t="s">
        <v>146</v>
      </c>
      <c r="B5" s="18"/>
      <c r="C5" s="18" t="s">
        <v>612</v>
      </c>
      <c r="D5" s="35" t="n">
        <v>46309</v>
      </c>
      <c r="E5" s="18" t="s">
        <v>954</v>
      </c>
      <c r="F5" s="18" t="s">
        <v>955</v>
      </c>
      <c r="G5" s="18" t="s">
        <v>617</v>
      </c>
      <c r="H5" s="18" t="s">
        <v>617</v>
      </c>
      <c r="I5" s="18" t="s">
        <v>617</v>
      </c>
    </row>
    <row r="6" customFormat="false" ht="15" hidden="false" customHeight="false" outlineLevel="0" collapsed="false">
      <c r="A6" s="18" t="s">
        <v>142</v>
      </c>
      <c r="B6" s="18"/>
      <c r="C6" s="18" t="s">
        <v>612</v>
      </c>
      <c r="D6" s="35" t="n">
        <v>46309</v>
      </c>
      <c r="E6" s="18" t="s">
        <v>956</v>
      </c>
      <c r="F6" s="18" t="s">
        <v>955</v>
      </c>
      <c r="G6" s="18" t="s">
        <v>617</v>
      </c>
      <c r="H6" s="18" t="s">
        <v>617</v>
      </c>
      <c r="I6" s="18" t="s">
        <v>617</v>
      </c>
    </row>
    <row r="7" customFormat="false" ht="15" hidden="false" customHeight="false" outlineLevel="0" collapsed="false">
      <c r="A7" s="9"/>
      <c r="B7" s="9"/>
      <c r="C7" s="9"/>
      <c r="D7" s="40"/>
      <c r="E7" s="9"/>
      <c r="F7" s="9"/>
      <c r="G7" s="9"/>
      <c r="H7" s="9"/>
      <c r="I7" s="9"/>
    </row>
    <row r="8" customFormat="false" ht="15" hidden="false" customHeight="false" outlineLevel="0" collapsed="false">
      <c r="A8" s="9"/>
      <c r="B8" s="9"/>
      <c r="C8" s="9"/>
      <c r="D8" s="40"/>
      <c r="E8" s="9"/>
      <c r="F8" s="9"/>
      <c r="G8" s="9"/>
      <c r="H8" s="9"/>
      <c r="I8" s="9"/>
    </row>
    <row r="9" customFormat="false" ht="15" hidden="false" customHeight="false" outlineLevel="0" collapsed="false">
      <c r="A9" s="9"/>
      <c r="B9" s="9"/>
      <c r="C9" s="9"/>
      <c r="D9" s="40"/>
      <c r="E9" s="9"/>
      <c r="F9" s="9"/>
      <c r="G9" s="9"/>
      <c r="H9" s="9"/>
      <c r="I9" s="9"/>
    </row>
    <row r="10" customFormat="false" ht="15" hidden="false" customHeight="false" outlineLevel="0" collapsed="false">
      <c r="A10" s="9"/>
      <c r="B10" s="9"/>
      <c r="C10" s="9"/>
      <c r="D10" s="40"/>
      <c r="E10" s="9"/>
      <c r="F10" s="9"/>
      <c r="G10" s="9"/>
      <c r="H10" s="9"/>
      <c r="I10" s="9"/>
    </row>
    <row r="11" customFormat="false" ht="15" hidden="false" customHeight="false" outlineLevel="0" collapsed="false">
      <c r="A11" s="9"/>
      <c r="B11" s="9"/>
      <c r="C11" s="9"/>
      <c r="D11" s="40"/>
      <c r="E11" s="9"/>
      <c r="F11" s="9"/>
      <c r="G11" s="9"/>
      <c r="H11" s="9"/>
      <c r="I11" s="9"/>
    </row>
    <row r="12" customFormat="false" ht="15" hidden="false" customHeight="false" outlineLevel="0" collapsed="false">
      <c r="A12" s="9"/>
      <c r="B12" s="9"/>
      <c r="C12" s="9"/>
      <c r="D12" s="40"/>
      <c r="E12" s="9"/>
      <c r="F12" s="9"/>
      <c r="G12" s="9"/>
      <c r="H12" s="9"/>
      <c r="I12" s="9"/>
    </row>
    <row r="13" customFormat="false" ht="15" hidden="false" customHeight="false" outlineLevel="0" collapsed="false">
      <c r="A13" s="9"/>
      <c r="B13" s="9"/>
      <c r="C13" s="9"/>
      <c r="D13" s="40"/>
      <c r="E13" s="9"/>
      <c r="F13" s="9"/>
      <c r="G13" s="9"/>
      <c r="H13" s="9"/>
      <c r="I13" s="9"/>
    </row>
    <row r="14" customFormat="false" ht="15" hidden="false" customHeight="false" outlineLevel="0" collapsed="false">
      <c r="A14" s="9"/>
      <c r="B14" s="9"/>
      <c r="C14" s="9"/>
      <c r="D14" s="40"/>
      <c r="E14" s="9"/>
      <c r="F14" s="9"/>
      <c r="G14" s="9"/>
      <c r="H14" s="9"/>
      <c r="I14" s="9"/>
    </row>
    <row r="15" customFormat="false" ht="15" hidden="false" customHeight="false" outlineLevel="0" collapsed="false">
      <c r="A15" s="9"/>
      <c r="B15" s="9"/>
      <c r="C15" s="9"/>
      <c r="D15" s="40"/>
      <c r="E15" s="9"/>
      <c r="F15" s="9"/>
      <c r="G15" s="9"/>
      <c r="H15" s="9"/>
      <c r="I15" s="9"/>
    </row>
    <row r="16" customFormat="false" ht="15" hidden="false" customHeight="false" outlineLevel="0" collapsed="false">
      <c r="A16" s="9"/>
      <c r="B16" s="9"/>
      <c r="C16" s="9"/>
      <c r="D16" s="40"/>
      <c r="E16" s="9"/>
      <c r="F16" s="9"/>
      <c r="G16" s="9"/>
      <c r="H16" s="9"/>
      <c r="I16" s="9"/>
    </row>
    <row r="17" customFormat="false" ht="15" hidden="false" customHeight="false" outlineLevel="0" collapsed="false">
      <c r="A17" s="9"/>
      <c r="B17" s="9"/>
      <c r="C17" s="9"/>
      <c r="D17" s="40"/>
      <c r="E17" s="9"/>
      <c r="F17" s="9"/>
      <c r="G17" s="9"/>
      <c r="H17" s="9"/>
      <c r="I17" s="9"/>
    </row>
    <row r="18" customFormat="false" ht="15" hidden="false" customHeight="false" outlineLevel="0" collapsed="false">
      <c r="A18" s="9"/>
      <c r="B18" s="9"/>
      <c r="C18" s="9"/>
      <c r="D18" s="40"/>
      <c r="E18" s="9"/>
      <c r="F18" s="9"/>
      <c r="G18" s="9"/>
      <c r="H18" s="9"/>
      <c r="I18" s="9"/>
    </row>
    <row r="19" customFormat="false" ht="15" hidden="false" customHeight="false" outlineLevel="0" collapsed="false">
      <c r="A19" s="9"/>
      <c r="B19" s="9"/>
      <c r="C19" s="9"/>
      <c r="D19" s="40"/>
      <c r="E19" s="9"/>
      <c r="F19" s="9"/>
      <c r="G19" s="9"/>
      <c r="H19" s="9"/>
      <c r="I19" s="9"/>
    </row>
    <row r="20" customFormat="false" ht="15" hidden="false" customHeight="false" outlineLevel="0" collapsed="false">
      <c r="A20" s="9"/>
      <c r="B20" s="9"/>
      <c r="C20" s="9"/>
      <c r="D20" s="40"/>
      <c r="E20" s="9"/>
      <c r="F20" s="9"/>
      <c r="G20" s="9"/>
      <c r="H20" s="9"/>
      <c r="I20" s="9"/>
    </row>
    <row r="21" customFormat="false" ht="15" hidden="false" customHeight="false" outlineLevel="0" collapsed="false">
      <c r="A21" s="9"/>
      <c r="B21" s="9"/>
      <c r="C21" s="9"/>
      <c r="D21" s="40"/>
      <c r="E21" s="9"/>
      <c r="F21" s="9"/>
      <c r="G21" s="9"/>
      <c r="H21" s="9"/>
      <c r="I21" s="9"/>
    </row>
    <row r="22" customFormat="false" ht="15" hidden="false" customHeight="false" outlineLevel="0" collapsed="false">
      <c r="A22" s="9"/>
      <c r="B22" s="9"/>
      <c r="C22" s="9"/>
      <c r="D22" s="40"/>
      <c r="E22" s="9"/>
      <c r="F22" s="9"/>
      <c r="G22" s="9"/>
      <c r="H22" s="9"/>
      <c r="I22" s="9"/>
    </row>
    <row r="23" customFormat="false" ht="15" hidden="false" customHeight="false" outlineLevel="0" collapsed="false">
      <c r="A23" s="9"/>
      <c r="B23" s="9"/>
      <c r="C23" s="9"/>
      <c r="D23" s="40"/>
      <c r="E23" s="9"/>
      <c r="F23" s="9"/>
      <c r="G23" s="9"/>
      <c r="H23" s="9"/>
      <c r="I23" s="9"/>
    </row>
    <row r="24" customFormat="false" ht="15" hidden="false" customHeight="false" outlineLevel="0" collapsed="false">
      <c r="A24" s="9"/>
      <c r="B24" s="9"/>
      <c r="C24" s="9"/>
      <c r="D24" s="40"/>
      <c r="E24" s="9"/>
      <c r="F24" s="9"/>
      <c r="G24" s="9"/>
      <c r="H24" s="9"/>
      <c r="I24" s="9"/>
    </row>
    <row r="25" customFormat="false" ht="15" hidden="false" customHeight="false" outlineLevel="0" collapsed="false">
      <c r="A25" s="9"/>
      <c r="B25" s="9"/>
      <c r="C25" s="9"/>
      <c r="D25" s="40"/>
      <c r="E25" s="9"/>
      <c r="F25" s="9"/>
      <c r="G25" s="9"/>
      <c r="H25" s="9"/>
      <c r="I25" s="9"/>
    </row>
    <row r="26" customFormat="false" ht="15" hidden="false" customHeight="false" outlineLevel="0" collapsed="false">
      <c r="A26" s="9"/>
      <c r="B26" s="9"/>
      <c r="C26" s="9"/>
      <c r="D26" s="40"/>
      <c r="E26" s="9"/>
      <c r="F26" s="9"/>
      <c r="G26" s="9"/>
      <c r="H26" s="9"/>
      <c r="I26" s="9"/>
    </row>
    <row r="27" customFormat="false" ht="15" hidden="false" customHeight="false" outlineLevel="0" collapsed="false">
      <c r="A27" s="9"/>
      <c r="B27" s="9"/>
      <c r="C27" s="9"/>
      <c r="D27" s="40"/>
      <c r="E27" s="9"/>
      <c r="F27" s="9"/>
      <c r="G27" s="9"/>
      <c r="H27" s="9"/>
      <c r="I27" s="9"/>
    </row>
    <row r="28" customFormat="false" ht="15" hidden="false" customHeight="false" outlineLevel="0" collapsed="false">
      <c r="A28" s="9"/>
      <c r="B28" s="9"/>
      <c r="C28" s="9"/>
      <c r="D28" s="40"/>
      <c r="E28" s="9"/>
      <c r="F28" s="9"/>
      <c r="G28" s="9"/>
      <c r="H28" s="9"/>
      <c r="I28" s="9"/>
    </row>
    <row r="29" customFormat="false" ht="15" hidden="false" customHeight="false" outlineLevel="0" collapsed="false">
      <c r="A29" s="9"/>
      <c r="B29" s="9"/>
      <c r="C29" s="9"/>
      <c r="D29" s="40"/>
      <c r="E29" s="9"/>
      <c r="F29" s="9"/>
      <c r="G29" s="9"/>
      <c r="H29" s="9"/>
      <c r="I29" s="9"/>
    </row>
    <row r="30" customFormat="false" ht="15" hidden="false" customHeight="false" outlineLevel="0" collapsed="false">
      <c r="A30" s="9"/>
      <c r="B30" s="9"/>
      <c r="C30" s="9"/>
      <c r="D30" s="40"/>
      <c r="E30" s="9"/>
      <c r="F30" s="9"/>
      <c r="G30" s="9"/>
      <c r="H30" s="9"/>
      <c r="I30" s="9"/>
    </row>
    <row r="31" customFormat="false" ht="15" hidden="false" customHeight="false" outlineLevel="0" collapsed="false">
      <c r="A31" s="9"/>
      <c r="B31" s="9"/>
      <c r="C31" s="9"/>
      <c r="D31" s="40"/>
      <c r="E31" s="9"/>
      <c r="F31" s="9"/>
      <c r="G31" s="9"/>
      <c r="H31" s="9"/>
      <c r="I31" s="9"/>
    </row>
    <row r="32" customFormat="false" ht="15" hidden="false" customHeight="false" outlineLevel="0" collapsed="false">
      <c r="A32" s="9"/>
      <c r="B32" s="9"/>
      <c r="C32" s="9"/>
      <c r="D32" s="40"/>
      <c r="E32" s="9"/>
      <c r="F32" s="9"/>
      <c r="G32" s="9"/>
      <c r="H32" s="9"/>
      <c r="I32" s="9"/>
    </row>
    <row r="33" customFormat="false" ht="15" hidden="false" customHeight="false" outlineLevel="0" collapsed="false">
      <c r="A33" s="9"/>
      <c r="B33" s="9"/>
      <c r="C33" s="9"/>
      <c r="D33" s="40"/>
      <c r="E33" s="9"/>
      <c r="F33" s="9"/>
      <c r="G33" s="9"/>
      <c r="H33" s="9"/>
      <c r="I33" s="9"/>
    </row>
    <row r="34" customFormat="false" ht="15" hidden="false" customHeight="false" outlineLevel="0" collapsed="false">
      <c r="A34" s="9"/>
      <c r="B34" s="9"/>
      <c r="C34" s="9"/>
      <c r="D34" s="40"/>
      <c r="E34" s="9"/>
      <c r="F34" s="9"/>
      <c r="G34" s="9"/>
      <c r="H34" s="9"/>
      <c r="I34" s="9"/>
    </row>
    <row r="35" customFormat="false" ht="15" hidden="false" customHeight="false" outlineLevel="0" collapsed="false">
      <c r="A35" s="9"/>
      <c r="B35" s="9"/>
      <c r="C35" s="9"/>
      <c r="D35" s="40"/>
      <c r="E35" s="9"/>
      <c r="F35" s="9"/>
      <c r="G35" s="9"/>
      <c r="H35" s="9"/>
      <c r="I35" s="9"/>
    </row>
    <row r="36" customFormat="false" ht="15" hidden="false" customHeight="false" outlineLevel="0" collapsed="false">
      <c r="A36" s="9"/>
      <c r="B36" s="9"/>
      <c r="C36" s="9"/>
      <c r="D36" s="40"/>
      <c r="E36" s="9"/>
      <c r="F36" s="9"/>
      <c r="G36" s="9"/>
      <c r="H36" s="9"/>
      <c r="I36" s="9"/>
    </row>
    <row r="37" customFormat="false" ht="15" hidden="false" customHeight="false" outlineLevel="0" collapsed="false">
      <c r="A37" s="9"/>
      <c r="B37" s="9"/>
      <c r="C37" s="9"/>
      <c r="D37" s="40"/>
      <c r="E37" s="9"/>
      <c r="F37" s="9"/>
      <c r="G37" s="9"/>
      <c r="H37" s="9"/>
      <c r="I37" s="9"/>
    </row>
    <row r="38" customFormat="false" ht="15" hidden="false" customHeight="false" outlineLevel="0" collapsed="false">
      <c r="A38" s="9"/>
      <c r="B38" s="9"/>
      <c r="C38" s="9"/>
      <c r="D38" s="40"/>
      <c r="E38" s="9"/>
      <c r="F38" s="9"/>
      <c r="G38" s="9"/>
      <c r="H38" s="9"/>
      <c r="I38" s="9"/>
    </row>
    <row r="39" customFormat="false" ht="15" hidden="false" customHeight="false" outlineLevel="0" collapsed="false">
      <c r="A39" s="9"/>
      <c r="B39" s="9"/>
      <c r="C39" s="9"/>
      <c r="D39" s="40"/>
      <c r="E39" s="9"/>
      <c r="F39" s="9"/>
      <c r="G39" s="9"/>
      <c r="H39" s="9"/>
      <c r="I39" s="9"/>
    </row>
    <row r="40" customFormat="false" ht="15" hidden="false" customHeight="false" outlineLevel="0" collapsed="false">
      <c r="A40" s="9"/>
      <c r="B40" s="9"/>
      <c r="C40" s="9"/>
      <c r="D40" s="40"/>
      <c r="E40" s="9"/>
      <c r="F40" s="9"/>
      <c r="G40" s="9"/>
      <c r="H40" s="9"/>
      <c r="I40" s="9"/>
    </row>
    <row r="41" customFormat="false" ht="15" hidden="false" customHeight="false" outlineLevel="0" collapsed="false">
      <c r="A41" s="9"/>
      <c r="B41" s="9"/>
      <c r="C41" s="9"/>
      <c r="D41" s="40"/>
      <c r="E41" s="9"/>
      <c r="F41" s="9"/>
      <c r="G41" s="9"/>
      <c r="H41" s="9"/>
      <c r="I41" s="9"/>
    </row>
    <row r="42" customFormat="false" ht="15" hidden="false" customHeight="false" outlineLevel="0" collapsed="false">
      <c r="A42" s="9"/>
      <c r="B42" s="9"/>
      <c r="C42" s="9"/>
      <c r="D42" s="40"/>
      <c r="E42" s="9"/>
      <c r="F42" s="9"/>
      <c r="G42" s="9"/>
      <c r="H42" s="9"/>
      <c r="I42" s="9"/>
    </row>
    <row r="43" customFormat="false" ht="15" hidden="false" customHeight="false" outlineLevel="0" collapsed="false">
      <c r="A43" s="9"/>
      <c r="B43" s="9"/>
      <c r="C43" s="9"/>
      <c r="D43" s="40"/>
      <c r="E43" s="9"/>
      <c r="F43" s="9"/>
      <c r="G43" s="9"/>
      <c r="H43" s="9"/>
      <c r="I43" s="9"/>
    </row>
    <row r="44" customFormat="false" ht="15" hidden="false" customHeight="false" outlineLevel="0" collapsed="false">
      <c r="A44" s="9"/>
      <c r="B44" s="9"/>
      <c r="C44" s="9"/>
      <c r="D44" s="40"/>
      <c r="E44" s="9"/>
      <c r="F44" s="9"/>
      <c r="G44" s="9"/>
      <c r="H44" s="9"/>
      <c r="I44" s="9"/>
    </row>
    <row r="45" customFormat="false" ht="15" hidden="false" customHeight="false" outlineLevel="0" collapsed="false">
      <c r="A45" s="9"/>
      <c r="B45" s="9"/>
      <c r="C45" s="9"/>
      <c r="D45" s="40"/>
      <c r="E45" s="9"/>
      <c r="F45" s="9"/>
      <c r="G45" s="9"/>
      <c r="H45" s="9"/>
      <c r="I45" s="9"/>
    </row>
    <row r="46" customFormat="false" ht="15" hidden="false" customHeight="false" outlineLevel="0" collapsed="false">
      <c r="A46" s="9"/>
      <c r="B46" s="9"/>
      <c r="C46" s="9"/>
      <c r="D46" s="40"/>
      <c r="E46" s="9"/>
      <c r="F46" s="9"/>
      <c r="G46" s="9"/>
      <c r="H46" s="9"/>
      <c r="I46" s="9"/>
    </row>
    <row r="47" customFormat="false" ht="15" hidden="false" customHeight="false" outlineLevel="0" collapsed="false">
      <c r="A47" s="9"/>
      <c r="B47" s="9"/>
      <c r="C47" s="9"/>
      <c r="D47" s="40"/>
      <c r="E47" s="9"/>
      <c r="F47" s="9"/>
      <c r="G47" s="9"/>
      <c r="H47" s="9"/>
      <c r="I47" s="9"/>
    </row>
    <row r="48" customFormat="false" ht="15" hidden="false" customHeight="false" outlineLevel="0" collapsed="false">
      <c r="A48" s="9"/>
      <c r="B48" s="9"/>
      <c r="C48" s="9"/>
      <c r="D48" s="40"/>
      <c r="E48" s="9"/>
      <c r="F48" s="9"/>
      <c r="G48" s="9"/>
      <c r="H48" s="9"/>
      <c r="I48" s="9"/>
    </row>
    <row r="49" customFormat="false" ht="15" hidden="false" customHeight="false" outlineLevel="0" collapsed="false">
      <c r="A49" s="9"/>
      <c r="B49" s="9"/>
      <c r="C49" s="9"/>
      <c r="D49" s="40"/>
      <c r="E49" s="9"/>
      <c r="F49" s="9"/>
      <c r="G49" s="9"/>
      <c r="H49" s="9"/>
      <c r="I49" s="9"/>
    </row>
    <row r="50" customFormat="false" ht="15" hidden="false" customHeight="false" outlineLevel="0" collapsed="false">
      <c r="A50" s="9"/>
      <c r="B50" s="9"/>
      <c r="C50" s="9"/>
      <c r="D50" s="40"/>
      <c r="E50" s="9"/>
      <c r="F50" s="9"/>
      <c r="G50" s="9"/>
      <c r="H50" s="9"/>
      <c r="I50" s="9"/>
    </row>
    <row r="51" customFormat="false" ht="15" hidden="false" customHeight="false" outlineLevel="0" collapsed="false">
      <c r="A51" s="9"/>
      <c r="B51" s="9"/>
      <c r="C51" s="9"/>
      <c r="D51" s="40"/>
      <c r="E51" s="9"/>
      <c r="F51" s="9"/>
      <c r="G51" s="9"/>
      <c r="H51" s="9"/>
      <c r="I51" s="9"/>
    </row>
    <row r="52" customFormat="false" ht="15" hidden="false" customHeight="false" outlineLevel="0" collapsed="false">
      <c r="A52" s="9"/>
      <c r="B52" s="9"/>
      <c r="C52" s="9"/>
      <c r="D52" s="40"/>
      <c r="E52" s="9"/>
      <c r="F52" s="9"/>
      <c r="G52" s="9"/>
      <c r="H52" s="9"/>
      <c r="I52" s="9"/>
    </row>
    <row r="53" customFormat="false" ht="15" hidden="false" customHeight="false" outlineLevel="0" collapsed="false">
      <c r="A53" s="9"/>
      <c r="B53" s="9"/>
      <c r="C53" s="9"/>
      <c r="D53" s="40"/>
      <c r="E53" s="9"/>
      <c r="F53" s="9"/>
      <c r="G53" s="9"/>
      <c r="H53" s="9"/>
      <c r="I53" s="9"/>
    </row>
    <row r="54" customFormat="false" ht="15" hidden="false" customHeight="false" outlineLevel="0" collapsed="false">
      <c r="A54" s="9"/>
      <c r="B54" s="9"/>
      <c r="C54" s="9"/>
      <c r="D54" s="40"/>
      <c r="E54" s="9"/>
      <c r="F54" s="9"/>
      <c r="G54" s="9"/>
      <c r="H54" s="9"/>
      <c r="I54" s="9"/>
    </row>
    <row r="55" customFormat="false" ht="15" hidden="false" customHeight="false" outlineLevel="0" collapsed="false">
      <c r="A55" s="9"/>
      <c r="B55" s="9"/>
      <c r="C55" s="9"/>
      <c r="D55" s="40"/>
      <c r="E55" s="9"/>
      <c r="F55" s="9"/>
      <c r="G55" s="9"/>
      <c r="H55" s="9"/>
      <c r="I55" s="9"/>
    </row>
    <row r="56" customFormat="false" ht="15" hidden="false" customHeight="false" outlineLevel="0" collapsed="false">
      <c r="A56" s="9"/>
      <c r="B56" s="9"/>
      <c r="C56" s="9"/>
      <c r="D56" s="40"/>
      <c r="E56" s="9"/>
      <c r="F56" s="9"/>
      <c r="G56" s="9"/>
      <c r="H56" s="9"/>
      <c r="I56" s="9"/>
    </row>
    <row r="57" customFormat="false" ht="15" hidden="false" customHeight="false" outlineLevel="0" collapsed="false">
      <c r="A57" s="9"/>
      <c r="B57" s="9"/>
      <c r="C57" s="9"/>
      <c r="D57" s="40"/>
      <c r="E57" s="9"/>
      <c r="F57" s="9"/>
      <c r="G57" s="9"/>
      <c r="H57" s="9"/>
      <c r="I57" s="9"/>
    </row>
    <row r="58" customFormat="false" ht="15" hidden="false" customHeight="false" outlineLevel="0" collapsed="false">
      <c r="A58" s="9"/>
      <c r="B58" s="9"/>
      <c r="C58" s="9"/>
      <c r="D58" s="40"/>
      <c r="E58" s="9"/>
      <c r="F58" s="9"/>
      <c r="G58" s="9"/>
      <c r="H58" s="9"/>
      <c r="I58" s="9"/>
    </row>
    <row r="59" customFormat="false" ht="15" hidden="false" customHeight="false" outlineLevel="0" collapsed="false">
      <c r="A59" s="9"/>
      <c r="B59" s="9"/>
      <c r="C59" s="9"/>
      <c r="D59" s="40"/>
      <c r="E59" s="9"/>
      <c r="F59" s="9"/>
      <c r="G59" s="9"/>
      <c r="H59" s="9"/>
      <c r="I59" s="9"/>
    </row>
    <row r="60" customFormat="false" ht="15" hidden="false" customHeight="false" outlineLevel="0" collapsed="false">
      <c r="A60" s="9"/>
      <c r="B60" s="9"/>
      <c r="C60" s="9"/>
      <c r="D60" s="40"/>
      <c r="E60" s="9"/>
      <c r="F60" s="9"/>
      <c r="G60" s="9"/>
      <c r="H60" s="9"/>
      <c r="I60" s="9"/>
    </row>
    <row r="61" customFormat="false" ht="15" hidden="false" customHeight="false" outlineLevel="0" collapsed="false">
      <c r="A61" s="9"/>
      <c r="B61" s="9"/>
      <c r="C61" s="9"/>
      <c r="D61" s="40"/>
      <c r="E61" s="9"/>
      <c r="F61" s="9"/>
      <c r="G61" s="9"/>
      <c r="H61" s="9"/>
      <c r="I61" s="9"/>
    </row>
    <row r="62" customFormat="false" ht="15" hidden="false" customHeight="false" outlineLevel="0" collapsed="false">
      <c r="A62" s="9"/>
      <c r="B62" s="9"/>
      <c r="C62" s="9"/>
      <c r="D62" s="40"/>
      <c r="E62" s="9"/>
      <c r="F62" s="9"/>
      <c r="G62" s="9"/>
      <c r="H62" s="9"/>
      <c r="I62" s="9"/>
    </row>
    <row r="63" customFormat="false" ht="15" hidden="false" customHeight="false" outlineLevel="0" collapsed="false">
      <c r="A63" s="9"/>
      <c r="B63" s="9"/>
      <c r="C63" s="9"/>
      <c r="D63" s="40"/>
      <c r="E63" s="9"/>
      <c r="F63" s="9"/>
      <c r="G63" s="9"/>
      <c r="H63" s="9"/>
      <c r="I63" s="9"/>
    </row>
    <row r="64" customFormat="false" ht="15" hidden="false" customHeight="false" outlineLevel="0" collapsed="false">
      <c r="A64" s="9"/>
      <c r="B64" s="9"/>
      <c r="C64" s="9"/>
      <c r="D64" s="40"/>
      <c r="E64" s="9"/>
      <c r="F64" s="9"/>
      <c r="G64" s="9"/>
      <c r="H64" s="9"/>
      <c r="I64" s="9"/>
    </row>
    <row r="65" customFormat="false" ht="15" hidden="false" customHeight="false" outlineLevel="0" collapsed="false">
      <c r="A65" s="9"/>
      <c r="B65" s="9"/>
      <c r="C65" s="9"/>
      <c r="D65" s="40"/>
      <c r="E65" s="9"/>
      <c r="F65" s="9"/>
      <c r="G65" s="9"/>
      <c r="H65" s="9"/>
      <c r="I65" s="9"/>
    </row>
    <row r="66" customFormat="false" ht="15" hidden="false" customHeight="false" outlineLevel="0" collapsed="false">
      <c r="A66" s="9"/>
      <c r="B66" s="9"/>
      <c r="C66" s="9"/>
      <c r="D66" s="40"/>
      <c r="E66" s="9"/>
      <c r="F66" s="9"/>
      <c r="G66" s="9"/>
      <c r="H66" s="9"/>
      <c r="I66" s="9"/>
    </row>
    <row r="67" customFormat="false" ht="15" hidden="false" customHeight="false" outlineLevel="0" collapsed="false">
      <c r="A67" s="9"/>
      <c r="B67" s="9"/>
      <c r="C67" s="9"/>
      <c r="D67" s="40"/>
      <c r="E67" s="9"/>
      <c r="F67" s="9"/>
      <c r="G67" s="9"/>
      <c r="H67" s="9"/>
      <c r="I67" s="9"/>
    </row>
    <row r="68" customFormat="false" ht="15" hidden="false" customHeight="false" outlineLevel="0" collapsed="false">
      <c r="A68" s="9"/>
      <c r="B68" s="9"/>
      <c r="C68" s="9"/>
      <c r="D68" s="40"/>
      <c r="E68" s="9"/>
      <c r="F68" s="9"/>
      <c r="G68" s="9"/>
      <c r="H68" s="9"/>
      <c r="I68" s="9"/>
    </row>
    <row r="69" customFormat="false" ht="15" hidden="false" customHeight="false" outlineLevel="0" collapsed="false">
      <c r="A69" s="9"/>
      <c r="B69" s="9"/>
      <c r="C69" s="9"/>
      <c r="D69" s="40"/>
      <c r="E69" s="9"/>
      <c r="F69" s="9"/>
      <c r="G69" s="9"/>
      <c r="H69" s="9"/>
      <c r="I69" s="9"/>
    </row>
    <row r="70" customFormat="false" ht="15" hidden="false" customHeight="false" outlineLevel="0" collapsed="false">
      <c r="A70" s="9"/>
      <c r="B70" s="9"/>
      <c r="C70" s="9"/>
      <c r="D70" s="40"/>
      <c r="E70" s="9"/>
      <c r="F70" s="9"/>
      <c r="G70" s="9"/>
      <c r="H70" s="9"/>
      <c r="I70" s="9"/>
    </row>
    <row r="71" customFormat="false" ht="15" hidden="false" customHeight="false" outlineLevel="0" collapsed="false">
      <c r="A71" s="9"/>
      <c r="B71" s="9"/>
      <c r="C71" s="9"/>
      <c r="D71" s="40"/>
      <c r="E71" s="9"/>
      <c r="F71" s="9"/>
      <c r="G71" s="9"/>
      <c r="H71" s="9"/>
      <c r="I71" s="9"/>
    </row>
    <row r="72" customFormat="false" ht="15" hidden="false" customHeight="false" outlineLevel="0" collapsed="false">
      <c r="A72" s="9"/>
      <c r="B72" s="9"/>
      <c r="C72" s="9"/>
      <c r="D72" s="40"/>
      <c r="E72" s="9"/>
      <c r="F72" s="9"/>
      <c r="G72" s="9"/>
      <c r="H72" s="9"/>
      <c r="I72" s="9"/>
    </row>
    <row r="73" customFormat="false" ht="15" hidden="false" customHeight="false" outlineLevel="0" collapsed="false">
      <c r="A73" s="9"/>
      <c r="B73" s="9"/>
      <c r="C73" s="9"/>
      <c r="D73" s="40"/>
      <c r="E73" s="9"/>
      <c r="F73" s="9"/>
      <c r="G73" s="9"/>
      <c r="H73" s="9"/>
      <c r="I73" s="9"/>
    </row>
    <row r="74" customFormat="false" ht="15" hidden="false" customHeight="false" outlineLevel="0" collapsed="false">
      <c r="A74" s="9"/>
      <c r="B74" s="9"/>
      <c r="C74" s="9"/>
      <c r="D74" s="40"/>
      <c r="E74" s="9"/>
      <c r="F74" s="9"/>
      <c r="G74" s="9"/>
      <c r="H74" s="9"/>
      <c r="I74" s="9"/>
    </row>
    <row r="75" customFormat="false" ht="15" hidden="false" customHeight="false" outlineLevel="0" collapsed="false">
      <c r="A75" s="9"/>
      <c r="B75" s="9"/>
      <c r="C75" s="9"/>
      <c r="D75" s="40"/>
      <c r="E75" s="9"/>
      <c r="F75" s="9"/>
      <c r="G75" s="9"/>
      <c r="H75" s="9"/>
      <c r="I75" s="9"/>
    </row>
    <row r="76" customFormat="false" ht="15" hidden="false" customHeight="false" outlineLevel="0" collapsed="false">
      <c r="A76" s="9"/>
      <c r="B76" s="9"/>
      <c r="C76" s="9"/>
      <c r="D76" s="40"/>
      <c r="E76" s="9"/>
      <c r="F76" s="9"/>
      <c r="G76" s="9"/>
      <c r="H76" s="9"/>
      <c r="I76" s="9"/>
    </row>
    <row r="77" customFormat="false" ht="15" hidden="false" customHeight="false" outlineLevel="0" collapsed="false">
      <c r="A77" s="9"/>
      <c r="B77" s="9"/>
      <c r="C77" s="9"/>
      <c r="D77" s="40"/>
      <c r="E77" s="9"/>
      <c r="F77" s="9"/>
      <c r="G77" s="9"/>
      <c r="H77" s="9"/>
      <c r="I77" s="9"/>
    </row>
    <row r="78" customFormat="false" ht="15" hidden="false" customHeight="false" outlineLevel="0" collapsed="false">
      <c r="A78" s="9"/>
      <c r="B78" s="9"/>
      <c r="C78" s="9"/>
      <c r="D78" s="40"/>
      <c r="E78" s="9"/>
      <c r="F78" s="9"/>
      <c r="G78" s="9"/>
      <c r="H78" s="9"/>
      <c r="I78" s="9"/>
    </row>
    <row r="79" customFormat="false" ht="15" hidden="false" customHeight="false" outlineLevel="0" collapsed="false">
      <c r="A79" s="9"/>
      <c r="B79" s="9"/>
      <c r="C79" s="9"/>
      <c r="D79" s="40"/>
      <c r="E79" s="9"/>
      <c r="F79" s="9"/>
      <c r="G79" s="9"/>
      <c r="H79" s="9"/>
      <c r="I79" s="9"/>
    </row>
    <row r="80" customFormat="false" ht="15" hidden="false" customHeight="false" outlineLevel="0" collapsed="false">
      <c r="A80" s="9"/>
      <c r="B80" s="9"/>
      <c r="C80" s="9"/>
      <c r="D80" s="40"/>
      <c r="E80" s="9"/>
      <c r="F80" s="9"/>
      <c r="G80" s="9"/>
      <c r="H80" s="9"/>
      <c r="I80" s="9"/>
    </row>
    <row r="81" customFormat="false" ht="15" hidden="false" customHeight="false" outlineLevel="0" collapsed="false">
      <c r="A81" s="9"/>
      <c r="B81" s="9"/>
      <c r="C81" s="9"/>
      <c r="D81" s="40"/>
      <c r="E81" s="9"/>
      <c r="F81" s="9"/>
      <c r="G81" s="9"/>
      <c r="H81" s="9"/>
      <c r="I81" s="9"/>
    </row>
    <row r="82" customFormat="false" ht="15" hidden="false" customHeight="false" outlineLevel="0" collapsed="false">
      <c r="A82" s="9"/>
      <c r="B82" s="9"/>
      <c r="C82" s="9"/>
      <c r="D82" s="40"/>
      <c r="E82" s="9"/>
      <c r="F82" s="9"/>
      <c r="G82" s="9"/>
      <c r="H82" s="9"/>
      <c r="I82" s="9"/>
    </row>
    <row r="83" customFormat="false" ht="15" hidden="false" customHeight="false" outlineLevel="0" collapsed="false">
      <c r="A83" s="9"/>
      <c r="B83" s="9"/>
      <c r="C83" s="9"/>
      <c r="D83" s="40"/>
      <c r="E83" s="9"/>
      <c r="F83" s="9"/>
      <c r="G83" s="9"/>
      <c r="H83" s="9"/>
      <c r="I83" s="9"/>
    </row>
    <row r="84" customFormat="false" ht="15" hidden="false" customHeight="false" outlineLevel="0" collapsed="false">
      <c r="A84" s="9"/>
      <c r="B84" s="9"/>
      <c r="C84" s="9"/>
      <c r="D84" s="40"/>
      <c r="E84" s="9"/>
      <c r="F84" s="9"/>
      <c r="G84" s="9"/>
      <c r="H84" s="9"/>
      <c r="I84" s="9"/>
    </row>
    <row r="85" customFormat="false" ht="15" hidden="false" customHeight="false" outlineLevel="0" collapsed="false">
      <c r="A85" s="9"/>
      <c r="B85" s="9"/>
      <c r="C85" s="9"/>
      <c r="D85" s="40"/>
      <c r="E85" s="9"/>
      <c r="F85" s="9"/>
      <c r="G85" s="9"/>
      <c r="H85" s="9"/>
      <c r="I85" s="9"/>
    </row>
    <row r="86" customFormat="false" ht="15" hidden="false" customHeight="false" outlineLevel="0" collapsed="false">
      <c r="A86" s="9"/>
      <c r="B86" s="9"/>
      <c r="C86" s="9"/>
      <c r="D86" s="40"/>
      <c r="E86" s="9"/>
      <c r="F86" s="9"/>
      <c r="G86" s="9"/>
      <c r="H86" s="9"/>
      <c r="I86" s="9"/>
    </row>
    <row r="87" customFormat="false" ht="15" hidden="false" customHeight="false" outlineLevel="0" collapsed="false">
      <c r="A87" s="9"/>
      <c r="B87" s="9"/>
      <c r="C87" s="9"/>
      <c r="D87" s="40"/>
      <c r="E87" s="9"/>
      <c r="F87" s="9"/>
      <c r="G87" s="9"/>
      <c r="H87" s="9"/>
      <c r="I87" s="9"/>
    </row>
    <row r="88" customFormat="false" ht="15" hidden="false" customHeight="false" outlineLevel="0" collapsed="false">
      <c r="A88" s="9"/>
      <c r="B88" s="9"/>
      <c r="C88" s="9"/>
      <c r="D88" s="40"/>
      <c r="E88" s="9"/>
      <c r="F88" s="9"/>
      <c r="G88" s="9"/>
      <c r="H88" s="9"/>
      <c r="I88" s="9"/>
    </row>
    <row r="89" customFormat="false" ht="15" hidden="false" customHeight="false" outlineLevel="0" collapsed="false">
      <c r="A89" s="9"/>
      <c r="B89" s="9"/>
      <c r="C89" s="9"/>
      <c r="D89" s="40"/>
      <c r="E89" s="9"/>
      <c r="F89" s="9"/>
      <c r="G89" s="9"/>
      <c r="H89" s="9"/>
      <c r="I89" s="9"/>
    </row>
    <row r="90" customFormat="false" ht="15" hidden="false" customHeight="false" outlineLevel="0" collapsed="false">
      <c r="A90" s="9"/>
      <c r="B90" s="9"/>
      <c r="C90" s="9"/>
      <c r="D90" s="40"/>
      <c r="E90" s="9"/>
      <c r="F90" s="9"/>
      <c r="G90" s="9"/>
      <c r="H90" s="9"/>
      <c r="I90" s="9"/>
    </row>
    <row r="91" customFormat="false" ht="15" hidden="false" customHeight="false" outlineLevel="0" collapsed="false">
      <c r="A91" s="9"/>
      <c r="B91" s="9"/>
      <c r="C91" s="9"/>
      <c r="D91" s="40"/>
      <c r="E91" s="9"/>
      <c r="F91" s="9"/>
      <c r="G91" s="9"/>
      <c r="H91" s="9"/>
      <c r="I91" s="9"/>
    </row>
    <row r="92" customFormat="false" ht="15" hidden="false" customHeight="false" outlineLevel="0" collapsed="false">
      <c r="A92" s="9"/>
      <c r="B92" s="9"/>
      <c r="C92" s="9"/>
      <c r="D92" s="40"/>
      <c r="E92" s="9"/>
      <c r="F92" s="9"/>
      <c r="G92" s="9"/>
      <c r="H92" s="9"/>
      <c r="I92" s="9"/>
    </row>
    <row r="93" customFormat="false" ht="15" hidden="false" customHeight="false" outlineLevel="0" collapsed="false">
      <c r="A93" s="9"/>
      <c r="B93" s="9"/>
      <c r="C93" s="9"/>
      <c r="D93" s="40"/>
      <c r="E93" s="9"/>
      <c r="F93" s="9"/>
      <c r="G93" s="9"/>
      <c r="H93" s="9"/>
      <c r="I93" s="9"/>
    </row>
    <row r="94" customFormat="false" ht="15" hidden="false" customHeight="false" outlineLevel="0" collapsed="false">
      <c r="A94" s="9"/>
      <c r="B94" s="9"/>
      <c r="C94" s="9"/>
      <c r="D94" s="40"/>
      <c r="E94" s="9"/>
      <c r="F94" s="9"/>
      <c r="G94" s="9"/>
      <c r="H94" s="9"/>
      <c r="I94" s="9"/>
    </row>
    <row r="95" customFormat="false" ht="15" hidden="false" customHeight="false" outlineLevel="0" collapsed="false">
      <c r="A95" s="9"/>
      <c r="B95" s="9"/>
      <c r="C95" s="9"/>
      <c r="D95" s="40"/>
      <c r="E95" s="9"/>
      <c r="F95" s="9"/>
      <c r="G95" s="9"/>
      <c r="H95" s="9"/>
      <c r="I95" s="9"/>
    </row>
    <row r="96" customFormat="false" ht="15" hidden="false" customHeight="false" outlineLevel="0" collapsed="false">
      <c r="A96" s="9"/>
      <c r="B96" s="9"/>
      <c r="C96" s="9"/>
      <c r="D96" s="40"/>
      <c r="E96" s="9"/>
      <c r="F96" s="9"/>
      <c r="G96" s="9"/>
      <c r="H96" s="9"/>
      <c r="I96" s="9"/>
    </row>
    <row r="97" customFormat="false" ht="15" hidden="false" customHeight="false" outlineLevel="0" collapsed="false">
      <c r="A97" s="9"/>
      <c r="B97" s="9"/>
      <c r="C97" s="9"/>
      <c r="D97" s="40"/>
      <c r="E97" s="9"/>
      <c r="F97" s="9"/>
      <c r="G97" s="9"/>
      <c r="H97" s="9"/>
      <c r="I97" s="9"/>
    </row>
    <row r="98" customFormat="false" ht="15" hidden="false" customHeight="false" outlineLevel="0" collapsed="false">
      <c r="A98" s="9"/>
      <c r="B98" s="9"/>
      <c r="C98" s="9"/>
      <c r="D98" s="40"/>
      <c r="E98" s="9"/>
      <c r="F98" s="9"/>
      <c r="G98" s="9"/>
      <c r="H98" s="9"/>
      <c r="I98" s="9"/>
    </row>
    <row r="99" customFormat="false" ht="15" hidden="false" customHeight="false" outlineLevel="0" collapsed="false">
      <c r="A99" s="9"/>
      <c r="B99" s="9"/>
      <c r="C99" s="9"/>
      <c r="D99" s="40"/>
      <c r="E99" s="9"/>
      <c r="F99" s="9"/>
      <c r="G99" s="9"/>
      <c r="H99" s="9"/>
      <c r="I99" s="9"/>
    </row>
    <row r="100" customFormat="false" ht="15" hidden="false" customHeight="false" outlineLevel="0" collapsed="false">
      <c r="A100" s="9"/>
      <c r="B100" s="9"/>
      <c r="C100" s="9"/>
      <c r="D100" s="40"/>
      <c r="E100" s="9"/>
      <c r="F100" s="9"/>
      <c r="G100" s="9"/>
      <c r="H100" s="9"/>
      <c r="I100" s="9"/>
    </row>
    <row r="101" customFormat="false" ht="15" hidden="false" customHeight="false" outlineLevel="0" collapsed="false">
      <c r="A101" s="9"/>
      <c r="B101" s="9"/>
      <c r="C101" s="9"/>
      <c r="D101" s="40"/>
      <c r="E101" s="9"/>
      <c r="F101" s="9"/>
      <c r="G101" s="9"/>
      <c r="H101" s="9"/>
      <c r="I101" s="9"/>
    </row>
    <row r="102" customFormat="false" ht="15" hidden="false" customHeight="false" outlineLevel="0" collapsed="false">
      <c r="A102" s="9"/>
      <c r="B102" s="9"/>
      <c r="C102" s="9"/>
      <c r="D102" s="40"/>
      <c r="E102" s="9"/>
      <c r="F102" s="9"/>
      <c r="G102" s="9"/>
      <c r="H102" s="9"/>
      <c r="I102" s="9"/>
    </row>
    <row r="103" customFormat="false" ht="15" hidden="false" customHeight="false" outlineLevel="0" collapsed="false">
      <c r="A103" s="9"/>
      <c r="B103" s="9"/>
      <c r="C103" s="9"/>
      <c r="D103" s="40"/>
      <c r="E103" s="9"/>
      <c r="F103" s="9"/>
      <c r="G103" s="9"/>
      <c r="H103" s="9"/>
      <c r="I103" s="9"/>
    </row>
    <row r="104" customFormat="false" ht="15" hidden="false" customHeight="false" outlineLevel="0" collapsed="false">
      <c r="A104" s="9"/>
      <c r="B104" s="9"/>
      <c r="C104" s="9"/>
      <c r="D104" s="40"/>
      <c r="E104" s="9"/>
      <c r="F104" s="9"/>
      <c r="G104" s="9"/>
      <c r="H104" s="9"/>
      <c r="I104" s="9"/>
    </row>
    <row r="105" customFormat="false" ht="15" hidden="false" customHeight="false" outlineLevel="0" collapsed="false">
      <c r="A105" s="9"/>
      <c r="B105" s="9"/>
      <c r="C105" s="9"/>
      <c r="D105" s="40"/>
      <c r="E105" s="9"/>
      <c r="F105" s="9"/>
      <c r="G105" s="9"/>
      <c r="H105" s="9"/>
      <c r="I105" s="9"/>
    </row>
    <row r="106" customFormat="false" ht="15" hidden="false" customHeight="false" outlineLevel="0" collapsed="false">
      <c r="A106" s="9"/>
      <c r="B106" s="9"/>
      <c r="C106" s="9"/>
      <c r="D106" s="40"/>
      <c r="E106" s="9"/>
      <c r="F106" s="9"/>
      <c r="G106" s="9"/>
      <c r="H106" s="9"/>
      <c r="I106" s="9"/>
    </row>
    <row r="107" customFormat="false" ht="15" hidden="false" customHeight="false" outlineLevel="0" collapsed="false">
      <c r="A107" s="9"/>
      <c r="B107" s="9"/>
      <c r="C107" s="9"/>
      <c r="D107" s="40"/>
      <c r="E107" s="9"/>
      <c r="F107" s="9"/>
      <c r="G107" s="9"/>
      <c r="H107" s="9"/>
      <c r="I107" s="9"/>
    </row>
    <row r="108" customFormat="false" ht="15" hidden="false" customHeight="false" outlineLevel="0" collapsed="false">
      <c r="A108" s="9"/>
      <c r="B108" s="9"/>
      <c r="C108" s="9"/>
      <c r="D108" s="40"/>
      <c r="E108" s="9"/>
      <c r="F108" s="9"/>
      <c r="G108" s="9"/>
      <c r="H108" s="9"/>
      <c r="I108" s="9"/>
    </row>
    <row r="109" customFormat="false" ht="15" hidden="false" customHeight="false" outlineLevel="0" collapsed="false">
      <c r="A109" s="9"/>
      <c r="B109" s="9"/>
      <c r="C109" s="9"/>
      <c r="D109" s="40"/>
      <c r="E109" s="9"/>
      <c r="F109" s="9"/>
      <c r="G109" s="9"/>
      <c r="H109" s="9"/>
      <c r="I109" s="9"/>
    </row>
    <row r="110" customFormat="false" ht="15" hidden="false" customHeight="false" outlineLevel="0" collapsed="false">
      <c r="A110" s="9"/>
      <c r="B110" s="9"/>
      <c r="C110" s="9"/>
      <c r="D110" s="40"/>
      <c r="E110" s="9"/>
      <c r="F110" s="9"/>
      <c r="G110" s="9"/>
      <c r="H110" s="9"/>
      <c r="I110" s="9"/>
    </row>
    <row r="111" customFormat="false" ht="15" hidden="false" customHeight="false" outlineLevel="0" collapsed="false">
      <c r="A111" s="9"/>
      <c r="B111" s="9"/>
      <c r="C111" s="9"/>
      <c r="D111" s="40"/>
      <c r="E111" s="9"/>
      <c r="F111" s="9"/>
      <c r="G111" s="9"/>
      <c r="H111" s="9"/>
      <c r="I111" s="9"/>
    </row>
    <row r="112" customFormat="false" ht="15" hidden="false" customHeight="false" outlineLevel="0" collapsed="false">
      <c r="A112" s="9"/>
      <c r="B112" s="9"/>
      <c r="C112" s="9"/>
      <c r="D112" s="40"/>
      <c r="E112" s="9"/>
      <c r="F112" s="9"/>
      <c r="G112" s="9"/>
      <c r="H112" s="9"/>
      <c r="I112" s="9"/>
    </row>
    <row r="113" customFormat="false" ht="15" hidden="false" customHeight="false" outlineLevel="0" collapsed="false">
      <c r="A113" s="9"/>
      <c r="B113" s="9"/>
      <c r="C113" s="9"/>
      <c r="D113" s="40"/>
      <c r="E113" s="9"/>
      <c r="F113" s="9"/>
      <c r="G113" s="9"/>
      <c r="H113" s="9"/>
      <c r="I113" s="9"/>
    </row>
    <row r="114" customFormat="false" ht="15" hidden="false" customHeight="false" outlineLevel="0" collapsed="false">
      <c r="A114" s="9"/>
      <c r="B114" s="9"/>
      <c r="C114" s="9"/>
      <c r="D114" s="40"/>
      <c r="E114" s="9"/>
      <c r="F114" s="9"/>
      <c r="G114" s="9"/>
      <c r="H114" s="9"/>
      <c r="I114" s="9"/>
    </row>
    <row r="115" customFormat="false" ht="15" hidden="false" customHeight="false" outlineLevel="0" collapsed="false">
      <c r="A115" s="9"/>
      <c r="B115" s="9"/>
      <c r="C115" s="9"/>
      <c r="D115" s="40"/>
      <c r="E115" s="9"/>
      <c r="F115" s="9"/>
      <c r="G115" s="9"/>
      <c r="H115" s="9"/>
      <c r="I115" s="9"/>
    </row>
    <row r="116" customFormat="false" ht="15" hidden="false" customHeight="false" outlineLevel="0" collapsed="false">
      <c r="A116" s="9"/>
      <c r="B116" s="9"/>
      <c r="C116" s="9"/>
      <c r="D116" s="40"/>
      <c r="E116" s="9"/>
      <c r="F116" s="9"/>
      <c r="G116" s="9"/>
      <c r="H116" s="9"/>
      <c r="I116" s="9"/>
    </row>
    <row r="117" customFormat="false" ht="15" hidden="false" customHeight="false" outlineLevel="0" collapsed="false">
      <c r="A117" s="9"/>
      <c r="B117" s="9"/>
      <c r="C117" s="9"/>
      <c r="D117" s="40"/>
      <c r="E117" s="9"/>
      <c r="F117" s="9"/>
      <c r="G117" s="9"/>
      <c r="H117" s="9"/>
      <c r="I117" s="9"/>
    </row>
    <row r="118" customFormat="false" ht="15" hidden="false" customHeight="false" outlineLevel="0" collapsed="false">
      <c r="A118" s="9"/>
      <c r="B118" s="9"/>
      <c r="C118" s="9"/>
      <c r="D118" s="40"/>
      <c r="E118" s="9"/>
      <c r="F118" s="9"/>
      <c r="G118" s="9"/>
      <c r="H118" s="9"/>
      <c r="I118" s="9"/>
    </row>
    <row r="119" customFormat="false" ht="15" hidden="false" customHeight="false" outlineLevel="0" collapsed="false">
      <c r="A119" s="9"/>
      <c r="B119" s="9"/>
      <c r="C119" s="9"/>
      <c r="D119" s="40"/>
      <c r="E119" s="9"/>
      <c r="F119" s="9"/>
      <c r="G119" s="9"/>
      <c r="H119" s="9"/>
      <c r="I119" s="9"/>
    </row>
    <row r="120" customFormat="false" ht="15" hidden="false" customHeight="false" outlineLevel="0" collapsed="false">
      <c r="A120" s="9"/>
      <c r="B120" s="9"/>
      <c r="C120" s="9"/>
      <c r="D120" s="40"/>
      <c r="E120" s="9"/>
      <c r="F120" s="9"/>
      <c r="G120" s="9"/>
      <c r="H120" s="9"/>
      <c r="I120" s="9"/>
    </row>
    <row r="121" customFormat="false" ht="15" hidden="false" customHeight="false" outlineLevel="0" collapsed="false">
      <c r="A121" s="9"/>
      <c r="B121" s="9"/>
      <c r="C121" s="9"/>
      <c r="D121" s="40"/>
      <c r="E121" s="9"/>
      <c r="F121" s="9"/>
      <c r="G121" s="9"/>
      <c r="H121" s="9"/>
      <c r="I121" s="9"/>
    </row>
    <row r="122" customFormat="false" ht="15" hidden="false" customHeight="false" outlineLevel="0" collapsed="false">
      <c r="A122" s="9"/>
      <c r="B122" s="9"/>
      <c r="C122" s="9"/>
      <c r="D122" s="40"/>
      <c r="E122" s="9"/>
      <c r="F122" s="9"/>
      <c r="G122" s="9"/>
      <c r="H122" s="9"/>
      <c r="I122" s="9"/>
    </row>
    <row r="123" customFormat="false" ht="15" hidden="false" customHeight="false" outlineLevel="0" collapsed="false">
      <c r="A123" s="9"/>
      <c r="B123" s="9"/>
      <c r="C123" s="9"/>
      <c r="D123" s="40"/>
      <c r="E123" s="9"/>
      <c r="F123" s="9"/>
      <c r="G123" s="9"/>
      <c r="H123" s="9"/>
      <c r="I123" s="9"/>
    </row>
    <row r="124" customFormat="false" ht="15" hidden="false" customHeight="false" outlineLevel="0" collapsed="false">
      <c r="A124" s="9"/>
      <c r="B124" s="9"/>
      <c r="C124" s="9"/>
      <c r="D124" s="40"/>
      <c r="E124" s="9"/>
      <c r="F124" s="9"/>
      <c r="G124" s="9"/>
      <c r="H124" s="9"/>
      <c r="I124" s="9"/>
    </row>
    <row r="125" customFormat="false" ht="15" hidden="false" customHeight="false" outlineLevel="0" collapsed="false">
      <c r="A125" s="9"/>
      <c r="B125" s="9"/>
      <c r="C125" s="9"/>
      <c r="D125" s="40"/>
      <c r="E125" s="9"/>
      <c r="F125" s="9"/>
      <c r="G125" s="9"/>
      <c r="H125" s="9"/>
      <c r="I125" s="9"/>
    </row>
    <row r="126" customFormat="false" ht="15" hidden="false" customHeight="false" outlineLevel="0" collapsed="false">
      <c r="A126" s="9"/>
      <c r="B126" s="9"/>
      <c r="C126" s="9"/>
      <c r="D126" s="40"/>
      <c r="E126" s="9"/>
      <c r="F126" s="9"/>
      <c r="G126" s="9"/>
      <c r="H126" s="9"/>
      <c r="I126" s="9"/>
    </row>
    <row r="127" customFormat="false" ht="15" hidden="false" customHeight="false" outlineLevel="0" collapsed="false">
      <c r="A127" s="9"/>
      <c r="B127" s="9"/>
      <c r="C127" s="9"/>
      <c r="D127" s="40"/>
      <c r="E127" s="9"/>
      <c r="F127" s="9"/>
      <c r="G127" s="9"/>
      <c r="H127" s="9"/>
      <c r="I127" s="9"/>
    </row>
    <row r="128" customFormat="false" ht="15" hidden="false" customHeight="false" outlineLevel="0" collapsed="false">
      <c r="A128" s="9"/>
      <c r="B128" s="9"/>
      <c r="C128" s="9"/>
      <c r="D128" s="40"/>
      <c r="E128" s="9"/>
      <c r="F128" s="9"/>
      <c r="G128" s="9"/>
      <c r="H128" s="9"/>
      <c r="I128" s="9"/>
    </row>
    <row r="129" customFormat="false" ht="15" hidden="false" customHeight="false" outlineLevel="0" collapsed="false">
      <c r="A129" s="9"/>
      <c r="B129" s="9"/>
      <c r="C129" s="9"/>
      <c r="D129" s="40"/>
      <c r="E129" s="9"/>
      <c r="F129" s="9"/>
      <c r="G129" s="9"/>
      <c r="H129" s="9"/>
      <c r="I129" s="9"/>
    </row>
    <row r="130" customFormat="false" ht="15" hidden="false" customHeight="false" outlineLevel="0" collapsed="false">
      <c r="A130" s="9"/>
      <c r="B130" s="9"/>
      <c r="C130" s="9"/>
      <c r="D130" s="40"/>
      <c r="E130" s="9"/>
      <c r="F130" s="9"/>
      <c r="G130" s="9"/>
      <c r="H130" s="9"/>
      <c r="I130" s="9"/>
    </row>
    <row r="131" customFormat="false" ht="15" hidden="false" customHeight="false" outlineLevel="0" collapsed="false">
      <c r="A131" s="9"/>
      <c r="B131" s="9"/>
      <c r="C131" s="9"/>
      <c r="D131" s="40"/>
      <c r="E131" s="9"/>
      <c r="F131" s="9"/>
      <c r="G131" s="9"/>
      <c r="H131" s="9"/>
      <c r="I131" s="9"/>
    </row>
    <row r="132" customFormat="false" ht="15" hidden="false" customHeight="false" outlineLevel="0" collapsed="false">
      <c r="A132" s="9"/>
      <c r="B132" s="9"/>
      <c r="C132" s="9"/>
      <c r="D132" s="40"/>
      <c r="E132" s="9"/>
      <c r="F132" s="9"/>
      <c r="G132" s="9"/>
      <c r="H132" s="9"/>
      <c r="I132" s="9"/>
    </row>
    <row r="133" customFormat="false" ht="15" hidden="false" customHeight="false" outlineLevel="0" collapsed="false">
      <c r="A133" s="9"/>
      <c r="B133" s="9"/>
      <c r="C133" s="9"/>
      <c r="D133" s="40"/>
      <c r="E133" s="9"/>
      <c r="F133" s="9"/>
      <c r="G133" s="9"/>
      <c r="H133" s="9"/>
      <c r="I133" s="9"/>
    </row>
    <row r="134" customFormat="false" ht="15" hidden="false" customHeight="false" outlineLevel="0" collapsed="false">
      <c r="A134" s="9"/>
      <c r="B134" s="9"/>
      <c r="C134" s="9"/>
      <c r="D134" s="40"/>
      <c r="E134" s="9"/>
      <c r="F134" s="9"/>
      <c r="G134" s="9"/>
      <c r="H134" s="9"/>
      <c r="I134" s="9"/>
    </row>
    <row r="135" customFormat="false" ht="15" hidden="false" customHeight="false" outlineLevel="0" collapsed="false">
      <c r="A135" s="9"/>
      <c r="B135" s="9"/>
      <c r="C135" s="9"/>
      <c r="D135" s="40"/>
      <c r="E135" s="9"/>
      <c r="F135" s="9"/>
      <c r="G135" s="9"/>
      <c r="H135" s="9"/>
      <c r="I135" s="9"/>
    </row>
    <row r="136" customFormat="false" ht="15" hidden="false" customHeight="false" outlineLevel="0" collapsed="false">
      <c r="A136" s="9"/>
      <c r="B136" s="9"/>
      <c r="C136" s="9"/>
      <c r="D136" s="40"/>
      <c r="E136" s="9"/>
      <c r="F136" s="9"/>
      <c r="G136" s="9"/>
      <c r="H136" s="9"/>
      <c r="I136" s="9"/>
    </row>
    <row r="137" customFormat="false" ht="15" hidden="false" customHeight="false" outlineLevel="0" collapsed="false">
      <c r="A137" s="9"/>
      <c r="B137" s="9"/>
      <c r="C137" s="9"/>
      <c r="D137" s="40"/>
      <c r="E137" s="9"/>
      <c r="F137" s="9"/>
      <c r="G137" s="9"/>
      <c r="H137" s="9"/>
      <c r="I137" s="9"/>
    </row>
    <row r="138" customFormat="false" ht="15" hidden="false" customHeight="false" outlineLevel="0" collapsed="false">
      <c r="A138" s="9"/>
      <c r="B138" s="9"/>
      <c r="C138" s="9"/>
      <c r="D138" s="40"/>
      <c r="E138" s="9"/>
      <c r="F138" s="9"/>
      <c r="G138" s="9"/>
      <c r="H138" s="9"/>
      <c r="I138" s="9"/>
    </row>
    <row r="139" customFormat="false" ht="15" hidden="false" customHeight="false" outlineLevel="0" collapsed="false">
      <c r="A139" s="9"/>
      <c r="B139" s="9"/>
      <c r="C139" s="9"/>
      <c r="D139" s="40"/>
      <c r="E139" s="9"/>
      <c r="F139" s="9"/>
      <c r="G139" s="9"/>
      <c r="H139" s="9"/>
      <c r="I139" s="9"/>
    </row>
    <row r="140" customFormat="false" ht="15" hidden="false" customHeight="false" outlineLevel="0" collapsed="false">
      <c r="A140" s="9"/>
      <c r="B140" s="9"/>
      <c r="C140" s="9"/>
      <c r="D140" s="40"/>
      <c r="E140" s="9"/>
      <c r="F140" s="9"/>
      <c r="G140" s="9"/>
      <c r="H140" s="9"/>
      <c r="I140" s="9"/>
    </row>
    <row r="141" customFormat="false" ht="15" hidden="false" customHeight="false" outlineLevel="0" collapsed="false">
      <c r="A141" s="9"/>
      <c r="B141" s="9"/>
      <c r="C141" s="9"/>
      <c r="D141" s="40"/>
      <c r="E141" s="9"/>
      <c r="F141" s="9"/>
      <c r="G141" s="9"/>
      <c r="H141" s="9"/>
      <c r="I141" s="9"/>
    </row>
    <row r="142" customFormat="false" ht="15" hidden="false" customHeight="false" outlineLevel="0" collapsed="false">
      <c r="A142" s="9"/>
      <c r="B142" s="9"/>
      <c r="C142" s="9"/>
      <c r="D142" s="40"/>
      <c r="E142" s="9"/>
      <c r="F142" s="9"/>
      <c r="G142" s="9"/>
      <c r="H142" s="9"/>
      <c r="I142" s="9"/>
    </row>
    <row r="143" customFormat="false" ht="15" hidden="false" customHeight="false" outlineLevel="0" collapsed="false">
      <c r="A143" s="9"/>
      <c r="B143" s="9"/>
      <c r="C143" s="9"/>
      <c r="D143" s="40"/>
      <c r="E143" s="9"/>
      <c r="F143" s="9"/>
      <c r="G143" s="9"/>
      <c r="H143" s="9"/>
      <c r="I143" s="9"/>
    </row>
    <row r="144" customFormat="false" ht="15" hidden="false" customHeight="false" outlineLevel="0" collapsed="false">
      <c r="A144" s="9"/>
      <c r="B144" s="9"/>
      <c r="C144" s="9"/>
      <c r="D144" s="40"/>
      <c r="E144" s="9"/>
      <c r="F144" s="9"/>
      <c r="G144" s="9"/>
      <c r="H144" s="9"/>
      <c r="I144" s="9"/>
    </row>
    <row r="145" customFormat="false" ht="15" hidden="false" customHeight="false" outlineLevel="0" collapsed="false">
      <c r="A145" s="9"/>
      <c r="B145" s="9"/>
      <c r="C145" s="9"/>
      <c r="D145" s="40"/>
      <c r="E145" s="9"/>
      <c r="F145" s="9"/>
      <c r="G145" s="9"/>
      <c r="H145" s="9"/>
      <c r="I145" s="9"/>
    </row>
    <row r="146" customFormat="false" ht="15" hidden="false" customHeight="false" outlineLevel="0" collapsed="false">
      <c r="A146" s="9"/>
      <c r="B146" s="9"/>
      <c r="C146" s="9"/>
      <c r="D146" s="40"/>
      <c r="E146" s="9"/>
      <c r="F146" s="9"/>
      <c r="G146" s="9"/>
      <c r="H146" s="9"/>
      <c r="I146" s="9"/>
    </row>
    <row r="147" customFormat="false" ht="15" hidden="false" customHeight="false" outlineLevel="0" collapsed="false">
      <c r="A147" s="9"/>
      <c r="B147" s="9"/>
      <c r="C147" s="9"/>
      <c r="D147" s="40"/>
      <c r="E147" s="9"/>
      <c r="F147" s="9"/>
      <c r="G147" s="9"/>
      <c r="H147" s="9"/>
      <c r="I147" s="9"/>
    </row>
    <row r="148" customFormat="false" ht="15" hidden="false" customHeight="false" outlineLevel="0" collapsed="false">
      <c r="A148" s="9"/>
      <c r="B148" s="9"/>
      <c r="C148" s="9"/>
      <c r="D148" s="40"/>
      <c r="E148" s="9"/>
      <c r="F148" s="9"/>
      <c r="G148" s="9"/>
      <c r="H148" s="9"/>
      <c r="I148" s="9"/>
    </row>
    <row r="149" customFormat="false" ht="15" hidden="false" customHeight="false" outlineLevel="0" collapsed="false">
      <c r="A149" s="9"/>
      <c r="B149" s="9"/>
      <c r="C149" s="9"/>
      <c r="D149" s="40"/>
      <c r="E149" s="9"/>
      <c r="F149" s="9"/>
      <c r="G149" s="9"/>
      <c r="H149" s="9"/>
      <c r="I149" s="9"/>
    </row>
    <row r="150" customFormat="false" ht="15" hidden="false" customHeight="false" outlineLevel="0" collapsed="false">
      <c r="A150" s="9"/>
      <c r="B150" s="9"/>
      <c r="C150" s="9"/>
      <c r="D150" s="40"/>
      <c r="E150" s="9"/>
      <c r="F150" s="9"/>
      <c r="G150" s="9"/>
      <c r="H150" s="9"/>
      <c r="I150" s="9"/>
    </row>
    <row r="151" customFormat="false" ht="15" hidden="false" customHeight="false" outlineLevel="0" collapsed="false">
      <c r="A151" s="9"/>
      <c r="B151" s="9"/>
      <c r="C151" s="9"/>
      <c r="D151" s="40"/>
      <c r="E151" s="9"/>
      <c r="F151" s="9"/>
      <c r="G151" s="9"/>
      <c r="H151" s="9"/>
      <c r="I151" s="9"/>
    </row>
    <row r="152" customFormat="false" ht="15" hidden="false" customHeight="false" outlineLevel="0" collapsed="false">
      <c r="A152" s="9"/>
      <c r="B152" s="9"/>
      <c r="C152" s="9"/>
      <c r="D152" s="40"/>
      <c r="E152" s="9"/>
      <c r="F152" s="9"/>
      <c r="G152" s="9"/>
      <c r="H152" s="9"/>
      <c r="I152" s="9"/>
    </row>
    <row r="153" customFormat="false" ht="15" hidden="false" customHeight="false" outlineLevel="0" collapsed="false">
      <c r="A153" s="9"/>
      <c r="B153" s="9"/>
      <c r="C153" s="9"/>
      <c r="D153" s="40"/>
      <c r="E153" s="9"/>
      <c r="F153" s="9"/>
      <c r="G153" s="9"/>
      <c r="H153" s="9"/>
      <c r="I153" s="9"/>
    </row>
    <row r="154" customFormat="false" ht="15" hidden="false" customHeight="false" outlineLevel="0" collapsed="false">
      <c r="A154" s="9"/>
      <c r="B154" s="9"/>
      <c r="C154" s="9"/>
      <c r="D154" s="40"/>
      <c r="E154" s="9"/>
      <c r="F154" s="9"/>
      <c r="G154" s="9"/>
      <c r="H154" s="9"/>
      <c r="I154" s="9"/>
    </row>
    <row r="155" customFormat="false" ht="15" hidden="false" customHeight="false" outlineLevel="0" collapsed="false">
      <c r="A155" s="9"/>
      <c r="B155" s="9"/>
      <c r="C155" s="9"/>
      <c r="D155" s="40"/>
      <c r="E155" s="9"/>
      <c r="F155" s="9"/>
      <c r="G155" s="9"/>
      <c r="H155" s="9"/>
      <c r="I155" s="9"/>
    </row>
    <row r="156" customFormat="false" ht="15" hidden="false" customHeight="false" outlineLevel="0" collapsed="false">
      <c r="A156" s="9"/>
      <c r="B156" s="9"/>
      <c r="C156" s="9"/>
      <c r="D156" s="40"/>
      <c r="E156" s="9"/>
      <c r="F156" s="9"/>
      <c r="G156" s="9"/>
      <c r="H156" s="9"/>
      <c r="I156" s="9"/>
    </row>
    <row r="157" customFormat="false" ht="15" hidden="false" customHeight="false" outlineLevel="0" collapsed="false">
      <c r="A157" s="9"/>
      <c r="B157" s="9"/>
      <c r="C157" s="9"/>
      <c r="D157" s="40"/>
      <c r="E157" s="9"/>
      <c r="F157" s="9"/>
      <c r="G157" s="9"/>
      <c r="H157" s="9"/>
      <c r="I157" s="9"/>
    </row>
    <row r="158" customFormat="false" ht="15" hidden="false" customHeight="false" outlineLevel="0" collapsed="false">
      <c r="A158" s="9"/>
      <c r="B158" s="9"/>
      <c r="C158" s="9"/>
      <c r="D158" s="40"/>
      <c r="E158" s="9"/>
      <c r="F158" s="9"/>
      <c r="G158" s="9"/>
      <c r="H158" s="9"/>
      <c r="I158" s="9"/>
    </row>
    <row r="159" customFormat="false" ht="15" hidden="false" customHeight="false" outlineLevel="0" collapsed="false">
      <c r="A159" s="9"/>
      <c r="B159" s="9"/>
      <c r="C159" s="9"/>
      <c r="D159" s="40"/>
      <c r="E159" s="9"/>
      <c r="F159" s="9"/>
      <c r="G159" s="9"/>
      <c r="H159" s="9"/>
      <c r="I159" s="9"/>
    </row>
    <row r="160" customFormat="false" ht="15" hidden="false" customHeight="false" outlineLevel="0" collapsed="false">
      <c r="A160" s="9"/>
      <c r="B160" s="9"/>
      <c r="C160" s="9"/>
      <c r="D160" s="40"/>
      <c r="E160" s="9"/>
      <c r="F160" s="9"/>
      <c r="G160" s="9"/>
      <c r="H160" s="9"/>
      <c r="I160" s="9"/>
    </row>
    <row r="161" customFormat="false" ht="15" hidden="false" customHeight="false" outlineLevel="0" collapsed="false">
      <c r="A161" s="9"/>
      <c r="B161" s="9"/>
      <c r="C161" s="9"/>
      <c r="D161" s="40"/>
      <c r="E161" s="9"/>
      <c r="F161" s="9"/>
      <c r="G161" s="9"/>
      <c r="H161" s="9"/>
      <c r="I161" s="9"/>
    </row>
    <row r="162" customFormat="false" ht="15" hidden="false" customHeight="false" outlineLevel="0" collapsed="false">
      <c r="A162" s="9"/>
      <c r="B162" s="9"/>
      <c r="C162" s="9"/>
      <c r="D162" s="40"/>
      <c r="E162" s="9"/>
      <c r="F162" s="9"/>
      <c r="G162" s="9"/>
      <c r="H162" s="9"/>
      <c r="I162" s="9"/>
    </row>
    <row r="163" customFormat="false" ht="15" hidden="false" customHeight="false" outlineLevel="0" collapsed="false">
      <c r="A163" s="9"/>
      <c r="B163" s="9"/>
      <c r="C163" s="9"/>
      <c r="D163" s="40"/>
      <c r="E163" s="9"/>
      <c r="F163" s="9"/>
      <c r="G163" s="9"/>
      <c r="H163" s="9"/>
      <c r="I163" s="9"/>
    </row>
    <row r="164" customFormat="false" ht="15" hidden="false" customHeight="false" outlineLevel="0" collapsed="false">
      <c r="A164" s="9"/>
      <c r="B164" s="9"/>
      <c r="C164" s="9"/>
      <c r="D164" s="40"/>
      <c r="E164" s="9"/>
      <c r="F164" s="9"/>
      <c r="G164" s="9"/>
      <c r="H164" s="9"/>
      <c r="I164" s="9"/>
    </row>
    <row r="165" customFormat="false" ht="15" hidden="false" customHeight="false" outlineLevel="0" collapsed="false">
      <c r="A165" s="9"/>
      <c r="B165" s="9"/>
      <c r="C165" s="9"/>
      <c r="D165" s="40"/>
      <c r="E165" s="9"/>
      <c r="F165" s="9"/>
      <c r="G165" s="9"/>
      <c r="H165" s="9"/>
      <c r="I165" s="9"/>
    </row>
    <row r="166" customFormat="false" ht="15" hidden="false" customHeight="false" outlineLevel="0" collapsed="false">
      <c r="A166" s="9"/>
      <c r="B166" s="9"/>
      <c r="C166" s="9"/>
      <c r="D166" s="40"/>
      <c r="E166" s="9"/>
      <c r="F166" s="9"/>
      <c r="G166" s="9"/>
      <c r="H166" s="9"/>
      <c r="I166" s="9"/>
    </row>
    <row r="167" customFormat="false" ht="15" hidden="false" customHeight="false" outlineLevel="0" collapsed="false">
      <c r="A167" s="9"/>
      <c r="B167" s="9"/>
      <c r="C167" s="9"/>
      <c r="D167" s="40"/>
      <c r="E167" s="9"/>
      <c r="F167" s="9"/>
      <c r="G167" s="9"/>
      <c r="H167" s="9"/>
      <c r="I167" s="9"/>
    </row>
    <row r="168" customFormat="false" ht="15" hidden="false" customHeight="false" outlineLevel="0" collapsed="false">
      <c r="A168" s="9"/>
      <c r="B168" s="9"/>
      <c r="C168" s="9"/>
      <c r="D168" s="40"/>
      <c r="E168" s="9"/>
      <c r="F168" s="9"/>
      <c r="G168" s="9"/>
      <c r="H168" s="9"/>
      <c r="I168" s="9"/>
    </row>
    <row r="169" customFormat="false" ht="15" hidden="false" customHeight="false" outlineLevel="0" collapsed="false">
      <c r="A169" s="9"/>
      <c r="B169" s="9"/>
      <c r="C169" s="9"/>
      <c r="D169" s="40"/>
      <c r="E169" s="9"/>
      <c r="F169" s="9"/>
      <c r="G169" s="9"/>
      <c r="H169" s="9"/>
      <c r="I169" s="9"/>
    </row>
    <row r="170" customFormat="false" ht="15" hidden="false" customHeight="false" outlineLevel="0" collapsed="false">
      <c r="A170" s="9"/>
      <c r="B170" s="9"/>
      <c r="C170" s="9"/>
      <c r="D170" s="40"/>
      <c r="E170" s="9"/>
      <c r="F170" s="9"/>
      <c r="G170" s="9"/>
      <c r="H170" s="9"/>
      <c r="I170" s="9"/>
    </row>
    <row r="171" customFormat="false" ht="15" hidden="false" customHeight="false" outlineLevel="0" collapsed="false">
      <c r="A171" s="9"/>
      <c r="B171" s="9"/>
      <c r="C171" s="9"/>
      <c r="D171" s="40"/>
      <c r="E171" s="9"/>
      <c r="F171" s="9"/>
      <c r="G171" s="9"/>
      <c r="H171" s="9"/>
      <c r="I171" s="9"/>
    </row>
    <row r="172" customFormat="false" ht="15" hidden="false" customHeight="false" outlineLevel="0" collapsed="false">
      <c r="A172" s="9"/>
      <c r="B172" s="9"/>
      <c r="C172" s="9"/>
      <c r="D172" s="40"/>
      <c r="E172" s="9"/>
      <c r="F172" s="9"/>
      <c r="G172" s="9"/>
      <c r="H172" s="9"/>
      <c r="I172" s="9"/>
    </row>
    <row r="173" customFormat="false" ht="15" hidden="false" customHeight="false" outlineLevel="0" collapsed="false">
      <c r="A173" s="9"/>
      <c r="B173" s="9"/>
      <c r="C173" s="9"/>
      <c r="D173" s="40"/>
      <c r="E173" s="9"/>
      <c r="F173" s="9"/>
      <c r="G173" s="9"/>
      <c r="H173" s="9"/>
      <c r="I173" s="9"/>
    </row>
    <row r="174" customFormat="false" ht="15" hidden="false" customHeight="false" outlineLevel="0" collapsed="false">
      <c r="A174" s="9"/>
      <c r="B174" s="9"/>
      <c r="C174" s="9"/>
      <c r="D174" s="40"/>
      <c r="E174" s="9"/>
      <c r="F174" s="9"/>
      <c r="G174" s="9"/>
      <c r="H174" s="9"/>
      <c r="I174" s="9"/>
    </row>
    <row r="175" customFormat="false" ht="15" hidden="false" customHeight="false" outlineLevel="0" collapsed="false">
      <c r="A175" s="9"/>
      <c r="B175" s="9"/>
      <c r="C175" s="9"/>
      <c r="D175" s="40"/>
      <c r="E175" s="9"/>
      <c r="F175" s="9"/>
      <c r="G175" s="9"/>
      <c r="H175" s="9"/>
      <c r="I175" s="9"/>
    </row>
    <row r="176" customFormat="false" ht="15" hidden="false" customHeight="false" outlineLevel="0" collapsed="false">
      <c r="A176" s="9"/>
      <c r="B176" s="9"/>
      <c r="C176" s="9"/>
      <c r="D176" s="40"/>
      <c r="E176" s="9"/>
      <c r="F176" s="9"/>
      <c r="G176" s="9"/>
      <c r="H176" s="9"/>
      <c r="I176" s="9"/>
    </row>
    <row r="177" customFormat="false" ht="15" hidden="false" customHeight="false" outlineLevel="0" collapsed="false">
      <c r="A177" s="9"/>
      <c r="B177" s="9"/>
      <c r="C177" s="9"/>
      <c r="D177" s="40"/>
      <c r="E177" s="9"/>
      <c r="F177" s="9"/>
      <c r="G177" s="9"/>
      <c r="H177" s="9"/>
      <c r="I177" s="9"/>
    </row>
    <row r="178" customFormat="false" ht="15" hidden="false" customHeight="false" outlineLevel="0" collapsed="false">
      <c r="A178" s="9"/>
      <c r="B178" s="9"/>
      <c r="C178" s="9"/>
      <c r="D178" s="40"/>
      <c r="E178" s="9"/>
      <c r="F178" s="9"/>
      <c r="G178" s="9"/>
      <c r="H178" s="9"/>
      <c r="I178" s="9"/>
    </row>
    <row r="179" customFormat="false" ht="15" hidden="false" customHeight="false" outlineLevel="0" collapsed="false">
      <c r="A179" s="9"/>
      <c r="B179" s="9"/>
      <c r="C179" s="9"/>
      <c r="D179" s="40"/>
      <c r="E179" s="9"/>
      <c r="F179" s="9"/>
      <c r="G179" s="9"/>
      <c r="H179" s="9"/>
      <c r="I179" s="9"/>
    </row>
    <row r="180" customFormat="false" ht="15" hidden="false" customHeight="false" outlineLevel="0" collapsed="false">
      <c r="A180" s="9"/>
      <c r="B180" s="9"/>
      <c r="C180" s="9"/>
      <c r="D180" s="40"/>
      <c r="E180" s="9"/>
      <c r="F180" s="9"/>
      <c r="G180" s="9"/>
      <c r="H180" s="9"/>
      <c r="I180" s="9"/>
    </row>
    <row r="181" customFormat="false" ht="15" hidden="false" customHeight="false" outlineLevel="0" collapsed="false">
      <c r="A181" s="9"/>
      <c r="B181" s="9"/>
      <c r="C181" s="9"/>
      <c r="D181" s="40"/>
      <c r="E181" s="9"/>
      <c r="F181" s="9"/>
      <c r="G181" s="9"/>
      <c r="H181" s="9"/>
      <c r="I181" s="9"/>
    </row>
    <row r="182" customFormat="false" ht="15" hidden="false" customHeight="false" outlineLevel="0" collapsed="false">
      <c r="A182" s="9"/>
      <c r="B182" s="9"/>
      <c r="C182" s="9"/>
      <c r="D182" s="40"/>
      <c r="E182" s="9"/>
      <c r="F182" s="9"/>
      <c r="G182" s="9"/>
      <c r="H182" s="9"/>
      <c r="I182" s="9"/>
    </row>
    <row r="183" customFormat="false" ht="15" hidden="false" customHeight="false" outlineLevel="0" collapsed="false">
      <c r="A183" s="9"/>
      <c r="B183" s="9"/>
      <c r="C183" s="9"/>
      <c r="D183" s="40"/>
      <c r="E183" s="9"/>
      <c r="F183" s="9"/>
      <c r="G183" s="9"/>
      <c r="H183" s="9"/>
      <c r="I183" s="9"/>
    </row>
    <row r="184" customFormat="false" ht="15" hidden="false" customHeight="false" outlineLevel="0" collapsed="false">
      <c r="A184" s="9"/>
      <c r="B184" s="9"/>
      <c r="C184" s="9"/>
      <c r="D184" s="40"/>
      <c r="E184" s="9"/>
      <c r="F184" s="9"/>
      <c r="G184" s="9"/>
      <c r="H184" s="9"/>
      <c r="I184" s="9"/>
    </row>
    <row r="185" customFormat="false" ht="15" hidden="false" customHeight="false" outlineLevel="0" collapsed="false">
      <c r="A185" s="9"/>
      <c r="B185" s="9"/>
      <c r="C185" s="9"/>
      <c r="D185" s="40"/>
      <c r="E185" s="9"/>
      <c r="F185" s="9"/>
      <c r="G185" s="9"/>
      <c r="H185" s="9"/>
      <c r="I185" s="9"/>
    </row>
    <row r="186" customFormat="false" ht="15" hidden="false" customHeight="false" outlineLevel="0" collapsed="false">
      <c r="A186" s="9"/>
      <c r="B186" s="9"/>
      <c r="C186" s="9"/>
      <c r="D186" s="40"/>
      <c r="E186" s="9"/>
      <c r="F186" s="9"/>
      <c r="G186" s="9"/>
      <c r="H186" s="9"/>
      <c r="I186" s="9"/>
    </row>
    <row r="187" customFormat="false" ht="15" hidden="false" customHeight="false" outlineLevel="0" collapsed="false">
      <c r="A187" s="9"/>
      <c r="B187" s="9"/>
      <c r="C187" s="9"/>
      <c r="D187" s="40"/>
      <c r="E187" s="9"/>
      <c r="F187" s="9"/>
      <c r="G187" s="9"/>
      <c r="H187" s="9"/>
      <c r="I187" s="9"/>
    </row>
    <row r="188" customFormat="false" ht="15" hidden="false" customHeight="false" outlineLevel="0" collapsed="false">
      <c r="A188" s="9"/>
      <c r="B188" s="9"/>
      <c r="C188" s="9"/>
      <c r="D188" s="40"/>
      <c r="E188" s="9"/>
      <c r="F188" s="9"/>
      <c r="G188" s="9"/>
      <c r="H188" s="9"/>
      <c r="I188" s="9"/>
    </row>
    <row r="189" customFormat="false" ht="15" hidden="false" customHeight="false" outlineLevel="0" collapsed="false">
      <c r="A189" s="9"/>
      <c r="B189" s="9"/>
      <c r="C189" s="9"/>
      <c r="D189" s="40"/>
      <c r="E189" s="9"/>
      <c r="F189" s="9"/>
      <c r="G189" s="9"/>
      <c r="H189" s="9"/>
      <c r="I189" s="9"/>
    </row>
    <row r="190" customFormat="false" ht="15" hidden="false" customHeight="false" outlineLevel="0" collapsed="false">
      <c r="A190" s="9"/>
      <c r="B190" s="9"/>
      <c r="C190" s="9"/>
      <c r="D190" s="40"/>
      <c r="E190" s="9"/>
      <c r="F190" s="9"/>
      <c r="G190" s="9"/>
      <c r="H190" s="9"/>
      <c r="I190" s="9"/>
    </row>
    <row r="191" customFormat="false" ht="15" hidden="false" customHeight="false" outlineLevel="0" collapsed="false">
      <c r="A191" s="9"/>
      <c r="B191" s="9"/>
      <c r="C191" s="9"/>
      <c r="D191" s="40"/>
      <c r="E191" s="9"/>
      <c r="F191" s="9"/>
      <c r="G191" s="9"/>
      <c r="H191" s="9"/>
      <c r="I191" s="9"/>
    </row>
    <row r="192" customFormat="false" ht="15" hidden="false" customHeight="false" outlineLevel="0" collapsed="false">
      <c r="A192" s="9"/>
      <c r="B192" s="9"/>
      <c r="C192" s="9"/>
      <c r="D192" s="40"/>
      <c r="E192" s="9"/>
      <c r="F192" s="9"/>
      <c r="G192" s="9"/>
      <c r="H192" s="9"/>
      <c r="I192" s="9"/>
    </row>
    <row r="193" customFormat="false" ht="15" hidden="false" customHeight="false" outlineLevel="0" collapsed="false">
      <c r="A193" s="9"/>
      <c r="B193" s="9"/>
      <c r="C193" s="9"/>
      <c r="D193" s="40"/>
      <c r="E193" s="9"/>
      <c r="F193" s="9"/>
      <c r="G193" s="9"/>
      <c r="H193" s="9"/>
      <c r="I193" s="9"/>
    </row>
    <row r="194" customFormat="false" ht="15" hidden="false" customHeight="false" outlineLevel="0" collapsed="false">
      <c r="A194" s="9"/>
      <c r="B194" s="9"/>
      <c r="C194" s="9"/>
      <c r="D194" s="40"/>
      <c r="E194" s="9"/>
      <c r="F194" s="9"/>
      <c r="G194" s="9"/>
      <c r="H194" s="9"/>
      <c r="I194" s="9"/>
    </row>
    <row r="195" customFormat="false" ht="15" hidden="false" customHeight="false" outlineLevel="0" collapsed="false">
      <c r="A195" s="9"/>
      <c r="B195" s="9"/>
      <c r="C195" s="9"/>
      <c r="D195" s="40"/>
      <c r="E195" s="9"/>
      <c r="F195" s="9"/>
      <c r="G195" s="9"/>
      <c r="H195" s="9"/>
      <c r="I195" s="9"/>
    </row>
    <row r="196" customFormat="false" ht="15" hidden="false" customHeight="false" outlineLevel="0" collapsed="false">
      <c r="A196" s="9"/>
      <c r="B196" s="9"/>
      <c r="C196" s="9"/>
      <c r="D196" s="40"/>
      <c r="E196" s="9"/>
      <c r="F196" s="9"/>
      <c r="G196" s="9"/>
      <c r="H196" s="9"/>
      <c r="I196" s="9"/>
    </row>
    <row r="197" customFormat="false" ht="15" hidden="false" customHeight="false" outlineLevel="0" collapsed="false">
      <c r="A197" s="9"/>
      <c r="B197" s="9"/>
      <c r="C197" s="9"/>
      <c r="D197" s="40"/>
      <c r="E197" s="9"/>
      <c r="F197" s="9"/>
      <c r="G197" s="9"/>
      <c r="H197" s="9"/>
      <c r="I197" s="9"/>
    </row>
    <row r="198" customFormat="false" ht="15" hidden="false" customHeight="false" outlineLevel="0" collapsed="false">
      <c r="A198" s="9"/>
      <c r="B198" s="9"/>
      <c r="C198" s="9"/>
      <c r="D198" s="40"/>
      <c r="E198" s="9"/>
      <c r="F198" s="9"/>
      <c r="G198" s="9"/>
      <c r="H198" s="9"/>
      <c r="I198" s="9"/>
    </row>
    <row r="199" customFormat="false" ht="15" hidden="false" customHeight="false" outlineLevel="0" collapsed="false">
      <c r="A199" s="9"/>
      <c r="B199" s="9"/>
      <c r="C199" s="9"/>
      <c r="D199" s="40"/>
      <c r="E199" s="9"/>
      <c r="F199" s="9"/>
      <c r="G199" s="9"/>
      <c r="H199" s="9"/>
      <c r="I199" s="9"/>
    </row>
    <row r="200" customFormat="false" ht="15" hidden="false" customHeight="false" outlineLevel="0" collapsed="false">
      <c r="A200" s="9"/>
      <c r="B200" s="9"/>
      <c r="C200" s="9"/>
      <c r="D200" s="40"/>
      <c r="E200" s="9"/>
      <c r="F200" s="9"/>
      <c r="G200" s="9"/>
      <c r="H200" s="9"/>
      <c r="I200" s="9"/>
    </row>
    <row r="201" customFormat="false" ht="15" hidden="false" customHeight="false" outlineLevel="0" collapsed="false">
      <c r="A201" s="9"/>
      <c r="B201" s="9"/>
      <c r="C201" s="9"/>
      <c r="D201" s="40"/>
      <c r="E201" s="9"/>
      <c r="F201" s="9"/>
      <c r="G201" s="9"/>
      <c r="H201" s="9"/>
      <c r="I201" s="9"/>
    </row>
    <row r="202" customFormat="false" ht="15" hidden="false" customHeight="false" outlineLevel="0" collapsed="false">
      <c r="A202" s="9"/>
      <c r="B202" s="9"/>
      <c r="C202" s="9"/>
      <c r="D202" s="40"/>
      <c r="E202" s="9"/>
      <c r="F202" s="9"/>
      <c r="G202" s="9"/>
      <c r="H202" s="9"/>
      <c r="I202" s="9"/>
    </row>
    <row r="203" customFormat="false" ht="15" hidden="false" customHeight="false" outlineLevel="0" collapsed="false">
      <c r="A203" s="9"/>
      <c r="B203" s="9"/>
      <c r="C203" s="9"/>
      <c r="D203" s="40"/>
      <c r="E203" s="9"/>
      <c r="F203" s="9"/>
      <c r="G203" s="9"/>
      <c r="H203" s="9"/>
      <c r="I203" s="9"/>
    </row>
    <row r="204" customFormat="false" ht="15" hidden="false" customHeight="false" outlineLevel="0" collapsed="false">
      <c r="A204" s="9"/>
      <c r="B204" s="9"/>
      <c r="C204" s="9"/>
      <c r="D204" s="40"/>
      <c r="E204" s="9"/>
      <c r="F204" s="9"/>
      <c r="G204" s="9"/>
      <c r="H204" s="9"/>
      <c r="I204" s="9"/>
    </row>
    <row r="205" customFormat="false" ht="15" hidden="false" customHeight="false" outlineLevel="0" collapsed="false">
      <c r="A205" s="9"/>
      <c r="B205" s="9"/>
      <c r="C205" s="9"/>
      <c r="D205" s="40"/>
      <c r="E205" s="9"/>
      <c r="F205" s="9"/>
      <c r="G205" s="9"/>
      <c r="H205" s="9"/>
      <c r="I205" s="9"/>
    </row>
    <row r="206" customFormat="false" ht="15" hidden="false" customHeight="false" outlineLevel="0" collapsed="false">
      <c r="A206" s="9"/>
      <c r="B206" s="9"/>
      <c r="C206" s="9"/>
      <c r="D206" s="40"/>
      <c r="E206" s="9"/>
      <c r="F206" s="9"/>
      <c r="G206" s="9"/>
      <c r="H206" s="9"/>
      <c r="I206" s="9"/>
    </row>
    <row r="207" customFormat="false" ht="15" hidden="false" customHeight="false" outlineLevel="0" collapsed="false">
      <c r="A207" s="9"/>
      <c r="B207" s="9"/>
      <c r="C207" s="9"/>
      <c r="D207" s="40"/>
      <c r="E207" s="9"/>
      <c r="F207" s="9"/>
      <c r="G207" s="9"/>
      <c r="H207" s="9"/>
      <c r="I207" s="9"/>
    </row>
    <row r="208" customFormat="false" ht="15" hidden="false" customHeight="false" outlineLevel="0" collapsed="false">
      <c r="A208" s="9"/>
      <c r="B208" s="9"/>
      <c r="C208" s="9"/>
      <c r="D208" s="40"/>
      <c r="E208" s="9"/>
      <c r="F208" s="9"/>
      <c r="G208" s="9"/>
      <c r="H208" s="9"/>
      <c r="I208" s="9"/>
    </row>
    <row r="209" customFormat="false" ht="15" hidden="false" customHeight="false" outlineLevel="0" collapsed="false">
      <c r="A209" s="9"/>
      <c r="B209" s="9"/>
      <c r="C209" s="9"/>
      <c r="D209" s="40"/>
      <c r="E209" s="9"/>
      <c r="F209" s="9"/>
      <c r="G209" s="9"/>
      <c r="H209" s="9"/>
      <c r="I209" s="9"/>
    </row>
    <row r="210" customFormat="false" ht="15" hidden="false" customHeight="false" outlineLevel="0" collapsed="false">
      <c r="A210" s="9"/>
      <c r="B210" s="9"/>
      <c r="C210" s="9"/>
      <c r="D210" s="40"/>
      <c r="E210" s="9"/>
      <c r="F210" s="9"/>
      <c r="G210" s="9"/>
      <c r="H210" s="9"/>
      <c r="I210" s="9"/>
    </row>
    <row r="211" customFormat="false" ht="15" hidden="false" customHeight="false" outlineLevel="0" collapsed="false">
      <c r="A211" s="9"/>
      <c r="B211" s="9"/>
      <c r="C211" s="9"/>
      <c r="D211" s="40"/>
      <c r="E211" s="9"/>
      <c r="F211" s="9"/>
      <c r="G211" s="9"/>
      <c r="H211" s="9"/>
      <c r="I211" s="9"/>
    </row>
    <row r="212" customFormat="false" ht="15" hidden="false" customHeight="false" outlineLevel="0" collapsed="false">
      <c r="A212" s="9"/>
      <c r="B212" s="9"/>
      <c r="C212" s="9"/>
      <c r="D212" s="40"/>
      <c r="E212" s="9"/>
      <c r="F212" s="9"/>
      <c r="G212" s="9"/>
      <c r="H212" s="9"/>
      <c r="I212" s="9"/>
    </row>
    <row r="213" customFormat="false" ht="15" hidden="false" customHeight="false" outlineLevel="0" collapsed="false">
      <c r="A213" s="9"/>
      <c r="B213" s="9"/>
      <c r="C213" s="9"/>
      <c r="D213" s="40"/>
      <c r="E213" s="9"/>
      <c r="F213" s="9"/>
      <c r="G213" s="9"/>
      <c r="H213" s="9"/>
      <c r="I213" s="9"/>
    </row>
    <row r="214" customFormat="false" ht="15" hidden="false" customHeight="false" outlineLevel="0" collapsed="false">
      <c r="A214" s="9"/>
      <c r="B214" s="9"/>
      <c r="C214" s="9"/>
      <c r="D214" s="40"/>
      <c r="E214" s="9"/>
      <c r="F214" s="9"/>
      <c r="G214" s="9"/>
      <c r="H214" s="9"/>
      <c r="I214" s="9"/>
    </row>
    <row r="215" customFormat="false" ht="15" hidden="false" customHeight="false" outlineLevel="0" collapsed="false">
      <c r="A215" s="9"/>
      <c r="B215" s="9"/>
      <c r="C215" s="9"/>
      <c r="D215" s="40"/>
      <c r="E215" s="9"/>
      <c r="F215" s="9"/>
      <c r="G215" s="9"/>
      <c r="H215" s="9"/>
      <c r="I215" s="9"/>
    </row>
    <row r="216" customFormat="false" ht="15" hidden="false" customHeight="false" outlineLevel="0" collapsed="false">
      <c r="A216" s="9"/>
      <c r="B216" s="9"/>
      <c r="C216" s="9"/>
      <c r="D216" s="40"/>
      <c r="E216" s="9"/>
      <c r="F216" s="9"/>
      <c r="G216" s="9"/>
      <c r="H216" s="9"/>
      <c r="I216" s="9"/>
    </row>
    <row r="217" customFormat="false" ht="15" hidden="false" customHeight="false" outlineLevel="0" collapsed="false">
      <c r="A217" s="9"/>
      <c r="B217" s="9"/>
      <c r="C217" s="9"/>
      <c r="D217" s="40"/>
      <c r="E217" s="9"/>
      <c r="F217" s="9"/>
      <c r="G217" s="9"/>
      <c r="H217" s="9"/>
      <c r="I217" s="9"/>
    </row>
    <row r="218" customFormat="false" ht="15" hidden="false" customHeight="false" outlineLevel="0" collapsed="false">
      <c r="A218" s="9"/>
      <c r="B218" s="9"/>
      <c r="C218" s="9"/>
      <c r="D218" s="40"/>
      <c r="E218" s="9"/>
      <c r="F218" s="9"/>
      <c r="G218" s="9"/>
      <c r="H218" s="9"/>
      <c r="I218" s="9"/>
    </row>
    <row r="219" customFormat="false" ht="15" hidden="false" customHeight="false" outlineLevel="0" collapsed="false">
      <c r="A219" s="9"/>
      <c r="B219" s="9"/>
      <c r="C219" s="9"/>
      <c r="D219" s="40"/>
      <c r="E219" s="9"/>
      <c r="F219" s="9"/>
      <c r="G219" s="9"/>
      <c r="H219" s="9"/>
      <c r="I219" s="9"/>
    </row>
    <row r="220" customFormat="false" ht="15" hidden="false" customHeight="false" outlineLevel="0" collapsed="false">
      <c r="A220" s="9"/>
      <c r="B220" s="9"/>
      <c r="C220" s="9"/>
      <c r="D220" s="40"/>
      <c r="E220" s="9"/>
      <c r="F220" s="9"/>
      <c r="G220" s="9"/>
      <c r="H220" s="9"/>
      <c r="I220" s="9"/>
    </row>
    <row r="221" customFormat="false" ht="15" hidden="false" customHeight="false" outlineLevel="0" collapsed="false">
      <c r="A221" s="9"/>
      <c r="B221" s="9"/>
      <c r="C221" s="9"/>
      <c r="D221" s="40"/>
      <c r="E221" s="9"/>
      <c r="F221" s="9"/>
      <c r="G221" s="9"/>
      <c r="H221" s="9"/>
      <c r="I221" s="9"/>
    </row>
    <row r="222" customFormat="false" ht="15" hidden="false" customHeight="false" outlineLevel="0" collapsed="false">
      <c r="A222" s="9"/>
      <c r="B222" s="9"/>
      <c r="C222" s="9"/>
      <c r="D222" s="40"/>
      <c r="E222" s="9"/>
      <c r="F222" s="9"/>
      <c r="G222" s="9"/>
      <c r="H222" s="9"/>
      <c r="I222" s="9"/>
    </row>
    <row r="223" customFormat="false" ht="15" hidden="false" customHeight="false" outlineLevel="0" collapsed="false">
      <c r="A223" s="9"/>
      <c r="B223" s="9"/>
      <c r="C223" s="9"/>
      <c r="D223" s="40"/>
      <c r="E223" s="9"/>
      <c r="F223" s="9"/>
      <c r="G223" s="9"/>
      <c r="H223" s="9"/>
      <c r="I223" s="9"/>
    </row>
    <row r="224" customFormat="false" ht="15" hidden="false" customHeight="false" outlineLevel="0" collapsed="false">
      <c r="A224" s="9"/>
      <c r="B224" s="9"/>
      <c r="C224" s="9"/>
      <c r="D224" s="40"/>
      <c r="E224" s="9"/>
      <c r="F224" s="9"/>
      <c r="G224" s="9"/>
      <c r="H224" s="9"/>
      <c r="I224" s="9"/>
    </row>
    <row r="225" customFormat="false" ht="15" hidden="false" customHeight="false" outlineLevel="0" collapsed="false">
      <c r="A225" s="9"/>
      <c r="B225" s="9"/>
      <c r="C225" s="9"/>
      <c r="D225" s="40"/>
      <c r="E225" s="9"/>
      <c r="F225" s="9"/>
      <c r="G225" s="9"/>
      <c r="H225" s="9"/>
      <c r="I225" s="9"/>
    </row>
    <row r="226" customFormat="false" ht="15" hidden="false" customHeight="false" outlineLevel="0" collapsed="false">
      <c r="A226" s="9"/>
      <c r="B226" s="9"/>
      <c r="C226" s="9"/>
      <c r="D226" s="40"/>
      <c r="E226" s="9"/>
      <c r="F226" s="9"/>
      <c r="G226" s="9"/>
      <c r="H226" s="9"/>
      <c r="I226" s="9"/>
    </row>
    <row r="227" customFormat="false" ht="15" hidden="false" customHeight="false" outlineLevel="0" collapsed="false">
      <c r="A227" s="9"/>
      <c r="B227" s="9"/>
      <c r="C227" s="9"/>
      <c r="D227" s="40"/>
      <c r="E227" s="9"/>
      <c r="F227" s="9"/>
      <c r="G227" s="9"/>
      <c r="H227" s="9"/>
      <c r="I227" s="9"/>
    </row>
    <row r="228" customFormat="false" ht="15" hidden="false" customHeight="false" outlineLevel="0" collapsed="false">
      <c r="A228" s="9"/>
      <c r="B228" s="9"/>
      <c r="C228" s="9"/>
      <c r="D228" s="40"/>
      <c r="E228" s="9"/>
      <c r="F228" s="9"/>
      <c r="G228" s="9"/>
      <c r="H228" s="9"/>
      <c r="I228" s="9"/>
    </row>
    <row r="229" customFormat="false" ht="15" hidden="false" customHeight="false" outlineLevel="0" collapsed="false">
      <c r="A229" s="9"/>
      <c r="B229" s="9"/>
      <c r="C229" s="9"/>
      <c r="D229" s="40"/>
      <c r="E229" s="9"/>
      <c r="F229" s="9"/>
      <c r="G229" s="9"/>
      <c r="H229" s="9"/>
      <c r="I229" s="9"/>
    </row>
    <row r="230" customFormat="false" ht="15" hidden="false" customHeight="false" outlineLevel="0" collapsed="false">
      <c r="A230" s="9"/>
      <c r="B230" s="9"/>
      <c r="C230" s="9"/>
      <c r="D230" s="40"/>
      <c r="E230" s="9"/>
      <c r="F230" s="9"/>
      <c r="G230" s="9"/>
      <c r="H230" s="9"/>
      <c r="I230" s="9"/>
    </row>
    <row r="231" customFormat="false" ht="15" hidden="false" customHeight="false" outlineLevel="0" collapsed="false">
      <c r="A231" s="9"/>
      <c r="B231" s="9"/>
      <c r="C231" s="9"/>
      <c r="D231" s="40"/>
      <c r="E231" s="9"/>
      <c r="F231" s="9"/>
      <c r="G231" s="9"/>
      <c r="H231" s="9"/>
      <c r="I231" s="9"/>
    </row>
    <row r="232" customFormat="false" ht="15" hidden="false" customHeight="false" outlineLevel="0" collapsed="false">
      <c r="A232" s="9"/>
      <c r="B232" s="9"/>
      <c r="C232" s="9"/>
      <c r="D232" s="40"/>
      <c r="E232" s="9"/>
      <c r="F232" s="9"/>
      <c r="G232" s="9"/>
      <c r="H232" s="9"/>
      <c r="I232" s="9"/>
    </row>
    <row r="233" customFormat="false" ht="15" hidden="false" customHeight="false" outlineLevel="0" collapsed="false">
      <c r="A233" s="9"/>
      <c r="B233" s="9"/>
      <c r="C233" s="9"/>
      <c r="D233" s="40"/>
      <c r="E233" s="9"/>
      <c r="F233" s="9"/>
      <c r="G233" s="9"/>
      <c r="H233" s="9"/>
      <c r="I233" s="9"/>
    </row>
    <row r="234" customFormat="false" ht="15" hidden="false" customHeight="false" outlineLevel="0" collapsed="false">
      <c r="A234" s="9"/>
      <c r="B234" s="9"/>
      <c r="C234" s="9"/>
      <c r="D234" s="40"/>
      <c r="E234" s="9"/>
      <c r="F234" s="9"/>
      <c r="G234" s="9"/>
      <c r="H234" s="9"/>
      <c r="I234" s="9"/>
    </row>
    <row r="235" customFormat="false" ht="15" hidden="false" customHeight="false" outlineLevel="0" collapsed="false">
      <c r="A235" s="9"/>
      <c r="B235" s="9"/>
      <c r="C235" s="9"/>
      <c r="D235" s="40"/>
      <c r="E235" s="9"/>
      <c r="F235" s="9"/>
      <c r="G235" s="9"/>
      <c r="H235" s="9"/>
      <c r="I235" s="9"/>
    </row>
    <row r="236" customFormat="false" ht="15" hidden="false" customHeight="false" outlineLevel="0" collapsed="false">
      <c r="A236" s="9"/>
      <c r="B236" s="9"/>
      <c r="C236" s="9"/>
      <c r="D236" s="40"/>
      <c r="E236" s="9"/>
      <c r="F236" s="9"/>
      <c r="G236" s="9"/>
      <c r="H236" s="9"/>
      <c r="I236" s="9"/>
    </row>
    <row r="237" customFormat="false" ht="15" hidden="false" customHeight="false" outlineLevel="0" collapsed="false">
      <c r="A237" s="9"/>
      <c r="B237" s="9"/>
      <c r="C237" s="9"/>
      <c r="D237" s="40"/>
      <c r="E237" s="9"/>
      <c r="F237" s="9"/>
      <c r="G237" s="9"/>
      <c r="H237" s="9"/>
      <c r="I237" s="9"/>
    </row>
    <row r="238" customFormat="false" ht="15" hidden="false" customHeight="false" outlineLevel="0" collapsed="false">
      <c r="A238" s="9"/>
      <c r="B238" s="9"/>
      <c r="C238" s="9"/>
      <c r="D238" s="40"/>
      <c r="E238" s="9"/>
      <c r="F238" s="9"/>
      <c r="G238" s="9"/>
      <c r="H238" s="9"/>
      <c r="I238" s="9"/>
    </row>
    <row r="239" customFormat="false" ht="15" hidden="false" customHeight="false" outlineLevel="0" collapsed="false">
      <c r="A239" s="9"/>
      <c r="B239" s="9"/>
      <c r="C239" s="9"/>
      <c r="D239" s="40"/>
      <c r="E239" s="9"/>
      <c r="F239" s="9"/>
      <c r="G239" s="9"/>
      <c r="H239" s="9"/>
      <c r="I239" s="9"/>
    </row>
    <row r="240" customFormat="false" ht="15" hidden="false" customHeight="false" outlineLevel="0" collapsed="false">
      <c r="A240" s="9"/>
      <c r="B240" s="9"/>
      <c r="C240" s="9"/>
      <c r="D240" s="40"/>
      <c r="E240" s="9"/>
      <c r="F240" s="9"/>
      <c r="G240" s="9"/>
      <c r="H240" s="9"/>
      <c r="I240" s="9"/>
    </row>
    <row r="241" customFormat="false" ht="15" hidden="false" customHeight="false" outlineLevel="0" collapsed="false">
      <c r="A241" s="9"/>
      <c r="B241" s="9"/>
      <c r="C241" s="9"/>
      <c r="D241" s="40"/>
      <c r="E241" s="9"/>
      <c r="F241" s="9"/>
      <c r="G241" s="9"/>
      <c r="H241" s="9"/>
      <c r="I241" s="9"/>
    </row>
    <row r="242" customFormat="false" ht="15" hidden="false" customHeight="false" outlineLevel="0" collapsed="false">
      <c r="A242" s="9"/>
      <c r="B242" s="9"/>
      <c r="C242" s="9"/>
      <c r="D242" s="40"/>
      <c r="E242" s="9"/>
      <c r="F242" s="9"/>
      <c r="G242" s="9"/>
      <c r="H242" s="9"/>
      <c r="I242" s="9"/>
    </row>
    <row r="243" customFormat="false" ht="15" hidden="false" customHeight="false" outlineLevel="0" collapsed="false">
      <c r="A243" s="9"/>
      <c r="B243" s="9"/>
      <c r="C243" s="9"/>
      <c r="D243" s="40"/>
      <c r="E243" s="9"/>
      <c r="F243" s="9"/>
      <c r="G243" s="9"/>
      <c r="H243" s="9"/>
      <c r="I243" s="9"/>
    </row>
    <row r="244" customFormat="false" ht="15" hidden="false" customHeight="false" outlineLevel="0" collapsed="false">
      <c r="A244" s="9"/>
      <c r="B244" s="9"/>
      <c r="C244" s="9"/>
      <c r="D244" s="40"/>
      <c r="E244" s="9"/>
      <c r="F244" s="9"/>
      <c r="G244" s="9"/>
      <c r="H244" s="9"/>
      <c r="I244" s="9"/>
    </row>
    <row r="245" customFormat="false" ht="15" hidden="false" customHeight="false" outlineLevel="0" collapsed="false">
      <c r="A245" s="9"/>
      <c r="B245" s="9"/>
      <c r="C245" s="9"/>
      <c r="D245" s="40"/>
      <c r="E245" s="9"/>
      <c r="F245" s="9"/>
      <c r="G245" s="9"/>
      <c r="H245" s="9"/>
      <c r="I245" s="9"/>
    </row>
    <row r="246" customFormat="false" ht="15" hidden="false" customHeight="false" outlineLevel="0" collapsed="false">
      <c r="A246" s="9"/>
      <c r="B246" s="9"/>
      <c r="C246" s="9"/>
      <c r="D246" s="40"/>
      <c r="E246" s="9"/>
      <c r="F246" s="9"/>
      <c r="G246" s="9"/>
      <c r="H246" s="9"/>
      <c r="I246" s="9"/>
    </row>
    <row r="247" customFormat="false" ht="15" hidden="false" customHeight="false" outlineLevel="0" collapsed="false">
      <c r="A247" s="9"/>
      <c r="B247" s="9"/>
      <c r="C247" s="9"/>
      <c r="D247" s="40"/>
      <c r="E247" s="9"/>
      <c r="F247" s="9"/>
      <c r="G247" s="9"/>
      <c r="H247" s="9"/>
      <c r="I247" s="9"/>
    </row>
    <row r="248" customFormat="false" ht="15" hidden="false" customHeight="false" outlineLevel="0" collapsed="false">
      <c r="A248" s="9"/>
      <c r="B248" s="9"/>
      <c r="C248" s="9"/>
      <c r="D248" s="40"/>
      <c r="E248" s="9"/>
      <c r="F248" s="9"/>
      <c r="G248" s="9"/>
      <c r="H248" s="9"/>
      <c r="I248" s="9"/>
    </row>
    <row r="249" customFormat="false" ht="15" hidden="false" customHeight="false" outlineLevel="0" collapsed="false">
      <c r="A249" s="9"/>
      <c r="B249" s="9"/>
      <c r="C249" s="9"/>
      <c r="D249" s="40"/>
      <c r="E249" s="9"/>
      <c r="F249" s="9"/>
      <c r="G249" s="9"/>
      <c r="H249" s="9"/>
      <c r="I249" s="9"/>
    </row>
    <row r="250" customFormat="false" ht="15" hidden="false" customHeight="false" outlineLevel="0" collapsed="false">
      <c r="A250" s="9"/>
      <c r="B250" s="9"/>
      <c r="C250" s="9"/>
      <c r="D250" s="40"/>
      <c r="E250" s="9"/>
      <c r="F250" s="9"/>
      <c r="G250" s="9"/>
      <c r="H250" s="9"/>
      <c r="I250" s="9"/>
    </row>
    <row r="251" customFormat="false" ht="15" hidden="false" customHeight="false" outlineLevel="0" collapsed="false">
      <c r="A251" s="9"/>
      <c r="B251" s="9"/>
      <c r="C251" s="9"/>
      <c r="D251" s="40"/>
      <c r="E251" s="9"/>
      <c r="F251" s="9"/>
      <c r="G251" s="9"/>
      <c r="H251" s="9"/>
      <c r="I251" s="9"/>
    </row>
    <row r="252" customFormat="false" ht="15" hidden="false" customHeight="false" outlineLevel="0" collapsed="false">
      <c r="A252" s="9"/>
      <c r="B252" s="9"/>
      <c r="C252" s="9"/>
      <c r="D252" s="40"/>
      <c r="E252" s="9"/>
      <c r="F252" s="9"/>
      <c r="G252" s="9"/>
      <c r="H252" s="9"/>
      <c r="I252" s="9"/>
    </row>
    <row r="253" customFormat="false" ht="15" hidden="false" customHeight="false" outlineLevel="0" collapsed="false">
      <c r="A253" s="9"/>
      <c r="B253" s="9"/>
      <c r="C253" s="9"/>
      <c r="D253" s="40"/>
      <c r="E253" s="9"/>
      <c r="F253" s="9"/>
      <c r="G253" s="9"/>
      <c r="H253" s="9"/>
      <c r="I253" s="9"/>
    </row>
    <row r="254" customFormat="false" ht="15" hidden="false" customHeight="false" outlineLevel="0" collapsed="false">
      <c r="A254" s="9"/>
      <c r="B254" s="9"/>
      <c r="C254" s="9"/>
      <c r="D254" s="40"/>
      <c r="E254" s="9"/>
      <c r="F254" s="9"/>
      <c r="G254" s="9"/>
      <c r="H254" s="9"/>
      <c r="I254" s="9"/>
    </row>
    <row r="255" customFormat="false" ht="15" hidden="false" customHeight="false" outlineLevel="0" collapsed="false">
      <c r="A255" s="9"/>
      <c r="B255" s="9"/>
      <c r="C255" s="9"/>
      <c r="D255" s="40"/>
      <c r="E255" s="9"/>
      <c r="F255" s="9"/>
      <c r="G255" s="9"/>
      <c r="H255" s="9"/>
      <c r="I255" s="9"/>
    </row>
    <row r="256" customFormat="false" ht="15" hidden="false" customHeight="false" outlineLevel="0" collapsed="false">
      <c r="A256" s="9"/>
      <c r="B256" s="9"/>
      <c r="C256" s="9"/>
      <c r="D256" s="40"/>
      <c r="E256" s="9"/>
      <c r="F256" s="9"/>
      <c r="G256" s="9"/>
      <c r="H256" s="9"/>
      <c r="I256" s="9"/>
    </row>
    <row r="257" customFormat="false" ht="15" hidden="false" customHeight="false" outlineLevel="0" collapsed="false">
      <c r="A257" s="9"/>
      <c r="B257" s="9"/>
      <c r="C257" s="9"/>
      <c r="D257" s="40"/>
      <c r="E257" s="9"/>
      <c r="F257" s="9"/>
      <c r="G257" s="9"/>
      <c r="H257" s="9"/>
      <c r="I257" s="9"/>
    </row>
    <row r="258" customFormat="false" ht="15" hidden="false" customHeight="false" outlineLevel="0" collapsed="false">
      <c r="A258" s="9"/>
      <c r="B258" s="9"/>
      <c r="C258" s="9"/>
      <c r="D258" s="40"/>
      <c r="E258" s="9"/>
      <c r="F258" s="9"/>
      <c r="G258" s="9"/>
      <c r="H258" s="9"/>
      <c r="I258" s="9"/>
    </row>
    <row r="259" customFormat="false" ht="15" hidden="false" customHeight="false" outlineLevel="0" collapsed="false">
      <c r="A259" s="9"/>
      <c r="B259" s="9"/>
      <c r="C259" s="9"/>
      <c r="D259" s="40"/>
      <c r="E259" s="9"/>
      <c r="F259" s="9"/>
      <c r="G259" s="9"/>
      <c r="H259" s="9"/>
      <c r="I259" s="9"/>
    </row>
    <row r="260" customFormat="false" ht="15" hidden="false" customHeight="false" outlineLevel="0" collapsed="false">
      <c r="A260" s="9"/>
      <c r="B260" s="9"/>
      <c r="C260" s="9"/>
      <c r="D260" s="40"/>
      <c r="E260" s="9"/>
      <c r="F260" s="9"/>
      <c r="G260" s="9"/>
      <c r="H260" s="9"/>
      <c r="I260" s="9"/>
    </row>
    <row r="261" customFormat="false" ht="15" hidden="false" customHeight="false" outlineLevel="0" collapsed="false">
      <c r="A261" s="9"/>
      <c r="B261" s="9"/>
      <c r="C261" s="9"/>
      <c r="D261" s="40"/>
      <c r="E261" s="9"/>
      <c r="F261" s="9"/>
      <c r="G261" s="9"/>
      <c r="H261" s="9"/>
      <c r="I261" s="9"/>
    </row>
    <row r="262" customFormat="false" ht="15" hidden="false" customHeight="false" outlineLevel="0" collapsed="false">
      <c r="A262" s="9"/>
      <c r="B262" s="9"/>
      <c r="C262" s="9"/>
      <c r="D262" s="40"/>
      <c r="E262" s="9"/>
      <c r="F262" s="9"/>
      <c r="G262" s="9"/>
      <c r="H262" s="9"/>
      <c r="I262" s="9"/>
    </row>
    <row r="263" customFormat="false" ht="15" hidden="false" customHeight="false" outlineLevel="0" collapsed="false">
      <c r="A263" s="9"/>
      <c r="B263" s="9"/>
      <c r="C263" s="9"/>
      <c r="D263" s="40"/>
      <c r="E263" s="9"/>
      <c r="F263" s="9"/>
      <c r="G263" s="9"/>
      <c r="H263" s="9"/>
      <c r="I263" s="9"/>
    </row>
    <row r="264" customFormat="false" ht="15" hidden="false" customHeight="false" outlineLevel="0" collapsed="false">
      <c r="A264" s="9"/>
      <c r="B264" s="9"/>
      <c r="C264" s="9"/>
      <c r="D264" s="40"/>
      <c r="E264" s="9"/>
      <c r="F264" s="9"/>
      <c r="G264" s="9"/>
      <c r="H264" s="9"/>
      <c r="I264" s="9"/>
    </row>
    <row r="265" customFormat="false" ht="15" hidden="false" customHeight="false" outlineLevel="0" collapsed="false">
      <c r="A265" s="9"/>
      <c r="B265" s="9"/>
      <c r="C265" s="9"/>
      <c r="D265" s="40"/>
      <c r="E265" s="9"/>
      <c r="F265" s="9"/>
      <c r="G265" s="9"/>
      <c r="H265" s="9"/>
      <c r="I265" s="9"/>
    </row>
    <row r="266" customFormat="false" ht="15" hidden="false" customHeight="false" outlineLevel="0" collapsed="false">
      <c r="A266" s="9"/>
      <c r="B266" s="9"/>
      <c r="C266" s="9"/>
      <c r="D266" s="40"/>
      <c r="E266" s="9"/>
      <c r="F266" s="9"/>
      <c r="G266" s="9"/>
      <c r="H266" s="9"/>
      <c r="I266" s="9"/>
    </row>
    <row r="267" customFormat="false" ht="15" hidden="false" customHeight="false" outlineLevel="0" collapsed="false">
      <c r="A267" s="9"/>
      <c r="B267" s="9"/>
      <c r="C267" s="9"/>
      <c r="D267" s="40"/>
      <c r="E267" s="9"/>
      <c r="F267" s="9"/>
      <c r="G267" s="9"/>
      <c r="H267" s="9"/>
      <c r="I267" s="9"/>
    </row>
    <row r="268" customFormat="false" ht="15" hidden="false" customHeight="false" outlineLevel="0" collapsed="false">
      <c r="A268" s="9"/>
      <c r="B268" s="9"/>
      <c r="C268" s="9"/>
      <c r="D268" s="40"/>
      <c r="E268" s="9"/>
      <c r="F268" s="9"/>
      <c r="G268" s="9"/>
      <c r="H268" s="9"/>
      <c r="I268" s="9"/>
    </row>
    <row r="269" customFormat="false" ht="15" hidden="false" customHeight="false" outlineLevel="0" collapsed="false">
      <c r="A269" s="9"/>
      <c r="B269" s="9"/>
      <c r="C269" s="9"/>
      <c r="D269" s="40"/>
      <c r="E269" s="9"/>
      <c r="F269" s="9"/>
      <c r="G269" s="9"/>
      <c r="H269" s="9"/>
      <c r="I269" s="9"/>
    </row>
    <row r="270" customFormat="false" ht="15" hidden="false" customHeight="false" outlineLevel="0" collapsed="false">
      <c r="A270" s="9"/>
      <c r="B270" s="9"/>
      <c r="C270" s="9"/>
      <c r="D270" s="40"/>
      <c r="E270" s="9"/>
      <c r="F270" s="9"/>
      <c r="G270" s="9"/>
      <c r="H270" s="9"/>
      <c r="I270" s="9"/>
    </row>
    <row r="271" customFormat="false" ht="15" hidden="false" customHeight="false" outlineLevel="0" collapsed="false">
      <c r="A271" s="9"/>
      <c r="B271" s="9"/>
      <c r="C271" s="9"/>
      <c r="D271" s="40"/>
      <c r="E271" s="9"/>
      <c r="F271" s="9"/>
      <c r="G271" s="9"/>
      <c r="H271" s="9"/>
      <c r="I271" s="9"/>
    </row>
    <row r="272" customFormat="false" ht="15" hidden="false" customHeight="false" outlineLevel="0" collapsed="false">
      <c r="A272" s="9"/>
      <c r="B272" s="9"/>
      <c r="C272" s="9"/>
      <c r="D272" s="40"/>
      <c r="E272" s="9"/>
      <c r="F272" s="9"/>
      <c r="G272" s="9"/>
      <c r="H272" s="9"/>
      <c r="I272" s="9"/>
    </row>
    <row r="273" customFormat="false" ht="15" hidden="false" customHeight="false" outlineLevel="0" collapsed="false">
      <c r="A273" s="9"/>
      <c r="B273" s="9"/>
      <c r="C273" s="9"/>
      <c r="D273" s="40"/>
      <c r="E273" s="9"/>
      <c r="F273" s="9"/>
      <c r="G273" s="9"/>
      <c r="H273" s="9"/>
      <c r="I273" s="9"/>
    </row>
    <row r="274" customFormat="false" ht="15" hidden="false" customHeight="false" outlineLevel="0" collapsed="false">
      <c r="A274" s="9"/>
      <c r="B274" s="9"/>
      <c r="C274" s="9"/>
      <c r="D274" s="40"/>
      <c r="E274" s="9"/>
      <c r="F274" s="9"/>
      <c r="G274" s="9"/>
      <c r="H274" s="9"/>
      <c r="I274" s="9"/>
    </row>
    <row r="275" customFormat="false" ht="15" hidden="false" customHeight="false" outlineLevel="0" collapsed="false">
      <c r="A275" s="9"/>
      <c r="B275" s="9"/>
      <c r="C275" s="9"/>
      <c r="D275" s="40"/>
      <c r="E275" s="9"/>
      <c r="F275" s="9"/>
      <c r="G275" s="9"/>
      <c r="H275" s="9"/>
      <c r="I275" s="9"/>
    </row>
    <row r="276" customFormat="false" ht="15" hidden="false" customHeight="false" outlineLevel="0" collapsed="false">
      <c r="A276" s="9"/>
      <c r="B276" s="9"/>
      <c r="C276" s="9"/>
      <c r="D276" s="40"/>
      <c r="E276" s="9"/>
      <c r="F276" s="9"/>
      <c r="G276" s="9"/>
      <c r="H276" s="9"/>
      <c r="I276" s="9"/>
    </row>
    <row r="277" customFormat="false" ht="15" hidden="false" customHeight="false" outlineLevel="0" collapsed="false">
      <c r="A277" s="9"/>
      <c r="B277" s="9"/>
      <c r="C277" s="9"/>
      <c r="D277" s="40"/>
      <c r="E277" s="9"/>
      <c r="F277" s="9"/>
      <c r="G277" s="9"/>
      <c r="H277" s="9"/>
      <c r="I277" s="9"/>
    </row>
    <row r="278" customFormat="false" ht="15" hidden="false" customHeight="false" outlineLevel="0" collapsed="false">
      <c r="A278" s="9"/>
      <c r="B278" s="9"/>
      <c r="C278" s="9"/>
      <c r="D278" s="40"/>
      <c r="E278" s="9"/>
      <c r="F278" s="9"/>
      <c r="G278" s="9"/>
      <c r="H278" s="9"/>
      <c r="I278" s="9"/>
    </row>
    <row r="279" customFormat="false" ht="15" hidden="false" customHeight="false" outlineLevel="0" collapsed="false">
      <c r="A279" s="9"/>
      <c r="B279" s="9"/>
      <c r="C279" s="9"/>
      <c r="D279" s="40"/>
      <c r="E279" s="9"/>
      <c r="F279" s="9"/>
      <c r="G279" s="9"/>
      <c r="H279" s="9"/>
      <c r="I279" s="9"/>
    </row>
    <row r="280" customFormat="false" ht="15" hidden="false" customHeight="false" outlineLevel="0" collapsed="false">
      <c r="A280" s="9"/>
      <c r="B280" s="9"/>
      <c r="C280" s="9"/>
      <c r="D280" s="40"/>
      <c r="E280" s="9"/>
      <c r="F280" s="9"/>
      <c r="G280" s="9"/>
      <c r="H280" s="9"/>
      <c r="I280" s="9"/>
    </row>
    <row r="281" customFormat="false" ht="15" hidden="false" customHeight="false" outlineLevel="0" collapsed="false">
      <c r="A281" s="9"/>
      <c r="B281" s="9"/>
      <c r="C281" s="9"/>
      <c r="D281" s="40"/>
      <c r="E281" s="9"/>
      <c r="F281" s="9"/>
      <c r="G281" s="9"/>
      <c r="H281" s="9"/>
      <c r="I281" s="9"/>
    </row>
    <row r="282" customFormat="false" ht="15" hidden="false" customHeight="false" outlineLevel="0" collapsed="false">
      <c r="A282" s="9"/>
      <c r="B282" s="9"/>
      <c r="C282" s="9"/>
      <c r="D282" s="40"/>
      <c r="E282" s="9"/>
      <c r="F282" s="9"/>
      <c r="G282" s="9"/>
      <c r="H282" s="9"/>
      <c r="I282" s="9"/>
    </row>
    <row r="283" customFormat="false" ht="15" hidden="false" customHeight="false" outlineLevel="0" collapsed="false">
      <c r="A283" s="9"/>
      <c r="B283" s="9"/>
      <c r="C283" s="9"/>
      <c r="D283" s="40"/>
      <c r="E283" s="9"/>
      <c r="F283" s="9"/>
      <c r="G283" s="9"/>
      <c r="H283" s="9"/>
      <c r="I283" s="9"/>
    </row>
    <row r="284" customFormat="false" ht="15" hidden="false" customHeight="false" outlineLevel="0" collapsed="false">
      <c r="A284" s="9"/>
      <c r="B284" s="9"/>
      <c r="C284" s="9"/>
      <c r="D284" s="40"/>
      <c r="E284" s="9"/>
      <c r="F284" s="9"/>
      <c r="G284" s="9"/>
      <c r="H284" s="9"/>
      <c r="I284" s="9"/>
    </row>
    <row r="285" customFormat="false" ht="15" hidden="false" customHeight="false" outlineLevel="0" collapsed="false">
      <c r="A285" s="9"/>
      <c r="B285" s="9"/>
      <c r="C285" s="9"/>
      <c r="D285" s="40"/>
      <c r="E285" s="9"/>
      <c r="F285" s="9"/>
      <c r="G285" s="9"/>
      <c r="H285" s="9"/>
      <c r="I285" s="9"/>
    </row>
    <row r="286" customFormat="false" ht="15" hidden="false" customHeight="false" outlineLevel="0" collapsed="false">
      <c r="A286" s="9"/>
      <c r="B286" s="9"/>
      <c r="C286" s="9"/>
      <c r="D286" s="40"/>
      <c r="E286" s="9"/>
      <c r="F286" s="9"/>
      <c r="G286" s="9"/>
      <c r="H286" s="9"/>
      <c r="I286" s="9"/>
    </row>
    <row r="287" customFormat="false" ht="15" hidden="false" customHeight="false" outlineLevel="0" collapsed="false">
      <c r="A287" s="9"/>
      <c r="B287" s="9"/>
      <c r="C287" s="9"/>
      <c r="D287" s="40"/>
      <c r="E287" s="9"/>
      <c r="F287" s="9"/>
      <c r="G287" s="9"/>
      <c r="H287" s="9"/>
      <c r="I287" s="9"/>
    </row>
    <row r="288" customFormat="false" ht="15" hidden="false" customHeight="false" outlineLevel="0" collapsed="false">
      <c r="A288" s="9"/>
      <c r="B288" s="9"/>
      <c r="C288" s="9"/>
      <c r="D288" s="40"/>
      <c r="E288" s="9"/>
      <c r="F288" s="9"/>
      <c r="G288" s="9"/>
      <c r="H288" s="9"/>
      <c r="I288" s="9"/>
    </row>
    <row r="289" customFormat="false" ht="15" hidden="false" customHeight="false" outlineLevel="0" collapsed="false">
      <c r="A289" s="9"/>
      <c r="B289" s="9"/>
      <c r="C289" s="9"/>
      <c r="D289" s="40"/>
      <c r="E289" s="9"/>
      <c r="F289" s="9"/>
      <c r="G289" s="9"/>
      <c r="H289" s="9"/>
      <c r="I289" s="9"/>
    </row>
    <row r="290" customFormat="false" ht="15" hidden="false" customHeight="false" outlineLevel="0" collapsed="false">
      <c r="A290" s="9"/>
      <c r="B290" s="9"/>
      <c r="C290" s="9"/>
      <c r="D290" s="40"/>
      <c r="E290" s="9"/>
      <c r="F290" s="9"/>
      <c r="G290" s="9"/>
      <c r="H290" s="9"/>
      <c r="I290" s="9"/>
    </row>
    <row r="291" customFormat="false" ht="15" hidden="false" customHeight="false" outlineLevel="0" collapsed="false">
      <c r="A291" s="9"/>
      <c r="B291" s="9"/>
      <c r="C291" s="9"/>
      <c r="D291" s="40"/>
      <c r="E291" s="9"/>
      <c r="F291" s="9"/>
      <c r="G291" s="9"/>
      <c r="H291" s="9"/>
      <c r="I291" s="9"/>
    </row>
    <row r="292" customFormat="false" ht="15" hidden="false" customHeight="false" outlineLevel="0" collapsed="false">
      <c r="A292" s="9"/>
      <c r="B292" s="9"/>
      <c r="C292" s="9"/>
      <c r="D292" s="40"/>
      <c r="E292" s="9"/>
      <c r="F292" s="9"/>
      <c r="G292" s="9"/>
      <c r="H292" s="9"/>
      <c r="I292" s="9"/>
    </row>
    <row r="293" customFormat="false" ht="15" hidden="false" customHeight="false" outlineLevel="0" collapsed="false">
      <c r="A293" s="9"/>
      <c r="B293" s="9"/>
      <c r="C293" s="9"/>
      <c r="D293" s="40"/>
      <c r="E293" s="9"/>
      <c r="F293" s="9"/>
      <c r="G293" s="9"/>
      <c r="H293" s="9"/>
      <c r="I293" s="9"/>
    </row>
    <row r="294" customFormat="false" ht="15" hidden="false" customHeight="false" outlineLevel="0" collapsed="false">
      <c r="A294" s="9"/>
      <c r="B294" s="9"/>
      <c r="C294" s="9"/>
      <c r="D294" s="40"/>
      <c r="E294" s="9"/>
      <c r="F294" s="9"/>
      <c r="G294" s="9"/>
      <c r="H294" s="9"/>
      <c r="I294" s="9"/>
    </row>
    <row r="295" customFormat="false" ht="15" hidden="false" customHeight="false" outlineLevel="0" collapsed="false">
      <c r="A295" s="9"/>
      <c r="B295" s="9"/>
      <c r="C295" s="9"/>
      <c r="D295" s="40"/>
      <c r="E295" s="9"/>
      <c r="F295" s="9"/>
      <c r="G295" s="9"/>
      <c r="H295" s="9"/>
      <c r="I295" s="9"/>
    </row>
    <row r="296" customFormat="false" ht="15" hidden="false" customHeight="false" outlineLevel="0" collapsed="false">
      <c r="A296" s="9"/>
      <c r="B296" s="9"/>
      <c r="C296" s="9"/>
      <c r="D296" s="40"/>
      <c r="E296" s="9"/>
      <c r="F296" s="9"/>
      <c r="G296" s="9"/>
      <c r="H296" s="9"/>
      <c r="I296" s="9"/>
    </row>
    <row r="297" customFormat="false" ht="15" hidden="false" customHeight="false" outlineLevel="0" collapsed="false">
      <c r="A297" s="9"/>
      <c r="B297" s="9"/>
      <c r="C297" s="9"/>
      <c r="D297" s="40"/>
      <c r="E297" s="9"/>
      <c r="F297" s="9"/>
      <c r="G297" s="9"/>
      <c r="H297" s="9"/>
      <c r="I297" s="9"/>
    </row>
    <row r="298" customFormat="false" ht="15" hidden="false" customHeight="false" outlineLevel="0" collapsed="false">
      <c r="A298" s="9"/>
      <c r="B298" s="9"/>
      <c r="C298" s="9"/>
      <c r="D298" s="40"/>
      <c r="E298" s="9"/>
      <c r="F298" s="9"/>
      <c r="G298" s="9"/>
      <c r="H298" s="9"/>
      <c r="I298" s="9"/>
    </row>
    <row r="299" customFormat="false" ht="15" hidden="false" customHeight="false" outlineLevel="0" collapsed="false">
      <c r="A299" s="9"/>
      <c r="B299" s="9"/>
      <c r="C299" s="9"/>
      <c r="D299" s="40"/>
      <c r="E299" s="9"/>
      <c r="F299" s="9"/>
      <c r="G299" s="9"/>
      <c r="H299" s="9"/>
      <c r="I299" s="9"/>
    </row>
    <row r="300" customFormat="false" ht="15" hidden="false" customHeight="false" outlineLevel="0" collapsed="false">
      <c r="A300" s="9"/>
      <c r="B300" s="9"/>
      <c r="C300" s="9"/>
      <c r="D300" s="40"/>
      <c r="E300" s="9"/>
      <c r="F300" s="9"/>
      <c r="G300" s="9"/>
      <c r="H300" s="9"/>
      <c r="I300" s="9"/>
    </row>
    <row r="301" customFormat="false" ht="15" hidden="false" customHeight="false" outlineLevel="0" collapsed="false">
      <c r="A301" s="9"/>
      <c r="B301" s="9"/>
      <c r="C301" s="9"/>
      <c r="D301" s="40"/>
      <c r="E301" s="9"/>
      <c r="F301" s="9"/>
      <c r="G301" s="9"/>
      <c r="H301" s="9"/>
      <c r="I301" s="9"/>
    </row>
    <row r="302" customFormat="false" ht="15" hidden="false" customHeight="false" outlineLevel="0" collapsed="false">
      <c r="A302" s="9"/>
      <c r="B302" s="9"/>
      <c r="C302" s="9"/>
      <c r="D302" s="40"/>
      <c r="E302" s="9"/>
      <c r="F302" s="9"/>
      <c r="G302" s="9"/>
      <c r="H302" s="9"/>
      <c r="I302" s="9"/>
    </row>
    <row r="303" customFormat="false" ht="15" hidden="false" customHeight="false" outlineLevel="0" collapsed="false">
      <c r="A303" s="9"/>
      <c r="B303" s="9"/>
      <c r="C303" s="9"/>
      <c r="D303" s="40"/>
      <c r="E303" s="9"/>
      <c r="F303" s="9"/>
      <c r="G303" s="9"/>
      <c r="H303" s="9"/>
      <c r="I303" s="9"/>
    </row>
    <row r="304" customFormat="false" ht="15" hidden="false" customHeight="false" outlineLevel="0" collapsed="false">
      <c r="A304" s="9"/>
      <c r="B304" s="9"/>
      <c r="C304" s="9"/>
      <c r="D304" s="40"/>
      <c r="E304" s="9"/>
      <c r="F304" s="9"/>
      <c r="G304" s="9"/>
      <c r="H304" s="9"/>
      <c r="I304" s="9"/>
    </row>
    <row r="305" customFormat="false" ht="15" hidden="false" customHeight="false" outlineLevel="0" collapsed="false">
      <c r="A305" s="9"/>
      <c r="B305" s="9"/>
      <c r="C305" s="9"/>
      <c r="D305" s="40"/>
      <c r="E305" s="9"/>
      <c r="F305" s="9"/>
      <c r="G305" s="9"/>
      <c r="H305" s="9"/>
      <c r="I305" s="9"/>
    </row>
    <row r="306" customFormat="false" ht="15" hidden="false" customHeight="false" outlineLevel="0" collapsed="false">
      <c r="A306" s="9"/>
      <c r="B306" s="9"/>
      <c r="C306" s="9"/>
      <c r="D306" s="40"/>
      <c r="E306" s="9"/>
      <c r="F306" s="9"/>
      <c r="G306" s="9"/>
      <c r="H306" s="9"/>
      <c r="I306" s="9"/>
    </row>
    <row r="307" customFormat="false" ht="15" hidden="false" customHeight="false" outlineLevel="0" collapsed="false">
      <c r="A307" s="9"/>
      <c r="B307" s="9"/>
      <c r="C307" s="9"/>
      <c r="D307" s="40"/>
      <c r="E307" s="9"/>
      <c r="F307" s="9"/>
      <c r="G307" s="9"/>
      <c r="H307" s="9"/>
      <c r="I307" s="9"/>
    </row>
    <row r="308" customFormat="false" ht="15" hidden="false" customHeight="false" outlineLevel="0" collapsed="false">
      <c r="A308" s="9"/>
      <c r="B308" s="9"/>
      <c r="C308" s="9"/>
      <c r="D308" s="40"/>
      <c r="E308" s="9"/>
      <c r="F308" s="9"/>
      <c r="G308" s="9"/>
      <c r="H308" s="9"/>
      <c r="I308" s="9"/>
    </row>
    <row r="309" customFormat="false" ht="15" hidden="false" customHeight="false" outlineLevel="0" collapsed="false">
      <c r="A309" s="9"/>
      <c r="B309" s="9"/>
      <c r="C309" s="9"/>
      <c r="D309" s="40"/>
      <c r="E309" s="9"/>
      <c r="F309" s="9"/>
      <c r="G309" s="9"/>
      <c r="H309" s="9"/>
      <c r="I309" s="9"/>
    </row>
    <row r="310" customFormat="false" ht="15" hidden="false" customHeight="false" outlineLevel="0" collapsed="false">
      <c r="A310" s="9"/>
      <c r="B310" s="9"/>
      <c r="C310" s="9"/>
      <c r="D310" s="40"/>
      <c r="E310" s="9"/>
      <c r="F310" s="9"/>
      <c r="G310" s="9"/>
      <c r="H310" s="9"/>
      <c r="I310" s="9"/>
    </row>
    <row r="311" customFormat="false" ht="15" hidden="false" customHeight="false" outlineLevel="0" collapsed="false">
      <c r="A311" s="9"/>
      <c r="B311" s="9"/>
      <c r="C311" s="9"/>
      <c r="D311" s="40"/>
      <c r="E311" s="9"/>
      <c r="F311" s="9"/>
      <c r="G311" s="9"/>
      <c r="H311" s="9"/>
      <c r="I311" s="9"/>
    </row>
    <row r="312" customFormat="false" ht="15" hidden="false" customHeight="false" outlineLevel="0" collapsed="false">
      <c r="A312" s="9"/>
      <c r="B312" s="9"/>
      <c r="C312" s="9"/>
      <c r="D312" s="40"/>
      <c r="E312" s="9"/>
      <c r="F312" s="9"/>
      <c r="G312" s="9"/>
      <c r="H312" s="9"/>
      <c r="I312" s="9"/>
    </row>
    <row r="313" customFormat="false" ht="15" hidden="false" customHeight="false" outlineLevel="0" collapsed="false">
      <c r="A313" s="9"/>
      <c r="B313" s="9"/>
      <c r="C313" s="9"/>
      <c r="D313" s="40"/>
      <c r="E313" s="9"/>
      <c r="F313" s="9"/>
      <c r="G313" s="9"/>
      <c r="H313" s="9"/>
      <c r="I313" s="9"/>
    </row>
    <row r="314" customFormat="false" ht="15" hidden="false" customHeight="false" outlineLevel="0" collapsed="false">
      <c r="A314" s="9"/>
      <c r="B314" s="9"/>
      <c r="C314" s="9"/>
      <c r="D314" s="40"/>
      <c r="E314" s="9"/>
      <c r="F314" s="9"/>
      <c r="G314" s="9"/>
      <c r="H314" s="9"/>
      <c r="I314" s="9"/>
    </row>
    <row r="315" customFormat="false" ht="15" hidden="false" customHeight="false" outlineLevel="0" collapsed="false">
      <c r="A315" s="9"/>
      <c r="B315" s="9"/>
      <c r="C315" s="9"/>
      <c r="D315" s="40"/>
      <c r="E315" s="9"/>
      <c r="F315" s="9"/>
      <c r="G315" s="9"/>
      <c r="H315" s="9"/>
      <c r="I315" s="9"/>
    </row>
    <row r="316" customFormat="false" ht="15" hidden="false" customHeight="false" outlineLevel="0" collapsed="false">
      <c r="A316" s="9"/>
      <c r="B316" s="9"/>
      <c r="C316" s="9"/>
      <c r="D316" s="40"/>
      <c r="E316" s="9"/>
      <c r="F316" s="9"/>
      <c r="G316" s="9"/>
      <c r="H316" s="9"/>
      <c r="I316" s="9"/>
    </row>
    <row r="317" customFormat="false" ht="15" hidden="false" customHeight="false" outlineLevel="0" collapsed="false">
      <c r="A317" s="9"/>
      <c r="B317" s="9"/>
      <c r="C317" s="9"/>
      <c r="D317" s="40"/>
      <c r="E317" s="9"/>
      <c r="F317" s="9"/>
      <c r="G317" s="9"/>
      <c r="H317" s="9"/>
      <c r="I317" s="9"/>
    </row>
    <row r="318" customFormat="false" ht="15" hidden="false" customHeight="false" outlineLevel="0" collapsed="false">
      <c r="A318" s="9"/>
      <c r="B318" s="9"/>
      <c r="C318" s="9"/>
      <c r="D318" s="40"/>
      <c r="E318" s="9"/>
      <c r="F318" s="9"/>
      <c r="G318" s="9"/>
      <c r="H318" s="9"/>
      <c r="I318" s="9"/>
    </row>
    <row r="319" customFormat="false" ht="15" hidden="false" customHeight="false" outlineLevel="0" collapsed="false">
      <c r="A319" s="9"/>
      <c r="B319" s="9"/>
      <c r="C319" s="9"/>
      <c r="D319" s="40"/>
      <c r="E319" s="9"/>
      <c r="F319" s="9"/>
      <c r="G319" s="9"/>
      <c r="H319" s="9"/>
      <c r="I319" s="9"/>
    </row>
    <row r="320" customFormat="false" ht="15" hidden="false" customHeight="false" outlineLevel="0" collapsed="false">
      <c r="A320" s="9"/>
      <c r="B320" s="9"/>
      <c r="C320" s="9"/>
      <c r="D320" s="40"/>
      <c r="E320" s="9"/>
      <c r="F320" s="9"/>
      <c r="G320" s="9"/>
      <c r="H320" s="9"/>
      <c r="I320" s="9"/>
    </row>
    <row r="321" customFormat="false" ht="15" hidden="false" customHeight="false" outlineLevel="0" collapsed="false">
      <c r="A321" s="9"/>
      <c r="B321" s="9"/>
      <c r="C321" s="9"/>
      <c r="D321" s="40"/>
      <c r="E321" s="9"/>
      <c r="F321" s="9"/>
      <c r="G321" s="9"/>
      <c r="H321" s="9"/>
      <c r="I321" s="9"/>
    </row>
    <row r="322" customFormat="false" ht="15" hidden="false" customHeight="false" outlineLevel="0" collapsed="false">
      <c r="A322" s="9"/>
      <c r="B322" s="9"/>
      <c r="C322" s="9"/>
      <c r="D322" s="40"/>
      <c r="E322" s="9"/>
      <c r="F322" s="9"/>
      <c r="G322" s="9"/>
      <c r="H322" s="9"/>
      <c r="I322" s="9"/>
    </row>
    <row r="323" customFormat="false" ht="15" hidden="false" customHeight="false" outlineLevel="0" collapsed="false">
      <c r="A323" s="9"/>
      <c r="B323" s="9"/>
      <c r="C323" s="9"/>
      <c r="D323" s="40"/>
      <c r="E323" s="9"/>
      <c r="F323" s="9"/>
      <c r="G323" s="9"/>
      <c r="H323" s="9"/>
      <c r="I323" s="9"/>
    </row>
    <row r="324" customFormat="false" ht="15" hidden="false" customHeight="false" outlineLevel="0" collapsed="false">
      <c r="A324" s="9"/>
      <c r="B324" s="9"/>
      <c r="C324" s="9"/>
      <c r="D324" s="40"/>
      <c r="E324" s="9"/>
      <c r="F324" s="9"/>
      <c r="G324" s="9"/>
      <c r="H324" s="9"/>
      <c r="I324" s="9"/>
    </row>
    <row r="325" customFormat="false" ht="15" hidden="false" customHeight="false" outlineLevel="0" collapsed="false">
      <c r="A325" s="9"/>
      <c r="B325" s="9"/>
      <c r="C325" s="9"/>
      <c r="D325" s="40"/>
      <c r="E325" s="9"/>
      <c r="F325" s="9"/>
      <c r="G325" s="9"/>
      <c r="H325" s="9"/>
      <c r="I325" s="9"/>
    </row>
    <row r="326" customFormat="false" ht="15" hidden="false" customHeight="false" outlineLevel="0" collapsed="false">
      <c r="A326" s="9"/>
      <c r="B326" s="9"/>
      <c r="C326" s="9"/>
      <c r="D326" s="40"/>
      <c r="E326" s="9"/>
      <c r="F326" s="9"/>
      <c r="G326" s="9"/>
      <c r="H326" s="9"/>
      <c r="I326" s="9"/>
    </row>
    <row r="327" customFormat="false" ht="15" hidden="false" customHeight="false" outlineLevel="0" collapsed="false">
      <c r="A327" s="9"/>
      <c r="B327" s="9"/>
      <c r="C327" s="9"/>
      <c r="D327" s="40"/>
      <c r="E327" s="9"/>
      <c r="F327" s="9"/>
      <c r="G327" s="9"/>
      <c r="H327" s="9"/>
      <c r="I327" s="9"/>
    </row>
    <row r="328" customFormat="false" ht="15" hidden="false" customHeight="false" outlineLevel="0" collapsed="false">
      <c r="A328" s="9"/>
      <c r="B328" s="9"/>
      <c r="C328" s="9"/>
      <c r="D328" s="40"/>
      <c r="E328" s="9"/>
      <c r="F328" s="9"/>
      <c r="G328" s="9"/>
      <c r="H328" s="9"/>
      <c r="I328" s="9"/>
    </row>
    <row r="329" customFormat="false" ht="15" hidden="false" customHeight="false" outlineLevel="0" collapsed="false">
      <c r="A329" s="9"/>
      <c r="B329" s="9"/>
      <c r="C329" s="9"/>
      <c r="D329" s="40"/>
      <c r="E329" s="9"/>
      <c r="F329" s="9"/>
      <c r="G329" s="9"/>
      <c r="H329" s="9"/>
      <c r="I329" s="9"/>
    </row>
    <row r="330" customFormat="false" ht="15" hidden="false" customHeight="false" outlineLevel="0" collapsed="false">
      <c r="A330" s="9"/>
      <c r="B330" s="9"/>
      <c r="C330" s="9"/>
      <c r="D330" s="40"/>
      <c r="E330" s="9"/>
      <c r="F330" s="9"/>
      <c r="G330" s="9"/>
      <c r="H330" s="9"/>
      <c r="I330" s="9"/>
    </row>
    <row r="331" customFormat="false" ht="15" hidden="false" customHeight="false" outlineLevel="0" collapsed="false">
      <c r="A331" s="9"/>
      <c r="B331" s="9"/>
      <c r="C331" s="9"/>
      <c r="D331" s="40"/>
      <c r="E331" s="9"/>
      <c r="F331" s="9"/>
      <c r="G331" s="9"/>
      <c r="H331" s="9"/>
      <c r="I331" s="9"/>
    </row>
    <row r="332" customFormat="false" ht="15" hidden="false" customHeight="false" outlineLevel="0" collapsed="false">
      <c r="A332" s="9"/>
      <c r="B332" s="9"/>
      <c r="C332" s="9"/>
      <c r="D332" s="40"/>
      <c r="E332" s="9"/>
      <c r="F332" s="9"/>
      <c r="G332" s="9"/>
      <c r="H332" s="9"/>
      <c r="I332" s="9"/>
    </row>
    <row r="333" customFormat="false" ht="15" hidden="false" customHeight="false" outlineLevel="0" collapsed="false">
      <c r="A333" s="9"/>
      <c r="B333" s="9"/>
      <c r="C333" s="9"/>
      <c r="D333" s="40"/>
      <c r="E333" s="9"/>
      <c r="F333" s="9"/>
      <c r="G333" s="9"/>
      <c r="H333" s="9"/>
      <c r="I333" s="9"/>
    </row>
    <row r="334" customFormat="false" ht="15" hidden="false" customHeight="false" outlineLevel="0" collapsed="false">
      <c r="A334" s="9"/>
      <c r="B334" s="9"/>
      <c r="C334" s="9"/>
      <c r="D334" s="40"/>
      <c r="E334" s="9"/>
      <c r="F334" s="9"/>
      <c r="G334" s="9"/>
      <c r="H334" s="9"/>
      <c r="I334" s="9"/>
    </row>
    <row r="335" customFormat="false" ht="15" hidden="false" customHeight="false" outlineLevel="0" collapsed="false">
      <c r="A335" s="9"/>
      <c r="B335" s="9"/>
      <c r="C335" s="9"/>
      <c r="D335" s="40"/>
      <c r="E335" s="9"/>
      <c r="F335" s="9"/>
      <c r="G335" s="9"/>
      <c r="H335" s="9"/>
      <c r="I335" s="9"/>
    </row>
    <row r="336" customFormat="false" ht="15" hidden="false" customHeight="false" outlineLevel="0" collapsed="false">
      <c r="A336" s="9"/>
      <c r="B336" s="9"/>
      <c r="C336" s="9"/>
      <c r="D336" s="40"/>
      <c r="E336" s="9"/>
      <c r="F336" s="9"/>
      <c r="G336" s="9"/>
      <c r="H336" s="9"/>
      <c r="I336" s="9"/>
    </row>
    <row r="337" customFormat="false" ht="15" hidden="false" customHeight="false" outlineLevel="0" collapsed="false">
      <c r="A337" s="9"/>
      <c r="B337" s="9"/>
      <c r="C337" s="9"/>
      <c r="D337" s="40"/>
      <c r="E337" s="9"/>
      <c r="F337" s="9"/>
      <c r="G337" s="9"/>
      <c r="H337" s="9"/>
      <c r="I337" s="9"/>
    </row>
    <row r="338" customFormat="false" ht="15" hidden="false" customHeight="false" outlineLevel="0" collapsed="false">
      <c r="A338" s="9"/>
      <c r="B338" s="9"/>
      <c r="C338" s="9"/>
      <c r="D338" s="40"/>
      <c r="E338" s="9"/>
      <c r="F338" s="9"/>
      <c r="G338" s="9"/>
      <c r="H338" s="9"/>
      <c r="I338" s="9"/>
    </row>
    <row r="339" customFormat="false" ht="15" hidden="false" customHeight="false" outlineLevel="0" collapsed="false">
      <c r="A339" s="9"/>
      <c r="B339" s="9"/>
      <c r="C339" s="9"/>
      <c r="D339" s="40"/>
      <c r="E339" s="9"/>
      <c r="F339" s="9"/>
      <c r="G339" s="9"/>
      <c r="H339" s="9"/>
      <c r="I339" s="9"/>
    </row>
    <row r="340" customFormat="false" ht="15" hidden="false" customHeight="false" outlineLevel="0" collapsed="false">
      <c r="A340" s="9"/>
      <c r="B340" s="9"/>
      <c r="C340" s="9"/>
      <c r="D340" s="40"/>
      <c r="E340" s="9"/>
      <c r="F340" s="9"/>
      <c r="G340" s="9"/>
      <c r="H340" s="9"/>
      <c r="I340" s="9"/>
    </row>
    <row r="341" customFormat="false" ht="15" hidden="false" customHeight="false" outlineLevel="0" collapsed="false">
      <c r="A341" s="9"/>
      <c r="B341" s="9"/>
      <c r="C341" s="9"/>
      <c r="D341" s="40"/>
      <c r="E341" s="9"/>
      <c r="F341" s="9"/>
      <c r="G341" s="9"/>
      <c r="H341" s="9"/>
      <c r="I341" s="9"/>
    </row>
    <row r="342" customFormat="false" ht="15" hidden="false" customHeight="false" outlineLevel="0" collapsed="false">
      <c r="A342" s="9"/>
      <c r="B342" s="9"/>
      <c r="C342" s="9"/>
      <c r="D342" s="40"/>
      <c r="E342" s="9"/>
      <c r="F342" s="9"/>
      <c r="G342" s="9"/>
      <c r="H342" s="9"/>
      <c r="I342" s="9"/>
    </row>
    <row r="343" customFormat="false" ht="15" hidden="false" customHeight="false" outlineLevel="0" collapsed="false">
      <c r="A343" s="9"/>
      <c r="B343" s="9"/>
      <c r="C343" s="9"/>
      <c r="D343" s="40"/>
      <c r="E343" s="9"/>
      <c r="F343" s="9"/>
      <c r="G343" s="9"/>
      <c r="H343" s="9"/>
      <c r="I343" s="9"/>
    </row>
    <row r="344" customFormat="false" ht="15" hidden="false" customHeight="false" outlineLevel="0" collapsed="false">
      <c r="A344" s="9"/>
      <c r="B344" s="9"/>
      <c r="C344" s="9"/>
      <c r="D344" s="40"/>
      <c r="E344" s="9"/>
      <c r="F344" s="9"/>
      <c r="G344" s="9"/>
      <c r="H344" s="9"/>
      <c r="I344" s="9"/>
    </row>
    <row r="345" customFormat="false" ht="15" hidden="false" customHeight="false" outlineLevel="0" collapsed="false">
      <c r="A345" s="9"/>
      <c r="B345" s="9"/>
      <c r="C345" s="9"/>
      <c r="D345" s="40"/>
      <c r="E345" s="9"/>
      <c r="F345" s="9"/>
      <c r="G345" s="9"/>
      <c r="H345" s="9"/>
      <c r="I345" s="9"/>
    </row>
    <row r="346" customFormat="false" ht="15" hidden="false" customHeight="false" outlineLevel="0" collapsed="false">
      <c r="A346" s="9"/>
      <c r="B346" s="9"/>
      <c r="C346" s="9"/>
      <c r="D346" s="40"/>
      <c r="E346" s="9"/>
      <c r="F346" s="9"/>
      <c r="G346" s="9"/>
      <c r="H346" s="9"/>
      <c r="I346" s="9"/>
    </row>
    <row r="347" customFormat="false" ht="15" hidden="false" customHeight="false" outlineLevel="0" collapsed="false">
      <c r="A347" s="9"/>
      <c r="B347" s="9"/>
      <c r="C347" s="9"/>
      <c r="D347" s="40"/>
      <c r="E347" s="9"/>
      <c r="F347" s="9"/>
      <c r="G347" s="9"/>
      <c r="H347" s="9"/>
      <c r="I347" s="9"/>
    </row>
    <row r="348" customFormat="false" ht="15" hidden="false" customHeight="false" outlineLevel="0" collapsed="false">
      <c r="A348" s="9"/>
      <c r="B348" s="9"/>
      <c r="C348" s="9"/>
      <c r="D348" s="40"/>
      <c r="E348" s="9"/>
      <c r="F348" s="9"/>
      <c r="G348" s="9"/>
      <c r="H348" s="9"/>
      <c r="I348" s="9"/>
    </row>
    <row r="349" customFormat="false" ht="15" hidden="false" customHeight="false" outlineLevel="0" collapsed="false">
      <c r="A349" s="9"/>
      <c r="B349" s="9"/>
      <c r="C349" s="9"/>
      <c r="D349" s="40"/>
      <c r="E349" s="9"/>
      <c r="F349" s="9"/>
      <c r="G349" s="9"/>
      <c r="H349" s="9"/>
      <c r="I349" s="9"/>
    </row>
    <row r="350" customFormat="false" ht="15" hidden="false" customHeight="false" outlineLevel="0" collapsed="false">
      <c r="A350" s="9"/>
      <c r="B350" s="9"/>
      <c r="C350" s="9"/>
      <c r="D350" s="40"/>
      <c r="E350" s="9"/>
      <c r="F350" s="9"/>
      <c r="G350" s="9"/>
      <c r="H350" s="9"/>
      <c r="I350" s="9"/>
    </row>
    <row r="351" customFormat="false" ht="15" hidden="false" customHeight="false" outlineLevel="0" collapsed="false">
      <c r="A351" s="9"/>
      <c r="B351" s="9"/>
      <c r="C351" s="9"/>
      <c r="D351" s="40"/>
      <c r="E351" s="9"/>
      <c r="F351" s="9"/>
      <c r="G351" s="9"/>
      <c r="H351" s="9"/>
      <c r="I351" s="9"/>
    </row>
    <row r="352" customFormat="false" ht="15" hidden="false" customHeight="false" outlineLevel="0" collapsed="false">
      <c r="A352" s="9"/>
      <c r="B352" s="9"/>
      <c r="C352" s="9"/>
      <c r="D352" s="40"/>
      <c r="E352" s="9"/>
      <c r="F352" s="9"/>
      <c r="G352" s="9"/>
      <c r="H352" s="9"/>
      <c r="I352" s="9"/>
    </row>
    <row r="353" customFormat="false" ht="15" hidden="false" customHeight="false" outlineLevel="0" collapsed="false">
      <c r="A353" s="9"/>
      <c r="B353" s="9"/>
      <c r="C353" s="9"/>
      <c r="D353" s="40"/>
      <c r="E353" s="9"/>
      <c r="F353" s="9"/>
      <c r="G353" s="9"/>
      <c r="H353" s="9"/>
      <c r="I353" s="9"/>
    </row>
    <row r="354" customFormat="false" ht="15" hidden="false" customHeight="false" outlineLevel="0" collapsed="false">
      <c r="A354" s="9"/>
      <c r="B354" s="9"/>
      <c r="C354" s="9"/>
      <c r="D354" s="40"/>
      <c r="E354" s="9"/>
      <c r="F354" s="9"/>
      <c r="G354" s="9"/>
      <c r="H354" s="9"/>
      <c r="I354" s="9"/>
    </row>
    <row r="355" customFormat="false" ht="15" hidden="false" customHeight="false" outlineLevel="0" collapsed="false">
      <c r="A355" s="9"/>
      <c r="B355" s="9"/>
      <c r="C355" s="9"/>
      <c r="D355" s="40"/>
      <c r="E355" s="9"/>
      <c r="F355" s="9"/>
      <c r="G355" s="9"/>
      <c r="H355" s="9"/>
      <c r="I355" s="9"/>
    </row>
    <row r="356" customFormat="false" ht="15" hidden="false" customHeight="false" outlineLevel="0" collapsed="false">
      <c r="A356" s="9"/>
      <c r="B356" s="9"/>
      <c r="C356" s="9"/>
      <c r="D356" s="40"/>
      <c r="E356" s="9"/>
      <c r="F356" s="9"/>
      <c r="G356" s="9"/>
      <c r="H356" s="9"/>
      <c r="I356" s="9"/>
    </row>
    <row r="357" customFormat="false" ht="15" hidden="false" customHeight="false" outlineLevel="0" collapsed="false">
      <c r="A357" s="9"/>
      <c r="B357" s="9"/>
      <c r="C357" s="9"/>
      <c r="D357" s="40"/>
      <c r="E357" s="9"/>
      <c r="F357" s="9"/>
      <c r="G357" s="9"/>
      <c r="H357" s="9"/>
      <c r="I357" s="9"/>
    </row>
    <row r="358" customFormat="false" ht="15" hidden="false" customHeight="false" outlineLevel="0" collapsed="false">
      <c r="A358" s="9"/>
      <c r="B358" s="9"/>
      <c r="C358" s="9"/>
      <c r="D358" s="40"/>
      <c r="E358" s="9"/>
      <c r="F358" s="9"/>
      <c r="G358" s="9"/>
      <c r="H358" s="9"/>
      <c r="I358" s="9"/>
    </row>
    <row r="359" customFormat="false" ht="15" hidden="false" customHeight="false" outlineLevel="0" collapsed="false">
      <c r="A359" s="9"/>
      <c r="B359" s="9"/>
      <c r="C359" s="9"/>
      <c r="D359" s="40"/>
      <c r="E359" s="9"/>
      <c r="F359" s="9"/>
      <c r="G359" s="9"/>
      <c r="H359" s="9"/>
      <c r="I359" s="9"/>
    </row>
    <row r="360" customFormat="false" ht="15" hidden="false" customHeight="false" outlineLevel="0" collapsed="false">
      <c r="A360" s="9"/>
      <c r="B360" s="9"/>
      <c r="C360" s="9"/>
      <c r="D360" s="40"/>
      <c r="E360" s="9"/>
      <c r="F360" s="9"/>
      <c r="G360" s="9"/>
      <c r="H360" s="9"/>
      <c r="I360" s="9"/>
    </row>
    <row r="361" customFormat="false" ht="15" hidden="false" customHeight="false" outlineLevel="0" collapsed="false">
      <c r="A361" s="9"/>
      <c r="B361" s="9"/>
      <c r="C361" s="9"/>
      <c r="D361" s="40"/>
      <c r="E361" s="9"/>
      <c r="F361" s="9"/>
      <c r="G361" s="9"/>
      <c r="H361" s="9"/>
      <c r="I361" s="9"/>
    </row>
    <row r="362" customFormat="false" ht="15" hidden="false" customHeight="false" outlineLevel="0" collapsed="false">
      <c r="A362" s="9"/>
      <c r="B362" s="9"/>
      <c r="C362" s="9"/>
      <c r="D362" s="40"/>
      <c r="E362" s="9"/>
      <c r="F362" s="9"/>
      <c r="G362" s="9"/>
      <c r="H362" s="9"/>
      <c r="I362" s="9"/>
    </row>
    <row r="363" customFormat="false" ht="15" hidden="false" customHeight="false" outlineLevel="0" collapsed="false">
      <c r="A363" s="9"/>
      <c r="B363" s="9"/>
      <c r="C363" s="9"/>
      <c r="D363" s="40"/>
      <c r="E363" s="9"/>
      <c r="F363" s="9"/>
      <c r="G363" s="9"/>
      <c r="H363" s="9"/>
      <c r="I363" s="9"/>
    </row>
    <row r="364" customFormat="false" ht="15" hidden="false" customHeight="false" outlineLevel="0" collapsed="false">
      <c r="A364" s="9"/>
      <c r="B364" s="9"/>
      <c r="C364" s="9"/>
      <c r="D364" s="40"/>
      <c r="E364" s="9"/>
      <c r="F364" s="9"/>
      <c r="G364" s="9"/>
      <c r="H364" s="9"/>
      <c r="I364" s="9"/>
    </row>
    <row r="365" customFormat="false" ht="15" hidden="false" customHeight="false" outlineLevel="0" collapsed="false">
      <c r="A365" s="9"/>
      <c r="B365" s="9"/>
      <c r="C365" s="9"/>
      <c r="D365" s="40"/>
      <c r="E365" s="9"/>
      <c r="F365" s="9"/>
      <c r="G365" s="9"/>
      <c r="H365" s="9"/>
      <c r="I365" s="9"/>
    </row>
    <row r="366" customFormat="false" ht="15" hidden="false" customHeight="false" outlineLevel="0" collapsed="false">
      <c r="A366" s="9"/>
      <c r="B366" s="9"/>
      <c r="C366" s="9"/>
      <c r="D366" s="40"/>
      <c r="E366" s="9"/>
      <c r="F366" s="9"/>
      <c r="G366" s="9"/>
      <c r="H366" s="9"/>
      <c r="I366" s="9"/>
    </row>
    <row r="367" customFormat="false" ht="15" hidden="false" customHeight="false" outlineLevel="0" collapsed="false">
      <c r="A367" s="9"/>
      <c r="B367" s="9"/>
      <c r="C367" s="9"/>
      <c r="D367" s="40"/>
      <c r="E367" s="9"/>
      <c r="F367" s="9"/>
      <c r="G367" s="9"/>
      <c r="H367" s="9"/>
      <c r="I367" s="9"/>
    </row>
    <row r="368" customFormat="false" ht="15" hidden="false" customHeight="false" outlineLevel="0" collapsed="false">
      <c r="A368" s="9"/>
      <c r="B368" s="9"/>
      <c r="C368" s="9"/>
      <c r="D368" s="40"/>
      <c r="E368" s="9"/>
      <c r="F368" s="9"/>
      <c r="G368" s="9"/>
      <c r="H368" s="9"/>
      <c r="I368" s="9"/>
    </row>
    <row r="369" customFormat="false" ht="15" hidden="false" customHeight="false" outlineLevel="0" collapsed="false">
      <c r="A369" s="9"/>
      <c r="B369" s="9"/>
      <c r="C369" s="9"/>
      <c r="D369" s="40"/>
      <c r="E369" s="9"/>
      <c r="F369" s="9"/>
      <c r="G369" s="9"/>
      <c r="H369" s="9"/>
      <c r="I369" s="9"/>
    </row>
    <row r="370" customFormat="false" ht="15" hidden="false" customHeight="false" outlineLevel="0" collapsed="false">
      <c r="A370" s="9"/>
      <c r="B370" s="9"/>
      <c r="C370" s="9"/>
      <c r="D370" s="40"/>
      <c r="E370" s="9"/>
      <c r="F370" s="9"/>
      <c r="G370" s="9"/>
      <c r="H370" s="9"/>
      <c r="I370" s="9"/>
    </row>
    <row r="371" customFormat="false" ht="15" hidden="false" customHeight="false" outlineLevel="0" collapsed="false">
      <c r="A371" s="9"/>
      <c r="B371" s="9"/>
      <c r="C371" s="9"/>
      <c r="D371" s="40"/>
      <c r="E371" s="9"/>
      <c r="F371" s="9"/>
      <c r="G371" s="9"/>
      <c r="H371" s="9"/>
      <c r="I371" s="9"/>
    </row>
    <row r="372" customFormat="false" ht="15" hidden="false" customHeight="false" outlineLevel="0" collapsed="false">
      <c r="A372" s="9"/>
      <c r="B372" s="9"/>
      <c r="C372" s="9"/>
      <c r="D372" s="40"/>
      <c r="E372" s="9"/>
      <c r="F372" s="9"/>
      <c r="G372" s="9"/>
      <c r="H372" s="9"/>
      <c r="I372" s="9"/>
    </row>
    <row r="373" customFormat="false" ht="15" hidden="false" customHeight="false" outlineLevel="0" collapsed="false">
      <c r="A373" s="9"/>
      <c r="B373" s="9"/>
      <c r="C373" s="9"/>
      <c r="D373" s="40"/>
      <c r="E373" s="9"/>
      <c r="F373" s="9"/>
      <c r="G373" s="9"/>
      <c r="H373" s="9"/>
      <c r="I373" s="9"/>
    </row>
    <row r="374" customFormat="false" ht="15" hidden="false" customHeight="false" outlineLevel="0" collapsed="false">
      <c r="A374" s="9"/>
      <c r="B374" s="9"/>
      <c r="C374" s="9"/>
      <c r="D374" s="40"/>
      <c r="E374" s="9"/>
      <c r="F374" s="9"/>
      <c r="G374" s="9"/>
      <c r="H374" s="9"/>
      <c r="I374" s="9"/>
    </row>
    <row r="375" customFormat="false" ht="15" hidden="false" customHeight="false" outlineLevel="0" collapsed="false">
      <c r="A375" s="9"/>
      <c r="B375" s="9"/>
      <c r="C375" s="9"/>
      <c r="D375" s="40"/>
      <c r="E375" s="9"/>
      <c r="F375" s="9"/>
      <c r="G375" s="9"/>
      <c r="H375" s="9"/>
      <c r="I375" s="9"/>
    </row>
    <row r="376" customFormat="false" ht="15" hidden="false" customHeight="false" outlineLevel="0" collapsed="false">
      <c r="A376" s="9"/>
      <c r="B376" s="9"/>
      <c r="C376" s="9"/>
      <c r="D376" s="40"/>
      <c r="E376" s="9"/>
      <c r="F376" s="9"/>
      <c r="G376" s="9"/>
      <c r="H376" s="9"/>
      <c r="I376" s="9"/>
    </row>
    <row r="377" customFormat="false" ht="15" hidden="false" customHeight="false" outlineLevel="0" collapsed="false">
      <c r="A377" s="9"/>
      <c r="B377" s="9"/>
      <c r="C377" s="9"/>
      <c r="D377" s="40"/>
      <c r="E377" s="9"/>
      <c r="F377" s="9"/>
      <c r="G377" s="9"/>
      <c r="H377" s="9"/>
      <c r="I377" s="9"/>
    </row>
    <row r="378" customFormat="false" ht="15" hidden="false" customHeight="false" outlineLevel="0" collapsed="false">
      <c r="A378" s="9"/>
      <c r="B378" s="9"/>
      <c r="C378" s="9"/>
      <c r="D378" s="40"/>
      <c r="E378" s="9"/>
      <c r="F378" s="9"/>
      <c r="G378" s="9"/>
      <c r="H378" s="9"/>
      <c r="I378" s="9"/>
    </row>
    <row r="379" customFormat="false" ht="15" hidden="false" customHeight="false" outlineLevel="0" collapsed="false">
      <c r="A379" s="9"/>
      <c r="B379" s="9"/>
      <c r="C379" s="9"/>
      <c r="D379" s="40"/>
      <c r="E379" s="9"/>
      <c r="F379" s="9"/>
      <c r="G379" s="9"/>
      <c r="H379" s="9"/>
      <c r="I379" s="9"/>
    </row>
    <row r="380" customFormat="false" ht="15" hidden="false" customHeight="false" outlineLevel="0" collapsed="false">
      <c r="A380" s="9"/>
      <c r="B380" s="9"/>
      <c r="C380" s="9"/>
      <c r="D380" s="40"/>
      <c r="E380" s="9"/>
      <c r="F380" s="9"/>
      <c r="G380" s="9"/>
      <c r="H380" s="9"/>
      <c r="I380" s="9"/>
    </row>
    <row r="381" customFormat="false" ht="15" hidden="false" customHeight="false" outlineLevel="0" collapsed="false">
      <c r="A381" s="9"/>
      <c r="B381" s="9"/>
      <c r="C381" s="9"/>
      <c r="D381" s="40"/>
      <c r="E381" s="9"/>
      <c r="F381" s="9"/>
      <c r="G381" s="9"/>
      <c r="H381" s="9"/>
      <c r="I381" s="9"/>
    </row>
    <row r="382" customFormat="false" ht="15" hidden="false" customHeight="false" outlineLevel="0" collapsed="false">
      <c r="A382" s="9"/>
      <c r="B382" s="9"/>
      <c r="C382" s="9"/>
      <c r="D382" s="40"/>
      <c r="E382" s="9"/>
      <c r="F382" s="9"/>
      <c r="G382" s="9"/>
      <c r="H382" s="9"/>
      <c r="I382" s="9"/>
    </row>
    <row r="383" customFormat="false" ht="15" hidden="false" customHeight="false" outlineLevel="0" collapsed="false">
      <c r="A383" s="9"/>
      <c r="B383" s="9"/>
      <c r="C383" s="9"/>
      <c r="D383" s="40"/>
      <c r="E383" s="9"/>
      <c r="F383" s="9"/>
      <c r="G383" s="9"/>
      <c r="H383" s="9"/>
      <c r="I383" s="9"/>
    </row>
    <row r="384" customFormat="false" ht="15" hidden="false" customHeight="false" outlineLevel="0" collapsed="false">
      <c r="A384" s="9"/>
      <c r="B384" s="9"/>
      <c r="C384" s="9"/>
      <c r="D384" s="40"/>
      <c r="E384" s="9"/>
      <c r="F384" s="9"/>
      <c r="G384" s="9"/>
      <c r="H384" s="9"/>
      <c r="I384" s="9"/>
    </row>
    <row r="385" customFormat="false" ht="15" hidden="false" customHeight="false" outlineLevel="0" collapsed="false">
      <c r="A385" s="9"/>
      <c r="B385" s="9"/>
      <c r="C385" s="9"/>
      <c r="D385" s="40"/>
      <c r="E385" s="9"/>
      <c r="F385" s="9"/>
      <c r="G385" s="9"/>
      <c r="H385" s="9"/>
      <c r="I385" s="9"/>
    </row>
    <row r="386" customFormat="false" ht="15" hidden="false" customHeight="false" outlineLevel="0" collapsed="false">
      <c r="A386" s="9"/>
      <c r="B386" s="9"/>
      <c r="C386" s="9"/>
      <c r="D386" s="40"/>
      <c r="E386" s="9"/>
      <c r="F386" s="9"/>
      <c r="G386" s="9"/>
      <c r="H386" s="9"/>
      <c r="I386" s="9"/>
    </row>
    <row r="387" customFormat="false" ht="15" hidden="false" customHeight="false" outlineLevel="0" collapsed="false">
      <c r="A387" s="9"/>
      <c r="B387" s="9"/>
      <c r="C387" s="9"/>
      <c r="D387" s="40"/>
      <c r="E387" s="9"/>
      <c r="F387" s="9"/>
      <c r="G387" s="9"/>
      <c r="H387" s="9"/>
      <c r="I387" s="9"/>
    </row>
    <row r="388" customFormat="false" ht="15" hidden="false" customHeight="false" outlineLevel="0" collapsed="false">
      <c r="A388" s="9"/>
      <c r="B388" s="9"/>
      <c r="C388" s="9"/>
      <c r="D388" s="40"/>
      <c r="E388" s="9"/>
      <c r="F388" s="9"/>
      <c r="G388" s="9"/>
      <c r="H388" s="9"/>
      <c r="I388" s="9"/>
    </row>
    <row r="389" customFormat="false" ht="15" hidden="false" customHeight="false" outlineLevel="0" collapsed="false">
      <c r="A389" s="9"/>
      <c r="B389" s="9"/>
      <c r="C389" s="9"/>
      <c r="D389" s="40"/>
      <c r="E389" s="9"/>
      <c r="F389" s="9"/>
      <c r="G389" s="9"/>
      <c r="H389" s="9"/>
      <c r="I389" s="9"/>
    </row>
    <row r="390" customFormat="false" ht="15" hidden="false" customHeight="false" outlineLevel="0" collapsed="false">
      <c r="A390" s="9"/>
      <c r="B390" s="9"/>
      <c r="C390" s="9"/>
      <c r="D390" s="40"/>
      <c r="E390" s="9"/>
      <c r="F390" s="9"/>
      <c r="G390" s="9"/>
      <c r="H390" s="9"/>
      <c r="I390" s="9"/>
    </row>
    <row r="391" customFormat="false" ht="15" hidden="false" customHeight="false" outlineLevel="0" collapsed="false">
      <c r="A391" s="9"/>
      <c r="B391" s="9"/>
      <c r="C391" s="9"/>
      <c r="D391" s="40"/>
      <c r="E391" s="9"/>
      <c r="F391" s="9"/>
      <c r="G391" s="9"/>
      <c r="H391" s="9"/>
      <c r="I391" s="9"/>
    </row>
    <row r="392" customFormat="false" ht="15" hidden="false" customHeight="false" outlineLevel="0" collapsed="false">
      <c r="A392" s="9"/>
      <c r="B392" s="9"/>
      <c r="C392" s="9"/>
      <c r="D392" s="40"/>
      <c r="E392" s="9"/>
      <c r="F392" s="9"/>
      <c r="G392" s="9"/>
      <c r="H392" s="9"/>
      <c r="I392" s="9"/>
    </row>
    <row r="393" customFormat="false" ht="15" hidden="false" customHeight="false" outlineLevel="0" collapsed="false">
      <c r="A393" s="9"/>
      <c r="B393" s="9"/>
      <c r="C393" s="9"/>
      <c r="D393" s="40"/>
      <c r="E393" s="9"/>
      <c r="F393" s="9"/>
      <c r="G393" s="9"/>
      <c r="H393" s="9"/>
      <c r="I393" s="9"/>
    </row>
    <row r="394" customFormat="false" ht="15" hidden="false" customHeight="false" outlineLevel="0" collapsed="false">
      <c r="A394" s="9"/>
      <c r="B394" s="9"/>
      <c r="C394" s="9"/>
      <c r="D394" s="40"/>
      <c r="E394" s="9"/>
      <c r="F394" s="9"/>
      <c r="G394" s="9"/>
      <c r="H394" s="9"/>
      <c r="I394" s="9"/>
    </row>
    <row r="395" customFormat="false" ht="15" hidden="false" customHeight="false" outlineLevel="0" collapsed="false">
      <c r="A395" s="9"/>
      <c r="B395" s="9"/>
      <c r="C395" s="9"/>
      <c r="D395" s="40"/>
      <c r="E395" s="9"/>
      <c r="F395" s="9"/>
      <c r="G395" s="9"/>
      <c r="H395" s="9"/>
      <c r="I395" s="9"/>
    </row>
    <row r="396" customFormat="false" ht="15" hidden="false" customHeight="false" outlineLevel="0" collapsed="false">
      <c r="A396" s="9"/>
      <c r="B396" s="9"/>
      <c r="C396" s="9"/>
      <c r="D396" s="40"/>
      <c r="E396" s="9"/>
      <c r="F396" s="9"/>
      <c r="G396" s="9"/>
      <c r="H396" s="9"/>
      <c r="I396" s="9"/>
    </row>
    <row r="397" customFormat="false" ht="15" hidden="false" customHeight="false" outlineLevel="0" collapsed="false">
      <c r="A397" s="9"/>
      <c r="B397" s="9"/>
      <c r="C397" s="9"/>
      <c r="D397" s="40"/>
      <c r="E397" s="9"/>
      <c r="F397" s="9"/>
      <c r="G397" s="9"/>
      <c r="H397" s="9"/>
      <c r="I397" s="9"/>
    </row>
    <row r="398" customFormat="false" ht="15" hidden="false" customHeight="false" outlineLevel="0" collapsed="false">
      <c r="A398" s="9"/>
      <c r="B398" s="9"/>
      <c r="C398" s="9"/>
      <c r="D398" s="40"/>
      <c r="E398" s="9"/>
      <c r="F398" s="9"/>
      <c r="G398" s="9"/>
      <c r="H398" s="9"/>
      <c r="I398" s="9"/>
    </row>
    <row r="399" customFormat="false" ht="15" hidden="false" customHeight="false" outlineLevel="0" collapsed="false">
      <c r="A399" s="9"/>
      <c r="B399" s="9"/>
      <c r="C399" s="9"/>
      <c r="D399" s="40"/>
      <c r="E399" s="9"/>
      <c r="F399" s="9"/>
      <c r="G399" s="9"/>
      <c r="H399" s="9"/>
      <c r="I399" s="9"/>
    </row>
    <row r="400" customFormat="false" ht="15" hidden="false" customHeight="false" outlineLevel="0" collapsed="false">
      <c r="A400" s="9"/>
      <c r="B400" s="9"/>
      <c r="C400" s="9"/>
      <c r="D400" s="40"/>
      <c r="E400" s="9"/>
      <c r="F400" s="9"/>
      <c r="G400" s="9"/>
      <c r="H400" s="9"/>
      <c r="I400" s="9"/>
    </row>
    <row r="401" customFormat="false" ht="15" hidden="false" customHeight="false" outlineLevel="0" collapsed="false">
      <c r="A401" s="9"/>
      <c r="B401" s="9"/>
      <c r="C401" s="9"/>
      <c r="D401" s="40"/>
      <c r="E401" s="9"/>
      <c r="F401" s="9"/>
      <c r="G401" s="9"/>
      <c r="H401" s="9"/>
      <c r="I401" s="9"/>
    </row>
    <row r="402" customFormat="false" ht="15" hidden="false" customHeight="false" outlineLevel="0" collapsed="false">
      <c r="A402" s="9"/>
      <c r="B402" s="9"/>
      <c r="C402" s="9"/>
      <c r="D402" s="40"/>
      <c r="E402" s="9"/>
      <c r="F402" s="9"/>
      <c r="G402" s="9"/>
      <c r="H402" s="9"/>
      <c r="I402" s="9"/>
    </row>
    <row r="403" customFormat="false" ht="15" hidden="false" customHeight="false" outlineLevel="0" collapsed="false">
      <c r="A403" s="9"/>
      <c r="B403" s="9"/>
      <c r="C403" s="9"/>
      <c r="D403" s="40"/>
      <c r="E403" s="9"/>
      <c r="F403" s="9"/>
      <c r="G403" s="9"/>
      <c r="H403" s="9"/>
      <c r="I403" s="9"/>
    </row>
    <row r="404" customFormat="false" ht="15" hidden="false" customHeight="false" outlineLevel="0" collapsed="false">
      <c r="A404" s="9"/>
      <c r="B404" s="9"/>
      <c r="C404" s="9"/>
      <c r="D404" s="40"/>
      <c r="E404" s="9"/>
      <c r="F404" s="9"/>
      <c r="G404" s="9"/>
      <c r="H404" s="9"/>
      <c r="I404" s="9"/>
    </row>
    <row r="405" customFormat="false" ht="15" hidden="false" customHeight="false" outlineLevel="0" collapsed="false">
      <c r="A405" s="9"/>
      <c r="B405" s="9"/>
      <c r="C405" s="9"/>
      <c r="D405" s="40"/>
      <c r="E405" s="9"/>
      <c r="F405" s="9"/>
      <c r="G405" s="9"/>
      <c r="H405" s="9"/>
      <c r="I405" s="9"/>
    </row>
    <row r="406" customFormat="false" ht="15" hidden="false" customHeight="false" outlineLevel="0" collapsed="false">
      <c r="A406" s="9"/>
      <c r="B406" s="9"/>
      <c r="C406" s="9"/>
      <c r="D406" s="40"/>
      <c r="E406" s="9"/>
      <c r="F406" s="9"/>
      <c r="G406" s="9"/>
      <c r="H406" s="9"/>
      <c r="I406" s="9"/>
    </row>
    <row r="407" customFormat="false" ht="15" hidden="false" customHeight="false" outlineLevel="0" collapsed="false">
      <c r="A407" s="9"/>
      <c r="B407" s="9"/>
      <c r="C407" s="9"/>
      <c r="D407" s="40"/>
      <c r="E407" s="9"/>
      <c r="F407" s="9"/>
      <c r="G407" s="9"/>
      <c r="H407" s="9"/>
      <c r="I407" s="9"/>
    </row>
    <row r="408" customFormat="false" ht="15" hidden="false" customHeight="false" outlineLevel="0" collapsed="false">
      <c r="A408" s="9"/>
      <c r="B408" s="9"/>
      <c r="C408" s="9"/>
      <c r="D408" s="40"/>
      <c r="E408" s="9"/>
      <c r="F408" s="9"/>
      <c r="G408" s="9"/>
      <c r="H408" s="9"/>
      <c r="I408" s="9"/>
    </row>
    <row r="409" customFormat="false" ht="15" hidden="false" customHeight="false" outlineLevel="0" collapsed="false">
      <c r="A409" s="9"/>
      <c r="B409" s="9"/>
      <c r="C409" s="9"/>
      <c r="D409" s="40"/>
      <c r="E409" s="9"/>
      <c r="F409" s="9"/>
      <c r="G409" s="9"/>
      <c r="H409" s="9"/>
      <c r="I409" s="9"/>
    </row>
    <row r="410" customFormat="false" ht="15" hidden="false" customHeight="false" outlineLevel="0" collapsed="false">
      <c r="A410" s="9"/>
      <c r="B410" s="9"/>
      <c r="C410" s="9"/>
      <c r="D410" s="40"/>
      <c r="E410" s="9"/>
      <c r="F410" s="9"/>
      <c r="G410" s="9"/>
      <c r="H410" s="9"/>
      <c r="I410" s="9"/>
    </row>
    <row r="411" customFormat="false" ht="15" hidden="false" customHeight="false" outlineLevel="0" collapsed="false">
      <c r="A411" s="9"/>
      <c r="B411" s="9"/>
      <c r="C411" s="9"/>
      <c r="D411" s="40"/>
      <c r="E411" s="9"/>
      <c r="F411" s="9"/>
      <c r="G411" s="9"/>
      <c r="H411" s="9"/>
      <c r="I411" s="9"/>
    </row>
    <row r="412" customFormat="false" ht="15" hidden="false" customHeight="false" outlineLevel="0" collapsed="false">
      <c r="A412" s="9"/>
      <c r="B412" s="9"/>
      <c r="C412" s="9"/>
      <c r="D412" s="40"/>
      <c r="E412" s="9"/>
      <c r="F412" s="9"/>
      <c r="G412" s="9"/>
      <c r="H412" s="9"/>
      <c r="I412" s="9"/>
    </row>
    <row r="413" customFormat="false" ht="15" hidden="false" customHeight="false" outlineLevel="0" collapsed="false">
      <c r="A413" s="9"/>
      <c r="B413" s="9"/>
      <c r="C413" s="9"/>
      <c r="D413" s="40"/>
      <c r="E413" s="9"/>
      <c r="F413" s="9"/>
      <c r="G413" s="9"/>
      <c r="H413" s="9"/>
      <c r="I413" s="9"/>
    </row>
    <row r="414" customFormat="false" ht="15" hidden="false" customHeight="false" outlineLevel="0" collapsed="false">
      <c r="A414" s="9"/>
      <c r="B414" s="9"/>
      <c r="C414" s="9"/>
      <c r="D414" s="40"/>
      <c r="E414" s="9"/>
      <c r="F414" s="9"/>
      <c r="G414" s="9"/>
      <c r="H414" s="9"/>
      <c r="I414" s="9"/>
    </row>
    <row r="415" customFormat="false" ht="15" hidden="false" customHeight="false" outlineLevel="0" collapsed="false">
      <c r="A415" s="9"/>
      <c r="B415" s="9"/>
      <c r="C415" s="9"/>
      <c r="D415" s="40"/>
      <c r="E415" s="9"/>
      <c r="F415" s="9"/>
      <c r="G415" s="9"/>
      <c r="H415" s="9"/>
      <c r="I415" s="9"/>
    </row>
    <row r="416" customFormat="false" ht="15" hidden="false" customHeight="false" outlineLevel="0" collapsed="false">
      <c r="A416" s="9"/>
      <c r="B416" s="9"/>
      <c r="C416" s="9"/>
      <c r="D416" s="40"/>
      <c r="E416" s="9"/>
      <c r="F416" s="9"/>
      <c r="G416" s="9"/>
      <c r="H416" s="9"/>
      <c r="I416" s="9"/>
    </row>
    <row r="417" customFormat="false" ht="15" hidden="false" customHeight="false" outlineLevel="0" collapsed="false">
      <c r="A417" s="9"/>
      <c r="B417" s="9"/>
      <c r="C417" s="9"/>
      <c r="D417" s="40"/>
      <c r="E417" s="9"/>
      <c r="F417" s="9"/>
      <c r="G417" s="9"/>
      <c r="H417" s="9"/>
      <c r="I417" s="9"/>
    </row>
    <row r="418" customFormat="false" ht="15" hidden="false" customHeight="false" outlineLevel="0" collapsed="false">
      <c r="A418" s="9"/>
      <c r="B418" s="9"/>
      <c r="C418" s="9"/>
      <c r="D418" s="40"/>
      <c r="E418" s="9"/>
      <c r="F418" s="9"/>
      <c r="G418" s="9"/>
      <c r="H418" s="9"/>
      <c r="I418" s="9"/>
    </row>
    <row r="419" customFormat="false" ht="15" hidden="false" customHeight="false" outlineLevel="0" collapsed="false">
      <c r="A419" s="9"/>
      <c r="B419" s="9"/>
      <c r="C419" s="9"/>
      <c r="D419" s="40"/>
      <c r="E419" s="9"/>
      <c r="F419" s="9"/>
      <c r="G419" s="9"/>
      <c r="H419" s="9"/>
      <c r="I419" s="9"/>
    </row>
    <row r="420" customFormat="false" ht="15" hidden="false" customHeight="false" outlineLevel="0" collapsed="false">
      <c r="A420" s="9"/>
      <c r="B420" s="9"/>
      <c r="C420" s="9"/>
      <c r="D420" s="40"/>
      <c r="E420" s="9"/>
      <c r="F420" s="9"/>
      <c r="G420" s="9"/>
      <c r="H420" s="9"/>
      <c r="I420" s="9"/>
    </row>
    <row r="421" customFormat="false" ht="15" hidden="false" customHeight="false" outlineLevel="0" collapsed="false">
      <c r="A421" s="9"/>
      <c r="B421" s="9"/>
      <c r="C421" s="9"/>
      <c r="D421" s="40"/>
      <c r="E421" s="9"/>
      <c r="F421" s="9"/>
      <c r="G421" s="9"/>
      <c r="H421" s="9"/>
      <c r="I421" s="9"/>
    </row>
    <row r="422" customFormat="false" ht="15" hidden="false" customHeight="false" outlineLevel="0" collapsed="false">
      <c r="A422" s="9"/>
      <c r="B422" s="9"/>
      <c r="C422" s="9"/>
      <c r="D422" s="40"/>
      <c r="E422" s="9"/>
      <c r="F422" s="9"/>
      <c r="G422" s="9"/>
      <c r="H422" s="9"/>
      <c r="I422" s="9"/>
    </row>
    <row r="423" customFormat="false" ht="15" hidden="false" customHeight="false" outlineLevel="0" collapsed="false">
      <c r="A423" s="9"/>
      <c r="B423" s="9"/>
      <c r="C423" s="9"/>
      <c r="D423" s="40"/>
      <c r="E423" s="9"/>
      <c r="F423" s="9"/>
      <c r="G423" s="9"/>
      <c r="H423" s="9"/>
      <c r="I423" s="9"/>
    </row>
    <row r="424" customFormat="false" ht="15" hidden="false" customHeight="false" outlineLevel="0" collapsed="false">
      <c r="A424" s="9"/>
      <c r="B424" s="9"/>
      <c r="C424" s="9"/>
      <c r="D424" s="40"/>
      <c r="E424" s="9"/>
      <c r="F424" s="9"/>
      <c r="G424" s="9"/>
      <c r="H424" s="9"/>
      <c r="I424" s="9"/>
    </row>
    <row r="425" customFormat="false" ht="15" hidden="false" customHeight="false" outlineLevel="0" collapsed="false">
      <c r="A425" s="9"/>
      <c r="B425" s="9"/>
      <c r="C425" s="9"/>
      <c r="D425" s="40"/>
      <c r="E425" s="9"/>
      <c r="F425" s="9"/>
      <c r="G425" s="9"/>
      <c r="H425" s="9"/>
      <c r="I425" s="9"/>
    </row>
    <row r="426" customFormat="false" ht="15" hidden="false" customHeight="false" outlineLevel="0" collapsed="false">
      <c r="A426" s="9"/>
      <c r="B426" s="9"/>
      <c r="C426" s="9"/>
      <c r="D426" s="40"/>
      <c r="E426" s="9"/>
      <c r="F426" s="9"/>
      <c r="G426" s="9"/>
      <c r="H426" s="9"/>
      <c r="I426" s="9"/>
    </row>
    <row r="427" customFormat="false" ht="15" hidden="false" customHeight="false" outlineLevel="0" collapsed="false">
      <c r="A427" s="9"/>
      <c r="B427" s="9"/>
      <c r="C427" s="9"/>
      <c r="D427" s="40"/>
      <c r="E427" s="9"/>
      <c r="F427" s="9"/>
      <c r="G427" s="9"/>
      <c r="H427" s="9"/>
      <c r="I427" s="9"/>
    </row>
    <row r="428" customFormat="false" ht="15" hidden="false" customHeight="false" outlineLevel="0" collapsed="false">
      <c r="A428" s="9"/>
      <c r="B428" s="9"/>
      <c r="C428" s="9"/>
      <c r="D428" s="40"/>
      <c r="E428" s="9"/>
      <c r="F428" s="9"/>
      <c r="G428" s="9"/>
      <c r="H428" s="9"/>
      <c r="I428" s="9"/>
    </row>
    <row r="429" customFormat="false" ht="15" hidden="false" customHeight="false" outlineLevel="0" collapsed="false">
      <c r="A429" s="9"/>
      <c r="B429" s="9"/>
      <c r="C429" s="9"/>
      <c r="D429" s="40"/>
      <c r="E429" s="9"/>
      <c r="F429" s="9"/>
      <c r="G429" s="9"/>
      <c r="H429" s="9"/>
      <c r="I429" s="9"/>
    </row>
    <row r="430" customFormat="false" ht="15" hidden="false" customHeight="false" outlineLevel="0" collapsed="false">
      <c r="A430" s="9"/>
      <c r="B430" s="9"/>
      <c r="C430" s="9"/>
      <c r="D430" s="40"/>
      <c r="E430" s="9"/>
      <c r="F430" s="9"/>
      <c r="G430" s="9"/>
      <c r="H430" s="9"/>
      <c r="I430" s="9"/>
    </row>
    <row r="431" customFormat="false" ht="15" hidden="false" customHeight="false" outlineLevel="0" collapsed="false">
      <c r="A431" s="9"/>
      <c r="B431" s="9"/>
      <c r="C431" s="9"/>
      <c r="D431" s="40"/>
      <c r="E431" s="9"/>
      <c r="F431" s="9"/>
      <c r="G431" s="9"/>
      <c r="H431" s="9"/>
      <c r="I431" s="9"/>
    </row>
    <row r="432" customFormat="false" ht="15" hidden="false" customHeight="false" outlineLevel="0" collapsed="false">
      <c r="A432" s="9"/>
      <c r="B432" s="9"/>
      <c r="C432" s="9"/>
      <c r="D432" s="40"/>
      <c r="E432" s="9"/>
      <c r="F432" s="9"/>
      <c r="G432" s="9"/>
      <c r="H432" s="9"/>
      <c r="I432" s="9"/>
    </row>
    <row r="433" customFormat="false" ht="15" hidden="false" customHeight="false" outlineLevel="0" collapsed="false">
      <c r="A433" s="9"/>
      <c r="B433" s="9"/>
      <c r="C433" s="9"/>
      <c r="D433" s="40"/>
      <c r="E433" s="9"/>
      <c r="F433" s="9"/>
      <c r="G433" s="9"/>
      <c r="H433" s="9"/>
      <c r="I433" s="9"/>
    </row>
    <row r="434" customFormat="false" ht="15" hidden="false" customHeight="false" outlineLevel="0" collapsed="false">
      <c r="A434" s="9"/>
      <c r="B434" s="9"/>
      <c r="C434" s="9"/>
      <c r="D434" s="40"/>
      <c r="E434" s="9"/>
      <c r="F434" s="9"/>
      <c r="G434" s="9"/>
      <c r="H434" s="9"/>
      <c r="I434" s="9"/>
    </row>
    <row r="435" customFormat="false" ht="15" hidden="false" customHeight="false" outlineLevel="0" collapsed="false">
      <c r="A435" s="9"/>
      <c r="B435" s="9"/>
      <c r="C435" s="9"/>
      <c r="D435" s="40"/>
      <c r="E435" s="9"/>
      <c r="F435" s="9"/>
      <c r="G435" s="9"/>
      <c r="H435" s="9"/>
      <c r="I435" s="9"/>
    </row>
    <row r="436" customFormat="false" ht="15" hidden="false" customHeight="false" outlineLevel="0" collapsed="false">
      <c r="A436" s="9"/>
      <c r="B436" s="9"/>
      <c r="C436" s="9"/>
      <c r="D436" s="40"/>
      <c r="E436" s="9"/>
      <c r="F436" s="9"/>
      <c r="G436" s="9"/>
      <c r="H436" s="9"/>
      <c r="I436" s="9"/>
    </row>
    <row r="437" customFormat="false" ht="15" hidden="false" customHeight="false" outlineLevel="0" collapsed="false">
      <c r="A437" s="9"/>
      <c r="B437" s="9"/>
      <c r="C437" s="9"/>
      <c r="D437" s="40"/>
      <c r="E437" s="9"/>
      <c r="F437" s="9"/>
      <c r="G437" s="9"/>
      <c r="H437" s="9"/>
      <c r="I437" s="9"/>
    </row>
    <row r="438" customFormat="false" ht="15" hidden="false" customHeight="false" outlineLevel="0" collapsed="false">
      <c r="A438" s="9"/>
      <c r="B438" s="9"/>
      <c r="C438" s="9"/>
      <c r="D438" s="40"/>
      <c r="E438" s="9"/>
      <c r="F438" s="9"/>
      <c r="G438" s="9"/>
      <c r="H438" s="9"/>
      <c r="I438" s="9"/>
    </row>
    <row r="439" customFormat="false" ht="15" hidden="false" customHeight="false" outlineLevel="0" collapsed="false">
      <c r="A439" s="9"/>
      <c r="B439" s="9"/>
      <c r="C439" s="9"/>
      <c r="D439" s="40"/>
      <c r="E439" s="9"/>
      <c r="F439" s="9"/>
      <c r="G439" s="9"/>
      <c r="H439" s="9"/>
      <c r="I439" s="9"/>
    </row>
    <row r="440" customFormat="false" ht="15" hidden="false" customHeight="false" outlineLevel="0" collapsed="false">
      <c r="A440" s="9"/>
      <c r="B440" s="9"/>
      <c r="C440" s="9"/>
      <c r="D440" s="40"/>
      <c r="E440" s="9"/>
      <c r="F440" s="9"/>
      <c r="G440" s="9"/>
      <c r="H440" s="9"/>
      <c r="I440" s="9"/>
    </row>
    <row r="441" customFormat="false" ht="15" hidden="false" customHeight="false" outlineLevel="0" collapsed="false">
      <c r="A441" s="9"/>
      <c r="B441" s="9"/>
      <c r="C441" s="9"/>
      <c r="D441" s="40"/>
      <c r="E441" s="9"/>
      <c r="F441" s="9"/>
      <c r="G441" s="9"/>
      <c r="H441" s="9"/>
      <c r="I441" s="9"/>
    </row>
    <row r="442" customFormat="false" ht="15" hidden="false" customHeight="false" outlineLevel="0" collapsed="false">
      <c r="A442" s="9"/>
      <c r="B442" s="9"/>
      <c r="C442" s="9"/>
      <c r="D442" s="40"/>
      <c r="E442" s="9"/>
      <c r="F442" s="9"/>
      <c r="G442" s="9"/>
      <c r="H442" s="9"/>
      <c r="I442" s="9"/>
    </row>
    <row r="443" customFormat="false" ht="15" hidden="false" customHeight="false" outlineLevel="0" collapsed="false">
      <c r="A443" s="9"/>
      <c r="B443" s="9"/>
      <c r="C443" s="9"/>
      <c r="D443" s="40"/>
      <c r="E443" s="9"/>
      <c r="F443" s="9"/>
      <c r="G443" s="9"/>
      <c r="H443" s="9"/>
      <c r="I443" s="9"/>
    </row>
    <row r="444" customFormat="false" ht="15" hidden="false" customHeight="false" outlineLevel="0" collapsed="false">
      <c r="A444" s="9"/>
      <c r="B444" s="9"/>
      <c r="C444" s="9"/>
      <c r="D444" s="40"/>
      <c r="E444" s="9"/>
      <c r="F444" s="9"/>
      <c r="G444" s="9"/>
      <c r="H444" s="9"/>
      <c r="I444" s="9"/>
    </row>
    <row r="445" customFormat="false" ht="15" hidden="false" customHeight="false" outlineLevel="0" collapsed="false">
      <c r="A445" s="9"/>
      <c r="B445" s="9"/>
      <c r="C445" s="9"/>
      <c r="D445" s="40"/>
      <c r="E445" s="9"/>
      <c r="F445" s="9"/>
      <c r="G445" s="9"/>
      <c r="H445" s="9"/>
      <c r="I445" s="9"/>
    </row>
    <row r="446" customFormat="false" ht="15" hidden="false" customHeight="false" outlineLevel="0" collapsed="false">
      <c r="A446" s="9"/>
      <c r="B446" s="9"/>
      <c r="C446" s="9"/>
      <c r="D446" s="40"/>
      <c r="E446" s="9"/>
      <c r="F446" s="9"/>
      <c r="G446" s="9"/>
      <c r="H446" s="9"/>
      <c r="I446" s="9"/>
    </row>
    <row r="447" customFormat="false" ht="15" hidden="false" customHeight="false" outlineLevel="0" collapsed="false">
      <c r="A447" s="9"/>
      <c r="B447" s="9"/>
      <c r="C447" s="9"/>
      <c r="D447" s="40"/>
      <c r="E447" s="9"/>
      <c r="F447" s="9"/>
      <c r="G447" s="9"/>
      <c r="H447" s="9"/>
      <c r="I447" s="9"/>
    </row>
    <row r="448" customFormat="false" ht="15" hidden="false" customHeight="false" outlineLevel="0" collapsed="false">
      <c r="A448" s="9"/>
      <c r="B448" s="9"/>
      <c r="C448" s="9"/>
      <c r="D448" s="40"/>
      <c r="E448" s="9"/>
      <c r="F448" s="9"/>
      <c r="G448" s="9"/>
      <c r="H448" s="9"/>
      <c r="I448" s="9"/>
    </row>
    <row r="449" customFormat="false" ht="15" hidden="false" customHeight="false" outlineLevel="0" collapsed="false">
      <c r="A449" s="9"/>
      <c r="B449" s="9"/>
      <c r="C449" s="9"/>
      <c r="D449" s="40"/>
      <c r="E449" s="9"/>
      <c r="F449" s="9"/>
      <c r="G449" s="9"/>
      <c r="H449" s="9"/>
      <c r="I449" s="9"/>
    </row>
    <row r="450" customFormat="false" ht="15" hidden="false" customHeight="false" outlineLevel="0" collapsed="false">
      <c r="A450" s="9"/>
      <c r="B450" s="9"/>
      <c r="C450" s="9"/>
      <c r="D450" s="40"/>
      <c r="E450" s="9"/>
      <c r="F450" s="9"/>
      <c r="G450" s="9"/>
      <c r="H450" s="9"/>
      <c r="I450" s="9"/>
    </row>
    <row r="451" customFormat="false" ht="15" hidden="false" customHeight="false" outlineLevel="0" collapsed="false">
      <c r="A451" s="9"/>
      <c r="B451" s="9"/>
      <c r="C451" s="9"/>
      <c r="D451" s="40"/>
      <c r="E451" s="9"/>
      <c r="F451" s="9"/>
      <c r="G451" s="9"/>
      <c r="H451" s="9"/>
      <c r="I451" s="9"/>
    </row>
    <row r="452" customFormat="false" ht="15" hidden="false" customHeight="false" outlineLevel="0" collapsed="false">
      <c r="A452" s="9"/>
      <c r="B452" s="9"/>
      <c r="C452" s="9"/>
      <c r="D452" s="40"/>
      <c r="E452" s="9"/>
      <c r="F452" s="9"/>
      <c r="G452" s="9"/>
      <c r="H452" s="9"/>
      <c r="I452" s="9"/>
    </row>
    <row r="453" customFormat="false" ht="15" hidden="false" customHeight="false" outlineLevel="0" collapsed="false">
      <c r="A453" s="9"/>
      <c r="B453" s="9"/>
      <c r="C453" s="9"/>
      <c r="D453" s="40"/>
      <c r="E453" s="9"/>
      <c r="F453" s="9"/>
      <c r="G453" s="9"/>
      <c r="H453" s="9"/>
      <c r="I453" s="9"/>
    </row>
    <row r="454" customFormat="false" ht="15" hidden="false" customHeight="false" outlineLevel="0" collapsed="false">
      <c r="A454" s="9"/>
      <c r="B454" s="9"/>
      <c r="C454" s="9"/>
      <c r="D454" s="40"/>
      <c r="E454" s="9"/>
      <c r="F454" s="9"/>
      <c r="G454" s="9"/>
      <c r="H454" s="9"/>
      <c r="I454" s="9"/>
    </row>
    <row r="455" customFormat="false" ht="15" hidden="false" customHeight="false" outlineLevel="0" collapsed="false">
      <c r="A455" s="9"/>
      <c r="B455" s="9"/>
      <c r="C455" s="9"/>
      <c r="D455" s="40"/>
      <c r="E455" s="9"/>
      <c r="F455" s="9"/>
      <c r="G455" s="9"/>
      <c r="H455" s="9"/>
      <c r="I455" s="9"/>
    </row>
    <row r="456" customFormat="false" ht="15" hidden="false" customHeight="false" outlineLevel="0" collapsed="false">
      <c r="A456" s="9"/>
      <c r="B456" s="9"/>
      <c r="C456" s="9"/>
      <c r="D456" s="40"/>
      <c r="E456" s="9"/>
      <c r="F456" s="9"/>
      <c r="G456" s="9"/>
      <c r="H456" s="9"/>
      <c r="I456" s="9"/>
    </row>
    <row r="457" customFormat="false" ht="15" hidden="false" customHeight="false" outlineLevel="0" collapsed="false">
      <c r="A457" s="9"/>
      <c r="B457" s="9"/>
      <c r="C457" s="9"/>
      <c r="D457" s="40"/>
      <c r="E457" s="9"/>
      <c r="F457" s="9"/>
      <c r="G457" s="9"/>
      <c r="H457" s="9"/>
      <c r="I457" s="9"/>
    </row>
    <row r="458" customFormat="false" ht="15" hidden="false" customHeight="false" outlineLevel="0" collapsed="false">
      <c r="A458" s="9"/>
      <c r="B458" s="9"/>
      <c r="C458" s="9"/>
      <c r="D458" s="40"/>
      <c r="E458" s="9"/>
      <c r="F458" s="9"/>
      <c r="G458" s="9"/>
      <c r="H458" s="9"/>
      <c r="I458" s="9"/>
    </row>
    <row r="459" customFormat="false" ht="15" hidden="false" customHeight="false" outlineLevel="0" collapsed="false">
      <c r="A459" s="9"/>
      <c r="B459" s="9"/>
      <c r="C459" s="9"/>
      <c r="D459" s="40"/>
      <c r="E459" s="9"/>
      <c r="F459" s="9"/>
      <c r="G459" s="9"/>
      <c r="H459" s="9"/>
      <c r="I459" s="9"/>
    </row>
    <row r="460" customFormat="false" ht="15" hidden="false" customHeight="false" outlineLevel="0" collapsed="false">
      <c r="A460" s="9"/>
      <c r="B460" s="9"/>
      <c r="C460" s="9"/>
      <c r="D460" s="40"/>
      <c r="E460" s="9"/>
      <c r="F460" s="9"/>
      <c r="G460" s="9"/>
      <c r="H460" s="9"/>
      <c r="I460" s="9"/>
    </row>
    <row r="461" customFormat="false" ht="15" hidden="false" customHeight="false" outlineLevel="0" collapsed="false">
      <c r="A461" s="9"/>
      <c r="B461" s="9"/>
      <c r="C461" s="9"/>
      <c r="D461" s="40"/>
      <c r="E461" s="9"/>
      <c r="F461" s="9"/>
      <c r="G461" s="9"/>
      <c r="H461" s="9"/>
      <c r="I461" s="9"/>
    </row>
    <row r="462" customFormat="false" ht="15" hidden="false" customHeight="false" outlineLevel="0" collapsed="false">
      <c r="A462" s="9"/>
      <c r="B462" s="9"/>
      <c r="C462" s="9"/>
      <c r="D462" s="40"/>
      <c r="E462" s="9"/>
      <c r="F462" s="9"/>
      <c r="G462" s="9"/>
      <c r="H462" s="9"/>
      <c r="I462" s="9"/>
    </row>
    <row r="463" customFormat="false" ht="15" hidden="false" customHeight="false" outlineLevel="0" collapsed="false">
      <c r="A463" s="9"/>
      <c r="B463" s="9"/>
      <c r="C463" s="9"/>
      <c r="D463" s="40"/>
      <c r="E463" s="9"/>
      <c r="F463" s="9"/>
      <c r="G463" s="9"/>
      <c r="H463" s="9"/>
      <c r="I463" s="9"/>
    </row>
    <row r="464" customFormat="false" ht="15" hidden="false" customHeight="false" outlineLevel="0" collapsed="false">
      <c r="A464" s="9"/>
      <c r="B464" s="9"/>
      <c r="C464" s="9"/>
      <c r="D464" s="40"/>
      <c r="E464" s="9"/>
      <c r="F464" s="9"/>
      <c r="G464" s="9"/>
      <c r="H464" s="9"/>
      <c r="I464" s="9"/>
    </row>
    <row r="465" customFormat="false" ht="15" hidden="false" customHeight="false" outlineLevel="0" collapsed="false">
      <c r="A465" s="9"/>
      <c r="B465" s="9"/>
      <c r="C465" s="9"/>
      <c r="D465" s="40"/>
      <c r="E465" s="9"/>
      <c r="F465" s="9"/>
      <c r="G465" s="9"/>
      <c r="H465" s="9"/>
      <c r="I465" s="9"/>
    </row>
    <row r="466" customFormat="false" ht="15" hidden="false" customHeight="false" outlineLevel="0" collapsed="false">
      <c r="A466" s="9"/>
      <c r="B466" s="9"/>
      <c r="C466" s="9"/>
      <c r="D466" s="40"/>
      <c r="E466" s="9"/>
      <c r="F466" s="9"/>
      <c r="G466" s="9"/>
      <c r="H466" s="9"/>
      <c r="I466" s="9"/>
    </row>
    <row r="467" customFormat="false" ht="15" hidden="false" customHeight="false" outlineLevel="0" collapsed="false">
      <c r="A467" s="9"/>
      <c r="B467" s="9"/>
      <c r="C467" s="9"/>
      <c r="D467" s="40"/>
      <c r="E467" s="9"/>
      <c r="F467" s="9"/>
      <c r="G467" s="9"/>
      <c r="H467" s="9"/>
      <c r="I467" s="9"/>
    </row>
    <row r="468" customFormat="false" ht="15" hidden="false" customHeight="false" outlineLevel="0" collapsed="false">
      <c r="A468" s="9"/>
      <c r="B468" s="9"/>
      <c r="C468" s="9"/>
      <c r="D468" s="40"/>
      <c r="E468" s="9"/>
      <c r="F468" s="9"/>
      <c r="G468" s="9"/>
      <c r="H468" s="9"/>
      <c r="I468" s="9"/>
    </row>
    <row r="469" customFormat="false" ht="15" hidden="false" customHeight="false" outlineLevel="0" collapsed="false">
      <c r="A469" s="9"/>
      <c r="B469" s="9"/>
      <c r="C469" s="9"/>
      <c r="D469" s="40"/>
      <c r="E469" s="9"/>
      <c r="F469" s="9"/>
      <c r="G469" s="9"/>
      <c r="H469" s="9"/>
      <c r="I469" s="9"/>
    </row>
    <row r="470" customFormat="false" ht="15" hidden="false" customHeight="false" outlineLevel="0" collapsed="false">
      <c r="A470" s="9"/>
      <c r="B470" s="9"/>
      <c r="C470" s="9"/>
      <c r="D470" s="40"/>
      <c r="E470" s="9"/>
      <c r="F470" s="9"/>
      <c r="G470" s="9"/>
      <c r="H470" s="9"/>
      <c r="I470" s="9"/>
    </row>
    <row r="471" customFormat="false" ht="15" hidden="false" customHeight="false" outlineLevel="0" collapsed="false">
      <c r="A471" s="9"/>
      <c r="B471" s="9"/>
      <c r="C471" s="9"/>
      <c r="D471" s="40"/>
      <c r="E471" s="9"/>
      <c r="F471" s="9"/>
      <c r="G471" s="9"/>
      <c r="H471" s="9"/>
      <c r="I471" s="9"/>
    </row>
    <row r="472" customFormat="false" ht="15" hidden="false" customHeight="false" outlineLevel="0" collapsed="false">
      <c r="A472" s="9"/>
      <c r="B472" s="9"/>
      <c r="C472" s="9"/>
      <c r="D472" s="40"/>
      <c r="E472" s="9"/>
      <c r="F472" s="9"/>
      <c r="G472" s="9"/>
      <c r="H472" s="9"/>
      <c r="I472" s="9"/>
    </row>
    <row r="473" customFormat="false" ht="15" hidden="false" customHeight="false" outlineLevel="0" collapsed="false">
      <c r="A473" s="9"/>
      <c r="B473" s="9"/>
      <c r="C473" s="9"/>
      <c r="D473" s="40"/>
      <c r="E473" s="9"/>
      <c r="F473" s="9"/>
      <c r="G473" s="9"/>
      <c r="H473" s="9"/>
      <c r="I473" s="9"/>
    </row>
    <row r="474" customFormat="false" ht="15" hidden="false" customHeight="false" outlineLevel="0" collapsed="false">
      <c r="A474" s="9"/>
      <c r="B474" s="9"/>
      <c r="C474" s="9"/>
      <c r="D474" s="40"/>
      <c r="E474" s="9"/>
      <c r="F474" s="9"/>
      <c r="G474" s="9"/>
      <c r="H474" s="9"/>
      <c r="I474" s="9"/>
    </row>
    <row r="475" customFormat="false" ht="15" hidden="false" customHeight="false" outlineLevel="0" collapsed="false">
      <c r="A475" s="9"/>
      <c r="B475" s="9"/>
      <c r="C475" s="9"/>
      <c r="D475" s="40"/>
      <c r="E475" s="9"/>
      <c r="F475" s="9"/>
      <c r="G475" s="9"/>
      <c r="H475" s="9"/>
      <c r="I475" s="9"/>
    </row>
    <row r="476" customFormat="false" ht="15" hidden="false" customHeight="false" outlineLevel="0" collapsed="false">
      <c r="A476" s="9"/>
      <c r="B476" s="9"/>
      <c r="C476" s="9"/>
      <c r="D476" s="40"/>
      <c r="E476" s="9"/>
      <c r="F476" s="9"/>
      <c r="G476" s="9"/>
      <c r="H476" s="9"/>
      <c r="I476" s="9"/>
    </row>
    <row r="477" customFormat="false" ht="15" hidden="false" customHeight="false" outlineLevel="0" collapsed="false">
      <c r="A477" s="9"/>
      <c r="B477" s="9"/>
      <c r="C477" s="9"/>
      <c r="D477" s="40"/>
      <c r="E477" s="9"/>
      <c r="F477" s="9"/>
      <c r="G477" s="9"/>
      <c r="H477" s="9"/>
      <c r="I477" s="9"/>
    </row>
    <row r="478" customFormat="false" ht="15" hidden="false" customHeight="false" outlineLevel="0" collapsed="false">
      <c r="A478" s="9"/>
      <c r="B478" s="9"/>
      <c r="C478" s="9"/>
      <c r="D478" s="40"/>
      <c r="E478" s="9"/>
      <c r="F478" s="9"/>
      <c r="G478" s="9"/>
      <c r="H478" s="9"/>
      <c r="I478" s="9"/>
    </row>
    <row r="479" customFormat="false" ht="15" hidden="false" customHeight="false" outlineLevel="0" collapsed="false">
      <c r="A479" s="9"/>
      <c r="B479" s="9"/>
      <c r="C479" s="9"/>
      <c r="D479" s="40"/>
      <c r="E479" s="9"/>
      <c r="F479" s="9"/>
      <c r="G479" s="9"/>
      <c r="H479" s="9"/>
      <c r="I479" s="9"/>
    </row>
    <row r="480" customFormat="false" ht="15" hidden="false" customHeight="false" outlineLevel="0" collapsed="false">
      <c r="A480" s="9"/>
      <c r="B480" s="9"/>
      <c r="C480" s="9"/>
      <c r="D480" s="40"/>
      <c r="E480" s="9"/>
      <c r="F480" s="9"/>
      <c r="G480" s="9"/>
      <c r="H480" s="9"/>
      <c r="I480" s="9"/>
    </row>
    <row r="481" customFormat="false" ht="15" hidden="false" customHeight="false" outlineLevel="0" collapsed="false">
      <c r="A481" s="9"/>
      <c r="B481" s="9"/>
      <c r="C481" s="9"/>
      <c r="D481" s="40"/>
      <c r="E481" s="9"/>
      <c r="F481" s="9"/>
      <c r="G481" s="9"/>
      <c r="H481" s="9"/>
      <c r="I481" s="9"/>
    </row>
    <row r="482" customFormat="false" ht="15" hidden="false" customHeight="false" outlineLevel="0" collapsed="false">
      <c r="A482" s="9"/>
      <c r="B482" s="9"/>
      <c r="C482" s="9"/>
      <c r="D482" s="40"/>
      <c r="E482" s="9"/>
      <c r="F482" s="9"/>
      <c r="G482" s="9"/>
      <c r="H482" s="9"/>
      <c r="I482" s="9"/>
    </row>
    <row r="483" customFormat="false" ht="15" hidden="false" customHeight="false" outlineLevel="0" collapsed="false">
      <c r="A483" s="9"/>
      <c r="B483" s="9"/>
      <c r="C483" s="9"/>
      <c r="D483" s="40"/>
      <c r="E483" s="9"/>
      <c r="F483" s="9"/>
      <c r="G483" s="9"/>
      <c r="H483" s="9"/>
      <c r="I483" s="9"/>
    </row>
    <row r="484" customFormat="false" ht="15" hidden="false" customHeight="false" outlineLevel="0" collapsed="false">
      <c r="A484" s="9"/>
      <c r="B484" s="9"/>
      <c r="C484" s="9"/>
      <c r="D484" s="40"/>
      <c r="E484" s="9"/>
      <c r="F484" s="9"/>
      <c r="G484" s="9"/>
      <c r="H484" s="9"/>
      <c r="I484" s="9"/>
    </row>
    <row r="485" customFormat="false" ht="15" hidden="false" customHeight="false" outlineLevel="0" collapsed="false">
      <c r="A485" s="9"/>
      <c r="B485" s="9"/>
      <c r="C485" s="9"/>
      <c r="D485" s="40"/>
      <c r="E485" s="9"/>
      <c r="F485" s="9"/>
      <c r="G485" s="9"/>
      <c r="H485" s="9"/>
      <c r="I485" s="9"/>
    </row>
    <row r="486" customFormat="false" ht="15" hidden="false" customHeight="false" outlineLevel="0" collapsed="false">
      <c r="A486" s="9"/>
      <c r="B486" s="9"/>
      <c r="C486" s="9"/>
      <c r="D486" s="40"/>
      <c r="E486" s="9"/>
      <c r="F486" s="9"/>
      <c r="G486" s="9"/>
      <c r="H486" s="9"/>
      <c r="I486" s="9"/>
    </row>
    <row r="487" customFormat="false" ht="15" hidden="false" customHeight="false" outlineLevel="0" collapsed="false">
      <c r="A487" s="9"/>
      <c r="B487" s="9"/>
      <c r="C487" s="9"/>
      <c r="D487" s="40"/>
      <c r="E487" s="9"/>
      <c r="F487" s="9"/>
      <c r="G487" s="9"/>
      <c r="H487" s="9"/>
      <c r="I487" s="9"/>
    </row>
    <row r="488" customFormat="false" ht="15" hidden="false" customHeight="false" outlineLevel="0" collapsed="false">
      <c r="A488" s="9"/>
      <c r="B488" s="9"/>
      <c r="C488" s="9"/>
      <c r="D488" s="40"/>
      <c r="E488" s="9"/>
      <c r="F488" s="9"/>
      <c r="G488" s="9"/>
      <c r="H488" s="9"/>
      <c r="I488" s="9"/>
    </row>
    <row r="489" customFormat="false" ht="15" hidden="false" customHeight="false" outlineLevel="0" collapsed="false">
      <c r="A489" s="9"/>
      <c r="B489" s="9"/>
      <c r="C489" s="9"/>
      <c r="D489" s="40"/>
      <c r="E489" s="9"/>
      <c r="F489" s="9"/>
      <c r="G489" s="9"/>
      <c r="H489" s="9"/>
      <c r="I489" s="9"/>
    </row>
    <row r="490" customFormat="false" ht="15" hidden="false" customHeight="false" outlineLevel="0" collapsed="false">
      <c r="A490" s="9"/>
      <c r="B490" s="9"/>
      <c r="C490" s="9"/>
      <c r="D490" s="40"/>
      <c r="E490" s="9"/>
      <c r="F490" s="9"/>
      <c r="G490" s="9"/>
      <c r="H490" s="9"/>
      <c r="I490" s="9"/>
    </row>
    <row r="491" customFormat="false" ht="15" hidden="false" customHeight="false" outlineLevel="0" collapsed="false">
      <c r="A491" s="9"/>
      <c r="B491" s="9"/>
      <c r="C491" s="9"/>
      <c r="D491" s="40"/>
      <c r="E491" s="9"/>
      <c r="F491" s="9"/>
      <c r="G491" s="9"/>
      <c r="H491" s="9"/>
      <c r="I491" s="9"/>
    </row>
    <row r="492" customFormat="false" ht="15" hidden="false" customHeight="false" outlineLevel="0" collapsed="false">
      <c r="A492" s="9"/>
      <c r="B492" s="9"/>
      <c r="C492" s="9"/>
      <c r="D492" s="40"/>
      <c r="E492" s="9"/>
      <c r="F492" s="9"/>
      <c r="G492" s="9"/>
      <c r="H492" s="9"/>
      <c r="I492" s="9"/>
    </row>
    <row r="493" customFormat="false" ht="15" hidden="false" customHeight="false" outlineLevel="0" collapsed="false">
      <c r="A493" s="9"/>
      <c r="B493" s="9"/>
      <c r="C493" s="9"/>
      <c r="D493" s="40"/>
      <c r="E493" s="9"/>
      <c r="F493" s="9"/>
      <c r="G493" s="9"/>
      <c r="H493" s="9"/>
      <c r="I493" s="9"/>
    </row>
    <row r="494" customFormat="false" ht="15" hidden="false" customHeight="false" outlineLevel="0" collapsed="false">
      <c r="A494" s="9"/>
      <c r="B494" s="9"/>
      <c r="C494" s="9"/>
      <c r="D494" s="40"/>
      <c r="E494" s="9"/>
      <c r="F494" s="9"/>
      <c r="G494" s="9"/>
      <c r="H494" s="9"/>
      <c r="I494" s="9"/>
    </row>
    <row r="495" customFormat="false" ht="15" hidden="false" customHeight="false" outlineLevel="0" collapsed="false">
      <c r="A495" s="9"/>
      <c r="B495" s="9"/>
      <c r="C495" s="9"/>
      <c r="D495" s="40"/>
      <c r="E495" s="9"/>
      <c r="F495" s="9"/>
      <c r="G495" s="9"/>
      <c r="H495" s="9"/>
      <c r="I495" s="9"/>
    </row>
    <row r="496" customFormat="false" ht="15" hidden="false" customHeight="false" outlineLevel="0" collapsed="false">
      <c r="A496" s="9"/>
      <c r="B496" s="9"/>
      <c r="C496" s="9"/>
      <c r="D496" s="40"/>
      <c r="E496" s="9"/>
      <c r="F496" s="9"/>
      <c r="G496" s="9"/>
      <c r="H496" s="9"/>
      <c r="I496" s="9"/>
    </row>
    <row r="497" customFormat="false" ht="15" hidden="false" customHeight="false" outlineLevel="0" collapsed="false">
      <c r="A497" s="9"/>
      <c r="B497" s="9"/>
      <c r="C497" s="9"/>
      <c r="D497" s="40"/>
      <c r="E497" s="9"/>
      <c r="F497" s="9"/>
      <c r="G497" s="9"/>
      <c r="H497" s="9"/>
      <c r="I497" s="9"/>
    </row>
    <row r="498" customFormat="false" ht="15" hidden="false" customHeight="false" outlineLevel="0" collapsed="false">
      <c r="A498" s="9"/>
      <c r="B498" s="9"/>
      <c r="C498" s="9"/>
      <c r="D498" s="40"/>
      <c r="E498" s="9"/>
      <c r="F498" s="9"/>
      <c r="G498" s="9"/>
      <c r="H498" s="9"/>
      <c r="I498" s="9"/>
    </row>
    <row r="499" customFormat="false" ht="15" hidden="false" customHeight="false" outlineLevel="0" collapsed="false">
      <c r="A499" s="9"/>
      <c r="B499" s="9"/>
      <c r="C499" s="9"/>
      <c r="D499" s="40"/>
      <c r="E499" s="9"/>
      <c r="F499" s="9"/>
      <c r="G499" s="9"/>
      <c r="H499" s="9"/>
      <c r="I499" s="9"/>
    </row>
    <row r="500" customFormat="false" ht="15" hidden="false" customHeight="false" outlineLevel="0" collapsed="false">
      <c r="A500" s="9"/>
      <c r="B500" s="9"/>
      <c r="C500" s="9"/>
      <c r="D500" s="40"/>
      <c r="E500" s="9"/>
      <c r="F500" s="9"/>
      <c r="G500" s="9"/>
      <c r="H500" s="9"/>
      <c r="I500" s="9"/>
    </row>
    <row r="501" customFormat="false" ht="15" hidden="false" customHeight="false" outlineLevel="0" collapsed="false">
      <c r="A501" s="9"/>
      <c r="B501" s="9"/>
      <c r="C501" s="9"/>
      <c r="D501" s="40"/>
      <c r="E501" s="9"/>
      <c r="F501" s="9"/>
      <c r="G501" s="9"/>
      <c r="H501" s="9"/>
      <c r="I501" s="9"/>
    </row>
    <row r="502" customFormat="false" ht="15" hidden="false" customHeight="false" outlineLevel="0" collapsed="false">
      <c r="A502" s="9"/>
      <c r="B502" s="9"/>
      <c r="C502" s="9"/>
      <c r="D502" s="40"/>
      <c r="E502" s="9"/>
      <c r="F502" s="9"/>
      <c r="G502" s="9"/>
      <c r="H502" s="9"/>
      <c r="I502" s="9"/>
    </row>
    <row r="503" customFormat="false" ht="15" hidden="false" customHeight="false" outlineLevel="0" collapsed="false">
      <c r="A503" s="9"/>
      <c r="B503" s="9"/>
      <c r="C503" s="9"/>
      <c r="D503" s="40"/>
      <c r="E503" s="9"/>
      <c r="F503" s="9"/>
      <c r="G503" s="9"/>
      <c r="H503" s="9"/>
      <c r="I503" s="9"/>
    </row>
    <row r="504" customFormat="false" ht="15" hidden="false" customHeight="false" outlineLevel="0" collapsed="false">
      <c r="A504" s="9"/>
      <c r="B504" s="9"/>
      <c r="C504" s="9"/>
      <c r="D504" s="40"/>
      <c r="E504" s="9"/>
      <c r="F504" s="9"/>
      <c r="G504" s="9"/>
      <c r="H504" s="9"/>
      <c r="I504"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G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44"/>
    <col collapsed="false" customWidth="true" hidden="false" outlineLevel="0" max="3" min="3" style="0" width="8"/>
    <col collapsed="false" customWidth="true" hidden="false" outlineLevel="0" max="4" min="4" style="0" width="60"/>
    <col collapsed="false" customWidth="true" hidden="false" outlineLevel="0" max="5" min="5" style="0" width="10"/>
    <col collapsed="false" customWidth="true" hidden="false" outlineLevel="0" max="6" min="6" style="0" width="14"/>
    <col collapsed="false" customWidth="true" hidden="false" outlineLevel="0" max="7" min="7" style="0" width="11"/>
  </cols>
  <sheetData>
    <row r="1" customFormat="false" ht="17.35" hidden="false" customHeight="false" outlineLevel="0" collapsed="false">
      <c r="A1" s="5" t="s">
        <v>957</v>
      </c>
    </row>
    <row r="2" customFormat="false" ht="15" hidden="false" customHeight="false" outlineLevel="0" collapsed="false">
      <c r="A2" s="6" t="s">
        <v>958</v>
      </c>
    </row>
    <row r="3" customFormat="false" ht="15" hidden="false" customHeight="false" outlineLevel="0" collapsed="false">
      <c r="A3" s="15" t="s">
        <v>959</v>
      </c>
      <c r="B3" s="15" t="s">
        <v>960</v>
      </c>
      <c r="C3" s="15" t="s">
        <v>129</v>
      </c>
      <c r="D3" s="15" t="s">
        <v>961</v>
      </c>
      <c r="E3" s="15" t="s">
        <v>132</v>
      </c>
      <c r="F3" s="15" t="s">
        <v>962</v>
      </c>
      <c r="G3" s="15" t="s">
        <v>566</v>
      </c>
    </row>
    <row r="4" customFormat="false" ht="15" hidden="false" customHeight="false" outlineLevel="0" collapsed="false">
      <c r="A4" s="43" t="s">
        <v>963</v>
      </c>
    </row>
    <row r="5" customFormat="false" ht="15" hidden="false" customHeight="false" outlineLevel="0" collapsed="false">
      <c r="A5" s="8" t="s">
        <v>964</v>
      </c>
      <c r="B5" s="9" t="s">
        <v>965</v>
      </c>
      <c r="C5" s="26"/>
      <c r="D5" s="29" t="s">
        <v>966</v>
      </c>
      <c r="E5" s="8" t="s">
        <v>967</v>
      </c>
      <c r="F5" s="9"/>
      <c r="G5" s="40"/>
    </row>
    <row r="6" customFormat="false" ht="15" hidden="false" customHeight="false" outlineLevel="0" collapsed="false">
      <c r="A6" s="8" t="s">
        <v>968</v>
      </c>
      <c r="B6" s="10" t="str">
        <f aca="false">IF(RIGHT(B5,1)="\",B5,B5&amp;"\")</f>
        <v>C:\Users\yourname\YourCompany\Design Library - Documents\</v>
      </c>
      <c r="C6" s="26"/>
      <c r="D6" s="29" t="s">
        <v>277</v>
      </c>
      <c r="E6" s="8" t="s">
        <v>969</v>
      </c>
      <c r="F6" s="9"/>
      <c r="G6" s="40"/>
    </row>
    <row r="7" customFormat="false" ht="15" hidden="false" customHeight="false" outlineLevel="0" collapsed="false">
      <c r="A7" s="8" t="s">
        <v>970</v>
      </c>
      <c r="B7" s="9" t="s">
        <v>971</v>
      </c>
      <c r="C7" s="26"/>
      <c r="D7" s="29"/>
      <c r="E7" s="8" t="s">
        <v>967</v>
      </c>
      <c r="F7" s="9"/>
      <c r="G7" s="40"/>
    </row>
    <row r="8" customFormat="false" ht="15" hidden="false" customHeight="false" outlineLevel="0" collapsed="false">
      <c r="A8" s="8" t="s">
        <v>972</v>
      </c>
      <c r="B8" s="9" t="s">
        <v>973</v>
      </c>
      <c r="C8" s="26"/>
      <c r="D8" s="29"/>
      <c r="E8" s="8" t="s">
        <v>967</v>
      </c>
      <c r="F8" s="9"/>
      <c r="G8" s="40"/>
    </row>
    <row r="9" customFormat="false" ht="15" hidden="false" customHeight="false" outlineLevel="0" collapsed="false">
      <c r="A9" s="8" t="s">
        <v>974</v>
      </c>
      <c r="B9" s="9" t="s">
        <v>975</v>
      </c>
      <c r="C9" s="26"/>
      <c r="D9" s="29"/>
      <c r="E9" s="8" t="s">
        <v>967</v>
      </c>
      <c r="F9" s="9"/>
      <c r="G9" s="40"/>
    </row>
    <row r="10" customFormat="false" ht="15" hidden="false" customHeight="false" outlineLevel="0" collapsed="false">
      <c r="A10" s="8" t="s">
        <v>976</v>
      </c>
      <c r="B10" s="9" t="s">
        <v>977</v>
      </c>
      <c r="C10" s="26"/>
      <c r="D10" s="29"/>
      <c r="E10" s="8" t="s">
        <v>967</v>
      </c>
      <c r="F10" s="9"/>
      <c r="G10" s="40"/>
    </row>
    <row r="11" customFormat="false" ht="15" hidden="false" customHeight="false" outlineLevel="0" collapsed="false">
      <c r="A11" s="8" t="s">
        <v>978</v>
      </c>
      <c r="B11" s="9" t="s">
        <v>979</v>
      </c>
      <c r="C11" s="26"/>
      <c r="D11" s="29"/>
      <c r="E11" s="8" t="s">
        <v>967</v>
      </c>
      <c r="F11" s="9"/>
      <c r="G11" s="40"/>
    </row>
    <row r="12" customFormat="false" ht="15" hidden="false" customHeight="false" outlineLevel="0" collapsed="false">
      <c r="A12" s="8" t="s">
        <v>980</v>
      </c>
      <c r="B12" s="9" t="s">
        <v>981</v>
      </c>
      <c r="C12" s="26"/>
      <c r="D12" s="29"/>
      <c r="E12" s="8" t="s">
        <v>967</v>
      </c>
      <c r="F12" s="9"/>
      <c r="G12" s="40"/>
    </row>
    <row r="13" customFormat="false" ht="15" hidden="false" customHeight="false" outlineLevel="0" collapsed="false">
      <c r="A13" s="8" t="s">
        <v>982</v>
      </c>
      <c r="B13" s="9" t="s">
        <v>983</v>
      </c>
      <c r="C13" s="26"/>
      <c r="D13" s="29"/>
      <c r="E13" s="8" t="s">
        <v>967</v>
      </c>
      <c r="F13" s="9"/>
      <c r="G13" s="40"/>
    </row>
    <row r="14" customFormat="false" ht="15" hidden="false" customHeight="false" outlineLevel="0" collapsed="false">
      <c r="A14" s="43" t="s">
        <v>984</v>
      </c>
    </row>
    <row r="15" customFormat="false" ht="15" hidden="false" customHeight="false" outlineLevel="0" collapsed="false">
      <c r="A15" s="8" t="s">
        <v>985</v>
      </c>
      <c r="B15" s="9" t="n">
        <v>600</v>
      </c>
      <c r="C15" s="26" t="s">
        <v>290</v>
      </c>
      <c r="D15" s="29" t="s">
        <v>986</v>
      </c>
      <c r="E15" s="44" t="s">
        <v>987</v>
      </c>
      <c r="F15" s="9"/>
      <c r="G15" s="40"/>
    </row>
    <row r="16" customFormat="false" ht="15" hidden="false" customHeight="false" outlineLevel="0" collapsed="false">
      <c r="A16" s="8" t="s">
        <v>988</v>
      </c>
      <c r="B16" s="9" t="n">
        <v>600</v>
      </c>
      <c r="C16" s="26" t="s">
        <v>290</v>
      </c>
      <c r="D16" s="29" t="s">
        <v>986</v>
      </c>
      <c r="E16" s="44" t="s">
        <v>987</v>
      </c>
      <c r="F16" s="9"/>
      <c r="G16" s="40"/>
    </row>
    <row r="17" customFormat="false" ht="15" hidden="false" customHeight="false" outlineLevel="0" collapsed="false">
      <c r="A17" s="8" t="s">
        <v>989</v>
      </c>
      <c r="B17" s="9" t="n">
        <v>450</v>
      </c>
      <c r="C17" s="26" t="s">
        <v>290</v>
      </c>
      <c r="D17" s="29" t="s">
        <v>990</v>
      </c>
      <c r="E17" s="44" t="s">
        <v>987</v>
      </c>
      <c r="F17" s="9"/>
      <c r="G17" s="40"/>
    </row>
    <row r="18" customFormat="false" ht="15" hidden="false" customHeight="false" outlineLevel="0" collapsed="false">
      <c r="A18" s="8" t="s">
        <v>991</v>
      </c>
      <c r="B18" s="9" t="n">
        <v>1000</v>
      </c>
      <c r="C18" s="26" t="s">
        <v>290</v>
      </c>
      <c r="D18" s="29" t="s">
        <v>992</v>
      </c>
      <c r="E18" s="44" t="s">
        <v>987</v>
      </c>
      <c r="F18" s="9"/>
      <c r="G18" s="40"/>
    </row>
    <row r="19" customFormat="false" ht="15" hidden="false" customHeight="false" outlineLevel="0" collapsed="false">
      <c r="A19" s="8" t="s">
        <v>993</v>
      </c>
      <c r="B19" s="9" t="n">
        <v>28</v>
      </c>
      <c r="C19" s="26" t="s">
        <v>994</v>
      </c>
      <c r="D19" s="29" t="s">
        <v>995</v>
      </c>
      <c r="E19" s="44" t="s">
        <v>987</v>
      </c>
      <c r="F19" s="9"/>
      <c r="G19" s="40"/>
    </row>
    <row r="20" customFormat="false" ht="15" hidden="false" customHeight="false" outlineLevel="0" collapsed="false">
      <c r="A20" s="8" t="s">
        <v>996</v>
      </c>
      <c r="B20" s="9" t="n">
        <v>40</v>
      </c>
      <c r="C20" s="26" t="s">
        <v>290</v>
      </c>
      <c r="D20" s="29" t="s">
        <v>997</v>
      </c>
      <c r="E20" s="44" t="s">
        <v>987</v>
      </c>
      <c r="F20" s="9"/>
      <c r="G20" s="40"/>
    </row>
    <row r="21" customFormat="false" ht="15" hidden="false" customHeight="false" outlineLevel="0" collapsed="false">
      <c r="A21" s="8" t="s">
        <v>998</v>
      </c>
      <c r="B21" s="9" t="n">
        <v>12</v>
      </c>
      <c r="C21" s="26" t="s">
        <v>413</v>
      </c>
      <c r="D21" s="29" t="s">
        <v>999</v>
      </c>
      <c r="E21" s="44" t="s">
        <v>987</v>
      </c>
      <c r="F21" s="9"/>
      <c r="G21" s="40"/>
    </row>
    <row r="22" customFormat="false" ht="15" hidden="false" customHeight="false" outlineLevel="0" collapsed="false">
      <c r="A22" s="8" t="s">
        <v>1000</v>
      </c>
      <c r="B22" s="9" t="n">
        <v>5</v>
      </c>
      <c r="C22" s="26" t="s">
        <v>413</v>
      </c>
      <c r="D22" s="29" t="s">
        <v>1001</v>
      </c>
      <c r="E22" s="44" t="s">
        <v>987</v>
      </c>
      <c r="F22" s="9"/>
      <c r="G22" s="40"/>
    </row>
    <row r="23" customFormat="false" ht="15" hidden="false" customHeight="false" outlineLevel="0" collapsed="false">
      <c r="A23" s="8" t="s">
        <v>1002</v>
      </c>
      <c r="B23" s="9" t="n">
        <v>1</v>
      </c>
      <c r="C23" s="26" t="s">
        <v>370</v>
      </c>
      <c r="D23" s="29" t="s">
        <v>1003</v>
      </c>
      <c r="E23" s="44" t="s">
        <v>987</v>
      </c>
      <c r="F23" s="9"/>
      <c r="G23" s="40"/>
    </row>
    <row r="24" customFormat="false" ht="15" hidden="false" customHeight="false" outlineLevel="0" collapsed="false">
      <c r="A24" s="8" t="s">
        <v>1004</v>
      </c>
      <c r="B24" s="9" t="n">
        <v>3</v>
      </c>
      <c r="C24" s="26" t="s">
        <v>370</v>
      </c>
      <c r="D24" s="29" t="s">
        <v>1003</v>
      </c>
      <c r="E24" s="44" t="s">
        <v>987</v>
      </c>
      <c r="F24" s="9"/>
      <c r="G24" s="40"/>
    </row>
    <row r="25" customFormat="false" ht="15" hidden="false" customHeight="false" outlineLevel="0" collapsed="false">
      <c r="A25" s="8" t="s">
        <v>1005</v>
      </c>
      <c r="B25" s="9" t="n">
        <v>0.15</v>
      </c>
      <c r="C25" s="26"/>
      <c r="D25" s="29" t="s">
        <v>1006</v>
      </c>
      <c r="E25" s="44" t="s">
        <v>987</v>
      </c>
      <c r="F25" s="9"/>
      <c r="G25" s="40"/>
    </row>
    <row r="26" customFormat="false" ht="15" hidden="false" customHeight="false" outlineLevel="0" collapsed="false">
      <c r="A26" s="8" t="s">
        <v>1007</v>
      </c>
      <c r="B26" s="9" t="n">
        <v>0.015</v>
      </c>
      <c r="C26" s="26"/>
      <c r="D26" s="29" t="s">
        <v>1008</v>
      </c>
      <c r="E26" s="8" t="s">
        <v>967</v>
      </c>
      <c r="F26" s="9"/>
      <c r="G26" s="40"/>
    </row>
    <row r="27" customFormat="false" ht="15" hidden="false" customHeight="false" outlineLevel="0" collapsed="false">
      <c r="A27" s="8" t="s">
        <v>1009</v>
      </c>
      <c r="B27" s="9" t="n">
        <v>10</v>
      </c>
      <c r="C27" s="26" t="s">
        <v>323</v>
      </c>
      <c r="D27" s="29" t="s">
        <v>1003</v>
      </c>
      <c r="E27" s="44" t="s">
        <v>987</v>
      </c>
      <c r="F27" s="9"/>
      <c r="G27" s="40"/>
    </row>
    <row r="28" customFormat="false" ht="15" hidden="false" customHeight="false" outlineLevel="0" collapsed="false">
      <c r="A28" s="8" t="s">
        <v>1010</v>
      </c>
      <c r="B28" s="9" t="n">
        <v>25</v>
      </c>
      <c r="C28" s="26" t="s">
        <v>323</v>
      </c>
      <c r="D28" s="29" t="s">
        <v>1003</v>
      </c>
      <c r="E28" s="44" t="s">
        <v>987</v>
      </c>
      <c r="F28" s="9"/>
      <c r="G28" s="40"/>
    </row>
    <row r="29" customFormat="false" ht="15" hidden="false" customHeight="false" outlineLevel="0" collapsed="false">
      <c r="A29" s="8" t="s">
        <v>1011</v>
      </c>
      <c r="B29" s="9" t="n">
        <v>50</v>
      </c>
      <c r="C29" s="26" t="s">
        <v>323</v>
      </c>
      <c r="D29" s="29" t="s">
        <v>1003</v>
      </c>
      <c r="E29" s="44" t="s">
        <v>987</v>
      </c>
      <c r="F29" s="9"/>
      <c r="G29" s="40"/>
    </row>
    <row r="30" customFormat="false" ht="15" hidden="false" customHeight="false" outlineLevel="0" collapsed="false">
      <c r="A30" s="43" t="s">
        <v>1012</v>
      </c>
    </row>
    <row r="31" customFormat="false" ht="15" hidden="false" customHeight="false" outlineLevel="0" collapsed="false">
      <c r="A31" s="8" t="s">
        <v>1013</v>
      </c>
      <c r="B31" s="9" t="n">
        <v>25</v>
      </c>
      <c r="C31" s="26" t="s">
        <v>413</v>
      </c>
      <c r="D31" s="29" t="s">
        <v>1014</v>
      </c>
      <c r="E31" s="44" t="s">
        <v>987</v>
      </c>
      <c r="F31" s="9"/>
      <c r="G31" s="40"/>
    </row>
    <row r="32" customFormat="false" ht="15" hidden="false" customHeight="false" outlineLevel="0" collapsed="false">
      <c r="A32" s="8" t="s">
        <v>1015</v>
      </c>
      <c r="B32" s="9" t="n">
        <v>120</v>
      </c>
      <c r="C32" s="26" t="s">
        <v>323</v>
      </c>
      <c r="D32" s="29" t="s">
        <v>1016</v>
      </c>
      <c r="E32" s="44" t="s">
        <v>987</v>
      </c>
      <c r="F32" s="9"/>
      <c r="G32" s="40"/>
    </row>
    <row r="33" customFormat="false" ht="15" hidden="false" customHeight="false" outlineLevel="0" collapsed="false">
      <c r="A33" s="8" t="s">
        <v>1017</v>
      </c>
      <c r="B33" s="9" t="n">
        <v>1.5</v>
      </c>
      <c r="C33" s="26" t="s">
        <v>313</v>
      </c>
      <c r="D33" s="29" t="s">
        <v>1018</v>
      </c>
      <c r="E33" s="44" t="s">
        <v>987</v>
      </c>
      <c r="F33" s="9"/>
      <c r="G33" s="40"/>
    </row>
    <row r="34" customFormat="false" ht="15" hidden="false" customHeight="false" outlineLevel="0" collapsed="false">
      <c r="A34" s="8" t="s">
        <v>1019</v>
      </c>
      <c r="B34" s="9" t="n">
        <v>1</v>
      </c>
      <c r="C34" s="26" t="s">
        <v>313</v>
      </c>
      <c r="D34" s="29" t="s">
        <v>1018</v>
      </c>
      <c r="E34" s="44" t="s">
        <v>987</v>
      </c>
      <c r="F34" s="9"/>
      <c r="G34" s="40"/>
    </row>
    <row r="35" customFormat="false" ht="15" hidden="false" customHeight="false" outlineLevel="0" collapsed="false">
      <c r="A35" s="8" t="s">
        <v>1020</v>
      </c>
      <c r="B35" s="9" t="n">
        <v>4</v>
      </c>
      <c r="C35" s="26" t="s">
        <v>313</v>
      </c>
      <c r="D35" s="29" t="s">
        <v>1021</v>
      </c>
      <c r="E35" s="44" t="s">
        <v>987</v>
      </c>
      <c r="F35" s="9"/>
      <c r="G35" s="40"/>
    </row>
    <row r="36" customFormat="false" ht="15" hidden="false" customHeight="false" outlineLevel="0" collapsed="false">
      <c r="A36" s="8" t="s">
        <v>1022</v>
      </c>
      <c r="B36" s="9" t="n">
        <v>6</v>
      </c>
      <c r="C36" s="26" t="s">
        <v>313</v>
      </c>
      <c r="D36" s="29" t="s">
        <v>1023</v>
      </c>
      <c r="E36" s="44" t="s">
        <v>987</v>
      </c>
      <c r="F36" s="9"/>
      <c r="G36" s="40"/>
    </row>
    <row r="37" customFormat="false" ht="15" hidden="false" customHeight="false" outlineLevel="0" collapsed="false">
      <c r="A37" s="8" t="s">
        <v>1024</v>
      </c>
      <c r="B37" s="9" t="n">
        <v>1.5</v>
      </c>
      <c r="C37" s="26"/>
      <c r="D37" s="29" t="s">
        <v>1025</v>
      </c>
      <c r="E37" s="8" t="s">
        <v>967</v>
      </c>
      <c r="F37" s="9"/>
      <c r="G37" s="40"/>
    </row>
    <row r="38" customFormat="false" ht="15" hidden="false" customHeight="false" outlineLevel="0" collapsed="false">
      <c r="A38" s="43" t="s">
        <v>1026</v>
      </c>
    </row>
    <row r="39" customFormat="false" ht="15" hidden="false" customHeight="false" outlineLevel="0" collapsed="false">
      <c r="A39" s="8" t="s">
        <v>1027</v>
      </c>
      <c r="B39" s="9" t="n">
        <v>1.5</v>
      </c>
      <c r="C39" s="26" t="s">
        <v>313</v>
      </c>
      <c r="D39" s="29" t="s">
        <v>1028</v>
      </c>
      <c r="E39" s="44" t="s">
        <v>987</v>
      </c>
      <c r="F39" s="9"/>
      <c r="G39" s="40"/>
    </row>
    <row r="40" customFormat="false" ht="15" hidden="false" customHeight="false" outlineLevel="0" collapsed="false">
      <c r="A40" s="8" t="s">
        <v>1029</v>
      </c>
      <c r="B40" s="9" t="n">
        <v>250</v>
      </c>
      <c r="C40" s="26" t="s">
        <v>290</v>
      </c>
      <c r="D40" s="29" t="s">
        <v>1030</v>
      </c>
      <c r="E40" s="44" t="s">
        <v>987</v>
      </c>
      <c r="F40" s="9"/>
      <c r="G40" s="40"/>
    </row>
    <row r="41" customFormat="false" ht="15" hidden="false" customHeight="false" outlineLevel="0" collapsed="false">
      <c r="A41" s="8" t="s">
        <v>1031</v>
      </c>
      <c r="B41" s="9" t="n">
        <v>120</v>
      </c>
      <c r="C41" s="26" t="s">
        <v>313</v>
      </c>
      <c r="D41" s="29" t="s">
        <v>1032</v>
      </c>
      <c r="E41" s="44" t="s">
        <v>987</v>
      </c>
      <c r="F41" s="9"/>
      <c r="G41" s="40"/>
    </row>
    <row r="42" customFormat="false" ht="15" hidden="false" customHeight="false" outlineLevel="0" collapsed="false">
      <c r="A42" s="8" t="s">
        <v>1033</v>
      </c>
      <c r="B42" s="9" t="n">
        <v>6</v>
      </c>
      <c r="C42" s="26" t="s">
        <v>313</v>
      </c>
      <c r="D42" s="29" t="s">
        <v>1034</v>
      </c>
      <c r="E42" s="44" t="s">
        <v>987</v>
      </c>
      <c r="F42" s="9"/>
      <c r="G42" s="40"/>
    </row>
    <row r="43" customFormat="false" ht="15" hidden="false" customHeight="false" outlineLevel="0" collapsed="false">
      <c r="A43" s="8" t="s">
        <v>1035</v>
      </c>
      <c r="B43" s="9" t="n">
        <v>1000</v>
      </c>
      <c r="C43" s="26" t="s">
        <v>290</v>
      </c>
      <c r="D43" s="29" t="s">
        <v>800</v>
      </c>
      <c r="E43" s="44" t="s">
        <v>987</v>
      </c>
      <c r="F43" s="9"/>
      <c r="G43" s="40"/>
    </row>
    <row r="44" customFormat="false" ht="15" hidden="false" customHeight="false" outlineLevel="0" collapsed="false">
      <c r="A44" s="8" t="s">
        <v>1036</v>
      </c>
      <c r="B44" s="9" t="n">
        <v>1.1</v>
      </c>
      <c r="C44" s="26"/>
      <c r="D44" s="29" t="s">
        <v>1037</v>
      </c>
      <c r="E44" s="8" t="s">
        <v>967</v>
      </c>
      <c r="F44" s="9"/>
      <c r="G44" s="40"/>
    </row>
    <row r="45" customFormat="false" ht="15" hidden="false" customHeight="false" outlineLevel="0" collapsed="false">
      <c r="A45" s="43" t="s">
        <v>1038</v>
      </c>
    </row>
    <row r="46" customFormat="false" ht="15" hidden="false" customHeight="false" outlineLevel="0" collapsed="false">
      <c r="A46" s="8" t="s">
        <v>1039</v>
      </c>
      <c r="B46" s="9" t="n">
        <v>2.4</v>
      </c>
      <c r="C46" s="26" t="s">
        <v>313</v>
      </c>
      <c r="D46" s="29" t="s">
        <v>1040</v>
      </c>
      <c r="E46" s="44" t="s">
        <v>987</v>
      </c>
      <c r="F46" s="9"/>
      <c r="G46" s="40"/>
    </row>
    <row r="47" customFormat="false" ht="15" hidden="false" customHeight="false" outlineLevel="0" collapsed="false">
      <c r="A47" s="8" t="s">
        <v>1041</v>
      </c>
      <c r="B47" s="9" t="n">
        <v>5.7</v>
      </c>
      <c r="C47" s="26" t="s">
        <v>313</v>
      </c>
      <c r="D47" s="29" t="s">
        <v>1042</v>
      </c>
      <c r="E47" s="44" t="s">
        <v>987</v>
      </c>
      <c r="F47" s="9"/>
      <c r="G47" s="40"/>
    </row>
    <row r="48" customFormat="false" ht="15" hidden="false" customHeight="false" outlineLevel="0" collapsed="false">
      <c r="A48" s="8" t="s">
        <v>1043</v>
      </c>
      <c r="B48" s="9" t="n">
        <v>2.4</v>
      </c>
      <c r="C48" s="26" t="s">
        <v>313</v>
      </c>
      <c r="D48" s="29" t="s">
        <v>1044</v>
      </c>
      <c r="E48" s="44" t="s">
        <v>987</v>
      </c>
      <c r="F48" s="9"/>
      <c r="G48" s="40"/>
    </row>
    <row r="49" customFormat="false" ht="15" hidden="false" customHeight="false" outlineLevel="0" collapsed="false">
      <c r="A49" s="8" t="s">
        <v>1045</v>
      </c>
      <c r="B49" s="9" t="n">
        <v>3.6</v>
      </c>
      <c r="C49" s="26" t="s">
        <v>313</v>
      </c>
      <c r="D49" s="29" t="s">
        <v>1044</v>
      </c>
      <c r="E49" s="44" t="s">
        <v>987</v>
      </c>
      <c r="F49" s="9"/>
      <c r="G49" s="40"/>
    </row>
    <row r="50" customFormat="false" ht="15" hidden="false" customHeight="false" outlineLevel="0" collapsed="false">
      <c r="A50" s="8" t="s">
        <v>1046</v>
      </c>
      <c r="B50" s="9" t="n">
        <v>22</v>
      </c>
      <c r="C50" s="26" t="s">
        <v>370</v>
      </c>
      <c r="D50" s="29" t="s">
        <v>1047</v>
      </c>
      <c r="E50" s="44" t="s">
        <v>987</v>
      </c>
      <c r="F50" s="9"/>
      <c r="G50" s="40"/>
    </row>
    <row r="51" customFormat="false" ht="15" hidden="false" customHeight="false" outlineLevel="0" collapsed="false">
      <c r="A51" s="8" t="s">
        <v>1048</v>
      </c>
      <c r="B51" s="9" t="n">
        <v>4</v>
      </c>
      <c r="C51" s="26" t="s">
        <v>500</v>
      </c>
      <c r="D51" s="29" t="s">
        <v>1049</v>
      </c>
      <c r="E51" s="44" t="s">
        <v>987</v>
      </c>
      <c r="F51" s="9"/>
      <c r="G51" s="40"/>
    </row>
    <row r="52" customFormat="false" ht="15" hidden="false" customHeight="false" outlineLevel="0" collapsed="false">
      <c r="A52" s="8" t="s">
        <v>1050</v>
      </c>
      <c r="B52" s="9" t="n">
        <v>25</v>
      </c>
      <c r="C52" s="26" t="s">
        <v>994</v>
      </c>
      <c r="D52" s="29" t="s">
        <v>1051</v>
      </c>
      <c r="E52" s="44" t="s">
        <v>987</v>
      </c>
      <c r="F52" s="9"/>
      <c r="G52" s="40"/>
    </row>
    <row r="53" customFormat="false" ht="15" hidden="false" customHeight="false" outlineLevel="0" collapsed="false">
      <c r="A53" s="43" t="s">
        <v>1052</v>
      </c>
    </row>
    <row r="54" customFormat="false" ht="15" hidden="false" customHeight="false" outlineLevel="0" collapsed="false">
      <c r="A54" s="8" t="s">
        <v>1053</v>
      </c>
      <c r="B54" s="9" t="n">
        <v>3</v>
      </c>
      <c r="C54" s="26" t="s">
        <v>323</v>
      </c>
      <c r="D54" s="29" t="s">
        <v>1054</v>
      </c>
      <c r="E54" s="8" t="s">
        <v>967</v>
      </c>
      <c r="F54" s="9"/>
      <c r="G54" s="40"/>
    </row>
    <row r="55" customFormat="false" ht="15" hidden="false" customHeight="false" outlineLevel="0" collapsed="false">
      <c r="A55" s="8" t="s">
        <v>1055</v>
      </c>
      <c r="B55" s="9" t="n">
        <v>0.05</v>
      </c>
      <c r="C55" s="26"/>
      <c r="D55" s="29" t="s">
        <v>1056</v>
      </c>
      <c r="E55" s="8" t="s">
        <v>967</v>
      </c>
      <c r="F55" s="9"/>
      <c r="G55" s="40"/>
    </row>
    <row r="56" customFormat="false" ht="15" hidden="false" customHeight="false" outlineLevel="0" collapsed="false">
      <c r="A56" s="8" t="s">
        <v>1057</v>
      </c>
      <c r="B56" s="9" t="n">
        <v>1</v>
      </c>
      <c r="C56" s="26"/>
      <c r="D56" s="29" t="s">
        <v>1058</v>
      </c>
      <c r="E56" s="8" t="s">
        <v>967</v>
      </c>
      <c r="F56" s="9"/>
      <c r="G56" s="40"/>
    </row>
    <row r="58" customFormat="false" ht="15" hidden="false" customHeight="false" outlineLevel="0" collapsed="false">
      <c r="A58" s="43" t="s">
        <v>1059</v>
      </c>
    </row>
    <row r="59" customFormat="false" ht="15" hidden="false" customHeight="false" outlineLevel="0" collapsed="false">
      <c r="A59" s="7" t="s">
        <v>1060</v>
      </c>
      <c r="B59" s="7" t="s">
        <v>1061</v>
      </c>
      <c r="C59" s="7"/>
      <c r="D59" s="7" t="s">
        <v>1062</v>
      </c>
      <c r="E59" s="7" t="s">
        <v>132</v>
      </c>
      <c r="F59" s="7" t="s">
        <v>962</v>
      </c>
      <c r="G59" s="7" t="s">
        <v>566</v>
      </c>
    </row>
    <row r="60" customFormat="false" ht="15" hidden="false" customHeight="false" outlineLevel="0" collapsed="false">
      <c r="A60" s="8" t="s">
        <v>1063</v>
      </c>
      <c r="B60" s="9" t="s">
        <v>1064</v>
      </c>
      <c r="D60" s="26" t="s">
        <v>1065</v>
      </c>
      <c r="E60" s="44" t="s">
        <v>987</v>
      </c>
      <c r="F60" s="9"/>
      <c r="G60" s="9"/>
    </row>
    <row r="61" customFormat="false" ht="15" hidden="false" customHeight="false" outlineLevel="0" collapsed="false">
      <c r="A61" s="8" t="s">
        <v>1066</v>
      </c>
      <c r="B61" s="9" t="s">
        <v>1067</v>
      </c>
      <c r="D61" s="26" t="s">
        <v>1068</v>
      </c>
      <c r="E61" s="44" t="s">
        <v>987</v>
      </c>
      <c r="F61" s="9"/>
      <c r="G61" s="9"/>
    </row>
    <row r="62" customFormat="false" ht="15" hidden="false" customHeight="false" outlineLevel="0" collapsed="false">
      <c r="A62" s="8" t="s">
        <v>1069</v>
      </c>
      <c r="B62" s="9" t="s">
        <v>1070</v>
      </c>
      <c r="D62" s="26" t="s">
        <v>1071</v>
      </c>
      <c r="E62" s="44" t="s">
        <v>987</v>
      </c>
      <c r="F62" s="9"/>
      <c r="G62" s="9"/>
    </row>
    <row r="63" customFormat="false" ht="15" hidden="false" customHeight="false" outlineLevel="0" collapsed="false">
      <c r="A63" s="8" t="s">
        <v>1072</v>
      </c>
      <c r="B63" s="9" t="s">
        <v>1073</v>
      </c>
      <c r="D63" s="26" t="s">
        <v>1074</v>
      </c>
      <c r="E63" s="44" t="s">
        <v>987</v>
      </c>
      <c r="F63" s="9"/>
      <c r="G63" s="9"/>
    </row>
    <row r="64" customFormat="false" ht="15" hidden="false" customHeight="false" outlineLevel="0" collapsed="false">
      <c r="A64" s="8" t="s">
        <v>1075</v>
      </c>
      <c r="B64" s="9" t="s">
        <v>1076</v>
      </c>
      <c r="D64" s="26" t="s">
        <v>1077</v>
      </c>
      <c r="E64" s="44" t="s">
        <v>987</v>
      </c>
      <c r="F64" s="9"/>
      <c r="G64" s="9"/>
    </row>
    <row r="65" customFormat="false" ht="15" hidden="false" customHeight="false" outlineLevel="0" collapsed="false">
      <c r="A65" s="8" t="s">
        <v>1078</v>
      </c>
      <c r="B65" s="9" t="s">
        <v>1079</v>
      </c>
      <c r="D65" s="26" t="s">
        <v>1080</v>
      </c>
      <c r="E65" s="44" t="s">
        <v>987</v>
      </c>
      <c r="F65" s="9"/>
      <c r="G65" s="9"/>
    </row>
    <row r="66" customFormat="false" ht="15" hidden="false" customHeight="false" outlineLevel="0" collapsed="false">
      <c r="A66" s="8" t="s">
        <v>1081</v>
      </c>
      <c r="B66" s="9" t="s">
        <v>1082</v>
      </c>
      <c r="D66" s="26" t="s">
        <v>1083</v>
      </c>
      <c r="E66" s="44" t="s">
        <v>987</v>
      </c>
      <c r="F66" s="9"/>
      <c r="G66" s="9"/>
    </row>
    <row r="67" customFormat="false" ht="15" hidden="false" customHeight="false" outlineLevel="0" collapsed="false">
      <c r="A67" s="8" t="s">
        <v>1084</v>
      </c>
      <c r="B67" s="9" t="s">
        <v>1085</v>
      </c>
      <c r="D67" s="26" t="s">
        <v>1086</v>
      </c>
      <c r="E67" s="44" t="s">
        <v>987</v>
      </c>
      <c r="F67" s="9"/>
      <c r="G67" s="9"/>
    </row>
    <row r="68" customFormat="false" ht="15" hidden="false" customHeight="false" outlineLevel="0" collapsed="false">
      <c r="A68" s="8" t="s">
        <v>1087</v>
      </c>
      <c r="B68" s="9" t="s">
        <v>1076</v>
      </c>
      <c r="D68" s="26" t="s">
        <v>1088</v>
      </c>
      <c r="E68" s="44" t="s">
        <v>987</v>
      </c>
      <c r="F68" s="9"/>
      <c r="G68"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0"/>
  </cols>
  <sheetData>
    <row r="1" customFormat="false" ht="17.35" hidden="false" customHeight="false" outlineLevel="0" collapsed="false">
      <c r="A1" s="5" t="s">
        <v>1089</v>
      </c>
    </row>
    <row r="2" customFormat="false" ht="15" hidden="false" customHeight="false" outlineLevel="0" collapsed="false">
      <c r="A2" s="6" t="s">
        <v>1090</v>
      </c>
    </row>
    <row r="4" customFormat="false" ht="15" hidden="false" customHeight="false" outlineLevel="0" collapsed="false">
      <c r="A4" s="43" t="s">
        <v>1091</v>
      </c>
    </row>
    <row r="5" customFormat="false" ht="15" hidden="false" customHeight="false" outlineLevel="0" collapsed="false">
      <c r="A5" s="22" t="s">
        <v>1092</v>
      </c>
      <c r="B5" s="3" t="s">
        <v>1093</v>
      </c>
    </row>
    <row r="6" customFormat="false" ht="23.85" hidden="false" customHeight="false" outlineLevel="0" collapsed="false">
      <c r="A6" s="22" t="s">
        <v>337</v>
      </c>
      <c r="B6" s="3" t="s">
        <v>1094</v>
      </c>
    </row>
    <row r="7" customFormat="false" ht="15" hidden="false" customHeight="false" outlineLevel="0" collapsed="false">
      <c r="A7" s="22" t="s">
        <v>1095</v>
      </c>
      <c r="B7" s="3" t="s">
        <v>1096</v>
      </c>
    </row>
    <row r="8" customFormat="false" ht="15" hidden="false" customHeight="false" outlineLevel="0" collapsed="false">
      <c r="A8" s="22" t="s">
        <v>257</v>
      </c>
      <c r="B8" s="3" t="s">
        <v>1097</v>
      </c>
    </row>
    <row r="9" customFormat="false" ht="15" hidden="false" customHeight="false" outlineLevel="0" collapsed="false">
      <c r="A9" s="43" t="s">
        <v>1098</v>
      </c>
    </row>
    <row r="10" customFormat="false" ht="15" hidden="false" customHeight="false" outlineLevel="0" collapsed="false">
      <c r="A10" s="22" t="s">
        <v>1099</v>
      </c>
      <c r="B10" s="3" t="s">
        <v>1100</v>
      </c>
    </row>
    <row r="11" customFormat="false" ht="15" hidden="false" customHeight="false" outlineLevel="0" collapsed="false">
      <c r="A11" s="22" t="s">
        <v>1101</v>
      </c>
      <c r="B11" s="3" t="s">
        <v>1102</v>
      </c>
    </row>
    <row r="12" customFormat="false" ht="23.85" hidden="false" customHeight="false" outlineLevel="0" collapsed="false">
      <c r="A12" s="22" t="s">
        <v>1103</v>
      </c>
      <c r="B12" s="3" t="s">
        <v>1104</v>
      </c>
    </row>
    <row r="13" customFormat="false" ht="15" hidden="false" customHeight="false" outlineLevel="0" collapsed="false">
      <c r="A13" s="22" t="s">
        <v>1105</v>
      </c>
      <c r="B13" s="3" t="s">
        <v>1106</v>
      </c>
    </row>
    <row r="14" customFormat="false" ht="15" hidden="false" customHeight="false" outlineLevel="0" collapsed="false">
      <c r="A14" s="22" t="s">
        <v>1107</v>
      </c>
      <c r="B14" s="3" t="s">
        <v>1108</v>
      </c>
    </row>
    <row r="15" customFormat="false" ht="15" hidden="false" customHeight="false" outlineLevel="0" collapsed="false">
      <c r="A15" s="22" t="s">
        <v>1109</v>
      </c>
      <c r="B15" s="3" t="s">
        <v>1110</v>
      </c>
    </row>
    <row r="16" customFormat="false" ht="15" hidden="false" customHeight="false" outlineLevel="0" collapsed="false">
      <c r="A16" s="22" t="s">
        <v>1111</v>
      </c>
      <c r="B16" s="3" t="s">
        <v>1112</v>
      </c>
    </row>
    <row r="17" customFormat="false" ht="15" hidden="false" customHeight="false" outlineLevel="0" collapsed="false">
      <c r="A17" s="43" t="s">
        <v>1113</v>
      </c>
    </row>
    <row r="18" customFormat="false" ht="15" hidden="false" customHeight="false" outlineLevel="0" collapsed="false">
      <c r="A18" s="22" t="s">
        <v>1114</v>
      </c>
      <c r="B18" s="3" t="s">
        <v>1115</v>
      </c>
    </row>
    <row r="19" customFormat="false" ht="15" hidden="false" customHeight="false" outlineLevel="0" collapsed="false">
      <c r="A19" s="22" t="s">
        <v>1116</v>
      </c>
      <c r="B19" s="3" t="s">
        <v>1117</v>
      </c>
    </row>
    <row r="20" customFormat="false" ht="15" hidden="false" customHeight="false" outlineLevel="0" collapsed="false">
      <c r="A20" s="22" t="s">
        <v>1118</v>
      </c>
      <c r="B20" s="3" t="s">
        <v>1119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CQ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7"/>
    <col collapsed="false" customWidth="true" hidden="false" outlineLevel="0" max="4" min="4" style="0" width="34"/>
    <col collapsed="false" customWidth="true" hidden="false" outlineLevel="0" max="5" min="5" style="0" width="7"/>
    <col collapsed="false" customWidth="true" hidden="false" outlineLevel="0" max="7" min="7" style="0" width="34"/>
    <col collapsed="false" customWidth="true" hidden="false" outlineLevel="0" max="8" min="8" style="0" width="7"/>
    <col collapsed="false" customWidth="true" hidden="false" outlineLevel="0" max="10" min="10" style="0" width="34"/>
    <col collapsed="false" customWidth="true" hidden="false" outlineLevel="0" max="11" min="11" style="0" width="7"/>
    <col collapsed="false" customWidth="true" hidden="false" outlineLevel="0" max="13" min="13" style="0" width="34"/>
    <col collapsed="false" customWidth="true" hidden="false" outlineLevel="0" max="14" min="14" style="0" width="7"/>
    <col collapsed="false" customWidth="true" hidden="false" outlineLevel="0" max="16" min="16" style="0" width="34"/>
    <col collapsed="false" customWidth="true" hidden="false" outlineLevel="0" max="17" min="17" style="0" width="7"/>
    <col collapsed="false" customWidth="true" hidden="false" outlineLevel="0" max="19" min="19" style="0" width="34"/>
    <col collapsed="false" customWidth="true" hidden="false" outlineLevel="0" max="20" min="20" style="0" width="7"/>
    <col collapsed="false" customWidth="true" hidden="false" outlineLevel="0" max="22" min="22" style="0" width="34"/>
    <col collapsed="false" customWidth="true" hidden="false" outlineLevel="0" max="23" min="23" style="0" width="7"/>
    <col collapsed="false" customWidth="true" hidden="false" outlineLevel="0" max="25" min="25" style="0" width="34"/>
    <col collapsed="false" customWidth="true" hidden="false" outlineLevel="0" max="26" min="26" style="0" width="7"/>
    <col collapsed="false" customWidth="true" hidden="false" outlineLevel="0" max="28" min="28" style="0" width="34"/>
    <col collapsed="false" customWidth="true" hidden="false" outlineLevel="0" max="29" min="29" style="0" width="7"/>
    <col collapsed="false" customWidth="true" hidden="false" outlineLevel="0" max="31" min="31" style="0" width="34"/>
    <col collapsed="false" customWidth="true" hidden="false" outlineLevel="0" max="32" min="32" style="0" width="7"/>
    <col collapsed="false" customWidth="true" hidden="false" outlineLevel="0" max="34" min="34" style="0" width="34"/>
    <col collapsed="false" customWidth="true" hidden="false" outlineLevel="0" max="35" min="35" style="0" width="7"/>
    <col collapsed="false" customWidth="true" hidden="false" outlineLevel="0" max="37" min="37" style="0" width="34"/>
    <col collapsed="false" customWidth="true" hidden="false" outlineLevel="0" max="38" min="38" style="0" width="7"/>
    <col collapsed="false" customWidth="true" hidden="false" outlineLevel="0" max="40" min="40" style="0" width="34"/>
    <col collapsed="false" customWidth="true" hidden="false" outlineLevel="0" max="41" min="41" style="0" width="7"/>
    <col collapsed="false" customWidth="true" hidden="false" outlineLevel="0" max="43" min="43" style="0" width="34"/>
    <col collapsed="false" customWidth="true" hidden="false" outlineLevel="0" max="44" min="44" style="0" width="7"/>
    <col collapsed="false" customWidth="true" hidden="false" outlineLevel="0" max="46" min="46" style="0" width="34"/>
    <col collapsed="false" customWidth="true" hidden="false" outlineLevel="0" max="47" min="47" style="0" width="7"/>
    <col collapsed="false" customWidth="true" hidden="false" outlineLevel="0" max="49" min="49" style="0" width="34"/>
    <col collapsed="false" customWidth="true" hidden="false" outlineLevel="0" max="50" min="50" style="0" width="7"/>
    <col collapsed="false" customWidth="true" hidden="false" outlineLevel="0" max="52" min="52" style="0" width="34"/>
    <col collapsed="false" customWidth="true" hidden="false" outlineLevel="0" max="53" min="53" style="0" width="7"/>
    <col collapsed="false" customWidth="true" hidden="false" outlineLevel="0" max="55" min="55" style="0" width="34"/>
    <col collapsed="false" customWidth="true" hidden="false" outlineLevel="0" max="56" min="56" style="0" width="7"/>
    <col collapsed="false" customWidth="true" hidden="false" outlineLevel="0" max="58" min="58" style="0" width="34"/>
    <col collapsed="false" customWidth="true" hidden="false" outlineLevel="0" max="59" min="59" style="0" width="7"/>
    <col collapsed="false" customWidth="true" hidden="false" outlineLevel="0" max="61" min="61" style="0" width="34"/>
    <col collapsed="false" customWidth="true" hidden="false" outlineLevel="0" max="62" min="62" style="0" width="7"/>
    <col collapsed="false" customWidth="true" hidden="false" outlineLevel="0" max="64" min="64" style="0" width="34"/>
    <col collapsed="false" customWidth="true" hidden="false" outlineLevel="0" max="65" min="65" style="0" width="7"/>
    <col collapsed="false" customWidth="true" hidden="false" outlineLevel="0" max="67" min="67" style="0" width="34"/>
    <col collapsed="false" customWidth="true" hidden="false" outlineLevel="0" max="68" min="68" style="0" width="7"/>
    <col collapsed="false" customWidth="true" hidden="false" outlineLevel="0" max="70" min="70" style="0" width="34"/>
    <col collapsed="false" customWidth="true" hidden="false" outlineLevel="0" max="71" min="71" style="0" width="7"/>
    <col collapsed="false" customWidth="true" hidden="false" outlineLevel="0" max="73" min="73" style="0" width="34"/>
    <col collapsed="false" customWidth="true" hidden="false" outlineLevel="0" max="74" min="74" style="0" width="7"/>
    <col collapsed="false" customWidth="true" hidden="false" outlineLevel="0" max="76" min="76" style="0" width="34"/>
    <col collapsed="false" customWidth="true" hidden="false" outlineLevel="0" max="77" min="77" style="0" width="7"/>
    <col collapsed="false" customWidth="true" hidden="false" outlineLevel="0" max="79" min="79" style="0" width="34"/>
    <col collapsed="false" customWidth="true" hidden="false" outlineLevel="0" max="80" min="80" style="0" width="7"/>
    <col collapsed="false" customWidth="true" hidden="false" outlineLevel="0" max="82" min="82" style="0" width="34"/>
    <col collapsed="false" customWidth="true" hidden="false" outlineLevel="0" max="83" min="83" style="0" width="7"/>
    <col collapsed="false" customWidth="true" hidden="false" outlineLevel="0" max="85" min="85" style="0" width="34"/>
    <col collapsed="false" customWidth="true" hidden="false" outlineLevel="0" max="86" min="86" style="0" width="7"/>
    <col collapsed="false" customWidth="true" hidden="false" outlineLevel="0" max="88" min="88" style="0" width="34"/>
    <col collapsed="false" customWidth="true" hidden="false" outlineLevel="0" max="89" min="89" style="0" width="7"/>
    <col collapsed="false" customWidth="true" hidden="false" outlineLevel="0" max="91" min="91" style="0" width="34"/>
    <col collapsed="false" customWidth="true" hidden="false" outlineLevel="0" max="92" min="92" style="0" width="7"/>
    <col collapsed="false" customWidth="true" hidden="false" outlineLevel="0" max="94" min="94" style="0" width="34"/>
    <col collapsed="false" customWidth="true" hidden="false" outlineLevel="0" max="95" min="95" style="0" width="7"/>
  </cols>
  <sheetData>
    <row r="1" customFormat="false" ht="15" hidden="false" customHeight="false" outlineLevel="0" collapsed="false">
      <c r="A1" s="6" t="s">
        <v>1120</v>
      </c>
    </row>
    <row r="3" customFormat="false" ht="15" hidden="false" customHeight="false" outlineLevel="0" collapsed="false">
      <c r="A3" s="22" t="s">
        <v>1121</v>
      </c>
      <c r="B3" s="22" t="s">
        <v>1122</v>
      </c>
      <c r="D3" s="22" t="s">
        <v>286</v>
      </c>
      <c r="E3" s="22" t="s">
        <v>1122</v>
      </c>
      <c r="G3" s="22" t="s">
        <v>1123</v>
      </c>
      <c r="H3" s="22" t="s">
        <v>1122</v>
      </c>
      <c r="J3" s="22" t="s">
        <v>81</v>
      </c>
      <c r="K3" s="22" t="s">
        <v>1122</v>
      </c>
      <c r="M3" s="22" t="s">
        <v>1124</v>
      </c>
      <c r="N3" s="22" t="s">
        <v>1122</v>
      </c>
      <c r="P3" s="22" t="s">
        <v>1125</v>
      </c>
      <c r="Q3" s="22" t="s">
        <v>1122</v>
      </c>
      <c r="S3" s="22" t="s">
        <v>1126</v>
      </c>
      <c r="T3" s="22" t="s">
        <v>1122</v>
      </c>
      <c r="V3" s="22" t="s">
        <v>1127</v>
      </c>
      <c r="W3" s="22" t="s">
        <v>1122</v>
      </c>
      <c r="Y3" s="22" t="s">
        <v>1128</v>
      </c>
      <c r="Z3" s="22" t="s">
        <v>1122</v>
      </c>
      <c r="AB3" s="22" t="s">
        <v>1129</v>
      </c>
      <c r="AC3" s="22" t="s">
        <v>1122</v>
      </c>
      <c r="AE3" s="22" t="s">
        <v>1130</v>
      </c>
      <c r="AF3" s="22" t="s">
        <v>1122</v>
      </c>
      <c r="AH3" s="22" t="s">
        <v>470</v>
      </c>
      <c r="AI3" s="22" t="s">
        <v>1122</v>
      </c>
      <c r="AK3" s="22" t="s">
        <v>1131</v>
      </c>
      <c r="AL3" s="22" t="s">
        <v>1122</v>
      </c>
      <c r="AN3" s="22" t="s">
        <v>1</v>
      </c>
      <c r="AO3" s="22" t="s">
        <v>1122</v>
      </c>
      <c r="AQ3" s="22" t="s">
        <v>1132</v>
      </c>
      <c r="AR3" s="22" t="s">
        <v>1122</v>
      </c>
      <c r="AT3" s="22" t="s">
        <v>1133</v>
      </c>
      <c r="AU3" s="22" t="s">
        <v>1122</v>
      </c>
      <c r="AW3" s="22" t="s">
        <v>1134</v>
      </c>
      <c r="AX3" s="22" t="s">
        <v>1122</v>
      </c>
      <c r="AZ3" s="22" t="s">
        <v>1135</v>
      </c>
      <c r="BA3" s="22" t="s">
        <v>1122</v>
      </c>
      <c r="BC3" s="22" t="s">
        <v>132</v>
      </c>
      <c r="BD3" s="22" t="s">
        <v>1122</v>
      </c>
      <c r="BF3" s="22" t="s">
        <v>1136</v>
      </c>
      <c r="BG3" s="22" t="s">
        <v>1122</v>
      </c>
      <c r="BI3" s="22" t="s">
        <v>531</v>
      </c>
      <c r="BJ3" s="22" t="s">
        <v>1122</v>
      </c>
      <c r="BL3" s="22" t="s">
        <v>129</v>
      </c>
      <c r="BM3" s="22" t="s">
        <v>1122</v>
      </c>
      <c r="BO3" s="22" t="s">
        <v>1137</v>
      </c>
      <c r="BP3" s="22" t="s">
        <v>1122</v>
      </c>
      <c r="BR3" s="22" t="s">
        <v>1138</v>
      </c>
      <c r="BS3" s="22" t="s">
        <v>1122</v>
      </c>
      <c r="BU3" s="22" t="s">
        <v>1139</v>
      </c>
      <c r="BV3" s="22" t="s">
        <v>1122</v>
      </c>
      <c r="BX3" s="22" t="s">
        <v>1140</v>
      </c>
      <c r="BY3" s="22" t="s">
        <v>1122</v>
      </c>
      <c r="CA3" s="22" t="s">
        <v>1141</v>
      </c>
      <c r="CB3" s="22" t="s">
        <v>1122</v>
      </c>
      <c r="CD3" s="22" t="s">
        <v>1142</v>
      </c>
      <c r="CE3" s="22" t="s">
        <v>1122</v>
      </c>
      <c r="CG3" s="22" t="s">
        <v>1143</v>
      </c>
      <c r="CH3" s="22" t="s">
        <v>1122</v>
      </c>
      <c r="CJ3" s="22" t="s">
        <v>1144</v>
      </c>
      <c r="CK3" s="22" t="s">
        <v>1122</v>
      </c>
      <c r="CM3" s="22" t="s">
        <v>1145</v>
      </c>
      <c r="CN3" s="22" t="s">
        <v>1122</v>
      </c>
      <c r="CP3" s="22" t="s">
        <v>1146</v>
      </c>
      <c r="CQ3" s="22" t="s">
        <v>1122</v>
      </c>
    </row>
    <row r="4" customFormat="false" ht="15" hidden="false" customHeight="false" outlineLevel="0" collapsed="false">
      <c r="A4" s="45" t="s">
        <v>66</v>
      </c>
      <c r="B4" s="45" t="s">
        <v>1147</v>
      </c>
      <c r="D4" s="45" t="s">
        <v>600</v>
      </c>
      <c r="G4" s="45" t="s">
        <v>601</v>
      </c>
      <c r="J4" s="45" t="s">
        <v>1148</v>
      </c>
      <c r="K4" s="45" t="s">
        <v>1149</v>
      </c>
      <c r="M4" s="45" t="s">
        <v>68</v>
      </c>
      <c r="N4" s="45" t="s">
        <v>1150</v>
      </c>
      <c r="P4" s="45" t="s">
        <v>69</v>
      </c>
      <c r="Q4" s="45" t="s">
        <v>1151</v>
      </c>
      <c r="S4" s="45" t="s">
        <v>721</v>
      </c>
      <c r="T4" s="45" t="s">
        <v>1152</v>
      </c>
      <c r="V4" s="45" t="s">
        <v>756</v>
      </c>
      <c r="W4" s="45" t="s">
        <v>927</v>
      </c>
      <c r="Y4" s="45" t="s">
        <v>745</v>
      </c>
      <c r="Z4" s="45" t="s">
        <v>1153</v>
      </c>
      <c r="AB4" s="45" t="s">
        <v>71</v>
      </c>
      <c r="AC4" s="45" t="s">
        <v>1154</v>
      </c>
      <c r="AE4" s="45" t="s">
        <v>781</v>
      </c>
      <c r="AF4" s="45" t="s">
        <v>1155</v>
      </c>
      <c r="AH4" s="45" t="s">
        <v>782</v>
      </c>
      <c r="AK4" s="45" t="s">
        <v>242</v>
      </c>
      <c r="AL4" s="45" t="s">
        <v>1156</v>
      </c>
      <c r="AN4" s="45" t="s">
        <v>263</v>
      </c>
      <c r="AQ4" s="45" t="s">
        <v>250</v>
      </c>
      <c r="AR4" s="45" t="s">
        <v>1157</v>
      </c>
      <c r="AT4" s="45" t="s">
        <v>846</v>
      </c>
      <c r="AW4" s="45" t="s">
        <v>847</v>
      </c>
      <c r="AZ4" s="45" t="s">
        <v>849</v>
      </c>
      <c r="BC4" s="45" t="s">
        <v>256</v>
      </c>
      <c r="BF4" s="45" t="s">
        <v>284</v>
      </c>
      <c r="BI4" s="45" t="s">
        <v>891</v>
      </c>
      <c r="BJ4" s="45" t="s">
        <v>1158</v>
      </c>
      <c r="BL4" s="45" t="s">
        <v>313</v>
      </c>
      <c r="BO4" s="45" t="s">
        <v>666</v>
      </c>
      <c r="BR4" s="45" t="n">
        <v>10</v>
      </c>
      <c r="BU4" s="45" t="s">
        <v>1159</v>
      </c>
      <c r="BX4" s="45" t="s">
        <v>609</v>
      </c>
      <c r="CA4" s="45" t="s">
        <v>585</v>
      </c>
      <c r="CD4" s="45" t="s">
        <v>682</v>
      </c>
      <c r="CG4" s="45" t="s">
        <v>1160</v>
      </c>
      <c r="CJ4" s="45" t="s">
        <v>1161</v>
      </c>
      <c r="CM4" s="45" t="s">
        <v>931</v>
      </c>
      <c r="CP4" s="45" t="s">
        <v>927</v>
      </c>
    </row>
    <row r="5" customFormat="false" ht="15" hidden="false" customHeight="false" outlineLevel="0" collapsed="false">
      <c r="A5" s="45" t="s">
        <v>181</v>
      </c>
      <c r="B5" s="45" t="s">
        <v>1162</v>
      </c>
      <c r="D5" s="45" t="s">
        <v>660</v>
      </c>
      <c r="G5" s="45" t="s">
        <v>623</v>
      </c>
      <c r="J5" s="45" t="s">
        <v>624</v>
      </c>
      <c r="K5" s="45" t="s">
        <v>1163</v>
      </c>
      <c r="M5" s="45" t="s">
        <v>205</v>
      </c>
      <c r="N5" s="45" t="s">
        <v>1164</v>
      </c>
      <c r="P5" s="45" t="s">
        <v>221</v>
      </c>
      <c r="Q5" s="45" t="s">
        <v>1165</v>
      </c>
      <c r="S5" s="45" t="s">
        <v>79</v>
      </c>
      <c r="T5" s="45" t="s">
        <v>1166</v>
      </c>
      <c r="V5" s="45" t="s">
        <v>89</v>
      </c>
      <c r="W5" s="45" t="s">
        <v>1167</v>
      </c>
      <c r="Y5" s="45" t="s">
        <v>1168</v>
      </c>
      <c r="Z5" s="45" t="s">
        <v>1169</v>
      </c>
      <c r="AB5" s="45" t="s">
        <v>231</v>
      </c>
      <c r="AC5" s="45" t="s">
        <v>1170</v>
      </c>
      <c r="AE5" s="45" t="s">
        <v>803</v>
      </c>
      <c r="AF5" s="45" t="s">
        <v>1167</v>
      </c>
      <c r="AH5" s="45" t="s">
        <v>804</v>
      </c>
      <c r="AK5" s="45" t="s">
        <v>243</v>
      </c>
      <c r="AL5" s="45" t="s">
        <v>1171</v>
      </c>
      <c r="AN5" s="45" t="s">
        <v>832</v>
      </c>
      <c r="AQ5" s="45" t="s">
        <v>251</v>
      </c>
      <c r="AR5" s="45" t="s">
        <v>1172</v>
      </c>
      <c r="AT5" s="45" t="s">
        <v>872</v>
      </c>
      <c r="AW5" s="45" t="s">
        <v>883</v>
      </c>
      <c r="AZ5" s="45" t="s">
        <v>874</v>
      </c>
      <c r="BC5" s="45" t="s">
        <v>255</v>
      </c>
      <c r="BF5" s="45" t="s">
        <v>84</v>
      </c>
      <c r="BI5" s="45" t="s">
        <v>906</v>
      </c>
      <c r="BJ5" s="45" t="s">
        <v>1173</v>
      </c>
      <c r="BL5" s="45" t="s">
        <v>673</v>
      </c>
      <c r="BO5" s="45" t="s">
        <v>1174</v>
      </c>
      <c r="BR5" s="45" t="n">
        <v>20</v>
      </c>
      <c r="BU5" s="45" t="s">
        <v>730</v>
      </c>
      <c r="BX5" s="45" t="s">
        <v>1175</v>
      </c>
      <c r="CA5" s="45" t="s">
        <v>577</v>
      </c>
      <c r="CD5" s="45" t="s">
        <v>1176</v>
      </c>
      <c r="CG5" s="45" t="s">
        <v>671</v>
      </c>
      <c r="CJ5" s="45" t="s">
        <v>760</v>
      </c>
      <c r="CM5" s="45" t="s">
        <v>926</v>
      </c>
      <c r="CP5" s="45" t="s">
        <v>1177</v>
      </c>
    </row>
    <row r="6" customFormat="false" ht="15" hidden="false" customHeight="false" outlineLevel="0" collapsed="false">
      <c r="A6" s="45" t="s">
        <v>182</v>
      </c>
      <c r="B6" s="45" t="s">
        <v>1178</v>
      </c>
      <c r="D6" s="45" t="s">
        <v>631</v>
      </c>
      <c r="G6" s="45" t="s">
        <v>654</v>
      </c>
      <c r="J6" s="45" t="s">
        <v>82</v>
      </c>
      <c r="K6" s="45" t="s">
        <v>1179</v>
      </c>
      <c r="M6" s="45" t="s">
        <v>206</v>
      </c>
      <c r="N6" s="45" t="s">
        <v>1180</v>
      </c>
      <c r="P6" s="45" t="s">
        <v>222</v>
      </c>
      <c r="Q6" s="45" t="s">
        <v>1181</v>
      </c>
      <c r="S6" s="45" t="s">
        <v>1182</v>
      </c>
      <c r="T6" s="45" t="s">
        <v>1183</v>
      </c>
      <c r="Y6" s="45" t="s">
        <v>1184</v>
      </c>
      <c r="Z6" s="45" t="s">
        <v>1185</v>
      </c>
      <c r="AB6" s="45" t="s">
        <v>232</v>
      </c>
      <c r="AC6" s="45" t="s">
        <v>1186</v>
      </c>
      <c r="AK6" s="45" t="s">
        <v>244</v>
      </c>
      <c r="AL6" s="45" t="s">
        <v>1187</v>
      </c>
      <c r="AN6" s="45" t="s">
        <v>1188</v>
      </c>
      <c r="AQ6" s="45" t="s">
        <v>252</v>
      </c>
      <c r="AR6" s="45" t="s">
        <v>1189</v>
      </c>
      <c r="AT6" s="45" t="s">
        <v>882</v>
      </c>
      <c r="AW6" s="45" t="s">
        <v>866</v>
      </c>
      <c r="AZ6" s="45" t="s">
        <v>1190</v>
      </c>
      <c r="BC6" s="45" t="s">
        <v>254</v>
      </c>
      <c r="BI6" s="45" t="s">
        <v>915</v>
      </c>
      <c r="BJ6" s="45" t="s">
        <v>915</v>
      </c>
      <c r="BL6" s="45" t="s">
        <v>864</v>
      </c>
      <c r="BO6" s="45" t="s">
        <v>1191</v>
      </c>
      <c r="BR6" s="45" t="n">
        <v>25</v>
      </c>
      <c r="BU6" s="45" t="s">
        <v>860</v>
      </c>
      <c r="BX6" s="45" t="s">
        <v>1192</v>
      </c>
      <c r="CA6" s="45" t="s">
        <v>1193</v>
      </c>
      <c r="CD6" s="45" t="s">
        <v>1194</v>
      </c>
      <c r="CG6" s="45" t="s">
        <v>662</v>
      </c>
      <c r="CJ6" s="45" t="s">
        <v>726</v>
      </c>
      <c r="CM6" s="45" t="s">
        <v>947</v>
      </c>
      <c r="CP6" s="45" t="s">
        <v>1195</v>
      </c>
    </row>
    <row r="7" customFormat="false" ht="15" hidden="false" customHeight="false" outlineLevel="0" collapsed="false">
      <c r="A7" s="45" t="s">
        <v>183</v>
      </c>
      <c r="B7" s="45" t="s">
        <v>1196</v>
      </c>
      <c r="D7" s="45" t="s">
        <v>642</v>
      </c>
      <c r="G7" s="45" t="s">
        <v>643</v>
      </c>
      <c r="J7" s="45" t="s">
        <v>644</v>
      </c>
      <c r="K7" s="45" t="s">
        <v>1197</v>
      </c>
      <c r="M7" s="45" t="s">
        <v>207</v>
      </c>
      <c r="N7" s="45" t="s">
        <v>1198</v>
      </c>
      <c r="P7" s="45" t="s">
        <v>223</v>
      </c>
      <c r="Q7" s="45" t="s">
        <v>1156</v>
      </c>
      <c r="S7" s="45" t="s">
        <v>766</v>
      </c>
      <c r="T7" s="45" t="s">
        <v>1199</v>
      </c>
      <c r="Y7" s="45" t="s">
        <v>86</v>
      </c>
      <c r="Z7" s="45" t="s">
        <v>1200</v>
      </c>
      <c r="AB7" s="45" t="s">
        <v>233</v>
      </c>
      <c r="AC7" s="45" t="s">
        <v>1201</v>
      </c>
      <c r="AK7" s="45" t="s">
        <v>225</v>
      </c>
      <c r="AL7" s="45" t="s">
        <v>1202</v>
      </c>
      <c r="AN7" s="45" t="s">
        <v>1203</v>
      </c>
      <c r="AT7" s="45" t="s">
        <v>1204</v>
      </c>
      <c r="AZ7" s="45" t="s">
        <v>868</v>
      </c>
      <c r="BC7" s="45" t="s">
        <v>257</v>
      </c>
      <c r="BI7" s="45" t="s">
        <v>1205</v>
      </c>
      <c r="BJ7" s="45" t="s">
        <v>1205</v>
      </c>
      <c r="BL7" s="45" t="s">
        <v>1206</v>
      </c>
      <c r="BO7" s="45" t="s">
        <v>603</v>
      </c>
      <c r="BR7" s="45" t="n">
        <v>50</v>
      </c>
      <c r="BU7" s="45" t="s">
        <v>608</v>
      </c>
      <c r="BX7" s="45" t="s">
        <v>1207</v>
      </c>
      <c r="CA7" s="45" t="s">
        <v>1208</v>
      </c>
      <c r="CD7" s="45" t="s">
        <v>1209</v>
      </c>
      <c r="CG7" s="45" t="s">
        <v>656</v>
      </c>
      <c r="CJ7" s="45" t="s">
        <v>772</v>
      </c>
      <c r="CM7" s="45" t="s">
        <v>944</v>
      </c>
    </row>
    <row r="8" customFormat="false" ht="15" hidden="false" customHeight="false" outlineLevel="0" collapsed="false">
      <c r="A8" s="45" t="s">
        <v>184</v>
      </c>
      <c r="B8" s="45" t="s">
        <v>1210</v>
      </c>
      <c r="D8" s="45" t="s">
        <v>653</v>
      </c>
      <c r="J8" s="45" t="s">
        <v>1211</v>
      </c>
      <c r="K8" s="45" t="s">
        <v>1212</v>
      </c>
      <c r="M8" s="45" t="s">
        <v>208</v>
      </c>
      <c r="N8" s="45" t="s">
        <v>1213</v>
      </c>
      <c r="P8" s="45" t="s">
        <v>224</v>
      </c>
      <c r="Q8" s="45" t="s">
        <v>1214</v>
      </c>
      <c r="S8" s="45" t="s">
        <v>1215</v>
      </c>
      <c r="T8" s="45" t="s">
        <v>1216</v>
      </c>
      <c r="Y8" s="45" t="s">
        <v>1217</v>
      </c>
      <c r="Z8" s="45" t="s">
        <v>1218</v>
      </c>
      <c r="AB8" s="45" t="s">
        <v>234</v>
      </c>
      <c r="AC8" s="45" t="s">
        <v>1219</v>
      </c>
      <c r="AK8" s="45" t="s">
        <v>245</v>
      </c>
      <c r="AL8" s="45" t="s">
        <v>1181</v>
      </c>
      <c r="AN8" s="45" t="s">
        <v>1220</v>
      </c>
      <c r="AT8" s="45" t="s">
        <v>1221</v>
      </c>
      <c r="BI8" s="45" t="s">
        <v>1222</v>
      </c>
      <c r="BJ8" s="45" t="s">
        <v>1223</v>
      </c>
      <c r="BL8" s="45" t="s">
        <v>1224</v>
      </c>
      <c r="BO8" s="45" t="s">
        <v>1225</v>
      </c>
      <c r="BR8" s="45" t="n">
        <v>100</v>
      </c>
      <c r="BU8" s="45" t="s">
        <v>1226</v>
      </c>
      <c r="CA8" s="45" t="s">
        <v>1227</v>
      </c>
      <c r="CG8" s="45" t="s">
        <v>1228</v>
      </c>
      <c r="CJ8" s="45" t="s">
        <v>819</v>
      </c>
      <c r="CM8" s="45" t="s">
        <v>1229</v>
      </c>
    </row>
    <row r="9" customFormat="false" ht="15" hidden="false" customHeight="false" outlineLevel="0" collapsed="false">
      <c r="A9" s="45" t="s">
        <v>185</v>
      </c>
      <c r="B9" s="45" t="s">
        <v>1230</v>
      </c>
      <c r="D9" s="45" t="s">
        <v>1231</v>
      </c>
      <c r="M9" s="45" t="s">
        <v>209</v>
      </c>
      <c r="N9" s="45" t="s">
        <v>1232</v>
      </c>
      <c r="P9" s="45" t="s">
        <v>225</v>
      </c>
      <c r="Q9" s="45" t="s">
        <v>1202</v>
      </c>
      <c r="S9" s="45" t="s">
        <v>1233</v>
      </c>
      <c r="T9" s="45" t="s">
        <v>1234</v>
      </c>
      <c r="Y9" s="45" t="s">
        <v>1235</v>
      </c>
      <c r="Z9" s="45" t="s">
        <v>1236</v>
      </c>
      <c r="AB9" s="45" t="s">
        <v>235</v>
      </c>
      <c r="AC9" s="45" t="s">
        <v>1237</v>
      </c>
      <c r="AK9" s="45" t="s">
        <v>246</v>
      </c>
      <c r="AL9" s="45" t="s">
        <v>1238</v>
      </c>
      <c r="AN9" s="45" t="s">
        <v>1239</v>
      </c>
      <c r="AT9" s="45" t="s">
        <v>1240</v>
      </c>
      <c r="BI9" s="45" t="s">
        <v>266</v>
      </c>
      <c r="BJ9" s="45" t="s">
        <v>1241</v>
      </c>
      <c r="BO9" s="45" t="s">
        <v>1242</v>
      </c>
      <c r="BU9" s="45" t="s">
        <v>1243</v>
      </c>
      <c r="CA9" s="45" t="s">
        <v>1244</v>
      </c>
      <c r="CG9" s="45" t="s">
        <v>1245</v>
      </c>
      <c r="CM9" s="45" t="s">
        <v>1246</v>
      </c>
    </row>
    <row r="10" customFormat="false" ht="15" hidden="false" customHeight="false" outlineLevel="0" collapsed="false">
      <c r="A10" s="45" t="s">
        <v>186</v>
      </c>
      <c r="B10" s="45" t="s">
        <v>1247</v>
      </c>
      <c r="D10" s="45" t="s">
        <v>1248</v>
      </c>
      <c r="M10" s="45" t="s">
        <v>210</v>
      </c>
      <c r="N10" s="45" t="s">
        <v>1249</v>
      </c>
      <c r="P10" s="45" t="s">
        <v>226</v>
      </c>
      <c r="Q10" s="45" t="s">
        <v>1250</v>
      </c>
      <c r="S10" s="45" t="s">
        <v>1251</v>
      </c>
      <c r="T10" s="45" t="s">
        <v>1252</v>
      </c>
      <c r="Y10" s="45" t="s">
        <v>681</v>
      </c>
      <c r="Z10" s="45" t="s">
        <v>1253</v>
      </c>
      <c r="AK10" s="45" t="s">
        <v>247</v>
      </c>
      <c r="AL10" s="45" t="s">
        <v>1254</v>
      </c>
      <c r="BU10" s="45" t="s">
        <v>1255</v>
      </c>
      <c r="CA10" s="45" t="s">
        <v>1256</v>
      </c>
      <c r="CM10" s="45" t="s">
        <v>938</v>
      </c>
    </row>
    <row r="11" customFormat="false" ht="15" hidden="false" customHeight="false" outlineLevel="0" collapsed="false">
      <c r="A11" s="45" t="s">
        <v>187</v>
      </c>
      <c r="B11" s="45" t="s">
        <v>1257</v>
      </c>
      <c r="M11" s="45" t="s">
        <v>211</v>
      </c>
      <c r="N11" s="45" t="s">
        <v>1258</v>
      </c>
      <c r="P11" s="45" t="s">
        <v>227</v>
      </c>
      <c r="Q11" s="45" t="s">
        <v>1259</v>
      </c>
      <c r="BU11" s="45" t="s">
        <v>1260</v>
      </c>
      <c r="CA11" s="45" t="s">
        <v>592</v>
      </c>
      <c r="CM11" s="45" t="s">
        <v>942</v>
      </c>
    </row>
    <row r="12" customFormat="false" ht="15" hidden="false" customHeight="false" outlineLevel="0" collapsed="false">
      <c r="A12" s="45" t="s">
        <v>188</v>
      </c>
      <c r="B12" s="45" t="s">
        <v>1261</v>
      </c>
      <c r="BU12" s="45" t="s">
        <v>1262</v>
      </c>
      <c r="CM12" s="45" t="s">
        <v>1263</v>
      </c>
    </row>
    <row r="13" customFormat="false" ht="15" hidden="false" customHeight="false" outlineLevel="0" collapsed="false">
      <c r="A13" s="45" t="s">
        <v>189</v>
      </c>
      <c r="B13" s="45" t="s">
        <v>1264</v>
      </c>
      <c r="BU13" s="45" t="s">
        <v>1265</v>
      </c>
      <c r="CM13" s="45" t="s">
        <v>1266</v>
      </c>
    </row>
    <row r="14" customFormat="false" ht="15" hidden="false" customHeight="false" outlineLevel="0" collapsed="false">
      <c r="A14" s="45" t="s">
        <v>190</v>
      </c>
      <c r="B14" s="45" t="s">
        <v>1267</v>
      </c>
      <c r="BU14" s="45" t="s">
        <v>790</v>
      </c>
      <c r="CM14" s="45" t="s">
        <v>934</v>
      </c>
    </row>
    <row r="15" customFormat="false" ht="15" hidden="false" customHeight="false" outlineLevel="0" collapsed="false">
      <c r="A15" s="45" t="s">
        <v>191</v>
      </c>
      <c r="B15" s="45" t="s">
        <v>1268</v>
      </c>
      <c r="BU15" s="45" t="s">
        <v>1269</v>
      </c>
      <c r="CM15" s="45" t="s">
        <v>1270</v>
      </c>
    </row>
    <row r="16" customFormat="false" ht="15" hidden="false" customHeight="false" outlineLevel="0" collapsed="false">
      <c r="A16" s="45" t="s">
        <v>192</v>
      </c>
      <c r="B16" s="45" t="s">
        <v>1271</v>
      </c>
      <c r="BU16" s="45" t="s">
        <v>1272</v>
      </c>
      <c r="CM16" s="45" t="s">
        <v>1273</v>
      </c>
    </row>
    <row r="17" customFormat="false" ht="15" hidden="false" customHeight="false" outlineLevel="0" collapsed="false">
      <c r="CM17" s="45" t="s">
        <v>1274</v>
      </c>
    </row>
    <row r="18" customFormat="false" ht="15" hidden="false" customHeight="false" outlineLevel="0" collapsed="false">
      <c r="CM18" s="45" t="s">
        <v>1275</v>
      </c>
    </row>
    <row r="19" customFormat="false" ht="15" hidden="false" customHeight="false" outlineLevel="0" collapsed="false">
      <c r="CM19" s="45" t="s">
        <v>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2026-10-14T17:19:05Z</dcterms:created>
  <dc:creator>openpyxl</dc:creator>
  <dc:description/>
  <dc:language>en-US</dc:language>
  <cp:lastModifiedBy/>
  <dcterms:modified xsi:type="dcterms:W3CDTF">2026-10-14T17:19:12Z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